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ATH_Programs\Downloads\postar\antigravity\rpnw222\_tools\"/>
    </mc:Choice>
  </mc:AlternateContent>
  <xr:revisionPtr revIDLastSave="0" documentId="13_ncr:1_{E242B745-0713-469D-A5A9-AE84C8345F19}" xr6:coauthVersionLast="47" xr6:coauthVersionMax="47" xr10:uidLastSave="{00000000-0000-0000-0000-000000000000}"/>
  <bookViews>
    <workbookView xWindow="4140" yWindow="2880" windowWidth="20805" windowHeight="11625" xr2:uid="{00000000-000D-0000-FFFF-FFFF00000000}"/>
  </bookViews>
  <sheets>
    <sheet name="New" sheetId="1" r:id="rId1"/>
    <sheet name="Página1" sheetId="2" r:id="rId2"/>
    <sheet name="MODELOS" sheetId="3" r:id="rId3"/>
    <sheet name="Página11" sheetId="4" r:id="rId4"/>
    <sheet name="Página13" sheetId="5" r:id="rId5"/>
    <sheet name="Página1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98" i="5" l="1"/>
  <c r="E15197" i="5"/>
  <c r="E15196" i="5"/>
  <c r="E15195" i="5"/>
  <c r="E15194" i="5"/>
  <c r="E15193" i="5"/>
  <c r="E15192" i="5"/>
  <c r="E15191" i="5"/>
  <c r="E15190" i="5"/>
  <c r="E15189" i="5"/>
  <c r="E15188" i="5"/>
  <c r="E15187" i="5"/>
  <c r="E15186" i="5"/>
  <c r="E15185" i="5"/>
  <c r="E15184" i="5"/>
  <c r="E15183" i="5"/>
  <c r="E15182" i="5"/>
  <c r="E15181" i="5"/>
  <c r="E15180" i="5"/>
  <c r="E15179" i="5"/>
  <c r="E15178" i="5"/>
  <c r="E15177" i="5"/>
  <c r="E15176" i="5"/>
  <c r="E15175" i="5"/>
  <c r="E15174" i="5"/>
  <c r="E15173" i="5"/>
  <c r="E15172" i="5"/>
  <c r="E15171" i="5"/>
  <c r="E15170" i="5"/>
  <c r="E15169" i="5"/>
  <c r="E15168" i="5"/>
  <c r="E15167" i="5"/>
  <c r="E15166" i="5"/>
  <c r="E15165" i="5"/>
  <c r="E15164" i="5"/>
  <c r="E15163" i="5"/>
  <c r="E15162" i="5"/>
  <c r="E15161" i="5"/>
  <c r="E15160" i="5"/>
  <c r="E15159" i="5"/>
  <c r="E15158" i="5"/>
  <c r="E15157" i="5"/>
  <c r="E15156" i="5"/>
  <c r="E15155" i="5"/>
  <c r="E15154" i="5"/>
  <c r="E15153" i="5"/>
  <c r="E15152" i="5"/>
  <c r="E15151" i="5"/>
  <c r="E15150" i="5"/>
  <c r="E15149" i="5"/>
  <c r="E15148" i="5"/>
  <c r="E15147" i="5"/>
  <c r="E15146" i="5"/>
  <c r="E15145" i="5"/>
  <c r="E15144" i="5"/>
  <c r="E15143" i="5"/>
  <c r="E15142" i="5"/>
  <c r="E15141" i="5"/>
  <c r="E15140" i="5"/>
  <c r="E15139" i="5"/>
  <c r="E15138" i="5"/>
  <c r="E15137" i="5"/>
  <c r="E15136" i="5"/>
  <c r="E15135" i="5"/>
  <c r="E15134" i="5"/>
  <c r="E15133" i="5"/>
  <c r="E15132" i="5"/>
  <c r="E15131" i="5"/>
  <c r="E15130" i="5"/>
  <c r="E15129" i="5"/>
  <c r="E15128" i="5"/>
  <c r="E15127" i="5"/>
  <c r="E15126" i="5"/>
  <c r="E15125" i="5"/>
  <c r="E15124" i="5"/>
  <c r="E15123" i="5"/>
  <c r="E15122" i="5"/>
  <c r="E15121" i="5"/>
  <c r="E15120" i="5"/>
  <c r="E15119" i="5"/>
  <c r="E15118" i="5"/>
  <c r="E15117" i="5"/>
  <c r="E15116" i="5"/>
  <c r="E15115" i="5"/>
  <c r="E15114" i="5"/>
  <c r="E15113" i="5"/>
  <c r="E15112" i="5"/>
  <c r="E15111" i="5"/>
  <c r="E15110" i="5"/>
  <c r="E15109" i="5"/>
  <c r="E15108" i="5"/>
  <c r="E15107" i="5"/>
  <c r="E15106" i="5"/>
  <c r="E15105" i="5"/>
  <c r="E15104" i="5"/>
  <c r="E15103" i="5"/>
  <c r="E15102" i="5"/>
  <c r="E15101" i="5"/>
  <c r="E15100" i="5"/>
  <c r="E15099" i="5"/>
  <c r="E15098" i="5"/>
  <c r="E15097" i="5"/>
  <c r="E15096" i="5"/>
  <c r="E15095" i="5"/>
  <c r="E15094" i="5"/>
  <c r="E15093" i="5"/>
  <c r="E15092" i="5"/>
  <c r="E15091" i="5"/>
  <c r="E15090" i="5"/>
  <c r="E15089" i="5"/>
  <c r="E15088" i="5"/>
  <c r="E15087" i="5"/>
  <c r="E15086" i="5"/>
  <c r="E15085" i="5"/>
  <c r="E15084" i="5"/>
  <c r="E15083" i="5"/>
  <c r="E15082" i="5"/>
  <c r="E15081" i="5"/>
  <c r="E15080" i="5"/>
  <c r="E15079" i="5"/>
  <c r="E15078" i="5"/>
  <c r="E15077" i="5"/>
  <c r="E15076" i="5"/>
  <c r="E15075" i="5"/>
  <c r="E15074" i="5"/>
  <c r="E15073" i="5"/>
  <c r="E15072" i="5"/>
  <c r="E15071" i="5"/>
  <c r="E15070" i="5"/>
  <c r="E15069" i="5"/>
  <c r="E15068" i="5"/>
  <c r="E15067" i="5"/>
  <c r="E15066" i="5"/>
  <c r="E15065" i="5"/>
  <c r="E15064" i="5"/>
  <c r="E15063" i="5"/>
  <c r="E15062" i="5"/>
  <c r="E15061" i="5"/>
  <c r="E15060" i="5"/>
  <c r="E15059" i="5"/>
  <c r="E15058" i="5"/>
  <c r="E15057" i="5"/>
  <c r="E15056" i="5"/>
  <c r="E15055" i="5"/>
  <c r="E15054" i="5"/>
  <c r="E15053" i="5"/>
  <c r="E15052" i="5"/>
  <c r="E15051" i="5"/>
  <c r="E15050" i="5"/>
  <c r="E15049" i="5"/>
  <c r="E15048" i="5"/>
  <c r="E15047" i="5"/>
  <c r="E15046" i="5"/>
  <c r="E15045" i="5"/>
  <c r="E15044" i="5"/>
  <c r="E15043" i="5"/>
  <c r="E15042" i="5"/>
  <c r="E15041" i="5"/>
  <c r="E15040" i="5"/>
  <c r="E15039" i="5"/>
  <c r="E15038" i="5"/>
  <c r="E15037" i="5"/>
  <c r="E15036" i="5"/>
  <c r="E15035" i="5"/>
  <c r="E15034" i="5"/>
  <c r="E15033" i="5"/>
  <c r="E15032" i="5"/>
  <c r="E15031" i="5"/>
  <c r="E15030" i="5"/>
  <c r="E15029" i="5"/>
  <c r="E15028" i="5"/>
  <c r="E15027" i="5"/>
  <c r="E15026" i="5"/>
  <c r="E15025" i="5"/>
  <c r="E15024" i="5"/>
  <c r="E15023" i="5"/>
  <c r="E15022" i="5"/>
  <c r="E15021" i="5"/>
  <c r="E15020" i="5"/>
  <c r="E15019" i="5"/>
  <c r="E15018" i="5"/>
  <c r="E15017" i="5"/>
  <c r="E15016" i="5"/>
  <c r="E15015" i="5"/>
  <c r="E15014" i="5"/>
  <c r="E15013" i="5"/>
  <c r="E15012" i="5"/>
  <c r="E15011" i="5"/>
  <c r="E15010" i="5"/>
  <c r="E15009" i="5"/>
  <c r="E15008" i="5"/>
  <c r="E15007" i="5"/>
  <c r="E15006" i="5"/>
  <c r="E15005" i="5"/>
  <c r="E15004" i="5"/>
  <c r="E15003" i="5"/>
  <c r="E15002" i="5"/>
  <c r="E15001" i="5"/>
  <c r="E15000" i="5"/>
  <c r="E14999" i="5"/>
  <c r="E14998" i="5"/>
  <c r="E14997" i="5"/>
  <c r="E14996" i="5"/>
  <c r="E14995" i="5"/>
  <c r="E14994" i="5"/>
  <c r="E14993" i="5"/>
  <c r="E14992" i="5"/>
  <c r="E14991" i="5"/>
  <c r="E14990" i="5"/>
  <c r="E14989" i="5"/>
  <c r="E14988" i="5"/>
  <c r="E14987" i="5"/>
  <c r="E14986" i="5"/>
  <c r="E14985" i="5"/>
  <c r="E14984" i="5"/>
  <c r="E14983" i="5"/>
  <c r="E14982" i="5"/>
  <c r="E14981" i="5"/>
  <c r="E14980" i="5"/>
  <c r="E14979" i="5"/>
  <c r="E14978" i="5"/>
  <c r="E14977" i="5"/>
  <c r="E14976" i="5"/>
  <c r="E14975" i="5"/>
  <c r="E14974" i="5"/>
  <c r="E14973" i="5"/>
  <c r="E14972" i="5"/>
  <c r="E14971" i="5"/>
  <c r="E14970" i="5"/>
  <c r="E14969" i="5"/>
  <c r="E14968" i="5"/>
  <c r="E14967" i="5"/>
  <c r="E14966" i="5"/>
  <c r="E14965" i="5"/>
  <c r="E14964" i="5"/>
  <c r="E14963" i="5"/>
  <c r="E14962" i="5"/>
  <c r="E14961" i="5"/>
  <c r="E14960" i="5"/>
  <c r="E14959" i="5"/>
  <c r="E14958" i="5"/>
  <c r="E14957" i="5"/>
  <c r="E14956" i="5"/>
  <c r="E14955" i="5"/>
  <c r="E14954" i="5"/>
  <c r="E14953" i="5"/>
  <c r="E14952" i="5"/>
  <c r="E14951" i="5"/>
  <c r="E14950" i="5"/>
  <c r="E14949" i="5"/>
  <c r="E14948" i="5"/>
  <c r="E14947" i="5"/>
  <c r="E14946" i="5"/>
  <c r="E14945" i="5"/>
  <c r="E14944" i="5"/>
  <c r="E14943" i="5"/>
  <c r="E14942" i="5"/>
  <c r="E14941" i="5"/>
  <c r="E14940" i="5"/>
  <c r="E14939" i="5"/>
  <c r="E14938" i="5"/>
  <c r="E14937" i="5"/>
  <c r="E14936" i="5"/>
  <c r="E14935" i="5"/>
  <c r="E14934" i="5"/>
  <c r="E14933" i="5"/>
  <c r="E14932" i="5"/>
  <c r="E14931" i="5"/>
  <c r="E14930" i="5"/>
  <c r="E14929" i="5"/>
  <c r="E14928" i="5"/>
  <c r="E14927" i="5"/>
  <c r="E14926" i="5"/>
  <c r="E14925" i="5"/>
  <c r="E14924" i="5"/>
  <c r="E14923" i="5"/>
  <c r="E14922" i="5"/>
  <c r="E14921" i="5"/>
  <c r="E14920" i="5"/>
  <c r="E14919" i="5"/>
  <c r="E14918" i="5"/>
  <c r="E14917" i="5"/>
  <c r="E14916" i="5"/>
  <c r="E14915" i="5"/>
  <c r="E14914" i="5"/>
  <c r="E14913" i="5"/>
  <c r="E14912" i="5"/>
  <c r="E14911" i="5"/>
  <c r="E14910" i="5"/>
  <c r="E14909" i="5"/>
  <c r="E14908" i="5"/>
  <c r="E14907" i="5"/>
  <c r="E14906" i="5"/>
  <c r="E14905" i="5"/>
  <c r="E14904" i="5"/>
  <c r="E14903" i="5"/>
  <c r="E14902" i="5"/>
  <c r="E14901" i="5"/>
  <c r="E14900" i="5"/>
  <c r="E14899" i="5"/>
  <c r="E14898" i="5"/>
  <c r="E14897" i="5"/>
  <c r="E14896" i="5"/>
  <c r="E14895" i="5"/>
  <c r="E14894" i="5"/>
  <c r="E14893" i="5"/>
  <c r="E14892" i="5"/>
  <c r="E14891" i="5"/>
  <c r="E14890" i="5"/>
  <c r="E14889" i="5"/>
  <c r="E14888" i="5"/>
  <c r="E14887" i="5"/>
  <c r="E14886" i="5"/>
  <c r="E14885" i="5"/>
  <c r="E14884" i="5"/>
  <c r="E14883" i="5"/>
  <c r="E14882" i="5"/>
  <c r="E14881" i="5"/>
  <c r="E14880" i="5"/>
  <c r="E14879" i="5"/>
  <c r="E14878" i="5"/>
  <c r="E14877" i="5"/>
  <c r="E14876" i="5"/>
  <c r="E14875" i="5"/>
  <c r="E14874" i="5"/>
  <c r="E14873" i="5"/>
  <c r="E14872" i="5"/>
  <c r="E14871" i="5"/>
  <c r="E14870" i="5"/>
  <c r="E14869" i="5"/>
  <c r="E14868" i="5"/>
  <c r="E14867" i="5"/>
  <c r="E14866" i="5"/>
  <c r="E14865" i="5"/>
  <c r="E14864" i="5"/>
  <c r="E14863" i="5"/>
  <c r="E14862" i="5"/>
  <c r="E14861" i="5"/>
  <c r="E14860" i="5"/>
  <c r="E14859" i="5"/>
  <c r="E14858" i="5"/>
  <c r="E14857" i="5"/>
  <c r="E14856" i="5"/>
  <c r="E14855" i="5"/>
  <c r="E14854" i="5"/>
  <c r="E14853" i="5"/>
  <c r="E14852" i="5"/>
  <c r="E14851" i="5"/>
  <c r="E14850" i="5"/>
  <c r="E14849" i="5"/>
  <c r="E14848" i="5"/>
  <c r="E14847" i="5"/>
  <c r="E14846" i="5"/>
  <c r="E14845" i="5"/>
  <c r="E14844" i="5"/>
  <c r="E14843" i="5"/>
  <c r="E14842" i="5"/>
  <c r="E14841" i="5"/>
  <c r="E14840" i="5"/>
  <c r="E14839" i="5"/>
  <c r="E14838" i="5"/>
  <c r="E14837" i="5"/>
  <c r="E14836" i="5"/>
  <c r="E14835" i="5"/>
  <c r="E14834" i="5"/>
  <c r="E14833" i="5"/>
  <c r="E14832" i="5"/>
  <c r="E14831" i="5"/>
  <c r="E14830" i="5"/>
  <c r="E14829" i="5"/>
  <c r="E14828" i="5"/>
  <c r="E14827" i="5"/>
  <c r="E14826" i="5"/>
  <c r="E14825" i="5"/>
  <c r="E14824" i="5"/>
  <c r="E14823" i="5"/>
  <c r="E14822" i="5"/>
  <c r="E14821" i="5"/>
  <c r="E14820" i="5"/>
  <c r="E14819" i="5"/>
  <c r="E14818" i="5"/>
  <c r="E14817" i="5"/>
  <c r="E14816" i="5"/>
  <c r="E14815" i="5"/>
  <c r="E14814" i="5"/>
  <c r="E14813" i="5"/>
  <c r="E14812" i="5"/>
  <c r="E14811" i="5"/>
  <c r="E14810" i="5"/>
  <c r="E14809" i="5"/>
  <c r="E14808" i="5"/>
  <c r="E14807" i="5"/>
  <c r="E14806" i="5"/>
  <c r="E14805" i="5"/>
  <c r="E14804" i="5"/>
  <c r="E14803" i="5"/>
  <c r="E14802" i="5"/>
  <c r="E14801" i="5"/>
  <c r="E14800" i="5"/>
  <c r="E14799" i="5"/>
  <c r="E14798" i="5"/>
  <c r="E14797" i="5"/>
  <c r="E14796" i="5"/>
  <c r="E14795" i="5"/>
  <c r="E14794" i="5"/>
  <c r="E14793" i="5"/>
  <c r="E14792" i="5"/>
  <c r="E14791" i="5"/>
  <c r="E14790" i="5"/>
  <c r="E14789" i="5"/>
  <c r="E14788" i="5"/>
  <c r="E14787" i="5"/>
  <c r="E14786" i="5"/>
  <c r="E14785" i="5"/>
  <c r="E14784" i="5"/>
  <c r="E14783" i="5"/>
  <c r="E14782" i="5"/>
  <c r="E14781" i="5"/>
  <c r="E14780" i="5"/>
  <c r="E14779" i="5"/>
  <c r="E14778" i="5"/>
  <c r="E14777" i="5"/>
  <c r="E14776" i="5"/>
  <c r="E14775" i="5"/>
  <c r="E14774" i="5"/>
  <c r="E14773" i="5"/>
  <c r="E14772" i="5"/>
  <c r="E14771" i="5"/>
  <c r="E14770" i="5"/>
  <c r="E14769" i="5"/>
  <c r="E14768" i="5"/>
  <c r="E14767" i="5"/>
  <c r="E14766" i="5"/>
  <c r="E14765" i="5"/>
  <c r="E14764" i="5"/>
  <c r="E14763" i="5"/>
  <c r="E14762" i="5"/>
  <c r="E14761" i="5"/>
  <c r="E14760" i="5"/>
  <c r="E14759" i="5"/>
  <c r="E14758" i="5"/>
  <c r="E14757" i="5"/>
  <c r="E14756" i="5"/>
  <c r="E14755" i="5"/>
  <c r="E14754" i="5"/>
  <c r="E14753" i="5"/>
  <c r="E14752" i="5"/>
  <c r="E14751" i="5"/>
  <c r="E14750" i="5"/>
  <c r="E14749" i="5"/>
  <c r="E14748" i="5"/>
  <c r="E14747" i="5"/>
  <c r="E14746" i="5"/>
  <c r="E14745" i="5"/>
  <c r="E14744" i="5"/>
  <c r="E14743" i="5"/>
  <c r="E14742" i="5"/>
  <c r="E14741" i="5"/>
  <c r="E14740" i="5"/>
  <c r="E14739" i="5"/>
  <c r="E14738" i="5"/>
  <c r="E14737" i="5"/>
  <c r="E14736" i="5"/>
  <c r="E14735" i="5"/>
  <c r="E14734" i="5"/>
  <c r="E14733" i="5"/>
  <c r="E14732" i="5"/>
  <c r="E14731" i="5"/>
  <c r="E14730" i="5"/>
  <c r="E14729" i="5"/>
  <c r="E14728" i="5"/>
  <c r="E14727" i="5"/>
  <c r="E14726" i="5"/>
  <c r="E14725" i="5"/>
  <c r="E14724" i="5"/>
  <c r="E14723" i="5"/>
  <c r="E14722" i="5"/>
  <c r="E14721" i="5"/>
  <c r="E14720" i="5"/>
  <c r="E14719" i="5"/>
  <c r="E14718" i="5"/>
  <c r="E14717" i="5"/>
  <c r="E14716" i="5"/>
  <c r="E14715" i="5"/>
  <c r="E14714" i="5"/>
  <c r="E14713" i="5"/>
  <c r="E14712" i="5"/>
  <c r="E14711" i="5"/>
  <c r="E14710" i="5"/>
  <c r="E14709" i="5"/>
  <c r="E14708" i="5"/>
  <c r="E14707" i="5"/>
  <c r="E14706" i="5"/>
  <c r="E14705" i="5"/>
  <c r="E14704" i="5"/>
  <c r="E14703" i="5"/>
  <c r="E14702" i="5"/>
  <c r="E14701" i="5"/>
  <c r="E14700" i="5"/>
  <c r="E14699" i="5"/>
  <c r="E14698" i="5"/>
  <c r="E14697" i="5"/>
  <c r="E14696" i="5"/>
  <c r="E14695" i="5"/>
  <c r="E14694" i="5"/>
  <c r="E14693" i="5"/>
  <c r="E14692" i="5"/>
  <c r="E14691" i="5"/>
  <c r="E14690" i="5"/>
  <c r="E14689" i="5"/>
  <c r="E14688" i="5"/>
  <c r="E14687" i="5"/>
  <c r="E14686" i="5"/>
  <c r="E14685" i="5"/>
  <c r="E14684" i="5"/>
  <c r="E14683" i="5"/>
  <c r="E14682" i="5"/>
  <c r="E14681" i="5"/>
  <c r="E14680" i="5"/>
  <c r="E14679" i="5"/>
  <c r="E14678" i="5"/>
  <c r="E14677" i="5"/>
  <c r="E14676" i="5"/>
  <c r="E14675" i="5"/>
  <c r="E14674" i="5"/>
  <c r="E14673" i="5"/>
  <c r="E14672" i="5"/>
  <c r="E14671" i="5"/>
  <c r="E14670" i="5"/>
  <c r="E14669" i="5"/>
  <c r="E14668" i="5"/>
  <c r="E14667" i="5"/>
  <c r="E14666" i="5"/>
  <c r="E14665" i="5"/>
  <c r="E14664" i="5"/>
  <c r="E14663" i="5"/>
  <c r="E14662" i="5"/>
  <c r="E14661" i="5"/>
  <c r="E14660" i="5"/>
  <c r="E14659" i="5"/>
  <c r="E14658" i="5"/>
  <c r="E14657" i="5"/>
  <c r="E14656" i="5"/>
  <c r="E14655" i="5"/>
  <c r="E14654" i="5"/>
  <c r="E14653" i="5"/>
  <c r="E14652" i="5"/>
  <c r="E14651" i="5"/>
  <c r="E14650" i="5"/>
  <c r="E14649" i="5"/>
  <c r="E14648" i="5"/>
  <c r="E14647" i="5"/>
  <c r="E14646" i="5"/>
  <c r="E14645" i="5"/>
  <c r="E14644" i="5"/>
  <c r="E14643" i="5"/>
  <c r="E14642" i="5"/>
  <c r="E14641" i="5"/>
  <c r="E14640" i="5"/>
  <c r="E14639" i="5"/>
  <c r="E14638" i="5"/>
  <c r="E14637" i="5"/>
  <c r="E14636" i="5"/>
  <c r="E14635" i="5"/>
  <c r="E14634" i="5"/>
  <c r="E14633" i="5"/>
  <c r="E14632" i="5"/>
  <c r="E14631" i="5"/>
  <c r="E14630" i="5"/>
  <c r="E14629" i="5"/>
  <c r="E14628" i="5"/>
  <c r="E14627" i="5"/>
  <c r="E14626" i="5"/>
  <c r="E14625" i="5"/>
  <c r="E14624" i="5"/>
  <c r="E14623" i="5"/>
  <c r="E14622" i="5"/>
  <c r="E14621" i="5"/>
  <c r="E14620" i="5"/>
  <c r="E14619" i="5"/>
  <c r="E14618" i="5"/>
  <c r="E14617" i="5"/>
  <c r="E14616" i="5"/>
  <c r="E14615" i="5"/>
  <c r="E14614" i="5"/>
  <c r="E14613" i="5"/>
  <c r="E14612" i="5"/>
  <c r="E14611" i="5"/>
  <c r="E14610" i="5"/>
  <c r="E14609" i="5"/>
  <c r="E14608" i="5"/>
  <c r="E14607" i="5"/>
  <c r="E14606" i="5"/>
  <c r="E14605" i="5"/>
  <c r="E14604" i="5"/>
  <c r="E14603" i="5"/>
  <c r="E14602" i="5"/>
  <c r="E14601" i="5"/>
  <c r="E14600" i="5"/>
  <c r="E14599" i="5"/>
  <c r="E14598" i="5"/>
  <c r="E14597" i="5"/>
  <c r="E14596" i="5"/>
  <c r="E14595" i="5"/>
  <c r="E14594" i="5"/>
  <c r="E14593" i="5"/>
  <c r="E14592" i="5"/>
  <c r="E14591" i="5"/>
  <c r="E14590" i="5"/>
  <c r="E14589" i="5"/>
  <c r="E14588" i="5"/>
  <c r="E14587" i="5"/>
  <c r="E14586" i="5"/>
  <c r="E14585" i="5"/>
  <c r="E14584" i="5"/>
  <c r="E14583" i="5"/>
  <c r="E14582" i="5"/>
  <c r="E14581" i="5"/>
  <c r="E14580" i="5"/>
  <c r="E14579" i="5"/>
  <c r="E14578" i="5"/>
  <c r="E14577" i="5"/>
  <c r="E14576" i="5"/>
  <c r="E14575" i="5"/>
  <c r="E14574" i="5"/>
  <c r="E14573" i="5"/>
  <c r="E14572" i="5"/>
  <c r="E14571" i="5"/>
  <c r="E14570" i="5"/>
  <c r="E14569" i="5"/>
  <c r="E14568" i="5"/>
  <c r="E14567" i="5"/>
  <c r="E14566" i="5"/>
  <c r="E14565" i="5"/>
  <c r="E14564" i="5"/>
  <c r="E14563" i="5"/>
  <c r="E14562" i="5"/>
  <c r="E14561" i="5"/>
  <c r="E14560" i="5"/>
  <c r="E14559" i="5"/>
  <c r="E14558" i="5"/>
  <c r="E14557" i="5"/>
  <c r="E14556" i="5"/>
  <c r="E14555" i="5"/>
  <c r="E14554" i="5"/>
  <c r="E14553" i="5"/>
  <c r="E14552" i="5"/>
  <c r="E14551" i="5"/>
  <c r="E14550" i="5"/>
  <c r="E14549" i="5"/>
  <c r="E14548" i="5"/>
  <c r="E14547" i="5"/>
  <c r="E14546" i="5"/>
  <c r="E14545" i="5"/>
  <c r="E14544" i="5"/>
  <c r="E14543" i="5"/>
  <c r="E14542" i="5"/>
  <c r="E14541" i="5"/>
  <c r="E14540" i="5"/>
  <c r="E14539" i="5"/>
  <c r="E14538" i="5"/>
  <c r="E14537" i="5"/>
  <c r="E14536" i="5"/>
  <c r="E14535" i="5"/>
  <c r="E14534" i="5"/>
  <c r="E14533" i="5"/>
  <c r="E14532" i="5"/>
  <c r="E14531" i="5"/>
  <c r="E14530" i="5"/>
  <c r="E14529" i="5"/>
  <c r="E14528" i="5"/>
  <c r="E14527" i="5"/>
  <c r="E14526" i="5"/>
  <c r="E14525" i="5"/>
  <c r="E14524" i="5"/>
  <c r="E14523" i="5"/>
  <c r="E14522" i="5"/>
  <c r="E14521" i="5"/>
  <c r="E14520" i="5"/>
  <c r="E14519" i="5"/>
  <c r="E14518" i="5"/>
  <c r="E14517" i="5"/>
  <c r="E14516" i="5"/>
  <c r="E14515" i="5"/>
  <c r="E14514" i="5"/>
  <c r="E14513" i="5"/>
  <c r="E14512" i="5"/>
  <c r="E14511" i="5"/>
  <c r="E14510" i="5"/>
  <c r="E14509" i="5"/>
  <c r="E14508" i="5"/>
  <c r="E14507" i="5"/>
  <c r="E14506" i="5"/>
  <c r="E14505" i="5"/>
  <c r="E14504" i="5"/>
  <c r="E14503" i="5"/>
  <c r="E14502" i="5"/>
  <c r="E14501" i="5"/>
  <c r="E14500" i="5"/>
  <c r="E14499" i="5"/>
  <c r="E14498" i="5"/>
  <c r="E14497" i="5"/>
  <c r="E14496" i="5"/>
  <c r="E14495" i="5"/>
  <c r="E14494" i="5"/>
  <c r="E14493" i="5"/>
  <c r="E14492" i="5"/>
  <c r="E14491" i="5"/>
  <c r="E14490" i="5"/>
  <c r="E14489" i="5"/>
  <c r="E14488" i="5"/>
  <c r="E14487" i="5"/>
  <c r="E14486" i="5"/>
  <c r="E14485" i="5"/>
  <c r="E14484" i="5"/>
  <c r="E14483" i="5"/>
  <c r="E14482" i="5"/>
  <c r="E14481" i="5"/>
  <c r="E14480" i="5"/>
  <c r="E14479" i="5"/>
  <c r="E14478" i="5"/>
  <c r="E14477" i="5"/>
  <c r="E14476" i="5"/>
  <c r="E14475" i="5"/>
  <c r="E14474" i="5"/>
  <c r="E14473" i="5"/>
  <c r="E14472" i="5"/>
  <c r="E14471" i="5"/>
  <c r="E14470" i="5"/>
  <c r="E14469" i="5"/>
  <c r="E14468" i="5"/>
  <c r="E14467" i="5"/>
  <c r="E14466" i="5"/>
  <c r="E14465" i="5"/>
  <c r="E14464" i="5"/>
  <c r="E14463" i="5"/>
  <c r="E14462" i="5"/>
  <c r="E14461" i="5"/>
  <c r="E14460" i="5"/>
  <c r="E14459" i="5"/>
  <c r="E14458" i="5"/>
  <c r="E14457" i="5"/>
  <c r="E14456" i="5"/>
  <c r="E14455" i="5"/>
  <c r="E14454" i="5"/>
  <c r="E14453" i="5"/>
  <c r="E14452" i="5"/>
  <c r="E14451" i="5"/>
  <c r="E14450" i="5"/>
  <c r="E14449" i="5"/>
  <c r="E14448" i="5"/>
  <c r="E14447" i="5"/>
  <c r="E14446" i="5"/>
  <c r="E14445" i="5"/>
  <c r="E14444" i="5"/>
  <c r="E14443" i="5"/>
  <c r="E14442" i="5"/>
  <c r="E14441" i="5"/>
  <c r="E14440" i="5"/>
  <c r="E14439" i="5"/>
  <c r="E14438" i="5"/>
  <c r="E14437" i="5"/>
  <c r="E14436" i="5"/>
  <c r="E14435" i="5"/>
  <c r="E14434" i="5"/>
  <c r="E14433" i="5"/>
  <c r="E14432" i="5"/>
  <c r="E14431" i="5"/>
  <c r="E14430" i="5"/>
  <c r="E14429" i="5"/>
  <c r="E14428" i="5"/>
  <c r="E14427" i="5"/>
  <c r="E14426" i="5"/>
  <c r="E14425" i="5"/>
  <c r="E14424" i="5"/>
  <c r="E14423" i="5"/>
  <c r="E14422" i="5"/>
  <c r="E14421" i="5"/>
  <c r="E14420" i="5"/>
  <c r="E14419" i="5"/>
  <c r="E14418" i="5"/>
  <c r="E14417" i="5"/>
  <c r="E14416" i="5"/>
  <c r="E14415" i="5"/>
  <c r="E14414" i="5"/>
  <c r="E14413" i="5"/>
  <c r="E14412" i="5"/>
  <c r="E14411" i="5"/>
  <c r="E14410" i="5"/>
  <c r="E14409" i="5"/>
  <c r="E14408" i="5"/>
  <c r="E14407" i="5"/>
  <c r="E14406" i="5"/>
  <c r="E14405" i="5"/>
  <c r="E14404" i="5"/>
  <c r="E14403" i="5"/>
  <c r="E14402" i="5"/>
  <c r="E14401" i="5"/>
  <c r="E14400" i="5"/>
  <c r="E14399" i="5"/>
  <c r="E14398" i="5"/>
  <c r="E14397" i="5"/>
  <c r="E14396" i="5"/>
  <c r="E14395" i="5"/>
  <c r="E14394" i="5"/>
  <c r="E14393" i="5"/>
  <c r="E14392" i="5"/>
  <c r="E14391" i="5"/>
  <c r="E14390" i="5"/>
  <c r="E14389" i="5"/>
  <c r="E14388" i="5"/>
  <c r="E14387" i="5"/>
  <c r="E14386" i="5"/>
  <c r="E14385" i="5"/>
  <c r="E14384" i="5"/>
  <c r="E14383" i="5"/>
  <c r="E14382" i="5"/>
  <c r="E14381" i="5"/>
  <c r="E14380" i="5"/>
  <c r="E14379" i="5"/>
  <c r="E14378" i="5"/>
  <c r="E14377" i="5"/>
  <c r="E14376" i="5"/>
  <c r="E14375" i="5"/>
  <c r="E14374" i="5"/>
  <c r="E14373" i="5"/>
  <c r="E14372" i="5"/>
  <c r="E14371" i="5"/>
  <c r="E14370" i="5"/>
  <c r="E14369" i="5"/>
  <c r="E14368" i="5"/>
  <c r="E14367" i="5"/>
  <c r="E14366" i="5"/>
  <c r="E14365" i="5"/>
  <c r="E14364" i="5"/>
  <c r="E14363" i="5"/>
  <c r="E14362" i="5"/>
  <c r="E14361" i="5"/>
  <c r="E14360" i="5"/>
  <c r="E14359" i="5"/>
  <c r="E14358" i="5"/>
  <c r="E14357" i="5"/>
  <c r="E14356" i="5"/>
  <c r="E14355" i="5"/>
  <c r="E14354" i="5"/>
  <c r="E14353" i="5"/>
  <c r="E14352" i="5"/>
  <c r="E14351" i="5"/>
  <c r="E14350" i="5"/>
  <c r="E14349" i="5"/>
  <c r="E14348" i="5"/>
  <c r="E14347" i="5"/>
  <c r="E14346" i="5"/>
  <c r="E14345" i="5"/>
  <c r="E14344" i="5"/>
  <c r="E14343" i="5"/>
  <c r="E14342" i="5"/>
  <c r="E14341" i="5"/>
  <c r="E14340" i="5"/>
  <c r="E14339" i="5"/>
  <c r="E14338" i="5"/>
  <c r="E14337" i="5"/>
  <c r="E14336" i="5"/>
  <c r="E14335" i="5"/>
  <c r="E14334" i="5"/>
  <c r="E14333" i="5"/>
  <c r="E14332" i="5"/>
  <c r="E14331" i="5"/>
  <c r="E14330" i="5"/>
  <c r="E14329" i="5"/>
  <c r="E14328" i="5"/>
  <c r="E14327" i="5"/>
  <c r="E14326" i="5"/>
  <c r="E14325" i="5"/>
  <c r="E14324" i="5"/>
  <c r="E14323" i="5"/>
  <c r="E14322" i="5"/>
  <c r="E14321" i="5"/>
  <c r="E14320" i="5"/>
  <c r="E14319" i="5"/>
  <c r="E14318" i="5"/>
  <c r="E14317" i="5"/>
  <c r="E14316" i="5"/>
  <c r="E14315" i="5"/>
  <c r="E14314" i="5"/>
  <c r="E14313" i="5"/>
  <c r="E14312" i="5"/>
  <c r="E14311" i="5"/>
  <c r="E14310" i="5"/>
  <c r="E14309" i="5"/>
  <c r="E14308" i="5"/>
  <c r="E14307" i="5"/>
  <c r="E14306" i="5"/>
  <c r="E14305" i="5"/>
  <c r="E14304" i="5"/>
  <c r="E14303" i="5"/>
  <c r="E14302" i="5"/>
  <c r="E14301" i="5"/>
  <c r="E14300" i="5"/>
  <c r="E14299" i="5"/>
  <c r="E14298" i="5"/>
  <c r="E14297" i="5"/>
  <c r="E14296" i="5"/>
  <c r="E14295" i="5"/>
  <c r="E14294" i="5"/>
  <c r="E14293" i="5"/>
  <c r="E14292" i="5"/>
  <c r="E14291" i="5"/>
  <c r="E14290" i="5"/>
  <c r="E14289" i="5"/>
  <c r="E14288" i="5"/>
  <c r="E14287" i="5"/>
  <c r="E14286" i="5"/>
  <c r="E14285" i="5"/>
  <c r="E14284" i="5"/>
  <c r="E14283" i="5"/>
  <c r="E14282" i="5"/>
  <c r="E14281" i="5"/>
  <c r="E14280" i="5"/>
  <c r="E14279" i="5"/>
  <c r="E14278" i="5"/>
  <c r="E14277" i="5"/>
  <c r="E14276" i="5"/>
  <c r="E14275" i="5"/>
  <c r="E14274" i="5"/>
  <c r="E14273" i="5"/>
  <c r="E14272" i="5"/>
  <c r="E14271" i="5"/>
  <c r="E14270" i="5"/>
  <c r="E14269" i="5"/>
  <c r="E14268" i="5"/>
  <c r="E14267" i="5"/>
  <c r="E14266" i="5"/>
  <c r="E14265" i="5"/>
  <c r="E14264" i="5"/>
  <c r="E14263" i="5"/>
  <c r="E14262" i="5"/>
  <c r="E14261" i="5"/>
  <c r="E14260" i="5"/>
  <c r="E14259" i="5"/>
  <c r="E14258" i="5"/>
  <c r="E14257" i="5"/>
  <c r="E14256" i="5"/>
  <c r="E14255" i="5"/>
  <c r="E14254" i="5"/>
  <c r="E14253" i="5"/>
  <c r="E14252" i="5"/>
  <c r="E14251" i="5"/>
  <c r="E14250" i="5"/>
  <c r="E14249" i="5"/>
  <c r="E14248" i="5"/>
  <c r="E14247" i="5"/>
  <c r="E14246" i="5"/>
  <c r="E14245" i="5"/>
  <c r="E14244" i="5"/>
  <c r="E14243" i="5"/>
  <c r="E14242" i="5"/>
  <c r="E14241" i="5"/>
  <c r="E14240" i="5"/>
  <c r="E14239" i="5"/>
  <c r="E14238" i="5"/>
  <c r="E14237" i="5"/>
  <c r="E14236" i="5"/>
  <c r="E14235" i="5"/>
  <c r="E14234" i="5"/>
  <c r="E14233" i="5"/>
  <c r="E14232" i="5"/>
  <c r="E14231" i="5"/>
  <c r="E14230" i="5"/>
  <c r="E14229" i="5"/>
  <c r="E14228" i="5"/>
  <c r="E14227" i="5"/>
  <c r="E14226" i="5"/>
  <c r="E14225" i="5"/>
  <c r="E14224" i="5"/>
  <c r="E14223" i="5"/>
  <c r="E14222" i="5"/>
  <c r="E14221" i="5"/>
  <c r="E14220" i="5"/>
  <c r="E14219" i="5"/>
  <c r="E14218" i="5"/>
  <c r="E14217" i="5"/>
  <c r="E14216" i="5"/>
  <c r="E14215" i="5"/>
  <c r="E14214" i="5"/>
  <c r="E14213" i="5"/>
  <c r="E14212" i="5"/>
  <c r="E14211" i="5"/>
  <c r="E14210" i="5"/>
  <c r="E14209" i="5"/>
  <c r="E14208" i="5"/>
  <c r="E14207" i="5"/>
  <c r="E14206" i="5"/>
  <c r="E14205" i="5"/>
  <c r="E14204" i="5"/>
  <c r="E14203" i="5"/>
  <c r="E14202" i="5"/>
  <c r="E14201" i="5"/>
  <c r="E14200" i="5"/>
  <c r="E14199" i="5"/>
  <c r="E14198" i="5"/>
  <c r="E14197" i="5"/>
  <c r="E14196" i="5"/>
  <c r="E14195" i="5"/>
  <c r="E14194" i="5"/>
  <c r="E14193" i="5"/>
  <c r="E14192" i="5"/>
  <c r="E14191" i="5"/>
  <c r="E14190" i="5"/>
  <c r="E14189" i="5"/>
  <c r="E14188" i="5"/>
  <c r="E14187" i="5"/>
  <c r="E14186" i="5"/>
  <c r="E14185" i="5"/>
  <c r="E14184" i="5"/>
  <c r="E14183" i="5"/>
  <c r="E14182" i="5"/>
  <c r="E14181" i="5"/>
  <c r="E14180" i="5"/>
  <c r="E14179" i="5"/>
  <c r="E14178" i="5"/>
  <c r="E14177" i="5"/>
  <c r="E14176" i="5"/>
  <c r="E14175" i="5"/>
  <c r="E14174" i="5"/>
  <c r="E14173" i="5"/>
  <c r="E14172" i="5"/>
  <c r="E14171" i="5"/>
  <c r="E14170" i="5"/>
  <c r="E14169" i="5"/>
  <c r="E14168" i="5"/>
  <c r="E14167" i="5"/>
  <c r="E14166" i="5"/>
  <c r="E14165" i="5"/>
  <c r="E14164" i="5"/>
  <c r="E14163" i="5"/>
  <c r="E14162" i="5"/>
  <c r="E14161" i="5"/>
  <c r="E14160" i="5"/>
  <c r="E14159" i="5"/>
  <c r="E14158" i="5"/>
  <c r="E14157" i="5"/>
  <c r="E14156" i="5"/>
  <c r="E14155" i="5"/>
  <c r="E14154" i="5"/>
  <c r="E14153" i="5"/>
  <c r="E14152" i="5"/>
  <c r="E14151" i="5"/>
  <c r="E14150" i="5"/>
  <c r="E14149" i="5"/>
  <c r="E14148" i="5"/>
  <c r="E14147" i="5"/>
  <c r="E14146" i="5"/>
  <c r="E14145" i="5"/>
  <c r="E14144" i="5"/>
  <c r="E14143" i="5"/>
  <c r="E14142" i="5"/>
  <c r="E14141" i="5"/>
  <c r="E14140" i="5"/>
  <c r="E14139" i="5"/>
  <c r="E14138" i="5"/>
  <c r="E14137" i="5"/>
  <c r="E14136" i="5"/>
  <c r="E14135" i="5"/>
  <c r="E14134" i="5"/>
  <c r="E14133" i="5"/>
  <c r="E14132" i="5"/>
  <c r="E14131" i="5"/>
  <c r="E14130" i="5"/>
  <c r="E14129" i="5"/>
  <c r="E14128" i="5"/>
  <c r="E14127" i="5"/>
  <c r="E14126" i="5"/>
  <c r="E14125" i="5"/>
  <c r="E14124" i="5"/>
  <c r="E14123" i="5"/>
  <c r="E14122" i="5"/>
  <c r="E14121" i="5"/>
  <c r="E14120" i="5"/>
  <c r="E14119" i="5"/>
  <c r="E14118" i="5"/>
  <c r="E14117" i="5"/>
  <c r="E14116" i="5"/>
  <c r="E14115" i="5"/>
  <c r="E14114" i="5"/>
  <c r="E14113" i="5"/>
  <c r="E14112" i="5"/>
  <c r="E14111" i="5"/>
  <c r="E14110" i="5"/>
  <c r="E14109" i="5"/>
  <c r="E14108" i="5"/>
  <c r="E14107" i="5"/>
  <c r="E14106" i="5"/>
  <c r="E14105" i="5"/>
  <c r="E14104" i="5"/>
  <c r="E14103" i="5"/>
  <c r="E14102" i="5"/>
  <c r="E14101" i="5"/>
  <c r="E14100" i="5"/>
  <c r="E14099" i="5"/>
  <c r="E14098" i="5"/>
  <c r="E14097" i="5"/>
  <c r="E14096" i="5"/>
  <c r="E14095" i="5"/>
  <c r="E14094" i="5"/>
  <c r="E14093" i="5"/>
  <c r="E14092" i="5"/>
  <c r="E14091" i="5"/>
  <c r="E14090" i="5"/>
  <c r="E14089" i="5"/>
  <c r="E14088" i="5"/>
  <c r="E14087" i="5"/>
  <c r="E14086" i="5"/>
  <c r="E14085" i="5"/>
  <c r="E14084" i="5"/>
  <c r="E14083" i="5"/>
  <c r="E14082" i="5"/>
  <c r="E14081" i="5"/>
  <c r="E14080" i="5"/>
  <c r="E14079" i="5"/>
  <c r="E14078" i="5"/>
  <c r="E14077" i="5"/>
  <c r="E14076" i="5"/>
  <c r="E14075" i="5"/>
  <c r="E14074" i="5"/>
  <c r="E14073" i="5"/>
  <c r="E14072" i="5"/>
  <c r="E14071" i="5"/>
  <c r="E14070" i="5"/>
  <c r="E14069" i="5"/>
  <c r="E14068" i="5"/>
  <c r="E14067" i="5"/>
  <c r="E14066" i="5"/>
  <c r="E14065" i="5"/>
  <c r="E14064" i="5"/>
  <c r="E14063" i="5"/>
  <c r="E14062" i="5"/>
  <c r="E14061" i="5"/>
  <c r="E14060" i="5"/>
  <c r="E14059" i="5"/>
  <c r="E14058" i="5"/>
  <c r="E14057" i="5"/>
  <c r="E14056" i="5"/>
  <c r="E14055" i="5"/>
  <c r="E14054" i="5"/>
  <c r="E14053" i="5"/>
  <c r="E14052" i="5"/>
  <c r="E14051" i="5"/>
  <c r="E14050" i="5"/>
  <c r="E14049" i="5"/>
  <c r="E14048" i="5"/>
  <c r="E14047" i="5"/>
  <c r="E14046" i="5"/>
  <c r="E14045" i="5"/>
  <c r="E14044" i="5"/>
  <c r="E14043" i="5"/>
  <c r="E14042" i="5"/>
  <c r="E14041" i="5"/>
  <c r="E14040" i="5"/>
  <c r="E14039" i="5"/>
  <c r="E14038" i="5"/>
  <c r="E14037" i="5"/>
  <c r="E14036" i="5"/>
  <c r="E14035" i="5"/>
  <c r="E14034" i="5"/>
  <c r="E14033" i="5"/>
  <c r="E14032" i="5"/>
  <c r="E14031" i="5"/>
  <c r="E14030" i="5"/>
  <c r="E14029" i="5"/>
  <c r="E14028" i="5"/>
  <c r="E14027" i="5"/>
  <c r="E14026" i="5"/>
  <c r="E14025" i="5"/>
  <c r="E14024" i="5"/>
  <c r="E14023" i="5"/>
  <c r="E14022" i="5"/>
  <c r="E14021" i="5"/>
  <c r="E14020" i="5"/>
  <c r="E14019" i="5"/>
  <c r="E14018" i="5"/>
  <c r="E14017" i="5"/>
  <c r="E14016" i="5"/>
  <c r="E14015" i="5"/>
  <c r="E14014" i="5"/>
  <c r="E14013" i="5"/>
  <c r="E14012" i="5"/>
  <c r="E14011" i="5"/>
  <c r="E14010" i="5"/>
  <c r="E14009" i="5"/>
  <c r="E14008" i="5"/>
  <c r="E14007" i="5"/>
  <c r="E14006" i="5"/>
  <c r="E14005" i="5"/>
  <c r="E14004" i="5"/>
  <c r="E14003" i="5"/>
  <c r="E14002" i="5"/>
  <c r="E14001" i="5"/>
  <c r="E14000" i="5"/>
  <c r="E13999" i="5"/>
  <c r="E13998" i="5"/>
  <c r="E13997" i="5"/>
  <c r="E13996" i="5"/>
  <c r="E13995" i="5"/>
  <c r="E13994" i="5"/>
  <c r="E13993" i="5"/>
  <c r="E13992" i="5"/>
  <c r="E13991" i="5"/>
  <c r="E13990" i="5"/>
  <c r="E13989" i="5"/>
  <c r="E13988" i="5"/>
  <c r="E13987" i="5"/>
  <c r="E13986" i="5"/>
  <c r="E13985" i="5"/>
  <c r="E13984" i="5"/>
  <c r="E13983" i="5"/>
  <c r="E13982" i="5"/>
  <c r="E13981" i="5"/>
  <c r="E13980" i="5"/>
  <c r="E13979" i="5"/>
  <c r="E13978" i="5"/>
  <c r="E13977" i="5"/>
  <c r="E13976" i="5"/>
  <c r="E13975" i="5"/>
  <c r="E13974" i="5"/>
  <c r="E13973" i="5"/>
  <c r="E13972" i="5"/>
  <c r="E13971" i="5"/>
  <c r="E13970" i="5"/>
  <c r="E13969" i="5"/>
  <c r="E13968" i="5"/>
  <c r="E13967" i="5"/>
  <c r="E13966" i="5"/>
  <c r="E13965" i="5"/>
  <c r="E13964" i="5"/>
  <c r="E13963" i="5"/>
  <c r="E13962" i="5"/>
  <c r="E13961" i="5"/>
  <c r="E13960" i="5"/>
  <c r="E13959" i="5"/>
  <c r="E13958" i="5"/>
  <c r="E13957" i="5"/>
  <c r="E13956" i="5"/>
  <c r="E13955" i="5"/>
  <c r="E13954" i="5"/>
  <c r="E13953" i="5"/>
  <c r="E13952" i="5"/>
  <c r="E13951" i="5"/>
  <c r="E13950" i="5"/>
  <c r="E13949" i="5"/>
  <c r="E13948" i="5"/>
  <c r="E13947" i="5"/>
  <c r="E13946" i="5"/>
  <c r="E13945" i="5"/>
  <c r="E13944" i="5"/>
  <c r="E13943" i="5"/>
  <c r="E13942" i="5"/>
  <c r="E13941" i="5"/>
  <c r="E13940" i="5"/>
  <c r="E13939" i="5"/>
  <c r="E13938" i="5"/>
  <c r="E13937" i="5"/>
  <c r="E13936" i="5"/>
  <c r="E13935" i="5"/>
  <c r="E13934" i="5"/>
  <c r="E13933" i="5"/>
  <c r="E13932" i="5"/>
  <c r="E13931" i="5"/>
  <c r="E13930" i="5"/>
  <c r="E13929" i="5"/>
  <c r="E13928" i="5"/>
  <c r="E13927" i="5"/>
  <c r="E13926" i="5"/>
  <c r="E13925" i="5"/>
  <c r="E13924" i="5"/>
  <c r="E13923" i="5"/>
  <c r="E13922" i="5"/>
  <c r="E13921" i="5"/>
  <c r="E13920" i="5"/>
  <c r="E13919" i="5"/>
  <c r="E13918" i="5"/>
  <c r="E13917" i="5"/>
  <c r="E13916" i="5"/>
  <c r="E13915" i="5"/>
  <c r="E13914" i="5"/>
  <c r="E13913" i="5"/>
  <c r="E13912" i="5"/>
  <c r="E13911" i="5"/>
  <c r="E13910" i="5"/>
  <c r="E13909" i="5"/>
  <c r="E13908" i="5"/>
  <c r="E13907" i="5"/>
  <c r="E13906" i="5"/>
  <c r="E13905" i="5"/>
  <c r="E13904" i="5"/>
  <c r="E13903" i="5"/>
  <c r="E13902" i="5"/>
  <c r="E13901" i="5"/>
  <c r="E13900" i="5"/>
  <c r="E13899" i="5"/>
  <c r="E13898" i="5"/>
  <c r="E13897" i="5"/>
  <c r="E13896" i="5"/>
  <c r="E13895" i="5"/>
  <c r="E13894" i="5"/>
  <c r="E13893" i="5"/>
  <c r="E13892" i="5"/>
  <c r="E13891" i="5"/>
  <c r="E13890" i="5"/>
  <c r="E13889" i="5"/>
  <c r="E13888" i="5"/>
  <c r="E13887" i="5"/>
  <c r="E13886" i="5"/>
  <c r="E13885" i="5"/>
  <c r="E13884" i="5"/>
  <c r="E13883" i="5"/>
  <c r="E13882" i="5"/>
  <c r="E13881" i="5"/>
  <c r="E13880" i="5"/>
  <c r="E13879" i="5"/>
  <c r="E13878" i="5"/>
  <c r="E13877" i="5"/>
  <c r="E13876" i="5"/>
  <c r="E13875" i="5"/>
  <c r="E13874" i="5"/>
  <c r="E13873" i="5"/>
  <c r="E13872" i="5"/>
  <c r="E13871" i="5"/>
  <c r="E13870" i="5"/>
  <c r="E13869" i="5"/>
  <c r="E13868" i="5"/>
  <c r="E13867" i="5"/>
  <c r="E13866" i="5"/>
  <c r="E13865" i="5"/>
  <c r="E13864" i="5"/>
  <c r="E13863" i="5"/>
  <c r="E13862" i="5"/>
  <c r="E13861" i="5"/>
  <c r="E13860" i="5"/>
  <c r="E13859" i="5"/>
  <c r="E13858" i="5"/>
  <c r="E13857" i="5"/>
  <c r="E13856" i="5"/>
  <c r="E13855" i="5"/>
  <c r="E13854" i="5"/>
  <c r="E13853" i="5"/>
  <c r="E13852" i="5"/>
  <c r="E13851" i="5"/>
  <c r="E13850" i="5"/>
  <c r="E13849" i="5"/>
  <c r="E13848" i="5"/>
  <c r="E13847" i="5"/>
  <c r="E13846" i="5"/>
  <c r="E13845" i="5"/>
  <c r="E13844" i="5"/>
  <c r="E13843" i="5"/>
  <c r="E13842" i="5"/>
  <c r="E13841" i="5"/>
  <c r="E13840" i="5"/>
  <c r="E13839" i="5"/>
  <c r="E13838" i="5"/>
  <c r="E13837" i="5"/>
  <c r="E13836" i="5"/>
  <c r="E13835" i="5"/>
  <c r="E13834" i="5"/>
  <c r="E13833" i="5"/>
  <c r="E13832" i="5"/>
  <c r="E13831" i="5"/>
  <c r="E13830" i="5"/>
  <c r="E13829" i="5"/>
  <c r="E13828" i="5"/>
  <c r="E13827" i="5"/>
  <c r="E13826" i="5"/>
  <c r="E13825" i="5"/>
  <c r="E13824" i="5"/>
  <c r="E13823" i="5"/>
  <c r="E13822" i="5"/>
  <c r="E13821" i="5"/>
  <c r="E13820" i="5"/>
  <c r="E13819" i="5"/>
  <c r="E13818" i="5"/>
  <c r="E13817" i="5"/>
  <c r="E13816" i="5"/>
  <c r="E13815" i="5"/>
  <c r="E13814" i="5"/>
  <c r="E13813" i="5"/>
  <c r="E13812" i="5"/>
  <c r="E13811" i="5"/>
  <c r="E13810" i="5"/>
  <c r="E13809" i="5"/>
  <c r="E13808" i="5"/>
  <c r="E13807" i="5"/>
  <c r="E13806" i="5"/>
  <c r="E13805" i="5"/>
  <c r="E13804" i="5"/>
  <c r="E13803" i="5"/>
  <c r="E13802" i="5"/>
  <c r="E13801" i="5"/>
  <c r="E13800" i="5"/>
  <c r="E13799" i="5"/>
  <c r="E13798" i="5"/>
  <c r="E13797" i="5"/>
  <c r="E13796" i="5"/>
  <c r="E13795" i="5"/>
  <c r="E13794" i="5"/>
  <c r="E13793" i="5"/>
  <c r="E13792" i="5"/>
  <c r="E13791" i="5"/>
  <c r="E13790" i="5"/>
  <c r="E13789" i="5"/>
  <c r="E13788" i="5"/>
  <c r="E13787" i="5"/>
  <c r="E13786" i="5"/>
  <c r="E13785" i="5"/>
  <c r="E13784" i="5"/>
  <c r="E13783" i="5"/>
  <c r="E13782" i="5"/>
  <c r="E13781" i="5"/>
  <c r="E13780" i="5"/>
  <c r="E13779" i="5"/>
  <c r="E13778" i="5"/>
  <c r="E13777" i="5"/>
  <c r="E13776" i="5"/>
  <c r="E13775" i="5"/>
  <c r="E13774" i="5"/>
  <c r="E13773" i="5"/>
  <c r="E13772" i="5"/>
  <c r="E13771" i="5"/>
  <c r="E13770" i="5"/>
  <c r="E13769" i="5"/>
  <c r="E13768" i="5"/>
  <c r="E13767" i="5"/>
  <c r="E13766" i="5"/>
  <c r="E13765" i="5"/>
  <c r="E13764" i="5"/>
  <c r="E13763" i="5"/>
  <c r="E13762" i="5"/>
  <c r="E13761" i="5"/>
  <c r="E13760" i="5"/>
  <c r="E13759" i="5"/>
  <c r="E13758" i="5"/>
  <c r="E13757" i="5"/>
  <c r="E13756" i="5"/>
  <c r="E13755" i="5"/>
  <c r="E13754" i="5"/>
  <c r="E13753" i="5"/>
  <c r="E13752" i="5"/>
  <c r="E13751" i="5"/>
  <c r="E13750" i="5"/>
  <c r="E13749" i="5"/>
  <c r="E13748" i="5"/>
  <c r="E13747" i="5"/>
  <c r="E13746" i="5"/>
  <c r="E13745" i="5"/>
  <c r="E13744" i="5"/>
  <c r="E13743" i="5"/>
  <c r="E13742" i="5"/>
  <c r="E13741" i="5"/>
  <c r="E13740" i="5"/>
  <c r="E13739" i="5"/>
  <c r="E13738" i="5"/>
  <c r="E13737" i="5"/>
  <c r="E13736" i="5"/>
  <c r="E13735" i="5"/>
  <c r="E13734" i="5"/>
  <c r="E13733" i="5"/>
  <c r="E13732" i="5"/>
  <c r="E13731" i="5"/>
  <c r="E13730" i="5"/>
  <c r="E13729" i="5"/>
  <c r="E13728" i="5"/>
  <c r="E13727" i="5"/>
  <c r="E13726" i="5"/>
  <c r="E13725" i="5"/>
  <c r="E13724" i="5"/>
  <c r="E13723" i="5"/>
  <c r="E13722" i="5"/>
  <c r="E13721" i="5"/>
  <c r="E13720" i="5"/>
  <c r="E13719" i="5"/>
  <c r="E13718" i="5"/>
  <c r="E13717" i="5"/>
  <c r="E13716" i="5"/>
  <c r="E13715" i="5"/>
  <c r="E13714" i="5"/>
  <c r="E13713" i="5"/>
  <c r="E13712" i="5"/>
  <c r="E13711" i="5"/>
  <c r="E13710" i="5"/>
  <c r="E13709" i="5"/>
  <c r="E13708" i="5"/>
  <c r="E13707" i="5"/>
  <c r="E13706" i="5"/>
  <c r="E13705" i="5"/>
  <c r="E13704" i="5"/>
  <c r="E13703" i="5"/>
  <c r="E13702" i="5"/>
  <c r="E13701" i="5"/>
  <c r="E13700" i="5"/>
  <c r="E13699" i="5"/>
  <c r="E13698" i="5"/>
  <c r="E13697" i="5"/>
  <c r="E13696" i="5"/>
  <c r="E13695" i="5"/>
  <c r="E13694" i="5"/>
  <c r="E13693" i="5"/>
  <c r="E13692" i="5"/>
  <c r="E13691" i="5"/>
  <c r="E13690" i="5"/>
  <c r="E13689" i="5"/>
  <c r="E13688" i="5"/>
  <c r="E13687" i="5"/>
  <c r="E13686" i="5"/>
  <c r="E13685" i="5"/>
  <c r="E13684" i="5"/>
  <c r="E13683" i="5"/>
  <c r="E13682" i="5"/>
  <c r="E13681" i="5"/>
  <c r="E13680" i="5"/>
  <c r="E13679" i="5"/>
  <c r="E13678" i="5"/>
  <c r="E13677" i="5"/>
  <c r="E13676" i="5"/>
  <c r="E13675" i="5"/>
  <c r="E13674" i="5"/>
  <c r="E13673" i="5"/>
  <c r="E13672" i="5"/>
  <c r="E13671" i="5"/>
  <c r="E13670" i="5"/>
  <c r="E13669" i="5"/>
  <c r="E13668" i="5"/>
  <c r="E13667" i="5"/>
  <c r="E13666" i="5"/>
  <c r="E13665" i="5"/>
  <c r="E13664" i="5"/>
  <c r="E13663" i="5"/>
  <c r="E13662" i="5"/>
  <c r="E13661" i="5"/>
  <c r="E13660" i="5"/>
  <c r="E13659" i="5"/>
  <c r="E13658" i="5"/>
  <c r="E13657" i="5"/>
  <c r="E13656" i="5"/>
  <c r="E13655" i="5"/>
  <c r="E13654" i="5"/>
  <c r="E13653" i="5"/>
  <c r="E13652" i="5"/>
  <c r="E13651" i="5"/>
  <c r="E13650" i="5"/>
  <c r="E13649" i="5"/>
  <c r="E13648" i="5"/>
  <c r="E13647" i="5"/>
  <c r="E13646" i="5"/>
  <c r="E13645" i="5"/>
  <c r="E13644" i="5"/>
  <c r="E13643" i="5"/>
  <c r="E13642" i="5"/>
  <c r="E13641" i="5"/>
  <c r="E13640" i="5"/>
  <c r="E13639" i="5"/>
  <c r="E13638" i="5"/>
  <c r="E13637" i="5"/>
  <c r="E13636" i="5"/>
  <c r="E13635" i="5"/>
  <c r="E13634" i="5"/>
  <c r="E13633" i="5"/>
  <c r="E13632" i="5"/>
  <c r="E13631" i="5"/>
  <c r="E13630" i="5"/>
  <c r="E13629" i="5"/>
  <c r="E13628" i="5"/>
  <c r="E13627" i="5"/>
  <c r="E13626" i="5"/>
  <c r="E13625" i="5"/>
  <c r="E13624" i="5"/>
  <c r="E13623" i="5"/>
  <c r="E13622" i="5"/>
  <c r="E13621" i="5"/>
  <c r="E13620" i="5"/>
  <c r="E13619" i="5"/>
  <c r="E13618" i="5"/>
  <c r="E13617" i="5"/>
  <c r="E13616" i="5"/>
  <c r="E13615" i="5"/>
  <c r="E13614" i="5"/>
  <c r="E13613" i="5"/>
  <c r="E13612" i="5"/>
  <c r="E13611" i="5"/>
  <c r="E13610" i="5"/>
  <c r="E13609" i="5"/>
  <c r="E13608" i="5"/>
  <c r="E13607" i="5"/>
  <c r="E13606" i="5"/>
  <c r="E13605" i="5"/>
  <c r="E13604" i="5"/>
  <c r="E13603" i="5"/>
  <c r="E13602" i="5"/>
  <c r="E13601" i="5"/>
  <c r="E13600" i="5"/>
  <c r="E13599" i="5"/>
  <c r="E13598" i="5"/>
  <c r="E13597" i="5"/>
  <c r="E13596" i="5"/>
  <c r="E13595" i="5"/>
  <c r="E13594" i="5"/>
  <c r="E13593" i="5"/>
  <c r="E13592" i="5"/>
  <c r="E13591" i="5"/>
  <c r="E13590" i="5"/>
  <c r="E13589" i="5"/>
  <c r="E13588" i="5"/>
  <c r="E13587" i="5"/>
  <c r="E13586" i="5"/>
  <c r="E13585" i="5"/>
  <c r="E13584" i="5"/>
  <c r="E13583" i="5"/>
  <c r="E13582" i="5"/>
  <c r="E13581" i="5"/>
  <c r="E13580" i="5"/>
  <c r="E13579" i="5"/>
  <c r="E13578" i="5"/>
  <c r="E13577" i="5"/>
  <c r="E13576" i="5"/>
  <c r="E13575" i="5"/>
  <c r="E13574" i="5"/>
  <c r="E13573" i="5"/>
  <c r="E13572" i="5"/>
  <c r="E13571" i="5"/>
  <c r="E13570" i="5"/>
  <c r="E13569" i="5"/>
  <c r="E13568" i="5"/>
  <c r="E13567" i="5"/>
  <c r="E13566" i="5"/>
  <c r="E13565" i="5"/>
  <c r="E13564" i="5"/>
  <c r="E13563" i="5"/>
  <c r="E13562" i="5"/>
  <c r="E13561" i="5"/>
  <c r="E13560" i="5"/>
  <c r="E13559" i="5"/>
  <c r="E13558" i="5"/>
  <c r="E13557" i="5"/>
  <c r="E13556" i="5"/>
  <c r="E13555" i="5"/>
  <c r="E13554" i="5"/>
  <c r="E13553" i="5"/>
  <c r="E13552" i="5"/>
  <c r="E13551" i="5"/>
  <c r="E13550" i="5"/>
  <c r="E13549" i="5"/>
  <c r="E13548" i="5"/>
  <c r="E13547" i="5"/>
  <c r="E13546" i="5"/>
  <c r="E13545" i="5"/>
  <c r="E13544" i="5"/>
  <c r="E13543" i="5"/>
  <c r="E13542" i="5"/>
  <c r="E13541" i="5"/>
  <c r="E13540" i="5"/>
  <c r="E13539" i="5"/>
  <c r="E13538" i="5"/>
  <c r="E13537" i="5"/>
  <c r="E13536" i="5"/>
  <c r="E13535" i="5"/>
  <c r="E13534" i="5"/>
  <c r="E13533" i="5"/>
  <c r="E13532" i="5"/>
  <c r="E13531" i="5"/>
  <c r="E13530" i="5"/>
  <c r="E13529" i="5"/>
  <c r="E13528" i="5"/>
  <c r="E13527" i="5"/>
  <c r="E13526" i="5"/>
  <c r="E13525" i="5"/>
  <c r="E13524" i="5"/>
  <c r="E13523" i="5"/>
  <c r="E13522" i="5"/>
  <c r="E13521" i="5"/>
  <c r="E13520" i="5"/>
  <c r="E13519" i="5"/>
  <c r="E13518" i="5"/>
  <c r="E13517" i="5"/>
  <c r="E13516" i="5"/>
  <c r="E13515" i="5"/>
  <c r="E13514" i="5"/>
  <c r="E13513" i="5"/>
  <c r="E13512" i="5"/>
  <c r="E13511" i="5"/>
  <c r="E13510" i="5"/>
  <c r="E13509" i="5"/>
  <c r="E13508" i="5"/>
  <c r="E13507" i="5"/>
  <c r="E13506" i="5"/>
  <c r="E13505" i="5"/>
  <c r="E13504" i="5"/>
  <c r="E13503" i="5"/>
  <c r="E13502" i="5"/>
  <c r="E13501" i="5"/>
  <c r="E13500" i="5"/>
  <c r="E13499" i="5"/>
  <c r="E13498" i="5"/>
  <c r="E13497" i="5"/>
  <c r="E13496" i="5"/>
  <c r="E13495" i="5"/>
  <c r="E13494" i="5"/>
  <c r="E13493" i="5"/>
  <c r="E13492" i="5"/>
  <c r="E13491" i="5"/>
  <c r="E13490" i="5"/>
  <c r="E13489" i="5"/>
  <c r="E13488" i="5"/>
  <c r="E13487" i="5"/>
  <c r="E13486" i="5"/>
  <c r="E13485" i="5"/>
  <c r="E13484" i="5"/>
  <c r="E13483" i="5"/>
  <c r="E13482" i="5"/>
  <c r="E13481" i="5"/>
  <c r="E13480" i="5"/>
  <c r="E13479" i="5"/>
  <c r="E13478" i="5"/>
  <c r="E13477" i="5"/>
  <c r="E13476" i="5"/>
  <c r="E13475" i="5"/>
  <c r="E13474" i="5"/>
  <c r="E13473" i="5"/>
  <c r="E13472" i="5"/>
  <c r="E13471" i="5"/>
  <c r="E13470" i="5"/>
  <c r="E13469" i="5"/>
  <c r="E13468" i="5"/>
  <c r="E13467" i="5"/>
  <c r="E13466" i="5"/>
  <c r="E13465" i="5"/>
  <c r="E13464" i="5"/>
  <c r="E13463" i="5"/>
  <c r="E13462" i="5"/>
  <c r="E13461" i="5"/>
  <c r="E13460" i="5"/>
  <c r="E13459" i="5"/>
  <c r="E13458" i="5"/>
  <c r="E13457" i="5"/>
  <c r="E13456" i="5"/>
  <c r="E13455" i="5"/>
  <c r="E13454" i="5"/>
  <c r="E13453" i="5"/>
  <c r="E13452" i="5"/>
  <c r="E13451" i="5"/>
  <c r="E13450" i="5"/>
  <c r="E13449" i="5"/>
  <c r="E13448" i="5"/>
  <c r="E13447" i="5"/>
  <c r="E13446" i="5"/>
  <c r="E13445" i="5"/>
  <c r="E13444" i="5"/>
  <c r="E13443" i="5"/>
  <c r="E13442" i="5"/>
  <c r="E13441" i="5"/>
  <c r="E13440" i="5"/>
  <c r="E13439" i="5"/>
  <c r="E13438" i="5"/>
  <c r="E13437" i="5"/>
  <c r="E13436" i="5"/>
  <c r="E13435" i="5"/>
  <c r="E13434" i="5"/>
  <c r="E13433" i="5"/>
  <c r="E13432" i="5"/>
  <c r="E13431" i="5"/>
  <c r="E13430" i="5"/>
  <c r="E13429" i="5"/>
  <c r="E13428" i="5"/>
  <c r="E13427" i="5"/>
  <c r="E13426" i="5"/>
  <c r="E13425" i="5"/>
  <c r="E13424" i="5"/>
  <c r="E13423" i="5"/>
  <c r="E13422" i="5"/>
  <c r="E13421" i="5"/>
  <c r="E13420" i="5"/>
  <c r="E13419" i="5"/>
  <c r="E13418" i="5"/>
  <c r="E13417" i="5"/>
  <c r="E13416" i="5"/>
  <c r="E13415" i="5"/>
  <c r="E13414" i="5"/>
  <c r="E13413" i="5"/>
  <c r="E13412" i="5"/>
  <c r="E13411" i="5"/>
  <c r="E13410" i="5"/>
  <c r="E13409" i="5"/>
  <c r="E13408" i="5"/>
  <c r="E13407" i="5"/>
  <c r="E13406" i="5"/>
  <c r="E13405" i="5"/>
  <c r="E13404" i="5"/>
  <c r="E13403" i="5"/>
  <c r="E13402" i="5"/>
  <c r="E13401" i="5"/>
  <c r="E13400" i="5"/>
  <c r="E13399" i="5"/>
  <c r="E13398" i="5"/>
  <c r="E13397" i="5"/>
  <c r="E13396" i="5"/>
  <c r="E13395" i="5"/>
  <c r="E13394" i="5"/>
  <c r="E13393" i="5"/>
  <c r="E13392" i="5"/>
  <c r="E13391" i="5"/>
  <c r="E13390" i="5"/>
  <c r="E13389" i="5"/>
  <c r="E13388" i="5"/>
  <c r="E13387" i="5"/>
  <c r="E13386" i="5"/>
  <c r="E13385" i="5"/>
  <c r="E13384" i="5"/>
  <c r="E13383" i="5"/>
  <c r="E13382" i="5"/>
  <c r="E13381" i="5"/>
  <c r="E13380" i="5"/>
  <c r="E13379" i="5"/>
  <c r="E13378" i="5"/>
  <c r="E13377" i="5"/>
  <c r="E13376" i="5"/>
  <c r="E13375" i="5"/>
  <c r="E13374" i="5"/>
  <c r="E13373" i="5"/>
  <c r="E13372" i="5"/>
  <c r="E13371" i="5"/>
  <c r="E13370" i="5"/>
  <c r="E13369" i="5"/>
  <c r="E13368" i="5"/>
  <c r="E13367" i="5"/>
  <c r="E13366" i="5"/>
  <c r="E13365" i="5"/>
  <c r="E13364" i="5"/>
  <c r="E13363" i="5"/>
  <c r="E13362" i="5"/>
  <c r="E13361" i="5"/>
  <c r="E13360" i="5"/>
  <c r="E13359" i="5"/>
  <c r="E13358" i="5"/>
  <c r="E13357" i="5"/>
  <c r="E13356" i="5"/>
  <c r="E13355" i="5"/>
  <c r="E13354" i="5"/>
  <c r="E13353" i="5"/>
  <c r="E13352" i="5"/>
  <c r="E13351" i="5"/>
  <c r="E13350" i="5"/>
  <c r="E13349" i="5"/>
  <c r="E13348" i="5"/>
  <c r="E13347" i="5"/>
  <c r="E13346" i="5"/>
  <c r="E13345" i="5"/>
  <c r="E13344" i="5"/>
  <c r="E13343" i="5"/>
  <c r="E13342" i="5"/>
  <c r="E13341" i="5"/>
  <c r="E13340" i="5"/>
  <c r="E13339" i="5"/>
  <c r="E13338" i="5"/>
  <c r="E13337" i="5"/>
  <c r="E13336" i="5"/>
  <c r="E13335" i="5"/>
  <c r="E13334" i="5"/>
  <c r="E13333" i="5"/>
  <c r="E13332" i="5"/>
  <c r="E13331" i="5"/>
  <c r="E13330" i="5"/>
  <c r="E13329" i="5"/>
  <c r="E13328" i="5"/>
  <c r="E13327" i="5"/>
  <c r="E13326" i="5"/>
  <c r="E13325" i="5"/>
  <c r="E13324" i="5"/>
  <c r="E13323" i="5"/>
  <c r="E13322" i="5"/>
  <c r="E13321" i="5"/>
  <c r="E13320" i="5"/>
  <c r="E13319" i="5"/>
  <c r="E13318" i="5"/>
  <c r="E13317" i="5"/>
  <c r="E13316" i="5"/>
  <c r="E13315" i="5"/>
  <c r="E13314" i="5"/>
  <c r="E13313" i="5"/>
  <c r="E13312" i="5"/>
  <c r="E13311" i="5"/>
  <c r="E13310" i="5"/>
  <c r="E13309" i="5"/>
  <c r="E13308" i="5"/>
  <c r="E13307" i="5"/>
  <c r="E13306" i="5"/>
  <c r="E13305" i="5"/>
  <c r="E13304" i="5"/>
  <c r="E13303" i="5"/>
  <c r="E13302" i="5"/>
  <c r="E13301" i="5"/>
  <c r="E13300" i="5"/>
  <c r="E13299" i="5"/>
  <c r="E13298" i="5"/>
  <c r="E13297" i="5"/>
  <c r="E13296" i="5"/>
  <c r="E13295" i="5"/>
  <c r="E13294" i="5"/>
  <c r="E13293" i="5"/>
  <c r="E13292" i="5"/>
  <c r="E13291" i="5"/>
  <c r="E13290" i="5"/>
  <c r="E13289" i="5"/>
  <c r="E13288" i="5"/>
  <c r="E13287" i="5"/>
  <c r="E13286" i="5"/>
  <c r="E13285" i="5"/>
  <c r="E13284" i="5"/>
  <c r="E13283" i="5"/>
  <c r="E13282" i="5"/>
  <c r="E13281" i="5"/>
  <c r="E13280" i="5"/>
  <c r="E13279" i="5"/>
  <c r="E13278" i="5"/>
  <c r="E13277" i="5"/>
  <c r="E13276" i="5"/>
  <c r="E13275" i="5"/>
  <c r="E13274" i="5"/>
  <c r="E13273" i="5"/>
  <c r="E13272" i="5"/>
  <c r="E13271" i="5"/>
  <c r="E13270" i="5"/>
  <c r="E13269" i="5"/>
  <c r="E13268" i="5"/>
  <c r="E13267" i="5"/>
  <c r="E13266" i="5"/>
  <c r="E13265" i="5"/>
  <c r="E13264" i="5"/>
  <c r="E13263" i="5"/>
  <c r="E13262" i="5"/>
  <c r="E13261" i="5"/>
  <c r="E13260" i="5"/>
  <c r="E13259" i="5"/>
  <c r="E13258" i="5"/>
  <c r="E13257" i="5"/>
  <c r="E13256" i="5"/>
  <c r="E13255" i="5"/>
  <c r="E13254" i="5"/>
  <c r="E13253" i="5"/>
  <c r="E13252" i="5"/>
  <c r="E13251" i="5"/>
  <c r="E13250" i="5"/>
  <c r="E13249" i="5"/>
  <c r="E13248" i="5"/>
  <c r="E13247" i="5"/>
  <c r="E13246" i="5"/>
  <c r="E13245" i="5"/>
  <c r="E13244" i="5"/>
  <c r="E13243" i="5"/>
  <c r="E13242" i="5"/>
  <c r="E13241" i="5"/>
  <c r="E13240" i="5"/>
  <c r="E13239" i="5"/>
  <c r="E13238" i="5"/>
  <c r="E13237" i="5"/>
  <c r="E13236" i="5"/>
  <c r="E13235" i="5"/>
  <c r="E13234" i="5"/>
  <c r="E13233" i="5"/>
  <c r="E13232" i="5"/>
  <c r="E13231" i="5"/>
  <c r="E13230" i="5"/>
  <c r="E13229" i="5"/>
  <c r="E13228" i="5"/>
  <c r="E13227" i="5"/>
  <c r="E13226" i="5"/>
  <c r="E13225" i="5"/>
  <c r="E13224" i="5"/>
  <c r="E13223" i="5"/>
  <c r="E13222" i="5"/>
  <c r="E13221" i="5"/>
  <c r="E13220" i="5"/>
  <c r="E13219" i="5"/>
  <c r="E13218" i="5"/>
  <c r="E13217" i="5"/>
  <c r="E13216" i="5"/>
  <c r="E13215" i="5"/>
  <c r="E13214" i="5"/>
  <c r="E13213" i="5"/>
  <c r="E13212" i="5"/>
  <c r="E13211" i="5"/>
  <c r="E13210" i="5"/>
  <c r="E13209" i="5"/>
  <c r="E13208" i="5"/>
  <c r="E13207" i="5"/>
  <c r="E13206" i="5"/>
  <c r="E13205" i="5"/>
  <c r="E13204" i="5"/>
  <c r="E13203" i="5"/>
  <c r="E13202" i="5"/>
  <c r="E13201" i="5"/>
  <c r="E13200" i="5"/>
  <c r="E13199" i="5"/>
  <c r="E13198" i="5"/>
  <c r="E13197" i="5"/>
  <c r="E13196" i="5"/>
  <c r="E13195" i="5"/>
  <c r="E13194" i="5"/>
  <c r="E13193" i="5"/>
  <c r="E13192" i="5"/>
  <c r="E13191" i="5"/>
  <c r="E13190" i="5"/>
  <c r="E13189" i="5"/>
  <c r="E13188" i="5"/>
  <c r="E13187" i="5"/>
  <c r="E13186" i="5"/>
  <c r="E13185" i="5"/>
  <c r="E13184" i="5"/>
  <c r="E13183" i="5"/>
  <c r="E13182" i="5"/>
  <c r="E13181" i="5"/>
  <c r="E13180" i="5"/>
  <c r="E13179" i="5"/>
  <c r="E13178" i="5"/>
  <c r="E13177" i="5"/>
  <c r="E13176" i="5"/>
  <c r="E13175" i="5"/>
  <c r="E13174" i="5"/>
  <c r="E13173" i="5"/>
  <c r="E13172" i="5"/>
  <c r="E13171" i="5"/>
  <c r="E13170" i="5"/>
  <c r="E13169" i="5"/>
  <c r="E13168" i="5"/>
  <c r="E13167" i="5"/>
  <c r="E13166" i="5"/>
  <c r="E13165" i="5"/>
  <c r="E13164" i="5"/>
  <c r="E13163" i="5"/>
  <c r="E13162" i="5"/>
  <c r="E13161" i="5"/>
  <c r="E13160" i="5"/>
  <c r="E13159" i="5"/>
  <c r="E13158" i="5"/>
  <c r="E13157" i="5"/>
  <c r="E13156" i="5"/>
  <c r="E13155" i="5"/>
  <c r="E13154" i="5"/>
  <c r="E13153" i="5"/>
  <c r="E13152" i="5"/>
  <c r="E13151" i="5"/>
  <c r="E13150" i="5"/>
  <c r="E13149" i="5"/>
  <c r="E13148" i="5"/>
  <c r="E13147" i="5"/>
  <c r="E13146" i="5"/>
  <c r="E13145" i="5"/>
  <c r="E13144" i="5"/>
  <c r="E13143" i="5"/>
  <c r="E13142" i="5"/>
  <c r="E13141" i="5"/>
  <c r="E13140" i="5"/>
  <c r="E13139" i="5"/>
  <c r="E13138" i="5"/>
  <c r="E13137" i="5"/>
  <c r="E13136" i="5"/>
  <c r="E13135" i="5"/>
  <c r="E13134" i="5"/>
  <c r="E13133" i="5"/>
  <c r="E13132" i="5"/>
  <c r="E13131" i="5"/>
  <c r="E13130" i="5"/>
  <c r="E13129" i="5"/>
  <c r="E13128" i="5"/>
  <c r="E13127" i="5"/>
  <c r="E13126" i="5"/>
  <c r="E13125" i="5"/>
  <c r="E13124" i="5"/>
  <c r="E13123" i="5"/>
  <c r="E13122" i="5"/>
  <c r="E13121" i="5"/>
  <c r="E13120" i="5"/>
  <c r="E13119" i="5"/>
  <c r="E13118" i="5"/>
  <c r="E13117" i="5"/>
  <c r="E13116" i="5"/>
  <c r="E13115" i="5"/>
  <c r="E13114" i="5"/>
  <c r="E13113" i="5"/>
  <c r="E13112" i="5"/>
  <c r="E13111" i="5"/>
  <c r="E13110" i="5"/>
  <c r="E13109" i="5"/>
  <c r="E13108" i="5"/>
  <c r="E13107" i="5"/>
  <c r="E13106" i="5"/>
  <c r="E13105" i="5"/>
  <c r="E13104" i="5"/>
  <c r="E13103" i="5"/>
  <c r="E13102" i="5"/>
  <c r="E13101" i="5"/>
  <c r="E13100" i="5"/>
  <c r="E13099" i="5"/>
  <c r="E13098" i="5"/>
  <c r="E13097" i="5"/>
  <c r="E13096" i="5"/>
  <c r="E13095" i="5"/>
  <c r="E13094" i="5"/>
  <c r="E13093" i="5"/>
  <c r="E13092" i="5"/>
  <c r="E13091" i="5"/>
  <c r="E13090" i="5"/>
  <c r="E13089" i="5"/>
  <c r="E13088" i="5"/>
  <c r="E13087" i="5"/>
  <c r="E13086" i="5"/>
  <c r="E13085" i="5"/>
  <c r="E13084" i="5"/>
  <c r="E13083" i="5"/>
  <c r="E13082" i="5"/>
  <c r="E13081" i="5"/>
  <c r="E13080" i="5"/>
  <c r="E13079" i="5"/>
  <c r="E13078" i="5"/>
  <c r="E13077" i="5"/>
  <c r="E13076" i="5"/>
  <c r="E13075" i="5"/>
  <c r="E13074" i="5"/>
  <c r="E13073" i="5"/>
  <c r="E13072" i="5"/>
  <c r="E13071" i="5"/>
  <c r="E13070" i="5"/>
  <c r="E13069" i="5"/>
  <c r="E13068" i="5"/>
  <c r="E13067" i="5"/>
  <c r="E13066" i="5"/>
  <c r="E13065" i="5"/>
  <c r="E13064" i="5"/>
  <c r="E13063" i="5"/>
  <c r="E13062" i="5"/>
  <c r="E13061" i="5"/>
  <c r="E13060" i="5"/>
  <c r="E13059" i="5"/>
  <c r="E13058" i="5"/>
  <c r="E13057" i="5"/>
  <c r="E13056" i="5"/>
  <c r="E13055" i="5"/>
  <c r="E13054" i="5"/>
  <c r="E13053" i="5"/>
  <c r="E13052" i="5"/>
  <c r="E13051" i="5"/>
  <c r="E13050" i="5"/>
  <c r="E13049" i="5"/>
  <c r="E13048" i="5"/>
  <c r="E13047" i="5"/>
  <c r="E13046" i="5"/>
  <c r="E13045" i="5"/>
  <c r="E13044" i="5"/>
  <c r="E13043" i="5"/>
  <c r="E13042" i="5"/>
  <c r="E13041" i="5"/>
  <c r="E13040" i="5"/>
  <c r="E13039" i="5"/>
  <c r="E13038" i="5"/>
  <c r="E13037" i="5"/>
  <c r="E13036" i="5"/>
  <c r="E13035" i="5"/>
  <c r="E13034" i="5"/>
  <c r="E13033" i="5"/>
  <c r="E13032" i="5"/>
  <c r="E13031" i="5"/>
  <c r="E13030" i="5"/>
  <c r="E13029" i="5"/>
  <c r="E13028" i="5"/>
  <c r="E13027" i="5"/>
  <c r="E13026" i="5"/>
  <c r="E13025" i="5"/>
  <c r="E13024" i="5"/>
  <c r="E13023" i="5"/>
  <c r="E13022" i="5"/>
  <c r="E13021" i="5"/>
  <c r="E13020" i="5"/>
  <c r="E13019" i="5"/>
  <c r="E13018" i="5"/>
  <c r="E13017" i="5"/>
  <c r="E13016" i="5"/>
  <c r="E13015" i="5"/>
  <c r="E13014" i="5"/>
  <c r="E13013" i="5"/>
  <c r="E13012" i="5"/>
  <c r="E13011" i="5"/>
  <c r="E13010" i="5"/>
  <c r="E13009" i="5"/>
  <c r="E13008" i="5"/>
  <c r="E13007" i="5"/>
  <c r="E13006" i="5"/>
  <c r="E13005" i="5"/>
  <c r="E13004" i="5"/>
  <c r="E13003" i="5"/>
  <c r="E13002" i="5"/>
  <c r="E13001" i="5"/>
  <c r="E13000" i="5"/>
  <c r="E12999" i="5"/>
  <c r="E12998" i="5"/>
  <c r="E12997" i="5"/>
  <c r="E12996" i="5"/>
  <c r="E12995" i="5"/>
  <c r="E12994" i="5"/>
  <c r="E12993" i="5"/>
  <c r="E12992" i="5"/>
  <c r="E12991" i="5"/>
  <c r="E12990" i="5"/>
  <c r="E12989" i="5"/>
  <c r="E12988" i="5"/>
  <c r="E12987" i="5"/>
  <c r="E12986" i="5"/>
  <c r="E12985" i="5"/>
  <c r="E12984" i="5"/>
  <c r="E12983" i="5"/>
  <c r="E12982" i="5"/>
  <c r="E12981" i="5"/>
  <c r="E12980" i="5"/>
  <c r="E12979" i="5"/>
  <c r="E12978" i="5"/>
  <c r="E12977" i="5"/>
  <c r="E12976" i="5"/>
  <c r="E12975" i="5"/>
  <c r="E12974" i="5"/>
  <c r="E12973" i="5"/>
  <c r="E12972" i="5"/>
  <c r="E12971" i="5"/>
  <c r="E12970" i="5"/>
  <c r="E12969" i="5"/>
  <c r="E12968" i="5"/>
  <c r="E12967" i="5"/>
  <c r="E12966" i="5"/>
  <c r="E12965" i="5"/>
  <c r="E12964" i="5"/>
  <c r="E12963" i="5"/>
  <c r="E12962" i="5"/>
  <c r="E12961" i="5"/>
  <c r="E12960" i="5"/>
  <c r="E12959" i="5"/>
  <c r="E12958" i="5"/>
  <c r="E12957" i="5"/>
  <c r="E12956" i="5"/>
  <c r="E12955" i="5"/>
  <c r="E12954" i="5"/>
  <c r="E12953" i="5"/>
  <c r="E12952" i="5"/>
  <c r="E12951" i="5"/>
  <c r="E12950" i="5"/>
  <c r="E12949" i="5"/>
  <c r="E12948" i="5"/>
  <c r="E12947" i="5"/>
  <c r="E12946" i="5"/>
  <c r="E12945" i="5"/>
  <c r="E12944" i="5"/>
  <c r="E12943" i="5"/>
  <c r="E12942" i="5"/>
  <c r="E12941" i="5"/>
  <c r="E12940" i="5"/>
  <c r="E12939" i="5"/>
  <c r="E12938" i="5"/>
  <c r="E12937" i="5"/>
  <c r="E12936" i="5"/>
  <c r="E12935" i="5"/>
  <c r="E12934" i="5"/>
  <c r="E12933" i="5"/>
  <c r="E12932" i="5"/>
  <c r="E12931" i="5"/>
  <c r="E12930" i="5"/>
  <c r="E12929" i="5"/>
  <c r="E12928" i="5"/>
  <c r="E12927" i="5"/>
  <c r="E12926" i="5"/>
  <c r="E12925" i="5"/>
  <c r="E12924" i="5"/>
  <c r="E12923" i="5"/>
  <c r="E12922" i="5"/>
  <c r="E12921" i="5"/>
  <c r="E12920" i="5"/>
  <c r="E12919" i="5"/>
  <c r="E12918" i="5"/>
  <c r="E12917" i="5"/>
  <c r="E12916" i="5"/>
  <c r="E12915" i="5"/>
  <c r="E12914" i="5"/>
  <c r="E12913" i="5"/>
  <c r="E12912" i="5"/>
  <c r="E12911" i="5"/>
  <c r="E12910" i="5"/>
  <c r="E12909" i="5"/>
  <c r="E12908" i="5"/>
  <c r="E12907" i="5"/>
  <c r="E12906" i="5"/>
  <c r="E12905" i="5"/>
  <c r="E12904" i="5"/>
  <c r="E12903" i="5"/>
  <c r="E12902" i="5"/>
  <c r="E12901" i="5"/>
  <c r="E12900" i="5"/>
  <c r="E12899" i="5"/>
  <c r="E12898" i="5"/>
  <c r="E12897" i="5"/>
  <c r="E12896" i="5"/>
  <c r="E12895" i="5"/>
  <c r="E12894" i="5"/>
  <c r="E12893" i="5"/>
  <c r="E12892" i="5"/>
  <c r="E12891" i="5"/>
  <c r="E12890" i="5"/>
  <c r="E12889" i="5"/>
  <c r="E12888" i="5"/>
  <c r="E12887" i="5"/>
  <c r="E12886" i="5"/>
  <c r="E12885" i="5"/>
  <c r="E12884" i="5"/>
  <c r="E12883" i="5"/>
  <c r="E12882" i="5"/>
  <c r="E12881" i="5"/>
  <c r="E12880" i="5"/>
  <c r="E12879" i="5"/>
  <c r="E12878" i="5"/>
  <c r="E12877" i="5"/>
  <c r="E12876" i="5"/>
  <c r="E12875" i="5"/>
  <c r="E12874" i="5"/>
  <c r="E12873" i="5"/>
  <c r="E12872" i="5"/>
  <c r="E12871" i="5"/>
  <c r="E12870" i="5"/>
  <c r="E12869" i="5"/>
  <c r="E12868" i="5"/>
  <c r="E12867" i="5"/>
  <c r="E12866" i="5"/>
  <c r="E12865" i="5"/>
  <c r="E12864" i="5"/>
  <c r="E12863" i="5"/>
  <c r="E12862" i="5"/>
  <c r="E12861" i="5"/>
  <c r="E12860" i="5"/>
  <c r="E12859" i="5"/>
  <c r="E12858" i="5"/>
  <c r="E12857" i="5"/>
  <c r="E12856" i="5"/>
  <c r="E12855" i="5"/>
  <c r="E12854" i="5"/>
  <c r="E12853" i="5"/>
  <c r="E12852" i="5"/>
  <c r="E12851" i="5"/>
  <c r="E12850" i="5"/>
  <c r="E12849" i="5"/>
  <c r="E12848" i="5"/>
  <c r="E12847" i="5"/>
  <c r="E12846" i="5"/>
  <c r="E12845" i="5"/>
  <c r="E12844" i="5"/>
  <c r="E12843" i="5"/>
  <c r="E12842" i="5"/>
  <c r="E12841" i="5"/>
  <c r="E12840" i="5"/>
  <c r="E12839" i="5"/>
  <c r="E12838" i="5"/>
  <c r="E12837" i="5"/>
  <c r="E12836" i="5"/>
  <c r="E12835" i="5"/>
  <c r="E12834" i="5"/>
  <c r="E12833" i="5"/>
  <c r="E12832" i="5"/>
  <c r="E12831" i="5"/>
  <c r="E12830" i="5"/>
  <c r="E12829" i="5"/>
  <c r="E12828" i="5"/>
  <c r="E12827" i="5"/>
  <c r="E12826" i="5"/>
  <c r="E12825" i="5"/>
  <c r="E12824" i="5"/>
  <c r="E12823" i="5"/>
  <c r="E12822" i="5"/>
  <c r="E12821" i="5"/>
  <c r="E12820" i="5"/>
  <c r="E12819" i="5"/>
  <c r="E12818" i="5"/>
  <c r="E12817" i="5"/>
  <c r="E12816" i="5"/>
  <c r="E12815" i="5"/>
  <c r="E12814" i="5"/>
  <c r="E12813" i="5"/>
  <c r="E12812" i="5"/>
  <c r="E12811" i="5"/>
  <c r="E12810" i="5"/>
  <c r="E12809" i="5"/>
  <c r="E12808" i="5"/>
  <c r="E12807" i="5"/>
  <c r="E12806" i="5"/>
  <c r="E12805" i="5"/>
  <c r="E12804" i="5"/>
  <c r="E12803" i="5"/>
  <c r="E12802" i="5"/>
  <c r="E12801" i="5"/>
  <c r="E12800" i="5"/>
  <c r="E12799" i="5"/>
  <c r="E12798" i="5"/>
  <c r="E12797" i="5"/>
  <c r="E12796" i="5"/>
  <c r="E12795" i="5"/>
  <c r="E12794" i="5"/>
  <c r="E12793" i="5"/>
  <c r="E12792" i="5"/>
  <c r="E12791" i="5"/>
  <c r="E12790" i="5"/>
  <c r="E12789" i="5"/>
  <c r="E12788" i="5"/>
  <c r="E12787" i="5"/>
  <c r="E12786" i="5"/>
  <c r="E12785" i="5"/>
  <c r="E12784" i="5"/>
  <c r="E12783" i="5"/>
  <c r="E12782" i="5"/>
  <c r="E12781" i="5"/>
  <c r="E12780" i="5"/>
  <c r="E12779" i="5"/>
  <c r="E12778" i="5"/>
  <c r="E12777" i="5"/>
  <c r="E12776" i="5"/>
  <c r="E12775" i="5"/>
  <c r="E12774" i="5"/>
  <c r="E12773" i="5"/>
  <c r="E12772" i="5"/>
  <c r="E12771" i="5"/>
  <c r="E12770" i="5"/>
  <c r="E12769" i="5"/>
  <c r="E12768" i="5"/>
  <c r="E12767" i="5"/>
  <c r="E12766" i="5"/>
  <c r="E12765" i="5"/>
  <c r="E12764" i="5"/>
  <c r="E12763" i="5"/>
  <c r="E12762" i="5"/>
  <c r="E12761" i="5"/>
  <c r="E12760" i="5"/>
  <c r="E12759" i="5"/>
  <c r="E12758" i="5"/>
  <c r="E12757" i="5"/>
  <c r="E12756" i="5"/>
  <c r="E12755" i="5"/>
  <c r="E12754" i="5"/>
  <c r="E12753" i="5"/>
  <c r="E12752" i="5"/>
  <c r="E12751" i="5"/>
  <c r="E12750" i="5"/>
  <c r="E12749" i="5"/>
  <c r="E12748" i="5"/>
  <c r="E12747" i="5"/>
  <c r="E12746" i="5"/>
  <c r="E12745" i="5"/>
  <c r="E12744" i="5"/>
  <c r="E12743" i="5"/>
  <c r="E12742" i="5"/>
  <c r="E12741" i="5"/>
  <c r="E12740" i="5"/>
  <c r="E12739" i="5"/>
  <c r="E12738" i="5"/>
  <c r="E12737" i="5"/>
  <c r="E12736" i="5"/>
  <c r="E12735" i="5"/>
  <c r="E12734" i="5"/>
  <c r="E12733" i="5"/>
  <c r="E12732" i="5"/>
  <c r="E12731" i="5"/>
  <c r="E12730" i="5"/>
  <c r="E12729" i="5"/>
  <c r="E12728" i="5"/>
  <c r="E12727" i="5"/>
  <c r="E12726" i="5"/>
  <c r="E12725" i="5"/>
  <c r="E12724" i="5"/>
  <c r="E12723" i="5"/>
  <c r="E12722" i="5"/>
  <c r="E12721" i="5"/>
  <c r="E12720" i="5"/>
  <c r="E12719" i="5"/>
  <c r="E12718" i="5"/>
  <c r="E12717" i="5"/>
  <c r="E12716" i="5"/>
  <c r="E12715" i="5"/>
  <c r="E12714" i="5"/>
  <c r="E12713" i="5"/>
  <c r="E12712" i="5"/>
  <c r="E12711" i="5"/>
  <c r="E12710" i="5"/>
  <c r="E12709" i="5"/>
  <c r="E12708" i="5"/>
  <c r="E12707" i="5"/>
  <c r="E12706" i="5"/>
  <c r="E12705" i="5"/>
  <c r="E12704" i="5"/>
  <c r="E12703" i="5"/>
  <c r="E12702" i="5"/>
  <c r="E12701" i="5"/>
  <c r="E12700" i="5"/>
  <c r="E12699" i="5"/>
  <c r="E12698" i="5"/>
  <c r="E12697" i="5"/>
  <c r="E12696" i="5"/>
  <c r="E12695" i="5"/>
  <c r="E12694" i="5"/>
  <c r="E12693" i="5"/>
  <c r="E12692" i="5"/>
  <c r="E12691" i="5"/>
  <c r="E12690" i="5"/>
  <c r="E12689" i="5"/>
  <c r="E12688" i="5"/>
  <c r="E12687" i="5"/>
  <c r="E12686" i="5"/>
  <c r="E12685" i="5"/>
  <c r="E12684" i="5"/>
  <c r="E12683" i="5"/>
  <c r="E12682" i="5"/>
  <c r="E12681" i="5"/>
  <c r="E12680" i="5"/>
  <c r="E12679" i="5"/>
  <c r="E12678" i="5"/>
  <c r="E12677" i="5"/>
  <c r="E12676" i="5"/>
  <c r="E12675" i="5"/>
  <c r="E12674" i="5"/>
  <c r="E12673" i="5"/>
  <c r="E12672" i="5"/>
  <c r="E12671" i="5"/>
  <c r="E12670" i="5"/>
  <c r="E12669" i="5"/>
  <c r="E12668" i="5"/>
  <c r="E12667" i="5"/>
  <c r="E12666" i="5"/>
  <c r="E12665" i="5"/>
  <c r="E12664" i="5"/>
  <c r="E12663" i="5"/>
  <c r="E12662" i="5"/>
  <c r="E12661" i="5"/>
  <c r="E12660" i="5"/>
  <c r="E12659" i="5"/>
  <c r="E12658" i="5"/>
  <c r="E12657" i="5"/>
  <c r="E12656" i="5"/>
  <c r="E12655" i="5"/>
  <c r="E12654" i="5"/>
  <c r="E12653" i="5"/>
  <c r="E12652" i="5"/>
  <c r="E12651" i="5"/>
  <c r="E12650" i="5"/>
  <c r="E12649" i="5"/>
  <c r="E12648" i="5"/>
  <c r="E12647" i="5"/>
  <c r="E12646" i="5"/>
  <c r="E12645" i="5"/>
  <c r="E12644" i="5"/>
  <c r="E12643" i="5"/>
  <c r="E12642" i="5"/>
  <c r="E12641" i="5"/>
  <c r="E12640" i="5"/>
  <c r="E12639" i="5"/>
  <c r="E12638" i="5"/>
  <c r="E12637" i="5"/>
  <c r="E12636" i="5"/>
  <c r="E12635" i="5"/>
  <c r="E12634" i="5"/>
  <c r="E12633" i="5"/>
  <c r="E12632" i="5"/>
  <c r="E12631" i="5"/>
  <c r="E12630" i="5"/>
  <c r="E12629" i="5"/>
  <c r="E12628" i="5"/>
  <c r="E12627" i="5"/>
  <c r="E12626" i="5"/>
  <c r="E12625" i="5"/>
  <c r="E12624" i="5"/>
  <c r="E12623" i="5"/>
  <c r="E12622" i="5"/>
  <c r="E12621" i="5"/>
  <c r="E12620" i="5"/>
  <c r="E12619" i="5"/>
  <c r="E12618" i="5"/>
  <c r="E12617" i="5"/>
  <c r="E12616" i="5"/>
  <c r="E12615" i="5"/>
  <c r="E12614" i="5"/>
  <c r="E12613" i="5"/>
  <c r="E12612" i="5"/>
  <c r="E12611" i="5"/>
  <c r="E12610" i="5"/>
  <c r="E12609" i="5"/>
  <c r="E12608" i="5"/>
  <c r="E12607" i="5"/>
  <c r="E12606" i="5"/>
  <c r="E12605" i="5"/>
  <c r="E12604" i="5"/>
  <c r="E12603" i="5"/>
  <c r="E12602" i="5"/>
  <c r="E12601" i="5"/>
  <c r="E12600" i="5"/>
  <c r="E12599" i="5"/>
  <c r="E12598" i="5"/>
  <c r="E12597" i="5"/>
  <c r="E12596" i="5"/>
  <c r="E12595" i="5"/>
  <c r="E12594" i="5"/>
  <c r="E12593" i="5"/>
  <c r="E12592" i="5"/>
  <c r="E12591" i="5"/>
  <c r="E12590" i="5"/>
  <c r="E12589" i="5"/>
  <c r="E12588" i="5"/>
  <c r="E12587" i="5"/>
  <c r="E12586" i="5"/>
  <c r="E12585" i="5"/>
  <c r="E12584" i="5"/>
  <c r="E12583" i="5"/>
  <c r="E12582" i="5"/>
  <c r="E12581" i="5"/>
  <c r="E12580" i="5"/>
  <c r="E12579" i="5"/>
  <c r="E12578" i="5"/>
  <c r="E12577" i="5"/>
  <c r="E12576" i="5"/>
  <c r="E12575" i="5"/>
  <c r="E12574" i="5"/>
  <c r="E12573" i="5"/>
  <c r="E12572" i="5"/>
  <c r="E12571" i="5"/>
  <c r="E12570" i="5"/>
  <c r="E12569" i="5"/>
  <c r="E12568" i="5"/>
  <c r="E12567" i="5"/>
  <c r="E12566" i="5"/>
  <c r="E12565" i="5"/>
  <c r="E12564" i="5"/>
  <c r="E12563" i="5"/>
  <c r="E12562" i="5"/>
  <c r="E12561" i="5"/>
  <c r="E12560" i="5"/>
  <c r="E12559" i="5"/>
  <c r="E12558" i="5"/>
  <c r="E12557" i="5"/>
  <c r="E12556" i="5"/>
  <c r="E12555" i="5"/>
  <c r="E12554" i="5"/>
  <c r="E12553" i="5"/>
  <c r="E12552" i="5"/>
  <c r="E12551" i="5"/>
  <c r="E12550" i="5"/>
  <c r="E12549" i="5"/>
  <c r="E12548" i="5"/>
  <c r="E12547" i="5"/>
  <c r="E12546" i="5"/>
  <c r="E12545" i="5"/>
  <c r="E12544" i="5"/>
  <c r="E12543" i="5"/>
  <c r="E12542" i="5"/>
  <c r="E12541" i="5"/>
  <c r="E12540" i="5"/>
  <c r="E12539" i="5"/>
  <c r="E12538" i="5"/>
  <c r="E12537" i="5"/>
  <c r="E12536" i="5"/>
  <c r="E12535" i="5"/>
  <c r="E12534" i="5"/>
  <c r="E12533" i="5"/>
  <c r="E12532" i="5"/>
  <c r="E12531" i="5"/>
  <c r="E12530" i="5"/>
  <c r="E12529" i="5"/>
  <c r="E12528" i="5"/>
  <c r="E12527" i="5"/>
  <c r="E12526" i="5"/>
  <c r="E12525" i="5"/>
  <c r="E12524" i="5"/>
  <c r="E12523" i="5"/>
  <c r="E12522" i="5"/>
  <c r="E12521" i="5"/>
  <c r="E12520" i="5"/>
  <c r="E12519" i="5"/>
  <c r="E12518" i="5"/>
  <c r="E12517" i="5"/>
  <c r="E12516" i="5"/>
  <c r="E12515" i="5"/>
  <c r="E12514" i="5"/>
  <c r="E12513" i="5"/>
  <c r="E12512" i="5"/>
  <c r="E12511" i="5"/>
  <c r="E12510" i="5"/>
  <c r="E12509" i="5"/>
  <c r="E12508" i="5"/>
  <c r="E12507" i="5"/>
  <c r="E12506" i="5"/>
  <c r="E12505" i="5"/>
  <c r="E12504" i="5"/>
  <c r="E12503" i="5"/>
  <c r="E12502" i="5"/>
  <c r="E12501" i="5"/>
  <c r="E12500" i="5"/>
  <c r="E12499" i="5"/>
  <c r="E12498" i="5"/>
  <c r="E12497" i="5"/>
  <c r="E12496" i="5"/>
  <c r="E12495" i="5"/>
  <c r="E12494" i="5"/>
  <c r="E12493" i="5"/>
  <c r="E12492" i="5"/>
  <c r="E12491" i="5"/>
  <c r="E12490" i="5"/>
  <c r="E12489" i="5"/>
  <c r="E12488" i="5"/>
  <c r="E12487" i="5"/>
  <c r="E12486" i="5"/>
  <c r="E12485" i="5"/>
  <c r="E12484" i="5"/>
  <c r="E12483" i="5"/>
  <c r="E12482" i="5"/>
  <c r="E12481" i="5"/>
  <c r="E12480" i="5"/>
  <c r="E12479" i="5"/>
  <c r="E12478" i="5"/>
  <c r="E12477" i="5"/>
  <c r="E12476" i="5"/>
  <c r="E12475" i="5"/>
  <c r="E12474" i="5"/>
  <c r="E12473" i="5"/>
  <c r="E12472" i="5"/>
  <c r="E12471" i="5"/>
  <c r="E12470" i="5"/>
  <c r="E12469" i="5"/>
  <c r="E12468" i="5"/>
  <c r="E12467" i="5"/>
  <c r="E12466" i="5"/>
  <c r="E12465" i="5"/>
  <c r="E12464" i="5"/>
  <c r="E12463" i="5"/>
  <c r="E12462" i="5"/>
  <c r="E12461" i="5"/>
  <c r="E12460" i="5"/>
  <c r="E12459" i="5"/>
  <c r="E12458" i="5"/>
  <c r="E12457" i="5"/>
  <c r="E12456" i="5"/>
  <c r="E12455" i="5"/>
  <c r="E12454" i="5"/>
  <c r="E12453" i="5"/>
  <c r="E12452" i="5"/>
  <c r="E12451" i="5"/>
  <c r="E12450" i="5"/>
  <c r="E12449" i="5"/>
  <c r="E12448" i="5"/>
  <c r="E12447" i="5"/>
  <c r="E12446" i="5"/>
  <c r="E12445" i="5"/>
  <c r="E12444" i="5"/>
  <c r="E12443" i="5"/>
  <c r="E12442" i="5"/>
  <c r="E12441" i="5"/>
  <c r="E12440" i="5"/>
  <c r="E12439" i="5"/>
  <c r="E12438" i="5"/>
  <c r="E12437" i="5"/>
  <c r="E12436" i="5"/>
  <c r="E12435" i="5"/>
  <c r="E12434" i="5"/>
  <c r="E12433" i="5"/>
  <c r="E12432" i="5"/>
  <c r="E12431" i="5"/>
  <c r="E12430" i="5"/>
  <c r="E12429" i="5"/>
  <c r="E12428" i="5"/>
  <c r="E12427" i="5"/>
  <c r="E12426" i="5"/>
  <c r="E12425" i="5"/>
  <c r="E12424" i="5"/>
  <c r="E12423" i="5"/>
  <c r="E12422" i="5"/>
  <c r="E12421" i="5"/>
  <c r="E12420" i="5"/>
  <c r="E12419" i="5"/>
  <c r="E12418" i="5"/>
  <c r="E12417" i="5"/>
  <c r="E12416" i="5"/>
  <c r="E12415" i="5"/>
  <c r="E12414" i="5"/>
  <c r="E12413" i="5"/>
  <c r="E12412" i="5"/>
  <c r="E12411" i="5"/>
  <c r="E12410" i="5"/>
  <c r="E12409" i="5"/>
  <c r="E12408" i="5"/>
  <c r="E12407" i="5"/>
  <c r="E12406" i="5"/>
  <c r="E12405" i="5"/>
  <c r="E12404" i="5"/>
  <c r="E12403" i="5"/>
  <c r="E12402" i="5"/>
  <c r="E12401" i="5"/>
  <c r="E12400" i="5"/>
  <c r="E12399" i="5"/>
  <c r="E12398" i="5"/>
  <c r="E12397" i="5"/>
  <c r="E12396" i="5"/>
  <c r="E12395" i="5"/>
  <c r="E12394" i="5"/>
  <c r="E12393" i="5"/>
  <c r="E12392" i="5"/>
  <c r="E12391" i="5"/>
  <c r="E12390" i="5"/>
  <c r="E12389" i="5"/>
  <c r="E12388" i="5"/>
  <c r="E12387" i="5"/>
  <c r="E12386" i="5"/>
  <c r="E12385" i="5"/>
  <c r="E12384" i="5"/>
  <c r="E12383" i="5"/>
  <c r="E12382" i="5"/>
  <c r="E12381" i="5"/>
  <c r="E12380" i="5"/>
  <c r="E12379" i="5"/>
  <c r="E12378" i="5"/>
  <c r="E12377" i="5"/>
  <c r="E12376" i="5"/>
  <c r="E12375" i="5"/>
  <c r="E12374" i="5"/>
  <c r="E12373" i="5"/>
  <c r="E12372" i="5"/>
  <c r="E12371" i="5"/>
  <c r="E12370" i="5"/>
  <c r="E12369" i="5"/>
  <c r="E12368" i="5"/>
  <c r="E12367" i="5"/>
  <c r="E12366" i="5"/>
  <c r="E12365" i="5"/>
  <c r="E12364" i="5"/>
  <c r="E12363" i="5"/>
  <c r="E12362" i="5"/>
  <c r="E12361" i="5"/>
  <c r="E12360" i="5"/>
  <c r="E12359" i="5"/>
  <c r="E12358" i="5"/>
  <c r="E12357" i="5"/>
  <c r="E12356" i="5"/>
  <c r="E12355" i="5"/>
  <c r="E12354" i="5"/>
  <c r="E12353" i="5"/>
  <c r="E12352" i="5"/>
  <c r="E12351" i="5"/>
  <c r="E12350" i="5"/>
  <c r="E12349" i="5"/>
  <c r="E12348" i="5"/>
  <c r="E12347" i="5"/>
  <c r="E12346" i="5"/>
  <c r="E12345" i="5"/>
  <c r="E12344" i="5"/>
  <c r="E12343" i="5"/>
  <c r="E12342" i="5"/>
  <c r="E12341" i="5"/>
  <c r="E12340" i="5"/>
  <c r="E12339" i="5"/>
  <c r="E12338" i="5"/>
  <c r="E12337" i="5"/>
  <c r="E12336" i="5"/>
  <c r="E12335" i="5"/>
  <c r="E12334" i="5"/>
  <c r="E12333" i="5"/>
  <c r="E12332" i="5"/>
  <c r="E12331" i="5"/>
  <c r="E12330" i="5"/>
  <c r="E12329" i="5"/>
  <c r="E12328" i="5"/>
  <c r="E12327" i="5"/>
  <c r="E12326" i="5"/>
  <c r="E12325" i="5"/>
  <c r="E12324" i="5"/>
  <c r="E12323" i="5"/>
  <c r="E12322" i="5"/>
  <c r="E12321" i="5"/>
  <c r="E12320" i="5"/>
  <c r="E12319" i="5"/>
  <c r="E12318" i="5"/>
  <c r="E12317" i="5"/>
  <c r="E12316" i="5"/>
  <c r="E12315" i="5"/>
  <c r="E12314" i="5"/>
  <c r="E12313" i="5"/>
  <c r="E12312" i="5"/>
  <c r="E12311" i="5"/>
  <c r="E12310" i="5"/>
  <c r="E12309" i="5"/>
  <c r="E12308" i="5"/>
  <c r="E12307" i="5"/>
  <c r="E12306" i="5"/>
  <c r="E12305" i="5"/>
  <c r="E12304" i="5"/>
  <c r="E12303" i="5"/>
  <c r="E12302" i="5"/>
  <c r="E12301" i="5"/>
  <c r="E12300" i="5"/>
  <c r="E12299" i="5"/>
  <c r="E12298" i="5"/>
  <c r="E12297" i="5"/>
  <c r="E12296" i="5"/>
  <c r="E12295" i="5"/>
  <c r="E12294" i="5"/>
  <c r="E12293" i="5"/>
  <c r="E12292" i="5"/>
  <c r="E12291" i="5"/>
  <c r="E12290" i="5"/>
  <c r="E12289" i="5"/>
  <c r="E12288" i="5"/>
  <c r="E12287" i="5"/>
  <c r="E12286" i="5"/>
  <c r="E12285" i="5"/>
  <c r="E12284" i="5"/>
  <c r="E12283" i="5"/>
  <c r="E12282" i="5"/>
  <c r="E12281" i="5"/>
  <c r="E12280" i="5"/>
  <c r="E12279" i="5"/>
  <c r="E12278" i="5"/>
  <c r="E12277" i="5"/>
  <c r="E12276" i="5"/>
  <c r="E12275" i="5"/>
  <c r="E12274" i="5"/>
  <c r="E12273" i="5"/>
  <c r="E12272" i="5"/>
  <c r="E12271" i="5"/>
  <c r="E12270" i="5"/>
  <c r="E12269" i="5"/>
  <c r="E12268" i="5"/>
  <c r="E12267" i="5"/>
  <c r="E12266" i="5"/>
  <c r="E12265" i="5"/>
  <c r="E12264" i="5"/>
  <c r="E12263" i="5"/>
  <c r="E12262" i="5"/>
  <c r="E12261" i="5"/>
  <c r="E12260" i="5"/>
  <c r="E12259" i="5"/>
  <c r="E12258" i="5"/>
  <c r="E12257" i="5"/>
  <c r="E12256" i="5"/>
  <c r="E12255" i="5"/>
  <c r="E12254" i="5"/>
  <c r="E12253" i="5"/>
  <c r="E12252" i="5"/>
  <c r="E12251" i="5"/>
  <c r="E12250" i="5"/>
  <c r="E12249" i="5"/>
  <c r="E12248" i="5"/>
  <c r="E12247" i="5"/>
  <c r="E12246" i="5"/>
  <c r="E12245" i="5"/>
  <c r="E12244" i="5"/>
  <c r="E12243" i="5"/>
  <c r="E12242" i="5"/>
  <c r="E12241" i="5"/>
  <c r="E12240" i="5"/>
  <c r="E12239" i="5"/>
  <c r="E12238" i="5"/>
  <c r="E12237" i="5"/>
  <c r="E12236" i="5"/>
  <c r="E12235" i="5"/>
  <c r="E12234" i="5"/>
  <c r="E12233" i="5"/>
  <c r="E12232" i="5"/>
  <c r="E12231" i="5"/>
  <c r="E12230" i="5"/>
  <c r="E12229" i="5"/>
  <c r="E12228" i="5"/>
  <c r="E12227" i="5"/>
  <c r="E12226" i="5"/>
  <c r="E12225" i="5"/>
  <c r="E12224" i="5"/>
  <c r="E12223" i="5"/>
  <c r="E12222" i="5"/>
  <c r="E12221" i="5"/>
  <c r="E12220" i="5"/>
  <c r="E12219" i="5"/>
  <c r="E12218" i="5"/>
  <c r="E12217" i="5"/>
  <c r="E12216" i="5"/>
  <c r="E12215" i="5"/>
  <c r="E12214" i="5"/>
  <c r="E12213" i="5"/>
  <c r="E12212" i="5"/>
  <c r="E12211" i="5"/>
  <c r="E12210" i="5"/>
  <c r="E12209" i="5"/>
  <c r="E12208" i="5"/>
  <c r="E12207" i="5"/>
  <c r="E12206" i="5"/>
  <c r="E12205" i="5"/>
  <c r="E12204" i="5"/>
  <c r="E12203" i="5"/>
  <c r="E12202" i="5"/>
  <c r="E12201" i="5"/>
  <c r="E12200" i="5"/>
  <c r="E12199" i="5"/>
  <c r="E12198" i="5"/>
  <c r="E12197" i="5"/>
  <c r="E12196" i="5"/>
  <c r="E12195" i="5"/>
  <c r="E12194" i="5"/>
  <c r="E12193" i="5"/>
  <c r="E12192" i="5"/>
  <c r="E12191" i="5"/>
  <c r="E12190" i="5"/>
  <c r="E12189" i="5"/>
  <c r="E12188" i="5"/>
  <c r="E12187" i="5"/>
  <c r="E12186" i="5"/>
  <c r="E12185" i="5"/>
  <c r="E12184" i="5"/>
  <c r="E12183" i="5"/>
  <c r="E12182" i="5"/>
  <c r="E12181" i="5"/>
  <c r="E12180" i="5"/>
  <c r="E12179" i="5"/>
  <c r="E12178" i="5"/>
  <c r="E12177" i="5"/>
  <c r="E12176" i="5"/>
  <c r="E12175" i="5"/>
  <c r="E12174" i="5"/>
  <c r="E12173" i="5"/>
  <c r="E12172" i="5"/>
  <c r="E12171" i="5"/>
  <c r="E12170" i="5"/>
  <c r="E12169" i="5"/>
  <c r="E12168" i="5"/>
  <c r="E12167" i="5"/>
  <c r="E12166" i="5"/>
  <c r="E12165" i="5"/>
  <c r="E12164" i="5"/>
  <c r="E12163" i="5"/>
  <c r="E12162" i="5"/>
  <c r="E12161" i="5"/>
  <c r="E12160" i="5"/>
  <c r="E12159" i="5"/>
  <c r="E12158" i="5"/>
  <c r="E12157" i="5"/>
  <c r="E12156" i="5"/>
  <c r="E12155" i="5"/>
  <c r="E12154" i="5"/>
  <c r="E12153" i="5"/>
  <c r="E12152" i="5"/>
  <c r="E12151" i="5"/>
  <c r="E12150" i="5"/>
  <c r="E12149" i="5"/>
  <c r="E12148" i="5"/>
  <c r="E12147" i="5"/>
  <c r="E12146" i="5"/>
  <c r="E12145" i="5"/>
  <c r="E12144" i="5"/>
  <c r="E12143" i="5"/>
  <c r="E12142" i="5"/>
  <c r="E12141" i="5"/>
  <c r="E12140" i="5"/>
  <c r="E12139" i="5"/>
  <c r="E12138" i="5"/>
  <c r="E12137" i="5"/>
  <c r="E12136" i="5"/>
  <c r="E12135" i="5"/>
  <c r="E12134" i="5"/>
  <c r="E12133" i="5"/>
  <c r="E12132" i="5"/>
  <c r="E12131" i="5"/>
  <c r="E12130" i="5"/>
  <c r="E12129" i="5"/>
  <c r="E12128" i="5"/>
  <c r="E12127" i="5"/>
  <c r="E12126" i="5"/>
  <c r="E12125" i="5"/>
  <c r="E12124" i="5"/>
  <c r="E12123" i="5"/>
  <c r="E12122" i="5"/>
  <c r="E12121" i="5"/>
  <c r="E12120" i="5"/>
  <c r="E12119" i="5"/>
  <c r="E12118" i="5"/>
  <c r="E12117" i="5"/>
  <c r="E12116" i="5"/>
  <c r="E12115" i="5"/>
  <c r="E12114" i="5"/>
  <c r="E12113" i="5"/>
  <c r="E12112" i="5"/>
  <c r="E12111" i="5"/>
  <c r="E12110" i="5"/>
  <c r="E12109" i="5"/>
  <c r="E12108" i="5"/>
  <c r="E12107" i="5"/>
  <c r="E12106" i="5"/>
  <c r="E12105" i="5"/>
  <c r="E12104" i="5"/>
  <c r="E12103" i="5"/>
  <c r="E12102" i="5"/>
  <c r="E12101" i="5"/>
  <c r="E12100" i="5"/>
  <c r="E12099" i="5"/>
  <c r="E12098" i="5"/>
  <c r="E12097" i="5"/>
  <c r="E12096" i="5"/>
  <c r="E12095" i="5"/>
  <c r="E12094" i="5"/>
  <c r="E12093" i="5"/>
  <c r="E12092" i="5"/>
  <c r="E12091" i="5"/>
  <c r="E12090" i="5"/>
  <c r="E12089" i="5"/>
  <c r="E12088" i="5"/>
  <c r="E12087" i="5"/>
  <c r="E12086" i="5"/>
  <c r="E12085" i="5"/>
  <c r="E12084" i="5"/>
  <c r="E12083" i="5"/>
  <c r="E12082" i="5"/>
  <c r="E12081" i="5"/>
  <c r="E12080" i="5"/>
  <c r="E12079" i="5"/>
  <c r="E12078" i="5"/>
  <c r="E12077" i="5"/>
  <c r="E12076" i="5"/>
  <c r="E12075" i="5"/>
  <c r="E12074" i="5"/>
  <c r="E12073" i="5"/>
  <c r="E12072" i="5"/>
  <c r="E12071" i="5"/>
  <c r="E12070" i="5"/>
  <c r="E12069" i="5"/>
  <c r="E12068" i="5"/>
  <c r="E12067" i="5"/>
  <c r="E12066" i="5"/>
  <c r="E12065" i="5"/>
  <c r="E12064" i="5"/>
  <c r="E12063" i="5"/>
  <c r="E12062" i="5"/>
  <c r="E12061" i="5"/>
  <c r="E12060" i="5"/>
  <c r="E12059" i="5"/>
  <c r="E12058" i="5"/>
  <c r="E12057" i="5"/>
  <c r="E12056" i="5"/>
  <c r="E12055" i="5"/>
  <c r="E12054" i="5"/>
  <c r="E12053" i="5"/>
  <c r="E12052" i="5"/>
  <c r="E12051" i="5"/>
  <c r="E12050" i="5"/>
  <c r="E12049" i="5"/>
  <c r="E12048" i="5"/>
  <c r="E12047" i="5"/>
  <c r="E12046" i="5"/>
  <c r="E12045" i="5"/>
  <c r="E12044" i="5"/>
  <c r="E12043" i="5"/>
  <c r="E12042" i="5"/>
  <c r="E12041" i="5"/>
  <c r="E12040" i="5"/>
  <c r="E12039" i="5"/>
  <c r="E12038" i="5"/>
  <c r="E12037" i="5"/>
  <c r="E12036" i="5"/>
  <c r="E12035" i="5"/>
  <c r="E12034" i="5"/>
  <c r="E12033" i="5"/>
  <c r="E12032" i="5"/>
  <c r="E12031" i="5"/>
  <c r="E12030" i="5"/>
  <c r="E12029" i="5"/>
  <c r="E12028" i="5"/>
  <c r="E12027" i="5"/>
  <c r="E12026" i="5"/>
  <c r="E12025" i="5"/>
  <c r="E12024" i="5"/>
  <c r="E12023" i="5"/>
  <c r="E12022" i="5"/>
  <c r="E12021" i="5"/>
  <c r="E12020" i="5"/>
  <c r="E12019" i="5"/>
  <c r="E12018" i="5"/>
  <c r="E12017" i="5"/>
  <c r="E12016" i="5"/>
  <c r="E12015" i="5"/>
  <c r="E12014" i="5"/>
  <c r="E12013" i="5"/>
  <c r="E12012" i="5"/>
  <c r="E12011" i="5"/>
  <c r="E12010" i="5"/>
  <c r="E12009" i="5"/>
  <c r="E12008" i="5"/>
  <c r="E12007" i="5"/>
  <c r="E12006" i="5"/>
  <c r="E12005" i="5"/>
  <c r="E12004" i="5"/>
  <c r="E12003" i="5"/>
  <c r="E12002" i="5"/>
  <c r="E12001" i="5"/>
  <c r="E12000" i="5"/>
  <c r="E11999" i="5"/>
  <c r="E11998" i="5"/>
  <c r="E11997" i="5"/>
  <c r="E11996" i="5"/>
  <c r="E11995" i="5"/>
  <c r="E11994" i="5"/>
  <c r="E11993" i="5"/>
  <c r="E11992" i="5"/>
  <c r="E11991" i="5"/>
  <c r="E11990" i="5"/>
  <c r="E11989" i="5"/>
  <c r="E11988" i="5"/>
  <c r="E11987" i="5"/>
  <c r="E11986" i="5"/>
  <c r="E11985" i="5"/>
  <c r="E11984" i="5"/>
  <c r="E11983" i="5"/>
  <c r="E11982" i="5"/>
  <c r="E11981" i="5"/>
  <c r="E11980" i="5"/>
  <c r="E11979" i="5"/>
  <c r="E11978" i="5"/>
  <c r="E11977" i="5"/>
  <c r="E11976" i="5"/>
  <c r="E11975" i="5"/>
  <c r="E11974" i="5"/>
  <c r="E11973" i="5"/>
  <c r="E11972" i="5"/>
  <c r="E11971" i="5"/>
  <c r="E11970" i="5"/>
  <c r="E11969" i="5"/>
  <c r="E11968" i="5"/>
  <c r="E11967" i="5"/>
  <c r="E11966" i="5"/>
  <c r="E11965" i="5"/>
  <c r="E11964" i="5"/>
  <c r="E11963" i="5"/>
  <c r="E11962" i="5"/>
  <c r="E11961" i="5"/>
  <c r="E11960" i="5"/>
  <c r="E11959" i="5"/>
  <c r="E11958" i="5"/>
  <c r="E11957" i="5"/>
  <c r="E11956" i="5"/>
  <c r="E11955" i="5"/>
  <c r="E11954" i="5"/>
  <c r="E11953" i="5"/>
  <c r="E11952" i="5"/>
  <c r="E11951" i="5"/>
  <c r="E11950" i="5"/>
  <c r="E11949" i="5"/>
  <c r="E11948" i="5"/>
  <c r="E11947" i="5"/>
  <c r="E11946" i="5"/>
  <c r="E11945" i="5"/>
  <c r="E11944" i="5"/>
  <c r="E11943" i="5"/>
  <c r="E11942" i="5"/>
  <c r="E11941" i="5"/>
  <c r="E11940" i="5"/>
  <c r="E11939" i="5"/>
  <c r="E11938" i="5"/>
  <c r="E11937" i="5"/>
  <c r="E11936" i="5"/>
  <c r="E11935" i="5"/>
  <c r="E11934" i="5"/>
  <c r="E11933" i="5"/>
  <c r="E11932" i="5"/>
  <c r="E11931" i="5"/>
  <c r="E11930" i="5"/>
  <c r="E11929" i="5"/>
  <c r="E11928" i="5"/>
  <c r="E11927" i="5"/>
  <c r="E11926" i="5"/>
  <c r="E11925" i="5"/>
  <c r="E11924" i="5"/>
  <c r="E11923" i="5"/>
  <c r="E11922" i="5"/>
  <c r="E11921" i="5"/>
  <c r="E11920" i="5"/>
  <c r="E11919" i="5"/>
  <c r="E11918" i="5"/>
  <c r="E11917" i="5"/>
  <c r="E11916" i="5"/>
  <c r="E11915" i="5"/>
  <c r="E11914" i="5"/>
  <c r="E11913" i="5"/>
  <c r="E11912" i="5"/>
  <c r="E11911" i="5"/>
  <c r="E11910" i="5"/>
  <c r="E11909" i="5"/>
  <c r="E11908" i="5"/>
  <c r="E11907" i="5"/>
  <c r="E11906" i="5"/>
  <c r="E11905" i="5"/>
  <c r="E11904" i="5"/>
  <c r="E11903" i="5"/>
  <c r="E11902" i="5"/>
  <c r="E11901" i="5"/>
  <c r="E11900" i="5"/>
  <c r="E11899" i="5"/>
  <c r="E11898" i="5"/>
  <c r="E11897" i="5"/>
  <c r="E11896" i="5"/>
  <c r="E11895" i="5"/>
  <c r="E11894" i="5"/>
  <c r="E11893" i="5"/>
  <c r="E11892" i="5"/>
  <c r="E11891" i="5"/>
  <c r="E11890" i="5"/>
  <c r="E11889" i="5"/>
  <c r="E11888" i="5"/>
  <c r="E11887" i="5"/>
  <c r="E11886" i="5"/>
  <c r="E11885" i="5"/>
  <c r="E11884" i="5"/>
  <c r="E11883" i="5"/>
  <c r="E11882" i="5"/>
  <c r="E11881" i="5"/>
  <c r="E11880" i="5"/>
  <c r="E11879" i="5"/>
  <c r="E11878" i="5"/>
  <c r="E11877" i="5"/>
  <c r="E11876" i="5"/>
  <c r="E11875" i="5"/>
  <c r="E11874" i="5"/>
  <c r="E11873" i="5"/>
  <c r="E11872" i="5"/>
  <c r="E11871" i="5"/>
  <c r="E11870" i="5"/>
  <c r="E11869" i="5"/>
  <c r="E11868" i="5"/>
  <c r="E11867" i="5"/>
  <c r="E11866" i="5"/>
  <c r="E11865" i="5"/>
  <c r="E11864" i="5"/>
  <c r="E11863" i="5"/>
  <c r="E11862" i="5"/>
  <c r="E11861" i="5"/>
  <c r="E11860" i="5"/>
  <c r="E11859" i="5"/>
  <c r="E11858" i="5"/>
  <c r="E11857" i="5"/>
  <c r="E11856" i="5"/>
  <c r="E11855" i="5"/>
  <c r="E11854" i="5"/>
  <c r="E11853" i="5"/>
  <c r="E11852" i="5"/>
  <c r="E11851" i="5"/>
  <c r="E11850" i="5"/>
  <c r="E11849" i="5"/>
  <c r="E11848" i="5"/>
  <c r="E11847" i="5"/>
  <c r="E11846" i="5"/>
  <c r="E11845" i="5"/>
  <c r="E11844" i="5"/>
  <c r="E11843" i="5"/>
  <c r="E11842" i="5"/>
  <c r="E11841" i="5"/>
  <c r="E11840" i="5"/>
  <c r="E11839" i="5"/>
  <c r="E11838" i="5"/>
  <c r="E11837" i="5"/>
  <c r="E11836" i="5"/>
  <c r="E11835" i="5"/>
  <c r="E11834" i="5"/>
  <c r="E11833" i="5"/>
  <c r="E11832" i="5"/>
  <c r="E11831" i="5"/>
  <c r="E11830" i="5"/>
  <c r="E11829" i="5"/>
  <c r="E11828" i="5"/>
  <c r="E11827" i="5"/>
  <c r="E11826" i="5"/>
  <c r="E11825" i="5"/>
  <c r="E11824" i="5"/>
  <c r="E11823" i="5"/>
  <c r="E11822" i="5"/>
  <c r="E11821" i="5"/>
  <c r="E11820" i="5"/>
  <c r="E11819" i="5"/>
  <c r="E11818" i="5"/>
  <c r="E11817" i="5"/>
  <c r="E11816" i="5"/>
  <c r="E11815" i="5"/>
  <c r="E11814" i="5"/>
  <c r="E11813" i="5"/>
  <c r="E11812" i="5"/>
  <c r="E11811" i="5"/>
  <c r="E11810" i="5"/>
  <c r="E11809" i="5"/>
  <c r="E11808" i="5"/>
  <c r="E11807" i="5"/>
  <c r="E11806" i="5"/>
  <c r="E11805" i="5"/>
  <c r="E11804" i="5"/>
  <c r="E11803" i="5"/>
  <c r="E11802" i="5"/>
  <c r="E11801" i="5"/>
  <c r="E11800" i="5"/>
  <c r="E11799" i="5"/>
  <c r="E11798" i="5"/>
  <c r="E11797" i="5"/>
  <c r="E11796" i="5"/>
  <c r="E11795" i="5"/>
  <c r="E11794" i="5"/>
  <c r="E11793" i="5"/>
  <c r="E11792" i="5"/>
  <c r="E11791" i="5"/>
  <c r="E11790" i="5"/>
  <c r="E11789" i="5"/>
  <c r="E11788" i="5"/>
  <c r="E11787" i="5"/>
  <c r="E11786" i="5"/>
  <c r="E11785" i="5"/>
  <c r="E11784" i="5"/>
  <c r="E11783" i="5"/>
  <c r="E11782" i="5"/>
  <c r="E11781" i="5"/>
  <c r="E11780" i="5"/>
  <c r="E11779" i="5"/>
  <c r="E11778" i="5"/>
  <c r="E11777" i="5"/>
  <c r="E11776" i="5"/>
  <c r="E11775" i="5"/>
  <c r="E11774" i="5"/>
  <c r="E11773" i="5"/>
  <c r="E11772" i="5"/>
  <c r="E11771" i="5"/>
  <c r="E11770" i="5"/>
  <c r="E11769" i="5"/>
  <c r="E11768" i="5"/>
  <c r="E11767" i="5"/>
  <c r="E11766" i="5"/>
  <c r="E11765" i="5"/>
  <c r="E11764" i="5"/>
  <c r="E11763" i="5"/>
  <c r="E11762" i="5"/>
  <c r="E11761" i="5"/>
  <c r="E11760" i="5"/>
  <c r="E11759" i="5"/>
  <c r="E11758" i="5"/>
  <c r="E11757" i="5"/>
  <c r="E11756" i="5"/>
  <c r="E11755" i="5"/>
  <c r="E11754" i="5"/>
  <c r="E11753" i="5"/>
  <c r="E11752" i="5"/>
  <c r="E11751" i="5"/>
  <c r="E11750" i="5"/>
  <c r="E11749" i="5"/>
  <c r="E11748" i="5"/>
  <c r="E11747" i="5"/>
  <c r="E11746" i="5"/>
  <c r="E11745" i="5"/>
  <c r="E11744" i="5"/>
  <c r="E11743" i="5"/>
  <c r="E11742" i="5"/>
  <c r="E11741" i="5"/>
  <c r="E11740" i="5"/>
  <c r="E11739" i="5"/>
  <c r="E11738" i="5"/>
  <c r="E11737" i="5"/>
  <c r="E11736" i="5"/>
  <c r="E11735" i="5"/>
  <c r="E11734" i="5"/>
  <c r="E11733" i="5"/>
  <c r="E11732" i="5"/>
  <c r="E11731" i="5"/>
  <c r="E11730" i="5"/>
  <c r="E11729" i="5"/>
  <c r="E11728" i="5"/>
  <c r="E11727" i="5"/>
  <c r="E11726" i="5"/>
  <c r="E11725" i="5"/>
  <c r="E11724" i="5"/>
  <c r="E11723" i="5"/>
  <c r="E11722" i="5"/>
  <c r="E11721" i="5"/>
  <c r="E11720" i="5"/>
  <c r="E11719" i="5"/>
  <c r="E11718" i="5"/>
  <c r="E11717" i="5"/>
  <c r="E11716" i="5"/>
  <c r="E11715" i="5"/>
  <c r="E11714" i="5"/>
  <c r="E11713" i="5"/>
  <c r="E11712" i="5"/>
  <c r="E11711" i="5"/>
  <c r="E11710" i="5"/>
  <c r="E11709" i="5"/>
  <c r="E11708" i="5"/>
  <c r="E11707" i="5"/>
  <c r="E11706" i="5"/>
  <c r="E11705" i="5"/>
  <c r="E11704" i="5"/>
  <c r="E11703" i="5"/>
  <c r="E11702" i="5"/>
  <c r="E11701" i="5"/>
  <c r="E11700" i="5"/>
  <c r="E11699" i="5"/>
  <c r="E11698" i="5"/>
  <c r="E11697" i="5"/>
  <c r="E11696" i="5"/>
  <c r="E11695" i="5"/>
  <c r="E11694" i="5"/>
  <c r="E11693" i="5"/>
  <c r="E11692" i="5"/>
  <c r="E11691" i="5"/>
  <c r="E11690" i="5"/>
  <c r="E11689" i="5"/>
  <c r="E11688" i="5"/>
  <c r="E11687" i="5"/>
  <c r="E11686" i="5"/>
  <c r="E11685" i="5"/>
  <c r="E11684" i="5"/>
  <c r="E11683" i="5"/>
  <c r="E11682" i="5"/>
  <c r="E11681" i="5"/>
  <c r="E11680" i="5"/>
  <c r="E11679" i="5"/>
  <c r="E11678" i="5"/>
  <c r="E11677" i="5"/>
  <c r="E11676" i="5"/>
  <c r="E11675" i="5"/>
  <c r="E11674" i="5"/>
  <c r="E11673" i="5"/>
  <c r="E11672" i="5"/>
  <c r="E11671" i="5"/>
  <c r="E11670" i="5"/>
  <c r="E11669" i="5"/>
  <c r="E11668" i="5"/>
  <c r="E11667" i="5"/>
  <c r="E11666" i="5"/>
  <c r="E11665" i="5"/>
  <c r="E11664" i="5"/>
  <c r="E11663" i="5"/>
  <c r="E11662" i="5"/>
  <c r="E11661" i="5"/>
  <c r="E11660" i="5"/>
  <c r="E11659" i="5"/>
  <c r="E11658" i="5"/>
  <c r="E11657" i="5"/>
  <c r="E11656" i="5"/>
  <c r="E11655" i="5"/>
  <c r="E11654" i="5"/>
  <c r="E11653" i="5"/>
  <c r="E11652" i="5"/>
  <c r="E11651" i="5"/>
  <c r="E11650" i="5"/>
  <c r="E11649" i="5"/>
  <c r="E11648" i="5"/>
  <c r="E11647" i="5"/>
  <c r="E11646" i="5"/>
  <c r="E11645" i="5"/>
  <c r="E11644" i="5"/>
  <c r="E11643" i="5"/>
  <c r="E11642" i="5"/>
  <c r="E11641" i="5"/>
  <c r="E11640" i="5"/>
  <c r="E11639" i="5"/>
  <c r="E11638" i="5"/>
  <c r="E11637" i="5"/>
  <c r="E11636" i="5"/>
  <c r="E11635" i="5"/>
  <c r="E11634" i="5"/>
  <c r="E11633" i="5"/>
  <c r="E11632" i="5"/>
  <c r="E11631" i="5"/>
  <c r="E11630" i="5"/>
  <c r="E11629" i="5"/>
  <c r="E11628" i="5"/>
  <c r="E11627" i="5"/>
  <c r="E11626" i="5"/>
  <c r="E11625" i="5"/>
  <c r="E11624" i="5"/>
  <c r="E11623" i="5"/>
  <c r="E11622" i="5"/>
  <c r="E11621" i="5"/>
  <c r="E11620" i="5"/>
  <c r="E11619" i="5"/>
  <c r="E11618" i="5"/>
  <c r="E11617" i="5"/>
  <c r="E11616" i="5"/>
  <c r="E11615" i="5"/>
  <c r="E11614" i="5"/>
  <c r="E11613" i="5"/>
  <c r="E11612" i="5"/>
  <c r="E11611" i="5"/>
  <c r="E11610" i="5"/>
  <c r="E11609" i="5"/>
  <c r="E11608" i="5"/>
  <c r="E11607" i="5"/>
  <c r="E11606" i="5"/>
  <c r="E11605" i="5"/>
  <c r="E11604" i="5"/>
  <c r="E11603" i="5"/>
  <c r="E11602" i="5"/>
  <c r="E11601" i="5"/>
  <c r="E11600" i="5"/>
  <c r="E11599" i="5"/>
  <c r="E11598" i="5"/>
  <c r="E11597" i="5"/>
  <c r="E11596" i="5"/>
  <c r="E11595" i="5"/>
  <c r="E11594" i="5"/>
  <c r="E11593" i="5"/>
  <c r="E11592" i="5"/>
  <c r="E11591" i="5"/>
  <c r="E11590" i="5"/>
  <c r="E11589" i="5"/>
  <c r="E11588" i="5"/>
  <c r="E11587" i="5"/>
  <c r="E11586" i="5"/>
  <c r="E11585" i="5"/>
  <c r="E11584" i="5"/>
  <c r="E11583" i="5"/>
  <c r="E11582" i="5"/>
  <c r="E11581" i="5"/>
  <c r="E11580" i="5"/>
  <c r="E11579" i="5"/>
  <c r="E11578" i="5"/>
  <c r="E11577" i="5"/>
  <c r="E11576" i="5"/>
  <c r="E11575" i="5"/>
  <c r="E11574" i="5"/>
  <c r="E11573" i="5"/>
  <c r="E11572" i="5"/>
  <c r="E11571" i="5"/>
  <c r="E11570" i="5"/>
  <c r="E11569" i="5"/>
  <c r="E11568" i="5"/>
  <c r="E11567" i="5"/>
  <c r="E11566" i="5"/>
  <c r="E11565" i="5"/>
  <c r="E11564" i="5"/>
  <c r="E11563" i="5"/>
  <c r="E11562" i="5"/>
  <c r="E11561" i="5"/>
  <c r="E11560" i="5"/>
  <c r="E11559" i="5"/>
  <c r="E11558" i="5"/>
  <c r="E11557" i="5"/>
  <c r="E11556" i="5"/>
  <c r="E11555" i="5"/>
  <c r="E11554" i="5"/>
  <c r="E11553" i="5"/>
  <c r="E11552" i="5"/>
  <c r="E11551" i="5"/>
  <c r="E11550" i="5"/>
  <c r="E11549" i="5"/>
  <c r="E11548" i="5"/>
  <c r="E11547" i="5"/>
  <c r="E11546" i="5"/>
  <c r="E11545" i="5"/>
  <c r="E11544" i="5"/>
  <c r="E11543" i="5"/>
  <c r="E11542" i="5"/>
  <c r="E11541" i="5"/>
  <c r="E11540" i="5"/>
  <c r="E11539" i="5"/>
  <c r="E11538" i="5"/>
  <c r="E11537" i="5"/>
  <c r="E11536" i="5"/>
  <c r="E11535" i="5"/>
  <c r="E11534" i="5"/>
  <c r="E11533" i="5"/>
  <c r="E11532" i="5"/>
  <c r="E11531" i="5"/>
  <c r="E11530" i="5"/>
  <c r="E11529" i="5"/>
  <c r="E11528" i="5"/>
  <c r="E11527" i="5"/>
  <c r="E11526" i="5"/>
  <c r="E11525" i="5"/>
  <c r="E11524" i="5"/>
  <c r="E11523" i="5"/>
  <c r="E11522" i="5"/>
  <c r="E11521" i="5"/>
  <c r="E11520" i="5"/>
  <c r="E11519" i="5"/>
  <c r="E11518" i="5"/>
  <c r="E11517" i="5"/>
  <c r="E11516" i="5"/>
  <c r="E11515" i="5"/>
  <c r="E11514" i="5"/>
  <c r="E11513" i="5"/>
  <c r="E11512" i="5"/>
  <c r="E11511" i="5"/>
  <c r="E11510" i="5"/>
  <c r="E11509" i="5"/>
  <c r="E11508" i="5"/>
  <c r="E11507" i="5"/>
  <c r="E11506" i="5"/>
  <c r="E11505" i="5"/>
  <c r="E11504" i="5"/>
  <c r="E11503" i="5"/>
  <c r="E11502" i="5"/>
  <c r="E11501" i="5"/>
  <c r="E11500" i="5"/>
  <c r="E11499" i="5"/>
  <c r="E11498" i="5"/>
  <c r="E11497" i="5"/>
  <c r="E11496" i="5"/>
  <c r="E11495" i="5"/>
  <c r="E11494" i="5"/>
  <c r="E11493" i="5"/>
  <c r="E11492" i="5"/>
  <c r="E11491" i="5"/>
  <c r="E11490" i="5"/>
  <c r="E11489" i="5"/>
  <c r="E11488" i="5"/>
  <c r="E11487" i="5"/>
  <c r="E11486" i="5"/>
  <c r="E11485" i="5"/>
  <c r="E11484" i="5"/>
  <c r="E11483" i="5"/>
  <c r="E11482" i="5"/>
  <c r="E11481" i="5"/>
  <c r="E11480" i="5"/>
  <c r="E11479" i="5"/>
  <c r="E11478" i="5"/>
  <c r="E11477" i="5"/>
  <c r="E11476" i="5"/>
  <c r="E11475" i="5"/>
  <c r="E11474" i="5"/>
  <c r="E11473" i="5"/>
  <c r="E11472" i="5"/>
  <c r="E11471" i="5"/>
  <c r="E11470" i="5"/>
  <c r="E11469" i="5"/>
  <c r="E11468" i="5"/>
  <c r="E11467" i="5"/>
  <c r="E11466" i="5"/>
  <c r="E11465" i="5"/>
  <c r="E11464" i="5"/>
  <c r="E11463" i="5"/>
  <c r="E11462" i="5"/>
  <c r="E11461" i="5"/>
  <c r="E11460" i="5"/>
  <c r="E11459" i="5"/>
  <c r="E11458" i="5"/>
  <c r="E11457" i="5"/>
  <c r="E11456" i="5"/>
  <c r="E11455" i="5"/>
  <c r="E11454" i="5"/>
  <c r="E11453" i="5"/>
  <c r="E11452" i="5"/>
  <c r="E11451" i="5"/>
  <c r="E11450" i="5"/>
  <c r="E11449" i="5"/>
  <c r="E11448" i="5"/>
  <c r="E11447" i="5"/>
  <c r="E11446" i="5"/>
  <c r="E11445" i="5"/>
  <c r="E11444" i="5"/>
  <c r="E11443" i="5"/>
  <c r="E11442" i="5"/>
  <c r="E11441" i="5"/>
  <c r="E11440" i="5"/>
  <c r="E11439" i="5"/>
  <c r="E11438" i="5"/>
  <c r="E11437" i="5"/>
  <c r="E11436" i="5"/>
  <c r="E11435" i="5"/>
  <c r="E11434" i="5"/>
  <c r="E11433" i="5"/>
  <c r="E11432" i="5"/>
  <c r="E11431" i="5"/>
  <c r="E11430" i="5"/>
  <c r="E11429" i="5"/>
  <c r="E11428" i="5"/>
  <c r="E11427" i="5"/>
  <c r="E11426" i="5"/>
  <c r="E11425" i="5"/>
  <c r="E11424" i="5"/>
  <c r="E11423" i="5"/>
  <c r="E11422" i="5"/>
  <c r="E11421" i="5"/>
  <c r="E11420" i="5"/>
  <c r="E11419" i="5"/>
  <c r="E11418" i="5"/>
  <c r="E11417" i="5"/>
  <c r="E11416" i="5"/>
  <c r="E11415" i="5"/>
  <c r="E11414" i="5"/>
  <c r="E11413" i="5"/>
  <c r="E11412" i="5"/>
  <c r="E11411" i="5"/>
  <c r="E11410" i="5"/>
  <c r="E11409" i="5"/>
  <c r="E11408" i="5"/>
  <c r="E11407" i="5"/>
  <c r="E11406" i="5"/>
  <c r="E11405" i="5"/>
  <c r="E11404" i="5"/>
  <c r="E11403" i="5"/>
  <c r="E11402" i="5"/>
  <c r="E11401" i="5"/>
  <c r="E11400" i="5"/>
  <c r="E11399" i="5"/>
  <c r="E11398" i="5"/>
  <c r="E11397" i="5"/>
  <c r="E11396" i="5"/>
  <c r="E11395" i="5"/>
  <c r="E11394" i="5"/>
  <c r="E11393" i="5"/>
  <c r="E11392" i="5"/>
  <c r="E11391" i="5"/>
  <c r="E11390" i="5"/>
  <c r="E11389" i="5"/>
  <c r="E11388" i="5"/>
  <c r="E11387" i="5"/>
  <c r="E11386" i="5"/>
  <c r="E11385" i="5"/>
  <c r="E11384" i="5"/>
  <c r="E11383" i="5"/>
  <c r="E11382" i="5"/>
  <c r="E11381" i="5"/>
  <c r="E11380" i="5"/>
  <c r="E11379" i="5"/>
  <c r="E11378" i="5"/>
  <c r="E11377" i="5"/>
  <c r="E11376" i="5"/>
  <c r="E11375" i="5"/>
  <c r="E11374" i="5"/>
  <c r="E11373" i="5"/>
  <c r="E11372" i="5"/>
  <c r="E11371" i="5"/>
  <c r="E11370" i="5"/>
  <c r="E11369" i="5"/>
  <c r="E11368" i="5"/>
  <c r="E11367" i="5"/>
  <c r="E11366" i="5"/>
  <c r="E11365" i="5"/>
  <c r="E11364" i="5"/>
  <c r="E11363" i="5"/>
  <c r="E11362" i="5"/>
  <c r="E11361" i="5"/>
  <c r="E11360" i="5"/>
  <c r="E11359" i="5"/>
  <c r="E11358" i="5"/>
  <c r="E11357" i="5"/>
  <c r="E11356" i="5"/>
  <c r="E11355" i="5"/>
  <c r="E11354" i="5"/>
  <c r="E11353" i="5"/>
  <c r="E11352" i="5"/>
  <c r="E11351" i="5"/>
  <c r="E11350" i="5"/>
  <c r="E11349" i="5"/>
  <c r="E11348" i="5"/>
  <c r="E11347" i="5"/>
  <c r="E11346" i="5"/>
  <c r="E11345" i="5"/>
  <c r="E11344" i="5"/>
  <c r="E11343" i="5"/>
  <c r="E11342" i="5"/>
  <c r="E11341" i="5"/>
  <c r="E11340" i="5"/>
  <c r="E11339" i="5"/>
  <c r="E11338" i="5"/>
  <c r="E11337" i="5"/>
  <c r="E11336" i="5"/>
  <c r="E11335" i="5"/>
  <c r="E11334" i="5"/>
  <c r="E11333" i="5"/>
  <c r="E11332" i="5"/>
  <c r="E11331" i="5"/>
  <c r="E11330" i="5"/>
  <c r="E11329" i="5"/>
  <c r="E11328" i="5"/>
  <c r="E11327" i="5"/>
  <c r="E11326" i="5"/>
  <c r="E11325" i="5"/>
  <c r="E11324" i="5"/>
  <c r="E11323" i="5"/>
  <c r="E11322" i="5"/>
  <c r="E11321" i="5"/>
  <c r="E11320" i="5"/>
  <c r="E11319" i="5"/>
  <c r="E11318" i="5"/>
  <c r="E11317" i="5"/>
  <c r="E11316" i="5"/>
  <c r="E11315" i="5"/>
  <c r="E11314" i="5"/>
  <c r="E11313" i="5"/>
  <c r="E11312" i="5"/>
  <c r="E11311" i="5"/>
  <c r="E11310" i="5"/>
  <c r="E11309" i="5"/>
  <c r="E11308" i="5"/>
  <c r="E11307" i="5"/>
  <c r="E11306" i="5"/>
  <c r="E11305" i="5"/>
  <c r="E11304" i="5"/>
  <c r="E11303" i="5"/>
  <c r="E11302" i="5"/>
  <c r="E11301" i="5"/>
  <c r="E11300" i="5"/>
  <c r="E11299" i="5"/>
  <c r="E11298" i="5"/>
  <c r="E11297" i="5"/>
  <c r="E11296" i="5"/>
  <c r="E11295" i="5"/>
  <c r="E11294" i="5"/>
  <c r="E11293" i="5"/>
  <c r="E11292" i="5"/>
  <c r="E11291" i="5"/>
  <c r="E11290" i="5"/>
  <c r="E11289" i="5"/>
  <c r="E11288" i="5"/>
  <c r="E11287" i="5"/>
  <c r="E11286" i="5"/>
  <c r="E11285" i="5"/>
  <c r="E11284" i="5"/>
  <c r="E11283" i="5"/>
  <c r="E11282" i="5"/>
  <c r="E11281" i="5"/>
  <c r="E11280" i="5"/>
  <c r="E11279" i="5"/>
  <c r="E11278" i="5"/>
  <c r="E11277" i="5"/>
  <c r="E11276" i="5"/>
  <c r="E11275" i="5"/>
  <c r="E11274" i="5"/>
  <c r="E11273" i="5"/>
  <c r="E11272" i="5"/>
  <c r="E11271" i="5"/>
  <c r="E11270" i="5"/>
  <c r="E11269" i="5"/>
  <c r="E11268" i="5"/>
  <c r="E11267" i="5"/>
  <c r="E11266" i="5"/>
  <c r="E11265" i="5"/>
  <c r="E11264" i="5"/>
  <c r="E11263" i="5"/>
  <c r="E11262" i="5"/>
  <c r="E11261" i="5"/>
  <c r="E11260" i="5"/>
  <c r="E11259" i="5"/>
  <c r="E11258" i="5"/>
  <c r="E11257" i="5"/>
  <c r="E11256" i="5"/>
  <c r="E11255" i="5"/>
  <c r="E11254" i="5"/>
  <c r="E11253" i="5"/>
  <c r="E11252" i="5"/>
  <c r="E11251" i="5"/>
  <c r="E11250" i="5"/>
  <c r="E11249" i="5"/>
  <c r="E11248" i="5"/>
  <c r="E11247" i="5"/>
  <c r="E11246" i="5"/>
  <c r="E11245" i="5"/>
  <c r="E11244" i="5"/>
  <c r="E11243" i="5"/>
  <c r="E11242" i="5"/>
  <c r="E11241" i="5"/>
  <c r="E11240" i="5"/>
  <c r="E11239" i="5"/>
  <c r="E11238" i="5"/>
  <c r="E11237" i="5"/>
  <c r="E11236" i="5"/>
  <c r="E11235" i="5"/>
  <c r="E11234" i="5"/>
  <c r="E11233" i="5"/>
  <c r="E11232" i="5"/>
  <c r="E11231" i="5"/>
  <c r="E11230" i="5"/>
  <c r="E11229" i="5"/>
  <c r="E11228" i="5"/>
  <c r="E11227" i="5"/>
  <c r="E11226" i="5"/>
  <c r="E11225" i="5"/>
  <c r="E11224" i="5"/>
  <c r="E11223" i="5"/>
  <c r="E11222" i="5"/>
  <c r="E11221" i="5"/>
  <c r="E11220" i="5"/>
  <c r="E11219" i="5"/>
  <c r="E11218" i="5"/>
  <c r="E11217" i="5"/>
  <c r="E11216" i="5"/>
  <c r="E11215" i="5"/>
  <c r="E11214" i="5"/>
  <c r="E11213" i="5"/>
  <c r="E11212" i="5"/>
  <c r="E11211" i="5"/>
  <c r="E11210" i="5"/>
  <c r="E11209" i="5"/>
  <c r="E11208" i="5"/>
  <c r="E11207" i="5"/>
  <c r="E11206" i="5"/>
  <c r="E11205" i="5"/>
  <c r="E11204" i="5"/>
  <c r="E11203" i="5"/>
  <c r="E11202" i="5"/>
  <c r="E11201" i="5"/>
  <c r="E11200" i="5"/>
  <c r="E11199" i="5"/>
  <c r="E11198" i="5"/>
  <c r="E11197" i="5"/>
  <c r="E11196" i="5"/>
  <c r="E11195" i="5"/>
  <c r="E11194" i="5"/>
  <c r="E11193" i="5"/>
  <c r="E11192" i="5"/>
  <c r="E11191" i="5"/>
  <c r="E11190" i="5"/>
  <c r="E11189" i="5"/>
  <c r="E11188" i="5"/>
  <c r="E11187" i="5"/>
  <c r="E11186" i="5"/>
  <c r="E11185" i="5"/>
  <c r="E11184" i="5"/>
  <c r="E11183" i="5"/>
  <c r="E11182" i="5"/>
  <c r="E11181" i="5"/>
  <c r="E11180" i="5"/>
  <c r="E11179" i="5"/>
  <c r="E11178" i="5"/>
  <c r="E11177" i="5"/>
  <c r="E11176" i="5"/>
  <c r="E11175" i="5"/>
  <c r="E11174" i="5"/>
  <c r="E11173" i="5"/>
  <c r="E11172" i="5"/>
  <c r="E11171" i="5"/>
  <c r="E11170" i="5"/>
  <c r="E11169" i="5"/>
  <c r="E11168" i="5"/>
  <c r="E11167" i="5"/>
  <c r="E11166" i="5"/>
  <c r="E11165" i="5"/>
  <c r="E11164" i="5"/>
  <c r="E11163" i="5"/>
  <c r="E11162" i="5"/>
  <c r="E11161" i="5"/>
  <c r="E11160" i="5"/>
  <c r="E11159" i="5"/>
  <c r="E11158" i="5"/>
  <c r="E11157" i="5"/>
  <c r="E11156" i="5"/>
  <c r="E11155" i="5"/>
  <c r="E11154" i="5"/>
  <c r="E11153" i="5"/>
  <c r="E11152" i="5"/>
  <c r="E11151" i="5"/>
  <c r="E11150" i="5"/>
  <c r="E11149" i="5"/>
  <c r="E11148" i="5"/>
  <c r="E11147" i="5"/>
  <c r="E11146" i="5"/>
  <c r="E11145" i="5"/>
  <c r="E11144" i="5"/>
  <c r="E11143" i="5"/>
  <c r="E11142" i="5"/>
  <c r="E11141" i="5"/>
  <c r="E11140" i="5"/>
  <c r="E11139" i="5"/>
  <c r="E11138" i="5"/>
  <c r="E11137" i="5"/>
  <c r="E11136" i="5"/>
  <c r="E11135" i="5"/>
  <c r="E11134" i="5"/>
  <c r="E11133" i="5"/>
  <c r="E11132" i="5"/>
  <c r="E11131" i="5"/>
  <c r="E11130" i="5"/>
  <c r="E11129" i="5"/>
  <c r="E11128" i="5"/>
  <c r="E11127" i="5"/>
  <c r="E11126" i="5"/>
  <c r="E11125" i="5"/>
  <c r="E11124" i="5"/>
  <c r="E11123" i="5"/>
  <c r="E11122" i="5"/>
  <c r="E11121" i="5"/>
  <c r="E11120" i="5"/>
  <c r="E11119" i="5"/>
  <c r="E11118" i="5"/>
  <c r="E11117" i="5"/>
  <c r="E11116" i="5"/>
  <c r="E11115" i="5"/>
  <c r="E11114" i="5"/>
  <c r="E11113" i="5"/>
  <c r="E11112" i="5"/>
  <c r="E11111" i="5"/>
  <c r="E11110" i="5"/>
  <c r="E11109" i="5"/>
  <c r="E11108" i="5"/>
  <c r="E11107" i="5"/>
  <c r="E11106" i="5"/>
  <c r="E11105" i="5"/>
  <c r="E11104" i="5"/>
  <c r="E11103" i="5"/>
  <c r="E11102" i="5"/>
  <c r="E11101" i="5"/>
  <c r="E11100" i="5"/>
  <c r="E11099" i="5"/>
  <c r="E11098" i="5"/>
  <c r="E11097" i="5"/>
  <c r="E11096" i="5"/>
  <c r="E11095" i="5"/>
  <c r="E11094" i="5"/>
  <c r="E11093" i="5"/>
  <c r="E11092" i="5"/>
  <c r="E11091" i="5"/>
  <c r="E11090" i="5"/>
  <c r="E11089" i="5"/>
  <c r="E11088" i="5"/>
  <c r="E11087" i="5"/>
  <c r="E11086" i="5"/>
  <c r="E11085" i="5"/>
  <c r="E11084" i="5"/>
  <c r="E11083" i="5"/>
  <c r="E11082" i="5"/>
  <c r="E11081" i="5"/>
  <c r="E11080" i="5"/>
  <c r="E11079" i="5"/>
  <c r="E11078" i="5"/>
  <c r="E11077" i="5"/>
  <c r="E11076" i="5"/>
  <c r="E11075" i="5"/>
  <c r="E11074" i="5"/>
  <c r="E11073" i="5"/>
  <c r="E11072" i="5"/>
  <c r="E11071" i="5"/>
  <c r="E11070" i="5"/>
  <c r="E11069" i="5"/>
  <c r="E11068" i="5"/>
  <c r="E11067" i="5"/>
  <c r="E11066" i="5"/>
  <c r="E11065" i="5"/>
  <c r="E11064" i="5"/>
  <c r="E11063" i="5"/>
  <c r="E11062" i="5"/>
  <c r="E11061" i="5"/>
  <c r="E11060" i="5"/>
  <c r="E11059" i="5"/>
  <c r="E11058" i="5"/>
  <c r="E11057" i="5"/>
  <c r="E11056" i="5"/>
  <c r="E11055" i="5"/>
  <c r="E11054" i="5"/>
  <c r="E11053" i="5"/>
  <c r="E11052" i="5"/>
  <c r="E11051" i="5"/>
  <c r="E11050" i="5"/>
  <c r="E11049" i="5"/>
  <c r="E11048" i="5"/>
  <c r="E11047" i="5"/>
  <c r="E11046" i="5"/>
  <c r="E11045" i="5"/>
  <c r="E11044" i="5"/>
  <c r="E11043" i="5"/>
  <c r="E11042" i="5"/>
  <c r="E11041" i="5"/>
  <c r="E11040" i="5"/>
  <c r="E11039" i="5"/>
  <c r="E11038" i="5"/>
  <c r="E11037" i="5"/>
  <c r="E11036" i="5"/>
  <c r="E11035" i="5"/>
  <c r="E11034" i="5"/>
  <c r="E11033" i="5"/>
  <c r="E11032" i="5"/>
  <c r="E11031" i="5"/>
  <c r="E11030" i="5"/>
  <c r="E11029" i="5"/>
  <c r="E11028" i="5"/>
  <c r="E11027" i="5"/>
  <c r="E11026" i="5"/>
  <c r="E11025" i="5"/>
  <c r="E11024" i="5"/>
  <c r="E11023" i="5"/>
  <c r="E11022" i="5"/>
  <c r="E11021" i="5"/>
  <c r="E11020" i="5"/>
  <c r="E11019" i="5"/>
  <c r="E11018" i="5"/>
  <c r="E11017" i="5"/>
  <c r="E11016" i="5"/>
  <c r="E11015" i="5"/>
  <c r="E11014" i="5"/>
  <c r="E11013" i="5"/>
  <c r="E11012" i="5"/>
  <c r="E11011" i="5"/>
  <c r="E11010" i="5"/>
  <c r="E11009" i="5"/>
  <c r="E11008" i="5"/>
  <c r="E11007" i="5"/>
  <c r="E11006" i="5"/>
  <c r="E11005" i="5"/>
  <c r="E11004" i="5"/>
  <c r="E11003" i="5"/>
  <c r="E11002" i="5"/>
  <c r="E11001" i="5"/>
  <c r="E11000" i="5"/>
  <c r="E10999" i="5"/>
  <c r="E10998" i="5"/>
  <c r="E10997" i="5"/>
  <c r="E10996" i="5"/>
  <c r="E10995" i="5"/>
  <c r="E10994" i="5"/>
  <c r="E10993" i="5"/>
  <c r="E10992" i="5"/>
  <c r="E10991" i="5"/>
  <c r="E10990" i="5"/>
  <c r="E10989" i="5"/>
  <c r="E10988" i="5"/>
  <c r="E10987" i="5"/>
  <c r="E10986" i="5"/>
  <c r="E10985" i="5"/>
  <c r="E10984" i="5"/>
  <c r="E10983" i="5"/>
  <c r="E10982" i="5"/>
  <c r="E10981" i="5"/>
  <c r="E10980" i="5"/>
  <c r="E10979" i="5"/>
  <c r="E10978" i="5"/>
  <c r="E10977" i="5"/>
  <c r="E10976" i="5"/>
  <c r="E10975" i="5"/>
  <c r="E10974" i="5"/>
  <c r="E10973" i="5"/>
  <c r="E10972" i="5"/>
  <c r="E10971" i="5"/>
  <c r="E10970" i="5"/>
  <c r="E10969" i="5"/>
  <c r="E10968" i="5"/>
  <c r="E10967" i="5"/>
  <c r="E10966" i="5"/>
  <c r="E10965" i="5"/>
  <c r="E10964" i="5"/>
  <c r="E10963" i="5"/>
  <c r="E10962" i="5"/>
  <c r="E10961" i="5"/>
  <c r="E10960" i="5"/>
  <c r="E10959" i="5"/>
  <c r="E10958" i="5"/>
  <c r="E10957" i="5"/>
  <c r="E10956" i="5"/>
  <c r="E10955" i="5"/>
  <c r="E10954" i="5"/>
  <c r="E10953" i="5"/>
  <c r="E10952" i="5"/>
  <c r="E10951" i="5"/>
  <c r="E10950" i="5"/>
  <c r="E10949" i="5"/>
  <c r="E10948" i="5"/>
  <c r="E10947" i="5"/>
  <c r="E10946" i="5"/>
  <c r="E10945" i="5"/>
  <c r="E10944" i="5"/>
  <c r="E10943" i="5"/>
  <c r="E10942" i="5"/>
  <c r="E10941" i="5"/>
  <c r="E10940" i="5"/>
  <c r="E10939" i="5"/>
  <c r="E10938" i="5"/>
  <c r="E10937" i="5"/>
  <c r="E10936" i="5"/>
  <c r="E10935" i="5"/>
  <c r="E10934" i="5"/>
  <c r="E10933" i="5"/>
  <c r="E10932" i="5"/>
  <c r="E10931" i="5"/>
  <c r="E10930" i="5"/>
  <c r="E10929" i="5"/>
  <c r="E10928" i="5"/>
  <c r="E10927" i="5"/>
  <c r="E10926" i="5"/>
  <c r="E10925" i="5"/>
  <c r="E10924" i="5"/>
  <c r="E10923" i="5"/>
  <c r="E10922" i="5"/>
  <c r="E10921" i="5"/>
  <c r="E10920" i="5"/>
  <c r="E10919" i="5"/>
  <c r="E10918" i="5"/>
  <c r="E10917" i="5"/>
  <c r="E10916" i="5"/>
  <c r="E10915" i="5"/>
  <c r="E10914" i="5"/>
  <c r="E10913" i="5"/>
  <c r="E10912" i="5"/>
  <c r="E10911" i="5"/>
  <c r="E10910" i="5"/>
  <c r="E10909" i="5"/>
  <c r="E10908" i="5"/>
  <c r="E10907" i="5"/>
  <c r="E10906" i="5"/>
  <c r="E10905" i="5"/>
  <c r="E10904" i="5"/>
  <c r="E10903" i="5"/>
  <c r="E10902" i="5"/>
  <c r="E10901" i="5"/>
  <c r="E10900" i="5"/>
  <c r="E10899" i="5"/>
  <c r="E10898" i="5"/>
  <c r="E10897" i="5"/>
  <c r="E10896" i="5"/>
  <c r="E10895" i="5"/>
  <c r="E10894" i="5"/>
  <c r="E10893" i="5"/>
  <c r="E10892" i="5"/>
  <c r="E10891" i="5"/>
  <c r="E10890" i="5"/>
  <c r="E10889" i="5"/>
  <c r="E10888" i="5"/>
  <c r="E10887" i="5"/>
  <c r="E10886" i="5"/>
  <c r="E10885" i="5"/>
  <c r="E10884" i="5"/>
  <c r="E10883" i="5"/>
  <c r="E10882" i="5"/>
  <c r="E10881" i="5"/>
  <c r="E10880" i="5"/>
  <c r="E10879" i="5"/>
  <c r="E10878" i="5"/>
  <c r="E10877" i="5"/>
  <c r="E10876" i="5"/>
  <c r="E10875" i="5"/>
  <c r="E10874" i="5"/>
  <c r="E10873" i="5"/>
  <c r="E10872" i="5"/>
  <c r="E10871" i="5"/>
  <c r="E10870" i="5"/>
  <c r="E10869" i="5"/>
  <c r="E10868" i="5"/>
  <c r="E10867" i="5"/>
  <c r="E10866" i="5"/>
  <c r="E10865" i="5"/>
  <c r="E10864" i="5"/>
  <c r="E10863" i="5"/>
  <c r="E10862" i="5"/>
  <c r="E10861" i="5"/>
  <c r="E10860" i="5"/>
  <c r="E10859" i="5"/>
  <c r="E10858" i="5"/>
  <c r="E10857" i="5"/>
  <c r="E10856" i="5"/>
  <c r="E10855" i="5"/>
  <c r="E10854" i="5"/>
  <c r="E10853" i="5"/>
  <c r="E10852" i="5"/>
  <c r="E10851" i="5"/>
  <c r="E10850" i="5"/>
  <c r="E10849" i="5"/>
  <c r="E10848" i="5"/>
  <c r="E10847" i="5"/>
  <c r="E10846" i="5"/>
  <c r="E10845" i="5"/>
  <c r="E10844" i="5"/>
  <c r="E10843" i="5"/>
  <c r="E10842" i="5"/>
  <c r="E10841" i="5"/>
  <c r="E10840" i="5"/>
  <c r="E10839" i="5"/>
  <c r="E10838" i="5"/>
  <c r="E10837" i="5"/>
  <c r="E10836" i="5"/>
  <c r="E10835" i="5"/>
  <c r="E10834" i="5"/>
  <c r="E10833" i="5"/>
  <c r="E10832" i="5"/>
  <c r="E10831" i="5"/>
  <c r="E10830" i="5"/>
  <c r="E10829" i="5"/>
  <c r="E10828" i="5"/>
  <c r="E10827" i="5"/>
  <c r="E10826" i="5"/>
  <c r="E10825" i="5"/>
  <c r="E10824" i="5"/>
  <c r="E10823" i="5"/>
  <c r="E10822" i="5"/>
  <c r="E10821" i="5"/>
  <c r="E10820" i="5"/>
  <c r="E10819" i="5"/>
  <c r="E10818" i="5"/>
  <c r="E10817" i="5"/>
  <c r="E10816" i="5"/>
  <c r="E10815" i="5"/>
  <c r="E10814" i="5"/>
  <c r="E10813" i="5"/>
  <c r="E10812" i="5"/>
  <c r="E10811" i="5"/>
  <c r="E10810" i="5"/>
  <c r="E10809" i="5"/>
  <c r="E10808" i="5"/>
  <c r="E10807" i="5"/>
  <c r="E10806" i="5"/>
  <c r="E10805" i="5"/>
  <c r="E10804" i="5"/>
  <c r="E10803" i="5"/>
  <c r="E10802" i="5"/>
  <c r="E10801" i="5"/>
  <c r="E10800" i="5"/>
  <c r="E10799" i="5"/>
  <c r="E10798" i="5"/>
  <c r="E10797" i="5"/>
  <c r="E10796" i="5"/>
  <c r="E10795" i="5"/>
  <c r="E10794" i="5"/>
  <c r="E10793" i="5"/>
  <c r="E10792" i="5"/>
  <c r="E10791" i="5"/>
  <c r="E10790" i="5"/>
  <c r="E10789" i="5"/>
  <c r="E10788" i="5"/>
  <c r="E10787" i="5"/>
  <c r="E10786" i="5"/>
  <c r="E10785" i="5"/>
  <c r="E10784" i="5"/>
  <c r="E10783" i="5"/>
  <c r="E10782" i="5"/>
  <c r="E10781" i="5"/>
  <c r="E10780" i="5"/>
  <c r="E10779" i="5"/>
  <c r="E10778" i="5"/>
  <c r="E10777" i="5"/>
  <c r="E10776" i="5"/>
  <c r="E10775" i="5"/>
  <c r="E10774" i="5"/>
  <c r="E10773" i="5"/>
  <c r="E10772" i="5"/>
  <c r="E10771" i="5"/>
  <c r="E10770" i="5"/>
  <c r="E10769" i="5"/>
  <c r="E10768" i="5"/>
  <c r="E10767" i="5"/>
  <c r="E10766" i="5"/>
  <c r="E10765" i="5"/>
  <c r="E10764" i="5"/>
  <c r="E10763" i="5"/>
  <c r="E10762" i="5"/>
  <c r="E10761" i="5"/>
  <c r="E10760" i="5"/>
  <c r="E10759" i="5"/>
  <c r="E10758" i="5"/>
  <c r="E10757" i="5"/>
  <c r="E10756" i="5"/>
  <c r="E10755" i="5"/>
  <c r="E10754" i="5"/>
  <c r="E10753" i="5"/>
  <c r="E10752" i="5"/>
  <c r="E10751" i="5"/>
  <c r="E10750" i="5"/>
  <c r="E10749" i="5"/>
  <c r="E10748" i="5"/>
  <c r="E10747" i="5"/>
  <c r="E10746" i="5"/>
  <c r="E10745" i="5"/>
  <c r="E10744" i="5"/>
  <c r="E10743" i="5"/>
  <c r="E10742" i="5"/>
  <c r="E10741" i="5"/>
  <c r="E10740" i="5"/>
  <c r="E10739" i="5"/>
  <c r="E10738" i="5"/>
  <c r="E10737" i="5"/>
  <c r="E10736" i="5"/>
  <c r="E10735" i="5"/>
  <c r="E10734" i="5"/>
  <c r="E10733" i="5"/>
  <c r="E10732" i="5"/>
  <c r="E10731" i="5"/>
  <c r="E10730" i="5"/>
  <c r="E10729" i="5"/>
  <c r="E10728" i="5"/>
  <c r="E10727" i="5"/>
  <c r="E10726" i="5"/>
  <c r="E10725" i="5"/>
  <c r="E10724" i="5"/>
  <c r="E10723" i="5"/>
  <c r="E10722" i="5"/>
  <c r="E10721" i="5"/>
  <c r="E10720" i="5"/>
  <c r="E10719" i="5"/>
  <c r="E10718" i="5"/>
  <c r="E10717" i="5"/>
  <c r="E10716" i="5"/>
  <c r="E10715" i="5"/>
  <c r="E10714" i="5"/>
  <c r="E10713" i="5"/>
  <c r="E10712" i="5"/>
  <c r="E10711" i="5"/>
  <c r="E10710" i="5"/>
  <c r="E10709" i="5"/>
  <c r="E10708" i="5"/>
  <c r="E10707" i="5"/>
  <c r="E10706" i="5"/>
  <c r="E10705" i="5"/>
  <c r="E10704" i="5"/>
  <c r="E10703" i="5"/>
  <c r="E10702" i="5"/>
  <c r="E10701" i="5"/>
  <c r="E10700" i="5"/>
  <c r="E10699" i="5"/>
  <c r="E10698" i="5"/>
  <c r="E10697" i="5"/>
  <c r="E10696" i="5"/>
  <c r="E10695" i="5"/>
  <c r="E10694" i="5"/>
  <c r="E10693" i="5"/>
  <c r="E10692" i="5"/>
  <c r="E10691" i="5"/>
  <c r="E10690" i="5"/>
  <c r="E10689" i="5"/>
  <c r="E10688" i="5"/>
  <c r="E10687" i="5"/>
  <c r="E10686" i="5"/>
  <c r="E10685" i="5"/>
  <c r="E10684" i="5"/>
  <c r="E10683" i="5"/>
  <c r="E10682" i="5"/>
  <c r="E10681" i="5"/>
  <c r="E10680" i="5"/>
  <c r="E10679" i="5"/>
  <c r="E10678" i="5"/>
  <c r="E10677" i="5"/>
  <c r="E10676" i="5"/>
  <c r="E10675" i="5"/>
  <c r="E10674" i="5"/>
  <c r="E10673" i="5"/>
  <c r="E10672" i="5"/>
  <c r="E10671" i="5"/>
  <c r="E10670" i="5"/>
  <c r="E10669" i="5"/>
  <c r="E10668" i="5"/>
  <c r="E10667" i="5"/>
  <c r="E10666" i="5"/>
  <c r="E10665" i="5"/>
  <c r="E10664" i="5"/>
  <c r="E10663" i="5"/>
  <c r="E10662" i="5"/>
  <c r="E10661" i="5"/>
  <c r="E10660" i="5"/>
  <c r="E10659" i="5"/>
  <c r="E10658" i="5"/>
  <c r="E10657" i="5"/>
  <c r="E10656" i="5"/>
  <c r="E10655" i="5"/>
  <c r="E10654" i="5"/>
  <c r="E10653" i="5"/>
  <c r="E10652" i="5"/>
  <c r="E10651" i="5"/>
  <c r="E10650" i="5"/>
  <c r="E10649" i="5"/>
  <c r="E10648" i="5"/>
  <c r="E10647" i="5"/>
  <c r="E10646" i="5"/>
  <c r="E10645" i="5"/>
  <c r="E10644" i="5"/>
  <c r="E10643" i="5"/>
  <c r="E10642" i="5"/>
  <c r="E10641" i="5"/>
  <c r="E10640" i="5"/>
  <c r="E10639" i="5"/>
  <c r="E10638" i="5"/>
  <c r="E10637" i="5"/>
  <c r="E10636" i="5"/>
  <c r="E10635" i="5"/>
  <c r="E10634" i="5"/>
  <c r="E10633" i="5"/>
  <c r="E10632" i="5"/>
  <c r="E10631" i="5"/>
  <c r="E10630" i="5"/>
  <c r="E10629" i="5"/>
  <c r="E10628" i="5"/>
  <c r="E10627" i="5"/>
  <c r="E10626" i="5"/>
  <c r="E10625" i="5"/>
  <c r="E10624" i="5"/>
  <c r="E10623" i="5"/>
  <c r="E10622" i="5"/>
  <c r="E10621" i="5"/>
  <c r="E10620" i="5"/>
  <c r="E10619" i="5"/>
  <c r="E10618" i="5"/>
  <c r="E10617" i="5"/>
  <c r="E10616" i="5"/>
  <c r="E10615" i="5"/>
  <c r="E10614" i="5"/>
  <c r="E10613" i="5"/>
  <c r="E10612" i="5"/>
  <c r="E10611" i="5"/>
  <c r="E10610" i="5"/>
  <c r="E10609" i="5"/>
  <c r="E10608" i="5"/>
  <c r="E10607" i="5"/>
  <c r="E10606" i="5"/>
  <c r="E10605" i="5"/>
  <c r="E10604" i="5"/>
  <c r="E10603" i="5"/>
  <c r="E10602" i="5"/>
  <c r="E10601" i="5"/>
  <c r="E10600" i="5"/>
  <c r="E10599" i="5"/>
  <c r="E10598" i="5"/>
  <c r="E10597" i="5"/>
  <c r="E10596" i="5"/>
  <c r="E10595" i="5"/>
  <c r="E10594" i="5"/>
  <c r="E10593" i="5"/>
  <c r="E10592" i="5"/>
  <c r="E10591" i="5"/>
  <c r="E10590" i="5"/>
  <c r="E10589" i="5"/>
  <c r="E10588" i="5"/>
  <c r="E10587" i="5"/>
  <c r="E10586" i="5"/>
  <c r="E10585" i="5"/>
  <c r="E10584" i="5"/>
  <c r="E10583" i="5"/>
  <c r="E10582" i="5"/>
  <c r="E10581" i="5"/>
  <c r="E10580" i="5"/>
  <c r="E10579" i="5"/>
  <c r="E10578" i="5"/>
  <c r="E10577" i="5"/>
  <c r="E10576" i="5"/>
  <c r="E10575" i="5"/>
  <c r="E10574" i="5"/>
  <c r="E10573" i="5"/>
  <c r="E10572" i="5"/>
  <c r="E10571" i="5"/>
  <c r="E10570" i="5"/>
  <c r="E10569" i="5"/>
  <c r="E10568" i="5"/>
  <c r="E10567" i="5"/>
  <c r="E10566" i="5"/>
  <c r="E10565" i="5"/>
  <c r="E10564" i="5"/>
  <c r="E10563" i="5"/>
  <c r="E10562" i="5"/>
  <c r="E10561" i="5"/>
  <c r="E10560" i="5"/>
  <c r="E10559" i="5"/>
  <c r="E10558" i="5"/>
  <c r="E10557" i="5"/>
  <c r="E10556" i="5"/>
  <c r="E10555" i="5"/>
  <c r="E10554" i="5"/>
  <c r="E10553" i="5"/>
  <c r="E10552" i="5"/>
  <c r="E10551" i="5"/>
  <c r="E10550" i="5"/>
  <c r="E10549" i="5"/>
  <c r="E10548" i="5"/>
  <c r="E10547" i="5"/>
  <c r="E10546" i="5"/>
  <c r="E10545" i="5"/>
  <c r="E10544" i="5"/>
  <c r="E10543" i="5"/>
  <c r="E10542" i="5"/>
  <c r="E10541" i="5"/>
  <c r="E10540" i="5"/>
  <c r="E10539" i="5"/>
  <c r="E10538" i="5"/>
  <c r="E10537" i="5"/>
  <c r="E10536" i="5"/>
  <c r="E10535" i="5"/>
  <c r="E10534" i="5"/>
  <c r="E10533" i="5"/>
  <c r="E10532" i="5"/>
  <c r="E10531" i="5"/>
  <c r="E10530" i="5"/>
  <c r="E10529" i="5"/>
  <c r="E10528" i="5"/>
  <c r="E10527" i="5"/>
  <c r="E10526" i="5"/>
  <c r="E10525" i="5"/>
  <c r="E10524" i="5"/>
  <c r="E10523" i="5"/>
  <c r="E10522" i="5"/>
  <c r="E10521" i="5"/>
  <c r="E10520" i="5"/>
  <c r="E10519" i="5"/>
  <c r="E10518" i="5"/>
  <c r="E10517" i="5"/>
  <c r="E10516" i="5"/>
  <c r="E10515" i="5"/>
  <c r="E10514" i="5"/>
  <c r="E10513" i="5"/>
  <c r="E10512" i="5"/>
  <c r="E10511" i="5"/>
  <c r="E10510" i="5"/>
  <c r="E10509" i="5"/>
  <c r="E10508" i="5"/>
  <c r="E10507" i="5"/>
  <c r="E10506" i="5"/>
  <c r="E10505" i="5"/>
  <c r="E10504" i="5"/>
  <c r="E10503" i="5"/>
  <c r="E10502" i="5"/>
  <c r="E10501" i="5"/>
  <c r="E10500" i="5"/>
  <c r="E10499" i="5"/>
  <c r="E10498" i="5"/>
  <c r="E10497" i="5"/>
  <c r="E10496" i="5"/>
  <c r="E10495" i="5"/>
  <c r="E10494" i="5"/>
  <c r="E10493" i="5"/>
  <c r="E10492" i="5"/>
  <c r="E10491" i="5"/>
  <c r="E10490" i="5"/>
  <c r="E10489" i="5"/>
  <c r="E10488" i="5"/>
  <c r="E10487" i="5"/>
  <c r="E10486" i="5"/>
  <c r="E10485" i="5"/>
  <c r="E10484" i="5"/>
  <c r="E10483" i="5"/>
  <c r="E10482" i="5"/>
  <c r="E10481" i="5"/>
  <c r="E10480" i="5"/>
  <c r="E10479" i="5"/>
  <c r="E10478" i="5"/>
  <c r="E10477" i="5"/>
  <c r="E10476" i="5"/>
  <c r="E10475" i="5"/>
  <c r="E10474" i="5"/>
  <c r="E10473" i="5"/>
  <c r="E10472" i="5"/>
  <c r="E10471" i="5"/>
  <c r="E10470" i="5"/>
  <c r="E10469" i="5"/>
  <c r="E10468" i="5"/>
  <c r="E10467" i="5"/>
  <c r="E10466" i="5"/>
  <c r="E10465" i="5"/>
  <c r="E10464" i="5"/>
  <c r="E10463" i="5"/>
  <c r="E10462" i="5"/>
  <c r="E10461" i="5"/>
  <c r="E10460" i="5"/>
  <c r="E10459" i="5"/>
  <c r="E10458" i="5"/>
  <c r="E10457" i="5"/>
  <c r="E10456" i="5"/>
  <c r="E10455" i="5"/>
  <c r="E10454" i="5"/>
  <c r="E10453" i="5"/>
  <c r="E10452" i="5"/>
  <c r="E10451" i="5"/>
  <c r="E10450" i="5"/>
  <c r="E10449" i="5"/>
  <c r="E10448" i="5"/>
  <c r="E10447" i="5"/>
  <c r="E10446" i="5"/>
  <c r="E10445" i="5"/>
  <c r="E10444" i="5"/>
  <c r="E10443" i="5"/>
  <c r="E10442" i="5"/>
  <c r="E10441" i="5"/>
  <c r="E10440" i="5"/>
  <c r="E10439" i="5"/>
  <c r="E10438" i="5"/>
  <c r="E10437" i="5"/>
  <c r="E10436" i="5"/>
  <c r="E10435" i="5"/>
  <c r="E10434" i="5"/>
  <c r="E10433" i="5"/>
  <c r="E10432" i="5"/>
  <c r="E10431" i="5"/>
  <c r="E10430" i="5"/>
  <c r="E10429" i="5"/>
  <c r="E10428" i="5"/>
  <c r="E10427" i="5"/>
  <c r="E10426" i="5"/>
  <c r="E10425" i="5"/>
  <c r="E10424" i="5"/>
  <c r="E10423" i="5"/>
  <c r="E10422" i="5"/>
  <c r="E10421" i="5"/>
  <c r="E10420" i="5"/>
  <c r="E10419" i="5"/>
  <c r="E10418" i="5"/>
  <c r="E10417" i="5"/>
  <c r="E10416" i="5"/>
  <c r="E10415" i="5"/>
  <c r="E10414" i="5"/>
  <c r="E10413" i="5"/>
  <c r="E10412" i="5"/>
  <c r="E10411" i="5"/>
  <c r="E10410" i="5"/>
  <c r="E10409" i="5"/>
  <c r="E10408" i="5"/>
  <c r="E10407" i="5"/>
  <c r="E10406" i="5"/>
  <c r="E10405" i="5"/>
  <c r="E10404" i="5"/>
  <c r="E10403" i="5"/>
  <c r="E10402" i="5"/>
  <c r="E10401" i="5"/>
  <c r="E10400" i="5"/>
  <c r="E10399" i="5"/>
  <c r="E10398" i="5"/>
  <c r="E10397" i="5"/>
  <c r="E10396" i="5"/>
  <c r="E10395" i="5"/>
  <c r="E10394" i="5"/>
  <c r="E10393" i="5"/>
  <c r="E10392" i="5"/>
  <c r="E10391" i="5"/>
  <c r="E10390" i="5"/>
  <c r="E10389" i="5"/>
  <c r="E10388" i="5"/>
  <c r="E10387" i="5"/>
  <c r="E10386" i="5"/>
  <c r="E10385" i="5"/>
  <c r="E10384" i="5"/>
  <c r="E10383" i="5"/>
  <c r="E10382" i="5"/>
  <c r="E10381" i="5"/>
  <c r="E10380" i="5"/>
  <c r="E10379" i="5"/>
  <c r="E10378" i="5"/>
  <c r="E10377" i="5"/>
  <c r="E10376" i="5"/>
  <c r="E10375" i="5"/>
  <c r="E10374" i="5"/>
  <c r="E10373" i="5"/>
  <c r="E10372" i="5"/>
  <c r="E10371" i="5"/>
  <c r="E10370" i="5"/>
  <c r="E10369" i="5"/>
  <c r="E10368" i="5"/>
  <c r="E10367" i="5"/>
  <c r="E10366" i="5"/>
  <c r="E10365" i="5"/>
  <c r="E10364" i="5"/>
  <c r="E10363" i="5"/>
  <c r="E10362" i="5"/>
  <c r="E10361" i="5"/>
  <c r="E10360" i="5"/>
  <c r="E10359" i="5"/>
  <c r="E10358" i="5"/>
  <c r="E10357" i="5"/>
  <c r="E10356" i="5"/>
  <c r="E10355" i="5"/>
  <c r="E10354" i="5"/>
  <c r="E10353" i="5"/>
  <c r="E10352" i="5"/>
  <c r="E10351" i="5"/>
  <c r="E10350" i="5"/>
  <c r="E10349" i="5"/>
  <c r="E10348" i="5"/>
  <c r="E10347" i="5"/>
  <c r="E10346" i="5"/>
  <c r="E10345" i="5"/>
  <c r="E10344" i="5"/>
  <c r="E10343" i="5"/>
  <c r="E10342" i="5"/>
  <c r="E10341" i="5"/>
  <c r="E10340" i="5"/>
  <c r="E10339" i="5"/>
  <c r="E10338" i="5"/>
  <c r="E10337" i="5"/>
  <c r="E10336" i="5"/>
  <c r="E10335" i="5"/>
  <c r="E10334" i="5"/>
  <c r="E10333" i="5"/>
  <c r="E10332" i="5"/>
  <c r="E10331" i="5"/>
  <c r="E10330" i="5"/>
  <c r="E10329" i="5"/>
  <c r="E10328" i="5"/>
  <c r="E10327" i="5"/>
  <c r="E10326" i="5"/>
  <c r="E10325" i="5"/>
  <c r="E10324" i="5"/>
  <c r="E10323" i="5"/>
  <c r="E10322" i="5"/>
  <c r="E10321" i="5"/>
  <c r="E10320" i="5"/>
  <c r="E10319" i="5"/>
  <c r="E10318" i="5"/>
  <c r="E10317" i="5"/>
  <c r="E10316" i="5"/>
  <c r="E10315" i="5"/>
  <c r="E10314" i="5"/>
  <c r="E10313" i="5"/>
  <c r="E10312" i="5"/>
  <c r="E10311" i="5"/>
  <c r="E10310" i="5"/>
  <c r="E10309" i="5"/>
  <c r="E10308" i="5"/>
  <c r="E10307" i="5"/>
  <c r="E10306" i="5"/>
  <c r="E10305" i="5"/>
  <c r="E10304" i="5"/>
  <c r="E10303" i="5"/>
  <c r="E10302" i="5"/>
  <c r="E10301" i="5"/>
  <c r="E10300" i="5"/>
  <c r="E10299" i="5"/>
  <c r="E10298" i="5"/>
  <c r="E10297" i="5"/>
  <c r="E10296" i="5"/>
  <c r="E10295" i="5"/>
  <c r="E10294" i="5"/>
  <c r="E10293" i="5"/>
  <c r="E10292" i="5"/>
  <c r="E10291" i="5"/>
  <c r="E10290" i="5"/>
  <c r="E10289" i="5"/>
  <c r="E10288" i="5"/>
  <c r="E10287" i="5"/>
  <c r="E10286" i="5"/>
  <c r="E10285" i="5"/>
  <c r="E10284" i="5"/>
  <c r="E10283" i="5"/>
  <c r="E10282" i="5"/>
  <c r="E10281" i="5"/>
  <c r="E10280" i="5"/>
  <c r="E10279" i="5"/>
  <c r="E10278" i="5"/>
  <c r="E10277" i="5"/>
  <c r="E10276" i="5"/>
  <c r="E10275" i="5"/>
  <c r="E10274" i="5"/>
  <c r="E10273" i="5"/>
  <c r="E10272" i="5"/>
  <c r="E10271" i="5"/>
  <c r="E10270" i="5"/>
  <c r="E10269" i="5"/>
  <c r="E10268" i="5"/>
  <c r="E10267" i="5"/>
  <c r="E10266" i="5"/>
  <c r="E10265" i="5"/>
  <c r="E10264" i="5"/>
  <c r="E10263" i="5"/>
  <c r="E10262" i="5"/>
  <c r="E10261" i="5"/>
  <c r="E10260" i="5"/>
  <c r="E10259" i="5"/>
  <c r="E10258" i="5"/>
  <c r="E10257" i="5"/>
  <c r="E10256" i="5"/>
  <c r="E10255" i="5"/>
  <c r="E10254" i="5"/>
  <c r="E10253" i="5"/>
  <c r="E10252" i="5"/>
  <c r="E10251" i="5"/>
  <c r="E10250" i="5"/>
  <c r="E10249" i="5"/>
  <c r="E10248" i="5"/>
  <c r="E10247" i="5"/>
  <c r="E10246" i="5"/>
  <c r="E10245" i="5"/>
  <c r="E10244" i="5"/>
  <c r="E10243" i="5"/>
  <c r="E10242" i="5"/>
  <c r="E10241" i="5"/>
  <c r="E10240" i="5"/>
  <c r="E10239" i="5"/>
  <c r="E10238" i="5"/>
  <c r="E10237" i="5"/>
  <c r="E10236" i="5"/>
  <c r="E10235" i="5"/>
  <c r="E10234" i="5"/>
  <c r="E10233" i="5"/>
  <c r="E10232" i="5"/>
  <c r="E10231" i="5"/>
  <c r="E10230" i="5"/>
  <c r="E10229" i="5"/>
  <c r="E10228" i="5"/>
  <c r="E10227" i="5"/>
  <c r="E10226" i="5"/>
  <c r="E10225" i="5"/>
  <c r="E10224" i="5"/>
  <c r="E10223" i="5"/>
  <c r="E10222" i="5"/>
  <c r="E10221" i="5"/>
  <c r="E10220" i="5"/>
  <c r="E10219" i="5"/>
  <c r="E10218" i="5"/>
  <c r="E10217" i="5"/>
  <c r="E10216" i="5"/>
  <c r="E10215" i="5"/>
  <c r="E10214" i="5"/>
  <c r="E10213" i="5"/>
  <c r="E10212" i="5"/>
  <c r="E10211" i="5"/>
  <c r="E10210" i="5"/>
  <c r="E10209" i="5"/>
  <c r="E10208" i="5"/>
  <c r="E10207" i="5"/>
  <c r="E10206" i="5"/>
  <c r="E10205" i="5"/>
  <c r="E10204" i="5"/>
  <c r="E10203" i="5"/>
  <c r="E10202" i="5"/>
  <c r="E10201" i="5"/>
  <c r="E10200" i="5"/>
  <c r="E10199" i="5"/>
  <c r="E10198" i="5"/>
  <c r="E10197" i="5"/>
  <c r="E10196" i="5"/>
  <c r="E10195" i="5"/>
  <c r="E10194" i="5"/>
  <c r="E10193" i="5"/>
  <c r="E10192" i="5"/>
  <c r="E10191" i="5"/>
  <c r="E10190" i="5"/>
  <c r="E10189" i="5"/>
  <c r="E10188" i="5"/>
  <c r="E10187" i="5"/>
  <c r="E10186" i="5"/>
  <c r="E10185" i="5"/>
  <c r="E10184" i="5"/>
  <c r="E10183" i="5"/>
  <c r="E10182" i="5"/>
  <c r="E10181" i="5"/>
  <c r="E10180" i="5"/>
  <c r="E10179" i="5"/>
  <c r="E10178" i="5"/>
  <c r="E10177" i="5"/>
  <c r="E10176" i="5"/>
  <c r="E10175" i="5"/>
  <c r="E10174" i="5"/>
  <c r="E10173" i="5"/>
  <c r="E10172" i="5"/>
  <c r="E10171" i="5"/>
  <c r="E10170" i="5"/>
  <c r="E10169" i="5"/>
  <c r="E10168" i="5"/>
  <c r="E10167" i="5"/>
  <c r="E10166" i="5"/>
  <c r="E10165" i="5"/>
  <c r="E10164" i="5"/>
  <c r="E10163" i="5"/>
  <c r="E10162" i="5"/>
  <c r="E10161" i="5"/>
  <c r="E10160" i="5"/>
  <c r="E10159" i="5"/>
  <c r="E10158" i="5"/>
  <c r="E10157" i="5"/>
  <c r="E10156" i="5"/>
  <c r="E10155" i="5"/>
  <c r="E10154" i="5"/>
  <c r="E10153" i="5"/>
  <c r="E10152" i="5"/>
  <c r="E10151" i="5"/>
  <c r="E10150" i="5"/>
  <c r="E10149" i="5"/>
  <c r="E10148" i="5"/>
  <c r="E10147" i="5"/>
  <c r="E10146" i="5"/>
  <c r="E10145" i="5"/>
  <c r="E10144" i="5"/>
  <c r="E10143" i="5"/>
  <c r="E10142" i="5"/>
  <c r="E10141" i="5"/>
  <c r="E10140" i="5"/>
  <c r="E10139" i="5"/>
  <c r="E10138" i="5"/>
  <c r="E10137" i="5"/>
  <c r="E10136" i="5"/>
  <c r="E10135" i="5"/>
  <c r="E10134" i="5"/>
  <c r="E10133" i="5"/>
  <c r="E10132" i="5"/>
  <c r="E10131" i="5"/>
  <c r="E10130" i="5"/>
  <c r="E10129" i="5"/>
  <c r="E10128" i="5"/>
  <c r="E10127" i="5"/>
  <c r="E10126" i="5"/>
  <c r="E10125" i="5"/>
  <c r="E10124" i="5"/>
  <c r="E10123" i="5"/>
  <c r="E10122" i="5"/>
  <c r="E10121" i="5"/>
  <c r="E10120" i="5"/>
  <c r="E10119" i="5"/>
  <c r="E10118" i="5"/>
  <c r="E10117" i="5"/>
  <c r="E10116" i="5"/>
  <c r="E10115" i="5"/>
  <c r="E10114" i="5"/>
  <c r="E10113" i="5"/>
  <c r="E10112" i="5"/>
  <c r="E10111" i="5"/>
  <c r="E10110" i="5"/>
  <c r="E10109" i="5"/>
  <c r="E10108" i="5"/>
  <c r="E10107" i="5"/>
  <c r="E10106" i="5"/>
  <c r="E10105" i="5"/>
  <c r="E10104" i="5"/>
  <c r="E10103" i="5"/>
  <c r="E10102" i="5"/>
  <c r="E10101" i="5"/>
  <c r="E10100" i="5"/>
  <c r="E10099" i="5"/>
  <c r="E10098" i="5"/>
  <c r="E10097" i="5"/>
  <c r="E10096" i="5"/>
  <c r="E10095" i="5"/>
  <c r="E10094" i="5"/>
  <c r="E10093" i="5"/>
  <c r="E10092" i="5"/>
  <c r="E10091" i="5"/>
  <c r="E10090" i="5"/>
  <c r="E10089" i="5"/>
  <c r="E10088" i="5"/>
  <c r="E10087" i="5"/>
  <c r="E10086" i="5"/>
  <c r="E10085" i="5"/>
  <c r="E10084" i="5"/>
  <c r="E10083" i="5"/>
  <c r="E10082" i="5"/>
  <c r="E10081" i="5"/>
  <c r="E10080" i="5"/>
  <c r="E10079" i="5"/>
  <c r="E10078" i="5"/>
  <c r="E10077" i="5"/>
  <c r="E10076" i="5"/>
  <c r="E10075" i="5"/>
  <c r="E10074" i="5"/>
  <c r="E10073" i="5"/>
  <c r="E10072" i="5"/>
  <c r="E10071" i="5"/>
  <c r="E10070" i="5"/>
  <c r="E10069" i="5"/>
  <c r="E10068" i="5"/>
  <c r="E10067" i="5"/>
  <c r="E10066" i="5"/>
  <c r="E10065" i="5"/>
  <c r="E10064" i="5"/>
  <c r="E10063" i="5"/>
  <c r="E10062" i="5"/>
  <c r="E10061" i="5"/>
  <c r="E10060" i="5"/>
  <c r="E10059" i="5"/>
  <c r="E10058" i="5"/>
  <c r="E10057" i="5"/>
  <c r="E10056" i="5"/>
  <c r="E10055" i="5"/>
  <c r="E10054" i="5"/>
  <c r="E10053" i="5"/>
  <c r="E10052" i="5"/>
  <c r="E10051" i="5"/>
  <c r="E10050" i="5"/>
  <c r="E10049" i="5"/>
  <c r="E10048" i="5"/>
  <c r="E10047" i="5"/>
  <c r="E10046" i="5"/>
  <c r="E10045" i="5"/>
  <c r="E10044" i="5"/>
  <c r="E10043" i="5"/>
  <c r="E10042" i="5"/>
  <c r="E10041" i="5"/>
  <c r="E10040" i="5"/>
  <c r="E10039" i="5"/>
  <c r="E10038" i="5"/>
  <c r="E10037" i="5"/>
  <c r="E10036" i="5"/>
  <c r="E10035" i="5"/>
  <c r="E10034" i="5"/>
  <c r="E10033" i="5"/>
  <c r="E10032" i="5"/>
  <c r="E10031" i="5"/>
  <c r="E10030" i="5"/>
  <c r="E10029" i="5"/>
  <c r="E10028" i="5"/>
  <c r="E10027" i="5"/>
  <c r="E10026" i="5"/>
  <c r="E10025" i="5"/>
  <c r="E10024" i="5"/>
  <c r="E10023" i="5"/>
  <c r="E10022" i="5"/>
  <c r="E10021" i="5"/>
  <c r="E10020" i="5"/>
  <c r="E10019" i="5"/>
  <c r="E10018" i="5"/>
  <c r="E10017" i="5"/>
  <c r="E10016" i="5"/>
  <c r="E10015" i="5"/>
  <c r="E10014" i="5"/>
  <c r="E10013" i="5"/>
  <c r="E10012" i="5"/>
  <c r="E10011" i="5"/>
  <c r="E10010" i="5"/>
  <c r="E10009" i="5"/>
  <c r="E10008" i="5"/>
  <c r="E10007" i="5"/>
  <c r="E10006" i="5"/>
  <c r="E10005" i="5"/>
  <c r="E10004" i="5"/>
  <c r="E10003" i="5"/>
  <c r="E10002" i="5"/>
  <c r="E10001" i="5"/>
  <c r="E10000" i="5"/>
  <c r="E9999" i="5"/>
  <c r="E9998" i="5"/>
  <c r="E9997" i="5"/>
  <c r="E9996" i="5"/>
  <c r="E9995" i="5"/>
  <c r="E9994" i="5"/>
  <c r="E9993" i="5"/>
  <c r="E9992" i="5"/>
  <c r="E9991" i="5"/>
  <c r="E9990" i="5"/>
  <c r="E9989" i="5"/>
  <c r="E9988" i="5"/>
  <c r="E9987" i="5"/>
  <c r="E9986" i="5"/>
  <c r="E9985" i="5"/>
  <c r="E9984" i="5"/>
  <c r="E9983" i="5"/>
  <c r="E9982" i="5"/>
  <c r="E9981" i="5"/>
  <c r="E9980" i="5"/>
  <c r="E9979" i="5"/>
  <c r="E9978" i="5"/>
  <c r="E9977" i="5"/>
  <c r="E9976" i="5"/>
  <c r="E9975" i="5"/>
  <c r="E9974" i="5"/>
  <c r="E9973" i="5"/>
  <c r="E9972" i="5"/>
  <c r="E9971" i="5"/>
  <c r="E9970" i="5"/>
  <c r="E9969" i="5"/>
  <c r="E9968" i="5"/>
  <c r="E9967" i="5"/>
  <c r="E9966" i="5"/>
  <c r="E9965" i="5"/>
  <c r="E9964" i="5"/>
  <c r="E9963" i="5"/>
  <c r="E9962" i="5"/>
  <c r="E9961" i="5"/>
  <c r="E9960" i="5"/>
  <c r="E9959" i="5"/>
  <c r="E9958" i="5"/>
  <c r="E9957" i="5"/>
  <c r="E9956" i="5"/>
  <c r="E9955" i="5"/>
  <c r="E9954" i="5"/>
  <c r="E9953" i="5"/>
  <c r="E9952" i="5"/>
  <c r="E9951" i="5"/>
  <c r="E9950" i="5"/>
  <c r="E9949" i="5"/>
  <c r="E9948" i="5"/>
  <c r="E9947" i="5"/>
  <c r="E9946" i="5"/>
  <c r="E9945" i="5"/>
  <c r="E9944" i="5"/>
  <c r="E9943" i="5"/>
  <c r="E9942" i="5"/>
  <c r="E9941" i="5"/>
  <c r="E9940" i="5"/>
  <c r="E9939" i="5"/>
  <c r="E9938" i="5"/>
  <c r="E9937" i="5"/>
  <c r="E9936" i="5"/>
  <c r="E9935" i="5"/>
  <c r="E9934" i="5"/>
  <c r="E9933" i="5"/>
  <c r="E9932" i="5"/>
  <c r="E9931" i="5"/>
  <c r="E9930" i="5"/>
  <c r="E9929" i="5"/>
  <c r="E9928" i="5"/>
  <c r="E9927" i="5"/>
  <c r="E9926" i="5"/>
  <c r="E9925" i="5"/>
  <c r="E9924" i="5"/>
  <c r="E9923" i="5"/>
  <c r="E9922" i="5"/>
  <c r="E9921" i="5"/>
  <c r="E9920" i="5"/>
  <c r="E9919" i="5"/>
  <c r="E9918" i="5"/>
  <c r="E9917" i="5"/>
  <c r="E9916" i="5"/>
  <c r="E9915" i="5"/>
  <c r="E9914" i="5"/>
  <c r="E9913" i="5"/>
  <c r="E9912" i="5"/>
  <c r="E9911" i="5"/>
  <c r="E9910" i="5"/>
  <c r="E9909" i="5"/>
  <c r="E9908" i="5"/>
  <c r="E9907" i="5"/>
  <c r="E9906" i="5"/>
  <c r="E9905" i="5"/>
  <c r="E9904" i="5"/>
  <c r="E9903" i="5"/>
  <c r="E9902" i="5"/>
  <c r="E9901" i="5"/>
  <c r="E9900" i="5"/>
  <c r="E9899" i="5"/>
  <c r="E9898" i="5"/>
  <c r="E9897" i="5"/>
  <c r="E9896" i="5"/>
  <c r="E9895" i="5"/>
  <c r="E9894" i="5"/>
  <c r="E9893" i="5"/>
  <c r="E9892" i="5"/>
  <c r="E9891" i="5"/>
  <c r="E9890" i="5"/>
  <c r="E9889" i="5"/>
  <c r="E9888" i="5"/>
  <c r="E9887" i="5"/>
  <c r="E9886" i="5"/>
  <c r="E9885" i="5"/>
  <c r="E9884" i="5"/>
  <c r="E9883" i="5"/>
  <c r="E9882" i="5"/>
  <c r="E9881" i="5"/>
  <c r="E9880" i="5"/>
  <c r="E9879" i="5"/>
  <c r="E9878" i="5"/>
  <c r="E9877" i="5"/>
  <c r="E9876" i="5"/>
  <c r="E9875" i="5"/>
  <c r="E9874" i="5"/>
  <c r="E9873" i="5"/>
  <c r="E9872" i="5"/>
  <c r="E9871" i="5"/>
  <c r="E9870" i="5"/>
  <c r="E9869" i="5"/>
  <c r="E9868" i="5"/>
  <c r="E9867" i="5"/>
  <c r="E9866" i="5"/>
  <c r="E9865" i="5"/>
  <c r="E9864" i="5"/>
  <c r="E9863" i="5"/>
  <c r="E9862" i="5"/>
  <c r="E9861" i="5"/>
  <c r="E9860" i="5"/>
  <c r="E9859" i="5"/>
  <c r="E9858" i="5"/>
  <c r="E9857" i="5"/>
  <c r="E9856" i="5"/>
  <c r="E9855" i="5"/>
  <c r="E9854" i="5"/>
  <c r="E9853" i="5"/>
  <c r="E9852" i="5"/>
  <c r="E9851" i="5"/>
  <c r="E9850" i="5"/>
  <c r="E9849" i="5"/>
  <c r="E9848" i="5"/>
  <c r="E9847" i="5"/>
  <c r="E9846" i="5"/>
  <c r="E9845" i="5"/>
  <c r="E9844" i="5"/>
  <c r="E9843" i="5"/>
  <c r="E9842" i="5"/>
  <c r="E9841" i="5"/>
  <c r="E9840" i="5"/>
  <c r="E9839" i="5"/>
  <c r="E9838" i="5"/>
  <c r="E9837" i="5"/>
  <c r="E9836" i="5"/>
  <c r="E9835" i="5"/>
  <c r="E9834" i="5"/>
  <c r="E9833" i="5"/>
  <c r="E9832" i="5"/>
  <c r="E9831" i="5"/>
  <c r="E9830" i="5"/>
  <c r="E9829" i="5"/>
  <c r="E9828" i="5"/>
  <c r="E9827" i="5"/>
  <c r="E9826" i="5"/>
  <c r="E9825" i="5"/>
  <c r="E9824" i="5"/>
  <c r="E9823" i="5"/>
  <c r="E9822" i="5"/>
  <c r="E9821" i="5"/>
  <c r="E9820" i="5"/>
  <c r="E9819" i="5"/>
  <c r="E9818" i="5"/>
  <c r="E9817" i="5"/>
  <c r="E9816" i="5"/>
  <c r="E9815" i="5"/>
  <c r="E9814" i="5"/>
  <c r="E9813" i="5"/>
  <c r="E9812" i="5"/>
  <c r="E9811" i="5"/>
  <c r="E9810" i="5"/>
  <c r="E9809" i="5"/>
  <c r="E9808" i="5"/>
  <c r="E9807" i="5"/>
  <c r="E9806" i="5"/>
  <c r="E9805" i="5"/>
  <c r="E9804" i="5"/>
  <c r="E9803" i="5"/>
  <c r="E9802" i="5"/>
  <c r="E9801" i="5"/>
  <c r="E9800" i="5"/>
  <c r="E9799" i="5"/>
  <c r="E9798" i="5"/>
  <c r="E9797" i="5"/>
  <c r="E9796" i="5"/>
  <c r="E9795" i="5"/>
  <c r="E9794" i="5"/>
  <c r="E9793" i="5"/>
  <c r="E9792" i="5"/>
  <c r="E9791" i="5"/>
  <c r="E9790" i="5"/>
  <c r="E9789" i="5"/>
  <c r="E9788" i="5"/>
  <c r="E9787" i="5"/>
  <c r="E9786" i="5"/>
  <c r="E9785" i="5"/>
  <c r="E9784" i="5"/>
  <c r="E9783" i="5"/>
  <c r="E9782" i="5"/>
  <c r="E9781" i="5"/>
  <c r="E9780" i="5"/>
  <c r="E9779" i="5"/>
  <c r="E9778" i="5"/>
  <c r="E9777" i="5"/>
  <c r="E9776" i="5"/>
  <c r="E9775" i="5"/>
  <c r="E9774" i="5"/>
  <c r="E9773" i="5"/>
  <c r="E9772" i="5"/>
  <c r="E9771" i="5"/>
  <c r="E9770" i="5"/>
  <c r="E9769" i="5"/>
  <c r="E9768" i="5"/>
  <c r="E9767" i="5"/>
  <c r="E9766" i="5"/>
  <c r="E9765" i="5"/>
  <c r="E9764" i="5"/>
  <c r="E9763" i="5"/>
  <c r="E9762" i="5"/>
  <c r="E9761" i="5"/>
  <c r="E9760" i="5"/>
  <c r="E9759" i="5"/>
  <c r="E9758" i="5"/>
  <c r="E9757" i="5"/>
  <c r="E9756" i="5"/>
  <c r="E9755" i="5"/>
  <c r="E9754" i="5"/>
  <c r="E9753" i="5"/>
  <c r="E9752" i="5"/>
  <c r="E9751" i="5"/>
  <c r="E9750" i="5"/>
  <c r="E9749" i="5"/>
  <c r="E9748" i="5"/>
  <c r="E9747" i="5"/>
  <c r="E9746" i="5"/>
  <c r="E9745" i="5"/>
  <c r="E9744" i="5"/>
  <c r="E9743" i="5"/>
  <c r="E9742" i="5"/>
  <c r="E9741" i="5"/>
  <c r="E9740" i="5"/>
  <c r="E9739" i="5"/>
  <c r="E9738" i="5"/>
  <c r="E9737" i="5"/>
  <c r="E9736" i="5"/>
  <c r="E9735" i="5"/>
  <c r="E9734" i="5"/>
  <c r="E9733" i="5"/>
  <c r="E9732" i="5"/>
  <c r="E9731" i="5"/>
  <c r="E9730" i="5"/>
  <c r="E9729" i="5"/>
  <c r="E9728" i="5"/>
  <c r="E9727" i="5"/>
  <c r="E9726" i="5"/>
  <c r="E9725" i="5"/>
  <c r="E9724" i="5"/>
  <c r="E9723" i="5"/>
  <c r="E9722" i="5"/>
  <c r="E9721" i="5"/>
  <c r="E9720" i="5"/>
  <c r="E9719" i="5"/>
  <c r="E9718" i="5"/>
  <c r="E9717" i="5"/>
  <c r="E9716" i="5"/>
  <c r="E9715" i="5"/>
  <c r="E9714" i="5"/>
  <c r="E9713" i="5"/>
  <c r="E9712" i="5"/>
  <c r="E9711" i="5"/>
  <c r="E9710" i="5"/>
  <c r="E9709" i="5"/>
  <c r="E9708" i="5"/>
  <c r="E9707" i="5"/>
  <c r="E9706" i="5"/>
  <c r="E9705" i="5"/>
  <c r="E9704" i="5"/>
  <c r="E9703" i="5"/>
  <c r="E9702" i="5"/>
  <c r="E9701" i="5"/>
  <c r="E9700" i="5"/>
  <c r="E9699" i="5"/>
  <c r="E9698" i="5"/>
  <c r="E9697" i="5"/>
  <c r="E9696" i="5"/>
  <c r="E9695" i="5"/>
  <c r="E9694" i="5"/>
  <c r="E9693" i="5"/>
  <c r="E9692" i="5"/>
  <c r="E9691" i="5"/>
  <c r="E9690" i="5"/>
  <c r="E9689" i="5"/>
  <c r="E9688" i="5"/>
  <c r="E9687" i="5"/>
  <c r="E9686" i="5"/>
  <c r="E9685" i="5"/>
  <c r="E9684" i="5"/>
  <c r="E9683" i="5"/>
  <c r="E9682" i="5"/>
  <c r="E9681" i="5"/>
  <c r="E9680" i="5"/>
  <c r="E9679" i="5"/>
  <c r="E9678" i="5"/>
  <c r="E9677" i="5"/>
  <c r="E9676" i="5"/>
  <c r="E9675" i="5"/>
  <c r="E9674" i="5"/>
  <c r="E9673" i="5"/>
  <c r="E9672" i="5"/>
  <c r="E9671" i="5"/>
  <c r="E9670" i="5"/>
  <c r="E9669" i="5"/>
  <c r="E9668" i="5"/>
  <c r="E9667" i="5"/>
  <c r="E9666" i="5"/>
  <c r="E9665" i="5"/>
  <c r="E9664" i="5"/>
  <c r="E9663" i="5"/>
  <c r="E9662" i="5"/>
  <c r="E9661" i="5"/>
  <c r="E9660" i="5"/>
  <c r="E9659" i="5"/>
  <c r="E9658" i="5"/>
  <c r="E9657" i="5"/>
  <c r="E9656" i="5"/>
  <c r="E9655" i="5"/>
  <c r="E9654" i="5"/>
  <c r="E9653" i="5"/>
  <c r="E9652" i="5"/>
  <c r="E9651" i="5"/>
  <c r="E9650" i="5"/>
  <c r="E9649" i="5"/>
  <c r="E9648" i="5"/>
  <c r="E9647" i="5"/>
  <c r="E9646" i="5"/>
  <c r="E9645" i="5"/>
  <c r="E9644" i="5"/>
  <c r="E9643" i="5"/>
  <c r="E9642" i="5"/>
  <c r="E9641" i="5"/>
  <c r="E9640" i="5"/>
  <c r="E9639" i="5"/>
  <c r="E9638" i="5"/>
  <c r="E9637" i="5"/>
  <c r="E9636" i="5"/>
  <c r="E9635" i="5"/>
  <c r="E9634" i="5"/>
  <c r="E9633" i="5"/>
  <c r="E9632" i="5"/>
  <c r="E9631" i="5"/>
  <c r="E9630" i="5"/>
  <c r="E9629" i="5"/>
  <c r="E9628" i="5"/>
  <c r="E9627" i="5"/>
  <c r="E9626" i="5"/>
  <c r="E9625" i="5"/>
  <c r="E9624" i="5"/>
  <c r="E9623" i="5"/>
  <c r="E9622" i="5"/>
  <c r="E9621" i="5"/>
  <c r="E9620" i="5"/>
  <c r="E9619" i="5"/>
  <c r="E9618" i="5"/>
  <c r="E9617" i="5"/>
  <c r="E9616" i="5"/>
  <c r="E9615" i="5"/>
  <c r="E9614" i="5"/>
  <c r="E9613" i="5"/>
  <c r="E9612" i="5"/>
  <c r="E9611" i="5"/>
  <c r="E9610" i="5"/>
  <c r="E9609" i="5"/>
  <c r="E9608" i="5"/>
  <c r="E9607" i="5"/>
  <c r="E9606" i="5"/>
  <c r="E9605" i="5"/>
  <c r="E9604" i="5"/>
  <c r="E9603" i="5"/>
  <c r="E9602" i="5"/>
  <c r="E9601" i="5"/>
  <c r="E9600" i="5"/>
  <c r="E9599" i="5"/>
  <c r="E9598" i="5"/>
  <c r="E9597" i="5"/>
  <c r="E9596" i="5"/>
  <c r="E9595" i="5"/>
  <c r="E9594" i="5"/>
  <c r="E9593" i="5"/>
  <c r="E9592" i="5"/>
  <c r="E9591" i="5"/>
  <c r="E9590" i="5"/>
  <c r="E9589" i="5"/>
  <c r="E9588" i="5"/>
  <c r="E9587" i="5"/>
  <c r="E9586" i="5"/>
  <c r="E9585" i="5"/>
  <c r="E9584" i="5"/>
  <c r="E9583" i="5"/>
  <c r="E9582" i="5"/>
  <c r="E9581" i="5"/>
  <c r="E9580" i="5"/>
  <c r="E9579" i="5"/>
  <c r="E9578" i="5"/>
  <c r="E9577" i="5"/>
  <c r="E9576" i="5"/>
  <c r="E9575" i="5"/>
  <c r="E9574" i="5"/>
  <c r="E9573" i="5"/>
  <c r="E9572" i="5"/>
  <c r="E9571" i="5"/>
  <c r="E9570" i="5"/>
  <c r="E9569" i="5"/>
  <c r="E9568" i="5"/>
  <c r="E9567" i="5"/>
  <c r="E9566" i="5"/>
  <c r="E9565" i="5"/>
  <c r="E9564" i="5"/>
  <c r="E9563" i="5"/>
  <c r="E9562" i="5"/>
  <c r="E9561" i="5"/>
  <c r="E9560" i="5"/>
  <c r="E9559" i="5"/>
  <c r="E9558" i="5"/>
  <c r="E9557" i="5"/>
  <c r="E9556" i="5"/>
  <c r="E9555" i="5"/>
  <c r="E9554" i="5"/>
  <c r="E9553" i="5"/>
  <c r="E9552" i="5"/>
  <c r="E9551" i="5"/>
  <c r="E9550" i="5"/>
  <c r="E9549" i="5"/>
  <c r="E9548" i="5"/>
  <c r="E9547" i="5"/>
  <c r="E9546" i="5"/>
  <c r="E9545" i="5"/>
  <c r="E9544" i="5"/>
  <c r="E9543" i="5"/>
  <c r="E9542" i="5"/>
  <c r="E9541" i="5"/>
  <c r="E9540" i="5"/>
  <c r="E9539" i="5"/>
  <c r="E9538" i="5"/>
  <c r="E9537" i="5"/>
  <c r="E9536" i="5"/>
  <c r="E9535" i="5"/>
  <c r="E9534" i="5"/>
  <c r="E9533" i="5"/>
  <c r="E9532" i="5"/>
  <c r="E9531" i="5"/>
  <c r="E9530" i="5"/>
  <c r="E9529" i="5"/>
  <c r="E9528" i="5"/>
  <c r="E9527" i="5"/>
  <c r="E9526" i="5"/>
  <c r="E9525" i="5"/>
  <c r="E9524" i="5"/>
  <c r="E9523" i="5"/>
  <c r="E9522" i="5"/>
  <c r="E9521" i="5"/>
  <c r="E9520" i="5"/>
  <c r="E9519" i="5"/>
  <c r="E9518" i="5"/>
  <c r="E9517" i="5"/>
  <c r="E9516" i="5"/>
  <c r="E9515" i="5"/>
  <c r="E9514" i="5"/>
  <c r="E9513" i="5"/>
  <c r="E9512" i="5"/>
  <c r="E9511" i="5"/>
  <c r="E9510" i="5"/>
  <c r="E9509" i="5"/>
  <c r="E9508" i="5"/>
  <c r="E9507" i="5"/>
  <c r="E9506" i="5"/>
  <c r="E9505" i="5"/>
  <c r="E9504" i="5"/>
  <c r="E9503" i="5"/>
  <c r="E9502" i="5"/>
  <c r="E9501" i="5"/>
  <c r="E9500" i="5"/>
  <c r="E9499" i="5"/>
  <c r="E9498" i="5"/>
  <c r="E9497" i="5"/>
  <c r="E9496" i="5"/>
  <c r="E9495" i="5"/>
  <c r="E9494" i="5"/>
  <c r="E9493" i="5"/>
  <c r="E9492" i="5"/>
  <c r="E9491" i="5"/>
  <c r="E9490" i="5"/>
  <c r="E9489" i="5"/>
  <c r="E9488" i="5"/>
  <c r="E9487" i="5"/>
  <c r="E9486" i="5"/>
  <c r="E9485" i="5"/>
  <c r="E9484" i="5"/>
  <c r="E9483" i="5"/>
  <c r="E9482" i="5"/>
  <c r="E9481" i="5"/>
  <c r="E9480" i="5"/>
  <c r="E9479" i="5"/>
  <c r="E9478" i="5"/>
  <c r="E9477" i="5"/>
  <c r="E9476" i="5"/>
  <c r="E9475" i="5"/>
  <c r="E9474" i="5"/>
  <c r="E9473" i="5"/>
  <c r="E9472" i="5"/>
  <c r="E9471" i="5"/>
  <c r="E9470" i="5"/>
  <c r="E9469" i="5"/>
  <c r="E9468" i="5"/>
  <c r="E9467" i="5"/>
  <c r="E9466" i="5"/>
  <c r="E9465" i="5"/>
  <c r="E9464" i="5"/>
  <c r="E9463" i="5"/>
  <c r="E9462" i="5"/>
  <c r="E9461" i="5"/>
  <c r="E9460" i="5"/>
  <c r="E9459" i="5"/>
  <c r="E9458" i="5"/>
  <c r="E9457" i="5"/>
  <c r="E9456" i="5"/>
  <c r="E9455" i="5"/>
  <c r="E9454" i="5"/>
  <c r="E9453" i="5"/>
  <c r="E9452" i="5"/>
  <c r="E9451" i="5"/>
  <c r="E9450" i="5"/>
  <c r="E9449" i="5"/>
  <c r="E9448" i="5"/>
  <c r="E9447" i="5"/>
  <c r="E9446" i="5"/>
  <c r="E9445" i="5"/>
  <c r="E9444" i="5"/>
  <c r="E9443" i="5"/>
  <c r="E9442" i="5"/>
  <c r="E9441" i="5"/>
  <c r="E9440" i="5"/>
  <c r="E9439" i="5"/>
  <c r="E9438" i="5"/>
  <c r="E9437" i="5"/>
  <c r="E9436" i="5"/>
  <c r="E9435" i="5"/>
  <c r="E9434" i="5"/>
  <c r="E9433" i="5"/>
  <c r="E9432" i="5"/>
  <c r="E9431" i="5"/>
  <c r="E9430" i="5"/>
  <c r="E9429" i="5"/>
  <c r="E9428" i="5"/>
  <c r="E9427" i="5"/>
  <c r="E9426" i="5"/>
  <c r="E9425" i="5"/>
  <c r="E9424" i="5"/>
  <c r="E9423" i="5"/>
  <c r="E9422" i="5"/>
  <c r="E9421" i="5"/>
  <c r="E9420" i="5"/>
  <c r="E9419" i="5"/>
  <c r="E9418" i="5"/>
  <c r="E9417" i="5"/>
  <c r="E9416" i="5"/>
  <c r="E9415" i="5"/>
  <c r="E9414" i="5"/>
  <c r="E9413" i="5"/>
  <c r="E9412" i="5"/>
  <c r="E9411" i="5"/>
  <c r="E9410" i="5"/>
  <c r="E9409" i="5"/>
  <c r="E9408" i="5"/>
  <c r="E9407" i="5"/>
  <c r="E9406" i="5"/>
  <c r="E9405" i="5"/>
  <c r="E9404" i="5"/>
  <c r="E9403" i="5"/>
  <c r="E9402" i="5"/>
  <c r="E9401" i="5"/>
  <c r="E9400" i="5"/>
  <c r="E9399" i="5"/>
  <c r="E9398" i="5"/>
  <c r="E9397" i="5"/>
  <c r="E9396" i="5"/>
  <c r="E9395" i="5"/>
  <c r="E9394" i="5"/>
  <c r="E9393" i="5"/>
  <c r="E9392" i="5"/>
  <c r="E9391" i="5"/>
  <c r="E9390" i="5"/>
  <c r="E9389" i="5"/>
  <c r="E9388" i="5"/>
  <c r="E9387" i="5"/>
  <c r="E9386" i="5"/>
  <c r="E9385" i="5"/>
  <c r="E9384" i="5"/>
  <c r="E9383" i="5"/>
  <c r="E9382" i="5"/>
  <c r="E9381" i="5"/>
  <c r="E9380" i="5"/>
  <c r="E9379" i="5"/>
  <c r="E9378" i="5"/>
  <c r="E9377" i="5"/>
  <c r="E9376" i="5"/>
  <c r="E9375" i="5"/>
  <c r="E9374" i="5"/>
  <c r="E9373" i="5"/>
  <c r="E9372" i="5"/>
  <c r="E9371" i="5"/>
  <c r="E9370" i="5"/>
  <c r="E9369" i="5"/>
  <c r="E9368" i="5"/>
  <c r="E9367" i="5"/>
  <c r="E9366" i="5"/>
  <c r="E9365" i="5"/>
  <c r="E9364" i="5"/>
  <c r="E9363" i="5"/>
  <c r="E9362" i="5"/>
  <c r="E9361" i="5"/>
  <c r="E9360" i="5"/>
  <c r="E9359" i="5"/>
  <c r="E9358" i="5"/>
  <c r="E9357" i="5"/>
  <c r="E9356" i="5"/>
  <c r="E9355" i="5"/>
  <c r="E9354" i="5"/>
  <c r="E9353" i="5"/>
  <c r="E9352" i="5"/>
  <c r="E9351" i="5"/>
  <c r="E9350" i="5"/>
  <c r="E9349" i="5"/>
  <c r="E9348" i="5"/>
  <c r="E9347" i="5"/>
  <c r="E9346" i="5"/>
  <c r="E9345" i="5"/>
  <c r="E9344" i="5"/>
  <c r="E9343" i="5"/>
  <c r="E9342" i="5"/>
  <c r="E9341" i="5"/>
  <c r="E9340" i="5"/>
  <c r="E9339" i="5"/>
  <c r="E9338" i="5"/>
  <c r="E9337" i="5"/>
  <c r="E9336" i="5"/>
  <c r="E9335" i="5"/>
  <c r="E9334" i="5"/>
  <c r="E9333" i="5"/>
  <c r="E9332" i="5"/>
  <c r="E9331" i="5"/>
  <c r="E9330" i="5"/>
  <c r="E9329" i="5"/>
  <c r="E9328" i="5"/>
  <c r="E9327" i="5"/>
  <c r="E9326" i="5"/>
  <c r="E9325" i="5"/>
  <c r="E9324" i="5"/>
  <c r="E9323" i="5"/>
  <c r="E9322" i="5"/>
  <c r="E9321" i="5"/>
  <c r="E9320" i="5"/>
  <c r="E9319" i="5"/>
  <c r="E9318" i="5"/>
  <c r="E9317" i="5"/>
  <c r="E9316" i="5"/>
  <c r="E9315" i="5"/>
  <c r="E9314" i="5"/>
  <c r="E9313" i="5"/>
  <c r="E9312" i="5"/>
  <c r="E9311" i="5"/>
  <c r="E9310" i="5"/>
  <c r="E9309" i="5"/>
  <c r="E9308" i="5"/>
  <c r="E9307" i="5"/>
  <c r="E9306" i="5"/>
  <c r="E9305" i="5"/>
  <c r="E9304" i="5"/>
  <c r="E9303" i="5"/>
  <c r="E9302" i="5"/>
  <c r="E9301" i="5"/>
  <c r="E9300" i="5"/>
  <c r="E9299" i="5"/>
  <c r="E9298" i="5"/>
  <c r="E9297" i="5"/>
  <c r="E9296" i="5"/>
  <c r="E9295" i="5"/>
  <c r="E9294" i="5"/>
  <c r="E9293" i="5"/>
  <c r="E9292" i="5"/>
  <c r="E9291" i="5"/>
  <c r="E9290" i="5"/>
  <c r="E9289" i="5"/>
  <c r="E9288" i="5"/>
  <c r="E9287" i="5"/>
  <c r="E9286" i="5"/>
  <c r="E9285" i="5"/>
  <c r="E9284" i="5"/>
  <c r="E9283" i="5"/>
  <c r="E9282" i="5"/>
  <c r="E9281" i="5"/>
  <c r="E9280" i="5"/>
  <c r="E9279" i="5"/>
  <c r="E9278" i="5"/>
  <c r="E9277" i="5"/>
  <c r="E9276" i="5"/>
  <c r="E9275" i="5"/>
  <c r="E9274" i="5"/>
  <c r="E9273" i="5"/>
  <c r="E9272" i="5"/>
  <c r="E9271" i="5"/>
  <c r="E9270" i="5"/>
  <c r="E9269" i="5"/>
  <c r="E9268" i="5"/>
  <c r="E9267" i="5"/>
  <c r="E9266" i="5"/>
  <c r="E9265" i="5"/>
  <c r="E9264" i="5"/>
  <c r="E9263" i="5"/>
  <c r="E9262" i="5"/>
  <c r="E9261" i="5"/>
  <c r="E9260" i="5"/>
  <c r="E9259" i="5"/>
  <c r="E9258" i="5"/>
  <c r="E9257" i="5"/>
  <c r="E9256" i="5"/>
  <c r="E9255" i="5"/>
  <c r="E9254" i="5"/>
  <c r="E9253" i="5"/>
  <c r="E9252" i="5"/>
  <c r="E9251" i="5"/>
  <c r="E9250" i="5"/>
  <c r="E9249" i="5"/>
  <c r="E9248" i="5"/>
  <c r="E9247" i="5"/>
  <c r="E9246" i="5"/>
  <c r="E9245" i="5"/>
  <c r="E9244" i="5"/>
  <c r="E9243" i="5"/>
  <c r="E9242" i="5"/>
  <c r="E9241" i="5"/>
  <c r="E9240" i="5"/>
  <c r="E9239" i="5"/>
  <c r="E9238" i="5"/>
  <c r="E9237" i="5"/>
  <c r="E9236" i="5"/>
  <c r="E9235" i="5"/>
  <c r="E9234" i="5"/>
  <c r="E9233" i="5"/>
  <c r="E9232" i="5"/>
  <c r="E9231" i="5"/>
  <c r="E9230" i="5"/>
  <c r="E9229" i="5"/>
  <c r="E9228" i="5"/>
  <c r="E9227" i="5"/>
  <c r="E9226" i="5"/>
  <c r="E9225" i="5"/>
  <c r="E9224" i="5"/>
  <c r="E9223" i="5"/>
  <c r="E9222" i="5"/>
  <c r="E9221" i="5"/>
  <c r="E9220" i="5"/>
  <c r="E9219" i="5"/>
  <c r="E9218" i="5"/>
  <c r="E9217" i="5"/>
  <c r="E9216" i="5"/>
  <c r="E9215" i="5"/>
  <c r="E9214" i="5"/>
  <c r="E9213" i="5"/>
  <c r="E9212" i="5"/>
  <c r="E9211" i="5"/>
  <c r="E9210" i="5"/>
  <c r="E9209" i="5"/>
  <c r="E9208" i="5"/>
  <c r="E9207" i="5"/>
  <c r="E9206" i="5"/>
  <c r="E9205" i="5"/>
  <c r="E9204" i="5"/>
  <c r="E9203" i="5"/>
  <c r="E9202" i="5"/>
  <c r="E9201" i="5"/>
  <c r="E9200" i="5"/>
  <c r="E9199" i="5"/>
  <c r="E9198" i="5"/>
  <c r="E9197" i="5"/>
  <c r="E9196" i="5"/>
  <c r="E9195" i="5"/>
  <c r="E9194" i="5"/>
  <c r="E9193" i="5"/>
  <c r="E9192" i="5"/>
  <c r="E9191" i="5"/>
  <c r="E9190" i="5"/>
  <c r="E9189" i="5"/>
  <c r="E9188" i="5"/>
  <c r="E9187" i="5"/>
  <c r="E9186" i="5"/>
  <c r="E9185" i="5"/>
  <c r="E9184" i="5"/>
  <c r="E9183" i="5"/>
  <c r="E9182" i="5"/>
  <c r="E9181" i="5"/>
  <c r="E9180" i="5"/>
  <c r="E9179" i="5"/>
  <c r="E9178" i="5"/>
  <c r="E9177" i="5"/>
  <c r="E9176" i="5"/>
  <c r="E9175" i="5"/>
  <c r="E9174" i="5"/>
  <c r="E9173" i="5"/>
  <c r="E9172" i="5"/>
  <c r="E9171" i="5"/>
  <c r="E9170" i="5"/>
  <c r="E9169" i="5"/>
  <c r="E9168" i="5"/>
  <c r="E9167" i="5"/>
  <c r="E9166" i="5"/>
  <c r="E9165" i="5"/>
  <c r="E9164" i="5"/>
  <c r="E9163" i="5"/>
  <c r="E9162" i="5"/>
  <c r="E9161" i="5"/>
  <c r="E9160" i="5"/>
  <c r="E9159" i="5"/>
  <c r="E9158" i="5"/>
  <c r="E9157" i="5"/>
  <c r="E9156" i="5"/>
  <c r="E9155" i="5"/>
  <c r="E9154" i="5"/>
  <c r="E9153" i="5"/>
  <c r="E9152" i="5"/>
  <c r="E9151" i="5"/>
  <c r="E9150" i="5"/>
  <c r="E9149" i="5"/>
  <c r="E9148" i="5"/>
  <c r="E9147" i="5"/>
  <c r="E9146" i="5"/>
  <c r="E9145" i="5"/>
  <c r="E9144" i="5"/>
  <c r="E9143" i="5"/>
  <c r="E9142" i="5"/>
  <c r="E9141" i="5"/>
  <c r="E9140" i="5"/>
  <c r="E9139" i="5"/>
  <c r="E9138" i="5"/>
  <c r="E9137" i="5"/>
  <c r="E9136" i="5"/>
  <c r="E9135" i="5"/>
  <c r="E9134" i="5"/>
  <c r="E9133" i="5"/>
  <c r="E9132" i="5"/>
  <c r="E9131" i="5"/>
  <c r="E9130" i="5"/>
  <c r="E9129" i="5"/>
  <c r="E9128" i="5"/>
  <c r="E9127" i="5"/>
  <c r="E9126" i="5"/>
  <c r="E9125" i="5"/>
  <c r="E9124" i="5"/>
  <c r="E9123" i="5"/>
  <c r="E9122" i="5"/>
  <c r="E9121" i="5"/>
  <c r="E9120" i="5"/>
  <c r="E9119" i="5"/>
  <c r="E9118" i="5"/>
  <c r="E9117" i="5"/>
  <c r="E9116" i="5"/>
  <c r="E9115" i="5"/>
  <c r="E9114" i="5"/>
  <c r="E9113" i="5"/>
  <c r="E9112" i="5"/>
  <c r="E9111" i="5"/>
  <c r="E9110" i="5"/>
  <c r="E9109" i="5"/>
  <c r="E9108" i="5"/>
  <c r="E9107" i="5"/>
  <c r="E9106" i="5"/>
  <c r="E9105" i="5"/>
  <c r="E9104" i="5"/>
  <c r="E9103" i="5"/>
  <c r="E9102" i="5"/>
  <c r="E9101" i="5"/>
  <c r="E9100" i="5"/>
  <c r="E9099" i="5"/>
  <c r="E9098" i="5"/>
  <c r="E9097" i="5"/>
  <c r="E9096" i="5"/>
  <c r="E9095" i="5"/>
  <c r="E9094" i="5"/>
  <c r="E9093" i="5"/>
  <c r="E9092" i="5"/>
  <c r="E9091" i="5"/>
  <c r="E9090" i="5"/>
  <c r="E9089" i="5"/>
  <c r="E9088" i="5"/>
  <c r="E9087" i="5"/>
  <c r="E9086" i="5"/>
  <c r="E9085" i="5"/>
  <c r="E9084" i="5"/>
  <c r="E9083" i="5"/>
  <c r="E9082" i="5"/>
  <c r="E9081" i="5"/>
  <c r="E9080" i="5"/>
  <c r="E9079" i="5"/>
  <c r="E9078" i="5"/>
  <c r="E9077" i="5"/>
  <c r="E9076" i="5"/>
  <c r="E9075" i="5"/>
  <c r="E9074" i="5"/>
  <c r="E9073" i="5"/>
  <c r="E9072" i="5"/>
  <c r="E9071" i="5"/>
  <c r="E9070" i="5"/>
  <c r="E9069" i="5"/>
  <c r="E9068" i="5"/>
  <c r="E9067" i="5"/>
  <c r="E9066" i="5"/>
  <c r="E9065" i="5"/>
  <c r="E9064" i="5"/>
  <c r="E9063" i="5"/>
  <c r="E9062" i="5"/>
  <c r="E9061" i="5"/>
  <c r="E9060" i="5"/>
  <c r="E9059" i="5"/>
  <c r="E9058" i="5"/>
  <c r="E9057" i="5"/>
  <c r="E9056" i="5"/>
  <c r="E9055" i="5"/>
  <c r="E9054" i="5"/>
  <c r="E9053" i="5"/>
  <c r="E9052" i="5"/>
  <c r="E9051" i="5"/>
  <c r="E9050" i="5"/>
  <c r="E9049" i="5"/>
  <c r="E9048" i="5"/>
  <c r="E9047" i="5"/>
  <c r="E9046" i="5"/>
  <c r="E9045" i="5"/>
  <c r="E9044" i="5"/>
  <c r="E9043" i="5"/>
  <c r="E9042" i="5"/>
  <c r="E9041" i="5"/>
  <c r="E9040" i="5"/>
  <c r="E9039" i="5"/>
  <c r="E9038" i="5"/>
  <c r="E9037" i="5"/>
  <c r="E9036" i="5"/>
  <c r="E9035" i="5"/>
  <c r="E9034" i="5"/>
  <c r="E9033" i="5"/>
  <c r="E9032" i="5"/>
  <c r="E9031" i="5"/>
  <c r="E9030" i="5"/>
  <c r="E9029" i="5"/>
  <c r="E9028" i="5"/>
  <c r="E9027" i="5"/>
  <c r="E9026" i="5"/>
  <c r="E9025" i="5"/>
  <c r="E9024" i="5"/>
  <c r="E9023" i="5"/>
  <c r="E9022" i="5"/>
  <c r="E9021" i="5"/>
  <c r="E9020" i="5"/>
  <c r="E9019" i="5"/>
  <c r="E9018" i="5"/>
  <c r="E9017" i="5"/>
  <c r="E9016" i="5"/>
  <c r="E9015" i="5"/>
  <c r="E9014" i="5"/>
  <c r="E9013" i="5"/>
  <c r="E9012" i="5"/>
  <c r="E9011" i="5"/>
  <c r="E9010" i="5"/>
  <c r="E9009" i="5"/>
  <c r="E9008" i="5"/>
  <c r="E9007" i="5"/>
  <c r="E9006" i="5"/>
  <c r="E9005" i="5"/>
  <c r="E9004" i="5"/>
  <c r="E9003" i="5"/>
  <c r="E9002" i="5"/>
  <c r="E9001" i="5"/>
  <c r="E9000" i="5"/>
  <c r="E8999" i="5"/>
  <c r="E8998" i="5"/>
  <c r="E8997" i="5"/>
  <c r="E8996" i="5"/>
  <c r="E8995" i="5"/>
  <c r="E8994" i="5"/>
  <c r="E8993" i="5"/>
  <c r="E8992" i="5"/>
  <c r="E8991" i="5"/>
  <c r="E8990" i="5"/>
  <c r="E8989" i="5"/>
  <c r="E8988" i="5"/>
  <c r="E8987" i="5"/>
  <c r="E8986" i="5"/>
  <c r="E8985" i="5"/>
  <c r="E8984" i="5"/>
  <c r="E8983" i="5"/>
  <c r="E8982" i="5"/>
  <c r="E8981" i="5"/>
  <c r="E8980" i="5"/>
  <c r="E8979" i="5"/>
  <c r="E8978" i="5"/>
  <c r="E8977" i="5"/>
  <c r="E8976" i="5"/>
  <c r="E8975" i="5"/>
  <c r="E8974" i="5"/>
  <c r="E8973" i="5"/>
  <c r="E8972" i="5"/>
  <c r="E8971" i="5"/>
  <c r="E8970" i="5"/>
  <c r="E8969" i="5"/>
  <c r="E8968" i="5"/>
  <c r="E8967" i="5"/>
  <c r="E8966" i="5"/>
  <c r="E8965" i="5"/>
  <c r="E8964" i="5"/>
  <c r="E8963" i="5"/>
  <c r="E8962" i="5"/>
  <c r="E8961" i="5"/>
  <c r="E8960" i="5"/>
  <c r="E8959" i="5"/>
  <c r="E8958" i="5"/>
  <c r="E8957" i="5"/>
  <c r="E8956" i="5"/>
  <c r="E8955" i="5"/>
  <c r="E8954" i="5"/>
  <c r="E8953" i="5"/>
  <c r="E8952" i="5"/>
  <c r="E8951" i="5"/>
  <c r="E8950" i="5"/>
  <c r="E8949" i="5"/>
  <c r="E8948" i="5"/>
  <c r="E8947" i="5"/>
  <c r="E8946" i="5"/>
  <c r="E8945" i="5"/>
  <c r="E8944" i="5"/>
  <c r="E8943" i="5"/>
  <c r="E8942" i="5"/>
  <c r="E8941" i="5"/>
  <c r="E8940" i="5"/>
  <c r="E8939" i="5"/>
  <c r="E8938" i="5"/>
  <c r="E8937" i="5"/>
  <c r="E8936" i="5"/>
  <c r="E8935" i="5"/>
  <c r="E8934" i="5"/>
  <c r="E8933" i="5"/>
  <c r="E8932" i="5"/>
  <c r="E8931" i="5"/>
  <c r="E8930" i="5"/>
  <c r="E8929" i="5"/>
  <c r="E8928" i="5"/>
  <c r="E8927" i="5"/>
  <c r="E8926" i="5"/>
  <c r="E8925" i="5"/>
  <c r="E8924" i="5"/>
  <c r="E8923" i="5"/>
  <c r="E8922" i="5"/>
  <c r="E8921" i="5"/>
  <c r="E8920" i="5"/>
  <c r="E8919" i="5"/>
  <c r="E8918" i="5"/>
  <c r="E8917" i="5"/>
  <c r="E8916" i="5"/>
  <c r="E8915" i="5"/>
  <c r="E8914" i="5"/>
  <c r="E8913" i="5"/>
  <c r="E8912" i="5"/>
  <c r="E8911" i="5"/>
  <c r="E8910" i="5"/>
  <c r="E8909" i="5"/>
  <c r="E8908" i="5"/>
  <c r="E8907" i="5"/>
  <c r="E8906" i="5"/>
  <c r="E8905" i="5"/>
  <c r="E8904" i="5"/>
  <c r="E8903" i="5"/>
  <c r="E8902" i="5"/>
  <c r="E8901" i="5"/>
  <c r="E8900" i="5"/>
  <c r="E8899" i="5"/>
  <c r="E8898" i="5"/>
  <c r="E8897" i="5"/>
  <c r="E8896" i="5"/>
  <c r="E8895" i="5"/>
  <c r="E8894" i="5"/>
  <c r="E8893" i="5"/>
  <c r="E8892" i="5"/>
  <c r="E8891" i="5"/>
  <c r="E8890" i="5"/>
  <c r="E8889" i="5"/>
  <c r="E8888" i="5"/>
  <c r="E8887" i="5"/>
  <c r="E8886" i="5"/>
  <c r="E8885" i="5"/>
  <c r="E8884" i="5"/>
  <c r="E8883" i="5"/>
  <c r="E8882" i="5"/>
  <c r="E8881" i="5"/>
  <c r="E8880" i="5"/>
  <c r="E8879" i="5"/>
  <c r="E8878" i="5"/>
  <c r="E8877" i="5"/>
  <c r="E8876" i="5"/>
  <c r="E8875" i="5"/>
  <c r="E8874" i="5"/>
  <c r="E8873" i="5"/>
  <c r="E8872" i="5"/>
  <c r="E8871" i="5"/>
  <c r="E8870" i="5"/>
  <c r="E8869" i="5"/>
  <c r="E8868" i="5"/>
  <c r="E8867" i="5"/>
  <c r="E8866" i="5"/>
  <c r="E8865" i="5"/>
  <c r="E8864" i="5"/>
  <c r="E8863" i="5"/>
  <c r="E8862" i="5"/>
  <c r="E8861" i="5"/>
  <c r="E8860" i="5"/>
  <c r="E8859" i="5"/>
  <c r="E8858" i="5"/>
  <c r="E8857" i="5"/>
  <c r="E8856" i="5"/>
  <c r="E8855" i="5"/>
  <c r="E8854" i="5"/>
  <c r="E8853" i="5"/>
  <c r="E8852" i="5"/>
  <c r="E8851" i="5"/>
  <c r="E8850" i="5"/>
  <c r="E8849" i="5"/>
  <c r="E8848" i="5"/>
  <c r="E8847" i="5"/>
  <c r="E8846" i="5"/>
  <c r="E8845" i="5"/>
  <c r="E8844" i="5"/>
  <c r="E8843" i="5"/>
  <c r="E8842" i="5"/>
  <c r="E8841" i="5"/>
  <c r="E8840" i="5"/>
  <c r="E8839" i="5"/>
  <c r="E8838" i="5"/>
  <c r="E8837" i="5"/>
  <c r="E8836" i="5"/>
  <c r="E8835" i="5"/>
  <c r="E8834" i="5"/>
  <c r="E8833" i="5"/>
  <c r="E8832" i="5"/>
  <c r="E8831" i="5"/>
  <c r="E8830" i="5"/>
  <c r="E8829" i="5"/>
  <c r="E8828" i="5"/>
  <c r="E8827" i="5"/>
  <c r="E8826" i="5"/>
  <c r="E8825" i="5"/>
  <c r="E8824" i="5"/>
  <c r="E8823" i="5"/>
  <c r="E8822" i="5"/>
  <c r="E8821" i="5"/>
  <c r="E8820" i="5"/>
  <c r="E8819" i="5"/>
  <c r="E8818" i="5"/>
  <c r="E8817" i="5"/>
  <c r="E8816" i="5"/>
  <c r="E8815" i="5"/>
  <c r="E8814" i="5"/>
  <c r="E8813" i="5"/>
  <c r="E8812" i="5"/>
  <c r="E8811" i="5"/>
  <c r="E8810" i="5"/>
  <c r="E8809" i="5"/>
  <c r="E8808" i="5"/>
  <c r="E8807" i="5"/>
  <c r="E8806" i="5"/>
  <c r="E8805" i="5"/>
  <c r="E8804" i="5"/>
  <c r="E8803" i="5"/>
  <c r="E8802" i="5"/>
  <c r="E8801" i="5"/>
  <c r="E8800" i="5"/>
  <c r="E8799" i="5"/>
  <c r="E8798" i="5"/>
  <c r="E8797" i="5"/>
  <c r="E8796" i="5"/>
  <c r="E8795" i="5"/>
  <c r="E8794" i="5"/>
  <c r="E8793" i="5"/>
  <c r="E8792" i="5"/>
  <c r="E8791" i="5"/>
  <c r="E8790" i="5"/>
  <c r="E8789" i="5"/>
  <c r="E8788" i="5"/>
  <c r="E8787" i="5"/>
  <c r="E8786" i="5"/>
  <c r="E8785" i="5"/>
  <c r="E8784" i="5"/>
  <c r="E8783" i="5"/>
  <c r="E8782" i="5"/>
  <c r="E8781" i="5"/>
  <c r="E8780" i="5"/>
  <c r="E8779" i="5"/>
  <c r="E8778" i="5"/>
  <c r="E8777" i="5"/>
  <c r="E8776" i="5"/>
  <c r="E8775" i="5"/>
  <c r="E8774" i="5"/>
  <c r="E8773" i="5"/>
  <c r="E8772" i="5"/>
  <c r="E8771" i="5"/>
  <c r="E8770" i="5"/>
  <c r="E8769" i="5"/>
  <c r="E8768" i="5"/>
  <c r="E8767" i="5"/>
  <c r="E8766" i="5"/>
  <c r="E8765" i="5"/>
  <c r="E8764" i="5"/>
  <c r="E8763" i="5"/>
  <c r="E8762" i="5"/>
  <c r="E8761" i="5"/>
  <c r="E8760" i="5"/>
  <c r="E8759" i="5"/>
  <c r="E8758" i="5"/>
  <c r="E8757" i="5"/>
  <c r="E8756" i="5"/>
  <c r="E8755" i="5"/>
  <c r="E8754" i="5"/>
  <c r="E8753" i="5"/>
  <c r="E8752" i="5"/>
  <c r="E8751" i="5"/>
  <c r="E8750" i="5"/>
  <c r="E8749" i="5"/>
  <c r="E8748" i="5"/>
  <c r="E8747" i="5"/>
  <c r="E8746" i="5"/>
  <c r="E8745" i="5"/>
  <c r="E8744" i="5"/>
  <c r="E8743" i="5"/>
  <c r="E8742" i="5"/>
  <c r="E8741" i="5"/>
  <c r="E8740" i="5"/>
  <c r="E8739" i="5"/>
  <c r="E8738" i="5"/>
  <c r="E8737" i="5"/>
  <c r="E8736" i="5"/>
  <c r="E8735" i="5"/>
  <c r="E8734" i="5"/>
  <c r="E8733" i="5"/>
  <c r="E8732" i="5"/>
  <c r="E8731" i="5"/>
  <c r="E8730" i="5"/>
  <c r="E8729" i="5"/>
  <c r="E8728" i="5"/>
  <c r="E8727" i="5"/>
  <c r="E8726" i="5"/>
  <c r="E8725" i="5"/>
  <c r="E8724" i="5"/>
  <c r="E8723" i="5"/>
  <c r="E8722" i="5"/>
  <c r="E8721" i="5"/>
  <c r="E8720" i="5"/>
  <c r="E8719" i="5"/>
  <c r="E8718" i="5"/>
  <c r="E8717" i="5"/>
  <c r="E8716" i="5"/>
  <c r="E8715" i="5"/>
  <c r="E8714" i="5"/>
  <c r="E8713" i="5"/>
  <c r="E8712" i="5"/>
  <c r="E8711" i="5"/>
  <c r="E8710" i="5"/>
  <c r="E8709" i="5"/>
  <c r="E8708" i="5"/>
  <c r="E8707" i="5"/>
  <c r="E8706" i="5"/>
  <c r="E8705" i="5"/>
  <c r="E8704" i="5"/>
  <c r="E8703" i="5"/>
  <c r="E8702" i="5"/>
  <c r="E8701" i="5"/>
  <c r="E8700" i="5"/>
  <c r="E8699" i="5"/>
  <c r="E8698" i="5"/>
  <c r="E8697" i="5"/>
  <c r="E8696" i="5"/>
  <c r="E8695" i="5"/>
  <c r="E8694" i="5"/>
  <c r="E8693" i="5"/>
  <c r="E8692" i="5"/>
  <c r="E8691" i="5"/>
  <c r="E8690" i="5"/>
  <c r="E8689" i="5"/>
  <c r="E8688" i="5"/>
  <c r="E8687" i="5"/>
  <c r="E8686" i="5"/>
  <c r="E8685" i="5"/>
  <c r="E8684" i="5"/>
  <c r="E8683" i="5"/>
  <c r="E8682" i="5"/>
  <c r="E8681" i="5"/>
  <c r="E8680" i="5"/>
  <c r="E8679" i="5"/>
  <c r="E8678" i="5"/>
  <c r="E8677" i="5"/>
  <c r="E8676" i="5"/>
  <c r="E8675" i="5"/>
  <c r="E8674" i="5"/>
  <c r="E8673" i="5"/>
  <c r="E8672" i="5"/>
  <c r="E8671" i="5"/>
  <c r="E8670" i="5"/>
  <c r="E8669" i="5"/>
  <c r="E8668" i="5"/>
  <c r="E8667" i="5"/>
  <c r="E8666" i="5"/>
  <c r="E8665" i="5"/>
  <c r="E8664" i="5"/>
  <c r="E8663" i="5"/>
  <c r="E8662" i="5"/>
  <c r="E8661" i="5"/>
  <c r="E8660" i="5"/>
  <c r="E8659" i="5"/>
  <c r="E8658" i="5"/>
  <c r="E8657" i="5"/>
  <c r="E8656" i="5"/>
  <c r="E8655" i="5"/>
  <c r="E8654" i="5"/>
  <c r="E8653" i="5"/>
  <c r="E8652" i="5"/>
  <c r="E8651" i="5"/>
  <c r="E8650" i="5"/>
  <c r="E8649" i="5"/>
  <c r="E8648" i="5"/>
  <c r="E8647" i="5"/>
  <c r="E8646" i="5"/>
  <c r="E8645" i="5"/>
  <c r="E8644" i="5"/>
  <c r="E8643" i="5"/>
  <c r="E8642" i="5"/>
  <c r="E8641" i="5"/>
  <c r="E8640" i="5"/>
  <c r="E8639" i="5"/>
  <c r="E8638" i="5"/>
  <c r="E8637" i="5"/>
  <c r="E8636" i="5"/>
  <c r="E8635" i="5"/>
  <c r="E8634" i="5"/>
  <c r="E8633" i="5"/>
  <c r="E8632" i="5"/>
  <c r="E8631" i="5"/>
  <c r="E8630" i="5"/>
  <c r="E8629" i="5"/>
  <c r="E8628" i="5"/>
  <c r="E8627" i="5"/>
  <c r="E8626" i="5"/>
  <c r="E8625" i="5"/>
  <c r="E8624" i="5"/>
  <c r="E8623" i="5"/>
  <c r="E8622" i="5"/>
  <c r="E8621" i="5"/>
  <c r="E8620" i="5"/>
  <c r="E8619" i="5"/>
  <c r="E8618" i="5"/>
  <c r="E8617" i="5"/>
  <c r="E8616" i="5"/>
  <c r="E8615" i="5"/>
  <c r="E8614" i="5"/>
  <c r="E8613" i="5"/>
  <c r="E8612" i="5"/>
  <c r="E8611" i="5"/>
  <c r="E8610" i="5"/>
  <c r="E8609" i="5"/>
  <c r="E8608" i="5"/>
  <c r="E8607" i="5"/>
  <c r="E8606" i="5"/>
  <c r="E8605" i="5"/>
  <c r="E8604" i="5"/>
  <c r="E8603" i="5"/>
  <c r="E8602" i="5"/>
  <c r="E8601" i="5"/>
  <c r="E8600" i="5"/>
  <c r="E8599" i="5"/>
  <c r="E8598" i="5"/>
  <c r="E8597" i="5"/>
  <c r="E8596" i="5"/>
  <c r="E8595" i="5"/>
  <c r="E8594" i="5"/>
  <c r="E8593" i="5"/>
  <c r="E8592" i="5"/>
  <c r="E8591" i="5"/>
  <c r="E8590" i="5"/>
  <c r="E8589" i="5"/>
  <c r="E8588" i="5"/>
  <c r="E8587" i="5"/>
  <c r="E8586" i="5"/>
  <c r="E8585" i="5"/>
  <c r="E8584" i="5"/>
  <c r="E8583" i="5"/>
  <c r="E8582" i="5"/>
  <c r="E8581" i="5"/>
  <c r="E8580" i="5"/>
  <c r="E8579" i="5"/>
  <c r="E8578" i="5"/>
  <c r="E8577" i="5"/>
  <c r="E8576" i="5"/>
  <c r="E8575" i="5"/>
  <c r="E8574" i="5"/>
  <c r="E8573" i="5"/>
  <c r="E8572" i="5"/>
  <c r="E8571" i="5"/>
  <c r="E8570" i="5"/>
  <c r="E8569" i="5"/>
  <c r="E8568" i="5"/>
  <c r="E8567" i="5"/>
  <c r="E8566" i="5"/>
  <c r="E8565" i="5"/>
  <c r="E8564" i="5"/>
  <c r="E8563" i="5"/>
  <c r="E8562" i="5"/>
  <c r="E8561" i="5"/>
  <c r="E8560" i="5"/>
  <c r="E8559" i="5"/>
  <c r="E8558" i="5"/>
  <c r="E8557" i="5"/>
  <c r="E8556" i="5"/>
  <c r="E8555" i="5"/>
  <c r="E8554" i="5"/>
  <c r="E8553" i="5"/>
  <c r="E8552" i="5"/>
  <c r="E8551" i="5"/>
  <c r="E8550" i="5"/>
  <c r="E8549" i="5"/>
  <c r="E8548" i="5"/>
  <c r="E8547" i="5"/>
  <c r="E8546" i="5"/>
  <c r="E8545" i="5"/>
  <c r="E8544" i="5"/>
  <c r="E8543" i="5"/>
  <c r="E8542" i="5"/>
  <c r="E8541" i="5"/>
  <c r="E8540" i="5"/>
  <c r="E8539" i="5"/>
  <c r="E8538" i="5"/>
  <c r="E8537" i="5"/>
  <c r="E8536" i="5"/>
  <c r="E8535" i="5"/>
  <c r="E8534" i="5"/>
  <c r="E8533" i="5"/>
  <c r="E8532" i="5"/>
  <c r="E8531" i="5"/>
  <c r="E8530" i="5"/>
  <c r="E8529" i="5"/>
  <c r="E8528" i="5"/>
  <c r="E8527" i="5"/>
  <c r="E8526" i="5"/>
  <c r="E8525" i="5"/>
  <c r="E8524" i="5"/>
  <c r="E8523" i="5"/>
  <c r="E8522" i="5"/>
  <c r="E8521" i="5"/>
  <c r="E8520" i="5"/>
  <c r="E8519" i="5"/>
  <c r="E8518" i="5"/>
  <c r="E8517" i="5"/>
  <c r="E8516" i="5"/>
  <c r="E8515" i="5"/>
  <c r="E8514" i="5"/>
  <c r="E8513" i="5"/>
  <c r="E8512" i="5"/>
  <c r="E8511" i="5"/>
  <c r="E8510" i="5"/>
  <c r="E8509" i="5"/>
  <c r="E8508" i="5"/>
  <c r="E8507" i="5"/>
  <c r="E8506" i="5"/>
  <c r="E8505" i="5"/>
  <c r="E8504" i="5"/>
  <c r="E8503" i="5"/>
  <c r="E8502" i="5"/>
  <c r="E8501" i="5"/>
  <c r="E8500" i="5"/>
  <c r="E8499" i="5"/>
  <c r="E8498" i="5"/>
  <c r="E8497" i="5"/>
  <c r="E8496" i="5"/>
  <c r="E8495" i="5"/>
  <c r="E8494" i="5"/>
  <c r="E8493" i="5"/>
  <c r="E8492" i="5"/>
  <c r="E8491" i="5"/>
  <c r="E8490" i="5"/>
  <c r="E8489" i="5"/>
  <c r="E8488" i="5"/>
  <c r="E8487" i="5"/>
  <c r="E8486" i="5"/>
  <c r="E8485" i="5"/>
  <c r="E8484" i="5"/>
  <c r="E8483" i="5"/>
  <c r="E8482" i="5"/>
  <c r="E8481" i="5"/>
  <c r="E8480" i="5"/>
  <c r="E8479" i="5"/>
  <c r="E8478" i="5"/>
  <c r="E8477" i="5"/>
  <c r="E8476" i="5"/>
  <c r="E8475" i="5"/>
  <c r="E8474" i="5"/>
  <c r="E8473" i="5"/>
  <c r="E8472" i="5"/>
  <c r="E8471" i="5"/>
  <c r="E8470" i="5"/>
  <c r="E8469" i="5"/>
  <c r="E8468" i="5"/>
  <c r="E8467" i="5"/>
  <c r="E8466" i="5"/>
  <c r="E8465" i="5"/>
  <c r="E8464" i="5"/>
  <c r="E8463" i="5"/>
  <c r="E8462" i="5"/>
  <c r="E8461" i="5"/>
  <c r="E8460" i="5"/>
  <c r="E8459" i="5"/>
  <c r="E8458" i="5"/>
  <c r="E8457" i="5"/>
  <c r="E8456" i="5"/>
  <c r="E8455" i="5"/>
  <c r="E8454" i="5"/>
  <c r="E8453" i="5"/>
  <c r="E8452" i="5"/>
  <c r="E8451" i="5"/>
  <c r="E8450" i="5"/>
  <c r="E8449" i="5"/>
  <c r="E8448" i="5"/>
  <c r="E8447" i="5"/>
  <c r="E8446" i="5"/>
  <c r="E8445" i="5"/>
  <c r="E8444" i="5"/>
  <c r="E8443" i="5"/>
  <c r="E8442" i="5"/>
  <c r="E8441" i="5"/>
  <c r="E8440" i="5"/>
  <c r="E8439" i="5"/>
  <c r="E8438" i="5"/>
  <c r="E8437" i="5"/>
  <c r="E8436" i="5"/>
  <c r="E8435" i="5"/>
  <c r="E8434" i="5"/>
  <c r="E8433" i="5"/>
  <c r="E8432" i="5"/>
  <c r="E8431" i="5"/>
  <c r="E8430" i="5"/>
  <c r="E8429" i="5"/>
  <c r="E8428" i="5"/>
  <c r="E8427" i="5"/>
  <c r="E8426" i="5"/>
  <c r="E8425" i="5"/>
  <c r="E8424" i="5"/>
  <c r="E8423" i="5"/>
  <c r="E8422" i="5"/>
  <c r="E8421" i="5"/>
  <c r="E8420" i="5"/>
  <c r="E8419" i="5"/>
  <c r="E8418" i="5"/>
  <c r="E8417" i="5"/>
  <c r="E8416" i="5"/>
  <c r="E8415" i="5"/>
  <c r="E8414" i="5"/>
  <c r="E8413" i="5"/>
  <c r="E8412" i="5"/>
  <c r="E8411" i="5"/>
  <c r="E8410" i="5"/>
  <c r="E8409" i="5"/>
  <c r="E8408" i="5"/>
  <c r="E8407" i="5"/>
  <c r="E8406" i="5"/>
  <c r="E8405" i="5"/>
  <c r="E8404" i="5"/>
  <c r="E8403" i="5"/>
  <c r="E8402" i="5"/>
  <c r="E8401" i="5"/>
  <c r="E8400" i="5"/>
  <c r="E8399" i="5"/>
  <c r="E8398" i="5"/>
  <c r="E8397" i="5"/>
  <c r="E8396" i="5"/>
  <c r="E8395" i="5"/>
  <c r="E8394" i="5"/>
  <c r="E8393" i="5"/>
  <c r="E8392" i="5"/>
  <c r="E8391" i="5"/>
  <c r="E8390" i="5"/>
  <c r="E8389" i="5"/>
  <c r="E8388" i="5"/>
  <c r="E8387" i="5"/>
  <c r="E8386" i="5"/>
  <c r="E8385" i="5"/>
  <c r="E8384" i="5"/>
  <c r="E8383" i="5"/>
  <c r="E8382" i="5"/>
  <c r="E8381" i="5"/>
  <c r="E8380" i="5"/>
  <c r="E8379" i="5"/>
  <c r="E8378" i="5"/>
  <c r="E8377" i="5"/>
  <c r="E8376" i="5"/>
  <c r="E8375" i="5"/>
  <c r="E8374" i="5"/>
  <c r="E8373" i="5"/>
  <c r="E8372" i="5"/>
  <c r="E8371" i="5"/>
  <c r="E8370" i="5"/>
  <c r="E8369" i="5"/>
  <c r="E8368" i="5"/>
  <c r="E8367" i="5"/>
  <c r="E8366" i="5"/>
  <c r="E8365" i="5"/>
  <c r="E8364" i="5"/>
  <c r="E8363" i="5"/>
  <c r="E8362" i="5"/>
  <c r="E8361" i="5"/>
  <c r="E8360" i="5"/>
  <c r="E8359" i="5"/>
  <c r="E8358" i="5"/>
  <c r="E8357" i="5"/>
  <c r="E8356" i="5"/>
  <c r="E8355" i="5"/>
  <c r="E8354" i="5"/>
  <c r="E8353" i="5"/>
  <c r="E8352" i="5"/>
  <c r="E8351" i="5"/>
  <c r="E8350" i="5"/>
  <c r="E8349" i="5"/>
  <c r="E8348" i="5"/>
  <c r="E8347" i="5"/>
  <c r="E8346" i="5"/>
  <c r="E8345" i="5"/>
  <c r="E8344" i="5"/>
  <c r="E8343" i="5"/>
  <c r="E8342" i="5"/>
  <c r="E8341" i="5"/>
  <c r="E8340" i="5"/>
  <c r="E8339" i="5"/>
  <c r="E8338" i="5"/>
  <c r="E8337" i="5"/>
  <c r="E8336" i="5"/>
  <c r="E8335" i="5"/>
  <c r="E8334" i="5"/>
  <c r="E8333" i="5"/>
  <c r="E8332" i="5"/>
  <c r="E8331" i="5"/>
  <c r="E8330" i="5"/>
  <c r="E8329" i="5"/>
  <c r="E8328" i="5"/>
  <c r="E8327" i="5"/>
  <c r="E8326" i="5"/>
  <c r="E8325" i="5"/>
  <c r="E8324" i="5"/>
  <c r="E8323" i="5"/>
  <c r="E8322" i="5"/>
  <c r="E8321" i="5"/>
  <c r="E8320" i="5"/>
  <c r="E8319" i="5"/>
  <c r="E8318" i="5"/>
  <c r="E8317" i="5"/>
  <c r="E8316" i="5"/>
  <c r="E8315" i="5"/>
  <c r="E8314" i="5"/>
  <c r="E8313" i="5"/>
  <c r="E8312" i="5"/>
  <c r="E8311" i="5"/>
  <c r="E8310" i="5"/>
  <c r="E8309" i="5"/>
  <c r="E8308" i="5"/>
  <c r="E8307" i="5"/>
  <c r="E8306" i="5"/>
  <c r="E8305" i="5"/>
  <c r="E8304" i="5"/>
  <c r="E8303" i="5"/>
  <c r="E8302" i="5"/>
  <c r="E8301" i="5"/>
  <c r="E8300" i="5"/>
  <c r="E8299" i="5"/>
  <c r="E8298" i="5"/>
  <c r="E8297" i="5"/>
  <c r="E8296" i="5"/>
  <c r="E8295" i="5"/>
  <c r="E8294" i="5"/>
  <c r="E8293" i="5"/>
  <c r="E8292" i="5"/>
  <c r="E8291" i="5"/>
  <c r="E8290" i="5"/>
  <c r="E8289" i="5"/>
  <c r="E8288" i="5"/>
  <c r="E8287" i="5"/>
  <c r="E8286" i="5"/>
  <c r="E8285" i="5"/>
  <c r="E8284" i="5"/>
  <c r="E8283" i="5"/>
  <c r="E8282" i="5"/>
  <c r="E8281" i="5"/>
  <c r="E8280" i="5"/>
  <c r="E8279" i="5"/>
  <c r="E8278" i="5"/>
  <c r="E8277" i="5"/>
  <c r="E8276" i="5"/>
  <c r="E8275" i="5"/>
  <c r="E8274" i="5"/>
  <c r="E8273" i="5"/>
  <c r="E8272" i="5"/>
  <c r="E8271" i="5"/>
  <c r="E8270" i="5"/>
  <c r="E8269" i="5"/>
  <c r="E8268" i="5"/>
  <c r="E8267" i="5"/>
  <c r="E8266" i="5"/>
  <c r="E8265" i="5"/>
  <c r="E8264" i="5"/>
  <c r="E8263" i="5"/>
  <c r="E8262" i="5"/>
  <c r="E8261" i="5"/>
  <c r="E8260" i="5"/>
  <c r="E8259" i="5"/>
  <c r="E8258" i="5"/>
  <c r="E8257" i="5"/>
  <c r="E8256" i="5"/>
  <c r="E8255" i="5"/>
  <c r="E8254" i="5"/>
  <c r="E8253" i="5"/>
  <c r="E8252" i="5"/>
  <c r="E8251" i="5"/>
  <c r="E8250" i="5"/>
  <c r="E8249" i="5"/>
  <c r="E8248" i="5"/>
  <c r="E8247" i="5"/>
  <c r="E8246" i="5"/>
  <c r="E8245" i="5"/>
  <c r="E8244" i="5"/>
  <c r="E8243" i="5"/>
  <c r="E8242" i="5"/>
  <c r="E8241" i="5"/>
  <c r="E8240" i="5"/>
  <c r="E8239" i="5"/>
  <c r="E8238" i="5"/>
  <c r="E8237" i="5"/>
  <c r="E8236" i="5"/>
  <c r="E8235" i="5"/>
  <c r="E8234" i="5"/>
  <c r="E8233" i="5"/>
  <c r="E8232" i="5"/>
  <c r="E8231" i="5"/>
  <c r="E8230" i="5"/>
  <c r="E8229" i="5"/>
  <c r="E8228" i="5"/>
  <c r="E8227" i="5"/>
  <c r="E8226" i="5"/>
  <c r="E8225" i="5"/>
  <c r="E8224" i="5"/>
  <c r="E8223" i="5"/>
  <c r="E8222" i="5"/>
  <c r="E8221" i="5"/>
  <c r="E8220" i="5"/>
  <c r="E8219" i="5"/>
  <c r="E8218" i="5"/>
  <c r="E8217" i="5"/>
  <c r="E8216" i="5"/>
  <c r="E8215" i="5"/>
  <c r="E8214" i="5"/>
  <c r="E8213" i="5"/>
  <c r="E8212" i="5"/>
  <c r="E8211" i="5"/>
  <c r="E8210" i="5"/>
  <c r="E8209" i="5"/>
  <c r="E8208" i="5"/>
  <c r="E8207" i="5"/>
  <c r="E8206" i="5"/>
  <c r="E8205" i="5"/>
  <c r="E8204" i="5"/>
  <c r="E8203" i="5"/>
  <c r="E8202" i="5"/>
  <c r="E8201" i="5"/>
  <c r="E8200" i="5"/>
  <c r="E8199" i="5"/>
  <c r="E8198" i="5"/>
  <c r="E8197" i="5"/>
  <c r="E8196" i="5"/>
  <c r="E8195" i="5"/>
  <c r="E8194" i="5"/>
  <c r="E8193" i="5"/>
  <c r="E8192" i="5"/>
  <c r="E8191" i="5"/>
  <c r="E8190" i="5"/>
  <c r="E8189" i="5"/>
  <c r="E8188" i="5"/>
  <c r="E8187" i="5"/>
  <c r="E8186" i="5"/>
  <c r="E8185" i="5"/>
  <c r="E8184" i="5"/>
  <c r="E8183" i="5"/>
  <c r="E8182" i="5"/>
  <c r="E8181" i="5"/>
  <c r="E8180" i="5"/>
  <c r="E8179" i="5"/>
  <c r="E8178" i="5"/>
  <c r="E8177" i="5"/>
  <c r="E8176" i="5"/>
  <c r="E8175" i="5"/>
  <c r="E8174" i="5"/>
  <c r="E8173" i="5"/>
  <c r="E8172" i="5"/>
  <c r="E8171" i="5"/>
  <c r="E8170" i="5"/>
  <c r="E8169" i="5"/>
  <c r="E8168" i="5"/>
  <c r="E8167" i="5"/>
  <c r="E8166" i="5"/>
  <c r="E8165" i="5"/>
  <c r="E8164" i="5"/>
  <c r="E8163" i="5"/>
  <c r="E8162" i="5"/>
  <c r="E8161" i="5"/>
  <c r="E8160" i="5"/>
  <c r="E8159" i="5"/>
  <c r="E8158" i="5"/>
  <c r="E8157" i="5"/>
  <c r="E8156" i="5"/>
  <c r="E8155" i="5"/>
  <c r="E8154" i="5"/>
  <c r="E8153" i="5"/>
  <c r="E8152" i="5"/>
  <c r="E8151" i="5"/>
  <c r="E8150" i="5"/>
  <c r="E8149" i="5"/>
  <c r="E8148" i="5"/>
  <c r="E8147" i="5"/>
  <c r="E8146" i="5"/>
  <c r="E8145" i="5"/>
  <c r="E8144" i="5"/>
  <c r="E8143" i="5"/>
  <c r="E8142" i="5"/>
  <c r="E8141" i="5"/>
  <c r="E8140" i="5"/>
  <c r="E8139" i="5"/>
  <c r="E8138" i="5"/>
  <c r="E8137" i="5"/>
  <c r="E8136" i="5"/>
  <c r="E8135" i="5"/>
  <c r="E8134" i="5"/>
  <c r="E8133" i="5"/>
  <c r="E8132" i="5"/>
  <c r="E8131" i="5"/>
  <c r="E8130" i="5"/>
  <c r="E8129" i="5"/>
  <c r="E8128" i="5"/>
  <c r="E8127" i="5"/>
  <c r="E8126" i="5"/>
  <c r="E8125" i="5"/>
  <c r="E8124" i="5"/>
  <c r="E8123" i="5"/>
  <c r="E8122" i="5"/>
  <c r="E8121" i="5"/>
  <c r="E8120" i="5"/>
  <c r="E8119" i="5"/>
  <c r="E8118" i="5"/>
  <c r="E8117" i="5"/>
  <c r="E8116" i="5"/>
  <c r="E8115" i="5"/>
  <c r="E8114" i="5"/>
  <c r="E8113" i="5"/>
  <c r="E8112" i="5"/>
  <c r="E8111" i="5"/>
  <c r="E8110" i="5"/>
  <c r="E8109" i="5"/>
  <c r="E8108" i="5"/>
  <c r="E8107" i="5"/>
  <c r="E8106" i="5"/>
  <c r="E8105" i="5"/>
  <c r="E8104" i="5"/>
  <c r="E8103" i="5"/>
  <c r="E8102" i="5"/>
  <c r="E8101" i="5"/>
  <c r="E8100" i="5"/>
  <c r="E8099" i="5"/>
  <c r="E8098" i="5"/>
  <c r="E8097" i="5"/>
  <c r="E8096" i="5"/>
  <c r="E8095" i="5"/>
  <c r="E8094" i="5"/>
  <c r="E8093" i="5"/>
  <c r="E8092" i="5"/>
  <c r="E8091" i="5"/>
  <c r="E8090" i="5"/>
  <c r="E8089" i="5"/>
  <c r="E8088" i="5"/>
  <c r="E8087" i="5"/>
  <c r="E8086" i="5"/>
  <c r="E8085" i="5"/>
  <c r="E8084" i="5"/>
  <c r="E8083" i="5"/>
  <c r="E8082" i="5"/>
  <c r="E8081" i="5"/>
  <c r="E8080" i="5"/>
  <c r="E8079" i="5"/>
  <c r="E8078" i="5"/>
  <c r="E8077" i="5"/>
  <c r="E8076" i="5"/>
  <c r="E8075" i="5"/>
  <c r="E8074" i="5"/>
  <c r="E8073" i="5"/>
  <c r="E8072" i="5"/>
  <c r="E8071" i="5"/>
  <c r="E8070" i="5"/>
  <c r="E8069" i="5"/>
  <c r="E8068" i="5"/>
  <c r="E8067" i="5"/>
  <c r="E8066" i="5"/>
  <c r="E8065" i="5"/>
  <c r="E8064" i="5"/>
  <c r="E8063" i="5"/>
  <c r="E8062" i="5"/>
  <c r="E8061" i="5"/>
  <c r="E8060" i="5"/>
  <c r="E8059" i="5"/>
  <c r="E8058" i="5"/>
  <c r="E8057" i="5"/>
  <c r="E8056" i="5"/>
  <c r="E8055" i="5"/>
  <c r="E8054" i="5"/>
  <c r="E8053" i="5"/>
  <c r="E8052" i="5"/>
  <c r="E8051" i="5"/>
  <c r="E8050" i="5"/>
  <c r="E8049" i="5"/>
  <c r="E8048" i="5"/>
  <c r="E8047" i="5"/>
  <c r="E8046" i="5"/>
  <c r="E8045" i="5"/>
  <c r="E8044" i="5"/>
  <c r="E8043" i="5"/>
  <c r="E8042" i="5"/>
  <c r="E8041" i="5"/>
  <c r="E8040" i="5"/>
  <c r="E8039" i="5"/>
  <c r="E8038" i="5"/>
  <c r="E8037" i="5"/>
  <c r="E8036" i="5"/>
  <c r="E8035" i="5"/>
  <c r="E8034" i="5"/>
  <c r="E8033" i="5"/>
  <c r="E8032" i="5"/>
  <c r="E8031" i="5"/>
  <c r="E8030" i="5"/>
  <c r="E8029" i="5"/>
  <c r="E8028" i="5"/>
  <c r="E8027" i="5"/>
  <c r="E8026" i="5"/>
  <c r="E8025" i="5"/>
  <c r="E8024" i="5"/>
  <c r="E8023" i="5"/>
  <c r="E8022" i="5"/>
  <c r="E8021" i="5"/>
  <c r="E8020" i="5"/>
  <c r="E8019" i="5"/>
  <c r="E8018" i="5"/>
  <c r="E8017" i="5"/>
  <c r="E8016" i="5"/>
  <c r="E8015" i="5"/>
  <c r="E8014" i="5"/>
  <c r="E8013" i="5"/>
  <c r="E8012" i="5"/>
  <c r="E8011" i="5"/>
  <c r="E8010" i="5"/>
  <c r="E8009" i="5"/>
  <c r="E8008" i="5"/>
  <c r="E8007" i="5"/>
  <c r="E8006" i="5"/>
  <c r="E8005" i="5"/>
  <c r="E8004" i="5"/>
  <c r="E8003" i="5"/>
  <c r="E8002" i="5"/>
  <c r="E8001" i="5"/>
  <c r="E8000" i="5"/>
  <c r="E7999" i="5"/>
  <c r="E7998" i="5"/>
  <c r="E7997" i="5"/>
  <c r="E7996" i="5"/>
  <c r="E7995" i="5"/>
  <c r="E7994" i="5"/>
  <c r="E7993" i="5"/>
  <c r="E7992" i="5"/>
  <c r="E7991" i="5"/>
  <c r="E7990" i="5"/>
  <c r="E7989" i="5"/>
  <c r="E7988" i="5"/>
  <c r="E7987" i="5"/>
  <c r="E7986" i="5"/>
  <c r="E7985" i="5"/>
  <c r="E7984" i="5"/>
  <c r="E7983" i="5"/>
  <c r="E7982" i="5"/>
  <c r="E7981" i="5"/>
  <c r="E7980" i="5"/>
  <c r="E7979" i="5"/>
  <c r="E7978" i="5"/>
  <c r="E7977" i="5"/>
  <c r="E7976" i="5"/>
  <c r="E7975" i="5"/>
  <c r="E7974" i="5"/>
  <c r="E7973" i="5"/>
  <c r="E7972" i="5"/>
  <c r="E7971" i="5"/>
  <c r="E7970" i="5"/>
  <c r="E7969" i="5"/>
  <c r="E7968" i="5"/>
  <c r="E7967" i="5"/>
  <c r="E7966" i="5"/>
  <c r="E7965" i="5"/>
  <c r="E7964" i="5"/>
  <c r="E7963" i="5"/>
  <c r="E7962" i="5"/>
  <c r="E7961" i="5"/>
  <c r="E7960" i="5"/>
  <c r="E7959" i="5"/>
  <c r="E7958" i="5"/>
  <c r="E7957" i="5"/>
  <c r="E7956" i="5"/>
  <c r="E7955" i="5"/>
  <c r="E7954" i="5"/>
  <c r="E7953" i="5"/>
  <c r="E7952" i="5"/>
  <c r="E7951" i="5"/>
  <c r="E7950" i="5"/>
  <c r="E7949" i="5"/>
  <c r="E7948" i="5"/>
  <c r="E7947" i="5"/>
  <c r="E7946" i="5"/>
  <c r="E7945" i="5"/>
  <c r="E7944" i="5"/>
  <c r="E7943" i="5"/>
  <c r="E7942" i="5"/>
  <c r="E7941" i="5"/>
  <c r="E7940" i="5"/>
  <c r="E7939" i="5"/>
  <c r="E7938" i="5"/>
  <c r="E7937" i="5"/>
  <c r="E7936" i="5"/>
  <c r="E7935" i="5"/>
  <c r="E7934" i="5"/>
  <c r="E7933" i="5"/>
  <c r="E7932" i="5"/>
  <c r="E7931" i="5"/>
  <c r="E7930" i="5"/>
  <c r="E7929" i="5"/>
  <c r="E7928" i="5"/>
  <c r="E7927" i="5"/>
  <c r="E7926" i="5"/>
  <c r="E7925" i="5"/>
  <c r="E7924" i="5"/>
  <c r="E7923" i="5"/>
  <c r="E7922" i="5"/>
  <c r="E7921" i="5"/>
  <c r="E7920" i="5"/>
  <c r="E7919" i="5"/>
  <c r="E7918" i="5"/>
  <c r="E7917" i="5"/>
  <c r="E7916" i="5"/>
  <c r="E7915" i="5"/>
  <c r="E7914" i="5"/>
  <c r="E7913" i="5"/>
  <c r="E7912" i="5"/>
  <c r="E7911" i="5"/>
  <c r="E7910" i="5"/>
  <c r="E7909" i="5"/>
  <c r="E7908" i="5"/>
  <c r="E7907" i="5"/>
  <c r="E7906" i="5"/>
  <c r="E7905" i="5"/>
  <c r="E7904" i="5"/>
  <c r="E7903" i="5"/>
  <c r="E7902" i="5"/>
  <c r="E7901" i="5"/>
  <c r="E7900" i="5"/>
  <c r="E7899" i="5"/>
  <c r="E7898" i="5"/>
  <c r="E7897" i="5"/>
  <c r="E7896" i="5"/>
  <c r="E7895" i="5"/>
  <c r="E7894" i="5"/>
  <c r="E7893" i="5"/>
  <c r="E7892" i="5"/>
  <c r="E7891" i="5"/>
  <c r="E7890" i="5"/>
  <c r="E7889" i="5"/>
  <c r="E7888" i="5"/>
  <c r="E7887" i="5"/>
  <c r="E7886" i="5"/>
  <c r="E7885" i="5"/>
  <c r="E7884" i="5"/>
  <c r="E7883" i="5"/>
  <c r="E7882" i="5"/>
  <c r="E7881" i="5"/>
  <c r="E7880" i="5"/>
  <c r="E7879" i="5"/>
  <c r="E7878" i="5"/>
  <c r="E7877" i="5"/>
  <c r="E7876" i="5"/>
  <c r="E7875" i="5"/>
  <c r="E7874" i="5"/>
  <c r="E7873" i="5"/>
  <c r="E7872" i="5"/>
  <c r="E7871" i="5"/>
  <c r="E7870" i="5"/>
  <c r="E7869" i="5"/>
  <c r="E7868" i="5"/>
  <c r="E7867" i="5"/>
  <c r="E7866" i="5"/>
  <c r="E7865" i="5"/>
  <c r="E7864" i="5"/>
  <c r="E7863" i="5"/>
  <c r="E7862" i="5"/>
  <c r="E7861" i="5"/>
  <c r="E7860" i="5"/>
  <c r="E7859" i="5"/>
  <c r="E7858" i="5"/>
  <c r="E7857" i="5"/>
  <c r="E7856" i="5"/>
  <c r="E7855" i="5"/>
  <c r="E7854" i="5"/>
  <c r="E7853" i="5"/>
  <c r="E7852" i="5"/>
  <c r="E7851" i="5"/>
  <c r="E7850" i="5"/>
  <c r="E7849" i="5"/>
  <c r="E7848" i="5"/>
  <c r="E7847" i="5"/>
  <c r="E7846" i="5"/>
  <c r="E7845" i="5"/>
  <c r="E7844" i="5"/>
  <c r="E7843" i="5"/>
  <c r="E7842" i="5"/>
  <c r="E7841" i="5"/>
  <c r="E7840" i="5"/>
  <c r="E7839" i="5"/>
  <c r="E7838" i="5"/>
  <c r="E7837" i="5"/>
  <c r="E7836" i="5"/>
  <c r="E7835" i="5"/>
  <c r="E7834" i="5"/>
  <c r="E7833" i="5"/>
  <c r="E7832" i="5"/>
  <c r="E7831" i="5"/>
  <c r="E7830" i="5"/>
  <c r="E7829" i="5"/>
  <c r="E7828" i="5"/>
  <c r="E7827" i="5"/>
  <c r="E7826" i="5"/>
  <c r="E7825" i="5"/>
  <c r="E7824" i="5"/>
  <c r="E7823" i="5"/>
  <c r="E7822" i="5"/>
  <c r="E7821" i="5"/>
  <c r="E7820" i="5"/>
  <c r="E7819" i="5"/>
  <c r="E7818" i="5"/>
  <c r="E7817" i="5"/>
  <c r="E7816" i="5"/>
  <c r="E7815" i="5"/>
  <c r="E7814" i="5"/>
  <c r="E7813" i="5"/>
  <c r="E7812" i="5"/>
  <c r="E7811" i="5"/>
  <c r="E7810" i="5"/>
  <c r="E7809" i="5"/>
  <c r="E7808" i="5"/>
  <c r="E7807" i="5"/>
  <c r="E7806" i="5"/>
  <c r="E7805" i="5"/>
  <c r="E7804" i="5"/>
  <c r="E7803" i="5"/>
  <c r="E7802" i="5"/>
  <c r="E7801" i="5"/>
  <c r="E7800" i="5"/>
  <c r="E7799" i="5"/>
  <c r="E7798" i="5"/>
  <c r="E7797" i="5"/>
  <c r="E7796" i="5"/>
  <c r="E7795" i="5"/>
  <c r="E7794" i="5"/>
  <c r="E7793" i="5"/>
  <c r="E7792" i="5"/>
  <c r="E7791" i="5"/>
  <c r="E7790" i="5"/>
  <c r="E7789" i="5"/>
  <c r="E7788" i="5"/>
  <c r="E7787" i="5"/>
  <c r="E7786" i="5"/>
  <c r="E7785" i="5"/>
  <c r="E7784" i="5"/>
  <c r="E7783" i="5"/>
  <c r="E7782" i="5"/>
  <c r="E7781" i="5"/>
  <c r="E7780" i="5"/>
  <c r="E7779" i="5"/>
  <c r="E7778" i="5"/>
  <c r="E7777" i="5"/>
  <c r="E7776" i="5"/>
  <c r="E7775" i="5"/>
  <c r="E7774" i="5"/>
  <c r="E7773" i="5"/>
  <c r="E7772" i="5"/>
  <c r="E7771" i="5"/>
  <c r="E7770" i="5"/>
  <c r="E7769" i="5"/>
  <c r="E7768" i="5"/>
  <c r="E7767" i="5"/>
  <c r="E7766" i="5"/>
  <c r="E7765" i="5"/>
  <c r="E7764" i="5"/>
  <c r="E7763" i="5"/>
  <c r="E7762" i="5"/>
  <c r="E7761" i="5"/>
  <c r="E7760" i="5"/>
  <c r="E7759" i="5"/>
  <c r="E7758" i="5"/>
  <c r="E7757" i="5"/>
  <c r="E7756" i="5"/>
  <c r="E7755" i="5"/>
  <c r="E7754" i="5"/>
  <c r="E7753" i="5"/>
  <c r="E7752" i="5"/>
  <c r="E7751" i="5"/>
  <c r="E7750" i="5"/>
  <c r="E7749" i="5"/>
  <c r="E7748" i="5"/>
  <c r="E7747" i="5"/>
  <c r="E7746" i="5"/>
  <c r="E7745" i="5"/>
  <c r="E7744" i="5"/>
  <c r="E7743" i="5"/>
  <c r="E7742" i="5"/>
  <c r="E7741" i="5"/>
  <c r="E7740" i="5"/>
  <c r="E7739" i="5"/>
  <c r="E7738" i="5"/>
  <c r="E7737" i="5"/>
  <c r="E7736" i="5"/>
  <c r="E7735" i="5"/>
  <c r="E7734" i="5"/>
  <c r="E7733" i="5"/>
  <c r="E7732" i="5"/>
  <c r="E7731" i="5"/>
  <c r="E7730" i="5"/>
  <c r="E7729" i="5"/>
  <c r="E7728" i="5"/>
  <c r="E7727" i="5"/>
  <c r="E7726" i="5"/>
  <c r="E7725" i="5"/>
  <c r="E7724" i="5"/>
  <c r="E7723" i="5"/>
  <c r="E7722" i="5"/>
  <c r="E7721" i="5"/>
  <c r="E7720" i="5"/>
  <c r="E7719" i="5"/>
  <c r="E7718" i="5"/>
  <c r="E7717" i="5"/>
  <c r="E7716" i="5"/>
  <c r="E7715" i="5"/>
  <c r="E7714" i="5"/>
  <c r="E7713" i="5"/>
  <c r="E7712" i="5"/>
  <c r="E7711" i="5"/>
  <c r="E7710" i="5"/>
  <c r="E7709" i="5"/>
  <c r="E7708" i="5"/>
  <c r="E7707" i="5"/>
  <c r="E7706" i="5"/>
  <c r="E7705" i="5"/>
  <c r="E7704" i="5"/>
  <c r="E7703" i="5"/>
  <c r="E7702" i="5"/>
  <c r="E7701" i="5"/>
  <c r="E7700" i="5"/>
  <c r="E7699" i="5"/>
  <c r="E7698" i="5"/>
  <c r="E7697" i="5"/>
  <c r="E7696" i="5"/>
  <c r="E7695" i="5"/>
  <c r="E7694" i="5"/>
  <c r="E7693" i="5"/>
  <c r="E7692" i="5"/>
  <c r="E7691" i="5"/>
  <c r="E7690" i="5"/>
  <c r="E7689" i="5"/>
  <c r="E7688" i="5"/>
  <c r="E7687" i="5"/>
  <c r="E7686" i="5"/>
  <c r="E7685" i="5"/>
  <c r="E7684" i="5"/>
  <c r="E7683" i="5"/>
  <c r="E7682" i="5"/>
  <c r="E7681" i="5"/>
  <c r="E7680" i="5"/>
  <c r="E7679" i="5"/>
  <c r="E7678" i="5"/>
  <c r="E7677" i="5"/>
  <c r="E7676" i="5"/>
  <c r="E7675" i="5"/>
  <c r="E7674" i="5"/>
  <c r="E7673" i="5"/>
  <c r="E7672" i="5"/>
  <c r="E7671" i="5"/>
  <c r="E7670" i="5"/>
  <c r="E7669" i="5"/>
  <c r="E7668" i="5"/>
  <c r="E7667" i="5"/>
  <c r="E7666" i="5"/>
  <c r="E7665" i="5"/>
  <c r="E7664" i="5"/>
  <c r="E7663" i="5"/>
  <c r="E7662" i="5"/>
  <c r="E7661" i="5"/>
  <c r="E7660" i="5"/>
  <c r="E7659" i="5"/>
  <c r="E7658" i="5"/>
  <c r="E7657" i="5"/>
  <c r="E7656" i="5"/>
  <c r="E7655" i="5"/>
  <c r="E7654" i="5"/>
  <c r="E7653" i="5"/>
  <c r="E7652" i="5"/>
  <c r="E7651" i="5"/>
  <c r="E7650" i="5"/>
  <c r="E7649" i="5"/>
  <c r="E7648" i="5"/>
  <c r="E7647" i="5"/>
  <c r="E7646" i="5"/>
  <c r="E7645" i="5"/>
  <c r="E7644" i="5"/>
  <c r="E7643" i="5"/>
  <c r="E7642" i="5"/>
  <c r="E7641" i="5"/>
  <c r="E7640" i="5"/>
  <c r="E7639" i="5"/>
  <c r="E7638" i="5"/>
  <c r="E7637" i="5"/>
  <c r="E7636" i="5"/>
  <c r="E7635" i="5"/>
  <c r="E7634" i="5"/>
  <c r="E7633" i="5"/>
  <c r="E7632" i="5"/>
  <c r="E7631" i="5"/>
  <c r="E7630" i="5"/>
  <c r="E7629" i="5"/>
  <c r="E7628" i="5"/>
  <c r="E7627" i="5"/>
  <c r="E7626" i="5"/>
  <c r="E7625" i="5"/>
  <c r="E7624" i="5"/>
  <c r="E7623" i="5"/>
  <c r="E7622" i="5"/>
  <c r="E7621" i="5"/>
  <c r="E7620" i="5"/>
  <c r="E7619" i="5"/>
  <c r="E7618" i="5"/>
  <c r="E7617" i="5"/>
  <c r="E7616" i="5"/>
  <c r="E7615" i="5"/>
  <c r="E7614" i="5"/>
  <c r="E7613" i="5"/>
  <c r="E7612" i="5"/>
  <c r="E7611" i="5"/>
  <c r="E7610" i="5"/>
  <c r="E7609" i="5"/>
  <c r="E7608" i="5"/>
  <c r="E7607" i="5"/>
  <c r="E7606" i="5"/>
  <c r="E7605" i="5"/>
  <c r="E7604" i="5"/>
  <c r="E7603" i="5"/>
  <c r="E7602" i="5"/>
  <c r="E7601" i="5"/>
  <c r="E7600" i="5"/>
  <c r="E7599" i="5"/>
  <c r="E7598" i="5"/>
  <c r="E7597" i="5"/>
  <c r="E7596" i="5"/>
  <c r="E7595" i="5"/>
  <c r="E7594" i="5"/>
  <c r="E7593" i="5"/>
  <c r="E7592" i="5"/>
  <c r="E7591" i="5"/>
  <c r="E7590" i="5"/>
  <c r="E7589" i="5"/>
  <c r="E7588" i="5"/>
  <c r="E7587" i="5"/>
  <c r="E7586" i="5"/>
  <c r="E7585" i="5"/>
  <c r="E7584" i="5"/>
  <c r="E7583" i="5"/>
  <c r="E7582" i="5"/>
  <c r="E7581" i="5"/>
  <c r="E7580" i="5"/>
  <c r="E7579" i="5"/>
  <c r="E7578" i="5"/>
  <c r="E7577" i="5"/>
  <c r="E7576" i="5"/>
  <c r="E7575" i="5"/>
  <c r="E7574" i="5"/>
  <c r="E7573" i="5"/>
  <c r="E7572" i="5"/>
  <c r="E7571" i="5"/>
  <c r="E7570" i="5"/>
  <c r="E7569" i="5"/>
  <c r="E7568" i="5"/>
  <c r="E7567" i="5"/>
  <c r="E7566" i="5"/>
  <c r="E7565" i="5"/>
  <c r="E7564" i="5"/>
  <c r="E7563" i="5"/>
  <c r="E7562" i="5"/>
  <c r="E7561" i="5"/>
  <c r="E7560" i="5"/>
  <c r="E7559" i="5"/>
  <c r="E7558" i="5"/>
  <c r="E7557" i="5"/>
  <c r="E7556" i="5"/>
  <c r="E7555" i="5"/>
  <c r="E7554" i="5"/>
  <c r="E7553" i="5"/>
  <c r="E7552" i="5"/>
  <c r="E7551" i="5"/>
  <c r="E7550" i="5"/>
  <c r="E7549" i="5"/>
  <c r="E7548" i="5"/>
  <c r="E7547" i="5"/>
  <c r="E7546" i="5"/>
  <c r="E7545" i="5"/>
  <c r="E7544" i="5"/>
  <c r="E7543" i="5"/>
  <c r="E7542" i="5"/>
  <c r="E7541" i="5"/>
  <c r="E7540" i="5"/>
  <c r="E7539" i="5"/>
  <c r="E7538" i="5"/>
  <c r="E7537" i="5"/>
  <c r="E7536" i="5"/>
  <c r="E7535" i="5"/>
  <c r="E7534" i="5"/>
  <c r="E7533" i="5"/>
  <c r="E7532" i="5"/>
  <c r="E7531" i="5"/>
  <c r="E7530" i="5"/>
  <c r="E7529" i="5"/>
  <c r="E7528" i="5"/>
  <c r="E7527" i="5"/>
  <c r="E7526" i="5"/>
  <c r="E7525" i="5"/>
  <c r="E7524" i="5"/>
  <c r="E7523" i="5"/>
  <c r="E7522" i="5"/>
  <c r="E7521" i="5"/>
  <c r="E7520" i="5"/>
  <c r="E7519" i="5"/>
  <c r="E7518" i="5"/>
  <c r="E7517" i="5"/>
  <c r="E7516" i="5"/>
  <c r="E7515" i="5"/>
  <c r="E7514" i="5"/>
  <c r="E7513" i="5"/>
  <c r="E7512" i="5"/>
  <c r="E7511" i="5"/>
  <c r="E7510" i="5"/>
  <c r="E7509" i="5"/>
  <c r="E7508" i="5"/>
  <c r="E7507" i="5"/>
  <c r="E7506" i="5"/>
  <c r="E7505" i="5"/>
  <c r="E7504" i="5"/>
  <c r="E7503" i="5"/>
  <c r="E7502" i="5"/>
  <c r="E7501" i="5"/>
  <c r="E7500" i="5"/>
  <c r="E7499" i="5"/>
  <c r="E7498" i="5"/>
  <c r="E7497" i="5"/>
  <c r="E7496" i="5"/>
  <c r="E7495" i="5"/>
  <c r="E7494" i="5"/>
  <c r="E7493" i="5"/>
  <c r="E7492" i="5"/>
  <c r="E7491" i="5"/>
  <c r="E7490" i="5"/>
  <c r="E7489" i="5"/>
  <c r="E7488" i="5"/>
  <c r="E7487" i="5"/>
  <c r="E7486" i="5"/>
  <c r="E7485" i="5"/>
  <c r="E7484" i="5"/>
  <c r="E7483" i="5"/>
  <c r="E7482" i="5"/>
  <c r="E7481" i="5"/>
  <c r="E7480" i="5"/>
  <c r="E7479" i="5"/>
  <c r="E7478" i="5"/>
  <c r="E7477" i="5"/>
  <c r="E7476" i="5"/>
  <c r="E7475" i="5"/>
  <c r="E7474" i="5"/>
  <c r="E7473" i="5"/>
  <c r="E7472" i="5"/>
  <c r="E7471" i="5"/>
  <c r="E7470" i="5"/>
  <c r="E7469" i="5"/>
  <c r="E7468" i="5"/>
  <c r="E7467" i="5"/>
  <c r="E7466" i="5"/>
  <c r="E7465" i="5"/>
  <c r="E7464" i="5"/>
  <c r="E7463" i="5"/>
  <c r="E7462" i="5"/>
  <c r="E7461" i="5"/>
  <c r="E7460" i="5"/>
  <c r="E7459" i="5"/>
  <c r="E7458" i="5"/>
  <c r="E7457" i="5"/>
  <c r="E7456" i="5"/>
  <c r="E7455" i="5"/>
  <c r="E7454" i="5"/>
  <c r="E7453" i="5"/>
  <c r="E7452" i="5"/>
  <c r="E7451" i="5"/>
  <c r="E7450" i="5"/>
  <c r="E7449" i="5"/>
  <c r="E7448" i="5"/>
  <c r="E7447" i="5"/>
  <c r="E7446" i="5"/>
  <c r="E7445" i="5"/>
  <c r="E7444" i="5"/>
  <c r="E7443" i="5"/>
  <c r="E7442" i="5"/>
  <c r="E7441" i="5"/>
  <c r="E7440" i="5"/>
  <c r="E7439" i="5"/>
  <c r="E7438" i="5"/>
  <c r="E7437" i="5"/>
  <c r="E7436" i="5"/>
  <c r="E7435" i="5"/>
  <c r="E7434" i="5"/>
  <c r="E7433" i="5"/>
  <c r="E7432" i="5"/>
  <c r="E7431" i="5"/>
  <c r="E7430" i="5"/>
  <c r="E7429" i="5"/>
  <c r="E7428" i="5"/>
  <c r="E7427" i="5"/>
  <c r="E7426" i="5"/>
  <c r="E7425" i="5"/>
  <c r="E7424" i="5"/>
  <c r="E7423" i="5"/>
  <c r="E7422" i="5"/>
  <c r="E7421" i="5"/>
  <c r="E7420" i="5"/>
  <c r="E7419" i="5"/>
  <c r="E7418" i="5"/>
  <c r="E7417" i="5"/>
  <c r="E7416" i="5"/>
  <c r="E7415" i="5"/>
  <c r="E7414" i="5"/>
  <c r="E7413" i="5"/>
  <c r="E7412" i="5"/>
  <c r="E7411" i="5"/>
  <c r="E7410" i="5"/>
  <c r="E7409" i="5"/>
  <c r="E7408" i="5"/>
  <c r="E7407" i="5"/>
  <c r="E7406" i="5"/>
  <c r="E7405" i="5"/>
  <c r="E7404" i="5"/>
  <c r="E7403" i="5"/>
  <c r="E7402" i="5"/>
  <c r="E7401" i="5"/>
  <c r="E7400" i="5"/>
  <c r="E7399" i="5"/>
  <c r="E7398" i="5"/>
  <c r="E7397" i="5"/>
  <c r="E7396" i="5"/>
  <c r="E7395" i="5"/>
  <c r="E7394" i="5"/>
  <c r="E7393" i="5"/>
  <c r="E7392" i="5"/>
  <c r="E7391" i="5"/>
  <c r="E7390" i="5"/>
  <c r="E7389" i="5"/>
  <c r="E7388" i="5"/>
  <c r="E7387" i="5"/>
  <c r="E7386" i="5"/>
  <c r="E7385" i="5"/>
  <c r="E7384" i="5"/>
  <c r="E7383" i="5"/>
  <c r="E7382" i="5"/>
  <c r="E7381" i="5"/>
  <c r="E7380" i="5"/>
  <c r="E7379" i="5"/>
  <c r="E7378" i="5"/>
  <c r="E7377" i="5"/>
  <c r="E7376" i="5"/>
  <c r="E7375" i="5"/>
  <c r="E7374" i="5"/>
  <c r="E7373" i="5"/>
  <c r="E7372" i="5"/>
  <c r="E7371" i="5"/>
  <c r="E7370" i="5"/>
  <c r="E7369" i="5"/>
  <c r="E7368" i="5"/>
  <c r="E7367" i="5"/>
  <c r="E7366" i="5"/>
  <c r="E7365" i="5"/>
  <c r="E7364" i="5"/>
  <c r="E7363" i="5"/>
  <c r="E7362" i="5"/>
  <c r="E7361" i="5"/>
  <c r="E7360" i="5"/>
  <c r="E7359" i="5"/>
  <c r="E7358" i="5"/>
  <c r="E7357" i="5"/>
  <c r="E7356" i="5"/>
  <c r="E7355" i="5"/>
  <c r="E7354" i="5"/>
  <c r="E7353" i="5"/>
  <c r="E7352" i="5"/>
  <c r="E7351" i="5"/>
  <c r="E7350" i="5"/>
  <c r="E7349" i="5"/>
  <c r="E7348" i="5"/>
  <c r="E7347" i="5"/>
  <c r="E7346" i="5"/>
  <c r="E7345" i="5"/>
  <c r="E7344" i="5"/>
  <c r="E7343" i="5"/>
  <c r="E7342" i="5"/>
  <c r="E7341" i="5"/>
  <c r="E7340" i="5"/>
  <c r="E7339" i="5"/>
  <c r="E7338" i="5"/>
  <c r="E7337" i="5"/>
  <c r="E7336" i="5"/>
  <c r="E7335" i="5"/>
  <c r="E7334" i="5"/>
  <c r="E7333" i="5"/>
  <c r="E7332" i="5"/>
  <c r="E7331" i="5"/>
  <c r="E7330" i="5"/>
  <c r="E7329" i="5"/>
  <c r="E7328" i="5"/>
  <c r="E7327" i="5"/>
  <c r="E7326" i="5"/>
  <c r="E7325" i="5"/>
  <c r="E7324" i="5"/>
  <c r="E7323" i="5"/>
  <c r="E7322" i="5"/>
  <c r="E7321" i="5"/>
  <c r="E7320" i="5"/>
  <c r="E7319" i="5"/>
  <c r="E7318" i="5"/>
  <c r="E7317" i="5"/>
  <c r="E7316" i="5"/>
  <c r="E7315" i="5"/>
  <c r="E7314" i="5"/>
  <c r="E7313" i="5"/>
  <c r="E7312" i="5"/>
  <c r="E7311" i="5"/>
  <c r="E7310" i="5"/>
  <c r="E7309" i="5"/>
  <c r="E7308" i="5"/>
  <c r="E7307" i="5"/>
  <c r="E7306" i="5"/>
  <c r="E7305" i="5"/>
  <c r="E7304" i="5"/>
  <c r="E7303" i="5"/>
  <c r="E7302" i="5"/>
  <c r="E7301" i="5"/>
  <c r="E7300" i="5"/>
  <c r="E7299" i="5"/>
  <c r="E7298" i="5"/>
  <c r="E7297" i="5"/>
  <c r="E7296" i="5"/>
  <c r="E7295" i="5"/>
  <c r="E7294" i="5"/>
  <c r="E7293" i="5"/>
  <c r="E7292" i="5"/>
  <c r="E7291" i="5"/>
  <c r="E7290" i="5"/>
  <c r="E7289" i="5"/>
  <c r="E7288" i="5"/>
  <c r="E7287" i="5"/>
  <c r="E7286" i="5"/>
  <c r="E7285" i="5"/>
  <c r="E7284" i="5"/>
  <c r="E7283" i="5"/>
  <c r="E7282" i="5"/>
  <c r="E7281" i="5"/>
  <c r="E7280" i="5"/>
  <c r="E7279" i="5"/>
  <c r="E7278" i="5"/>
  <c r="E7277" i="5"/>
  <c r="E7276" i="5"/>
  <c r="E7275" i="5"/>
  <c r="E7274" i="5"/>
  <c r="E7273" i="5"/>
  <c r="E7272" i="5"/>
  <c r="E7271" i="5"/>
  <c r="E7270" i="5"/>
  <c r="E7269" i="5"/>
  <c r="E7268" i="5"/>
  <c r="E7267" i="5"/>
  <c r="E7266" i="5"/>
  <c r="E7265" i="5"/>
  <c r="E7264" i="5"/>
  <c r="E7263" i="5"/>
  <c r="E7262" i="5"/>
  <c r="E7261" i="5"/>
  <c r="E7260" i="5"/>
  <c r="E7259" i="5"/>
  <c r="E7258" i="5"/>
  <c r="E7257" i="5"/>
  <c r="E7256" i="5"/>
  <c r="E7255" i="5"/>
  <c r="E7254" i="5"/>
  <c r="E7253" i="5"/>
  <c r="E7252" i="5"/>
  <c r="E7251" i="5"/>
  <c r="E7250" i="5"/>
  <c r="E7249" i="5"/>
  <c r="E7248" i="5"/>
  <c r="E7247" i="5"/>
  <c r="E7246" i="5"/>
  <c r="E7245" i="5"/>
  <c r="E7244" i="5"/>
  <c r="E7243" i="5"/>
  <c r="E7242" i="5"/>
  <c r="E7241" i="5"/>
  <c r="E7240" i="5"/>
  <c r="E7239" i="5"/>
  <c r="E7238" i="5"/>
  <c r="E7237" i="5"/>
  <c r="E7236" i="5"/>
  <c r="E7235" i="5"/>
  <c r="E7234" i="5"/>
  <c r="E7233" i="5"/>
  <c r="E7232" i="5"/>
  <c r="E7231" i="5"/>
  <c r="E7230" i="5"/>
  <c r="E7229" i="5"/>
  <c r="E7228" i="5"/>
  <c r="E7227" i="5"/>
  <c r="E7226" i="5"/>
  <c r="E7225" i="5"/>
  <c r="E7224" i="5"/>
  <c r="E7223" i="5"/>
  <c r="E7222" i="5"/>
  <c r="E7221" i="5"/>
  <c r="E7220" i="5"/>
  <c r="E7219" i="5"/>
  <c r="E7218" i="5"/>
  <c r="E7217" i="5"/>
  <c r="E7216" i="5"/>
  <c r="E7215" i="5"/>
  <c r="E7214" i="5"/>
  <c r="E7213" i="5"/>
  <c r="E7212" i="5"/>
  <c r="E7211" i="5"/>
  <c r="E7210" i="5"/>
  <c r="E7209" i="5"/>
  <c r="E7208" i="5"/>
  <c r="E7207" i="5"/>
  <c r="E7206" i="5"/>
  <c r="E7205" i="5"/>
  <c r="E7204" i="5"/>
  <c r="E7203" i="5"/>
  <c r="E7202" i="5"/>
  <c r="E7201" i="5"/>
  <c r="E7200" i="5"/>
  <c r="E7199" i="5"/>
  <c r="E7198" i="5"/>
  <c r="E7197" i="5"/>
  <c r="E7196" i="5"/>
  <c r="E7195" i="5"/>
  <c r="E7194" i="5"/>
  <c r="E7193" i="5"/>
  <c r="E7192" i="5"/>
  <c r="E7191" i="5"/>
  <c r="E7190" i="5"/>
  <c r="E7189" i="5"/>
  <c r="E7188" i="5"/>
  <c r="E7187" i="5"/>
  <c r="E7186" i="5"/>
  <c r="E7185" i="5"/>
  <c r="E7184" i="5"/>
  <c r="E7183" i="5"/>
  <c r="E7182" i="5"/>
  <c r="E7181" i="5"/>
  <c r="E7180" i="5"/>
  <c r="E7179" i="5"/>
  <c r="E7178" i="5"/>
  <c r="E7177" i="5"/>
  <c r="E7176" i="5"/>
  <c r="E7175" i="5"/>
  <c r="E7174" i="5"/>
  <c r="E7173" i="5"/>
  <c r="E7172" i="5"/>
  <c r="E7171" i="5"/>
  <c r="E7170" i="5"/>
  <c r="E7169" i="5"/>
  <c r="E7168" i="5"/>
  <c r="E7167" i="5"/>
  <c r="E7166" i="5"/>
  <c r="E7165" i="5"/>
  <c r="E7164" i="5"/>
  <c r="E7163" i="5"/>
  <c r="E7162" i="5"/>
  <c r="E7161" i="5"/>
  <c r="E7160" i="5"/>
  <c r="E7159" i="5"/>
  <c r="E7158" i="5"/>
  <c r="E7157" i="5"/>
  <c r="E7156" i="5"/>
  <c r="E7155" i="5"/>
  <c r="E7154" i="5"/>
  <c r="E7153" i="5"/>
  <c r="E7152" i="5"/>
  <c r="E7151" i="5"/>
  <c r="E7150" i="5"/>
  <c r="E7149" i="5"/>
  <c r="E7148" i="5"/>
  <c r="E7147" i="5"/>
  <c r="E7146" i="5"/>
  <c r="E7145" i="5"/>
  <c r="E7144" i="5"/>
  <c r="E7143" i="5"/>
  <c r="E7142" i="5"/>
  <c r="E7141" i="5"/>
  <c r="E7140" i="5"/>
  <c r="E7139" i="5"/>
  <c r="E7138" i="5"/>
  <c r="E7137" i="5"/>
  <c r="E7136" i="5"/>
  <c r="E7135" i="5"/>
  <c r="E7134" i="5"/>
  <c r="E7133" i="5"/>
  <c r="E7132" i="5"/>
  <c r="E7131" i="5"/>
  <c r="E7130" i="5"/>
  <c r="E7129" i="5"/>
  <c r="E7128" i="5"/>
  <c r="E7127" i="5"/>
  <c r="E7126" i="5"/>
  <c r="E7125" i="5"/>
  <c r="E7124" i="5"/>
  <c r="E7123" i="5"/>
  <c r="E7122" i="5"/>
  <c r="E7121" i="5"/>
  <c r="E7120" i="5"/>
  <c r="E7119" i="5"/>
  <c r="E7118" i="5"/>
  <c r="E7117" i="5"/>
  <c r="E7116" i="5"/>
  <c r="E7115" i="5"/>
  <c r="E7114" i="5"/>
  <c r="E7113" i="5"/>
  <c r="E7112" i="5"/>
  <c r="E7111" i="5"/>
  <c r="E7110" i="5"/>
  <c r="E7109" i="5"/>
  <c r="E7108" i="5"/>
  <c r="E7107" i="5"/>
  <c r="E7106" i="5"/>
  <c r="E7105" i="5"/>
  <c r="E7104" i="5"/>
  <c r="E7103" i="5"/>
  <c r="E7102" i="5"/>
  <c r="E7101" i="5"/>
  <c r="E7100" i="5"/>
  <c r="E7099" i="5"/>
  <c r="E7098" i="5"/>
  <c r="E7097" i="5"/>
  <c r="E7096" i="5"/>
  <c r="E7095" i="5"/>
  <c r="E7094" i="5"/>
  <c r="E7093" i="5"/>
  <c r="E7092" i="5"/>
  <c r="E7091" i="5"/>
  <c r="E7090" i="5"/>
  <c r="E7089" i="5"/>
  <c r="E7088" i="5"/>
  <c r="E7087" i="5"/>
  <c r="E7086" i="5"/>
  <c r="E7085" i="5"/>
  <c r="E7084" i="5"/>
  <c r="E7083" i="5"/>
  <c r="E7082" i="5"/>
  <c r="E7081" i="5"/>
  <c r="E7080" i="5"/>
  <c r="E7079" i="5"/>
  <c r="E7078" i="5"/>
  <c r="E7077" i="5"/>
  <c r="E7076" i="5"/>
  <c r="E7075" i="5"/>
  <c r="E7074" i="5"/>
  <c r="E7073" i="5"/>
  <c r="E7072" i="5"/>
  <c r="E7071" i="5"/>
  <c r="E7070" i="5"/>
  <c r="E7069" i="5"/>
  <c r="E7068" i="5"/>
  <c r="E7067" i="5"/>
  <c r="E7066" i="5"/>
  <c r="E7065" i="5"/>
  <c r="E7064" i="5"/>
  <c r="E7063" i="5"/>
  <c r="E7062" i="5"/>
  <c r="E7061" i="5"/>
  <c r="E7060" i="5"/>
  <c r="E7059" i="5"/>
  <c r="E7058" i="5"/>
  <c r="E7057" i="5"/>
  <c r="E7056" i="5"/>
  <c r="E7055" i="5"/>
  <c r="E7054" i="5"/>
  <c r="E7053" i="5"/>
  <c r="E7052" i="5"/>
  <c r="E7051" i="5"/>
  <c r="E7050" i="5"/>
  <c r="E7049" i="5"/>
  <c r="E7048" i="5"/>
  <c r="E7047" i="5"/>
  <c r="E7046" i="5"/>
  <c r="E7045" i="5"/>
  <c r="E7044" i="5"/>
  <c r="E7043" i="5"/>
  <c r="E7042" i="5"/>
  <c r="E7041" i="5"/>
  <c r="E7040" i="5"/>
  <c r="E7039" i="5"/>
  <c r="E7038" i="5"/>
  <c r="E7037" i="5"/>
  <c r="E7036" i="5"/>
  <c r="E7035" i="5"/>
  <c r="E7034" i="5"/>
  <c r="E7033" i="5"/>
  <c r="E7032" i="5"/>
  <c r="E7031" i="5"/>
  <c r="E7030" i="5"/>
  <c r="E7029" i="5"/>
  <c r="E7028" i="5"/>
  <c r="E7027" i="5"/>
  <c r="E7026" i="5"/>
  <c r="E7025" i="5"/>
  <c r="E7024" i="5"/>
  <c r="E7023" i="5"/>
  <c r="E7022" i="5"/>
  <c r="E7021" i="5"/>
  <c r="E7020" i="5"/>
  <c r="E7019" i="5"/>
  <c r="E7018" i="5"/>
  <c r="E7017" i="5"/>
  <c r="E7016" i="5"/>
  <c r="E7015" i="5"/>
  <c r="E7014" i="5"/>
  <c r="E7013" i="5"/>
  <c r="E7012" i="5"/>
  <c r="E7011" i="5"/>
  <c r="E7010" i="5"/>
  <c r="E7009" i="5"/>
  <c r="E7008" i="5"/>
  <c r="E7007" i="5"/>
  <c r="E7006" i="5"/>
  <c r="E7005" i="5"/>
  <c r="E7004" i="5"/>
  <c r="E7003" i="5"/>
  <c r="E7002" i="5"/>
  <c r="E7001" i="5"/>
  <c r="E7000" i="5"/>
  <c r="E6999" i="5"/>
  <c r="E6998" i="5"/>
  <c r="E6997" i="5"/>
  <c r="E6996" i="5"/>
  <c r="E6995" i="5"/>
  <c r="E6994" i="5"/>
  <c r="E6993" i="5"/>
  <c r="E6992" i="5"/>
  <c r="E6991" i="5"/>
  <c r="E6990" i="5"/>
  <c r="E6989" i="5"/>
  <c r="E6988" i="5"/>
  <c r="E6987" i="5"/>
  <c r="E6986" i="5"/>
  <c r="E6985" i="5"/>
  <c r="E6984" i="5"/>
  <c r="E6983" i="5"/>
  <c r="E6982" i="5"/>
  <c r="E6981" i="5"/>
  <c r="E6980" i="5"/>
  <c r="E6979" i="5"/>
  <c r="E6978" i="5"/>
  <c r="E6977" i="5"/>
  <c r="E6976" i="5"/>
  <c r="E6975" i="5"/>
  <c r="E6974" i="5"/>
  <c r="E6973" i="5"/>
  <c r="E6972" i="5"/>
  <c r="E6971" i="5"/>
  <c r="E6970" i="5"/>
  <c r="E6969" i="5"/>
  <c r="E6968" i="5"/>
  <c r="E6967" i="5"/>
  <c r="E6966" i="5"/>
  <c r="E6965" i="5"/>
  <c r="E6964" i="5"/>
  <c r="E6963" i="5"/>
  <c r="E6962" i="5"/>
  <c r="E6961" i="5"/>
  <c r="E6960" i="5"/>
  <c r="E6959" i="5"/>
  <c r="E6958" i="5"/>
  <c r="E6957" i="5"/>
  <c r="E6956" i="5"/>
  <c r="E6955" i="5"/>
  <c r="E6954" i="5"/>
  <c r="E6953" i="5"/>
  <c r="E6952" i="5"/>
  <c r="E6951" i="5"/>
  <c r="E6950" i="5"/>
  <c r="E6949" i="5"/>
  <c r="E6948" i="5"/>
  <c r="E6947" i="5"/>
  <c r="E6946" i="5"/>
  <c r="E6945" i="5"/>
  <c r="E6944" i="5"/>
  <c r="E6943" i="5"/>
  <c r="E6942" i="5"/>
  <c r="E6941" i="5"/>
  <c r="E6940" i="5"/>
  <c r="E6939" i="5"/>
  <c r="E6938" i="5"/>
  <c r="E6937" i="5"/>
  <c r="E6936" i="5"/>
  <c r="E6935" i="5"/>
  <c r="E6934" i="5"/>
  <c r="E6933" i="5"/>
  <c r="E6932" i="5"/>
  <c r="E6931" i="5"/>
  <c r="E6930" i="5"/>
  <c r="E6929" i="5"/>
  <c r="E6928" i="5"/>
  <c r="E6927" i="5"/>
  <c r="E6926" i="5"/>
  <c r="E6925" i="5"/>
  <c r="E6924" i="5"/>
  <c r="E6923" i="5"/>
  <c r="E6922" i="5"/>
  <c r="E6921" i="5"/>
  <c r="E6920" i="5"/>
  <c r="E6919" i="5"/>
  <c r="E6918" i="5"/>
  <c r="E6917" i="5"/>
  <c r="E6916" i="5"/>
  <c r="E6915" i="5"/>
  <c r="E6914" i="5"/>
  <c r="E6913" i="5"/>
  <c r="E6912" i="5"/>
  <c r="E6911" i="5"/>
  <c r="E6910" i="5"/>
  <c r="E6909" i="5"/>
  <c r="E6908" i="5"/>
  <c r="E6907" i="5"/>
  <c r="E6906" i="5"/>
  <c r="E6905" i="5"/>
  <c r="E6904" i="5"/>
  <c r="E6903" i="5"/>
  <c r="E6902" i="5"/>
  <c r="E6901" i="5"/>
  <c r="E6900" i="5"/>
  <c r="E6899" i="5"/>
  <c r="E6898" i="5"/>
  <c r="E6897" i="5"/>
  <c r="E6896" i="5"/>
  <c r="E6895" i="5"/>
  <c r="E6894" i="5"/>
  <c r="E6893" i="5"/>
  <c r="E6892" i="5"/>
  <c r="E6891" i="5"/>
  <c r="E6890" i="5"/>
  <c r="E6889" i="5"/>
  <c r="E6888" i="5"/>
  <c r="E6887" i="5"/>
  <c r="E6886" i="5"/>
  <c r="E6885" i="5"/>
  <c r="E6884" i="5"/>
  <c r="E6883" i="5"/>
  <c r="E6882" i="5"/>
  <c r="E6881" i="5"/>
  <c r="E6880" i="5"/>
  <c r="E6879" i="5"/>
  <c r="E6878" i="5"/>
  <c r="E6877" i="5"/>
  <c r="E6876" i="5"/>
  <c r="E6875" i="5"/>
  <c r="E6874" i="5"/>
  <c r="E6873" i="5"/>
  <c r="E6872" i="5"/>
  <c r="E6871" i="5"/>
  <c r="E6870" i="5"/>
  <c r="E6869" i="5"/>
  <c r="E6868" i="5"/>
  <c r="E6867" i="5"/>
  <c r="E6866" i="5"/>
  <c r="E6865" i="5"/>
  <c r="E6864" i="5"/>
  <c r="E6863" i="5"/>
  <c r="E6862" i="5"/>
  <c r="E6861" i="5"/>
  <c r="E6860" i="5"/>
  <c r="E6859" i="5"/>
  <c r="E6858" i="5"/>
  <c r="E6857" i="5"/>
  <c r="E6856" i="5"/>
  <c r="E6855" i="5"/>
  <c r="E6854" i="5"/>
  <c r="E6853" i="5"/>
  <c r="E6852" i="5"/>
  <c r="E6851" i="5"/>
  <c r="E6850" i="5"/>
  <c r="E6849" i="5"/>
  <c r="E6848" i="5"/>
  <c r="E6847" i="5"/>
  <c r="E6846" i="5"/>
  <c r="E6845" i="5"/>
  <c r="E6844" i="5"/>
  <c r="E6843" i="5"/>
  <c r="E6842" i="5"/>
  <c r="E6841" i="5"/>
  <c r="E6840" i="5"/>
  <c r="E6839" i="5"/>
  <c r="E6838" i="5"/>
  <c r="E6837" i="5"/>
  <c r="E6836" i="5"/>
  <c r="E6835" i="5"/>
  <c r="E6834" i="5"/>
  <c r="E6833" i="5"/>
  <c r="E6832" i="5"/>
  <c r="E6831" i="5"/>
  <c r="E6830" i="5"/>
  <c r="E6829" i="5"/>
  <c r="E6828" i="5"/>
  <c r="E6827" i="5"/>
  <c r="E6826" i="5"/>
  <c r="E6825" i="5"/>
  <c r="E6824" i="5"/>
  <c r="E6823" i="5"/>
  <c r="E6822" i="5"/>
  <c r="E6821" i="5"/>
  <c r="E6820" i="5"/>
  <c r="E6819" i="5"/>
  <c r="E6818" i="5"/>
  <c r="E6817" i="5"/>
  <c r="E6816" i="5"/>
  <c r="E6815" i="5"/>
  <c r="E6814" i="5"/>
  <c r="E6813" i="5"/>
  <c r="E6812" i="5"/>
  <c r="E6811" i="5"/>
  <c r="E6810" i="5"/>
  <c r="E6809" i="5"/>
  <c r="E6808" i="5"/>
  <c r="E6807" i="5"/>
  <c r="E6806" i="5"/>
  <c r="E6805" i="5"/>
  <c r="E6804" i="5"/>
  <c r="E6803" i="5"/>
  <c r="E6802" i="5"/>
  <c r="E6801" i="5"/>
  <c r="E6800" i="5"/>
  <c r="E6799" i="5"/>
  <c r="E6798" i="5"/>
  <c r="E6797" i="5"/>
  <c r="E6796" i="5"/>
  <c r="E6795" i="5"/>
  <c r="E6794" i="5"/>
  <c r="E6793" i="5"/>
  <c r="E6792" i="5"/>
  <c r="E6791" i="5"/>
  <c r="E6790" i="5"/>
  <c r="E6789" i="5"/>
  <c r="E6788" i="5"/>
  <c r="E6787" i="5"/>
  <c r="E6786" i="5"/>
  <c r="E6785" i="5"/>
  <c r="E6784" i="5"/>
  <c r="E6783" i="5"/>
  <c r="E6782" i="5"/>
  <c r="E6781" i="5"/>
  <c r="E6780" i="5"/>
  <c r="E6779" i="5"/>
  <c r="E6778" i="5"/>
  <c r="E6777" i="5"/>
  <c r="E6776" i="5"/>
  <c r="E6775" i="5"/>
  <c r="E6774" i="5"/>
  <c r="E6773" i="5"/>
  <c r="E6772" i="5"/>
  <c r="E6771" i="5"/>
  <c r="E6770" i="5"/>
  <c r="E6769" i="5"/>
  <c r="E6768" i="5"/>
  <c r="E6767" i="5"/>
  <c r="E6766" i="5"/>
  <c r="E6765" i="5"/>
  <c r="E6764" i="5"/>
  <c r="E6763" i="5"/>
  <c r="E6762" i="5"/>
  <c r="E6761" i="5"/>
  <c r="E6760" i="5"/>
  <c r="E6759" i="5"/>
  <c r="E6758" i="5"/>
  <c r="E6757" i="5"/>
  <c r="E6756" i="5"/>
  <c r="E6755" i="5"/>
  <c r="E6754" i="5"/>
  <c r="E6753" i="5"/>
  <c r="E6752" i="5"/>
  <c r="E6751" i="5"/>
  <c r="E6750" i="5"/>
  <c r="E6749" i="5"/>
  <c r="E6748" i="5"/>
  <c r="E6747" i="5"/>
  <c r="E6746" i="5"/>
  <c r="E6745" i="5"/>
  <c r="E6744" i="5"/>
  <c r="E6743" i="5"/>
  <c r="E6742" i="5"/>
  <c r="E6741" i="5"/>
  <c r="E6740" i="5"/>
  <c r="E6739" i="5"/>
  <c r="E6738" i="5"/>
  <c r="E6737" i="5"/>
  <c r="E6736" i="5"/>
  <c r="E6735" i="5"/>
  <c r="E6734" i="5"/>
  <c r="E6733" i="5"/>
  <c r="E6732" i="5"/>
  <c r="E6731" i="5"/>
  <c r="E6730" i="5"/>
  <c r="E6729" i="5"/>
  <c r="E6728" i="5"/>
  <c r="E6727" i="5"/>
  <c r="E6726" i="5"/>
  <c r="E6725" i="5"/>
  <c r="E6724" i="5"/>
  <c r="E6723" i="5"/>
  <c r="E6722" i="5"/>
  <c r="E6721" i="5"/>
  <c r="E6720" i="5"/>
  <c r="E6719" i="5"/>
  <c r="E6718" i="5"/>
  <c r="E6717" i="5"/>
  <c r="E6716" i="5"/>
  <c r="E6715" i="5"/>
  <c r="E6714" i="5"/>
  <c r="E6713" i="5"/>
  <c r="E6712" i="5"/>
  <c r="E6711" i="5"/>
  <c r="E6710" i="5"/>
  <c r="E6709" i="5"/>
  <c r="E6708" i="5"/>
  <c r="E6707" i="5"/>
  <c r="E6706" i="5"/>
  <c r="E6705" i="5"/>
  <c r="E6704" i="5"/>
  <c r="E6703" i="5"/>
  <c r="E6702" i="5"/>
  <c r="E6701" i="5"/>
  <c r="E6700" i="5"/>
  <c r="E6699" i="5"/>
  <c r="E6698" i="5"/>
  <c r="E6697" i="5"/>
  <c r="E6696" i="5"/>
  <c r="E6695" i="5"/>
  <c r="E6694" i="5"/>
  <c r="E6693" i="5"/>
  <c r="E6692" i="5"/>
  <c r="E6691" i="5"/>
  <c r="E6690" i="5"/>
  <c r="E6689" i="5"/>
  <c r="E6688" i="5"/>
  <c r="E6687" i="5"/>
  <c r="E6686" i="5"/>
  <c r="E6685" i="5"/>
  <c r="E6684" i="5"/>
  <c r="E6683" i="5"/>
  <c r="E6682" i="5"/>
  <c r="E6681" i="5"/>
  <c r="E6680" i="5"/>
  <c r="E6679" i="5"/>
  <c r="E6678" i="5"/>
  <c r="E6677" i="5"/>
  <c r="E6676" i="5"/>
  <c r="E6675" i="5"/>
  <c r="E6674" i="5"/>
  <c r="E6673" i="5"/>
  <c r="E6672" i="5"/>
  <c r="E6671" i="5"/>
  <c r="E6670" i="5"/>
  <c r="E6669" i="5"/>
  <c r="E6668" i="5"/>
  <c r="E6667" i="5"/>
  <c r="E6666" i="5"/>
  <c r="E6665" i="5"/>
  <c r="E6664" i="5"/>
  <c r="E6663" i="5"/>
  <c r="E6662" i="5"/>
  <c r="E6661" i="5"/>
  <c r="E6660" i="5"/>
  <c r="E6659" i="5"/>
  <c r="E6658" i="5"/>
  <c r="E6657" i="5"/>
  <c r="E6656" i="5"/>
  <c r="E6655" i="5"/>
  <c r="E6654" i="5"/>
  <c r="E6653" i="5"/>
  <c r="E6652" i="5"/>
  <c r="E6651" i="5"/>
  <c r="E6650" i="5"/>
  <c r="E6649" i="5"/>
  <c r="E6648" i="5"/>
  <c r="E6647" i="5"/>
  <c r="E6646" i="5"/>
  <c r="E6645" i="5"/>
  <c r="E6644" i="5"/>
  <c r="E6643" i="5"/>
  <c r="E6642" i="5"/>
  <c r="E6641" i="5"/>
  <c r="E6640" i="5"/>
  <c r="E6639" i="5"/>
  <c r="E6638" i="5"/>
  <c r="E6637" i="5"/>
  <c r="E6636" i="5"/>
  <c r="E6635" i="5"/>
  <c r="E6634" i="5"/>
  <c r="E6633" i="5"/>
  <c r="E6632" i="5"/>
  <c r="E6631" i="5"/>
  <c r="E6630" i="5"/>
  <c r="E6629" i="5"/>
  <c r="E6628" i="5"/>
  <c r="E6627" i="5"/>
  <c r="E6626" i="5"/>
  <c r="E6625" i="5"/>
  <c r="E6624" i="5"/>
  <c r="E6623" i="5"/>
  <c r="E6622" i="5"/>
  <c r="E6621" i="5"/>
  <c r="E6620" i="5"/>
  <c r="E6619" i="5"/>
  <c r="E6618" i="5"/>
  <c r="E6617" i="5"/>
  <c r="E6616" i="5"/>
  <c r="E6615" i="5"/>
  <c r="E6614" i="5"/>
  <c r="E6613" i="5"/>
  <c r="E6612" i="5"/>
  <c r="E6611" i="5"/>
  <c r="E6610" i="5"/>
  <c r="E6609" i="5"/>
  <c r="E6608" i="5"/>
  <c r="E6607" i="5"/>
  <c r="E6606" i="5"/>
  <c r="E6605" i="5"/>
  <c r="E6604" i="5"/>
  <c r="E6603" i="5"/>
  <c r="E6602" i="5"/>
  <c r="E6601" i="5"/>
  <c r="E6600" i="5"/>
  <c r="E6599" i="5"/>
  <c r="E6598" i="5"/>
  <c r="E6597" i="5"/>
  <c r="E6596" i="5"/>
  <c r="E6595" i="5"/>
  <c r="E6594" i="5"/>
  <c r="E6593" i="5"/>
  <c r="E6592" i="5"/>
  <c r="E6591" i="5"/>
  <c r="E6590" i="5"/>
  <c r="E6589" i="5"/>
  <c r="E6588" i="5"/>
  <c r="E6587" i="5"/>
  <c r="E6586" i="5"/>
  <c r="E6585" i="5"/>
  <c r="E6584" i="5"/>
  <c r="E6583" i="5"/>
  <c r="E6582" i="5"/>
  <c r="E6581" i="5"/>
  <c r="E6580" i="5"/>
  <c r="E6579" i="5"/>
  <c r="E6578" i="5"/>
  <c r="E6577" i="5"/>
  <c r="E6576" i="5"/>
  <c r="E6575" i="5"/>
  <c r="E6574" i="5"/>
  <c r="E6573" i="5"/>
  <c r="E6572" i="5"/>
  <c r="E6571" i="5"/>
  <c r="E6570" i="5"/>
  <c r="E6569" i="5"/>
  <c r="E6568" i="5"/>
  <c r="E6567" i="5"/>
  <c r="E6566" i="5"/>
  <c r="E6565" i="5"/>
  <c r="E6564" i="5"/>
  <c r="E6563" i="5"/>
  <c r="E6562" i="5"/>
  <c r="E6561" i="5"/>
  <c r="E6560" i="5"/>
  <c r="E6559" i="5"/>
  <c r="E6558" i="5"/>
  <c r="E6557" i="5"/>
  <c r="E6556" i="5"/>
  <c r="E6555" i="5"/>
  <c r="E6554" i="5"/>
  <c r="E6553" i="5"/>
  <c r="E6552" i="5"/>
  <c r="E6551" i="5"/>
  <c r="E6550" i="5"/>
  <c r="E6549" i="5"/>
  <c r="E6548" i="5"/>
  <c r="E6547" i="5"/>
  <c r="E6546" i="5"/>
  <c r="E6545" i="5"/>
  <c r="E6544" i="5"/>
  <c r="E6543" i="5"/>
  <c r="E6542" i="5"/>
  <c r="E6541" i="5"/>
  <c r="E6540" i="5"/>
  <c r="E6539" i="5"/>
  <c r="E6538" i="5"/>
  <c r="E6537" i="5"/>
  <c r="E6536" i="5"/>
  <c r="E6535" i="5"/>
  <c r="E6534" i="5"/>
  <c r="E6533" i="5"/>
  <c r="E6532" i="5"/>
  <c r="E6531" i="5"/>
  <c r="E6530" i="5"/>
  <c r="E6529" i="5"/>
  <c r="E6528" i="5"/>
  <c r="E6527" i="5"/>
  <c r="E6526" i="5"/>
  <c r="E6525" i="5"/>
  <c r="E6524" i="5"/>
  <c r="E6523" i="5"/>
  <c r="E6522" i="5"/>
  <c r="E6521" i="5"/>
  <c r="E6520" i="5"/>
  <c r="E6519" i="5"/>
  <c r="E6518" i="5"/>
  <c r="E6517" i="5"/>
  <c r="E6516" i="5"/>
  <c r="E6515" i="5"/>
  <c r="E6514" i="5"/>
  <c r="E6513" i="5"/>
  <c r="E6512" i="5"/>
  <c r="E6511" i="5"/>
  <c r="E6510" i="5"/>
  <c r="E6509" i="5"/>
  <c r="E6508" i="5"/>
  <c r="E6507" i="5"/>
  <c r="E6506" i="5"/>
  <c r="E6505" i="5"/>
  <c r="E6504" i="5"/>
  <c r="E6503" i="5"/>
  <c r="E6502" i="5"/>
  <c r="E6501" i="5"/>
  <c r="E6500" i="5"/>
  <c r="E6499" i="5"/>
  <c r="E6498" i="5"/>
  <c r="E6497" i="5"/>
  <c r="E6496" i="5"/>
  <c r="E6495" i="5"/>
  <c r="E6494" i="5"/>
  <c r="E6493" i="5"/>
  <c r="E6492" i="5"/>
  <c r="E6491" i="5"/>
  <c r="E6490" i="5"/>
  <c r="E6489" i="5"/>
  <c r="E6488" i="5"/>
  <c r="E6487" i="5"/>
  <c r="E6486" i="5"/>
  <c r="E6485" i="5"/>
  <c r="E6484" i="5"/>
  <c r="E6483" i="5"/>
  <c r="E6482" i="5"/>
  <c r="E6481" i="5"/>
  <c r="E6480" i="5"/>
  <c r="E6479" i="5"/>
  <c r="E6478" i="5"/>
  <c r="E6477" i="5"/>
  <c r="E6476" i="5"/>
  <c r="E6475" i="5"/>
  <c r="E6474" i="5"/>
  <c r="E6473" i="5"/>
  <c r="E6472" i="5"/>
  <c r="E6471" i="5"/>
  <c r="E6470" i="5"/>
  <c r="E6469" i="5"/>
  <c r="E6468" i="5"/>
  <c r="E6467" i="5"/>
  <c r="E6466" i="5"/>
  <c r="E6465" i="5"/>
  <c r="E6464" i="5"/>
  <c r="E6463" i="5"/>
  <c r="E6462" i="5"/>
  <c r="E6461" i="5"/>
  <c r="E6460" i="5"/>
  <c r="E6459" i="5"/>
  <c r="E6458" i="5"/>
  <c r="E6457" i="5"/>
  <c r="E6456" i="5"/>
  <c r="E6455" i="5"/>
  <c r="E6454" i="5"/>
  <c r="E6453" i="5"/>
  <c r="E6452" i="5"/>
  <c r="E6451" i="5"/>
  <c r="E6450" i="5"/>
  <c r="E6449" i="5"/>
  <c r="E6448" i="5"/>
  <c r="E6447" i="5"/>
  <c r="E6446" i="5"/>
  <c r="E6445" i="5"/>
  <c r="E6444" i="5"/>
  <c r="E6443" i="5"/>
  <c r="E6442" i="5"/>
  <c r="E6441" i="5"/>
  <c r="E6440" i="5"/>
  <c r="E6439" i="5"/>
  <c r="E6438" i="5"/>
  <c r="E6437" i="5"/>
  <c r="E6436" i="5"/>
  <c r="E6435" i="5"/>
  <c r="E6434" i="5"/>
  <c r="E6433" i="5"/>
  <c r="E6432" i="5"/>
  <c r="E6431" i="5"/>
  <c r="E6430" i="5"/>
  <c r="E6429" i="5"/>
  <c r="E6428" i="5"/>
  <c r="E6427" i="5"/>
  <c r="E6426" i="5"/>
  <c r="E6425" i="5"/>
  <c r="E6424" i="5"/>
  <c r="E6423" i="5"/>
  <c r="E6422" i="5"/>
  <c r="E6421" i="5"/>
  <c r="E6420" i="5"/>
  <c r="E6419" i="5"/>
  <c r="E6418" i="5"/>
  <c r="E6417" i="5"/>
  <c r="E6416" i="5"/>
  <c r="E6415" i="5"/>
  <c r="E6414" i="5"/>
  <c r="E6413" i="5"/>
  <c r="E6412" i="5"/>
  <c r="E6411" i="5"/>
  <c r="E6410" i="5"/>
  <c r="E6409" i="5"/>
  <c r="E6408" i="5"/>
  <c r="E6407" i="5"/>
  <c r="E6406" i="5"/>
  <c r="E6405" i="5"/>
  <c r="E6404" i="5"/>
  <c r="E6403" i="5"/>
  <c r="E6402" i="5"/>
  <c r="E6401" i="5"/>
  <c r="E6400" i="5"/>
  <c r="E6399" i="5"/>
  <c r="E6398" i="5"/>
  <c r="E6397" i="5"/>
  <c r="E6396" i="5"/>
  <c r="E6395" i="5"/>
  <c r="E6394" i="5"/>
  <c r="E6393" i="5"/>
  <c r="E6392" i="5"/>
  <c r="E6391" i="5"/>
  <c r="E6390" i="5"/>
  <c r="E6389" i="5"/>
  <c r="E6388" i="5"/>
  <c r="E6387" i="5"/>
  <c r="E6386" i="5"/>
  <c r="E6385" i="5"/>
  <c r="E6384" i="5"/>
  <c r="E6383" i="5"/>
  <c r="E6382" i="5"/>
  <c r="E6381" i="5"/>
  <c r="E6380" i="5"/>
  <c r="E6379" i="5"/>
  <c r="E6378" i="5"/>
  <c r="E6377" i="5"/>
  <c r="E6376" i="5"/>
  <c r="E6375" i="5"/>
  <c r="E6374" i="5"/>
  <c r="E6373" i="5"/>
  <c r="E6372" i="5"/>
  <c r="E6371" i="5"/>
  <c r="E6370" i="5"/>
  <c r="E6369" i="5"/>
  <c r="E6368" i="5"/>
  <c r="E6367" i="5"/>
  <c r="E6366" i="5"/>
  <c r="E6365" i="5"/>
  <c r="E6364" i="5"/>
  <c r="E6363" i="5"/>
  <c r="E6362" i="5"/>
  <c r="E6361" i="5"/>
  <c r="E6360" i="5"/>
  <c r="E6359" i="5"/>
  <c r="E6358" i="5"/>
  <c r="E6357" i="5"/>
  <c r="E6356" i="5"/>
  <c r="E6355" i="5"/>
  <c r="E6354" i="5"/>
  <c r="E6353" i="5"/>
  <c r="E6352" i="5"/>
  <c r="E6351" i="5"/>
  <c r="E6350" i="5"/>
  <c r="E6349" i="5"/>
  <c r="E6348" i="5"/>
  <c r="E6347" i="5"/>
  <c r="E6346" i="5"/>
  <c r="E6345" i="5"/>
  <c r="E6344" i="5"/>
  <c r="E6343" i="5"/>
  <c r="E6342" i="5"/>
  <c r="E6341" i="5"/>
  <c r="E6340" i="5"/>
  <c r="E6339" i="5"/>
  <c r="E6338" i="5"/>
  <c r="E6337" i="5"/>
  <c r="E6336" i="5"/>
  <c r="E6335" i="5"/>
  <c r="E6334" i="5"/>
  <c r="E6333" i="5"/>
  <c r="E6332" i="5"/>
  <c r="E6331" i="5"/>
  <c r="E6330" i="5"/>
  <c r="E6329" i="5"/>
  <c r="E6328" i="5"/>
  <c r="E6327" i="5"/>
  <c r="E6326" i="5"/>
  <c r="E6325" i="5"/>
  <c r="E6324" i="5"/>
  <c r="E6323" i="5"/>
  <c r="E6322" i="5"/>
  <c r="E6321" i="5"/>
  <c r="E6320" i="5"/>
  <c r="E6319" i="5"/>
  <c r="E6318" i="5"/>
  <c r="E6317" i="5"/>
  <c r="E6316" i="5"/>
  <c r="E6315" i="5"/>
  <c r="E6314" i="5"/>
  <c r="E6313" i="5"/>
  <c r="E6312" i="5"/>
  <c r="E6311" i="5"/>
  <c r="E6310" i="5"/>
  <c r="E6309" i="5"/>
  <c r="E6308" i="5"/>
  <c r="E6307" i="5"/>
  <c r="E6306" i="5"/>
  <c r="E6305" i="5"/>
  <c r="E6304" i="5"/>
  <c r="E6303" i="5"/>
  <c r="E6302" i="5"/>
  <c r="E6301" i="5"/>
  <c r="E6300" i="5"/>
  <c r="E6299" i="5"/>
  <c r="E6298" i="5"/>
  <c r="E6297" i="5"/>
  <c r="E6296" i="5"/>
  <c r="E6295" i="5"/>
  <c r="E6294" i="5"/>
  <c r="E6293" i="5"/>
  <c r="E6292" i="5"/>
  <c r="E6291" i="5"/>
  <c r="E6290" i="5"/>
  <c r="E6289" i="5"/>
  <c r="E6288" i="5"/>
  <c r="E6287" i="5"/>
  <c r="E6286" i="5"/>
  <c r="E6285" i="5"/>
  <c r="E6284" i="5"/>
  <c r="E6283" i="5"/>
  <c r="E6282" i="5"/>
  <c r="E6281" i="5"/>
  <c r="E6280" i="5"/>
  <c r="E6279" i="5"/>
  <c r="E6278" i="5"/>
  <c r="E6277" i="5"/>
  <c r="E6276" i="5"/>
  <c r="E6275" i="5"/>
  <c r="E6274" i="5"/>
  <c r="E6273" i="5"/>
  <c r="E6272" i="5"/>
  <c r="E6271" i="5"/>
  <c r="E6270" i="5"/>
  <c r="E6269" i="5"/>
  <c r="E6268" i="5"/>
  <c r="E6267" i="5"/>
  <c r="E6266" i="5"/>
  <c r="E6265" i="5"/>
  <c r="E6264" i="5"/>
  <c r="E6263" i="5"/>
  <c r="E6262" i="5"/>
  <c r="E6261" i="5"/>
  <c r="E6260" i="5"/>
  <c r="E6259" i="5"/>
  <c r="E6258" i="5"/>
  <c r="E6257" i="5"/>
  <c r="E6256" i="5"/>
  <c r="E6255" i="5"/>
  <c r="E6254" i="5"/>
  <c r="E6253" i="5"/>
  <c r="E6252" i="5"/>
  <c r="E6251" i="5"/>
  <c r="E6250" i="5"/>
  <c r="E6249" i="5"/>
  <c r="E6248" i="5"/>
  <c r="E6247" i="5"/>
  <c r="E6246" i="5"/>
  <c r="E6245" i="5"/>
  <c r="E6244" i="5"/>
  <c r="E6243" i="5"/>
  <c r="E6242" i="5"/>
  <c r="E6241" i="5"/>
  <c r="E6240" i="5"/>
  <c r="E6239" i="5"/>
  <c r="E6238" i="5"/>
  <c r="E6237" i="5"/>
  <c r="E6236" i="5"/>
  <c r="E6235" i="5"/>
  <c r="E6234" i="5"/>
  <c r="E6233" i="5"/>
  <c r="E6232" i="5"/>
  <c r="E6231" i="5"/>
  <c r="E6230" i="5"/>
  <c r="E6229" i="5"/>
  <c r="E6228" i="5"/>
  <c r="E6227" i="5"/>
  <c r="E6226" i="5"/>
  <c r="E6225" i="5"/>
  <c r="E6224" i="5"/>
  <c r="E6223" i="5"/>
  <c r="E6222" i="5"/>
  <c r="E6221" i="5"/>
  <c r="E6220" i="5"/>
  <c r="E6219" i="5"/>
  <c r="E6218" i="5"/>
  <c r="E6217" i="5"/>
  <c r="E6216" i="5"/>
  <c r="E6215" i="5"/>
  <c r="E6214" i="5"/>
  <c r="E6213" i="5"/>
  <c r="E6212" i="5"/>
  <c r="E6211" i="5"/>
  <c r="E6210" i="5"/>
  <c r="E6209" i="5"/>
  <c r="E6208" i="5"/>
  <c r="E6207" i="5"/>
  <c r="E6206" i="5"/>
  <c r="E6205" i="5"/>
  <c r="E6204" i="5"/>
  <c r="E6203" i="5"/>
  <c r="E6202" i="5"/>
  <c r="E6201" i="5"/>
  <c r="E6200" i="5"/>
  <c r="E6199" i="5"/>
  <c r="E6198" i="5"/>
  <c r="E6197" i="5"/>
  <c r="E6196" i="5"/>
  <c r="E6195" i="5"/>
  <c r="E6194" i="5"/>
  <c r="E6193" i="5"/>
  <c r="E6192" i="5"/>
  <c r="E6191" i="5"/>
  <c r="E6190" i="5"/>
  <c r="E6189" i="5"/>
  <c r="E6188" i="5"/>
  <c r="E6187" i="5"/>
  <c r="E6186" i="5"/>
  <c r="E6185" i="5"/>
  <c r="E6184" i="5"/>
  <c r="E6183" i="5"/>
  <c r="E6182" i="5"/>
  <c r="E6181" i="5"/>
  <c r="E6180" i="5"/>
  <c r="E6179" i="5"/>
  <c r="E6178" i="5"/>
  <c r="E6177" i="5"/>
  <c r="E6176" i="5"/>
  <c r="E6175" i="5"/>
  <c r="E6174" i="5"/>
  <c r="E6173" i="5"/>
  <c r="E6172" i="5"/>
  <c r="E6171" i="5"/>
  <c r="E6170" i="5"/>
  <c r="E6169" i="5"/>
  <c r="E6168" i="5"/>
  <c r="E6167" i="5"/>
  <c r="E6166" i="5"/>
  <c r="E6165" i="5"/>
  <c r="E6164" i="5"/>
  <c r="E6163" i="5"/>
  <c r="E6162" i="5"/>
  <c r="E6161" i="5"/>
  <c r="E6160" i="5"/>
  <c r="E6159" i="5"/>
  <c r="E6158" i="5"/>
  <c r="E6157" i="5"/>
  <c r="E6156" i="5"/>
  <c r="E6155" i="5"/>
  <c r="E6154" i="5"/>
  <c r="E6153" i="5"/>
  <c r="E6152" i="5"/>
  <c r="E6151" i="5"/>
  <c r="E6150" i="5"/>
  <c r="E6149" i="5"/>
  <c r="E6148" i="5"/>
  <c r="E6147" i="5"/>
  <c r="E6146" i="5"/>
  <c r="E6145" i="5"/>
  <c r="E6144" i="5"/>
  <c r="E6143" i="5"/>
  <c r="E6142" i="5"/>
  <c r="E6141" i="5"/>
  <c r="E6140" i="5"/>
  <c r="E6139" i="5"/>
  <c r="E6138" i="5"/>
  <c r="E6137" i="5"/>
  <c r="E6136" i="5"/>
  <c r="E6135" i="5"/>
  <c r="E6134" i="5"/>
  <c r="E6133" i="5"/>
  <c r="E6132" i="5"/>
  <c r="E6131" i="5"/>
  <c r="E6130" i="5"/>
  <c r="E6129" i="5"/>
  <c r="E6128" i="5"/>
  <c r="E6127" i="5"/>
  <c r="E6126" i="5"/>
  <c r="E6125" i="5"/>
  <c r="E6124" i="5"/>
  <c r="E6123" i="5"/>
  <c r="E6122" i="5"/>
  <c r="E6121" i="5"/>
  <c r="E6120" i="5"/>
  <c r="E6119" i="5"/>
  <c r="E6118" i="5"/>
  <c r="E6117" i="5"/>
  <c r="E6116" i="5"/>
  <c r="E6115" i="5"/>
  <c r="E6114" i="5"/>
  <c r="E6113" i="5"/>
  <c r="E6112" i="5"/>
  <c r="E6111" i="5"/>
  <c r="E6110" i="5"/>
  <c r="E6109" i="5"/>
  <c r="E6108" i="5"/>
  <c r="E6107" i="5"/>
  <c r="E6106" i="5"/>
  <c r="E6105" i="5"/>
  <c r="E6104" i="5"/>
  <c r="E6103" i="5"/>
  <c r="E6102" i="5"/>
  <c r="E6101" i="5"/>
  <c r="E6100" i="5"/>
  <c r="E6099" i="5"/>
  <c r="E6098" i="5"/>
  <c r="E6097" i="5"/>
  <c r="E6096" i="5"/>
  <c r="E6095" i="5"/>
  <c r="E6094" i="5"/>
  <c r="E6093" i="5"/>
  <c r="E6092" i="5"/>
  <c r="E6091" i="5"/>
  <c r="E6090" i="5"/>
  <c r="E6089" i="5"/>
  <c r="E6088" i="5"/>
  <c r="E6087" i="5"/>
  <c r="E6086" i="5"/>
  <c r="E6085" i="5"/>
  <c r="E6084" i="5"/>
  <c r="E6083" i="5"/>
  <c r="E6082" i="5"/>
  <c r="E6081" i="5"/>
  <c r="E6080" i="5"/>
  <c r="E6079" i="5"/>
  <c r="E6078" i="5"/>
  <c r="E6077" i="5"/>
  <c r="E6076" i="5"/>
  <c r="E6075" i="5"/>
  <c r="E6074" i="5"/>
  <c r="E6073" i="5"/>
  <c r="E6072" i="5"/>
  <c r="E6071" i="5"/>
  <c r="E6070" i="5"/>
  <c r="E6069" i="5"/>
  <c r="E6068" i="5"/>
  <c r="E6067" i="5"/>
  <c r="E6066" i="5"/>
  <c r="E6065" i="5"/>
  <c r="E6064" i="5"/>
  <c r="E6063" i="5"/>
  <c r="E6062" i="5"/>
  <c r="E6061" i="5"/>
  <c r="E6060" i="5"/>
  <c r="E6059" i="5"/>
  <c r="E6058" i="5"/>
  <c r="E6057" i="5"/>
  <c r="E6056" i="5"/>
  <c r="E6055" i="5"/>
  <c r="E6054" i="5"/>
  <c r="E6053" i="5"/>
  <c r="E6052" i="5"/>
  <c r="E6051" i="5"/>
  <c r="E6050" i="5"/>
  <c r="E6049" i="5"/>
  <c r="E6048" i="5"/>
  <c r="E6047" i="5"/>
  <c r="E6046" i="5"/>
  <c r="E6045" i="5"/>
  <c r="E6044" i="5"/>
  <c r="E6043" i="5"/>
  <c r="E6042" i="5"/>
  <c r="E6041" i="5"/>
  <c r="E6040" i="5"/>
  <c r="E6039" i="5"/>
  <c r="E6038" i="5"/>
  <c r="E6037" i="5"/>
  <c r="E6036" i="5"/>
  <c r="E6035" i="5"/>
  <c r="E6034" i="5"/>
  <c r="E6033" i="5"/>
  <c r="E6032" i="5"/>
  <c r="E6031" i="5"/>
  <c r="E6030" i="5"/>
  <c r="E6029" i="5"/>
  <c r="E6028" i="5"/>
  <c r="E6027" i="5"/>
  <c r="E6026" i="5"/>
  <c r="E6025" i="5"/>
  <c r="E6024" i="5"/>
  <c r="E6023" i="5"/>
  <c r="E6022" i="5"/>
  <c r="E6021" i="5"/>
  <c r="E6020" i="5"/>
  <c r="E6019" i="5"/>
  <c r="E6018" i="5"/>
  <c r="E6017" i="5"/>
  <c r="E6016" i="5"/>
  <c r="E6015" i="5"/>
  <c r="E6014" i="5"/>
  <c r="E6013" i="5"/>
  <c r="E6012" i="5"/>
  <c r="E6011" i="5"/>
  <c r="E6010" i="5"/>
  <c r="E6009" i="5"/>
  <c r="E6008" i="5"/>
  <c r="E6007" i="5"/>
  <c r="E6006" i="5"/>
  <c r="E6005" i="5"/>
  <c r="E6004" i="5"/>
  <c r="E6003" i="5"/>
  <c r="E6002" i="5"/>
  <c r="E6001" i="5"/>
  <c r="E6000" i="5"/>
  <c r="E5999" i="5"/>
  <c r="E5998" i="5"/>
  <c r="E5997" i="5"/>
  <c r="E5996" i="5"/>
  <c r="E5995" i="5"/>
  <c r="E5994" i="5"/>
  <c r="E5993" i="5"/>
  <c r="E5992" i="5"/>
  <c r="E5991" i="5"/>
  <c r="E5990" i="5"/>
  <c r="E5989" i="5"/>
  <c r="E5988" i="5"/>
  <c r="E5987" i="5"/>
  <c r="E5986" i="5"/>
  <c r="E5985" i="5"/>
  <c r="E5984" i="5"/>
  <c r="E5983" i="5"/>
  <c r="E5982" i="5"/>
  <c r="E5981" i="5"/>
  <c r="E5980" i="5"/>
  <c r="E5979" i="5"/>
  <c r="E5978" i="5"/>
  <c r="E5977" i="5"/>
  <c r="E5976" i="5"/>
  <c r="E5975" i="5"/>
  <c r="E5974" i="5"/>
  <c r="E5973" i="5"/>
  <c r="E5972" i="5"/>
  <c r="E5971" i="5"/>
  <c r="E5970" i="5"/>
  <c r="E5969" i="5"/>
  <c r="E5968" i="5"/>
  <c r="E5967" i="5"/>
  <c r="E5966" i="5"/>
  <c r="E5965" i="5"/>
  <c r="E5964" i="5"/>
  <c r="E5963" i="5"/>
  <c r="E5962" i="5"/>
  <c r="E5961" i="5"/>
  <c r="E5960" i="5"/>
  <c r="E5959" i="5"/>
  <c r="E5958" i="5"/>
  <c r="E5957" i="5"/>
  <c r="E5956" i="5"/>
  <c r="E5955" i="5"/>
  <c r="E5954" i="5"/>
  <c r="E5953" i="5"/>
  <c r="E5952" i="5"/>
  <c r="E5951" i="5"/>
  <c r="E5950" i="5"/>
  <c r="E5949" i="5"/>
  <c r="E5948" i="5"/>
  <c r="E5947" i="5"/>
  <c r="E5946" i="5"/>
  <c r="E5945" i="5"/>
  <c r="E5944" i="5"/>
  <c r="E5943" i="5"/>
  <c r="E5942" i="5"/>
  <c r="E5941" i="5"/>
  <c r="E5940" i="5"/>
  <c r="E5939" i="5"/>
  <c r="E5938" i="5"/>
  <c r="E5937" i="5"/>
  <c r="E5936" i="5"/>
  <c r="E5935" i="5"/>
  <c r="E5934" i="5"/>
  <c r="E5933" i="5"/>
  <c r="E5932" i="5"/>
  <c r="E5931" i="5"/>
  <c r="E5930" i="5"/>
  <c r="E5929" i="5"/>
  <c r="E5928" i="5"/>
  <c r="E5927" i="5"/>
  <c r="E5926" i="5"/>
  <c r="E5925" i="5"/>
  <c r="E5924" i="5"/>
  <c r="E5923" i="5"/>
  <c r="E5922" i="5"/>
  <c r="E5921" i="5"/>
  <c r="E5920" i="5"/>
  <c r="E5919" i="5"/>
  <c r="E5918" i="5"/>
  <c r="E5917" i="5"/>
  <c r="E5916" i="5"/>
  <c r="E5915" i="5"/>
  <c r="E5914" i="5"/>
  <c r="E5913" i="5"/>
  <c r="E5912" i="5"/>
  <c r="E5911" i="5"/>
  <c r="E5910" i="5"/>
  <c r="E5909" i="5"/>
  <c r="E5908" i="5"/>
  <c r="E5907" i="5"/>
  <c r="E5906" i="5"/>
  <c r="E5905" i="5"/>
  <c r="E5904" i="5"/>
  <c r="E5903" i="5"/>
  <c r="E5902" i="5"/>
  <c r="E5901" i="5"/>
  <c r="E5900" i="5"/>
  <c r="E5899" i="5"/>
  <c r="E5898" i="5"/>
  <c r="E5897" i="5"/>
  <c r="E5896" i="5"/>
  <c r="E5895" i="5"/>
  <c r="E5894" i="5"/>
  <c r="E5893" i="5"/>
  <c r="E5892" i="5"/>
  <c r="E5891" i="5"/>
  <c r="E5890" i="5"/>
  <c r="E5889" i="5"/>
  <c r="E5888" i="5"/>
  <c r="E5887" i="5"/>
  <c r="E5886" i="5"/>
  <c r="E5885" i="5"/>
  <c r="E5884" i="5"/>
  <c r="E5883" i="5"/>
  <c r="E5882" i="5"/>
  <c r="E5881" i="5"/>
  <c r="E5880" i="5"/>
  <c r="E5879" i="5"/>
  <c r="E5878" i="5"/>
  <c r="E5877" i="5"/>
  <c r="E5876" i="5"/>
  <c r="E5875" i="5"/>
  <c r="E5874" i="5"/>
  <c r="E5873" i="5"/>
  <c r="E5872" i="5"/>
  <c r="E5871" i="5"/>
  <c r="E5870" i="5"/>
  <c r="E5869" i="5"/>
  <c r="E5868" i="5"/>
  <c r="E5867" i="5"/>
  <c r="E5866" i="5"/>
  <c r="E5865" i="5"/>
  <c r="E5864" i="5"/>
  <c r="E5863" i="5"/>
  <c r="E5862" i="5"/>
  <c r="E5861" i="5"/>
  <c r="E5860" i="5"/>
  <c r="E5859" i="5"/>
  <c r="E5858" i="5"/>
  <c r="E5857" i="5"/>
  <c r="E5856" i="5"/>
  <c r="E5855" i="5"/>
  <c r="E5854" i="5"/>
  <c r="E5853" i="5"/>
  <c r="E5852" i="5"/>
  <c r="E5851" i="5"/>
  <c r="E5850" i="5"/>
  <c r="E5849" i="5"/>
  <c r="E5848" i="5"/>
  <c r="E5847" i="5"/>
  <c r="E5846" i="5"/>
  <c r="E5845" i="5"/>
  <c r="E5844" i="5"/>
  <c r="E5843" i="5"/>
  <c r="E5842" i="5"/>
  <c r="E5841" i="5"/>
  <c r="E5840" i="5"/>
  <c r="E5839" i="5"/>
  <c r="E5838" i="5"/>
  <c r="E5837" i="5"/>
  <c r="E5836" i="5"/>
  <c r="E5835" i="5"/>
  <c r="E5834" i="5"/>
  <c r="E5833" i="5"/>
  <c r="E5832" i="5"/>
  <c r="E5831" i="5"/>
  <c r="E5830" i="5"/>
  <c r="E5829" i="5"/>
  <c r="E5828" i="5"/>
  <c r="E5827" i="5"/>
  <c r="E5826" i="5"/>
  <c r="E5825" i="5"/>
  <c r="E5824" i="5"/>
  <c r="E5823" i="5"/>
  <c r="E5822" i="5"/>
  <c r="E5821" i="5"/>
  <c r="E5820" i="5"/>
  <c r="E5819" i="5"/>
  <c r="E5818" i="5"/>
  <c r="E5817" i="5"/>
  <c r="E5816" i="5"/>
  <c r="E5815" i="5"/>
  <c r="E5814" i="5"/>
  <c r="E5813" i="5"/>
  <c r="E5812" i="5"/>
  <c r="E5811" i="5"/>
  <c r="E5810" i="5"/>
  <c r="E5809" i="5"/>
  <c r="E5808" i="5"/>
  <c r="E5807" i="5"/>
  <c r="E5806" i="5"/>
  <c r="E5805" i="5"/>
  <c r="E5804" i="5"/>
  <c r="E5803" i="5"/>
  <c r="E5802" i="5"/>
  <c r="E5801" i="5"/>
  <c r="E5800" i="5"/>
  <c r="E5799" i="5"/>
  <c r="E5798" i="5"/>
  <c r="E5797" i="5"/>
  <c r="E5796" i="5"/>
  <c r="E5795" i="5"/>
  <c r="E5794" i="5"/>
  <c r="E5793" i="5"/>
  <c r="E5792" i="5"/>
  <c r="E5791" i="5"/>
  <c r="E5790" i="5"/>
  <c r="E5789" i="5"/>
  <c r="E5788" i="5"/>
  <c r="E5787" i="5"/>
  <c r="E5786" i="5"/>
  <c r="E5785" i="5"/>
  <c r="E5784" i="5"/>
  <c r="E5783" i="5"/>
  <c r="E5782" i="5"/>
  <c r="E5781" i="5"/>
  <c r="E5780" i="5"/>
  <c r="E5779" i="5"/>
  <c r="E5778" i="5"/>
  <c r="E5777" i="5"/>
  <c r="E5776" i="5"/>
  <c r="E5775" i="5"/>
  <c r="E5774" i="5"/>
  <c r="E5773" i="5"/>
  <c r="E5772" i="5"/>
  <c r="E5771" i="5"/>
  <c r="E5770" i="5"/>
  <c r="E5769" i="5"/>
  <c r="E5768" i="5"/>
  <c r="E5767" i="5"/>
  <c r="E5766" i="5"/>
  <c r="E5765" i="5"/>
  <c r="E5764" i="5"/>
  <c r="E5763" i="5"/>
  <c r="E5762" i="5"/>
  <c r="E5761" i="5"/>
  <c r="E5760" i="5"/>
  <c r="E5759" i="5"/>
  <c r="E5758" i="5"/>
  <c r="E5757" i="5"/>
  <c r="E5756" i="5"/>
  <c r="E5755" i="5"/>
  <c r="E5754" i="5"/>
  <c r="E5753" i="5"/>
  <c r="E5752" i="5"/>
  <c r="E5751" i="5"/>
  <c r="E5750" i="5"/>
  <c r="E5749" i="5"/>
  <c r="E5748" i="5"/>
  <c r="E5747" i="5"/>
  <c r="E5746" i="5"/>
  <c r="E5745" i="5"/>
  <c r="E5744" i="5"/>
  <c r="E5743" i="5"/>
  <c r="E5742" i="5"/>
  <c r="E5741" i="5"/>
  <c r="E5740" i="5"/>
  <c r="E5739" i="5"/>
  <c r="E5738" i="5"/>
  <c r="E5737" i="5"/>
  <c r="E5736" i="5"/>
  <c r="E5735" i="5"/>
  <c r="E5734" i="5"/>
  <c r="E5733" i="5"/>
  <c r="E5732" i="5"/>
  <c r="E5731" i="5"/>
  <c r="E5730" i="5"/>
  <c r="E5729" i="5"/>
  <c r="E5728" i="5"/>
  <c r="E5727" i="5"/>
  <c r="E5726" i="5"/>
  <c r="E5725" i="5"/>
  <c r="E5724" i="5"/>
  <c r="E5723" i="5"/>
  <c r="E5722" i="5"/>
  <c r="E5721" i="5"/>
  <c r="E5720" i="5"/>
  <c r="E5719" i="5"/>
  <c r="E5718" i="5"/>
  <c r="E5717" i="5"/>
  <c r="E5716" i="5"/>
  <c r="E5715" i="5"/>
  <c r="E5714" i="5"/>
  <c r="E5713" i="5"/>
  <c r="E5712" i="5"/>
  <c r="E5711" i="5"/>
  <c r="E5710" i="5"/>
  <c r="E5709" i="5"/>
  <c r="E5708" i="5"/>
  <c r="E5707" i="5"/>
  <c r="E5706" i="5"/>
  <c r="E5705" i="5"/>
  <c r="E5704" i="5"/>
  <c r="E5703" i="5"/>
  <c r="E5702" i="5"/>
  <c r="E5701" i="5"/>
  <c r="E5700" i="5"/>
  <c r="E5699" i="5"/>
  <c r="E5698" i="5"/>
  <c r="E5697" i="5"/>
  <c r="E5696" i="5"/>
  <c r="E5695" i="5"/>
  <c r="E5694" i="5"/>
  <c r="E5693" i="5"/>
  <c r="E5692" i="5"/>
  <c r="E5691" i="5"/>
  <c r="E5690" i="5"/>
  <c r="E5689" i="5"/>
  <c r="E5688" i="5"/>
  <c r="E5687" i="5"/>
  <c r="E5686" i="5"/>
  <c r="E5685" i="5"/>
  <c r="E5684" i="5"/>
  <c r="E5683" i="5"/>
  <c r="E5682" i="5"/>
  <c r="E5681" i="5"/>
  <c r="E5680" i="5"/>
  <c r="E5679" i="5"/>
  <c r="E5678" i="5"/>
  <c r="E5677" i="5"/>
  <c r="E5676" i="5"/>
  <c r="E5675" i="5"/>
  <c r="E5674" i="5"/>
  <c r="E5673" i="5"/>
  <c r="E5672" i="5"/>
  <c r="E5671" i="5"/>
  <c r="E5670" i="5"/>
  <c r="E5669" i="5"/>
  <c r="E5668" i="5"/>
  <c r="E5667" i="5"/>
  <c r="E5666" i="5"/>
  <c r="E5665" i="5"/>
  <c r="E5664" i="5"/>
  <c r="E5663" i="5"/>
  <c r="E5662" i="5"/>
  <c r="E5661" i="5"/>
  <c r="E5660" i="5"/>
  <c r="E5659" i="5"/>
  <c r="E5658" i="5"/>
  <c r="E5657" i="5"/>
  <c r="E5656" i="5"/>
  <c r="E5655" i="5"/>
  <c r="E5654" i="5"/>
  <c r="E5653" i="5"/>
  <c r="E5652" i="5"/>
  <c r="E5651" i="5"/>
  <c r="E5650" i="5"/>
  <c r="E5649" i="5"/>
  <c r="E5648" i="5"/>
  <c r="E5647" i="5"/>
  <c r="E5646" i="5"/>
  <c r="E5645" i="5"/>
  <c r="E5644" i="5"/>
  <c r="E5643" i="5"/>
  <c r="E5642" i="5"/>
  <c r="E5641" i="5"/>
  <c r="E5640" i="5"/>
  <c r="E5639" i="5"/>
  <c r="E5638" i="5"/>
  <c r="E5637" i="5"/>
  <c r="E5636" i="5"/>
  <c r="E5635" i="5"/>
  <c r="E5634" i="5"/>
  <c r="E5633" i="5"/>
  <c r="E5632" i="5"/>
  <c r="E5631" i="5"/>
  <c r="E5630" i="5"/>
  <c r="E5629" i="5"/>
  <c r="E5628" i="5"/>
  <c r="E5627" i="5"/>
  <c r="E5626" i="5"/>
  <c r="E5625" i="5"/>
  <c r="E5624" i="5"/>
  <c r="E5623" i="5"/>
  <c r="E5622" i="5"/>
  <c r="E5621" i="5"/>
  <c r="E5620" i="5"/>
  <c r="E5619" i="5"/>
  <c r="E5618" i="5"/>
  <c r="E5617" i="5"/>
  <c r="E5616" i="5"/>
  <c r="E5615" i="5"/>
  <c r="E5614" i="5"/>
  <c r="E5613" i="5"/>
  <c r="E5612" i="5"/>
  <c r="E5611" i="5"/>
  <c r="E5610" i="5"/>
  <c r="E5609" i="5"/>
  <c r="E5608" i="5"/>
  <c r="E5607" i="5"/>
  <c r="E5606" i="5"/>
  <c r="E5605" i="5"/>
  <c r="E5604" i="5"/>
  <c r="E5603" i="5"/>
  <c r="E5602" i="5"/>
  <c r="E5601" i="5"/>
  <c r="E5600" i="5"/>
  <c r="E5599" i="5"/>
  <c r="E5598" i="5"/>
  <c r="E5597" i="5"/>
  <c r="E5596" i="5"/>
  <c r="E5595" i="5"/>
  <c r="E5594" i="5"/>
  <c r="E5593" i="5"/>
  <c r="E5592" i="5"/>
  <c r="E5591" i="5"/>
  <c r="E5590" i="5"/>
  <c r="E5589" i="5"/>
  <c r="E5588" i="5"/>
  <c r="E5587" i="5"/>
  <c r="E5586" i="5"/>
  <c r="E5585" i="5"/>
  <c r="E5584" i="5"/>
  <c r="E5583" i="5"/>
  <c r="E5582" i="5"/>
  <c r="E5581" i="5"/>
  <c r="E5580" i="5"/>
  <c r="E5579" i="5"/>
  <c r="E5578" i="5"/>
  <c r="E5577" i="5"/>
  <c r="E5576" i="5"/>
  <c r="E5575" i="5"/>
  <c r="E5574" i="5"/>
  <c r="E5573" i="5"/>
  <c r="E5572" i="5"/>
  <c r="E5571" i="5"/>
  <c r="E5570" i="5"/>
  <c r="E5569" i="5"/>
  <c r="E5568" i="5"/>
  <c r="E5567" i="5"/>
  <c r="E5566" i="5"/>
  <c r="E5565" i="5"/>
  <c r="E5564" i="5"/>
  <c r="E5563" i="5"/>
  <c r="E5562" i="5"/>
  <c r="E5561" i="5"/>
  <c r="E5560" i="5"/>
  <c r="E5559" i="5"/>
  <c r="E5558" i="5"/>
  <c r="E5557" i="5"/>
  <c r="E5556" i="5"/>
  <c r="E5555" i="5"/>
  <c r="E5554" i="5"/>
  <c r="E5553" i="5"/>
  <c r="E5552" i="5"/>
  <c r="E5551" i="5"/>
  <c r="E5550" i="5"/>
  <c r="E5549" i="5"/>
  <c r="E5548" i="5"/>
  <c r="E5547" i="5"/>
  <c r="E5546" i="5"/>
  <c r="E5545" i="5"/>
  <c r="E5544" i="5"/>
  <c r="E5543" i="5"/>
  <c r="E5542" i="5"/>
  <c r="E5541" i="5"/>
  <c r="E5540" i="5"/>
  <c r="E5539" i="5"/>
  <c r="E5538" i="5"/>
  <c r="E5537" i="5"/>
  <c r="E5536" i="5"/>
  <c r="E5535" i="5"/>
  <c r="E5534" i="5"/>
  <c r="E5533" i="5"/>
  <c r="E5532" i="5"/>
  <c r="E5531" i="5"/>
  <c r="E5530" i="5"/>
  <c r="E5529" i="5"/>
  <c r="E5528" i="5"/>
  <c r="E5527" i="5"/>
  <c r="E5526" i="5"/>
  <c r="E5525" i="5"/>
  <c r="E5524" i="5"/>
  <c r="E5523" i="5"/>
  <c r="E5522" i="5"/>
  <c r="E5521" i="5"/>
  <c r="E5520" i="5"/>
  <c r="E5519" i="5"/>
  <c r="E5518" i="5"/>
  <c r="E5517" i="5"/>
  <c r="E5516" i="5"/>
  <c r="E5515" i="5"/>
  <c r="E5514" i="5"/>
  <c r="E5513" i="5"/>
  <c r="E5512" i="5"/>
  <c r="E5511" i="5"/>
  <c r="E5510" i="5"/>
  <c r="E5509" i="5"/>
  <c r="E5508" i="5"/>
  <c r="E5507" i="5"/>
  <c r="E5506" i="5"/>
  <c r="E5505" i="5"/>
  <c r="E5504" i="5"/>
  <c r="E5503" i="5"/>
  <c r="E5502" i="5"/>
  <c r="E5501" i="5"/>
  <c r="E5500" i="5"/>
  <c r="E5499" i="5"/>
  <c r="E5498" i="5"/>
  <c r="E5497" i="5"/>
  <c r="E5496" i="5"/>
  <c r="E5495" i="5"/>
  <c r="E5494" i="5"/>
  <c r="E5493" i="5"/>
  <c r="E5492" i="5"/>
  <c r="E5491" i="5"/>
  <c r="E5490" i="5"/>
  <c r="E5489" i="5"/>
  <c r="E5488" i="5"/>
  <c r="E5487" i="5"/>
  <c r="E5486" i="5"/>
  <c r="E5485" i="5"/>
  <c r="E5484" i="5"/>
  <c r="E5483" i="5"/>
  <c r="E5482" i="5"/>
  <c r="E5481" i="5"/>
  <c r="E5480" i="5"/>
  <c r="E5479" i="5"/>
  <c r="E5478" i="5"/>
  <c r="E5477" i="5"/>
  <c r="E5476" i="5"/>
  <c r="E5475" i="5"/>
  <c r="E5474" i="5"/>
  <c r="E5473" i="5"/>
  <c r="E5472" i="5"/>
  <c r="E5471" i="5"/>
  <c r="E5470" i="5"/>
  <c r="E5469" i="5"/>
  <c r="E5468" i="5"/>
  <c r="E5467" i="5"/>
  <c r="E5466" i="5"/>
  <c r="E5465" i="5"/>
  <c r="E5464" i="5"/>
  <c r="E5463" i="5"/>
  <c r="E5462" i="5"/>
  <c r="E5461" i="5"/>
  <c r="E5460" i="5"/>
  <c r="E5459" i="5"/>
  <c r="E5458" i="5"/>
  <c r="E5457" i="5"/>
  <c r="E5456" i="5"/>
  <c r="E5455" i="5"/>
  <c r="E5454" i="5"/>
  <c r="E5453" i="5"/>
  <c r="E5452" i="5"/>
  <c r="E5451" i="5"/>
  <c r="E5450" i="5"/>
  <c r="E5449" i="5"/>
  <c r="E5448" i="5"/>
  <c r="E5447" i="5"/>
  <c r="E5446" i="5"/>
  <c r="E5445" i="5"/>
  <c r="E5444" i="5"/>
  <c r="E5443" i="5"/>
  <c r="E5442" i="5"/>
  <c r="E5441" i="5"/>
  <c r="E5440" i="5"/>
  <c r="E5439" i="5"/>
  <c r="E5438" i="5"/>
  <c r="E5437" i="5"/>
  <c r="E5436" i="5"/>
  <c r="E5435" i="5"/>
  <c r="E5434" i="5"/>
  <c r="E5433" i="5"/>
  <c r="E5432" i="5"/>
  <c r="E5431" i="5"/>
  <c r="E5430" i="5"/>
  <c r="E5429" i="5"/>
  <c r="E5428" i="5"/>
  <c r="E5427" i="5"/>
  <c r="E5426" i="5"/>
  <c r="E5425" i="5"/>
  <c r="E5424" i="5"/>
  <c r="E5423" i="5"/>
  <c r="E5422" i="5"/>
  <c r="E5421" i="5"/>
  <c r="E5420" i="5"/>
  <c r="E5419" i="5"/>
  <c r="E5418" i="5"/>
  <c r="E5417" i="5"/>
  <c r="E5416" i="5"/>
  <c r="E5415" i="5"/>
  <c r="E5414" i="5"/>
  <c r="E5413" i="5"/>
  <c r="E5412" i="5"/>
  <c r="E5411" i="5"/>
  <c r="E5410" i="5"/>
  <c r="E5409" i="5"/>
  <c r="E5408" i="5"/>
  <c r="E5407" i="5"/>
  <c r="E5406" i="5"/>
  <c r="E5405" i="5"/>
  <c r="E5404" i="5"/>
  <c r="E5403" i="5"/>
  <c r="E5402" i="5"/>
  <c r="E5401" i="5"/>
  <c r="E5400" i="5"/>
  <c r="E5399" i="5"/>
  <c r="E5398" i="5"/>
  <c r="E5397" i="5"/>
  <c r="E5396" i="5"/>
  <c r="E5395" i="5"/>
  <c r="E5394" i="5"/>
  <c r="E5393" i="5"/>
  <c r="E5392" i="5"/>
  <c r="E5391" i="5"/>
  <c r="E5390" i="5"/>
  <c r="E5389" i="5"/>
  <c r="E5388" i="5"/>
  <c r="E5387" i="5"/>
  <c r="E5386" i="5"/>
  <c r="E5385" i="5"/>
  <c r="E5384" i="5"/>
  <c r="E5383" i="5"/>
  <c r="E5382" i="5"/>
  <c r="E5381" i="5"/>
  <c r="E5380" i="5"/>
  <c r="E5379" i="5"/>
  <c r="E5378" i="5"/>
  <c r="E5377" i="5"/>
  <c r="E5376" i="5"/>
  <c r="E5375" i="5"/>
  <c r="E5374" i="5"/>
  <c r="E5373" i="5"/>
  <c r="E5372" i="5"/>
  <c r="E5371" i="5"/>
  <c r="E5370" i="5"/>
  <c r="E5369" i="5"/>
  <c r="E5368" i="5"/>
  <c r="E5367" i="5"/>
  <c r="E5366" i="5"/>
  <c r="E5365" i="5"/>
  <c r="E5364" i="5"/>
  <c r="E5363" i="5"/>
  <c r="E5362" i="5"/>
  <c r="E5361" i="5"/>
  <c r="E5360" i="5"/>
  <c r="E5359" i="5"/>
  <c r="E5358" i="5"/>
  <c r="E5357" i="5"/>
  <c r="E5356" i="5"/>
  <c r="E5355" i="5"/>
  <c r="E5354" i="5"/>
  <c r="E5353" i="5"/>
  <c r="E5352" i="5"/>
  <c r="E5351" i="5"/>
  <c r="E5350" i="5"/>
  <c r="E5349" i="5"/>
  <c r="E5348" i="5"/>
  <c r="E5347" i="5"/>
  <c r="E5346" i="5"/>
  <c r="E5345" i="5"/>
  <c r="E5344" i="5"/>
  <c r="E5343" i="5"/>
  <c r="E5342" i="5"/>
  <c r="E5341" i="5"/>
  <c r="E5340" i="5"/>
  <c r="E5339" i="5"/>
  <c r="E5338" i="5"/>
  <c r="E5337" i="5"/>
  <c r="E5336" i="5"/>
  <c r="E5335" i="5"/>
  <c r="E5334" i="5"/>
  <c r="E5333" i="5"/>
  <c r="E5332" i="5"/>
  <c r="E5331" i="5"/>
  <c r="E5330" i="5"/>
  <c r="E5329" i="5"/>
  <c r="E5328" i="5"/>
  <c r="E5327" i="5"/>
  <c r="E5326" i="5"/>
  <c r="E5325" i="5"/>
  <c r="E5324" i="5"/>
  <c r="E5323" i="5"/>
  <c r="E5322" i="5"/>
  <c r="E5321" i="5"/>
  <c r="E5320" i="5"/>
  <c r="E5319" i="5"/>
  <c r="E5318" i="5"/>
  <c r="E5317" i="5"/>
  <c r="E5316" i="5"/>
  <c r="E5315" i="5"/>
  <c r="E5314" i="5"/>
  <c r="E5313" i="5"/>
  <c r="E5312" i="5"/>
  <c r="E5311" i="5"/>
  <c r="E5310" i="5"/>
  <c r="E5309" i="5"/>
  <c r="E5308" i="5"/>
  <c r="E5307" i="5"/>
  <c r="E5306" i="5"/>
  <c r="E5305" i="5"/>
  <c r="E5304" i="5"/>
  <c r="E5303" i="5"/>
  <c r="E5302" i="5"/>
  <c r="E5301" i="5"/>
  <c r="E5300" i="5"/>
  <c r="E5299" i="5"/>
  <c r="E5298" i="5"/>
  <c r="E5297" i="5"/>
  <c r="E5296" i="5"/>
  <c r="E5295" i="5"/>
  <c r="E5294" i="5"/>
  <c r="E5293" i="5"/>
  <c r="E5292" i="5"/>
  <c r="E5291" i="5"/>
  <c r="E5290" i="5"/>
  <c r="E5289" i="5"/>
  <c r="E5288" i="5"/>
  <c r="E5287" i="5"/>
  <c r="E5286" i="5"/>
  <c r="E5285" i="5"/>
  <c r="E5284" i="5"/>
  <c r="E5283" i="5"/>
  <c r="E5282" i="5"/>
  <c r="E5281" i="5"/>
  <c r="E5280" i="5"/>
  <c r="E5279" i="5"/>
  <c r="E5278" i="5"/>
  <c r="E5277" i="5"/>
  <c r="E5276" i="5"/>
  <c r="E5275" i="5"/>
  <c r="E5274" i="5"/>
  <c r="E5273" i="5"/>
  <c r="E5272" i="5"/>
  <c r="E5271" i="5"/>
  <c r="E5270" i="5"/>
  <c r="E5269" i="5"/>
  <c r="E5268" i="5"/>
  <c r="E5267" i="5"/>
  <c r="E5266" i="5"/>
  <c r="E5265" i="5"/>
  <c r="E5264" i="5"/>
  <c r="E5263" i="5"/>
  <c r="E5262" i="5"/>
  <c r="E5261" i="5"/>
  <c r="E5260" i="5"/>
  <c r="E5259" i="5"/>
  <c r="E5258" i="5"/>
  <c r="E5257" i="5"/>
  <c r="E5256" i="5"/>
  <c r="E5255" i="5"/>
  <c r="E5254" i="5"/>
  <c r="E5253" i="5"/>
  <c r="E5252" i="5"/>
  <c r="E5251" i="5"/>
  <c r="E5250" i="5"/>
  <c r="E5249" i="5"/>
  <c r="E5248" i="5"/>
  <c r="E5247" i="5"/>
  <c r="E5246" i="5"/>
  <c r="E5245" i="5"/>
  <c r="E5244" i="5"/>
  <c r="E5243" i="5"/>
  <c r="E5242" i="5"/>
  <c r="E5241" i="5"/>
  <c r="E5240" i="5"/>
  <c r="E5239" i="5"/>
  <c r="E5238" i="5"/>
  <c r="E5237" i="5"/>
  <c r="E5236" i="5"/>
  <c r="E5235" i="5"/>
  <c r="E5234" i="5"/>
  <c r="E5233" i="5"/>
  <c r="E5232" i="5"/>
  <c r="E5231" i="5"/>
  <c r="E5230" i="5"/>
  <c r="E5229" i="5"/>
  <c r="E5228" i="5"/>
  <c r="E5227" i="5"/>
  <c r="E5226" i="5"/>
  <c r="E5225" i="5"/>
  <c r="E5224" i="5"/>
  <c r="E5223" i="5"/>
  <c r="E5222" i="5"/>
  <c r="E5221" i="5"/>
  <c r="E5220" i="5"/>
  <c r="E5219" i="5"/>
  <c r="E5218" i="5"/>
  <c r="E5217" i="5"/>
  <c r="E5216" i="5"/>
  <c r="E5215" i="5"/>
  <c r="E5214" i="5"/>
  <c r="E5213" i="5"/>
  <c r="E5212" i="5"/>
  <c r="E5211" i="5"/>
  <c r="E5210" i="5"/>
  <c r="E5209" i="5"/>
  <c r="E5208" i="5"/>
  <c r="E5207" i="5"/>
  <c r="E5206" i="5"/>
  <c r="E5205" i="5"/>
  <c r="E5204" i="5"/>
  <c r="E5203" i="5"/>
  <c r="E5202" i="5"/>
  <c r="E5201" i="5"/>
  <c r="E5200" i="5"/>
  <c r="E5199" i="5"/>
  <c r="E5198" i="5"/>
  <c r="E5197" i="5"/>
  <c r="E5196" i="5"/>
  <c r="E5195" i="5"/>
  <c r="E5194" i="5"/>
  <c r="E5193" i="5"/>
  <c r="E5192" i="5"/>
  <c r="E5191" i="5"/>
  <c r="E5190" i="5"/>
  <c r="E5189" i="5"/>
  <c r="E5188" i="5"/>
  <c r="E5187" i="5"/>
  <c r="E5186" i="5"/>
  <c r="E5185" i="5"/>
  <c r="E5184" i="5"/>
  <c r="E5183" i="5"/>
  <c r="E5182" i="5"/>
  <c r="E5181" i="5"/>
  <c r="E5180" i="5"/>
  <c r="E5179" i="5"/>
  <c r="E5178" i="5"/>
  <c r="E5177" i="5"/>
  <c r="E5176" i="5"/>
  <c r="E5175" i="5"/>
  <c r="E5174" i="5"/>
  <c r="E5173" i="5"/>
  <c r="E5172" i="5"/>
  <c r="E5171" i="5"/>
  <c r="E5170" i="5"/>
  <c r="E5169" i="5"/>
  <c r="E5168" i="5"/>
  <c r="E5167" i="5"/>
  <c r="E5166" i="5"/>
  <c r="E5165" i="5"/>
  <c r="E5164" i="5"/>
  <c r="E5163" i="5"/>
  <c r="E5162" i="5"/>
  <c r="E5161" i="5"/>
  <c r="E5160" i="5"/>
  <c r="E5159" i="5"/>
  <c r="E5158" i="5"/>
  <c r="E5157" i="5"/>
  <c r="E5156" i="5"/>
  <c r="E5155" i="5"/>
  <c r="E5154" i="5"/>
  <c r="E5153" i="5"/>
  <c r="E5152" i="5"/>
  <c r="E5151" i="5"/>
  <c r="E5150" i="5"/>
  <c r="E5149" i="5"/>
  <c r="E5148" i="5"/>
  <c r="E5147" i="5"/>
  <c r="E5146" i="5"/>
  <c r="E5145" i="5"/>
  <c r="E5144" i="5"/>
  <c r="E5143" i="5"/>
  <c r="E5142" i="5"/>
  <c r="E5141" i="5"/>
  <c r="E5140" i="5"/>
  <c r="E5139" i="5"/>
  <c r="E5138" i="5"/>
  <c r="E5137" i="5"/>
  <c r="E5136" i="5"/>
  <c r="E5135" i="5"/>
  <c r="E5134" i="5"/>
  <c r="E5133" i="5"/>
  <c r="E5132" i="5"/>
  <c r="E5131" i="5"/>
  <c r="E5130" i="5"/>
  <c r="E5129" i="5"/>
  <c r="E5128" i="5"/>
  <c r="E5127" i="5"/>
  <c r="E5126" i="5"/>
  <c r="E5125" i="5"/>
  <c r="E5124" i="5"/>
  <c r="E5123" i="5"/>
  <c r="E5122" i="5"/>
  <c r="E5121" i="5"/>
  <c r="E5120" i="5"/>
  <c r="E5119" i="5"/>
  <c r="E5118" i="5"/>
  <c r="E5117" i="5"/>
  <c r="E5116" i="5"/>
  <c r="E5115" i="5"/>
  <c r="E5114" i="5"/>
  <c r="E5113" i="5"/>
  <c r="E5112" i="5"/>
  <c r="E5111" i="5"/>
  <c r="E5110" i="5"/>
  <c r="E5109" i="5"/>
  <c r="E5108" i="5"/>
  <c r="E5107" i="5"/>
  <c r="E5106" i="5"/>
  <c r="E5105" i="5"/>
  <c r="E5104" i="5"/>
  <c r="E5103" i="5"/>
  <c r="E5102" i="5"/>
  <c r="E5101" i="5"/>
  <c r="E5100" i="5"/>
  <c r="E5099" i="5"/>
  <c r="E5098" i="5"/>
  <c r="E5097" i="5"/>
  <c r="E5096" i="5"/>
  <c r="E5095" i="5"/>
  <c r="E5094" i="5"/>
  <c r="E5093" i="5"/>
  <c r="E5092" i="5"/>
  <c r="E5091" i="5"/>
  <c r="E5090" i="5"/>
  <c r="E5089" i="5"/>
  <c r="E5088" i="5"/>
  <c r="E5087" i="5"/>
  <c r="E5086" i="5"/>
  <c r="E5085" i="5"/>
  <c r="E5084" i="5"/>
  <c r="E5083" i="5"/>
  <c r="E5082" i="5"/>
  <c r="E5081" i="5"/>
  <c r="E5080" i="5"/>
  <c r="E5079" i="5"/>
  <c r="E5078" i="5"/>
  <c r="E5077" i="5"/>
  <c r="E5076" i="5"/>
  <c r="E5075" i="5"/>
  <c r="E5074" i="5"/>
  <c r="E5073" i="5"/>
  <c r="E5072" i="5"/>
  <c r="E5071" i="5"/>
  <c r="E5070" i="5"/>
  <c r="E5069" i="5"/>
  <c r="E5068" i="5"/>
  <c r="E5067" i="5"/>
  <c r="E5066" i="5"/>
  <c r="E5065" i="5"/>
  <c r="E5064" i="5"/>
  <c r="E5063" i="5"/>
  <c r="E5062" i="5"/>
  <c r="E5061" i="5"/>
  <c r="E5060" i="5"/>
  <c r="E5059" i="5"/>
  <c r="E5058" i="5"/>
  <c r="E5057" i="5"/>
  <c r="E5056" i="5"/>
  <c r="E5055" i="5"/>
  <c r="E5054" i="5"/>
  <c r="E5053" i="5"/>
  <c r="E5052" i="5"/>
  <c r="E5051" i="5"/>
  <c r="E5050" i="5"/>
  <c r="E5049" i="5"/>
  <c r="E5048" i="5"/>
  <c r="E5047" i="5"/>
  <c r="E5046" i="5"/>
  <c r="E5045" i="5"/>
  <c r="E5044" i="5"/>
  <c r="E5043" i="5"/>
  <c r="E5042" i="5"/>
  <c r="E5041" i="5"/>
  <c r="E5040" i="5"/>
  <c r="E5039" i="5"/>
  <c r="E5038" i="5"/>
  <c r="E5037" i="5"/>
  <c r="E5036" i="5"/>
  <c r="E5035" i="5"/>
  <c r="E5034" i="5"/>
  <c r="E5033" i="5"/>
  <c r="E5032" i="5"/>
  <c r="E5031" i="5"/>
  <c r="E5030" i="5"/>
  <c r="E5029" i="5"/>
  <c r="E5028" i="5"/>
  <c r="E5027" i="5"/>
  <c r="E5026" i="5"/>
  <c r="E5025" i="5"/>
  <c r="E5024" i="5"/>
  <c r="E5023" i="5"/>
  <c r="E5022" i="5"/>
  <c r="E5021" i="5"/>
  <c r="E5020" i="5"/>
  <c r="E5019" i="5"/>
  <c r="E5018" i="5"/>
  <c r="E5017" i="5"/>
  <c r="E5016" i="5"/>
  <c r="E5015" i="5"/>
  <c r="E5014" i="5"/>
  <c r="E5013" i="5"/>
  <c r="E5012" i="5"/>
  <c r="E5011" i="5"/>
  <c r="E5010" i="5"/>
  <c r="E5009" i="5"/>
  <c r="E5008" i="5"/>
  <c r="E5007" i="5"/>
  <c r="E5006" i="5"/>
  <c r="E5005" i="5"/>
  <c r="E5004" i="5"/>
  <c r="E5003" i="5"/>
  <c r="E5002" i="5"/>
  <c r="E5001" i="5"/>
  <c r="E5000" i="5"/>
  <c r="E4999" i="5"/>
  <c r="E4998" i="5"/>
  <c r="E4997" i="5"/>
  <c r="E4996" i="5"/>
  <c r="E4995" i="5"/>
  <c r="E4994" i="5"/>
  <c r="E4993" i="5"/>
  <c r="E4992" i="5"/>
  <c r="E4991" i="5"/>
  <c r="E4990" i="5"/>
  <c r="E4989" i="5"/>
  <c r="E4988" i="5"/>
  <c r="E4987" i="5"/>
  <c r="E4986" i="5"/>
  <c r="E4985" i="5"/>
  <c r="E4984" i="5"/>
  <c r="E4983" i="5"/>
  <c r="E4982" i="5"/>
  <c r="E4981" i="5"/>
  <c r="E4980" i="5"/>
  <c r="E4979" i="5"/>
  <c r="E4978" i="5"/>
  <c r="E4977" i="5"/>
  <c r="E4976" i="5"/>
  <c r="E4975" i="5"/>
  <c r="E4974" i="5"/>
  <c r="E4973" i="5"/>
  <c r="E4972" i="5"/>
  <c r="E4971" i="5"/>
  <c r="E4970" i="5"/>
  <c r="E4969" i="5"/>
  <c r="E4968" i="5"/>
  <c r="E4967" i="5"/>
  <c r="E4966" i="5"/>
  <c r="E4965" i="5"/>
  <c r="E4964" i="5"/>
  <c r="E4963" i="5"/>
  <c r="E4962" i="5"/>
  <c r="E4961" i="5"/>
  <c r="E4960" i="5"/>
  <c r="E4959" i="5"/>
  <c r="E4958" i="5"/>
  <c r="E4957" i="5"/>
  <c r="E4956" i="5"/>
  <c r="E4955" i="5"/>
  <c r="E4954" i="5"/>
  <c r="E4953" i="5"/>
  <c r="E4952" i="5"/>
  <c r="E4951" i="5"/>
  <c r="E4950" i="5"/>
  <c r="E4949" i="5"/>
  <c r="E4948" i="5"/>
  <c r="E4947" i="5"/>
  <c r="E4946" i="5"/>
  <c r="E4945" i="5"/>
  <c r="E4944" i="5"/>
  <c r="E4943" i="5"/>
  <c r="E4942" i="5"/>
  <c r="E4941" i="5"/>
  <c r="E4940" i="5"/>
  <c r="E4939" i="5"/>
  <c r="E4938" i="5"/>
  <c r="E4937" i="5"/>
  <c r="E4936" i="5"/>
  <c r="E4935" i="5"/>
  <c r="E4934" i="5"/>
  <c r="E4933" i="5"/>
  <c r="E4932" i="5"/>
  <c r="E4931" i="5"/>
  <c r="E4930" i="5"/>
  <c r="E4929" i="5"/>
  <c r="E4928" i="5"/>
  <c r="E4927" i="5"/>
  <c r="E4926" i="5"/>
  <c r="E4925" i="5"/>
  <c r="E4924" i="5"/>
  <c r="E4923" i="5"/>
  <c r="E4922" i="5"/>
  <c r="E4921" i="5"/>
  <c r="E4920" i="5"/>
  <c r="E4919" i="5"/>
  <c r="E4918" i="5"/>
  <c r="E4917" i="5"/>
  <c r="E4916" i="5"/>
  <c r="E4915" i="5"/>
  <c r="E4914" i="5"/>
  <c r="E4913" i="5"/>
  <c r="E4912" i="5"/>
  <c r="E4911" i="5"/>
  <c r="E4910" i="5"/>
  <c r="E4909" i="5"/>
  <c r="E4908" i="5"/>
  <c r="E4907" i="5"/>
  <c r="E4906" i="5"/>
  <c r="E4905" i="5"/>
  <c r="E4904" i="5"/>
  <c r="E4903" i="5"/>
  <c r="E4902" i="5"/>
  <c r="E4901" i="5"/>
  <c r="E4900" i="5"/>
  <c r="E4899" i="5"/>
  <c r="E4898" i="5"/>
  <c r="E4897" i="5"/>
  <c r="E4896" i="5"/>
  <c r="E4895" i="5"/>
  <c r="E4894" i="5"/>
  <c r="E4893" i="5"/>
  <c r="E4892" i="5"/>
  <c r="E4891" i="5"/>
  <c r="E4890" i="5"/>
  <c r="E4889" i="5"/>
  <c r="E4888" i="5"/>
  <c r="E4887" i="5"/>
  <c r="E4886" i="5"/>
  <c r="E4885" i="5"/>
  <c r="E4884" i="5"/>
  <c r="E4883" i="5"/>
  <c r="E4882" i="5"/>
  <c r="E4881" i="5"/>
  <c r="E4880" i="5"/>
  <c r="E4879" i="5"/>
  <c r="E4878" i="5"/>
  <c r="E4877" i="5"/>
  <c r="E4876" i="5"/>
  <c r="E4875" i="5"/>
  <c r="E4874" i="5"/>
  <c r="E4873" i="5"/>
  <c r="E4872" i="5"/>
  <c r="E4871" i="5"/>
  <c r="E4870" i="5"/>
  <c r="E4869" i="5"/>
  <c r="E4868" i="5"/>
  <c r="E4867" i="5"/>
  <c r="E4866" i="5"/>
  <c r="E4865" i="5"/>
  <c r="E4864" i="5"/>
  <c r="E4863" i="5"/>
  <c r="E4862" i="5"/>
  <c r="E4861" i="5"/>
  <c r="E4860" i="5"/>
  <c r="E4859" i="5"/>
  <c r="E4858" i="5"/>
  <c r="E4857" i="5"/>
  <c r="E4856" i="5"/>
  <c r="E4855" i="5"/>
  <c r="E4854" i="5"/>
  <c r="E4853" i="5"/>
  <c r="E4852" i="5"/>
  <c r="E4851" i="5"/>
  <c r="E4850" i="5"/>
  <c r="E4849" i="5"/>
  <c r="E4848" i="5"/>
  <c r="E4847" i="5"/>
  <c r="E4846" i="5"/>
  <c r="E4845" i="5"/>
  <c r="E4844" i="5"/>
  <c r="E4843" i="5"/>
  <c r="E4842" i="5"/>
  <c r="E4841" i="5"/>
  <c r="E4840" i="5"/>
  <c r="E4839" i="5"/>
  <c r="E4838" i="5"/>
  <c r="E4837" i="5"/>
  <c r="E4836" i="5"/>
  <c r="E4835" i="5"/>
  <c r="E4834" i="5"/>
  <c r="E4833" i="5"/>
  <c r="E4832" i="5"/>
  <c r="E4831" i="5"/>
  <c r="E4830" i="5"/>
  <c r="E4829" i="5"/>
  <c r="E4828" i="5"/>
  <c r="E4827" i="5"/>
  <c r="E4826" i="5"/>
  <c r="E4825" i="5"/>
  <c r="E4824" i="5"/>
  <c r="E4823" i="5"/>
  <c r="E4822" i="5"/>
  <c r="E4821" i="5"/>
  <c r="E4820" i="5"/>
  <c r="E4819" i="5"/>
  <c r="E4818" i="5"/>
  <c r="E4817" i="5"/>
  <c r="E4816" i="5"/>
  <c r="E4815" i="5"/>
  <c r="E4814" i="5"/>
  <c r="E4813" i="5"/>
  <c r="E4812" i="5"/>
  <c r="E4811" i="5"/>
  <c r="E4810" i="5"/>
  <c r="E4809" i="5"/>
  <c r="E4808" i="5"/>
  <c r="E4807" i="5"/>
  <c r="E4806" i="5"/>
  <c r="E4805" i="5"/>
  <c r="E4804" i="5"/>
  <c r="E4803" i="5"/>
  <c r="E4802" i="5"/>
  <c r="E4801" i="5"/>
  <c r="E4800" i="5"/>
  <c r="E4799" i="5"/>
  <c r="E4798" i="5"/>
  <c r="E4797" i="5"/>
  <c r="E4796" i="5"/>
  <c r="E4795" i="5"/>
  <c r="E4794" i="5"/>
  <c r="E4793" i="5"/>
  <c r="E4792" i="5"/>
  <c r="E4791" i="5"/>
  <c r="E4790" i="5"/>
  <c r="E4789" i="5"/>
  <c r="E4788" i="5"/>
  <c r="E4787" i="5"/>
  <c r="E4786" i="5"/>
  <c r="E4785" i="5"/>
  <c r="E4784" i="5"/>
  <c r="E4783" i="5"/>
  <c r="E4782" i="5"/>
  <c r="E4781" i="5"/>
  <c r="E4780" i="5"/>
  <c r="E4779" i="5"/>
  <c r="E4778" i="5"/>
  <c r="E4777" i="5"/>
  <c r="E4776" i="5"/>
  <c r="E4775" i="5"/>
  <c r="E4774" i="5"/>
  <c r="E4773" i="5"/>
  <c r="E4772" i="5"/>
  <c r="E4771" i="5"/>
  <c r="E4770" i="5"/>
  <c r="E4769" i="5"/>
  <c r="E4768" i="5"/>
  <c r="E4767" i="5"/>
  <c r="E4766" i="5"/>
  <c r="E4765" i="5"/>
  <c r="E4764" i="5"/>
  <c r="E4763" i="5"/>
  <c r="E4762" i="5"/>
  <c r="E4761" i="5"/>
  <c r="E4760" i="5"/>
  <c r="E4759" i="5"/>
  <c r="E4758" i="5"/>
  <c r="E4757" i="5"/>
  <c r="E4756" i="5"/>
  <c r="E4755" i="5"/>
  <c r="E4754" i="5"/>
  <c r="E4753" i="5"/>
  <c r="E4752" i="5"/>
  <c r="E4751" i="5"/>
  <c r="E4750" i="5"/>
  <c r="E4749" i="5"/>
  <c r="E4748" i="5"/>
  <c r="E4747" i="5"/>
  <c r="E4746" i="5"/>
  <c r="E4745" i="5"/>
  <c r="E4744" i="5"/>
  <c r="E4743" i="5"/>
  <c r="E4742" i="5"/>
  <c r="E4741" i="5"/>
  <c r="E4740" i="5"/>
  <c r="E4739" i="5"/>
  <c r="E4738" i="5"/>
  <c r="E4737" i="5"/>
  <c r="E4736" i="5"/>
  <c r="E4735" i="5"/>
  <c r="E4734" i="5"/>
  <c r="E4733" i="5"/>
  <c r="E4732" i="5"/>
  <c r="E4731" i="5"/>
  <c r="E4730" i="5"/>
  <c r="E4729" i="5"/>
  <c r="E4728" i="5"/>
  <c r="E4727" i="5"/>
  <c r="E4726" i="5"/>
  <c r="E4725" i="5"/>
  <c r="E4724" i="5"/>
  <c r="E4723" i="5"/>
  <c r="E4722" i="5"/>
  <c r="E4721" i="5"/>
  <c r="E4720" i="5"/>
  <c r="E4719" i="5"/>
  <c r="E4718" i="5"/>
  <c r="E4717" i="5"/>
  <c r="E4716" i="5"/>
  <c r="E4715" i="5"/>
  <c r="E4714" i="5"/>
  <c r="E4713" i="5"/>
  <c r="E4712" i="5"/>
  <c r="E4711" i="5"/>
  <c r="E4710" i="5"/>
  <c r="E4709" i="5"/>
  <c r="E4708" i="5"/>
  <c r="E4707" i="5"/>
  <c r="E4706" i="5"/>
  <c r="E4705" i="5"/>
  <c r="E4704" i="5"/>
  <c r="E4703" i="5"/>
  <c r="E4702" i="5"/>
  <c r="E4701" i="5"/>
  <c r="E4700" i="5"/>
  <c r="E4699" i="5"/>
  <c r="E4698" i="5"/>
  <c r="E4697" i="5"/>
  <c r="E4696" i="5"/>
  <c r="E4695" i="5"/>
  <c r="E4694" i="5"/>
  <c r="E4693" i="5"/>
  <c r="E4692" i="5"/>
  <c r="E4691" i="5"/>
  <c r="E4690" i="5"/>
  <c r="E4689" i="5"/>
  <c r="E4688" i="5"/>
  <c r="E4687" i="5"/>
  <c r="E4686" i="5"/>
  <c r="E4685" i="5"/>
  <c r="E4684" i="5"/>
  <c r="E4683" i="5"/>
  <c r="E4682" i="5"/>
  <c r="E4681" i="5"/>
  <c r="E4680" i="5"/>
  <c r="E4679" i="5"/>
  <c r="E4678" i="5"/>
  <c r="E4677" i="5"/>
  <c r="E4676" i="5"/>
  <c r="E4675" i="5"/>
  <c r="E4674" i="5"/>
  <c r="E4673" i="5"/>
  <c r="E4672" i="5"/>
  <c r="E4671" i="5"/>
  <c r="E4670" i="5"/>
  <c r="E4669" i="5"/>
  <c r="E4668" i="5"/>
  <c r="E4667" i="5"/>
  <c r="E4666" i="5"/>
  <c r="E4665" i="5"/>
  <c r="E4664" i="5"/>
  <c r="E4663" i="5"/>
  <c r="E4662" i="5"/>
  <c r="E4661" i="5"/>
  <c r="E4660" i="5"/>
  <c r="E4659" i="5"/>
  <c r="E4658" i="5"/>
  <c r="E4657" i="5"/>
  <c r="E4656" i="5"/>
  <c r="E4655" i="5"/>
  <c r="E4654" i="5"/>
  <c r="E4653" i="5"/>
  <c r="E4652" i="5"/>
  <c r="E4651" i="5"/>
  <c r="E4650" i="5"/>
  <c r="E4649" i="5"/>
  <c r="E4648" i="5"/>
  <c r="E4647" i="5"/>
  <c r="E4646" i="5"/>
  <c r="E4645" i="5"/>
  <c r="E4644" i="5"/>
  <c r="E4643" i="5"/>
  <c r="E4642" i="5"/>
  <c r="E4641" i="5"/>
  <c r="E4640" i="5"/>
  <c r="E4639" i="5"/>
  <c r="E4638" i="5"/>
  <c r="E4637" i="5"/>
  <c r="E4636" i="5"/>
  <c r="E4635" i="5"/>
  <c r="E4634" i="5"/>
  <c r="E4633" i="5"/>
  <c r="E4632" i="5"/>
  <c r="E4631" i="5"/>
  <c r="E4630" i="5"/>
  <c r="E4629" i="5"/>
  <c r="E4628" i="5"/>
  <c r="E4627" i="5"/>
  <c r="E4626" i="5"/>
  <c r="E4625" i="5"/>
  <c r="E4624" i="5"/>
  <c r="E4623" i="5"/>
  <c r="E4622" i="5"/>
  <c r="E4621" i="5"/>
  <c r="E4620" i="5"/>
  <c r="E4619" i="5"/>
  <c r="E4618" i="5"/>
  <c r="E4617" i="5"/>
  <c r="E4616" i="5"/>
  <c r="E4615" i="5"/>
  <c r="E4614" i="5"/>
  <c r="E4613" i="5"/>
  <c r="E4612" i="5"/>
  <c r="E4611" i="5"/>
  <c r="E4610" i="5"/>
  <c r="E4609" i="5"/>
  <c r="E4608" i="5"/>
  <c r="E4607" i="5"/>
  <c r="E4606" i="5"/>
  <c r="E4605" i="5"/>
  <c r="E4604" i="5"/>
  <c r="E4603" i="5"/>
  <c r="E4602" i="5"/>
  <c r="E4601" i="5"/>
  <c r="E4600" i="5"/>
  <c r="E4599" i="5"/>
  <c r="E4598" i="5"/>
  <c r="E4597" i="5"/>
  <c r="E4596" i="5"/>
  <c r="E4595" i="5"/>
  <c r="E4594" i="5"/>
  <c r="E4593" i="5"/>
  <c r="E4592" i="5"/>
  <c r="E4591" i="5"/>
  <c r="E4590" i="5"/>
  <c r="E4589" i="5"/>
  <c r="E4588" i="5"/>
  <c r="E4587" i="5"/>
  <c r="E4586" i="5"/>
  <c r="E4585" i="5"/>
  <c r="E4584" i="5"/>
  <c r="E4583" i="5"/>
  <c r="E4582" i="5"/>
  <c r="E4581" i="5"/>
  <c r="E4580" i="5"/>
  <c r="E4579" i="5"/>
  <c r="E4578" i="5"/>
  <c r="E4577" i="5"/>
  <c r="E4576" i="5"/>
  <c r="E4575" i="5"/>
  <c r="E4574" i="5"/>
  <c r="E4573" i="5"/>
  <c r="E4572" i="5"/>
  <c r="E4571" i="5"/>
  <c r="E4570" i="5"/>
  <c r="E4569" i="5"/>
  <c r="E4568" i="5"/>
  <c r="E4567" i="5"/>
  <c r="E4566" i="5"/>
  <c r="E4565" i="5"/>
  <c r="E4564" i="5"/>
  <c r="E4563" i="5"/>
  <c r="E4562" i="5"/>
  <c r="E4561" i="5"/>
  <c r="E4560" i="5"/>
  <c r="E4559" i="5"/>
  <c r="E4558" i="5"/>
  <c r="E4557" i="5"/>
  <c r="E4556" i="5"/>
  <c r="E4555" i="5"/>
  <c r="E4554" i="5"/>
  <c r="E4553" i="5"/>
  <c r="E455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C1141" i="5"/>
  <c r="B1141" i="5"/>
  <c r="E1140" i="5"/>
  <c r="C1140" i="5"/>
  <c r="B1140" i="5"/>
  <c r="E1139" i="5"/>
  <c r="C1139" i="5"/>
  <c r="B1139" i="5"/>
  <c r="E1138" i="5"/>
  <c r="C1138" i="5"/>
  <c r="B1138" i="5"/>
  <c r="E1137" i="5"/>
  <c r="C1137" i="5"/>
  <c r="B1137" i="5"/>
  <c r="E1136" i="5"/>
  <c r="C1136" i="5"/>
  <c r="B1136" i="5"/>
  <c r="E1135" i="5"/>
  <c r="C1135" i="5"/>
  <c r="B1135" i="5"/>
  <c r="E1134" i="5"/>
  <c r="C1134" i="5"/>
  <c r="B1134" i="5"/>
  <c r="E1133" i="5"/>
  <c r="C1133" i="5"/>
  <c r="B1133" i="5"/>
  <c r="E1132" i="5"/>
  <c r="C1132" i="5"/>
  <c r="B1132" i="5"/>
  <c r="E1131" i="5"/>
  <c r="C1131" i="5"/>
  <c r="B1131" i="5"/>
  <c r="E1130" i="5"/>
  <c r="C1130" i="5"/>
  <c r="B1130" i="5"/>
  <c r="E1129" i="5"/>
  <c r="C1129" i="5"/>
  <c r="B1129" i="5"/>
  <c r="E1128" i="5"/>
  <c r="C1128" i="5"/>
  <c r="B1128" i="5"/>
  <c r="E1127" i="5"/>
  <c r="C1127" i="5"/>
  <c r="B1127" i="5"/>
  <c r="E1126" i="5"/>
  <c r="C1126" i="5"/>
  <c r="B1126" i="5"/>
  <c r="E1125" i="5"/>
  <c r="C1125" i="5"/>
  <c r="B1125" i="5"/>
  <c r="E1124" i="5"/>
  <c r="C1124" i="5"/>
  <c r="B1124" i="5"/>
  <c r="E1123" i="5"/>
  <c r="C1123" i="5"/>
  <c r="B1123" i="5"/>
  <c r="E1122" i="5"/>
  <c r="C1122" i="5"/>
  <c r="B1122" i="5"/>
  <c r="E1121" i="5"/>
  <c r="C1121" i="5"/>
  <c r="B1121" i="5"/>
  <c r="E1120" i="5"/>
  <c r="C1120" i="5"/>
  <c r="B1120" i="5"/>
  <c r="E1119" i="5"/>
  <c r="C1119" i="5"/>
  <c r="B1119" i="5"/>
  <c r="E1118" i="5"/>
  <c r="C1118" i="5"/>
  <c r="B1118" i="5"/>
  <c r="E1117" i="5"/>
  <c r="C1117" i="5"/>
  <c r="B1117" i="5"/>
  <c r="E1116" i="5"/>
  <c r="C1116" i="5"/>
  <c r="B1116" i="5"/>
  <c r="E1115" i="5"/>
  <c r="C1115" i="5"/>
  <c r="B1115" i="5"/>
  <c r="E1114" i="5"/>
  <c r="C1114" i="5"/>
  <c r="B1114" i="5"/>
  <c r="E1113" i="5"/>
  <c r="C1113" i="5"/>
  <c r="B1113" i="5"/>
  <c r="E1112" i="5"/>
  <c r="C1112" i="5"/>
  <c r="B1112" i="5"/>
  <c r="E1111" i="5"/>
  <c r="C1111" i="5"/>
  <c r="B1111" i="5"/>
  <c r="E1110" i="5"/>
  <c r="C1110" i="5"/>
  <c r="B1110" i="5"/>
  <c r="E1109" i="5"/>
  <c r="C1109" i="5"/>
  <c r="B1109" i="5"/>
  <c r="E1108" i="5"/>
  <c r="C1108" i="5"/>
  <c r="B1108" i="5"/>
  <c r="E1107" i="5"/>
  <c r="C1107" i="5"/>
  <c r="B1107" i="5"/>
  <c r="E1106" i="5"/>
  <c r="C1106" i="5"/>
  <c r="B1106" i="5"/>
  <c r="E1105" i="5"/>
  <c r="C1105" i="5"/>
  <c r="B1105" i="5"/>
  <c r="E1104" i="5"/>
  <c r="C1104" i="5"/>
  <c r="B1104" i="5"/>
  <c r="E1103" i="5"/>
  <c r="C1103" i="5"/>
  <c r="B1103" i="5"/>
  <c r="E1102" i="5"/>
  <c r="C1102" i="5"/>
  <c r="B1102" i="5"/>
  <c r="E1101" i="5"/>
  <c r="C1101" i="5"/>
  <c r="B1101" i="5"/>
  <c r="E1100" i="5"/>
  <c r="C1100" i="5"/>
  <c r="B1100" i="5"/>
  <c r="E1099" i="5"/>
  <c r="C1099" i="5"/>
  <c r="B1099" i="5"/>
  <c r="E1098" i="5"/>
  <c r="C1098" i="5"/>
  <c r="B1098" i="5"/>
  <c r="E1097" i="5"/>
  <c r="C1097" i="5"/>
  <c r="B1097" i="5"/>
  <c r="E1096" i="5"/>
  <c r="C1096" i="5"/>
  <c r="B1096" i="5"/>
  <c r="E1095" i="5"/>
  <c r="C1095" i="5"/>
  <c r="B1095" i="5"/>
  <c r="E1094" i="5"/>
  <c r="C1094" i="5"/>
  <c r="B1094" i="5"/>
  <c r="E1093" i="5"/>
  <c r="C1093" i="5"/>
  <c r="B1093" i="5"/>
  <c r="E1092" i="5"/>
  <c r="C1092" i="5"/>
  <c r="B1092" i="5"/>
  <c r="E1091" i="5"/>
  <c r="C1091" i="5"/>
  <c r="B1091" i="5"/>
  <c r="E1090" i="5"/>
  <c r="C1090" i="5"/>
  <c r="B1090" i="5"/>
  <c r="E1089" i="5"/>
  <c r="C1089" i="5"/>
  <c r="B1089" i="5"/>
  <c r="E1088" i="5"/>
  <c r="C1088" i="5"/>
  <c r="B1088" i="5"/>
  <c r="E1087" i="5"/>
  <c r="C1087" i="5"/>
  <c r="B1087" i="5"/>
  <c r="E1086" i="5"/>
  <c r="C1086" i="5"/>
  <c r="B1086" i="5"/>
  <c r="E1085" i="5"/>
  <c r="C1085" i="5"/>
  <c r="B1085" i="5"/>
  <c r="E1084" i="5"/>
  <c r="C1084" i="5"/>
  <c r="B1084" i="5"/>
  <c r="E1083" i="5"/>
  <c r="C1083" i="5"/>
  <c r="B1083" i="5"/>
  <c r="E1082" i="5"/>
  <c r="C1082" i="5"/>
  <c r="B1082" i="5"/>
  <c r="E1081" i="5"/>
  <c r="C1081" i="5"/>
  <c r="B1081" i="5"/>
  <c r="E1080" i="5"/>
  <c r="C1080" i="5"/>
  <c r="B1080" i="5"/>
  <c r="E1079" i="5"/>
  <c r="C1079" i="5"/>
  <c r="B1079" i="5"/>
  <c r="E1078" i="5"/>
  <c r="C1078" i="5"/>
  <c r="B1078" i="5"/>
  <c r="E1077" i="5"/>
  <c r="C1077" i="5"/>
  <c r="B1077" i="5"/>
  <c r="E1076" i="5"/>
  <c r="C1076" i="5"/>
  <c r="B1076" i="5"/>
  <c r="E1075" i="5"/>
  <c r="C1075" i="5"/>
  <c r="B1075" i="5"/>
  <c r="E1074" i="5"/>
  <c r="C1074" i="5"/>
  <c r="B1074" i="5"/>
  <c r="E1073" i="5"/>
  <c r="C1073" i="5"/>
  <c r="B1073" i="5"/>
  <c r="E1072" i="5"/>
  <c r="C1072" i="5"/>
  <c r="B1072" i="5"/>
  <c r="E1071" i="5"/>
  <c r="C1071" i="5"/>
  <c r="B1071" i="5"/>
  <c r="E1070" i="5"/>
  <c r="C1070" i="5"/>
  <c r="B1070" i="5"/>
  <c r="E1069" i="5"/>
  <c r="C1069" i="5"/>
  <c r="B1069" i="5"/>
  <c r="E1068" i="5"/>
  <c r="C1068" i="5"/>
  <c r="B1068" i="5"/>
  <c r="E1067" i="5"/>
  <c r="C1067" i="5"/>
  <c r="B1067" i="5"/>
  <c r="E1066" i="5"/>
  <c r="C1066" i="5"/>
  <c r="B1066" i="5"/>
  <c r="E1065" i="5"/>
  <c r="C1065" i="5"/>
  <c r="B1065" i="5"/>
  <c r="E1064" i="5"/>
  <c r="C1064" i="5"/>
  <c r="B1064" i="5"/>
  <c r="E1063" i="5"/>
  <c r="C1063" i="5"/>
  <c r="B1063" i="5"/>
  <c r="E1062" i="5"/>
  <c r="C1062" i="5"/>
  <c r="B1062" i="5"/>
  <c r="E1061" i="5"/>
  <c r="C1061" i="5"/>
  <c r="B1061" i="5"/>
  <c r="E1060" i="5"/>
  <c r="C1060" i="5"/>
  <c r="B1060" i="5"/>
  <c r="E1059" i="5"/>
  <c r="C1059" i="5"/>
  <c r="B1059" i="5"/>
  <c r="E1058" i="5"/>
  <c r="C1058" i="5"/>
  <c r="B1058" i="5"/>
  <c r="E1057" i="5"/>
  <c r="C1057" i="5"/>
  <c r="B1057" i="5"/>
  <c r="E1056" i="5"/>
  <c r="C1056" i="5"/>
  <c r="B1056" i="5"/>
  <c r="E1055" i="5"/>
  <c r="C1055" i="5"/>
  <c r="B1055" i="5"/>
  <c r="E1054" i="5"/>
  <c r="C1054" i="5"/>
  <c r="B1054" i="5"/>
  <c r="E1053" i="5"/>
  <c r="C1053" i="5"/>
  <c r="B1053" i="5"/>
  <c r="E1052" i="5"/>
  <c r="C1052" i="5"/>
  <c r="B1052" i="5"/>
  <c r="E1051" i="5"/>
  <c r="C1051" i="5"/>
  <c r="B1051" i="5"/>
  <c r="E1050" i="5"/>
  <c r="C1050" i="5"/>
  <c r="B1050" i="5"/>
  <c r="E1049" i="5"/>
  <c r="C1049" i="5"/>
  <c r="B1049" i="5"/>
  <c r="E1048" i="5"/>
  <c r="C1048" i="5"/>
  <c r="B1048" i="5"/>
  <c r="E1047" i="5"/>
  <c r="C1047" i="5"/>
  <c r="B1047" i="5"/>
  <c r="E1046" i="5"/>
  <c r="C1046" i="5"/>
  <c r="B1046" i="5"/>
  <c r="E1045" i="5"/>
  <c r="C1045" i="5"/>
  <c r="B1045" i="5"/>
  <c r="E1044" i="5"/>
  <c r="C1044" i="5"/>
  <c r="B1044" i="5"/>
  <c r="E1043" i="5"/>
  <c r="C1043" i="5"/>
  <c r="B1043" i="5"/>
  <c r="E1042" i="5"/>
  <c r="C1042" i="5"/>
  <c r="B1042" i="5"/>
  <c r="E1041" i="5"/>
  <c r="C1041" i="5"/>
  <c r="B1041" i="5"/>
  <c r="E1040" i="5"/>
  <c r="C1040" i="5"/>
  <c r="B1040" i="5"/>
  <c r="E1039" i="5"/>
  <c r="C1039" i="5"/>
  <c r="B1039" i="5"/>
  <c r="E1038" i="5"/>
  <c r="C1038" i="5"/>
  <c r="B1038" i="5"/>
  <c r="E1037" i="5"/>
  <c r="C1037" i="5"/>
  <c r="B1037" i="5"/>
  <c r="E1036" i="5"/>
  <c r="C1036" i="5"/>
  <c r="B1036" i="5"/>
  <c r="E1035" i="5"/>
  <c r="C1035" i="5"/>
  <c r="B1035" i="5"/>
  <c r="E1034" i="5"/>
  <c r="C1034" i="5"/>
  <c r="B1034" i="5"/>
  <c r="E1033" i="5"/>
  <c r="C1033" i="5"/>
  <c r="B1033" i="5"/>
  <c r="E1032" i="5"/>
  <c r="C1032" i="5"/>
  <c r="B1032" i="5"/>
  <c r="E1031" i="5"/>
  <c r="C1031" i="5"/>
  <c r="B1031" i="5"/>
  <c r="E1030" i="5"/>
  <c r="C1030" i="5"/>
  <c r="B1030" i="5"/>
  <c r="E1029" i="5"/>
  <c r="C1029" i="5"/>
  <c r="B1029" i="5"/>
  <c r="E1028" i="5"/>
  <c r="C1028" i="5"/>
  <c r="B1028" i="5"/>
  <c r="E1027" i="5"/>
  <c r="C1027" i="5"/>
  <c r="B1027" i="5"/>
  <c r="E1026" i="5"/>
  <c r="C1026" i="5"/>
  <c r="B1026" i="5"/>
  <c r="E1025" i="5"/>
  <c r="C1025" i="5"/>
  <c r="B1025" i="5"/>
  <c r="E1024" i="5"/>
  <c r="C1024" i="5"/>
  <c r="B1024" i="5"/>
  <c r="E1023" i="5"/>
  <c r="C1023" i="5"/>
  <c r="B1023" i="5"/>
  <c r="E1022" i="5"/>
  <c r="C1022" i="5"/>
  <c r="B1022" i="5"/>
  <c r="E1021" i="5"/>
  <c r="C1021" i="5"/>
  <c r="B1021" i="5"/>
  <c r="E1020" i="5"/>
  <c r="C1020" i="5"/>
  <c r="B1020" i="5"/>
  <c r="E1019" i="5"/>
  <c r="C1019" i="5"/>
  <c r="B1019" i="5"/>
  <c r="E1018" i="5"/>
  <c r="C1018" i="5"/>
  <c r="B1018" i="5"/>
  <c r="E1017" i="5"/>
  <c r="C1017" i="5"/>
  <c r="B1017" i="5"/>
  <c r="E1016" i="5"/>
  <c r="C1016" i="5"/>
  <c r="B1016" i="5"/>
  <c r="E1015" i="5"/>
  <c r="C1015" i="5"/>
  <c r="B1015" i="5"/>
  <c r="E1014" i="5"/>
  <c r="C1014" i="5"/>
  <c r="B1014" i="5"/>
  <c r="E1013" i="5"/>
  <c r="C1013" i="5"/>
  <c r="B1013" i="5"/>
  <c r="E1012" i="5"/>
  <c r="C1012" i="5"/>
  <c r="B1012" i="5"/>
  <c r="E1011" i="5"/>
  <c r="C1011" i="5"/>
  <c r="B1011" i="5"/>
  <c r="E1010" i="5"/>
  <c r="C1010" i="5"/>
  <c r="B1010" i="5"/>
  <c r="E1009" i="5"/>
  <c r="C1009" i="5"/>
  <c r="B1009" i="5"/>
  <c r="E1008" i="5"/>
  <c r="C1008" i="5"/>
  <c r="B1008" i="5"/>
  <c r="E1007" i="5"/>
  <c r="C1007" i="5"/>
  <c r="B1007" i="5"/>
  <c r="E1006" i="5"/>
  <c r="C1006" i="5"/>
  <c r="B1006" i="5"/>
  <c r="E1005" i="5"/>
  <c r="C1005" i="5"/>
  <c r="B1005" i="5"/>
  <c r="E1004" i="5"/>
  <c r="C1004" i="5"/>
  <c r="B1004" i="5"/>
  <c r="E1003" i="5"/>
  <c r="C1003" i="5"/>
  <c r="B1003" i="5"/>
  <c r="E1002" i="5"/>
  <c r="C1002" i="5"/>
  <c r="B1002" i="5"/>
  <c r="E1001" i="5"/>
  <c r="C1001" i="5"/>
  <c r="B1001" i="5"/>
  <c r="E1000" i="5"/>
  <c r="C1000" i="5"/>
  <c r="B1000" i="5"/>
  <c r="E999" i="5"/>
  <c r="C999" i="5"/>
  <c r="B999" i="5"/>
  <c r="E998" i="5"/>
  <c r="C998" i="5"/>
  <c r="B998" i="5"/>
  <c r="E997" i="5"/>
  <c r="C997" i="5"/>
  <c r="B997" i="5"/>
  <c r="E996" i="5"/>
  <c r="C996" i="5"/>
  <c r="B996" i="5"/>
  <c r="E995" i="5"/>
  <c r="C995" i="5"/>
  <c r="B995" i="5"/>
  <c r="E994" i="5"/>
  <c r="C994" i="5"/>
  <c r="B994" i="5"/>
  <c r="E993" i="5"/>
  <c r="C993" i="5"/>
  <c r="B993" i="5"/>
  <c r="E992" i="5"/>
  <c r="C992" i="5"/>
  <c r="B992" i="5"/>
  <c r="E991" i="5"/>
  <c r="C991" i="5"/>
  <c r="B991" i="5"/>
  <c r="E990" i="5"/>
  <c r="C990" i="5"/>
  <c r="B990" i="5"/>
  <c r="E989" i="5"/>
  <c r="C989" i="5"/>
  <c r="B989" i="5"/>
  <c r="E988" i="5"/>
  <c r="C988" i="5"/>
  <c r="B988" i="5"/>
  <c r="E987" i="5"/>
  <c r="C987" i="5"/>
  <c r="B987" i="5"/>
  <c r="E986" i="5"/>
  <c r="C986" i="5"/>
  <c r="B986" i="5"/>
  <c r="E985" i="5"/>
  <c r="C985" i="5"/>
  <c r="B985" i="5"/>
  <c r="E984" i="5"/>
  <c r="C984" i="5"/>
  <c r="B984" i="5"/>
  <c r="E983" i="5"/>
  <c r="C983" i="5"/>
  <c r="B983" i="5"/>
  <c r="E982" i="5"/>
  <c r="C982" i="5"/>
  <c r="B982" i="5"/>
  <c r="E981" i="5"/>
  <c r="C981" i="5"/>
  <c r="B981" i="5"/>
  <c r="E980" i="5"/>
  <c r="C980" i="5"/>
  <c r="B980" i="5"/>
  <c r="E979" i="5"/>
  <c r="C979" i="5"/>
  <c r="B979" i="5"/>
  <c r="E978" i="5"/>
  <c r="C978" i="5"/>
  <c r="B978" i="5"/>
  <c r="E977" i="5"/>
  <c r="C977" i="5"/>
  <c r="B977" i="5"/>
  <c r="E976" i="5"/>
  <c r="C976" i="5"/>
  <c r="B976" i="5"/>
  <c r="E975" i="5"/>
  <c r="C975" i="5"/>
  <c r="B975" i="5"/>
  <c r="E974" i="5"/>
  <c r="C974" i="5"/>
  <c r="B974" i="5"/>
  <c r="E973" i="5"/>
  <c r="C973" i="5"/>
  <c r="B973" i="5"/>
  <c r="E972" i="5"/>
  <c r="C972" i="5"/>
  <c r="B972" i="5"/>
  <c r="E971" i="5"/>
  <c r="C971" i="5"/>
  <c r="B971" i="5"/>
  <c r="E970" i="5"/>
  <c r="C970" i="5"/>
  <c r="B970" i="5"/>
  <c r="E969" i="5"/>
  <c r="C969" i="5"/>
  <c r="B969" i="5"/>
  <c r="E968" i="5"/>
  <c r="C968" i="5"/>
  <c r="B968" i="5"/>
  <c r="E967" i="5"/>
  <c r="C967" i="5"/>
  <c r="B967" i="5"/>
  <c r="E966" i="5"/>
  <c r="C966" i="5"/>
  <c r="B966" i="5"/>
  <c r="E965" i="5"/>
  <c r="C965" i="5"/>
  <c r="B965" i="5"/>
  <c r="E964" i="5"/>
  <c r="C964" i="5"/>
  <c r="B964" i="5"/>
  <c r="E963" i="5"/>
  <c r="C963" i="5"/>
  <c r="B963" i="5"/>
  <c r="E962" i="5"/>
  <c r="C962" i="5"/>
  <c r="B962" i="5"/>
  <c r="E961" i="5"/>
  <c r="C961" i="5"/>
  <c r="B961" i="5"/>
  <c r="E960" i="5"/>
  <c r="C960" i="5"/>
  <c r="B960" i="5"/>
  <c r="E959" i="5"/>
  <c r="C959" i="5"/>
  <c r="B959" i="5"/>
  <c r="E958" i="5"/>
  <c r="C958" i="5"/>
  <c r="B958" i="5"/>
  <c r="E957" i="5"/>
  <c r="C957" i="5"/>
  <c r="B957" i="5"/>
  <c r="E956" i="5"/>
  <c r="C956" i="5"/>
  <c r="B956" i="5"/>
  <c r="E955" i="5"/>
  <c r="C955" i="5"/>
  <c r="B955" i="5"/>
  <c r="E954" i="5"/>
  <c r="C954" i="5"/>
  <c r="B954" i="5"/>
  <c r="E953" i="5"/>
  <c r="C953" i="5"/>
  <c r="B953" i="5"/>
  <c r="E952" i="5"/>
  <c r="C952" i="5"/>
  <c r="B952" i="5"/>
  <c r="E951" i="5"/>
  <c r="C951" i="5"/>
  <c r="B951" i="5"/>
  <c r="E950" i="5"/>
  <c r="C950" i="5"/>
  <c r="B950" i="5"/>
  <c r="E949" i="5"/>
  <c r="C949" i="5"/>
  <c r="B949" i="5"/>
  <c r="E948" i="5"/>
  <c r="C948" i="5"/>
  <c r="B948" i="5"/>
  <c r="E947" i="5"/>
  <c r="C947" i="5"/>
  <c r="B947" i="5"/>
  <c r="E946" i="5"/>
  <c r="C946" i="5"/>
  <c r="B946" i="5"/>
  <c r="E945" i="5"/>
  <c r="C945" i="5"/>
  <c r="B945" i="5"/>
  <c r="E944" i="5"/>
  <c r="C944" i="5"/>
  <c r="B944" i="5"/>
  <c r="E943" i="5"/>
  <c r="C943" i="5"/>
  <c r="B943" i="5"/>
  <c r="E942" i="5"/>
  <c r="C942" i="5"/>
  <c r="B942" i="5"/>
  <c r="E941" i="5"/>
  <c r="C941" i="5"/>
  <c r="B941" i="5"/>
  <c r="E940" i="5"/>
  <c r="C940" i="5"/>
  <c r="B940" i="5"/>
  <c r="E939" i="5"/>
  <c r="C939" i="5"/>
  <c r="B939" i="5"/>
  <c r="E938" i="5"/>
  <c r="C938" i="5"/>
  <c r="B938" i="5"/>
  <c r="E937" i="5"/>
  <c r="C937" i="5"/>
  <c r="B937" i="5"/>
  <c r="E936" i="5"/>
  <c r="C936" i="5"/>
  <c r="B936" i="5"/>
  <c r="E935" i="5"/>
  <c r="C935" i="5"/>
  <c r="B935" i="5"/>
  <c r="E934" i="5"/>
  <c r="C934" i="5"/>
  <c r="B934" i="5"/>
  <c r="E933" i="5"/>
  <c r="C933" i="5"/>
  <c r="B933" i="5"/>
  <c r="E932" i="5"/>
  <c r="C932" i="5"/>
  <c r="B932" i="5"/>
  <c r="E931" i="5"/>
  <c r="C931" i="5"/>
  <c r="B931" i="5"/>
  <c r="E930" i="5"/>
  <c r="C930" i="5"/>
  <c r="B930" i="5"/>
  <c r="E929" i="5"/>
  <c r="C929" i="5"/>
  <c r="B929" i="5"/>
  <c r="E928" i="5"/>
  <c r="C928" i="5"/>
  <c r="B928" i="5"/>
  <c r="E927" i="5"/>
  <c r="C927" i="5"/>
  <c r="B927" i="5"/>
  <c r="E926" i="5"/>
  <c r="C926" i="5"/>
  <c r="B926" i="5"/>
  <c r="E925" i="5"/>
  <c r="C925" i="5"/>
  <c r="B925" i="5"/>
  <c r="E924" i="5"/>
  <c r="C924" i="5"/>
  <c r="B924" i="5"/>
  <c r="E923" i="5"/>
  <c r="C923" i="5"/>
  <c r="B923" i="5"/>
  <c r="E922" i="5"/>
  <c r="C922" i="5"/>
  <c r="B922" i="5"/>
  <c r="E921" i="5"/>
  <c r="C921" i="5"/>
  <c r="B921" i="5"/>
  <c r="E920" i="5"/>
  <c r="C920" i="5"/>
  <c r="B920" i="5"/>
  <c r="E919" i="5"/>
  <c r="C919" i="5"/>
  <c r="B919" i="5"/>
  <c r="E918" i="5"/>
  <c r="C918" i="5"/>
  <c r="B918" i="5"/>
  <c r="E917" i="5"/>
  <c r="C917" i="5"/>
  <c r="B917" i="5"/>
  <c r="E916" i="5"/>
  <c r="C916" i="5"/>
  <c r="B916" i="5"/>
  <c r="E915" i="5"/>
  <c r="C915" i="5"/>
  <c r="B915" i="5"/>
  <c r="E914" i="5"/>
  <c r="C914" i="5"/>
  <c r="B914" i="5"/>
  <c r="E913" i="5"/>
  <c r="C913" i="5"/>
  <c r="B913" i="5"/>
  <c r="E912" i="5"/>
  <c r="C912" i="5"/>
  <c r="B912" i="5"/>
  <c r="E911" i="5"/>
  <c r="C911" i="5"/>
  <c r="B911" i="5"/>
  <c r="E910" i="5"/>
  <c r="C910" i="5"/>
  <c r="B910" i="5"/>
  <c r="E909" i="5"/>
  <c r="C909" i="5"/>
  <c r="B909" i="5"/>
  <c r="E908" i="5"/>
  <c r="C908" i="5"/>
  <c r="B908" i="5"/>
  <c r="E907" i="5"/>
  <c r="C907" i="5"/>
  <c r="B907" i="5"/>
  <c r="E906" i="5"/>
  <c r="C906" i="5"/>
  <c r="B906" i="5"/>
  <c r="E905" i="5"/>
  <c r="C905" i="5"/>
  <c r="B905" i="5"/>
  <c r="E904" i="5"/>
  <c r="C904" i="5"/>
  <c r="B904" i="5"/>
  <c r="E903" i="5"/>
  <c r="C903" i="5"/>
  <c r="B903" i="5"/>
  <c r="E902" i="5"/>
  <c r="C902" i="5"/>
  <c r="B902" i="5"/>
  <c r="E901" i="5"/>
  <c r="C901" i="5"/>
  <c r="B901" i="5"/>
  <c r="E900" i="5"/>
  <c r="C900" i="5"/>
  <c r="B900" i="5"/>
  <c r="E899" i="5"/>
  <c r="C899" i="5"/>
  <c r="B899" i="5"/>
  <c r="E898" i="5"/>
  <c r="C898" i="5"/>
  <c r="B898" i="5"/>
  <c r="E897" i="5"/>
  <c r="C897" i="5"/>
  <c r="B897" i="5"/>
  <c r="E896" i="5"/>
  <c r="C896" i="5"/>
  <c r="B896" i="5"/>
  <c r="E895" i="5"/>
  <c r="C895" i="5"/>
  <c r="B895" i="5"/>
  <c r="E894" i="5"/>
  <c r="C894" i="5"/>
  <c r="B894" i="5"/>
  <c r="E893" i="5"/>
  <c r="C893" i="5"/>
  <c r="B893" i="5"/>
  <c r="E892" i="5"/>
  <c r="C892" i="5"/>
  <c r="B892" i="5"/>
  <c r="E891" i="5"/>
  <c r="C891" i="5"/>
  <c r="B891" i="5"/>
  <c r="E890" i="5"/>
  <c r="C890" i="5"/>
  <c r="B890" i="5"/>
  <c r="E889" i="5"/>
  <c r="C889" i="5"/>
  <c r="B889" i="5"/>
  <c r="E888" i="5"/>
  <c r="C888" i="5"/>
  <c r="B888" i="5"/>
  <c r="E887" i="5"/>
  <c r="C887" i="5"/>
  <c r="B887" i="5"/>
  <c r="E886" i="5"/>
  <c r="C886" i="5"/>
  <c r="B886" i="5"/>
  <c r="E885" i="5"/>
  <c r="C885" i="5"/>
  <c r="B885" i="5"/>
  <c r="E884" i="5"/>
  <c r="C884" i="5"/>
  <c r="B884" i="5"/>
  <c r="E883" i="5"/>
  <c r="C883" i="5"/>
  <c r="B883" i="5"/>
  <c r="E882" i="5"/>
  <c r="C882" i="5"/>
  <c r="B882" i="5"/>
  <c r="E881" i="5"/>
  <c r="C881" i="5"/>
  <c r="B881" i="5"/>
  <c r="E880" i="5"/>
  <c r="C880" i="5"/>
  <c r="B880" i="5"/>
  <c r="E879" i="5"/>
  <c r="C879" i="5"/>
  <c r="B879" i="5"/>
  <c r="E878" i="5"/>
  <c r="C878" i="5"/>
  <c r="B878" i="5"/>
  <c r="E877" i="5"/>
  <c r="C877" i="5"/>
  <c r="B877" i="5"/>
  <c r="E876" i="5"/>
  <c r="C876" i="5"/>
  <c r="B876" i="5"/>
  <c r="E875" i="5"/>
  <c r="C875" i="5"/>
  <c r="B875" i="5"/>
  <c r="E874" i="5"/>
  <c r="C874" i="5"/>
  <c r="B874" i="5"/>
  <c r="E873" i="5"/>
  <c r="C873" i="5"/>
  <c r="B873" i="5"/>
  <c r="E872" i="5"/>
  <c r="C872" i="5"/>
  <c r="B872" i="5"/>
  <c r="E871" i="5"/>
  <c r="C871" i="5"/>
  <c r="B871" i="5"/>
  <c r="E870" i="5"/>
  <c r="C870" i="5"/>
  <c r="B870" i="5"/>
  <c r="E869" i="5"/>
  <c r="C869" i="5"/>
  <c r="B869" i="5"/>
  <c r="E868" i="5"/>
  <c r="C868" i="5"/>
  <c r="B868" i="5"/>
  <c r="E867" i="5"/>
  <c r="C867" i="5"/>
  <c r="B867" i="5"/>
  <c r="E866" i="5"/>
  <c r="C866" i="5"/>
  <c r="B866" i="5"/>
  <c r="E865" i="5"/>
  <c r="C865" i="5"/>
  <c r="B865" i="5"/>
  <c r="E864" i="5"/>
  <c r="C864" i="5"/>
  <c r="B864" i="5"/>
  <c r="E863" i="5"/>
  <c r="C863" i="5"/>
  <c r="B863" i="5"/>
  <c r="E862" i="5"/>
  <c r="C862" i="5"/>
  <c r="B862" i="5"/>
  <c r="E861" i="5"/>
  <c r="C861" i="5"/>
  <c r="B861" i="5"/>
  <c r="E860" i="5"/>
  <c r="C860" i="5"/>
  <c r="B860" i="5"/>
  <c r="E859" i="5"/>
  <c r="C859" i="5"/>
  <c r="B859" i="5"/>
  <c r="E858" i="5"/>
  <c r="C858" i="5"/>
  <c r="B858" i="5"/>
  <c r="E857" i="5"/>
  <c r="C857" i="5"/>
  <c r="B857" i="5"/>
  <c r="E856" i="5"/>
  <c r="C856" i="5"/>
  <c r="B856" i="5"/>
  <c r="E855" i="5"/>
  <c r="C855" i="5"/>
  <c r="B855" i="5"/>
  <c r="E854" i="5"/>
  <c r="C854" i="5"/>
  <c r="B854" i="5"/>
  <c r="E853" i="5"/>
  <c r="C853" i="5"/>
  <c r="B853" i="5"/>
  <c r="E852" i="5"/>
  <c r="C852" i="5"/>
  <c r="B852" i="5"/>
  <c r="E851" i="5"/>
  <c r="C851" i="5"/>
  <c r="B851" i="5"/>
  <c r="E850" i="5"/>
  <c r="C850" i="5"/>
  <c r="B850" i="5"/>
  <c r="E849" i="5"/>
  <c r="C849" i="5"/>
  <c r="B849" i="5"/>
  <c r="E848" i="5"/>
  <c r="C848" i="5"/>
  <c r="B848" i="5"/>
  <c r="E847" i="5"/>
  <c r="C847" i="5"/>
  <c r="B847" i="5"/>
  <c r="E846" i="5"/>
  <c r="C846" i="5"/>
  <c r="B846" i="5"/>
  <c r="E845" i="5"/>
  <c r="C845" i="5"/>
  <c r="B845" i="5"/>
  <c r="E844" i="5"/>
  <c r="C844" i="5"/>
  <c r="B844" i="5"/>
  <c r="E843" i="5"/>
  <c r="C843" i="5"/>
  <c r="B843" i="5"/>
  <c r="E842" i="5"/>
  <c r="C842" i="5"/>
  <c r="B842" i="5"/>
  <c r="E841" i="5"/>
  <c r="C841" i="5"/>
  <c r="B841" i="5"/>
  <c r="E840" i="5"/>
  <c r="C840" i="5"/>
  <c r="B840" i="5"/>
  <c r="E839" i="5"/>
  <c r="C839" i="5"/>
  <c r="B839" i="5"/>
  <c r="E838" i="5"/>
  <c r="C838" i="5"/>
  <c r="B838" i="5"/>
  <c r="E837" i="5"/>
  <c r="C837" i="5"/>
  <c r="B837" i="5"/>
  <c r="E836" i="5"/>
  <c r="C836" i="5"/>
  <c r="B836" i="5"/>
  <c r="E835" i="5"/>
  <c r="C835" i="5"/>
  <c r="B835" i="5"/>
  <c r="E834" i="5"/>
  <c r="C834" i="5"/>
  <c r="B834" i="5"/>
  <c r="E833" i="5"/>
  <c r="C833" i="5"/>
  <c r="B833" i="5"/>
  <c r="E832" i="5"/>
  <c r="C832" i="5"/>
  <c r="B832" i="5"/>
  <c r="E831" i="5"/>
  <c r="C831" i="5"/>
  <c r="B831" i="5"/>
  <c r="E830" i="5"/>
  <c r="C830" i="5"/>
  <c r="B830" i="5"/>
  <c r="E829" i="5"/>
  <c r="C829" i="5"/>
  <c r="B829" i="5"/>
  <c r="E828" i="5"/>
  <c r="C828" i="5"/>
  <c r="B828" i="5"/>
  <c r="E827" i="5"/>
  <c r="C827" i="5"/>
  <c r="B827" i="5"/>
  <c r="E826" i="5"/>
  <c r="C826" i="5"/>
  <c r="B826" i="5"/>
  <c r="E825" i="5"/>
  <c r="C825" i="5"/>
  <c r="B825" i="5"/>
  <c r="E824" i="5"/>
  <c r="C824" i="5"/>
  <c r="B824" i="5"/>
  <c r="E823" i="5"/>
  <c r="C823" i="5"/>
  <c r="B823" i="5"/>
  <c r="E822" i="5"/>
  <c r="C822" i="5"/>
  <c r="B822" i="5"/>
  <c r="E821" i="5"/>
  <c r="C821" i="5"/>
  <c r="B821" i="5"/>
  <c r="E820" i="5"/>
  <c r="C820" i="5"/>
  <c r="B820" i="5"/>
  <c r="E819" i="5"/>
  <c r="C819" i="5"/>
  <c r="B819" i="5"/>
  <c r="E818" i="5"/>
  <c r="C818" i="5"/>
  <c r="B818" i="5"/>
  <c r="E817" i="5"/>
  <c r="C817" i="5"/>
  <c r="B817" i="5"/>
  <c r="E816" i="5"/>
  <c r="C816" i="5"/>
  <c r="B816" i="5"/>
  <c r="E815" i="5"/>
  <c r="C815" i="5"/>
  <c r="B815" i="5"/>
  <c r="E814" i="5"/>
  <c r="C814" i="5"/>
  <c r="B814" i="5"/>
  <c r="E813" i="5"/>
  <c r="C813" i="5"/>
  <c r="B813" i="5"/>
  <c r="E812" i="5"/>
  <c r="C812" i="5"/>
  <c r="B812" i="5"/>
  <c r="E811" i="5"/>
  <c r="C811" i="5"/>
  <c r="B811" i="5"/>
  <c r="E810" i="5"/>
  <c r="C810" i="5"/>
  <c r="B810" i="5"/>
  <c r="E809" i="5"/>
  <c r="C809" i="5"/>
  <c r="B809" i="5"/>
  <c r="E808" i="5"/>
  <c r="C808" i="5"/>
  <c r="B808" i="5"/>
  <c r="E807" i="5"/>
  <c r="C807" i="5"/>
  <c r="B807" i="5"/>
  <c r="E806" i="5"/>
  <c r="C806" i="5"/>
  <c r="B806" i="5"/>
  <c r="E805" i="5"/>
  <c r="C805" i="5"/>
  <c r="B805" i="5"/>
  <c r="E804" i="5"/>
  <c r="C804" i="5"/>
  <c r="B804" i="5"/>
  <c r="E803" i="5"/>
  <c r="C803" i="5"/>
  <c r="B803" i="5"/>
  <c r="E802" i="5"/>
  <c r="C802" i="5"/>
  <c r="B802" i="5"/>
  <c r="E801" i="5"/>
  <c r="C801" i="5"/>
  <c r="B801" i="5"/>
  <c r="E800" i="5"/>
  <c r="C800" i="5"/>
  <c r="B800" i="5"/>
  <c r="E799" i="5"/>
  <c r="C799" i="5"/>
  <c r="B799" i="5"/>
  <c r="E798" i="5"/>
  <c r="C798" i="5"/>
  <c r="B798" i="5"/>
  <c r="E797" i="5"/>
  <c r="C797" i="5"/>
  <c r="B797" i="5"/>
  <c r="E796" i="5"/>
  <c r="C796" i="5"/>
  <c r="B796" i="5"/>
  <c r="E795" i="5"/>
  <c r="C795" i="5"/>
  <c r="B795" i="5"/>
  <c r="E794" i="5"/>
  <c r="C794" i="5"/>
  <c r="B794" i="5"/>
  <c r="E793" i="5"/>
  <c r="C793" i="5"/>
  <c r="B793" i="5"/>
  <c r="E792" i="5"/>
  <c r="C792" i="5"/>
  <c r="B792" i="5"/>
  <c r="E791" i="5"/>
  <c r="C791" i="5"/>
  <c r="B791" i="5"/>
  <c r="E790" i="5"/>
  <c r="C790" i="5"/>
  <c r="B790" i="5"/>
  <c r="E789" i="5"/>
  <c r="C789" i="5"/>
  <c r="B789" i="5"/>
  <c r="E788" i="5"/>
  <c r="C788" i="5"/>
  <c r="B788" i="5"/>
  <c r="E787" i="5"/>
  <c r="C787" i="5"/>
  <c r="B787" i="5"/>
  <c r="E786" i="5"/>
  <c r="C786" i="5"/>
  <c r="B786" i="5"/>
  <c r="E785" i="5"/>
  <c r="C785" i="5"/>
  <c r="B785" i="5"/>
  <c r="E784" i="5"/>
  <c r="C784" i="5"/>
  <c r="B784" i="5"/>
  <c r="E783" i="5"/>
  <c r="C783" i="5"/>
  <c r="B783" i="5"/>
  <c r="E782" i="5"/>
  <c r="C782" i="5"/>
  <c r="B782" i="5"/>
  <c r="E781" i="5"/>
  <c r="C781" i="5"/>
  <c r="B781" i="5"/>
  <c r="E780" i="5"/>
  <c r="C780" i="5"/>
  <c r="B780" i="5"/>
  <c r="E779" i="5"/>
  <c r="C779" i="5"/>
  <c r="B779" i="5"/>
  <c r="E778" i="5"/>
  <c r="C778" i="5"/>
  <c r="B778" i="5"/>
  <c r="E777" i="5"/>
  <c r="C777" i="5"/>
  <c r="B777" i="5"/>
  <c r="E776" i="5"/>
  <c r="C776" i="5"/>
  <c r="B776" i="5"/>
  <c r="E775" i="5"/>
  <c r="C775" i="5"/>
  <c r="B775" i="5"/>
  <c r="E774" i="5"/>
  <c r="C774" i="5"/>
  <c r="B774" i="5"/>
  <c r="E773" i="5"/>
  <c r="C773" i="5"/>
  <c r="B773" i="5"/>
  <c r="E772" i="5"/>
  <c r="C772" i="5"/>
  <c r="B772" i="5"/>
  <c r="E771" i="5"/>
  <c r="C771" i="5"/>
  <c r="B771" i="5"/>
  <c r="E770" i="5"/>
  <c r="C770" i="5"/>
  <c r="B770" i="5"/>
  <c r="E769" i="5"/>
  <c r="C769" i="5"/>
  <c r="B769" i="5"/>
  <c r="E768" i="5"/>
  <c r="C768" i="5"/>
  <c r="B768" i="5"/>
  <c r="E767" i="5"/>
  <c r="C767" i="5"/>
  <c r="B767" i="5"/>
  <c r="E766" i="5"/>
  <c r="C766" i="5"/>
  <c r="B766" i="5"/>
  <c r="E765" i="5"/>
  <c r="C765" i="5"/>
  <c r="B765" i="5"/>
  <c r="E764" i="5"/>
  <c r="C764" i="5"/>
  <c r="B764" i="5"/>
  <c r="E763" i="5"/>
  <c r="C763" i="5"/>
  <c r="B763" i="5"/>
  <c r="E762" i="5"/>
  <c r="C762" i="5"/>
  <c r="B762" i="5"/>
  <c r="E761" i="5"/>
  <c r="C761" i="5"/>
  <c r="B761" i="5"/>
  <c r="E760" i="5"/>
  <c r="C760" i="5"/>
  <c r="B760" i="5"/>
  <c r="E759" i="5"/>
  <c r="C759" i="5"/>
  <c r="B759" i="5"/>
  <c r="E758" i="5"/>
  <c r="C758" i="5"/>
  <c r="B758" i="5"/>
  <c r="E757" i="5"/>
  <c r="C757" i="5"/>
  <c r="B757" i="5"/>
  <c r="E756" i="5"/>
  <c r="C756" i="5"/>
  <c r="B756" i="5"/>
  <c r="E755" i="5"/>
  <c r="C755" i="5"/>
  <c r="B755" i="5"/>
  <c r="E754" i="5"/>
  <c r="C754" i="5"/>
  <c r="B754" i="5"/>
  <c r="E753" i="5"/>
  <c r="C753" i="5"/>
  <c r="B753" i="5"/>
  <c r="E752" i="5"/>
  <c r="C752" i="5"/>
  <c r="B752" i="5"/>
  <c r="E751" i="5"/>
  <c r="C751" i="5"/>
  <c r="B751" i="5"/>
  <c r="E750" i="5"/>
  <c r="C750" i="5"/>
  <c r="B750" i="5"/>
  <c r="E749" i="5"/>
  <c r="C749" i="5"/>
  <c r="B749" i="5"/>
  <c r="E748" i="5"/>
  <c r="C748" i="5"/>
  <c r="B748" i="5"/>
  <c r="E747" i="5"/>
  <c r="C747" i="5"/>
  <c r="B747" i="5"/>
  <c r="E746" i="5"/>
  <c r="C746" i="5"/>
  <c r="B746" i="5"/>
  <c r="E745" i="5"/>
  <c r="C745" i="5"/>
  <c r="B745" i="5"/>
  <c r="E744" i="5"/>
  <c r="C744" i="5"/>
  <c r="B744" i="5"/>
  <c r="E743" i="5"/>
  <c r="C743" i="5"/>
  <c r="B743" i="5"/>
  <c r="E742" i="5"/>
  <c r="C742" i="5"/>
  <c r="B742" i="5"/>
  <c r="E741" i="5"/>
  <c r="C741" i="5"/>
  <c r="B741" i="5"/>
  <c r="E740" i="5"/>
  <c r="C740" i="5"/>
  <c r="B740" i="5"/>
  <c r="E739" i="5"/>
  <c r="C739" i="5"/>
  <c r="B739" i="5"/>
  <c r="E738" i="5"/>
  <c r="C738" i="5"/>
  <c r="B738" i="5"/>
  <c r="E737" i="5"/>
  <c r="C737" i="5"/>
  <c r="B737" i="5"/>
  <c r="E736" i="5"/>
  <c r="C736" i="5"/>
  <c r="B736" i="5"/>
  <c r="E735" i="5"/>
  <c r="C735" i="5"/>
  <c r="B735" i="5"/>
  <c r="E734" i="5"/>
  <c r="C734" i="5"/>
  <c r="B734" i="5"/>
  <c r="E733" i="5"/>
  <c r="C733" i="5"/>
  <c r="B733" i="5"/>
  <c r="E732" i="5"/>
  <c r="C732" i="5"/>
  <c r="B732" i="5"/>
  <c r="E731" i="5"/>
  <c r="C731" i="5"/>
  <c r="B731" i="5"/>
  <c r="E730" i="5"/>
  <c r="C730" i="5"/>
  <c r="B730" i="5"/>
  <c r="E729" i="5"/>
  <c r="C729" i="5"/>
  <c r="B729" i="5"/>
  <c r="E728" i="5"/>
  <c r="C728" i="5"/>
  <c r="B728" i="5"/>
  <c r="E727" i="5"/>
  <c r="C727" i="5"/>
  <c r="B727" i="5"/>
  <c r="E726" i="5"/>
  <c r="C726" i="5"/>
  <c r="B726" i="5"/>
  <c r="E725" i="5"/>
  <c r="C725" i="5"/>
  <c r="B725" i="5"/>
  <c r="E724" i="5"/>
  <c r="C724" i="5"/>
  <c r="B724" i="5"/>
  <c r="E723" i="5"/>
  <c r="C723" i="5"/>
  <c r="B723" i="5"/>
  <c r="E722" i="5"/>
  <c r="C722" i="5"/>
  <c r="B722" i="5"/>
  <c r="E721" i="5"/>
  <c r="C721" i="5"/>
  <c r="B721" i="5"/>
  <c r="E720" i="5"/>
  <c r="C720" i="5"/>
  <c r="B720" i="5"/>
  <c r="E719" i="5"/>
  <c r="C719" i="5"/>
  <c r="B719" i="5"/>
  <c r="E718" i="5"/>
  <c r="C718" i="5"/>
  <c r="B718" i="5"/>
  <c r="E717" i="5"/>
  <c r="C717" i="5"/>
  <c r="B717" i="5"/>
  <c r="E716" i="5"/>
  <c r="C716" i="5"/>
  <c r="B716" i="5"/>
  <c r="E715" i="5"/>
  <c r="C715" i="5"/>
  <c r="B715" i="5"/>
  <c r="E714" i="5"/>
  <c r="C714" i="5"/>
  <c r="B714" i="5"/>
  <c r="E713" i="5"/>
  <c r="C713" i="5"/>
  <c r="B713" i="5"/>
  <c r="E712" i="5"/>
  <c r="C712" i="5"/>
  <c r="B712" i="5"/>
  <c r="E711" i="5"/>
  <c r="C711" i="5"/>
  <c r="B711" i="5"/>
  <c r="E710" i="5"/>
  <c r="C710" i="5"/>
  <c r="B710" i="5"/>
  <c r="E709" i="5"/>
  <c r="C709" i="5"/>
  <c r="B709" i="5"/>
  <c r="E708" i="5"/>
  <c r="C708" i="5"/>
  <c r="B708" i="5"/>
  <c r="E707" i="5"/>
  <c r="C707" i="5"/>
  <c r="B707" i="5"/>
  <c r="E706" i="5"/>
  <c r="C706" i="5"/>
  <c r="B706" i="5"/>
  <c r="E705" i="5"/>
  <c r="C705" i="5"/>
  <c r="B705" i="5"/>
  <c r="E704" i="5"/>
  <c r="C704" i="5"/>
  <c r="B704" i="5"/>
  <c r="E703" i="5"/>
  <c r="C703" i="5"/>
  <c r="B703" i="5"/>
  <c r="E702" i="5"/>
  <c r="C702" i="5"/>
  <c r="B702" i="5"/>
  <c r="E701" i="5"/>
  <c r="C701" i="5"/>
  <c r="B701" i="5"/>
  <c r="E700" i="5"/>
  <c r="C700" i="5"/>
  <c r="B700" i="5"/>
  <c r="E699" i="5"/>
  <c r="C699" i="5"/>
  <c r="B699" i="5"/>
  <c r="E698" i="5"/>
  <c r="C698" i="5"/>
  <c r="B698" i="5"/>
  <c r="E697" i="5"/>
  <c r="C697" i="5"/>
  <c r="B697" i="5"/>
  <c r="E696" i="5"/>
  <c r="C696" i="5"/>
  <c r="B696" i="5"/>
  <c r="E695" i="5"/>
  <c r="C695" i="5"/>
  <c r="B695" i="5"/>
  <c r="E694" i="5"/>
  <c r="C694" i="5"/>
  <c r="B694" i="5"/>
  <c r="E693" i="5"/>
  <c r="C693" i="5"/>
  <c r="B693" i="5"/>
  <c r="E692" i="5"/>
  <c r="C692" i="5"/>
  <c r="B692" i="5"/>
  <c r="E691" i="5"/>
  <c r="C691" i="5"/>
  <c r="B691" i="5"/>
  <c r="E690" i="5"/>
  <c r="C690" i="5"/>
  <c r="B690" i="5"/>
  <c r="E689" i="5"/>
  <c r="C689" i="5"/>
  <c r="B689" i="5"/>
  <c r="E688" i="5"/>
  <c r="C688" i="5"/>
  <c r="B688" i="5"/>
  <c r="E687" i="5"/>
  <c r="C687" i="5"/>
  <c r="B687" i="5"/>
  <c r="E686" i="5"/>
  <c r="C686" i="5"/>
  <c r="B686" i="5"/>
  <c r="E685" i="5"/>
  <c r="C685" i="5"/>
  <c r="B685" i="5"/>
  <c r="E684" i="5"/>
  <c r="C684" i="5"/>
  <c r="B684" i="5"/>
  <c r="E683" i="5"/>
  <c r="C683" i="5"/>
  <c r="B683" i="5"/>
  <c r="E682" i="5"/>
  <c r="C682" i="5"/>
  <c r="B682" i="5"/>
  <c r="E681" i="5"/>
  <c r="C681" i="5"/>
  <c r="B681" i="5"/>
  <c r="E680" i="5"/>
  <c r="C680" i="5"/>
  <c r="B680" i="5"/>
  <c r="E679" i="5"/>
  <c r="C679" i="5"/>
  <c r="B679" i="5"/>
  <c r="E678" i="5"/>
  <c r="C678" i="5"/>
  <c r="B678" i="5"/>
  <c r="E677" i="5"/>
  <c r="C677" i="5"/>
  <c r="B677" i="5"/>
  <c r="E676" i="5"/>
  <c r="C676" i="5"/>
  <c r="B676" i="5"/>
  <c r="E675" i="5"/>
  <c r="C675" i="5"/>
  <c r="B675" i="5"/>
  <c r="E674" i="5"/>
  <c r="C674" i="5"/>
  <c r="B674" i="5"/>
  <c r="E673" i="5"/>
  <c r="C673" i="5"/>
  <c r="B673" i="5"/>
  <c r="E672" i="5"/>
  <c r="C672" i="5"/>
  <c r="B672" i="5"/>
  <c r="E671" i="5"/>
  <c r="C671" i="5"/>
  <c r="B671" i="5"/>
  <c r="E670" i="5"/>
  <c r="C670" i="5"/>
  <c r="B670" i="5"/>
  <c r="E669" i="5"/>
  <c r="C669" i="5"/>
  <c r="B669" i="5"/>
  <c r="E668" i="5"/>
  <c r="C668" i="5"/>
  <c r="B668" i="5"/>
  <c r="E667" i="5"/>
  <c r="C667" i="5"/>
  <c r="B667" i="5"/>
  <c r="E666" i="5"/>
  <c r="C666" i="5"/>
  <c r="B666" i="5"/>
  <c r="E665" i="5"/>
  <c r="C665" i="5"/>
  <c r="B665" i="5"/>
  <c r="E664" i="5"/>
  <c r="C664" i="5"/>
  <c r="B664" i="5"/>
  <c r="E663" i="5"/>
  <c r="C663" i="5"/>
  <c r="B663" i="5"/>
  <c r="E662" i="5"/>
  <c r="C662" i="5"/>
  <c r="B662" i="5"/>
  <c r="E661" i="5"/>
  <c r="C661" i="5"/>
  <c r="B661" i="5"/>
  <c r="E660" i="5"/>
  <c r="C660" i="5"/>
  <c r="B660" i="5"/>
  <c r="E659" i="5"/>
  <c r="C659" i="5"/>
  <c r="B659" i="5"/>
  <c r="E658" i="5"/>
  <c r="C658" i="5"/>
  <c r="B658" i="5"/>
  <c r="E657" i="5"/>
  <c r="C657" i="5"/>
  <c r="B657" i="5"/>
  <c r="E656" i="5"/>
  <c r="C656" i="5"/>
  <c r="B656" i="5"/>
  <c r="E655" i="5"/>
  <c r="C655" i="5"/>
  <c r="B655" i="5"/>
  <c r="E654" i="5"/>
  <c r="C654" i="5"/>
  <c r="B654" i="5"/>
  <c r="E653" i="5"/>
  <c r="C653" i="5"/>
  <c r="B653" i="5"/>
  <c r="E652" i="5"/>
  <c r="C652" i="5"/>
  <c r="B652" i="5"/>
  <c r="E651" i="5"/>
  <c r="C651" i="5"/>
  <c r="B651" i="5"/>
  <c r="E650" i="5"/>
  <c r="C650" i="5"/>
  <c r="B650" i="5"/>
  <c r="E649" i="5"/>
  <c r="C649" i="5"/>
  <c r="B649" i="5"/>
  <c r="E648" i="5"/>
  <c r="C648" i="5"/>
  <c r="B648" i="5"/>
  <c r="E647" i="5"/>
  <c r="C647" i="5"/>
  <c r="B647" i="5"/>
  <c r="E646" i="5"/>
  <c r="C646" i="5"/>
  <c r="B646" i="5"/>
  <c r="E645" i="5"/>
  <c r="C645" i="5"/>
  <c r="B645" i="5"/>
  <c r="E644" i="5"/>
  <c r="C644" i="5"/>
  <c r="B644" i="5"/>
  <c r="E643" i="5"/>
  <c r="C643" i="5"/>
  <c r="B643" i="5"/>
  <c r="E642" i="5"/>
  <c r="C642" i="5"/>
  <c r="B642" i="5"/>
  <c r="E641" i="5"/>
  <c r="C641" i="5"/>
  <c r="B641" i="5"/>
  <c r="E640" i="5"/>
  <c r="C640" i="5"/>
  <c r="B640" i="5"/>
  <c r="E639" i="5"/>
  <c r="C639" i="5"/>
  <c r="B639" i="5"/>
  <c r="E638" i="5"/>
  <c r="C638" i="5"/>
  <c r="B638" i="5"/>
  <c r="E637" i="5"/>
  <c r="C637" i="5"/>
  <c r="B637" i="5"/>
  <c r="E636" i="5"/>
  <c r="C636" i="5"/>
  <c r="B636" i="5"/>
  <c r="E635" i="5"/>
  <c r="C635" i="5"/>
  <c r="B635" i="5"/>
  <c r="E634" i="5"/>
  <c r="C634" i="5"/>
  <c r="B634" i="5"/>
  <c r="E633" i="5"/>
  <c r="C633" i="5"/>
  <c r="B633" i="5"/>
  <c r="E632" i="5"/>
  <c r="C632" i="5"/>
  <c r="B632" i="5"/>
  <c r="E631" i="5"/>
  <c r="C631" i="5"/>
  <c r="B631" i="5"/>
  <c r="E630" i="5"/>
  <c r="C630" i="5"/>
  <c r="B630" i="5"/>
  <c r="E629" i="5"/>
  <c r="C629" i="5"/>
  <c r="B629" i="5"/>
  <c r="E628" i="5"/>
  <c r="C628" i="5"/>
  <c r="B628" i="5"/>
  <c r="E627" i="5"/>
  <c r="C627" i="5"/>
  <c r="B627" i="5"/>
  <c r="E626" i="5"/>
  <c r="C626" i="5"/>
  <c r="B626" i="5"/>
  <c r="E625" i="5"/>
  <c r="C625" i="5"/>
  <c r="B625" i="5"/>
  <c r="E624" i="5"/>
  <c r="C624" i="5"/>
  <c r="B624" i="5"/>
  <c r="E623" i="5"/>
  <c r="C623" i="5"/>
  <c r="B623" i="5"/>
  <c r="E622" i="5"/>
  <c r="C622" i="5"/>
  <c r="B622" i="5"/>
  <c r="E621" i="5"/>
  <c r="C621" i="5"/>
  <c r="B621" i="5"/>
  <c r="E620" i="5"/>
  <c r="C620" i="5"/>
  <c r="B620" i="5"/>
  <c r="E619" i="5"/>
  <c r="C619" i="5"/>
  <c r="B619" i="5"/>
  <c r="E618" i="5"/>
  <c r="C618" i="5"/>
  <c r="B618" i="5"/>
  <c r="E617" i="5"/>
  <c r="C617" i="5"/>
  <c r="B617" i="5"/>
  <c r="E616" i="5"/>
  <c r="C616" i="5"/>
  <c r="B616" i="5"/>
  <c r="E615" i="5"/>
  <c r="C615" i="5"/>
  <c r="B615" i="5"/>
  <c r="E614" i="5"/>
  <c r="C614" i="5"/>
  <c r="B614" i="5"/>
  <c r="E613" i="5"/>
  <c r="C613" i="5"/>
  <c r="B613" i="5"/>
  <c r="E612" i="5"/>
  <c r="C612" i="5"/>
  <c r="B612" i="5"/>
  <c r="E611" i="5"/>
  <c r="C611" i="5"/>
  <c r="B611" i="5"/>
  <c r="E610" i="5"/>
  <c r="C610" i="5"/>
  <c r="B610" i="5"/>
  <c r="E609" i="5"/>
  <c r="C609" i="5"/>
  <c r="B609" i="5"/>
  <c r="E608" i="5"/>
  <c r="C608" i="5"/>
  <c r="B608" i="5"/>
  <c r="E607" i="5"/>
  <c r="C607" i="5"/>
  <c r="B607" i="5"/>
  <c r="E606" i="5"/>
  <c r="C606" i="5"/>
  <c r="B606" i="5"/>
  <c r="E605" i="5"/>
  <c r="C605" i="5"/>
  <c r="B605" i="5"/>
  <c r="E604" i="5"/>
  <c r="C604" i="5"/>
  <c r="B604" i="5"/>
  <c r="E603" i="5"/>
  <c r="C603" i="5"/>
  <c r="B603" i="5"/>
  <c r="E602" i="5"/>
  <c r="C602" i="5"/>
  <c r="B602" i="5"/>
  <c r="E601" i="5"/>
  <c r="C601" i="5"/>
  <c r="B601" i="5"/>
  <c r="E600" i="5"/>
  <c r="C600" i="5"/>
  <c r="B600" i="5"/>
  <c r="E599" i="5"/>
  <c r="C599" i="5"/>
  <c r="B599" i="5"/>
  <c r="E598" i="5"/>
  <c r="C598" i="5"/>
  <c r="B598" i="5"/>
  <c r="E597" i="5"/>
  <c r="C597" i="5"/>
  <c r="B597" i="5"/>
  <c r="E596" i="5"/>
  <c r="C596" i="5"/>
  <c r="B596" i="5"/>
  <c r="E595" i="5"/>
  <c r="C595" i="5"/>
  <c r="B595" i="5"/>
  <c r="E594" i="5"/>
  <c r="C594" i="5"/>
  <c r="B594" i="5"/>
  <c r="E593" i="5"/>
  <c r="C593" i="5"/>
  <c r="B593" i="5"/>
  <c r="E592" i="5"/>
  <c r="C592" i="5"/>
  <c r="B592" i="5"/>
  <c r="E591" i="5"/>
  <c r="C591" i="5"/>
  <c r="B591" i="5"/>
  <c r="E590" i="5"/>
  <c r="C590" i="5"/>
  <c r="B590" i="5"/>
  <c r="E589" i="5"/>
  <c r="C589" i="5"/>
  <c r="B589" i="5"/>
  <c r="E588" i="5"/>
  <c r="C588" i="5"/>
  <c r="B588" i="5"/>
  <c r="E587" i="5"/>
  <c r="C587" i="5"/>
  <c r="B587" i="5"/>
  <c r="E586" i="5"/>
  <c r="C586" i="5"/>
  <c r="B586" i="5"/>
  <c r="E585" i="5"/>
  <c r="C585" i="5"/>
  <c r="B585" i="5"/>
  <c r="E584" i="5"/>
  <c r="C584" i="5"/>
  <c r="B584" i="5"/>
  <c r="E583" i="5"/>
  <c r="C583" i="5"/>
  <c r="B583" i="5"/>
  <c r="E582" i="5"/>
  <c r="C582" i="5"/>
  <c r="B582" i="5"/>
  <c r="E581" i="5"/>
  <c r="C581" i="5"/>
  <c r="B581" i="5"/>
  <c r="E580" i="5"/>
  <c r="C580" i="5"/>
  <c r="B580" i="5"/>
  <c r="E579" i="5"/>
  <c r="C579" i="5"/>
  <c r="B579" i="5"/>
  <c r="E578" i="5"/>
  <c r="C578" i="5"/>
  <c r="B578" i="5"/>
  <c r="E577" i="5"/>
  <c r="C577" i="5"/>
  <c r="B577" i="5"/>
  <c r="E576" i="5"/>
  <c r="C576" i="5"/>
  <c r="B576" i="5"/>
  <c r="E575" i="5"/>
  <c r="C575" i="5"/>
  <c r="B575" i="5"/>
  <c r="E574" i="5"/>
  <c r="C574" i="5"/>
  <c r="B574" i="5"/>
  <c r="E573" i="5"/>
  <c r="C573" i="5"/>
  <c r="B573" i="5"/>
  <c r="E572" i="5"/>
  <c r="C572" i="5"/>
  <c r="B572" i="5"/>
  <c r="E571" i="5"/>
  <c r="C571" i="5"/>
  <c r="B571" i="5"/>
  <c r="E570" i="5"/>
  <c r="C570" i="5"/>
  <c r="B570" i="5"/>
  <c r="E569" i="5"/>
  <c r="C569" i="5"/>
  <c r="B569" i="5"/>
  <c r="E568" i="5"/>
  <c r="C568" i="5"/>
  <c r="B568" i="5"/>
  <c r="E567" i="5"/>
  <c r="C567" i="5"/>
  <c r="B567" i="5"/>
  <c r="E566" i="5"/>
  <c r="C566" i="5"/>
  <c r="B566" i="5"/>
  <c r="E565" i="5"/>
  <c r="C565" i="5"/>
  <c r="B565" i="5"/>
  <c r="E564" i="5"/>
  <c r="C564" i="5"/>
  <c r="B564" i="5"/>
  <c r="E563" i="5"/>
  <c r="C563" i="5"/>
  <c r="B563" i="5"/>
  <c r="E562" i="5"/>
  <c r="C562" i="5"/>
  <c r="B562" i="5"/>
  <c r="E561" i="5"/>
  <c r="C561" i="5"/>
  <c r="B561" i="5"/>
  <c r="E560" i="5"/>
  <c r="C560" i="5"/>
  <c r="B560" i="5"/>
  <c r="E559" i="5"/>
  <c r="C559" i="5"/>
  <c r="B559" i="5"/>
  <c r="E558" i="5"/>
  <c r="C558" i="5"/>
  <c r="B558" i="5"/>
  <c r="E557" i="5"/>
  <c r="C557" i="5"/>
  <c r="B557" i="5"/>
  <c r="E556" i="5"/>
  <c r="C556" i="5"/>
  <c r="B556" i="5"/>
  <c r="E555" i="5"/>
  <c r="C555" i="5"/>
  <c r="B555" i="5"/>
  <c r="E554" i="5"/>
  <c r="C554" i="5"/>
  <c r="B554" i="5"/>
  <c r="E553" i="5"/>
  <c r="C553" i="5"/>
  <c r="B553" i="5"/>
  <c r="E552" i="5"/>
  <c r="C552" i="5"/>
  <c r="B552" i="5"/>
  <c r="E551" i="5"/>
  <c r="C551" i="5"/>
  <c r="B551" i="5"/>
  <c r="E550" i="5"/>
  <c r="C550" i="5"/>
  <c r="B550" i="5"/>
  <c r="E549" i="5"/>
  <c r="C549" i="5"/>
  <c r="B549" i="5"/>
  <c r="E548" i="5"/>
  <c r="C548" i="5"/>
  <c r="B548" i="5"/>
  <c r="E547" i="5"/>
  <c r="C547" i="5"/>
  <c r="B547" i="5"/>
  <c r="E546" i="5"/>
  <c r="C546" i="5"/>
  <c r="B546" i="5"/>
  <c r="E545" i="5"/>
  <c r="C545" i="5"/>
  <c r="B545" i="5"/>
  <c r="E544" i="5"/>
  <c r="C544" i="5"/>
  <c r="B544" i="5"/>
  <c r="E543" i="5"/>
  <c r="C543" i="5"/>
  <c r="B543" i="5"/>
  <c r="E542" i="5"/>
  <c r="C542" i="5"/>
  <c r="B542" i="5"/>
  <c r="E541" i="5"/>
  <c r="C541" i="5"/>
  <c r="B541" i="5"/>
  <c r="E540" i="5"/>
  <c r="C540" i="5"/>
  <c r="B540" i="5"/>
  <c r="E539" i="5"/>
  <c r="C539" i="5"/>
  <c r="B539" i="5"/>
  <c r="E538" i="5"/>
  <c r="C538" i="5"/>
  <c r="B538" i="5"/>
  <c r="E537" i="5"/>
  <c r="C537" i="5"/>
  <c r="B537" i="5"/>
  <c r="E536" i="5"/>
  <c r="C536" i="5"/>
  <c r="B536" i="5"/>
  <c r="E535" i="5"/>
  <c r="C535" i="5"/>
  <c r="B535" i="5"/>
  <c r="E534" i="5"/>
  <c r="C534" i="5"/>
  <c r="B534" i="5"/>
  <c r="E533" i="5"/>
  <c r="C533" i="5"/>
  <c r="B533" i="5"/>
  <c r="E532" i="5"/>
  <c r="C532" i="5"/>
  <c r="B532" i="5"/>
  <c r="E531" i="5"/>
  <c r="C531" i="5"/>
  <c r="B531" i="5"/>
  <c r="E530" i="5"/>
  <c r="C530" i="5"/>
  <c r="B530" i="5"/>
  <c r="E529" i="5"/>
  <c r="C529" i="5"/>
  <c r="B529" i="5"/>
  <c r="E528" i="5"/>
  <c r="C528" i="5"/>
  <c r="B528" i="5"/>
  <c r="E527" i="5"/>
  <c r="C527" i="5"/>
  <c r="B527" i="5"/>
  <c r="E526" i="5"/>
  <c r="C526" i="5"/>
  <c r="B526" i="5"/>
  <c r="E525" i="5"/>
  <c r="C525" i="5"/>
  <c r="B525" i="5"/>
  <c r="E524" i="5"/>
  <c r="C524" i="5"/>
  <c r="B524" i="5"/>
  <c r="E523" i="5"/>
  <c r="C523" i="5"/>
  <c r="B523" i="5"/>
  <c r="E522" i="5"/>
  <c r="C522" i="5"/>
  <c r="B522" i="5"/>
  <c r="E521" i="5"/>
  <c r="C521" i="5"/>
  <c r="B521" i="5"/>
  <c r="E520" i="5"/>
  <c r="C520" i="5"/>
  <c r="B520" i="5"/>
  <c r="E519" i="5"/>
  <c r="C519" i="5"/>
  <c r="B519" i="5"/>
  <c r="E518" i="5"/>
  <c r="C518" i="5"/>
  <c r="B518" i="5"/>
  <c r="E517" i="5"/>
  <c r="C517" i="5"/>
  <c r="B517" i="5"/>
  <c r="E516" i="5"/>
  <c r="C516" i="5"/>
  <c r="B516" i="5"/>
  <c r="E515" i="5"/>
  <c r="C515" i="5"/>
  <c r="B515" i="5"/>
  <c r="E514" i="5"/>
  <c r="C514" i="5"/>
  <c r="B514" i="5"/>
  <c r="E513" i="5"/>
  <c r="C513" i="5"/>
  <c r="B513" i="5"/>
  <c r="E512" i="5"/>
  <c r="C512" i="5"/>
  <c r="B512" i="5"/>
  <c r="E511" i="5"/>
  <c r="C511" i="5"/>
  <c r="B511" i="5"/>
  <c r="E510" i="5"/>
  <c r="C510" i="5"/>
  <c r="B510" i="5"/>
  <c r="E509" i="5"/>
  <c r="C509" i="5"/>
  <c r="B509" i="5"/>
  <c r="E508" i="5"/>
  <c r="C508" i="5"/>
  <c r="B508" i="5"/>
  <c r="E507" i="5"/>
  <c r="C507" i="5"/>
  <c r="B507" i="5"/>
  <c r="E506" i="5"/>
  <c r="C506" i="5"/>
  <c r="B506" i="5"/>
  <c r="E505" i="5"/>
  <c r="C505" i="5"/>
  <c r="B505" i="5"/>
  <c r="E504" i="5"/>
  <c r="C504" i="5"/>
  <c r="B504" i="5"/>
  <c r="E503" i="5"/>
  <c r="C503" i="5"/>
  <c r="B503" i="5"/>
  <c r="E502" i="5"/>
  <c r="C502" i="5"/>
  <c r="B502" i="5"/>
  <c r="E501" i="5"/>
  <c r="C501" i="5"/>
  <c r="B501" i="5"/>
  <c r="E500" i="5"/>
  <c r="C500" i="5"/>
  <c r="B500" i="5"/>
  <c r="E499" i="5"/>
  <c r="C499" i="5"/>
  <c r="B499" i="5"/>
  <c r="E498" i="5"/>
  <c r="C498" i="5"/>
  <c r="B498" i="5"/>
  <c r="E497" i="5"/>
  <c r="C497" i="5"/>
  <c r="B497" i="5"/>
  <c r="E496" i="5"/>
  <c r="C496" i="5"/>
  <c r="B496" i="5"/>
  <c r="E495" i="5"/>
  <c r="C495" i="5"/>
  <c r="B495" i="5"/>
  <c r="E494" i="5"/>
  <c r="C494" i="5"/>
  <c r="B494" i="5"/>
  <c r="E493" i="5"/>
  <c r="C493" i="5"/>
  <c r="B493" i="5"/>
  <c r="E492" i="5"/>
  <c r="C492" i="5"/>
  <c r="B492" i="5"/>
  <c r="E491" i="5"/>
  <c r="C491" i="5"/>
  <c r="B491" i="5"/>
  <c r="E490" i="5"/>
  <c r="C490" i="5"/>
  <c r="B490" i="5"/>
  <c r="E489" i="5"/>
  <c r="C489" i="5"/>
  <c r="B489" i="5"/>
  <c r="E488" i="5"/>
  <c r="C488" i="5"/>
  <c r="B488" i="5"/>
  <c r="E487" i="5"/>
  <c r="C487" i="5"/>
  <c r="B487" i="5"/>
  <c r="E486" i="5"/>
  <c r="C486" i="5"/>
  <c r="B486" i="5"/>
  <c r="E485" i="5"/>
  <c r="C485" i="5"/>
  <c r="B485" i="5"/>
  <c r="E484" i="5"/>
  <c r="C484" i="5"/>
  <c r="B484" i="5"/>
  <c r="E483" i="5"/>
  <c r="C483" i="5"/>
  <c r="B483" i="5"/>
  <c r="E482" i="5"/>
  <c r="C482" i="5"/>
  <c r="B482" i="5"/>
  <c r="E481" i="5"/>
  <c r="C481" i="5"/>
  <c r="B481" i="5"/>
  <c r="E480" i="5"/>
  <c r="C480" i="5"/>
  <c r="B480" i="5"/>
  <c r="E479" i="5"/>
  <c r="C479" i="5"/>
  <c r="B479" i="5"/>
  <c r="E478" i="5"/>
  <c r="C478" i="5"/>
  <c r="B478" i="5"/>
  <c r="E477" i="5"/>
  <c r="C477" i="5"/>
  <c r="B477" i="5"/>
  <c r="E476" i="5"/>
  <c r="C476" i="5"/>
  <c r="B476" i="5"/>
  <c r="E475" i="5"/>
  <c r="C475" i="5"/>
  <c r="B475" i="5"/>
  <c r="E474" i="5"/>
  <c r="C474" i="5"/>
  <c r="B474" i="5"/>
  <c r="E473" i="5"/>
  <c r="C473" i="5"/>
  <c r="B473" i="5"/>
  <c r="E472" i="5"/>
  <c r="C472" i="5"/>
  <c r="B472" i="5"/>
  <c r="E471" i="5"/>
  <c r="C471" i="5"/>
  <c r="B471" i="5"/>
  <c r="E470" i="5"/>
  <c r="C470" i="5"/>
  <c r="B470" i="5"/>
  <c r="E469" i="5"/>
  <c r="C469" i="5"/>
  <c r="B469" i="5"/>
  <c r="E468" i="5"/>
  <c r="C468" i="5"/>
  <c r="B468" i="5"/>
  <c r="E467" i="5"/>
  <c r="C467" i="5"/>
  <c r="B467" i="5"/>
  <c r="E466" i="5"/>
  <c r="C466" i="5"/>
  <c r="B466" i="5"/>
  <c r="E465" i="5"/>
  <c r="C465" i="5"/>
  <c r="B465" i="5"/>
  <c r="E464" i="5"/>
  <c r="C464" i="5"/>
  <c r="B464" i="5"/>
  <c r="E463" i="5"/>
  <c r="C463" i="5"/>
  <c r="B463" i="5"/>
  <c r="E462" i="5"/>
  <c r="C462" i="5"/>
  <c r="B462" i="5"/>
  <c r="E461" i="5"/>
  <c r="C461" i="5"/>
  <c r="B461" i="5"/>
  <c r="E460" i="5"/>
  <c r="C460" i="5"/>
  <c r="B460" i="5"/>
  <c r="E459" i="5"/>
  <c r="C459" i="5"/>
  <c r="B459" i="5"/>
  <c r="E458" i="5"/>
  <c r="C458" i="5"/>
  <c r="B458" i="5"/>
  <c r="E457" i="5"/>
  <c r="C457" i="5"/>
  <c r="B457" i="5"/>
  <c r="E456" i="5"/>
  <c r="C456" i="5"/>
  <c r="B456" i="5"/>
  <c r="E455" i="5"/>
  <c r="C455" i="5"/>
  <c r="B455" i="5"/>
  <c r="E454" i="5"/>
  <c r="C454" i="5"/>
  <c r="B454" i="5"/>
  <c r="E453" i="5"/>
  <c r="C453" i="5"/>
  <c r="B453" i="5"/>
  <c r="E452" i="5"/>
  <c r="C452" i="5"/>
  <c r="B452" i="5"/>
  <c r="E451" i="5"/>
  <c r="C451" i="5"/>
  <c r="B451" i="5"/>
  <c r="E450" i="5"/>
  <c r="C450" i="5"/>
  <c r="B450" i="5"/>
  <c r="E449" i="5"/>
  <c r="C449" i="5"/>
  <c r="B449" i="5"/>
  <c r="E448" i="5"/>
  <c r="C448" i="5"/>
  <c r="B448" i="5"/>
  <c r="E447" i="5"/>
  <c r="C447" i="5"/>
  <c r="B447" i="5"/>
  <c r="E446" i="5"/>
  <c r="C446" i="5"/>
  <c r="B446" i="5"/>
  <c r="E445" i="5"/>
  <c r="C445" i="5"/>
  <c r="B445" i="5"/>
  <c r="E444" i="5"/>
  <c r="C444" i="5"/>
  <c r="B444" i="5"/>
  <c r="E443" i="5"/>
  <c r="C443" i="5"/>
  <c r="B443" i="5"/>
  <c r="E442" i="5"/>
  <c r="C442" i="5"/>
  <c r="B442" i="5"/>
  <c r="E441" i="5"/>
  <c r="C441" i="5"/>
  <c r="B441" i="5"/>
  <c r="E440" i="5"/>
  <c r="C440" i="5"/>
  <c r="B440" i="5"/>
  <c r="E439" i="5"/>
  <c r="C439" i="5"/>
  <c r="B439" i="5"/>
  <c r="E438" i="5"/>
  <c r="C438" i="5"/>
  <c r="B438" i="5"/>
  <c r="E437" i="5"/>
  <c r="C437" i="5"/>
  <c r="B437" i="5"/>
  <c r="E436" i="5"/>
  <c r="C436" i="5"/>
  <c r="B436" i="5"/>
  <c r="E435" i="5"/>
  <c r="C435" i="5"/>
  <c r="B435" i="5"/>
  <c r="E434" i="5"/>
  <c r="C434" i="5"/>
  <c r="B434" i="5"/>
  <c r="E433" i="5"/>
  <c r="C433" i="5"/>
  <c r="B433" i="5"/>
  <c r="E432" i="5"/>
  <c r="C432" i="5"/>
  <c r="B432" i="5"/>
  <c r="E431" i="5"/>
  <c r="C431" i="5"/>
  <c r="B431" i="5"/>
  <c r="E430" i="5"/>
  <c r="C430" i="5"/>
  <c r="B430" i="5"/>
  <c r="E429" i="5"/>
  <c r="C429" i="5"/>
  <c r="B429" i="5"/>
  <c r="E428" i="5"/>
  <c r="C428" i="5"/>
  <c r="B428" i="5"/>
  <c r="E427" i="5"/>
  <c r="C427" i="5"/>
  <c r="B427" i="5"/>
  <c r="E426" i="5"/>
  <c r="C426" i="5"/>
  <c r="B426" i="5"/>
  <c r="E425" i="5"/>
  <c r="C425" i="5"/>
  <c r="B425" i="5"/>
  <c r="E424" i="5"/>
  <c r="C424" i="5"/>
  <c r="B424" i="5"/>
  <c r="E423" i="5"/>
  <c r="C423" i="5"/>
  <c r="B423" i="5"/>
  <c r="E422" i="5"/>
  <c r="C422" i="5"/>
  <c r="B422" i="5"/>
  <c r="E421" i="5"/>
  <c r="C421" i="5"/>
  <c r="B421" i="5"/>
  <c r="E420" i="5"/>
  <c r="C420" i="5"/>
  <c r="B420" i="5"/>
  <c r="E419" i="5"/>
  <c r="C419" i="5"/>
  <c r="B419" i="5"/>
  <c r="E418" i="5"/>
  <c r="C418" i="5"/>
  <c r="B418" i="5"/>
  <c r="E417" i="5"/>
  <c r="C417" i="5"/>
  <c r="B417" i="5"/>
  <c r="E416" i="5"/>
  <c r="C416" i="5"/>
  <c r="B416" i="5"/>
  <c r="E415" i="5"/>
  <c r="C415" i="5"/>
  <c r="B415" i="5"/>
  <c r="E414" i="5"/>
  <c r="C414" i="5"/>
  <c r="B414" i="5"/>
  <c r="E413" i="5"/>
  <c r="C413" i="5"/>
  <c r="B413" i="5"/>
  <c r="E412" i="5"/>
  <c r="C412" i="5"/>
  <c r="B412" i="5"/>
  <c r="E411" i="5"/>
  <c r="C411" i="5"/>
  <c r="B411" i="5"/>
  <c r="E410" i="5"/>
  <c r="C410" i="5"/>
  <c r="B410" i="5"/>
  <c r="E409" i="5"/>
  <c r="C409" i="5"/>
  <c r="B409" i="5"/>
  <c r="E408" i="5"/>
  <c r="C408" i="5"/>
  <c r="B408" i="5"/>
  <c r="E407" i="5"/>
  <c r="C407" i="5"/>
  <c r="B407" i="5"/>
  <c r="E406" i="5"/>
  <c r="C406" i="5"/>
  <c r="B406" i="5"/>
  <c r="E405" i="5"/>
  <c r="C405" i="5"/>
  <c r="B405" i="5"/>
  <c r="E404" i="5"/>
  <c r="C404" i="5"/>
  <c r="B404" i="5"/>
  <c r="E403" i="5"/>
  <c r="C403" i="5"/>
  <c r="B403" i="5"/>
  <c r="E402" i="5"/>
  <c r="C402" i="5"/>
  <c r="B402" i="5"/>
  <c r="E401" i="5"/>
  <c r="C401" i="5"/>
  <c r="B401" i="5"/>
  <c r="E400" i="5"/>
  <c r="C400" i="5"/>
  <c r="B400" i="5"/>
  <c r="E399" i="5"/>
  <c r="C399" i="5"/>
  <c r="B399" i="5"/>
  <c r="E398" i="5"/>
  <c r="C398" i="5"/>
  <c r="B398" i="5"/>
  <c r="E397" i="5"/>
  <c r="C397" i="5"/>
  <c r="B397" i="5"/>
  <c r="E396" i="5"/>
  <c r="C396" i="5"/>
  <c r="B396" i="5"/>
  <c r="E395" i="5"/>
  <c r="C395" i="5"/>
  <c r="B395" i="5"/>
  <c r="E394" i="5"/>
  <c r="C394" i="5"/>
  <c r="B394" i="5"/>
  <c r="E393" i="5"/>
  <c r="C393" i="5"/>
  <c r="B393" i="5"/>
  <c r="E392" i="5"/>
  <c r="C392" i="5"/>
  <c r="B392" i="5"/>
  <c r="E391" i="5"/>
  <c r="C391" i="5"/>
  <c r="B391" i="5"/>
  <c r="E390" i="5"/>
  <c r="C390" i="5"/>
  <c r="B390" i="5"/>
  <c r="E389" i="5"/>
  <c r="C389" i="5"/>
  <c r="B389" i="5"/>
  <c r="E388" i="5"/>
  <c r="C388" i="5"/>
  <c r="B388" i="5"/>
  <c r="E387" i="5"/>
  <c r="C387" i="5"/>
  <c r="B387" i="5"/>
  <c r="E386" i="5"/>
  <c r="C386" i="5"/>
  <c r="B386" i="5"/>
  <c r="E385" i="5"/>
  <c r="C385" i="5"/>
  <c r="B385" i="5"/>
  <c r="E384" i="5"/>
  <c r="C384" i="5"/>
  <c r="B384" i="5"/>
  <c r="E383" i="5"/>
  <c r="C383" i="5"/>
  <c r="B383" i="5"/>
  <c r="E382" i="5"/>
  <c r="C382" i="5"/>
  <c r="B382" i="5"/>
  <c r="E381" i="5"/>
  <c r="C381" i="5"/>
  <c r="B381" i="5"/>
  <c r="E380" i="5"/>
  <c r="C380" i="5"/>
  <c r="B380" i="5"/>
  <c r="E379" i="5"/>
  <c r="C379" i="5"/>
  <c r="B379" i="5"/>
  <c r="E378" i="5"/>
  <c r="C378" i="5"/>
  <c r="B378" i="5"/>
  <c r="E377" i="5"/>
  <c r="C377" i="5"/>
  <c r="B377" i="5"/>
  <c r="E376" i="5"/>
  <c r="C376" i="5"/>
  <c r="B376" i="5"/>
  <c r="E375" i="5"/>
  <c r="C375" i="5"/>
  <c r="B375" i="5"/>
  <c r="E374" i="5"/>
  <c r="C374" i="5"/>
  <c r="B374" i="5"/>
  <c r="E373" i="5"/>
  <c r="C373" i="5"/>
  <c r="B373" i="5"/>
  <c r="E372" i="5"/>
  <c r="C372" i="5"/>
  <c r="B372" i="5"/>
  <c r="E371" i="5"/>
  <c r="C371" i="5"/>
  <c r="B371" i="5"/>
  <c r="E370" i="5"/>
  <c r="C370" i="5"/>
  <c r="B370" i="5"/>
  <c r="E369" i="5"/>
  <c r="C369" i="5"/>
  <c r="B369" i="5"/>
  <c r="E368" i="5"/>
  <c r="C368" i="5"/>
  <c r="B368" i="5"/>
  <c r="E367" i="5"/>
  <c r="C367" i="5"/>
  <c r="B367" i="5"/>
  <c r="E366" i="5"/>
  <c r="C366" i="5"/>
  <c r="B366" i="5"/>
  <c r="E365" i="5"/>
  <c r="C365" i="5"/>
  <c r="B365" i="5"/>
  <c r="E364" i="5"/>
  <c r="C364" i="5"/>
  <c r="B364" i="5"/>
  <c r="E363" i="5"/>
  <c r="C363" i="5"/>
  <c r="B363" i="5"/>
  <c r="E362" i="5"/>
  <c r="C362" i="5"/>
  <c r="B362" i="5"/>
  <c r="E361" i="5"/>
  <c r="C361" i="5"/>
  <c r="B361" i="5"/>
  <c r="E360" i="5"/>
  <c r="C360" i="5"/>
  <c r="B360" i="5"/>
  <c r="E359" i="5"/>
  <c r="C359" i="5"/>
  <c r="B359" i="5"/>
  <c r="E358" i="5"/>
  <c r="C358" i="5"/>
  <c r="B358" i="5"/>
  <c r="E357" i="5"/>
  <c r="C357" i="5"/>
  <c r="B357" i="5"/>
  <c r="E356" i="5"/>
  <c r="C356" i="5"/>
  <c r="B356" i="5"/>
  <c r="E355" i="5"/>
  <c r="C355" i="5"/>
  <c r="B355" i="5"/>
  <c r="E354" i="5"/>
  <c r="C354" i="5"/>
  <c r="B354" i="5"/>
  <c r="E353" i="5"/>
  <c r="C353" i="5"/>
  <c r="B353" i="5"/>
  <c r="E352" i="5"/>
  <c r="C352" i="5"/>
  <c r="B352" i="5"/>
  <c r="E351" i="5"/>
  <c r="C351" i="5"/>
  <c r="B351" i="5"/>
  <c r="E350" i="5"/>
  <c r="C350" i="5"/>
  <c r="B350" i="5"/>
  <c r="E349" i="5"/>
  <c r="C349" i="5"/>
  <c r="B349" i="5"/>
  <c r="E348" i="5"/>
  <c r="C348" i="5"/>
  <c r="B348" i="5"/>
  <c r="E347" i="5"/>
  <c r="C347" i="5"/>
  <c r="B347" i="5"/>
  <c r="E346" i="5"/>
  <c r="C346" i="5"/>
  <c r="B346" i="5"/>
  <c r="E345" i="5"/>
  <c r="C345" i="5"/>
  <c r="B345" i="5"/>
  <c r="E344" i="5"/>
  <c r="C344" i="5"/>
  <c r="B344" i="5"/>
  <c r="E343" i="5"/>
  <c r="C343" i="5"/>
  <c r="B343" i="5"/>
  <c r="E342" i="5"/>
  <c r="C342" i="5"/>
  <c r="B342" i="5"/>
  <c r="E341" i="5"/>
  <c r="C341" i="5"/>
  <c r="B341" i="5"/>
  <c r="E340" i="5"/>
  <c r="C340" i="5"/>
  <c r="B340" i="5"/>
  <c r="E339" i="5"/>
  <c r="C339" i="5"/>
  <c r="B339" i="5"/>
  <c r="E338" i="5"/>
  <c r="C338" i="5"/>
  <c r="B338" i="5"/>
  <c r="E337" i="5"/>
  <c r="C337" i="5"/>
  <c r="B337" i="5"/>
  <c r="E336" i="5"/>
  <c r="C336" i="5"/>
  <c r="B336" i="5"/>
  <c r="E335" i="5"/>
  <c r="C335" i="5"/>
  <c r="B335" i="5"/>
  <c r="E334" i="5"/>
  <c r="C334" i="5"/>
  <c r="B334" i="5"/>
  <c r="E333" i="5"/>
  <c r="C333" i="5"/>
  <c r="B333" i="5"/>
  <c r="E332" i="5"/>
  <c r="C332" i="5"/>
  <c r="B332" i="5"/>
  <c r="E331" i="5"/>
  <c r="C331" i="5"/>
  <c r="B331" i="5"/>
  <c r="E330" i="5"/>
  <c r="C330" i="5"/>
  <c r="B330" i="5"/>
  <c r="E329" i="5"/>
  <c r="C329" i="5"/>
  <c r="B329" i="5"/>
  <c r="E328" i="5"/>
  <c r="C328" i="5"/>
  <c r="B328" i="5"/>
  <c r="E327" i="5"/>
  <c r="C327" i="5"/>
  <c r="B327" i="5"/>
  <c r="E326" i="5"/>
  <c r="C326" i="5"/>
  <c r="B326" i="5"/>
  <c r="E325" i="5"/>
  <c r="C325" i="5"/>
  <c r="B325" i="5"/>
  <c r="E324" i="5"/>
  <c r="C324" i="5"/>
  <c r="B324" i="5"/>
  <c r="E323" i="5"/>
  <c r="C323" i="5"/>
  <c r="B323" i="5"/>
  <c r="E322" i="5"/>
  <c r="C322" i="5"/>
  <c r="B322" i="5"/>
  <c r="E321" i="5"/>
  <c r="C321" i="5"/>
  <c r="B321" i="5"/>
  <c r="E320" i="5"/>
  <c r="C320" i="5"/>
  <c r="B320" i="5"/>
  <c r="E319" i="5"/>
  <c r="C319" i="5"/>
  <c r="B319" i="5"/>
  <c r="E318" i="5"/>
  <c r="C318" i="5"/>
  <c r="B318" i="5"/>
  <c r="E317" i="5"/>
  <c r="C317" i="5"/>
  <c r="B317" i="5"/>
  <c r="E316" i="5"/>
  <c r="C316" i="5"/>
  <c r="B316" i="5"/>
  <c r="E315" i="5"/>
  <c r="C315" i="5"/>
  <c r="B315" i="5"/>
  <c r="E314" i="5"/>
  <c r="C314" i="5"/>
  <c r="B314" i="5"/>
  <c r="E313" i="5"/>
  <c r="C313" i="5"/>
  <c r="B313" i="5"/>
  <c r="E312" i="5"/>
  <c r="C312" i="5"/>
  <c r="B312" i="5"/>
  <c r="E311" i="5"/>
  <c r="C311" i="5"/>
  <c r="B311" i="5"/>
  <c r="E310" i="5"/>
  <c r="C310" i="5"/>
  <c r="B310" i="5"/>
  <c r="E309" i="5"/>
  <c r="C309" i="5"/>
  <c r="B309" i="5"/>
  <c r="E308" i="5"/>
  <c r="C308" i="5"/>
  <c r="B308" i="5"/>
  <c r="E307" i="5"/>
  <c r="C307" i="5"/>
  <c r="B307" i="5"/>
  <c r="E306" i="5"/>
  <c r="C306" i="5"/>
  <c r="B306" i="5"/>
  <c r="E305" i="5"/>
  <c r="C305" i="5"/>
  <c r="B305" i="5"/>
  <c r="E304" i="5"/>
  <c r="C304" i="5"/>
  <c r="B304" i="5"/>
  <c r="E303" i="5"/>
  <c r="C303" i="5"/>
  <c r="B303" i="5"/>
  <c r="E302" i="5"/>
  <c r="C302" i="5"/>
  <c r="B302" i="5"/>
  <c r="E301" i="5"/>
  <c r="C301" i="5"/>
  <c r="B301" i="5"/>
  <c r="E300" i="5"/>
  <c r="C300" i="5"/>
  <c r="B300" i="5"/>
  <c r="E299" i="5"/>
  <c r="C299" i="5"/>
  <c r="B299" i="5"/>
  <c r="E298" i="5"/>
  <c r="C298" i="5"/>
  <c r="B298" i="5"/>
  <c r="E297" i="5"/>
  <c r="C297" i="5"/>
  <c r="B297" i="5"/>
  <c r="E296" i="5"/>
  <c r="C296" i="5"/>
  <c r="B296" i="5"/>
  <c r="E295" i="5"/>
  <c r="C295" i="5"/>
  <c r="B295" i="5"/>
  <c r="E294" i="5"/>
  <c r="C294" i="5"/>
  <c r="B294" i="5"/>
  <c r="E293" i="5"/>
  <c r="C293" i="5"/>
  <c r="B293" i="5"/>
  <c r="E292" i="5"/>
  <c r="C292" i="5"/>
  <c r="B292" i="5"/>
  <c r="E291" i="5"/>
  <c r="C291" i="5"/>
  <c r="B291" i="5"/>
  <c r="E290" i="5"/>
  <c r="C290" i="5"/>
  <c r="B290" i="5"/>
  <c r="E289" i="5"/>
  <c r="C289" i="5"/>
  <c r="B289" i="5"/>
  <c r="E288" i="5"/>
  <c r="C288" i="5"/>
  <c r="B288" i="5"/>
  <c r="E287" i="5"/>
  <c r="C287" i="5"/>
  <c r="B287" i="5"/>
  <c r="E286" i="5"/>
  <c r="C286" i="5"/>
  <c r="B286" i="5"/>
  <c r="E285" i="5"/>
  <c r="C285" i="5"/>
  <c r="B285" i="5"/>
  <c r="E284" i="5"/>
  <c r="C284" i="5"/>
  <c r="B284" i="5"/>
  <c r="E283" i="5"/>
  <c r="C283" i="5"/>
  <c r="B283" i="5"/>
  <c r="E282" i="5"/>
  <c r="C282" i="5"/>
  <c r="B282" i="5"/>
  <c r="E281" i="5"/>
  <c r="C281" i="5"/>
  <c r="B281" i="5"/>
  <c r="E280" i="5"/>
  <c r="C280" i="5"/>
  <c r="B280" i="5"/>
  <c r="E279" i="5"/>
  <c r="C279" i="5"/>
  <c r="B279" i="5"/>
  <c r="E278" i="5"/>
  <c r="C278" i="5"/>
  <c r="B278" i="5"/>
  <c r="E277" i="5"/>
  <c r="C277" i="5"/>
  <c r="B277" i="5"/>
  <c r="E276" i="5"/>
  <c r="C276" i="5"/>
  <c r="B276" i="5"/>
  <c r="E275" i="5"/>
  <c r="C275" i="5"/>
  <c r="B275" i="5"/>
  <c r="E274" i="5"/>
  <c r="C274" i="5"/>
  <c r="B274" i="5"/>
  <c r="E273" i="5"/>
  <c r="C273" i="5"/>
  <c r="B273" i="5"/>
  <c r="E272" i="5"/>
  <c r="C272" i="5"/>
  <c r="B272" i="5"/>
  <c r="E271" i="5"/>
  <c r="C271" i="5"/>
  <c r="B271" i="5"/>
  <c r="E270" i="5"/>
  <c r="C270" i="5"/>
  <c r="B270" i="5"/>
  <c r="E269" i="5"/>
  <c r="C269" i="5"/>
  <c r="B269" i="5"/>
  <c r="E268" i="5"/>
  <c r="C268" i="5"/>
  <c r="B268" i="5"/>
  <c r="E267" i="5"/>
  <c r="C267" i="5"/>
  <c r="B267" i="5"/>
  <c r="E266" i="5"/>
  <c r="C266" i="5"/>
  <c r="B266" i="5"/>
  <c r="E265" i="5"/>
  <c r="C265" i="5"/>
  <c r="B265" i="5"/>
  <c r="E264" i="5"/>
  <c r="C264" i="5"/>
  <c r="B264" i="5"/>
  <c r="E263" i="5"/>
  <c r="C263" i="5"/>
  <c r="B263" i="5"/>
  <c r="E262" i="5"/>
  <c r="C262" i="5"/>
  <c r="B262" i="5"/>
  <c r="E261" i="5"/>
  <c r="C261" i="5"/>
  <c r="B261" i="5"/>
  <c r="E260" i="5"/>
  <c r="C260" i="5"/>
  <c r="B260" i="5"/>
  <c r="E259" i="5"/>
  <c r="C259" i="5"/>
  <c r="B259" i="5"/>
  <c r="E258" i="5"/>
  <c r="C258" i="5"/>
  <c r="B258" i="5"/>
  <c r="E257" i="5"/>
  <c r="C257" i="5"/>
  <c r="B257" i="5"/>
  <c r="E256" i="5"/>
  <c r="C256" i="5"/>
  <c r="B256" i="5"/>
  <c r="E255" i="5"/>
  <c r="C255" i="5"/>
  <c r="B255" i="5"/>
  <c r="E254" i="5"/>
  <c r="C254" i="5"/>
  <c r="B254" i="5"/>
  <c r="E253" i="5"/>
  <c r="C253" i="5"/>
  <c r="B253" i="5"/>
  <c r="E252" i="5"/>
  <c r="C252" i="5"/>
  <c r="B252" i="5"/>
  <c r="E251" i="5"/>
  <c r="C251" i="5"/>
  <c r="B251" i="5"/>
  <c r="E250" i="5"/>
  <c r="C250" i="5"/>
  <c r="B250" i="5"/>
  <c r="E249" i="5"/>
  <c r="C249" i="5"/>
  <c r="B249" i="5"/>
  <c r="E248" i="5"/>
  <c r="C248" i="5"/>
  <c r="B248" i="5"/>
  <c r="E247" i="5"/>
  <c r="C247" i="5"/>
  <c r="B247" i="5"/>
  <c r="E246" i="5"/>
  <c r="C246" i="5"/>
  <c r="B246" i="5"/>
  <c r="E245" i="5"/>
  <c r="C245" i="5"/>
  <c r="B245" i="5"/>
  <c r="E244" i="5"/>
  <c r="C244" i="5"/>
  <c r="B244" i="5"/>
  <c r="E243" i="5"/>
  <c r="C243" i="5"/>
  <c r="B243" i="5"/>
  <c r="E242" i="5"/>
  <c r="C242" i="5"/>
  <c r="B242" i="5"/>
  <c r="E241" i="5"/>
  <c r="C241" i="5"/>
  <c r="B241" i="5"/>
  <c r="E240" i="5"/>
  <c r="C240" i="5"/>
  <c r="B240" i="5"/>
  <c r="E239" i="5"/>
  <c r="C239" i="5"/>
  <c r="B239" i="5"/>
  <c r="E238" i="5"/>
  <c r="C238" i="5"/>
  <c r="B238" i="5"/>
  <c r="E237" i="5"/>
  <c r="C237" i="5"/>
  <c r="B237" i="5"/>
  <c r="E236" i="5"/>
  <c r="C236" i="5"/>
  <c r="B236" i="5"/>
  <c r="E235" i="5"/>
  <c r="C235" i="5"/>
  <c r="B235" i="5"/>
  <c r="E234" i="5"/>
  <c r="C234" i="5"/>
  <c r="B234" i="5"/>
  <c r="E233" i="5"/>
  <c r="C233" i="5"/>
  <c r="B233" i="5"/>
  <c r="E232" i="5"/>
  <c r="C232" i="5"/>
  <c r="B232" i="5"/>
  <c r="E231" i="5"/>
  <c r="C231" i="5"/>
  <c r="B231" i="5"/>
  <c r="E230" i="5"/>
  <c r="C230" i="5"/>
  <c r="B230" i="5"/>
  <c r="E229" i="5"/>
  <c r="C229" i="5"/>
  <c r="B229" i="5"/>
  <c r="E228" i="5"/>
  <c r="C228" i="5"/>
  <c r="B228" i="5"/>
  <c r="E227" i="5"/>
  <c r="C227" i="5"/>
  <c r="B227" i="5"/>
  <c r="E226" i="5"/>
  <c r="C226" i="5"/>
  <c r="B226" i="5"/>
  <c r="E225" i="5"/>
  <c r="C225" i="5"/>
  <c r="B225" i="5"/>
  <c r="E224" i="5"/>
  <c r="C224" i="5"/>
  <c r="B224" i="5"/>
  <c r="E223" i="5"/>
  <c r="C223" i="5"/>
  <c r="B223" i="5"/>
  <c r="E222" i="5"/>
  <c r="C222" i="5"/>
  <c r="B222" i="5"/>
  <c r="E221" i="5"/>
  <c r="C221" i="5"/>
  <c r="B221" i="5"/>
  <c r="E220" i="5"/>
  <c r="C220" i="5"/>
  <c r="B220" i="5"/>
  <c r="E219" i="5"/>
  <c r="C219" i="5"/>
  <c r="B219" i="5"/>
  <c r="E218" i="5"/>
  <c r="C218" i="5"/>
  <c r="B218" i="5"/>
  <c r="E217" i="5"/>
  <c r="C217" i="5"/>
  <c r="B217" i="5"/>
  <c r="E216" i="5"/>
  <c r="C216" i="5"/>
  <c r="B216" i="5"/>
  <c r="E215" i="5"/>
  <c r="C215" i="5"/>
  <c r="B215" i="5"/>
  <c r="E214" i="5"/>
  <c r="C214" i="5"/>
  <c r="B214" i="5"/>
  <c r="E213" i="5"/>
  <c r="C213" i="5"/>
  <c r="B213" i="5"/>
  <c r="E212" i="5"/>
  <c r="C212" i="5"/>
  <c r="B212" i="5"/>
  <c r="E211" i="5"/>
  <c r="C211" i="5"/>
  <c r="B211" i="5"/>
  <c r="E210" i="5"/>
  <c r="C210" i="5"/>
  <c r="B210" i="5"/>
  <c r="E209" i="5"/>
  <c r="C209" i="5"/>
  <c r="B209" i="5"/>
  <c r="E208" i="5"/>
  <c r="C208" i="5"/>
  <c r="B208" i="5"/>
  <c r="E207" i="5"/>
  <c r="C207" i="5"/>
  <c r="B207" i="5"/>
  <c r="E206" i="5"/>
  <c r="C206" i="5"/>
  <c r="B206" i="5"/>
  <c r="E205" i="5"/>
  <c r="C205" i="5"/>
  <c r="B205" i="5"/>
  <c r="E204" i="5"/>
  <c r="C204" i="5"/>
  <c r="B204" i="5"/>
  <c r="E203" i="5"/>
  <c r="C203" i="5"/>
  <c r="B203" i="5"/>
  <c r="E202" i="5"/>
  <c r="C202" i="5"/>
  <c r="B202" i="5"/>
  <c r="E201" i="5"/>
  <c r="C201" i="5"/>
  <c r="B201" i="5"/>
  <c r="E200" i="5"/>
  <c r="C200" i="5"/>
  <c r="B200" i="5"/>
  <c r="E199" i="5"/>
  <c r="C199" i="5"/>
  <c r="B199" i="5"/>
  <c r="E198" i="5"/>
  <c r="C198" i="5"/>
  <c r="B198" i="5"/>
  <c r="E197" i="5"/>
  <c r="C197" i="5"/>
  <c r="B197" i="5"/>
  <c r="E196" i="5"/>
  <c r="C196" i="5"/>
  <c r="B196" i="5"/>
  <c r="E195" i="5"/>
  <c r="C195" i="5"/>
  <c r="B195" i="5"/>
  <c r="E194" i="5"/>
  <c r="C194" i="5"/>
  <c r="B194" i="5"/>
  <c r="E193" i="5"/>
  <c r="C193" i="5"/>
  <c r="B193" i="5"/>
  <c r="E192" i="5"/>
  <c r="C192" i="5"/>
  <c r="B192" i="5"/>
  <c r="E191" i="5"/>
  <c r="C191" i="5"/>
  <c r="B191" i="5"/>
  <c r="E190" i="5"/>
  <c r="C190" i="5"/>
  <c r="B190" i="5"/>
  <c r="E189" i="5"/>
  <c r="C189" i="5"/>
  <c r="B189" i="5"/>
  <c r="E188" i="5"/>
  <c r="C188" i="5"/>
  <c r="B188" i="5"/>
  <c r="E187" i="5"/>
  <c r="C187" i="5"/>
  <c r="B187" i="5"/>
  <c r="E186" i="5"/>
  <c r="C186" i="5"/>
  <c r="B186" i="5"/>
  <c r="E185" i="5"/>
  <c r="C185" i="5"/>
  <c r="B185" i="5"/>
  <c r="E184" i="5"/>
  <c r="C184" i="5"/>
  <c r="B184" i="5"/>
  <c r="E183" i="5"/>
  <c r="C183" i="5"/>
  <c r="B183" i="5"/>
  <c r="E182" i="5"/>
  <c r="C182" i="5"/>
  <c r="B182" i="5"/>
  <c r="E181" i="5"/>
  <c r="C181" i="5"/>
  <c r="B181" i="5"/>
  <c r="E180" i="5"/>
  <c r="C180" i="5"/>
  <c r="B180" i="5"/>
  <c r="E179" i="5"/>
  <c r="C179" i="5"/>
  <c r="B179" i="5"/>
  <c r="E178" i="5"/>
  <c r="C178" i="5"/>
  <c r="B178" i="5"/>
  <c r="E177" i="5"/>
  <c r="C177" i="5"/>
  <c r="B177" i="5"/>
  <c r="E176" i="5"/>
  <c r="C176" i="5"/>
  <c r="B176" i="5"/>
  <c r="E175" i="5"/>
  <c r="C175" i="5"/>
  <c r="B175" i="5"/>
  <c r="E174" i="5"/>
  <c r="C174" i="5"/>
  <c r="B174" i="5"/>
  <c r="E173" i="5"/>
  <c r="C173" i="5"/>
  <c r="B173" i="5"/>
  <c r="E172" i="5"/>
  <c r="C172" i="5"/>
  <c r="B172" i="5"/>
  <c r="E171" i="5"/>
  <c r="C171" i="5"/>
  <c r="B171" i="5"/>
  <c r="E170" i="5"/>
  <c r="C170" i="5"/>
  <c r="B170" i="5"/>
  <c r="E169" i="5"/>
  <c r="C169" i="5"/>
  <c r="B169" i="5"/>
  <c r="E168" i="5"/>
  <c r="C168" i="5"/>
  <c r="B168" i="5"/>
  <c r="E167" i="5"/>
  <c r="C167" i="5"/>
  <c r="B167" i="5"/>
  <c r="E166" i="5"/>
  <c r="C166" i="5"/>
  <c r="B166" i="5"/>
  <c r="E165" i="5"/>
  <c r="C165" i="5"/>
  <c r="B165" i="5"/>
  <c r="E164" i="5"/>
  <c r="C164" i="5"/>
  <c r="B164" i="5"/>
  <c r="E163" i="5"/>
  <c r="C163" i="5"/>
  <c r="B163" i="5"/>
  <c r="E162" i="5"/>
  <c r="C162" i="5"/>
  <c r="B162" i="5"/>
  <c r="E161" i="5"/>
  <c r="C161" i="5"/>
  <c r="B161" i="5"/>
  <c r="E160" i="5"/>
  <c r="C160" i="5"/>
  <c r="B160" i="5"/>
  <c r="E159" i="5"/>
  <c r="C159" i="5"/>
  <c r="B159" i="5"/>
  <c r="E158" i="5"/>
  <c r="C158" i="5"/>
  <c r="B158" i="5"/>
  <c r="E157" i="5"/>
  <c r="C157" i="5"/>
  <c r="B157" i="5"/>
  <c r="E156" i="5"/>
  <c r="C156" i="5"/>
  <c r="B156" i="5"/>
  <c r="E155" i="5"/>
  <c r="C155" i="5"/>
  <c r="B155" i="5"/>
  <c r="E154" i="5"/>
  <c r="C154" i="5"/>
  <c r="B154" i="5"/>
  <c r="E153" i="5"/>
  <c r="C153" i="5"/>
  <c r="B153" i="5"/>
  <c r="E152" i="5"/>
  <c r="C152" i="5"/>
  <c r="B152" i="5"/>
  <c r="E151" i="5"/>
  <c r="C151" i="5"/>
  <c r="B151" i="5"/>
  <c r="E150" i="5"/>
  <c r="C150" i="5"/>
  <c r="B150" i="5"/>
  <c r="E149" i="5"/>
  <c r="C149" i="5"/>
  <c r="B149" i="5"/>
  <c r="E148" i="5"/>
  <c r="C148" i="5"/>
  <c r="B148" i="5"/>
  <c r="E147" i="5"/>
  <c r="C147" i="5"/>
  <c r="B147" i="5"/>
  <c r="E146" i="5"/>
  <c r="C146" i="5"/>
  <c r="B146" i="5"/>
  <c r="E145" i="5"/>
  <c r="C145" i="5"/>
  <c r="B145" i="5"/>
  <c r="E144" i="5"/>
  <c r="C144" i="5"/>
  <c r="B144" i="5"/>
  <c r="E143" i="5"/>
  <c r="C143" i="5"/>
  <c r="B143" i="5"/>
  <c r="E142" i="5"/>
  <c r="C142" i="5"/>
  <c r="B142" i="5"/>
  <c r="E141" i="5"/>
  <c r="C141" i="5"/>
  <c r="B141" i="5"/>
  <c r="E140" i="5"/>
  <c r="C140" i="5"/>
  <c r="B140" i="5"/>
  <c r="E139" i="5"/>
  <c r="C139" i="5"/>
  <c r="B139" i="5"/>
  <c r="E138" i="5"/>
  <c r="C138" i="5"/>
  <c r="B138" i="5"/>
  <c r="E137" i="5"/>
  <c r="C137" i="5"/>
  <c r="B137" i="5"/>
  <c r="E136" i="5"/>
  <c r="C136" i="5"/>
  <c r="B136" i="5"/>
  <c r="E135" i="5"/>
  <c r="C135" i="5"/>
  <c r="B135" i="5"/>
  <c r="E134" i="5"/>
  <c r="C134" i="5"/>
  <c r="B134" i="5"/>
  <c r="E133" i="5"/>
  <c r="C133" i="5"/>
  <c r="B133" i="5"/>
  <c r="E132" i="5"/>
  <c r="C132" i="5"/>
  <c r="B132" i="5"/>
  <c r="E131" i="5"/>
  <c r="C131" i="5"/>
  <c r="B131" i="5"/>
  <c r="E130" i="5"/>
  <c r="C130" i="5"/>
  <c r="B130" i="5"/>
  <c r="E129" i="5"/>
  <c r="C129" i="5"/>
  <c r="B129" i="5"/>
  <c r="E128" i="5"/>
  <c r="C128" i="5"/>
  <c r="B128" i="5"/>
  <c r="E127" i="5"/>
  <c r="C127" i="5"/>
  <c r="B127" i="5"/>
  <c r="E126" i="5"/>
  <c r="C126" i="5"/>
  <c r="B126" i="5"/>
  <c r="E125" i="5"/>
  <c r="C125" i="5"/>
  <c r="B125" i="5"/>
  <c r="E124" i="5"/>
  <c r="C124" i="5"/>
  <c r="B124" i="5"/>
  <c r="E123" i="5"/>
  <c r="C123" i="5"/>
  <c r="B123" i="5"/>
  <c r="E122" i="5"/>
  <c r="C122" i="5"/>
  <c r="B122" i="5"/>
  <c r="E121" i="5"/>
  <c r="C121" i="5"/>
  <c r="B121" i="5"/>
  <c r="E120" i="5"/>
  <c r="C120" i="5"/>
  <c r="B120" i="5"/>
  <c r="E119" i="5"/>
  <c r="C119" i="5"/>
  <c r="B119" i="5"/>
  <c r="E118" i="5"/>
  <c r="C118" i="5"/>
  <c r="B118" i="5"/>
  <c r="E117" i="5"/>
  <c r="C117" i="5"/>
  <c r="B117" i="5"/>
  <c r="E116" i="5"/>
  <c r="C116" i="5"/>
  <c r="B116" i="5"/>
  <c r="E115" i="5"/>
  <c r="C115" i="5"/>
  <c r="B115" i="5"/>
  <c r="E114" i="5"/>
  <c r="C114" i="5"/>
  <c r="B114" i="5"/>
  <c r="E113" i="5"/>
  <c r="C113" i="5"/>
  <c r="B113" i="5"/>
  <c r="E112" i="5"/>
  <c r="C112" i="5"/>
  <c r="B112" i="5"/>
  <c r="E111" i="5"/>
  <c r="C111" i="5"/>
  <c r="B111" i="5"/>
  <c r="E110" i="5"/>
  <c r="C110" i="5"/>
  <c r="B110" i="5"/>
  <c r="E109" i="5"/>
  <c r="C109" i="5"/>
  <c r="B109" i="5"/>
  <c r="E108" i="5"/>
  <c r="C108" i="5"/>
  <c r="B108" i="5"/>
  <c r="E107" i="5"/>
  <c r="C107" i="5"/>
  <c r="B107" i="5"/>
  <c r="E106" i="5"/>
  <c r="C106" i="5"/>
  <c r="B106" i="5"/>
  <c r="E105" i="5"/>
  <c r="C105" i="5"/>
  <c r="B105" i="5"/>
  <c r="E104" i="5"/>
  <c r="C104" i="5"/>
  <c r="B104" i="5"/>
  <c r="E103" i="5"/>
  <c r="C103" i="5"/>
  <c r="B103" i="5"/>
  <c r="E102" i="5"/>
  <c r="C102" i="5"/>
  <c r="B102" i="5"/>
  <c r="E101" i="5"/>
  <c r="C101" i="5"/>
  <c r="B101" i="5"/>
  <c r="E100" i="5"/>
  <c r="C100" i="5"/>
  <c r="B100" i="5"/>
  <c r="E99" i="5"/>
  <c r="C99" i="5"/>
  <c r="B99" i="5"/>
  <c r="E98" i="5"/>
  <c r="C98" i="5"/>
  <c r="B98" i="5"/>
  <c r="E97" i="5"/>
  <c r="C97" i="5"/>
  <c r="B97" i="5"/>
  <c r="E96" i="5"/>
  <c r="C96" i="5"/>
  <c r="B96" i="5"/>
  <c r="E95" i="5"/>
  <c r="C95" i="5"/>
  <c r="B95" i="5"/>
  <c r="E94" i="5"/>
  <c r="C94" i="5"/>
  <c r="B94" i="5"/>
  <c r="E93" i="5"/>
  <c r="C93" i="5"/>
  <c r="B93" i="5"/>
  <c r="E92" i="5"/>
  <c r="C92" i="5"/>
  <c r="B92" i="5"/>
  <c r="E91" i="5"/>
  <c r="C91" i="5"/>
  <c r="B91" i="5"/>
  <c r="E90" i="5"/>
  <c r="C90" i="5"/>
  <c r="B90" i="5"/>
  <c r="E89" i="5"/>
  <c r="C89" i="5"/>
  <c r="B89" i="5"/>
  <c r="E88" i="5"/>
  <c r="C88" i="5"/>
  <c r="B88" i="5"/>
  <c r="E87" i="5"/>
  <c r="C87" i="5"/>
  <c r="B87" i="5"/>
  <c r="E86" i="5"/>
  <c r="C86" i="5"/>
  <c r="B86" i="5"/>
  <c r="E85" i="5"/>
  <c r="C85" i="5"/>
  <c r="B85" i="5"/>
  <c r="E84" i="5"/>
  <c r="C84" i="5"/>
  <c r="B84" i="5"/>
  <c r="E83" i="5"/>
  <c r="C83" i="5"/>
  <c r="B83" i="5"/>
  <c r="E82" i="5"/>
  <c r="C82" i="5"/>
  <c r="B82" i="5"/>
  <c r="E81" i="5"/>
  <c r="C81" i="5"/>
  <c r="B81" i="5"/>
  <c r="E80" i="5"/>
  <c r="C80" i="5"/>
  <c r="B80" i="5"/>
  <c r="E79" i="5"/>
  <c r="C79" i="5"/>
  <c r="B79" i="5"/>
  <c r="E78" i="5"/>
  <c r="C78" i="5"/>
  <c r="B78" i="5"/>
  <c r="E77" i="5"/>
  <c r="C77" i="5"/>
  <c r="B77" i="5"/>
  <c r="E76" i="5"/>
  <c r="C76" i="5"/>
  <c r="B76" i="5"/>
  <c r="E75" i="5"/>
  <c r="C75" i="5"/>
  <c r="B75" i="5"/>
  <c r="E74" i="5"/>
  <c r="C74" i="5"/>
  <c r="B74" i="5"/>
  <c r="E73" i="5"/>
  <c r="C73" i="5"/>
  <c r="B73" i="5"/>
  <c r="E72" i="5"/>
  <c r="C72" i="5"/>
  <c r="B72" i="5"/>
  <c r="E71" i="5"/>
  <c r="C71" i="5"/>
  <c r="B71" i="5"/>
  <c r="E70" i="5"/>
  <c r="C70" i="5"/>
  <c r="B70" i="5"/>
  <c r="E69" i="5"/>
  <c r="C69" i="5"/>
  <c r="B69" i="5"/>
  <c r="E68" i="5"/>
  <c r="C68" i="5"/>
  <c r="B68" i="5"/>
  <c r="E67" i="5"/>
  <c r="C67" i="5"/>
  <c r="B67" i="5"/>
  <c r="E66" i="5"/>
  <c r="C66" i="5"/>
  <c r="B66" i="5"/>
  <c r="E65" i="5"/>
  <c r="C65" i="5"/>
  <c r="B65" i="5"/>
  <c r="E64" i="5"/>
  <c r="C64" i="5"/>
  <c r="B64" i="5"/>
  <c r="E63" i="5"/>
  <c r="C63" i="5"/>
  <c r="B63" i="5"/>
  <c r="E62" i="5"/>
  <c r="C62" i="5"/>
  <c r="B62" i="5"/>
  <c r="E61" i="5"/>
  <c r="C61" i="5"/>
  <c r="B61" i="5"/>
  <c r="E60" i="5"/>
  <c r="C60" i="5"/>
  <c r="B60" i="5"/>
  <c r="E59" i="5"/>
  <c r="C59" i="5"/>
  <c r="B59" i="5"/>
  <c r="E58" i="5"/>
  <c r="C58" i="5"/>
  <c r="B58" i="5"/>
  <c r="E57" i="5"/>
  <c r="C57" i="5"/>
  <c r="B57" i="5"/>
  <c r="E56" i="5"/>
  <c r="C56" i="5"/>
  <c r="B56" i="5"/>
  <c r="E55" i="5"/>
  <c r="C55" i="5"/>
  <c r="B55" i="5"/>
  <c r="E54" i="5"/>
  <c r="C54" i="5"/>
  <c r="B54" i="5"/>
  <c r="E53" i="5"/>
  <c r="C53" i="5"/>
  <c r="B53" i="5"/>
  <c r="E52" i="5"/>
  <c r="C52" i="5"/>
  <c r="B52" i="5"/>
  <c r="E51" i="5"/>
  <c r="C51" i="5"/>
  <c r="B51" i="5"/>
  <c r="E50" i="5"/>
  <c r="C50" i="5"/>
  <c r="B50" i="5"/>
  <c r="E49" i="5"/>
  <c r="C49" i="5"/>
  <c r="B49" i="5"/>
  <c r="E48" i="5"/>
  <c r="C48" i="5"/>
  <c r="B48" i="5"/>
  <c r="E47" i="5"/>
  <c r="C47" i="5"/>
  <c r="B47" i="5"/>
  <c r="E46" i="5"/>
  <c r="C46" i="5"/>
  <c r="B46" i="5"/>
  <c r="E45" i="5"/>
  <c r="C45" i="5"/>
  <c r="B45" i="5"/>
  <c r="E44" i="5"/>
  <c r="C44" i="5"/>
  <c r="B44" i="5"/>
  <c r="E43" i="5"/>
  <c r="C43" i="5"/>
  <c r="B43" i="5"/>
  <c r="E42" i="5"/>
  <c r="C42" i="5"/>
  <c r="B42" i="5"/>
  <c r="E41" i="5"/>
  <c r="C41" i="5"/>
  <c r="B41" i="5"/>
  <c r="E40" i="5"/>
  <c r="C40" i="5"/>
  <c r="B40" i="5"/>
  <c r="E39" i="5"/>
  <c r="C39" i="5"/>
  <c r="B39" i="5"/>
  <c r="E38" i="5"/>
  <c r="C38" i="5"/>
  <c r="B38" i="5"/>
  <c r="E37" i="5"/>
  <c r="C37" i="5"/>
  <c r="B37" i="5"/>
  <c r="E36" i="5"/>
  <c r="C36" i="5"/>
  <c r="B36" i="5"/>
  <c r="E35" i="5"/>
  <c r="C35" i="5"/>
  <c r="B35" i="5"/>
  <c r="E34" i="5"/>
  <c r="C34" i="5"/>
  <c r="B34" i="5"/>
  <c r="E33" i="5"/>
  <c r="C33" i="5"/>
  <c r="B33" i="5"/>
  <c r="E32" i="5"/>
  <c r="C32" i="5"/>
  <c r="B32" i="5"/>
  <c r="E31" i="5"/>
  <c r="C31" i="5"/>
  <c r="B31" i="5"/>
  <c r="E30" i="5"/>
  <c r="C30" i="5"/>
  <c r="B30" i="5"/>
  <c r="E29" i="5"/>
  <c r="C29" i="5"/>
  <c r="B29" i="5"/>
  <c r="E28" i="5"/>
  <c r="C28" i="5"/>
  <c r="B28" i="5"/>
  <c r="E27" i="5"/>
  <c r="C27" i="5"/>
  <c r="B27" i="5"/>
  <c r="E26" i="5"/>
  <c r="C26" i="5"/>
  <c r="B26" i="5"/>
  <c r="E25" i="5"/>
  <c r="C25" i="5"/>
  <c r="B25" i="5"/>
  <c r="E24" i="5"/>
  <c r="C24" i="5"/>
  <c r="B24" i="5"/>
  <c r="E23" i="5"/>
  <c r="C23" i="5"/>
  <c r="B23" i="5"/>
  <c r="E22" i="5"/>
  <c r="C22" i="5"/>
  <c r="B22" i="5"/>
  <c r="E21" i="5"/>
  <c r="C21" i="5"/>
  <c r="B21" i="5"/>
  <c r="E20" i="5"/>
  <c r="C20" i="5"/>
  <c r="B20" i="5"/>
  <c r="E19" i="5"/>
  <c r="C19" i="5"/>
  <c r="B19" i="5"/>
  <c r="E18" i="5"/>
  <c r="C18" i="5"/>
  <c r="B18" i="5"/>
  <c r="E17" i="5"/>
  <c r="C17" i="5"/>
  <c r="B17" i="5"/>
  <c r="E16" i="5"/>
  <c r="C16" i="5"/>
  <c r="B16" i="5"/>
  <c r="E15" i="5"/>
  <c r="C15" i="5"/>
  <c r="B15" i="5"/>
  <c r="E14" i="5"/>
  <c r="C14" i="5"/>
  <c r="B14" i="5"/>
  <c r="E13" i="5"/>
  <c r="C13" i="5"/>
  <c r="B13" i="5"/>
  <c r="E12" i="5"/>
  <c r="C12" i="5"/>
  <c r="B12" i="5"/>
  <c r="E11" i="5"/>
  <c r="C11" i="5"/>
  <c r="B11" i="5"/>
  <c r="E10" i="5"/>
  <c r="C10" i="5"/>
  <c r="B10" i="5"/>
  <c r="E9" i="5"/>
  <c r="C9" i="5"/>
  <c r="B9" i="5"/>
  <c r="E8" i="5"/>
  <c r="C8" i="5"/>
  <c r="B8" i="5"/>
  <c r="E7" i="5"/>
  <c r="C7" i="5"/>
  <c r="B7" i="5"/>
  <c r="E6" i="5"/>
  <c r="C6" i="5"/>
  <c r="B6" i="5"/>
  <c r="E5" i="5"/>
  <c r="C5" i="5"/>
  <c r="B5" i="5"/>
  <c r="E4" i="5"/>
  <c r="C4" i="5"/>
  <c r="B4" i="5"/>
  <c r="E3" i="5"/>
  <c r="C3" i="5"/>
  <c r="B3" i="5"/>
  <c r="E2" i="5"/>
  <c r="C2" i="5"/>
  <c r="B2" i="5"/>
  <c r="E1" i="5"/>
  <c r="C1" i="5"/>
  <c r="B1" i="5"/>
  <c r="M1" i="4"/>
  <c r="K1" i="4"/>
  <c r="J1" i="4"/>
  <c r="I1" i="4"/>
  <c r="H1" i="4"/>
  <c r="G1" i="4"/>
  <c r="C1" i="4"/>
  <c r="D1985" i="2"/>
  <c r="B1985" i="2"/>
  <c r="A1985" i="2"/>
  <c r="D1984" i="2"/>
  <c r="B1984" i="2"/>
  <c r="A1984" i="2"/>
  <c r="D1983" i="2"/>
  <c r="B1983" i="2"/>
  <c r="A1983" i="2"/>
  <c r="D1982" i="2"/>
  <c r="B1982" i="2"/>
  <c r="A1982" i="2"/>
  <c r="D1981" i="2"/>
  <c r="B1981" i="2"/>
  <c r="A1981" i="2"/>
  <c r="D1980" i="2"/>
  <c r="B1980" i="2"/>
  <c r="A1980" i="2"/>
  <c r="D1979" i="2"/>
  <c r="B1979" i="2"/>
  <c r="A1979" i="2"/>
  <c r="D1978" i="2"/>
  <c r="B1978" i="2"/>
  <c r="A1978" i="2"/>
  <c r="D1977" i="2"/>
  <c r="B1977" i="2"/>
  <c r="A1977" i="2"/>
  <c r="D1976" i="2"/>
  <c r="B1976" i="2"/>
  <c r="A1976" i="2"/>
  <c r="D1975" i="2"/>
  <c r="B1975" i="2"/>
  <c r="A1975" i="2"/>
  <c r="D1974" i="2"/>
  <c r="B1974" i="2"/>
  <c r="A1974" i="2"/>
  <c r="D1973" i="2"/>
  <c r="B1973" i="2"/>
  <c r="A1973" i="2"/>
  <c r="D1972" i="2"/>
  <c r="B1972" i="2"/>
  <c r="A1972" i="2"/>
  <c r="D1971" i="2"/>
  <c r="B1971" i="2"/>
  <c r="A1971" i="2"/>
  <c r="D1970" i="2"/>
  <c r="B1970" i="2"/>
  <c r="A1970" i="2"/>
  <c r="D1969" i="2"/>
  <c r="B1969" i="2"/>
  <c r="A1969" i="2"/>
  <c r="D1968" i="2"/>
  <c r="B1968" i="2"/>
  <c r="A1968" i="2"/>
  <c r="D1967" i="2"/>
  <c r="B1967" i="2"/>
  <c r="A1967" i="2"/>
  <c r="D1966" i="2"/>
  <c r="B1966" i="2"/>
  <c r="A1966" i="2"/>
  <c r="D1965" i="2"/>
  <c r="B1965" i="2"/>
  <c r="A1965" i="2"/>
  <c r="D1964" i="2"/>
  <c r="B1964" i="2"/>
  <c r="A1964" i="2"/>
  <c r="D1963" i="2"/>
  <c r="B1963" i="2"/>
  <c r="A1963" i="2"/>
  <c r="D1962" i="2"/>
  <c r="B1962" i="2"/>
  <c r="A1962" i="2"/>
  <c r="D1961" i="2"/>
  <c r="B1961" i="2"/>
  <c r="A1961" i="2"/>
  <c r="D1960" i="2"/>
  <c r="B1960" i="2"/>
  <c r="A1960" i="2"/>
  <c r="D1959" i="2"/>
  <c r="B1959" i="2"/>
  <c r="A1959" i="2"/>
  <c r="D1958" i="2"/>
  <c r="B1958" i="2"/>
  <c r="A1958" i="2"/>
  <c r="D1957" i="2"/>
  <c r="B1957" i="2"/>
  <c r="A1957" i="2"/>
  <c r="D1956" i="2"/>
  <c r="B1956" i="2"/>
  <c r="A1956" i="2"/>
  <c r="D1955" i="2"/>
  <c r="B1955" i="2"/>
  <c r="A1955" i="2"/>
  <c r="D1954" i="2"/>
  <c r="B1954" i="2"/>
  <c r="A1954" i="2"/>
  <c r="D1953" i="2"/>
  <c r="B1953" i="2"/>
  <c r="A1953" i="2"/>
  <c r="D1952" i="2"/>
  <c r="B1952" i="2"/>
  <c r="A1952" i="2"/>
  <c r="D1951" i="2"/>
  <c r="B1951" i="2"/>
  <c r="A1951" i="2"/>
  <c r="D1950" i="2"/>
  <c r="B1950" i="2"/>
  <c r="A1950" i="2"/>
  <c r="D1949" i="2"/>
  <c r="B1949" i="2"/>
  <c r="A1949" i="2"/>
  <c r="D1948" i="2"/>
  <c r="B1948" i="2"/>
  <c r="A1948" i="2"/>
  <c r="D1947" i="2"/>
  <c r="B1947" i="2"/>
  <c r="A1947" i="2"/>
  <c r="D1946" i="2"/>
  <c r="B1946" i="2"/>
  <c r="A1946" i="2"/>
  <c r="D1945" i="2"/>
  <c r="B1945" i="2"/>
  <c r="A1945" i="2"/>
  <c r="D1944" i="2"/>
  <c r="B1944" i="2"/>
  <c r="A1944" i="2"/>
  <c r="D1943" i="2"/>
  <c r="B1943" i="2"/>
  <c r="A1943" i="2"/>
  <c r="D1942" i="2"/>
  <c r="B1942" i="2"/>
  <c r="A1942" i="2"/>
  <c r="D1941" i="2"/>
  <c r="B1941" i="2"/>
  <c r="A1941" i="2"/>
  <c r="D1940" i="2"/>
  <c r="B1940" i="2"/>
  <c r="A1940" i="2"/>
  <c r="D1939" i="2"/>
  <c r="B1939" i="2"/>
  <c r="A1939" i="2"/>
  <c r="D1938" i="2"/>
  <c r="B1938" i="2"/>
  <c r="A1938" i="2"/>
  <c r="D1937" i="2"/>
  <c r="B1937" i="2"/>
  <c r="A1937" i="2"/>
  <c r="D1936" i="2"/>
  <c r="B1936" i="2"/>
  <c r="A1936" i="2"/>
  <c r="D1935" i="2"/>
  <c r="B1935" i="2"/>
  <c r="A1935" i="2"/>
  <c r="D1934" i="2"/>
  <c r="B1934" i="2"/>
  <c r="A1934" i="2"/>
  <c r="D1933" i="2"/>
  <c r="B1933" i="2"/>
  <c r="A1933" i="2"/>
  <c r="D1932" i="2"/>
  <c r="B1932" i="2"/>
  <c r="A1932" i="2"/>
  <c r="D1931" i="2"/>
  <c r="B1931" i="2"/>
  <c r="A1931" i="2"/>
  <c r="D1930" i="2"/>
  <c r="B1930" i="2"/>
  <c r="A1930" i="2"/>
  <c r="D1929" i="2"/>
  <c r="B1929" i="2"/>
  <c r="A1929" i="2"/>
  <c r="D1928" i="2"/>
  <c r="B1928" i="2"/>
  <c r="A1928" i="2"/>
  <c r="D1927" i="2"/>
  <c r="B1927" i="2"/>
  <c r="A1927" i="2"/>
  <c r="D1926" i="2"/>
  <c r="B1926" i="2"/>
  <c r="A1926" i="2"/>
  <c r="D1925" i="2"/>
  <c r="B1925" i="2"/>
  <c r="A1925" i="2"/>
  <c r="D1924" i="2"/>
  <c r="B1924" i="2"/>
  <c r="A1924" i="2"/>
  <c r="D1923" i="2"/>
  <c r="B1923" i="2"/>
  <c r="A1923" i="2"/>
  <c r="D1922" i="2"/>
  <c r="B1922" i="2"/>
  <c r="A1922" i="2"/>
  <c r="D1921" i="2"/>
  <c r="B1921" i="2"/>
  <c r="A1921" i="2"/>
  <c r="D1920" i="2"/>
  <c r="B1920" i="2"/>
  <c r="A1920" i="2"/>
  <c r="D1919" i="2"/>
  <c r="B1919" i="2"/>
  <c r="A1919" i="2"/>
  <c r="D1918" i="2"/>
  <c r="B1918" i="2"/>
  <c r="A1918" i="2"/>
  <c r="D1917" i="2"/>
  <c r="B1917" i="2"/>
  <c r="A1917" i="2"/>
  <c r="D1916" i="2"/>
  <c r="B1916" i="2"/>
  <c r="A1916" i="2"/>
  <c r="D1915" i="2"/>
  <c r="B1915" i="2"/>
  <c r="A1915" i="2"/>
  <c r="D1914" i="2"/>
  <c r="B1914" i="2"/>
  <c r="A1914" i="2"/>
  <c r="D1913" i="2"/>
  <c r="B1913" i="2"/>
  <c r="A1913" i="2"/>
  <c r="D1912" i="2"/>
  <c r="B1912" i="2"/>
  <c r="A1912" i="2"/>
  <c r="D1911" i="2"/>
  <c r="B1911" i="2"/>
  <c r="A1911" i="2"/>
  <c r="D1910" i="2"/>
  <c r="B1910" i="2"/>
  <c r="A1910" i="2"/>
  <c r="D1909" i="2"/>
  <c r="B1909" i="2"/>
  <c r="A1909" i="2"/>
  <c r="D1908" i="2"/>
  <c r="B1908" i="2"/>
  <c r="A1908" i="2"/>
  <c r="D1907" i="2"/>
  <c r="B1907" i="2"/>
  <c r="A1907" i="2"/>
  <c r="D1906" i="2"/>
  <c r="B1906" i="2"/>
  <c r="A1906" i="2"/>
  <c r="D1905" i="2"/>
  <c r="B1905" i="2"/>
  <c r="A1905" i="2"/>
  <c r="D1904" i="2"/>
  <c r="B1904" i="2"/>
  <c r="A1904" i="2"/>
  <c r="D1903" i="2"/>
  <c r="B1903" i="2"/>
  <c r="A1903" i="2"/>
  <c r="D1902" i="2"/>
  <c r="B1902" i="2"/>
  <c r="A1902" i="2"/>
  <c r="D1901" i="2"/>
  <c r="B1901" i="2"/>
  <c r="A1901" i="2"/>
  <c r="D1900" i="2"/>
  <c r="B1900" i="2"/>
  <c r="A1900" i="2"/>
  <c r="D1899" i="2"/>
  <c r="B1899" i="2"/>
  <c r="A1899" i="2"/>
  <c r="D1898" i="2"/>
  <c r="B1898" i="2"/>
  <c r="A1898" i="2"/>
  <c r="D1897" i="2"/>
  <c r="B1897" i="2"/>
  <c r="A1897" i="2"/>
  <c r="D1896" i="2"/>
  <c r="B1896" i="2"/>
  <c r="A1896" i="2"/>
  <c r="D1895" i="2"/>
  <c r="B1895" i="2"/>
  <c r="A1895" i="2"/>
  <c r="D1894" i="2"/>
  <c r="B1894" i="2"/>
  <c r="A1894" i="2"/>
  <c r="D1893" i="2"/>
  <c r="B1893" i="2"/>
  <c r="A1893" i="2"/>
  <c r="D1892" i="2"/>
  <c r="B1892" i="2"/>
  <c r="A1892" i="2"/>
  <c r="D1891" i="2"/>
  <c r="B1891" i="2"/>
  <c r="A1891" i="2"/>
  <c r="D1890" i="2"/>
  <c r="B1890" i="2"/>
  <c r="A1890" i="2"/>
  <c r="D1889" i="2"/>
  <c r="B1889" i="2"/>
  <c r="A1889" i="2"/>
  <c r="D1888" i="2"/>
  <c r="B1888" i="2"/>
  <c r="A1888" i="2"/>
  <c r="D1887" i="2"/>
  <c r="B1887" i="2"/>
  <c r="A1887" i="2"/>
  <c r="D1886" i="2"/>
  <c r="B1886" i="2"/>
  <c r="A1886" i="2"/>
  <c r="D1885" i="2"/>
  <c r="B1885" i="2"/>
  <c r="A1885" i="2"/>
  <c r="D1884" i="2"/>
  <c r="B1884" i="2"/>
  <c r="A1884" i="2"/>
  <c r="D1883" i="2"/>
  <c r="B1883" i="2"/>
  <c r="A1883" i="2"/>
  <c r="D1882" i="2"/>
  <c r="B1882" i="2"/>
  <c r="A1882" i="2"/>
  <c r="D1881" i="2"/>
  <c r="B1881" i="2"/>
  <c r="A1881" i="2"/>
  <c r="D1880" i="2"/>
  <c r="B1880" i="2"/>
  <c r="A1880" i="2"/>
  <c r="D1879" i="2"/>
  <c r="B1879" i="2"/>
  <c r="A1879" i="2"/>
  <c r="D1878" i="2"/>
  <c r="B1878" i="2"/>
  <c r="A1878" i="2"/>
  <c r="D1877" i="2"/>
  <c r="B1877" i="2"/>
  <c r="A1877" i="2"/>
  <c r="D1876" i="2"/>
  <c r="B1876" i="2"/>
  <c r="A1876" i="2"/>
  <c r="D1875" i="2"/>
  <c r="B1875" i="2"/>
  <c r="A1875" i="2"/>
  <c r="D1874" i="2"/>
  <c r="B1874" i="2"/>
  <c r="A1874" i="2"/>
  <c r="D1873" i="2"/>
  <c r="B1873" i="2"/>
  <c r="A1873" i="2"/>
  <c r="D1872" i="2"/>
  <c r="B1872" i="2"/>
  <c r="A1872" i="2"/>
  <c r="D1871" i="2"/>
  <c r="B1871" i="2"/>
  <c r="A1871" i="2"/>
  <c r="D1870" i="2"/>
  <c r="B1870" i="2"/>
  <c r="A1870" i="2"/>
  <c r="D1869" i="2"/>
  <c r="B1869" i="2"/>
  <c r="A1869" i="2"/>
  <c r="D1868" i="2"/>
  <c r="B1868" i="2"/>
  <c r="A1868" i="2"/>
  <c r="D1867" i="2"/>
  <c r="B1867" i="2"/>
  <c r="A1867" i="2"/>
  <c r="D1866" i="2"/>
  <c r="B1866" i="2"/>
  <c r="A1866" i="2"/>
  <c r="D1865" i="2"/>
  <c r="B1865" i="2"/>
  <c r="A1865" i="2"/>
  <c r="D1864" i="2"/>
  <c r="B1864" i="2"/>
  <c r="A1864" i="2"/>
  <c r="D1863" i="2"/>
  <c r="B1863" i="2"/>
  <c r="A1863" i="2"/>
  <c r="D1862" i="2"/>
  <c r="B1862" i="2"/>
  <c r="A1862" i="2"/>
  <c r="D1861" i="2"/>
  <c r="B1861" i="2"/>
  <c r="A1861" i="2"/>
  <c r="D1860" i="2"/>
  <c r="B1860" i="2"/>
  <c r="A1860" i="2"/>
  <c r="D1859" i="2"/>
  <c r="B1859" i="2"/>
  <c r="A1859" i="2"/>
  <c r="D1858" i="2"/>
  <c r="B1858" i="2"/>
  <c r="A1858" i="2"/>
  <c r="D1857" i="2"/>
  <c r="B1857" i="2"/>
  <c r="A1857" i="2"/>
  <c r="D1856" i="2"/>
  <c r="B1856" i="2"/>
  <c r="A1856" i="2"/>
  <c r="D1855" i="2"/>
  <c r="B1855" i="2"/>
  <c r="A1855" i="2"/>
  <c r="D1854" i="2"/>
  <c r="B1854" i="2"/>
  <c r="A1854" i="2"/>
  <c r="D1853" i="2"/>
  <c r="B1853" i="2"/>
  <c r="A1853" i="2"/>
  <c r="D1852" i="2"/>
  <c r="B1852" i="2"/>
  <c r="A1852" i="2"/>
  <c r="D1851" i="2"/>
  <c r="B1851" i="2"/>
  <c r="A1851" i="2"/>
  <c r="D1850" i="2"/>
  <c r="B1850" i="2"/>
  <c r="A1850" i="2"/>
  <c r="D1849" i="2"/>
  <c r="B1849" i="2"/>
  <c r="A1849" i="2"/>
  <c r="D1848" i="2"/>
  <c r="B1848" i="2"/>
  <c r="A1848" i="2"/>
  <c r="D1847" i="2"/>
  <c r="B1847" i="2"/>
  <c r="A1847" i="2"/>
  <c r="D1846" i="2"/>
  <c r="B1846" i="2"/>
  <c r="A1846" i="2"/>
  <c r="D1845" i="2"/>
  <c r="B1845" i="2"/>
  <c r="A1845" i="2"/>
  <c r="D1844" i="2"/>
  <c r="B1844" i="2"/>
  <c r="A1844" i="2"/>
  <c r="D1843" i="2"/>
  <c r="B1843" i="2"/>
  <c r="A1843" i="2"/>
  <c r="D1842" i="2"/>
  <c r="B1842" i="2"/>
  <c r="A1842" i="2"/>
  <c r="D1841" i="2"/>
  <c r="B1841" i="2"/>
  <c r="A1841" i="2"/>
  <c r="D1840" i="2"/>
  <c r="B1840" i="2"/>
  <c r="A1840" i="2"/>
  <c r="D1839" i="2"/>
  <c r="B1839" i="2"/>
  <c r="A1839" i="2"/>
  <c r="D1838" i="2"/>
  <c r="B1838" i="2"/>
  <c r="A1838" i="2"/>
  <c r="D1837" i="2"/>
  <c r="B1837" i="2"/>
  <c r="A1837" i="2"/>
  <c r="D1836" i="2"/>
  <c r="B1836" i="2"/>
  <c r="A1836" i="2"/>
  <c r="D1835" i="2"/>
  <c r="B1835" i="2"/>
  <c r="A1835" i="2"/>
  <c r="D1834" i="2"/>
  <c r="B1834" i="2"/>
  <c r="A1834" i="2"/>
  <c r="D1833" i="2"/>
  <c r="B1833" i="2"/>
  <c r="A1833" i="2"/>
  <c r="D1832" i="2"/>
  <c r="B1832" i="2"/>
  <c r="A1832" i="2"/>
  <c r="D1831" i="2"/>
  <c r="B1831" i="2"/>
  <c r="A1831" i="2"/>
  <c r="D1830" i="2"/>
  <c r="B1830" i="2"/>
  <c r="A1830" i="2"/>
  <c r="D1829" i="2"/>
  <c r="B1829" i="2"/>
  <c r="A1829" i="2"/>
  <c r="D1828" i="2"/>
  <c r="B1828" i="2"/>
  <c r="A1828" i="2"/>
  <c r="D1827" i="2"/>
  <c r="B1827" i="2"/>
  <c r="A1827" i="2"/>
  <c r="D1826" i="2"/>
  <c r="B1826" i="2"/>
  <c r="A1826" i="2"/>
  <c r="D1825" i="2"/>
  <c r="B1825" i="2"/>
  <c r="A1825" i="2"/>
  <c r="D1824" i="2"/>
  <c r="B1824" i="2"/>
  <c r="A1824" i="2"/>
  <c r="D1823" i="2"/>
  <c r="B1823" i="2"/>
  <c r="A1823" i="2"/>
  <c r="D1822" i="2"/>
  <c r="B1822" i="2"/>
  <c r="A1822" i="2"/>
  <c r="D1821" i="2"/>
  <c r="B1821" i="2"/>
  <c r="A1821" i="2"/>
  <c r="D1820" i="2"/>
  <c r="B1820" i="2"/>
  <c r="D1819" i="2"/>
  <c r="B1819" i="2"/>
  <c r="A1819" i="2"/>
  <c r="D1818" i="2"/>
  <c r="B1818" i="2"/>
  <c r="A1818" i="2"/>
  <c r="D1817" i="2"/>
  <c r="B1817" i="2"/>
  <c r="A1817" i="2"/>
  <c r="D1816" i="2"/>
  <c r="B1816" i="2"/>
  <c r="A1816" i="2"/>
  <c r="D1815" i="2"/>
  <c r="B1815" i="2"/>
  <c r="A1815" i="2"/>
  <c r="D1814" i="2"/>
  <c r="B1814" i="2"/>
  <c r="A1814" i="2"/>
  <c r="D1813" i="2"/>
  <c r="B1813" i="2"/>
  <c r="A1813" i="2"/>
  <c r="D1812" i="2"/>
  <c r="B1812" i="2"/>
  <c r="A1812" i="2"/>
  <c r="D1811" i="2"/>
  <c r="B1811" i="2"/>
  <c r="A1811" i="2"/>
  <c r="D1810" i="2"/>
  <c r="B1810" i="2"/>
  <c r="A1810" i="2"/>
  <c r="D1809" i="2"/>
  <c r="B1809" i="2"/>
  <c r="A1809" i="2"/>
  <c r="D1808" i="2"/>
  <c r="B1808" i="2"/>
  <c r="A1808" i="2"/>
  <c r="D1807" i="2"/>
  <c r="B1807" i="2"/>
  <c r="A1807" i="2"/>
  <c r="D1806" i="2"/>
  <c r="B1806" i="2"/>
  <c r="A1806" i="2"/>
  <c r="D1805" i="2"/>
  <c r="B1805" i="2"/>
  <c r="A1805" i="2"/>
  <c r="D1804" i="2"/>
  <c r="B1804" i="2"/>
  <c r="A1804" i="2"/>
  <c r="D1803" i="2"/>
  <c r="B1803" i="2"/>
  <c r="A1803" i="2"/>
  <c r="D1802" i="2"/>
  <c r="B1802" i="2"/>
  <c r="A1802" i="2"/>
  <c r="D1801" i="2"/>
  <c r="B1801" i="2"/>
  <c r="A1801" i="2"/>
  <c r="D1800" i="2"/>
  <c r="B1800" i="2"/>
  <c r="A1800" i="2"/>
  <c r="D1799" i="2"/>
  <c r="B1799" i="2"/>
  <c r="A1799" i="2"/>
  <c r="D1798" i="2"/>
  <c r="B1798" i="2"/>
  <c r="A1798" i="2"/>
  <c r="D1797" i="2"/>
  <c r="B1797" i="2"/>
  <c r="A1797" i="2"/>
  <c r="D1796" i="2"/>
  <c r="B1796" i="2"/>
  <c r="A1796" i="2"/>
  <c r="D1795" i="2"/>
  <c r="B1795" i="2"/>
  <c r="A1795" i="2"/>
  <c r="D1794" i="2"/>
  <c r="B1794" i="2"/>
  <c r="A1794" i="2"/>
  <c r="D1793" i="2"/>
  <c r="B1793" i="2"/>
  <c r="A1793" i="2"/>
  <c r="D1792" i="2"/>
  <c r="B1792" i="2"/>
  <c r="A1792" i="2"/>
  <c r="D1791" i="2"/>
  <c r="B1791" i="2"/>
  <c r="D1790" i="2"/>
  <c r="B1790" i="2"/>
  <c r="D1789" i="2"/>
  <c r="B1789" i="2"/>
  <c r="D1788" i="2"/>
  <c r="B1788" i="2"/>
  <c r="D1787" i="2"/>
  <c r="B1787" i="2"/>
  <c r="D1786" i="2"/>
  <c r="B1786" i="2"/>
  <c r="D1785" i="2"/>
  <c r="B1785" i="2"/>
  <c r="D1784" i="2"/>
  <c r="B1784" i="2"/>
  <c r="D1783" i="2"/>
  <c r="B1783" i="2"/>
  <c r="D1782" i="2"/>
  <c r="B1782" i="2"/>
  <c r="D1781" i="2"/>
  <c r="B1781" i="2"/>
  <c r="D1780" i="2"/>
  <c r="B1780" i="2"/>
  <c r="D1779" i="2"/>
  <c r="B1779" i="2"/>
  <c r="D1778" i="2"/>
  <c r="B1778" i="2"/>
  <c r="D1777" i="2"/>
  <c r="B1777" i="2"/>
  <c r="D1776" i="2"/>
  <c r="B1776" i="2"/>
  <c r="D1775" i="2"/>
  <c r="B1775" i="2"/>
  <c r="D1774" i="2"/>
  <c r="B1774" i="2"/>
  <c r="D1773" i="2"/>
  <c r="B1773" i="2"/>
  <c r="D1772" i="2"/>
  <c r="B1772" i="2"/>
  <c r="D1771" i="2"/>
  <c r="B1771" i="2"/>
  <c r="D1770" i="2"/>
  <c r="B1770" i="2"/>
  <c r="D1769" i="2"/>
  <c r="B1769" i="2"/>
  <c r="D1768" i="2"/>
  <c r="B1768" i="2"/>
  <c r="D1767" i="2"/>
  <c r="B1767" i="2"/>
  <c r="D1766" i="2"/>
  <c r="B1766" i="2"/>
  <c r="D1765" i="2"/>
  <c r="B1765" i="2"/>
  <c r="D1764" i="2"/>
  <c r="B1764" i="2"/>
  <c r="D1763" i="2"/>
  <c r="B1763" i="2"/>
  <c r="D1762" i="2"/>
  <c r="B1762" i="2"/>
  <c r="D1761" i="2"/>
  <c r="B1761" i="2"/>
  <c r="D1760" i="2"/>
  <c r="B1760" i="2"/>
  <c r="D1759" i="2"/>
  <c r="B1759" i="2"/>
  <c r="D1758" i="2"/>
  <c r="B1758" i="2"/>
  <c r="D1757" i="2"/>
  <c r="B1757" i="2"/>
  <c r="D1756" i="2"/>
  <c r="B1756" i="2"/>
  <c r="D1755" i="2"/>
  <c r="B1755" i="2"/>
  <c r="D1754" i="2"/>
  <c r="B1754" i="2"/>
  <c r="D1753" i="2"/>
  <c r="B1753" i="2"/>
  <c r="D1752" i="2"/>
  <c r="B1752" i="2"/>
  <c r="D1751" i="2"/>
  <c r="B1751" i="2"/>
  <c r="D1750" i="2"/>
  <c r="B1750" i="2"/>
  <c r="D1749" i="2"/>
  <c r="B1749" i="2"/>
  <c r="D1748" i="2"/>
  <c r="B1748" i="2"/>
  <c r="D1747" i="2"/>
  <c r="B1747" i="2"/>
  <c r="D1746" i="2"/>
  <c r="B1746" i="2"/>
  <c r="D1745" i="2"/>
  <c r="B1745" i="2"/>
  <c r="D1744" i="2"/>
  <c r="B1744" i="2"/>
  <c r="D1743" i="2"/>
  <c r="B1743" i="2"/>
  <c r="D1742" i="2"/>
  <c r="B1742" i="2"/>
  <c r="D1741" i="2"/>
  <c r="B1741" i="2"/>
  <c r="D1740" i="2"/>
  <c r="B1740" i="2"/>
  <c r="D1739" i="2"/>
  <c r="B1739" i="2"/>
  <c r="D1738" i="2"/>
  <c r="B1738" i="2"/>
  <c r="D1737" i="2"/>
  <c r="B1737" i="2"/>
  <c r="D1736" i="2"/>
  <c r="B1736" i="2"/>
  <c r="D1735" i="2"/>
  <c r="B1735" i="2"/>
  <c r="D1734" i="2"/>
  <c r="B1734" i="2"/>
  <c r="D1733" i="2"/>
  <c r="B1733" i="2"/>
  <c r="D1732" i="2"/>
  <c r="B1732" i="2"/>
  <c r="D1731" i="2"/>
  <c r="B1731" i="2"/>
  <c r="D1730" i="2"/>
  <c r="B1730" i="2"/>
  <c r="D1729" i="2"/>
  <c r="B1729" i="2"/>
  <c r="D1728" i="2"/>
  <c r="B1728" i="2"/>
  <c r="D1727" i="2"/>
  <c r="B1727" i="2"/>
  <c r="D1726" i="2"/>
  <c r="B1726" i="2"/>
  <c r="D1725" i="2"/>
  <c r="B1725" i="2"/>
  <c r="D1724" i="2"/>
  <c r="B1724" i="2"/>
  <c r="D1723" i="2"/>
  <c r="B1723" i="2"/>
  <c r="D1722" i="2"/>
  <c r="B1722" i="2"/>
  <c r="D1721" i="2"/>
  <c r="B1721" i="2"/>
  <c r="D1720" i="2"/>
  <c r="B1720" i="2"/>
  <c r="D1719" i="2"/>
  <c r="B1719" i="2"/>
  <c r="D1718" i="2"/>
  <c r="B1718" i="2"/>
  <c r="D1717" i="2"/>
  <c r="B1717" i="2"/>
  <c r="D1716" i="2"/>
  <c r="B1716" i="2"/>
  <c r="D1715" i="2"/>
  <c r="B1715" i="2"/>
  <c r="D1714" i="2"/>
  <c r="B1714" i="2"/>
  <c r="D1713" i="2"/>
  <c r="B1713" i="2"/>
  <c r="D1712" i="2"/>
  <c r="B1712" i="2"/>
  <c r="D1711" i="2"/>
  <c r="B1711" i="2"/>
  <c r="D1710" i="2"/>
  <c r="B1710" i="2"/>
  <c r="D1709" i="2"/>
  <c r="B1709" i="2"/>
  <c r="D1708" i="2"/>
  <c r="B1708" i="2"/>
  <c r="D1707" i="2"/>
  <c r="B1707" i="2"/>
  <c r="D1706" i="2"/>
  <c r="B1706" i="2"/>
  <c r="D1705" i="2"/>
  <c r="B1705" i="2"/>
  <c r="D1704" i="2"/>
  <c r="B1704" i="2"/>
  <c r="D1703" i="2"/>
  <c r="B1703" i="2"/>
  <c r="D1702" i="2"/>
  <c r="B1702" i="2"/>
  <c r="D1701" i="2"/>
  <c r="B1701" i="2"/>
  <c r="D1700" i="2"/>
  <c r="B1700" i="2"/>
  <c r="D1699" i="2"/>
  <c r="B1699" i="2"/>
  <c r="D1698" i="2"/>
  <c r="B1698" i="2"/>
  <c r="D1697" i="2"/>
  <c r="B1697" i="2"/>
  <c r="D1696" i="2"/>
  <c r="B1696" i="2"/>
  <c r="D1695" i="2"/>
  <c r="B1695" i="2"/>
  <c r="D1694" i="2"/>
  <c r="B1694" i="2"/>
  <c r="D1693" i="2"/>
  <c r="B1693" i="2"/>
  <c r="D1692" i="2"/>
  <c r="B1692" i="2"/>
  <c r="D1691" i="2"/>
  <c r="B1691" i="2"/>
  <c r="D1690" i="2"/>
  <c r="B1690" i="2"/>
  <c r="D1689" i="2"/>
  <c r="B1689" i="2"/>
  <c r="D1688" i="2"/>
  <c r="B1688" i="2"/>
  <c r="D1687" i="2"/>
  <c r="B1687" i="2"/>
  <c r="D1686" i="2"/>
  <c r="B1686" i="2"/>
  <c r="D1685" i="2"/>
  <c r="B1685" i="2"/>
  <c r="D1684" i="2"/>
  <c r="B1684" i="2"/>
  <c r="D1683" i="2"/>
  <c r="B1683" i="2"/>
  <c r="D1682" i="2"/>
  <c r="B1682" i="2"/>
  <c r="D1681" i="2"/>
  <c r="B1681" i="2"/>
  <c r="D1680" i="2"/>
  <c r="B1680" i="2"/>
  <c r="D1679" i="2"/>
  <c r="B1679" i="2"/>
  <c r="D1678" i="2"/>
  <c r="B1678" i="2"/>
  <c r="D1677" i="2"/>
  <c r="B1677" i="2"/>
  <c r="D1676" i="2"/>
  <c r="B1676" i="2"/>
  <c r="D1675" i="2"/>
  <c r="B1675" i="2"/>
  <c r="D1674" i="2"/>
  <c r="B1674" i="2"/>
  <c r="D1673" i="2"/>
  <c r="B1673" i="2"/>
  <c r="D1672" i="2"/>
  <c r="B1672" i="2"/>
  <c r="D1671" i="2"/>
  <c r="B1671" i="2"/>
  <c r="D1670" i="2"/>
  <c r="B1670" i="2"/>
  <c r="D1669" i="2"/>
  <c r="B1669" i="2"/>
  <c r="D1668" i="2"/>
  <c r="B1668" i="2"/>
  <c r="D1667" i="2"/>
  <c r="B1667" i="2"/>
  <c r="D1666" i="2"/>
  <c r="B1666" i="2"/>
  <c r="D1665" i="2"/>
  <c r="B1665" i="2"/>
  <c r="D1664" i="2"/>
  <c r="B1664" i="2"/>
  <c r="D1663" i="2"/>
  <c r="B1663" i="2"/>
  <c r="D1662" i="2"/>
  <c r="B1662" i="2"/>
  <c r="D1661" i="2"/>
  <c r="B1661" i="2"/>
  <c r="D1660" i="2"/>
  <c r="B1660" i="2"/>
  <c r="D1659" i="2"/>
  <c r="B1659" i="2"/>
  <c r="D1658" i="2"/>
  <c r="B1658" i="2"/>
  <c r="D1657" i="2"/>
  <c r="B1657" i="2"/>
  <c r="D1656" i="2"/>
  <c r="B1656" i="2"/>
  <c r="D1655" i="2"/>
  <c r="B1655" i="2"/>
  <c r="D1654" i="2"/>
  <c r="B1654" i="2"/>
  <c r="D1653" i="2"/>
  <c r="B1653" i="2"/>
  <c r="D1652" i="2"/>
  <c r="B1652" i="2"/>
  <c r="D1651" i="2"/>
  <c r="B1651" i="2"/>
  <c r="D1650" i="2"/>
  <c r="B1650" i="2"/>
  <c r="D1649" i="2"/>
  <c r="B1649" i="2"/>
  <c r="D1648" i="2"/>
  <c r="B1648" i="2"/>
  <c r="D1647" i="2"/>
  <c r="B1647" i="2"/>
  <c r="D1646" i="2"/>
  <c r="B1646" i="2"/>
  <c r="D1645" i="2"/>
  <c r="B1645" i="2"/>
  <c r="D1644" i="2"/>
  <c r="B1644" i="2"/>
  <c r="D1643" i="2"/>
  <c r="B1643" i="2"/>
  <c r="D1642" i="2"/>
  <c r="B1642" i="2"/>
  <c r="D1641" i="2"/>
  <c r="B1641" i="2"/>
  <c r="D1640" i="2"/>
  <c r="B1640" i="2"/>
  <c r="D1639" i="2"/>
  <c r="B1639" i="2"/>
  <c r="D1638" i="2"/>
  <c r="B1638" i="2"/>
  <c r="D1637" i="2"/>
  <c r="B1637" i="2"/>
  <c r="D1636" i="2"/>
  <c r="B1636" i="2"/>
  <c r="D1635" i="2"/>
  <c r="B1635" i="2"/>
  <c r="D1634" i="2"/>
  <c r="B1634" i="2"/>
  <c r="D1633" i="2"/>
  <c r="B1633" i="2"/>
  <c r="D1632" i="2"/>
  <c r="B1632" i="2"/>
  <c r="D1631" i="2"/>
  <c r="B1631" i="2"/>
  <c r="D1630" i="2"/>
  <c r="B1630" i="2"/>
  <c r="D1629" i="2"/>
  <c r="B1629" i="2"/>
  <c r="D1628" i="2"/>
  <c r="B1628" i="2"/>
  <c r="D1627" i="2"/>
  <c r="B1627" i="2"/>
  <c r="D1626" i="2"/>
  <c r="B1626" i="2"/>
  <c r="D1625" i="2"/>
  <c r="B1625" i="2"/>
  <c r="D1624" i="2"/>
  <c r="B1624" i="2"/>
  <c r="D1623" i="2"/>
  <c r="B1623" i="2"/>
  <c r="D1622" i="2"/>
  <c r="B1622" i="2"/>
  <c r="D1621" i="2"/>
  <c r="B1621" i="2"/>
  <c r="D1620" i="2"/>
  <c r="B1620" i="2"/>
  <c r="D1619" i="2"/>
  <c r="B1619" i="2"/>
  <c r="D1618" i="2"/>
  <c r="B1618" i="2"/>
  <c r="D1617" i="2"/>
  <c r="B1617" i="2"/>
  <c r="D1616" i="2"/>
  <c r="B1616" i="2"/>
  <c r="D1615" i="2"/>
  <c r="B1615" i="2"/>
  <c r="D1614" i="2"/>
  <c r="B1614" i="2"/>
  <c r="D1613" i="2"/>
  <c r="B1613" i="2"/>
  <c r="D1612" i="2"/>
  <c r="B1612" i="2"/>
  <c r="D1611" i="2"/>
  <c r="B1611" i="2"/>
  <c r="D1610" i="2"/>
  <c r="B1610" i="2"/>
  <c r="D1609" i="2"/>
  <c r="B1609" i="2"/>
  <c r="D1608" i="2"/>
  <c r="B1608" i="2"/>
  <c r="D1607" i="2"/>
  <c r="B1607" i="2"/>
  <c r="D1606" i="2"/>
  <c r="B1606" i="2"/>
  <c r="D1605" i="2"/>
  <c r="B1605" i="2"/>
  <c r="D1604" i="2"/>
  <c r="B1604" i="2"/>
  <c r="D1603" i="2"/>
  <c r="B1603" i="2"/>
  <c r="D1602" i="2"/>
  <c r="B1602" i="2"/>
  <c r="D1601" i="2"/>
  <c r="B1601" i="2"/>
  <c r="D1600" i="2"/>
  <c r="B1600" i="2"/>
  <c r="D1599" i="2"/>
  <c r="B1599" i="2"/>
  <c r="D1598" i="2"/>
  <c r="B1598" i="2"/>
  <c r="D1597" i="2"/>
  <c r="B1597" i="2"/>
  <c r="D1596" i="2"/>
  <c r="B1596" i="2"/>
  <c r="D1595" i="2"/>
  <c r="B1595" i="2"/>
  <c r="D1594" i="2"/>
  <c r="B1594" i="2"/>
  <c r="D1593" i="2"/>
  <c r="B1593" i="2"/>
  <c r="D1592" i="2"/>
  <c r="B1592" i="2"/>
  <c r="D1591" i="2"/>
  <c r="B1591" i="2"/>
  <c r="D1590" i="2"/>
  <c r="B1590" i="2"/>
  <c r="D1589" i="2"/>
  <c r="B1589" i="2"/>
  <c r="D1588" i="2"/>
  <c r="B1588" i="2"/>
  <c r="D1587" i="2"/>
  <c r="B1587" i="2"/>
  <c r="D1586" i="2"/>
  <c r="B1586" i="2"/>
  <c r="D1585" i="2"/>
  <c r="B1585" i="2"/>
  <c r="D1584" i="2"/>
  <c r="B1584" i="2"/>
  <c r="D1583" i="2"/>
  <c r="B1583" i="2"/>
  <c r="D1582" i="2"/>
  <c r="B1582" i="2"/>
  <c r="D1581" i="2"/>
  <c r="B1581" i="2"/>
  <c r="D1580" i="2"/>
  <c r="B1580" i="2"/>
  <c r="D1579" i="2"/>
  <c r="B1579" i="2"/>
  <c r="D1578" i="2"/>
  <c r="B1578" i="2"/>
  <c r="D1577" i="2"/>
  <c r="B1577" i="2"/>
  <c r="D1576" i="2"/>
  <c r="B1576" i="2"/>
  <c r="D1575" i="2"/>
  <c r="B1575" i="2"/>
  <c r="D1574" i="2"/>
  <c r="B1574" i="2"/>
  <c r="D1573" i="2"/>
  <c r="B1573" i="2"/>
  <c r="D1572" i="2"/>
  <c r="B1572" i="2"/>
  <c r="D1571" i="2"/>
  <c r="B1571" i="2"/>
  <c r="D1570" i="2"/>
  <c r="B1570" i="2"/>
  <c r="D1569" i="2"/>
  <c r="B1569" i="2"/>
  <c r="D1568" i="2"/>
  <c r="B1568" i="2"/>
  <c r="D1567" i="2"/>
  <c r="B1567" i="2"/>
  <c r="D1566" i="2"/>
  <c r="B1566" i="2"/>
  <c r="D1565" i="2"/>
  <c r="B1565" i="2"/>
  <c r="D1564" i="2"/>
  <c r="B1564" i="2"/>
  <c r="D1563" i="2"/>
  <c r="B1563" i="2"/>
  <c r="D1562" i="2"/>
  <c r="B1562" i="2"/>
  <c r="D1561" i="2"/>
  <c r="B1561" i="2"/>
  <c r="D1560" i="2"/>
  <c r="B1560" i="2"/>
  <c r="D1559" i="2"/>
  <c r="B1559" i="2"/>
  <c r="D1558" i="2"/>
  <c r="B1558" i="2"/>
  <c r="D1557" i="2"/>
  <c r="B1557" i="2"/>
  <c r="D1556" i="2"/>
  <c r="B1556" i="2"/>
  <c r="D1555" i="2"/>
  <c r="B1555" i="2"/>
  <c r="D1554" i="2"/>
  <c r="B1554" i="2"/>
  <c r="D1553" i="2"/>
  <c r="B1553" i="2"/>
  <c r="D1552" i="2"/>
  <c r="B1552" i="2"/>
  <c r="D1551" i="2"/>
  <c r="B1551" i="2"/>
  <c r="D1550" i="2"/>
  <c r="B1550" i="2"/>
  <c r="D1549" i="2"/>
  <c r="B1549" i="2"/>
  <c r="D1548" i="2"/>
  <c r="B1548" i="2"/>
  <c r="D1547" i="2"/>
  <c r="B1547" i="2"/>
  <c r="D1546" i="2"/>
  <c r="B1546" i="2"/>
  <c r="D1545" i="2"/>
  <c r="B1545" i="2"/>
  <c r="D1544" i="2"/>
  <c r="B1544" i="2"/>
  <c r="D1543" i="2"/>
  <c r="B1543" i="2"/>
  <c r="D1542" i="2"/>
  <c r="B1542" i="2"/>
  <c r="D1541" i="2"/>
  <c r="B1541" i="2"/>
  <c r="D1540" i="2"/>
  <c r="B1540" i="2"/>
  <c r="D1539" i="2"/>
  <c r="B1539" i="2"/>
  <c r="D1538" i="2"/>
  <c r="B1538" i="2"/>
  <c r="D1537" i="2"/>
  <c r="B1537" i="2"/>
  <c r="D1536" i="2"/>
  <c r="B1536" i="2"/>
  <c r="D1535" i="2"/>
  <c r="B1535" i="2"/>
  <c r="D1534" i="2"/>
  <c r="B1534" i="2"/>
  <c r="D1533" i="2"/>
  <c r="B1533" i="2"/>
  <c r="D1532" i="2"/>
  <c r="B1532" i="2"/>
  <c r="D1531" i="2"/>
  <c r="B1531" i="2"/>
  <c r="D1530" i="2"/>
  <c r="B1530" i="2"/>
  <c r="D1529" i="2"/>
  <c r="B1529" i="2"/>
  <c r="D1528" i="2"/>
  <c r="B1528" i="2"/>
  <c r="D1527" i="2"/>
  <c r="B1527" i="2"/>
  <c r="D1526" i="2"/>
  <c r="B1526" i="2"/>
  <c r="D1525" i="2"/>
  <c r="B1525" i="2"/>
  <c r="D1524" i="2"/>
  <c r="B1524" i="2"/>
  <c r="D1523" i="2"/>
  <c r="B1523" i="2"/>
  <c r="D1522" i="2"/>
  <c r="B1522" i="2"/>
  <c r="D1521" i="2"/>
  <c r="B1521" i="2"/>
  <c r="D1520" i="2"/>
  <c r="B1520" i="2"/>
  <c r="D1519" i="2"/>
  <c r="B1519" i="2"/>
  <c r="D1518" i="2"/>
  <c r="B1518" i="2"/>
  <c r="D1517" i="2"/>
  <c r="B1517" i="2"/>
  <c r="D1516" i="2"/>
  <c r="B1516" i="2"/>
  <c r="D1515" i="2"/>
  <c r="B1515" i="2"/>
  <c r="D1514" i="2"/>
  <c r="B1514" i="2"/>
  <c r="D1513" i="2"/>
  <c r="B1513" i="2"/>
  <c r="D1512" i="2"/>
  <c r="B1512" i="2"/>
  <c r="D1511" i="2"/>
  <c r="B1511" i="2"/>
  <c r="D1510" i="2"/>
  <c r="B1510" i="2"/>
  <c r="D1509" i="2"/>
  <c r="B1509" i="2"/>
  <c r="D1508" i="2"/>
  <c r="B1508" i="2"/>
  <c r="D1507" i="2"/>
  <c r="B1507" i="2"/>
  <c r="D1506" i="2"/>
  <c r="B1506" i="2"/>
  <c r="D1505" i="2"/>
  <c r="B1505" i="2"/>
  <c r="D1504" i="2"/>
  <c r="B1504" i="2"/>
  <c r="D1503" i="2"/>
  <c r="B1503" i="2"/>
  <c r="D1502" i="2"/>
  <c r="B1502" i="2"/>
  <c r="D1501" i="2"/>
  <c r="B1501" i="2"/>
  <c r="D1500" i="2"/>
  <c r="B1500" i="2"/>
  <c r="D1499" i="2"/>
  <c r="B1499" i="2"/>
  <c r="D1498" i="2"/>
  <c r="B1498" i="2"/>
  <c r="D1497" i="2"/>
  <c r="B1497" i="2"/>
  <c r="D1496" i="2"/>
  <c r="B1496" i="2"/>
  <c r="D1495" i="2"/>
  <c r="B1495" i="2"/>
  <c r="D1494" i="2"/>
  <c r="B1494" i="2"/>
  <c r="D1493" i="2"/>
  <c r="B1493" i="2"/>
  <c r="D1492" i="2"/>
  <c r="B1492" i="2"/>
  <c r="D1491" i="2"/>
  <c r="B1491" i="2"/>
  <c r="D1490" i="2"/>
  <c r="B1490" i="2"/>
  <c r="D1489" i="2"/>
  <c r="B1489" i="2"/>
  <c r="D1488" i="2"/>
  <c r="B1488" i="2"/>
  <c r="D1487" i="2"/>
  <c r="B1487" i="2"/>
  <c r="D1486" i="2"/>
  <c r="B1486" i="2"/>
  <c r="D1485" i="2"/>
  <c r="B1485" i="2"/>
  <c r="D1484" i="2"/>
  <c r="B1484" i="2"/>
  <c r="D1483" i="2"/>
  <c r="B1483" i="2"/>
  <c r="D1482" i="2"/>
  <c r="B1482" i="2"/>
  <c r="D1481" i="2"/>
  <c r="B1481" i="2"/>
  <c r="D1480" i="2"/>
  <c r="B1480" i="2"/>
  <c r="D1479" i="2"/>
  <c r="B1479" i="2"/>
  <c r="D1478" i="2"/>
  <c r="B1478" i="2"/>
  <c r="D1477" i="2"/>
  <c r="B1477" i="2"/>
  <c r="D1476" i="2"/>
  <c r="B1476" i="2"/>
  <c r="D1475" i="2"/>
  <c r="B1475" i="2"/>
  <c r="D1474" i="2"/>
  <c r="B1474" i="2"/>
  <c r="D1473" i="2"/>
  <c r="B1473" i="2"/>
  <c r="D1472" i="2"/>
  <c r="B1472" i="2"/>
  <c r="D1471" i="2"/>
  <c r="B1471" i="2"/>
  <c r="D1470" i="2"/>
  <c r="B1470" i="2"/>
  <c r="D1469" i="2"/>
  <c r="B1469" i="2"/>
  <c r="D1468" i="2"/>
  <c r="B1468" i="2"/>
  <c r="D1467" i="2"/>
  <c r="B1467" i="2"/>
  <c r="D1466" i="2"/>
  <c r="B1466" i="2"/>
  <c r="D1465" i="2"/>
  <c r="B1465" i="2"/>
  <c r="D1464" i="2"/>
  <c r="B1464" i="2"/>
  <c r="D1463" i="2"/>
  <c r="B1463" i="2"/>
  <c r="D1462" i="2"/>
  <c r="B1462" i="2"/>
  <c r="D1461" i="2"/>
  <c r="B1461" i="2"/>
  <c r="D1460" i="2"/>
  <c r="B1460" i="2"/>
  <c r="D1459" i="2"/>
  <c r="B1459" i="2"/>
  <c r="D1458" i="2"/>
  <c r="B1458" i="2"/>
  <c r="D1457" i="2"/>
  <c r="B1457" i="2"/>
  <c r="D1456" i="2"/>
  <c r="B1456" i="2"/>
  <c r="D1455" i="2"/>
  <c r="B1455" i="2"/>
  <c r="D1454" i="2"/>
  <c r="B1454" i="2"/>
  <c r="D1453" i="2"/>
  <c r="B1453" i="2"/>
  <c r="D1452" i="2"/>
  <c r="B1452" i="2"/>
  <c r="D1451" i="2"/>
  <c r="B1451" i="2"/>
  <c r="D1450" i="2"/>
  <c r="B1450" i="2"/>
  <c r="D1449" i="2"/>
  <c r="B1449" i="2"/>
  <c r="D1448" i="2"/>
  <c r="B1448" i="2"/>
  <c r="D1447" i="2"/>
  <c r="B1447" i="2"/>
  <c r="D1446" i="2"/>
  <c r="B1446" i="2"/>
  <c r="D1445" i="2"/>
  <c r="B1445" i="2"/>
  <c r="D1444" i="2"/>
  <c r="B1444" i="2"/>
  <c r="D1443" i="2"/>
  <c r="B1443" i="2"/>
  <c r="D1442" i="2"/>
  <c r="B1442" i="2"/>
  <c r="D1441" i="2"/>
  <c r="B1441" i="2"/>
  <c r="D1440" i="2"/>
  <c r="B1440" i="2"/>
  <c r="D1439" i="2"/>
  <c r="B1439" i="2"/>
  <c r="D1438" i="2"/>
  <c r="B1438" i="2"/>
  <c r="D1437" i="2"/>
  <c r="B1437" i="2"/>
  <c r="D1436" i="2"/>
  <c r="B1436" i="2"/>
  <c r="D1435" i="2"/>
  <c r="B1435" i="2"/>
  <c r="D1434" i="2"/>
  <c r="B1434" i="2"/>
  <c r="D1433" i="2"/>
  <c r="B1433" i="2"/>
  <c r="D1432" i="2"/>
  <c r="B1432" i="2"/>
  <c r="D1431" i="2"/>
  <c r="B1431" i="2"/>
  <c r="D1430" i="2"/>
  <c r="B1430" i="2"/>
  <c r="D1429" i="2"/>
  <c r="B1429" i="2"/>
  <c r="D1428" i="2"/>
  <c r="B1428" i="2"/>
  <c r="D1427" i="2"/>
  <c r="B1427" i="2"/>
  <c r="D1426" i="2"/>
  <c r="B1426" i="2"/>
  <c r="D1425" i="2"/>
  <c r="B1425" i="2"/>
  <c r="D1424" i="2"/>
  <c r="B1424" i="2"/>
  <c r="D1423" i="2"/>
  <c r="B1423" i="2"/>
  <c r="D1422" i="2"/>
  <c r="B1422" i="2"/>
  <c r="D1421" i="2"/>
  <c r="B1421" i="2"/>
  <c r="D1420" i="2"/>
  <c r="B1420" i="2"/>
  <c r="D1419" i="2"/>
  <c r="B1419" i="2"/>
  <c r="D1418" i="2"/>
  <c r="B1418" i="2"/>
  <c r="D1417" i="2"/>
  <c r="B1417" i="2"/>
  <c r="D1416" i="2"/>
  <c r="B1416" i="2"/>
  <c r="D1415" i="2"/>
  <c r="B1415" i="2"/>
  <c r="D1414" i="2"/>
  <c r="B1414" i="2"/>
  <c r="D1413" i="2"/>
  <c r="B1413" i="2"/>
  <c r="D1412" i="2"/>
  <c r="B1412" i="2"/>
  <c r="D1411" i="2"/>
  <c r="B1411" i="2"/>
  <c r="D1410" i="2"/>
  <c r="B1410" i="2"/>
  <c r="D1409" i="2"/>
  <c r="B1409" i="2"/>
  <c r="D1408" i="2"/>
  <c r="B1408" i="2"/>
  <c r="D1407" i="2"/>
  <c r="B1407" i="2"/>
  <c r="D1406" i="2"/>
  <c r="B1406" i="2"/>
  <c r="D1405" i="2"/>
  <c r="B1405" i="2"/>
  <c r="D1404" i="2"/>
  <c r="B1404" i="2"/>
  <c r="D1403" i="2"/>
  <c r="B1403" i="2"/>
  <c r="D1402" i="2"/>
  <c r="B1402" i="2"/>
  <c r="D1401" i="2"/>
  <c r="B1401" i="2"/>
  <c r="D1400" i="2"/>
  <c r="B1400" i="2"/>
  <c r="D1399" i="2"/>
  <c r="B1399" i="2"/>
  <c r="D1398" i="2"/>
  <c r="B1398" i="2"/>
  <c r="D1397" i="2"/>
  <c r="B1397" i="2"/>
  <c r="D1396" i="2"/>
  <c r="B1396" i="2"/>
  <c r="D1395" i="2"/>
  <c r="B1395" i="2"/>
  <c r="D1394" i="2"/>
  <c r="B1394" i="2"/>
  <c r="D1393" i="2"/>
  <c r="B1393" i="2"/>
  <c r="D1392" i="2"/>
  <c r="B1392" i="2"/>
  <c r="D1391" i="2"/>
  <c r="B1391" i="2"/>
  <c r="D1390" i="2"/>
  <c r="B1390" i="2"/>
  <c r="D1389" i="2"/>
  <c r="B1389" i="2"/>
  <c r="D1388" i="2"/>
  <c r="B1388" i="2"/>
  <c r="D1387" i="2"/>
  <c r="B1387" i="2"/>
  <c r="D1386" i="2"/>
  <c r="B1386" i="2"/>
  <c r="D1385" i="2"/>
  <c r="B1385" i="2"/>
  <c r="D1384" i="2"/>
  <c r="B1384" i="2"/>
  <c r="D1383" i="2"/>
  <c r="B1383" i="2"/>
  <c r="D1382" i="2"/>
  <c r="B1382" i="2"/>
  <c r="D1381" i="2"/>
  <c r="B1381" i="2"/>
  <c r="D1380" i="2"/>
  <c r="B1380" i="2"/>
  <c r="D1379" i="2"/>
  <c r="B1379" i="2"/>
  <c r="D1378" i="2"/>
  <c r="B1378" i="2"/>
  <c r="D1377" i="2"/>
  <c r="B1377" i="2"/>
  <c r="D1376" i="2"/>
  <c r="B1376" i="2"/>
  <c r="D1375" i="2"/>
  <c r="B1375" i="2"/>
  <c r="D1374" i="2"/>
  <c r="B1374" i="2"/>
  <c r="D1373" i="2"/>
  <c r="B1373" i="2"/>
  <c r="D1372" i="2"/>
  <c r="B1372" i="2"/>
  <c r="D1371" i="2"/>
  <c r="B1371" i="2"/>
  <c r="D1370" i="2"/>
  <c r="B1370" i="2"/>
  <c r="D1369" i="2"/>
  <c r="B1369" i="2"/>
  <c r="D1368" i="2"/>
  <c r="B1368" i="2"/>
  <c r="D1367" i="2"/>
  <c r="B1367" i="2"/>
  <c r="D1366" i="2"/>
  <c r="B1366" i="2"/>
  <c r="D1365" i="2"/>
  <c r="B1365" i="2"/>
  <c r="D1364" i="2"/>
  <c r="B1364" i="2"/>
  <c r="D1363" i="2"/>
  <c r="B1363" i="2"/>
  <c r="D1362" i="2"/>
  <c r="B1362" i="2"/>
  <c r="D1361" i="2"/>
  <c r="B1361" i="2"/>
  <c r="D1360" i="2"/>
  <c r="B1360" i="2"/>
  <c r="D1359" i="2"/>
  <c r="B1359" i="2"/>
  <c r="D1358" i="2"/>
  <c r="B1358" i="2"/>
  <c r="D1357" i="2"/>
  <c r="B1357" i="2"/>
  <c r="D1356" i="2"/>
  <c r="B1356" i="2"/>
  <c r="D1355" i="2"/>
  <c r="B1355" i="2"/>
  <c r="D1354" i="2"/>
  <c r="B1354" i="2"/>
  <c r="D1353" i="2"/>
  <c r="B1353" i="2"/>
  <c r="D1352" i="2"/>
  <c r="B1352" i="2"/>
  <c r="D1351" i="2"/>
  <c r="B1351" i="2"/>
  <c r="D1350" i="2"/>
  <c r="B1350" i="2"/>
  <c r="D1349" i="2"/>
  <c r="B1349" i="2"/>
  <c r="D1348" i="2"/>
  <c r="B1348" i="2"/>
  <c r="D1347" i="2"/>
  <c r="B1347" i="2"/>
  <c r="D1346" i="2"/>
  <c r="B1346" i="2"/>
  <c r="D1345" i="2"/>
  <c r="B1345" i="2"/>
  <c r="D1344" i="2"/>
  <c r="B1344" i="2"/>
  <c r="D1343" i="2"/>
  <c r="B1343" i="2"/>
  <c r="D1342" i="2"/>
  <c r="B1342" i="2"/>
  <c r="D1341" i="2"/>
  <c r="B1341" i="2"/>
  <c r="D1340" i="2"/>
  <c r="B1340" i="2"/>
  <c r="D1339" i="2"/>
  <c r="B1339" i="2"/>
  <c r="D1338" i="2"/>
  <c r="B1338" i="2"/>
  <c r="D1337" i="2"/>
  <c r="B1337" i="2"/>
  <c r="D1336" i="2"/>
  <c r="B1336" i="2"/>
  <c r="D1335" i="2"/>
  <c r="B1335" i="2"/>
  <c r="D1334" i="2"/>
  <c r="B1334" i="2"/>
  <c r="D1333" i="2"/>
  <c r="B1333" i="2"/>
  <c r="D1332" i="2"/>
  <c r="B1332" i="2"/>
  <c r="D1331" i="2"/>
  <c r="B1331" i="2"/>
  <c r="D1330" i="2"/>
  <c r="B1330" i="2"/>
  <c r="D1329" i="2"/>
  <c r="B1329" i="2"/>
  <c r="D1328" i="2"/>
  <c r="B1328" i="2"/>
  <c r="D1327" i="2"/>
  <c r="B1327" i="2"/>
  <c r="D1326" i="2"/>
  <c r="B1326" i="2"/>
  <c r="D1325" i="2"/>
  <c r="B1325" i="2"/>
  <c r="D1324" i="2"/>
  <c r="B1324" i="2"/>
  <c r="D1323" i="2"/>
  <c r="B1323" i="2"/>
  <c r="D1322" i="2"/>
  <c r="B1322" i="2"/>
  <c r="D1321" i="2"/>
  <c r="B1321" i="2"/>
  <c r="D1320" i="2"/>
  <c r="B1320" i="2"/>
  <c r="D1319" i="2"/>
  <c r="B1319" i="2"/>
  <c r="D1318" i="2"/>
  <c r="B1318" i="2"/>
  <c r="D1317" i="2"/>
  <c r="B1317" i="2"/>
  <c r="D1316" i="2"/>
  <c r="B1316" i="2"/>
  <c r="D1315" i="2"/>
  <c r="B1315" i="2"/>
  <c r="D1314" i="2"/>
  <c r="B1314" i="2"/>
  <c r="D1313" i="2"/>
  <c r="B1313" i="2"/>
  <c r="D1312" i="2"/>
  <c r="B1312" i="2"/>
  <c r="D1311" i="2"/>
  <c r="B1311" i="2"/>
  <c r="D1310" i="2"/>
  <c r="B1310" i="2"/>
  <c r="D1309" i="2"/>
  <c r="B1309" i="2"/>
  <c r="D1308" i="2"/>
  <c r="B1308" i="2"/>
  <c r="D1307" i="2"/>
  <c r="B1307" i="2"/>
  <c r="D1306" i="2"/>
  <c r="B1306" i="2"/>
  <c r="D1305" i="2"/>
  <c r="B1305" i="2"/>
  <c r="D1304" i="2"/>
  <c r="B1304" i="2"/>
  <c r="D1303" i="2"/>
  <c r="B1303" i="2"/>
  <c r="D1302" i="2"/>
  <c r="B1302" i="2"/>
  <c r="D1301" i="2"/>
  <c r="B1301" i="2"/>
  <c r="D1300" i="2"/>
  <c r="B1300" i="2"/>
  <c r="D1299" i="2"/>
  <c r="B1299" i="2"/>
  <c r="D1298" i="2"/>
  <c r="B1298" i="2"/>
  <c r="D1297" i="2"/>
  <c r="B1297" i="2"/>
  <c r="D1296" i="2"/>
  <c r="B1296" i="2"/>
  <c r="D1295" i="2"/>
  <c r="B1295" i="2"/>
  <c r="D1294" i="2"/>
  <c r="B1294" i="2"/>
  <c r="D1293" i="2"/>
  <c r="B1293" i="2"/>
  <c r="D1292" i="2"/>
  <c r="B1292" i="2"/>
  <c r="D1291" i="2"/>
  <c r="B1291" i="2"/>
  <c r="D1290" i="2"/>
  <c r="B1290" i="2"/>
  <c r="D1289" i="2"/>
  <c r="B1289" i="2"/>
  <c r="D1288" i="2"/>
  <c r="B1288" i="2"/>
  <c r="D1287" i="2"/>
  <c r="B1287" i="2"/>
  <c r="D1286" i="2"/>
  <c r="B1286" i="2"/>
  <c r="D1285" i="2"/>
  <c r="B1285" i="2"/>
  <c r="D1284" i="2"/>
  <c r="B1284" i="2"/>
  <c r="D1283" i="2"/>
  <c r="B1283" i="2"/>
  <c r="D1282" i="2"/>
  <c r="B1282" i="2"/>
  <c r="D1281" i="2"/>
  <c r="B1281" i="2"/>
  <c r="D1280" i="2"/>
  <c r="B1280" i="2"/>
  <c r="D1279" i="2"/>
  <c r="B1279" i="2"/>
  <c r="D1278" i="2"/>
  <c r="B1278" i="2"/>
  <c r="D1277" i="2"/>
  <c r="B1277" i="2"/>
  <c r="D1276" i="2"/>
  <c r="B1276" i="2"/>
  <c r="D1275" i="2"/>
  <c r="B1275" i="2"/>
  <c r="D1274" i="2"/>
  <c r="B1274" i="2"/>
  <c r="D1273" i="2"/>
  <c r="B1273" i="2"/>
  <c r="D1272" i="2"/>
  <c r="B1272" i="2"/>
  <c r="D1271" i="2"/>
  <c r="B1271" i="2"/>
  <c r="D1270" i="2"/>
  <c r="B1270" i="2"/>
  <c r="D1269" i="2"/>
  <c r="B1269" i="2"/>
  <c r="D1268" i="2"/>
  <c r="B1268" i="2"/>
  <c r="D1267" i="2"/>
  <c r="B1267" i="2"/>
  <c r="D1266" i="2"/>
  <c r="B1266" i="2"/>
  <c r="D1265" i="2"/>
  <c r="B1265" i="2"/>
  <c r="D1264" i="2"/>
  <c r="B1264" i="2"/>
  <c r="D1263" i="2"/>
  <c r="B1263" i="2"/>
  <c r="D1262" i="2"/>
  <c r="B1262" i="2"/>
  <c r="D1261" i="2"/>
  <c r="B1261" i="2"/>
  <c r="D1260" i="2"/>
  <c r="B1260" i="2"/>
  <c r="D1259" i="2"/>
  <c r="B1259" i="2"/>
  <c r="D1258" i="2"/>
  <c r="B1258" i="2"/>
  <c r="D1257" i="2"/>
  <c r="B1257" i="2"/>
  <c r="D1256" i="2"/>
  <c r="B1256" i="2"/>
  <c r="D1255" i="2"/>
  <c r="B1255" i="2"/>
  <c r="D1254" i="2"/>
  <c r="B1254" i="2"/>
  <c r="D1253" i="2"/>
  <c r="B1253" i="2"/>
  <c r="D1252" i="2"/>
  <c r="B1252" i="2"/>
  <c r="D1251" i="2"/>
  <c r="B1251" i="2"/>
  <c r="D1250" i="2"/>
  <c r="B1250" i="2"/>
  <c r="D1249" i="2"/>
  <c r="B1249" i="2"/>
  <c r="D1248" i="2"/>
  <c r="B1248" i="2"/>
  <c r="D1247" i="2"/>
  <c r="B1247" i="2"/>
  <c r="D1246" i="2"/>
  <c r="B1246" i="2"/>
  <c r="D1245" i="2"/>
  <c r="B1245" i="2"/>
  <c r="D1244" i="2"/>
  <c r="B1244" i="2"/>
  <c r="D1243" i="2"/>
  <c r="B1243" i="2"/>
  <c r="D1242" i="2"/>
  <c r="B1242" i="2"/>
  <c r="D1241" i="2"/>
  <c r="B1241" i="2"/>
  <c r="D1240" i="2"/>
  <c r="B1240" i="2"/>
  <c r="D1239" i="2"/>
  <c r="B1239" i="2"/>
  <c r="D1238" i="2"/>
  <c r="B1238" i="2"/>
  <c r="D1237" i="2"/>
  <c r="B1237" i="2"/>
  <c r="D1236" i="2"/>
  <c r="B1236" i="2"/>
  <c r="D1235" i="2"/>
  <c r="B1235" i="2"/>
  <c r="D1234" i="2"/>
  <c r="B1234" i="2"/>
  <c r="D1233" i="2"/>
  <c r="B1233" i="2"/>
  <c r="D1232" i="2"/>
  <c r="B1232" i="2"/>
  <c r="D1231" i="2"/>
  <c r="B1231" i="2"/>
  <c r="D1230" i="2"/>
  <c r="B1230" i="2"/>
  <c r="D1229" i="2"/>
  <c r="B1229" i="2"/>
  <c r="D1228" i="2"/>
  <c r="B1228" i="2"/>
  <c r="D1227" i="2"/>
  <c r="B1227" i="2"/>
  <c r="D1226" i="2"/>
  <c r="B1226" i="2"/>
  <c r="D1225" i="2"/>
  <c r="B1225" i="2"/>
  <c r="D1224" i="2"/>
  <c r="B1224" i="2"/>
  <c r="D1223" i="2"/>
  <c r="B1223" i="2"/>
  <c r="D1222" i="2"/>
  <c r="B1222" i="2"/>
  <c r="D1221" i="2"/>
  <c r="B1221" i="2"/>
  <c r="D1220" i="2"/>
  <c r="B1220" i="2"/>
  <c r="D1219" i="2"/>
  <c r="B1219" i="2"/>
  <c r="D1218" i="2"/>
  <c r="B1218" i="2"/>
  <c r="D1217" i="2"/>
  <c r="B1217" i="2"/>
  <c r="D1216" i="2"/>
  <c r="B1216" i="2"/>
  <c r="D1215" i="2"/>
  <c r="B1215" i="2"/>
  <c r="D1214" i="2"/>
  <c r="B1214" i="2"/>
  <c r="D1213" i="2"/>
  <c r="B1213" i="2"/>
  <c r="D1212" i="2"/>
  <c r="B1212" i="2"/>
  <c r="D1211" i="2"/>
  <c r="B1211" i="2"/>
  <c r="D1210" i="2"/>
  <c r="B1210" i="2"/>
  <c r="D1209" i="2"/>
  <c r="B1209" i="2"/>
  <c r="D1208" i="2"/>
  <c r="B1208" i="2"/>
  <c r="D1207" i="2"/>
  <c r="B1207" i="2"/>
  <c r="D1206" i="2"/>
  <c r="B1206" i="2"/>
  <c r="D1205" i="2"/>
  <c r="B1205" i="2"/>
  <c r="D1204" i="2"/>
  <c r="B1204" i="2"/>
  <c r="D1203" i="2"/>
  <c r="B1203" i="2"/>
  <c r="D1202" i="2"/>
  <c r="B1202" i="2"/>
  <c r="D1201" i="2"/>
  <c r="B1201" i="2"/>
  <c r="D1200" i="2"/>
  <c r="B1200" i="2"/>
  <c r="D1199" i="2"/>
  <c r="B1199" i="2"/>
  <c r="D1198" i="2"/>
  <c r="B1198" i="2"/>
  <c r="D1197" i="2"/>
  <c r="B1197" i="2"/>
  <c r="D1196" i="2"/>
  <c r="B1196" i="2"/>
  <c r="D1195" i="2"/>
  <c r="B1195" i="2"/>
  <c r="D1194" i="2"/>
  <c r="B1194" i="2"/>
  <c r="D1193" i="2"/>
  <c r="B1193" i="2"/>
  <c r="D1192" i="2"/>
  <c r="B1192" i="2"/>
  <c r="D1191" i="2"/>
  <c r="B1191" i="2"/>
  <c r="D1190" i="2"/>
  <c r="B1190" i="2"/>
  <c r="D1189" i="2"/>
  <c r="B1189" i="2"/>
  <c r="D1188" i="2"/>
  <c r="B1188" i="2"/>
  <c r="D1187" i="2"/>
  <c r="B1187" i="2"/>
  <c r="D1186" i="2"/>
  <c r="B1186" i="2"/>
  <c r="D1185" i="2"/>
  <c r="B1185" i="2"/>
  <c r="D1184" i="2"/>
  <c r="B1184" i="2"/>
  <c r="D1183" i="2"/>
  <c r="B1183" i="2"/>
  <c r="D1182" i="2"/>
  <c r="B1182" i="2"/>
  <c r="D1181" i="2"/>
  <c r="B1181" i="2"/>
  <c r="D1180" i="2"/>
  <c r="B1180" i="2"/>
  <c r="D1179" i="2"/>
  <c r="B1179" i="2"/>
  <c r="D1178" i="2"/>
  <c r="B1178" i="2"/>
  <c r="D1177" i="2"/>
  <c r="B1177" i="2"/>
  <c r="D1176" i="2"/>
  <c r="B1176" i="2"/>
  <c r="D1175" i="2"/>
  <c r="B1175" i="2"/>
  <c r="D1174" i="2"/>
  <c r="B1174" i="2"/>
  <c r="D1173" i="2"/>
  <c r="B1173" i="2"/>
  <c r="D1172" i="2"/>
  <c r="B1172" i="2"/>
  <c r="D1171" i="2"/>
  <c r="B1171" i="2"/>
  <c r="D1170" i="2"/>
  <c r="B1170" i="2"/>
  <c r="D1169" i="2"/>
  <c r="B1169" i="2"/>
  <c r="D1168" i="2"/>
  <c r="B1168" i="2"/>
  <c r="D1167" i="2"/>
  <c r="B1167" i="2"/>
  <c r="D1166" i="2"/>
  <c r="B1166" i="2"/>
  <c r="D1165" i="2"/>
  <c r="B1165" i="2"/>
  <c r="D1164" i="2"/>
  <c r="B1164" i="2"/>
  <c r="D1163" i="2"/>
  <c r="B1163" i="2"/>
  <c r="D1162" i="2"/>
  <c r="B1162" i="2"/>
  <c r="D1161" i="2"/>
  <c r="B1161" i="2"/>
  <c r="D1160" i="2"/>
  <c r="B1160" i="2"/>
  <c r="D1159" i="2"/>
  <c r="B1159" i="2"/>
  <c r="D1158" i="2"/>
  <c r="B1158" i="2"/>
  <c r="D1157" i="2"/>
  <c r="B1157" i="2"/>
  <c r="D1156" i="2"/>
  <c r="B1156" i="2"/>
  <c r="D1155" i="2"/>
  <c r="B1155" i="2"/>
  <c r="D1154" i="2"/>
  <c r="B1154" i="2"/>
  <c r="D1153" i="2"/>
  <c r="B1153" i="2"/>
  <c r="D1152" i="2"/>
  <c r="B1152" i="2"/>
  <c r="D1151" i="2"/>
  <c r="B1151" i="2"/>
  <c r="D1150" i="2"/>
  <c r="B1150" i="2"/>
  <c r="D1149" i="2"/>
  <c r="B1149" i="2"/>
  <c r="D1148" i="2"/>
  <c r="B1148" i="2"/>
  <c r="D1147" i="2"/>
  <c r="B1147" i="2"/>
  <c r="D1146" i="2"/>
  <c r="B1146" i="2"/>
  <c r="D1145" i="2"/>
  <c r="B1145" i="2"/>
  <c r="D1144" i="2"/>
  <c r="B1144" i="2"/>
  <c r="D1143" i="2"/>
  <c r="B1143" i="2"/>
  <c r="D1142" i="2"/>
  <c r="B1142" i="2"/>
  <c r="D1141" i="2"/>
  <c r="B1141" i="2"/>
  <c r="D1140" i="2"/>
  <c r="B1140" i="2"/>
  <c r="D1139" i="2"/>
  <c r="B1139" i="2"/>
  <c r="D1138" i="2"/>
  <c r="B1138" i="2"/>
  <c r="D1137" i="2"/>
  <c r="B1137" i="2"/>
  <c r="D1136" i="2"/>
  <c r="B1136" i="2"/>
  <c r="D1135" i="2"/>
  <c r="B1135" i="2"/>
  <c r="D1134" i="2"/>
  <c r="B1134" i="2"/>
  <c r="D1133" i="2"/>
  <c r="B1133" i="2"/>
  <c r="D1132" i="2"/>
  <c r="B1132" i="2"/>
  <c r="D1131" i="2"/>
  <c r="B1131" i="2"/>
  <c r="D1130" i="2"/>
  <c r="B1130" i="2"/>
  <c r="D1129" i="2"/>
  <c r="B1129" i="2"/>
  <c r="D1128" i="2"/>
  <c r="B1128" i="2"/>
  <c r="D1127" i="2"/>
  <c r="B1127" i="2"/>
  <c r="D1126" i="2"/>
  <c r="B1126" i="2"/>
  <c r="D1125" i="2"/>
  <c r="B1125" i="2"/>
  <c r="D1124" i="2"/>
  <c r="B1124" i="2"/>
  <c r="D1123" i="2"/>
  <c r="B1123" i="2"/>
  <c r="D1122" i="2"/>
  <c r="B1122" i="2"/>
  <c r="D1121" i="2"/>
  <c r="B1121" i="2"/>
  <c r="D1120" i="2"/>
  <c r="B1120" i="2"/>
  <c r="D1119" i="2"/>
  <c r="B1119" i="2"/>
  <c r="D1118" i="2"/>
  <c r="B1118" i="2"/>
  <c r="D1117" i="2"/>
  <c r="B1117" i="2"/>
  <c r="D1116" i="2"/>
  <c r="B1116" i="2"/>
  <c r="D1115" i="2"/>
  <c r="B1115" i="2"/>
  <c r="D1114" i="2"/>
  <c r="B1114" i="2"/>
  <c r="D1113" i="2"/>
  <c r="B1113" i="2"/>
  <c r="D1112" i="2"/>
  <c r="B1112" i="2"/>
  <c r="D1111" i="2"/>
  <c r="B1111" i="2"/>
  <c r="D1110" i="2"/>
  <c r="B1110" i="2"/>
  <c r="D1109" i="2"/>
  <c r="B1109" i="2"/>
  <c r="D1108" i="2"/>
  <c r="B1108" i="2"/>
  <c r="D1107" i="2"/>
  <c r="B1107" i="2"/>
  <c r="D1106" i="2"/>
  <c r="B1106" i="2"/>
  <c r="D1105" i="2"/>
  <c r="B1105" i="2"/>
  <c r="D1104" i="2"/>
  <c r="B1104" i="2"/>
  <c r="D1103" i="2"/>
  <c r="B1103" i="2"/>
  <c r="D1102" i="2"/>
  <c r="B1102" i="2"/>
  <c r="D1101" i="2"/>
  <c r="B1101" i="2"/>
  <c r="D1100" i="2"/>
  <c r="B1100" i="2"/>
  <c r="D1099" i="2"/>
  <c r="B1099" i="2"/>
  <c r="D1098" i="2"/>
  <c r="B1098" i="2"/>
  <c r="D1097" i="2"/>
  <c r="B1097" i="2"/>
  <c r="D1096" i="2"/>
  <c r="B1096" i="2"/>
  <c r="D1095" i="2"/>
  <c r="B1095" i="2"/>
  <c r="D1094" i="2"/>
  <c r="B1094" i="2"/>
  <c r="D1093" i="2"/>
  <c r="B1093" i="2"/>
  <c r="D1092" i="2"/>
  <c r="B1092" i="2"/>
  <c r="D1091" i="2"/>
  <c r="B1091" i="2"/>
  <c r="D1090" i="2"/>
  <c r="B1090" i="2"/>
  <c r="D1089" i="2"/>
  <c r="B1089" i="2"/>
  <c r="D1088" i="2"/>
  <c r="B1088" i="2"/>
  <c r="D1087" i="2"/>
  <c r="B1087" i="2"/>
  <c r="D1086" i="2"/>
  <c r="B1086" i="2"/>
  <c r="D1085" i="2"/>
  <c r="B1085" i="2"/>
  <c r="D1084" i="2"/>
  <c r="B1084" i="2"/>
  <c r="D1083" i="2"/>
  <c r="B1083" i="2"/>
  <c r="D1082" i="2"/>
  <c r="B1082" i="2"/>
  <c r="D1081" i="2"/>
  <c r="B1081" i="2"/>
  <c r="D1080" i="2"/>
  <c r="B1080" i="2"/>
  <c r="D1079" i="2"/>
  <c r="B1079" i="2"/>
  <c r="D1078" i="2"/>
  <c r="B1078" i="2"/>
  <c r="D1077" i="2"/>
  <c r="B1077" i="2"/>
  <c r="D1076" i="2"/>
  <c r="B1076" i="2"/>
  <c r="D1075" i="2"/>
  <c r="B1075" i="2"/>
  <c r="D1074" i="2"/>
  <c r="B1074" i="2"/>
  <c r="D1073" i="2"/>
  <c r="B1073" i="2"/>
  <c r="D1072" i="2"/>
  <c r="B1072" i="2"/>
  <c r="D1071" i="2"/>
  <c r="B1071" i="2"/>
  <c r="D1070" i="2"/>
  <c r="B1070" i="2"/>
  <c r="D1069" i="2"/>
  <c r="B1069" i="2"/>
  <c r="D1068" i="2"/>
  <c r="B1068" i="2"/>
  <c r="D1067" i="2"/>
  <c r="B1067" i="2"/>
  <c r="D1066" i="2"/>
  <c r="B1066" i="2"/>
  <c r="D1065" i="2"/>
  <c r="B1065" i="2"/>
  <c r="D1064" i="2"/>
  <c r="B1064" i="2"/>
  <c r="D1063" i="2"/>
  <c r="B1063" i="2"/>
  <c r="D1062" i="2"/>
  <c r="B1062" i="2"/>
  <c r="D1061" i="2"/>
  <c r="B1061" i="2"/>
  <c r="D1060" i="2"/>
  <c r="B1060" i="2"/>
  <c r="D1059" i="2"/>
  <c r="B1059" i="2"/>
  <c r="D1058" i="2"/>
  <c r="B1058" i="2"/>
  <c r="D1057" i="2"/>
  <c r="B1057" i="2"/>
  <c r="D1056" i="2"/>
  <c r="B1056" i="2"/>
  <c r="D1055" i="2"/>
  <c r="B1055" i="2"/>
  <c r="D1054" i="2"/>
  <c r="B1054" i="2"/>
  <c r="D1053" i="2"/>
  <c r="B1053" i="2"/>
  <c r="D1052" i="2"/>
  <c r="B1052" i="2"/>
  <c r="D1051" i="2"/>
  <c r="B1051" i="2"/>
  <c r="D1050" i="2"/>
  <c r="B1050" i="2"/>
  <c r="D1049" i="2"/>
  <c r="B1049" i="2"/>
  <c r="D1048" i="2"/>
  <c r="B1048" i="2"/>
  <c r="D1047" i="2"/>
  <c r="B1047" i="2"/>
  <c r="D1046" i="2"/>
  <c r="B1046" i="2"/>
  <c r="D1045" i="2"/>
  <c r="B1045" i="2"/>
  <c r="D1044" i="2"/>
  <c r="B1044" i="2"/>
  <c r="D1043" i="2"/>
  <c r="B1043" i="2"/>
  <c r="D1042" i="2"/>
  <c r="B1042" i="2"/>
  <c r="D1041" i="2"/>
  <c r="B1041" i="2"/>
  <c r="D1040" i="2"/>
  <c r="B1040" i="2"/>
  <c r="D1039" i="2"/>
  <c r="B1039" i="2"/>
  <c r="D1038" i="2"/>
  <c r="B1038" i="2"/>
  <c r="D1037" i="2"/>
  <c r="B1037" i="2"/>
  <c r="D1036" i="2"/>
  <c r="B1036" i="2"/>
  <c r="D1035" i="2"/>
  <c r="B1035" i="2"/>
  <c r="D1034" i="2"/>
  <c r="B1034" i="2"/>
  <c r="D1033" i="2"/>
  <c r="B1033" i="2"/>
  <c r="D1032" i="2"/>
  <c r="B1032" i="2"/>
  <c r="D1031" i="2"/>
  <c r="B1031" i="2"/>
  <c r="D1030" i="2"/>
  <c r="B1030" i="2"/>
  <c r="D1029" i="2"/>
  <c r="B1029" i="2"/>
  <c r="D1028" i="2"/>
  <c r="B1028" i="2"/>
  <c r="D1027" i="2"/>
  <c r="B1027" i="2"/>
  <c r="D1026" i="2"/>
  <c r="B1026" i="2"/>
  <c r="D1025" i="2"/>
  <c r="B1025" i="2"/>
  <c r="D1024" i="2"/>
  <c r="B1024" i="2"/>
  <c r="D1023" i="2"/>
  <c r="B1023" i="2"/>
  <c r="D1022" i="2"/>
  <c r="B1022" i="2"/>
  <c r="D1021" i="2"/>
  <c r="B1021" i="2"/>
  <c r="D1020" i="2"/>
  <c r="B1020" i="2"/>
  <c r="D1019" i="2"/>
  <c r="B1019" i="2"/>
  <c r="D1018" i="2"/>
  <c r="B1018" i="2"/>
  <c r="D1017" i="2"/>
  <c r="B1017" i="2"/>
  <c r="D1016" i="2"/>
  <c r="B1016" i="2"/>
  <c r="D1015" i="2"/>
  <c r="B1015" i="2"/>
  <c r="D1014" i="2"/>
  <c r="B1014" i="2"/>
  <c r="D1013" i="2"/>
  <c r="B1013" i="2"/>
  <c r="D1012" i="2"/>
  <c r="B1012" i="2"/>
  <c r="D1011" i="2"/>
  <c r="B1011" i="2"/>
  <c r="D1010" i="2"/>
  <c r="B1010" i="2"/>
  <c r="D1009" i="2"/>
  <c r="B1009" i="2"/>
  <c r="D1008" i="2"/>
  <c r="B1008" i="2"/>
  <c r="D1007" i="2"/>
  <c r="B1007" i="2"/>
  <c r="D1006" i="2"/>
  <c r="B1006" i="2"/>
  <c r="D1005" i="2"/>
  <c r="B1005" i="2"/>
  <c r="D1004" i="2"/>
  <c r="B1004" i="2"/>
  <c r="D1003" i="2"/>
  <c r="B1003" i="2"/>
  <c r="D1002" i="2"/>
  <c r="B1002" i="2"/>
  <c r="D1001" i="2"/>
  <c r="B1001" i="2"/>
  <c r="D1000" i="2"/>
  <c r="B1000" i="2"/>
  <c r="D999" i="2"/>
  <c r="B999" i="2"/>
  <c r="D998" i="2"/>
  <c r="B998" i="2"/>
  <c r="D997" i="2"/>
  <c r="B997" i="2"/>
  <c r="D996" i="2"/>
  <c r="B996" i="2"/>
  <c r="D995" i="2"/>
  <c r="B995" i="2"/>
  <c r="D994" i="2"/>
  <c r="B994" i="2"/>
  <c r="D993" i="2"/>
  <c r="B993" i="2"/>
  <c r="D992" i="2"/>
  <c r="B992" i="2"/>
  <c r="D991" i="2"/>
  <c r="B991" i="2"/>
  <c r="D990" i="2"/>
  <c r="B990" i="2"/>
  <c r="D989" i="2"/>
  <c r="B989" i="2"/>
  <c r="D988" i="2"/>
  <c r="B988" i="2"/>
  <c r="D987" i="2"/>
  <c r="B987" i="2"/>
  <c r="D986" i="2"/>
  <c r="B986" i="2"/>
  <c r="D985" i="2"/>
  <c r="B985" i="2"/>
  <c r="D984" i="2"/>
  <c r="B984" i="2"/>
  <c r="D983" i="2"/>
  <c r="B983" i="2"/>
  <c r="D982" i="2"/>
  <c r="B982" i="2"/>
  <c r="D981" i="2"/>
  <c r="B981" i="2"/>
  <c r="D980" i="2"/>
  <c r="B980" i="2"/>
  <c r="D979" i="2"/>
  <c r="B979" i="2"/>
  <c r="D978" i="2"/>
  <c r="B978" i="2"/>
  <c r="D977" i="2"/>
  <c r="B977" i="2"/>
  <c r="D976" i="2"/>
  <c r="B976" i="2"/>
  <c r="D975" i="2"/>
  <c r="B975" i="2"/>
  <c r="D974" i="2"/>
  <c r="B974" i="2"/>
  <c r="D973" i="2"/>
  <c r="B973" i="2"/>
  <c r="D972" i="2"/>
  <c r="B972" i="2"/>
  <c r="D971" i="2"/>
  <c r="B971" i="2"/>
  <c r="D970" i="2"/>
  <c r="B970" i="2"/>
  <c r="D969" i="2"/>
  <c r="B969" i="2"/>
  <c r="D968" i="2"/>
  <c r="B968" i="2"/>
  <c r="D967" i="2"/>
  <c r="B967" i="2"/>
  <c r="D966" i="2"/>
  <c r="B966" i="2"/>
  <c r="D965" i="2"/>
  <c r="B965" i="2"/>
  <c r="D964" i="2"/>
  <c r="B964" i="2"/>
  <c r="D963" i="2"/>
  <c r="B963" i="2"/>
  <c r="D962" i="2"/>
  <c r="B962" i="2"/>
  <c r="D961" i="2"/>
  <c r="B961" i="2"/>
  <c r="D960" i="2"/>
  <c r="B960" i="2"/>
  <c r="D959" i="2"/>
  <c r="B959" i="2"/>
  <c r="D958" i="2"/>
  <c r="B958" i="2"/>
  <c r="D957" i="2"/>
  <c r="B957" i="2"/>
  <c r="D956" i="2"/>
  <c r="B956" i="2"/>
  <c r="D955" i="2"/>
  <c r="B955" i="2"/>
  <c r="D954" i="2"/>
  <c r="B954" i="2"/>
  <c r="D953" i="2"/>
  <c r="B953" i="2"/>
  <c r="D952" i="2"/>
  <c r="B952" i="2"/>
  <c r="D951" i="2"/>
  <c r="B951" i="2"/>
  <c r="D950" i="2"/>
  <c r="B950" i="2"/>
  <c r="D949" i="2"/>
  <c r="B949" i="2"/>
  <c r="D948" i="2"/>
  <c r="B948" i="2"/>
  <c r="D947" i="2"/>
  <c r="B947" i="2"/>
  <c r="D946" i="2"/>
  <c r="B946" i="2"/>
  <c r="D945" i="2"/>
  <c r="B945" i="2"/>
  <c r="D944" i="2"/>
  <c r="B944" i="2"/>
  <c r="D943" i="2"/>
  <c r="B943" i="2"/>
  <c r="D942" i="2"/>
  <c r="B942" i="2"/>
  <c r="D941" i="2"/>
  <c r="B941" i="2"/>
  <c r="D940" i="2"/>
  <c r="B940" i="2"/>
  <c r="D939" i="2"/>
  <c r="B939" i="2"/>
  <c r="D938" i="2"/>
  <c r="B938" i="2"/>
  <c r="D937" i="2"/>
  <c r="B937" i="2"/>
  <c r="D936" i="2"/>
  <c r="B936" i="2"/>
  <c r="D935" i="2"/>
  <c r="B935" i="2"/>
  <c r="D934" i="2"/>
  <c r="B934" i="2"/>
  <c r="D933" i="2"/>
  <c r="B933" i="2"/>
  <c r="D932" i="2"/>
  <c r="B932" i="2"/>
  <c r="D931" i="2"/>
  <c r="B931" i="2"/>
  <c r="D930" i="2"/>
  <c r="B930" i="2"/>
  <c r="D929" i="2"/>
  <c r="B929" i="2"/>
  <c r="D928" i="2"/>
  <c r="B928" i="2"/>
  <c r="D927" i="2"/>
  <c r="B927" i="2"/>
  <c r="D926" i="2"/>
  <c r="B926" i="2"/>
  <c r="D925" i="2"/>
  <c r="B925" i="2"/>
  <c r="D924" i="2"/>
  <c r="B924" i="2"/>
  <c r="D923" i="2"/>
  <c r="B923" i="2"/>
  <c r="D922" i="2"/>
  <c r="B922" i="2"/>
  <c r="D921" i="2"/>
  <c r="B921" i="2"/>
  <c r="D920" i="2"/>
  <c r="B920" i="2"/>
  <c r="D919" i="2"/>
  <c r="B919" i="2"/>
  <c r="D918" i="2"/>
  <c r="B918" i="2"/>
  <c r="D917" i="2"/>
  <c r="B917" i="2"/>
  <c r="D916" i="2"/>
  <c r="B916" i="2"/>
  <c r="D915" i="2"/>
  <c r="B915" i="2"/>
  <c r="D914" i="2"/>
  <c r="B914" i="2"/>
  <c r="D913" i="2"/>
  <c r="B913" i="2"/>
  <c r="D912" i="2"/>
  <c r="B912" i="2"/>
  <c r="D911" i="2"/>
  <c r="B911" i="2"/>
  <c r="D910" i="2"/>
  <c r="B910" i="2"/>
  <c r="D909" i="2"/>
  <c r="B909" i="2"/>
  <c r="D908" i="2"/>
  <c r="B908" i="2"/>
  <c r="D907" i="2"/>
  <c r="B907" i="2"/>
  <c r="D906" i="2"/>
  <c r="B906" i="2"/>
  <c r="D905" i="2"/>
  <c r="B905" i="2"/>
  <c r="D904" i="2"/>
  <c r="B904" i="2"/>
  <c r="D903" i="2"/>
  <c r="B903" i="2"/>
  <c r="D902" i="2"/>
  <c r="B902" i="2"/>
  <c r="D901" i="2"/>
  <c r="B901" i="2"/>
  <c r="D900" i="2"/>
  <c r="B900" i="2"/>
  <c r="D899" i="2"/>
  <c r="B899" i="2"/>
  <c r="D898" i="2"/>
  <c r="B898" i="2"/>
  <c r="D897" i="2"/>
  <c r="B897" i="2"/>
  <c r="D896" i="2"/>
  <c r="B896" i="2"/>
  <c r="D895" i="2"/>
  <c r="B895" i="2"/>
  <c r="D894" i="2"/>
  <c r="B894" i="2"/>
  <c r="D893" i="2"/>
  <c r="B893" i="2"/>
  <c r="D892" i="2"/>
  <c r="B892" i="2"/>
  <c r="D891" i="2"/>
  <c r="B891" i="2"/>
  <c r="D890" i="2"/>
  <c r="B890" i="2"/>
  <c r="D889" i="2"/>
  <c r="B889" i="2"/>
  <c r="D888" i="2"/>
  <c r="B888" i="2"/>
  <c r="D887" i="2"/>
  <c r="B887" i="2"/>
  <c r="D886" i="2"/>
  <c r="B886" i="2"/>
  <c r="D885" i="2"/>
  <c r="B885" i="2"/>
  <c r="D884" i="2"/>
  <c r="B884" i="2"/>
  <c r="D883" i="2"/>
  <c r="B883" i="2"/>
  <c r="D882" i="2"/>
  <c r="B882" i="2"/>
  <c r="D881" i="2"/>
  <c r="B881" i="2"/>
  <c r="D880" i="2"/>
  <c r="B880" i="2"/>
  <c r="D879" i="2"/>
  <c r="B879" i="2"/>
  <c r="D878" i="2"/>
  <c r="B878" i="2"/>
  <c r="D877" i="2"/>
  <c r="B877" i="2"/>
  <c r="D876" i="2"/>
  <c r="B876" i="2"/>
  <c r="D875" i="2"/>
  <c r="B875" i="2"/>
  <c r="D874" i="2"/>
  <c r="B874" i="2"/>
  <c r="D873" i="2"/>
  <c r="B873" i="2"/>
  <c r="D872" i="2"/>
  <c r="B872" i="2"/>
  <c r="D871" i="2"/>
  <c r="B871" i="2"/>
  <c r="D870" i="2"/>
  <c r="B870" i="2"/>
  <c r="D869" i="2"/>
  <c r="B869" i="2"/>
  <c r="D868" i="2"/>
  <c r="B868" i="2"/>
  <c r="D867" i="2"/>
  <c r="B867" i="2"/>
  <c r="D866" i="2"/>
  <c r="B866" i="2"/>
  <c r="D865" i="2"/>
  <c r="B865" i="2"/>
  <c r="D864" i="2"/>
  <c r="B864" i="2"/>
  <c r="D863" i="2"/>
  <c r="B863" i="2"/>
  <c r="D862" i="2"/>
  <c r="B862" i="2"/>
  <c r="D861" i="2"/>
  <c r="B861" i="2"/>
  <c r="D860" i="2"/>
  <c r="B860" i="2"/>
  <c r="D859" i="2"/>
  <c r="B859" i="2"/>
  <c r="D858" i="2"/>
  <c r="B858" i="2"/>
  <c r="D857" i="2"/>
  <c r="B857" i="2"/>
  <c r="D856" i="2"/>
  <c r="B856" i="2"/>
  <c r="D855" i="2"/>
  <c r="B855" i="2"/>
  <c r="D854" i="2"/>
  <c r="B854" i="2"/>
  <c r="D853" i="2"/>
  <c r="B853" i="2"/>
  <c r="D852" i="2"/>
  <c r="B852" i="2"/>
  <c r="D851" i="2"/>
  <c r="B851" i="2"/>
  <c r="D850" i="2"/>
  <c r="B850" i="2"/>
  <c r="D849" i="2"/>
  <c r="B849" i="2"/>
  <c r="D848" i="2"/>
  <c r="B848" i="2"/>
  <c r="D847" i="2"/>
  <c r="B847" i="2"/>
  <c r="D846" i="2"/>
  <c r="B846" i="2"/>
  <c r="D845" i="2"/>
  <c r="B845" i="2"/>
  <c r="D844" i="2"/>
  <c r="B844" i="2"/>
  <c r="D843" i="2"/>
  <c r="B843" i="2"/>
  <c r="D842" i="2"/>
  <c r="B842" i="2"/>
  <c r="D841" i="2"/>
  <c r="B841" i="2"/>
  <c r="D840" i="2"/>
  <c r="B840" i="2"/>
  <c r="D839" i="2"/>
  <c r="B839" i="2"/>
  <c r="D838" i="2"/>
  <c r="B838" i="2"/>
  <c r="D837" i="2"/>
  <c r="B837" i="2"/>
  <c r="D836" i="2"/>
  <c r="B836" i="2"/>
  <c r="D835" i="2"/>
  <c r="B835" i="2"/>
  <c r="D834" i="2"/>
  <c r="B834" i="2"/>
  <c r="D833" i="2"/>
  <c r="B833" i="2"/>
  <c r="D832" i="2"/>
  <c r="B832" i="2"/>
  <c r="D831" i="2"/>
  <c r="B831" i="2"/>
  <c r="D830" i="2"/>
  <c r="B830" i="2"/>
  <c r="D829" i="2"/>
  <c r="B829" i="2"/>
  <c r="D828" i="2"/>
  <c r="B828" i="2"/>
  <c r="D827" i="2"/>
  <c r="B827" i="2"/>
  <c r="D826" i="2"/>
  <c r="B826" i="2"/>
  <c r="D825" i="2"/>
  <c r="B825" i="2"/>
  <c r="D824" i="2"/>
  <c r="B824" i="2"/>
  <c r="D823" i="2"/>
  <c r="B823" i="2"/>
  <c r="D822" i="2"/>
  <c r="B822" i="2"/>
  <c r="D821" i="2"/>
  <c r="B821" i="2"/>
  <c r="D820" i="2"/>
  <c r="B820" i="2"/>
  <c r="D819" i="2"/>
  <c r="B819" i="2"/>
  <c r="D818" i="2"/>
  <c r="B818" i="2"/>
  <c r="D817" i="2"/>
  <c r="B817" i="2"/>
  <c r="D816" i="2"/>
  <c r="B816" i="2"/>
  <c r="D815" i="2"/>
  <c r="B815" i="2"/>
  <c r="D814" i="2"/>
  <c r="B814" i="2"/>
  <c r="D813" i="2"/>
  <c r="B813" i="2"/>
  <c r="D812" i="2"/>
  <c r="B812" i="2"/>
  <c r="D811" i="2"/>
  <c r="B811" i="2"/>
  <c r="D810" i="2"/>
  <c r="B810" i="2"/>
  <c r="D809" i="2"/>
  <c r="B809" i="2"/>
  <c r="D808" i="2"/>
  <c r="B808" i="2"/>
  <c r="D807" i="2"/>
  <c r="B807" i="2"/>
  <c r="D806" i="2"/>
  <c r="B806" i="2"/>
  <c r="D805" i="2"/>
  <c r="B805" i="2"/>
  <c r="D804" i="2"/>
  <c r="B804" i="2"/>
  <c r="D803" i="2"/>
  <c r="B803" i="2"/>
  <c r="D802" i="2"/>
  <c r="B802" i="2"/>
  <c r="D801" i="2"/>
  <c r="B801" i="2"/>
  <c r="D800" i="2"/>
  <c r="B800" i="2"/>
  <c r="D799" i="2"/>
  <c r="B799" i="2"/>
  <c r="D798" i="2"/>
  <c r="B798" i="2"/>
  <c r="D797" i="2"/>
  <c r="B797" i="2"/>
  <c r="D796" i="2"/>
  <c r="B796" i="2"/>
  <c r="D795" i="2"/>
  <c r="B795" i="2"/>
  <c r="D794" i="2"/>
  <c r="B794" i="2"/>
  <c r="D793" i="2"/>
  <c r="B793" i="2"/>
  <c r="D792" i="2"/>
  <c r="B792" i="2"/>
  <c r="D791" i="2"/>
  <c r="B791" i="2"/>
  <c r="D790" i="2"/>
  <c r="B790" i="2"/>
  <c r="D789" i="2"/>
  <c r="B789" i="2"/>
  <c r="D788" i="2"/>
  <c r="B788" i="2"/>
  <c r="D787" i="2"/>
  <c r="B787" i="2"/>
  <c r="D786" i="2"/>
  <c r="B786" i="2"/>
  <c r="D785" i="2"/>
  <c r="B785" i="2"/>
  <c r="D784" i="2"/>
  <c r="B784" i="2"/>
  <c r="D783" i="2"/>
  <c r="B783" i="2"/>
  <c r="D782" i="2"/>
  <c r="B782" i="2"/>
  <c r="D781" i="2"/>
  <c r="B781" i="2"/>
  <c r="D780" i="2"/>
  <c r="B780" i="2"/>
  <c r="D779" i="2"/>
  <c r="B779" i="2"/>
  <c r="D778" i="2"/>
  <c r="B778" i="2"/>
  <c r="D777" i="2"/>
  <c r="B777" i="2"/>
  <c r="D776" i="2"/>
  <c r="B776" i="2"/>
  <c r="D775" i="2"/>
  <c r="B775" i="2"/>
  <c r="D774" i="2"/>
  <c r="B774" i="2"/>
  <c r="D773" i="2"/>
  <c r="B773" i="2"/>
  <c r="D772" i="2"/>
  <c r="B772" i="2"/>
  <c r="D771" i="2"/>
  <c r="B771" i="2"/>
  <c r="D770" i="2"/>
  <c r="B770" i="2"/>
  <c r="D769" i="2"/>
  <c r="B769" i="2"/>
  <c r="D768" i="2"/>
  <c r="B768" i="2"/>
  <c r="D767" i="2"/>
  <c r="B767" i="2"/>
  <c r="D766" i="2"/>
  <c r="B766" i="2"/>
  <c r="D765" i="2"/>
  <c r="B765" i="2"/>
  <c r="D764" i="2"/>
  <c r="B764" i="2"/>
  <c r="D763" i="2"/>
  <c r="B763" i="2"/>
  <c r="D762" i="2"/>
  <c r="B762" i="2"/>
  <c r="D761" i="2"/>
  <c r="B761" i="2"/>
  <c r="D760" i="2"/>
  <c r="B760" i="2"/>
  <c r="D759" i="2"/>
  <c r="B759" i="2"/>
  <c r="D758" i="2"/>
  <c r="B758" i="2"/>
  <c r="D757" i="2"/>
  <c r="B757" i="2"/>
  <c r="D756" i="2"/>
  <c r="B756" i="2"/>
  <c r="D755" i="2"/>
  <c r="B755" i="2"/>
  <c r="D754" i="2"/>
  <c r="B754" i="2"/>
  <c r="D753" i="2"/>
  <c r="B753" i="2"/>
  <c r="D752" i="2"/>
  <c r="B752" i="2"/>
  <c r="D751" i="2"/>
  <c r="B751" i="2"/>
  <c r="D750" i="2"/>
  <c r="B750" i="2"/>
  <c r="D749" i="2"/>
  <c r="B749" i="2"/>
  <c r="D748" i="2"/>
  <c r="B748" i="2"/>
  <c r="D747" i="2"/>
  <c r="B747" i="2"/>
  <c r="D746" i="2"/>
  <c r="B746" i="2"/>
  <c r="D745" i="2"/>
  <c r="B745" i="2"/>
  <c r="D744" i="2"/>
  <c r="B744" i="2"/>
  <c r="D743" i="2"/>
  <c r="B743" i="2"/>
  <c r="D742" i="2"/>
  <c r="B742" i="2"/>
  <c r="D741" i="2"/>
  <c r="B741" i="2"/>
  <c r="D740" i="2"/>
  <c r="B740" i="2"/>
  <c r="D739" i="2"/>
  <c r="B739" i="2"/>
  <c r="D738" i="2"/>
  <c r="B738" i="2"/>
  <c r="D737" i="2"/>
  <c r="B737" i="2"/>
  <c r="D736" i="2"/>
  <c r="B736" i="2"/>
  <c r="D735" i="2"/>
  <c r="B735" i="2"/>
  <c r="D734" i="2"/>
  <c r="B734" i="2"/>
  <c r="D733" i="2"/>
  <c r="B733" i="2"/>
  <c r="D732" i="2"/>
  <c r="B732" i="2"/>
  <c r="D731" i="2"/>
  <c r="B731" i="2"/>
  <c r="D730" i="2"/>
  <c r="B730" i="2"/>
  <c r="D729" i="2"/>
  <c r="B729" i="2"/>
  <c r="D728" i="2"/>
  <c r="B728" i="2"/>
  <c r="D727" i="2"/>
  <c r="B727" i="2"/>
  <c r="D726" i="2"/>
  <c r="B726" i="2"/>
  <c r="D725" i="2"/>
  <c r="B725" i="2"/>
  <c r="D724" i="2"/>
  <c r="B724" i="2"/>
  <c r="D723" i="2"/>
  <c r="B723" i="2"/>
  <c r="D722" i="2"/>
  <c r="B722" i="2"/>
  <c r="D721" i="2"/>
  <c r="B721" i="2"/>
  <c r="D720" i="2"/>
  <c r="B720" i="2"/>
  <c r="D719" i="2"/>
  <c r="B719" i="2"/>
  <c r="D718" i="2"/>
  <c r="B718" i="2"/>
  <c r="D717" i="2"/>
  <c r="B717" i="2"/>
  <c r="D716" i="2"/>
  <c r="B716" i="2"/>
  <c r="D715" i="2"/>
  <c r="B715" i="2"/>
  <c r="D714" i="2"/>
  <c r="B714" i="2"/>
  <c r="D713" i="2"/>
  <c r="B713" i="2"/>
  <c r="D712" i="2"/>
  <c r="B712" i="2"/>
  <c r="D711" i="2"/>
  <c r="B711" i="2"/>
  <c r="D710" i="2"/>
  <c r="B710" i="2"/>
  <c r="D709" i="2"/>
  <c r="B709" i="2"/>
  <c r="D708" i="2"/>
  <c r="B708" i="2"/>
  <c r="D707" i="2"/>
  <c r="B707" i="2"/>
  <c r="D706" i="2"/>
  <c r="B706" i="2"/>
  <c r="D705" i="2"/>
  <c r="B705" i="2"/>
  <c r="D704" i="2"/>
  <c r="B704" i="2"/>
  <c r="D703" i="2"/>
  <c r="B703" i="2"/>
  <c r="D702" i="2"/>
  <c r="B702" i="2"/>
  <c r="D701" i="2"/>
  <c r="B701" i="2"/>
  <c r="D700" i="2"/>
  <c r="B700" i="2"/>
  <c r="D699" i="2"/>
  <c r="B699" i="2"/>
  <c r="D698" i="2"/>
  <c r="B698" i="2"/>
  <c r="D697" i="2"/>
  <c r="B697" i="2"/>
  <c r="D696" i="2"/>
  <c r="B696" i="2"/>
  <c r="D695" i="2"/>
  <c r="B695" i="2"/>
  <c r="D694" i="2"/>
  <c r="B694" i="2"/>
  <c r="D693" i="2"/>
  <c r="B693" i="2"/>
  <c r="D692" i="2"/>
  <c r="B692" i="2"/>
  <c r="D691" i="2"/>
  <c r="B691" i="2"/>
  <c r="D690" i="2"/>
  <c r="B690" i="2"/>
  <c r="D689" i="2"/>
  <c r="B689" i="2"/>
  <c r="D688" i="2"/>
  <c r="B688" i="2"/>
  <c r="D687" i="2"/>
  <c r="B687" i="2"/>
  <c r="D686" i="2"/>
  <c r="B686" i="2"/>
  <c r="D685" i="2"/>
  <c r="B685" i="2"/>
  <c r="D684" i="2"/>
  <c r="B684" i="2"/>
  <c r="D683" i="2"/>
  <c r="B683" i="2"/>
  <c r="D682" i="2"/>
  <c r="B682" i="2"/>
  <c r="D681" i="2"/>
  <c r="B681" i="2"/>
  <c r="D680" i="2"/>
  <c r="B680" i="2"/>
  <c r="D679" i="2"/>
  <c r="B679" i="2"/>
  <c r="D678" i="2"/>
  <c r="B678" i="2"/>
  <c r="D677" i="2"/>
  <c r="B677" i="2"/>
  <c r="D676" i="2"/>
  <c r="B676" i="2"/>
  <c r="D675" i="2"/>
  <c r="B675" i="2"/>
  <c r="D674" i="2"/>
  <c r="B674" i="2"/>
  <c r="D673" i="2"/>
  <c r="B673" i="2"/>
  <c r="D672" i="2"/>
  <c r="B672" i="2"/>
  <c r="D671" i="2"/>
  <c r="B671" i="2"/>
  <c r="D670" i="2"/>
  <c r="B670" i="2"/>
  <c r="D669" i="2"/>
  <c r="B669" i="2"/>
  <c r="D668" i="2"/>
  <c r="B668" i="2"/>
  <c r="D667" i="2"/>
  <c r="B667" i="2"/>
  <c r="D666" i="2"/>
  <c r="B666" i="2"/>
  <c r="D665" i="2"/>
  <c r="B665" i="2"/>
  <c r="D664" i="2"/>
  <c r="B664" i="2"/>
  <c r="D663" i="2"/>
  <c r="B663" i="2"/>
  <c r="D662" i="2"/>
  <c r="B662" i="2"/>
  <c r="D661" i="2"/>
  <c r="B661" i="2"/>
  <c r="D660" i="2"/>
  <c r="B660" i="2"/>
  <c r="D659" i="2"/>
  <c r="B659" i="2"/>
  <c r="D658" i="2"/>
  <c r="B658" i="2"/>
  <c r="D657" i="2"/>
  <c r="B657" i="2"/>
  <c r="D656" i="2"/>
  <c r="B656" i="2"/>
  <c r="D655" i="2"/>
  <c r="B655" i="2"/>
  <c r="D654" i="2"/>
  <c r="B654" i="2"/>
  <c r="D653" i="2"/>
  <c r="B653" i="2"/>
  <c r="D652" i="2"/>
  <c r="B652" i="2"/>
  <c r="D651" i="2"/>
  <c r="B651" i="2"/>
  <c r="D650" i="2"/>
  <c r="B650" i="2"/>
  <c r="D649" i="2"/>
  <c r="B649" i="2"/>
  <c r="D648" i="2"/>
  <c r="B648" i="2"/>
  <c r="D647" i="2"/>
  <c r="B647" i="2"/>
  <c r="D646" i="2"/>
  <c r="B646" i="2"/>
  <c r="D645" i="2"/>
  <c r="B645" i="2"/>
  <c r="D644" i="2"/>
  <c r="B644" i="2"/>
  <c r="D643" i="2"/>
  <c r="B643" i="2"/>
  <c r="D642" i="2"/>
  <c r="B642" i="2"/>
  <c r="D641" i="2"/>
  <c r="B641" i="2"/>
  <c r="D640" i="2"/>
  <c r="B640" i="2"/>
  <c r="D639" i="2"/>
  <c r="B639" i="2"/>
  <c r="D638" i="2"/>
  <c r="B638" i="2"/>
  <c r="D637" i="2"/>
  <c r="B637" i="2"/>
  <c r="D636" i="2"/>
  <c r="B636" i="2"/>
  <c r="D635" i="2"/>
  <c r="B635" i="2"/>
  <c r="D634" i="2"/>
  <c r="B634" i="2"/>
  <c r="D633" i="2"/>
  <c r="B633" i="2"/>
  <c r="D632" i="2"/>
  <c r="B632" i="2"/>
  <c r="D631" i="2"/>
  <c r="B631" i="2"/>
  <c r="D630" i="2"/>
  <c r="B630" i="2"/>
  <c r="D629" i="2"/>
  <c r="B629" i="2"/>
  <c r="D628" i="2"/>
  <c r="B628" i="2"/>
  <c r="D627" i="2"/>
  <c r="B627" i="2"/>
  <c r="D626" i="2"/>
  <c r="B626" i="2"/>
  <c r="D625" i="2"/>
  <c r="B625" i="2"/>
  <c r="D624" i="2"/>
  <c r="B624" i="2"/>
  <c r="D623" i="2"/>
  <c r="B623" i="2"/>
  <c r="D622" i="2"/>
  <c r="B622" i="2"/>
  <c r="D621" i="2"/>
  <c r="B621" i="2"/>
  <c r="D620" i="2"/>
  <c r="B620" i="2"/>
  <c r="D619" i="2"/>
  <c r="B619" i="2"/>
  <c r="D618" i="2"/>
  <c r="B618" i="2"/>
  <c r="D617" i="2"/>
  <c r="B617" i="2"/>
  <c r="D616" i="2"/>
  <c r="B616" i="2"/>
  <c r="D615" i="2"/>
  <c r="B615" i="2"/>
  <c r="D614" i="2"/>
  <c r="B614" i="2"/>
  <c r="D613" i="2"/>
  <c r="B613" i="2"/>
  <c r="D612" i="2"/>
  <c r="B612" i="2"/>
  <c r="D611" i="2"/>
  <c r="B611" i="2"/>
  <c r="D610" i="2"/>
  <c r="B610" i="2"/>
  <c r="D609" i="2"/>
  <c r="B609" i="2"/>
  <c r="D608" i="2"/>
  <c r="B608" i="2"/>
  <c r="D607" i="2"/>
  <c r="B607" i="2"/>
  <c r="D606" i="2"/>
  <c r="B606" i="2"/>
  <c r="D605" i="2"/>
  <c r="B605" i="2"/>
  <c r="D604" i="2"/>
  <c r="B604" i="2"/>
  <c r="D603" i="2"/>
  <c r="B603" i="2"/>
  <c r="D602" i="2"/>
  <c r="B602" i="2"/>
  <c r="D601" i="2"/>
  <c r="B601" i="2"/>
  <c r="D600" i="2"/>
  <c r="B600" i="2"/>
  <c r="D599" i="2"/>
  <c r="B599" i="2"/>
  <c r="D598" i="2"/>
  <c r="B598" i="2"/>
  <c r="D597" i="2"/>
  <c r="B597" i="2"/>
  <c r="D596" i="2"/>
  <c r="B596" i="2"/>
  <c r="D595" i="2"/>
  <c r="B595" i="2"/>
  <c r="D594" i="2"/>
  <c r="B594" i="2"/>
  <c r="D593" i="2"/>
  <c r="B593" i="2"/>
  <c r="D592" i="2"/>
  <c r="B592" i="2"/>
  <c r="D591" i="2"/>
  <c r="B591" i="2"/>
  <c r="D590" i="2"/>
  <c r="B590" i="2"/>
  <c r="D589" i="2"/>
  <c r="B589" i="2"/>
  <c r="D588" i="2"/>
  <c r="B588" i="2"/>
  <c r="D587" i="2"/>
  <c r="B587" i="2"/>
  <c r="D586" i="2"/>
  <c r="B586" i="2"/>
  <c r="D585" i="2"/>
  <c r="B585" i="2"/>
  <c r="D584" i="2"/>
  <c r="B584" i="2"/>
  <c r="D583" i="2"/>
  <c r="B583" i="2"/>
  <c r="D582" i="2"/>
  <c r="B582" i="2"/>
  <c r="D581" i="2"/>
  <c r="B581" i="2"/>
  <c r="D580" i="2"/>
  <c r="B580" i="2"/>
  <c r="D579" i="2"/>
  <c r="B579" i="2"/>
  <c r="D578" i="2"/>
  <c r="B578" i="2"/>
  <c r="D577" i="2"/>
  <c r="B577" i="2"/>
  <c r="D576" i="2"/>
  <c r="B576" i="2"/>
  <c r="D575" i="2"/>
  <c r="B575" i="2"/>
  <c r="D574" i="2"/>
  <c r="B574" i="2"/>
  <c r="D573" i="2"/>
  <c r="B573" i="2"/>
  <c r="D572" i="2"/>
  <c r="B572" i="2"/>
  <c r="D571" i="2"/>
  <c r="B571" i="2"/>
  <c r="D570" i="2"/>
  <c r="B570" i="2"/>
  <c r="D569" i="2"/>
  <c r="B569" i="2"/>
  <c r="D568" i="2"/>
  <c r="B568" i="2"/>
  <c r="D567" i="2"/>
  <c r="B567" i="2"/>
  <c r="D566" i="2"/>
  <c r="B566" i="2"/>
  <c r="D565" i="2"/>
  <c r="B565" i="2"/>
  <c r="D564" i="2"/>
  <c r="B564" i="2"/>
  <c r="D563" i="2"/>
  <c r="B563" i="2"/>
  <c r="D562" i="2"/>
  <c r="B562" i="2"/>
  <c r="D561" i="2"/>
  <c r="B561" i="2"/>
  <c r="D560" i="2"/>
  <c r="B560" i="2"/>
  <c r="D559" i="2"/>
  <c r="B559" i="2"/>
  <c r="D558" i="2"/>
  <c r="B558" i="2"/>
  <c r="D557" i="2"/>
  <c r="B557" i="2"/>
  <c r="D556" i="2"/>
  <c r="B556" i="2"/>
  <c r="D555" i="2"/>
  <c r="B555" i="2"/>
  <c r="D554" i="2"/>
  <c r="B554" i="2"/>
  <c r="D553" i="2"/>
  <c r="B553" i="2"/>
  <c r="D552" i="2"/>
  <c r="B552" i="2"/>
  <c r="D551" i="2"/>
  <c r="B551" i="2"/>
  <c r="D550" i="2"/>
  <c r="B550" i="2"/>
  <c r="D549" i="2"/>
  <c r="B549" i="2"/>
  <c r="D548" i="2"/>
  <c r="B548" i="2"/>
  <c r="D547" i="2"/>
  <c r="B547" i="2"/>
  <c r="D546" i="2"/>
  <c r="B546" i="2"/>
  <c r="D545" i="2"/>
  <c r="B545" i="2"/>
  <c r="D544" i="2"/>
  <c r="B544" i="2"/>
  <c r="D543" i="2"/>
  <c r="B543" i="2"/>
  <c r="D542" i="2"/>
  <c r="B542" i="2"/>
  <c r="D541" i="2"/>
  <c r="B541" i="2"/>
  <c r="D540" i="2"/>
  <c r="B540" i="2"/>
  <c r="D539" i="2"/>
  <c r="B539" i="2"/>
  <c r="D538" i="2"/>
  <c r="B538" i="2"/>
  <c r="D537" i="2"/>
  <c r="B537" i="2"/>
  <c r="D536" i="2"/>
  <c r="B536" i="2"/>
  <c r="D535" i="2"/>
  <c r="B535" i="2"/>
  <c r="D534" i="2"/>
  <c r="B534" i="2"/>
  <c r="D533" i="2"/>
  <c r="B533" i="2"/>
  <c r="D532" i="2"/>
  <c r="B532" i="2"/>
  <c r="D531" i="2"/>
  <c r="B531" i="2"/>
  <c r="D530" i="2"/>
  <c r="B530" i="2"/>
  <c r="D529" i="2"/>
  <c r="B529" i="2"/>
  <c r="D528" i="2"/>
  <c r="B528" i="2"/>
  <c r="D527" i="2"/>
  <c r="B527" i="2"/>
  <c r="D526" i="2"/>
  <c r="B526" i="2"/>
  <c r="D525" i="2"/>
  <c r="B525" i="2"/>
  <c r="D524" i="2"/>
  <c r="B524" i="2"/>
  <c r="D523" i="2"/>
  <c r="B523" i="2"/>
  <c r="D522" i="2"/>
  <c r="B522" i="2"/>
  <c r="D521" i="2"/>
  <c r="B521" i="2"/>
  <c r="D520" i="2"/>
  <c r="B520" i="2"/>
  <c r="D519" i="2"/>
  <c r="B519" i="2"/>
  <c r="D518" i="2"/>
  <c r="B518" i="2"/>
  <c r="D517" i="2"/>
  <c r="B517" i="2"/>
  <c r="D516" i="2"/>
  <c r="B516" i="2"/>
  <c r="D515" i="2"/>
  <c r="B515" i="2"/>
  <c r="D514" i="2"/>
  <c r="B514" i="2"/>
  <c r="D513" i="2"/>
  <c r="B513" i="2"/>
  <c r="D512" i="2"/>
  <c r="B512" i="2"/>
  <c r="D511" i="2"/>
  <c r="B511" i="2"/>
  <c r="D510" i="2"/>
  <c r="B510" i="2"/>
  <c r="D509" i="2"/>
  <c r="B509" i="2"/>
  <c r="D508" i="2"/>
  <c r="B508" i="2"/>
  <c r="D507" i="2"/>
  <c r="B507" i="2"/>
  <c r="D506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D494" i="2"/>
  <c r="B494" i="2"/>
  <c r="D493" i="2"/>
  <c r="B493" i="2"/>
  <c r="D492" i="2"/>
  <c r="B492" i="2"/>
  <c r="D491" i="2"/>
  <c r="B491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462" i="2"/>
  <c r="B462" i="2"/>
  <c r="D461" i="2"/>
  <c r="B461" i="2"/>
  <c r="D460" i="2"/>
  <c r="B460" i="2"/>
  <c r="D459" i="2"/>
  <c r="B459" i="2"/>
  <c r="D458" i="2"/>
  <c r="B458" i="2"/>
  <c r="D457" i="2"/>
  <c r="B457" i="2"/>
  <c r="D456" i="2"/>
  <c r="B456" i="2"/>
  <c r="D455" i="2"/>
  <c r="B455" i="2"/>
  <c r="D454" i="2"/>
  <c r="B454" i="2"/>
  <c r="D453" i="2"/>
  <c r="B453" i="2"/>
  <c r="D452" i="2"/>
  <c r="B452" i="2"/>
  <c r="D451" i="2"/>
  <c r="B451" i="2"/>
  <c r="D450" i="2"/>
  <c r="B450" i="2"/>
  <c r="D449" i="2"/>
  <c r="B449" i="2"/>
  <c r="D448" i="2"/>
  <c r="B448" i="2"/>
  <c r="D447" i="2"/>
  <c r="B447" i="2"/>
  <c r="D446" i="2"/>
  <c r="B446" i="2"/>
  <c r="D445" i="2"/>
  <c r="B445" i="2"/>
  <c r="D444" i="2"/>
  <c r="B444" i="2"/>
  <c r="D443" i="2"/>
  <c r="B443" i="2"/>
  <c r="D442" i="2"/>
  <c r="B442" i="2"/>
  <c r="D441" i="2"/>
  <c r="B441" i="2"/>
  <c r="D440" i="2"/>
  <c r="B440" i="2"/>
  <c r="D439" i="2"/>
  <c r="B439" i="2"/>
  <c r="D438" i="2"/>
  <c r="B438" i="2"/>
  <c r="D437" i="2"/>
  <c r="B437" i="2"/>
  <c r="D436" i="2"/>
  <c r="B436" i="2"/>
  <c r="D435" i="2"/>
  <c r="B435" i="2"/>
  <c r="D434" i="2"/>
  <c r="B434" i="2"/>
  <c r="D433" i="2"/>
  <c r="B433" i="2"/>
  <c r="D432" i="2"/>
  <c r="B432" i="2"/>
  <c r="D431" i="2"/>
  <c r="B431" i="2"/>
  <c r="D430" i="2"/>
  <c r="B430" i="2"/>
  <c r="D429" i="2"/>
  <c r="B429" i="2"/>
  <c r="D428" i="2"/>
  <c r="B428" i="2"/>
  <c r="D427" i="2"/>
  <c r="B427" i="2"/>
  <c r="D426" i="2"/>
  <c r="B426" i="2"/>
  <c r="D425" i="2"/>
  <c r="B425" i="2"/>
  <c r="D424" i="2"/>
  <c r="B424" i="2"/>
  <c r="D423" i="2"/>
  <c r="B423" i="2"/>
  <c r="D422" i="2"/>
  <c r="B422" i="2"/>
  <c r="D421" i="2"/>
  <c r="B421" i="2"/>
  <c r="D420" i="2"/>
  <c r="B420" i="2"/>
  <c r="D419" i="2"/>
  <c r="B419" i="2"/>
  <c r="D418" i="2"/>
  <c r="B418" i="2"/>
  <c r="D417" i="2"/>
  <c r="B417" i="2"/>
  <c r="D416" i="2"/>
  <c r="B416" i="2"/>
  <c r="D415" i="2"/>
  <c r="B415" i="2"/>
  <c r="D414" i="2"/>
  <c r="B414" i="2"/>
  <c r="D413" i="2"/>
  <c r="B413" i="2"/>
  <c r="D412" i="2"/>
  <c r="B412" i="2"/>
  <c r="D411" i="2"/>
  <c r="B411" i="2"/>
  <c r="D410" i="2"/>
  <c r="B410" i="2"/>
  <c r="D409" i="2"/>
  <c r="B409" i="2"/>
  <c r="D408" i="2"/>
  <c r="B408" i="2"/>
  <c r="D407" i="2"/>
  <c r="B407" i="2"/>
  <c r="D406" i="2"/>
  <c r="B406" i="2"/>
  <c r="D405" i="2"/>
  <c r="B405" i="2"/>
  <c r="D404" i="2"/>
  <c r="B404" i="2"/>
  <c r="D403" i="2"/>
  <c r="B403" i="2"/>
  <c r="D402" i="2"/>
  <c r="B402" i="2"/>
  <c r="D401" i="2"/>
  <c r="B401" i="2"/>
  <c r="D400" i="2"/>
  <c r="B400" i="2"/>
  <c r="D399" i="2"/>
  <c r="B399" i="2"/>
  <c r="D398" i="2"/>
  <c r="B398" i="2"/>
  <c r="D397" i="2"/>
  <c r="B397" i="2"/>
  <c r="D396" i="2"/>
  <c r="B396" i="2"/>
  <c r="D395" i="2"/>
  <c r="B395" i="2"/>
  <c r="D394" i="2"/>
  <c r="B394" i="2"/>
  <c r="D393" i="2"/>
  <c r="B393" i="2"/>
  <c r="D392" i="2"/>
  <c r="B392" i="2"/>
  <c r="D391" i="2"/>
  <c r="B391" i="2"/>
  <c r="D390" i="2"/>
  <c r="B390" i="2"/>
  <c r="D389" i="2"/>
  <c r="B389" i="2"/>
  <c r="D388" i="2"/>
  <c r="B388" i="2"/>
  <c r="D387" i="2"/>
  <c r="B387" i="2"/>
  <c r="D386" i="2"/>
  <c r="B386" i="2"/>
  <c r="D385" i="2"/>
  <c r="B385" i="2"/>
  <c r="D384" i="2"/>
  <c r="B384" i="2"/>
  <c r="D383" i="2"/>
  <c r="B383" i="2"/>
  <c r="D382" i="2"/>
  <c r="B382" i="2"/>
  <c r="D381" i="2"/>
  <c r="B381" i="2"/>
  <c r="D380" i="2"/>
  <c r="B380" i="2"/>
  <c r="D379" i="2"/>
  <c r="B379" i="2"/>
  <c r="D378" i="2"/>
  <c r="B378" i="2"/>
  <c r="D377" i="2"/>
  <c r="B377" i="2"/>
  <c r="D376" i="2"/>
  <c r="B376" i="2"/>
  <c r="D375" i="2"/>
  <c r="B375" i="2"/>
  <c r="D374" i="2"/>
  <c r="B374" i="2"/>
  <c r="D373" i="2"/>
  <c r="B373" i="2"/>
  <c r="D372" i="2"/>
  <c r="B372" i="2"/>
  <c r="D371" i="2"/>
  <c r="B371" i="2"/>
  <c r="D370" i="2"/>
  <c r="B370" i="2"/>
  <c r="D369" i="2"/>
  <c r="B369" i="2"/>
  <c r="D368" i="2"/>
  <c r="B368" i="2"/>
  <c r="D367" i="2"/>
  <c r="B367" i="2"/>
  <c r="D366" i="2"/>
  <c r="B366" i="2"/>
  <c r="D365" i="2"/>
  <c r="B365" i="2"/>
  <c r="D364" i="2"/>
  <c r="B364" i="2"/>
  <c r="D363" i="2"/>
  <c r="B363" i="2"/>
  <c r="D362" i="2"/>
  <c r="B362" i="2"/>
  <c r="D361" i="2"/>
  <c r="B361" i="2"/>
  <c r="D360" i="2"/>
  <c r="B360" i="2"/>
  <c r="D359" i="2"/>
  <c r="B359" i="2"/>
  <c r="D358" i="2"/>
  <c r="B358" i="2"/>
  <c r="D357" i="2"/>
  <c r="B357" i="2"/>
  <c r="D356" i="2"/>
  <c r="B356" i="2"/>
  <c r="D355" i="2"/>
  <c r="B355" i="2"/>
  <c r="D354" i="2"/>
  <c r="B354" i="2"/>
  <c r="D353" i="2"/>
  <c r="B353" i="2"/>
  <c r="D352" i="2"/>
  <c r="B352" i="2"/>
  <c r="D351" i="2"/>
  <c r="B351" i="2"/>
  <c r="D350" i="2"/>
  <c r="B350" i="2"/>
  <c r="D349" i="2"/>
  <c r="B349" i="2"/>
  <c r="D348" i="2"/>
  <c r="B348" i="2"/>
  <c r="D347" i="2"/>
  <c r="B347" i="2"/>
  <c r="D346" i="2"/>
  <c r="B346" i="2"/>
  <c r="D345" i="2"/>
  <c r="B345" i="2"/>
  <c r="D344" i="2"/>
  <c r="B344" i="2"/>
  <c r="D343" i="2"/>
  <c r="B343" i="2"/>
  <c r="D342" i="2"/>
  <c r="B342" i="2"/>
  <c r="D341" i="2"/>
  <c r="B341" i="2"/>
  <c r="D340" i="2"/>
  <c r="B340" i="2"/>
  <c r="D339" i="2"/>
  <c r="B339" i="2"/>
  <c r="D338" i="2"/>
  <c r="B338" i="2"/>
  <c r="D337" i="2"/>
  <c r="B337" i="2"/>
  <c r="D336" i="2"/>
  <c r="B336" i="2"/>
  <c r="D335" i="2"/>
  <c r="B335" i="2"/>
  <c r="D334" i="2"/>
  <c r="B334" i="2"/>
  <c r="D333" i="2"/>
  <c r="B333" i="2"/>
  <c r="D332" i="2"/>
  <c r="B332" i="2"/>
  <c r="D331" i="2"/>
  <c r="B331" i="2"/>
  <c r="D330" i="2"/>
  <c r="B330" i="2"/>
  <c r="D329" i="2"/>
  <c r="B329" i="2"/>
  <c r="D328" i="2"/>
  <c r="B328" i="2"/>
  <c r="D327" i="2"/>
  <c r="B327" i="2"/>
  <c r="D326" i="2"/>
  <c r="B326" i="2"/>
  <c r="D325" i="2"/>
  <c r="B325" i="2"/>
  <c r="D324" i="2"/>
  <c r="B324" i="2"/>
  <c r="D323" i="2"/>
  <c r="B323" i="2"/>
  <c r="D322" i="2"/>
  <c r="B322" i="2"/>
  <c r="D321" i="2"/>
  <c r="B321" i="2"/>
  <c r="D320" i="2"/>
  <c r="B320" i="2"/>
  <c r="D319" i="2"/>
  <c r="B319" i="2"/>
  <c r="D318" i="2"/>
  <c r="B318" i="2"/>
  <c r="D317" i="2"/>
  <c r="B317" i="2"/>
  <c r="D316" i="2"/>
  <c r="B316" i="2"/>
  <c r="D315" i="2"/>
  <c r="B315" i="2"/>
  <c r="D314" i="2"/>
  <c r="B314" i="2"/>
  <c r="D313" i="2"/>
  <c r="B313" i="2"/>
  <c r="D312" i="2"/>
  <c r="B312" i="2"/>
  <c r="D311" i="2"/>
  <c r="B311" i="2"/>
  <c r="D310" i="2"/>
  <c r="B310" i="2"/>
  <c r="D309" i="2"/>
  <c r="B309" i="2"/>
  <c r="D308" i="2"/>
  <c r="B308" i="2"/>
  <c r="D307" i="2"/>
  <c r="B307" i="2"/>
  <c r="D306" i="2"/>
  <c r="B306" i="2"/>
  <c r="D305" i="2"/>
  <c r="B305" i="2"/>
  <c r="D304" i="2"/>
  <c r="B304" i="2"/>
  <c r="D303" i="2"/>
  <c r="B303" i="2"/>
  <c r="D302" i="2"/>
  <c r="B302" i="2"/>
  <c r="D301" i="2"/>
  <c r="B301" i="2"/>
  <c r="D300" i="2"/>
  <c r="B300" i="2"/>
  <c r="D299" i="2"/>
  <c r="B299" i="2"/>
  <c r="D298" i="2"/>
  <c r="B298" i="2"/>
  <c r="D297" i="2"/>
  <c r="B297" i="2"/>
  <c r="D296" i="2"/>
  <c r="B296" i="2"/>
  <c r="D295" i="2"/>
  <c r="B295" i="2"/>
  <c r="D294" i="2"/>
  <c r="B294" i="2"/>
  <c r="D293" i="2"/>
  <c r="B293" i="2"/>
  <c r="D292" i="2"/>
  <c r="B292" i="2"/>
  <c r="D291" i="2"/>
  <c r="B291" i="2"/>
  <c r="D290" i="2"/>
  <c r="B290" i="2"/>
  <c r="D289" i="2"/>
  <c r="B289" i="2"/>
  <c r="D288" i="2"/>
  <c r="B288" i="2"/>
  <c r="D287" i="2"/>
  <c r="B287" i="2"/>
  <c r="D286" i="2"/>
  <c r="B286" i="2"/>
  <c r="D285" i="2"/>
  <c r="B285" i="2"/>
  <c r="D284" i="2"/>
  <c r="B284" i="2"/>
  <c r="D283" i="2"/>
  <c r="B283" i="2"/>
  <c r="D282" i="2"/>
  <c r="B282" i="2"/>
  <c r="D281" i="2"/>
  <c r="B281" i="2"/>
  <c r="D280" i="2"/>
  <c r="B280" i="2"/>
  <c r="D279" i="2"/>
  <c r="B279" i="2"/>
  <c r="D278" i="2"/>
  <c r="B278" i="2"/>
  <c r="D277" i="2"/>
  <c r="B277" i="2"/>
  <c r="D276" i="2"/>
  <c r="B276" i="2"/>
  <c r="D275" i="2"/>
  <c r="B275" i="2"/>
  <c r="D274" i="2"/>
  <c r="B274" i="2"/>
  <c r="D273" i="2"/>
  <c r="B273" i="2"/>
  <c r="D272" i="2"/>
  <c r="B272" i="2"/>
  <c r="D271" i="2"/>
  <c r="B271" i="2"/>
  <c r="D270" i="2"/>
  <c r="B270" i="2"/>
  <c r="D269" i="2"/>
  <c r="B269" i="2"/>
  <c r="D268" i="2"/>
  <c r="B268" i="2"/>
  <c r="D267" i="2"/>
  <c r="B267" i="2"/>
  <c r="D266" i="2"/>
  <c r="B266" i="2"/>
  <c r="D265" i="2"/>
  <c r="B265" i="2"/>
  <c r="D264" i="2"/>
  <c r="B264" i="2"/>
  <c r="D263" i="2"/>
  <c r="B263" i="2"/>
  <c r="D262" i="2"/>
  <c r="B262" i="2"/>
  <c r="D261" i="2"/>
  <c r="B261" i="2"/>
  <c r="D260" i="2"/>
  <c r="B260" i="2"/>
  <c r="D259" i="2"/>
  <c r="B259" i="2"/>
  <c r="D258" i="2"/>
  <c r="B258" i="2"/>
  <c r="D257" i="2"/>
  <c r="B257" i="2"/>
  <c r="D256" i="2"/>
  <c r="B256" i="2"/>
  <c r="D255" i="2"/>
  <c r="B255" i="2"/>
  <c r="D254" i="2"/>
  <c r="B254" i="2"/>
  <c r="D253" i="2"/>
  <c r="B253" i="2"/>
  <c r="D252" i="2"/>
  <c r="B252" i="2"/>
  <c r="D251" i="2"/>
  <c r="B251" i="2"/>
  <c r="D250" i="2"/>
  <c r="B250" i="2"/>
  <c r="D249" i="2"/>
  <c r="B249" i="2"/>
  <c r="D248" i="2"/>
  <c r="B248" i="2"/>
  <c r="D247" i="2"/>
  <c r="B247" i="2"/>
  <c r="D246" i="2"/>
  <c r="B246" i="2"/>
  <c r="D245" i="2"/>
  <c r="B245" i="2"/>
  <c r="D244" i="2"/>
  <c r="B244" i="2"/>
  <c r="D243" i="2"/>
  <c r="B243" i="2"/>
  <c r="D242" i="2"/>
  <c r="B242" i="2"/>
  <c r="D241" i="2"/>
  <c r="B241" i="2"/>
  <c r="D240" i="2"/>
  <c r="B240" i="2"/>
  <c r="D239" i="2"/>
  <c r="B239" i="2"/>
  <c r="D238" i="2"/>
  <c r="B238" i="2"/>
  <c r="D237" i="2"/>
  <c r="B237" i="2"/>
  <c r="D236" i="2"/>
  <c r="B236" i="2"/>
  <c r="D235" i="2"/>
  <c r="B235" i="2"/>
  <c r="D234" i="2"/>
  <c r="B234" i="2"/>
  <c r="D233" i="2"/>
  <c r="B233" i="2"/>
  <c r="D232" i="2"/>
  <c r="B232" i="2"/>
  <c r="D231" i="2"/>
  <c r="B231" i="2"/>
  <c r="D230" i="2"/>
  <c r="B230" i="2"/>
  <c r="D229" i="2"/>
  <c r="B229" i="2"/>
  <c r="D228" i="2"/>
  <c r="B228" i="2"/>
  <c r="D227" i="2"/>
  <c r="B227" i="2"/>
  <c r="D226" i="2"/>
  <c r="B226" i="2"/>
  <c r="D225" i="2"/>
  <c r="B225" i="2"/>
  <c r="D224" i="2"/>
  <c r="B224" i="2"/>
  <c r="D223" i="2"/>
  <c r="B223" i="2"/>
  <c r="D222" i="2"/>
  <c r="B222" i="2"/>
  <c r="D221" i="2"/>
  <c r="B221" i="2"/>
  <c r="D220" i="2"/>
  <c r="B220" i="2"/>
  <c r="D219" i="2"/>
  <c r="B219" i="2"/>
  <c r="D218" i="2"/>
  <c r="B218" i="2"/>
  <c r="D217" i="2"/>
  <c r="B217" i="2"/>
  <c r="D216" i="2"/>
  <c r="B216" i="2"/>
  <c r="D215" i="2"/>
  <c r="B215" i="2"/>
  <c r="D214" i="2"/>
  <c r="B214" i="2"/>
  <c r="D213" i="2"/>
  <c r="B213" i="2"/>
  <c r="D212" i="2"/>
  <c r="B212" i="2"/>
  <c r="D211" i="2"/>
  <c r="B211" i="2"/>
  <c r="D210" i="2"/>
  <c r="B210" i="2"/>
  <c r="D209" i="2"/>
  <c r="B209" i="2"/>
  <c r="D208" i="2"/>
  <c r="B208" i="2"/>
  <c r="D207" i="2"/>
  <c r="B207" i="2"/>
  <c r="D206" i="2"/>
  <c r="B206" i="2"/>
  <c r="D205" i="2"/>
  <c r="B205" i="2"/>
  <c r="D204" i="2"/>
  <c r="B204" i="2"/>
  <c r="D203" i="2"/>
  <c r="B203" i="2"/>
  <c r="D202" i="2"/>
  <c r="B202" i="2"/>
  <c r="D201" i="2"/>
  <c r="B201" i="2"/>
  <c r="D200" i="2"/>
  <c r="B200" i="2"/>
  <c r="D199" i="2"/>
  <c r="B199" i="2"/>
  <c r="D198" i="2"/>
  <c r="B198" i="2"/>
  <c r="D197" i="2"/>
  <c r="B197" i="2"/>
  <c r="D196" i="2"/>
  <c r="B196" i="2"/>
  <c r="D195" i="2"/>
  <c r="B195" i="2"/>
  <c r="D194" i="2"/>
  <c r="B194" i="2"/>
  <c r="D193" i="2"/>
  <c r="B193" i="2"/>
  <c r="D192" i="2"/>
  <c r="B192" i="2"/>
  <c r="D191" i="2"/>
  <c r="B191" i="2"/>
  <c r="D190" i="2"/>
  <c r="B190" i="2"/>
  <c r="D189" i="2"/>
  <c r="B189" i="2"/>
  <c r="D188" i="2"/>
  <c r="B188" i="2"/>
  <c r="D187" i="2"/>
  <c r="B187" i="2"/>
  <c r="D186" i="2"/>
  <c r="B186" i="2"/>
  <c r="D185" i="2"/>
  <c r="B185" i="2"/>
  <c r="D184" i="2"/>
  <c r="B184" i="2"/>
  <c r="D183" i="2"/>
  <c r="B183" i="2"/>
  <c r="D182" i="2"/>
  <c r="B182" i="2"/>
  <c r="D181" i="2"/>
  <c r="B181" i="2"/>
  <c r="D180" i="2"/>
  <c r="B180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1" i="2"/>
  <c r="B171" i="2"/>
  <c r="D170" i="2"/>
  <c r="B170" i="2"/>
  <c r="D169" i="2"/>
  <c r="B169" i="2"/>
  <c r="D168" i="2"/>
  <c r="B168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60" i="2"/>
  <c r="B160" i="2"/>
  <c r="D159" i="2"/>
  <c r="B159" i="2"/>
  <c r="D158" i="2"/>
  <c r="B158" i="2"/>
  <c r="D157" i="2"/>
  <c r="B157" i="2"/>
  <c r="D156" i="2"/>
  <c r="B156" i="2"/>
  <c r="D155" i="2"/>
  <c r="B155" i="2"/>
  <c r="D154" i="2"/>
  <c r="B154" i="2"/>
  <c r="D153" i="2"/>
  <c r="B153" i="2"/>
  <c r="D152" i="2"/>
  <c r="B152" i="2"/>
  <c r="D151" i="2"/>
  <c r="B151" i="2"/>
  <c r="D150" i="2"/>
  <c r="B150" i="2"/>
  <c r="D149" i="2"/>
  <c r="B149" i="2"/>
  <c r="D148" i="2"/>
  <c r="B148" i="2"/>
  <c r="D147" i="2"/>
  <c r="B147" i="2"/>
  <c r="D146" i="2"/>
  <c r="B146" i="2"/>
  <c r="D145" i="2"/>
  <c r="B145" i="2"/>
  <c r="D144" i="2"/>
  <c r="B144" i="2"/>
  <c r="D143" i="2"/>
  <c r="B143" i="2"/>
  <c r="D142" i="2"/>
  <c r="B142" i="2"/>
  <c r="D141" i="2"/>
  <c r="B141" i="2"/>
  <c r="D140" i="2"/>
  <c r="B140" i="2"/>
  <c r="D139" i="2"/>
  <c r="B139" i="2"/>
  <c r="D138" i="2"/>
  <c r="B138" i="2"/>
  <c r="D137" i="2"/>
  <c r="B137" i="2"/>
  <c r="D136" i="2"/>
  <c r="B136" i="2"/>
  <c r="D135" i="2"/>
  <c r="B135" i="2"/>
  <c r="D134" i="2"/>
  <c r="B134" i="2"/>
  <c r="D133" i="2"/>
  <c r="B133" i="2"/>
  <c r="D132" i="2"/>
  <c r="B132" i="2"/>
  <c r="D131" i="2"/>
  <c r="B131" i="2"/>
  <c r="D130" i="2"/>
  <c r="B130" i="2"/>
  <c r="D129" i="2"/>
  <c r="B129" i="2"/>
  <c r="D128" i="2"/>
  <c r="B128" i="2"/>
  <c r="D127" i="2"/>
  <c r="B127" i="2"/>
  <c r="D126" i="2"/>
  <c r="B126" i="2"/>
  <c r="D125" i="2"/>
  <c r="B125" i="2"/>
  <c r="D124" i="2"/>
  <c r="B124" i="2"/>
  <c r="D123" i="2"/>
  <c r="B123" i="2"/>
  <c r="D122" i="2"/>
  <c r="B122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D113" i="2"/>
  <c r="B113" i="2"/>
  <c r="D112" i="2"/>
  <c r="B112" i="2"/>
  <c r="D111" i="2"/>
  <c r="B111" i="2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1" i="2"/>
  <c r="B101" i="2"/>
  <c r="D100" i="2"/>
  <c r="B100" i="2"/>
  <c r="D99" i="2"/>
  <c r="B99" i="2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19" i="1"/>
  <c r="H1818" i="1"/>
  <c r="H1817" i="1"/>
  <c r="H1816" i="1"/>
  <c r="H1814" i="1"/>
  <c r="H1813" i="1"/>
  <c r="H1812" i="1"/>
  <c r="H1811" i="1"/>
  <c r="H1809" i="1"/>
  <c r="H1808" i="1"/>
  <c r="H1807" i="1"/>
  <c r="H1806" i="1"/>
  <c r="H1804" i="1"/>
  <c r="H1803" i="1"/>
  <c r="H1802" i="1"/>
  <c r="H1801" i="1"/>
  <c r="H1800" i="1"/>
  <c r="H1798" i="1"/>
  <c r="H1797" i="1"/>
  <c r="H1796" i="1"/>
  <c r="H1795" i="1"/>
  <c r="H1793" i="1"/>
  <c r="H1792" i="1"/>
  <c r="M1791" i="1"/>
  <c r="K1791" i="1"/>
  <c r="J1791" i="1"/>
  <c r="H1791" i="1"/>
  <c r="G1791" i="1"/>
  <c r="F1791" i="1"/>
  <c r="C1791" i="1"/>
  <c r="M1790" i="1"/>
  <c r="K1790" i="1"/>
  <c r="J1790" i="1"/>
  <c r="H1790" i="1"/>
  <c r="G1790" i="1"/>
  <c r="F1790" i="1"/>
  <c r="C1790" i="1"/>
  <c r="M1789" i="1"/>
  <c r="K1789" i="1"/>
  <c r="J1789" i="1"/>
  <c r="H1789" i="1"/>
  <c r="G1789" i="1"/>
  <c r="F1789" i="1"/>
  <c r="C1789" i="1"/>
  <c r="M1788" i="1"/>
  <c r="K1788" i="1"/>
  <c r="J1788" i="1"/>
  <c r="H1788" i="1"/>
  <c r="G1788" i="1"/>
  <c r="F1788" i="1"/>
  <c r="C1788" i="1"/>
  <c r="M1787" i="1"/>
  <c r="K1787" i="1"/>
  <c r="J1787" i="1"/>
  <c r="H1787" i="1"/>
  <c r="G1787" i="1"/>
  <c r="F1787" i="1"/>
  <c r="C1787" i="1"/>
  <c r="M1786" i="1"/>
  <c r="K1786" i="1"/>
  <c r="J1786" i="1"/>
  <c r="H1786" i="1"/>
  <c r="G1786" i="1"/>
  <c r="F1786" i="1"/>
  <c r="C1786" i="1"/>
  <c r="M1785" i="1"/>
  <c r="K1785" i="1"/>
  <c r="J1785" i="1"/>
  <c r="H1785" i="1"/>
  <c r="G1785" i="1"/>
  <c r="F1785" i="1"/>
  <c r="C1785" i="1"/>
  <c r="M1784" i="1"/>
  <c r="K1784" i="1"/>
  <c r="J1784" i="1"/>
  <c r="H1784" i="1"/>
  <c r="G1784" i="1"/>
  <c r="F1784" i="1"/>
  <c r="C1784" i="1"/>
  <c r="M1783" i="1"/>
  <c r="K1783" i="1"/>
  <c r="J1783" i="1"/>
  <c r="H1783" i="1"/>
  <c r="G1783" i="1"/>
  <c r="F1783" i="1"/>
  <c r="C1783" i="1"/>
  <c r="M1782" i="1"/>
  <c r="K1782" i="1"/>
  <c r="J1782" i="1"/>
  <c r="H1782" i="1"/>
  <c r="G1782" i="1"/>
  <c r="F1782" i="1"/>
  <c r="C1782" i="1"/>
  <c r="M1781" i="1"/>
  <c r="K1781" i="1"/>
  <c r="J1781" i="1"/>
  <c r="H1781" i="1"/>
  <c r="G1781" i="1"/>
  <c r="F1781" i="1"/>
  <c r="C1781" i="1"/>
  <c r="M1780" i="1"/>
  <c r="K1780" i="1"/>
  <c r="J1780" i="1"/>
  <c r="H1780" i="1"/>
  <c r="G1780" i="1"/>
  <c r="F1780" i="1"/>
  <c r="C1780" i="1"/>
  <c r="M1779" i="1"/>
  <c r="K1779" i="1"/>
  <c r="J1779" i="1"/>
  <c r="H1779" i="1"/>
  <c r="G1779" i="1"/>
  <c r="F1779" i="1"/>
  <c r="C1779" i="1"/>
  <c r="M1778" i="1"/>
  <c r="K1778" i="1"/>
  <c r="J1778" i="1"/>
  <c r="H1778" i="1"/>
  <c r="G1778" i="1"/>
  <c r="F1778" i="1"/>
  <c r="C1778" i="1"/>
  <c r="M1777" i="1"/>
  <c r="K1777" i="1"/>
  <c r="J1777" i="1"/>
  <c r="H1777" i="1"/>
  <c r="G1777" i="1"/>
  <c r="F1777" i="1"/>
  <c r="C1777" i="1"/>
  <c r="M1776" i="1"/>
  <c r="K1776" i="1"/>
  <c r="J1776" i="1"/>
  <c r="H1776" i="1"/>
  <c r="G1776" i="1"/>
  <c r="F1776" i="1"/>
  <c r="C1776" i="1"/>
  <c r="M1775" i="1"/>
  <c r="K1775" i="1"/>
  <c r="J1775" i="1"/>
  <c r="H1775" i="1"/>
  <c r="G1775" i="1"/>
  <c r="F1775" i="1"/>
  <c r="C1775" i="1"/>
  <c r="M1774" i="1"/>
  <c r="K1774" i="1"/>
  <c r="J1774" i="1"/>
  <c r="H1774" i="1"/>
  <c r="G1774" i="1"/>
  <c r="F1774" i="1"/>
  <c r="C1774" i="1"/>
  <c r="M1773" i="1"/>
  <c r="K1773" i="1"/>
  <c r="J1773" i="1"/>
  <c r="H1773" i="1"/>
  <c r="G1773" i="1"/>
  <c r="F1773" i="1"/>
  <c r="C1773" i="1"/>
  <c r="M1772" i="1"/>
  <c r="K1772" i="1"/>
  <c r="J1772" i="1"/>
  <c r="H1772" i="1"/>
  <c r="G1772" i="1"/>
  <c r="F1772" i="1"/>
  <c r="C1772" i="1"/>
  <c r="M1771" i="1"/>
  <c r="K1771" i="1"/>
  <c r="J1771" i="1"/>
  <c r="H1771" i="1"/>
  <c r="G1771" i="1"/>
  <c r="F1771" i="1"/>
  <c r="C1771" i="1"/>
  <c r="M1770" i="1"/>
  <c r="K1770" i="1"/>
  <c r="J1770" i="1"/>
  <c r="H1770" i="1"/>
  <c r="G1770" i="1"/>
  <c r="F1770" i="1"/>
  <c r="C1770" i="1"/>
  <c r="M1769" i="1"/>
  <c r="K1769" i="1"/>
  <c r="J1769" i="1"/>
  <c r="H1769" i="1"/>
  <c r="G1769" i="1"/>
  <c r="F1769" i="1"/>
  <c r="C1769" i="1"/>
  <c r="M1768" i="1"/>
  <c r="K1768" i="1"/>
  <c r="J1768" i="1"/>
  <c r="H1768" i="1"/>
  <c r="G1768" i="1"/>
  <c r="F1768" i="1"/>
  <c r="C1768" i="1"/>
  <c r="M1767" i="1"/>
  <c r="K1767" i="1"/>
  <c r="J1767" i="1"/>
  <c r="H1767" i="1"/>
  <c r="G1767" i="1"/>
  <c r="F1767" i="1"/>
  <c r="C1767" i="1"/>
  <c r="M1766" i="1"/>
  <c r="K1766" i="1"/>
  <c r="J1766" i="1"/>
  <c r="H1766" i="1"/>
  <c r="G1766" i="1"/>
  <c r="F1766" i="1"/>
  <c r="C1766" i="1"/>
  <c r="M1765" i="1"/>
  <c r="K1765" i="1"/>
  <c r="J1765" i="1"/>
  <c r="H1765" i="1"/>
  <c r="G1765" i="1"/>
  <c r="F1765" i="1"/>
  <c r="C1765" i="1"/>
  <c r="M1764" i="1"/>
  <c r="K1764" i="1"/>
  <c r="J1764" i="1"/>
  <c r="H1764" i="1"/>
  <c r="G1764" i="1"/>
  <c r="F1764" i="1"/>
  <c r="C1764" i="1"/>
  <c r="M1763" i="1"/>
  <c r="K1763" i="1"/>
  <c r="J1763" i="1"/>
  <c r="H1763" i="1"/>
  <c r="G1763" i="1"/>
  <c r="F1763" i="1"/>
  <c r="C1763" i="1"/>
  <c r="M1762" i="1"/>
  <c r="K1762" i="1"/>
  <c r="J1762" i="1"/>
  <c r="H1762" i="1"/>
  <c r="G1762" i="1"/>
  <c r="F1762" i="1"/>
  <c r="C1762" i="1"/>
  <c r="M1761" i="1"/>
  <c r="K1761" i="1"/>
  <c r="J1761" i="1"/>
  <c r="H1761" i="1"/>
  <c r="G1761" i="1"/>
  <c r="F1761" i="1"/>
  <c r="C1761" i="1"/>
  <c r="M1760" i="1"/>
  <c r="K1760" i="1"/>
  <c r="J1760" i="1"/>
  <c r="H1760" i="1"/>
  <c r="G1760" i="1"/>
  <c r="F1760" i="1"/>
  <c r="C1760" i="1"/>
  <c r="M1759" i="1"/>
  <c r="K1759" i="1"/>
  <c r="J1759" i="1"/>
  <c r="H1759" i="1"/>
  <c r="G1759" i="1"/>
  <c r="F1759" i="1"/>
  <c r="C1759" i="1"/>
  <c r="M1758" i="1"/>
  <c r="K1758" i="1"/>
  <c r="J1758" i="1"/>
  <c r="H1758" i="1"/>
  <c r="G1758" i="1"/>
  <c r="F1758" i="1"/>
  <c r="C1758" i="1"/>
  <c r="M1757" i="1"/>
  <c r="K1757" i="1"/>
  <c r="J1757" i="1"/>
  <c r="H1757" i="1"/>
  <c r="G1757" i="1"/>
  <c r="F1757" i="1"/>
  <c r="C1757" i="1"/>
  <c r="M1756" i="1"/>
  <c r="K1756" i="1"/>
  <c r="J1756" i="1"/>
  <c r="H1756" i="1"/>
  <c r="G1756" i="1"/>
  <c r="F1756" i="1"/>
  <c r="C1756" i="1"/>
  <c r="M1755" i="1"/>
  <c r="K1755" i="1"/>
  <c r="J1755" i="1"/>
  <c r="H1755" i="1"/>
  <c r="G1755" i="1"/>
  <c r="F1755" i="1"/>
  <c r="C1755" i="1"/>
  <c r="M1754" i="1"/>
  <c r="K1754" i="1"/>
  <c r="J1754" i="1"/>
  <c r="H1754" i="1"/>
  <c r="G1754" i="1"/>
  <c r="F1754" i="1"/>
  <c r="C1754" i="1"/>
  <c r="M1753" i="1"/>
  <c r="K1753" i="1"/>
  <c r="J1753" i="1"/>
  <c r="H1753" i="1"/>
  <c r="G1753" i="1"/>
  <c r="F1753" i="1"/>
  <c r="C1753" i="1"/>
  <c r="M1752" i="1"/>
  <c r="K1752" i="1"/>
  <c r="J1752" i="1"/>
  <c r="H1752" i="1"/>
  <c r="G1752" i="1"/>
  <c r="F1752" i="1"/>
  <c r="C1752" i="1"/>
  <c r="M1751" i="1"/>
  <c r="K1751" i="1"/>
  <c r="J1751" i="1"/>
  <c r="H1751" i="1"/>
  <c r="G1751" i="1"/>
  <c r="F1751" i="1"/>
  <c r="C1751" i="1"/>
  <c r="M1750" i="1"/>
  <c r="K1750" i="1"/>
  <c r="J1750" i="1"/>
  <c r="H1750" i="1"/>
  <c r="G1750" i="1"/>
  <c r="F1750" i="1"/>
  <c r="C1750" i="1"/>
  <c r="M1749" i="1"/>
  <c r="K1749" i="1"/>
  <c r="J1749" i="1"/>
  <c r="H1749" i="1"/>
  <c r="G1749" i="1"/>
  <c r="F1749" i="1"/>
  <c r="C1749" i="1"/>
  <c r="M1748" i="1"/>
  <c r="K1748" i="1"/>
  <c r="J1748" i="1"/>
  <c r="H1748" i="1"/>
  <c r="G1748" i="1"/>
  <c r="F1748" i="1"/>
  <c r="C1748" i="1"/>
  <c r="M1747" i="1"/>
  <c r="K1747" i="1"/>
  <c r="J1747" i="1"/>
  <c r="H1747" i="1"/>
  <c r="G1747" i="1"/>
  <c r="F1747" i="1"/>
  <c r="C1747" i="1"/>
  <c r="M1746" i="1"/>
  <c r="K1746" i="1"/>
  <c r="J1746" i="1"/>
  <c r="H1746" i="1"/>
  <c r="G1746" i="1"/>
  <c r="F1746" i="1"/>
  <c r="C1746" i="1"/>
  <c r="M1745" i="1"/>
  <c r="K1745" i="1"/>
  <c r="J1745" i="1"/>
  <c r="H1745" i="1"/>
  <c r="G1745" i="1"/>
  <c r="F1745" i="1"/>
  <c r="C1745" i="1"/>
  <c r="M1744" i="1"/>
  <c r="K1744" i="1"/>
  <c r="J1744" i="1"/>
  <c r="H1744" i="1"/>
  <c r="G1744" i="1"/>
  <c r="F1744" i="1"/>
  <c r="C1744" i="1"/>
  <c r="M1743" i="1"/>
  <c r="K1743" i="1"/>
  <c r="J1743" i="1"/>
  <c r="H1743" i="1"/>
  <c r="G1743" i="1"/>
  <c r="F1743" i="1"/>
  <c r="C1743" i="1"/>
  <c r="M1742" i="1"/>
  <c r="K1742" i="1"/>
  <c r="J1742" i="1"/>
  <c r="H1742" i="1"/>
  <c r="G1742" i="1"/>
  <c r="F1742" i="1"/>
  <c r="C1742" i="1"/>
  <c r="M1741" i="1"/>
  <c r="K1741" i="1"/>
  <c r="J1741" i="1"/>
  <c r="H1741" i="1"/>
  <c r="G1741" i="1"/>
  <c r="F1741" i="1"/>
  <c r="C1741" i="1"/>
  <c r="M1740" i="1"/>
  <c r="K1740" i="1"/>
  <c r="J1740" i="1"/>
  <c r="H1740" i="1"/>
  <c r="G1740" i="1"/>
  <c r="F1740" i="1"/>
  <c r="C1740" i="1"/>
  <c r="M1739" i="1"/>
  <c r="K1739" i="1"/>
  <c r="J1739" i="1"/>
  <c r="H1739" i="1"/>
  <c r="G1739" i="1"/>
  <c r="F1739" i="1"/>
  <c r="C1739" i="1"/>
  <c r="M1738" i="1"/>
  <c r="K1738" i="1"/>
  <c r="J1738" i="1"/>
  <c r="H1738" i="1"/>
  <c r="G1738" i="1"/>
  <c r="F1738" i="1"/>
  <c r="C1738" i="1"/>
  <c r="M1737" i="1"/>
  <c r="K1737" i="1"/>
  <c r="J1737" i="1"/>
  <c r="H1737" i="1"/>
  <c r="G1737" i="1"/>
  <c r="F1737" i="1"/>
  <c r="C1737" i="1"/>
  <c r="M1736" i="1"/>
  <c r="K1736" i="1"/>
  <c r="J1736" i="1"/>
  <c r="H1736" i="1"/>
  <c r="G1736" i="1"/>
  <c r="F1736" i="1"/>
  <c r="C1736" i="1"/>
  <c r="M1735" i="1"/>
  <c r="K1735" i="1"/>
  <c r="J1735" i="1"/>
  <c r="H1735" i="1"/>
  <c r="G1735" i="1"/>
  <c r="F1735" i="1"/>
  <c r="C1735" i="1"/>
  <c r="M1734" i="1"/>
  <c r="K1734" i="1"/>
  <c r="J1734" i="1"/>
  <c r="H1734" i="1"/>
  <c r="G1734" i="1"/>
  <c r="F1734" i="1"/>
  <c r="C1734" i="1"/>
  <c r="M1733" i="1"/>
  <c r="K1733" i="1"/>
  <c r="J1733" i="1"/>
  <c r="H1733" i="1"/>
  <c r="G1733" i="1"/>
  <c r="F1733" i="1"/>
  <c r="C1733" i="1"/>
  <c r="M1732" i="1"/>
  <c r="K1732" i="1"/>
  <c r="J1732" i="1"/>
  <c r="H1732" i="1"/>
  <c r="G1732" i="1"/>
  <c r="F1732" i="1"/>
  <c r="C1732" i="1"/>
  <c r="M1731" i="1"/>
  <c r="K1731" i="1"/>
  <c r="J1731" i="1"/>
  <c r="H1731" i="1"/>
  <c r="G1731" i="1"/>
  <c r="F1731" i="1"/>
  <c r="C1731" i="1"/>
  <c r="M1730" i="1"/>
  <c r="K1730" i="1"/>
  <c r="J1730" i="1"/>
  <c r="H1730" i="1"/>
  <c r="G1730" i="1"/>
  <c r="F1730" i="1"/>
  <c r="C1730" i="1"/>
  <c r="M1729" i="1"/>
  <c r="K1729" i="1"/>
  <c r="J1729" i="1"/>
  <c r="H1729" i="1"/>
  <c r="G1729" i="1"/>
  <c r="F1729" i="1"/>
  <c r="C1729" i="1"/>
  <c r="M1728" i="1"/>
  <c r="K1728" i="1"/>
  <c r="J1728" i="1"/>
  <c r="H1728" i="1"/>
  <c r="G1728" i="1"/>
  <c r="F1728" i="1"/>
  <c r="C1728" i="1"/>
  <c r="M1727" i="1"/>
  <c r="K1727" i="1"/>
  <c r="J1727" i="1"/>
  <c r="H1727" i="1"/>
  <c r="G1727" i="1"/>
  <c r="F1727" i="1"/>
  <c r="C1727" i="1"/>
  <c r="M1726" i="1"/>
  <c r="K1726" i="1"/>
  <c r="J1726" i="1"/>
  <c r="H1726" i="1"/>
  <c r="G1726" i="1"/>
  <c r="F1726" i="1"/>
  <c r="C1726" i="1"/>
  <c r="M1725" i="1"/>
  <c r="K1725" i="1"/>
  <c r="J1725" i="1"/>
  <c r="H1725" i="1"/>
  <c r="G1725" i="1"/>
  <c r="F1725" i="1"/>
  <c r="C1725" i="1"/>
  <c r="M1724" i="1"/>
  <c r="K1724" i="1"/>
  <c r="J1724" i="1"/>
  <c r="H1724" i="1"/>
  <c r="G1724" i="1"/>
  <c r="F1724" i="1"/>
  <c r="C1724" i="1"/>
  <c r="M1723" i="1"/>
  <c r="K1723" i="1"/>
  <c r="J1723" i="1"/>
  <c r="H1723" i="1"/>
  <c r="G1723" i="1"/>
  <c r="F1723" i="1"/>
  <c r="C1723" i="1"/>
  <c r="M1722" i="1"/>
  <c r="K1722" i="1"/>
  <c r="J1722" i="1"/>
  <c r="H1722" i="1"/>
  <c r="G1722" i="1"/>
  <c r="F1722" i="1"/>
  <c r="C1722" i="1"/>
  <c r="M1721" i="1"/>
  <c r="K1721" i="1"/>
  <c r="J1721" i="1"/>
  <c r="H1721" i="1"/>
  <c r="G1721" i="1"/>
  <c r="F1721" i="1"/>
  <c r="C1721" i="1"/>
  <c r="M1720" i="1"/>
  <c r="K1720" i="1"/>
  <c r="J1720" i="1"/>
  <c r="H1720" i="1"/>
  <c r="G1720" i="1"/>
  <c r="F1720" i="1"/>
  <c r="C1720" i="1"/>
  <c r="M1719" i="1"/>
  <c r="K1719" i="1"/>
  <c r="J1719" i="1"/>
  <c r="H1719" i="1"/>
  <c r="G1719" i="1"/>
  <c r="F1719" i="1"/>
  <c r="C1719" i="1"/>
  <c r="M1718" i="1"/>
  <c r="K1718" i="1"/>
  <c r="J1718" i="1"/>
  <c r="H1718" i="1"/>
  <c r="G1718" i="1"/>
  <c r="F1718" i="1"/>
  <c r="C1718" i="1"/>
  <c r="M1717" i="1"/>
  <c r="K1717" i="1"/>
  <c r="J1717" i="1"/>
  <c r="H1717" i="1"/>
  <c r="G1717" i="1"/>
  <c r="F1717" i="1"/>
  <c r="C1717" i="1"/>
  <c r="M1716" i="1"/>
  <c r="K1716" i="1"/>
  <c r="J1716" i="1"/>
  <c r="H1716" i="1"/>
  <c r="G1716" i="1"/>
  <c r="F1716" i="1"/>
  <c r="C1716" i="1"/>
  <c r="M1715" i="1"/>
  <c r="K1715" i="1"/>
  <c r="J1715" i="1"/>
  <c r="H1715" i="1"/>
  <c r="G1715" i="1"/>
  <c r="F1715" i="1"/>
  <c r="C1715" i="1"/>
  <c r="M1714" i="1"/>
  <c r="K1714" i="1"/>
  <c r="J1714" i="1"/>
  <c r="H1714" i="1"/>
  <c r="G1714" i="1"/>
  <c r="F1714" i="1"/>
  <c r="C1714" i="1"/>
  <c r="M1713" i="1"/>
  <c r="K1713" i="1"/>
  <c r="J1713" i="1"/>
  <c r="H1713" i="1"/>
  <c r="G1713" i="1"/>
  <c r="F1713" i="1"/>
  <c r="C1713" i="1"/>
  <c r="M1712" i="1"/>
  <c r="K1712" i="1"/>
  <c r="J1712" i="1"/>
  <c r="H1712" i="1"/>
  <c r="G1712" i="1"/>
  <c r="F1712" i="1"/>
  <c r="C1712" i="1"/>
  <c r="M1711" i="1"/>
  <c r="K1711" i="1"/>
  <c r="J1711" i="1"/>
  <c r="H1711" i="1"/>
  <c r="G1711" i="1"/>
  <c r="F1711" i="1"/>
  <c r="C1711" i="1"/>
  <c r="M1710" i="1"/>
  <c r="K1710" i="1"/>
  <c r="J1710" i="1"/>
  <c r="H1710" i="1"/>
  <c r="G1710" i="1"/>
  <c r="F1710" i="1"/>
  <c r="C1710" i="1"/>
  <c r="M1709" i="1"/>
  <c r="K1709" i="1"/>
  <c r="J1709" i="1"/>
  <c r="H1709" i="1"/>
  <c r="G1709" i="1"/>
  <c r="F1709" i="1"/>
  <c r="C1709" i="1"/>
  <c r="M1708" i="1"/>
  <c r="K1708" i="1"/>
  <c r="J1708" i="1"/>
  <c r="H1708" i="1"/>
  <c r="G1708" i="1"/>
  <c r="F1708" i="1"/>
  <c r="C1708" i="1"/>
  <c r="M1707" i="1"/>
  <c r="K1707" i="1"/>
  <c r="J1707" i="1"/>
  <c r="H1707" i="1"/>
  <c r="G1707" i="1"/>
  <c r="F1707" i="1"/>
  <c r="C1707" i="1"/>
  <c r="M1706" i="1"/>
  <c r="K1706" i="1"/>
  <c r="J1706" i="1"/>
  <c r="H1706" i="1"/>
  <c r="G1706" i="1"/>
  <c r="F1706" i="1"/>
  <c r="C1706" i="1"/>
  <c r="M1705" i="1"/>
  <c r="K1705" i="1"/>
  <c r="J1705" i="1"/>
  <c r="H1705" i="1"/>
  <c r="G1705" i="1"/>
  <c r="F1705" i="1"/>
  <c r="C1705" i="1"/>
  <c r="M1704" i="1"/>
  <c r="K1704" i="1"/>
  <c r="J1704" i="1"/>
  <c r="H1704" i="1"/>
  <c r="G1704" i="1"/>
  <c r="F1704" i="1"/>
  <c r="C1704" i="1"/>
  <c r="M1703" i="1"/>
  <c r="K1703" i="1"/>
  <c r="J1703" i="1"/>
  <c r="H1703" i="1"/>
  <c r="G1703" i="1"/>
  <c r="F1703" i="1"/>
  <c r="C1703" i="1"/>
  <c r="M1702" i="1"/>
  <c r="K1702" i="1"/>
  <c r="J1702" i="1"/>
  <c r="H1702" i="1"/>
  <c r="G1702" i="1"/>
  <c r="F1702" i="1"/>
  <c r="C1702" i="1"/>
  <c r="M1701" i="1"/>
  <c r="K1701" i="1"/>
  <c r="J1701" i="1"/>
  <c r="H1701" i="1"/>
  <c r="G1701" i="1"/>
  <c r="F1701" i="1"/>
  <c r="C1701" i="1"/>
  <c r="M1700" i="1"/>
  <c r="K1700" i="1"/>
  <c r="J1700" i="1"/>
  <c r="H1700" i="1"/>
  <c r="G1700" i="1"/>
  <c r="F1700" i="1"/>
  <c r="C1700" i="1"/>
  <c r="M1699" i="1"/>
  <c r="K1699" i="1"/>
  <c r="J1699" i="1"/>
  <c r="H1699" i="1"/>
  <c r="G1699" i="1"/>
  <c r="F1699" i="1"/>
  <c r="C1699" i="1"/>
  <c r="M1698" i="1"/>
  <c r="K1698" i="1"/>
  <c r="J1698" i="1"/>
  <c r="H1698" i="1"/>
  <c r="G1698" i="1"/>
  <c r="F1698" i="1"/>
  <c r="C1698" i="1"/>
  <c r="M1697" i="1"/>
  <c r="K1697" i="1"/>
  <c r="J1697" i="1"/>
  <c r="H1697" i="1"/>
  <c r="G1697" i="1"/>
  <c r="F1697" i="1"/>
  <c r="C1697" i="1"/>
  <c r="M1696" i="1"/>
  <c r="K1696" i="1"/>
  <c r="J1696" i="1"/>
  <c r="H1696" i="1"/>
  <c r="G1696" i="1"/>
  <c r="F1696" i="1"/>
  <c r="C1696" i="1"/>
  <c r="M1695" i="1"/>
  <c r="K1695" i="1"/>
  <c r="J1695" i="1"/>
  <c r="H1695" i="1"/>
  <c r="G1695" i="1"/>
  <c r="F1695" i="1"/>
  <c r="C1695" i="1"/>
  <c r="M1694" i="1"/>
  <c r="K1694" i="1"/>
  <c r="J1694" i="1"/>
  <c r="H1694" i="1"/>
  <c r="G1694" i="1"/>
  <c r="F1694" i="1"/>
  <c r="C1694" i="1"/>
  <c r="M1693" i="1"/>
  <c r="K1693" i="1"/>
  <c r="J1693" i="1"/>
  <c r="H1693" i="1"/>
  <c r="G1693" i="1"/>
  <c r="F1693" i="1"/>
  <c r="C1693" i="1"/>
  <c r="M1692" i="1"/>
  <c r="K1692" i="1"/>
  <c r="J1692" i="1"/>
  <c r="H1692" i="1"/>
  <c r="G1692" i="1"/>
  <c r="F1692" i="1"/>
  <c r="C1692" i="1"/>
  <c r="M1691" i="1"/>
  <c r="K1691" i="1"/>
  <c r="J1691" i="1"/>
  <c r="H1691" i="1"/>
  <c r="G1691" i="1"/>
  <c r="F1691" i="1"/>
  <c r="C1691" i="1"/>
  <c r="M1690" i="1"/>
  <c r="K1690" i="1"/>
  <c r="J1690" i="1"/>
  <c r="H1690" i="1"/>
  <c r="G1690" i="1"/>
  <c r="F1690" i="1"/>
  <c r="C1690" i="1"/>
  <c r="M1689" i="1"/>
  <c r="K1689" i="1"/>
  <c r="J1689" i="1"/>
  <c r="H1689" i="1"/>
  <c r="G1689" i="1"/>
  <c r="F1689" i="1"/>
  <c r="C1689" i="1"/>
  <c r="M1688" i="1"/>
  <c r="K1688" i="1"/>
  <c r="J1688" i="1"/>
  <c r="H1688" i="1"/>
  <c r="G1688" i="1"/>
  <c r="F1688" i="1"/>
  <c r="C1688" i="1"/>
  <c r="M1687" i="1"/>
  <c r="K1687" i="1"/>
  <c r="J1687" i="1"/>
  <c r="H1687" i="1"/>
  <c r="G1687" i="1"/>
  <c r="F1687" i="1"/>
  <c r="C1687" i="1"/>
  <c r="M1686" i="1"/>
  <c r="K1686" i="1"/>
  <c r="J1686" i="1"/>
  <c r="H1686" i="1"/>
  <c r="G1686" i="1"/>
  <c r="F1686" i="1"/>
  <c r="C1686" i="1"/>
  <c r="M1685" i="1"/>
  <c r="K1685" i="1"/>
  <c r="J1685" i="1"/>
  <c r="H1685" i="1"/>
  <c r="G1685" i="1"/>
  <c r="F1685" i="1"/>
  <c r="C1685" i="1"/>
  <c r="M1684" i="1"/>
  <c r="K1684" i="1"/>
  <c r="J1684" i="1"/>
  <c r="H1684" i="1"/>
  <c r="G1684" i="1"/>
  <c r="F1684" i="1"/>
  <c r="C1684" i="1"/>
  <c r="M1683" i="1"/>
  <c r="K1683" i="1"/>
  <c r="J1683" i="1"/>
  <c r="H1683" i="1"/>
  <c r="G1683" i="1"/>
  <c r="F1683" i="1"/>
  <c r="C1683" i="1"/>
  <c r="M1682" i="1"/>
  <c r="K1682" i="1"/>
  <c r="J1682" i="1"/>
  <c r="H1682" i="1"/>
  <c r="G1682" i="1"/>
  <c r="F1682" i="1"/>
  <c r="C1682" i="1"/>
  <c r="M1681" i="1"/>
  <c r="K1681" i="1"/>
  <c r="J1681" i="1"/>
  <c r="H1681" i="1"/>
  <c r="G1681" i="1"/>
  <c r="F1681" i="1"/>
  <c r="C1681" i="1"/>
  <c r="M1680" i="1"/>
  <c r="K1680" i="1"/>
  <c r="J1680" i="1"/>
  <c r="H1680" i="1"/>
  <c r="G1680" i="1"/>
  <c r="F1680" i="1"/>
  <c r="C1680" i="1"/>
  <c r="M1679" i="1"/>
  <c r="K1679" i="1"/>
  <c r="J1679" i="1"/>
  <c r="H1679" i="1"/>
  <c r="G1679" i="1"/>
  <c r="F1679" i="1"/>
  <c r="C1679" i="1"/>
  <c r="M1678" i="1"/>
  <c r="K1678" i="1"/>
  <c r="J1678" i="1"/>
  <c r="H1678" i="1"/>
  <c r="G1678" i="1"/>
  <c r="F1678" i="1"/>
  <c r="C1678" i="1"/>
  <c r="M1677" i="1"/>
  <c r="K1677" i="1"/>
  <c r="J1677" i="1"/>
  <c r="H1677" i="1"/>
  <c r="G1677" i="1"/>
  <c r="F1677" i="1"/>
  <c r="C1677" i="1"/>
  <c r="M1676" i="1"/>
  <c r="K1676" i="1"/>
  <c r="J1676" i="1"/>
  <c r="H1676" i="1"/>
  <c r="G1676" i="1"/>
  <c r="F1676" i="1"/>
  <c r="C1676" i="1"/>
  <c r="M1675" i="1"/>
  <c r="K1675" i="1"/>
  <c r="J1675" i="1"/>
  <c r="H1675" i="1"/>
  <c r="G1675" i="1"/>
  <c r="F1675" i="1"/>
  <c r="C1675" i="1"/>
  <c r="M1674" i="1"/>
  <c r="K1674" i="1"/>
  <c r="J1674" i="1"/>
  <c r="H1674" i="1"/>
  <c r="G1674" i="1"/>
  <c r="F1674" i="1"/>
  <c r="C1674" i="1"/>
  <c r="M1673" i="1"/>
  <c r="K1673" i="1"/>
  <c r="J1673" i="1"/>
  <c r="H1673" i="1"/>
  <c r="G1673" i="1"/>
  <c r="F1673" i="1"/>
  <c r="C1673" i="1"/>
  <c r="M1672" i="1"/>
  <c r="K1672" i="1"/>
  <c r="J1672" i="1"/>
  <c r="H1672" i="1"/>
  <c r="G1672" i="1"/>
  <c r="F1672" i="1"/>
  <c r="C1672" i="1"/>
  <c r="M1671" i="1"/>
  <c r="K1671" i="1"/>
  <c r="J1671" i="1"/>
  <c r="H1671" i="1"/>
  <c r="G1671" i="1"/>
  <c r="F1671" i="1"/>
  <c r="C1671" i="1"/>
  <c r="M1670" i="1"/>
  <c r="K1670" i="1"/>
  <c r="J1670" i="1"/>
  <c r="H1670" i="1"/>
  <c r="G1670" i="1"/>
  <c r="F1670" i="1"/>
  <c r="C1670" i="1"/>
  <c r="M1669" i="1"/>
  <c r="K1669" i="1"/>
  <c r="J1669" i="1"/>
  <c r="H1669" i="1"/>
  <c r="G1669" i="1"/>
  <c r="F1669" i="1"/>
  <c r="C1669" i="1"/>
  <c r="M1668" i="1"/>
  <c r="K1668" i="1"/>
  <c r="J1668" i="1"/>
  <c r="H1668" i="1"/>
  <c r="G1668" i="1"/>
  <c r="F1668" i="1"/>
  <c r="C1668" i="1"/>
  <c r="M1667" i="1"/>
  <c r="K1667" i="1"/>
  <c r="J1667" i="1"/>
  <c r="H1667" i="1"/>
  <c r="G1667" i="1"/>
  <c r="F1667" i="1"/>
  <c r="C1667" i="1"/>
  <c r="M1666" i="1"/>
  <c r="K1666" i="1"/>
  <c r="J1666" i="1"/>
  <c r="H1666" i="1"/>
  <c r="G1666" i="1"/>
  <c r="F1666" i="1"/>
  <c r="C1666" i="1"/>
  <c r="M1665" i="1"/>
  <c r="K1665" i="1"/>
  <c r="J1665" i="1"/>
  <c r="H1665" i="1"/>
  <c r="G1665" i="1"/>
  <c r="F1665" i="1"/>
  <c r="C1665" i="1"/>
  <c r="M1664" i="1"/>
  <c r="K1664" i="1"/>
  <c r="J1664" i="1"/>
  <c r="H1664" i="1"/>
  <c r="G1664" i="1"/>
  <c r="F1664" i="1"/>
  <c r="C1664" i="1"/>
  <c r="M1663" i="1"/>
  <c r="K1663" i="1"/>
  <c r="J1663" i="1"/>
  <c r="H1663" i="1"/>
  <c r="G1663" i="1"/>
  <c r="F1663" i="1"/>
  <c r="C1663" i="1"/>
  <c r="M1662" i="1"/>
  <c r="K1662" i="1"/>
  <c r="J1662" i="1"/>
  <c r="H1662" i="1"/>
  <c r="G1662" i="1"/>
  <c r="F1662" i="1"/>
  <c r="C1662" i="1"/>
  <c r="M1661" i="1"/>
  <c r="K1661" i="1"/>
  <c r="J1661" i="1"/>
  <c r="H1661" i="1"/>
  <c r="G1661" i="1"/>
  <c r="F1661" i="1"/>
  <c r="C1661" i="1"/>
  <c r="M1660" i="1"/>
  <c r="K1660" i="1"/>
  <c r="J1660" i="1"/>
  <c r="H1660" i="1"/>
  <c r="G1660" i="1"/>
  <c r="F1660" i="1"/>
  <c r="C1660" i="1"/>
  <c r="M1659" i="1"/>
  <c r="K1659" i="1"/>
  <c r="J1659" i="1"/>
  <c r="H1659" i="1"/>
  <c r="G1659" i="1"/>
  <c r="F1659" i="1"/>
  <c r="C1659" i="1"/>
  <c r="M1658" i="1"/>
  <c r="K1658" i="1"/>
  <c r="J1658" i="1"/>
  <c r="H1658" i="1"/>
  <c r="G1658" i="1"/>
  <c r="F1658" i="1"/>
  <c r="C1658" i="1"/>
  <c r="M1657" i="1"/>
  <c r="K1657" i="1"/>
  <c r="J1657" i="1"/>
  <c r="H1657" i="1"/>
  <c r="G1657" i="1"/>
  <c r="F1657" i="1"/>
  <c r="C1657" i="1"/>
  <c r="M1656" i="1"/>
  <c r="K1656" i="1"/>
  <c r="J1656" i="1"/>
  <c r="H1656" i="1"/>
  <c r="G1656" i="1"/>
  <c r="F1656" i="1"/>
  <c r="C1656" i="1"/>
  <c r="M1655" i="1"/>
  <c r="K1655" i="1"/>
  <c r="J1655" i="1"/>
  <c r="H1655" i="1"/>
  <c r="G1655" i="1"/>
  <c r="F1655" i="1"/>
  <c r="C1655" i="1"/>
  <c r="M1654" i="1"/>
  <c r="K1654" i="1"/>
  <c r="J1654" i="1"/>
  <c r="H1654" i="1"/>
  <c r="G1654" i="1"/>
  <c r="F1654" i="1"/>
  <c r="C1654" i="1"/>
  <c r="M1653" i="1"/>
  <c r="K1653" i="1"/>
  <c r="J1653" i="1"/>
  <c r="H1653" i="1"/>
  <c r="G1653" i="1"/>
  <c r="F1653" i="1"/>
  <c r="C1653" i="1"/>
  <c r="M1652" i="1"/>
  <c r="K1652" i="1"/>
  <c r="J1652" i="1"/>
  <c r="H1652" i="1"/>
  <c r="G1652" i="1"/>
  <c r="F1652" i="1"/>
  <c r="C1652" i="1"/>
  <c r="M1651" i="1"/>
  <c r="K1651" i="1"/>
  <c r="J1651" i="1"/>
  <c r="H1651" i="1"/>
  <c r="G1651" i="1"/>
  <c r="F1651" i="1"/>
  <c r="C1651" i="1"/>
  <c r="M1650" i="1"/>
  <c r="K1650" i="1"/>
  <c r="J1650" i="1"/>
  <c r="H1650" i="1"/>
  <c r="G1650" i="1"/>
  <c r="F1650" i="1"/>
  <c r="C1650" i="1"/>
  <c r="M1649" i="1"/>
  <c r="K1649" i="1"/>
  <c r="J1649" i="1"/>
  <c r="H1649" i="1"/>
  <c r="G1649" i="1"/>
  <c r="F1649" i="1"/>
  <c r="C1649" i="1"/>
  <c r="M1648" i="1"/>
  <c r="K1648" i="1"/>
  <c r="J1648" i="1"/>
  <c r="H1648" i="1"/>
  <c r="G1648" i="1"/>
  <c r="F1648" i="1"/>
  <c r="C1648" i="1"/>
  <c r="M1647" i="1"/>
  <c r="K1647" i="1"/>
  <c r="J1647" i="1"/>
  <c r="H1647" i="1"/>
  <c r="G1647" i="1"/>
  <c r="F1647" i="1"/>
  <c r="C1647" i="1"/>
  <c r="M1646" i="1"/>
  <c r="K1646" i="1"/>
  <c r="J1646" i="1"/>
  <c r="H1646" i="1"/>
  <c r="G1646" i="1"/>
  <c r="F1646" i="1"/>
  <c r="C1646" i="1"/>
  <c r="M1645" i="1"/>
  <c r="K1645" i="1"/>
  <c r="J1645" i="1"/>
  <c r="H1645" i="1"/>
  <c r="G1645" i="1"/>
  <c r="F1645" i="1"/>
  <c r="C1645" i="1"/>
  <c r="M1644" i="1"/>
  <c r="K1644" i="1"/>
  <c r="J1644" i="1"/>
  <c r="H1644" i="1"/>
  <c r="G1644" i="1"/>
  <c r="F1644" i="1"/>
  <c r="C1644" i="1"/>
  <c r="M1643" i="1"/>
  <c r="K1643" i="1"/>
  <c r="J1643" i="1"/>
  <c r="H1643" i="1"/>
  <c r="G1643" i="1"/>
  <c r="F1643" i="1"/>
  <c r="C1643" i="1"/>
  <c r="M1642" i="1"/>
  <c r="K1642" i="1"/>
  <c r="J1642" i="1"/>
  <c r="H1642" i="1"/>
  <c r="G1642" i="1"/>
  <c r="F1642" i="1"/>
  <c r="C1642" i="1"/>
  <c r="M1641" i="1"/>
  <c r="K1641" i="1"/>
  <c r="J1641" i="1"/>
  <c r="H1641" i="1"/>
  <c r="G1641" i="1"/>
  <c r="F1641" i="1"/>
  <c r="C1641" i="1"/>
  <c r="M1640" i="1"/>
  <c r="K1640" i="1"/>
  <c r="J1640" i="1"/>
  <c r="H1640" i="1"/>
  <c r="G1640" i="1"/>
  <c r="F1640" i="1"/>
  <c r="C1640" i="1"/>
  <c r="M1639" i="1"/>
  <c r="K1639" i="1"/>
  <c r="J1639" i="1"/>
  <c r="H1639" i="1"/>
  <c r="G1639" i="1"/>
  <c r="F1639" i="1"/>
  <c r="C1639" i="1"/>
  <c r="M1638" i="1"/>
  <c r="K1638" i="1"/>
  <c r="J1638" i="1"/>
  <c r="H1638" i="1"/>
  <c r="G1638" i="1"/>
  <c r="F1638" i="1"/>
  <c r="C1638" i="1"/>
  <c r="M1637" i="1"/>
  <c r="K1637" i="1"/>
  <c r="J1637" i="1"/>
  <c r="H1637" i="1"/>
  <c r="G1637" i="1"/>
  <c r="F1637" i="1"/>
  <c r="C1637" i="1"/>
  <c r="M1636" i="1"/>
  <c r="K1636" i="1"/>
  <c r="J1636" i="1"/>
  <c r="H1636" i="1"/>
  <c r="G1636" i="1"/>
  <c r="F1636" i="1"/>
  <c r="C1636" i="1"/>
  <c r="M1635" i="1"/>
  <c r="K1635" i="1"/>
  <c r="J1635" i="1"/>
  <c r="H1635" i="1"/>
  <c r="G1635" i="1"/>
  <c r="F1635" i="1"/>
  <c r="C1635" i="1"/>
  <c r="M1634" i="1"/>
  <c r="K1634" i="1"/>
  <c r="J1634" i="1"/>
  <c r="H1634" i="1"/>
  <c r="G1634" i="1"/>
  <c r="F1634" i="1"/>
  <c r="C1634" i="1"/>
  <c r="M1633" i="1"/>
  <c r="K1633" i="1"/>
  <c r="J1633" i="1"/>
  <c r="H1633" i="1"/>
  <c r="G1633" i="1"/>
  <c r="F1633" i="1"/>
  <c r="C1633" i="1"/>
  <c r="M1632" i="1"/>
  <c r="K1632" i="1"/>
  <c r="J1632" i="1"/>
  <c r="H1632" i="1"/>
  <c r="G1632" i="1"/>
  <c r="F1632" i="1"/>
  <c r="C1632" i="1"/>
  <c r="M1631" i="1"/>
  <c r="K1631" i="1"/>
  <c r="J1631" i="1"/>
  <c r="H1631" i="1"/>
  <c r="G1631" i="1"/>
  <c r="F1631" i="1"/>
  <c r="C1631" i="1"/>
  <c r="M1630" i="1"/>
  <c r="K1630" i="1"/>
  <c r="J1630" i="1"/>
  <c r="H1630" i="1"/>
  <c r="G1630" i="1"/>
  <c r="F1630" i="1"/>
  <c r="C1630" i="1"/>
  <c r="M1629" i="1"/>
  <c r="K1629" i="1"/>
  <c r="J1629" i="1"/>
  <c r="H1629" i="1"/>
  <c r="G1629" i="1"/>
  <c r="F1629" i="1"/>
  <c r="C1629" i="1"/>
  <c r="M1628" i="1"/>
  <c r="K1628" i="1"/>
  <c r="J1628" i="1"/>
  <c r="H1628" i="1"/>
  <c r="G1628" i="1"/>
  <c r="F1628" i="1"/>
  <c r="C1628" i="1"/>
  <c r="M1627" i="1"/>
  <c r="K1627" i="1"/>
  <c r="J1627" i="1"/>
  <c r="H1627" i="1"/>
  <c r="G1627" i="1"/>
  <c r="F1627" i="1"/>
  <c r="C1627" i="1"/>
  <c r="M1626" i="1"/>
  <c r="K1626" i="1"/>
  <c r="J1626" i="1"/>
  <c r="H1626" i="1"/>
  <c r="G1626" i="1"/>
  <c r="F1626" i="1"/>
  <c r="C1626" i="1"/>
  <c r="M1625" i="1"/>
  <c r="K1625" i="1"/>
  <c r="J1625" i="1"/>
  <c r="H1625" i="1"/>
  <c r="G1625" i="1"/>
  <c r="F1625" i="1"/>
  <c r="C1625" i="1"/>
  <c r="M1624" i="1"/>
  <c r="K1624" i="1"/>
  <c r="J1624" i="1"/>
  <c r="H1624" i="1"/>
  <c r="G1624" i="1"/>
  <c r="F1624" i="1"/>
  <c r="C1624" i="1"/>
  <c r="M1623" i="1"/>
  <c r="K1623" i="1"/>
  <c r="J1623" i="1"/>
  <c r="H1623" i="1"/>
  <c r="G1623" i="1"/>
  <c r="F1623" i="1"/>
  <c r="C1623" i="1"/>
  <c r="M1622" i="1"/>
  <c r="K1622" i="1"/>
  <c r="J1622" i="1"/>
  <c r="H1622" i="1"/>
  <c r="G1622" i="1"/>
  <c r="F1622" i="1"/>
  <c r="C1622" i="1"/>
  <c r="M1621" i="1"/>
  <c r="K1621" i="1"/>
  <c r="J1621" i="1"/>
  <c r="H1621" i="1"/>
  <c r="G1621" i="1"/>
  <c r="F1621" i="1"/>
  <c r="C1621" i="1"/>
  <c r="M1620" i="1"/>
  <c r="K1620" i="1"/>
  <c r="J1620" i="1"/>
  <c r="H1620" i="1"/>
  <c r="G1620" i="1"/>
  <c r="F1620" i="1"/>
  <c r="C1620" i="1"/>
  <c r="M1619" i="1"/>
  <c r="K1619" i="1"/>
  <c r="J1619" i="1"/>
  <c r="H1619" i="1"/>
  <c r="G1619" i="1"/>
  <c r="F1619" i="1"/>
  <c r="C1619" i="1"/>
  <c r="M1618" i="1"/>
  <c r="K1618" i="1"/>
  <c r="J1618" i="1"/>
  <c r="H1618" i="1"/>
  <c r="G1618" i="1"/>
  <c r="F1618" i="1"/>
  <c r="C1618" i="1"/>
  <c r="M1617" i="1"/>
  <c r="K1617" i="1"/>
  <c r="J1617" i="1"/>
  <c r="H1617" i="1"/>
  <c r="G1617" i="1"/>
  <c r="F1617" i="1"/>
  <c r="C1617" i="1"/>
  <c r="M1616" i="1"/>
  <c r="K1616" i="1"/>
  <c r="J1616" i="1"/>
  <c r="H1616" i="1"/>
  <c r="G1616" i="1"/>
  <c r="F1616" i="1"/>
  <c r="C1616" i="1"/>
  <c r="M1615" i="1"/>
  <c r="K1615" i="1"/>
  <c r="J1615" i="1"/>
  <c r="H1615" i="1"/>
  <c r="G1615" i="1"/>
  <c r="F1615" i="1"/>
  <c r="C1615" i="1"/>
  <c r="M1614" i="1"/>
  <c r="K1614" i="1"/>
  <c r="J1614" i="1"/>
  <c r="H1614" i="1"/>
  <c r="G1614" i="1"/>
  <c r="F1614" i="1"/>
  <c r="C1614" i="1"/>
  <c r="M1613" i="1"/>
  <c r="K1613" i="1"/>
  <c r="J1613" i="1"/>
  <c r="H1613" i="1"/>
  <c r="G1613" i="1"/>
  <c r="F1613" i="1"/>
  <c r="C1613" i="1"/>
  <c r="M1612" i="1"/>
  <c r="K1612" i="1"/>
  <c r="J1612" i="1"/>
  <c r="H1612" i="1"/>
  <c r="G1612" i="1"/>
  <c r="F1612" i="1"/>
  <c r="C1612" i="1"/>
  <c r="M1611" i="1"/>
  <c r="K1611" i="1"/>
  <c r="J1611" i="1"/>
  <c r="H1611" i="1"/>
  <c r="G1611" i="1"/>
  <c r="F1611" i="1"/>
  <c r="C1611" i="1"/>
  <c r="M1610" i="1"/>
  <c r="K1610" i="1"/>
  <c r="J1610" i="1"/>
  <c r="H1610" i="1"/>
  <c r="G1610" i="1"/>
  <c r="F1610" i="1"/>
  <c r="C1610" i="1"/>
  <c r="M1609" i="1"/>
  <c r="K1609" i="1"/>
  <c r="J1609" i="1"/>
  <c r="H1609" i="1"/>
  <c r="G1609" i="1"/>
  <c r="F1609" i="1"/>
  <c r="C1609" i="1"/>
  <c r="M1608" i="1"/>
  <c r="K1608" i="1"/>
  <c r="J1608" i="1"/>
  <c r="H1608" i="1"/>
  <c r="G1608" i="1"/>
  <c r="F1608" i="1"/>
  <c r="C1608" i="1"/>
  <c r="M1607" i="1"/>
  <c r="K1607" i="1"/>
  <c r="J1607" i="1"/>
  <c r="H1607" i="1"/>
  <c r="G1607" i="1"/>
  <c r="F1607" i="1"/>
  <c r="C1607" i="1"/>
  <c r="M1606" i="1"/>
  <c r="K1606" i="1"/>
  <c r="J1606" i="1"/>
  <c r="H1606" i="1"/>
  <c r="G1606" i="1"/>
  <c r="F1606" i="1"/>
  <c r="C1606" i="1"/>
  <c r="M1605" i="1"/>
  <c r="K1605" i="1"/>
  <c r="J1605" i="1"/>
  <c r="H1605" i="1"/>
  <c r="G1605" i="1"/>
  <c r="F1605" i="1"/>
  <c r="C1605" i="1"/>
  <c r="M1604" i="1"/>
  <c r="K1604" i="1"/>
  <c r="J1604" i="1"/>
  <c r="H1604" i="1"/>
  <c r="G1604" i="1"/>
  <c r="F1604" i="1"/>
  <c r="C1604" i="1"/>
  <c r="M1603" i="1"/>
  <c r="K1603" i="1"/>
  <c r="J1603" i="1"/>
  <c r="H1603" i="1"/>
  <c r="G1603" i="1"/>
  <c r="F1603" i="1"/>
  <c r="C1603" i="1"/>
  <c r="M1602" i="1"/>
  <c r="K1602" i="1"/>
  <c r="J1602" i="1"/>
  <c r="H1602" i="1"/>
  <c r="G1602" i="1"/>
  <c r="F1602" i="1"/>
  <c r="C1602" i="1"/>
  <c r="M1601" i="1"/>
  <c r="K1601" i="1"/>
  <c r="J1601" i="1"/>
  <c r="H1601" i="1"/>
  <c r="G1601" i="1"/>
  <c r="F1601" i="1"/>
  <c r="C1601" i="1"/>
  <c r="M1600" i="1"/>
  <c r="K1600" i="1"/>
  <c r="J1600" i="1"/>
  <c r="H1600" i="1"/>
  <c r="G1600" i="1"/>
  <c r="F1600" i="1"/>
  <c r="C1600" i="1"/>
  <c r="M1599" i="1"/>
  <c r="K1599" i="1"/>
  <c r="J1599" i="1"/>
  <c r="H1599" i="1"/>
  <c r="G1599" i="1"/>
  <c r="F1599" i="1"/>
  <c r="C1599" i="1"/>
  <c r="M1598" i="1"/>
  <c r="K1598" i="1"/>
  <c r="J1598" i="1"/>
  <c r="H1598" i="1"/>
  <c r="G1598" i="1"/>
  <c r="F1598" i="1"/>
  <c r="C1598" i="1"/>
  <c r="M1597" i="1"/>
  <c r="K1597" i="1"/>
  <c r="J1597" i="1"/>
  <c r="H1597" i="1"/>
  <c r="G1597" i="1"/>
  <c r="F1597" i="1"/>
  <c r="C1597" i="1"/>
  <c r="M1596" i="1"/>
  <c r="K1596" i="1"/>
  <c r="J1596" i="1"/>
  <c r="H1596" i="1"/>
  <c r="G1596" i="1"/>
  <c r="F1596" i="1"/>
  <c r="C1596" i="1"/>
  <c r="M1595" i="1"/>
  <c r="K1595" i="1"/>
  <c r="J1595" i="1"/>
  <c r="H1595" i="1"/>
  <c r="G1595" i="1"/>
  <c r="F1595" i="1"/>
  <c r="C1595" i="1"/>
  <c r="M1594" i="1"/>
  <c r="K1594" i="1"/>
  <c r="J1594" i="1"/>
  <c r="H1594" i="1"/>
  <c r="G1594" i="1"/>
  <c r="F1594" i="1"/>
  <c r="C1594" i="1"/>
  <c r="M1593" i="1"/>
  <c r="K1593" i="1"/>
  <c r="J1593" i="1"/>
  <c r="H1593" i="1"/>
  <c r="G1593" i="1"/>
  <c r="F1593" i="1"/>
  <c r="C1593" i="1"/>
  <c r="M1592" i="1"/>
  <c r="K1592" i="1"/>
  <c r="J1592" i="1"/>
  <c r="H1592" i="1"/>
  <c r="G1592" i="1"/>
  <c r="F1592" i="1"/>
  <c r="C1592" i="1"/>
  <c r="M1591" i="1"/>
  <c r="K1591" i="1"/>
  <c r="J1591" i="1"/>
  <c r="H1591" i="1"/>
  <c r="G1591" i="1"/>
  <c r="F1591" i="1"/>
  <c r="C1591" i="1"/>
  <c r="M1590" i="1"/>
  <c r="K1590" i="1"/>
  <c r="J1590" i="1"/>
  <c r="H1590" i="1"/>
  <c r="G1590" i="1"/>
  <c r="F1590" i="1"/>
  <c r="C1590" i="1"/>
  <c r="M1589" i="1"/>
  <c r="K1589" i="1"/>
  <c r="J1589" i="1"/>
  <c r="H1589" i="1"/>
  <c r="G1589" i="1"/>
  <c r="F1589" i="1"/>
  <c r="C1589" i="1"/>
  <c r="M1588" i="1"/>
  <c r="K1588" i="1"/>
  <c r="J1588" i="1"/>
  <c r="H1588" i="1"/>
  <c r="G1588" i="1"/>
  <c r="F1588" i="1"/>
  <c r="C1588" i="1"/>
  <c r="M1587" i="1"/>
  <c r="K1587" i="1"/>
  <c r="J1587" i="1"/>
  <c r="H1587" i="1"/>
  <c r="G1587" i="1"/>
  <c r="F1587" i="1"/>
  <c r="C1587" i="1"/>
  <c r="M1586" i="1"/>
  <c r="K1586" i="1"/>
  <c r="J1586" i="1"/>
  <c r="H1586" i="1"/>
  <c r="G1586" i="1"/>
  <c r="F1586" i="1"/>
  <c r="C1586" i="1"/>
  <c r="M1585" i="1"/>
  <c r="K1585" i="1"/>
  <c r="J1585" i="1"/>
  <c r="H1585" i="1"/>
  <c r="G1585" i="1"/>
  <c r="F1585" i="1"/>
  <c r="C1585" i="1"/>
  <c r="M1584" i="1"/>
  <c r="K1584" i="1"/>
  <c r="J1584" i="1"/>
  <c r="H1584" i="1"/>
  <c r="G1584" i="1"/>
  <c r="F1584" i="1"/>
  <c r="C1584" i="1"/>
  <c r="M1583" i="1"/>
  <c r="K1583" i="1"/>
  <c r="J1583" i="1"/>
  <c r="H1583" i="1"/>
  <c r="G1583" i="1"/>
  <c r="F1583" i="1"/>
  <c r="C1583" i="1"/>
  <c r="M1582" i="1"/>
  <c r="K1582" i="1"/>
  <c r="J1582" i="1"/>
  <c r="H1582" i="1"/>
  <c r="G1582" i="1"/>
  <c r="F1582" i="1"/>
  <c r="C1582" i="1"/>
  <c r="M1581" i="1"/>
  <c r="K1581" i="1"/>
  <c r="J1581" i="1"/>
  <c r="H1581" i="1"/>
  <c r="G1581" i="1"/>
  <c r="F1581" i="1"/>
  <c r="C1581" i="1"/>
  <c r="M1580" i="1"/>
  <c r="K1580" i="1"/>
  <c r="J1580" i="1"/>
  <c r="H1580" i="1"/>
  <c r="G1580" i="1"/>
  <c r="F1580" i="1"/>
  <c r="C1580" i="1"/>
  <c r="M1579" i="1"/>
  <c r="K1579" i="1"/>
  <c r="J1579" i="1"/>
  <c r="H1579" i="1"/>
  <c r="G1579" i="1"/>
  <c r="F1579" i="1"/>
  <c r="C1579" i="1"/>
  <c r="M1578" i="1"/>
  <c r="K1578" i="1"/>
  <c r="J1578" i="1"/>
  <c r="H1578" i="1"/>
  <c r="G1578" i="1"/>
  <c r="F1578" i="1"/>
  <c r="C1578" i="1"/>
  <c r="M1577" i="1"/>
  <c r="K1577" i="1"/>
  <c r="J1577" i="1"/>
  <c r="H1577" i="1"/>
  <c r="G1577" i="1"/>
  <c r="F1577" i="1"/>
  <c r="C1577" i="1"/>
  <c r="M1576" i="1"/>
  <c r="K1576" i="1"/>
  <c r="J1576" i="1"/>
  <c r="H1576" i="1"/>
  <c r="G1576" i="1"/>
  <c r="F1576" i="1"/>
  <c r="C1576" i="1"/>
  <c r="M1575" i="1"/>
  <c r="K1575" i="1"/>
  <c r="J1575" i="1"/>
  <c r="H1575" i="1"/>
  <c r="G1575" i="1"/>
  <c r="F1575" i="1"/>
  <c r="C1575" i="1"/>
  <c r="M1574" i="1"/>
  <c r="K1574" i="1"/>
  <c r="J1574" i="1"/>
  <c r="H1574" i="1"/>
  <c r="G1574" i="1"/>
  <c r="F1574" i="1"/>
  <c r="C1574" i="1"/>
  <c r="M1573" i="1"/>
  <c r="K1573" i="1"/>
  <c r="J1573" i="1"/>
  <c r="H1573" i="1"/>
  <c r="G1573" i="1"/>
  <c r="F1573" i="1"/>
  <c r="C1573" i="1"/>
  <c r="M1572" i="1"/>
  <c r="K1572" i="1"/>
  <c r="J1572" i="1"/>
  <c r="H1572" i="1"/>
  <c r="G1572" i="1"/>
  <c r="F1572" i="1"/>
  <c r="C1572" i="1"/>
  <c r="M1571" i="1"/>
  <c r="K1571" i="1"/>
  <c r="J1571" i="1"/>
  <c r="H1571" i="1"/>
  <c r="G1571" i="1"/>
  <c r="F1571" i="1"/>
  <c r="C1571" i="1"/>
  <c r="M1570" i="1"/>
  <c r="K1570" i="1"/>
  <c r="J1570" i="1"/>
  <c r="H1570" i="1"/>
  <c r="G1570" i="1"/>
  <c r="F1570" i="1"/>
  <c r="C1570" i="1"/>
  <c r="M1569" i="1"/>
  <c r="K1569" i="1"/>
  <c r="J1569" i="1"/>
  <c r="H1569" i="1"/>
  <c r="G1569" i="1"/>
  <c r="F1569" i="1"/>
  <c r="C1569" i="1"/>
  <c r="M1568" i="1"/>
  <c r="K1568" i="1"/>
  <c r="J1568" i="1"/>
  <c r="H1568" i="1"/>
  <c r="G1568" i="1"/>
  <c r="F1568" i="1"/>
  <c r="C1568" i="1"/>
  <c r="M1567" i="1"/>
  <c r="K1567" i="1"/>
  <c r="J1567" i="1"/>
  <c r="H1567" i="1"/>
  <c r="G1567" i="1"/>
  <c r="F1567" i="1"/>
  <c r="C1567" i="1"/>
  <c r="M1566" i="1"/>
  <c r="K1566" i="1"/>
  <c r="J1566" i="1"/>
  <c r="H1566" i="1"/>
  <c r="G1566" i="1"/>
  <c r="F1566" i="1"/>
  <c r="C1566" i="1"/>
  <c r="M1565" i="1"/>
  <c r="K1565" i="1"/>
  <c r="J1565" i="1"/>
  <c r="H1565" i="1"/>
  <c r="G1565" i="1"/>
  <c r="F1565" i="1"/>
  <c r="C1565" i="1"/>
  <c r="M1564" i="1"/>
  <c r="K1564" i="1"/>
  <c r="J1564" i="1"/>
  <c r="H1564" i="1"/>
  <c r="G1564" i="1"/>
  <c r="F1564" i="1"/>
  <c r="C1564" i="1"/>
  <c r="M1563" i="1"/>
  <c r="K1563" i="1"/>
  <c r="J1563" i="1"/>
  <c r="H1563" i="1"/>
  <c r="G1563" i="1"/>
  <c r="F1563" i="1"/>
  <c r="C1563" i="1"/>
  <c r="M1562" i="1"/>
  <c r="K1562" i="1"/>
  <c r="J1562" i="1"/>
  <c r="H1562" i="1"/>
  <c r="G1562" i="1"/>
  <c r="F1562" i="1"/>
  <c r="C1562" i="1"/>
  <c r="M1561" i="1"/>
  <c r="K1561" i="1"/>
  <c r="J1561" i="1"/>
  <c r="H1561" i="1"/>
  <c r="G1561" i="1"/>
  <c r="F1561" i="1"/>
  <c r="C1561" i="1"/>
  <c r="M1560" i="1"/>
  <c r="K1560" i="1"/>
  <c r="J1560" i="1"/>
  <c r="H1560" i="1"/>
  <c r="G1560" i="1"/>
  <c r="F1560" i="1"/>
  <c r="C1560" i="1"/>
  <c r="M1559" i="1"/>
  <c r="K1559" i="1"/>
  <c r="J1559" i="1"/>
  <c r="H1559" i="1"/>
  <c r="G1559" i="1"/>
  <c r="F1559" i="1"/>
  <c r="C1559" i="1"/>
  <c r="M1558" i="1"/>
  <c r="K1558" i="1"/>
  <c r="J1558" i="1"/>
  <c r="H1558" i="1"/>
  <c r="G1558" i="1"/>
  <c r="F1558" i="1"/>
  <c r="C1558" i="1"/>
  <c r="M1557" i="1"/>
  <c r="K1557" i="1"/>
  <c r="J1557" i="1"/>
  <c r="H1557" i="1"/>
  <c r="G1557" i="1"/>
  <c r="F1557" i="1"/>
  <c r="C1557" i="1"/>
  <c r="M1556" i="1"/>
  <c r="K1556" i="1"/>
  <c r="J1556" i="1"/>
  <c r="H1556" i="1"/>
  <c r="G1556" i="1"/>
  <c r="F1556" i="1"/>
  <c r="C1556" i="1"/>
  <c r="M1555" i="1"/>
  <c r="K1555" i="1"/>
  <c r="J1555" i="1"/>
  <c r="H1555" i="1"/>
  <c r="G1555" i="1"/>
  <c r="F1555" i="1"/>
  <c r="C1555" i="1"/>
  <c r="M1554" i="1"/>
  <c r="K1554" i="1"/>
  <c r="J1554" i="1"/>
  <c r="H1554" i="1"/>
  <c r="G1554" i="1"/>
  <c r="F1554" i="1"/>
  <c r="C1554" i="1"/>
  <c r="M1553" i="1"/>
  <c r="K1553" i="1"/>
  <c r="J1553" i="1"/>
  <c r="H1553" i="1"/>
  <c r="G1553" i="1"/>
  <c r="F1553" i="1"/>
  <c r="C1553" i="1"/>
  <c r="M1552" i="1"/>
  <c r="K1552" i="1"/>
  <c r="J1552" i="1"/>
  <c r="H1552" i="1"/>
  <c r="G1552" i="1"/>
  <c r="F1552" i="1"/>
  <c r="C1552" i="1"/>
  <c r="M1551" i="1"/>
  <c r="K1551" i="1"/>
  <c r="J1551" i="1"/>
  <c r="H1551" i="1"/>
  <c r="G1551" i="1"/>
  <c r="F1551" i="1"/>
  <c r="C1551" i="1"/>
  <c r="M1550" i="1"/>
  <c r="K1550" i="1"/>
  <c r="J1550" i="1"/>
  <c r="H1550" i="1"/>
  <c r="G1550" i="1"/>
  <c r="F1550" i="1"/>
  <c r="C1550" i="1"/>
  <c r="M1549" i="1"/>
  <c r="K1549" i="1"/>
  <c r="J1549" i="1"/>
  <c r="H1549" i="1"/>
  <c r="G1549" i="1"/>
  <c r="F1549" i="1"/>
  <c r="C1549" i="1"/>
  <c r="M1548" i="1"/>
  <c r="K1548" i="1"/>
  <c r="J1548" i="1"/>
  <c r="H1548" i="1"/>
  <c r="G1548" i="1"/>
  <c r="F1548" i="1"/>
  <c r="C1548" i="1"/>
  <c r="M1547" i="1"/>
  <c r="K1547" i="1"/>
  <c r="J1547" i="1"/>
  <c r="H1547" i="1"/>
  <c r="G1547" i="1"/>
  <c r="F1547" i="1"/>
  <c r="C1547" i="1"/>
  <c r="M1546" i="1"/>
  <c r="K1546" i="1"/>
  <c r="J1546" i="1"/>
  <c r="H1546" i="1"/>
  <c r="G1546" i="1"/>
  <c r="F1546" i="1"/>
  <c r="C1546" i="1"/>
  <c r="M1545" i="1"/>
  <c r="K1545" i="1"/>
  <c r="J1545" i="1"/>
  <c r="H1545" i="1"/>
  <c r="G1545" i="1"/>
  <c r="F1545" i="1"/>
  <c r="C1545" i="1"/>
  <c r="M1544" i="1"/>
  <c r="K1544" i="1"/>
  <c r="J1544" i="1"/>
  <c r="H1544" i="1"/>
  <c r="G1544" i="1"/>
  <c r="F1544" i="1"/>
  <c r="C1544" i="1"/>
  <c r="M1543" i="1"/>
  <c r="K1543" i="1"/>
  <c r="J1543" i="1"/>
  <c r="H1543" i="1"/>
  <c r="G1543" i="1"/>
  <c r="F1543" i="1"/>
  <c r="C1543" i="1"/>
  <c r="M1542" i="1"/>
  <c r="K1542" i="1"/>
  <c r="J1542" i="1"/>
  <c r="H1542" i="1"/>
  <c r="G1542" i="1"/>
  <c r="F1542" i="1"/>
  <c r="C1542" i="1"/>
  <c r="M1541" i="1"/>
  <c r="K1541" i="1"/>
  <c r="J1541" i="1"/>
  <c r="H1541" i="1"/>
  <c r="G1541" i="1"/>
  <c r="F1541" i="1"/>
  <c r="C1541" i="1"/>
  <c r="M1540" i="1"/>
  <c r="K1540" i="1"/>
  <c r="J1540" i="1"/>
  <c r="H1540" i="1"/>
  <c r="G1540" i="1"/>
  <c r="F1540" i="1"/>
  <c r="C1540" i="1"/>
  <c r="M1539" i="1"/>
  <c r="K1539" i="1"/>
  <c r="J1539" i="1"/>
  <c r="H1539" i="1"/>
  <c r="G1539" i="1"/>
  <c r="F1539" i="1"/>
  <c r="C1539" i="1"/>
  <c r="M1538" i="1"/>
  <c r="K1538" i="1"/>
  <c r="J1538" i="1"/>
  <c r="H1538" i="1"/>
  <c r="G1538" i="1"/>
  <c r="F1538" i="1"/>
  <c r="C1538" i="1"/>
  <c r="M1537" i="1"/>
  <c r="K1537" i="1"/>
  <c r="J1537" i="1"/>
  <c r="H1537" i="1"/>
  <c r="G1537" i="1"/>
  <c r="F1537" i="1"/>
  <c r="C1537" i="1"/>
  <c r="M1536" i="1"/>
  <c r="K1536" i="1"/>
  <c r="J1536" i="1"/>
  <c r="H1536" i="1"/>
  <c r="G1536" i="1"/>
  <c r="F1536" i="1"/>
  <c r="C1536" i="1"/>
  <c r="M1535" i="1"/>
  <c r="K1535" i="1"/>
  <c r="J1535" i="1"/>
  <c r="H1535" i="1"/>
  <c r="G1535" i="1"/>
  <c r="F1535" i="1"/>
  <c r="C1535" i="1"/>
  <c r="M1534" i="1"/>
  <c r="K1534" i="1"/>
  <c r="J1534" i="1"/>
  <c r="H1534" i="1"/>
  <c r="G1534" i="1"/>
  <c r="F1534" i="1"/>
  <c r="C1534" i="1"/>
  <c r="M1533" i="1"/>
  <c r="K1533" i="1"/>
  <c r="J1533" i="1"/>
  <c r="H1533" i="1"/>
  <c r="G1533" i="1"/>
  <c r="F1533" i="1"/>
  <c r="C1533" i="1"/>
  <c r="M1532" i="1"/>
  <c r="K1532" i="1"/>
  <c r="J1532" i="1"/>
  <c r="H1532" i="1"/>
  <c r="G1532" i="1"/>
  <c r="F1532" i="1"/>
  <c r="C1532" i="1"/>
  <c r="M1531" i="1"/>
  <c r="K1531" i="1"/>
  <c r="J1531" i="1"/>
  <c r="H1531" i="1"/>
  <c r="G1531" i="1"/>
  <c r="F1531" i="1"/>
  <c r="C1531" i="1"/>
  <c r="M1530" i="1"/>
  <c r="K1530" i="1"/>
  <c r="J1530" i="1"/>
  <c r="H1530" i="1"/>
  <c r="G1530" i="1"/>
  <c r="F1530" i="1"/>
  <c r="C1530" i="1"/>
  <c r="M1529" i="1"/>
  <c r="K1529" i="1"/>
  <c r="J1529" i="1"/>
  <c r="H1529" i="1"/>
  <c r="G1529" i="1"/>
  <c r="F1529" i="1"/>
  <c r="C1529" i="1"/>
  <c r="M1528" i="1"/>
  <c r="K1528" i="1"/>
  <c r="J1528" i="1"/>
  <c r="H1528" i="1"/>
  <c r="G1528" i="1"/>
  <c r="F1528" i="1"/>
  <c r="C1528" i="1"/>
  <c r="M1527" i="1"/>
  <c r="K1527" i="1"/>
  <c r="J1527" i="1"/>
  <c r="H1527" i="1"/>
  <c r="G1527" i="1"/>
  <c r="F1527" i="1"/>
  <c r="C1527" i="1"/>
  <c r="M1526" i="1"/>
  <c r="K1526" i="1"/>
  <c r="J1526" i="1"/>
  <c r="H1526" i="1"/>
  <c r="G1526" i="1"/>
  <c r="F1526" i="1"/>
  <c r="C1526" i="1"/>
  <c r="M1525" i="1"/>
  <c r="K1525" i="1"/>
  <c r="J1525" i="1"/>
  <c r="H1525" i="1"/>
  <c r="G1525" i="1"/>
  <c r="F1525" i="1"/>
  <c r="C1525" i="1"/>
  <c r="M1524" i="1"/>
  <c r="K1524" i="1"/>
  <c r="J1524" i="1"/>
  <c r="H1524" i="1"/>
  <c r="G1524" i="1"/>
  <c r="F1524" i="1"/>
  <c r="C1524" i="1"/>
  <c r="M1523" i="1"/>
  <c r="K1523" i="1"/>
  <c r="J1523" i="1"/>
  <c r="H1523" i="1"/>
  <c r="G1523" i="1"/>
  <c r="F1523" i="1"/>
  <c r="C1523" i="1"/>
  <c r="M1522" i="1"/>
  <c r="K1522" i="1"/>
  <c r="J1522" i="1"/>
  <c r="H1522" i="1"/>
  <c r="G1522" i="1"/>
  <c r="F1522" i="1"/>
  <c r="C1522" i="1"/>
  <c r="M1521" i="1"/>
  <c r="K1521" i="1"/>
  <c r="J1521" i="1"/>
  <c r="H1521" i="1"/>
  <c r="G1521" i="1"/>
  <c r="F1521" i="1"/>
  <c r="C1521" i="1"/>
  <c r="M1520" i="1"/>
  <c r="K1520" i="1"/>
  <c r="J1520" i="1"/>
  <c r="H1520" i="1"/>
  <c r="G1520" i="1"/>
  <c r="F1520" i="1"/>
  <c r="C1520" i="1"/>
  <c r="M1519" i="1"/>
  <c r="K1519" i="1"/>
  <c r="J1519" i="1"/>
  <c r="H1519" i="1"/>
  <c r="G1519" i="1"/>
  <c r="F1519" i="1"/>
  <c r="C1519" i="1"/>
  <c r="M1518" i="1"/>
  <c r="K1518" i="1"/>
  <c r="J1518" i="1"/>
  <c r="H1518" i="1"/>
  <c r="G1518" i="1"/>
  <c r="F1518" i="1"/>
  <c r="C1518" i="1"/>
  <c r="M1517" i="1"/>
  <c r="K1517" i="1"/>
  <c r="J1517" i="1"/>
  <c r="H1517" i="1"/>
  <c r="G1517" i="1"/>
  <c r="F1517" i="1"/>
  <c r="C1517" i="1"/>
  <c r="M1516" i="1"/>
  <c r="K1516" i="1"/>
  <c r="J1516" i="1"/>
  <c r="H1516" i="1"/>
  <c r="G1516" i="1"/>
  <c r="F1516" i="1"/>
  <c r="C1516" i="1"/>
  <c r="M1515" i="1"/>
  <c r="K1515" i="1"/>
  <c r="J1515" i="1"/>
  <c r="H1515" i="1"/>
  <c r="G1515" i="1"/>
  <c r="F1515" i="1"/>
  <c r="C1515" i="1"/>
  <c r="M1514" i="1"/>
  <c r="K1514" i="1"/>
  <c r="J1514" i="1"/>
  <c r="H1514" i="1"/>
  <c r="G1514" i="1"/>
  <c r="F1514" i="1"/>
  <c r="C1514" i="1"/>
  <c r="M1513" i="1"/>
  <c r="K1513" i="1"/>
  <c r="J1513" i="1"/>
  <c r="H1513" i="1"/>
  <c r="G1513" i="1"/>
  <c r="F1513" i="1"/>
  <c r="C1513" i="1"/>
  <c r="M1512" i="1"/>
  <c r="K1512" i="1"/>
  <c r="J1512" i="1"/>
  <c r="H1512" i="1"/>
  <c r="G1512" i="1"/>
  <c r="F1512" i="1"/>
  <c r="C1512" i="1"/>
  <c r="M1511" i="1"/>
  <c r="K1511" i="1"/>
  <c r="J1511" i="1"/>
  <c r="H1511" i="1"/>
  <c r="G1511" i="1"/>
  <c r="F1511" i="1"/>
  <c r="C1511" i="1"/>
  <c r="M1510" i="1"/>
  <c r="K1510" i="1"/>
  <c r="J1510" i="1"/>
  <c r="H1510" i="1"/>
  <c r="G1510" i="1"/>
  <c r="F1510" i="1"/>
  <c r="C1510" i="1"/>
  <c r="M1509" i="1"/>
  <c r="K1509" i="1"/>
  <c r="J1509" i="1"/>
  <c r="H1509" i="1"/>
  <c r="G1509" i="1"/>
  <c r="F1509" i="1"/>
  <c r="C1509" i="1"/>
  <c r="M1508" i="1"/>
  <c r="K1508" i="1"/>
  <c r="J1508" i="1"/>
  <c r="H1508" i="1"/>
  <c r="G1508" i="1"/>
  <c r="F1508" i="1"/>
  <c r="C1508" i="1"/>
  <c r="M1507" i="1"/>
  <c r="K1507" i="1"/>
  <c r="J1507" i="1"/>
  <c r="H1507" i="1"/>
  <c r="G1507" i="1"/>
  <c r="F1507" i="1"/>
  <c r="C1507" i="1"/>
  <c r="M1506" i="1"/>
  <c r="K1506" i="1"/>
  <c r="J1506" i="1"/>
  <c r="H1506" i="1"/>
  <c r="G1506" i="1"/>
  <c r="F1506" i="1"/>
  <c r="C1506" i="1"/>
  <c r="M1505" i="1"/>
  <c r="K1505" i="1"/>
  <c r="J1505" i="1"/>
  <c r="H1505" i="1"/>
  <c r="G1505" i="1"/>
  <c r="F1505" i="1"/>
  <c r="C1505" i="1"/>
  <c r="M1504" i="1"/>
  <c r="K1504" i="1"/>
  <c r="J1504" i="1"/>
  <c r="H1504" i="1"/>
  <c r="G1504" i="1"/>
  <c r="F1504" i="1"/>
  <c r="C1504" i="1"/>
  <c r="M1503" i="1"/>
  <c r="K1503" i="1"/>
  <c r="J1503" i="1"/>
  <c r="H1503" i="1"/>
  <c r="G1503" i="1"/>
  <c r="F1503" i="1"/>
  <c r="C1503" i="1"/>
  <c r="M1502" i="1"/>
  <c r="K1502" i="1"/>
  <c r="J1502" i="1"/>
  <c r="H1502" i="1"/>
  <c r="G1502" i="1"/>
  <c r="F1502" i="1"/>
  <c r="C1502" i="1"/>
  <c r="M1501" i="1"/>
  <c r="K1501" i="1"/>
  <c r="J1501" i="1"/>
  <c r="H1501" i="1"/>
  <c r="G1501" i="1"/>
  <c r="F1501" i="1"/>
  <c r="C1501" i="1"/>
  <c r="M1500" i="1"/>
  <c r="K1500" i="1"/>
  <c r="J1500" i="1"/>
  <c r="H1500" i="1"/>
  <c r="G1500" i="1"/>
  <c r="F1500" i="1"/>
  <c r="C1500" i="1"/>
  <c r="M1499" i="1"/>
  <c r="K1499" i="1"/>
  <c r="J1499" i="1"/>
  <c r="H1499" i="1"/>
  <c r="G1499" i="1"/>
  <c r="F1499" i="1"/>
  <c r="C1499" i="1"/>
  <c r="M1498" i="1"/>
  <c r="K1498" i="1"/>
  <c r="J1498" i="1"/>
  <c r="H1498" i="1"/>
  <c r="G1498" i="1"/>
  <c r="F1498" i="1"/>
  <c r="C1498" i="1"/>
  <c r="M1497" i="1"/>
  <c r="K1497" i="1"/>
  <c r="J1497" i="1"/>
  <c r="H1497" i="1"/>
  <c r="G1497" i="1"/>
  <c r="F1497" i="1"/>
  <c r="C1497" i="1"/>
  <c r="M1496" i="1"/>
  <c r="K1496" i="1"/>
  <c r="J1496" i="1"/>
  <c r="H1496" i="1"/>
  <c r="G1496" i="1"/>
  <c r="F1496" i="1"/>
  <c r="C1496" i="1"/>
  <c r="M1495" i="1"/>
  <c r="K1495" i="1"/>
  <c r="J1495" i="1"/>
  <c r="H1495" i="1"/>
  <c r="G1495" i="1"/>
  <c r="F1495" i="1"/>
  <c r="C1495" i="1"/>
  <c r="M1494" i="1"/>
  <c r="K1494" i="1"/>
  <c r="J1494" i="1"/>
  <c r="H1494" i="1"/>
  <c r="G1494" i="1"/>
  <c r="F1494" i="1"/>
  <c r="C1494" i="1"/>
  <c r="M1493" i="1"/>
  <c r="K1493" i="1"/>
  <c r="J1493" i="1"/>
  <c r="H1493" i="1"/>
  <c r="G1493" i="1"/>
  <c r="F1493" i="1"/>
  <c r="C1493" i="1"/>
  <c r="M1492" i="1"/>
  <c r="K1492" i="1"/>
  <c r="J1492" i="1"/>
  <c r="H1492" i="1"/>
  <c r="G1492" i="1"/>
  <c r="F1492" i="1"/>
  <c r="C1492" i="1"/>
  <c r="M1491" i="1"/>
  <c r="K1491" i="1"/>
  <c r="J1491" i="1"/>
  <c r="H1491" i="1"/>
  <c r="G1491" i="1"/>
  <c r="F1491" i="1"/>
  <c r="C1491" i="1"/>
  <c r="M1490" i="1"/>
  <c r="K1490" i="1"/>
  <c r="J1490" i="1"/>
  <c r="H1490" i="1"/>
  <c r="G1490" i="1"/>
  <c r="F1490" i="1"/>
  <c r="C1490" i="1"/>
  <c r="M1489" i="1"/>
  <c r="K1489" i="1"/>
  <c r="J1489" i="1"/>
  <c r="H1489" i="1"/>
  <c r="G1489" i="1"/>
  <c r="F1489" i="1"/>
  <c r="C1489" i="1"/>
  <c r="M1488" i="1"/>
  <c r="K1488" i="1"/>
  <c r="J1488" i="1"/>
  <c r="H1488" i="1"/>
  <c r="G1488" i="1"/>
  <c r="F1488" i="1"/>
  <c r="C1488" i="1"/>
  <c r="M1487" i="1"/>
  <c r="K1487" i="1"/>
  <c r="J1487" i="1"/>
  <c r="H1487" i="1"/>
  <c r="G1487" i="1"/>
  <c r="F1487" i="1"/>
  <c r="C1487" i="1"/>
  <c r="M1486" i="1"/>
  <c r="K1486" i="1"/>
  <c r="J1486" i="1"/>
  <c r="H1486" i="1"/>
  <c r="G1486" i="1"/>
  <c r="F1486" i="1"/>
  <c r="C1486" i="1"/>
  <c r="M1485" i="1"/>
  <c r="K1485" i="1"/>
  <c r="J1485" i="1"/>
  <c r="H1485" i="1"/>
  <c r="G1485" i="1"/>
  <c r="F1485" i="1"/>
  <c r="C1485" i="1"/>
  <c r="M1484" i="1"/>
  <c r="K1484" i="1"/>
  <c r="J1484" i="1"/>
  <c r="H1484" i="1"/>
  <c r="G1484" i="1"/>
  <c r="F1484" i="1"/>
  <c r="C1484" i="1"/>
  <c r="M1483" i="1"/>
  <c r="K1483" i="1"/>
  <c r="J1483" i="1"/>
  <c r="H1483" i="1"/>
  <c r="G1483" i="1"/>
  <c r="F1483" i="1"/>
  <c r="C1483" i="1"/>
  <c r="M1482" i="1"/>
  <c r="K1482" i="1"/>
  <c r="J1482" i="1"/>
  <c r="H1482" i="1"/>
  <c r="G1482" i="1"/>
  <c r="F1482" i="1"/>
  <c r="C1482" i="1"/>
  <c r="M1481" i="1"/>
  <c r="K1481" i="1"/>
  <c r="J1481" i="1"/>
  <c r="H1481" i="1"/>
  <c r="G1481" i="1"/>
  <c r="F1481" i="1"/>
  <c r="C1481" i="1"/>
  <c r="M1480" i="1"/>
  <c r="K1480" i="1"/>
  <c r="J1480" i="1"/>
  <c r="H1480" i="1"/>
  <c r="G1480" i="1"/>
  <c r="F1480" i="1"/>
  <c r="C1480" i="1"/>
  <c r="M1479" i="1"/>
  <c r="K1479" i="1"/>
  <c r="J1479" i="1"/>
  <c r="H1479" i="1"/>
  <c r="G1479" i="1"/>
  <c r="F1479" i="1"/>
  <c r="C1479" i="1"/>
  <c r="M1478" i="1"/>
  <c r="K1478" i="1"/>
  <c r="J1478" i="1"/>
  <c r="H1478" i="1"/>
  <c r="G1478" i="1"/>
  <c r="F1478" i="1"/>
  <c r="C1478" i="1"/>
  <c r="M1477" i="1"/>
  <c r="K1477" i="1"/>
  <c r="J1477" i="1"/>
  <c r="H1477" i="1"/>
  <c r="G1477" i="1"/>
  <c r="F1477" i="1"/>
  <c r="C1477" i="1"/>
  <c r="M1476" i="1"/>
  <c r="K1476" i="1"/>
  <c r="J1476" i="1"/>
  <c r="H1476" i="1"/>
  <c r="G1476" i="1"/>
  <c r="F1476" i="1"/>
  <c r="C1476" i="1"/>
  <c r="M1475" i="1"/>
  <c r="K1475" i="1"/>
  <c r="J1475" i="1"/>
  <c r="H1475" i="1"/>
  <c r="G1475" i="1"/>
  <c r="F1475" i="1"/>
  <c r="C1475" i="1"/>
  <c r="M1474" i="1"/>
  <c r="K1474" i="1"/>
  <c r="J1474" i="1"/>
  <c r="H1474" i="1"/>
  <c r="G1474" i="1"/>
  <c r="F1474" i="1"/>
  <c r="C1474" i="1"/>
  <c r="M1473" i="1"/>
  <c r="K1473" i="1"/>
  <c r="J1473" i="1"/>
  <c r="H1473" i="1"/>
  <c r="G1473" i="1"/>
  <c r="F1473" i="1"/>
  <c r="C1473" i="1"/>
  <c r="M1472" i="1"/>
  <c r="K1472" i="1"/>
  <c r="J1472" i="1"/>
  <c r="H1472" i="1"/>
  <c r="G1472" i="1"/>
  <c r="F1472" i="1"/>
  <c r="C1472" i="1"/>
  <c r="M1471" i="1"/>
  <c r="K1471" i="1"/>
  <c r="J1471" i="1"/>
  <c r="H1471" i="1"/>
  <c r="G1471" i="1"/>
  <c r="F1471" i="1"/>
  <c r="C1471" i="1"/>
  <c r="M1470" i="1"/>
  <c r="K1470" i="1"/>
  <c r="J1470" i="1"/>
  <c r="H1470" i="1"/>
  <c r="G1470" i="1"/>
  <c r="F1470" i="1"/>
  <c r="C1470" i="1"/>
  <c r="M1469" i="1"/>
  <c r="K1469" i="1"/>
  <c r="J1469" i="1"/>
  <c r="H1469" i="1"/>
  <c r="G1469" i="1"/>
  <c r="F1469" i="1"/>
  <c r="C1469" i="1"/>
  <c r="M1468" i="1"/>
  <c r="K1468" i="1"/>
  <c r="J1468" i="1"/>
  <c r="H1468" i="1"/>
  <c r="G1468" i="1"/>
  <c r="F1468" i="1"/>
  <c r="C1468" i="1"/>
  <c r="M1467" i="1"/>
  <c r="K1467" i="1"/>
  <c r="J1467" i="1"/>
  <c r="H1467" i="1"/>
  <c r="G1467" i="1"/>
  <c r="F1467" i="1"/>
  <c r="C1467" i="1"/>
  <c r="M1466" i="1"/>
  <c r="K1466" i="1"/>
  <c r="J1466" i="1"/>
  <c r="H1466" i="1"/>
  <c r="G1466" i="1"/>
  <c r="F1466" i="1"/>
  <c r="C1466" i="1"/>
  <c r="M1465" i="1"/>
  <c r="K1465" i="1"/>
  <c r="J1465" i="1"/>
  <c r="H1465" i="1"/>
  <c r="G1465" i="1"/>
  <c r="F1465" i="1"/>
  <c r="C1465" i="1"/>
  <c r="M1464" i="1"/>
  <c r="K1464" i="1"/>
  <c r="J1464" i="1"/>
  <c r="H1464" i="1"/>
  <c r="G1464" i="1"/>
  <c r="F1464" i="1"/>
  <c r="C1464" i="1"/>
  <c r="M1463" i="1"/>
  <c r="K1463" i="1"/>
  <c r="J1463" i="1"/>
  <c r="H1463" i="1"/>
  <c r="G1463" i="1"/>
  <c r="F1463" i="1"/>
  <c r="C1463" i="1"/>
  <c r="M1462" i="1"/>
  <c r="K1462" i="1"/>
  <c r="J1462" i="1"/>
  <c r="H1462" i="1"/>
  <c r="G1462" i="1"/>
  <c r="F1462" i="1"/>
  <c r="C1462" i="1"/>
  <c r="M1461" i="1"/>
  <c r="K1461" i="1"/>
  <c r="J1461" i="1"/>
  <c r="H1461" i="1"/>
  <c r="G1461" i="1"/>
  <c r="F1461" i="1"/>
  <c r="C1461" i="1"/>
  <c r="M1460" i="1"/>
  <c r="K1460" i="1"/>
  <c r="J1460" i="1"/>
  <c r="H1460" i="1"/>
  <c r="G1460" i="1"/>
  <c r="F1460" i="1"/>
  <c r="C1460" i="1"/>
  <c r="M1459" i="1"/>
  <c r="K1459" i="1"/>
  <c r="J1459" i="1"/>
  <c r="H1459" i="1"/>
  <c r="G1459" i="1"/>
  <c r="F1459" i="1"/>
  <c r="C1459" i="1"/>
  <c r="M1458" i="1"/>
  <c r="K1458" i="1"/>
  <c r="J1458" i="1"/>
  <c r="H1458" i="1"/>
  <c r="G1458" i="1"/>
  <c r="F1458" i="1"/>
  <c r="C1458" i="1"/>
  <c r="M1457" i="1"/>
  <c r="K1457" i="1"/>
  <c r="J1457" i="1"/>
  <c r="H1457" i="1"/>
  <c r="G1457" i="1"/>
  <c r="F1457" i="1"/>
  <c r="C1457" i="1"/>
  <c r="M1456" i="1"/>
  <c r="K1456" i="1"/>
  <c r="J1456" i="1"/>
  <c r="H1456" i="1"/>
  <c r="G1456" i="1"/>
  <c r="F1456" i="1"/>
  <c r="C1456" i="1"/>
  <c r="M1455" i="1"/>
  <c r="K1455" i="1"/>
  <c r="J1455" i="1"/>
  <c r="H1455" i="1"/>
  <c r="G1455" i="1"/>
  <c r="F1455" i="1"/>
  <c r="C1455" i="1"/>
  <c r="M1454" i="1"/>
  <c r="K1454" i="1"/>
  <c r="J1454" i="1"/>
  <c r="H1454" i="1"/>
  <c r="G1454" i="1"/>
  <c r="F1454" i="1"/>
  <c r="C1454" i="1"/>
  <c r="M1453" i="1"/>
  <c r="K1453" i="1"/>
  <c r="J1453" i="1"/>
  <c r="H1453" i="1"/>
  <c r="G1453" i="1"/>
  <c r="F1453" i="1"/>
  <c r="C1453" i="1"/>
  <c r="M1452" i="1"/>
  <c r="K1452" i="1"/>
  <c r="J1452" i="1"/>
  <c r="H1452" i="1"/>
  <c r="G1452" i="1"/>
  <c r="F1452" i="1"/>
  <c r="C1452" i="1"/>
  <c r="M1451" i="1"/>
  <c r="K1451" i="1"/>
  <c r="J1451" i="1"/>
  <c r="H1451" i="1"/>
  <c r="G1451" i="1"/>
  <c r="F1451" i="1"/>
  <c r="C1451" i="1"/>
  <c r="M1450" i="1"/>
  <c r="K1450" i="1"/>
  <c r="J1450" i="1"/>
  <c r="H1450" i="1"/>
  <c r="G1450" i="1"/>
  <c r="F1450" i="1"/>
  <c r="C1450" i="1"/>
  <c r="M1449" i="1"/>
  <c r="K1449" i="1"/>
  <c r="J1449" i="1"/>
  <c r="H1449" i="1"/>
  <c r="G1449" i="1"/>
  <c r="F1449" i="1"/>
  <c r="C1449" i="1"/>
  <c r="M1448" i="1"/>
  <c r="K1448" i="1"/>
  <c r="J1448" i="1"/>
  <c r="H1448" i="1"/>
  <c r="G1448" i="1"/>
  <c r="F1448" i="1"/>
  <c r="C1448" i="1"/>
  <c r="M1447" i="1"/>
  <c r="K1447" i="1"/>
  <c r="J1447" i="1"/>
  <c r="H1447" i="1"/>
  <c r="G1447" i="1"/>
  <c r="F1447" i="1"/>
  <c r="C1447" i="1"/>
  <c r="M1446" i="1"/>
  <c r="K1446" i="1"/>
  <c r="J1446" i="1"/>
  <c r="H1446" i="1"/>
  <c r="G1446" i="1"/>
  <c r="F1446" i="1"/>
  <c r="C1446" i="1"/>
  <c r="M1445" i="1"/>
  <c r="K1445" i="1"/>
  <c r="J1445" i="1"/>
  <c r="H1445" i="1"/>
  <c r="G1445" i="1"/>
  <c r="F1445" i="1"/>
  <c r="C1445" i="1"/>
  <c r="M1444" i="1"/>
  <c r="K1444" i="1"/>
  <c r="J1444" i="1"/>
  <c r="H1444" i="1"/>
  <c r="G1444" i="1"/>
  <c r="F1444" i="1"/>
  <c r="C1444" i="1"/>
  <c r="M1443" i="1"/>
  <c r="K1443" i="1"/>
  <c r="J1443" i="1"/>
  <c r="H1443" i="1"/>
  <c r="G1443" i="1"/>
  <c r="F1443" i="1"/>
  <c r="C1443" i="1"/>
  <c r="M1442" i="1"/>
  <c r="K1442" i="1"/>
  <c r="J1442" i="1"/>
  <c r="H1442" i="1"/>
  <c r="G1442" i="1"/>
  <c r="F1442" i="1"/>
  <c r="C1442" i="1"/>
  <c r="M1441" i="1"/>
  <c r="K1441" i="1"/>
  <c r="J1441" i="1"/>
  <c r="H1441" i="1"/>
  <c r="G1441" i="1"/>
  <c r="F1441" i="1"/>
  <c r="C1441" i="1"/>
  <c r="M1440" i="1"/>
  <c r="K1440" i="1"/>
  <c r="J1440" i="1"/>
  <c r="H1440" i="1"/>
  <c r="G1440" i="1"/>
  <c r="F1440" i="1"/>
  <c r="C1440" i="1"/>
  <c r="M1439" i="1"/>
  <c r="K1439" i="1"/>
  <c r="J1439" i="1"/>
  <c r="H1439" i="1"/>
  <c r="G1439" i="1"/>
  <c r="F1439" i="1"/>
  <c r="C1439" i="1"/>
  <c r="M1438" i="1"/>
  <c r="K1438" i="1"/>
  <c r="J1438" i="1"/>
  <c r="H1438" i="1"/>
  <c r="G1438" i="1"/>
  <c r="F1438" i="1"/>
  <c r="C1438" i="1"/>
  <c r="M1437" i="1"/>
  <c r="K1437" i="1"/>
  <c r="J1437" i="1"/>
  <c r="H1437" i="1"/>
  <c r="G1437" i="1"/>
  <c r="F1437" i="1"/>
  <c r="C1437" i="1"/>
  <c r="M1436" i="1"/>
  <c r="K1436" i="1"/>
  <c r="J1436" i="1"/>
  <c r="H1436" i="1"/>
  <c r="G1436" i="1"/>
  <c r="F1436" i="1"/>
  <c r="C1436" i="1"/>
  <c r="M1435" i="1"/>
  <c r="K1435" i="1"/>
  <c r="J1435" i="1"/>
  <c r="H1435" i="1"/>
  <c r="G1435" i="1"/>
  <c r="F1435" i="1"/>
  <c r="C1435" i="1"/>
  <c r="M1434" i="1"/>
  <c r="K1434" i="1"/>
  <c r="J1434" i="1"/>
  <c r="H1434" i="1"/>
  <c r="G1434" i="1"/>
  <c r="F1434" i="1"/>
  <c r="C1434" i="1"/>
  <c r="M1433" i="1"/>
  <c r="K1433" i="1"/>
  <c r="J1433" i="1"/>
  <c r="H1433" i="1"/>
  <c r="G1433" i="1"/>
  <c r="F1433" i="1"/>
  <c r="C1433" i="1"/>
  <c r="M1432" i="1"/>
  <c r="K1432" i="1"/>
  <c r="J1432" i="1"/>
  <c r="H1432" i="1"/>
  <c r="G1432" i="1"/>
  <c r="F1432" i="1"/>
  <c r="C1432" i="1"/>
  <c r="M1431" i="1"/>
  <c r="K1431" i="1"/>
  <c r="J1431" i="1"/>
  <c r="H1431" i="1"/>
  <c r="G1431" i="1"/>
  <c r="F1431" i="1"/>
  <c r="C1431" i="1"/>
  <c r="M1430" i="1"/>
  <c r="K1430" i="1"/>
  <c r="J1430" i="1"/>
  <c r="H1430" i="1"/>
  <c r="G1430" i="1"/>
  <c r="F1430" i="1"/>
  <c r="C1430" i="1"/>
  <c r="M1429" i="1"/>
  <c r="K1429" i="1"/>
  <c r="J1429" i="1"/>
  <c r="H1429" i="1"/>
  <c r="G1429" i="1"/>
  <c r="F1429" i="1"/>
  <c r="C1429" i="1"/>
  <c r="M1428" i="1"/>
  <c r="K1428" i="1"/>
  <c r="J1428" i="1"/>
  <c r="H1428" i="1"/>
  <c r="G1428" i="1"/>
  <c r="F1428" i="1"/>
  <c r="C1428" i="1"/>
  <c r="M1427" i="1"/>
  <c r="K1427" i="1"/>
  <c r="J1427" i="1"/>
  <c r="H1427" i="1"/>
  <c r="G1427" i="1"/>
  <c r="F1427" i="1"/>
  <c r="C1427" i="1"/>
  <c r="M1426" i="1"/>
  <c r="K1426" i="1"/>
  <c r="J1426" i="1"/>
  <c r="H1426" i="1"/>
  <c r="G1426" i="1"/>
  <c r="F1426" i="1"/>
  <c r="C1426" i="1"/>
  <c r="M1425" i="1"/>
  <c r="K1425" i="1"/>
  <c r="J1425" i="1"/>
  <c r="H1425" i="1"/>
  <c r="G1425" i="1"/>
  <c r="F1425" i="1"/>
  <c r="C1425" i="1"/>
  <c r="M1424" i="1"/>
  <c r="K1424" i="1"/>
  <c r="J1424" i="1"/>
  <c r="H1424" i="1"/>
  <c r="G1424" i="1"/>
  <c r="F1424" i="1"/>
  <c r="C1424" i="1"/>
  <c r="M1423" i="1"/>
  <c r="K1423" i="1"/>
  <c r="J1423" i="1"/>
  <c r="H1423" i="1"/>
  <c r="G1423" i="1"/>
  <c r="F1423" i="1"/>
  <c r="C1423" i="1"/>
  <c r="M1422" i="1"/>
  <c r="K1422" i="1"/>
  <c r="J1422" i="1"/>
  <c r="H1422" i="1"/>
  <c r="G1422" i="1"/>
  <c r="F1422" i="1"/>
  <c r="C1422" i="1"/>
  <c r="M1421" i="1"/>
  <c r="K1421" i="1"/>
  <c r="J1421" i="1"/>
  <c r="H1421" i="1"/>
  <c r="G1421" i="1"/>
  <c r="F1421" i="1"/>
  <c r="C1421" i="1"/>
  <c r="M1420" i="1"/>
  <c r="K1420" i="1"/>
  <c r="J1420" i="1"/>
  <c r="H1420" i="1"/>
  <c r="G1420" i="1"/>
  <c r="F1420" i="1"/>
  <c r="C1420" i="1"/>
  <c r="M1419" i="1"/>
  <c r="K1419" i="1"/>
  <c r="J1419" i="1"/>
  <c r="H1419" i="1"/>
  <c r="G1419" i="1"/>
  <c r="F1419" i="1"/>
  <c r="C1419" i="1"/>
  <c r="M1418" i="1"/>
  <c r="K1418" i="1"/>
  <c r="J1418" i="1"/>
  <c r="H1418" i="1"/>
  <c r="G1418" i="1"/>
  <c r="F1418" i="1"/>
  <c r="C1418" i="1"/>
  <c r="M1417" i="1"/>
  <c r="K1417" i="1"/>
  <c r="J1417" i="1"/>
  <c r="H1417" i="1"/>
  <c r="G1417" i="1"/>
  <c r="F1417" i="1"/>
  <c r="C1417" i="1"/>
  <c r="M1416" i="1"/>
  <c r="K1416" i="1"/>
  <c r="J1416" i="1"/>
  <c r="H1416" i="1"/>
  <c r="G1416" i="1"/>
  <c r="F1416" i="1"/>
  <c r="C1416" i="1"/>
  <c r="M1415" i="1"/>
  <c r="K1415" i="1"/>
  <c r="J1415" i="1"/>
  <c r="H1415" i="1"/>
  <c r="G1415" i="1"/>
  <c r="F1415" i="1"/>
  <c r="C1415" i="1"/>
  <c r="M1414" i="1"/>
  <c r="K1414" i="1"/>
  <c r="J1414" i="1"/>
  <c r="H1414" i="1"/>
  <c r="G1414" i="1"/>
  <c r="F1414" i="1"/>
  <c r="C1414" i="1"/>
  <c r="M1413" i="1"/>
  <c r="K1413" i="1"/>
  <c r="J1413" i="1"/>
  <c r="H1413" i="1"/>
  <c r="G1413" i="1"/>
  <c r="F1413" i="1"/>
  <c r="C1413" i="1"/>
  <c r="M1412" i="1"/>
  <c r="K1412" i="1"/>
  <c r="J1412" i="1"/>
  <c r="H1412" i="1"/>
  <c r="G1412" i="1"/>
  <c r="F1412" i="1"/>
  <c r="C1412" i="1"/>
  <c r="M1411" i="1"/>
  <c r="K1411" i="1"/>
  <c r="J1411" i="1"/>
  <c r="H1411" i="1"/>
  <c r="G1411" i="1"/>
  <c r="F1411" i="1"/>
  <c r="C1411" i="1"/>
  <c r="M1410" i="1"/>
  <c r="K1410" i="1"/>
  <c r="J1410" i="1"/>
  <c r="H1410" i="1"/>
  <c r="G1410" i="1"/>
  <c r="F1410" i="1"/>
  <c r="C1410" i="1"/>
  <c r="M1409" i="1"/>
  <c r="K1409" i="1"/>
  <c r="J1409" i="1"/>
  <c r="H1409" i="1"/>
  <c r="G1409" i="1"/>
  <c r="F1409" i="1"/>
  <c r="C1409" i="1"/>
  <c r="M1408" i="1"/>
  <c r="K1408" i="1"/>
  <c r="J1408" i="1"/>
  <c r="H1408" i="1"/>
  <c r="G1408" i="1"/>
  <c r="F1408" i="1"/>
  <c r="C1408" i="1"/>
  <c r="M1407" i="1"/>
  <c r="K1407" i="1"/>
  <c r="J1407" i="1"/>
  <c r="H1407" i="1"/>
  <c r="G1407" i="1"/>
  <c r="F1407" i="1"/>
  <c r="C1407" i="1"/>
  <c r="M1406" i="1"/>
  <c r="K1406" i="1"/>
  <c r="J1406" i="1"/>
  <c r="H1406" i="1"/>
  <c r="G1406" i="1"/>
  <c r="F1406" i="1"/>
  <c r="C1406" i="1"/>
  <c r="M1405" i="1"/>
  <c r="K1405" i="1"/>
  <c r="J1405" i="1"/>
  <c r="H1405" i="1"/>
  <c r="G1405" i="1"/>
  <c r="F1405" i="1"/>
  <c r="C1405" i="1"/>
  <c r="M1404" i="1"/>
  <c r="K1404" i="1"/>
  <c r="J1404" i="1"/>
  <c r="H1404" i="1"/>
  <c r="G1404" i="1"/>
  <c r="F1404" i="1"/>
  <c r="C1404" i="1"/>
  <c r="M1403" i="1"/>
  <c r="K1403" i="1"/>
  <c r="J1403" i="1"/>
  <c r="H1403" i="1"/>
  <c r="G1403" i="1"/>
  <c r="F1403" i="1"/>
  <c r="C1403" i="1"/>
  <c r="M1402" i="1"/>
  <c r="K1402" i="1"/>
  <c r="J1402" i="1"/>
  <c r="H1402" i="1"/>
  <c r="G1402" i="1"/>
  <c r="F1402" i="1"/>
  <c r="C1402" i="1"/>
  <c r="M1401" i="1"/>
  <c r="K1401" i="1"/>
  <c r="J1401" i="1"/>
  <c r="H1401" i="1"/>
  <c r="G1401" i="1"/>
  <c r="F1401" i="1"/>
  <c r="C1401" i="1"/>
  <c r="M1400" i="1"/>
  <c r="K1400" i="1"/>
  <c r="J1400" i="1"/>
  <c r="H1400" i="1"/>
  <c r="G1400" i="1"/>
  <c r="F1400" i="1"/>
  <c r="C1400" i="1"/>
  <c r="M1399" i="1"/>
  <c r="K1399" i="1"/>
  <c r="J1399" i="1"/>
  <c r="H1399" i="1"/>
  <c r="G1399" i="1"/>
  <c r="F1399" i="1"/>
  <c r="C1399" i="1"/>
  <c r="M1398" i="1"/>
  <c r="K1398" i="1"/>
  <c r="J1398" i="1"/>
  <c r="H1398" i="1"/>
  <c r="G1398" i="1"/>
  <c r="F1398" i="1"/>
  <c r="C1398" i="1"/>
  <c r="M1397" i="1"/>
  <c r="K1397" i="1"/>
  <c r="J1397" i="1"/>
  <c r="H1397" i="1"/>
  <c r="G1397" i="1"/>
  <c r="F1397" i="1"/>
  <c r="C1397" i="1"/>
  <c r="M1396" i="1"/>
  <c r="K1396" i="1"/>
  <c r="J1396" i="1"/>
  <c r="H1396" i="1"/>
  <c r="G1396" i="1"/>
  <c r="F1396" i="1"/>
  <c r="C1396" i="1"/>
  <c r="M1395" i="1"/>
  <c r="K1395" i="1"/>
  <c r="J1395" i="1"/>
  <c r="H1395" i="1"/>
  <c r="G1395" i="1"/>
  <c r="F1395" i="1"/>
  <c r="C1395" i="1"/>
  <c r="M1394" i="1"/>
  <c r="K1394" i="1"/>
  <c r="J1394" i="1"/>
  <c r="H1394" i="1"/>
  <c r="G1394" i="1"/>
  <c r="F1394" i="1"/>
  <c r="C1394" i="1"/>
  <c r="M1393" i="1"/>
  <c r="K1393" i="1"/>
  <c r="J1393" i="1"/>
  <c r="H1393" i="1"/>
  <c r="G1393" i="1"/>
  <c r="F1393" i="1"/>
  <c r="C1393" i="1"/>
  <c r="M1392" i="1"/>
  <c r="K1392" i="1"/>
  <c r="J1392" i="1"/>
  <c r="H1392" i="1"/>
  <c r="G1392" i="1"/>
  <c r="F1392" i="1"/>
  <c r="C1392" i="1"/>
  <c r="M1391" i="1"/>
  <c r="K1391" i="1"/>
  <c r="J1391" i="1"/>
  <c r="H1391" i="1"/>
  <c r="G1391" i="1"/>
  <c r="F1391" i="1"/>
  <c r="C1391" i="1"/>
  <c r="M1390" i="1"/>
  <c r="K1390" i="1"/>
  <c r="J1390" i="1"/>
  <c r="H1390" i="1"/>
  <c r="G1390" i="1"/>
  <c r="F1390" i="1"/>
  <c r="C1390" i="1"/>
  <c r="M1389" i="1"/>
  <c r="K1389" i="1"/>
  <c r="J1389" i="1"/>
  <c r="H1389" i="1"/>
  <c r="G1389" i="1"/>
  <c r="F1389" i="1"/>
  <c r="C1389" i="1"/>
  <c r="M1388" i="1"/>
  <c r="K1388" i="1"/>
  <c r="J1388" i="1"/>
  <c r="H1388" i="1"/>
  <c r="G1388" i="1"/>
  <c r="F1388" i="1"/>
  <c r="C1388" i="1"/>
  <c r="M1387" i="1"/>
  <c r="K1387" i="1"/>
  <c r="J1387" i="1"/>
  <c r="H1387" i="1"/>
  <c r="G1387" i="1"/>
  <c r="F1387" i="1"/>
  <c r="C1387" i="1"/>
  <c r="M1386" i="1"/>
  <c r="K1386" i="1"/>
  <c r="J1386" i="1"/>
  <c r="H1386" i="1"/>
  <c r="G1386" i="1"/>
  <c r="F1386" i="1"/>
  <c r="C1386" i="1"/>
  <c r="M1385" i="1"/>
  <c r="K1385" i="1"/>
  <c r="J1385" i="1"/>
  <c r="H1385" i="1"/>
  <c r="G1385" i="1"/>
  <c r="F1385" i="1"/>
  <c r="C1385" i="1"/>
  <c r="M1384" i="1"/>
  <c r="K1384" i="1"/>
  <c r="J1384" i="1"/>
  <c r="H1384" i="1"/>
  <c r="G1384" i="1"/>
  <c r="F1384" i="1"/>
  <c r="C1384" i="1"/>
  <c r="M1383" i="1"/>
  <c r="K1383" i="1"/>
  <c r="J1383" i="1"/>
  <c r="H1383" i="1"/>
  <c r="G1383" i="1"/>
  <c r="F1383" i="1"/>
  <c r="C1383" i="1"/>
  <c r="M1382" i="1"/>
  <c r="K1382" i="1"/>
  <c r="J1382" i="1"/>
  <c r="H1382" i="1"/>
  <c r="G1382" i="1"/>
  <c r="F1382" i="1"/>
  <c r="C1382" i="1"/>
  <c r="M1381" i="1"/>
  <c r="K1381" i="1"/>
  <c r="J1381" i="1"/>
  <c r="H1381" i="1"/>
  <c r="G1381" i="1"/>
  <c r="F1381" i="1"/>
  <c r="C1381" i="1"/>
  <c r="M1380" i="1"/>
  <c r="K1380" i="1"/>
  <c r="J1380" i="1"/>
  <c r="H1380" i="1"/>
  <c r="G1380" i="1"/>
  <c r="F1380" i="1"/>
  <c r="C1380" i="1"/>
  <c r="M1379" i="1"/>
  <c r="K1379" i="1"/>
  <c r="J1379" i="1"/>
  <c r="H1379" i="1"/>
  <c r="G1379" i="1"/>
  <c r="F1379" i="1"/>
  <c r="C1379" i="1"/>
  <c r="M1378" i="1"/>
  <c r="K1378" i="1"/>
  <c r="J1378" i="1"/>
  <c r="H1378" i="1"/>
  <c r="G1378" i="1"/>
  <c r="F1378" i="1"/>
  <c r="C1378" i="1"/>
  <c r="M1377" i="1"/>
  <c r="K1377" i="1"/>
  <c r="J1377" i="1"/>
  <c r="H1377" i="1"/>
  <c r="G1377" i="1"/>
  <c r="F1377" i="1"/>
  <c r="C1377" i="1"/>
  <c r="M1376" i="1"/>
  <c r="K1376" i="1"/>
  <c r="J1376" i="1"/>
  <c r="H1376" i="1"/>
  <c r="G1376" i="1"/>
  <c r="F1376" i="1"/>
  <c r="C1376" i="1"/>
  <c r="M1375" i="1"/>
  <c r="K1375" i="1"/>
  <c r="J1375" i="1"/>
  <c r="H1375" i="1"/>
  <c r="G1375" i="1"/>
  <c r="F1375" i="1"/>
  <c r="C1375" i="1"/>
  <c r="M1374" i="1"/>
  <c r="K1374" i="1"/>
  <c r="J1374" i="1"/>
  <c r="H1374" i="1"/>
  <c r="G1374" i="1"/>
  <c r="F1374" i="1"/>
  <c r="C1374" i="1"/>
  <c r="M1373" i="1"/>
  <c r="K1373" i="1"/>
  <c r="J1373" i="1"/>
  <c r="H1373" i="1"/>
  <c r="G1373" i="1"/>
  <c r="F1373" i="1"/>
  <c r="C1373" i="1"/>
  <c r="M1372" i="1"/>
  <c r="K1372" i="1"/>
  <c r="J1372" i="1"/>
  <c r="H1372" i="1"/>
  <c r="G1372" i="1"/>
  <c r="F1372" i="1"/>
  <c r="C1372" i="1"/>
  <c r="M1371" i="1"/>
  <c r="K1371" i="1"/>
  <c r="J1371" i="1"/>
  <c r="H1371" i="1"/>
  <c r="G1371" i="1"/>
  <c r="F1371" i="1"/>
  <c r="C1371" i="1"/>
  <c r="M1370" i="1"/>
  <c r="K1370" i="1"/>
  <c r="J1370" i="1"/>
  <c r="H1370" i="1"/>
  <c r="G1370" i="1"/>
  <c r="F1370" i="1"/>
  <c r="C1370" i="1"/>
  <c r="M1369" i="1"/>
  <c r="K1369" i="1"/>
  <c r="J1369" i="1"/>
  <c r="H1369" i="1"/>
  <c r="G1369" i="1"/>
  <c r="F1369" i="1"/>
  <c r="C1369" i="1"/>
  <c r="M1368" i="1"/>
  <c r="K1368" i="1"/>
  <c r="J1368" i="1"/>
  <c r="H1368" i="1"/>
  <c r="G1368" i="1"/>
  <c r="F1368" i="1"/>
  <c r="C1368" i="1"/>
  <c r="M1367" i="1"/>
  <c r="K1367" i="1"/>
  <c r="J1367" i="1"/>
  <c r="H1367" i="1"/>
  <c r="G1367" i="1"/>
  <c r="F1367" i="1"/>
  <c r="C1367" i="1"/>
  <c r="M1366" i="1"/>
  <c r="K1366" i="1"/>
  <c r="J1366" i="1"/>
  <c r="H1366" i="1"/>
  <c r="G1366" i="1"/>
  <c r="F1366" i="1"/>
  <c r="C1366" i="1"/>
  <c r="M1365" i="1"/>
  <c r="K1365" i="1"/>
  <c r="J1365" i="1"/>
  <c r="H1365" i="1"/>
  <c r="G1365" i="1"/>
  <c r="F1365" i="1"/>
  <c r="C1365" i="1"/>
  <c r="M1364" i="1"/>
  <c r="K1364" i="1"/>
  <c r="J1364" i="1"/>
  <c r="H1364" i="1"/>
  <c r="G1364" i="1"/>
  <c r="F1364" i="1"/>
  <c r="C1364" i="1"/>
  <c r="M1363" i="1"/>
  <c r="K1363" i="1"/>
  <c r="J1363" i="1"/>
  <c r="H1363" i="1"/>
  <c r="G1363" i="1"/>
  <c r="F1363" i="1"/>
  <c r="C1363" i="1"/>
  <c r="M1362" i="1"/>
  <c r="K1362" i="1"/>
  <c r="J1362" i="1"/>
  <c r="H1362" i="1"/>
  <c r="G1362" i="1"/>
  <c r="F1362" i="1"/>
  <c r="C1362" i="1"/>
  <c r="M1361" i="1"/>
  <c r="K1361" i="1"/>
  <c r="J1361" i="1"/>
  <c r="H1361" i="1"/>
  <c r="G1361" i="1"/>
  <c r="F1361" i="1"/>
  <c r="C1361" i="1"/>
  <c r="M1360" i="1"/>
  <c r="K1360" i="1"/>
  <c r="J1360" i="1"/>
  <c r="H1360" i="1"/>
  <c r="G1360" i="1"/>
  <c r="F1360" i="1"/>
  <c r="C1360" i="1"/>
  <c r="M1359" i="1"/>
  <c r="K1359" i="1"/>
  <c r="J1359" i="1"/>
  <c r="H1359" i="1"/>
  <c r="G1359" i="1"/>
  <c r="F1359" i="1"/>
  <c r="C1359" i="1"/>
  <c r="M1358" i="1"/>
  <c r="K1358" i="1"/>
  <c r="J1358" i="1"/>
  <c r="H1358" i="1"/>
  <c r="G1358" i="1"/>
  <c r="F1358" i="1"/>
  <c r="C1358" i="1"/>
  <c r="M1357" i="1"/>
  <c r="K1357" i="1"/>
  <c r="J1357" i="1"/>
  <c r="H1357" i="1"/>
  <c r="G1357" i="1"/>
  <c r="F1357" i="1"/>
  <c r="C1357" i="1"/>
  <c r="M1356" i="1"/>
  <c r="K1356" i="1"/>
  <c r="J1356" i="1"/>
  <c r="H1356" i="1"/>
  <c r="G1356" i="1"/>
  <c r="F1356" i="1"/>
  <c r="C1356" i="1"/>
  <c r="M1355" i="1"/>
  <c r="K1355" i="1"/>
  <c r="J1355" i="1"/>
  <c r="H1355" i="1"/>
  <c r="G1355" i="1"/>
  <c r="F1355" i="1"/>
  <c r="C1355" i="1"/>
  <c r="M1354" i="1"/>
  <c r="K1354" i="1"/>
  <c r="J1354" i="1"/>
  <c r="H1354" i="1"/>
  <c r="G1354" i="1"/>
  <c r="F1354" i="1"/>
  <c r="C1354" i="1"/>
  <c r="M1353" i="1"/>
  <c r="K1353" i="1"/>
  <c r="J1353" i="1"/>
  <c r="H1353" i="1"/>
  <c r="G1353" i="1"/>
  <c r="F1353" i="1"/>
  <c r="C1353" i="1"/>
  <c r="M1352" i="1"/>
  <c r="K1352" i="1"/>
  <c r="J1352" i="1"/>
  <c r="H1352" i="1"/>
  <c r="G1352" i="1"/>
  <c r="F1352" i="1"/>
  <c r="C1352" i="1"/>
  <c r="M1351" i="1"/>
  <c r="K1351" i="1"/>
  <c r="J1351" i="1"/>
  <c r="H1351" i="1"/>
  <c r="G1351" i="1"/>
  <c r="F1351" i="1"/>
  <c r="C1351" i="1"/>
  <c r="M1350" i="1"/>
  <c r="K1350" i="1"/>
  <c r="J1350" i="1"/>
  <c r="H1350" i="1"/>
  <c r="G1350" i="1"/>
  <c r="F1350" i="1"/>
  <c r="C1350" i="1"/>
  <c r="M1349" i="1"/>
  <c r="K1349" i="1"/>
  <c r="J1349" i="1"/>
  <c r="H1349" i="1"/>
  <c r="G1349" i="1"/>
  <c r="F1349" i="1"/>
  <c r="C1349" i="1"/>
  <c r="M1348" i="1"/>
  <c r="K1348" i="1"/>
  <c r="J1348" i="1"/>
  <c r="H1348" i="1"/>
  <c r="G1348" i="1"/>
  <c r="F1348" i="1"/>
  <c r="C1348" i="1"/>
  <c r="M1347" i="1"/>
  <c r="K1347" i="1"/>
  <c r="J1347" i="1"/>
  <c r="H1347" i="1"/>
  <c r="G1347" i="1"/>
  <c r="F1347" i="1"/>
  <c r="C1347" i="1"/>
  <c r="M1346" i="1"/>
  <c r="K1346" i="1"/>
  <c r="J1346" i="1"/>
  <c r="H1346" i="1"/>
  <c r="G1346" i="1"/>
  <c r="F1346" i="1"/>
  <c r="C1346" i="1"/>
  <c r="M1345" i="1"/>
  <c r="K1345" i="1"/>
  <c r="J1345" i="1"/>
  <c r="H1345" i="1"/>
  <c r="G1345" i="1"/>
  <c r="F1345" i="1"/>
  <c r="C1345" i="1"/>
  <c r="M1344" i="1"/>
  <c r="K1344" i="1"/>
  <c r="J1344" i="1"/>
  <c r="H1344" i="1"/>
  <c r="G1344" i="1"/>
  <c r="F1344" i="1"/>
  <c r="C1344" i="1"/>
  <c r="M1343" i="1"/>
  <c r="K1343" i="1"/>
  <c r="J1343" i="1"/>
  <c r="H1343" i="1"/>
  <c r="G1343" i="1"/>
  <c r="F1343" i="1"/>
  <c r="C1343" i="1"/>
  <c r="M1342" i="1"/>
  <c r="K1342" i="1"/>
  <c r="J1342" i="1"/>
  <c r="H1342" i="1"/>
  <c r="G1342" i="1"/>
  <c r="F1342" i="1"/>
  <c r="C1342" i="1"/>
  <c r="M1341" i="1"/>
  <c r="K1341" i="1"/>
  <c r="J1341" i="1"/>
  <c r="H1341" i="1"/>
  <c r="G1341" i="1"/>
  <c r="F1341" i="1"/>
  <c r="C1341" i="1"/>
  <c r="M1340" i="1"/>
  <c r="K1340" i="1"/>
  <c r="J1340" i="1"/>
  <c r="H1340" i="1"/>
  <c r="G1340" i="1"/>
  <c r="F1340" i="1"/>
  <c r="C1340" i="1"/>
  <c r="M1339" i="1"/>
  <c r="K1339" i="1"/>
  <c r="J1339" i="1"/>
  <c r="H1339" i="1"/>
  <c r="G1339" i="1"/>
  <c r="F1339" i="1"/>
  <c r="C1339" i="1"/>
  <c r="M1338" i="1"/>
  <c r="K1338" i="1"/>
  <c r="J1338" i="1"/>
  <c r="H1338" i="1"/>
  <c r="G1338" i="1"/>
  <c r="F1338" i="1"/>
  <c r="C1338" i="1"/>
  <c r="M1337" i="1"/>
  <c r="K1337" i="1"/>
  <c r="J1337" i="1"/>
  <c r="H1337" i="1"/>
  <c r="G1337" i="1"/>
  <c r="F1337" i="1"/>
  <c r="C1337" i="1"/>
  <c r="M1336" i="1"/>
  <c r="K1336" i="1"/>
  <c r="J1336" i="1"/>
  <c r="H1336" i="1"/>
  <c r="G1336" i="1"/>
  <c r="F1336" i="1"/>
  <c r="C1336" i="1"/>
  <c r="M1335" i="1"/>
  <c r="K1335" i="1"/>
  <c r="J1335" i="1"/>
  <c r="H1335" i="1"/>
  <c r="G1335" i="1"/>
  <c r="F1335" i="1"/>
  <c r="C1335" i="1"/>
  <c r="M1334" i="1"/>
  <c r="K1334" i="1"/>
  <c r="J1334" i="1"/>
  <c r="H1334" i="1"/>
  <c r="G1334" i="1"/>
  <c r="F1334" i="1"/>
  <c r="C1334" i="1"/>
  <c r="M1333" i="1"/>
  <c r="K1333" i="1"/>
  <c r="J1333" i="1"/>
  <c r="H1333" i="1"/>
  <c r="G1333" i="1"/>
  <c r="F1333" i="1"/>
  <c r="C1333" i="1"/>
  <c r="M1332" i="1"/>
  <c r="K1332" i="1"/>
  <c r="J1332" i="1"/>
  <c r="H1332" i="1"/>
  <c r="G1332" i="1"/>
  <c r="F1332" i="1"/>
  <c r="C1332" i="1"/>
  <c r="M1331" i="1"/>
  <c r="K1331" i="1"/>
  <c r="J1331" i="1"/>
  <c r="H1331" i="1"/>
  <c r="G1331" i="1"/>
  <c r="F1331" i="1"/>
  <c r="C1331" i="1"/>
  <c r="M1330" i="1"/>
  <c r="K1330" i="1"/>
  <c r="J1330" i="1"/>
  <c r="H1330" i="1"/>
  <c r="G1330" i="1"/>
  <c r="F1330" i="1"/>
  <c r="C1330" i="1"/>
  <c r="M1329" i="1"/>
  <c r="K1329" i="1"/>
  <c r="J1329" i="1"/>
  <c r="H1329" i="1"/>
  <c r="G1329" i="1"/>
  <c r="F1329" i="1"/>
  <c r="C1329" i="1"/>
  <c r="M1328" i="1"/>
  <c r="K1328" i="1"/>
  <c r="J1328" i="1"/>
  <c r="H1328" i="1"/>
  <c r="G1328" i="1"/>
  <c r="F1328" i="1"/>
  <c r="C1328" i="1"/>
  <c r="M1327" i="1"/>
  <c r="K1327" i="1"/>
  <c r="J1327" i="1"/>
  <c r="H1327" i="1"/>
  <c r="G1327" i="1"/>
  <c r="F1327" i="1"/>
  <c r="C1327" i="1"/>
  <c r="M1326" i="1"/>
  <c r="K1326" i="1"/>
  <c r="J1326" i="1"/>
  <c r="H1326" i="1"/>
  <c r="G1326" i="1"/>
  <c r="F1326" i="1"/>
  <c r="C1326" i="1"/>
  <c r="M1325" i="1"/>
  <c r="K1325" i="1"/>
  <c r="J1325" i="1"/>
  <c r="H1325" i="1"/>
  <c r="G1325" i="1"/>
  <c r="F1325" i="1"/>
  <c r="C1325" i="1"/>
  <c r="M1324" i="1"/>
  <c r="K1324" i="1"/>
  <c r="J1324" i="1"/>
  <c r="H1324" i="1"/>
  <c r="G1324" i="1"/>
  <c r="F1324" i="1"/>
  <c r="C1324" i="1"/>
  <c r="M1323" i="1"/>
  <c r="K1323" i="1"/>
  <c r="J1323" i="1"/>
  <c r="H1323" i="1"/>
  <c r="G1323" i="1"/>
  <c r="F1323" i="1"/>
  <c r="C1323" i="1"/>
  <c r="M1322" i="1"/>
  <c r="K1322" i="1"/>
  <c r="J1322" i="1"/>
  <c r="H1322" i="1"/>
  <c r="G1322" i="1"/>
  <c r="F1322" i="1"/>
  <c r="C1322" i="1"/>
  <c r="M1321" i="1"/>
  <c r="K1321" i="1"/>
  <c r="J1321" i="1"/>
  <c r="H1321" i="1"/>
  <c r="G1321" i="1"/>
  <c r="F1321" i="1"/>
  <c r="C1321" i="1"/>
  <c r="M1320" i="1"/>
  <c r="K1320" i="1"/>
  <c r="J1320" i="1"/>
  <c r="H1320" i="1"/>
  <c r="G1320" i="1"/>
  <c r="F1320" i="1"/>
  <c r="C1320" i="1"/>
  <c r="M1319" i="1"/>
  <c r="K1319" i="1"/>
  <c r="J1319" i="1"/>
  <c r="H1319" i="1"/>
  <c r="G1319" i="1"/>
  <c r="F1319" i="1"/>
  <c r="C1319" i="1"/>
  <c r="M1318" i="1"/>
  <c r="K1318" i="1"/>
  <c r="J1318" i="1"/>
  <c r="H1318" i="1"/>
  <c r="G1318" i="1"/>
  <c r="F1318" i="1"/>
  <c r="C1318" i="1"/>
  <c r="M1317" i="1"/>
  <c r="K1317" i="1"/>
  <c r="J1317" i="1"/>
  <c r="H1317" i="1"/>
  <c r="G1317" i="1"/>
  <c r="F1317" i="1"/>
  <c r="C1317" i="1"/>
  <c r="M1316" i="1"/>
  <c r="K1316" i="1"/>
  <c r="J1316" i="1"/>
  <c r="H1316" i="1"/>
  <c r="G1316" i="1"/>
  <c r="F1316" i="1"/>
  <c r="C1316" i="1"/>
  <c r="M1315" i="1"/>
  <c r="K1315" i="1"/>
  <c r="J1315" i="1"/>
  <c r="H1315" i="1"/>
  <c r="G1315" i="1"/>
  <c r="F1315" i="1"/>
  <c r="C1315" i="1"/>
  <c r="M1314" i="1"/>
  <c r="K1314" i="1"/>
  <c r="J1314" i="1"/>
  <c r="H1314" i="1"/>
  <c r="G1314" i="1"/>
  <c r="F1314" i="1"/>
  <c r="C1314" i="1"/>
  <c r="M1313" i="1"/>
  <c r="K1313" i="1"/>
  <c r="J1313" i="1"/>
  <c r="H1313" i="1"/>
  <c r="G1313" i="1"/>
  <c r="F1313" i="1"/>
  <c r="C1313" i="1"/>
  <c r="M1312" i="1"/>
  <c r="K1312" i="1"/>
  <c r="J1312" i="1"/>
  <c r="H1312" i="1"/>
  <c r="G1312" i="1"/>
  <c r="F1312" i="1"/>
  <c r="C1312" i="1"/>
  <c r="M1311" i="1"/>
  <c r="K1311" i="1"/>
  <c r="J1311" i="1"/>
  <c r="H1311" i="1"/>
  <c r="G1311" i="1"/>
  <c r="F1311" i="1"/>
  <c r="C1311" i="1"/>
  <c r="M1310" i="1"/>
  <c r="K1310" i="1"/>
  <c r="J1310" i="1"/>
  <c r="H1310" i="1"/>
  <c r="G1310" i="1"/>
  <c r="F1310" i="1"/>
  <c r="C1310" i="1"/>
  <c r="M1309" i="1"/>
  <c r="K1309" i="1"/>
  <c r="J1309" i="1"/>
  <c r="H1309" i="1"/>
  <c r="G1309" i="1"/>
  <c r="F1309" i="1"/>
  <c r="C1309" i="1"/>
  <c r="M1308" i="1"/>
  <c r="K1308" i="1"/>
  <c r="J1308" i="1"/>
  <c r="H1308" i="1"/>
  <c r="G1308" i="1"/>
  <c r="F1308" i="1"/>
  <c r="C1308" i="1"/>
  <c r="M1307" i="1"/>
  <c r="K1307" i="1"/>
  <c r="J1307" i="1"/>
  <c r="H1307" i="1"/>
  <c r="G1307" i="1"/>
  <c r="F1307" i="1"/>
  <c r="C1307" i="1"/>
  <c r="M1306" i="1"/>
  <c r="K1306" i="1"/>
  <c r="J1306" i="1"/>
  <c r="H1306" i="1"/>
  <c r="G1306" i="1"/>
  <c r="F1306" i="1"/>
  <c r="C1306" i="1"/>
  <c r="M1305" i="1"/>
  <c r="K1305" i="1"/>
  <c r="J1305" i="1"/>
  <c r="H1305" i="1"/>
  <c r="G1305" i="1"/>
  <c r="F1305" i="1"/>
  <c r="C1305" i="1"/>
  <c r="M1304" i="1"/>
  <c r="K1304" i="1"/>
  <c r="J1304" i="1"/>
  <c r="H1304" i="1"/>
  <c r="G1304" i="1"/>
  <c r="F1304" i="1"/>
  <c r="C1304" i="1"/>
  <c r="M1303" i="1"/>
  <c r="K1303" i="1"/>
  <c r="J1303" i="1"/>
  <c r="H1303" i="1"/>
  <c r="G1303" i="1"/>
  <c r="F1303" i="1"/>
  <c r="C1303" i="1"/>
  <c r="M1302" i="1"/>
  <c r="K1302" i="1"/>
  <c r="J1302" i="1"/>
  <c r="H1302" i="1"/>
  <c r="G1302" i="1"/>
  <c r="F1302" i="1"/>
  <c r="C1302" i="1"/>
  <c r="M1301" i="1"/>
  <c r="K1301" i="1"/>
  <c r="J1301" i="1"/>
  <c r="H1301" i="1"/>
  <c r="G1301" i="1"/>
  <c r="F1301" i="1"/>
  <c r="C1301" i="1"/>
  <c r="M1300" i="1"/>
  <c r="K1300" i="1"/>
  <c r="J1300" i="1"/>
  <c r="H1300" i="1"/>
  <c r="G1300" i="1"/>
  <c r="F1300" i="1"/>
  <c r="C1300" i="1"/>
  <c r="M1299" i="1"/>
  <c r="K1299" i="1"/>
  <c r="J1299" i="1"/>
  <c r="H1299" i="1"/>
  <c r="G1299" i="1"/>
  <c r="F1299" i="1"/>
  <c r="C1299" i="1"/>
  <c r="M1298" i="1"/>
  <c r="K1298" i="1"/>
  <c r="J1298" i="1"/>
  <c r="H1298" i="1"/>
  <c r="G1298" i="1"/>
  <c r="F1298" i="1"/>
  <c r="C1298" i="1"/>
  <c r="M1297" i="1"/>
  <c r="K1297" i="1"/>
  <c r="J1297" i="1"/>
  <c r="H1297" i="1"/>
  <c r="G1297" i="1"/>
  <c r="F1297" i="1"/>
  <c r="C1297" i="1"/>
  <c r="M1296" i="1"/>
  <c r="K1296" i="1"/>
  <c r="J1296" i="1"/>
  <c r="H1296" i="1"/>
  <c r="G1296" i="1"/>
  <c r="F1296" i="1"/>
  <c r="C1296" i="1"/>
  <c r="M1295" i="1"/>
  <c r="K1295" i="1"/>
  <c r="J1295" i="1"/>
  <c r="H1295" i="1"/>
  <c r="G1295" i="1"/>
  <c r="F1295" i="1"/>
  <c r="C1295" i="1"/>
  <c r="M1294" i="1"/>
  <c r="K1294" i="1"/>
  <c r="J1294" i="1"/>
  <c r="H1294" i="1"/>
  <c r="G1294" i="1"/>
  <c r="F1294" i="1"/>
  <c r="C1294" i="1"/>
  <c r="M1293" i="1"/>
  <c r="K1293" i="1"/>
  <c r="J1293" i="1"/>
  <c r="H1293" i="1"/>
  <c r="G1293" i="1"/>
  <c r="F1293" i="1"/>
  <c r="C1293" i="1"/>
  <c r="M1292" i="1"/>
  <c r="K1292" i="1"/>
  <c r="J1292" i="1"/>
  <c r="H1292" i="1"/>
  <c r="G1292" i="1"/>
  <c r="F1292" i="1"/>
  <c r="C1292" i="1"/>
  <c r="M1291" i="1"/>
  <c r="K1291" i="1"/>
  <c r="J1291" i="1"/>
  <c r="H1291" i="1"/>
  <c r="G1291" i="1"/>
  <c r="F1291" i="1"/>
  <c r="C1291" i="1"/>
  <c r="M1290" i="1"/>
  <c r="K1290" i="1"/>
  <c r="J1290" i="1"/>
  <c r="H1290" i="1"/>
  <c r="G1290" i="1"/>
  <c r="F1290" i="1"/>
  <c r="C1290" i="1"/>
  <c r="M1289" i="1"/>
  <c r="K1289" i="1"/>
  <c r="J1289" i="1"/>
  <c r="H1289" i="1"/>
  <c r="G1289" i="1"/>
  <c r="F1289" i="1"/>
  <c r="C1289" i="1"/>
  <c r="M1288" i="1"/>
  <c r="K1288" i="1"/>
  <c r="J1288" i="1"/>
  <c r="H1288" i="1"/>
  <c r="G1288" i="1"/>
  <c r="F1288" i="1"/>
  <c r="C1288" i="1"/>
  <c r="M1287" i="1"/>
  <c r="K1287" i="1"/>
  <c r="J1287" i="1"/>
  <c r="H1287" i="1"/>
  <c r="G1287" i="1"/>
  <c r="F1287" i="1"/>
  <c r="C1287" i="1"/>
  <c r="M1286" i="1"/>
  <c r="K1286" i="1"/>
  <c r="J1286" i="1"/>
  <c r="H1286" i="1"/>
  <c r="G1286" i="1"/>
  <c r="F1286" i="1"/>
  <c r="C1286" i="1"/>
  <c r="M1285" i="1"/>
  <c r="K1285" i="1"/>
  <c r="J1285" i="1"/>
  <c r="H1285" i="1"/>
  <c r="G1285" i="1"/>
  <c r="F1285" i="1"/>
  <c r="C1285" i="1"/>
  <c r="M1284" i="1"/>
  <c r="K1284" i="1"/>
  <c r="J1284" i="1"/>
  <c r="H1284" i="1"/>
  <c r="G1284" i="1"/>
  <c r="F1284" i="1"/>
  <c r="C1284" i="1"/>
  <c r="M1283" i="1"/>
  <c r="K1283" i="1"/>
  <c r="J1283" i="1"/>
  <c r="H1283" i="1"/>
  <c r="G1283" i="1"/>
  <c r="F1283" i="1"/>
  <c r="C1283" i="1"/>
  <c r="M1282" i="1"/>
  <c r="K1282" i="1"/>
  <c r="J1282" i="1"/>
  <c r="H1282" i="1"/>
  <c r="G1282" i="1"/>
  <c r="F1282" i="1"/>
  <c r="C1282" i="1"/>
  <c r="M1281" i="1"/>
  <c r="K1281" i="1"/>
  <c r="J1281" i="1"/>
  <c r="H1281" i="1"/>
  <c r="G1281" i="1"/>
  <c r="F1281" i="1"/>
  <c r="C1281" i="1"/>
  <c r="M1280" i="1"/>
  <c r="K1280" i="1"/>
  <c r="J1280" i="1"/>
  <c r="H1280" i="1"/>
  <c r="G1280" i="1"/>
  <c r="F1280" i="1"/>
  <c r="C1280" i="1"/>
  <c r="M1279" i="1"/>
  <c r="K1279" i="1"/>
  <c r="J1279" i="1"/>
  <c r="H1279" i="1"/>
  <c r="G1279" i="1"/>
  <c r="F1279" i="1"/>
  <c r="C1279" i="1"/>
  <c r="M1278" i="1"/>
  <c r="K1278" i="1"/>
  <c r="J1278" i="1"/>
  <c r="H1278" i="1"/>
  <c r="G1278" i="1"/>
  <c r="F1278" i="1"/>
  <c r="C1278" i="1"/>
  <c r="M1277" i="1"/>
  <c r="K1277" i="1"/>
  <c r="J1277" i="1"/>
  <c r="H1277" i="1"/>
  <c r="G1277" i="1"/>
  <c r="F1277" i="1"/>
  <c r="C1277" i="1"/>
  <c r="M1276" i="1"/>
  <c r="K1276" i="1"/>
  <c r="J1276" i="1"/>
  <c r="H1276" i="1"/>
  <c r="G1276" i="1"/>
  <c r="F1276" i="1"/>
  <c r="C1276" i="1"/>
  <c r="M1275" i="1"/>
  <c r="K1275" i="1"/>
  <c r="J1275" i="1"/>
  <c r="H1275" i="1"/>
  <c r="G1275" i="1"/>
  <c r="F1275" i="1"/>
  <c r="C1275" i="1"/>
  <c r="M1274" i="1"/>
  <c r="K1274" i="1"/>
  <c r="J1274" i="1"/>
  <c r="H1274" i="1"/>
  <c r="G1274" i="1"/>
  <c r="F1274" i="1"/>
  <c r="C1274" i="1"/>
  <c r="M1273" i="1"/>
  <c r="K1273" i="1"/>
  <c r="J1273" i="1"/>
  <c r="H1273" i="1"/>
  <c r="G1273" i="1"/>
  <c r="F1273" i="1"/>
  <c r="C1273" i="1"/>
  <c r="M1272" i="1"/>
  <c r="K1272" i="1"/>
  <c r="J1272" i="1"/>
  <c r="H1272" i="1"/>
  <c r="G1272" i="1"/>
  <c r="F1272" i="1"/>
  <c r="C1272" i="1"/>
  <c r="M1271" i="1"/>
  <c r="K1271" i="1"/>
  <c r="J1271" i="1"/>
  <c r="H1271" i="1"/>
  <c r="G1271" i="1"/>
  <c r="F1271" i="1"/>
  <c r="C1271" i="1"/>
  <c r="M1270" i="1"/>
  <c r="K1270" i="1"/>
  <c r="J1270" i="1"/>
  <c r="H1270" i="1"/>
  <c r="G1270" i="1"/>
  <c r="F1270" i="1"/>
  <c r="C1270" i="1"/>
  <c r="M1269" i="1"/>
  <c r="K1269" i="1"/>
  <c r="J1269" i="1"/>
  <c r="H1269" i="1"/>
  <c r="G1269" i="1"/>
  <c r="F1269" i="1"/>
  <c r="C1269" i="1"/>
  <c r="M1268" i="1"/>
  <c r="K1268" i="1"/>
  <c r="J1268" i="1"/>
  <c r="H1268" i="1"/>
  <c r="G1268" i="1"/>
  <c r="F1268" i="1"/>
  <c r="C1268" i="1"/>
  <c r="M1267" i="1"/>
  <c r="K1267" i="1"/>
  <c r="J1267" i="1"/>
  <c r="H1267" i="1"/>
  <c r="G1267" i="1"/>
  <c r="F1267" i="1"/>
  <c r="C1267" i="1"/>
  <c r="M1266" i="1"/>
  <c r="K1266" i="1"/>
  <c r="J1266" i="1"/>
  <c r="H1266" i="1"/>
  <c r="G1266" i="1"/>
  <c r="F1266" i="1"/>
  <c r="C1266" i="1"/>
  <c r="M1265" i="1"/>
  <c r="K1265" i="1"/>
  <c r="J1265" i="1"/>
  <c r="H1265" i="1"/>
  <c r="G1265" i="1"/>
  <c r="F1265" i="1"/>
  <c r="C1265" i="1"/>
  <c r="M1264" i="1"/>
  <c r="K1264" i="1"/>
  <c r="J1264" i="1"/>
  <c r="H1264" i="1"/>
  <c r="G1264" i="1"/>
  <c r="F1264" i="1"/>
  <c r="C1264" i="1"/>
  <c r="M1263" i="1"/>
  <c r="K1263" i="1"/>
  <c r="J1263" i="1"/>
  <c r="H1263" i="1"/>
  <c r="G1263" i="1"/>
  <c r="F1263" i="1"/>
  <c r="C1263" i="1"/>
  <c r="M1262" i="1"/>
  <c r="K1262" i="1"/>
  <c r="J1262" i="1"/>
  <c r="H1262" i="1"/>
  <c r="G1262" i="1"/>
  <c r="F1262" i="1"/>
  <c r="C1262" i="1"/>
  <c r="M1261" i="1"/>
  <c r="K1261" i="1"/>
  <c r="J1261" i="1"/>
  <c r="H1261" i="1"/>
  <c r="G1261" i="1"/>
  <c r="F1261" i="1"/>
  <c r="C1261" i="1"/>
  <c r="M1260" i="1"/>
  <c r="K1260" i="1"/>
  <c r="J1260" i="1"/>
  <c r="H1260" i="1"/>
  <c r="G1260" i="1"/>
  <c r="F1260" i="1"/>
  <c r="C1260" i="1"/>
  <c r="M1259" i="1"/>
  <c r="K1259" i="1"/>
  <c r="J1259" i="1"/>
  <c r="H1259" i="1"/>
  <c r="G1259" i="1"/>
  <c r="F1259" i="1"/>
  <c r="C1259" i="1"/>
  <c r="M1258" i="1"/>
  <c r="K1258" i="1"/>
  <c r="J1258" i="1"/>
  <c r="H1258" i="1"/>
  <c r="G1258" i="1"/>
  <c r="F1258" i="1"/>
  <c r="C1258" i="1"/>
  <c r="M1257" i="1"/>
  <c r="K1257" i="1"/>
  <c r="J1257" i="1"/>
  <c r="H1257" i="1"/>
  <c r="G1257" i="1"/>
  <c r="F1257" i="1"/>
  <c r="C1257" i="1"/>
  <c r="M1256" i="1"/>
  <c r="K1256" i="1"/>
  <c r="J1256" i="1"/>
  <c r="H1256" i="1"/>
  <c r="G1256" i="1"/>
  <c r="F1256" i="1"/>
  <c r="C1256" i="1"/>
  <c r="M1255" i="1"/>
  <c r="K1255" i="1"/>
  <c r="J1255" i="1"/>
  <c r="H1255" i="1"/>
  <c r="G1255" i="1"/>
  <c r="F1255" i="1"/>
  <c r="C1255" i="1"/>
  <c r="M1254" i="1"/>
  <c r="K1254" i="1"/>
  <c r="J1254" i="1"/>
  <c r="H1254" i="1"/>
  <c r="G1254" i="1"/>
  <c r="F1254" i="1"/>
  <c r="C1254" i="1"/>
  <c r="M1253" i="1"/>
  <c r="K1253" i="1"/>
  <c r="J1253" i="1"/>
  <c r="H1253" i="1"/>
  <c r="G1253" i="1"/>
  <c r="F1253" i="1"/>
  <c r="C1253" i="1"/>
  <c r="M1252" i="1"/>
  <c r="K1252" i="1"/>
  <c r="J1252" i="1"/>
  <c r="H1252" i="1"/>
  <c r="G1252" i="1"/>
  <c r="F1252" i="1"/>
  <c r="C1252" i="1"/>
  <c r="M1251" i="1"/>
  <c r="K1251" i="1"/>
  <c r="J1251" i="1"/>
  <c r="H1251" i="1"/>
  <c r="G1251" i="1"/>
  <c r="F1251" i="1"/>
  <c r="C1251" i="1"/>
  <c r="M1250" i="1"/>
  <c r="K1250" i="1"/>
  <c r="J1250" i="1"/>
  <c r="H1250" i="1"/>
  <c r="G1250" i="1"/>
  <c r="F1250" i="1"/>
  <c r="C1250" i="1"/>
  <c r="M1249" i="1"/>
  <c r="K1249" i="1"/>
  <c r="J1249" i="1"/>
  <c r="H1249" i="1"/>
  <c r="G1249" i="1"/>
  <c r="F1249" i="1"/>
  <c r="C1249" i="1"/>
  <c r="M1248" i="1"/>
  <c r="K1248" i="1"/>
  <c r="J1248" i="1"/>
  <c r="H1248" i="1"/>
  <c r="G1248" i="1"/>
  <c r="F1248" i="1"/>
  <c r="C1248" i="1"/>
  <c r="M1247" i="1"/>
  <c r="K1247" i="1"/>
  <c r="J1247" i="1"/>
  <c r="H1247" i="1"/>
  <c r="G1247" i="1"/>
  <c r="F1247" i="1"/>
  <c r="C1247" i="1"/>
  <c r="M1246" i="1"/>
  <c r="K1246" i="1"/>
  <c r="J1246" i="1"/>
  <c r="H1246" i="1"/>
  <c r="G1246" i="1"/>
  <c r="F1246" i="1"/>
  <c r="C1246" i="1"/>
  <c r="M1245" i="1"/>
  <c r="K1245" i="1"/>
  <c r="J1245" i="1"/>
  <c r="H1245" i="1"/>
  <c r="G1245" i="1"/>
  <c r="F1245" i="1"/>
  <c r="C1245" i="1"/>
  <c r="M1244" i="1"/>
  <c r="K1244" i="1"/>
  <c r="J1244" i="1"/>
  <c r="H1244" i="1"/>
  <c r="G1244" i="1"/>
  <c r="F1244" i="1"/>
  <c r="C1244" i="1"/>
  <c r="M1243" i="1"/>
  <c r="K1243" i="1"/>
  <c r="J1243" i="1"/>
  <c r="H1243" i="1"/>
  <c r="G1243" i="1"/>
  <c r="F1243" i="1"/>
  <c r="C1243" i="1"/>
  <c r="M1242" i="1"/>
  <c r="K1242" i="1"/>
  <c r="J1242" i="1"/>
  <c r="H1242" i="1"/>
  <c r="G1242" i="1"/>
  <c r="F1242" i="1"/>
  <c r="C1242" i="1"/>
  <c r="M1241" i="1"/>
  <c r="K1241" i="1"/>
  <c r="J1241" i="1"/>
  <c r="H1241" i="1"/>
  <c r="G1241" i="1"/>
  <c r="F1241" i="1"/>
  <c r="C1241" i="1"/>
  <c r="M1240" i="1"/>
  <c r="K1240" i="1"/>
  <c r="J1240" i="1"/>
  <c r="H1240" i="1"/>
  <c r="G1240" i="1"/>
  <c r="F1240" i="1"/>
  <c r="C1240" i="1"/>
  <c r="M1239" i="1"/>
  <c r="K1239" i="1"/>
  <c r="J1239" i="1"/>
  <c r="H1239" i="1"/>
  <c r="G1239" i="1"/>
  <c r="F1239" i="1"/>
  <c r="C1239" i="1"/>
  <c r="M1238" i="1"/>
  <c r="K1238" i="1"/>
  <c r="J1238" i="1"/>
  <c r="H1238" i="1"/>
  <c r="G1238" i="1"/>
  <c r="F1238" i="1"/>
  <c r="C1238" i="1"/>
  <c r="M1237" i="1"/>
  <c r="K1237" i="1"/>
  <c r="J1237" i="1"/>
  <c r="H1237" i="1"/>
  <c r="G1237" i="1"/>
  <c r="F1237" i="1"/>
  <c r="C1237" i="1"/>
  <c r="M1236" i="1"/>
  <c r="K1236" i="1"/>
  <c r="J1236" i="1"/>
  <c r="H1236" i="1"/>
  <c r="G1236" i="1"/>
  <c r="F1236" i="1"/>
  <c r="C1236" i="1"/>
  <c r="M1235" i="1"/>
  <c r="K1235" i="1"/>
  <c r="J1235" i="1"/>
  <c r="H1235" i="1"/>
  <c r="G1235" i="1"/>
  <c r="F1235" i="1"/>
  <c r="C1235" i="1"/>
  <c r="M1234" i="1"/>
  <c r="K1234" i="1"/>
  <c r="J1234" i="1"/>
  <c r="H1234" i="1"/>
  <c r="G1234" i="1"/>
  <c r="F1234" i="1"/>
  <c r="C1234" i="1"/>
  <c r="M1233" i="1"/>
  <c r="K1233" i="1"/>
  <c r="J1233" i="1"/>
  <c r="H1233" i="1"/>
  <c r="G1233" i="1"/>
  <c r="F1233" i="1"/>
  <c r="C1233" i="1"/>
  <c r="M1232" i="1"/>
  <c r="K1232" i="1"/>
  <c r="J1232" i="1"/>
  <c r="H1232" i="1"/>
  <c r="G1232" i="1"/>
  <c r="F1232" i="1"/>
  <c r="C1232" i="1"/>
  <c r="M1231" i="1"/>
  <c r="K1231" i="1"/>
  <c r="J1231" i="1"/>
  <c r="H1231" i="1"/>
  <c r="G1231" i="1"/>
  <c r="F1231" i="1"/>
  <c r="C1231" i="1"/>
  <c r="M1230" i="1"/>
  <c r="K1230" i="1"/>
  <c r="J1230" i="1"/>
  <c r="H1230" i="1"/>
  <c r="G1230" i="1"/>
  <c r="F1230" i="1"/>
  <c r="C1230" i="1"/>
  <c r="M1229" i="1"/>
  <c r="K1229" i="1"/>
  <c r="J1229" i="1"/>
  <c r="H1229" i="1"/>
  <c r="G1229" i="1"/>
  <c r="F1229" i="1"/>
  <c r="C1229" i="1"/>
  <c r="M1228" i="1"/>
  <c r="K1228" i="1"/>
  <c r="J1228" i="1"/>
  <c r="H1228" i="1"/>
  <c r="G1228" i="1"/>
  <c r="F1228" i="1"/>
  <c r="C1228" i="1"/>
  <c r="M1227" i="1"/>
  <c r="K1227" i="1"/>
  <c r="J1227" i="1"/>
  <c r="H1227" i="1"/>
  <c r="G1227" i="1"/>
  <c r="F1227" i="1"/>
  <c r="C1227" i="1"/>
  <c r="M1226" i="1"/>
  <c r="K1226" i="1"/>
  <c r="J1226" i="1"/>
  <c r="H1226" i="1"/>
  <c r="G1226" i="1"/>
  <c r="F1226" i="1"/>
  <c r="C1226" i="1"/>
  <c r="M1225" i="1"/>
  <c r="K1225" i="1"/>
  <c r="J1225" i="1"/>
  <c r="H1225" i="1"/>
  <c r="G1225" i="1"/>
  <c r="F1225" i="1"/>
  <c r="C1225" i="1"/>
  <c r="M1224" i="1"/>
  <c r="K1224" i="1"/>
  <c r="J1224" i="1"/>
  <c r="H1224" i="1"/>
  <c r="G1224" i="1"/>
  <c r="F1224" i="1"/>
  <c r="C1224" i="1"/>
  <c r="M1223" i="1"/>
  <c r="K1223" i="1"/>
  <c r="J1223" i="1"/>
  <c r="H1223" i="1"/>
  <c r="G1223" i="1"/>
  <c r="F1223" i="1"/>
  <c r="C1223" i="1"/>
  <c r="M1222" i="1"/>
  <c r="K1222" i="1"/>
  <c r="J1222" i="1"/>
  <c r="H1222" i="1"/>
  <c r="G1222" i="1"/>
  <c r="F1222" i="1"/>
  <c r="C1222" i="1"/>
  <c r="M1221" i="1"/>
  <c r="K1221" i="1"/>
  <c r="J1221" i="1"/>
  <c r="H1221" i="1"/>
  <c r="G1221" i="1"/>
  <c r="F1221" i="1"/>
  <c r="C1221" i="1"/>
  <c r="M1220" i="1"/>
  <c r="K1220" i="1"/>
  <c r="J1220" i="1"/>
  <c r="H1220" i="1"/>
  <c r="G1220" i="1"/>
  <c r="F1220" i="1"/>
  <c r="C1220" i="1"/>
  <c r="M1219" i="1"/>
  <c r="K1219" i="1"/>
  <c r="J1219" i="1"/>
  <c r="H1219" i="1"/>
  <c r="G1219" i="1"/>
  <c r="F1219" i="1"/>
  <c r="C1219" i="1"/>
  <c r="M1218" i="1"/>
  <c r="K1218" i="1"/>
  <c r="J1218" i="1"/>
  <c r="H1218" i="1"/>
  <c r="G1218" i="1"/>
  <c r="F1218" i="1"/>
  <c r="C1218" i="1"/>
  <c r="M1217" i="1"/>
  <c r="K1217" i="1"/>
  <c r="J1217" i="1"/>
  <c r="H1217" i="1"/>
  <c r="G1217" i="1"/>
  <c r="F1217" i="1"/>
  <c r="C1217" i="1"/>
  <c r="M1216" i="1"/>
  <c r="K1216" i="1"/>
  <c r="J1216" i="1"/>
  <c r="H1216" i="1"/>
  <c r="G1216" i="1"/>
  <c r="F1216" i="1"/>
  <c r="C1216" i="1"/>
  <c r="M1215" i="1"/>
  <c r="K1215" i="1"/>
  <c r="J1215" i="1"/>
  <c r="H1215" i="1"/>
  <c r="G1215" i="1"/>
  <c r="F1215" i="1"/>
  <c r="C1215" i="1"/>
  <c r="M1214" i="1"/>
  <c r="K1214" i="1"/>
  <c r="J1214" i="1"/>
  <c r="H1214" i="1"/>
  <c r="G1214" i="1"/>
  <c r="F1214" i="1"/>
  <c r="C1214" i="1"/>
  <c r="M1213" i="1"/>
  <c r="K1213" i="1"/>
  <c r="J1213" i="1"/>
  <c r="H1213" i="1"/>
  <c r="G1213" i="1"/>
  <c r="F1213" i="1"/>
  <c r="C1213" i="1"/>
  <c r="M1212" i="1"/>
  <c r="K1212" i="1"/>
  <c r="J1212" i="1"/>
  <c r="H1212" i="1"/>
  <c r="G1212" i="1"/>
  <c r="F1212" i="1"/>
  <c r="C1212" i="1"/>
  <c r="M1211" i="1"/>
  <c r="K1211" i="1"/>
  <c r="J1211" i="1"/>
  <c r="H1211" i="1"/>
  <c r="G1211" i="1"/>
  <c r="F1211" i="1"/>
  <c r="C1211" i="1"/>
  <c r="M1210" i="1"/>
  <c r="K1210" i="1"/>
  <c r="J1210" i="1"/>
  <c r="H1210" i="1"/>
  <c r="G1210" i="1"/>
  <c r="F1210" i="1"/>
  <c r="C1210" i="1"/>
  <c r="M1209" i="1"/>
  <c r="K1209" i="1"/>
  <c r="J1209" i="1"/>
  <c r="H1209" i="1"/>
  <c r="G1209" i="1"/>
  <c r="F1209" i="1"/>
  <c r="C1209" i="1"/>
  <c r="M1208" i="1"/>
  <c r="K1208" i="1"/>
  <c r="J1208" i="1"/>
  <c r="H1208" i="1"/>
  <c r="G1208" i="1"/>
  <c r="F1208" i="1"/>
  <c r="C1208" i="1"/>
  <c r="M1207" i="1"/>
  <c r="K1207" i="1"/>
  <c r="J1207" i="1"/>
  <c r="H1207" i="1"/>
  <c r="G1207" i="1"/>
  <c r="F1207" i="1"/>
  <c r="C1207" i="1"/>
  <c r="M1206" i="1"/>
  <c r="K1206" i="1"/>
  <c r="J1206" i="1"/>
  <c r="H1206" i="1"/>
  <c r="G1206" i="1"/>
  <c r="F1206" i="1"/>
  <c r="C1206" i="1"/>
  <c r="M1205" i="1"/>
  <c r="K1205" i="1"/>
  <c r="J1205" i="1"/>
  <c r="H1205" i="1"/>
  <c r="G1205" i="1"/>
  <c r="F1205" i="1"/>
  <c r="C1205" i="1"/>
  <c r="M1204" i="1"/>
  <c r="K1204" i="1"/>
  <c r="J1204" i="1"/>
  <c r="H1204" i="1"/>
  <c r="G1204" i="1"/>
  <c r="F1204" i="1"/>
  <c r="C1204" i="1"/>
  <c r="M1203" i="1"/>
  <c r="K1203" i="1"/>
  <c r="J1203" i="1"/>
  <c r="H1203" i="1"/>
  <c r="G1203" i="1"/>
  <c r="F1203" i="1"/>
  <c r="C1203" i="1"/>
  <c r="M1202" i="1"/>
  <c r="K1202" i="1"/>
  <c r="J1202" i="1"/>
  <c r="H1202" i="1"/>
  <c r="G1202" i="1"/>
  <c r="F1202" i="1"/>
  <c r="C1202" i="1"/>
  <c r="M1201" i="1"/>
  <c r="K1201" i="1"/>
  <c r="J1201" i="1"/>
  <c r="H1201" i="1"/>
  <c r="G1201" i="1"/>
  <c r="F1201" i="1"/>
  <c r="C1201" i="1"/>
  <c r="M1200" i="1"/>
  <c r="K1200" i="1"/>
  <c r="J1200" i="1"/>
  <c r="H1200" i="1"/>
  <c r="G1200" i="1"/>
  <c r="F1200" i="1"/>
  <c r="C1200" i="1"/>
  <c r="M1199" i="1"/>
  <c r="K1199" i="1"/>
  <c r="J1199" i="1"/>
  <c r="H1199" i="1"/>
  <c r="G1199" i="1"/>
  <c r="F1199" i="1"/>
  <c r="C1199" i="1"/>
  <c r="M1198" i="1"/>
  <c r="K1198" i="1"/>
  <c r="J1198" i="1"/>
  <c r="H1198" i="1"/>
  <c r="G1198" i="1"/>
  <c r="F1198" i="1"/>
  <c r="C1198" i="1"/>
  <c r="M1197" i="1"/>
  <c r="K1197" i="1"/>
  <c r="J1197" i="1"/>
  <c r="H1197" i="1"/>
  <c r="G1197" i="1"/>
  <c r="F1197" i="1"/>
  <c r="C1197" i="1"/>
  <c r="M1196" i="1"/>
  <c r="K1196" i="1"/>
  <c r="J1196" i="1"/>
  <c r="H1196" i="1"/>
  <c r="G1196" i="1"/>
  <c r="F1196" i="1"/>
  <c r="C1196" i="1"/>
  <c r="M1195" i="1"/>
  <c r="K1195" i="1"/>
  <c r="J1195" i="1"/>
  <c r="H1195" i="1"/>
  <c r="G1195" i="1"/>
  <c r="F1195" i="1"/>
  <c r="C1195" i="1"/>
  <c r="M1194" i="1"/>
  <c r="K1194" i="1"/>
  <c r="J1194" i="1"/>
  <c r="H1194" i="1"/>
  <c r="G1194" i="1"/>
  <c r="F1194" i="1"/>
  <c r="C1194" i="1"/>
  <c r="M1193" i="1"/>
  <c r="K1193" i="1"/>
  <c r="J1193" i="1"/>
  <c r="H1193" i="1"/>
  <c r="G1193" i="1"/>
  <c r="F1193" i="1"/>
  <c r="C1193" i="1"/>
  <c r="M1192" i="1"/>
  <c r="K1192" i="1"/>
  <c r="J1192" i="1"/>
  <c r="H1192" i="1"/>
  <c r="G1192" i="1"/>
  <c r="F1192" i="1"/>
  <c r="C1192" i="1"/>
  <c r="M1191" i="1"/>
  <c r="K1191" i="1"/>
  <c r="J1191" i="1"/>
  <c r="H1191" i="1"/>
  <c r="G1191" i="1"/>
  <c r="F1191" i="1"/>
  <c r="C1191" i="1"/>
  <c r="M1190" i="1"/>
  <c r="K1190" i="1"/>
  <c r="J1190" i="1"/>
  <c r="H1190" i="1"/>
  <c r="G1190" i="1"/>
  <c r="F1190" i="1"/>
  <c r="C1190" i="1"/>
  <c r="M1189" i="1"/>
  <c r="K1189" i="1"/>
  <c r="J1189" i="1"/>
  <c r="H1189" i="1"/>
  <c r="G1189" i="1"/>
  <c r="F1189" i="1"/>
  <c r="C1189" i="1"/>
  <c r="M1188" i="1"/>
  <c r="K1188" i="1"/>
  <c r="J1188" i="1"/>
  <c r="H1188" i="1"/>
  <c r="G1188" i="1"/>
  <c r="F1188" i="1"/>
  <c r="C1188" i="1"/>
  <c r="M1187" i="1"/>
  <c r="K1187" i="1"/>
  <c r="J1187" i="1"/>
  <c r="H1187" i="1"/>
  <c r="G1187" i="1"/>
  <c r="F1187" i="1"/>
  <c r="C1187" i="1"/>
  <c r="M1186" i="1"/>
  <c r="K1186" i="1"/>
  <c r="J1186" i="1"/>
  <c r="H1186" i="1"/>
  <c r="G1186" i="1"/>
  <c r="F1186" i="1"/>
  <c r="C1186" i="1"/>
  <c r="M1185" i="1"/>
  <c r="K1185" i="1"/>
  <c r="J1185" i="1"/>
  <c r="H1185" i="1"/>
  <c r="G1185" i="1"/>
  <c r="F1185" i="1"/>
  <c r="C1185" i="1"/>
  <c r="M1184" i="1"/>
  <c r="K1184" i="1"/>
  <c r="J1184" i="1"/>
  <c r="H1184" i="1"/>
  <c r="G1184" i="1"/>
  <c r="F1184" i="1"/>
  <c r="C1184" i="1"/>
  <c r="M1183" i="1"/>
  <c r="K1183" i="1"/>
  <c r="J1183" i="1"/>
  <c r="H1183" i="1"/>
  <c r="G1183" i="1"/>
  <c r="F1183" i="1"/>
  <c r="C1183" i="1"/>
  <c r="M1182" i="1"/>
  <c r="K1182" i="1"/>
  <c r="J1182" i="1"/>
  <c r="H1182" i="1"/>
  <c r="G1182" i="1"/>
  <c r="F1182" i="1"/>
  <c r="C1182" i="1"/>
  <c r="M1181" i="1"/>
  <c r="K1181" i="1"/>
  <c r="J1181" i="1"/>
  <c r="H1181" i="1"/>
  <c r="G1181" i="1"/>
  <c r="F1181" i="1"/>
  <c r="C1181" i="1"/>
  <c r="M1180" i="1"/>
  <c r="K1180" i="1"/>
  <c r="J1180" i="1"/>
  <c r="H1180" i="1"/>
  <c r="G1180" i="1"/>
  <c r="F1180" i="1"/>
  <c r="C1180" i="1"/>
  <c r="M1179" i="1"/>
  <c r="K1179" i="1"/>
  <c r="J1179" i="1"/>
  <c r="H1179" i="1"/>
  <c r="G1179" i="1"/>
  <c r="F1179" i="1"/>
  <c r="C1179" i="1"/>
  <c r="M1178" i="1"/>
  <c r="K1178" i="1"/>
  <c r="J1178" i="1"/>
  <c r="H1178" i="1"/>
  <c r="G1178" i="1"/>
  <c r="F1178" i="1"/>
  <c r="C1178" i="1"/>
  <c r="M1177" i="1"/>
  <c r="K1177" i="1"/>
  <c r="J1177" i="1"/>
  <c r="H1177" i="1"/>
  <c r="G1177" i="1"/>
  <c r="F1177" i="1"/>
  <c r="C1177" i="1"/>
  <c r="M1176" i="1"/>
  <c r="K1176" i="1"/>
  <c r="J1176" i="1"/>
  <c r="H1176" i="1"/>
  <c r="G1176" i="1"/>
  <c r="F1176" i="1"/>
  <c r="C1176" i="1"/>
  <c r="M1175" i="1"/>
  <c r="K1175" i="1"/>
  <c r="J1175" i="1"/>
  <c r="H1175" i="1"/>
  <c r="G1175" i="1"/>
  <c r="F1175" i="1"/>
  <c r="C1175" i="1"/>
  <c r="M1174" i="1"/>
  <c r="K1174" i="1"/>
  <c r="J1174" i="1"/>
  <c r="H1174" i="1"/>
  <c r="G1174" i="1"/>
  <c r="F1174" i="1"/>
  <c r="C1174" i="1"/>
  <c r="M1173" i="1"/>
  <c r="K1173" i="1"/>
  <c r="J1173" i="1"/>
  <c r="H1173" i="1"/>
  <c r="G1173" i="1"/>
  <c r="F1173" i="1"/>
  <c r="C1173" i="1"/>
  <c r="M1172" i="1"/>
  <c r="K1172" i="1"/>
  <c r="J1172" i="1"/>
  <c r="H1172" i="1"/>
  <c r="G1172" i="1"/>
  <c r="F1172" i="1"/>
  <c r="C1172" i="1"/>
  <c r="M1171" i="1"/>
  <c r="K1171" i="1"/>
  <c r="J1171" i="1"/>
  <c r="H1171" i="1"/>
  <c r="G1171" i="1"/>
  <c r="F1171" i="1"/>
  <c r="C1171" i="1"/>
  <c r="M1170" i="1"/>
  <c r="K1170" i="1"/>
  <c r="J1170" i="1"/>
  <c r="H1170" i="1"/>
  <c r="G1170" i="1"/>
  <c r="F1170" i="1"/>
  <c r="C1170" i="1"/>
  <c r="M1169" i="1"/>
  <c r="K1169" i="1"/>
  <c r="J1169" i="1"/>
  <c r="H1169" i="1"/>
  <c r="G1169" i="1"/>
  <c r="F1169" i="1"/>
  <c r="C1169" i="1"/>
  <c r="M1168" i="1"/>
  <c r="K1168" i="1"/>
  <c r="J1168" i="1"/>
  <c r="H1168" i="1"/>
  <c r="G1168" i="1"/>
  <c r="F1168" i="1"/>
  <c r="C1168" i="1"/>
  <c r="M1167" i="1"/>
  <c r="K1167" i="1"/>
  <c r="J1167" i="1"/>
  <c r="H1167" i="1"/>
  <c r="G1167" i="1"/>
  <c r="F1167" i="1"/>
  <c r="C1167" i="1"/>
  <c r="M1166" i="1"/>
  <c r="K1166" i="1"/>
  <c r="J1166" i="1"/>
  <c r="H1166" i="1"/>
  <c r="G1166" i="1"/>
  <c r="F1166" i="1"/>
  <c r="C1166" i="1"/>
  <c r="M1165" i="1"/>
  <c r="K1165" i="1"/>
  <c r="J1165" i="1"/>
  <c r="H1165" i="1"/>
  <c r="G1165" i="1"/>
  <c r="F1165" i="1"/>
  <c r="C1165" i="1"/>
  <c r="M1164" i="1"/>
  <c r="K1164" i="1"/>
  <c r="J1164" i="1"/>
  <c r="H1164" i="1"/>
  <c r="G1164" i="1"/>
  <c r="F1164" i="1"/>
  <c r="C1164" i="1"/>
  <c r="M1163" i="1"/>
  <c r="K1163" i="1"/>
  <c r="J1163" i="1"/>
  <c r="H1163" i="1"/>
  <c r="G1163" i="1"/>
  <c r="F1163" i="1"/>
  <c r="C1163" i="1"/>
  <c r="M1162" i="1"/>
  <c r="K1162" i="1"/>
  <c r="J1162" i="1"/>
  <c r="H1162" i="1"/>
  <c r="G1162" i="1"/>
  <c r="F1162" i="1"/>
  <c r="C1162" i="1"/>
  <c r="M1161" i="1"/>
  <c r="K1161" i="1"/>
  <c r="J1161" i="1"/>
  <c r="H1161" i="1"/>
  <c r="G1161" i="1"/>
  <c r="F1161" i="1"/>
  <c r="C1161" i="1"/>
  <c r="M1160" i="1"/>
  <c r="K1160" i="1"/>
  <c r="J1160" i="1"/>
  <c r="H1160" i="1"/>
  <c r="G1160" i="1"/>
  <c r="F1160" i="1"/>
  <c r="C1160" i="1"/>
  <c r="M1159" i="1"/>
  <c r="K1159" i="1"/>
  <c r="J1159" i="1"/>
  <c r="H1159" i="1"/>
  <c r="G1159" i="1"/>
  <c r="F1159" i="1"/>
  <c r="C1159" i="1"/>
  <c r="M1158" i="1"/>
  <c r="K1158" i="1"/>
  <c r="J1158" i="1"/>
  <c r="H1158" i="1"/>
  <c r="G1158" i="1"/>
  <c r="F1158" i="1"/>
  <c r="C1158" i="1"/>
  <c r="M1157" i="1"/>
  <c r="K1157" i="1"/>
  <c r="J1157" i="1"/>
  <c r="H1157" i="1"/>
  <c r="G1157" i="1"/>
  <c r="F1157" i="1"/>
  <c r="C1157" i="1"/>
  <c r="M1156" i="1"/>
  <c r="K1156" i="1"/>
  <c r="J1156" i="1"/>
  <c r="H1156" i="1"/>
  <c r="G1156" i="1"/>
  <c r="F1156" i="1"/>
  <c r="C1156" i="1"/>
  <c r="M1155" i="1"/>
  <c r="K1155" i="1"/>
  <c r="J1155" i="1"/>
  <c r="H1155" i="1"/>
  <c r="G1155" i="1"/>
  <c r="F1155" i="1"/>
  <c r="C1155" i="1"/>
  <c r="M1154" i="1"/>
  <c r="K1154" i="1"/>
  <c r="J1154" i="1"/>
  <c r="H1154" i="1"/>
  <c r="G1154" i="1"/>
  <c r="F1154" i="1"/>
  <c r="C1154" i="1"/>
  <c r="M1153" i="1"/>
  <c r="K1153" i="1"/>
  <c r="J1153" i="1"/>
  <c r="H1153" i="1"/>
  <c r="G1153" i="1"/>
  <c r="F1153" i="1"/>
  <c r="C1153" i="1"/>
  <c r="M1152" i="1"/>
  <c r="K1152" i="1"/>
  <c r="J1152" i="1"/>
  <c r="H1152" i="1"/>
  <c r="G1152" i="1"/>
  <c r="F1152" i="1"/>
  <c r="C1152" i="1"/>
  <c r="M1151" i="1"/>
  <c r="K1151" i="1"/>
  <c r="J1151" i="1"/>
  <c r="H1151" i="1"/>
  <c r="G1151" i="1"/>
  <c r="F1151" i="1"/>
  <c r="C1151" i="1"/>
  <c r="M1150" i="1"/>
  <c r="K1150" i="1"/>
  <c r="J1150" i="1"/>
  <c r="H1150" i="1"/>
  <c r="G1150" i="1"/>
  <c r="F1150" i="1"/>
  <c r="C1150" i="1"/>
  <c r="M1149" i="1"/>
  <c r="K1149" i="1"/>
  <c r="J1149" i="1"/>
  <c r="H1149" i="1"/>
  <c r="G1149" i="1"/>
  <c r="F1149" i="1"/>
  <c r="C1149" i="1"/>
  <c r="M1148" i="1"/>
  <c r="K1148" i="1"/>
  <c r="J1148" i="1"/>
  <c r="H1148" i="1"/>
  <c r="G1148" i="1"/>
  <c r="F1148" i="1"/>
  <c r="C1148" i="1"/>
  <c r="M1147" i="1"/>
  <c r="K1147" i="1"/>
  <c r="J1147" i="1"/>
  <c r="H1147" i="1"/>
  <c r="G1147" i="1"/>
  <c r="F1147" i="1"/>
  <c r="C1147" i="1"/>
  <c r="M1146" i="1"/>
  <c r="K1146" i="1"/>
  <c r="J1146" i="1"/>
  <c r="H1146" i="1"/>
  <c r="G1146" i="1"/>
  <c r="F1146" i="1"/>
  <c r="C1146" i="1"/>
  <c r="M1145" i="1"/>
  <c r="K1145" i="1"/>
  <c r="J1145" i="1"/>
  <c r="H1145" i="1"/>
  <c r="G1145" i="1"/>
  <c r="F1145" i="1"/>
  <c r="C1145" i="1"/>
  <c r="M1144" i="1"/>
  <c r="K1144" i="1"/>
  <c r="J1144" i="1"/>
  <c r="H1144" i="1"/>
  <c r="G1144" i="1"/>
  <c r="F1144" i="1"/>
  <c r="C1144" i="1"/>
  <c r="M1143" i="1"/>
  <c r="K1143" i="1"/>
  <c r="J1143" i="1"/>
  <c r="H1143" i="1"/>
  <c r="G1143" i="1"/>
  <c r="F1143" i="1"/>
  <c r="C1143" i="1"/>
  <c r="M1142" i="1"/>
  <c r="K1142" i="1"/>
  <c r="J1142" i="1"/>
  <c r="H1142" i="1"/>
  <c r="G1142" i="1"/>
  <c r="F1142" i="1"/>
  <c r="C1142" i="1"/>
  <c r="M1141" i="1"/>
  <c r="K1141" i="1"/>
  <c r="J1141" i="1"/>
  <c r="H1141" i="1"/>
  <c r="G1141" i="1"/>
  <c r="F1141" i="1"/>
  <c r="C1141" i="1"/>
  <c r="M1140" i="1"/>
  <c r="K1140" i="1"/>
  <c r="J1140" i="1"/>
  <c r="H1140" i="1"/>
  <c r="G1140" i="1"/>
  <c r="F1140" i="1"/>
  <c r="C1140" i="1"/>
  <c r="M1139" i="1"/>
  <c r="K1139" i="1"/>
  <c r="J1139" i="1"/>
  <c r="H1139" i="1"/>
  <c r="G1139" i="1"/>
  <c r="F1139" i="1"/>
  <c r="C1139" i="1"/>
  <c r="M1138" i="1"/>
  <c r="K1138" i="1"/>
  <c r="J1138" i="1"/>
  <c r="H1138" i="1"/>
  <c r="G1138" i="1"/>
  <c r="F1138" i="1"/>
  <c r="C1138" i="1"/>
  <c r="M1137" i="1"/>
  <c r="K1137" i="1"/>
  <c r="J1137" i="1"/>
  <c r="H1137" i="1"/>
  <c r="G1137" i="1"/>
  <c r="F1137" i="1"/>
  <c r="C1137" i="1"/>
  <c r="M1136" i="1"/>
  <c r="K1136" i="1"/>
  <c r="J1136" i="1"/>
  <c r="H1136" i="1"/>
  <c r="G1136" i="1"/>
  <c r="F1136" i="1"/>
  <c r="C1136" i="1"/>
  <c r="M1135" i="1"/>
  <c r="K1135" i="1"/>
  <c r="J1135" i="1"/>
  <c r="H1135" i="1"/>
  <c r="G1135" i="1"/>
  <c r="F1135" i="1"/>
  <c r="C1135" i="1"/>
  <c r="M1134" i="1"/>
  <c r="K1134" i="1"/>
  <c r="J1134" i="1"/>
  <c r="H1134" i="1"/>
  <c r="G1134" i="1"/>
  <c r="F1134" i="1"/>
  <c r="C1134" i="1"/>
  <c r="M1133" i="1"/>
  <c r="K1133" i="1"/>
  <c r="J1133" i="1"/>
  <c r="H1133" i="1"/>
  <c r="G1133" i="1"/>
  <c r="F1133" i="1"/>
  <c r="C1133" i="1"/>
  <c r="M1132" i="1"/>
  <c r="K1132" i="1"/>
  <c r="J1132" i="1"/>
  <c r="H1132" i="1"/>
  <c r="G1132" i="1"/>
  <c r="F1132" i="1"/>
  <c r="C1132" i="1"/>
  <c r="M1131" i="1"/>
  <c r="K1131" i="1"/>
  <c r="J1131" i="1"/>
  <c r="H1131" i="1"/>
  <c r="G1131" i="1"/>
  <c r="F1131" i="1"/>
  <c r="C1131" i="1"/>
  <c r="M1130" i="1"/>
  <c r="K1130" i="1"/>
  <c r="J1130" i="1"/>
  <c r="H1130" i="1"/>
  <c r="G1130" i="1"/>
  <c r="F1130" i="1"/>
  <c r="C1130" i="1"/>
  <c r="M1129" i="1"/>
  <c r="K1129" i="1"/>
  <c r="J1129" i="1"/>
  <c r="H1129" i="1"/>
  <c r="G1129" i="1"/>
  <c r="F1129" i="1"/>
  <c r="C1129" i="1"/>
  <c r="M1128" i="1"/>
  <c r="K1128" i="1"/>
  <c r="J1128" i="1"/>
  <c r="H1128" i="1"/>
  <c r="G1128" i="1"/>
  <c r="F1128" i="1"/>
  <c r="C1128" i="1"/>
  <c r="M1127" i="1"/>
  <c r="K1127" i="1"/>
  <c r="J1127" i="1"/>
  <c r="H1127" i="1"/>
  <c r="G1127" i="1"/>
  <c r="F1127" i="1"/>
  <c r="C1127" i="1"/>
  <c r="M1126" i="1"/>
  <c r="K1126" i="1"/>
  <c r="J1126" i="1"/>
  <c r="H1126" i="1"/>
  <c r="G1126" i="1"/>
  <c r="F1126" i="1"/>
  <c r="C1126" i="1"/>
  <c r="M1125" i="1"/>
  <c r="K1125" i="1"/>
  <c r="J1125" i="1"/>
  <c r="H1125" i="1"/>
  <c r="G1125" i="1"/>
  <c r="F1125" i="1"/>
  <c r="C1125" i="1"/>
  <c r="M1124" i="1"/>
  <c r="K1124" i="1"/>
  <c r="J1124" i="1"/>
  <c r="H1124" i="1"/>
  <c r="G1124" i="1"/>
  <c r="F1124" i="1"/>
  <c r="C1124" i="1"/>
  <c r="M1123" i="1"/>
  <c r="K1123" i="1"/>
  <c r="J1123" i="1"/>
  <c r="H1123" i="1"/>
  <c r="G1123" i="1"/>
  <c r="F1123" i="1"/>
  <c r="C1123" i="1"/>
  <c r="M1122" i="1"/>
  <c r="K1122" i="1"/>
  <c r="J1122" i="1"/>
  <c r="H1122" i="1"/>
  <c r="G1122" i="1"/>
  <c r="F1122" i="1"/>
  <c r="C1122" i="1"/>
  <c r="M1121" i="1"/>
  <c r="K1121" i="1"/>
  <c r="J1121" i="1"/>
  <c r="H1121" i="1"/>
  <c r="G1121" i="1"/>
  <c r="F1121" i="1"/>
  <c r="C1121" i="1"/>
  <c r="M1120" i="1"/>
  <c r="K1120" i="1"/>
  <c r="J1120" i="1"/>
  <c r="H1120" i="1"/>
  <c r="G1120" i="1"/>
  <c r="F1120" i="1"/>
  <c r="C1120" i="1"/>
  <c r="M1119" i="1"/>
  <c r="K1119" i="1"/>
  <c r="J1119" i="1"/>
  <c r="H1119" i="1"/>
  <c r="G1119" i="1"/>
  <c r="F1119" i="1"/>
  <c r="C1119" i="1"/>
  <c r="M1118" i="1"/>
  <c r="K1118" i="1"/>
  <c r="J1118" i="1"/>
  <c r="H1118" i="1"/>
  <c r="G1118" i="1"/>
  <c r="F1118" i="1"/>
  <c r="C1118" i="1"/>
  <c r="M1117" i="1"/>
  <c r="K1117" i="1"/>
  <c r="J1117" i="1"/>
  <c r="H1117" i="1"/>
  <c r="G1117" i="1"/>
  <c r="F1117" i="1"/>
  <c r="C1117" i="1"/>
  <c r="M1116" i="1"/>
  <c r="K1116" i="1"/>
  <c r="J1116" i="1"/>
  <c r="H1116" i="1"/>
  <c r="G1116" i="1"/>
  <c r="F1116" i="1"/>
  <c r="C1116" i="1"/>
  <c r="M1115" i="1"/>
  <c r="K1115" i="1"/>
  <c r="J1115" i="1"/>
  <c r="H1115" i="1"/>
  <c r="G1115" i="1"/>
  <c r="F1115" i="1"/>
  <c r="C1115" i="1"/>
  <c r="M1114" i="1"/>
  <c r="K1114" i="1"/>
  <c r="J1114" i="1"/>
  <c r="H1114" i="1"/>
  <c r="G1114" i="1"/>
  <c r="F1114" i="1"/>
  <c r="C1114" i="1"/>
  <c r="M1113" i="1"/>
  <c r="K1113" i="1"/>
  <c r="J1113" i="1"/>
  <c r="H1113" i="1"/>
  <c r="G1113" i="1"/>
  <c r="F1113" i="1"/>
  <c r="C1113" i="1"/>
  <c r="M1112" i="1"/>
  <c r="K1112" i="1"/>
  <c r="J1112" i="1"/>
  <c r="H1112" i="1"/>
  <c r="G1112" i="1"/>
  <c r="F1112" i="1"/>
  <c r="C1112" i="1"/>
  <c r="M1111" i="1"/>
  <c r="K1111" i="1"/>
  <c r="J1111" i="1"/>
  <c r="H1111" i="1"/>
  <c r="G1111" i="1"/>
  <c r="F1111" i="1"/>
  <c r="C1111" i="1"/>
  <c r="M1110" i="1"/>
  <c r="K1110" i="1"/>
  <c r="J1110" i="1"/>
  <c r="H1110" i="1"/>
  <c r="G1110" i="1"/>
  <c r="F1110" i="1"/>
  <c r="C1110" i="1"/>
  <c r="M1109" i="1"/>
  <c r="K1109" i="1"/>
  <c r="J1109" i="1"/>
  <c r="H1109" i="1"/>
  <c r="G1109" i="1"/>
  <c r="F1109" i="1"/>
  <c r="C1109" i="1"/>
  <c r="M1108" i="1"/>
  <c r="K1108" i="1"/>
  <c r="J1108" i="1"/>
  <c r="H1108" i="1"/>
  <c r="G1108" i="1"/>
  <c r="F1108" i="1"/>
  <c r="C1108" i="1"/>
  <c r="M1107" i="1"/>
  <c r="K1107" i="1"/>
  <c r="J1107" i="1"/>
  <c r="H1107" i="1"/>
  <c r="G1107" i="1"/>
  <c r="F1107" i="1"/>
  <c r="C1107" i="1"/>
  <c r="M1106" i="1"/>
  <c r="K1106" i="1"/>
  <c r="J1106" i="1"/>
  <c r="H1106" i="1"/>
  <c r="G1106" i="1"/>
  <c r="F1106" i="1"/>
  <c r="C1106" i="1"/>
  <c r="M1105" i="1"/>
  <c r="K1105" i="1"/>
  <c r="J1105" i="1"/>
  <c r="H1105" i="1"/>
  <c r="G1105" i="1"/>
  <c r="F1105" i="1"/>
  <c r="C1105" i="1"/>
  <c r="M1104" i="1"/>
  <c r="K1104" i="1"/>
  <c r="J1104" i="1"/>
  <c r="H1104" i="1"/>
  <c r="G1104" i="1"/>
  <c r="F1104" i="1"/>
  <c r="C1104" i="1"/>
  <c r="M1103" i="1"/>
  <c r="K1103" i="1"/>
  <c r="J1103" i="1"/>
  <c r="H1103" i="1"/>
  <c r="G1103" i="1"/>
  <c r="F1103" i="1"/>
  <c r="C1103" i="1"/>
  <c r="M1102" i="1"/>
  <c r="K1102" i="1"/>
  <c r="J1102" i="1"/>
  <c r="H1102" i="1"/>
  <c r="G1102" i="1"/>
  <c r="F1102" i="1"/>
  <c r="C1102" i="1"/>
  <c r="M1101" i="1"/>
  <c r="K1101" i="1"/>
  <c r="J1101" i="1"/>
  <c r="H1101" i="1"/>
  <c r="G1101" i="1"/>
  <c r="F1101" i="1"/>
  <c r="C1101" i="1"/>
  <c r="M1100" i="1"/>
  <c r="K1100" i="1"/>
  <c r="J1100" i="1"/>
  <c r="H1100" i="1"/>
  <c r="G1100" i="1"/>
  <c r="F1100" i="1"/>
  <c r="C1100" i="1"/>
  <c r="M1099" i="1"/>
  <c r="K1099" i="1"/>
  <c r="J1099" i="1"/>
  <c r="H1099" i="1"/>
  <c r="G1099" i="1"/>
  <c r="F1099" i="1"/>
  <c r="C1099" i="1"/>
  <c r="M1098" i="1"/>
  <c r="K1098" i="1"/>
  <c r="J1098" i="1"/>
  <c r="H1098" i="1"/>
  <c r="G1098" i="1"/>
  <c r="F1098" i="1"/>
  <c r="C1098" i="1"/>
  <c r="M1097" i="1"/>
  <c r="K1097" i="1"/>
  <c r="J1097" i="1"/>
  <c r="H1097" i="1"/>
  <c r="G1097" i="1"/>
  <c r="F1097" i="1"/>
  <c r="C1097" i="1"/>
  <c r="M1096" i="1"/>
  <c r="K1096" i="1"/>
  <c r="J1096" i="1"/>
  <c r="H1096" i="1"/>
  <c r="G1096" i="1"/>
  <c r="F1096" i="1"/>
  <c r="C1096" i="1"/>
  <c r="M1095" i="1"/>
  <c r="K1095" i="1"/>
  <c r="J1095" i="1"/>
  <c r="H1095" i="1"/>
  <c r="G1095" i="1"/>
  <c r="F1095" i="1"/>
  <c r="C1095" i="1"/>
  <c r="M1094" i="1"/>
  <c r="K1094" i="1"/>
  <c r="J1094" i="1"/>
  <c r="H1094" i="1"/>
  <c r="G1094" i="1"/>
  <c r="F1094" i="1"/>
  <c r="C1094" i="1"/>
  <c r="M1093" i="1"/>
  <c r="K1093" i="1"/>
  <c r="J1093" i="1"/>
  <c r="H1093" i="1"/>
  <c r="G1093" i="1"/>
  <c r="F1093" i="1"/>
  <c r="C1093" i="1"/>
  <c r="M1092" i="1"/>
  <c r="K1092" i="1"/>
  <c r="J1092" i="1"/>
  <c r="H1092" i="1"/>
  <c r="G1092" i="1"/>
  <c r="F1092" i="1"/>
  <c r="C1092" i="1"/>
  <c r="M1091" i="1"/>
  <c r="K1091" i="1"/>
  <c r="J1091" i="1"/>
  <c r="H1091" i="1"/>
  <c r="G1091" i="1"/>
  <c r="F1091" i="1"/>
  <c r="C1091" i="1"/>
  <c r="M1090" i="1"/>
  <c r="K1090" i="1"/>
  <c r="J1090" i="1"/>
  <c r="H1090" i="1"/>
  <c r="G1090" i="1"/>
  <c r="F1090" i="1"/>
  <c r="C1090" i="1"/>
  <c r="M1089" i="1"/>
  <c r="K1089" i="1"/>
  <c r="J1089" i="1"/>
  <c r="H1089" i="1"/>
  <c r="G1089" i="1"/>
  <c r="F1089" i="1"/>
  <c r="C1089" i="1"/>
  <c r="M1088" i="1"/>
  <c r="K1088" i="1"/>
  <c r="J1088" i="1"/>
  <c r="H1088" i="1"/>
  <c r="G1088" i="1"/>
  <c r="F1088" i="1"/>
  <c r="C1088" i="1"/>
  <c r="M1087" i="1"/>
  <c r="K1087" i="1"/>
  <c r="J1087" i="1"/>
  <c r="H1087" i="1"/>
  <c r="G1087" i="1"/>
  <c r="F1087" i="1"/>
  <c r="C1087" i="1"/>
  <c r="M1086" i="1"/>
  <c r="K1086" i="1"/>
  <c r="J1086" i="1"/>
  <c r="H1086" i="1"/>
  <c r="G1086" i="1"/>
  <c r="F1086" i="1"/>
  <c r="C1086" i="1"/>
  <c r="M1085" i="1"/>
  <c r="K1085" i="1"/>
  <c r="J1085" i="1"/>
  <c r="H1085" i="1"/>
  <c r="G1085" i="1"/>
  <c r="F1085" i="1"/>
  <c r="C1085" i="1"/>
  <c r="M1084" i="1"/>
  <c r="K1084" i="1"/>
  <c r="J1084" i="1"/>
  <c r="H1084" i="1"/>
  <c r="G1084" i="1"/>
  <c r="F1084" i="1"/>
  <c r="C1084" i="1"/>
  <c r="M1083" i="1"/>
  <c r="K1083" i="1"/>
  <c r="J1083" i="1"/>
  <c r="H1083" i="1"/>
  <c r="G1083" i="1"/>
  <c r="F1083" i="1"/>
  <c r="C1083" i="1"/>
  <c r="M1082" i="1"/>
  <c r="K1082" i="1"/>
  <c r="J1082" i="1"/>
  <c r="H1082" i="1"/>
  <c r="G1082" i="1"/>
  <c r="F1082" i="1"/>
  <c r="C1082" i="1"/>
  <c r="M1081" i="1"/>
  <c r="K1081" i="1"/>
  <c r="J1081" i="1"/>
  <c r="H1081" i="1"/>
  <c r="G1081" i="1"/>
  <c r="F1081" i="1"/>
  <c r="C1081" i="1"/>
  <c r="M1080" i="1"/>
  <c r="K1080" i="1"/>
  <c r="J1080" i="1"/>
  <c r="H1080" i="1"/>
  <c r="G1080" i="1"/>
  <c r="F1080" i="1"/>
  <c r="C1080" i="1"/>
  <c r="M1079" i="1"/>
  <c r="K1079" i="1"/>
  <c r="J1079" i="1"/>
  <c r="H1079" i="1"/>
  <c r="G1079" i="1"/>
  <c r="F1079" i="1"/>
  <c r="C1079" i="1"/>
  <c r="M1078" i="1"/>
  <c r="K1078" i="1"/>
  <c r="J1078" i="1"/>
  <c r="H1078" i="1"/>
  <c r="G1078" i="1"/>
  <c r="F1078" i="1"/>
  <c r="C1078" i="1"/>
  <c r="M1077" i="1"/>
  <c r="K1077" i="1"/>
  <c r="J1077" i="1"/>
  <c r="H1077" i="1"/>
  <c r="G1077" i="1"/>
  <c r="F1077" i="1"/>
  <c r="C1077" i="1"/>
  <c r="M1076" i="1"/>
  <c r="K1076" i="1"/>
  <c r="J1076" i="1"/>
  <c r="H1076" i="1"/>
  <c r="G1076" i="1"/>
  <c r="F1076" i="1"/>
  <c r="C1076" i="1"/>
  <c r="M1075" i="1"/>
  <c r="K1075" i="1"/>
  <c r="J1075" i="1"/>
  <c r="H1075" i="1"/>
  <c r="G1075" i="1"/>
  <c r="F1075" i="1"/>
  <c r="C1075" i="1"/>
  <c r="M1074" i="1"/>
  <c r="K1074" i="1"/>
  <c r="J1074" i="1"/>
  <c r="H1074" i="1"/>
  <c r="G1074" i="1"/>
  <c r="F1074" i="1"/>
  <c r="C1074" i="1"/>
  <c r="M1073" i="1"/>
  <c r="K1073" i="1"/>
  <c r="J1073" i="1"/>
  <c r="H1073" i="1"/>
  <c r="G1073" i="1"/>
  <c r="F1073" i="1"/>
  <c r="C1073" i="1"/>
  <c r="M1072" i="1"/>
  <c r="K1072" i="1"/>
  <c r="J1072" i="1"/>
  <c r="H1072" i="1"/>
  <c r="G1072" i="1"/>
  <c r="F1072" i="1"/>
  <c r="C1072" i="1"/>
  <c r="M1071" i="1"/>
  <c r="K1071" i="1"/>
  <c r="J1071" i="1"/>
  <c r="H1071" i="1"/>
  <c r="G1071" i="1"/>
  <c r="F1071" i="1"/>
  <c r="C1071" i="1"/>
  <c r="M1070" i="1"/>
  <c r="K1070" i="1"/>
  <c r="J1070" i="1"/>
  <c r="H1070" i="1"/>
  <c r="G1070" i="1"/>
  <c r="F1070" i="1"/>
  <c r="C1070" i="1"/>
  <c r="M1069" i="1"/>
  <c r="K1069" i="1"/>
  <c r="J1069" i="1"/>
  <c r="H1069" i="1"/>
  <c r="G1069" i="1"/>
  <c r="F1069" i="1"/>
  <c r="C1069" i="1"/>
  <c r="M1068" i="1"/>
  <c r="K1068" i="1"/>
  <c r="J1068" i="1"/>
  <c r="H1068" i="1"/>
  <c r="G1068" i="1"/>
  <c r="F1068" i="1"/>
  <c r="C1068" i="1"/>
  <c r="M1067" i="1"/>
  <c r="K1067" i="1"/>
  <c r="J1067" i="1"/>
  <c r="H1067" i="1"/>
  <c r="G1067" i="1"/>
  <c r="F1067" i="1"/>
  <c r="C1067" i="1"/>
  <c r="M1066" i="1"/>
  <c r="K1066" i="1"/>
  <c r="J1066" i="1"/>
  <c r="H1066" i="1"/>
  <c r="G1066" i="1"/>
  <c r="F1066" i="1"/>
  <c r="C1066" i="1"/>
  <c r="M1065" i="1"/>
  <c r="K1065" i="1"/>
  <c r="J1065" i="1"/>
  <c r="H1065" i="1"/>
  <c r="G1065" i="1"/>
  <c r="F1065" i="1"/>
  <c r="C1065" i="1"/>
  <c r="M1064" i="1"/>
  <c r="K1064" i="1"/>
  <c r="J1064" i="1"/>
  <c r="H1064" i="1"/>
  <c r="G1064" i="1"/>
  <c r="F1064" i="1"/>
  <c r="C1064" i="1"/>
  <c r="M1063" i="1"/>
  <c r="K1063" i="1"/>
  <c r="J1063" i="1"/>
  <c r="H1063" i="1"/>
  <c r="G1063" i="1"/>
  <c r="F1063" i="1"/>
  <c r="C1063" i="1"/>
  <c r="M1062" i="1"/>
  <c r="K1062" i="1"/>
  <c r="J1062" i="1"/>
  <c r="H1062" i="1"/>
  <c r="G1062" i="1"/>
  <c r="F1062" i="1"/>
  <c r="C1062" i="1"/>
  <c r="M1061" i="1"/>
  <c r="K1061" i="1"/>
  <c r="J1061" i="1"/>
  <c r="H1061" i="1"/>
  <c r="G1061" i="1"/>
  <c r="F1061" i="1"/>
  <c r="C1061" i="1"/>
  <c r="M1060" i="1"/>
  <c r="K1060" i="1"/>
  <c r="J1060" i="1"/>
  <c r="H1060" i="1"/>
  <c r="G1060" i="1"/>
  <c r="F1060" i="1"/>
  <c r="C1060" i="1"/>
  <c r="M1059" i="1"/>
  <c r="K1059" i="1"/>
  <c r="J1059" i="1"/>
  <c r="H1059" i="1"/>
  <c r="G1059" i="1"/>
  <c r="F1059" i="1"/>
  <c r="C1059" i="1"/>
  <c r="M1058" i="1"/>
  <c r="K1058" i="1"/>
  <c r="J1058" i="1"/>
  <c r="H1058" i="1"/>
  <c r="G1058" i="1"/>
  <c r="F1058" i="1"/>
  <c r="C1058" i="1"/>
  <c r="M1057" i="1"/>
  <c r="K1057" i="1"/>
  <c r="J1057" i="1"/>
  <c r="H1057" i="1"/>
  <c r="G1057" i="1"/>
  <c r="F1057" i="1"/>
  <c r="C1057" i="1"/>
  <c r="M1056" i="1"/>
  <c r="K1056" i="1"/>
  <c r="J1056" i="1"/>
  <c r="H1056" i="1"/>
  <c r="G1056" i="1"/>
  <c r="F1056" i="1"/>
  <c r="C1056" i="1"/>
  <c r="M1055" i="1"/>
  <c r="K1055" i="1"/>
  <c r="J1055" i="1"/>
  <c r="H1055" i="1"/>
  <c r="G1055" i="1"/>
  <c r="F1055" i="1"/>
  <c r="C1055" i="1"/>
  <c r="M1054" i="1"/>
  <c r="K1054" i="1"/>
  <c r="J1054" i="1"/>
  <c r="H1054" i="1"/>
  <c r="G1054" i="1"/>
  <c r="F1054" i="1"/>
  <c r="C1054" i="1"/>
  <c r="M1053" i="1"/>
  <c r="K1053" i="1"/>
  <c r="J1053" i="1"/>
  <c r="H1053" i="1"/>
  <c r="G1053" i="1"/>
  <c r="F1053" i="1"/>
  <c r="C1053" i="1"/>
  <c r="M1052" i="1"/>
  <c r="K1052" i="1"/>
  <c r="J1052" i="1"/>
  <c r="H1052" i="1"/>
  <c r="G1052" i="1"/>
  <c r="F1052" i="1"/>
  <c r="C1052" i="1"/>
  <c r="M1051" i="1"/>
  <c r="K1051" i="1"/>
  <c r="J1051" i="1"/>
  <c r="H1051" i="1"/>
  <c r="G1051" i="1"/>
  <c r="F1051" i="1"/>
  <c r="C1051" i="1"/>
  <c r="M1050" i="1"/>
  <c r="K1050" i="1"/>
  <c r="J1050" i="1"/>
  <c r="H1050" i="1"/>
  <c r="G1050" i="1"/>
  <c r="F1050" i="1"/>
  <c r="C1050" i="1"/>
  <c r="M1049" i="1"/>
  <c r="K1049" i="1"/>
  <c r="J1049" i="1"/>
  <c r="H1049" i="1"/>
  <c r="G1049" i="1"/>
  <c r="F1049" i="1"/>
  <c r="C1049" i="1"/>
  <c r="M1048" i="1"/>
  <c r="K1048" i="1"/>
  <c r="J1048" i="1"/>
  <c r="H1048" i="1"/>
  <c r="G1048" i="1"/>
  <c r="F1048" i="1"/>
  <c r="C1048" i="1"/>
  <c r="M1047" i="1"/>
  <c r="K1047" i="1"/>
  <c r="J1047" i="1"/>
  <c r="H1047" i="1"/>
  <c r="G1047" i="1"/>
  <c r="F1047" i="1"/>
  <c r="C1047" i="1"/>
  <c r="M1046" i="1"/>
  <c r="K1046" i="1"/>
  <c r="J1046" i="1"/>
  <c r="H1046" i="1"/>
  <c r="G1046" i="1"/>
  <c r="F1046" i="1"/>
  <c r="C1046" i="1"/>
  <c r="M1045" i="1"/>
  <c r="K1045" i="1"/>
  <c r="J1045" i="1"/>
  <c r="H1045" i="1"/>
  <c r="G1045" i="1"/>
  <c r="F1045" i="1"/>
  <c r="C1045" i="1"/>
  <c r="M1044" i="1"/>
  <c r="K1044" i="1"/>
  <c r="J1044" i="1"/>
  <c r="H1044" i="1"/>
  <c r="G1044" i="1"/>
  <c r="F1044" i="1"/>
  <c r="C1044" i="1"/>
  <c r="M1043" i="1"/>
  <c r="K1043" i="1"/>
  <c r="J1043" i="1"/>
  <c r="H1043" i="1"/>
  <c r="G1043" i="1"/>
  <c r="F1043" i="1"/>
  <c r="C1043" i="1"/>
  <c r="M1042" i="1"/>
  <c r="K1042" i="1"/>
  <c r="J1042" i="1"/>
  <c r="H1042" i="1"/>
  <c r="G1042" i="1"/>
  <c r="F1042" i="1"/>
  <c r="C1042" i="1"/>
  <c r="M1041" i="1"/>
  <c r="K1041" i="1"/>
  <c r="J1041" i="1"/>
  <c r="H1041" i="1"/>
  <c r="G1041" i="1"/>
  <c r="F1041" i="1"/>
  <c r="C1041" i="1"/>
  <c r="M1040" i="1"/>
  <c r="K1040" i="1"/>
  <c r="J1040" i="1"/>
  <c r="H1040" i="1"/>
  <c r="G1040" i="1"/>
  <c r="F1040" i="1"/>
  <c r="C1040" i="1"/>
  <c r="M1039" i="1"/>
  <c r="K1039" i="1"/>
  <c r="J1039" i="1"/>
  <c r="H1039" i="1"/>
  <c r="G1039" i="1"/>
  <c r="F1039" i="1"/>
  <c r="C1039" i="1"/>
  <c r="M1038" i="1"/>
  <c r="K1038" i="1"/>
  <c r="J1038" i="1"/>
  <c r="H1038" i="1"/>
  <c r="G1038" i="1"/>
  <c r="F1038" i="1"/>
  <c r="C1038" i="1"/>
  <c r="M1037" i="1"/>
  <c r="K1037" i="1"/>
  <c r="J1037" i="1"/>
  <c r="H1037" i="1"/>
  <c r="G1037" i="1"/>
  <c r="F1037" i="1"/>
  <c r="C1037" i="1"/>
  <c r="M1036" i="1"/>
  <c r="K1036" i="1"/>
  <c r="J1036" i="1"/>
  <c r="H1036" i="1"/>
  <c r="G1036" i="1"/>
  <c r="F1036" i="1"/>
  <c r="C1036" i="1"/>
  <c r="M1035" i="1"/>
  <c r="K1035" i="1"/>
  <c r="J1035" i="1"/>
  <c r="H1035" i="1"/>
  <c r="G1035" i="1"/>
  <c r="F1035" i="1"/>
  <c r="C1035" i="1"/>
  <c r="M1034" i="1"/>
  <c r="K1034" i="1"/>
  <c r="J1034" i="1"/>
  <c r="H1034" i="1"/>
  <c r="G1034" i="1"/>
  <c r="F1034" i="1"/>
  <c r="C1034" i="1"/>
  <c r="M1033" i="1"/>
  <c r="K1033" i="1"/>
  <c r="J1033" i="1"/>
  <c r="H1033" i="1"/>
  <c r="G1033" i="1"/>
  <c r="F1033" i="1"/>
  <c r="C1033" i="1"/>
  <c r="M1032" i="1"/>
  <c r="K1032" i="1"/>
  <c r="J1032" i="1"/>
  <c r="H1032" i="1"/>
  <c r="G1032" i="1"/>
  <c r="F1032" i="1"/>
  <c r="C1032" i="1"/>
  <c r="M1031" i="1"/>
  <c r="K1031" i="1"/>
  <c r="J1031" i="1"/>
  <c r="H1031" i="1"/>
  <c r="G1031" i="1"/>
  <c r="F1031" i="1"/>
  <c r="C1031" i="1"/>
  <c r="M1030" i="1"/>
  <c r="K1030" i="1"/>
  <c r="J1030" i="1"/>
  <c r="H1030" i="1"/>
  <c r="G1030" i="1"/>
  <c r="F1030" i="1"/>
  <c r="C1030" i="1"/>
  <c r="M1029" i="1"/>
  <c r="K1029" i="1"/>
  <c r="J1029" i="1"/>
  <c r="H1029" i="1"/>
  <c r="G1029" i="1"/>
  <c r="F1029" i="1"/>
  <c r="C1029" i="1"/>
  <c r="M1028" i="1"/>
  <c r="K1028" i="1"/>
  <c r="J1028" i="1"/>
  <c r="H1028" i="1"/>
  <c r="G1028" i="1"/>
  <c r="F1028" i="1"/>
  <c r="C1028" i="1"/>
  <c r="M1027" i="1"/>
  <c r="K1027" i="1"/>
  <c r="J1027" i="1"/>
  <c r="H1027" i="1"/>
  <c r="G1027" i="1"/>
  <c r="F1027" i="1"/>
  <c r="C1027" i="1"/>
  <c r="M1026" i="1"/>
  <c r="K1026" i="1"/>
  <c r="J1026" i="1"/>
  <c r="H1026" i="1"/>
  <c r="G1026" i="1"/>
  <c r="F1026" i="1"/>
  <c r="C1026" i="1"/>
  <c r="M1025" i="1"/>
  <c r="K1025" i="1"/>
  <c r="J1025" i="1"/>
  <c r="H1025" i="1"/>
  <c r="G1025" i="1"/>
  <c r="F1025" i="1"/>
  <c r="C1025" i="1"/>
  <c r="M1024" i="1"/>
  <c r="K1024" i="1"/>
  <c r="J1024" i="1"/>
  <c r="H1024" i="1"/>
  <c r="G1024" i="1"/>
  <c r="F1024" i="1"/>
  <c r="C1024" i="1"/>
  <c r="M1023" i="1"/>
  <c r="K1023" i="1"/>
  <c r="J1023" i="1"/>
  <c r="H1023" i="1"/>
  <c r="G1023" i="1"/>
  <c r="F1023" i="1"/>
  <c r="C1023" i="1"/>
  <c r="M1022" i="1"/>
  <c r="K1022" i="1"/>
  <c r="J1022" i="1"/>
  <c r="H1022" i="1"/>
  <c r="G1022" i="1"/>
  <c r="F1022" i="1"/>
  <c r="C1022" i="1"/>
  <c r="M1021" i="1"/>
  <c r="K1021" i="1"/>
  <c r="J1021" i="1"/>
  <c r="H1021" i="1"/>
  <c r="G1021" i="1"/>
  <c r="F1021" i="1"/>
  <c r="C1021" i="1"/>
  <c r="M1020" i="1"/>
  <c r="K1020" i="1"/>
  <c r="J1020" i="1"/>
  <c r="H1020" i="1"/>
  <c r="G1020" i="1"/>
  <c r="F1020" i="1"/>
  <c r="C1020" i="1"/>
  <c r="M1019" i="1"/>
  <c r="K1019" i="1"/>
  <c r="J1019" i="1"/>
  <c r="H1019" i="1"/>
  <c r="G1019" i="1"/>
  <c r="F1019" i="1"/>
  <c r="C1019" i="1"/>
  <c r="M1018" i="1"/>
  <c r="K1018" i="1"/>
  <c r="J1018" i="1"/>
  <c r="H1018" i="1"/>
  <c r="G1018" i="1"/>
  <c r="F1018" i="1"/>
  <c r="C1018" i="1"/>
  <c r="M1017" i="1"/>
  <c r="K1017" i="1"/>
  <c r="J1017" i="1"/>
  <c r="H1017" i="1"/>
  <c r="G1017" i="1"/>
  <c r="F1017" i="1"/>
  <c r="C1017" i="1"/>
  <c r="M1016" i="1"/>
  <c r="K1016" i="1"/>
  <c r="J1016" i="1"/>
  <c r="H1016" i="1"/>
  <c r="G1016" i="1"/>
  <c r="F1016" i="1"/>
  <c r="C1016" i="1"/>
  <c r="M1015" i="1"/>
  <c r="K1015" i="1"/>
  <c r="J1015" i="1"/>
  <c r="H1015" i="1"/>
  <c r="G1015" i="1"/>
  <c r="F1015" i="1"/>
  <c r="C1015" i="1"/>
  <c r="M1014" i="1"/>
  <c r="K1014" i="1"/>
  <c r="J1014" i="1"/>
  <c r="H1014" i="1"/>
  <c r="G1014" i="1"/>
  <c r="F1014" i="1"/>
  <c r="C1014" i="1"/>
  <c r="M1013" i="1"/>
  <c r="K1013" i="1"/>
  <c r="J1013" i="1"/>
  <c r="H1013" i="1"/>
  <c r="G1013" i="1"/>
  <c r="F1013" i="1"/>
  <c r="C1013" i="1"/>
  <c r="M1012" i="1"/>
  <c r="K1012" i="1"/>
  <c r="J1012" i="1"/>
  <c r="H1012" i="1"/>
  <c r="G1012" i="1"/>
  <c r="F1012" i="1"/>
  <c r="C1012" i="1"/>
  <c r="M1011" i="1"/>
  <c r="K1011" i="1"/>
  <c r="J1011" i="1"/>
  <c r="H1011" i="1"/>
  <c r="G1011" i="1"/>
  <c r="F1011" i="1"/>
  <c r="C1011" i="1"/>
  <c r="M1010" i="1"/>
  <c r="K1010" i="1"/>
  <c r="J1010" i="1"/>
  <c r="H1010" i="1"/>
  <c r="G1010" i="1"/>
  <c r="F1010" i="1"/>
  <c r="C1010" i="1"/>
  <c r="M1009" i="1"/>
  <c r="K1009" i="1"/>
  <c r="J1009" i="1"/>
  <c r="H1009" i="1"/>
  <c r="G1009" i="1"/>
  <c r="F1009" i="1"/>
  <c r="C1009" i="1"/>
  <c r="M1008" i="1"/>
  <c r="K1008" i="1"/>
  <c r="J1008" i="1"/>
  <c r="H1008" i="1"/>
  <c r="G1008" i="1"/>
  <c r="F1008" i="1"/>
  <c r="C1008" i="1"/>
  <c r="M1007" i="1"/>
  <c r="K1007" i="1"/>
  <c r="J1007" i="1"/>
  <c r="H1007" i="1"/>
  <c r="G1007" i="1"/>
  <c r="F1007" i="1"/>
  <c r="C1007" i="1"/>
  <c r="M1006" i="1"/>
  <c r="K1006" i="1"/>
  <c r="J1006" i="1"/>
  <c r="H1006" i="1"/>
  <c r="G1006" i="1"/>
  <c r="F1006" i="1"/>
  <c r="C1006" i="1"/>
  <c r="M1005" i="1"/>
  <c r="K1005" i="1"/>
  <c r="J1005" i="1"/>
  <c r="H1005" i="1"/>
  <c r="G1005" i="1"/>
  <c r="F1005" i="1"/>
  <c r="C1005" i="1"/>
  <c r="M1004" i="1"/>
  <c r="K1004" i="1"/>
  <c r="J1004" i="1"/>
  <c r="H1004" i="1"/>
  <c r="G1004" i="1"/>
  <c r="F1004" i="1"/>
  <c r="C1004" i="1"/>
  <c r="M1003" i="1"/>
  <c r="K1003" i="1"/>
  <c r="J1003" i="1"/>
  <c r="H1003" i="1"/>
  <c r="G1003" i="1"/>
  <c r="F1003" i="1"/>
  <c r="C1003" i="1"/>
  <c r="M1002" i="1"/>
  <c r="K1002" i="1"/>
  <c r="J1002" i="1"/>
  <c r="H1002" i="1"/>
  <c r="G1002" i="1"/>
  <c r="F1002" i="1"/>
  <c r="C1002" i="1"/>
  <c r="M1001" i="1"/>
  <c r="K1001" i="1"/>
  <c r="J1001" i="1"/>
  <c r="H1001" i="1"/>
  <c r="G1001" i="1"/>
  <c r="F1001" i="1"/>
  <c r="C1001" i="1"/>
  <c r="M1000" i="1"/>
  <c r="K1000" i="1"/>
  <c r="J1000" i="1"/>
  <c r="H1000" i="1"/>
  <c r="G1000" i="1"/>
  <c r="F1000" i="1"/>
  <c r="C1000" i="1"/>
  <c r="M999" i="1"/>
  <c r="K999" i="1"/>
  <c r="J999" i="1"/>
  <c r="H999" i="1"/>
  <c r="G999" i="1"/>
  <c r="F999" i="1"/>
  <c r="C999" i="1"/>
  <c r="M998" i="1"/>
  <c r="K998" i="1"/>
  <c r="J998" i="1"/>
  <c r="H998" i="1"/>
  <c r="G998" i="1"/>
  <c r="F998" i="1"/>
  <c r="C998" i="1"/>
  <c r="M997" i="1"/>
  <c r="K997" i="1"/>
  <c r="J997" i="1"/>
  <c r="H997" i="1"/>
  <c r="G997" i="1"/>
  <c r="F997" i="1"/>
  <c r="C997" i="1"/>
  <c r="M996" i="1"/>
  <c r="K996" i="1"/>
  <c r="J996" i="1"/>
  <c r="H996" i="1"/>
  <c r="G996" i="1"/>
  <c r="F996" i="1"/>
  <c r="C996" i="1"/>
  <c r="M995" i="1"/>
  <c r="K995" i="1"/>
  <c r="J995" i="1"/>
  <c r="H995" i="1"/>
  <c r="G995" i="1"/>
  <c r="F995" i="1"/>
  <c r="C995" i="1"/>
  <c r="M994" i="1"/>
  <c r="K994" i="1"/>
  <c r="J994" i="1"/>
  <c r="H994" i="1"/>
  <c r="G994" i="1"/>
  <c r="F994" i="1"/>
  <c r="C994" i="1"/>
  <c r="M993" i="1"/>
  <c r="K993" i="1"/>
  <c r="J993" i="1"/>
  <c r="H993" i="1"/>
  <c r="G993" i="1"/>
  <c r="F993" i="1"/>
  <c r="C993" i="1"/>
  <c r="M992" i="1"/>
  <c r="K992" i="1"/>
  <c r="J992" i="1"/>
  <c r="H992" i="1"/>
  <c r="G992" i="1"/>
  <c r="F992" i="1"/>
  <c r="C992" i="1"/>
  <c r="M991" i="1"/>
  <c r="K991" i="1"/>
  <c r="J991" i="1"/>
  <c r="H991" i="1"/>
  <c r="G991" i="1"/>
  <c r="F991" i="1"/>
  <c r="C991" i="1"/>
  <c r="M990" i="1"/>
  <c r="K990" i="1"/>
  <c r="J990" i="1"/>
  <c r="H990" i="1"/>
  <c r="G990" i="1"/>
  <c r="F990" i="1"/>
  <c r="C990" i="1"/>
  <c r="M989" i="1"/>
  <c r="K989" i="1"/>
  <c r="J989" i="1"/>
  <c r="H989" i="1"/>
  <c r="G989" i="1"/>
  <c r="F989" i="1"/>
  <c r="C989" i="1"/>
  <c r="M988" i="1"/>
  <c r="K988" i="1"/>
  <c r="J988" i="1"/>
  <c r="H988" i="1"/>
  <c r="G988" i="1"/>
  <c r="F988" i="1"/>
  <c r="C988" i="1"/>
  <c r="M987" i="1"/>
  <c r="K987" i="1"/>
  <c r="J987" i="1"/>
  <c r="H987" i="1"/>
  <c r="G987" i="1"/>
  <c r="F987" i="1"/>
  <c r="C987" i="1"/>
  <c r="M986" i="1"/>
  <c r="K986" i="1"/>
  <c r="J986" i="1"/>
  <c r="H986" i="1"/>
  <c r="G986" i="1"/>
  <c r="F986" i="1"/>
  <c r="C986" i="1"/>
  <c r="M985" i="1"/>
  <c r="K985" i="1"/>
  <c r="J985" i="1"/>
  <c r="H985" i="1"/>
  <c r="G985" i="1"/>
  <c r="F985" i="1"/>
  <c r="C985" i="1"/>
  <c r="M984" i="1"/>
  <c r="K984" i="1"/>
  <c r="J984" i="1"/>
  <c r="H984" i="1"/>
  <c r="G984" i="1"/>
  <c r="F984" i="1"/>
  <c r="C984" i="1"/>
  <c r="M983" i="1"/>
  <c r="K983" i="1"/>
  <c r="J983" i="1"/>
  <c r="H983" i="1"/>
  <c r="G983" i="1"/>
  <c r="F983" i="1"/>
  <c r="C983" i="1"/>
  <c r="M982" i="1"/>
  <c r="K982" i="1"/>
  <c r="J982" i="1"/>
  <c r="H982" i="1"/>
  <c r="G982" i="1"/>
  <c r="F982" i="1"/>
  <c r="C982" i="1"/>
  <c r="M981" i="1"/>
  <c r="K981" i="1"/>
  <c r="J981" i="1"/>
  <c r="H981" i="1"/>
  <c r="G981" i="1"/>
  <c r="F981" i="1"/>
  <c r="C981" i="1"/>
  <c r="M980" i="1"/>
  <c r="K980" i="1"/>
  <c r="J980" i="1"/>
  <c r="H980" i="1"/>
  <c r="G980" i="1"/>
  <c r="F980" i="1"/>
  <c r="C980" i="1"/>
  <c r="M979" i="1"/>
  <c r="K979" i="1"/>
  <c r="J979" i="1"/>
  <c r="H979" i="1"/>
  <c r="G979" i="1"/>
  <c r="F979" i="1"/>
  <c r="C979" i="1"/>
  <c r="M978" i="1"/>
  <c r="K978" i="1"/>
  <c r="J978" i="1"/>
  <c r="H978" i="1"/>
  <c r="G978" i="1"/>
  <c r="F978" i="1"/>
  <c r="C978" i="1"/>
  <c r="M977" i="1"/>
  <c r="K977" i="1"/>
  <c r="J977" i="1"/>
  <c r="H977" i="1"/>
  <c r="G977" i="1"/>
  <c r="F977" i="1"/>
  <c r="C977" i="1"/>
  <c r="M976" i="1"/>
  <c r="K976" i="1"/>
  <c r="J976" i="1"/>
  <c r="H976" i="1"/>
  <c r="G976" i="1"/>
  <c r="F976" i="1"/>
  <c r="C976" i="1"/>
  <c r="M975" i="1"/>
  <c r="K975" i="1"/>
  <c r="J975" i="1"/>
  <c r="H975" i="1"/>
  <c r="G975" i="1"/>
  <c r="F975" i="1"/>
  <c r="C975" i="1"/>
  <c r="M974" i="1"/>
  <c r="K974" i="1"/>
  <c r="J974" i="1"/>
  <c r="H974" i="1"/>
  <c r="G974" i="1"/>
  <c r="F974" i="1"/>
  <c r="C974" i="1"/>
  <c r="M973" i="1"/>
  <c r="K973" i="1"/>
  <c r="J973" i="1"/>
  <c r="H973" i="1"/>
  <c r="G973" i="1"/>
  <c r="F973" i="1"/>
  <c r="C973" i="1"/>
  <c r="M972" i="1"/>
  <c r="K972" i="1"/>
  <c r="J972" i="1"/>
  <c r="H972" i="1"/>
  <c r="G972" i="1"/>
  <c r="F972" i="1"/>
  <c r="C972" i="1"/>
  <c r="M971" i="1"/>
  <c r="K971" i="1"/>
  <c r="J971" i="1"/>
  <c r="H971" i="1"/>
  <c r="G971" i="1"/>
  <c r="F971" i="1"/>
  <c r="C971" i="1"/>
  <c r="M970" i="1"/>
  <c r="K970" i="1"/>
  <c r="J970" i="1"/>
  <c r="H970" i="1"/>
  <c r="G970" i="1"/>
  <c r="F970" i="1"/>
  <c r="C970" i="1"/>
  <c r="M969" i="1"/>
  <c r="K969" i="1"/>
  <c r="J969" i="1"/>
  <c r="H969" i="1"/>
  <c r="G969" i="1"/>
  <c r="F969" i="1"/>
  <c r="C969" i="1"/>
  <c r="M968" i="1"/>
  <c r="K968" i="1"/>
  <c r="J968" i="1"/>
  <c r="H968" i="1"/>
  <c r="G968" i="1"/>
  <c r="F968" i="1"/>
  <c r="C968" i="1"/>
  <c r="M967" i="1"/>
  <c r="K967" i="1"/>
  <c r="J967" i="1"/>
  <c r="H967" i="1"/>
  <c r="G967" i="1"/>
  <c r="F967" i="1"/>
  <c r="C967" i="1"/>
  <c r="M966" i="1"/>
  <c r="K966" i="1"/>
  <c r="J966" i="1"/>
  <c r="H966" i="1"/>
  <c r="G966" i="1"/>
  <c r="F966" i="1"/>
  <c r="C966" i="1"/>
  <c r="M965" i="1"/>
  <c r="K965" i="1"/>
  <c r="J965" i="1"/>
  <c r="H965" i="1"/>
  <c r="G965" i="1"/>
  <c r="F965" i="1"/>
  <c r="C965" i="1"/>
  <c r="M964" i="1"/>
  <c r="K964" i="1"/>
  <c r="J964" i="1"/>
  <c r="H964" i="1"/>
  <c r="G964" i="1"/>
  <c r="F964" i="1"/>
  <c r="C964" i="1"/>
  <c r="M963" i="1"/>
  <c r="K963" i="1"/>
  <c r="J963" i="1"/>
  <c r="H963" i="1"/>
  <c r="G963" i="1"/>
  <c r="F963" i="1"/>
  <c r="C963" i="1"/>
  <c r="M962" i="1"/>
  <c r="K962" i="1"/>
  <c r="J962" i="1"/>
  <c r="H962" i="1"/>
  <c r="G962" i="1"/>
  <c r="F962" i="1"/>
  <c r="C962" i="1"/>
  <c r="M961" i="1"/>
  <c r="K961" i="1"/>
  <c r="J961" i="1"/>
  <c r="H961" i="1"/>
  <c r="G961" i="1"/>
  <c r="F961" i="1"/>
  <c r="C961" i="1"/>
  <c r="M960" i="1"/>
  <c r="K960" i="1"/>
  <c r="J960" i="1"/>
  <c r="H960" i="1"/>
  <c r="G960" i="1"/>
  <c r="F960" i="1"/>
  <c r="C960" i="1"/>
  <c r="M959" i="1"/>
  <c r="K959" i="1"/>
  <c r="J959" i="1"/>
  <c r="H959" i="1"/>
  <c r="G959" i="1"/>
  <c r="F959" i="1"/>
  <c r="C959" i="1"/>
  <c r="M958" i="1"/>
  <c r="K958" i="1"/>
  <c r="J958" i="1"/>
  <c r="H958" i="1"/>
  <c r="G958" i="1"/>
  <c r="F958" i="1"/>
  <c r="C958" i="1"/>
  <c r="M957" i="1"/>
  <c r="K957" i="1"/>
  <c r="J957" i="1"/>
  <c r="H957" i="1"/>
  <c r="G957" i="1"/>
  <c r="F957" i="1"/>
  <c r="C957" i="1"/>
  <c r="M956" i="1"/>
  <c r="K956" i="1"/>
  <c r="J956" i="1"/>
  <c r="H956" i="1"/>
  <c r="G956" i="1"/>
  <c r="F956" i="1"/>
  <c r="C956" i="1"/>
  <c r="M955" i="1"/>
  <c r="K955" i="1"/>
  <c r="J955" i="1"/>
  <c r="H955" i="1"/>
  <c r="G955" i="1"/>
  <c r="F955" i="1"/>
  <c r="C955" i="1"/>
  <c r="M954" i="1"/>
  <c r="K954" i="1"/>
  <c r="J954" i="1"/>
  <c r="H954" i="1"/>
  <c r="G954" i="1"/>
  <c r="F954" i="1"/>
  <c r="C954" i="1"/>
  <c r="M953" i="1"/>
  <c r="K953" i="1"/>
  <c r="J953" i="1"/>
  <c r="H953" i="1"/>
  <c r="G953" i="1"/>
  <c r="F953" i="1"/>
  <c r="C953" i="1"/>
  <c r="M952" i="1"/>
  <c r="K952" i="1"/>
  <c r="J952" i="1"/>
  <c r="H952" i="1"/>
  <c r="G952" i="1"/>
  <c r="F952" i="1"/>
  <c r="C952" i="1"/>
  <c r="M951" i="1"/>
  <c r="K951" i="1"/>
  <c r="J951" i="1"/>
  <c r="H951" i="1"/>
  <c r="G951" i="1"/>
  <c r="F951" i="1"/>
  <c r="C951" i="1"/>
  <c r="M950" i="1"/>
  <c r="K950" i="1"/>
  <c r="J950" i="1"/>
  <c r="H950" i="1"/>
  <c r="G950" i="1"/>
  <c r="F950" i="1"/>
  <c r="C950" i="1"/>
  <c r="M949" i="1"/>
  <c r="K949" i="1"/>
  <c r="J949" i="1"/>
  <c r="H949" i="1"/>
  <c r="G949" i="1"/>
  <c r="F949" i="1"/>
  <c r="C949" i="1"/>
  <c r="M948" i="1"/>
  <c r="K948" i="1"/>
  <c r="J948" i="1"/>
  <c r="H948" i="1"/>
  <c r="G948" i="1"/>
  <c r="F948" i="1"/>
  <c r="C948" i="1"/>
  <c r="M947" i="1"/>
  <c r="K947" i="1"/>
  <c r="J947" i="1"/>
  <c r="H947" i="1"/>
  <c r="G947" i="1"/>
  <c r="F947" i="1"/>
  <c r="C947" i="1"/>
  <c r="M946" i="1"/>
  <c r="K946" i="1"/>
  <c r="J946" i="1"/>
  <c r="H946" i="1"/>
  <c r="G946" i="1"/>
  <c r="F946" i="1"/>
  <c r="C946" i="1"/>
  <c r="M945" i="1"/>
  <c r="K945" i="1"/>
  <c r="J945" i="1"/>
  <c r="H945" i="1"/>
  <c r="G945" i="1"/>
  <c r="F945" i="1"/>
  <c r="C945" i="1"/>
  <c r="M944" i="1"/>
  <c r="K944" i="1"/>
  <c r="J944" i="1"/>
  <c r="H944" i="1"/>
  <c r="G944" i="1"/>
  <c r="F944" i="1"/>
  <c r="C944" i="1"/>
  <c r="M943" i="1"/>
  <c r="K943" i="1"/>
  <c r="J943" i="1"/>
  <c r="H943" i="1"/>
  <c r="G943" i="1"/>
  <c r="F943" i="1"/>
  <c r="C943" i="1"/>
  <c r="M942" i="1"/>
  <c r="K942" i="1"/>
  <c r="J942" i="1"/>
  <c r="H942" i="1"/>
  <c r="G942" i="1"/>
  <c r="F942" i="1"/>
  <c r="C942" i="1"/>
  <c r="M941" i="1"/>
  <c r="K941" i="1"/>
  <c r="J941" i="1"/>
  <c r="H941" i="1"/>
  <c r="G941" i="1"/>
  <c r="F941" i="1"/>
  <c r="C941" i="1"/>
  <c r="M940" i="1"/>
  <c r="K940" i="1"/>
  <c r="J940" i="1"/>
  <c r="H940" i="1"/>
  <c r="G940" i="1"/>
  <c r="F940" i="1"/>
  <c r="C940" i="1"/>
  <c r="M939" i="1"/>
  <c r="K939" i="1"/>
  <c r="J939" i="1"/>
  <c r="H939" i="1"/>
  <c r="G939" i="1"/>
  <c r="F939" i="1"/>
  <c r="C939" i="1"/>
  <c r="M938" i="1"/>
  <c r="K938" i="1"/>
  <c r="J938" i="1"/>
  <c r="H938" i="1"/>
  <c r="G938" i="1"/>
  <c r="F938" i="1"/>
  <c r="C938" i="1"/>
  <c r="M937" i="1"/>
  <c r="K937" i="1"/>
  <c r="J937" i="1"/>
  <c r="H937" i="1"/>
  <c r="G937" i="1"/>
  <c r="F937" i="1"/>
  <c r="C937" i="1"/>
  <c r="M936" i="1"/>
  <c r="K936" i="1"/>
  <c r="J936" i="1"/>
  <c r="H936" i="1"/>
  <c r="G936" i="1"/>
  <c r="F936" i="1"/>
  <c r="C936" i="1"/>
  <c r="M935" i="1"/>
  <c r="K935" i="1"/>
  <c r="J935" i="1"/>
  <c r="H935" i="1"/>
  <c r="G935" i="1"/>
  <c r="F935" i="1"/>
  <c r="C935" i="1"/>
  <c r="M934" i="1"/>
  <c r="K934" i="1"/>
  <c r="J934" i="1"/>
  <c r="H934" i="1"/>
  <c r="G934" i="1"/>
  <c r="F934" i="1"/>
  <c r="C934" i="1"/>
  <c r="M933" i="1"/>
  <c r="K933" i="1"/>
  <c r="J933" i="1"/>
  <c r="H933" i="1"/>
  <c r="G933" i="1"/>
  <c r="F933" i="1"/>
  <c r="C933" i="1"/>
  <c r="M932" i="1"/>
  <c r="K932" i="1"/>
  <c r="J932" i="1"/>
  <c r="H932" i="1"/>
  <c r="G932" i="1"/>
  <c r="F932" i="1"/>
  <c r="C932" i="1"/>
  <c r="M931" i="1"/>
  <c r="K931" i="1"/>
  <c r="J931" i="1"/>
  <c r="H931" i="1"/>
  <c r="G931" i="1"/>
  <c r="F931" i="1"/>
  <c r="C931" i="1"/>
  <c r="M930" i="1"/>
  <c r="K930" i="1"/>
  <c r="J930" i="1"/>
  <c r="H930" i="1"/>
  <c r="G930" i="1"/>
  <c r="F930" i="1"/>
  <c r="C930" i="1"/>
  <c r="M929" i="1"/>
  <c r="K929" i="1"/>
  <c r="J929" i="1"/>
  <c r="H929" i="1"/>
  <c r="G929" i="1"/>
  <c r="F929" i="1"/>
  <c r="C929" i="1"/>
  <c r="M928" i="1"/>
  <c r="K928" i="1"/>
  <c r="J928" i="1"/>
  <c r="H928" i="1"/>
  <c r="G928" i="1"/>
  <c r="F928" i="1"/>
  <c r="C928" i="1"/>
  <c r="M927" i="1"/>
  <c r="K927" i="1"/>
  <c r="J927" i="1"/>
  <c r="H927" i="1"/>
  <c r="G927" i="1"/>
  <c r="F927" i="1"/>
  <c r="C927" i="1"/>
  <c r="M926" i="1"/>
  <c r="K926" i="1"/>
  <c r="J926" i="1"/>
  <c r="H926" i="1"/>
  <c r="G926" i="1"/>
  <c r="F926" i="1"/>
  <c r="C926" i="1"/>
  <c r="M925" i="1"/>
  <c r="K925" i="1"/>
  <c r="J925" i="1"/>
  <c r="H925" i="1"/>
  <c r="G925" i="1"/>
  <c r="F925" i="1"/>
  <c r="C925" i="1"/>
  <c r="M924" i="1"/>
  <c r="K924" i="1"/>
  <c r="J924" i="1"/>
  <c r="H924" i="1"/>
  <c r="G924" i="1"/>
  <c r="F924" i="1"/>
  <c r="C924" i="1"/>
  <c r="M923" i="1"/>
  <c r="K923" i="1"/>
  <c r="J923" i="1"/>
  <c r="H923" i="1"/>
  <c r="G923" i="1"/>
  <c r="F923" i="1"/>
  <c r="C923" i="1"/>
  <c r="M922" i="1"/>
  <c r="K922" i="1"/>
  <c r="J922" i="1"/>
  <c r="H922" i="1"/>
  <c r="G922" i="1"/>
  <c r="F922" i="1"/>
  <c r="C922" i="1"/>
  <c r="M921" i="1"/>
  <c r="K921" i="1"/>
  <c r="J921" i="1"/>
  <c r="H921" i="1"/>
  <c r="G921" i="1"/>
  <c r="F921" i="1"/>
  <c r="C921" i="1"/>
  <c r="M920" i="1"/>
  <c r="K920" i="1"/>
  <c r="J920" i="1"/>
  <c r="H920" i="1"/>
  <c r="G920" i="1"/>
  <c r="F920" i="1"/>
  <c r="C920" i="1"/>
  <c r="M919" i="1"/>
  <c r="K919" i="1"/>
  <c r="J919" i="1"/>
  <c r="H919" i="1"/>
  <c r="G919" i="1"/>
  <c r="F919" i="1"/>
  <c r="C919" i="1"/>
  <c r="M918" i="1"/>
  <c r="K918" i="1"/>
  <c r="J918" i="1"/>
  <c r="H918" i="1"/>
  <c r="G918" i="1"/>
  <c r="F918" i="1"/>
  <c r="C918" i="1"/>
  <c r="M917" i="1"/>
  <c r="K917" i="1"/>
  <c r="J917" i="1"/>
  <c r="H917" i="1"/>
  <c r="G917" i="1"/>
  <c r="F917" i="1"/>
  <c r="C917" i="1"/>
  <c r="M916" i="1"/>
  <c r="K916" i="1"/>
  <c r="J916" i="1"/>
  <c r="H916" i="1"/>
  <c r="G916" i="1"/>
  <c r="F916" i="1"/>
  <c r="C916" i="1"/>
  <c r="M915" i="1"/>
  <c r="K915" i="1"/>
  <c r="J915" i="1"/>
  <c r="H915" i="1"/>
  <c r="G915" i="1"/>
  <c r="F915" i="1"/>
  <c r="C915" i="1"/>
  <c r="M914" i="1"/>
  <c r="K914" i="1"/>
  <c r="J914" i="1"/>
  <c r="H914" i="1"/>
  <c r="G914" i="1"/>
  <c r="F914" i="1"/>
  <c r="C914" i="1"/>
  <c r="M913" i="1"/>
  <c r="K913" i="1"/>
  <c r="J913" i="1"/>
  <c r="H913" i="1"/>
  <c r="G913" i="1"/>
  <c r="F913" i="1"/>
  <c r="C913" i="1"/>
  <c r="M912" i="1"/>
  <c r="K912" i="1"/>
  <c r="J912" i="1"/>
  <c r="H912" i="1"/>
  <c r="G912" i="1"/>
  <c r="F912" i="1"/>
  <c r="C912" i="1"/>
  <c r="M911" i="1"/>
  <c r="K911" i="1"/>
  <c r="J911" i="1"/>
  <c r="H911" i="1"/>
  <c r="G911" i="1"/>
  <c r="F911" i="1"/>
  <c r="C911" i="1"/>
  <c r="M910" i="1"/>
  <c r="K910" i="1"/>
  <c r="J910" i="1"/>
  <c r="H910" i="1"/>
  <c r="G910" i="1"/>
  <c r="F910" i="1"/>
  <c r="C910" i="1"/>
  <c r="M909" i="1"/>
  <c r="K909" i="1"/>
  <c r="J909" i="1"/>
  <c r="H909" i="1"/>
  <c r="G909" i="1"/>
  <c r="F909" i="1"/>
  <c r="C909" i="1"/>
  <c r="M908" i="1"/>
  <c r="K908" i="1"/>
  <c r="J908" i="1"/>
  <c r="H908" i="1"/>
  <c r="G908" i="1"/>
  <c r="F908" i="1"/>
  <c r="C908" i="1"/>
  <c r="M907" i="1"/>
  <c r="K907" i="1"/>
  <c r="J907" i="1"/>
  <c r="H907" i="1"/>
  <c r="G907" i="1"/>
  <c r="F907" i="1"/>
  <c r="C907" i="1"/>
  <c r="M906" i="1"/>
  <c r="K906" i="1"/>
  <c r="J906" i="1"/>
  <c r="H906" i="1"/>
  <c r="G906" i="1"/>
  <c r="F906" i="1"/>
  <c r="C906" i="1"/>
  <c r="M905" i="1"/>
  <c r="K905" i="1"/>
  <c r="J905" i="1"/>
  <c r="H905" i="1"/>
  <c r="G905" i="1"/>
  <c r="F905" i="1"/>
  <c r="C905" i="1"/>
  <c r="M904" i="1"/>
  <c r="K904" i="1"/>
  <c r="J904" i="1"/>
  <c r="H904" i="1"/>
  <c r="G904" i="1"/>
  <c r="F904" i="1"/>
  <c r="C904" i="1"/>
  <c r="M903" i="1"/>
  <c r="K903" i="1"/>
  <c r="J903" i="1"/>
  <c r="H903" i="1"/>
  <c r="G903" i="1"/>
  <c r="F903" i="1"/>
  <c r="C903" i="1"/>
  <c r="M902" i="1"/>
  <c r="K902" i="1"/>
  <c r="J902" i="1"/>
  <c r="H902" i="1"/>
  <c r="G902" i="1"/>
  <c r="F902" i="1"/>
  <c r="C902" i="1"/>
  <c r="M901" i="1"/>
  <c r="K901" i="1"/>
  <c r="J901" i="1"/>
  <c r="H901" i="1"/>
  <c r="G901" i="1"/>
  <c r="F901" i="1"/>
  <c r="C901" i="1"/>
  <c r="M900" i="1"/>
  <c r="K900" i="1"/>
  <c r="J900" i="1"/>
  <c r="H900" i="1"/>
  <c r="G900" i="1"/>
  <c r="F900" i="1"/>
  <c r="C900" i="1"/>
  <c r="M899" i="1"/>
  <c r="K899" i="1"/>
  <c r="J899" i="1"/>
  <c r="H899" i="1"/>
  <c r="G899" i="1"/>
  <c r="F899" i="1"/>
  <c r="C899" i="1"/>
  <c r="M898" i="1"/>
  <c r="K898" i="1"/>
  <c r="J898" i="1"/>
  <c r="H898" i="1"/>
  <c r="G898" i="1"/>
  <c r="F898" i="1"/>
  <c r="C898" i="1"/>
  <c r="M897" i="1"/>
  <c r="K897" i="1"/>
  <c r="J897" i="1"/>
  <c r="H897" i="1"/>
  <c r="G897" i="1"/>
  <c r="F897" i="1"/>
  <c r="C897" i="1"/>
  <c r="M896" i="1"/>
  <c r="K896" i="1"/>
  <c r="J896" i="1"/>
  <c r="H896" i="1"/>
  <c r="G896" i="1"/>
  <c r="F896" i="1"/>
  <c r="C896" i="1"/>
  <c r="M895" i="1"/>
  <c r="K895" i="1"/>
  <c r="J895" i="1"/>
  <c r="H895" i="1"/>
  <c r="G895" i="1"/>
  <c r="F895" i="1"/>
  <c r="C895" i="1"/>
  <c r="M894" i="1"/>
  <c r="K894" i="1"/>
  <c r="J894" i="1"/>
  <c r="H894" i="1"/>
  <c r="G894" i="1"/>
  <c r="F894" i="1"/>
  <c r="C894" i="1"/>
  <c r="M893" i="1"/>
  <c r="K893" i="1"/>
  <c r="J893" i="1"/>
  <c r="H893" i="1"/>
  <c r="G893" i="1"/>
  <c r="F893" i="1"/>
  <c r="C893" i="1"/>
  <c r="M892" i="1"/>
  <c r="K892" i="1"/>
  <c r="J892" i="1"/>
  <c r="H892" i="1"/>
  <c r="G892" i="1"/>
  <c r="F892" i="1"/>
  <c r="C892" i="1"/>
  <c r="M891" i="1"/>
  <c r="K891" i="1"/>
  <c r="J891" i="1"/>
  <c r="H891" i="1"/>
  <c r="G891" i="1"/>
  <c r="F891" i="1"/>
  <c r="C891" i="1"/>
  <c r="M890" i="1"/>
  <c r="K890" i="1"/>
  <c r="J890" i="1"/>
  <c r="H890" i="1"/>
  <c r="G890" i="1"/>
  <c r="F890" i="1"/>
  <c r="C890" i="1"/>
  <c r="M889" i="1"/>
  <c r="K889" i="1"/>
  <c r="J889" i="1"/>
  <c r="H889" i="1"/>
  <c r="G889" i="1"/>
  <c r="F889" i="1"/>
  <c r="C889" i="1"/>
  <c r="M888" i="1"/>
  <c r="K888" i="1"/>
  <c r="J888" i="1"/>
  <c r="H888" i="1"/>
  <c r="G888" i="1"/>
  <c r="F888" i="1"/>
  <c r="C888" i="1"/>
  <c r="M887" i="1"/>
  <c r="K887" i="1"/>
  <c r="J887" i="1"/>
  <c r="H887" i="1"/>
  <c r="G887" i="1"/>
  <c r="F887" i="1"/>
  <c r="C887" i="1"/>
  <c r="M886" i="1"/>
  <c r="K886" i="1"/>
  <c r="J886" i="1"/>
  <c r="H886" i="1"/>
  <c r="G886" i="1"/>
  <c r="F886" i="1"/>
  <c r="C886" i="1"/>
  <c r="M885" i="1"/>
  <c r="K885" i="1"/>
  <c r="J885" i="1"/>
  <c r="H885" i="1"/>
  <c r="G885" i="1"/>
  <c r="F885" i="1"/>
  <c r="C885" i="1"/>
  <c r="M884" i="1"/>
  <c r="K884" i="1"/>
  <c r="J884" i="1"/>
  <c r="H884" i="1"/>
  <c r="G884" i="1"/>
  <c r="F884" i="1"/>
  <c r="C884" i="1"/>
  <c r="M883" i="1"/>
  <c r="K883" i="1"/>
  <c r="J883" i="1"/>
  <c r="H883" i="1"/>
  <c r="G883" i="1"/>
  <c r="F883" i="1"/>
  <c r="C883" i="1"/>
  <c r="M882" i="1"/>
  <c r="K882" i="1"/>
  <c r="J882" i="1"/>
  <c r="H882" i="1"/>
  <c r="G882" i="1"/>
  <c r="F882" i="1"/>
  <c r="C882" i="1"/>
  <c r="M881" i="1"/>
  <c r="K881" i="1"/>
  <c r="J881" i="1"/>
  <c r="H881" i="1"/>
  <c r="G881" i="1"/>
  <c r="F881" i="1"/>
  <c r="C881" i="1"/>
  <c r="M880" i="1"/>
  <c r="K880" i="1"/>
  <c r="J880" i="1"/>
  <c r="H880" i="1"/>
  <c r="G880" i="1"/>
  <c r="F880" i="1"/>
  <c r="C880" i="1"/>
  <c r="M879" i="1"/>
  <c r="K879" i="1"/>
  <c r="J879" i="1"/>
  <c r="H879" i="1"/>
  <c r="G879" i="1"/>
  <c r="F879" i="1"/>
  <c r="C879" i="1"/>
  <c r="M878" i="1"/>
  <c r="K878" i="1"/>
  <c r="J878" i="1"/>
  <c r="H878" i="1"/>
  <c r="G878" i="1"/>
  <c r="F878" i="1"/>
  <c r="C878" i="1"/>
  <c r="M877" i="1"/>
  <c r="K877" i="1"/>
  <c r="J877" i="1"/>
  <c r="H877" i="1"/>
  <c r="G877" i="1"/>
  <c r="F877" i="1"/>
  <c r="C877" i="1"/>
  <c r="M876" i="1"/>
  <c r="K876" i="1"/>
  <c r="J876" i="1"/>
  <c r="H876" i="1"/>
  <c r="G876" i="1"/>
  <c r="F876" i="1"/>
  <c r="C876" i="1"/>
  <c r="M875" i="1"/>
  <c r="K875" i="1"/>
  <c r="J875" i="1"/>
  <c r="H875" i="1"/>
  <c r="G875" i="1"/>
  <c r="F875" i="1"/>
  <c r="C875" i="1"/>
  <c r="M874" i="1"/>
  <c r="K874" i="1"/>
  <c r="J874" i="1"/>
  <c r="H874" i="1"/>
  <c r="G874" i="1"/>
  <c r="F874" i="1"/>
  <c r="C874" i="1"/>
  <c r="M873" i="1"/>
  <c r="K873" i="1"/>
  <c r="J873" i="1"/>
  <c r="H873" i="1"/>
  <c r="G873" i="1"/>
  <c r="F873" i="1"/>
  <c r="C873" i="1"/>
  <c r="M872" i="1"/>
  <c r="K872" i="1"/>
  <c r="J872" i="1"/>
  <c r="H872" i="1"/>
  <c r="G872" i="1"/>
  <c r="F872" i="1"/>
  <c r="C872" i="1"/>
  <c r="M871" i="1"/>
  <c r="K871" i="1"/>
  <c r="J871" i="1"/>
  <c r="H871" i="1"/>
  <c r="G871" i="1"/>
  <c r="F871" i="1"/>
  <c r="C871" i="1"/>
  <c r="M870" i="1"/>
  <c r="K870" i="1"/>
  <c r="J870" i="1"/>
  <c r="H870" i="1"/>
  <c r="G870" i="1"/>
  <c r="F870" i="1"/>
  <c r="C870" i="1"/>
  <c r="M869" i="1"/>
  <c r="K869" i="1"/>
  <c r="J869" i="1"/>
  <c r="H869" i="1"/>
  <c r="G869" i="1"/>
  <c r="F869" i="1"/>
  <c r="C869" i="1"/>
  <c r="M868" i="1"/>
  <c r="K868" i="1"/>
  <c r="J868" i="1"/>
  <c r="H868" i="1"/>
  <c r="G868" i="1"/>
  <c r="F868" i="1"/>
  <c r="C868" i="1"/>
  <c r="M867" i="1"/>
  <c r="K867" i="1"/>
  <c r="J867" i="1"/>
  <c r="H867" i="1"/>
  <c r="G867" i="1"/>
  <c r="F867" i="1"/>
  <c r="C867" i="1"/>
  <c r="M866" i="1"/>
  <c r="K866" i="1"/>
  <c r="J866" i="1"/>
  <c r="H866" i="1"/>
  <c r="G866" i="1"/>
  <c r="F866" i="1"/>
  <c r="C866" i="1"/>
  <c r="M865" i="1"/>
  <c r="K865" i="1"/>
  <c r="J865" i="1"/>
  <c r="H865" i="1"/>
  <c r="G865" i="1"/>
  <c r="F865" i="1"/>
  <c r="C865" i="1"/>
  <c r="M864" i="1"/>
  <c r="K864" i="1"/>
  <c r="J864" i="1"/>
  <c r="H864" i="1"/>
  <c r="G864" i="1"/>
  <c r="F864" i="1"/>
  <c r="C864" i="1"/>
  <c r="M863" i="1"/>
  <c r="K863" i="1"/>
  <c r="J863" i="1"/>
  <c r="H863" i="1"/>
  <c r="G863" i="1"/>
  <c r="F863" i="1"/>
  <c r="C863" i="1"/>
  <c r="M862" i="1"/>
  <c r="K862" i="1"/>
  <c r="J862" i="1"/>
  <c r="H862" i="1"/>
  <c r="G862" i="1"/>
  <c r="F862" i="1"/>
  <c r="C862" i="1"/>
  <c r="M861" i="1"/>
  <c r="K861" i="1"/>
  <c r="J861" i="1"/>
  <c r="H861" i="1"/>
  <c r="G861" i="1"/>
  <c r="F861" i="1"/>
  <c r="C861" i="1"/>
  <c r="M860" i="1"/>
  <c r="K860" i="1"/>
  <c r="J860" i="1"/>
  <c r="H860" i="1"/>
  <c r="G860" i="1"/>
  <c r="F860" i="1"/>
  <c r="C860" i="1"/>
  <c r="M859" i="1"/>
  <c r="K859" i="1"/>
  <c r="J859" i="1"/>
  <c r="H859" i="1"/>
  <c r="G859" i="1"/>
  <c r="F859" i="1"/>
  <c r="C859" i="1"/>
  <c r="M858" i="1"/>
  <c r="K858" i="1"/>
  <c r="J858" i="1"/>
  <c r="H858" i="1"/>
  <c r="G858" i="1"/>
  <c r="F858" i="1"/>
  <c r="C858" i="1"/>
  <c r="M857" i="1"/>
  <c r="K857" i="1"/>
  <c r="J857" i="1"/>
  <c r="H857" i="1"/>
  <c r="G857" i="1"/>
  <c r="F857" i="1"/>
  <c r="C857" i="1"/>
  <c r="M856" i="1"/>
  <c r="K856" i="1"/>
  <c r="J856" i="1"/>
  <c r="H856" i="1"/>
  <c r="G856" i="1"/>
  <c r="F856" i="1"/>
  <c r="C856" i="1"/>
  <c r="M855" i="1"/>
  <c r="K855" i="1"/>
  <c r="J855" i="1"/>
  <c r="H855" i="1"/>
  <c r="G855" i="1"/>
  <c r="F855" i="1"/>
  <c r="C855" i="1"/>
  <c r="M854" i="1"/>
  <c r="K854" i="1"/>
  <c r="J854" i="1"/>
  <c r="H854" i="1"/>
  <c r="G854" i="1"/>
  <c r="F854" i="1"/>
  <c r="C854" i="1"/>
  <c r="M853" i="1"/>
  <c r="K853" i="1"/>
  <c r="J853" i="1"/>
  <c r="H853" i="1"/>
  <c r="G853" i="1"/>
  <c r="F853" i="1"/>
  <c r="C853" i="1"/>
  <c r="M852" i="1"/>
  <c r="K852" i="1"/>
  <c r="J852" i="1"/>
  <c r="H852" i="1"/>
  <c r="G852" i="1"/>
  <c r="F852" i="1"/>
  <c r="C852" i="1"/>
  <c r="M851" i="1"/>
  <c r="K851" i="1"/>
  <c r="J851" i="1"/>
  <c r="H851" i="1"/>
  <c r="G851" i="1"/>
  <c r="F851" i="1"/>
  <c r="C851" i="1"/>
  <c r="M850" i="1"/>
  <c r="K850" i="1"/>
  <c r="J850" i="1"/>
  <c r="H850" i="1"/>
  <c r="G850" i="1"/>
  <c r="F850" i="1"/>
  <c r="C850" i="1"/>
  <c r="M849" i="1"/>
  <c r="K849" i="1"/>
  <c r="J849" i="1"/>
  <c r="H849" i="1"/>
  <c r="G849" i="1"/>
  <c r="F849" i="1"/>
  <c r="C849" i="1"/>
  <c r="M848" i="1"/>
  <c r="K848" i="1"/>
  <c r="J848" i="1"/>
  <c r="H848" i="1"/>
  <c r="G848" i="1"/>
  <c r="F848" i="1"/>
  <c r="C848" i="1"/>
  <c r="M847" i="1"/>
  <c r="K847" i="1"/>
  <c r="J847" i="1"/>
  <c r="H847" i="1"/>
  <c r="G847" i="1"/>
  <c r="F847" i="1"/>
  <c r="C847" i="1"/>
  <c r="M846" i="1"/>
  <c r="K846" i="1"/>
  <c r="J846" i="1"/>
  <c r="H846" i="1"/>
  <c r="G846" i="1"/>
  <c r="F846" i="1"/>
  <c r="C846" i="1"/>
  <c r="M845" i="1"/>
  <c r="K845" i="1"/>
  <c r="J845" i="1"/>
  <c r="H845" i="1"/>
  <c r="G845" i="1"/>
  <c r="F845" i="1"/>
  <c r="C845" i="1"/>
  <c r="M844" i="1"/>
  <c r="K844" i="1"/>
  <c r="J844" i="1"/>
  <c r="H844" i="1"/>
  <c r="G844" i="1"/>
  <c r="F844" i="1"/>
  <c r="C844" i="1"/>
  <c r="M843" i="1"/>
  <c r="K843" i="1"/>
  <c r="J843" i="1"/>
  <c r="H843" i="1"/>
  <c r="G843" i="1"/>
  <c r="F843" i="1"/>
  <c r="C843" i="1"/>
  <c r="M842" i="1"/>
  <c r="K842" i="1"/>
  <c r="J842" i="1"/>
  <c r="H842" i="1"/>
  <c r="G842" i="1"/>
  <c r="F842" i="1"/>
  <c r="C842" i="1"/>
  <c r="M841" i="1"/>
  <c r="K841" i="1"/>
  <c r="J841" i="1"/>
  <c r="H841" i="1"/>
  <c r="G841" i="1"/>
  <c r="F841" i="1"/>
  <c r="C841" i="1"/>
  <c r="M840" i="1"/>
  <c r="K840" i="1"/>
  <c r="J840" i="1"/>
  <c r="H840" i="1"/>
  <c r="G840" i="1"/>
  <c r="F840" i="1"/>
  <c r="C840" i="1"/>
  <c r="M839" i="1"/>
  <c r="K839" i="1"/>
  <c r="J839" i="1"/>
  <c r="H839" i="1"/>
  <c r="G839" i="1"/>
  <c r="F839" i="1"/>
  <c r="C839" i="1"/>
  <c r="M838" i="1"/>
  <c r="K838" i="1"/>
  <c r="J838" i="1"/>
  <c r="H838" i="1"/>
  <c r="G838" i="1"/>
  <c r="F838" i="1"/>
  <c r="C838" i="1"/>
  <c r="M837" i="1"/>
  <c r="K837" i="1"/>
  <c r="J837" i="1"/>
  <c r="H837" i="1"/>
  <c r="G837" i="1"/>
  <c r="F837" i="1"/>
  <c r="C837" i="1"/>
  <c r="M836" i="1"/>
  <c r="K836" i="1"/>
  <c r="J836" i="1"/>
  <c r="H836" i="1"/>
  <c r="G836" i="1"/>
  <c r="F836" i="1"/>
  <c r="C836" i="1"/>
  <c r="M835" i="1"/>
  <c r="K835" i="1"/>
  <c r="J835" i="1"/>
  <c r="H835" i="1"/>
  <c r="G835" i="1"/>
  <c r="F835" i="1"/>
  <c r="C835" i="1"/>
  <c r="M834" i="1"/>
  <c r="K834" i="1"/>
  <c r="J834" i="1"/>
  <c r="H834" i="1"/>
  <c r="G834" i="1"/>
  <c r="F834" i="1"/>
  <c r="C834" i="1"/>
  <c r="M833" i="1"/>
  <c r="K833" i="1"/>
  <c r="J833" i="1"/>
  <c r="H833" i="1"/>
  <c r="G833" i="1"/>
  <c r="F833" i="1"/>
  <c r="C833" i="1"/>
  <c r="M832" i="1"/>
  <c r="K832" i="1"/>
  <c r="J832" i="1"/>
  <c r="H832" i="1"/>
  <c r="G832" i="1"/>
  <c r="F832" i="1"/>
  <c r="C832" i="1"/>
  <c r="M831" i="1"/>
  <c r="K831" i="1"/>
  <c r="J831" i="1"/>
  <c r="H831" i="1"/>
  <c r="G831" i="1"/>
  <c r="F831" i="1"/>
  <c r="C831" i="1"/>
  <c r="M830" i="1"/>
  <c r="K830" i="1"/>
  <c r="J830" i="1"/>
  <c r="H830" i="1"/>
  <c r="G830" i="1"/>
  <c r="F830" i="1"/>
  <c r="C830" i="1"/>
  <c r="M829" i="1"/>
  <c r="K829" i="1"/>
  <c r="J829" i="1"/>
  <c r="H829" i="1"/>
  <c r="G829" i="1"/>
  <c r="F829" i="1"/>
  <c r="C829" i="1"/>
  <c r="M828" i="1"/>
  <c r="K828" i="1"/>
  <c r="J828" i="1"/>
  <c r="H828" i="1"/>
  <c r="G828" i="1"/>
  <c r="F828" i="1"/>
  <c r="C828" i="1"/>
  <c r="M827" i="1"/>
  <c r="K827" i="1"/>
  <c r="J827" i="1"/>
  <c r="H827" i="1"/>
  <c r="G827" i="1"/>
  <c r="F827" i="1"/>
  <c r="C827" i="1"/>
  <c r="M826" i="1"/>
  <c r="K826" i="1"/>
  <c r="J826" i="1"/>
  <c r="H826" i="1"/>
  <c r="G826" i="1"/>
  <c r="F826" i="1"/>
  <c r="C826" i="1"/>
  <c r="M825" i="1"/>
  <c r="K825" i="1"/>
  <c r="J825" i="1"/>
  <c r="H825" i="1"/>
  <c r="G825" i="1"/>
  <c r="F825" i="1"/>
  <c r="C825" i="1"/>
  <c r="M824" i="1"/>
  <c r="K824" i="1"/>
  <c r="J824" i="1"/>
  <c r="H824" i="1"/>
  <c r="G824" i="1"/>
  <c r="F824" i="1"/>
  <c r="C824" i="1"/>
  <c r="M823" i="1"/>
  <c r="K823" i="1"/>
  <c r="J823" i="1"/>
  <c r="H823" i="1"/>
  <c r="G823" i="1"/>
  <c r="F823" i="1"/>
  <c r="C823" i="1"/>
  <c r="M822" i="1"/>
  <c r="K822" i="1"/>
  <c r="J822" i="1"/>
  <c r="H822" i="1"/>
  <c r="G822" i="1"/>
  <c r="F822" i="1"/>
  <c r="C822" i="1"/>
  <c r="M821" i="1"/>
  <c r="K821" i="1"/>
  <c r="J821" i="1"/>
  <c r="H821" i="1"/>
  <c r="G821" i="1"/>
  <c r="F821" i="1"/>
  <c r="C821" i="1"/>
  <c r="M820" i="1"/>
  <c r="K820" i="1"/>
  <c r="J820" i="1"/>
  <c r="H820" i="1"/>
  <c r="G820" i="1"/>
  <c r="F820" i="1"/>
  <c r="C820" i="1"/>
  <c r="M819" i="1"/>
  <c r="K819" i="1"/>
  <c r="J819" i="1"/>
  <c r="H819" i="1"/>
  <c r="G819" i="1"/>
  <c r="F819" i="1"/>
  <c r="C819" i="1"/>
  <c r="M818" i="1"/>
  <c r="K818" i="1"/>
  <c r="J818" i="1"/>
  <c r="H818" i="1"/>
  <c r="G818" i="1"/>
  <c r="F818" i="1"/>
  <c r="C818" i="1"/>
  <c r="M817" i="1"/>
  <c r="K817" i="1"/>
  <c r="J817" i="1"/>
  <c r="H817" i="1"/>
  <c r="G817" i="1"/>
  <c r="F817" i="1"/>
  <c r="C817" i="1"/>
  <c r="M816" i="1"/>
  <c r="K816" i="1"/>
  <c r="J816" i="1"/>
  <c r="H816" i="1"/>
  <c r="G816" i="1"/>
  <c r="F816" i="1"/>
  <c r="C816" i="1"/>
  <c r="M815" i="1"/>
  <c r="K815" i="1"/>
  <c r="J815" i="1"/>
  <c r="H815" i="1"/>
  <c r="G815" i="1"/>
  <c r="F815" i="1"/>
  <c r="C815" i="1"/>
  <c r="M814" i="1"/>
  <c r="K814" i="1"/>
  <c r="J814" i="1"/>
  <c r="H814" i="1"/>
  <c r="G814" i="1"/>
  <c r="F814" i="1"/>
  <c r="C814" i="1"/>
  <c r="M813" i="1"/>
  <c r="K813" i="1"/>
  <c r="J813" i="1"/>
  <c r="H813" i="1"/>
  <c r="G813" i="1"/>
  <c r="F813" i="1"/>
  <c r="C813" i="1"/>
  <c r="M812" i="1"/>
  <c r="K812" i="1"/>
  <c r="J812" i="1"/>
  <c r="H812" i="1"/>
  <c r="G812" i="1"/>
  <c r="F812" i="1"/>
  <c r="C812" i="1"/>
  <c r="M811" i="1"/>
  <c r="K811" i="1"/>
  <c r="J811" i="1"/>
  <c r="H811" i="1"/>
  <c r="G811" i="1"/>
  <c r="F811" i="1"/>
  <c r="C811" i="1"/>
  <c r="M810" i="1"/>
  <c r="K810" i="1"/>
  <c r="J810" i="1"/>
  <c r="H810" i="1"/>
  <c r="G810" i="1"/>
  <c r="F810" i="1"/>
  <c r="C810" i="1"/>
  <c r="M809" i="1"/>
  <c r="K809" i="1"/>
  <c r="J809" i="1"/>
  <c r="H809" i="1"/>
  <c r="G809" i="1"/>
  <c r="F809" i="1"/>
  <c r="C809" i="1"/>
  <c r="M808" i="1"/>
  <c r="K808" i="1"/>
  <c r="J808" i="1"/>
  <c r="H808" i="1"/>
  <c r="G808" i="1"/>
  <c r="F808" i="1"/>
  <c r="C808" i="1"/>
  <c r="M807" i="1"/>
  <c r="K807" i="1"/>
  <c r="J807" i="1"/>
  <c r="H807" i="1"/>
  <c r="G807" i="1"/>
  <c r="F807" i="1"/>
  <c r="C807" i="1"/>
  <c r="M806" i="1"/>
  <c r="K806" i="1"/>
  <c r="J806" i="1"/>
  <c r="H806" i="1"/>
  <c r="G806" i="1"/>
  <c r="F806" i="1"/>
  <c r="C806" i="1"/>
  <c r="M805" i="1"/>
  <c r="K805" i="1"/>
  <c r="J805" i="1"/>
  <c r="H805" i="1"/>
  <c r="G805" i="1"/>
  <c r="F805" i="1"/>
  <c r="C805" i="1"/>
  <c r="M804" i="1"/>
  <c r="K804" i="1"/>
  <c r="J804" i="1"/>
  <c r="H804" i="1"/>
  <c r="G804" i="1"/>
  <c r="F804" i="1"/>
  <c r="C804" i="1"/>
  <c r="M803" i="1"/>
  <c r="K803" i="1"/>
  <c r="J803" i="1"/>
  <c r="H803" i="1"/>
  <c r="G803" i="1"/>
  <c r="F803" i="1"/>
  <c r="C803" i="1"/>
  <c r="M802" i="1"/>
  <c r="K802" i="1"/>
  <c r="J802" i="1"/>
  <c r="H802" i="1"/>
  <c r="G802" i="1"/>
  <c r="F802" i="1"/>
  <c r="C802" i="1"/>
  <c r="M801" i="1"/>
  <c r="K801" i="1"/>
  <c r="J801" i="1"/>
  <c r="H801" i="1"/>
  <c r="G801" i="1"/>
  <c r="F801" i="1"/>
  <c r="C801" i="1"/>
  <c r="M800" i="1"/>
  <c r="K800" i="1"/>
  <c r="J800" i="1"/>
  <c r="H800" i="1"/>
  <c r="G800" i="1"/>
  <c r="F800" i="1"/>
  <c r="C800" i="1"/>
  <c r="M799" i="1"/>
  <c r="K799" i="1"/>
  <c r="J799" i="1"/>
  <c r="H799" i="1"/>
  <c r="G799" i="1"/>
  <c r="F799" i="1"/>
  <c r="C799" i="1"/>
  <c r="M798" i="1"/>
  <c r="K798" i="1"/>
  <c r="J798" i="1"/>
  <c r="H798" i="1"/>
  <c r="G798" i="1"/>
  <c r="F798" i="1"/>
  <c r="C798" i="1"/>
  <c r="M797" i="1"/>
  <c r="K797" i="1"/>
  <c r="J797" i="1"/>
  <c r="H797" i="1"/>
  <c r="G797" i="1"/>
  <c r="F797" i="1"/>
  <c r="C797" i="1"/>
  <c r="M796" i="1"/>
  <c r="K796" i="1"/>
  <c r="J796" i="1"/>
  <c r="H796" i="1"/>
  <c r="G796" i="1"/>
  <c r="F796" i="1"/>
  <c r="C796" i="1"/>
  <c r="M795" i="1"/>
  <c r="K795" i="1"/>
  <c r="J795" i="1"/>
  <c r="H795" i="1"/>
  <c r="G795" i="1"/>
  <c r="F795" i="1"/>
  <c r="C795" i="1"/>
  <c r="M794" i="1"/>
  <c r="K794" i="1"/>
  <c r="J794" i="1"/>
  <c r="H794" i="1"/>
  <c r="G794" i="1"/>
  <c r="F794" i="1"/>
  <c r="C794" i="1"/>
  <c r="M793" i="1"/>
  <c r="K793" i="1"/>
  <c r="J793" i="1"/>
  <c r="H793" i="1"/>
  <c r="G793" i="1"/>
  <c r="F793" i="1"/>
  <c r="C793" i="1"/>
  <c r="M792" i="1"/>
  <c r="K792" i="1"/>
  <c r="J792" i="1"/>
  <c r="H792" i="1"/>
  <c r="G792" i="1"/>
  <c r="F792" i="1"/>
  <c r="C792" i="1"/>
  <c r="M791" i="1"/>
  <c r="K791" i="1"/>
  <c r="J791" i="1"/>
  <c r="H791" i="1"/>
  <c r="G791" i="1"/>
  <c r="F791" i="1"/>
  <c r="C791" i="1"/>
  <c r="M790" i="1"/>
  <c r="K790" i="1"/>
  <c r="J790" i="1"/>
  <c r="H790" i="1"/>
  <c r="G790" i="1"/>
  <c r="F790" i="1"/>
  <c r="C790" i="1"/>
  <c r="M789" i="1"/>
  <c r="K789" i="1"/>
  <c r="J789" i="1"/>
  <c r="H789" i="1"/>
  <c r="G789" i="1"/>
  <c r="F789" i="1"/>
  <c r="C789" i="1"/>
  <c r="M788" i="1"/>
  <c r="K788" i="1"/>
  <c r="J788" i="1"/>
  <c r="H788" i="1"/>
  <c r="G788" i="1"/>
  <c r="F788" i="1"/>
  <c r="C788" i="1"/>
  <c r="M787" i="1"/>
  <c r="K787" i="1"/>
  <c r="J787" i="1"/>
  <c r="H787" i="1"/>
  <c r="G787" i="1"/>
  <c r="F787" i="1"/>
  <c r="C787" i="1"/>
  <c r="M786" i="1"/>
  <c r="K786" i="1"/>
  <c r="J786" i="1"/>
  <c r="H786" i="1"/>
  <c r="G786" i="1"/>
  <c r="F786" i="1"/>
  <c r="C786" i="1"/>
  <c r="M785" i="1"/>
  <c r="K785" i="1"/>
  <c r="J785" i="1"/>
  <c r="H785" i="1"/>
  <c r="G785" i="1"/>
  <c r="F785" i="1"/>
  <c r="C785" i="1"/>
  <c r="M784" i="1"/>
  <c r="K784" i="1"/>
  <c r="J784" i="1"/>
  <c r="H784" i="1"/>
  <c r="G784" i="1"/>
  <c r="F784" i="1"/>
  <c r="C784" i="1"/>
  <c r="M783" i="1"/>
  <c r="K783" i="1"/>
  <c r="J783" i="1"/>
  <c r="H783" i="1"/>
  <c r="G783" i="1"/>
  <c r="F783" i="1"/>
  <c r="C783" i="1"/>
  <c r="M782" i="1"/>
  <c r="K782" i="1"/>
  <c r="J782" i="1"/>
  <c r="H782" i="1"/>
  <c r="G782" i="1"/>
  <c r="F782" i="1"/>
  <c r="C782" i="1"/>
  <c r="M781" i="1"/>
  <c r="K781" i="1"/>
  <c r="J781" i="1"/>
  <c r="H781" i="1"/>
  <c r="G781" i="1"/>
  <c r="F781" i="1"/>
  <c r="C781" i="1"/>
  <c r="M780" i="1"/>
  <c r="K780" i="1"/>
  <c r="J780" i="1"/>
  <c r="H780" i="1"/>
  <c r="G780" i="1"/>
  <c r="F780" i="1"/>
  <c r="C780" i="1"/>
  <c r="M779" i="1"/>
  <c r="K779" i="1"/>
  <c r="J779" i="1"/>
  <c r="H779" i="1"/>
  <c r="G779" i="1"/>
  <c r="F779" i="1"/>
  <c r="C779" i="1"/>
  <c r="M778" i="1"/>
  <c r="K778" i="1"/>
  <c r="J778" i="1"/>
  <c r="H778" i="1"/>
  <c r="G778" i="1"/>
  <c r="F778" i="1"/>
  <c r="C778" i="1"/>
  <c r="M777" i="1"/>
  <c r="K777" i="1"/>
  <c r="J777" i="1"/>
  <c r="H777" i="1"/>
  <c r="G777" i="1"/>
  <c r="F777" i="1"/>
  <c r="C777" i="1"/>
  <c r="M776" i="1"/>
  <c r="K776" i="1"/>
  <c r="J776" i="1"/>
  <c r="H776" i="1"/>
  <c r="G776" i="1"/>
  <c r="F776" i="1"/>
  <c r="C776" i="1"/>
  <c r="M775" i="1"/>
  <c r="K775" i="1"/>
  <c r="J775" i="1"/>
  <c r="H775" i="1"/>
  <c r="G775" i="1"/>
  <c r="F775" i="1"/>
  <c r="C775" i="1"/>
  <c r="M774" i="1"/>
  <c r="K774" i="1"/>
  <c r="J774" i="1"/>
  <c r="H774" i="1"/>
  <c r="G774" i="1"/>
  <c r="F774" i="1"/>
  <c r="C774" i="1"/>
  <c r="M773" i="1"/>
  <c r="K773" i="1"/>
  <c r="J773" i="1"/>
  <c r="H773" i="1"/>
  <c r="G773" i="1"/>
  <c r="F773" i="1"/>
  <c r="C773" i="1"/>
  <c r="M772" i="1"/>
  <c r="K772" i="1"/>
  <c r="J772" i="1"/>
  <c r="H772" i="1"/>
  <c r="G772" i="1"/>
  <c r="F772" i="1"/>
  <c r="C772" i="1"/>
  <c r="M771" i="1"/>
  <c r="K771" i="1"/>
  <c r="J771" i="1"/>
  <c r="H771" i="1"/>
  <c r="G771" i="1"/>
  <c r="F771" i="1"/>
  <c r="C771" i="1"/>
  <c r="M770" i="1"/>
  <c r="K770" i="1"/>
  <c r="J770" i="1"/>
  <c r="H770" i="1"/>
  <c r="G770" i="1"/>
  <c r="F770" i="1"/>
  <c r="C770" i="1"/>
  <c r="M769" i="1"/>
  <c r="K769" i="1"/>
  <c r="J769" i="1"/>
  <c r="H769" i="1"/>
  <c r="G769" i="1"/>
  <c r="F769" i="1"/>
  <c r="C769" i="1"/>
  <c r="M768" i="1"/>
  <c r="K768" i="1"/>
  <c r="J768" i="1"/>
  <c r="H768" i="1"/>
  <c r="G768" i="1"/>
  <c r="F768" i="1"/>
  <c r="C768" i="1"/>
  <c r="M767" i="1"/>
  <c r="K767" i="1"/>
  <c r="J767" i="1"/>
  <c r="H767" i="1"/>
  <c r="G767" i="1"/>
  <c r="F767" i="1"/>
  <c r="C767" i="1"/>
  <c r="M766" i="1"/>
  <c r="K766" i="1"/>
  <c r="J766" i="1"/>
  <c r="H766" i="1"/>
  <c r="G766" i="1"/>
  <c r="F766" i="1"/>
  <c r="C766" i="1"/>
  <c r="M765" i="1"/>
  <c r="K765" i="1"/>
  <c r="J765" i="1"/>
  <c r="H765" i="1"/>
  <c r="G765" i="1"/>
  <c r="F765" i="1"/>
  <c r="C765" i="1"/>
  <c r="M764" i="1"/>
  <c r="K764" i="1"/>
  <c r="J764" i="1"/>
  <c r="H764" i="1"/>
  <c r="G764" i="1"/>
  <c r="F764" i="1"/>
  <c r="C764" i="1"/>
  <c r="M763" i="1"/>
  <c r="K763" i="1"/>
  <c r="J763" i="1"/>
  <c r="H763" i="1"/>
  <c r="G763" i="1"/>
  <c r="F763" i="1"/>
  <c r="C763" i="1"/>
  <c r="M762" i="1"/>
  <c r="K762" i="1"/>
  <c r="J762" i="1"/>
  <c r="H762" i="1"/>
  <c r="G762" i="1"/>
  <c r="F762" i="1"/>
  <c r="C762" i="1"/>
  <c r="M761" i="1"/>
  <c r="K761" i="1"/>
  <c r="J761" i="1"/>
  <c r="H761" i="1"/>
  <c r="G761" i="1"/>
  <c r="F761" i="1"/>
  <c r="C761" i="1"/>
  <c r="M760" i="1"/>
  <c r="K760" i="1"/>
  <c r="J760" i="1"/>
  <c r="H760" i="1"/>
  <c r="G760" i="1"/>
  <c r="F760" i="1"/>
  <c r="C760" i="1"/>
  <c r="M759" i="1"/>
  <c r="K759" i="1"/>
  <c r="J759" i="1"/>
  <c r="H759" i="1"/>
  <c r="G759" i="1"/>
  <c r="F759" i="1"/>
  <c r="C759" i="1"/>
  <c r="M758" i="1"/>
  <c r="K758" i="1"/>
  <c r="J758" i="1"/>
  <c r="H758" i="1"/>
  <c r="G758" i="1"/>
  <c r="F758" i="1"/>
  <c r="C758" i="1"/>
  <c r="M757" i="1"/>
  <c r="K757" i="1"/>
  <c r="J757" i="1"/>
  <c r="H757" i="1"/>
  <c r="G757" i="1"/>
  <c r="F757" i="1"/>
  <c r="C757" i="1"/>
  <c r="M756" i="1"/>
  <c r="K756" i="1"/>
  <c r="J756" i="1"/>
  <c r="H756" i="1"/>
  <c r="G756" i="1"/>
  <c r="F756" i="1"/>
  <c r="C756" i="1"/>
  <c r="M755" i="1"/>
  <c r="K755" i="1"/>
  <c r="J755" i="1"/>
  <c r="H755" i="1"/>
  <c r="G755" i="1"/>
  <c r="F755" i="1"/>
  <c r="C755" i="1"/>
  <c r="M754" i="1"/>
  <c r="K754" i="1"/>
  <c r="J754" i="1"/>
  <c r="H754" i="1"/>
  <c r="G754" i="1"/>
  <c r="F754" i="1"/>
  <c r="C754" i="1"/>
  <c r="M753" i="1"/>
  <c r="K753" i="1"/>
  <c r="J753" i="1"/>
  <c r="H753" i="1"/>
  <c r="G753" i="1"/>
  <c r="F753" i="1"/>
  <c r="C753" i="1"/>
  <c r="M752" i="1"/>
  <c r="K752" i="1"/>
  <c r="J752" i="1"/>
  <c r="H752" i="1"/>
  <c r="G752" i="1"/>
  <c r="F752" i="1"/>
  <c r="C752" i="1"/>
  <c r="M751" i="1"/>
  <c r="K751" i="1"/>
  <c r="J751" i="1"/>
  <c r="H751" i="1"/>
  <c r="G751" i="1"/>
  <c r="F751" i="1"/>
  <c r="C751" i="1"/>
  <c r="M750" i="1"/>
  <c r="K750" i="1"/>
  <c r="J750" i="1"/>
  <c r="H750" i="1"/>
  <c r="G750" i="1"/>
  <c r="F750" i="1"/>
  <c r="C750" i="1"/>
  <c r="M749" i="1"/>
  <c r="K749" i="1"/>
  <c r="J749" i="1"/>
  <c r="H749" i="1"/>
  <c r="G749" i="1"/>
  <c r="F749" i="1"/>
  <c r="C749" i="1"/>
  <c r="M748" i="1"/>
  <c r="K748" i="1"/>
  <c r="J748" i="1"/>
  <c r="H748" i="1"/>
  <c r="G748" i="1"/>
  <c r="F748" i="1"/>
  <c r="C748" i="1"/>
  <c r="M747" i="1"/>
  <c r="K747" i="1"/>
  <c r="J747" i="1"/>
  <c r="H747" i="1"/>
  <c r="G747" i="1"/>
  <c r="F747" i="1"/>
  <c r="C747" i="1"/>
  <c r="M746" i="1"/>
  <c r="K746" i="1"/>
  <c r="J746" i="1"/>
  <c r="H746" i="1"/>
  <c r="G746" i="1"/>
  <c r="F746" i="1"/>
  <c r="C746" i="1"/>
  <c r="M745" i="1"/>
  <c r="K745" i="1"/>
  <c r="J745" i="1"/>
  <c r="H745" i="1"/>
  <c r="G745" i="1"/>
  <c r="F745" i="1"/>
  <c r="C745" i="1"/>
  <c r="M744" i="1"/>
  <c r="K744" i="1"/>
  <c r="J744" i="1"/>
  <c r="H744" i="1"/>
  <c r="G744" i="1"/>
  <c r="F744" i="1"/>
  <c r="C744" i="1"/>
  <c r="M743" i="1"/>
  <c r="K743" i="1"/>
  <c r="J743" i="1"/>
  <c r="H743" i="1"/>
  <c r="G743" i="1"/>
  <c r="F743" i="1"/>
  <c r="C743" i="1"/>
  <c r="M742" i="1"/>
  <c r="K742" i="1"/>
  <c r="J742" i="1"/>
  <c r="H742" i="1"/>
  <c r="G742" i="1"/>
  <c r="F742" i="1"/>
  <c r="C742" i="1"/>
  <c r="M741" i="1"/>
  <c r="K741" i="1"/>
  <c r="J741" i="1"/>
  <c r="H741" i="1"/>
  <c r="G741" i="1"/>
  <c r="F741" i="1"/>
  <c r="C741" i="1"/>
  <c r="M740" i="1"/>
  <c r="K740" i="1"/>
  <c r="J740" i="1"/>
  <c r="H740" i="1"/>
  <c r="G740" i="1"/>
  <c r="F740" i="1"/>
  <c r="C740" i="1"/>
  <c r="M739" i="1"/>
  <c r="K739" i="1"/>
  <c r="J739" i="1"/>
  <c r="H739" i="1"/>
  <c r="G739" i="1"/>
  <c r="F739" i="1"/>
  <c r="C739" i="1"/>
  <c r="M738" i="1"/>
  <c r="K738" i="1"/>
  <c r="J738" i="1"/>
  <c r="H738" i="1"/>
  <c r="G738" i="1"/>
  <c r="F738" i="1"/>
  <c r="C738" i="1"/>
  <c r="M737" i="1"/>
  <c r="K737" i="1"/>
  <c r="J737" i="1"/>
  <c r="H737" i="1"/>
  <c r="G737" i="1"/>
  <c r="F737" i="1"/>
  <c r="C737" i="1"/>
  <c r="M736" i="1"/>
  <c r="K736" i="1"/>
  <c r="J736" i="1"/>
  <c r="H736" i="1"/>
  <c r="G736" i="1"/>
  <c r="F736" i="1"/>
  <c r="C736" i="1"/>
  <c r="M735" i="1"/>
  <c r="K735" i="1"/>
  <c r="J735" i="1"/>
  <c r="H735" i="1"/>
  <c r="G735" i="1"/>
  <c r="F735" i="1"/>
  <c r="C735" i="1"/>
  <c r="M734" i="1"/>
  <c r="K734" i="1"/>
  <c r="J734" i="1"/>
  <c r="H734" i="1"/>
  <c r="G734" i="1"/>
  <c r="F734" i="1"/>
  <c r="C734" i="1"/>
  <c r="M733" i="1"/>
  <c r="K733" i="1"/>
  <c r="J733" i="1"/>
  <c r="H733" i="1"/>
  <c r="G733" i="1"/>
  <c r="F733" i="1"/>
  <c r="C733" i="1"/>
  <c r="M732" i="1"/>
  <c r="K732" i="1"/>
  <c r="J732" i="1"/>
  <c r="H732" i="1"/>
  <c r="G732" i="1"/>
  <c r="F732" i="1"/>
  <c r="C732" i="1"/>
  <c r="M731" i="1"/>
  <c r="K731" i="1"/>
  <c r="J731" i="1"/>
  <c r="H731" i="1"/>
  <c r="G731" i="1"/>
  <c r="F731" i="1"/>
  <c r="C731" i="1"/>
  <c r="M730" i="1"/>
  <c r="K730" i="1"/>
  <c r="J730" i="1"/>
  <c r="H730" i="1"/>
  <c r="G730" i="1"/>
  <c r="F730" i="1"/>
  <c r="C730" i="1"/>
  <c r="M729" i="1"/>
  <c r="K729" i="1"/>
  <c r="J729" i="1"/>
  <c r="H729" i="1"/>
  <c r="G729" i="1"/>
  <c r="F729" i="1"/>
  <c r="C729" i="1"/>
  <c r="M728" i="1"/>
  <c r="K728" i="1"/>
  <c r="J728" i="1"/>
  <c r="H728" i="1"/>
  <c r="G728" i="1"/>
  <c r="F728" i="1"/>
  <c r="C728" i="1"/>
  <c r="M727" i="1"/>
  <c r="K727" i="1"/>
  <c r="J727" i="1"/>
  <c r="H727" i="1"/>
  <c r="G727" i="1"/>
  <c r="F727" i="1"/>
  <c r="C727" i="1"/>
  <c r="M726" i="1"/>
  <c r="K726" i="1"/>
  <c r="J726" i="1"/>
  <c r="H726" i="1"/>
  <c r="G726" i="1"/>
  <c r="F726" i="1"/>
  <c r="C726" i="1"/>
  <c r="M725" i="1"/>
  <c r="K725" i="1"/>
  <c r="J725" i="1"/>
  <c r="H725" i="1"/>
  <c r="G725" i="1"/>
  <c r="F725" i="1"/>
  <c r="C725" i="1"/>
  <c r="M724" i="1"/>
  <c r="K724" i="1"/>
  <c r="J724" i="1"/>
  <c r="H724" i="1"/>
  <c r="G724" i="1"/>
  <c r="F724" i="1"/>
  <c r="C724" i="1"/>
  <c r="M723" i="1"/>
  <c r="K723" i="1"/>
  <c r="J723" i="1"/>
  <c r="H723" i="1"/>
  <c r="G723" i="1"/>
  <c r="F723" i="1"/>
  <c r="C723" i="1"/>
  <c r="M722" i="1"/>
  <c r="K722" i="1"/>
  <c r="J722" i="1"/>
  <c r="H722" i="1"/>
  <c r="G722" i="1"/>
  <c r="F722" i="1"/>
  <c r="C722" i="1"/>
  <c r="M721" i="1"/>
  <c r="K721" i="1"/>
  <c r="J721" i="1"/>
  <c r="H721" i="1"/>
  <c r="G721" i="1"/>
  <c r="F721" i="1"/>
  <c r="C721" i="1"/>
  <c r="M720" i="1"/>
  <c r="K720" i="1"/>
  <c r="J720" i="1"/>
  <c r="H720" i="1"/>
  <c r="G720" i="1"/>
  <c r="F720" i="1"/>
  <c r="C720" i="1"/>
  <c r="M719" i="1"/>
  <c r="K719" i="1"/>
  <c r="J719" i="1"/>
  <c r="H719" i="1"/>
  <c r="G719" i="1"/>
  <c r="F719" i="1"/>
  <c r="C719" i="1"/>
  <c r="M718" i="1"/>
  <c r="K718" i="1"/>
  <c r="J718" i="1"/>
  <c r="H718" i="1"/>
  <c r="G718" i="1"/>
  <c r="F718" i="1"/>
  <c r="C718" i="1"/>
  <c r="M717" i="1"/>
  <c r="K717" i="1"/>
  <c r="J717" i="1"/>
  <c r="H717" i="1"/>
  <c r="G717" i="1"/>
  <c r="F717" i="1"/>
  <c r="C717" i="1"/>
  <c r="M716" i="1"/>
  <c r="K716" i="1"/>
  <c r="J716" i="1"/>
  <c r="H716" i="1"/>
  <c r="G716" i="1"/>
  <c r="F716" i="1"/>
  <c r="C716" i="1"/>
  <c r="M715" i="1"/>
  <c r="K715" i="1"/>
  <c r="J715" i="1"/>
  <c r="H715" i="1"/>
  <c r="G715" i="1"/>
  <c r="F715" i="1"/>
  <c r="C715" i="1"/>
  <c r="M714" i="1"/>
  <c r="K714" i="1"/>
  <c r="J714" i="1"/>
  <c r="H714" i="1"/>
  <c r="G714" i="1"/>
  <c r="F714" i="1"/>
  <c r="C714" i="1"/>
  <c r="M713" i="1"/>
  <c r="K713" i="1"/>
  <c r="J713" i="1"/>
  <c r="H713" i="1"/>
  <c r="G713" i="1"/>
  <c r="F713" i="1"/>
  <c r="C713" i="1"/>
  <c r="M712" i="1"/>
  <c r="K712" i="1"/>
  <c r="J712" i="1"/>
  <c r="H712" i="1"/>
  <c r="G712" i="1"/>
  <c r="F712" i="1"/>
  <c r="C712" i="1"/>
  <c r="M711" i="1"/>
  <c r="K711" i="1"/>
  <c r="J711" i="1"/>
  <c r="H711" i="1"/>
  <c r="G711" i="1"/>
  <c r="F711" i="1"/>
  <c r="C711" i="1"/>
  <c r="M710" i="1"/>
  <c r="K710" i="1"/>
  <c r="J710" i="1"/>
  <c r="H710" i="1"/>
  <c r="G710" i="1"/>
  <c r="F710" i="1"/>
  <c r="C710" i="1"/>
  <c r="M709" i="1"/>
  <c r="K709" i="1"/>
  <c r="J709" i="1"/>
  <c r="H709" i="1"/>
  <c r="G709" i="1"/>
  <c r="F709" i="1"/>
  <c r="C709" i="1"/>
  <c r="M708" i="1"/>
  <c r="K708" i="1"/>
  <c r="J708" i="1"/>
  <c r="H708" i="1"/>
  <c r="G708" i="1"/>
  <c r="F708" i="1"/>
  <c r="C708" i="1"/>
  <c r="M707" i="1"/>
  <c r="K707" i="1"/>
  <c r="J707" i="1"/>
  <c r="H707" i="1"/>
  <c r="G707" i="1"/>
  <c r="F707" i="1"/>
  <c r="C707" i="1"/>
  <c r="M706" i="1"/>
  <c r="K706" i="1"/>
  <c r="J706" i="1"/>
  <c r="H706" i="1"/>
  <c r="G706" i="1"/>
  <c r="F706" i="1"/>
  <c r="C706" i="1"/>
  <c r="M705" i="1"/>
  <c r="K705" i="1"/>
  <c r="J705" i="1"/>
  <c r="H705" i="1"/>
  <c r="G705" i="1"/>
  <c r="F705" i="1"/>
  <c r="C705" i="1"/>
  <c r="M704" i="1"/>
  <c r="K704" i="1"/>
  <c r="J704" i="1"/>
  <c r="H704" i="1"/>
  <c r="G704" i="1"/>
  <c r="F704" i="1"/>
  <c r="C704" i="1"/>
  <c r="M703" i="1"/>
  <c r="K703" i="1"/>
  <c r="J703" i="1"/>
  <c r="H703" i="1"/>
  <c r="G703" i="1"/>
  <c r="F703" i="1"/>
  <c r="C703" i="1"/>
  <c r="M702" i="1"/>
  <c r="K702" i="1"/>
  <c r="J702" i="1"/>
  <c r="H702" i="1"/>
  <c r="G702" i="1"/>
  <c r="F702" i="1"/>
  <c r="C702" i="1"/>
  <c r="M701" i="1"/>
  <c r="K701" i="1"/>
  <c r="J701" i="1"/>
  <c r="H701" i="1"/>
  <c r="G701" i="1"/>
  <c r="F701" i="1"/>
  <c r="C701" i="1"/>
  <c r="M700" i="1"/>
  <c r="K700" i="1"/>
  <c r="J700" i="1"/>
  <c r="H700" i="1"/>
  <c r="G700" i="1"/>
  <c r="F700" i="1"/>
  <c r="C700" i="1"/>
  <c r="M699" i="1"/>
  <c r="K699" i="1"/>
  <c r="J699" i="1"/>
  <c r="H699" i="1"/>
  <c r="G699" i="1"/>
  <c r="F699" i="1"/>
  <c r="C699" i="1"/>
  <c r="M698" i="1"/>
  <c r="K698" i="1"/>
  <c r="J698" i="1"/>
  <c r="H698" i="1"/>
  <c r="G698" i="1"/>
  <c r="F698" i="1"/>
  <c r="C698" i="1"/>
  <c r="M697" i="1"/>
  <c r="K697" i="1"/>
  <c r="J697" i="1"/>
  <c r="H697" i="1"/>
  <c r="G697" i="1"/>
  <c r="F697" i="1"/>
  <c r="C697" i="1"/>
  <c r="M696" i="1"/>
  <c r="K696" i="1"/>
  <c r="J696" i="1"/>
  <c r="H696" i="1"/>
  <c r="G696" i="1"/>
  <c r="F696" i="1"/>
  <c r="C696" i="1"/>
  <c r="M695" i="1"/>
  <c r="K695" i="1"/>
  <c r="J695" i="1"/>
  <c r="H695" i="1"/>
  <c r="G695" i="1"/>
  <c r="F695" i="1"/>
  <c r="C695" i="1"/>
  <c r="M694" i="1"/>
  <c r="K694" i="1"/>
  <c r="J694" i="1"/>
  <c r="H694" i="1"/>
  <c r="G694" i="1"/>
  <c r="F694" i="1"/>
  <c r="C694" i="1"/>
  <c r="M693" i="1"/>
  <c r="K693" i="1"/>
  <c r="J693" i="1"/>
  <c r="H693" i="1"/>
  <c r="G693" i="1"/>
  <c r="F693" i="1"/>
  <c r="C693" i="1"/>
  <c r="M692" i="1"/>
  <c r="K692" i="1"/>
  <c r="J692" i="1"/>
  <c r="H692" i="1"/>
  <c r="G692" i="1"/>
  <c r="F692" i="1"/>
  <c r="C692" i="1"/>
  <c r="M691" i="1"/>
  <c r="K691" i="1"/>
  <c r="J691" i="1"/>
  <c r="H691" i="1"/>
  <c r="G691" i="1"/>
  <c r="F691" i="1"/>
  <c r="C691" i="1"/>
  <c r="M690" i="1"/>
  <c r="K690" i="1"/>
  <c r="J690" i="1"/>
  <c r="H690" i="1"/>
  <c r="G690" i="1"/>
  <c r="F690" i="1"/>
  <c r="C690" i="1"/>
  <c r="M689" i="1"/>
  <c r="K689" i="1"/>
  <c r="J689" i="1"/>
  <c r="H689" i="1"/>
  <c r="G689" i="1"/>
  <c r="F689" i="1"/>
  <c r="C689" i="1"/>
  <c r="M688" i="1"/>
  <c r="K688" i="1"/>
  <c r="J688" i="1"/>
  <c r="H688" i="1"/>
  <c r="G688" i="1"/>
  <c r="F688" i="1"/>
  <c r="C688" i="1"/>
  <c r="M687" i="1"/>
  <c r="K687" i="1"/>
  <c r="J687" i="1"/>
  <c r="H687" i="1"/>
  <c r="G687" i="1"/>
  <c r="F687" i="1"/>
  <c r="C687" i="1"/>
  <c r="M686" i="1"/>
  <c r="K686" i="1"/>
  <c r="J686" i="1"/>
  <c r="H686" i="1"/>
  <c r="G686" i="1"/>
  <c r="F686" i="1"/>
  <c r="C686" i="1"/>
  <c r="M685" i="1"/>
  <c r="K685" i="1"/>
  <c r="J685" i="1"/>
  <c r="H685" i="1"/>
  <c r="G685" i="1"/>
  <c r="F685" i="1"/>
  <c r="C685" i="1"/>
  <c r="M684" i="1"/>
  <c r="K684" i="1"/>
  <c r="J684" i="1"/>
  <c r="H684" i="1"/>
  <c r="G684" i="1"/>
  <c r="F684" i="1"/>
  <c r="C684" i="1"/>
  <c r="M683" i="1"/>
  <c r="K683" i="1"/>
  <c r="J683" i="1"/>
  <c r="H683" i="1"/>
  <c r="G683" i="1"/>
  <c r="F683" i="1"/>
  <c r="C683" i="1"/>
  <c r="M682" i="1"/>
  <c r="K682" i="1"/>
  <c r="J682" i="1"/>
  <c r="H682" i="1"/>
  <c r="G682" i="1"/>
  <c r="F682" i="1"/>
  <c r="C682" i="1"/>
  <c r="M681" i="1"/>
  <c r="K681" i="1"/>
  <c r="J681" i="1"/>
  <c r="H681" i="1"/>
  <c r="G681" i="1"/>
  <c r="F681" i="1"/>
  <c r="C681" i="1"/>
  <c r="M680" i="1"/>
  <c r="K680" i="1"/>
  <c r="J680" i="1"/>
  <c r="H680" i="1"/>
  <c r="G680" i="1"/>
  <c r="F680" i="1"/>
  <c r="C680" i="1"/>
  <c r="M679" i="1"/>
  <c r="K679" i="1"/>
  <c r="J679" i="1"/>
  <c r="H679" i="1"/>
  <c r="G679" i="1"/>
  <c r="F679" i="1"/>
  <c r="C679" i="1"/>
  <c r="M678" i="1"/>
  <c r="K678" i="1"/>
  <c r="J678" i="1"/>
  <c r="H678" i="1"/>
  <c r="G678" i="1"/>
  <c r="F678" i="1"/>
  <c r="C678" i="1"/>
  <c r="M677" i="1"/>
  <c r="K677" i="1"/>
  <c r="J677" i="1"/>
  <c r="H677" i="1"/>
  <c r="G677" i="1"/>
  <c r="F677" i="1"/>
  <c r="C677" i="1"/>
  <c r="M676" i="1"/>
  <c r="K676" i="1"/>
  <c r="J676" i="1"/>
  <c r="H676" i="1"/>
  <c r="G676" i="1"/>
  <c r="F676" i="1"/>
  <c r="C676" i="1"/>
  <c r="M675" i="1"/>
  <c r="K675" i="1"/>
  <c r="J675" i="1"/>
  <c r="H675" i="1"/>
  <c r="G675" i="1"/>
  <c r="F675" i="1"/>
  <c r="C675" i="1"/>
  <c r="M674" i="1"/>
  <c r="K674" i="1"/>
  <c r="J674" i="1"/>
  <c r="H674" i="1"/>
  <c r="G674" i="1"/>
  <c r="F674" i="1"/>
  <c r="C674" i="1"/>
  <c r="M673" i="1"/>
  <c r="K673" i="1"/>
  <c r="J673" i="1"/>
  <c r="H673" i="1"/>
  <c r="G673" i="1"/>
  <c r="F673" i="1"/>
  <c r="C673" i="1"/>
  <c r="M672" i="1"/>
  <c r="K672" i="1"/>
  <c r="J672" i="1"/>
  <c r="H672" i="1"/>
  <c r="G672" i="1"/>
  <c r="F672" i="1"/>
  <c r="C672" i="1"/>
  <c r="M671" i="1"/>
  <c r="K671" i="1"/>
  <c r="J671" i="1"/>
  <c r="H671" i="1"/>
  <c r="G671" i="1"/>
  <c r="F671" i="1"/>
  <c r="C671" i="1"/>
  <c r="M670" i="1"/>
  <c r="K670" i="1"/>
  <c r="J670" i="1"/>
  <c r="H670" i="1"/>
  <c r="G670" i="1"/>
  <c r="F670" i="1"/>
  <c r="C670" i="1"/>
  <c r="M669" i="1"/>
  <c r="K669" i="1"/>
  <c r="J669" i="1"/>
  <c r="H669" i="1"/>
  <c r="G669" i="1"/>
  <c r="F669" i="1"/>
  <c r="C669" i="1"/>
  <c r="M668" i="1"/>
  <c r="K668" i="1"/>
  <c r="J668" i="1"/>
  <c r="H668" i="1"/>
  <c r="G668" i="1"/>
  <c r="F668" i="1"/>
  <c r="C668" i="1"/>
  <c r="M667" i="1"/>
  <c r="K667" i="1"/>
  <c r="J667" i="1"/>
  <c r="H667" i="1"/>
  <c r="G667" i="1"/>
  <c r="F667" i="1"/>
  <c r="C667" i="1"/>
  <c r="M666" i="1"/>
  <c r="K666" i="1"/>
  <c r="J666" i="1"/>
  <c r="H666" i="1"/>
  <c r="G666" i="1"/>
  <c r="F666" i="1"/>
  <c r="C666" i="1"/>
  <c r="M665" i="1"/>
  <c r="K665" i="1"/>
  <c r="J665" i="1"/>
  <c r="H665" i="1"/>
  <c r="G665" i="1"/>
  <c r="F665" i="1"/>
  <c r="C665" i="1"/>
  <c r="M664" i="1"/>
  <c r="K664" i="1"/>
  <c r="J664" i="1"/>
  <c r="H664" i="1"/>
  <c r="G664" i="1"/>
  <c r="F664" i="1"/>
  <c r="C664" i="1"/>
  <c r="M663" i="1"/>
  <c r="K663" i="1"/>
  <c r="J663" i="1"/>
  <c r="H663" i="1"/>
  <c r="G663" i="1"/>
  <c r="F663" i="1"/>
  <c r="C663" i="1"/>
  <c r="M662" i="1"/>
  <c r="K662" i="1"/>
  <c r="J662" i="1"/>
  <c r="H662" i="1"/>
  <c r="G662" i="1"/>
  <c r="F662" i="1"/>
  <c r="C662" i="1"/>
  <c r="M661" i="1"/>
  <c r="K661" i="1"/>
  <c r="J661" i="1"/>
  <c r="H661" i="1"/>
  <c r="G661" i="1"/>
  <c r="F661" i="1"/>
  <c r="C661" i="1"/>
  <c r="M660" i="1"/>
  <c r="K660" i="1"/>
  <c r="J660" i="1"/>
  <c r="H660" i="1"/>
  <c r="G660" i="1"/>
  <c r="F660" i="1"/>
  <c r="C660" i="1"/>
  <c r="M659" i="1"/>
  <c r="K659" i="1"/>
  <c r="J659" i="1"/>
  <c r="H659" i="1"/>
  <c r="G659" i="1"/>
  <c r="F659" i="1"/>
  <c r="C659" i="1"/>
  <c r="M658" i="1"/>
  <c r="K658" i="1"/>
  <c r="J658" i="1"/>
  <c r="H658" i="1"/>
  <c r="G658" i="1"/>
  <c r="F658" i="1"/>
  <c r="C658" i="1"/>
  <c r="M657" i="1"/>
  <c r="K657" i="1"/>
  <c r="J657" i="1"/>
  <c r="H657" i="1"/>
  <c r="G657" i="1"/>
  <c r="F657" i="1"/>
  <c r="C657" i="1"/>
  <c r="M656" i="1"/>
  <c r="K656" i="1"/>
  <c r="J656" i="1"/>
  <c r="H656" i="1"/>
  <c r="G656" i="1"/>
  <c r="F656" i="1"/>
  <c r="C656" i="1"/>
  <c r="M655" i="1"/>
  <c r="K655" i="1"/>
  <c r="J655" i="1"/>
  <c r="H655" i="1"/>
  <c r="G655" i="1"/>
  <c r="F655" i="1"/>
  <c r="C655" i="1"/>
  <c r="M654" i="1"/>
  <c r="K654" i="1"/>
  <c r="J654" i="1"/>
  <c r="H654" i="1"/>
  <c r="G654" i="1"/>
  <c r="F654" i="1"/>
  <c r="C654" i="1"/>
  <c r="M653" i="1"/>
  <c r="K653" i="1"/>
  <c r="J653" i="1"/>
  <c r="H653" i="1"/>
  <c r="G653" i="1"/>
  <c r="F653" i="1"/>
  <c r="C653" i="1"/>
  <c r="M652" i="1"/>
  <c r="K652" i="1"/>
  <c r="J652" i="1"/>
  <c r="H652" i="1"/>
  <c r="G652" i="1"/>
  <c r="F652" i="1"/>
  <c r="C652" i="1"/>
  <c r="M651" i="1"/>
  <c r="K651" i="1"/>
  <c r="J651" i="1"/>
  <c r="H651" i="1"/>
  <c r="G651" i="1"/>
  <c r="F651" i="1"/>
  <c r="C651" i="1"/>
  <c r="M650" i="1"/>
  <c r="K650" i="1"/>
  <c r="J650" i="1"/>
  <c r="H650" i="1"/>
  <c r="G650" i="1"/>
  <c r="F650" i="1"/>
  <c r="C650" i="1"/>
  <c r="M649" i="1"/>
  <c r="K649" i="1"/>
  <c r="J649" i="1"/>
  <c r="H649" i="1"/>
  <c r="G649" i="1"/>
  <c r="F649" i="1"/>
  <c r="C649" i="1"/>
  <c r="M648" i="1"/>
  <c r="K648" i="1"/>
  <c r="J648" i="1"/>
  <c r="H648" i="1"/>
  <c r="G648" i="1"/>
  <c r="F648" i="1"/>
  <c r="C648" i="1"/>
  <c r="M647" i="1"/>
  <c r="K647" i="1"/>
  <c r="J647" i="1"/>
  <c r="H647" i="1"/>
  <c r="G647" i="1"/>
  <c r="F647" i="1"/>
  <c r="C647" i="1"/>
  <c r="M646" i="1"/>
  <c r="K646" i="1"/>
  <c r="J646" i="1"/>
  <c r="H646" i="1"/>
  <c r="G646" i="1"/>
  <c r="F646" i="1"/>
  <c r="C646" i="1"/>
  <c r="M645" i="1"/>
  <c r="K645" i="1"/>
  <c r="J645" i="1"/>
  <c r="H645" i="1"/>
  <c r="G645" i="1"/>
  <c r="F645" i="1"/>
  <c r="C645" i="1"/>
  <c r="M644" i="1"/>
  <c r="K644" i="1"/>
  <c r="J644" i="1"/>
  <c r="H644" i="1"/>
  <c r="G644" i="1"/>
  <c r="F644" i="1"/>
  <c r="C644" i="1"/>
  <c r="M643" i="1"/>
  <c r="K643" i="1"/>
  <c r="J643" i="1"/>
  <c r="H643" i="1"/>
  <c r="G643" i="1"/>
  <c r="F643" i="1"/>
  <c r="C643" i="1"/>
  <c r="M642" i="1"/>
  <c r="K642" i="1"/>
  <c r="J642" i="1"/>
  <c r="H642" i="1"/>
  <c r="G642" i="1"/>
  <c r="F642" i="1"/>
  <c r="C642" i="1"/>
  <c r="M641" i="1"/>
  <c r="K641" i="1"/>
  <c r="J641" i="1"/>
  <c r="H641" i="1"/>
  <c r="G641" i="1"/>
  <c r="F641" i="1"/>
  <c r="C641" i="1"/>
  <c r="M640" i="1"/>
  <c r="K640" i="1"/>
  <c r="J640" i="1"/>
  <c r="H640" i="1"/>
  <c r="G640" i="1"/>
  <c r="F640" i="1"/>
  <c r="C640" i="1"/>
  <c r="M639" i="1"/>
  <c r="K639" i="1"/>
  <c r="J639" i="1"/>
  <c r="H639" i="1"/>
  <c r="G639" i="1"/>
  <c r="F639" i="1"/>
  <c r="C639" i="1"/>
  <c r="M638" i="1"/>
  <c r="K638" i="1"/>
  <c r="J638" i="1"/>
  <c r="H638" i="1"/>
  <c r="G638" i="1"/>
  <c r="F638" i="1"/>
  <c r="C638" i="1"/>
  <c r="M637" i="1"/>
  <c r="K637" i="1"/>
  <c r="J637" i="1"/>
  <c r="H637" i="1"/>
  <c r="G637" i="1"/>
  <c r="F637" i="1"/>
  <c r="C637" i="1"/>
  <c r="M636" i="1"/>
  <c r="K636" i="1"/>
  <c r="J636" i="1"/>
  <c r="H636" i="1"/>
  <c r="G636" i="1"/>
  <c r="F636" i="1"/>
  <c r="C636" i="1"/>
  <c r="M635" i="1"/>
  <c r="K635" i="1"/>
  <c r="J635" i="1"/>
  <c r="H635" i="1"/>
  <c r="G635" i="1"/>
  <c r="F635" i="1"/>
  <c r="C635" i="1"/>
  <c r="M634" i="1"/>
  <c r="K634" i="1"/>
  <c r="J634" i="1"/>
  <c r="H634" i="1"/>
  <c r="G634" i="1"/>
  <c r="F634" i="1"/>
  <c r="C634" i="1"/>
  <c r="M633" i="1"/>
  <c r="K633" i="1"/>
  <c r="J633" i="1"/>
  <c r="H633" i="1"/>
  <c r="G633" i="1"/>
  <c r="F633" i="1"/>
  <c r="C633" i="1"/>
  <c r="M632" i="1"/>
  <c r="K632" i="1"/>
  <c r="J632" i="1"/>
  <c r="H632" i="1"/>
  <c r="G632" i="1"/>
  <c r="F632" i="1"/>
  <c r="C632" i="1"/>
  <c r="M631" i="1"/>
  <c r="K631" i="1"/>
  <c r="J631" i="1"/>
  <c r="H631" i="1"/>
  <c r="G631" i="1"/>
  <c r="F631" i="1"/>
  <c r="C631" i="1"/>
  <c r="M630" i="1"/>
  <c r="K630" i="1"/>
  <c r="J630" i="1"/>
  <c r="H630" i="1"/>
  <c r="G630" i="1"/>
  <c r="F630" i="1"/>
  <c r="C630" i="1"/>
  <c r="M629" i="1"/>
  <c r="K629" i="1"/>
  <c r="J629" i="1"/>
  <c r="H629" i="1"/>
  <c r="G629" i="1"/>
  <c r="F629" i="1"/>
  <c r="C629" i="1"/>
  <c r="M628" i="1"/>
  <c r="K628" i="1"/>
  <c r="J628" i="1"/>
  <c r="H628" i="1"/>
  <c r="G628" i="1"/>
  <c r="F628" i="1"/>
  <c r="C628" i="1"/>
  <c r="M627" i="1"/>
  <c r="K627" i="1"/>
  <c r="J627" i="1"/>
  <c r="H627" i="1"/>
  <c r="G627" i="1"/>
  <c r="F627" i="1"/>
  <c r="C627" i="1"/>
  <c r="M626" i="1"/>
  <c r="K626" i="1"/>
  <c r="J626" i="1"/>
  <c r="H626" i="1"/>
  <c r="G626" i="1"/>
  <c r="F626" i="1"/>
  <c r="C626" i="1"/>
  <c r="M625" i="1"/>
  <c r="K625" i="1"/>
  <c r="J625" i="1"/>
  <c r="H625" i="1"/>
  <c r="G625" i="1"/>
  <c r="F625" i="1"/>
  <c r="C625" i="1"/>
  <c r="M624" i="1"/>
  <c r="K624" i="1"/>
  <c r="J624" i="1"/>
  <c r="H624" i="1"/>
  <c r="G624" i="1"/>
  <c r="F624" i="1"/>
  <c r="C624" i="1"/>
  <c r="M623" i="1"/>
  <c r="K623" i="1"/>
  <c r="J623" i="1"/>
  <c r="H623" i="1"/>
  <c r="G623" i="1"/>
  <c r="F623" i="1"/>
  <c r="C623" i="1"/>
  <c r="M622" i="1"/>
  <c r="K622" i="1"/>
  <c r="J622" i="1"/>
  <c r="H622" i="1"/>
  <c r="G622" i="1"/>
  <c r="F622" i="1"/>
  <c r="C622" i="1"/>
  <c r="M621" i="1"/>
  <c r="K621" i="1"/>
  <c r="J621" i="1"/>
  <c r="H621" i="1"/>
  <c r="G621" i="1"/>
  <c r="F621" i="1"/>
  <c r="C621" i="1"/>
  <c r="M620" i="1"/>
  <c r="K620" i="1"/>
  <c r="J620" i="1"/>
  <c r="H620" i="1"/>
  <c r="G620" i="1"/>
  <c r="F620" i="1"/>
  <c r="C620" i="1"/>
  <c r="M619" i="1"/>
  <c r="K619" i="1"/>
  <c r="J619" i="1"/>
  <c r="H619" i="1"/>
  <c r="G619" i="1"/>
  <c r="F619" i="1"/>
  <c r="C619" i="1"/>
  <c r="M618" i="1"/>
  <c r="K618" i="1"/>
  <c r="J618" i="1"/>
  <c r="H618" i="1"/>
  <c r="G618" i="1"/>
  <c r="F618" i="1"/>
  <c r="C618" i="1"/>
  <c r="M617" i="1"/>
  <c r="K617" i="1"/>
  <c r="J617" i="1"/>
  <c r="H617" i="1"/>
  <c r="G617" i="1"/>
  <c r="F617" i="1"/>
  <c r="C617" i="1"/>
  <c r="M616" i="1"/>
  <c r="K616" i="1"/>
  <c r="J616" i="1"/>
  <c r="H616" i="1"/>
  <c r="G616" i="1"/>
  <c r="F616" i="1"/>
  <c r="C616" i="1"/>
  <c r="M615" i="1"/>
  <c r="K615" i="1"/>
  <c r="J615" i="1"/>
  <c r="H615" i="1"/>
  <c r="G615" i="1"/>
  <c r="F615" i="1"/>
  <c r="C615" i="1"/>
  <c r="M614" i="1"/>
  <c r="K614" i="1"/>
  <c r="J614" i="1"/>
  <c r="H614" i="1"/>
  <c r="G614" i="1"/>
  <c r="F614" i="1"/>
  <c r="C614" i="1"/>
  <c r="M613" i="1"/>
  <c r="K613" i="1"/>
  <c r="J613" i="1"/>
  <c r="H613" i="1"/>
  <c r="G613" i="1"/>
  <c r="F613" i="1"/>
  <c r="C613" i="1"/>
  <c r="M612" i="1"/>
  <c r="K612" i="1"/>
  <c r="J612" i="1"/>
  <c r="H612" i="1"/>
  <c r="G612" i="1"/>
  <c r="F612" i="1"/>
  <c r="C612" i="1"/>
  <c r="M611" i="1"/>
  <c r="K611" i="1"/>
  <c r="J611" i="1"/>
  <c r="H611" i="1"/>
  <c r="G611" i="1"/>
  <c r="F611" i="1"/>
  <c r="C611" i="1"/>
  <c r="M610" i="1"/>
  <c r="K610" i="1"/>
  <c r="J610" i="1"/>
  <c r="H610" i="1"/>
  <c r="G610" i="1"/>
  <c r="F610" i="1"/>
  <c r="C610" i="1"/>
  <c r="M609" i="1"/>
  <c r="K609" i="1"/>
  <c r="J609" i="1"/>
  <c r="H609" i="1"/>
  <c r="G609" i="1"/>
  <c r="F609" i="1"/>
  <c r="C609" i="1"/>
  <c r="M608" i="1"/>
  <c r="K608" i="1"/>
  <c r="J608" i="1"/>
  <c r="H608" i="1"/>
  <c r="G608" i="1"/>
  <c r="F608" i="1"/>
  <c r="C608" i="1"/>
  <c r="M607" i="1"/>
  <c r="K607" i="1"/>
  <c r="J607" i="1"/>
  <c r="H607" i="1"/>
  <c r="G607" i="1"/>
  <c r="F607" i="1"/>
  <c r="C607" i="1"/>
  <c r="M606" i="1"/>
  <c r="K606" i="1"/>
  <c r="J606" i="1"/>
  <c r="H606" i="1"/>
  <c r="G606" i="1"/>
  <c r="F606" i="1"/>
  <c r="C606" i="1"/>
  <c r="M605" i="1"/>
  <c r="K605" i="1"/>
  <c r="J605" i="1"/>
  <c r="H605" i="1"/>
  <c r="G605" i="1"/>
  <c r="F605" i="1"/>
  <c r="C605" i="1"/>
  <c r="M604" i="1"/>
  <c r="K604" i="1"/>
  <c r="J604" i="1"/>
  <c r="H604" i="1"/>
  <c r="G604" i="1"/>
  <c r="F604" i="1"/>
  <c r="C604" i="1"/>
  <c r="M603" i="1"/>
  <c r="K603" i="1"/>
  <c r="J603" i="1"/>
  <c r="H603" i="1"/>
  <c r="G603" i="1"/>
  <c r="F603" i="1"/>
  <c r="C603" i="1"/>
  <c r="M602" i="1"/>
  <c r="K602" i="1"/>
  <c r="J602" i="1"/>
  <c r="H602" i="1"/>
  <c r="G602" i="1"/>
  <c r="F602" i="1"/>
  <c r="C602" i="1"/>
  <c r="M601" i="1"/>
  <c r="K601" i="1"/>
  <c r="J601" i="1"/>
  <c r="H601" i="1"/>
  <c r="G601" i="1"/>
  <c r="F601" i="1"/>
  <c r="C601" i="1"/>
  <c r="M600" i="1"/>
  <c r="K600" i="1"/>
  <c r="J600" i="1"/>
  <c r="H600" i="1"/>
  <c r="G600" i="1"/>
  <c r="F600" i="1"/>
  <c r="C600" i="1"/>
  <c r="M599" i="1"/>
  <c r="K599" i="1"/>
  <c r="J599" i="1"/>
  <c r="H599" i="1"/>
  <c r="G599" i="1"/>
  <c r="F599" i="1"/>
  <c r="C599" i="1"/>
  <c r="M598" i="1"/>
  <c r="K598" i="1"/>
  <c r="J598" i="1"/>
  <c r="H598" i="1"/>
  <c r="G598" i="1"/>
  <c r="F598" i="1"/>
  <c r="C598" i="1"/>
  <c r="M597" i="1"/>
  <c r="K597" i="1"/>
  <c r="J597" i="1"/>
  <c r="H597" i="1"/>
  <c r="G597" i="1"/>
  <c r="F597" i="1"/>
  <c r="C597" i="1"/>
  <c r="M596" i="1"/>
  <c r="K596" i="1"/>
  <c r="J596" i="1"/>
  <c r="H596" i="1"/>
  <c r="G596" i="1"/>
  <c r="F596" i="1"/>
  <c r="C596" i="1"/>
  <c r="M595" i="1"/>
  <c r="K595" i="1"/>
  <c r="J595" i="1"/>
  <c r="H595" i="1"/>
  <c r="G595" i="1"/>
  <c r="F595" i="1"/>
  <c r="C595" i="1"/>
  <c r="M594" i="1"/>
  <c r="K594" i="1"/>
  <c r="J594" i="1"/>
  <c r="H594" i="1"/>
  <c r="G594" i="1"/>
  <c r="F594" i="1"/>
  <c r="C594" i="1"/>
  <c r="M593" i="1"/>
  <c r="K593" i="1"/>
  <c r="J593" i="1"/>
  <c r="H593" i="1"/>
  <c r="G593" i="1"/>
  <c r="F593" i="1"/>
  <c r="C593" i="1"/>
  <c r="M592" i="1"/>
  <c r="K592" i="1"/>
  <c r="J592" i="1"/>
  <c r="H592" i="1"/>
  <c r="G592" i="1"/>
  <c r="F592" i="1"/>
  <c r="C592" i="1"/>
  <c r="M591" i="1"/>
  <c r="K591" i="1"/>
  <c r="J591" i="1"/>
  <c r="H591" i="1"/>
  <c r="G591" i="1"/>
  <c r="F591" i="1"/>
  <c r="C591" i="1"/>
  <c r="M590" i="1"/>
  <c r="K590" i="1"/>
  <c r="J590" i="1"/>
  <c r="H590" i="1"/>
  <c r="G590" i="1"/>
  <c r="F590" i="1"/>
  <c r="C590" i="1"/>
  <c r="M589" i="1"/>
  <c r="K589" i="1"/>
  <c r="J589" i="1"/>
  <c r="H589" i="1"/>
  <c r="G589" i="1"/>
  <c r="F589" i="1"/>
  <c r="C589" i="1"/>
  <c r="M588" i="1"/>
  <c r="K588" i="1"/>
  <c r="J588" i="1"/>
  <c r="H588" i="1"/>
  <c r="G588" i="1"/>
  <c r="F588" i="1"/>
  <c r="C588" i="1"/>
  <c r="M587" i="1"/>
  <c r="K587" i="1"/>
  <c r="J587" i="1"/>
  <c r="H587" i="1"/>
  <c r="G587" i="1"/>
  <c r="F587" i="1"/>
  <c r="C587" i="1"/>
  <c r="M586" i="1"/>
  <c r="K586" i="1"/>
  <c r="J586" i="1"/>
  <c r="H586" i="1"/>
  <c r="G586" i="1"/>
  <c r="F586" i="1"/>
  <c r="C586" i="1"/>
  <c r="M585" i="1"/>
  <c r="K585" i="1"/>
  <c r="J585" i="1"/>
  <c r="H585" i="1"/>
  <c r="G585" i="1"/>
  <c r="F585" i="1"/>
  <c r="C585" i="1"/>
  <c r="M584" i="1"/>
  <c r="K584" i="1"/>
  <c r="J584" i="1"/>
  <c r="H584" i="1"/>
  <c r="G584" i="1"/>
  <c r="F584" i="1"/>
  <c r="C584" i="1"/>
  <c r="M583" i="1"/>
  <c r="K583" i="1"/>
  <c r="J583" i="1"/>
  <c r="H583" i="1"/>
  <c r="G583" i="1"/>
  <c r="F583" i="1"/>
  <c r="C583" i="1"/>
  <c r="M582" i="1"/>
  <c r="K582" i="1"/>
  <c r="J582" i="1"/>
  <c r="H582" i="1"/>
  <c r="G582" i="1"/>
  <c r="F582" i="1"/>
  <c r="C582" i="1"/>
  <c r="M581" i="1"/>
  <c r="K581" i="1"/>
  <c r="J581" i="1"/>
  <c r="H581" i="1"/>
  <c r="G581" i="1"/>
  <c r="F581" i="1"/>
  <c r="C581" i="1"/>
  <c r="M580" i="1"/>
  <c r="K580" i="1"/>
  <c r="J580" i="1"/>
  <c r="H580" i="1"/>
  <c r="G580" i="1"/>
  <c r="F580" i="1"/>
  <c r="C580" i="1"/>
  <c r="M579" i="1"/>
  <c r="K579" i="1"/>
  <c r="J579" i="1"/>
  <c r="H579" i="1"/>
  <c r="G579" i="1"/>
  <c r="F579" i="1"/>
  <c r="C579" i="1"/>
  <c r="M578" i="1"/>
  <c r="K578" i="1"/>
  <c r="J578" i="1"/>
  <c r="H578" i="1"/>
  <c r="G578" i="1"/>
  <c r="F578" i="1"/>
  <c r="C578" i="1"/>
  <c r="M577" i="1"/>
  <c r="K577" i="1"/>
  <c r="J577" i="1"/>
  <c r="H577" i="1"/>
  <c r="G577" i="1"/>
  <c r="F577" i="1"/>
  <c r="C577" i="1"/>
  <c r="M576" i="1"/>
  <c r="K576" i="1"/>
  <c r="J576" i="1"/>
  <c r="H576" i="1"/>
  <c r="G576" i="1"/>
  <c r="F576" i="1"/>
  <c r="C576" i="1"/>
  <c r="M575" i="1"/>
  <c r="K575" i="1"/>
  <c r="J575" i="1"/>
  <c r="H575" i="1"/>
  <c r="G575" i="1"/>
  <c r="F575" i="1"/>
  <c r="C575" i="1"/>
  <c r="M574" i="1"/>
  <c r="K574" i="1"/>
  <c r="J574" i="1"/>
  <c r="H574" i="1"/>
  <c r="G574" i="1"/>
  <c r="F574" i="1"/>
  <c r="C574" i="1"/>
  <c r="M573" i="1"/>
  <c r="K573" i="1"/>
  <c r="J573" i="1"/>
  <c r="H573" i="1"/>
  <c r="G573" i="1"/>
  <c r="F573" i="1"/>
  <c r="C573" i="1"/>
  <c r="M572" i="1"/>
  <c r="K572" i="1"/>
  <c r="J572" i="1"/>
  <c r="H572" i="1"/>
  <c r="G572" i="1"/>
  <c r="F572" i="1"/>
  <c r="C572" i="1"/>
  <c r="M571" i="1"/>
  <c r="K571" i="1"/>
  <c r="J571" i="1"/>
  <c r="H571" i="1"/>
  <c r="G571" i="1"/>
  <c r="F571" i="1"/>
  <c r="C571" i="1"/>
  <c r="M570" i="1"/>
  <c r="K570" i="1"/>
  <c r="J570" i="1"/>
  <c r="H570" i="1"/>
  <c r="G570" i="1"/>
  <c r="F570" i="1"/>
  <c r="C570" i="1"/>
  <c r="M569" i="1"/>
  <c r="K569" i="1"/>
  <c r="J569" i="1"/>
  <c r="H569" i="1"/>
  <c r="G569" i="1"/>
  <c r="F569" i="1"/>
  <c r="C569" i="1"/>
  <c r="M568" i="1"/>
  <c r="K568" i="1"/>
  <c r="J568" i="1"/>
  <c r="H568" i="1"/>
  <c r="G568" i="1"/>
  <c r="F568" i="1"/>
  <c r="C568" i="1"/>
  <c r="M567" i="1"/>
  <c r="K567" i="1"/>
  <c r="J567" i="1"/>
  <c r="H567" i="1"/>
  <c r="G567" i="1"/>
  <c r="F567" i="1"/>
  <c r="C567" i="1"/>
  <c r="M566" i="1"/>
  <c r="K566" i="1"/>
  <c r="J566" i="1"/>
  <c r="H566" i="1"/>
  <c r="G566" i="1"/>
  <c r="F566" i="1"/>
  <c r="C566" i="1"/>
  <c r="M565" i="1"/>
  <c r="K565" i="1"/>
  <c r="J565" i="1"/>
  <c r="H565" i="1"/>
  <c r="G565" i="1"/>
  <c r="F565" i="1"/>
  <c r="C565" i="1"/>
  <c r="M564" i="1"/>
  <c r="K564" i="1"/>
  <c r="J564" i="1"/>
  <c r="H564" i="1"/>
  <c r="G564" i="1"/>
  <c r="F564" i="1"/>
  <c r="C564" i="1"/>
  <c r="M563" i="1"/>
  <c r="K563" i="1"/>
  <c r="J563" i="1"/>
  <c r="H563" i="1"/>
  <c r="G563" i="1"/>
  <c r="F563" i="1"/>
  <c r="C563" i="1"/>
  <c r="M562" i="1"/>
  <c r="K562" i="1"/>
  <c r="J562" i="1"/>
  <c r="H562" i="1"/>
  <c r="G562" i="1"/>
  <c r="F562" i="1"/>
  <c r="C562" i="1"/>
  <c r="M561" i="1"/>
  <c r="K561" i="1"/>
  <c r="J561" i="1"/>
  <c r="H561" i="1"/>
  <c r="G561" i="1"/>
  <c r="F561" i="1"/>
  <c r="C561" i="1"/>
  <c r="M560" i="1"/>
  <c r="K560" i="1"/>
  <c r="J560" i="1"/>
  <c r="H560" i="1"/>
  <c r="G560" i="1"/>
  <c r="F560" i="1"/>
  <c r="C560" i="1"/>
  <c r="M559" i="1"/>
  <c r="K559" i="1"/>
  <c r="J559" i="1"/>
  <c r="H559" i="1"/>
  <c r="G559" i="1"/>
  <c r="F559" i="1"/>
  <c r="C559" i="1"/>
  <c r="M558" i="1"/>
  <c r="K558" i="1"/>
  <c r="J558" i="1"/>
  <c r="H558" i="1"/>
  <c r="G558" i="1"/>
  <c r="F558" i="1"/>
  <c r="C558" i="1"/>
  <c r="M557" i="1"/>
  <c r="K557" i="1"/>
  <c r="J557" i="1"/>
  <c r="H557" i="1"/>
  <c r="G557" i="1"/>
  <c r="F557" i="1"/>
  <c r="C557" i="1"/>
  <c r="M556" i="1"/>
  <c r="K556" i="1"/>
  <c r="J556" i="1"/>
  <c r="H556" i="1"/>
  <c r="G556" i="1"/>
  <c r="F556" i="1"/>
  <c r="C556" i="1"/>
  <c r="M555" i="1"/>
  <c r="K555" i="1"/>
  <c r="J555" i="1"/>
  <c r="H555" i="1"/>
  <c r="G555" i="1"/>
  <c r="F555" i="1"/>
  <c r="C555" i="1"/>
  <c r="M554" i="1"/>
  <c r="K554" i="1"/>
  <c r="J554" i="1"/>
  <c r="H554" i="1"/>
  <c r="G554" i="1"/>
  <c r="F554" i="1"/>
  <c r="C554" i="1"/>
  <c r="M553" i="1"/>
  <c r="K553" i="1"/>
  <c r="J553" i="1"/>
  <c r="H553" i="1"/>
  <c r="G553" i="1"/>
  <c r="F553" i="1"/>
  <c r="C553" i="1"/>
  <c r="M552" i="1"/>
  <c r="K552" i="1"/>
  <c r="J552" i="1"/>
  <c r="H552" i="1"/>
  <c r="G552" i="1"/>
  <c r="F552" i="1"/>
  <c r="C552" i="1"/>
  <c r="M551" i="1"/>
  <c r="K551" i="1"/>
  <c r="J551" i="1"/>
  <c r="H551" i="1"/>
  <c r="G551" i="1"/>
  <c r="F551" i="1"/>
  <c r="C551" i="1"/>
  <c r="M550" i="1"/>
  <c r="K550" i="1"/>
  <c r="J550" i="1"/>
  <c r="H550" i="1"/>
  <c r="G550" i="1"/>
  <c r="F550" i="1"/>
  <c r="C550" i="1"/>
  <c r="M549" i="1"/>
  <c r="K549" i="1"/>
  <c r="J549" i="1"/>
  <c r="H549" i="1"/>
  <c r="G549" i="1"/>
  <c r="F549" i="1"/>
  <c r="C549" i="1"/>
  <c r="M548" i="1"/>
  <c r="K548" i="1"/>
  <c r="J548" i="1"/>
  <c r="H548" i="1"/>
  <c r="G548" i="1"/>
  <c r="F548" i="1"/>
  <c r="C548" i="1"/>
  <c r="M547" i="1"/>
  <c r="K547" i="1"/>
  <c r="J547" i="1"/>
  <c r="H547" i="1"/>
  <c r="G547" i="1"/>
  <c r="F547" i="1"/>
  <c r="C547" i="1"/>
  <c r="M546" i="1"/>
  <c r="K546" i="1"/>
  <c r="J546" i="1"/>
  <c r="H546" i="1"/>
  <c r="G546" i="1"/>
  <c r="F546" i="1"/>
  <c r="C546" i="1"/>
  <c r="M545" i="1"/>
  <c r="K545" i="1"/>
  <c r="J545" i="1"/>
  <c r="H545" i="1"/>
  <c r="G545" i="1"/>
  <c r="F545" i="1"/>
  <c r="C545" i="1"/>
  <c r="M544" i="1"/>
  <c r="K544" i="1"/>
  <c r="J544" i="1"/>
  <c r="H544" i="1"/>
  <c r="G544" i="1"/>
  <c r="F544" i="1"/>
  <c r="C544" i="1"/>
  <c r="M543" i="1"/>
  <c r="K543" i="1"/>
  <c r="J543" i="1"/>
  <c r="H543" i="1"/>
  <c r="G543" i="1"/>
  <c r="F543" i="1"/>
  <c r="C543" i="1"/>
  <c r="M542" i="1"/>
  <c r="K542" i="1"/>
  <c r="J542" i="1"/>
  <c r="H542" i="1"/>
  <c r="G542" i="1"/>
  <c r="F542" i="1"/>
  <c r="C542" i="1"/>
  <c r="M541" i="1"/>
  <c r="K541" i="1"/>
  <c r="J541" i="1"/>
  <c r="H541" i="1"/>
  <c r="G541" i="1"/>
  <c r="F541" i="1"/>
  <c r="C541" i="1"/>
  <c r="M540" i="1"/>
  <c r="K540" i="1"/>
  <c r="J540" i="1"/>
  <c r="H540" i="1"/>
  <c r="G540" i="1"/>
  <c r="F540" i="1"/>
  <c r="C540" i="1"/>
  <c r="M539" i="1"/>
  <c r="K539" i="1"/>
  <c r="J539" i="1"/>
  <c r="H539" i="1"/>
  <c r="G539" i="1"/>
  <c r="F539" i="1"/>
  <c r="C539" i="1"/>
  <c r="M538" i="1"/>
  <c r="K538" i="1"/>
  <c r="J538" i="1"/>
  <c r="H538" i="1"/>
  <c r="G538" i="1"/>
  <c r="F538" i="1"/>
  <c r="C538" i="1"/>
  <c r="M537" i="1"/>
  <c r="K537" i="1"/>
  <c r="J537" i="1"/>
  <c r="H537" i="1"/>
  <c r="G537" i="1"/>
  <c r="F537" i="1"/>
  <c r="C537" i="1"/>
  <c r="M536" i="1"/>
  <c r="K536" i="1"/>
  <c r="J536" i="1"/>
  <c r="H536" i="1"/>
  <c r="G536" i="1"/>
  <c r="F536" i="1"/>
  <c r="C536" i="1"/>
  <c r="M535" i="1"/>
  <c r="K535" i="1"/>
  <c r="J535" i="1"/>
  <c r="H535" i="1"/>
  <c r="G535" i="1"/>
  <c r="F535" i="1"/>
  <c r="C535" i="1"/>
  <c r="M534" i="1"/>
  <c r="K534" i="1"/>
  <c r="J534" i="1"/>
  <c r="H534" i="1"/>
  <c r="G534" i="1"/>
  <c r="F534" i="1"/>
  <c r="C534" i="1"/>
  <c r="M533" i="1"/>
  <c r="K533" i="1"/>
  <c r="J533" i="1"/>
  <c r="H533" i="1"/>
  <c r="G533" i="1"/>
  <c r="F533" i="1"/>
  <c r="C533" i="1"/>
  <c r="M532" i="1"/>
  <c r="K532" i="1"/>
  <c r="J532" i="1"/>
  <c r="H532" i="1"/>
  <c r="G532" i="1"/>
  <c r="F532" i="1"/>
  <c r="C532" i="1"/>
  <c r="M531" i="1"/>
  <c r="K531" i="1"/>
  <c r="J531" i="1"/>
  <c r="H531" i="1"/>
  <c r="G531" i="1"/>
  <c r="F531" i="1"/>
  <c r="C531" i="1"/>
  <c r="M530" i="1"/>
  <c r="K530" i="1"/>
  <c r="J530" i="1"/>
  <c r="H530" i="1"/>
  <c r="G530" i="1"/>
  <c r="F530" i="1"/>
  <c r="C530" i="1"/>
  <c r="M529" i="1"/>
  <c r="K529" i="1"/>
  <c r="J529" i="1"/>
  <c r="H529" i="1"/>
  <c r="G529" i="1"/>
  <c r="F529" i="1"/>
  <c r="C529" i="1"/>
  <c r="M528" i="1"/>
  <c r="K528" i="1"/>
  <c r="J528" i="1"/>
  <c r="H528" i="1"/>
  <c r="G528" i="1"/>
  <c r="F528" i="1"/>
  <c r="C528" i="1"/>
  <c r="M527" i="1"/>
  <c r="K527" i="1"/>
  <c r="J527" i="1"/>
  <c r="H527" i="1"/>
  <c r="G527" i="1"/>
  <c r="F527" i="1"/>
  <c r="C527" i="1"/>
  <c r="M526" i="1"/>
  <c r="K526" i="1"/>
  <c r="J526" i="1"/>
  <c r="H526" i="1"/>
  <c r="G526" i="1"/>
  <c r="F526" i="1"/>
  <c r="C526" i="1"/>
  <c r="M525" i="1"/>
  <c r="K525" i="1"/>
  <c r="J525" i="1"/>
  <c r="H525" i="1"/>
  <c r="G525" i="1"/>
  <c r="F525" i="1"/>
  <c r="C525" i="1"/>
  <c r="M524" i="1"/>
  <c r="K524" i="1"/>
  <c r="J524" i="1"/>
  <c r="H524" i="1"/>
  <c r="G524" i="1"/>
  <c r="F524" i="1"/>
  <c r="C524" i="1"/>
  <c r="M523" i="1"/>
  <c r="K523" i="1"/>
  <c r="J523" i="1"/>
  <c r="H523" i="1"/>
  <c r="G523" i="1"/>
  <c r="F523" i="1"/>
  <c r="C523" i="1"/>
  <c r="M522" i="1"/>
  <c r="K522" i="1"/>
  <c r="J522" i="1"/>
  <c r="H522" i="1"/>
  <c r="G522" i="1"/>
  <c r="F522" i="1"/>
  <c r="C522" i="1"/>
  <c r="M521" i="1"/>
  <c r="K521" i="1"/>
  <c r="J521" i="1"/>
  <c r="H521" i="1"/>
  <c r="G521" i="1"/>
  <c r="F521" i="1"/>
  <c r="C521" i="1"/>
  <c r="M520" i="1"/>
  <c r="K520" i="1"/>
  <c r="J520" i="1"/>
  <c r="H520" i="1"/>
  <c r="G520" i="1"/>
  <c r="F520" i="1"/>
  <c r="C520" i="1"/>
  <c r="M519" i="1"/>
  <c r="K519" i="1"/>
  <c r="J519" i="1"/>
  <c r="H519" i="1"/>
  <c r="G519" i="1"/>
  <c r="F519" i="1"/>
  <c r="C519" i="1"/>
  <c r="M518" i="1"/>
  <c r="K518" i="1"/>
  <c r="J518" i="1"/>
  <c r="H518" i="1"/>
  <c r="G518" i="1"/>
  <c r="F518" i="1"/>
  <c r="C518" i="1"/>
  <c r="M517" i="1"/>
  <c r="K517" i="1"/>
  <c r="J517" i="1"/>
  <c r="H517" i="1"/>
  <c r="G517" i="1"/>
  <c r="F517" i="1"/>
  <c r="C517" i="1"/>
  <c r="M516" i="1"/>
  <c r="K516" i="1"/>
  <c r="J516" i="1"/>
  <c r="H516" i="1"/>
  <c r="G516" i="1"/>
  <c r="F516" i="1"/>
  <c r="C516" i="1"/>
  <c r="M515" i="1"/>
  <c r="K515" i="1"/>
  <c r="J515" i="1"/>
  <c r="H515" i="1"/>
  <c r="G515" i="1"/>
  <c r="F515" i="1"/>
  <c r="C515" i="1"/>
  <c r="M514" i="1"/>
  <c r="K514" i="1"/>
  <c r="J514" i="1"/>
  <c r="H514" i="1"/>
  <c r="G514" i="1"/>
  <c r="F514" i="1"/>
  <c r="C514" i="1"/>
  <c r="M513" i="1"/>
  <c r="K513" i="1"/>
  <c r="J513" i="1"/>
  <c r="H513" i="1"/>
  <c r="G513" i="1"/>
  <c r="F513" i="1"/>
  <c r="C513" i="1"/>
  <c r="M512" i="1"/>
  <c r="K512" i="1"/>
  <c r="J512" i="1"/>
  <c r="H512" i="1"/>
  <c r="G512" i="1"/>
  <c r="F512" i="1"/>
  <c r="C512" i="1"/>
  <c r="M511" i="1"/>
  <c r="K511" i="1"/>
  <c r="J511" i="1"/>
  <c r="H511" i="1"/>
  <c r="G511" i="1"/>
  <c r="F511" i="1"/>
  <c r="C511" i="1"/>
  <c r="M510" i="1"/>
  <c r="K510" i="1"/>
  <c r="J510" i="1"/>
  <c r="H510" i="1"/>
  <c r="G510" i="1"/>
  <c r="F510" i="1"/>
  <c r="C510" i="1"/>
  <c r="M509" i="1"/>
  <c r="K509" i="1"/>
  <c r="J509" i="1"/>
  <c r="H509" i="1"/>
  <c r="G509" i="1"/>
  <c r="F509" i="1"/>
  <c r="C509" i="1"/>
  <c r="M508" i="1"/>
  <c r="K508" i="1"/>
  <c r="J508" i="1"/>
  <c r="H508" i="1"/>
  <c r="G508" i="1"/>
  <c r="F508" i="1"/>
  <c r="C508" i="1"/>
  <c r="M507" i="1"/>
  <c r="K507" i="1"/>
  <c r="J507" i="1"/>
  <c r="H507" i="1"/>
  <c r="G507" i="1"/>
  <c r="F507" i="1"/>
  <c r="C507" i="1"/>
  <c r="M506" i="1"/>
  <c r="K506" i="1"/>
  <c r="J506" i="1"/>
  <c r="H506" i="1"/>
  <c r="G506" i="1"/>
  <c r="F506" i="1"/>
  <c r="C506" i="1"/>
  <c r="M505" i="1"/>
  <c r="K505" i="1"/>
  <c r="J505" i="1"/>
  <c r="H505" i="1"/>
  <c r="G505" i="1"/>
  <c r="F505" i="1"/>
  <c r="C505" i="1"/>
  <c r="M504" i="1"/>
  <c r="K504" i="1"/>
  <c r="J504" i="1"/>
  <c r="H504" i="1"/>
  <c r="G504" i="1"/>
  <c r="F504" i="1"/>
  <c r="C504" i="1"/>
  <c r="M503" i="1"/>
  <c r="K503" i="1"/>
  <c r="J503" i="1"/>
  <c r="H503" i="1"/>
  <c r="G503" i="1"/>
  <c r="F503" i="1"/>
  <c r="C503" i="1"/>
  <c r="M502" i="1"/>
  <c r="K502" i="1"/>
  <c r="J502" i="1"/>
  <c r="H502" i="1"/>
  <c r="G502" i="1"/>
  <c r="F502" i="1"/>
  <c r="C502" i="1"/>
  <c r="M501" i="1"/>
  <c r="K501" i="1"/>
  <c r="J501" i="1"/>
  <c r="H501" i="1"/>
  <c r="G501" i="1"/>
  <c r="F501" i="1"/>
  <c r="C501" i="1"/>
  <c r="M500" i="1"/>
  <c r="K500" i="1"/>
  <c r="J500" i="1"/>
  <c r="H500" i="1"/>
  <c r="G500" i="1"/>
  <c r="F500" i="1"/>
  <c r="C500" i="1"/>
  <c r="M499" i="1"/>
  <c r="K499" i="1"/>
  <c r="J499" i="1"/>
  <c r="H499" i="1"/>
  <c r="G499" i="1"/>
  <c r="F499" i="1"/>
  <c r="C499" i="1"/>
  <c r="M498" i="1"/>
  <c r="K498" i="1"/>
  <c r="J498" i="1"/>
  <c r="H498" i="1"/>
  <c r="G498" i="1"/>
  <c r="F498" i="1"/>
  <c r="C498" i="1"/>
  <c r="M497" i="1"/>
  <c r="K497" i="1"/>
  <c r="J497" i="1"/>
  <c r="H497" i="1"/>
  <c r="G497" i="1"/>
  <c r="F497" i="1"/>
  <c r="C497" i="1"/>
  <c r="M496" i="1"/>
  <c r="K496" i="1"/>
  <c r="J496" i="1"/>
  <c r="H496" i="1"/>
  <c r="G496" i="1"/>
  <c r="F496" i="1"/>
  <c r="C496" i="1"/>
  <c r="M495" i="1"/>
  <c r="K495" i="1"/>
  <c r="J495" i="1"/>
  <c r="H495" i="1"/>
  <c r="G495" i="1"/>
  <c r="F495" i="1"/>
  <c r="C495" i="1"/>
  <c r="M494" i="1"/>
  <c r="K494" i="1"/>
  <c r="J494" i="1"/>
  <c r="H494" i="1"/>
  <c r="G494" i="1"/>
  <c r="F494" i="1"/>
  <c r="C494" i="1"/>
  <c r="M493" i="1"/>
  <c r="K493" i="1"/>
  <c r="J493" i="1"/>
  <c r="H493" i="1"/>
  <c r="G493" i="1"/>
  <c r="F493" i="1"/>
  <c r="C493" i="1"/>
  <c r="M492" i="1"/>
  <c r="K492" i="1"/>
  <c r="J492" i="1"/>
  <c r="H492" i="1"/>
  <c r="G492" i="1"/>
  <c r="F492" i="1"/>
  <c r="C492" i="1"/>
  <c r="M491" i="1"/>
  <c r="K491" i="1"/>
  <c r="J491" i="1"/>
  <c r="H491" i="1"/>
  <c r="G491" i="1"/>
  <c r="F491" i="1"/>
  <c r="C491" i="1"/>
  <c r="M490" i="1"/>
  <c r="K490" i="1"/>
  <c r="J490" i="1"/>
  <c r="H490" i="1"/>
  <c r="G490" i="1"/>
  <c r="F490" i="1"/>
  <c r="C490" i="1"/>
  <c r="M489" i="1"/>
  <c r="K489" i="1"/>
  <c r="J489" i="1"/>
  <c r="H489" i="1"/>
  <c r="G489" i="1"/>
  <c r="F489" i="1"/>
  <c r="C489" i="1"/>
  <c r="M488" i="1"/>
  <c r="K488" i="1"/>
  <c r="J488" i="1"/>
  <c r="H488" i="1"/>
  <c r="G488" i="1"/>
  <c r="F488" i="1"/>
  <c r="C488" i="1"/>
  <c r="M487" i="1"/>
  <c r="K487" i="1"/>
  <c r="J487" i="1"/>
  <c r="H487" i="1"/>
  <c r="G487" i="1"/>
  <c r="F487" i="1"/>
  <c r="C487" i="1"/>
  <c r="M486" i="1"/>
  <c r="K486" i="1"/>
  <c r="J486" i="1"/>
  <c r="H486" i="1"/>
  <c r="G486" i="1"/>
  <c r="F486" i="1"/>
  <c r="C486" i="1"/>
  <c r="M485" i="1"/>
  <c r="K485" i="1"/>
  <c r="J485" i="1"/>
  <c r="H485" i="1"/>
  <c r="G485" i="1"/>
  <c r="F485" i="1"/>
  <c r="C485" i="1"/>
  <c r="M484" i="1"/>
  <c r="K484" i="1"/>
  <c r="J484" i="1"/>
  <c r="H484" i="1"/>
  <c r="G484" i="1"/>
  <c r="F484" i="1"/>
  <c r="C484" i="1"/>
  <c r="M483" i="1"/>
  <c r="K483" i="1"/>
  <c r="J483" i="1"/>
  <c r="H483" i="1"/>
  <c r="G483" i="1"/>
  <c r="F483" i="1"/>
  <c r="C483" i="1"/>
  <c r="M482" i="1"/>
  <c r="K482" i="1"/>
  <c r="J482" i="1"/>
  <c r="H482" i="1"/>
  <c r="G482" i="1"/>
  <c r="F482" i="1"/>
  <c r="C482" i="1"/>
  <c r="M481" i="1"/>
  <c r="K481" i="1"/>
  <c r="J481" i="1"/>
  <c r="H481" i="1"/>
  <c r="G481" i="1"/>
  <c r="F481" i="1"/>
  <c r="C481" i="1"/>
  <c r="M480" i="1"/>
  <c r="K480" i="1"/>
  <c r="J480" i="1"/>
  <c r="H480" i="1"/>
  <c r="G480" i="1"/>
  <c r="F480" i="1"/>
  <c r="C480" i="1"/>
  <c r="M479" i="1"/>
  <c r="K479" i="1"/>
  <c r="J479" i="1"/>
  <c r="H479" i="1"/>
  <c r="G479" i="1"/>
  <c r="F479" i="1"/>
  <c r="C479" i="1"/>
  <c r="M478" i="1"/>
  <c r="K478" i="1"/>
  <c r="J478" i="1"/>
  <c r="H478" i="1"/>
  <c r="G478" i="1"/>
  <c r="F478" i="1"/>
  <c r="C478" i="1"/>
  <c r="M477" i="1"/>
  <c r="K477" i="1"/>
  <c r="J477" i="1"/>
  <c r="H477" i="1"/>
  <c r="G477" i="1"/>
  <c r="F477" i="1"/>
  <c r="C477" i="1"/>
  <c r="M476" i="1"/>
  <c r="K476" i="1"/>
  <c r="J476" i="1"/>
  <c r="H476" i="1"/>
  <c r="G476" i="1"/>
  <c r="F476" i="1"/>
  <c r="C476" i="1"/>
  <c r="M475" i="1"/>
  <c r="K475" i="1"/>
  <c r="J475" i="1"/>
  <c r="H475" i="1"/>
  <c r="G475" i="1"/>
  <c r="F475" i="1"/>
  <c r="C475" i="1"/>
  <c r="M474" i="1"/>
  <c r="K474" i="1"/>
  <c r="J474" i="1"/>
  <c r="H474" i="1"/>
  <c r="G474" i="1"/>
  <c r="F474" i="1"/>
  <c r="C474" i="1"/>
  <c r="M473" i="1"/>
  <c r="K473" i="1"/>
  <c r="J473" i="1"/>
  <c r="H473" i="1"/>
  <c r="G473" i="1"/>
  <c r="F473" i="1"/>
  <c r="C473" i="1"/>
  <c r="M472" i="1"/>
  <c r="K472" i="1"/>
  <c r="J472" i="1"/>
  <c r="H472" i="1"/>
  <c r="G472" i="1"/>
  <c r="F472" i="1"/>
  <c r="C472" i="1"/>
  <c r="M471" i="1"/>
  <c r="K471" i="1"/>
  <c r="J471" i="1"/>
  <c r="H471" i="1"/>
  <c r="G471" i="1"/>
  <c r="F471" i="1"/>
  <c r="C471" i="1"/>
  <c r="M470" i="1"/>
  <c r="K470" i="1"/>
  <c r="J470" i="1"/>
  <c r="H470" i="1"/>
  <c r="G470" i="1"/>
  <c r="F470" i="1"/>
  <c r="C470" i="1"/>
  <c r="M469" i="1"/>
  <c r="K469" i="1"/>
  <c r="J469" i="1"/>
  <c r="H469" i="1"/>
  <c r="G469" i="1"/>
  <c r="F469" i="1"/>
  <c r="C469" i="1"/>
  <c r="M468" i="1"/>
  <c r="K468" i="1"/>
  <c r="J468" i="1"/>
  <c r="H468" i="1"/>
  <c r="G468" i="1"/>
  <c r="F468" i="1"/>
  <c r="C468" i="1"/>
  <c r="M467" i="1"/>
  <c r="K467" i="1"/>
  <c r="J467" i="1"/>
  <c r="H467" i="1"/>
  <c r="G467" i="1"/>
  <c r="F467" i="1"/>
  <c r="C467" i="1"/>
  <c r="M466" i="1"/>
  <c r="K466" i="1"/>
  <c r="J466" i="1"/>
  <c r="H466" i="1"/>
  <c r="G466" i="1"/>
  <c r="F466" i="1"/>
  <c r="C466" i="1"/>
  <c r="M465" i="1"/>
  <c r="K465" i="1"/>
  <c r="J465" i="1"/>
  <c r="H465" i="1"/>
  <c r="G465" i="1"/>
  <c r="F465" i="1"/>
  <c r="C465" i="1"/>
  <c r="M464" i="1"/>
  <c r="K464" i="1"/>
  <c r="J464" i="1"/>
  <c r="H464" i="1"/>
  <c r="G464" i="1"/>
  <c r="F464" i="1"/>
  <c r="C464" i="1"/>
  <c r="M463" i="1"/>
  <c r="K463" i="1"/>
  <c r="J463" i="1"/>
  <c r="H463" i="1"/>
  <c r="G463" i="1"/>
  <c r="F463" i="1"/>
  <c r="C463" i="1"/>
  <c r="M462" i="1"/>
  <c r="K462" i="1"/>
  <c r="J462" i="1"/>
  <c r="H462" i="1"/>
  <c r="G462" i="1"/>
  <c r="F462" i="1"/>
  <c r="C462" i="1"/>
  <c r="M461" i="1"/>
  <c r="K461" i="1"/>
  <c r="J461" i="1"/>
  <c r="H461" i="1"/>
  <c r="G461" i="1"/>
  <c r="F461" i="1"/>
  <c r="C461" i="1"/>
  <c r="M460" i="1"/>
  <c r="K460" i="1"/>
  <c r="J460" i="1"/>
  <c r="H460" i="1"/>
  <c r="G460" i="1"/>
  <c r="F460" i="1"/>
  <c r="C460" i="1"/>
  <c r="M459" i="1"/>
  <c r="K459" i="1"/>
  <c r="J459" i="1"/>
  <c r="H459" i="1"/>
  <c r="G459" i="1"/>
  <c r="F459" i="1"/>
  <c r="C459" i="1"/>
  <c r="M458" i="1"/>
  <c r="K458" i="1"/>
  <c r="J458" i="1"/>
  <c r="H458" i="1"/>
  <c r="G458" i="1"/>
  <c r="F458" i="1"/>
  <c r="C458" i="1"/>
  <c r="M457" i="1"/>
  <c r="K457" i="1"/>
  <c r="J457" i="1"/>
  <c r="H457" i="1"/>
  <c r="G457" i="1"/>
  <c r="F457" i="1"/>
  <c r="C457" i="1"/>
  <c r="M456" i="1"/>
  <c r="K456" i="1"/>
  <c r="J456" i="1"/>
  <c r="H456" i="1"/>
  <c r="G456" i="1"/>
  <c r="F456" i="1"/>
  <c r="C456" i="1"/>
  <c r="M455" i="1"/>
  <c r="K455" i="1"/>
  <c r="J455" i="1"/>
  <c r="H455" i="1"/>
  <c r="G455" i="1"/>
  <c r="F455" i="1"/>
  <c r="C455" i="1"/>
  <c r="M454" i="1"/>
  <c r="K454" i="1"/>
  <c r="J454" i="1"/>
  <c r="H454" i="1"/>
  <c r="G454" i="1"/>
  <c r="F454" i="1"/>
  <c r="C454" i="1"/>
  <c r="M453" i="1"/>
  <c r="K453" i="1"/>
  <c r="J453" i="1"/>
  <c r="H453" i="1"/>
  <c r="G453" i="1"/>
  <c r="F453" i="1"/>
  <c r="C453" i="1"/>
  <c r="M452" i="1"/>
  <c r="K452" i="1"/>
  <c r="J452" i="1"/>
  <c r="H452" i="1"/>
  <c r="G452" i="1"/>
  <c r="F452" i="1"/>
  <c r="C452" i="1"/>
  <c r="M451" i="1"/>
  <c r="K451" i="1"/>
  <c r="J451" i="1"/>
  <c r="H451" i="1"/>
  <c r="G451" i="1"/>
  <c r="F451" i="1"/>
  <c r="C451" i="1"/>
  <c r="M450" i="1"/>
  <c r="K450" i="1"/>
  <c r="J450" i="1"/>
  <c r="H450" i="1"/>
  <c r="G450" i="1"/>
  <c r="F450" i="1"/>
  <c r="C450" i="1"/>
  <c r="M449" i="1"/>
  <c r="K449" i="1"/>
  <c r="J449" i="1"/>
  <c r="H449" i="1"/>
  <c r="G449" i="1"/>
  <c r="F449" i="1"/>
  <c r="C449" i="1"/>
  <c r="M448" i="1"/>
  <c r="K448" i="1"/>
  <c r="J448" i="1"/>
  <c r="H448" i="1"/>
  <c r="G448" i="1"/>
  <c r="F448" i="1"/>
  <c r="C448" i="1"/>
  <c r="M447" i="1"/>
  <c r="K447" i="1"/>
  <c r="J447" i="1"/>
  <c r="H447" i="1"/>
  <c r="G447" i="1"/>
  <c r="F447" i="1"/>
  <c r="C447" i="1"/>
  <c r="M446" i="1"/>
  <c r="K446" i="1"/>
  <c r="J446" i="1"/>
  <c r="H446" i="1"/>
  <c r="G446" i="1"/>
  <c r="F446" i="1"/>
  <c r="C446" i="1"/>
  <c r="M445" i="1"/>
  <c r="K445" i="1"/>
  <c r="J445" i="1"/>
  <c r="H445" i="1"/>
  <c r="G445" i="1"/>
  <c r="F445" i="1"/>
  <c r="C445" i="1"/>
  <c r="M444" i="1"/>
  <c r="K444" i="1"/>
  <c r="J444" i="1"/>
  <c r="H444" i="1"/>
  <c r="G444" i="1"/>
  <c r="F444" i="1"/>
  <c r="C444" i="1"/>
  <c r="M443" i="1"/>
  <c r="K443" i="1"/>
  <c r="J443" i="1"/>
  <c r="H443" i="1"/>
  <c r="G443" i="1"/>
  <c r="F443" i="1"/>
  <c r="C443" i="1"/>
  <c r="M442" i="1"/>
  <c r="K442" i="1"/>
  <c r="J442" i="1"/>
  <c r="H442" i="1"/>
  <c r="G442" i="1"/>
  <c r="F442" i="1"/>
  <c r="C442" i="1"/>
  <c r="M441" i="1"/>
  <c r="K441" i="1"/>
  <c r="J441" i="1"/>
  <c r="H441" i="1"/>
  <c r="G441" i="1"/>
  <c r="F441" i="1"/>
  <c r="C441" i="1"/>
  <c r="M440" i="1"/>
  <c r="K440" i="1"/>
  <c r="J440" i="1"/>
  <c r="H440" i="1"/>
  <c r="G440" i="1"/>
  <c r="F440" i="1"/>
  <c r="C440" i="1"/>
  <c r="M439" i="1"/>
  <c r="K439" i="1"/>
  <c r="J439" i="1"/>
  <c r="H439" i="1"/>
  <c r="G439" i="1"/>
  <c r="F439" i="1"/>
  <c r="C439" i="1"/>
  <c r="M438" i="1"/>
  <c r="K438" i="1"/>
  <c r="J438" i="1"/>
  <c r="H438" i="1"/>
  <c r="G438" i="1"/>
  <c r="F438" i="1"/>
  <c r="C438" i="1"/>
  <c r="M437" i="1"/>
  <c r="K437" i="1"/>
  <c r="J437" i="1"/>
  <c r="H437" i="1"/>
  <c r="G437" i="1"/>
  <c r="F437" i="1"/>
  <c r="C437" i="1"/>
  <c r="M436" i="1"/>
  <c r="K436" i="1"/>
  <c r="J436" i="1"/>
  <c r="H436" i="1"/>
  <c r="G436" i="1"/>
  <c r="F436" i="1"/>
  <c r="C436" i="1"/>
  <c r="M435" i="1"/>
  <c r="K435" i="1"/>
  <c r="J435" i="1"/>
  <c r="H435" i="1"/>
  <c r="G435" i="1"/>
  <c r="F435" i="1"/>
  <c r="C435" i="1"/>
  <c r="M434" i="1"/>
  <c r="K434" i="1"/>
  <c r="J434" i="1"/>
  <c r="H434" i="1"/>
  <c r="G434" i="1"/>
  <c r="F434" i="1"/>
  <c r="C434" i="1"/>
  <c r="M433" i="1"/>
  <c r="K433" i="1"/>
  <c r="J433" i="1"/>
  <c r="H433" i="1"/>
  <c r="G433" i="1"/>
  <c r="F433" i="1"/>
  <c r="C433" i="1"/>
  <c r="M432" i="1"/>
  <c r="K432" i="1"/>
  <c r="J432" i="1"/>
  <c r="H432" i="1"/>
  <c r="G432" i="1"/>
  <c r="F432" i="1"/>
  <c r="C432" i="1"/>
  <c r="M431" i="1"/>
  <c r="K431" i="1"/>
  <c r="J431" i="1"/>
  <c r="H431" i="1"/>
  <c r="G431" i="1"/>
  <c r="F431" i="1"/>
  <c r="C431" i="1"/>
  <c r="M430" i="1"/>
  <c r="K430" i="1"/>
  <c r="J430" i="1"/>
  <c r="H430" i="1"/>
  <c r="G430" i="1"/>
  <c r="F430" i="1"/>
  <c r="C430" i="1"/>
  <c r="M429" i="1"/>
  <c r="K429" i="1"/>
  <c r="J429" i="1"/>
  <c r="H429" i="1"/>
  <c r="G429" i="1"/>
  <c r="F429" i="1"/>
  <c r="C429" i="1"/>
  <c r="M428" i="1"/>
  <c r="K428" i="1"/>
  <c r="J428" i="1"/>
  <c r="H428" i="1"/>
  <c r="G428" i="1"/>
  <c r="F428" i="1"/>
  <c r="C428" i="1"/>
  <c r="M427" i="1"/>
  <c r="K427" i="1"/>
  <c r="J427" i="1"/>
  <c r="H427" i="1"/>
  <c r="G427" i="1"/>
  <c r="F427" i="1"/>
  <c r="C427" i="1"/>
  <c r="M426" i="1"/>
  <c r="K426" i="1"/>
  <c r="J426" i="1"/>
  <c r="H426" i="1"/>
  <c r="G426" i="1"/>
  <c r="F426" i="1"/>
  <c r="C426" i="1"/>
  <c r="M425" i="1"/>
  <c r="K425" i="1"/>
  <c r="J425" i="1"/>
  <c r="H425" i="1"/>
  <c r="G425" i="1"/>
  <c r="F425" i="1"/>
  <c r="C425" i="1"/>
  <c r="M424" i="1"/>
  <c r="K424" i="1"/>
  <c r="J424" i="1"/>
  <c r="H424" i="1"/>
  <c r="G424" i="1"/>
  <c r="F424" i="1"/>
  <c r="C424" i="1"/>
  <c r="M423" i="1"/>
  <c r="K423" i="1"/>
  <c r="J423" i="1"/>
  <c r="H423" i="1"/>
  <c r="G423" i="1"/>
  <c r="F423" i="1"/>
  <c r="C423" i="1"/>
  <c r="M422" i="1"/>
  <c r="K422" i="1"/>
  <c r="J422" i="1"/>
  <c r="H422" i="1"/>
  <c r="G422" i="1"/>
  <c r="F422" i="1"/>
  <c r="C422" i="1"/>
  <c r="M421" i="1"/>
  <c r="K421" i="1"/>
  <c r="J421" i="1"/>
  <c r="H421" i="1"/>
  <c r="G421" i="1"/>
  <c r="F421" i="1"/>
  <c r="C421" i="1"/>
  <c r="M420" i="1"/>
  <c r="K420" i="1"/>
  <c r="J420" i="1"/>
  <c r="H420" i="1"/>
  <c r="G420" i="1"/>
  <c r="F420" i="1"/>
  <c r="C420" i="1"/>
  <c r="M419" i="1"/>
  <c r="K419" i="1"/>
  <c r="J419" i="1"/>
  <c r="H419" i="1"/>
  <c r="G419" i="1"/>
  <c r="F419" i="1"/>
  <c r="C419" i="1"/>
  <c r="M418" i="1"/>
  <c r="K418" i="1"/>
  <c r="J418" i="1"/>
  <c r="H418" i="1"/>
  <c r="G418" i="1"/>
  <c r="F418" i="1"/>
  <c r="C418" i="1"/>
  <c r="M417" i="1"/>
  <c r="K417" i="1"/>
  <c r="J417" i="1"/>
  <c r="H417" i="1"/>
  <c r="G417" i="1"/>
  <c r="F417" i="1"/>
  <c r="C417" i="1"/>
  <c r="M416" i="1"/>
  <c r="K416" i="1"/>
  <c r="J416" i="1"/>
  <c r="H416" i="1"/>
  <c r="G416" i="1"/>
  <c r="F416" i="1"/>
  <c r="C416" i="1"/>
  <c r="M415" i="1"/>
  <c r="K415" i="1"/>
  <c r="J415" i="1"/>
  <c r="H415" i="1"/>
  <c r="G415" i="1"/>
  <c r="F415" i="1"/>
  <c r="C415" i="1"/>
  <c r="M414" i="1"/>
  <c r="K414" i="1"/>
  <c r="J414" i="1"/>
  <c r="H414" i="1"/>
  <c r="G414" i="1"/>
  <c r="F414" i="1"/>
  <c r="C414" i="1"/>
  <c r="M413" i="1"/>
  <c r="K413" i="1"/>
  <c r="J413" i="1"/>
  <c r="H413" i="1"/>
  <c r="G413" i="1"/>
  <c r="F413" i="1"/>
  <c r="C413" i="1"/>
  <c r="M412" i="1"/>
  <c r="K412" i="1"/>
  <c r="J412" i="1"/>
  <c r="H412" i="1"/>
  <c r="G412" i="1"/>
  <c r="F412" i="1"/>
  <c r="C412" i="1"/>
  <c r="M411" i="1"/>
  <c r="K411" i="1"/>
  <c r="J411" i="1"/>
  <c r="H411" i="1"/>
  <c r="G411" i="1"/>
  <c r="F411" i="1"/>
  <c r="C411" i="1"/>
  <c r="M410" i="1"/>
  <c r="K410" i="1"/>
  <c r="J410" i="1"/>
  <c r="H410" i="1"/>
  <c r="G410" i="1"/>
  <c r="F410" i="1"/>
  <c r="C410" i="1"/>
  <c r="M409" i="1"/>
  <c r="K409" i="1"/>
  <c r="J409" i="1"/>
  <c r="H409" i="1"/>
  <c r="G409" i="1"/>
  <c r="F409" i="1"/>
  <c r="C409" i="1"/>
  <c r="M408" i="1"/>
  <c r="K408" i="1"/>
  <c r="J408" i="1"/>
  <c r="H408" i="1"/>
  <c r="G408" i="1"/>
  <c r="F408" i="1"/>
  <c r="C408" i="1"/>
  <c r="M407" i="1"/>
  <c r="K407" i="1"/>
  <c r="J407" i="1"/>
  <c r="H407" i="1"/>
  <c r="G407" i="1"/>
  <c r="F407" i="1"/>
  <c r="C407" i="1"/>
  <c r="M406" i="1"/>
  <c r="K406" i="1"/>
  <c r="J406" i="1"/>
  <c r="H406" i="1"/>
  <c r="G406" i="1"/>
  <c r="F406" i="1"/>
  <c r="C406" i="1"/>
  <c r="M405" i="1"/>
  <c r="K405" i="1"/>
  <c r="J405" i="1"/>
  <c r="H405" i="1"/>
  <c r="G405" i="1"/>
  <c r="F405" i="1"/>
  <c r="C405" i="1"/>
  <c r="M404" i="1"/>
  <c r="K404" i="1"/>
  <c r="J404" i="1"/>
  <c r="H404" i="1"/>
  <c r="G404" i="1"/>
  <c r="F404" i="1"/>
  <c r="C404" i="1"/>
  <c r="M403" i="1"/>
  <c r="K403" i="1"/>
  <c r="J403" i="1"/>
  <c r="H403" i="1"/>
  <c r="G403" i="1"/>
  <c r="F403" i="1"/>
  <c r="C403" i="1"/>
  <c r="M402" i="1"/>
  <c r="K402" i="1"/>
  <c r="J402" i="1"/>
  <c r="H402" i="1"/>
  <c r="G402" i="1"/>
  <c r="F402" i="1"/>
  <c r="C402" i="1"/>
  <c r="M401" i="1"/>
  <c r="K401" i="1"/>
  <c r="J401" i="1"/>
  <c r="H401" i="1"/>
  <c r="G401" i="1"/>
  <c r="F401" i="1"/>
  <c r="C401" i="1"/>
  <c r="M400" i="1"/>
  <c r="K400" i="1"/>
  <c r="J400" i="1"/>
  <c r="H400" i="1"/>
  <c r="G400" i="1"/>
  <c r="F400" i="1"/>
  <c r="C400" i="1"/>
  <c r="M399" i="1"/>
  <c r="K399" i="1"/>
  <c r="J399" i="1"/>
  <c r="H399" i="1"/>
  <c r="G399" i="1"/>
  <c r="F399" i="1"/>
  <c r="C399" i="1"/>
  <c r="M398" i="1"/>
  <c r="K398" i="1"/>
  <c r="J398" i="1"/>
  <c r="H398" i="1"/>
  <c r="G398" i="1"/>
  <c r="F398" i="1"/>
  <c r="C398" i="1"/>
  <c r="M397" i="1"/>
  <c r="K397" i="1"/>
  <c r="J397" i="1"/>
  <c r="H397" i="1"/>
  <c r="G397" i="1"/>
  <c r="F397" i="1"/>
  <c r="C397" i="1"/>
  <c r="M396" i="1"/>
  <c r="K396" i="1"/>
  <c r="J396" i="1"/>
  <c r="H396" i="1"/>
  <c r="G396" i="1"/>
  <c r="F396" i="1"/>
  <c r="C396" i="1"/>
  <c r="M395" i="1"/>
  <c r="K395" i="1"/>
  <c r="J395" i="1"/>
  <c r="H395" i="1"/>
  <c r="G395" i="1"/>
  <c r="F395" i="1"/>
  <c r="C395" i="1"/>
  <c r="M394" i="1"/>
  <c r="K394" i="1"/>
  <c r="J394" i="1"/>
  <c r="H394" i="1"/>
  <c r="G394" i="1"/>
  <c r="F394" i="1"/>
  <c r="C394" i="1"/>
  <c r="M393" i="1"/>
  <c r="K393" i="1"/>
  <c r="J393" i="1"/>
  <c r="H393" i="1"/>
  <c r="G393" i="1"/>
  <c r="F393" i="1"/>
  <c r="C393" i="1"/>
  <c r="M392" i="1"/>
  <c r="K392" i="1"/>
  <c r="J392" i="1"/>
  <c r="H392" i="1"/>
  <c r="G392" i="1"/>
  <c r="F392" i="1"/>
  <c r="C392" i="1"/>
  <c r="M391" i="1"/>
  <c r="K391" i="1"/>
  <c r="J391" i="1"/>
  <c r="H391" i="1"/>
  <c r="G391" i="1"/>
  <c r="F391" i="1"/>
  <c r="C391" i="1"/>
  <c r="M390" i="1"/>
  <c r="K390" i="1"/>
  <c r="J390" i="1"/>
  <c r="H390" i="1"/>
  <c r="G390" i="1"/>
  <c r="F390" i="1"/>
  <c r="C390" i="1"/>
  <c r="M389" i="1"/>
  <c r="K389" i="1"/>
  <c r="J389" i="1"/>
  <c r="H389" i="1"/>
  <c r="G389" i="1"/>
  <c r="F389" i="1"/>
  <c r="C389" i="1"/>
  <c r="M388" i="1"/>
  <c r="K388" i="1"/>
  <c r="J388" i="1"/>
  <c r="H388" i="1"/>
  <c r="G388" i="1"/>
  <c r="F388" i="1"/>
  <c r="C388" i="1"/>
  <c r="M387" i="1"/>
  <c r="K387" i="1"/>
  <c r="J387" i="1"/>
  <c r="H387" i="1"/>
  <c r="G387" i="1"/>
  <c r="F387" i="1"/>
  <c r="C387" i="1"/>
  <c r="M386" i="1"/>
  <c r="K386" i="1"/>
  <c r="J386" i="1"/>
  <c r="H386" i="1"/>
  <c r="G386" i="1"/>
  <c r="F386" i="1"/>
  <c r="C386" i="1"/>
  <c r="M385" i="1"/>
  <c r="K385" i="1"/>
  <c r="J385" i="1"/>
  <c r="H385" i="1"/>
  <c r="G385" i="1"/>
  <c r="F385" i="1"/>
  <c r="C385" i="1"/>
  <c r="M384" i="1"/>
  <c r="K384" i="1"/>
  <c r="J384" i="1"/>
  <c r="H384" i="1"/>
  <c r="G384" i="1"/>
  <c r="F384" i="1"/>
  <c r="C384" i="1"/>
  <c r="M383" i="1"/>
  <c r="K383" i="1"/>
  <c r="J383" i="1"/>
  <c r="H383" i="1"/>
  <c r="G383" i="1"/>
  <c r="F383" i="1"/>
  <c r="C383" i="1"/>
  <c r="M382" i="1"/>
  <c r="K382" i="1"/>
  <c r="J382" i="1"/>
  <c r="H382" i="1"/>
  <c r="G382" i="1"/>
  <c r="F382" i="1"/>
  <c r="C382" i="1"/>
  <c r="M381" i="1"/>
  <c r="K381" i="1"/>
  <c r="J381" i="1"/>
  <c r="H381" i="1"/>
  <c r="G381" i="1"/>
  <c r="F381" i="1"/>
  <c r="C381" i="1"/>
  <c r="M380" i="1"/>
  <c r="K380" i="1"/>
  <c r="J380" i="1"/>
  <c r="H380" i="1"/>
  <c r="G380" i="1"/>
  <c r="F380" i="1"/>
  <c r="C380" i="1"/>
  <c r="M379" i="1"/>
  <c r="K379" i="1"/>
  <c r="J379" i="1"/>
  <c r="H379" i="1"/>
  <c r="G379" i="1"/>
  <c r="F379" i="1"/>
  <c r="C379" i="1"/>
  <c r="M378" i="1"/>
  <c r="K378" i="1"/>
  <c r="J378" i="1"/>
  <c r="H378" i="1"/>
  <c r="G378" i="1"/>
  <c r="F378" i="1"/>
  <c r="C378" i="1"/>
  <c r="M377" i="1"/>
  <c r="K377" i="1"/>
  <c r="J377" i="1"/>
  <c r="H377" i="1"/>
  <c r="G377" i="1"/>
  <c r="F377" i="1"/>
  <c r="C377" i="1"/>
  <c r="M376" i="1"/>
  <c r="K376" i="1"/>
  <c r="J376" i="1"/>
  <c r="H376" i="1"/>
  <c r="G376" i="1"/>
  <c r="F376" i="1"/>
  <c r="C376" i="1"/>
  <c r="M375" i="1"/>
  <c r="K375" i="1"/>
  <c r="J375" i="1"/>
  <c r="H375" i="1"/>
  <c r="G375" i="1"/>
  <c r="F375" i="1"/>
  <c r="C375" i="1"/>
  <c r="M374" i="1"/>
  <c r="K374" i="1"/>
  <c r="J374" i="1"/>
  <c r="H374" i="1"/>
  <c r="G374" i="1"/>
  <c r="F374" i="1"/>
  <c r="C374" i="1"/>
  <c r="M373" i="1"/>
  <c r="K373" i="1"/>
  <c r="J373" i="1"/>
  <c r="H373" i="1"/>
  <c r="G373" i="1"/>
  <c r="F373" i="1"/>
  <c r="C373" i="1"/>
  <c r="M372" i="1"/>
  <c r="K372" i="1"/>
  <c r="J372" i="1"/>
  <c r="H372" i="1"/>
  <c r="G372" i="1"/>
  <c r="F372" i="1"/>
  <c r="C372" i="1"/>
  <c r="M371" i="1"/>
  <c r="K371" i="1"/>
  <c r="J371" i="1"/>
  <c r="H371" i="1"/>
  <c r="G371" i="1"/>
  <c r="F371" i="1"/>
  <c r="C371" i="1"/>
  <c r="M370" i="1"/>
  <c r="K370" i="1"/>
  <c r="J370" i="1"/>
  <c r="H370" i="1"/>
  <c r="G370" i="1"/>
  <c r="F370" i="1"/>
  <c r="C370" i="1"/>
  <c r="M369" i="1"/>
  <c r="K369" i="1"/>
  <c r="J369" i="1"/>
  <c r="H369" i="1"/>
  <c r="G369" i="1"/>
  <c r="F369" i="1"/>
  <c r="C369" i="1"/>
  <c r="M368" i="1"/>
  <c r="K368" i="1"/>
  <c r="J368" i="1"/>
  <c r="H368" i="1"/>
  <c r="G368" i="1"/>
  <c r="F368" i="1"/>
  <c r="C368" i="1"/>
  <c r="M367" i="1"/>
  <c r="K367" i="1"/>
  <c r="J367" i="1"/>
  <c r="H367" i="1"/>
  <c r="G367" i="1"/>
  <c r="F367" i="1"/>
  <c r="C367" i="1"/>
  <c r="M366" i="1"/>
  <c r="K366" i="1"/>
  <c r="J366" i="1"/>
  <c r="H366" i="1"/>
  <c r="G366" i="1"/>
  <c r="F366" i="1"/>
  <c r="C366" i="1"/>
  <c r="M365" i="1"/>
  <c r="K365" i="1"/>
  <c r="J365" i="1"/>
  <c r="H365" i="1"/>
  <c r="G365" i="1"/>
  <c r="F365" i="1"/>
  <c r="C365" i="1"/>
  <c r="M364" i="1"/>
  <c r="K364" i="1"/>
  <c r="J364" i="1"/>
  <c r="H364" i="1"/>
  <c r="G364" i="1"/>
  <c r="F364" i="1"/>
  <c r="C364" i="1"/>
  <c r="M363" i="1"/>
  <c r="K363" i="1"/>
  <c r="J363" i="1"/>
  <c r="H363" i="1"/>
  <c r="G363" i="1"/>
  <c r="F363" i="1"/>
  <c r="C363" i="1"/>
  <c r="M362" i="1"/>
  <c r="K362" i="1"/>
  <c r="J362" i="1"/>
  <c r="H362" i="1"/>
  <c r="G362" i="1"/>
  <c r="F362" i="1"/>
  <c r="C362" i="1"/>
  <c r="M361" i="1"/>
  <c r="K361" i="1"/>
  <c r="J361" i="1"/>
  <c r="H361" i="1"/>
  <c r="G361" i="1"/>
  <c r="F361" i="1"/>
  <c r="C361" i="1"/>
  <c r="M360" i="1"/>
  <c r="K360" i="1"/>
  <c r="J360" i="1"/>
  <c r="H360" i="1"/>
  <c r="G360" i="1"/>
  <c r="F360" i="1"/>
  <c r="C360" i="1"/>
  <c r="M359" i="1"/>
  <c r="K359" i="1"/>
  <c r="J359" i="1"/>
  <c r="H359" i="1"/>
  <c r="G359" i="1"/>
  <c r="F359" i="1"/>
  <c r="C359" i="1"/>
  <c r="M358" i="1"/>
  <c r="K358" i="1"/>
  <c r="J358" i="1"/>
  <c r="H358" i="1"/>
  <c r="G358" i="1"/>
  <c r="F358" i="1"/>
  <c r="C358" i="1"/>
  <c r="M357" i="1"/>
  <c r="K357" i="1"/>
  <c r="J357" i="1"/>
  <c r="H357" i="1"/>
  <c r="G357" i="1"/>
  <c r="F357" i="1"/>
  <c r="C357" i="1"/>
  <c r="M356" i="1"/>
  <c r="K356" i="1"/>
  <c r="J356" i="1"/>
  <c r="H356" i="1"/>
  <c r="G356" i="1"/>
  <c r="F356" i="1"/>
  <c r="C356" i="1"/>
  <c r="M355" i="1"/>
  <c r="K355" i="1"/>
  <c r="J355" i="1"/>
  <c r="H355" i="1"/>
  <c r="G355" i="1"/>
  <c r="F355" i="1"/>
  <c r="C355" i="1"/>
  <c r="M354" i="1"/>
  <c r="K354" i="1"/>
  <c r="J354" i="1"/>
  <c r="H354" i="1"/>
  <c r="G354" i="1"/>
  <c r="F354" i="1"/>
  <c r="C354" i="1"/>
  <c r="M353" i="1"/>
  <c r="K353" i="1"/>
  <c r="J353" i="1"/>
  <c r="H353" i="1"/>
  <c r="G353" i="1"/>
  <c r="F353" i="1"/>
  <c r="C353" i="1"/>
  <c r="M352" i="1"/>
  <c r="K352" i="1"/>
  <c r="J352" i="1"/>
  <c r="H352" i="1"/>
  <c r="G352" i="1"/>
  <c r="F352" i="1"/>
  <c r="C352" i="1"/>
  <c r="M351" i="1"/>
  <c r="K351" i="1"/>
  <c r="J351" i="1"/>
  <c r="H351" i="1"/>
  <c r="G351" i="1"/>
  <c r="F351" i="1"/>
  <c r="C351" i="1"/>
  <c r="M350" i="1"/>
  <c r="K350" i="1"/>
  <c r="J350" i="1"/>
  <c r="H350" i="1"/>
  <c r="G350" i="1"/>
  <c r="F350" i="1"/>
  <c r="C350" i="1"/>
  <c r="M349" i="1"/>
  <c r="K349" i="1"/>
  <c r="J349" i="1"/>
  <c r="H349" i="1"/>
  <c r="G349" i="1"/>
  <c r="F349" i="1"/>
  <c r="C349" i="1"/>
  <c r="M348" i="1"/>
  <c r="K348" i="1"/>
  <c r="J348" i="1"/>
  <c r="H348" i="1"/>
  <c r="G348" i="1"/>
  <c r="F348" i="1"/>
  <c r="C348" i="1"/>
  <c r="M347" i="1"/>
  <c r="K347" i="1"/>
  <c r="J347" i="1"/>
  <c r="H347" i="1"/>
  <c r="G347" i="1"/>
  <c r="F347" i="1"/>
  <c r="C347" i="1"/>
  <c r="M346" i="1"/>
  <c r="K346" i="1"/>
  <c r="J346" i="1"/>
  <c r="H346" i="1"/>
  <c r="G346" i="1"/>
  <c r="F346" i="1"/>
  <c r="C346" i="1"/>
  <c r="M345" i="1"/>
  <c r="K345" i="1"/>
  <c r="J345" i="1"/>
  <c r="H345" i="1"/>
  <c r="G345" i="1"/>
  <c r="F345" i="1"/>
  <c r="C345" i="1"/>
  <c r="M344" i="1"/>
  <c r="K344" i="1"/>
  <c r="J344" i="1"/>
  <c r="H344" i="1"/>
  <c r="G344" i="1"/>
  <c r="F344" i="1"/>
  <c r="C344" i="1"/>
  <c r="M343" i="1"/>
  <c r="K343" i="1"/>
  <c r="J343" i="1"/>
  <c r="H343" i="1"/>
  <c r="G343" i="1"/>
  <c r="F343" i="1"/>
  <c r="C343" i="1"/>
  <c r="M342" i="1"/>
  <c r="K342" i="1"/>
  <c r="J342" i="1"/>
  <c r="H342" i="1"/>
  <c r="G342" i="1"/>
  <c r="F342" i="1"/>
  <c r="C342" i="1"/>
  <c r="M341" i="1"/>
  <c r="K341" i="1"/>
  <c r="J341" i="1"/>
  <c r="H341" i="1"/>
  <c r="G341" i="1"/>
  <c r="F341" i="1"/>
  <c r="C341" i="1"/>
  <c r="M340" i="1"/>
  <c r="K340" i="1"/>
  <c r="J340" i="1"/>
  <c r="H340" i="1"/>
  <c r="G340" i="1"/>
  <c r="F340" i="1"/>
  <c r="C340" i="1"/>
  <c r="M339" i="1"/>
  <c r="K339" i="1"/>
  <c r="J339" i="1"/>
  <c r="H339" i="1"/>
  <c r="G339" i="1"/>
  <c r="F339" i="1"/>
  <c r="C339" i="1"/>
  <c r="M338" i="1"/>
  <c r="K338" i="1"/>
  <c r="J338" i="1"/>
  <c r="H338" i="1"/>
  <c r="G338" i="1"/>
  <c r="F338" i="1"/>
  <c r="C338" i="1"/>
  <c r="M337" i="1"/>
  <c r="K337" i="1"/>
  <c r="J337" i="1"/>
  <c r="H337" i="1"/>
  <c r="G337" i="1"/>
  <c r="F337" i="1"/>
  <c r="C337" i="1"/>
  <c r="M336" i="1"/>
  <c r="K336" i="1"/>
  <c r="J336" i="1"/>
  <c r="H336" i="1"/>
  <c r="G336" i="1"/>
  <c r="F336" i="1"/>
  <c r="C336" i="1"/>
  <c r="M335" i="1"/>
  <c r="K335" i="1"/>
  <c r="J335" i="1"/>
  <c r="H335" i="1"/>
  <c r="G335" i="1"/>
  <c r="F335" i="1"/>
  <c r="C335" i="1"/>
  <c r="M334" i="1"/>
  <c r="K334" i="1"/>
  <c r="J334" i="1"/>
  <c r="H334" i="1"/>
  <c r="G334" i="1"/>
  <c r="F334" i="1"/>
  <c r="C334" i="1"/>
  <c r="M333" i="1"/>
  <c r="K333" i="1"/>
  <c r="J333" i="1"/>
  <c r="H333" i="1"/>
  <c r="G333" i="1"/>
  <c r="F333" i="1"/>
  <c r="C333" i="1"/>
  <c r="M332" i="1"/>
  <c r="K332" i="1"/>
  <c r="J332" i="1"/>
  <c r="H332" i="1"/>
  <c r="G332" i="1"/>
  <c r="F332" i="1"/>
  <c r="C332" i="1"/>
  <c r="M331" i="1"/>
  <c r="K331" i="1"/>
  <c r="J331" i="1"/>
  <c r="H331" i="1"/>
  <c r="G331" i="1"/>
  <c r="F331" i="1"/>
  <c r="C331" i="1"/>
  <c r="M330" i="1"/>
  <c r="K330" i="1"/>
  <c r="J330" i="1"/>
  <c r="H330" i="1"/>
  <c r="G330" i="1"/>
  <c r="F330" i="1"/>
  <c r="C330" i="1"/>
  <c r="M329" i="1"/>
  <c r="K329" i="1"/>
  <c r="J329" i="1"/>
  <c r="H329" i="1"/>
  <c r="G329" i="1"/>
  <c r="F329" i="1"/>
  <c r="C329" i="1"/>
  <c r="M328" i="1"/>
  <c r="K328" i="1"/>
  <c r="J328" i="1"/>
  <c r="H328" i="1"/>
  <c r="G328" i="1"/>
  <c r="F328" i="1"/>
  <c r="C328" i="1"/>
  <c r="M327" i="1"/>
  <c r="K327" i="1"/>
  <c r="J327" i="1"/>
  <c r="H327" i="1"/>
  <c r="G327" i="1"/>
  <c r="F327" i="1"/>
  <c r="C327" i="1"/>
  <c r="M326" i="1"/>
  <c r="K326" i="1"/>
  <c r="J326" i="1"/>
  <c r="H326" i="1"/>
  <c r="G326" i="1"/>
  <c r="F326" i="1"/>
  <c r="C326" i="1"/>
  <c r="M325" i="1"/>
  <c r="K325" i="1"/>
  <c r="J325" i="1"/>
  <c r="H325" i="1"/>
  <c r="G325" i="1"/>
  <c r="F325" i="1"/>
  <c r="C325" i="1"/>
  <c r="M324" i="1"/>
  <c r="K324" i="1"/>
  <c r="J324" i="1"/>
  <c r="H324" i="1"/>
  <c r="G324" i="1"/>
  <c r="F324" i="1"/>
  <c r="C324" i="1"/>
  <c r="M323" i="1"/>
  <c r="K323" i="1"/>
  <c r="J323" i="1"/>
  <c r="H323" i="1"/>
  <c r="G323" i="1"/>
  <c r="F323" i="1"/>
  <c r="C323" i="1"/>
  <c r="M322" i="1"/>
  <c r="K322" i="1"/>
  <c r="J322" i="1"/>
  <c r="H322" i="1"/>
  <c r="G322" i="1"/>
  <c r="F322" i="1"/>
  <c r="C322" i="1"/>
  <c r="M321" i="1"/>
  <c r="K321" i="1"/>
  <c r="J321" i="1"/>
  <c r="H321" i="1"/>
  <c r="G321" i="1"/>
  <c r="F321" i="1"/>
  <c r="C321" i="1"/>
  <c r="M320" i="1"/>
  <c r="K320" i="1"/>
  <c r="J320" i="1"/>
  <c r="H320" i="1"/>
  <c r="G320" i="1"/>
  <c r="F320" i="1"/>
  <c r="C320" i="1"/>
  <c r="M319" i="1"/>
  <c r="K319" i="1"/>
  <c r="J319" i="1"/>
  <c r="H319" i="1"/>
  <c r="G319" i="1"/>
  <c r="F319" i="1"/>
  <c r="C319" i="1"/>
  <c r="M318" i="1"/>
  <c r="K318" i="1"/>
  <c r="J318" i="1"/>
  <c r="H318" i="1"/>
  <c r="G318" i="1"/>
  <c r="F318" i="1"/>
  <c r="C318" i="1"/>
  <c r="M317" i="1"/>
  <c r="K317" i="1"/>
  <c r="J317" i="1"/>
  <c r="H317" i="1"/>
  <c r="G317" i="1"/>
  <c r="F317" i="1"/>
  <c r="C317" i="1"/>
  <c r="M316" i="1"/>
  <c r="K316" i="1"/>
  <c r="J316" i="1"/>
  <c r="H316" i="1"/>
  <c r="G316" i="1"/>
  <c r="F316" i="1"/>
  <c r="C316" i="1"/>
  <c r="M315" i="1"/>
  <c r="K315" i="1"/>
  <c r="J315" i="1"/>
  <c r="H315" i="1"/>
  <c r="G315" i="1"/>
  <c r="F315" i="1"/>
  <c r="C315" i="1"/>
  <c r="M314" i="1"/>
  <c r="K314" i="1"/>
  <c r="J314" i="1"/>
  <c r="H314" i="1"/>
  <c r="G314" i="1"/>
  <c r="F314" i="1"/>
  <c r="C314" i="1"/>
  <c r="M313" i="1"/>
  <c r="K313" i="1"/>
  <c r="J313" i="1"/>
  <c r="H313" i="1"/>
  <c r="G313" i="1"/>
  <c r="F313" i="1"/>
  <c r="C313" i="1"/>
  <c r="M312" i="1"/>
  <c r="K312" i="1"/>
  <c r="J312" i="1"/>
  <c r="H312" i="1"/>
  <c r="G312" i="1"/>
  <c r="F312" i="1"/>
  <c r="C312" i="1"/>
  <c r="M311" i="1"/>
  <c r="K311" i="1"/>
  <c r="J311" i="1"/>
  <c r="H311" i="1"/>
  <c r="G311" i="1"/>
  <c r="F311" i="1"/>
  <c r="C311" i="1"/>
  <c r="M310" i="1"/>
  <c r="K310" i="1"/>
  <c r="J310" i="1"/>
  <c r="H310" i="1"/>
  <c r="G310" i="1"/>
  <c r="F310" i="1"/>
  <c r="C310" i="1"/>
  <c r="M309" i="1"/>
  <c r="K309" i="1"/>
  <c r="J309" i="1"/>
  <c r="H309" i="1"/>
  <c r="G309" i="1"/>
  <c r="F309" i="1"/>
  <c r="C309" i="1"/>
  <c r="M308" i="1"/>
  <c r="K308" i="1"/>
  <c r="J308" i="1"/>
  <c r="H308" i="1"/>
  <c r="G308" i="1"/>
  <c r="F308" i="1"/>
  <c r="C308" i="1"/>
  <c r="M307" i="1"/>
  <c r="K307" i="1"/>
  <c r="J307" i="1"/>
  <c r="H307" i="1"/>
  <c r="G307" i="1"/>
  <c r="F307" i="1"/>
  <c r="C307" i="1"/>
  <c r="M306" i="1"/>
  <c r="K306" i="1"/>
  <c r="J306" i="1"/>
  <c r="H306" i="1"/>
  <c r="G306" i="1"/>
  <c r="F306" i="1"/>
  <c r="C306" i="1"/>
  <c r="M305" i="1"/>
  <c r="K305" i="1"/>
  <c r="J305" i="1"/>
  <c r="H305" i="1"/>
  <c r="G305" i="1"/>
  <c r="F305" i="1"/>
  <c r="C305" i="1"/>
  <c r="M304" i="1"/>
  <c r="K304" i="1"/>
  <c r="J304" i="1"/>
  <c r="H304" i="1"/>
  <c r="G304" i="1"/>
  <c r="F304" i="1"/>
  <c r="C304" i="1"/>
  <c r="M303" i="1"/>
  <c r="K303" i="1"/>
  <c r="J303" i="1"/>
  <c r="H303" i="1"/>
  <c r="G303" i="1"/>
  <c r="F303" i="1"/>
  <c r="C303" i="1"/>
  <c r="M302" i="1"/>
  <c r="K302" i="1"/>
  <c r="J302" i="1"/>
  <c r="H302" i="1"/>
  <c r="G302" i="1"/>
  <c r="F302" i="1"/>
  <c r="C302" i="1"/>
  <c r="M301" i="1"/>
  <c r="K301" i="1"/>
  <c r="J301" i="1"/>
  <c r="H301" i="1"/>
  <c r="G301" i="1"/>
  <c r="F301" i="1"/>
  <c r="C301" i="1"/>
  <c r="M300" i="1"/>
  <c r="K300" i="1"/>
  <c r="J300" i="1"/>
  <c r="H300" i="1"/>
  <c r="G300" i="1"/>
  <c r="F300" i="1"/>
  <c r="C300" i="1"/>
  <c r="M299" i="1"/>
  <c r="K299" i="1"/>
  <c r="J299" i="1"/>
  <c r="H299" i="1"/>
  <c r="G299" i="1"/>
  <c r="F299" i="1"/>
  <c r="C299" i="1"/>
  <c r="M298" i="1"/>
  <c r="K298" i="1"/>
  <c r="J298" i="1"/>
  <c r="H298" i="1"/>
  <c r="G298" i="1"/>
  <c r="F298" i="1"/>
  <c r="C298" i="1"/>
  <c r="M297" i="1"/>
  <c r="K297" i="1"/>
  <c r="J297" i="1"/>
  <c r="H297" i="1"/>
  <c r="G297" i="1"/>
  <c r="F297" i="1"/>
  <c r="C297" i="1"/>
  <c r="M296" i="1"/>
  <c r="K296" i="1"/>
  <c r="J296" i="1"/>
  <c r="H296" i="1"/>
  <c r="G296" i="1"/>
  <c r="F296" i="1"/>
  <c r="C296" i="1"/>
  <c r="M295" i="1"/>
  <c r="K295" i="1"/>
  <c r="J295" i="1"/>
  <c r="H295" i="1"/>
  <c r="G295" i="1"/>
  <c r="F295" i="1"/>
  <c r="C295" i="1"/>
  <c r="M294" i="1"/>
  <c r="K294" i="1"/>
  <c r="J294" i="1"/>
  <c r="H294" i="1"/>
  <c r="G294" i="1"/>
  <c r="F294" i="1"/>
  <c r="C294" i="1"/>
  <c r="M293" i="1"/>
  <c r="K293" i="1"/>
  <c r="J293" i="1"/>
  <c r="H293" i="1"/>
  <c r="G293" i="1"/>
  <c r="F293" i="1"/>
  <c r="C293" i="1"/>
  <c r="M292" i="1"/>
  <c r="K292" i="1"/>
  <c r="J292" i="1"/>
  <c r="H292" i="1"/>
  <c r="G292" i="1"/>
  <c r="F292" i="1"/>
  <c r="C292" i="1"/>
  <c r="M291" i="1"/>
  <c r="K291" i="1"/>
  <c r="J291" i="1"/>
  <c r="H291" i="1"/>
  <c r="G291" i="1"/>
  <c r="F291" i="1"/>
  <c r="C291" i="1"/>
  <c r="M290" i="1"/>
  <c r="K290" i="1"/>
  <c r="J290" i="1"/>
  <c r="H290" i="1"/>
  <c r="G290" i="1"/>
  <c r="F290" i="1"/>
  <c r="C290" i="1"/>
  <c r="M289" i="1"/>
  <c r="K289" i="1"/>
  <c r="J289" i="1"/>
  <c r="H289" i="1"/>
  <c r="G289" i="1"/>
  <c r="F289" i="1"/>
  <c r="C289" i="1"/>
  <c r="M288" i="1"/>
  <c r="K288" i="1"/>
  <c r="J288" i="1"/>
  <c r="H288" i="1"/>
  <c r="G288" i="1"/>
  <c r="F288" i="1"/>
  <c r="C288" i="1"/>
  <c r="M287" i="1"/>
  <c r="K287" i="1"/>
  <c r="J287" i="1"/>
  <c r="H287" i="1"/>
  <c r="G287" i="1"/>
  <c r="F287" i="1"/>
  <c r="C287" i="1"/>
  <c r="M286" i="1"/>
  <c r="K286" i="1"/>
  <c r="J286" i="1"/>
  <c r="H286" i="1"/>
  <c r="G286" i="1"/>
  <c r="F286" i="1"/>
  <c r="C286" i="1"/>
  <c r="M285" i="1"/>
  <c r="K285" i="1"/>
  <c r="J285" i="1"/>
  <c r="H285" i="1"/>
  <c r="G285" i="1"/>
  <c r="F285" i="1"/>
  <c r="C285" i="1"/>
  <c r="M284" i="1"/>
  <c r="K284" i="1"/>
  <c r="J284" i="1"/>
  <c r="H284" i="1"/>
  <c r="G284" i="1"/>
  <c r="F284" i="1"/>
  <c r="C284" i="1"/>
  <c r="M283" i="1"/>
  <c r="K283" i="1"/>
  <c r="J283" i="1"/>
  <c r="H283" i="1"/>
  <c r="G283" i="1"/>
  <c r="F283" i="1"/>
  <c r="C283" i="1"/>
  <c r="M282" i="1"/>
  <c r="K282" i="1"/>
  <c r="J282" i="1"/>
  <c r="H282" i="1"/>
  <c r="G282" i="1"/>
  <c r="F282" i="1"/>
  <c r="C282" i="1"/>
  <c r="M281" i="1"/>
  <c r="K281" i="1"/>
  <c r="J281" i="1"/>
  <c r="H281" i="1"/>
  <c r="G281" i="1"/>
  <c r="F281" i="1"/>
  <c r="C281" i="1"/>
  <c r="M280" i="1"/>
  <c r="K280" i="1"/>
  <c r="J280" i="1"/>
  <c r="H280" i="1"/>
  <c r="G280" i="1"/>
  <c r="F280" i="1"/>
  <c r="C280" i="1"/>
  <c r="M279" i="1"/>
  <c r="K279" i="1"/>
  <c r="J279" i="1"/>
  <c r="H279" i="1"/>
  <c r="G279" i="1"/>
  <c r="F279" i="1"/>
  <c r="C279" i="1"/>
  <c r="M278" i="1"/>
  <c r="K278" i="1"/>
  <c r="J278" i="1"/>
  <c r="H278" i="1"/>
  <c r="G278" i="1"/>
  <c r="F278" i="1"/>
  <c r="C278" i="1"/>
  <c r="M277" i="1"/>
  <c r="K277" i="1"/>
  <c r="J277" i="1"/>
  <c r="H277" i="1"/>
  <c r="G277" i="1"/>
  <c r="F277" i="1"/>
  <c r="C277" i="1"/>
  <c r="M276" i="1"/>
  <c r="K276" i="1"/>
  <c r="J276" i="1"/>
  <c r="H276" i="1"/>
  <c r="G276" i="1"/>
  <c r="F276" i="1"/>
  <c r="C276" i="1"/>
  <c r="M275" i="1"/>
  <c r="K275" i="1"/>
  <c r="J275" i="1"/>
  <c r="H275" i="1"/>
  <c r="G275" i="1"/>
  <c r="F275" i="1"/>
  <c r="C275" i="1"/>
  <c r="M274" i="1"/>
  <c r="K274" i="1"/>
  <c r="J274" i="1"/>
  <c r="H274" i="1"/>
  <c r="G274" i="1"/>
  <c r="F274" i="1"/>
  <c r="C274" i="1"/>
  <c r="M273" i="1"/>
  <c r="K273" i="1"/>
  <c r="J273" i="1"/>
  <c r="H273" i="1"/>
  <c r="G273" i="1"/>
  <c r="F273" i="1"/>
  <c r="C273" i="1"/>
  <c r="M272" i="1"/>
  <c r="K272" i="1"/>
  <c r="J272" i="1"/>
  <c r="H272" i="1"/>
  <c r="G272" i="1"/>
  <c r="F272" i="1"/>
  <c r="C272" i="1"/>
  <c r="M271" i="1"/>
  <c r="K271" i="1"/>
  <c r="J271" i="1"/>
  <c r="H271" i="1"/>
  <c r="G271" i="1"/>
  <c r="F271" i="1"/>
  <c r="C271" i="1"/>
  <c r="M270" i="1"/>
  <c r="K270" i="1"/>
  <c r="J270" i="1"/>
  <c r="H270" i="1"/>
  <c r="G270" i="1"/>
  <c r="F270" i="1"/>
  <c r="C270" i="1"/>
  <c r="M269" i="1"/>
  <c r="K269" i="1"/>
  <c r="J269" i="1"/>
  <c r="H269" i="1"/>
  <c r="G269" i="1"/>
  <c r="F269" i="1"/>
  <c r="C269" i="1"/>
  <c r="M268" i="1"/>
  <c r="K268" i="1"/>
  <c r="J268" i="1"/>
  <c r="H268" i="1"/>
  <c r="G268" i="1"/>
  <c r="F268" i="1"/>
  <c r="C268" i="1"/>
  <c r="M267" i="1"/>
  <c r="K267" i="1"/>
  <c r="J267" i="1"/>
  <c r="H267" i="1"/>
  <c r="G267" i="1"/>
  <c r="F267" i="1"/>
  <c r="C267" i="1"/>
  <c r="M266" i="1"/>
  <c r="K266" i="1"/>
  <c r="J266" i="1"/>
  <c r="H266" i="1"/>
  <c r="G266" i="1"/>
  <c r="F266" i="1"/>
  <c r="C266" i="1"/>
  <c r="M265" i="1"/>
  <c r="K265" i="1"/>
  <c r="J265" i="1"/>
  <c r="H265" i="1"/>
  <c r="G265" i="1"/>
  <c r="F265" i="1"/>
  <c r="C265" i="1"/>
  <c r="M264" i="1"/>
  <c r="K264" i="1"/>
  <c r="J264" i="1"/>
  <c r="H264" i="1"/>
  <c r="G264" i="1"/>
  <c r="F264" i="1"/>
  <c r="C264" i="1"/>
  <c r="M263" i="1"/>
  <c r="K263" i="1"/>
  <c r="J263" i="1"/>
  <c r="H263" i="1"/>
  <c r="G263" i="1"/>
  <c r="F263" i="1"/>
  <c r="C263" i="1"/>
  <c r="M262" i="1"/>
  <c r="K262" i="1"/>
  <c r="J262" i="1"/>
  <c r="H262" i="1"/>
  <c r="G262" i="1"/>
  <c r="F262" i="1"/>
  <c r="C262" i="1"/>
  <c r="M261" i="1"/>
  <c r="K261" i="1"/>
  <c r="J261" i="1"/>
  <c r="H261" i="1"/>
  <c r="G261" i="1"/>
  <c r="F261" i="1"/>
  <c r="C261" i="1"/>
  <c r="M260" i="1"/>
  <c r="K260" i="1"/>
  <c r="J260" i="1"/>
  <c r="H260" i="1"/>
  <c r="G260" i="1"/>
  <c r="F260" i="1"/>
  <c r="C260" i="1"/>
  <c r="M259" i="1"/>
  <c r="K259" i="1"/>
  <c r="J259" i="1"/>
  <c r="H259" i="1"/>
  <c r="G259" i="1"/>
  <c r="F259" i="1"/>
  <c r="C259" i="1"/>
  <c r="M258" i="1"/>
  <c r="K258" i="1"/>
  <c r="J258" i="1"/>
  <c r="H258" i="1"/>
  <c r="G258" i="1"/>
  <c r="F258" i="1"/>
  <c r="C258" i="1"/>
  <c r="M257" i="1"/>
  <c r="K257" i="1"/>
  <c r="J257" i="1"/>
  <c r="H257" i="1"/>
  <c r="G257" i="1"/>
  <c r="F257" i="1"/>
  <c r="C257" i="1"/>
  <c r="M256" i="1"/>
  <c r="K256" i="1"/>
  <c r="J256" i="1"/>
  <c r="H256" i="1"/>
  <c r="G256" i="1"/>
  <c r="F256" i="1"/>
  <c r="C256" i="1"/>
  <c r="M255" i="1"/>
  <c r="K255" i="1"/>
  <c r="J255" i="1"/>
  <c r="H255" i="1"/>
  <c r="G255" i="1"/>
  <c r="F255" i="1"/>
  <c r="C255" i="1"/>
  <c r="M254" i="1"/>
  <c r="K254" i="1"/>
  <c r="J254" i="1"/>
  <c r="H254" i="1"/>
  <c r="G254" i="1"/>
  <c r="F254" i="1"/>
  <c r="C254" i="1"/>
  <c r="M253" i="1"/>
  <c r="K253" i="1"/>
  <c r="J253" i="1"/>
  <c r="H253" i="1"/>
  <c r="G253" i="1"/>
  <c r="F253" i="1"/>
  <c r="C253" i="1"/>
  <c r="M252" i="1"/>
  <c r="K252" i="1"/>
  <c r="J252" i="1"/>
  <c r="H252" i="1"/>
  <c r="G252" i="1"/>
  <c r="F252" i="1"/>
  <c r="C252" i="1"/>
  <c r="M251" i="1"/>
  <c r="K251" i="1"/>
  <c r="J251" i="1"/>
  <c r="H251" i="1"/>
  <c r="G251" i="1"/>
  <c r="F251" i="1"/>
  <c r="C251" i="1"/>
  <c r="M250" i="1"/>
  <c r="K250" i="1"/>
  <c r="J250" i="1"/>
  <c r="H250" i="1"/>
  <c r="G250" i="1"/>
  <c r="F250" i="1"/>
  <c r="C250" i="1"/>
  <c r="M249" i="1"/>
  <c r="K249" i="1"/>
  <c r="J249" i="1"/>
  <c r="H249" i="1"/>
  <c r="G249" i="1"/>
  <c r="F249" i="1"/>
  <c r="C249" i="1"/>
  <c r="M248" i="1"/>
  <c r="K248" i="1"/>
  <c r="J248" i="1"/>
  <c r="H248" i="1"/>
  <c r="G248" i="1"/>
  <c r="F248" i="1"/>
  <c r="C248" i="1"/>
  <c r="M247" i="1"/>
  <c r="K247" i="1"/>
  <c r="J247" i="1"/>
  <c r="H247" i="1"/>
  <c r="G247" i="1"/>
  <c r="F247" i="1"/>
  <c r="C247" i="1"/>
  <c r="M246" i="1"/>
  <c r="K246" i="1"/>
  <c r="J246" i="1"/>
  <c r="H246" i="1"/>
  <c r="G246" i="1"/>
  <c r="F246" i="1"/>
  <c r="C246" i="1"/>
  <c r="M245" i="1"/>
  <c r="K245" i="1"/>
  <c r="J245" i="1"/>
  <c r="H245" i="1"/>
  <c r="G245" i="1"/>
  <c r="F245" i="1"/>
  <c r="C245" i="1"/>
  <c r="M244" i="1"/>
  <c r="K244" i="1"/>
  <c r="J244" i="1"/>
  <c r="H244" i="1"/>
  <c r="G244" i="1"/>
  <c r="F244" i="1"/>
  <c r="C244" i="1"/>
  <c r="M243" i="1"/>
  <c r="K243" i="1"/>
  <c r="J243" i="1"/>
  <c r="H243" i="1"/>
  <c r="G243" i="1"/>
  <c r="F243" i="1"/>
  <c r="C243" i="1"/>
  <c r="M242" i="1"/>
  <c r="K242" i="1"/>
  <c r="J242" i="1"/>
  <c r="H242" i="1"/>
  <c r="G242" i="1"/>
  <c r="F242" i="1"/>
  <c r="C242" i="1"/>
  <c r="M241" i="1"/>
  <c r="K241" i="1"/>
  <c r="J241" i="1"/>
  <c r="H241" i="1"/>
  <c r="G241" i="1"/>
  <c r="F241" i="1"/>
  <c r="C241" i="1"/>
  <c r="M240" i="1"/>
  <c r="K240" i="1"/>
  <c r="J240" i="1"/>
  <c r="H240" i="1"/>
  <c r="G240" i="1"/>
  <c r="F240" i="1"/>
  <c r="C240" i="1"/>
  <c r="M239" i="1"/>
  <c r="K239" i="1"/>
  <c r="J239" i="1"/>
  <c r="H239" i="1"/>
  <c r="G239" i="1"/>
  <c r="F239" i="1"/>
  <c r="C239" i="1"/>
  <c r="M238" i="1"/>
  <c r="K238" i="1"/>
  <c r="J238" i="1"/>
  <c r="H238" i="1"/>
  <c r="G238" i="1"/>
  <c r="F238" i="1"/>
  <c r="C238" i="1"/>
  <c r="M237" i="1"/>
  <c r="K237" i="1"/>
  <c r="J237" i="1"/>
  <c r="H237" i="1"/>
  <c r="G237" i="1"/>
  <c r="F237" i="1"/>
  <c r="C237" i="1"/>
  <c r="M236" i="1"/>
  <c r="K236" i="1"/>
  <c r="J236" i="1"/>
  <c r="H236" i="1"/>
  <c r="G236" i="1"/>
  <c r="F236" i="1"/>
  <c r="C236" i="1"/>
  <c r="M235" i="1"/>
  <c r="K235" i="1"/>
  <c r="J235" i="1"/>
  <c r="H235" i="1"/>
  <c r="G235" i="1"/>
  <c r="F235" i="1"/>
  <c r="C235" i="1"/>
  <c r="M234" i="1"/>
  <c r="K234" i="1"/>
  <c r="J234" i="1"/>
  <c r="H234" i="1"/>
  <c r="G234" i="1"/>
  <c r="F234" i="1"/>
  <c r="C234" i="1"/>
  <c r="M233" i="1"/>
  <c r="K233" i="1"/>
  <c r="J233" i="1"/>
  <c r="H233" i="1"/>
  <c r="G233" i="1"/>
  <c r="F233" i="1"/>
  <c r="C233" i="1"/>
  <c r="M232" i="1"/>
  <c r="K232" i="1"/>
  <c r="J232" i="1"/>
  <c r="H232" i="1"/>
  <c r="G232" i="1"/>
  <c r="F232" i="1"/>
  <c r="C232" i="1"/>
  <c r="M231" i="1"/>
  <c r="K231" i="1"/>
  <c r="J231" i="1"/>
  <c r="H231" i="1"/>
  <c r="G231" i="1"/>
  <c r="F231" i="1"/>
  <c r="C231" i="1"/>
  <c r="M230" i="1"/>
  <c r="K230" i="1"/>
  <c r="J230" i="1"/>
  <c r="H230" i="1"/>
  <c r="G230" i="1"/>
  <c r="F230" i="1"/>
  <c r="C230" i="1"/>
  <c r="M229" i="1"/>
  <c r="K229" i="1"/>
  <c r="J229" i="1"/>
  <c r="H229" i="1"/>
  <c r="G229" i="1"/>
  <c r="F229" i="1"/>
  <c r="C229" i="1"/>
  <c r="M228" i="1"/>
  <c r="K228" i="1"/>
  <c r="J228" i="1"/>
  <c r="H228" i="1"/>
  <c r="G228" i="1"/>
  <c r="F228" i="1"/>
  <c r="C228" i="1"/>
  <c r="M227" i="1"/>
  <c r="K227" i="1"/>
  <c r="J227" i="1"/>
  <c r="H227" i="1"/>
  <c r="G227" i="1"/>
  <c r="F227" i="1"/>
  <c r="C227" i="1"/>
  <c r="M226" i="1"/>
  <c r="K226" i="1"/>
  <c r="J226" i="1"/>
  <c r="H226" i="1"/>
  <c r="G226" i="1"/>
  <c r="F226" i="1"/>
  <c r="C226" i="1"/>
  <c r="M225" i="1"/>
  <c r="K225" i="1"/>
  <c r="J225" i="1"/>
  <c r="H225" i="1"/>
  <c r="G225" i="1"/>
  <c r="F225" i="1"/>
  <c r="C225" i="1"/>
  <c r="M224" i="1"/>
  <c r="K224" i="1"/>
  <c r="J224" i="1"/>
  <c r="H224" i="1"/>
  <c r="G224" i="1"/>
  <c r="F224" i="1"/>
  <c r="C224" i="1"/>
  <c r="M223" i="1"/>
  <c r="K223" i="1"/>
  <c r="J223" i="1"/>
  <c r="H223" i="1"/>
  <c r="G223" i="1"/>
  <c r="F223" i="1"/>
  <c r="C223" i="1"/>
  <c r="M222" i="1"/>
  <c r="K222" i="1"/>
  <c r="J222" i="1"/>
  <c r="H222" i="1"/>
  <c r="G222" i="1"/>
  <c r="F222" i="1"/>
  <c r="C222" i="1"/>
  <c r="M221" i="1"/>
  <c r="K221" i="1"/>
  <c r="J221" i="1"/>
  <c r="H221" i="1"/>
  <c r="G221" i="1"/>
  <c r="F221" i="1"/>
  <c r="C221" i="1"/>
  <c r="M220" i="1"/>
  <c r="K220" i="1"/>
  <c r="J220" i="1"/>
  <c r="H220" i="1"/>
  <c r="G220" i="1"/>
  <c r="F220" i="1"/>
  <c r="C220" i="1"/>
  <c r="M219" i="1"/>
  <c r="K219" i="1"/>
  <c r="J219" i="1"/>
  <c r="H219" i="1"/>
  <c r="G219" i="1"/>
  <c r="F219" i="1"/>
  <c r="C219" i="1"/>
  <c r="M218" i="1"/>
  <c r="K218" i="1"/>
  <c r="J218" i="1"/>
  <c r="H218" i="1"/>
  <c r="G218" i="1"/>
  <c r="F218" i="1"/>
  <c r="C218" i="1"/>
  <c r="M217" i="1"/>
  <c r="K217" i="1"/>
  <c r="J217" i="1"/>
  <c r="H217" i="1"/>
  <c r="G217" i="1"/>
  <c r="F217" i="1"/>
  <c r="C217" i="1"/>
  <c r="M216" i="1"/>
  <c r="K216" i="1"/>
  <c r="J216" i="1"/>
  <c r="H216" i="1"/>
  <c r="G216" i="1"/>
  <c r="F216" i="1"/>
  <c r="C216" i="1"/>
  <c r="M215" i="1"/>
  <c r="K215" i="1"/>
  <c r="J215" i="1"/>
  <c r="H215" i="1"/>
  <c r="G215" i="1"/>
  <c r="F215" i="1"/>
  <c r="C215" i="1"/>
  <c r="M214" i="1"/>
  <c r="K214" i="1"/>
  <c r="J214" i="1"/>
  <c r="H214" i="1"/>
  <c r="G214" i="1"/>
  <c r="F214" i="1"/>
  <c r="C214" i="1"/>
  <c r="M213" i="1"/>
  <c r="K213" i="1"/>
  <c r="J213" i="1"/>
  <c r="H213" i="1"/>
  <c r="G213" i="1"/>
  <c r="F213" i="1"/>
  <c r="C213" i="1"/>
  <c r="M212" i="1"/>
  <c r="K212" i="1"/>
  <c r="J212" i="1"/>
  <c r="H212" i="1"/>
  <c r="G212" i="1"/>
  <c r="F212" i="1"/>
  <c r="C212" i="1"/>
  <c r="M211" i="1"/>
  <c r="K211" i="1"/>
  <c r="J211" i="1"/>
  <c r="H211" i="1"/>
  <c r="G211" i="1"/>
  <c r="F211" i="1"/>
  <c r="C211" i="1"/>
  <c r="M210" i="1"/>
  <c r="K210" i="1"/>
  <c r="J210" i="1"/>
  <c r="H210" i="1"/>
  <c r="G210" i="1"/>
  <c r="F210" i="1"/>
  <c r="C210" i="1"/>
  <c r="M209" i="1"/>
  <c r="K209" i="1"/>
  <c r="J209" i="1"/>
  <c r="H209" i="1"/>
  <c r="G209" i="1"/>
  <c r="F209" i="1"/>
  <c r="C209" i="1"/>
  <c r="M208" i="1"/>
  <c r="K208" i="1"/>
  <c r="J208" i="1"/>
  <c r="H208" i="1"/>
  <c r="G208" i="1"/>
  <c r="F208" i="1"/>
  <c r="C208" i="1"/>
  <c r="M207" i="1"/>
  <c r="K207" i="1"/>
  <c r="J207" i="1"/>
  <c r="H207" i="1"/>
  <c r="G207" i="1"/>
  <c r="F207" i="1"/>
  <c r="C207" i="1"/>
  <c r="M206" i="1"/>
  <c r="K206" i="1"/>
  <c r="J206" i="1"/>
  <c r="H206" i="1"/>
  <c r="G206" i="1"/>
  <c r="F206" i="1"/>
  <c r="C206" i="1"/>
  <c r="M205" i="1"/>
  <c r="K205" i="1"/>
  <c r="J205" i="1"/>
  <c r="H205" i="1"/>
  <c r="G205" i="1"/>
  <c r="F205" i="1"/>
  <c r="C205" i="1"/>
  <c r="M204" i="1"/>
  <c r="K204" i="1"/>
  <c r="J204" i="1"/>
  <c r="H204" i="1"/>
  <c r="G204" i="1"/>
  <c r="F204" i="1"/>
  <c r="C204" i="1"/>
  <c r="M203" i="1"/>
  <c r="K203" i="1"/>
  <c r="J203" i="1"/>
  <c r="H203" i="1"/>
  <c r="G203" i="1"/>
  <c r="F203" i="1"/>
  <c r="C203" i="1"/>
  <c r="M202" i="1"/>
  <c r="K202" i="1"/>
  <c r="J202" i="1"/>
  <c r="H202" i="1"/>
  <c r="G202" i="1"/>
  <c r="F202" i="1"/>
  <c r="C202" i="1"/>
  <c r="M201" i="1"/>
  <c r="K201" i="1"/>
  <c r="J201" i="1"/>
  <c r="H201" i="1"/>
  <c r="G201" i="1"/>
  <c r="F201" i="1"/>
  <c r="C201" i="1"/>
  <c r="M200" i="1"/>
  <c r="K200" i="1"/>
  <c r="J200" i="1"/>
  <c r="H200" i="1"/>
  <c r="G200" i="1"/>
  <c r="F200" i="1"/>
  <c r="C200" i="1"/>
  <c r="M199" i="1"/>
  <c r="K199" i="1"/>
  <c r="J199" i="1"/>
  <c r="H199" i="1"/>
  <c r="G199" i="1"/>
  <c r="F199" i="1"/>
  <c r="C199" i="1"/>
  <c r="M198" i="1"/>
  <c r="K198" i="1"/>
  <c r="J198" i="1"/>
  <c r="H198" i="1"/>
  <c r="G198" i="1"/>
  <c r="F198" i="1"/>
  <c r="C198" i="1"/>
  <c r="M197" i="1"/>
  <c r="K197" i="1"/>
  <c r="J197" i="1"/>
  <c r="H197" i="1"/>
  <c r="G197" i="1"/>
  <c r="F197" i="1"/>
  <c r="C197" i="1"/>
  <c r="M196" i="1"/>
  <c r="K196" i="1"/>
  <c r="J196" i="1"/>
  <c r="H196" i="1"/>
  <c r="G196" i="1"/>
  <c r="F196" i="1"/>
  <c r="C196" i="1"/>
  <c r="M195" i="1"/>
  <c r="K195" i="1"/>
  <c r="J195" i="1"/>
  <c r="H195" i="1"/>
  <c r="G195" i="1"/>
  <c r="F195" i="1"/>
  <c r="C195" i="1"/>
  <c r="M194" i="1"/>
  <c r="K194" i="1"/>
  <c r="J194" i="1"/>
  <c r="H194" i="1"/>
  <c r="G194" i="1"/>
  <c r="F194" i="1"/>
  <c r="C194" i="1"/>
  <c r="M193" i="1"/>
  <c r="K193" i="1"/>
  <c r="J193" i="1"/>
  <c r="H193" i="1"/>
  <c r="G193" i="1"/>
  <c r="F193" i="1"/>
  <c r="C193" i="1"/>
  <c r="M192" i="1"/>
  <c r="K192" i="1"/>
  <c r="J192" i="1"/>
  <c r="H192" i="1"/>
  <c r="G192" i="1"/>
  <c r="F192" i="1"/>
  <c r="C192" i="1"/>
  <c r="M191" i="1"/>
  <c r="K191" i="1"/>
  <c r="J191" i="1"/>
  <c r="H191" i="1"/>
  <c r="G191" i="1"/>
  <c r="F191" i="1"/>
  <c r="C191" i="1"/>
  <c r="M190" i="1"/>
  <c r="K190" i="1"/>
  <c r="J190" i="1"/>
  <c r="H190" i="1"/>
  <c r="G190" i="1"/>
  <c r="C190" i="1"/>
  <c r="M189" i="1"/>
  <c r="K189" i="1"/>
  <c r="J189" i="1"/>
  <c r="H189" i="1"/>
  <c r="G189" i="1"/>
  <c r="C189" i="1"/>
  <c r="M188" i="1"/>
  <c r="K188" i="1"/>
  <c r="J188" i="1"/>
  <c r="H188" i="1"/>
  <c r="G188" i="1"/>
  <c r="C188" i="1"/>
  <c r="M187" i="1"/>
  <c r="K187" i="1"/>
  <c r="J187" i="1"/>
  <c r="H187" i="1"/>
  <c r="G187" i="1"/>
  <c r="C187" i="1"/>
  <c r="M186" i="1"/>
  <c r="K186" i="1"/>
  <c r="J186" i="1"/>
  <c r="H186" i="1"/>
  <c r="G186" i="1"/>
  <c r="C186" i="1"/>
  <c r="M185" i="1"/>
  <c r="K185" i="1"/>
  <c r="J185" i="1"/>
  <c r="H185" i="1"/>
  <c r="G185" i="1"/>
  <c r="C185" i="1"/>
  <c r="M184" i="1"/>
  <c r="K184" i="1"/>
  <c r="J184" i="1"/>
  <c r="H184" i="1"/>
  <c r="G184" i="1"/>
  <c r="C184" i="1"/>
  <c r="M183" i="1"/>
  <c r="K183" i="1"/>
  <c r="J183" i="1"/>
  <c r="H183" i="1"/>
  <c r="G183" i="1"/>
  <c r="C183" i="1"/>
  <c r="M182" i="1"/>
  <c r="K182" i="1"/>
  <c r="J182" i="1"/>
  <c r="H182" i="1"/>
  <c r="G182" i="1"/>
  <c r="C182" i="1"/>
  <c r="M181" i="1"/>
  <c r="K181" i="1"/>
  <c r="J181" i="1"/>
  <c r="H181" i="1"/>
  <c r="G181" i="1"/>
  <c r="C181" i="1"/>
  <c r="M180" i="1"/>
  <c r="K180" i="1"/>
  <c r="J180" i="1"/>
  <c r="H180" i="1"/>
  <c r="G180" i="1"/>
  <c r="C180" i="1"/>
  <c r="M179" i="1"/>
  <c r="K179" i="1"/>
  <c r="J179" i="1"/>
  <c r="H179" i="1"/>
  <c r="G179" i="1"/>
  <c r="C179" i="1"/>
  <c r="M178" i="1"/>
  <c r="K178" i="1"/>
  <c r="J178" i="1"/>
  <c r="H178" i="1"/>
  <c r="G178" i="1"/>
  <c r="C178" i="1"/>
  <c r="M177" i="1"/>
  <c r="K177" i="1"/>
  <c r="J177" i="1"/>
  <c r="H177" i="1"/>
  <c r="G177" i="1"/>
  <c r="C177" i="1"/>
  <c r="M176" i="1"/>
  <c r="K176" i="1"/>
  <c r="J176" i="1"/>
  <c r="H176" i="1"/>
  <c r="G176" i="1"/>
  <c r="C176" i="1"/>
  <c r="M175" i="1"/>
  <c r="K175" i="1"/>
  <c r="J175" i="1"/>
  <c r="H175" i="1"/>
  <c r="G175" i="1"/>
  <c r="C175" i="1"/>
  <c r="M174" i="1"/>
  <c r="K174" i="1"/>
  <c r="J174" i="1"/>
  <c r="H174" i="1"/>
  <c r="G174" i="1"/>
  <c r="C174" i="1"/>
  <c r="M173" i="1"/>
  <c r="K173" i="1"/>
  <c r="J173" i="1"/>
  <c r="H173" i="1"/>
  <c r="G173" i="1"/>
  <c r="C173" i="1"/>
  <c r="M172" i="1"/>
  <c r="K172" i="1"/>
  <c r="J172" i="1"/>
  <c r="H172" i="1"/>
  <c r="G172" i="1"/>
  <c r="C172" i="1"/>
  <c r="M171" i="1"/>
  <c r="K171" i="1"/>
  <c r="J171" i="1"/>
  <c r="H171" i="1"/>
  <c r="G171" i="1"/>
  <c r="C171" i="1"/>
  <c r="M170" i="1"/>
  <c r="K170" i="1"/>
  <c r="J170" i="1"/>
  <c r="H170" i="1"/>
  <c r="G170" i="1"/>
  <c r="C170" i="1"/>
  <c r="M169" i="1"/>
  <c r="K169" i="1"/>
  <c r="J169" i="1"/>
  <c r="H169" i="1"/>
  <c r="G169" i="1"/>
  <c r="C169" i="1"/>
  <c r="M168" i="1"/>
  <c r="K168" i="1"/>
  <c r="J168" i="1"/>
  <c r="H168" i="1"/>
  <c r="G168" i="1"/>
  <c r="C168" i="1"/>
  <c r="M167" i="1"/>
  <c r="K167" i="1"/>
  <c r="J167" i="1"/>
  <c r="H167" i="1"/>
  <c r="G167" i="1"/>
  <c r="C167" i="1"/>
  <c r="M166" i="1"/>
  <c r="K166" i="1"/>
  <c r="J166" i="1"/>
  <c r="H166" i="1"/>
  <c r="G166" i="1"/>
  <c r="C166" i="1"/>
  <c r="M165" i="1"/>
  <c r="K165" i="1"/>
  <c r="J165" i="1"/>
  <c r="H165" i="1"/>
  <c r="G165" i="1"/>
  <c r="C165" i="1"/>
  <c r="M164" i="1"/>
  <c r="K164" i="1"/>
  <c r="J164" i="1"/>
  <c r="H164" i="1"/>
  <c r="G164" i="1"/>
  <c r="C164" i="1"/>
  <c r="M163" i="1"/>
  <c r="K163" i="1"/>
  <c r="J163" i="1"/>
  <c r="H163" i="1"/>
  <c r="G163" i="1"/>
  <c r="C163" i="1"/>
  <c r="M162" i="1"/>
  <c r="K162" i="1"/>
  <c r="J162" i="1"/>
  <c r="H162" i="1"/>
  <c r="G162" i="1"/>
  <c r="C162" i="1"/>
  <c r="M161" i="1"/>
  <c r="K161" i="1"/>
  <c r="J161" i="1"/>
  <c r="H161" i="1"/>
  <c r="G161" i="1"/>
  <c r="C161" i="1"/>
  <c r="M160" i="1"/>
  <c r="K160" i="1"/>
  <c r="J160" i="1"/>
  <c r="H160" i="1"/>
  <c r="G160" i="1"/>
  <c r="C160" i="1"/>
  <c r="M159" i="1"/>
  <c r="K159" i="1"/>
  <c r="J159" i="1"/>
  <c r="H159" i="1"/>
  <c r="G159" i="1"/>
  <c r="C159" i="1"/>
  <c r="M158" i="1"/>
  <c r="K158" i="1"/>
  <c r="J158" i="1"/>
  <c r="H158" i="1"/>
  <c r="G158" i="1"/>
  <c r="C158" i="1"/>
  <c r="M157" i="1"/>
  <c r="K157" i="1"/>
  <c r="J157" i="1"/>
  <c r="H157" i="1"/>
  <c r="G157" i="1"/>
  <c r="C157" i="1"/>
  <c r="M156" i="1"/>
  <c r="K156" i="1"/>
  <c r="J156" i="1"/>
  <c r="H156" i="1"/>
  <c r="G156" i="1"/>
  <c r="C156" i="1"/>
  <c r="M155" i="1"/>
  <c r="K155" i="1"/>
  <c r="J155" i="1"/>
  <c r="H155" i="1"/>
  <c r="G155" i="1"/>
  <c r="C155" i="1"/>
  <c r="M154" i="1"/>
  <c r="K154" i="1"/>
  <c r="J154" i="1"/>
  <c r="H154" i="1"/>
  <c r="G154" i="1"/>
  <c r="C154" i="1"/>
  <c r="M153" i="1"/>
  <c r="K153" i="1"/>
  <c r="J153" i="1"/>
  <c r="H153" i="1"/>
  <c r="G153" i="1"/>
  <c r="C153" i="1"/>
  <c r="M152" i="1"/>
  <c r="K152" i="1"/>
  <c r="J152" i="1"/>
  <c r="H152" i="1"/>
  <c r="G152" i="1"/>
  <c r="C152" i="1"/>
  <c r="M151" i="1"/>
  <c r="K151" i="1"/>
  <c r="J151" i="1"/>
  <c r="H151" i="1"/>
  <c r="G151" i="1"/>
  <c r="C151" i="1"/>
  <c r="M150" i="1"/>
  <c r="K150" i="1"/>
  <c r="J150" i="1"/>
  <c r="H150" i="1"/>
  <c r="G150" i="1"/>
  <c r="C150" i="1"/>
  <c r="M149" i="1"/>
  <c r="K149" i="1"/>
  <c r="J149" i="1"/>
  <c r="H149" i="1"/>
  <c r="G149" i="1"/>
  <c r="C149" i="1"/>
  <c r="M148" i="1"/>
  <c r="K148" i="1"/>
  <c r="J148" i="1"/>
  <c r="H148" i="1"/>
  <c r="G148" i="1"/>
  <c r="C148" i="1"/>
  <c r="M147" i="1"/>
  <c r="K147" i="1"/>
  <c r="J147" i="1"/>
  <c r="H147" i="1"/>
  <c r="G147" i="1"/>
  <c r="C147" i="1"/>
  <c r="M146" i="1"/>
  <c r="K146" i="1"/>
  <c r="J146" i="1"/>
  <c r="H146" i="1"/>
  <c r="G146" i="1"/>
  <c r="C146" i="1"/>
  <c r="M145" i="1"/>
  <c r="K145" i="1"/>
  <c r="J145" i="1"/>
  <c r="H145" i="1"/>
  <c r="G145" i="1"/>
  <c r="C145" i="1"/>
  <c r="M144" i="1"/>
  <c r="K144" i="1"/>
  <c r="J144" i="1"/>
  <c r="H144" i="1"/>
  <c r="G144" i="1"/>
  <c r="C144" i="1"/>
  <c r="M143" i="1"/>
  <c r="K143" i="1"/>
  <c r="J143" i="1"/>
  <c r="H143" i="1"/>
  <c r="G143" i="1"/>
  <c r="C143" i="1"/>
  <c r="M142" i="1"/>
  <c r="K142" i="1"/>
  <c r="J142" i="1"/>
  <c r="H142" i="1"/>
  <c r="G142" i="1"/>
  <c r="C142" i="1"/>
  <c r="M141" i="1"/>
  <c r="K141" i="1"/>
  <c r="J141" i="1"/>
  <c r="H141" i="1"/>
  <c r="G141" i="1"/>
  <c r="C141" i="1"/>
  <c r="M140" i="1"/>
  <c r="K140" i="1"/>
  <c r="J140" i="1"/>
  <c r="H140" i="1"/>
  <c r="G140" i="1"/>
  <c r="C140" i="1"/>
  <c r="M139" i="1"/>
  <c r="K139" i="1"/>
  <c r="J139" i="1"/>
  <c r="H139" i="1"/>
  <c r="G139" i="1"/>
  <c r="C139" i="1"/>
  <c r="M138" i="1"/>
  <c r="K138" i="1"/>
  <c r="J138" i="1"/>
  <c r="H138" i="1"/>
  <c r="G138" i="1"/>
  <c r="C138" i="1"/>
  <c r="M137" i="1"/>
  <c r="K137" i="1"/>
  <c r="J137" i="1"/>
  <c r="H137" i="1"/>
  <c r="G137" i="1"/>
  <c r="F137" i="1"/>
  <c r="C137" i="1"/>
  <c r="M136" i="1"/>
  <c r="K136" i="1"/>
  <c r="J136" i="1"/>
  <c r="H136" i="1"/>
  <c r="G136" i="1"/>
  <c r="F136" i="1"/>
  <c r="C136" i="1"/>
  <c r="M135" i="1"/>
  <c r="K135" i="1"/>
  <c r="J135" i="1"/>
  <c r="H135" i="1"/>
  <c r="G135" i="1"/>
  <c r="F135" i="1"/>
  <c r="C135" i="1"/>
  <c r="M134" i="1"/>
  <c r="K134" i="1"/>
  <c r="J134" i="1"/>
  <c r="H134" i="1"/>
  <c r="G134" i="1"/>
  <c r="F134" i="1"/>
  <c r="C134" i="1"/>
  <c r="M133" i="1"/>
  <c r="K133" i="1"/>
  <c r="J133" i="1"/>
  <c r="H133" i="1"/>
  <c r="G133" i="1"/>
  <c r="F133" i="1"/>
  <c r="C133" i="1"/>
  <c r="M132" i="1"/>
  <c r="K132" i="1"/>
  <c r="J132" i="1"/>
  <c r="H132" i="1"/>
  <c r="G132" i="1"/>
  <c r="F132" i="1"/>
  <c r="C132" i="1"/>
  <c r="M131" i="1"/>
  <c r="K131" i="1"/>
  <c r="J131" i="1"/>
  <c r="H131" i="1"/>
  <c r="G131" i="1"/>
  <c r="F131" i="1"/>
  <c r="C131" i="1"/>
  <c r="M130" i="1"/>
  <c r="K130" i="1"/>
  <c r="J130" i="1"/>
  <c r="H130" i="1"/>
  <c r="G130" i="1"/>
  <c r="F130" i="1"/>
  <c r="C130" i="1"/>
  <c r="M129" i="1"/>
  <c r="K129" i="1"/>
  <c r="J129" i="1"/>
  <c r="H129" i="1"/>
  <c r="G129" i="1"/>
  <c r="F129" i="1"/>
  <c r="C129" i="1"/>
  <c r="M128" i="1"/>
  <c r="K128" i="1"/>
  <c r="J128" i="1"/>
  <c r="H128" i="1"/>
  <c r="G128" i="1"/>
  <c r="F128" i="1"/>
  <c r="C128" i="1"/>
  <c r="M127" i="1"/>
  <c r="K127" i="1"/>
  <c r="J127" i="1"/>
  <c r="H127" i="1"/>
  <c r="G127" i="1"/>
  <c r="F127" i="1"/>
  <c r="C127" i="1"/>
  <c r="M126" i="1"/>
  <c r="K126" i="1"/>
  <c r="J126" i="1"/>
  <c r="H126" i="1"/>
  <c r="G126" i="1"/>
  <c r="F126" i="1"/>
  <c r="C126" i="1"/>
  <c r="M125" i="1"/>
  <c r="K125" i="1"/>
  <c r="J125" i="1"/>
  <c r="H125" i="1"/>
  <c r="G125" i="1"/>
  <c r="F125" i="1"/>
  <c r="C125" i="1"/>
  <c r="M124" i="1"/>
  <c r="K124" i="1"/>
  <c r="J124" i="1"/>
  <c r="H124" i="1"/>
  <c r="G124" i="1"/>
  <c r="F124" i="1"/>
  <c r="C124" i="1"/>
  <c r="M123" i="1"/>
  <c r="K123" i="1"/>
  <c r="J123" i="1"/>
  <c r="H123" i="1"/>
  <c r="G123" i="1"/>
  <c r="F123" i="1"/>
  <c r="C123" i="1"/>
  <c r="M122" i="1"/>
  <c r="K122" i="1"/>
  <c r="J122" i="1"/>
  <c r="H122" i="1"/>
  <c r="G122" i="1"/>
  <c r="F122" i="1"/>
  <c r="C122" i="1"/>
  <c r="M121" i="1"/>
  <c r="K121" i="1"/>
  <c r="J121" i="1"/>
  <c r="H121" i="1"/>
  <c r="G121" i="1"/>
  <c r="F121" i="1"/>
  <c r="C121" i="1"/>
  <c r="M120" i="1"/>
  <c r="K120" i="1"/>
  <c r="J120" i="1"/>
  <c r="H120" i="1"/>
  <c r="G120" i="1"/>
  <c r="F120" i="1"/>
  <c r="C120" i="1"/>
  <c r="M119" i="1"/>
  <c r="K119" i="1"/>
  <c r="J119" i="1"/>
  <c r="H119" i="1"/>
  <c r="G119" i="1"/>
  <c r="F119" i="1"/>
  <c r="C119" i="1"/>
  <c r="M118" i="1"/>
  <c r="K118" i="1"/>
  <c r="J118" i="1"/>
  <c r="H118" i="1"/>
  <c r="G118" i="1"/>
  <c r="F118" i="1"/>
  <c r="C118" i="1"/>
  <c r="M117" i="1"/>
  <c r="K117" i="1"/>
  <c r="J117" i="1"/>
  <c r="H117" i="1"/>
  <c r="G117" i="1"/>
  <c r="F117" i="1"/>
  <c r="C117" i="1"/>
  <c r="M116" i="1"/>
  <c r="K116" i="1"/>
  <c r="J116" i="1"/>
  <c r="H116" i="1"/>
  <c r="G116" i="1"/>
  <c r="F116" i="1"/>
  <c r="C116" i="1"/>
  <c r="M115" i="1"/>
  <c r="K115" i="1"/>
  <c r="J115" i="1"/>
  <c r="H115" i="1"/>
  <c r="G115" i="1"/>
  <c r="F115" i="1"/>
  <c r="C115" i="1"/>
  <c r="M114" i="1"/>
  <c r="K114" i="1"/>
  <c r="J114" i="1"/>
  <c r="H114" i="1"/>
  <c r="G114" i="1"/>
  <c r="F114" i="1"/>
  <c r="C114" i="1"/>
  <c r="M113" i="1"/>
  <c r="K113" i="1"/>
  <c r="J113" i="1"/>
  <c r="H113" i="1"/>
  <c r="G113" i="1"/>
  <c r="F113" i="1"/>
  <c r="C113" i="1"/>
  <c r="M112" i="1"/>
  <c r="K112" i="1"/>
  <c r="J112" i="1"/>
  <c r="H112" i="1"/>
  <c r="G112" i="1"/>
  <c r="F112" i="1"/>
  <c r="C112" i="1"/>
  <c r="M111" i="1"/>
  <c r="K111" i="1"/>
  <c r="J111" i="1"/>
  <c r="H111" i="1"/>
  <c r="G111" i="1"/>
  <c r="F111" i="1"/>
  <c r="C111" i="1"/>
  <c r="M110" i="1"/>
  <c r="K110" i="1"/>
  <c r="J110" i="1"/>
  <c r="H110" i="1"/>
  <c r="G110" i="1"/>
  <c r="F110" i="1"/>
  <c r="C110" i="1"/>
  <c r="M109" i="1"/>
  <c r="K109" i="1"/>
  <c r="J109" i="1"/>
  <c r="H109" i="1"/>
  <c r="G109" i="1"/>
  <c r="F109" i="1"/>
  <c r="C109" i="1"/>
  <c r="M108" i="1"/>
  <c r="K108" i="1"/>
  <c r="J108" i="1"/>
  <c r="H108" i="1"/>
  <c r="G108" i="1"/>
  <c r="F108" i="1"/>
  <c r="C108" i="1"/>
  <c r="M107" i="1"/>
  <c r="K107" i="1"/>
  <c r="J107" i="1"/>
  <c r="H107" i="1"/>
  <c r="G107" i="1"/>
  <c r="F107" i="1"/>
  <c r="C107" i="1"/>
  <c r="M106" i="1"/>
  <c r="K106" i="1"/>
  <c r="J106" i="1"/>
  <c r="H106" i="1"/>
  <c r="G106" i="1"/>
  <c r="F106" i="1"/>
  <c r="C106" i="1"/>
  <c r="M105" i="1"/>
  <c r="K105" i="1"/>
  <c r="J105" i="1"/>
  <c r="H105" i="1"/>
  <c r="G105" i="1"/>
  <c r="F105" i="1"/>
  <c r="C105" i="1"/>
  <c r="M104" i="1"/>
  <c r="K104" i="1"/>
  <c r="J104" i="1"/>
  <c r="H104" i="1"/>
  <c r="G104" i="1"/>
  <c r="F104" i="1"/>
  <c r="C104" i="1"/>
  <c r="M103" i="1"/>
  <c r="K103" i="1"/>
  <c r="J103" i="1"/>
  <c r="H103" i="1"/>
  <c r="G103" i="1"/>
  <c r="F103" i="1"/>
  <c r="C103" i="1"/>
  <c r="M102" i="1"/>
  <c r="K102" i="1"/>
  <c r="J102" i="1"/>
  <c r="H102" i="1"/>
  <c r="G102" i="1"/>
  <c r="F102" i="1"/>
  <c r="C102" i="1"/>
  <c r="M101" i="1"/>
  <c r="K101" i="1"/>
  <c r="J101" i="1"/>
  <c r="H101" i="1"/>
  <c r="G101" i="1"/>
  <c r="F101" i="1"/>
  <c r="C101" i="1"/>
  <c r="M100" i="1"/>
  <c r="K100" i="1"/>
  <c r="J100" i="1"/>
  <c r="H100" i="1"/>
  <c r="G100" i="1"/>
  <c r="F100" i="1"/>
  <c r="C100" i="1"/>
  <c r="M99" i="1"/>
  <c r="K99" i="1"/>
  <c r="J99" i="1"/>
  <c r="H99" i="1"/>
  <c r="G99" i="1"/>
  <c r="F99" i="1"/>
  <c r="C99" i="1"/>
  <c r="M98" i="1"/>
  <c r="K98" i="1"/>
  <c r="J98" i="1"/>
  <c r="H98" i="1"/>
  <c r="G98" i="1"/>
  <c r="F98" i="1"/>
  <c r="C98" i="1"/>
  <c r="M97" i="1"/>
  <c r="K97" i="1"/>
  <c r="J97" i="1"/>
  <c r="H97" i="1"/>
  <c r="G97" i="1"/>
  <c r="F97" i="1"/>
  <c r="C97" i="1"/>
  <c r="M96" i="1"/>
  <c r="K96" i="1"/>
  <c r="J96" i="1"/>
  <c r="H96" i="1"/>
  <c r="G96" i="1"/>
  <c r="F96" i="1"/>
  <c r="C96" i="1"/>
  <c r="M95" i="1"/>
  <c r="K95" i="1"/>
  <c r="J95" i="1"/>
  <c r="H95" i="1"/>
  <c r="G95" i="1"/>
  <c r="F95" i="1"/>
  <c r="C95" i="1"/>
  <c r="M94" i="1"/>
  <c r="K94" i="1"/>
  <c r="J94" i="1"/>
  <c r="H94" i="1"/>
  <c r="G94" i="1"/>
  <c r="F94" i="1"/>
  <c r="C94" i="1"/>
  <c r="M93" i="1"/>
  <c r="K93" i="1"/>
  <c r="J93" i="1"/>
  <c r="H93" i="1"/>
  <c r="G93" i="1"/>
  <c r="F93" i="1"/>
  <c r="C93" i="1"/>
  <c r="M92" i="1"/>
  <c r="K92" i="1"/>
  <c r="J92" i="1"/>
  <c r="H92" i="1"/>
  <c r="G92" i="1"/>
  <c r="F92" i="1"/>
  <c r="C92" i="1"/>
  <c r="M91" i="1"/>
  <c r="K91" i="1"/>
  <c r="J91" i="1"/>
  <c r="H91" i="1"/>
  <c r="G91" i="1"/>
  <c r="F91" i="1"/>
  <c r="C91" i="1"/>
  <c r="M90" i="1"/>
  <c r="K90" i="1"/>
  <c r="J90" i="1"/>
  <c r="H90" i="1"/>
  <c r="G90" i="1"/>
  <c r="F90" i="1"/>
  <c r="C90" i="1"/>
  <c r="M89" i="1"/>
  <c r="K89" i="1"/>
  <c r="J89" i="1"/>
  <c r="H89" i="1"/>
  <c r="G89" i="1"/>
  <c r="F89" i="1"/>
  <c r="C89" i="1"/>
  <c r="M88" i="1"/>
  <c r="K88" i="1"/>
  <c r="J88" i="1"/>
  <c r="H88" i="1"/>
  <c r="G88" i="1"/>
  <c r="F88" i="1"/>
  <c r="C88" i="1"/>
  <c r="M87" i="1"/>
  <c r="K87" i="1"/>
  <c r="J87" i="1"/>
  <c r="H87" i="1"/>
  <c r="G87" i="1"/>
  <c r="F87" i="1"/>
  <c r="C87" i="1"/>
  <c r="M86" i="1"/>
  <c r="K86" i="1"/>
  <c r="J86" i="1"/>
  <c r="H86" i="1"/>
  <c r="G86" i="1"/>
  <c r="F86" i="1"/>
  <c r="C86" i="1"/>
  <c r="M85" i="1"/>
  <c r="K85" i="1"/>
  <c r="J85" i="1"/>
  <c r="H85" i="1"/>
  <c r="G85" i="1"/>
  <c r="F85" i="1"/>
  <c r="C85" i="1"/>
  <c r="M84" i="1"/>
  <c r="K84" i="1"/>
  <c r="J84" i="1"/>
  <c r="H84" i="1"/>
  <c r="G84" i="1"/>
  <c r="F84" i="1"/>
  <c r="C84" i="1"/>
  <c r="M83" i="1"/>
  <c r="K83" i="1"/>
  <c r="J83" i="1"/>
  <c r="H83" i="1"/>
  <c r="G83" i="1"/>
  <c r="F83" i="1"/>
  <c r="C83" i="1"/>
  <c r="M82" i="1"/>
  <c r="K82" i="1"/>
  <c r="J82" i="1"/>
  <c r="H82" i="1"/>
  <c r="G82" i="1"/>
  <c r="F82" i="1"/>
  <c r="C82" i="1"/>
  <c r="M81" i="1"/>
  <c r="K81" i="1"/>
  <c r="J81" i="1"/>
  <c r="H81" i="1"/>
  <c r="G81" i="1"/>
  <c r="F81" i="1"/>
  <c r="C81" i="1"/>
  <c r="M80" i="1"/>
  <c r="K80" i="1"/>
  <c r="J80" i="1"/>
  <c r="H80" i="1"/>
  <c r="G80" i="1"/>
  <c r="F80" i="1"/>
  <c r="C80" i="1"/>
  <c r="M79" i="1"/>
  <c r="K79" i="1"/>
  <c r="J79" i="1"/>
  <c r="H79" i="1"/>
  <c r="G79" i="1"/>
  <c r="F79" i="1"/>
  <c r="C79" i="1"/>
  <c r="M78" i="1"/>
  <c r="K78" i="1"/>
  <c r="J78" i="1"/>
  <c r="H78" i="1"/>
  <c r="G78" i="1"/>
  <c r="F78" i="1"/>
  <c r="C78" i="1"/>
  <c r="M77" i="1"/>
  <c r="K77" i="1"/>
  <c r="J77" i="1"/>
  <c r="H77" i="1"/>
  <c r="G77" i="1"/>
  <c r="F77" i="1"/>
  <c r="C77" i="1"/>
  <c r="M76" i="1"/>
  <c r="K76" i="1"/>
  <c r="J76" i="1"/>
  <c r="H76" i="1"/>
  <c r="G76" i="1"/>
  <c r="F76" i="1"/>
  <c r="C76" i="1"/>
  <c r="M75" i="1"/>
  <c r="K75" i="1"/>
  <c r="J75" i="1"/>
  <c r="H75" i="1"/>
  <c r="G75" i="1"/>
  <c r="F75" i="1"/>
  <c r="C75" i="1"/>
  <c r="M74" i="1"/>
  <c r="K74" i="1"/>
  <c r="J74" i="1"/>
  <c r="H74" i="1"/>
  <c r="G74" i="1"/>
  <c r="F74" i="1"/>
  <c r="C74" i="1"/>
  <c r="M73" i="1"/>
  <c r="K73" i="1"/>
  <c r="J73" i="1"/>
  <c r="H73" i="1"/>
  <c r="G73" i="1"/>
  <c r="F73" i="1"/>
  <c r="C73" i="1"/>
  <c r="M72" i="1"/>
  <c r="K72" i="1"/>
  <c r="J72" i="1"/>
  <c r="H72" i="1"/>
  <c r="G72" i="1"/>
  <c r="F72" i="1"/>
  <c r="C72" i="1"/>
  <c r="M71" i="1"/>
  <c r="K71" i="1"/>
  <c r="J71" i="1"/>
  <c r="H71" i="1"/>
  <c r="G71" i="1"/>
  <c r="F71" i="1"/>
  <c r="C71" i="1"/>
  <c r="M70" i="1"/>
  <c r="K70" i="1"/>
  <c r="J70" i="1"/>
  <c r="H70" i="1"/>
  <c r="G70" i="1"/>
  <c r="F70" i="1"/>
  <c r="C70" i="1"/>
  <c r="M69" i="1"/>
  <c r="K69" i="1"/>
  <c r="J69" i="1"/>
  <c r="H69" i="1"/>
  <c r="G69" i="1"/>
  <c r="F69" i="1"/>
  <c r="C69" i="1"/>
  <c r="M68" i="1"/>
  <c r="K68" i="1"/>
  <c r="J68" i="1"/>
  <c r="H68" i="1"/>
  <c r="G68" i="1"/>
  <c r="F68" i="1"/>
  <c r="C68" i="1"/>
  <c r="M67" i="1"/>
  <c r="K67" i="1"/>
  <c r="J67" i="1"/>
  <c r="H67" i="1"/>
  <c r="G67" i="1"/>
  <c r="F67" i="1"/>
  <c r="C67" i="1"/>
  <c r="M66" i="1"/>
  <c r="K66" i="1"/>
  <c r="J66" i="1"/>
  <c r="H66" i="1"/>
  <c r="G66" i="1"/>
  <c r="F66" i="1"/>
  <c r="C66" i="1"/>
  <c r="M65" i="1"/>
  <c r="K65" i="1"/>
  <c r="J65" i="1"/>
  <c r="H65" i="1"/>
  <c r="G65" i="1"/>
  <c r="F65" i="1"/>
  <c r="C65" i="1"/>
  <c r="M64" i="1"/>
  <c r="K64" i="1"/>
  <c r="J64" i="1"/>
  <c r="H64" i="1"/>
  <c r="G64" i="1"/>
  <c r="F64" i="1"/>
  <c r="C64" i="1"/>
  <c r="M63" i="1"/>
  <c r="K63" i="1"/>
  <c r="J63" i="1"/>
  <c r="H63" i="1"/>
  <c r="G63" i="1"/>
  <c r="F63" i="1"/>
  <c r="C63" i="1"/>
  <c r="M62" i="1"/>
  <c r="K62" i="1"/>
  <c r="J62" i="1"/>
  <c r="H62" i="1"/>
  <c r="G62" i="1"/>
  <c r="F62" i="1"/>
  <c r="C62" i="1"/>
  <c r="M61" i="1"/>
  <c r="K61" i="1"/>
  <c r="J61" i="1"/>
  <c r="H61" i="1"/>
  <c r="G61" i="1"/>
  <c r="F61" i="1"/>
  <c r="C61" i="1"/>
  <c r="M60" i="1"/>
  <c r="K60" i="1"/>
  <c r="J60" i="1"/>
  <c r="H60" i="1"/>
  <c r="G60" i="1"/>
  <c r="F60" i="1"/>
  <c r="C60" i="1"/>
  <c r="M59" i="1"/>
  <c r="K59" i="1"/>
  <c r="J59" i="1"/>
  <c r="H59" i="1"/>
  <c r="G59" i="1"/>
  <c r="F59" i="1"/>
  <c r="C59" i="1"/>
  <c r="M58" i="1"/>
  <c r="K58" i="1"/>
  <c r="J58" i="1"/>
  <c r="H58" i="1"/>
  <c r="G58" i="1"/>
  <c r="F58" i="1"/>
  <c r="C58" i="1"/>
  <c r="M57" i="1"/>
  <c r="K57" i="1"/>
  <c r="J57" i="1"/>
  <c r="H57" i="1"/>
  <c r="G57" i="1"/>
  <c r="F57" i="1"/>
  <c r="C57" i="1"/>
  <c r="M56" i="1"/>
  <c r="K56" i="1"/>
  <c r="J56" i="1"/>
  <c r="H56" i="1"/>
  <c r="G56" i="1"/>
  <c r="F56" i="1"/>
  <c r="C56" i="1"/>
  <c r="M55" i="1"/>
  <c r="K55" i="1"/>
  <c r="J55" i="1"/>
  <c r="G55" i="1"/>
  <c r="F55" i="1"/>
  <c r="C55" i="1"/>
  <c r="M54" i="1"/>
  <c r="K54" i="1"/>
  <c r="J54" i="1"/>
  <c r="G54" i="1"/>
  <c r="F54" i="1"/>
  <c r="C54" i="1"/>
  <c r="M53" i="1"/>
  <c r="K53" i="1"/>
  <c r="J53" i="1"/>
  <c r="G53" i="1"/>
  <c r="F53" i="1"/>
  <c r="C53" i="1"/>
  <c r="M52" i="1"/>
  <c r="K52" i="1"/>
  <c r="J52" i="1"/>
  <c r="G52" i="1"/>
  <c r="F52" i="1"/>
  <c r="C52" i="1"/>
  <c r="M51" i="1"/>
  <c r="K51" i="1"/>
  <c r="J51" i="1"/>
  <c r="G51" i="1"/>
  <c r="F51" i="1"/>
  <c r="C51" i="1"/>
  <c r="M50" i="1"/>
  <c r="K50" i="1"/>
  <c r="J50" i="1"/>
  <c r="G50" i="1"/>
  <c r="F50" i="1"/>
  <c r="C50" i="1"/>
  <c r="M49" i="1"/>
  <c r="K49" i="1"/>
  <c r="J49" i="1"/>
  <c r="H49" i="1"/>
  <c r="G49" i="1"/>
  <c r="F49" i="1"/>
  <c r="C49" i="1"/>
  <c r="M48" i="1"/>
  <c r="K48" i="1"/>
  <c r="J48" i="1"/>
  <c r="H48" i="1"/>
  <c r="G48" i="1"/>
  <c r="F48" i="1"/>
  <c r="C48" i="1"/>
  <c r="M47" i="1"/>
  <c r="K47" i="1"/>
  <c r="J47" i="1"/>
  <c r="H47" i="1"/>
  <c r="G47" i="1"/>
  <c r="F47" i="1"/>
  <c r="C47" i="1"/>
  <c r="M46" i="1"/>
  <c r="K46" i="1"/>
  <c r="J46" i="1"/>
  <c r="H46" i="1"/>
  <c r="G46" i="1"/>
  <c r="F46" i="1"/>
  <c r="C46" i="1"/>
  <c r="M45" i="1"/>
  <c r="K45" i="1"/>
  <c r="J45" i="1"/>
  <c r="H45" i="1"/>
  <c r="G45" i="1"/>
  <c r="F45" i="1"/>
  <c r="C45" i="1"/>
  <c r="M44" i="1"/>
  <c r="K44" i="1"/>
  <c r="J44" i="1"/>
  <c r="H44" i="1"/>
  <c r="G44" i="1"/>
  <c r="F44" i="1"/>
  <c r="C44" i="1"/>
  <c r="M43" i="1"/>
  <c r="K43" i="1"/>
  <c r="J43" i="1"/>
  <c r="H43" i="1"/>
  <c r="G43" i="1"/>
  <c r="F43" i="1"/>
  <c r="C43" i="1"/>
  <c r="M42" i="1"/>
  <c r="K42" i="1"/>
  <c r="J42" i="1"/>
  <c r="H42" i="1"/>
  <c r="G42" i="1"/>
  <c r="F42" i="1"/>
  <c r="C42" i="1"/>
  <c r="M41" i="1"/>
  <c r="K41" i="1"/>
  <c r="J41" i="1"/>
  <c r="H41" i="1"/>
  <c r="G41" i="1"/>
  <c r="F41" i="1"/>
  <c r="C41" i="1"/>
  <c r="M40" i="1"/>
  <c r="K40" i="1"/>
  <c r="J40" i="1"/>
  <c r="H40" i="1"/>
  <c r="G40" i="1"/>
  <c r="F40" i="1"/>
  <c r="C40" i="1"/>
  <c r="M39" i="1"/>
  <c r="K39" i="1"/>
  <c r="J39" i="1"/>
  <c r="H39" i="1"/>
  <c r="G39" i="1"/>
  <c r="F39" i="1"/>
  <c r="C39" i="1"/>
  <c r="M38" i="1"/>
  <c r="K38" i="1"/>
  <c r="J38" i="1"/>
  <c r="H38" i="1"/>
  <c r="G38" i="1"/>
  <c r="F38" i="1"/>
  <c r="C38" i="1"/>
  <c r="M37" i="1"/>
  <c r="K37" i="1"/>
  <c r="J37" i="1"/>
  <c r="H37" i="1"/>
  <c r="G37" i="1"/>
  <c r="F37" i="1"/>
  <c r="C37" i="1"/>
  <c r="M36" i="1"/>
  <c r="K36" i="1"/>
  <c r="J36" i="1"/>
  <c r="H36" i="1"/>
  <c r="G36" i="1"/>
  <c r="F36" i="1"/>
  <c r="C36" i="1"/>
  <c r="M35" i="1"/>
  <c r="K35" i="1"/>
  <c r="J35" i="1"/>
  <c r="H35" i="1"/>
  <c r="G35" i="1"/>
  <c r="F35" i="1"/>
  <c r="C35" i="1"/>
  <c r="M34" i="1"/>
  <c r="K34" i="1"/>
  <c r="J34" i="1"/>
  <c r="H34" i="1"/>
  <c r="G34" i="1"/>
  <c r="F34" i="1"/>
  <c r="C34" i="1"/>
  <c r="M33" i="1"/>
  <c r="K33" i="1"/>
  <c r="J33" i="1"/>
  <c r="H33" i="1"/>
  <c r="G33" i="1"/>
  <c r="F33" i="1"/>
  <c r="C33" i="1"/>
  <c r="M32" i="1"/>
  <c r="K32" i="1"/>
  <c r="J32" i="1"/>
  <c r="H32" i="1"/>
  <c r="G32" i="1"/>
  <c r="F32" i="1"/>
  <c r="C32" i="1"/>
  <c r="M31" i="1"/>
  <c r="K31" i="1"/>
  <c r="J31" i="1"/>
  <c r="H31" i="1"/>
  <c r="G31" i="1"/>
  <c r="F31" i="1"/>
  <c r="C31" i="1"/>
  <c r="M30" i="1"/>
  <c r="K30" i="1"/>
  <c r="J30" i="1"/>
  <c r="H30" i="1"/>
  <c r="G30" i="1"/>
  <c r="F30" i="1"/>
  <c r="C30" i="1"/>
  <c r="M29" i="1"/>
  <c r="K29" i="1"/>
  <c r="J29" i="1"/>
  <c r="H29" i="1"/>
  <c r="G29" i="1"/>
  <c r="F29" i="1"/>
  <c r="C29" i="1"/>
  <c r="M28" i="1"/>
  <c r="K28" i="1"/>
  <c r="J28" i="1"/>
  <c r="H28" i="1"/>
  <c r="G28" i="1"/>
  <c r="F28" i="1"/>
  <c r="C28" i="1"/>
  <c r="M27" i="1"/>
  <c r="K27" i="1"/>
  <c r="J27" i="1"/>
  <c r="H27" i="1"/>
  <c r="G27" i="1"/>
  <c r="F27" i="1"/>
  <c r="C27" i="1"/>
  <c r="M26" i="1"/>
  <c r="K26" i="1"/>
  <c r="J26" i="1"/>
  <c r="H26" i="1"/>
  <c r="G26" i="1"/>
  <c r="F26" i="1"/>
  <c r="C26" i="1"/>
  <c r="M25" i="1"/>
  <c r="K25" i="1"/>
  <c r="J25" i="1"/>
  <c r="H25" i="1"/>
  <c r="G25" i="1"/>
  <c r="F25" i="1"/>
  <c r="C25" i="1"/>
  <c r="M24" i="1"/>
  <c r="K24" i="1"/>
  <c r="J24" i="1"/>
  <c r="H24" i="1"/>
  <c r="G24" i="1"/>
  <c r="F24" i="1"/>
  <c r="C24" i="1"/>
  <c r="M23" i="1"/>
  <c r="K23" i="1"/>
  <c r="J23" i="1"/>
  <c r="H23" i="1"/>
  <c r="G23" i="1"/>
  <c r="F23" i="1"/>
  <c r="C23" i="1"/>
  <c r="M22" i="1"/>
  <c r="K22" i="1"/>
  <c r="J22" i="1"/>
  <c r="H22" i="1"/>
  <c r="G22" i="1"/>
  <c r="F22" i="1"/>
  <c r="C22" i="1"/>
  <c r="M21" i="1"/>
  <c r="K21" i="1"/>
  <c r="J21" i="1"/>
  <c r="H21" i="1"/>
  <c r="G21" i="1"/>
  <c r="F21" i="1"/>
  <c r="C21" i="1"/>
  <c r="M20" i="1"/>
  <c r="K20" i="1"/>
  <c r="J20" i="1"/>
  <c r="H20" i="1"/>
  <c r="G20" i="1"/>
  <c r="F20" i="1"/>
  <c r="C20" i="1"/>
  <c r="M19" i="1"/>
  <c r="K19" i="1"/>
  <c r="J19" i="1"/>
  <c r="H19" i="1"/>
  <c r="G19" i="1"/>
  <c r="F19" i="1"/>
  <c r="C19" i="1"/>
  <c r="M18" i="1"/>
  <c r="K18" i="1"/>
  <c r="J18" i="1"/>
  <c r="H18" i="1"/>
  <c r="G18" i="1"/>
  <c r="F18" i="1"/>
  <c r="C18" i="1"/>
  <c r="M17" i="1"/>
  <c r="K17" i="1"/>
  <c r="J17" i="1"/>
  <c r="H17" i="1"/>
  <c r="G17" i="1"/>
  <c r="F17" i="1"/>
  <c r="C17" i="1"/>
  <c r="M16" i="1"/>
  <c r="K16" i="1"/>
  <c r="J16" i="1"/>
  <c r="H16" i="1"/>
  <c r="G16" i="1"/>
  <c r="F16" i="1"/>
  <c r="C16" i="1"/>
  <c r="M15" i="1"/>
  <c r="K15" i="1"/>
  <c r="J15" i="1"/>
  <c r="H15" i="1"/>
  <c r="G15" i="1"/>
  <c r="F15" i="1"/>
  <c r="C15" i="1"/>
  <c r="M14" i="1"/>
  <c r="K14" i="1"/>
  <c r="J14" i="1"/>
  <c r="H14" i="1"/>
  <c r="G14" i="1"/>
  <c r="F14" i="1"/>
  <c r="C14" i="1"/>
  <c r="M13" i="1"/>
  <c r="K13" i="1"/>
  <c r="J13" i="1"/>
  <c r="H13" i="1"/>
  <c r="G13" i="1"/>
  <c r="F13" i="1"/>
  <c r="C13" i="1"/>
  <c r="M12" i="1"/>
  <c r="K12" i="1"/>
  <c r="J12" i="1"/>
  <c r="H12" i="1"/>
  <c r="G12" i="1"/>
  <c r="F12" i="1"/>
  <c r="C12" i="1"/>
  <c r="M11" i="1"/>
  <c r="K11" i="1"/>
  <c r="J11" i="1"/>
  <c r="H11" i="1"/>
  <c r="G11" i="1"/>
  <c r="F11" i="1"/>
  <c r="C11" i="1"/>
  <c r="M10" i="1"/>
  <c r="K10" i="1"/>
  <c r="J10" i="1"/>
  <c r="H10" i="1"/>
  <c r="G10" i="1"/>
  <c r="F10" i="1"/>
  <c r="C10" i="1"/>
  <c r="M9" i="1"/>
  <c r="K9" i="1"/>
  <c r="J9" i="1"/>
  <c r="H9" i="1"/>
  <c r="G9" i="1"/>
  <c r="F9" i="1"/>
  <c r="C9" i="1"/>
  <c r="M8" i="1"/>
  <c r="K8" i="1"/>
  <c r="J8" i="1"/>
  <c r="H8" i="1"/>
  <c r="G8" i="1"/>
  <c r="F8" i="1"/>
  <c r="C8" i="1"/>
  <c r="M7" i="1"/>
  <c r="K7" i="1"/>
  <c r="J7" i="1"/>
  <c r="H7" i="1"/>
  <c r="G7" i="1"/>
  <c r="F7" i="1"/>
  <c r="C7" i="1"/>
  <c r="M6" i="1"/>
  <c r="K6" i="1"/>
  <c r="J6" i="1"/>
  <c r="H6" i="1"/>
  <c r="G6" i="1"/>
  <c r="F6" i="1"/>
  <c r="C6" i="1"/>
  <c r="M5" i="1"/>
  <c r="K5" i="1"/>
  <c r="J5" i="1"/>
  <c r="H5" i="1"/>
  <c r="G5" i="1"/>
  <c r="F5" i="1"/>
  <c r="C5" i="1"/>
  <c r="M4" i="1"/>
  <c r="K4" i="1"/>
  <c r="J4" i="1"/>
  <c r="H4" i="1"/>
  <c r="G4" i="1"/>
  <c r="F4" i="1"/>
  <c r="C4" i="1"/>
  <c r="M3" i="1"/>
  <c r="K3" i="1"/>
  <c r="J3" i="1"/>
  <c r="H3" i="1"/>
  <c r="G3" i="1"/>
  <c r="F3" i="1"/>
  <c r="C3" i="1"/>
  <c r="M2" i="1"/>
  <c r="K2" i="1"/>
  <c r="J2" i="1"/>
  <c r="H2" i="1"/>
  <c r="G2" i="1"/>
  <c r="F2" i="1"/>
  <c r="C2" i="1"/>
  <c r="A1769" i="2" l="1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1820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<sst xmlns="http://schemas.openxmlformats.org/spreadsheetml/2006/main" count="20389" uniqueCount="12732">
  <si>
    <t>THUMB</t>
  </si>
  <si>
    <t>NEW</t>
  </si>
  <si>
    <t>NOME</t>
  </si>
  <si>
    <t>DOODSTREAM</t>
  </si>
  <si>
    <t>LULUSTREAM</t>
  </si>
  <si>
    <t>DOOD</t>
  </si>
  <si>
    <t>SITE</t>
  </si>
  <si>
    <t>TITLE</t>
  </si>
  <si>
    <t>ID</t>
  </si>
  <si>
    <t>#</t>
  </si>
  <si>
    <t>POST</t>
  </si>
  <si>
    <t>Images</t>
  </si>
  <si>
    <t>Source</t>
  </si>
  <si>
    <t>Abbie Sykes - 99599676 - ripnsfw.com.jpg</t>
  </si>
  <si>
    <t>{New}</t>
  </si>
  <si>
    <t>https://doodstream.com/d/iwq3xu4r8tsg/</t>
  </si>
  <si>
    <t>https://lulustream.com/d/tkl7lny2e6ta</t>
  </si>
  <si>
    <t>#Hardcore, #Threesome, #Bigass, #Teen, #Blowjob, #Amateur, #Blonde, #Facial</t>
  </si>
  <si>
    <t>#Hardcore #Threesome #Bigass #Teen</t>
  </si>
  <si>
    <t>https://thumb.tapecontent.net/thumb/yPdwROL8ZwH3Qa/LaR0Vrr7jzsRqPA.jpg</t>
  </si>
  <si>
    <t>Abigaiil Morris - 33943707 - ripnsfw.com.jpg</t>
  </si>
  <si>
    <t>https://doodstream.com/d/s5upwfgb0e1n/</t>
  </si>
  <si>
    <t>https://lulustream.com/d/hodrrnuyu917</t>
  </si>
  <si>
    <t>#BigTits, #Creampie, #Hardcore, #Bigass, #Teen, #Blowjob, #Amateur</t>
  </si>
  <si>
    <t>#BigTits #Creampie #Hardcore #Bigass #Teen #Blowjob</t>
  </si>
  <si>
    <t>https://thumb.tapecontent.net/thumb/BJ3Gj7o3lkcyZb6/69oK4xX1LvF9wq3.jpg</t>
  </si>
  <si>
    <t>Abigaiil Morris - 91692587 - ripnsfw.com.jpg</t>
  </si>
  <si>
    <t>https://doodstream.com/d/b3z64gcsi3ef/</t>
  </si>
  <si>
    <t>https://lulustream.com/d/blm3qsuunjcw</t>
  </si>
  <si>
    <t>#BigTits, #Black, #Interracial, #Bigass, #Teen, #Blowjob, #Amateur, #Deepthroat, #Facial</t>
  </si>
  <si>
    <t>#BigTits #Black #Interracial #Bigass #Teen #Blowjob</t>
  </si>
  <si>
    <t>https://thumb.tapecontent.net/thumb/vxMBoKwORPCJpO/2BRjoBbq3xFZgVp.jpg</t>
  </si>
  <si>
    <t>Addison Vodka - 47359261 - Onlyfans.jpg</t>
  </si>
  <si>
    <t>https://doodstream.com/d/4a8gvzx3zlsj/</t>
  </si>
  <si>
    <t>https://lulustream.com/d/kxhttf9kyu59</t>
  </si>
  <si>
    <t>#Hardcore, #Piss, #Teen, #Blowjob</t>
  </si>
  <si>
    <t>#Hardcore #Piss #Teen #Blowjob</t>
  </si>
  <si>
    <t>https://thumb.tapecontent.net/thumb/BqxkdYRDDbsyz2o/j6LxxemxeMSzZpJ.jpg</t>
  </si>
  <si>
    <t>Adriana Chechik - 30957968 - ripnsfw.com.jpg</t>
  </si>
  <si>
    <t>https://doodstream.com/d/iw4qvl4tyiu4/</t>
  </si>
  <si>
    <t>https://lulustream.com/d/qplmyjy6230d</t>
  </si>
  <si>
    <t>#MILF, #Hardcore, #Porn, #Teen, #Blowjob, #Deepthroat, #Facial</t>
  </si>
  <si>
    <t>#MILF #Hardcore #Porn #Teen #Blowjob #Deepthroat</t>
  </si>
  <si>
    <t>https://thumb.tapecontent.net/thumb/ZDyaom2V3mUqb6B/KG0MmJW2wBIaZJ.jpg</t>
  </si>
  <si>
    <t>Adriana Chechik - 34528255 - Onlyfans - Kimmy Granger.jpg</t>
  </si>
  <si>
    <t>https://doodstream.com/d/oynafg1m456b/</t>
  </si>
  <si>
    <t>https://lulustream.com/d/m4q76vm6vdz8</t>
  </si>
  <si>
    <t>#MILF, #BigTits, #Hardcore, #Threesome</t>
  </si>
  <si>
    <t>#MILF #BigTits #Hardcore #Threesome</t>
  </si>
  <si>
    <t>https://thumb.tapecontent.net/thumb/4XpOdzjQ9DUKRDX/96VmPDbdL6HOQm.jpg</t>
  </si>
  <si>
    <t>Adriana Chechik - 51420656 - Onlyfans.jpg</t>
  </si>
  <si>
    <t>https://doodstream.com/d/grn1adoy03ts/</t>
  </si>
  <si>
    <t>https://lulustream.com/d/ru8de3p9o4cs</t>
  </si>
  <si>
    <t>#MILF, #Blowjob, #Amateur, #Hotwife</t>
  </si>
  <si>
    <t>#MILF #Blowjob #Amateur #Hotwife</t>
  </si>
  <si>
    <t>https://thumb.tapecontent.net/thumb/ykK684mJqei1Akw/7KVQkKK7d7UAq09.jpg</t>
  </si>
  <si>
    <t>Adriana Chechik - 59972113 - Tushy.jpg</t>
  </si>
  <si>
    <t>https://doodstream.com/d/asxvhhf5pzc0/</t>
  </si>
  <si>
    <t>https://lulustream.com/d/yddqas6660uo</t>
  </si>
  <si>
    <t>#Anal, #MILF, #Hardcore, #Porn, #Blowjob, #Hotwife, #Deepthroat, #Facial</t>
  </si>
  <si>
    <t>#Anal #MILF #Hardcore #Porn #Blowjob</t>
  </si>
  <si>
    <t>https://thumb.tapecontent.net/thumb/pgbZd2DxRBsryWr/dQgqZOVw2rhkk0Q.jpg</t>
  </si>
  <si>
    <t>Adriana Chechik - 60434496 - ripnsfw.com - Lena the plug.jpg</t>
  </si>
  <si>
    <t>https://doodstream.com/d/6nkhfsi7h1rn/</t>
  </si>
  <si>
    <t>https://lulustream.com/d/10eqg0h4m2mj</t>
  </si>
  <si>
    <t>#MILF, #BigTits, #Hardcore, #Threesome, #Bigass, #Blowjob, #Amateur, #Facial</t>
  </si>
  <si>
    <t>#MILF #BigTits #Hardcore #Threesome #Bigass #Blowjob #Amateur #Facial</t>
  </si>
  <si>
    <t>https://thumb.tapecontent.net/thumb/pY1k88evJpSWml/agQWmyXolkFx1g2.jpg</t>
  </si>
  <si>
    <t>Adriana Chechik - 69701197 - Onlyfans.jpg</t>
  </si>
  <si>
    <t>https://doodstream.com/d/z5rv7rlp8qpb/</t>
  </si>
  <si>
    <t>https://lulustream.com/d/fsgom1xzeb29</t>
  </si>
  <si>
    <t>#Anal, #MILF, #BigTits, #Hardcore</t>
  </si>
  <si>
    <t>#Anal #MILF #BigTits #Hardcore</t>
  </si>
  <si>
    <t>https://thumb.tapecontent.net/thumb/Qe7Rr1aepztrOa/GwKkDa7RBDUYmW.jpg</t>
  </si>
  <si>
    <t>Adriana Chechik - 78872640 - Onlyfans.jpg</t>
  </si>
  <si>
    <t>https://doodstream.com/d/4890kzdzvprn/</t>
  </si>
  <si>
    <t>https://lulustream.com/d/p5yx1cweyqbf</t>
  </si>
  <si>
    <t>https://thumb.tapecontent.net/thumb/6XqxDbemVJiv1o/reoqlexm7jhMV4.jpg</t>
  </si>
  <si>
    <t>Alanna Pow - 15841633 -  Onlyfans.jpg</t>
  </si>
  <si>
    <t>https://doodstream.com/d/ccfg6h6q5f0r/</t>
  </si>
  <si>
    <t>https://lulustream.com/d/2qov6vidlykk</t>
  </si>
  <si>
    <t>#BigTits, #Bigass, #Teen, #Blowjob</t>
  </si>
  <si>
    <t>#BigTits #Bigass #Teen #Blowjob</t>
  </si>
  <si>
    <t>https://thumb.tapecontent.net/thumb/Xya4vBeZkmUXy1/6bwPYBJApQf918g.jpg</t>
  </si>
  <si>
    <t>Alanna Pow - 17406382 - ripnsfw.com.jpg</t>
  </si>
  <si>
    <t>https://doodstream.com/d/rp7w5wlhyopr/</t>
  </si>
  <si>
    <t>https://lulustream.com/d/34biz1fgg2q9</t>
  </si>
  <si>
    <t>#BigTits, #Creampie, #Hardcore, #Bigass, #Teen, #Blowjob, #Amateur, #Deepthroat, #Blonde, #Facial</t>
  </si>
  <si>
    <t>#BigTits #Creampie #Hardcore #Bigass #Teen</t>
  </si>
  <si>
    <t>https://thumb.tapecontent.net/thumb/GXeoyO3391C9lP/1WgdG8GLJ4se21k.jpg</t>
  </si>
  <si>
    <t>Alanna Pow - 17563322 - Onlyfans.jpg</t>
  </si>
  <si>
    <t>https://doodstream.com/d/rfcpsjxxrvei/</t>
  </si>
  <si>
    <t>https://lulustream.com/d/jgnj29xlndop</t>
  </si>
  <si>
    <t>https://thumb.tapecontent.net/thumb/0dWRBVbB2JFbxa3/AkBRyDODRXcXqQ1.jpg</t>
  </si>
  <si>
    <t>Alanna Pow - 18308184 - Onlyfans.jpg</t>
  </si>
  <si>
    <t>https://doodstream.com/d/s14c1x3qpqjj/</t>
  </si>
  <si>
    <t>https://lulustream.com/d/6k39hcuucj6f</t>
  </si>
  <si>
    <t>#BigTits, #Bigass, #Teen, #Blowjob, #Amateur, #Facial, #Blonde, #Deepthroat</t>
  </si>
  <si>
    <t>#BigTits #Bigass #Teen #Blowjob #Amateur #Facial #Blonde #Deepthroat</t>
  </si>
  <si>
    <t>https://thumb.tapecontent.net/thumb/GbZdrYRVbYH17zq/eYj8LQrY3dIY4l3.jpg</t>
  </si>
  <si>
    <t>Alanna Pow - 19034023 - Onlyfans.jpg</t>
  </si>
  <si>
    <t>https://doodstream.com/d/vaflm6b6anmg/</t>
  </si>
  <si>
    <t>https://lulustream.com/d/akzepx724qwo</t>
  </si>
  <si>
    <t>https://thumb.tapecontent.net/thumb/D02L1469leskeMZ/QWmv9ADy9Wh0Q7y.jpg</t>
  </si>
  <si>
    <t>Alanna Pow - 22226111 - Onlyfans.jpg</t>
  </si>
  <si>
    <t>https://doodstream.com/d/u4x7onq939v2/</t>
  </si>
  <si>
    <t>https://lulustream.com/d/9g5xi6j2k5ss</t>
  </si>
  <si>
    <t>#BigTits, #Creampie, #Hardcore, #Bigass</t>
  </si>
  <si>
    <t>#BigTits #Creampie #Hardcore #Bigass</t>
  </si>
  <si>
    <t>https://thumb.tapecontent.net/thumb/3Gg2r6MJLMflOz/wdKwAAPWewFJXy7.jpg</t>
  </si>
  <si>
    <t>Alanna Pow - 25567227 - Onlyfans.jpg</t>
  </si>
  <si>
    <t>https://doodstream.com/d/q3xj05tknxyh/</t>
  </si>
  <si>
    <t>https://lulustream.com/d/3dajng3aeqm0</t>
  </si>
  <si>
    <t>https://thumb.tapecontent.net/thumb/KeZoqGMBWxt0kkb/Rk0KGb79q9cdVRK.jpg</t>
  </si>
  <si>
    <t>Alanna Pow - 26155010 - MCF.jpg</t>
  </si>
  <si>
    <t>https://doodstream.com/d/ztvzkgn3o0cf/</t>
  </si>
  <si>
    <t>https://lulustream.com/d/670hw3e5b3mo</t>
  </si>
  <si>
    <t>#BigTits, #MILF, #Hardcore, #Bigass</t>
  </si>
  <si>
    <t>#BigTits #MILF #Hardcore #Bigass</t>
  </si>
  <si>
    <t>https://thumb.tapecontent.net/thumb/mrm67xrV8oTbKpV/PJKqaQdowpUbDB.jpg</t>
  </si>
  <si>
    <t>Alanna Pow - 27269863 - Onlyfans.jpg</t>
  </si>
  <si>
    <t>https://doodstream.com/d/tsuzf5cud37n/</t>
  </si>
  <si>
    <t>https://lulustream.com/d/k1yvixzldcw8</t>
  </si>
  <si>
    <t>https://thumb.tapecontent.net/thumb/92x72B1oVpT6AY/meo1A4eaMduk48.jpg</t>
  </si>
  <si>
    <t>Alanna Pow - 37317864 - Onlyfans.jpg</t>
  </si>
  <si>
    <t>https://doodstream.com/d/90kstdunkxjq/</t>
  </si>
  <si>
    <t>https://lulustream.com/d/agigw3u8dcg1</t>
  </si>
  <si>
    <t>#MILF, #BigTits, #Hardcore, #Bigass</t>
  </si>
  <si>
    <t>#MILF #BigTits #Hardcore #Bigass</t>
  </si>
  <si>
    <t>https://thumb.tapecontent.net/thumb/aYzDX643xqhx1Z9/LdrLOVlWlBIRddm.jpg</t>
  </si>
  <si>
    <t>Alanna Pow - 37925673 - ripnsfw.com.jpg</t>
  </si>
  <si>
    <t>https://doodstream.com/d/ipv0wku6p57d/</t>
  </si>
  <si>
    <t>https://lulustream.com/d/o4mlp4evm3wy</t>
  </si>
  <si>
    <t>#MILF, #BigTits, #Hardcore, #Black, #Interracial, #Bigass, #Teen, #Blowjob, #Amateur, #Blonde, #Deepthroat</t>
  </si>
  <si>
    <t>#MILF #BigTits #Hardcore #Black #Interracial #Bigass #Teen #Blowjob #Amateur</t>
  </si>
  <si>
    <t>https://thumb.tapecontent.net/thumb/w7vRjBeyaZfJ88W/j7RqjJP3zPIzWKK.jpg</t>
  </si>
  <si>
    <t>Alanna Pow - 38181644 - Onlyfans.jpg</t>
  </si>
  <si>
    <t>https://doodstream.com/d/25o4hpmqzo7z/</t>
  </si>
  <si>
    <t>https://lulustream.com/d/0heg056665vg</t>
  </si>
  <si>
    <t>https://thumb.tapecontent.net/thumb/XgRG33lLAZsgpv/oQrqAmlO8kUJVAk.jpg</t>
  </si>
  <si>
    <t>Alanna Pow - 38679952 - XVRED.jpg</t>
  </si>
  <si>
    <t>https://doodstream.com/d/0it670gat4vl/</t>
  </si>
  <si>
    <t>https://lulustream.com/d/mrnyv6gmxp1f</t>
  </si>
  <si>
    <t>https://thumb.tapecontent.net/thumb/yAwVJpaXxzI1W4A/Pr8jvQYaR7c0QGx.jpg</t>
  </si>
  <si>
    <t>Alanna Pow - 54503023 - Onlyfans.jpg</t>
  </si>
  <si>
    <t>https://doodstream.com/d/jmcjx10qnbrc/</t>
  </si>
  <si>
    <t>https://lulustream.com/d/wz3eb9qspm5d</t>
  </si>
  <si>
    <t>https://thumb.tapecontent.net/thumb/JX7xbVjV1ysZ6r/JAyAM87bZ0FjBGO.jpg</t>
  </si>
  <si>
    <t>Alanna Pow - 54606458 - Onlyfans.jpg</t>
  </si>
  <si>
    <t>https://doodstream.com/d/xxlwjgm20d7x/</t>
  </si>
  <si>
    <t>https://lulustream.com/d/qnootfyydx1n</t>
  </si>
  <si>
    <t>https://thumb.tapecontent.net/thumb/082qbZXgjAcb1Db/kv0KeD31rRHy1l.jpg</t>
  </si>
  <si>
    <t>Alanna Pow - 61011031 - ripnsfw.com - Lena the plug.jpg</t>
  </si>
  <si>
    <t>https://doodstream.com/d/t4cw7igq24kl/</t>
  </si>
  <si>
    <t>https://lulustream.com/d/nd8bgmvefkyv</t>
  </si>
  <si>
    <t>#MILF, #BigTits, #Hardcore, #Threesome, #Bigass, #Teen, #Blowjob, #Amateur, #Hotwife, #Blonde, #Facial</t>
  </si>
  <si>
    <t>#MILF #BigTits #Hardcore #Threesome #Bigass #Teen #Blowjob</t>
  </si>
  <si>
    <t>https://thumb.tapecontent.net/thumb/ykJapV24dRF1DBD/wrAOBrQOg0HJqrV.jpg</t>
  </si>
  <si>
    <t>Alanna Pow - 62436241 - ripnsfw.com.jpg</t>
  </si>
  <si>
    <t>https://doodstream.com/d/pgk741qzghdi/</t>
  </si>
  <si>
    <t>https://lulustream.com/d/6kinxp49ummh</t>
  </si>
  <si>
    <t>#BigTits, #Hardcore, #Bigass, #Teen, #Blowjob, #Amateur, #Deepthroat, #Blonde, #Facial</t>
  </si>
  <si>
    <t>#BigTits #Hardcore #Bigass #Teen #Blowjob</t>
  </si>
  <si>
    <t>https://thumb.tapecontent.net/thumb/oMbdogoq7PcJzVR/DAyxqw0ebXskjXd.jpg</t>
  </si>
  <si>
    <t>Alanna Pow - 62968616 - Onlyfans.jpg</t>
  </si>
  <si>
    <t>https://doodstream.com/d/wg30ws65tlsl/</t>
  </si>
  <si>
    <t>https://lulustream.com/d/hq2ek4yamn5m</t>
  </si>
  <si>
    <t>https://thumb.tapecontent.net/thumb/lxyd9VjLZxu7pMQ/Q0z3XO7zR9C0x6d.jpg</t>
  </si>
  <si>
    <r>
      <rPr>
        <sz val="10"/>
        <rFont val="Arial"/>
      </rPr>
      <t xml:space="preserve">Alanna Pow - 63393477 - </t>
    </r>
    <r>
      <rPr>
        <u/>
        <sz val="10"/>
        <color rgb="FF1155CC"/>
        <rFont val="Arial"/>
      </rPr>
      <t>ripnsfw.com</t>
    </r>
    <r>
      <rPr>
        <sz val="10"/>
        <rFont val="Arial"/>
      </rPr>
      <t>.jpg</t>
    </r>
  </si>
  <si>
    <t>https://doodstream.com/d/5k393rfh3ehj/</t>
  </si>
  <si>
    <t>https://lulustream.com/d/7rmboytus18b</t>
  </si>
  <si>
    <t>#BigTits, #Hardcore, #Bigass, #Teen, #Artporn, #Teens, #Amateur, #Deepthroat, #Facial, #Blonde</t>
  </si>
  <si>
    <t>#BigTits #Hardcore #Bigass #Teen #Artporn</t>
  </si>
  <si>
    <t>https://thumb.tapecontent.net/thumb/kDgmb2y6wasO2QL/lwk6LWKJoWiAaa.jpg</t>
  </si>
  <si>
    <t>Alanna Pow - 65492185 - ripnsfw.com.jpg</t>
  </si>
  <si>
    <t>https://doodstream.com/d/ccukxnfsif65/</t>
  </si>
  <si>
    <t>https://lulustream.com/d/eez691u865ep</t>
  </si>
  <si>
    <t>#BigTits, #Hardcore, #Bigass, #Teen, #Blowjob, #Amateur, #Facial, #Blonde</t>
  </si>
  <si>
    <t>#BigTits #Hardcore #Bigass #Teen #Blowjob #Amateur #Facial</t>
  </si>
  <si>
    <t>https://thumb.tapecontent.net/thumb/XzXKqJlK3oSDqle/bqJdl1meVysRww.jpg</t>
  </si>
  <si>
    <t>Alanna Pow - 67907097 - ripnsfw.com.jpg</t>
  </si>
  <si>
    <t>https://doodstream.com/d/vr4cu9g6r3bp/</t>
  </si>
  <si>
    <t>https://lulustream.com/d/dat15ogft72x</t>
  </si>
  <si>
    <t>#BigTits, #Creampie, #Hardcore, #Bigass, #Teen, #Blowjob, #Amateur, #Blonde</t>
  </si>
  <si>
    <t>https://thumb.tapecontent.net/thumb/Ww1m9vRPK1fqwK/WbWPqAZlW2Ub7bG.jpg</t>
  </si>
  <si>
    <t>Alanna Pow - 69979470 - Onlyfans.jpg</t>
  </si>
  <si>
    <t>https://doodstream.com/d/60ve1m8rumvx/</t>
  </si>
  <si>
    <t>https://lulustream.com/d/f7w5iqfwefo5</t>
  </si>
  <si>
    <t>https://thumb.tapecontent.net/thumb/ZPopRlqxXbCoMB/Be9KQBrZvlHyxpq.jpg</t>
  </si>
  <si>
    <t>Alanna Pow - 71566037 - ripnsfw.com.jpg</t>
  </si>
  <si>
    <t>https://doodstream.com/d/jp88l39qrrxj/</t>
  </si>
  <si>
    <t>https://lulustream.com/d/5vxzigynjn98</t>
  </si>
  <si>
    <t>#BigTits, #Hardcore, #Bigass, #Teen, #Blowjob, #Amateur, #Blonde</t>
  </si>
  <si>
    <t>#BigTits #Hardcore #Bigass #Teen #Blowjob #Amateur</t>
  </si>
  <si>
    <t>https://thumb.tapecontent.net/thumb/mgY1oyd4Ogsb3V3/ZoJ1yQQ4mXfwq8.jpg</t>
  </si>
  <si>
    <t>Alanna Pow - 72639064 - ripnsfw.com.jpg</t>
  </si>
  <si>
    <t>https://doodstream.com/d/fks6fq0j3ayc/</t>
  </si>
  <si>
    <t>https://lulustream.com/d/repjq78qcmaw</t>
  </si>
  <si>
    <t>#BigTits, #Hardcore, #Bigass, #Teen, #Blowjob, #Amateur, #Deepthroat, #Blonde</t>
  </si>
  <si>
    <t>https://thumb.tapecontent.net/thumb/3ab30K1bWySDZD/GbAxAmP74DuYKl.jpg</t>
  </si>
  <si>
    <t>Alanna Pow - 72645909 - Onlyfans.jpg</t>
  </si>
  <si>
    <t>https://doodstream.com/d/skr79wkziy0d/</t>
  </si>
  <si>
    <t>https://lulustream.com/d/5gyjbuhx4h2c</t>
  </si>
  <si>
    <t>https://thumb.tapecontent.net/thumb/e3Dva9KD1OTmwe/grYOky9DV7UGv6.jpg</t>
  </si>
  <si>
    <t>Alanna Pow - 73449975 - Onlyfans.jpg</t>
  </si>
  <si>
    <t>https://doodstream.com/d/wjk5xqxhiaxc/</t>
  </si>
  <si>
    <t>https://lulustream.com/d/ga7di1cb78vv</t>
  </si>
  <si>
    <t>#BigTits, #Hardcore, #Bigass, #Teen</t>
  </si>
  <si>
    <t>#BigTits #Hardcore #Bigass #Teen</t>
  </si>
  <si>
    <t>https://thumb.tapecontent.net/thumb/PLxK7p2l9JS0QvK/XoR2BOm6vZuDjqw.jpg</t>
  </si>
  <si>
    <t>Alanna Pow - 77110509 - ripnsfw.com.jpg</t>
  </si>
  <si>
    <t>https://doodstream.com/d/lo75arpa05jl/</t>
  </si>
  <si>
    <t>https://lulustream.com/d/h3ip8zl4hjvi</t>
  </si>
  <si>
    <t>#BigTits #Creampie #Hardcore #Bigass #Teen #Blowjob #Amateur</t>
  </si>
  <si>
    <t>https://thumb.tapecontent.net/thumb/xowdjrVJGKfkb1A/l2LmwJD111i7xOV.jpg</t>
  </si>
  <si>
    <t>Alanna Pow - 77255491 - MLRaw.jpg</t>
  </si>
  <si>
    <t>https://doodstream.com/d/n3cnt005y6co/</t>
  </si>
  <si>
    <t>https://lulustream.com/d/n44rz82hlsvm</t>
  </si>
  <si>
    <t>https://thumb.tapecontent.net/thumb/1Amr9mdOkoIewrA/jqDYDKlYBBUzyvd.jpg</t>
  </si>
  <si>
    <t>Alanna Pow - 77572365 - ripnsfw.com.jpg</t>
  </si>
  <si>
    <t>https://doodstream.com/d/bva6j26echa2/</t>
  </si>
  <si>
    <t>https://lulustream.com/d/f5np0s394jla</t>
  </si>
  <si>
    <t>#BigTits #Hardcore #Bigass #Teen #Blowjob #Amateur #Deepthroat</t>
  </si>
  <si>
    <t>https://thumb.tapecontent.net/thumb/we1GLVXzg2SVoO/wP0R43x9d1HJ2DO.jpg</t>
  </si>
  <si>
    <t>Alanna Pow - 78660470 - Onlyfans.jpg</t>
  </si>
  <si>
    <t>https://doodstream.com/d/l2vlihsizlsp/</t>
  </si>
  <si>
    <t>https://lulustream.com/d/6sutlqcipmaa</t>
  </si>
  <si>
    <t>https://thumb.tapecontent.net/thumb/warzBvYPL8hJ8yz/V6YYKlbvP8IK2LA.jpg</t>
  </si>
  <si>
    <t>Alanna Pow - 80920208 - ripnsfw.com.jpg</t>
  </si>
  <si>
    <t>https://doodstream.com/d/ii13qj2g8fuz/</t>
  </si>
  <si>
    <t>https://lulustream.com/d/chd0o20sjqrm</t>
  </si>
  <si>
    <t>#BigTits, #Hardcore, #Black, #Interracial, #Bigass, #Teen, #Blowjob, #Amateur, #Blonde</t>
  </si>
  <si>
    <t>#BigTits #Hardcore #Black #Interracial #Bigass #Teen #Blowjob #Amateur</t>
  </si>
  <si>
    <t>https://thumb.tapecontent.net/thumb/MAeAV7PBxwFmb0Z/r8W7yQoGkdhbrqX.jpg</t>
  </si>
  <si>
    <t>Alanna Pow - 81325680 - Onlyfans.jpg</t>
  </si>
  <si>
    <t>https://doodstream.com/d/idgf7lxlmdwy/</t>
  </si>
  <si>
    <t>https://lulustream.com/d/pud0bkebjtup</t>
  </si>
  <si>
    <t>#BigTits, #Hardcore, #Black, #Interracial, #Bigass, #Teen, #Blowjob, #Amateur, #Deepthroat, #Blonde</t>
  </si>
  <si>
    <t>#BigTits #Hardcore #Black #Interracial #Bigass #Teen #Blowjob #Amateur #Deepthroat #Blonde</t>
  </si>
  <si>
    <t>https://thumb.tapecontent.net/thumb/Z3jZOylr2xtqqjm/d8LgJkR4lmukd8J.jpg</t>
  </si>
  <si>
    <t>Alanna Pow - 84063058 - ripnsfw.com.jpg</t>
  </si>
  <si>
    <t>https://doodstream.com/d/ukhh38ydoxtu/</t>
  </si>
  <si>
    <t>https://lulustream.com/d/rj3sc527uqgq</t>
  </si>
  <si>
    <t>#BigTits, #Hardcore, #Black, #Interracial, #Bigass, #Teen, #Blowjob, #Amateur, #Blonde, #Facial</t>
  </si>
  <si>
    <t>https://thumb.tapecontent.net/thumb/7Po6mgVeJOtA084/6KA3aRVzWet9DBk.jpg</t>
  </si>
  <si>
    <t>Alanna Pow - 84414746 - Onlyfans.jpg</t>
  </si>
  <si>
    <t>https://doodstream.com/d/5agd24f6vzee/</t>
  </si>
  <si>
    <t>https://lulustream.com/d/hjj6wbwncvnm</t>
  </si>
  <si>
    <t>https://thumb.tapecontent.net/thumb/ZD426161a2CqJDX/lW4gQXGzw7I7XJ1.jpg</t>
  </si>
  <si>
    <t>Alanna Pow - 86395221 - Onlyfans.jpg</t>
  </si>
  <si>
    <t>https://doodstream.com/d/943t8c0h0wlt/</t>
  </si>
  <si>
    <t>https://lulustream.com/d/omd0xazrw4q7</t>
  </si>
  <si>
    <t>#BigTits, #Creampie, #Hardcore, #Bigass, #Teen, #Artporn, #Blowjob, #Amateur, #Hotwife, #Deepthroat, #Blonde</t>
  </si>
  <si>
    <t>#BigTits #Creampie #Hardcore #Bigass #Teen #Artporn</t>
  </si>
  <si>
    <t>https://thumb.tapecontent.net/thumb/yPm389gA39FKdg/yDg6YDV294h14MQ.jpg</t>
  </si>
  <si>
    <t>Alanna Pow - 87263949 - Onlyfans.jpg</t>
  </si>
  <si>
    <t>https://doodstream.com/d/warnpb1kn0d3/</t>
  </si>
  <si>
    <t>https://lulustream.com/d/fcrm9u5aul6f</t>
  </si>
  <si>
    <t>https://thumb.tapecontent.net/thumb/eV7yAgdakDCom8/mLBYq0XKL2UbPar.jpg</t>
  </si>
  <si>
    <t>Alanna Pow - 93326301 - Onlyfans.jpg</t>
  </si>
  <si>
    <t>https://doodstream.com/d/t1bvn6pj7bcl/</t>
  </si>
  <si>
    <t>https://lulustream.com/d/6qcb09xoe02o</t>
  </si>
  <si>
    <t>https://thumb.tapecontent.net/thumb/GG3yA9OXKXH11pj/ewverM4XMyhZWK.jpg</t>
  </si>
  <si>
    <t>Alexa Pearl - 14477911 - ripnsfw.com.jpg</t>
  </si>
  <si>
    <t>https://doodstream.com/d/cw2l8wn9o7oj/</t>
  </si>
  <si>
    <t>https://lulustream.com/d/lg2ts518zzpi</t>
  </si>
  <si>
    <t>#MILF, #BigTits, #Blowjob, #Amateur, #Hotwife, #Deepthroat</t>
  </si>
  <si>
    <t>#MILF #BigTits #Blowjob #Amateur</t>
  </si>
  <si>
    <t>https://thumb.tapecontent.net/thumb/wyOy6249ZRhJOkL/3GADzeR2q9HdvOD.jpg</t>
  </si>
  <si>
    <t>Alexa Pearl - 16686970 - ripnsfw.com.jpg</t>
  </si>
  <si>
    <t>https://doodstream.com/d/5nrr1up8wwzv/</t>
  </si>
  <si>
    <t>https://lulustream.com/d/m7tm077lrbp0</t>
  </si>
  <si>
    <t>#MILF, #BigTits, #Hardcore, #Bigass, #Blowjob, #Amateur, #Hotwife, #Deepthroat, #Facial</t>
  </si>
  <si>
    <t>#MILF #BigTits #Hardcore #Bigass #Blowjob #Amateur #Hotwife #Deepthroat #Facial</t>
  </si>
  <si>
    <t>https://thumb.tapecontent.net/thumb/7BXjdjWoJ9UAalX/9pxBmJpLv3hOQY.jpg</t>
  </si>
  <si>
    <t>Alexa Pearl - 28778788 - ripnsfw.com.jpg</t>
  </si>
  <si>
    <t>https://doodstream.com/d/ytekooxy04u9/</t>
  </si>
  <si>
    <t>https://lulustream.com/d/086tzp1hm5qe</t>
  </si>
  <si>
    <t>#MILF, #BigTits, #Creampie, #Hardcore, #Amateur, #Mature, #Hotwife</t>
  </si>
  <si>
    <t>#MILF #BigTits #Creampie #Hardcore #Amateur</t>
  </si>
  <si>
    <t>https://thumb.tapecontent.net/thumb/6PVmoGxlb9C9rxx/PkzMMGOYdDs0Krb.jpg</t>
  </si>
  <si>
    <t>Alexa Pearl - 80325730 - ripnsfw.com.jpg</t>
  </si>
  <si>
    <t>https://doodstream.com/d/a1is4c7ebkv8/</t>
  </si>
  <si>
    <t>https://lulustream.com/d/7odeb2yjvzzm</t>
  </si>
  <si>
    <t>#MILF, #BigTits, #Roleplay, #Solo, #Pregnant</t>
  </si>
  <si>
    <t>#MILF #BigTits #Roleplay #Solo</t>
  </si>
  <si>
    <t>https://thumb.tapecontent.net/thumb/O66WL4RL6wfZyqy/OkvkJ1GYlecZdBa.jpg</t>
  </si>
  <si>
    <t>Alexa Pearl - 96147684 - ripnsfw.com.jpg</t>
  </si>
  <si>
    <t>https://doodstream.com/d/ryn4ydg0uoc3/</t>
  </si>
  <si>
    <t>https://lulustream.com/d/npfjbb6e8a86</t>
  </si>
  <si>
    <t>#MILF, #BigTits, #Stepmom, #Blowjob, #Amateur, #Hotwife</t>
  </si>
  <si>
    <t>#MILF #BigTits #Stepmom #Blowjob</t>
  </si>
  <si>
    <t>https://thumb.tapecontent.net/thumb/39yZ9V1ARLIAXQ/3dagpQa8mMFddmx.jpg</t>
  </si>
  <si>
    <t>Alexa Pearl - 98658557 - Onlyfans.jpg</t>
  </si>
  <si>
    <t>https://doodstream.com/d/y87gyt76nzx0/</t>
  </si>
  <si>
    <t>https://lulustream.com/d/fcsuilxwk1qo</t>
  </si>
  <si>
    <t>#MILF, #BigTits, #Roleplay, #Stepmom</t>
  </si>
  <si>
    <t>#MILF #BigTits #Roleplay #Stepmom</t>
  </si>
  <si>
    <t>https://thumb.tapecontent.net/thumb/0Jo4q3lRQ6hD7w/Z1rL2r3x06hy4L.jpg</t>
  </si>
  <si>
    <t>Alexis Fawx - 14749711 - ripnsfw.com.jpg</t>
  </si>
  <si>
    <t>https://doodstream.com/d/qh7ef1ea1nlp/</t>
  </si>
  <si>
    <t>https://lulustream.com/d/4rih20zzj9rp</t>
  </si>
  <si>
    <t>#Anal, #MILF, #BigTits, #Hardcore, #Bigass, #Blowjob, #Amateur, #Facial</t>
  </si>
  <si>
    <t>#Anal #MILF #BigTits #Hardcore #Bigass #Blowjob</t>
  </si>
  <si>
    <t>https://thumb.tapecontent.net/thumb/yxAW293KgAFyZB/BjXo3eVPrwsyoQB.jpg</t>
  </si>
  <si>
    <t>Alexis Fawx - 76454201 - Onlyfans.jpg</t>
  </si>
  <si>
    <t>https://doodstream.com/d/50toyr4fnwc1/</t>
  </si>
  <si>
    <t>https://lulustream.com/d/hm8mvhjahzlg</t>
  </si>
  <si>
    <t>https://thumb.tapecontent.net/thumb/Q1Ya4ORQovh0bZG/kwxRQzazZrs89j.jpg</t>
  </si>
  <si>
    <t>Alexis Fawx - 78579747 - Onlyfans.jpg</t>
  </si>
  <si>
    <t>https://doodstream.com/d/vj95tselm4dy/</t>
  </si>
  <si>
    <t>https://lulustream.com/d/bxieej7woryy</t>
  </si>
  <si>
    <t>https://thumb.tapecontent.net/thumb/jVbjdr889QuzkMr/7dypXeJjgKiAOvK.jpg</t>
  </si>
  <si>
    <t>Alexis Fawx - 87280451 - Onlyfans.jpg</t>
  </si>
  <si>
    <t>https://doodstream.com/d/ppo6gc2uuh4p/</t>
  </si>
  <si>
    <t>https://lulustream.com/d/ww8si6yh7rl2</t>
  </si>
  <si>
    <t>#MILF, #BigTits, #Hardcore, #Bigass, #Stepmom, #Blowjob, #Amateur, #Mature, #Hotwife, #Deepthroat, #Facial</t>
  </si>
  <si>
    <t>#MILF #BigTits #Hardcore #Bigass #Stepmom #Blowjob #Amateur</t>
  </si>
  <si>
    <t>https://thumb.tapecontent.net/thumb/bGRz6J63VxTJep/w6jBalrXgbsJbGx.jpg</t>
  </si>
  <si>
    <t>Alexis Texas - 55946865 - Onlyfans.jpg</t>
  </si>
  <si>
    <t>https://doodstream.com/d/704t2eoglcr4/</t>
  </si>
  <si>
    <t>https://lulustream.com/d/x274yedco4b4</t>
  </si>
  <si>
    <t>#MILF, #Hardcore, #Interracial, #Bigass</t>
  </si>
  <si>
    <t>#MILF #Hardcore #Interracial #Bigass</t>
  </si>
  <si>
    <t>https://thumb.tapecontent.net/thumb/k39OdRb6drS9vX/X2kKpMwwvztDDDm.jpg</t>
  </si>
  <si>
    <t>Alexis Texas - 58344561 - Onlyfans.jpg</t>
  </si>
  <si>
    <t>https://doodstream.com/d/ah9ka7xplo99/</t>
  </si>
  <si>
    <t>https://lulustream.com/d/z3xibzexseyf</t>
  </si>
  <si>
    <t>#MILF, #Bigass, #Blowjob, #Blonde</t>
  </si>
  <si>
    <t>#MILF #Bigass #Blowjob #Blonde</t>
  </si>
  <si>
    <t>https://thumb.tapecontent.net/thumb/ZXPYoQ9WezIqx1D/V84Q44zxK6tKKqJ.jpg</t>
  </si>
  <si>
    <t>Alexis Texas - 78334326 - Onlyfans - Nikki Benz.jpg</t>
  </si>
  <si>
    <t>https://doodstream.com/d/4kxkcljof0gr/</t>
  </si>
  <si>
    <t>https://lulustream.com/d/4q5uk1gmojyz</t>
  </si>
  <si>
    <t>#MILF, #BigTits, #Threesome, #Bigass, #Stepmom, #Blowjob, #Amateur, #Mature, #Hotwife, #Deepthroat, #Blonde, #Facial</t>
  </si>
  <si>
    <t>#MILF #BigTits #Threesome #Bigass #Stepmom</t>
  </si>
  <si>
    <t>https://thumb.tapecontent.net/thumb/Wyx17v6K2KTb4VL/xZmy7POYjYskb4W.jpg</t>
  </si>
  <si>
    <t>Alexis Texas - 85557282 - Onlyfans.jpg</t>
  </si>
  <si>
    <t>https://doodstream.com/d/37fkj3b8lw1m/</t>
  </si>
  <si>
    <t>https://lulustream.com/d/i0kl7fp3owuf</t>
  </si>
  <si>
    <t>#MILF, #Interracial, #Bigass, #Blowjob</t>
  </si>
  <si>
    <t>#MILF #Interracial #Bigass #Blowjob</t>
  </si>
  <si>
    <t>https://thumb.tapecontent.net/thumb/rApbMGvL32hgxx/mwWW73l9dVCldm.jpg</t>
  </si>
  <si>
    <t>Alice Bong - 80520139 - Onlyfans.jpg</t>
  </si>
  <si>
    <t>https://doodstream.com/d/mo7qik9m0qus/</t>
  </si>
  <si>
    <t>https://lulustream.com/d/quoip8rsm7ee</t>
  </si>
  <si>
    <t>#Anal, #BigTits, #Hardcore, #Bigass</t>
  </si>
  <si>
    <t>#Anal #BigTits #Hardcore #Bigass</t>
  </si>
  <si>
    <t>https://thumb.tapecontent.net/thumb/kgjzDqgYQrIOVag/VODBKRLrjAu33r.jpg</t>
  </si>
  <si>
    <t>Alice Bong - 93984122 - Onlyfans.jpg</t>
  </si>
  <si>
    <t>https://doodstream.com/d/jvcsab28cbag/</t>
  </si>
  <si>
    <t>https://lulustream.com/d/kp8gbsfe5gcn</t>
  </si>
  <si>
    <t>https://thumb.tapecontent.net/thumb/JXz6KAB90ehZMg/9yed3RrxqlU9XJ.jpg</t>
  </si>
  <si>
    <t>AlicexMaia - 10721850 - Onlyfans.jpg</t>
  </si>
  <si>
    <t>https://doodstream.com/d/8lcxrn4sfnrn/</t>
  </si>
  <si>
    <t>https://lulustream.com/d/12zt5hk8bl0u</t>
  </si>
  <si>
    <t>#BigTits, #Bigass, #Teen, #Solo</t>
  </si>
  <si>
    <t>#BigTits #Bigass #Teen #Solo</t>
  </si>
  <si>
    <t>https://thumb.tapecontent.net/thumb/P7Xaw9BMzwSABl/y7LY4P9R9RC11xb.jpg</t>
  </si>
  <si>
    <t>AlicexMaia - 12079108 - Onlyfans.jpg</t>
  </si>
  <si>
    <t>https://doodstream.com/d/d35ptsljxn02/</t>
  </si>
  <si>
    <t>https://lulustream.com/d/m7nz83q70ffz</t>
  </si>
  <si>
    <t>https://thumb.tapecontent.net/thumb/RwWAqa4MyAIZKe/3rbXmvW3wJh3dO.jpg</t>
  </si>
  <si>
    <t>AlicexMaia - 14731619 - Onlyfans.jpg</t>
  </si>
  <si>
    <t>https://doodstream.com/d/ej1ldt170tkx/</t>
  </si>
  <si>
    <t>https://lulustream.com/d/6obkapj4wp5w</t>
  </si>
  <si>
    <t>https://thumb.tapecontent.net/thumb/jYMQBA0vJyFzrjo/0VYAjkreqMTbxX4.jpg</t>
  </si>
  <si>
    <t>AlicexMaia - 15248364 - Onlyfans.jpg</t>
  </si>
  <si>
    <t>https://doodstream.com/d/mn96wpk770fa/</t>
  </si>
  <si>
    <t>https://lulustream.com/d/b73sgo0j3vpk</t>
  </si>
  <si>
    <t>#BigTits, #Teen, #Solo, #Blonde</t>
  </si>
  <si>
    <t>#BigTits #Teen #Solo #Blonde</t>
  </si>
  <si>
    <t>https://thumb.tapecontent.net/thumb/RARgZZmJ4eHdyO6/lOX7xrywXlt7pR4.jpg</t>
  </si>
  <si>
    <t>AlicexMaia - 17531294 - Onlyfans.jpg</t>
  </si>
  <si>
    <t>https://doodstream.com/d/cwrwhdzz1334/</t>
  </si>
  <si>
    <t>https://lulustream.com/d/32c64pwy5uzf</t>
  </si>
  <si>
    <t>#Anal, #BigTits, #Bigass, #Teen</t>
  </si>
  <si>
    <t>#Anal #BigTits #Bigass #Teen</t>
  </si>
  <si>
    <t>https://thumb.tapecontent.net/thumb/1WOvrJ8qv7UeYqZ/v2KmQ9ZGM2F49Ga.jpg</t>
  </si>
  <si>
    <t>AlicexMaia - 19457440 - Onlyfans.jpg</t>
  </si>
  <si>
    <t>https://doodstream.com/d/n3t0xiknnm7y/</t>
  </si>
  <si>
    <t>https://lulustream.com/d/ncudry5gld17</t>
  </si>
  <si>
    <t>https://thumb.tapecontent.net/thumb/roL1Qv72e9Ibwd9/WplVgkewobCb6wJ.jpg</t>
  </si>
  <si>
    <t>AlicexMaia - 19553158 - Onlyfans.jpg</t>
  </si>
  <si>
    <t>https://doodstream.com/d/dtfgzs7ft8j3/</t>
  </si>
  <si>
    <t>https://lulustream.com/d/t6fbdavbf70e</t>
  </si>
  <si>
    <t>#BigTits, #Bigass, #Teen, #Solo, #Blonde</t>
  </si>
  <si>
    <t>https://thumb.tapecontent.net/thumb/qxlwO8epdWTzxvQ/V0bz1xYV8afK6e2.jpg</t>
  </si>
  <si>
    <t>AlicexMaia - 23808780 - Onlyfans.jpg</t>
  </si>
  <si>
    <t>https://doodstream.com/d/dsvif0c82xj2/</t>
  </si>
  <si>
    <t>https://lulustream.com/d/sn83issjo5ld</t>
  </si>
  <si>
    <t>https://thumb.tapecontent.net/thumb/vwPjz9xxe8i4rLz/xoe7k8lQJwIkaaY.jpg</t>
  </si>
  <si>
    <t>AlicexMaia - 29448765 - Onlyfans.jpg</t>
  </si>
  <si>
    <t>https://doodstream.com/d/odevd4u50df9/</t>
  </si>
  <si>
    <t>https://lulustream.com/d/uu38a8erwyan</t>
  </si>
  <si>
    <t>https://thumb.tapecontent.net/thumb/qWgPDkl9LdUz2v0/rgbjOawgO1TbLk0.jpg</t>
  </si>
  <si>
    <t>AlicexMaia - 42662611 - Onlyfans.jpg</t>
  </si>
  <si>
    <t>https://doodstream.com/d/1fdvfytvt9ej/</t>
  </si>
  <si>
    <t>https://lulustream.com/d/d0j1wlgwhotj</t>
  </si>
  <si>
    <t>https://thumb.tapecontent.net/thumb/V6el2r11QlCKrao/Yp6Zal16YzFv92m.jpg</t>
  </si>
  <si>
    <t>AlicexMaia - 45305787 - Onlyfans.jpg</t>
  </si>
  <si>
    <t>https://doodstream.com/d/0zp30eoep2hw/</t>
  </si>
  <si>
    <t>https://lulustream.com/d/5ep5erjdhp2h</t>
  </si>
  <si>
    <t>https://thumb.tapecontent.net/thumb/DqDW9l03r4UkrRK/7mQ7OJkORWhRKa.jpg</t>
  </si>
  <si>
    <t>AlicexMaia - 49296667 - Onlyfans.jpg</t>
  </si>
  <si>
    <t>https://doodstream.com/d/qctghddt78k0/</t>
  </si>
  <si>
    <t>https://lulustream.com/d/4v36v7ghh09u</t>
  </si>
  <si>
    <t>https://thumb.tapecontent.net/thumb/d7oVva7BkdUkJw0/pgOVZbJgLpIrK9a.jpg</t>
  </si>
  <si>
    <t>AlicexMaia - 63578233 - Onlyfans.jpg</t>
  </si>
  <si>
    <t>https://doodstream.com/d/3wdhd3j7wzfu/</t>
  </si>
  <si>
    <t>https://lulustream.com/d/4fzm8gu5w4ax</t>
  </si>
  <si>
    <t>https://thumb.tapecontent.net/thumb/xyZr1WAPZGskAXX/6WWqj4qe7bC97aW.jpg</t>
  </si>
  <si>
    <t>AlicexMaia - 67191993 - Onlyfans.jpg</t>
  </si>
  <si>
    <t>https://doodstream.com/d/qw68x0lpd67h/</t>
  </si>
  <si>
    <t>https://lulustream.com/d/vrwc80obzmll</t>
  </si>
  <si>
    <t>https://thumb.tapecontent.net/thumb/g9zyKga2OPtqrp2/qZPqVXyOblTzl8A.jpg</t>
  </si>
  <si>
    <t>AlicexMaia - 75717227 - Onlyfans.jpg</t>
  </si>
  <si>
    <t>https://doodstream.com/d/cbfd40bocvz4/</t>
  </si>
  <si>
    <t>https://lulustream.com/d/xeeq7exproly</t>
  </si>
  <si>
    <t>https://thumb.tapecontent.net/thumb/zp1zq3X0LdFYBVP/Bq06pOZqxQH2Vp.jpg</t>
  </si>
  <si>
    <t>AlicexMaia - 78662402 - Onlyfans.jpg</t>
  </si>
  <si>
    <t>https://doodstream.com/d/v7hwqbirikl7/</t>
  </si>
  <si>
    <t>https://lulustream.com/d/bqia1oswt0ti</t>
  </si>
  <si>
    <t>https://thumb.tapecontent.net/thumb/m749YwgRMoHbxyg/gv1Y4WlKbaIqbob.jpg</t>
  </si>
  <si>
    <t>AlicexMaia - 81610323 - Onlyfans.jpg</t>
  </si>
  <si>
    <t>https://doodstream.com/d/y23cnjdmq68s/</t>
  </si>
  <si>
    <t>https://lulustream.com/d/xly2wwkhasaa</t>
  </si>
  <si>
    <t>https://thumb.tapecontent.net/thumb/GbbXKDr1qQCAbr/kW3b2421qbhOOjM.jpg</t>
  </si>
  <si>
    <t>AlicexMaia - 84776312 - Onlyfans.jpg</t>
  </si>
  <si>
    <t>https://doodstream.com/d/seto06rwf7bj/</t>
  </si>
  <si>
    <t>https://lulustream.com/d/wezzttkgz0pp</t>
  </si>
  <si>
    <t>#BigTits, #Bigass, #Teen, #Roleplay, #Solo, #Blonde</t>
  </si>
  <si>
    <t>#BigTits #Bigass #Teen #Roleplay #Solo</t>
  </si>
  <si>
    <t>https://thumb.tapecontent.net/thumb/dkGgPddp9yIk6PM/0D1VJqAqwbibdLB.jpg</t>
  </si>
  <si>
    <t>AlicexMaia - 88450355 - Onlyfans.jpg</t>
  </si>
  <si>
    <t>https://doodstream.com/d/882vg8ccq1wr/</t>
  </si>
  <si>
    <t>https://lulustream.com/d/j90puo079yhl</t>
  </si>
  <si>
    <t>https://thumb.tapecontent.net/thumb/AqbyWbwOgqFbK9/jgBD3p9l8yuz8bv.jpg</t>
  </si>
  <si>
    <t>AlicexMaia - 91745439 - Onlyfans.jpg</t>
  </si>
  <si>
    <t>https://doodstream.com/d/t4uymf3923e5/</t>
  </si>
  <si>
    <t>https://lulustream.com/d/ixtmb8to5hhw</t>
  </si>
  <si>
    <t>https://thumb.tapecontent.net/thumb/jk7X9zP6Dpuq3V/PrBGZdOQRRF0w13.jpg</t>
  </si>
  <si>
    <t>AlicexMaia - 92921847 - Onlyfans.jpg</t>
  </si>
  <si>
    <t>https://doodstream.com/d/rjzdtgrbxxgy/</t>
  </si>
  <si>
    <t>https://lulustream.com/d/zy347qwvxzuj</t>
  </si>
  <si>
    <t>https://thumb.tapecontent.net/thumb/Bqj1G6ReyxUVmL/aj9yxrK4dJixjDJ.jpg</t>
  </si>
  <si>
    <t>AlicexMaia - 96466194 - Onlyfans.jpg</t>
  </si>
  <si>
    <t>https://doodstream.com/d/f724p3271ljt/</t>
  </si>
  <si>
    <t>https://lulustream.com/d/wh5thhzlaitd</t>
  </si>
  <si>
    <t>#Anal, #BigTits, #Teen, #Solo, #Blonde, #Bigass</t>
  </si>
  <si>
    <t>#Anal #BigTits #Teen #Solo #Blonde</t>
  </si>
  <si>
    <t>https://thumb.tapecontent.net/thumb/VV6ZxdRJr1iKMPq/AL3x3AxwVwHXlXW.jpg</t>
  </si>
  <si>
    <t>Alina - 93433724 - BackroomCastingCouch.jpg</t>
  </si>
  <si>
    <t>https://doodstream.com/d/76mhuy830lni/</t>
  </si>
  <si>
    <t>https://lulustream.com/d/d54ahtp2dhsg</t>
  </si>
  <si>
    <t>#Anal, #Casting, #Creampie, #Hardcore</t>
  </si>
  <si>
    <t>#Anal #Casting #Creampie #Hardcore</t>
  </si>
  <si>
    <t>https://thumb.tapecontent.net/thumb/bw71qXOVXeiP9XL/Zz93rezryyUq1G8.jpg</t>
  </si>
  <si>
    <t>Alina Lopez - 10005852 - ripnsfw.com - Vanna Bardot.jpg</t>
  </si>
  <si>
    <t>https://doodstream.com/d/gtspkov3pxoz/</t>
  </si>
  <si>
    <t>https://lulustream.com/d/ie592u4il31i</t>
  </si>
  <si>
    <t>#BigTits, #Hardcore, #Creampie, #Bigass, #Blowjob, #Amateur, #Deepthroat</t>
  </si>
  <si>
    <t>#BigTits #Hardcore #Creampie #Bigass #Blowjob</t>
  </si>
  <si>
    <t>https://thumb.tapecontent.net/thumb/ZVrypKK4mQTqJ0Q/dKZBApL9KVSkyWO.jpg</t>
  </si>
  <si>
    <t>Alina Lopez - 39625651 - Onlyfans - Gizelle Blanco.jpg</t>
  </si>
  <si>
    <t>https://doodstream.com/d/1h5e2prejd6a/</t>
  </si>
  <si>
    <t>https://lulustream.com/d/plfx4sce1tfa</t>
  </si>
  <si>
    <t>#BigTits, #Hardcore, #Threesome, #Teen, #Latina, #Teens, #Amateur, #Blowjob, #Facial</t>
  </si>
  <si>
    <t>#BigTits #Hardcore #Threesome #Teen #Latina</t>
  </si>
  <si>
    <t>https://thumb.tapecontent.net/thumb/2k6pokg71OHZL3Q/ak9DZ9JpxmIxGXO.jpg</t>
  </si>
  <si>
    <t>Alina Lopez - 71148658 - ripnsfw.com.jpg</t>
  </si>
  <si>
    <t>https://doodstream.com/d/reie84klo3bs/</t>
  </si>
  <si>
    <t>https://lulustream.com/d/ren1veqq9y0f</t>
  </si>
  <si>
    <t>#MILF, #BigTits, #Creampie, #Hardcore, #Porn, #Blowjob, #Deepthroat</t>
  </si>
  <si>
    <t>#MILF #BigTits #Creampie #Hardcore</t>
  </si>
  <si>
    <t>https://thumb.tapecontent.net/thumb/gVw6R4Wbj3tzv3/e3D0xZDlzYIYVGz.jpg</t>
  </si>
  <si>
    <t>Alina Lopez - 74635123 - ripnsfw.com - Ava Amira.jpg</t>
  </si>
  <si>
    <t>https://doodstream.com/d/hxwx1647nlm7/</t>
  </si>
  <si>
    <t>https://lulustream.com/d/9kq2lmrbpuni</t>
  </si>
  <si>
    <t>#BigTits, #Hardcore, #Threesome, #Teen, #Blowjob, #Amateur, #Facial</t>
  </si>
  <si>
    <t>#BigTits #Hardcore #Threesome #Teen #Blowjob</t>
  </si>
  <si>
    <t>https://thumb.tapecontent.net/thumb/4oAGrDvKg9idYB/zpYrmA8AwWFYZvO.jpg</t>
  </si>
  <si>
    <t>Alyx Star - 90529176 - ripnsfw.com.jpg</t>
  </si>
  <si>
    <t>https://doodstream.com/d/91jhkeqlup2t/</t>
  </si>
  <si>
    <t>https://lulustream.com/d/pzkqog7r5e3n</t>
  </si>
  <si>
    <t>#BigTits, #Hardcore, #Bigass, #Porn, #Teen, #Blowjob, #Deepthroat</t>
  </si>
  <si>
    <t>#BigTits #Hardcore #Bigass #Porn #Teen #Blowjob</t>
  </si>
  <si>
    <t>https://thumb.tapecontent.net/thumb/bZe0adGZqGUPjmQ/q9zGe3WJkLHyXq.jpg</t>
  </si>
  <si>
    <t>Amy Rose - 11992120 - Onlyfans.jpg</t>
  </si>
  <si>
    <t>https://doodstream.com/d/8vtltznlolym/</t>
  </si>
  <si>
    <t>https://lulustream.com/d/asp928psjle8</t>
  </si>
  <si>
    <t>#BigTits, #Bigass, #Teen, #Teens, #Blowjob, #Amateur, #Deepthroat, #Blonde, #Facial</t>
  </si>
  <si>
    <t>#BigTits #Bigass #Teen #Teens #Blowjob #Amateur</t>
  </si>
  <si>
    <t>https://thumb.tapecontent.net/thumb/GPQqrQGGkrT1GXJ/6Pd4vk7mL0H93qP.jpg</t>
  </si>
  <si>
    <t>Amy Rose - 15675021 - Onlyfans.jpg</t>
  </si>
  <si>
    <t>https://doodstream.com/d/0py6vqqjm9pb/</t>
  </si>
  <si>
    <t>https://lulustream.com/d/wc4cdpfbphfv</t>
  </si>
  <si>
    <t>#BigTits, #Hardcore, #Bigass, #Teen, #Artporn, #Teens, #Blowjob, #Amateur, #Deepthroat, #Blonde</t>
  </si>
  <si>
    <t>#BigTits #Hardcore #Bigass #Teen #Artporn #Teens #Blowjob #Amateur</t>
  </si>
  <si>
    <t>https://thumb.tapecontent.net/thumb/LpAxXPx1QlT64y/GGYdZy9VLkhl3J.jpg</t>
  </si>
  <si>
    <t>Amy Rose - 31711047 - Onlyfans.jpg</t>
  </si>
  <si>
    <t>https://doodstream.com/d/y473vrt32bk8/</t>
  </si>
  <si>
    <t>https://lulustream.com/d/ielday2z6wym</t>
  </si>
  <si>
    <t>https://thumb.tapecontent.net/thumb/AAopzmpAoYiXyLr/Mrxdk70v2eIezW.jpg</t>
  </si>
  <si>
    <t>Amy Rose - 32868523 - Onlyfans.jpg</t>
  </si>
  <si>
    <t>https://doodstream.com/d/wqgkspl5273t/</t>
  </si>
  <si>
    <t>https://lulustream.com/d/xw3quvykntrz</t>
  </si>
  <si>
    <t>#BigTits, #Hardcore, #Creampie, #Bigass, #Teen, #Blowjob, #Amateur, #Blonde</t>
  </si>
  <si>
    <t>#BigTits #Hardcore #Creampie #Bigass</t>
  </si>
  <si>
    <t>https://thumb.tapecontent.net/thumb/Qe8O3JRBgaI8rQ/8PWrRDd63oHooLx.jpg</t>
  </si>
  <si>
    <t>Amy Rose - 34061424 - Onlyfans.jpg</t>
  </si>
  <si>
    <t>https://doodstream.com/d/hv64hzj45lu5/</t>
  </si>
  <si>
    <t>https://lulustream.com/d/8rviiecnvzxq</t>
  </si>
  <si>
    <t>https://thumb.tapecontent.net/thumb/r8X4JwOV27fb7Jy/kWmP8MZAgXUy2r.jpg</t>
  </si>
  <si>
    <t>Amy Rose - 42163415 - Onlyfans.jpg</t>
  </si>
  <si>
    <t>https://doodstream.com/d/1iqt7c9qt6ep/</t>
  </si>
  <si>
    <t>https://lulustream.com/d/odfvou546p6r</t>
  </si>
  <si>
    <t>#BigTits, #Hardcore, #Bigass, #Teen, #Roleplay, #Teens, #Amateur, #Blowjob, #Deepthroat, #Blonde, #Facial</t>
  </si>
  <si>
    <t>#BigTits #Hardcore #Bigass #Teen #Roleplay #Teens #Amateur #Blowjob #Deepthroat</t>
  </si>
  <si>
    <t>https://thumb.tapecontent.net/thumb/mwb710VDzKIbxb9/lWMGq61RZwC7Myl.jpg</t>
  </si>
  <si>
    <t>Amy Rose - 46469035 - Onlyfans.jpg</t>
  </si>
  <si>
    <t>https://doodstream.com/d/89zgz9rdddzu/</t>
  </si>
  <si>
    <t>https://lulustream.com/d/h5snltgj7qye</t>
  </si>
  <si>
    <t>https://thumb.tapecontent.net/thumb/BL79djK6Zeh6ja/4BRL2Y2RMXSKj0p.jpg</t>
  </si>
  <si>
    <t>Amy Rose - 51937780 - Onlyfans.jpg</t>
  </si>
  <si>
    <t>https://doodstream.com/d/z1tgvotmg421/</t>
  </si>
  <si>
    <t>https://lulustream.com/d/23qh6bn9wluq</t>
  </si>
  <si>
    <t>#BigTits, #Hardcore, #Bigass, #Teen, #Artporn, #Blowjob, #Amateur, #Deepthroat, #Blonde, #Facial</t>
  </si>
  <si>
    <t>#BigTits #Hardcore #Bigass #Teen #Artporn #Blowjob #Amateur #Deepthroat</t>
  </si>
  <si>
    <t>https://thumb.tapecontent.net/thumb/pbO1o6AvaJtlKz/b7M1KlWpQkcPvp8.jpg</t>
  </si>
  <si>
    <t>Amy Rose - 54424774 - ripnsfw.com.jpg</t>
  </si>
  <si>
    <t>https://doodstream.com/d/n5yh7xsmosge/</t>
  </si>
  <si>
    <t>https://lulustream.com/d/99go5yqdygxn</t>
  </si>
  <si>
    <t>#BigTits, #Bigass, #Teen, #Blowjob, #Roleplay, #Solo, #Blonde</t>
  </si>
  <si>
    <t>#BigTits #Bigass #Teen #Blowjob #Roleplay #Solo</t>
  </si>
  <si>
    <t>https://thumb.tapecontent.net/thumb/1Rxj4wvzRWIekzQ/Xqm3L62jQzcAqb.jpg</t>
  </si>
  <si>
    <t>Amy Rose - 61578433 - Onlyfans.jpg</t>
  </si>
  <si>
    <t>https://doodstream.com/d/xog56jebtp9d/</t>
  </si>
  <si>
    <t>https://lulustream.com/d/buz49esw3qem</t>
  </si>
  <si>
    <t>https://thumb.tapecontent.net/thumb/MqD1A2Adw1sm4dZ/be89mwrKxVHPvkx.jpg</t>
  </si>
  <si>
    <t>Amy Rose - 61767415 - Onlyfans.jpg</t>
  </si>
  <si>
    <t>https://doodstream.com/d/op3zz670prkc/</t>
  </si>
  <si>
    <t>https://lulustream.com/d/kj15uow8xth0</t>
  </si>
  <si>
    <t>https://thumb.tapecontent.net/thumb/MqyQyRr2wBUG9x/kW23p30ao0SO4rB.jpg</t>
  </si>
  <si>
    <t>Amy Rose - 67576256 - Onlyfans.jpg</t>
  </si>
  <si>
    <t>https://doodstream.com/d/fsbzsjs5p1g1/</t>
  </si>
  <si>
    <t>https://lulustream.com/d/43cgjx3bv8o5</t>
  </si>
  <si>
    <t>https://thumb.tapecontent.net/thumb/M6rMVpbyXKfmqzY/xXjvW2BrlBfkajy.jpg</t>
  </si>
  <si>
    <t>Amy Rose - 76271177 - Onlyfans.jpg</t>
  </si>
  <si>
    <t>https://doodstream.com/d/8wvvaigfci7z/</t>
  </si>
  <si>
    <t>https://lulustream.com/d/oe7gx43gbbbb</t>
  </si>
  <si>
    <t>https://thumb.tapecontent.net/thumb/ZV8VWMkO1YFqVo7/qJWm4BjVOYczbKO.jpg</t>
  </si>
  <si>
    <t>Amy Rose - 93974731 - Onlyfans.jpg</t>
  </si>
  <si>
    <t>https://doodstream.com/d/w7sugeleoo01/</t>
  </si>
  <si>
    <t>https://lulustream.com/d/r7qht116rvkd</t>
  </si>
  <si>
    <t>#BigTits, #Bigass, #Teen, #Artporn, #Teens, #Blowjob, #Amateur, #Deepthroat, #Blonde, #Facial</t>
  </si>
  <si>
    <t>#BigTits #Bigass #Teen #Artporn #Teens</t>
  </si>
  <si>
    <t>https://thumb.tapecontent.net/thumb/o9WBgkabjmsJwL9/ogayrYLvw0UOzB.jpg</t>
  </si>
  <si>
    <t>Angel Polikarpova - 25715402 - ripnsfw.com.jpg</t>
  </si>
  <si>
    <t>https://doodstream.com/d/gomwn1gcelmx/</t>
  </si>
  <si>
    <t>https://lulustream.com/d/l9e1quxem0ow</t>
  </si>
  <si>
    <t>#Teen, #Teens, #Amateur, #Blonde, #Facial, #Blowjob</t>
  </si>
  <si>
    <t>#Teen #Teens #Amateur #Blonde #Facial #Blowjob</t>
  </si>
  <si>
    <t>https://thumb.tapecontent.net/thumb/6eare7rZXzT99Dv/P9VZ0b86lzU0VyW.jpg</t>
  </si>
  <si>
    <t>Angel Polikarpova - 43758104 - ripnsfw.com.jpg</t>
  </si>
  <si>
    <t>https://doodstream.com/d/t30ehp9xmsq7/</t>
  </si>
  <si>
    <t>https://lulustream.com/d/st2h37a2sjlo</t>
  </si>
  <si>
    <t>#Hardcore, #Teen, #Artporn, #Teens, #Blowjob, #Amateur, #Blonde, #Footjob</t>
  </si>
  <si>
    <t>#Hardcore #Teen #Artporn #Teens #Blowjob #Amateur #Blonde #Footjob</t>
  </si>
  <si>
    <t>https://thumb.tapecontent.net/thumb/dKLW73yOB9SkOpy/rDGX24PqVrIbLwQ.jpg</t>
  </si>
  <si>
    <t>Angel Polikarpova - 51911298 - ripnsfw.com.jpg</t>
  </si>
  <si>
    <t>https://doodstream.com/d/smdj5kzgz9u7/</t>
  </si>
  <si>
    <t>https://lulustream.com/d/4a03rbumdav4</t>
  </si>
  <si>
    <t>#Hardcore, #Teen, #Teens, #Artporn, #Amateur, #Blonde</t>
  </si>
  <si>
    <t>#Hardcore #Teen #Teens #Artporn</t>
  </si>
  <si>
    <t>https://thumb.tapecontent.net/thumb/Gb8pGe7ZV3f1rMw/bZmKaO99V2hPwqy.jpg</t>
  </si>
  <si>
    <t>Angel Youngs - 10017287 - Onlyfans - Gabby Stone.jpg</t>
  </si>
  <si>
    <t>https://doodstream.com/d/ssrwm78yf3gd/</t>
  </si>
  <si>
    <t>https://lulustream.com/d/7podgnvtfnnv</t>
  </si>
  <si>
    <t>#BigTits, #Hardcore, #Threesome, #Teen</t>
  </si>
  <si>
    <t>#BigTits #Hardcore #Threesome #Teen</t>
  </si>
  <si>
    <t>https://thumb.tapecontent.net/thumb/a7aDqJ7rJKI2ez/pjdGp7lZX9Hro6l.jpg</t>
  </si>
  <si>
    <t>Angel Youngs - 14830070 - Onlyfans.jpg</t>
  </si>
  <si>
    <t>https://doodstream.com/d/k7u0wd503ww1/</t>
  </si>
  <si>
    <t>https://lulustream.com/d/0sohg9whc8il</t>
  </si>
  <si>
    <t>#BigTits, #Hardcore, #Interracial, #Teen</t>
  </si>
  <si>
    <t>#BigTits #Hardcore #Interracial #Teen</t>
  </si>
  <si>
    <t>https://thumb.tapecontent.net/thumb/904W9yAqPDHarK4/4WDG7bWXyjtKP2M.jpg</t>
  </si>
  <si>
    <t>Angel Youngs - 16899051 - ripnsfw.com.jpg</t>
  </si>
  <si>
    <t>https://doodstream.com/d/01q2ndl5lmah/</t>
  </si>
  <si>
    <t>https://lulustream.com/d/991u2ptodagg</t>
  </si>
  <si>
    <t>#BigTits, #Hardcore, #Teen, #Blowjob, #Amateur, #Deepthroat, #Blonde</t>
  </si>
  <si>
    <t>#BigTits #Hardcore #Teen #Blowjob #Amateur #Deepthroat #Blonde</t>
  </si>
  <si>
    <t>https://thumb.tapecontent.net/thumb/029P2qMpywI0Gb/9jRAeWgwRgSYvd.jpg</t>
  </si>
  <si>
    <t>Angel Youngs - 17971848 - ripnsfw.com.jpg</t>
  </si>
  <si>
    <t>https://doodstream.com/d/vd1fvsogu5sh/</t>
  </si>
  <si>
    <t>https://lulustream.com/d/istxec71o6w0</t>
  </si>
  <si>
    <t>https://thumb.tapecontent.net/thumb/O7KmKOd190fZO6b/YK1DkBk3OJCvYrd.jpg</t>
  </si>
  <si>
    <t>Angel Youngs - 19396508 - Onlyfans - Victoria Peach.jpg</t>
  </si>
  <si>
    <t>https://doodstream.com/d/m89qnnivkqlx/</t>
  </si>
  <si>
    <t>https://lulustream.com/d/u50pq22cc3p4</t>
  </si>
  <si>
    <t>https://thumb.tapecontent.net/thumb/K9abBWRqk1S0mBg/vL6lWjzOxvf4VXq.jpg</t>
  </si>
  <si>
    <t>Angel Youngs - 22368558 - ripnsfw.com.jpg</t>
  </si>
  <si>
    <t>https://doodstream.com/d/lqhpa2gyvyhb/</t>
  </si>
  <si>
    <t>https://lulustream.com/d/si92qo64blfc</t>
  </si>
  <si>
    <t>#BigTits, #Hardcore, #Bigass, #Porn, #Teen, #Blowjob, #Deepthroat, #Blonde</t>
  </si>
  <si>
    <t>#BigTits #Hardcore #Bigass #Porn</t>
  </si>
  <si>
    <t>https://thumb.tapecontent.net/thumb/Rq7Ao8J2Kdsxj6/RpybDYo1QaIdAVL.jpg</t>
  </si>
  <si>
    <t>Angel Youngs - 23483375 - ripnsfw.com.jpg</t>
  </si>
  <si>
    <t>https://doodstream.com/d/v5pityv0k9fy/</t>
  </si>
  <si>
    <t>https://lulustream.com/d/4pwir1blp7g3</t>
  </si>
  <si>
    <t>#BigTits, #Hardcore, #Porn, #Teen, #Blowjob, #Deepthroat, #Blonde, #Facial</t>
  </si>
  <si>
    <t>#BigTits #Hardcore #Porn #Teen #Blowjob</t>
  </si>
  <si>
    <t>https://thumb.tapecontent.net/thumb/zxV8mKa0LbtYRzK/j7v18lxALVuzlpv.jpg</t>
  </si>
  <si>
    <t>Angel Youngs - 24858157 - Onlyfans.jpg</t>
  </si>
  <si>
    <t>https://doodstream.com/d/76wpd4z1xkmb/</t>
  </si>
  <si>
    <t>https://lulustream.com/d/c1ngxtsf4di4</t>
  </si>
  <si>
    <t>https://thumb.tapecontent.net/thumb/JYze8Wev7vTjjym/Mj21Mej9J9SBz1.jpg</t>
  </si>
  <si>
    <t>Angel Youngs - 33789471 - ripnsfw.com - Kayley Gunner.jpg</t>
  </si>
  <si>
    <t>https://doodstream.com/d/d5hzpj8oxvff/</t>
  </si>
  <si>
    <t>https://lulustream.com/d/uxflgas98970</t>
  </si>
  <si>
    <t>#BigTits, #Lesbian, #Bigass, #Amateur, #Blonde</t>
  </si>
  <si>
    <t>#BigTits #Lesbian #Bigass #Amateur #Blonde</t>
  </si>
  <si>
    <t>https://thumb.tapecontent.net/thumb/VPMG7XlzWgSYzr/XrVwPaO4ALIPgW.jpg</t>
  </si>
  <si>
    <t>Angel Youngs - 35043183 - Onlyfans.jpg</t>
  </si>
  <si>
    <t>https://doodstream.com/d/shnje1ssxjor/</t>
  </si>
  <si>
    <t>https://lulustream.com/d/yfbqpwlp4x7a</t>
  </si>
  <si>
    <t>#BigTits, #Hardcore, #Teen, #Artporn</t>
  </si>
  <si>
    <t>#BigTits #Hardcore #Teen #Artporn</t>
  </si>
  <si>
    <t>https://thumb.tapecontent.net/thumb/Odll3oxVOAh9LQ/DoL9L2wy6Lfkpkk.jpg</t>
  </si>
  <si>
    <t>Angel Youngs - 38556377 - ripnsfw.com.jpg</t>
  </si>
  <si>
    <t>https://doodstream.com/d/grd5ra7twakt/</t>
  </si>
  <si>
    <t>https://lulustream.com/d/ub86j58ullix</t>
  </si>
  <si>
    <t>#BigTits, #Hardcore, #Threesome, #Teen, #Bigass, #Porn, #Teens, #Artporn, #Deepthroat, #Blonde</t>
  </si>
  <si>
    <t>#BigTits #Hardcore #Threesome #Teen #Bigass #Porn #Teens #Artporn</t>
  </si>
  <si>
    <t>https://thumb.tapecontent.net/thumb/0LJPdYd6xkUg1D/G3oRWGoM4gF18vJ.jpg</t>
  </si>
  <si>
    <t>Angel Youngs - 38723706 - ripnsfw.com - TheDanDangler.jpg</t>
  </si>
  <si>
    <t>https://doodstream.com/d/hnbcnhpsyowt/</t>
  </si>
  <si>
    <t>https://lulustream.com/d/52qdxwi8zlcz</t>
  </si>
  <si>
    <t>#BigTits, #Hardcore, #Black, #Threesome, #Interracial, #Bigass, #Teen, #Blowjob, #Amateur, #Deepthroat, #Blonde</t>
  </si>
  <si>
    <t>#BigTits #Hardcore #Black #Threesome</t>
  </si>
  <si>
    <t>https://thumb.tapecontent.net/thumb/6m9JkoGeo6U9288/meGlBRw3zBub9lM.jpg</t>
  </si>
  <si>
    <t>Angel Youngs - 42346078 - Blacked.jpg</t>
  </si>
  <si>
    <t>https://doodstream.com/d/1qcgjhcjhnr0/</t>
  </si>
  <si>
    <t>https://lulustream.com/d/ige09y8zdhpx</t>
  </si>
  <si>
    <t>#BigTits, #Hardcore, #Black, #Interracial</t>
  </si>
  <si>
    <t>#BigTits #Hardcore #Black #Interracial</t>
  </si>
  <si>
    <t>https://thumb.tapecontent.net/thumb/Z1Mp3PYdlJUPxV/LQPv9emVk9F7Pw.jpg</t>
  </si>
  <si>
    <t>Angel Youngs - 43443695 - XVRED - Katrina Colt.jpg</t>
  </si>
  <si>
    <t>https://doodstream.com/d/qrxa0x6t4i85/</t>
  </si>
  <si>
    <t>https://lulustream.com/d/lj0ojevkoz9p</t>
  </si>
  <si>
    <t>#BigTits, #Hardcore, #Black, #Threesome</t>
  </si>
  <si>
    <t>https://thumb.tapecontent.net/thumb/W8wWbO1M7MIbz3g/zPMAYADlrjtYV8R.jpg</t>
  </si>
  <si>
    <t>Angel Youngs - 45727650 - ripnsfw.com.jpg</t>
  </si>
  <si>
    <t>https://doodstream.com/d/pdponckq9arl/</t>
  </si>
  <si>
    <t>https://lulustream.com/d/kp1tzsu4j7ng</t>
  </si>
  <si>
    <t>#BigTits, #Hardcore, #Creampie, #Bigass, #Teen, #Teens, #Blowjob, #Amateur, #Deepthroat, #Blonde</t>
  </si>
  <si>
    <t>#BigTits #Hardcore #Creampie #Bigass #Teen #Teens #Blowjob #Amateur</t>
  </si>
  <si>
    <t>https://thumb.tapecontent.net/thumb/88orX2A29YToP30/abODMwwYJWCWXo.jpg</t>
  </si>
  <si>
    <t>Angel Youngs - 46788072 - ripnsfw.com.jpg</t>
  </si>
  <si>
    <t>https://doodstream.com/d/uiubehou4lkl/</t>
  </si>
  <si>
    <t>https://lulustream.com/d/gjk174gr3czb</t>
  </si>
  <si>
    <t>https://thumb.tapecontent.net/thumb/PJKqdOgX9jC0zbe/r6wD2JwLobub1XR.jpg</t>
  </si>
  <si>
    <t>Angel Youngs - 52422947 - ripnsfw.com.jpg</t>
  </si>
  <si>
    <t>https://doodstream.com/d/x4p9nk0ua3b9/</t>
  </si>
  <si>
    <t>https://lulustream.com/d/pdv4psfv38tk</t>
  </si>
  <si>
    <t>https://thumb.tapecontent.net/thumb/m3qVpgjR3LU2dM/KLrvwaeVXbU0xKx.jpg</t>
  </si>
  <si>
    <t>Angel Youngs - 54216002 - Onlyfans - Angela White.jpg</t>
  </si>
  <si>
    <t>https://doodstream.com/d/byki9xmu5dkr/</t>
  </si>
  <si>
    <t>https://lulustream.com/d/ecudn55al30p</t>
  </si>
  <si>
    <t>https://thumb.tapecontent.net/thumb/oW20bQvLVGFJy9x/pgPqZxXkOpcr3Dx.jpg</t>
  </si>
  <si>
    <t>Angel Youngs - 59835343 - ripnsfw.com.jpg</t>
  </si>
  <si>
    <t>https://doodstream.com/d/ozlcod8zqgog/</t>
  </si>
  <si>
    <t>https://lulustream.com/d/xoz8j3ntbvmx</t>
  </si>
  <si>
    <t>#BigTits, #Hardcore, #Bigass, #Porn, #Teen, #Blowjob, #Deepthroat, #Blonde, #Facial</t>
  </si>
  <si>
    <t>#BigTits #Hardcore #Bigass #Porn #Teen #Blowjob #Deepthroat #Blonde #Facial</t>
  </si>
  <si>
    <t>https://thumb.tapecontent.net/thumb/zbGWV7b693hYDxb/61K2714kMwI9Gx8.jpg</t>
  </si>
  <si>
    <t>Angel Youngs - 78515446 - Onlyfans - Angela White.jpg</t>
  </si>
  <si>
    <t>https://doodstream.com/d/bh7aaltpliqv/</t>
  </si>
  <si>
    <t>https://lulustream.com/d/t4irkhf872pu</t>
  </si>
  <si>
    <t>#MILF, #BigTits, #Hardcore, #Black</t>
  </si>
  <si>
    <t>#MILF #BigTits #Hardcore #Black</t>
  </si>
  <si>
    <t>https://thumb.tapecontent.net/thumb/okQ8vYP4AzsJkLJ/xv2VVjl6L9tkA1B.jpg</t>
  </si>
  <si>
    <t>Angel Youngs - 86773019 - ripnsfw.com.jpg</t>
  </si>
  <si>
    <t>https://doodstream.com/d/bc2bn8so4asg/</t>
  </si>
  <si>
    <t>https://lulustream.com/d/aipb9v02sjaq</t>
  </si>
  <si>
    <t>#BigTits, #Hardcore, #Porn, #Teen, #Blowjob, #Deepthroat, #Blonde</t>
  </si>
  <si>
    <t>#BigTits #Hardcore #Porn #Teen</t>
  </si>
  <si>
    <t>https://thumb.tapecontent.net/thumb/DAdVoZjDMdu6pP/Pv9bP2ekV3CBa2.jpg</t>
  </si>
  <si>
    <t>Angel Youngs - 89644494 - Onlyfans.jpg</t>
  </si>
  <si>
    <t>https://doodstream.com/d/bufk5se9yw20/</t>
  </si>
  <si>
    <t>https://lulustream.com/d/irf7bg9h9pns</t>
  </si>
  <si>
    <t>#BigTits, #Black, #Interracial, #Teen</t>
  </si>
  <si>
    <t>#BigTits #Black #Interracial #Teen</t>
  </si>
  <si>
    <t>https://thumb.tapecontent.net/thumb/4q42ZPajY4CKPXp/17o9kZbmrYFeqKl.jpg</t>
  </si>
  <si>
    <t>Angel Youngs - 90409368 - ripnsfw.com.jpg</t>
  </si>
  <si>
    <t>https://doodstream.com/d/ryj1z23owgh4/</t>
  </si>
  <si>
    <t>https://lulustream.com/d/w53khjycrwfd</t>
  </si>
  <si>
    <t>#BigTits, #Hardcore, #Piss, #Black, #Interracial, #Teen, #Blowjob, #Deepthroat, #Blonde</t>
  </si>
  <si>
    <t>#BigTits #Hardcore #Piss #Black #Interracial #Teen #Blowjob #Deepthroat</t>
  </si>
  <si>
    <t>https://thumb.tapecontent.net/thumb/LqVkQVyoymfRm3g/PjBQ2wA2l1t03O6.jpg</t>
  </si>
  <si>
    <t>Angel Youngs - 91358559 - ripnsfw.com.jpg</t>
  </si>
  <si>
    <t>https://doodstream.com/d/wiheixgovp4u/</t>
  </si>
  <si>
    <t>https://lulustream.com/d/wdkjwhat9mo5</t>
  </si>
  <si>
    <t>#Anal, #BigTits, #Hardcore, #Gangbang, #Black, #Interracial, #Teen, #Blowjob, #Amateur, #Deepthroat, #Blonde, #Piss</t>
  </si>
  <si>
    <t>#Anal #BigTits #Hardcore #Gangbang #Black #Interracial #Teen #Blowjob #Amateur #Deepthroat #Blonde</t>
  </si>
  <si>
    <t>https://thumb.tapecontent.net/thumb/qMj0pdaRwOTYV7/4ybm9gG8oGCKeWk.jpg</t>
  </si>
  <si>
    <t>Angel Youngs - 94892923 - Onlyfans.jpg</t>
  </si>
  <si>
    <t>https://doodstream.com/d/avn1ir39ssr0/</t>
  </si>
  <si>
    <t>https://lulustream.com/d/6avvn8f0wgt2</t>
  </si>
  <si>
    <t>#BigTits, #Hardcore, #Teen, #Blowjob</t>
  </si>
  <si>
    <t>#BigTits #Hardcore #Teen #Blowjob</t>
  </si>
  <si>
    <t>https://thumb.tapecontent.net/thumb/ldLaBdMgYOF7G1p/G6dX7GPYegc18L4.jpg</t>
  </si>
  <si>
    <t>Angel Youngs - 95299695 - Onlyfans - Angela White.jpg</t>
  </si>
  <si>
    <t>https://doodstream.com/d/l3kum2tovuz6/</t>
  </si>
  <si>
    <t>https://lulustream.com/d/j6tacbhfvd9c</t>
  </si>
  <si>
    <t>https://thumb.tapecontent.net/thumb/DPWr8zAaP2tkOgL/A44bglRQy6tX0Mj.jpg</t>
  </si>
  <si>
    <t>Angel Youngs - 99101023 - Onlyfans.jpg</t>
  </si>
  <si>
    <t>https://doodstream.com/d/8ul6e06db897/</t>
  </si>
  <si>
    <t>https://lulustream.com/d/3lzdke0dictk</t>
  </si>
  <si>
    <t>https://thumb.tapecontent.net/thumb/GjPvMgpvJ0HYA8/AMPxogAL7WFXPKP.jpg</t>
  </si>
  <si>
    <t>Angela White - 12494438 - Onlyfans - Violet Myers.jpg</t>
  </si>
  <si>
    <t>https://doodstream.com/d/z2bq2cpsogf9/</t>
  </si>
  <si>
    <t>https://lulustream.com/d/1qo5i2p23jsh</t>
  </si>
  <si>
    <t>https://streamtape.com/v/ekJkpK7BrLfYgDx/Angela_White_-_12494438_-_Onlyfans_-_VIolet_Myers.mp4</t>
  </si>
  <si>
    <t>https://thumb.tapecontent.net/thumb/m7ggQ6OXRQTkA0/kb322WOoqGHYjA.jpg</t>
  </si>
  <si>
    <t>Angela White - 12902427 - Onlyfans.jpg</t>
  </si>
  <si>
    <t>https://doodstream.com/d/cpqwcyv6i8l4/</t>
  </si>
  <si>
    <t>https://lulustream.com/d/kgb3phwxt6rk</t>
  </si>
  <si>
    <t>https://streamtape.com/v/wkz9Pd7LakFJ9Yz/Angela_White_-_12902427_-_Onlyfans.mp4</t>
  </si>
  <si>
    <t>https://thumb.tapecontent.net/thumb/wkz9Pd7LakFJ9Yz/bRYzl3gXXrIPjRB.jpg</t>
  </si>
  <si>
    <t>Angela White - 13039747 - Onlyfans - Rissa May.jpg</t>
  </si>
  <si>
    <t>https://doodstream.com/d/ydpi49551chk/</t>
  </si>
  <si>
    <t>https://lulustream.com/d/4hcb18eikve5</t>
  </si>
  <si>
    <t>https://streamtape.com/v/JXb9X2gxrzujK8P/Angela_White_-_13039747_-_Onlyfans_-_Rissa_May.mp4</t>
  </si>
  <si>
    <t>https://thumb.tapecontent.net/thumb/KzPapGkwwzt0099/ap43ALdl16FxDxm.jpg</t>
  </si>
  <si>
    <t>Angela White - 13108503 - Onlyfans - Violet Myers.jpg</t>
  </si>
  <si>
    <t>https://doodstream.com/d/xemgzn7wst8c/</t>
  </si>
  <si>
    <t>https://lulustream.com/d/okxum71y30q8</t>
  </si>
  <si>
    <t>https://streamtape.com/v/JXdA7B83mmcjXaw/Angela_White_-_13108503_-_Onlyfans_-_Violet_Myers.mp4</t>
  </si>
  <si>
    <t>https://thumb.tapecontent.net/thumb/01qeaz134zsbd0L/Kzde6GkRoGi0dWO.jpg</t>
  </si>
  <si>
    <t>Angela White - 16510520 - ripnsfw.com.jpg</t>
  </si>
  <si>
    <t>https://doodstream.com/d/yiz9rsq57pr8/</t>
  </si>
  <si>
    <t>https://lulustream.com/d/vpvrldl9a8v5</t>
  </si>
  <si>
    <t>https://streamtape.com/v/xyeXrd6lzMcqL6/Angela_White_-_16510520_-_ripnsfw.com</t>
  </si>
  <si>
    <t>#Anal, #MILF, #BigTits, #Hardcore, #Bigass, #Porn, #Blowjob, #Deepthroat, #Facial</t>
  </si>
  <si>
    <t>#Anal #MILF #BigTits #Hardcore #Bigass</t>
  </si>
  <si>
    <t>https://thumb.tapecontent.net/thumb/xyeXrd6lzMcqL6/pkopaKK0QgizxG.jpg</t>
  </si>
  <si>
    <t>Angela White - 17458052 - Onlyfans.jpg</t>
  </si>
  <si>
    <t>https://doodstream.com/d/l9bz9jfj0tpu/</t>
  </si>
  <si>
    <t>https://lulustream.com/d/84k5ysn9teyy</t>
  </si>
  <si>
    <t>https://streamtape.com/v/jVeAY1LVMPfzeyd/Angela_White_-_17458052_-_Onlyfans</t>
  </si>
  <si>
    <t>https://thumb.tapecontent.net/thumb/jVeAY1LVMPfzeyd/Z1xOOByPLlUqWGa.jpg</t>
  </si>
  <si>
    <t>Angela White - 18200560 - ripnsfw.com.jpg</t>
  </si>
  <si>
    <t>https://doodstream.com/d/4tnxlu3h9o7y/</t>
  </si>
  <si>
    <t>https://lulustream.com/d/atgpgut2a8k5</t>
  </si>
  <si>
    <t>https://streamtape.com/v/R6ygo12dZgfLdM/Angela_White_-_18200560_-_ripnsfw.com.mp4</t>
  </si>
  <si>
    <t>https://thumb.tapecontent.net/thumb/R6ygo12dZgfLdM/e0qPrXgZx3sOaD.jpg</t>
  </si>
  <si>
    <t>Angela White - 19495197 - ripnsfw.com.jpg</t>
  </si>
  <si>
    <t>https://doodstream.com/d/811p8g3kud8l/</t>
  </si>
  <si>
    <t>https://lulustream.com/d/sngehhhof716</t>
  </si>
  <si>
    <t>https://streamtape.com/v/p7gPx78RMjHrQGG/Angela_White_-_19495197_-_ripnsfw.com</t>
  </si>
  <si>
    <t>#BigTits, #Hardcore, #Bigass, #Porn, #Teen, #Blowjob, #Deepthroat, #Facial</t>
  </si>
  <si>
    <t>#BigTits #Hardcore #Bigass #Porn #Teen #Blowjob #Deepthroat</t>
  </si>
  <si>
    <t>https://thumb.tapecontent.net/thumb/p7gPx78RMjHrQGG/WqxPR1R914cbj73.jpg</t>
  </si>
  <si>
    <t>Angela White - 20152147 - ripnsfw.com.jpg</t>
  </si>
  <si>
    <t>https://doodstream.com/d/jxx7g3ag6fdq/</t>
  </si>
  <si>
    <t>https://lulustream.com/d/dynbcnyjcbzg</t>
  </si>
  <si>
    <t>https://streamtape.com/v/xrj84qrr7XTkAPb/Angela_White_-_20152147_-_ripnsfw.com</t>
  </si>
  <si>
    <t>#MILF, #BigTits, #Hardcore, #Black, #Interracial, #Bigass, #Blowjob, #Amateur, #Deepthroat</t>
  </si>
  <si>
    <t>#MILF #BigTits #Hardcore #Black #Interracial</t>
  </si>
  <si>
    <t>https://thumb.tapecontent.net/thumb/xrj84qrr7XTkAPb/P3aoPK81zvi02om.jpg</t>
  </si>
  <si>
    <t>Angela White - 20460908 - Onlyfans.jpg</t>
  </si>
  <si>
    <t>https://doodstream.com/d/9nztl5vta0r0/</t>
  </si>
  <si>
    <t>https://lulustream.com/d/o5v1jpfebmak</t>
  </si>
  <si>
    <t>https://streamtape.com/v/X2B6BO9zaWUDr7e/Angela_White_-_20460908_-_Onlyfans</t>
  </si>
  <si>
    <t>https://thumb.tapecontent.net/thumb/X2B6BO9zaWUDr7e/MebjMwzz8ztmjok.jpg</t>
  </si>
  <si>
    <t>Angela White - 21926159 - ripnsfw.com - Violet Myers - Lena the plug.jpg</t>
  </si>
  <si>
    <t>https://doodstream.com/d/lnv99asltnq4/</t>
  </si>
  <si>
    <t>https://lulustream.com/d/buqmzug523qm</t>
  </si>
  <si>
    <t>https://streamtape.com/v/Oar3WJQyzxs94d/Angela_White_-_21926159_-_ripnsfw.com_-_Violet_Myers_-_Lena_the_plug.mp4</t>
  </si>
  <si>
    <t>#MILF, #BigTits, #Lesbian, #Bigass, #Latina, #Roleplay, #Stepmom, #Blowjob, #Foursome</t>
  </si>
  <si>
    <t>#MILF #BigTits #Lesbian #Bigass #Latina #Roleplay #Stepmom #Blowjob #Foursome</t>
  </si>
  <si>
    <t>https://thumb.tapecontent.net/thumb/lWo7d7QgwlI7Xvj/KyddxMr70gI00xj.jpg</t>
  </si>
  <si>
    <t>Angela White - 23967656 - ripnsfw.com - Rissa May.jpg</t>
  </si>
  <si>
    <t>https://doodstream.com/d/etvtu8v6cgig/</t>
  </si>
  <si>
    <t>https://lulustream.com/d/ngjiykqzc9ao</t>
  </si>
  <si>
    <t>https://streamtape.com/v/G21vRyAx3Bcayv/Angela_White_-_23967656_-_ripnsfw.com_-_Rissa_May.mp4</t>
  </si>
  <si>
    <t>#MILF, #BigTits, #Hardcore, #Black, #Threesome, #Interracial, #Bigass, #Blowjob, #Amateur, #Deepthroat</t>
  </si>
  <si>
    <t>https://thumb.tapecontent.net/thumb/KJR3p79alDF0RXd/VYqQJyYLJmcxBL.jpg</t>
  </si>
  <si>
    <t>Angela White - 25637668 - Onlyfans - Angel Youngs.jpg</t>
  </si>
  <si>
    <t>https://doodstream.com/d/ly4wvue4rnjf/</t>
  </si>
  <si>
    <t>https://lulustream.com/d/db942do72rsd</t>
  </si>
  <si>
    <t>https://streamtape.com/v/4oqrBQg8GBUroo/Angela_White_-_25637668_-_Onlyfans_-_Angel_Youngs.mp4</t>
  </si>
  <si>
    <t>https://thumb.tapecontent.net/thumb/MoVbjkKPv0Hm3aG/Wr0QQmmdMYfbJR7.jpg</t>
  </si>
  <si>
    <t>Angela White - 25752245 - ripnsfw.com.jpg</t>
  </si>
  <si>
    <t>https://doodstream.com/d/hrb6li11d9c5/</t>
  </si>
  <si>
    <t>https://lulustream.com/d/g6sxc9813kxn</t>
  </si>
  <si>
    <t>https://streamtape.com/v/2PZPxzLJeMFZOeR/Angela_White_-_25752245_-_ripnsfw.com.mp4</t>
  </si>
  <si>
    <t>#Anal, #MILF, #BigTits, #Hardcore, #Bigass, #Porn, #Squirt, #Blowjob, #Deepthroat, #Facial</t>
  </si>
  <si>
    <t>#Anal #MILF #BigTits #Hardcore #Bigass #Porn #Squirt #Blowjob #Deepthroat #Facial</t>
  </si>
  <si>
    <t>https://thumb.tapecontent.net/thumb/OJXDMagvKjTZJ6L/7Glyo6dl2DcYzP.jpg</t>
  </si>
  <si>
    <t>Angela White - 26849040 - Onlyfans.jpg</t>
  </si>
  <si>
    <t>https://doodstream.com/d/pyq5njdz12de/</t>
  </si>
  <si>
    <t>https://lulustream.com/d/ql05lhu0eahy</t>
  </si>
  <si>
    <t>https://streamtape.com/v/6mByvJ3MxxC9r2p/Angela_White_-_26849040_-_Onlyfans.mp4</t>
  </si>
  <si>
    <t>https://thumb.tapecontent.net/thumb/V0RdXrkm0GTKeQx/lxA4VW9m3GTBAg.jpg</t>
  </si>
  <si>
    <t>Angela White - 27159838 - Onlyfans - Rissa May.jpg</t>
  </si>
  <si>
    <t>https://doodstream.com/d/a5s819di5jp0/</t>
  </si>
  <si>
    <t>https://lulustream.com/d/4t8s1jq5rw8t</t>
  </si>
  <si>
    <t>https://streamtape.com/v/8KLbylgjkVSJrv/Angela_White_-_27159838_-_Onlyfans_-_Rissa_May.mp4</t>
  </si>
  <si>
    <t>#MILF, #Anal, #BigTits, #Hardcore, #Threesome, #Bigass, #Blowjob, #Stepmom, #Amateur, #Deepthroat, #Facial</t>
  </si>
  <si>
    <t>#MILF #Anal #BigTits #Hardcore #Threesome #Bigass</t>
  </si>
  <si>
    <t>https://thumb.tapecontent.net/thumb/x2QyPePqVOhk4vP/r27ZyDdADRubZJ3.jpg</t>
  </si>
  <si>
    <t>Angela White - 35114411 - Onlyfans.jpg</t>
  </si>
  <si>
    <t>https://doodstream.com/d/yu2kum2tsya3/</t>
  </si>
  <si>
    <t>https://lulustream.com/d/myiyz69332fs</t>
  </si>
  <si>
    <t>https://streamtape.com/v/dPvQ4DPBqdSkmxx/Angela_White_-_35114411_-_Onlyfans</t>
  </si>
  <si>
    <t>https://thumb.tapecontent.net/thumb/dPvQ4DPBqdSkmxx/PwGymrlDxMH0z1x.jpg</t>
  </si>
  <si>
    <t>Angela White - 35508956 - Onlyfans.jpg</t>
  </si>
  <si>
    <t>https://doodstream.com/d/lzgud9mz3q9l/</t>
  </si>
  <si>
    <t>https://lulustream.com/d/x9r8otqqdryy</t>
  </si>
  <si>
    <t>https://streamtape.com/v/jkKyO91GmjS2Q1/Angela_White_-_35508956_-_Onlyfans</t>
  </si>
  <si>
    <t>https://thumb.tapecontent.net/thumb/jkKyO91GmjS2Q1/6wLOwGJyGOH9B0l.jpg</t>
  </si>
  <si>
    <t>Angela White - 35786373 - Onlyfans - Slimthick Vic.jpg</t>
  </si>
  <si>
    <t>https://doodstream.com/d/lpbftcwxxpck/</t>
  </si>
  <si>
    <t>https://lulustream.com/d/m6e8e5o21zfh</t>
  </si>
  <si>
    <t>https://streamtape.com/v/8BxmGVPP0eF8x2/Angela_White_-_35786373_-_Onlyfans_-_Slimthick_Vic.mp4</t>
  </si>
  <si>
    <t>https://thumb.tapecontent.net/thumb/dpMAkmy8ROHkRJY/qZyAWLyY90TzeVq.jpg</t>
  </si>
  <si>
    <t>Angela White - 36065019 - Onlyfans.jpg</t>
  </si>
  <si>
    <t>https://doodstream.com/d/vkdxk8w1ssv9/</t>
  </si>
  <si>
    <t>https://lulustream.com/d/9ojkh84iqyo3</t>
  </si>
  <si>
    <t>https://streamtape.com/v/w7OOgWYeBvHJqyM/Angela_White_-_36065019_-_Onlyfans</t>
  </si>
  <si>
    <t>https://thumb.tapecontent.net/thumb/w7OOgWYeBvHJqyM/Ogqp9P49drHZ8l9.jpg</t>
  </si>
  <si>
    <t>Angela White - 37542569 - ripnsfw.com - Little Puck.jpg</t>
  </si>
  <si>
    <t>https://doodstream.com/d/pf8v8s4lm3nj/</t>
  </si>
  <si>
    <t>https://lulustream.com/d/huem0c4wktlp</t>
  </si>
  <si>
    <t>https://streamtape.com/v/3dVRy7rYQAudO6Q/Angela_White_-_37542569_-_ripnsfw.com_-_Little_Puck.mp4</t>
  </si>
  <si>
    <t>#MILF, #BigTits, #Hardcore, #Threesome, #Bigass, #Blowjob, #Amateur, #Deepthroat, #Facial</t>
  </si>
  <si>
    <t>#MILF #BigTits #Hardcore #Threesome #Bigass #Blowjob</t>
  </si>
  <si>
    <t>https://thumb.tapecontent.net/thumb/bZgdgg1B3jfP9pd/8wOQOO3aZdU6YW.jpg</t>
  </si>
  <si>
    <t>Angela White - 39465727 - ripnsfw.com - Amber Bloom.jpg</t>
  </si>
  <si>
    <t>https://doodstream.com/d/6ca67xn4a6r8/</t>
  </si>
  <si>
    <t>https://lulustream.com/d/dhe033bsc1t2</t>
  </si>
  <si>
    <t>https://streamtape.com/v/QJyRR4zybac0Mm3/Angela_White_-_39465727_-_ripnsfw.com_-_Amber_Bloom.mp4</t>
  </si>
  <si>
    <t>#MILF, #BigTits, #Hardcore, #Threesome, #Bigass, #Blowjob, #Amateur</t>
  </si>
  <si>
    <t>https://thumb.tapecontent.net/thumb/M9gYjLlvO8Cm7DY/6bA7W7d46Rf91d2.jpg</t>
  </si>
  <si>
    <t>Angela White - 42471317 - Onlyfans.jpg</t>
  </si>
  <si>
    <t>https://doodstream.com/d/jkup9ro3bct1/</t>
  </si>
  <si>
    <t>https://lulustream.com/d/9p1ftv6y9hm0</t>
  </si>
  <si>
    <t>https://streamtape.com/v/2OZ9qZwb8zuZOKP/Angela_White_-_42471317_-_Onlyfans</t>
  </si>
  <si>
    <t>https://thumb.tapecontent.net/thumb/2OZ9qZwb8zuZOKP/D9R8O9gBXeTV4d.jpg</t>
  </si>
  <si>
    <t>Angela White - 42501148 - ripnsfw.com.jpg</t>
  </si>
  <si>
    <t>https://doodstream.com/d/z1d29ltfsjy6/</t>
  </si>
  <si>
    <t>https://lulustream.com/d/9l2fbrv1tyqu</t>
  </si>
  <si>
    <t>https://streamtape.com/v/eg82MGLVOjTYvYw/Angela_White_-_42501148_-_ripnsfw.com</t>
  </si>
  <si>
    <t>https://thumb.tapecontent.net/thumb/eg82MGLVOjTYvYw/YLyvGX47LJFdyo.jpg</t>
  </si>
  <si>
    <t>Angela White - 43768388 - ripnsfw.com.jpg</t>
  </si>
  <si>
    <t>https://doodstream.com/d/2yno0omwi1pu/</t>
  </si>
  <si>
    <t>https://lulustream.com/d/k3a84ptetq7c</t>
  </si>
  <si>
    <t>https://streamtape.com/v/RXVPoXekpoFkox/Angela_White_-_43768388_-_ripnsfw.com.mp4</t>
  </si>
  <si>
    <t>#MILF, #BigTits, #Blowjob, #Amateur, #Deepthroat, #Facial</t>
  </si>
  <si>
    <t>#MILF #BigTits #Blowjob #Amateur #Deepthroat #Facial</t>
  </si>
  <si>
    <t>https://thumb.tapecontent.net/thumb/O4W6ylJd34fZZOW/KZX7xwXkOBs0Qxy.jpg</t>
  </si>
  <si>
    <t>Angela White - 44664461 - Onlyfans - Violet Myers.jpg</t>
  </si>
  <si>
    <t>https://doodstream.com/d/fei05kff6bko/</t>
  </si>
  <si>
    <t>https://lulustream.com/d/ejyp2hapw9zj</t>
  </si>
  <si>
    <t>https://streamtape.com/v/ZJxwljXD6eSqJ09/Angela_White_-_44664461_-_Onlyfans_-_Violet_Myers.mp4</t>
  </si>
  <si>
    <t>https://thumb.tapecontent.net/thumb/lrdWPXw9kwf7XpV/Jokm8qPKrbu6RX.jpg</t>
  </si>
  <si>
    <t>Angela White - 55230680 - Onlyfans.jpg</t>
  </si>
  <si>
    <t>https://doodstream.com/d/l5ny14fticbv/</t>
  </si>
  <si>
    <t>https://lulustream.com/d/pui2tgrkmt9u</t>
  </si>
  <si>
    <t>https://streamtape.com/v/VdJw42Ly47tK7vX/Angela_White_-_55230680_-_Onlyfans_-_ripnfw.com</t>
  </si>
  <si>
    <t>https://thumb.tapecontent.net/thumb/VdJw42Ly47tK7vX/2r2vrveplmfZ4oW.jpg</t>
  </si>
  <si>
    <t>Angela White - 57030955 - Onlyfans.jpg</t>
  </si>
  <si>
    <t>https://doodstream.com/d/29fxsu9lwzfg/</t>
  </si>
  <si>
    <t>https://lulustream.com/d/zz0958fd9c4e</t>
  </si>
  <si>
    <t>https://streamtape.com/v/d89Kq7Rq6rSZAd/Angela_White_-_57030955_-_Onlyfans</t>
  </si>
  <si>
    <t>https://thumb.tapecontent.net/thumb/d89Kq7Rq6rSZAd/lxv8DolOjYh78qW.jpg</t>
  </si>
  <si>
    <t>Angela White - 61068711 - Onlyfans.jpg</t>
  </si>
  <si>
    <t>https://doodstream.com/d/tmhpt2j0jncd/</t>
  </si>
  <si>
    <t>https://lulustream.com/d/akadjdas813c</t>
  </si>
  <si>
    <t>https://streamtape.com/v/dgVxyoDR3WIkWdg/Angela_White_-_61068711_-_Onlyfans.mp4</t>
  </si>
  <si>
    <t>https://thumb.tapecontent.net/thumb/vkWYR0B8WYI4yY0/rJkpDzqPqWfG23.jpg</t>
  </si>
  <si>
    <t>Angela White - 61262797 - ripnsfw.com.jpg</t>
  </si>
  <si>
    <t>https://doodstream.com/d/8txt6b5cvvmr/</t>
  </si>
  <si>
    <t>https://lulustream.com/d/qj5bakbdpd5d</t>
  </si>
  <si>
    <t>https://streamtape.com/v/Zy9GdeMR0GiqLGB/Angela_White_-_61262797_-_ripnsfw.com</t>
  </si>
  <si>
    <t>#Anal, #MILF, #BigTits, #Hardcore, #Bigass, #Blowjob, #Deepthroat, #Facial</t>
  </si>
  <si>
    <t>https://thumb.tapecontent.net/thumb/Zy9GdeMR0GiqLGB/oDpZQGzDKptboP.jpg</t>
  </si>
  <si>
    <t>Angela White - 62235682 - Onlyfans - Lucy Lotus.jpg</t>
  </si>
  <si>
    <t>https://doodstream.com/d/ij07rgr8p3og/</t>
  </si>
  <si>
    <t>https://lulustream.com/d/t1x6vfidsfhk</t>
  </si>
  <si>
    <t>https://streamtape.com/v/q88lBOPgkyfzzG0/Angela_White_-_62235682_-_Onlyfans_-_Lucy_Lotus.mp4</t>
  </si>
  <si>
    <t>https://thumb.tapecontent.net/thumb/8D0ArjZJdgcoPpg/BGxRzPxJzxtGpo.jpg</t>
  </si>
  <si>
    <t>Angela White - 63666132 - ripnsfw.com.jpg</t>
  </si>
  <si>
    <t>https://doodstream.com/d/h6wco40s24go/</t>
  </si>
  <si>
    <t>https://lulustream.com/d/0dnfoxjoam4n</t>
  </si>
  <si>
    <t>https://streamtape.com/v/7dk2J8pGr0TAgmJ/Angela_White_-_63666132_-_ripnsfw.com.mp4</t>
  </si>
  <si>
    <t>#MILF, #BigTits, #Hardcore, #Bigass, #Blowjob, #Amateur, #Facial</t>
  </si>
  <si>
    <t>https://thumb.tapecontent.net/thumb/k3mjaroXw7HOORM/P7zbB4VqVyI0PGZ.jpg</t>
  </si>
  <si>
    <t>Angela White - 65701953 - ripnsfw.com - Violet Myers.jpg</t>
  </si>
  <si>
    <t>https://doodstream.com/d/kan5dgupl9ho/</t>
  </si>
  <si>
    <t>https://lulustream.com/d/q54azfr0ver6</t>
  </si>
  <si>
    <t>https://streamtape.com/v/6QoxK9Bqv3U9Mvl/Angela_White_-_65701953_-_ripnsfw.com_-_Violet_Myers.mp4</t>
  </si>
  <si>
    <t>#MILF, #BigTits, #Lesbian, #Bigass, #Roleplay</t>
  </si>
  <si>
    <t>#MILF #BigTits #Lesbian #Bigass #Roleplay</t>
  </si>
  <si>
    <t>https://thumb.tapecontent.net/thumb/RQV1v2zrG3SdlrP/6qA4WVG0qdFl8Q.jpg</t>
  </si>
  <si>
    <t>Angela White - 66371349 - Onlyfans - Mia Malkova - Riley Reid.jpg</t>
  </si>
  <si>
    <t>https://doodstream.com/d/npixfhibhnob/</t>
  </si>
  <si>
    <t>https://lulustream.com/d/t138hn497csr</t>
  </si>
  <si>
    <t>https://streamtape.com/v/4PXaGXgKbXhKaoX/Angela_White_-_66371349_-_Onlyfans_-_Mia_Malkova_-_Riley_Reid.mp4</t>
  </si>
  <si>
    <t>https://thumb.tapecontent.net/thumb/BQ60ZVXjOJtVYX/61kZW6xx1vt9BZ4.jpg</t>
  </si>
  <si>
    <t>Angela White - 67538070 - Onlyfans.jpg</t>
  </si>
  <si>
    <t>https://doodstream.com/d/96f86larrcbv/</t>
  </si>
  <si>
    <t>https://lulustream.com/d/zilhhrybkpvc</t>
  </si>
  <si>
    <t>https://streamtape.com/v/dkoXPKwBa7Tkx6R/Angela_White_-_67538070_-_Onlyfans</t>
  </si>
  <si>
    <t>https://thumb.tapecontent.net/thumb/dkoXPKwBa7Tkx6R/r29k90418AhbR63.jpg</t>
  </si>
  <si>
    <t>Angela White - 68398268 - Onlyfans.jpg</t>
  </si>
  <si>
    <t>https://doodstream.com/d/kjbuin47yk73/</t>
  </si>
  <si>
    <t>https://lulustream.com/d/pk1dp2q8ptq3</t>
  </si>
  <si>
    <t>https://streamtape.com/v/A1gZBoxDoQFX0mj/Angela_White_-_68398268_-_Onlyfans</t>
  </si>
  <si>
    <t>https://thumb.tapecontent.net/thumb/A1gZBoxDoQFX0mj/VB06Z3OB8DcKlPV.jpg</t>
  </si>
  <si>
    <t>Angela White - 68460886 - Onlyfans.jpg</t>
  </si>
  <si>
    <t>https://doodstream.com/d/605bqv3syzu2/</t>
  </si>
  <si>
    <t>https://lulustream.com/d/7s6ms050wykm</t>
  </si>
  <si>
    <t>https://streamtape.com/v/VVO3BmgqBYik7z/Angela_White_-_68460886_-_Onlyfans.mp4</t>
  </si>
  <si>
    <t>#Anal, #MILF, #BigTits, #Hardcore, #Threesome, #Bigass, #Porn, #Stepmom, #Blowjob, #DoublePenetration, #Deepthroat, #Facial</t>
  </si>
  <si>
    <t>#Anal #MILF #BigTits #Hardcore #Threesome</t>
  </si>
  <si>
    <t>https://thumb.tapecontent.net/thumb/qjBPVkPPo0Tzvyv/GK4qr9Ppm6U1D9q.jpg</t>
  </si>
  <si>
    <t>Angela White - 70555106 - ripnsfw.com - Violet Myers - Angel Youngs.jpg</t>
  </si>
  <si>
    <t>https://doodstream.com/d/t0dxbaxa8ave/</t>
  </si>
  <si>
    <t>https://lulustream.com/d/f084c2km5m7n</t>
  </si>
  <si>
    <t>https://streamtape.com/v/86JYeeoBkrFopzJ/Angela_White_-_70555106_-_ripnsfw.com_-_Violet_Myers_-_Angel_Youngs.mp4</t>
  </si>
  <si>
    <t>#MILF, #BigTits, #Threesome, #Bigass</t>
  </si>
  <si>
    <t>#MILF #BigTits #Threesome #Bigass</t>
  </si>
  <si>
    <t>https://thumb.tapecontent.net/thumb/dRZZd09Awxckk2g/7PKO3vRmyrsRwg.jpg</t>
  </si>
  <si>
    <t>Angela White - 74594738 - Onlyfans.jpg</t>
  </si>
  <si>
    <t>https://doodstream.com/d/0z8aai2lc39i/</t>
  </si>
  <si>
    <t>https://lulustream.com/d/h0mr2lj8h8ho</t>
  </si>
  <si>
    <t>https://streamtape.com/v/7bJbajZoalSRp9/Angela_White_-_74594738_-_Onlyfans</t>
  </si>
  <si>
    <t>https://thumb.tapecontent.net/thumb/7bJbajZoalSRp9/LLRxAZyW3eURYPL.jpg</t>
  </si>
  <si>
    <t>Angela White - 75043078 - Onlyfans.jpg</t>
  </si>
  <si>
    <t>https://doodstream.com/d/2yopv9l48zer/</t>
  </si>
  <si>
    <t>https://lulustream.com/d/qbrhne8d92py</t>
  </si>
  <si>
    <t>https://streamtape.com/v/Allmp6ZQ40HB6r/Angela_White_-_75043078_-_Onlyfans.mp4</t>
  </si>
  <si>
    <t>#MILF, #BigTits, #Hardcore, #Bigass, #Blowjob, #Stepmom, #Amateur, #Hotwife, #Facial, #Deepthroat</t>
  </si>
  <si>
    <t>#MILF #BigTits #Hardcore #Bigass #Blowjob #Stepmom #Amateur #Hotwife #Facial</t>
  </si>
  <si>
    <t>https://thumb.tapecontent.net/thumb/DGXVwP1oxWFLkr/kZo1ek4O9aFOMXD.jpg</t>
  </si>
  <si>
    <t>Angela White - 80252257 - Onlyfans.jpg</t>
  </si>
  <si>
    <t>https://doodstream.com/d/r79d7h7gxhut/</t>
  </si>
  <si>
    <t>https://lulustream.com/d/ydkeqawu5wze</t>
  </si>
  <si>
    <t>https://streamtape.com/v/6kPozQRPVvH9AMp/Angela_White_-_80252257_-_Onlyfans</t>
  </si>
  <si>
    <t>https://thumb.tapecontent.net/thumb/6kPozQRPVvH9AMp/wDaBjJVwP6cJZpw.jpg</t>
  </si>
  <si>
    <t>Angela White - 83137102 - ripnsfw.com - Lena the plug.jpg</t>
  </si>
  <si>
    <t>https://doodstream.com/d/hpgf450jfri0/</t>
  </si>
  <si>
    <t>https://lulustream.com/d/lwn9vtiqi30b</t>
  </si>
  <si>
    <t>https://streamtape.com/v/X2BaPaxY6jcPLb/Angela_White_-_83137102_-_ripnsfw.com_-_Lena_the_plug.mp4</t>
  </si>
  <si>
    <t>#MILF, #BigTits, #Hardcore, #Threesome, #Bigass, #Blowjob, #Amateur, #Hotwife, #Facial</t>
  </si>
  <si>
    <t>#MILF #BigTits #Hardcore #Threesome #Bigass #Blowjob #Amateur #Hotwife #Facial</t>
  </si>
  <si>
    <t>https://thumb.tapecontent.net/thumb/yV9gGKkqaesw9j/9R31od9AgvUaKDo.jpg</t>
  </si>
  <si>
    <t>Angela White - 83220983 - ripnsfw.com.jpg</t>
  </si>
  <si>
    <t>https://doodstream.com/d/dd39yja4qb1l/</t>
  </si>
  <si>
    <t>https://lulustream.com/d/an5si89qnrot</t>
  </si>
  <si>
    <t>https://streamtape.com/v/Akq61vXjxbsXR6V/Angela_White_-_83220983_-_ripnsfw.com.mp4</t>
  </si>
  <si>
    <t>#MILF, #BigTits, #Bigass, #Blowjob, #Amateur, #Deepthroat, #Facial</t>
  </si>
  <si>
    <t>#MILF #BigTits #Bigass #Blowjob #Amateur #Deepthroat</t>
  </si>
  <si>
    <t>https://thumb.tapecontent.net/thumb/PGxkvWGQZKUL2o/78ROwqjRv4CAaMq.jpg</t>
  </si>
  <si>
    <t>Angela White - 84891613 - Onlyfans.jpg</t>
  </si>
  <si>
    <t>https://doodstream.com/d/8i5e4ptl2kio/</t>
  </si>
  <si>
    <t>https://lulustream.com/d/r35cm85lj7z5</t>
  </si>
  <si>
    <t>https://streamtape.com/v/gv7ymXmJaasqpew/Angela_White_-_84891613_-_Onlyfans</t>
  </si>
  <si>
    <t>https://thumb.tapecontent.net/thumb/gv7ymXmJaasqpew/bgVor0e22gCo1A.jpg</t>
  </si>
  <si>
    <t>Angela White - 86507480 - ripnsfw.com.jpg</t>
  </si>
  <si>
    <t>https://doodstream.com/d/1487aho3mi7s/</t>
  </si>
  <si>
    <t>https://lulustream.com/d/83ivjcijoiu5</t>
  </si>
  <si>
    <t>https://streamtape.com/v/wkOMmVYz0pFJM07/Angela_White_-_86507480_-_ripnsfw.com.mp4</t>
  </si>
  <si>
    <t>https://thumb.tapecontent.net/thumb/LkkB3aPQXGcWBb/abZQvzMleYIxyqV.jpg</t>
  </si>
  <si>
    <t>Angela White - 90791951 - Onlyfans - Lily Starfire.jpg</t>
  </si>
  <si>
    <t>https://doodstream.com/d/a9hgkp6fjyok/</t>
  </si>
  <si>
    <t>https://lulustream.com/d/i64o31yhdvhp</t>
  </si>
  <si>
    <t>https://streamtape.com/v/90B0malAgoHadQa/Angela_White_-_90791951_-_Onlyfans_-_Lily_Starfire.mp4</t>
  </si>
  <si>
    <t>https://thumb.tapecontent.net/thumb/Jp2jzjDX0Qujd4v/ygZrRK6arkU1A2M.jpg</t>
  </si>
  <si>
    <t>Angela White - 91733115 - Onlyfans.jpg</t>
  </si>
  <si>
    <t>https://doodstream.com/d/ksji9m46to1g/</t>
  </si>
  <si>
    <t>https://lulustream.com/d/rjsai52ft1u4</t>
  </si>
  <si>
    <t>https://streamtape.com/v/RQZpBBGOVoUd48W/Angela_White_-_91733115_-_Onlyfans</t>
  </si>
  <si>
    <t>https://thumb.tapecontent.net/thumb/RQZpBBGOVoUd48W/larVbgpm89SOzQ.jpg</t>
  </si>
  <si>
    <t>Angela White - 93500544 - ripnsfw.com.jpg</t>
  </si>
  <si>
    <t>https://doodstream.com/d/9cjzdoc9gduf/</t>
  </si>
  <si>
    <t>https://lulustream.com/d/j2bh49l2cwn1</t>
  </si>
  <si>
    <t>https://streamtape.com/v/YgrQa4OKvGHvXOP/Angela_White_-_93500544_-_ripnsfw.com.mp4</t>
  </si>
  <si>
    <t>#MILF, #BigTits, #Blowjob, #Amateur, #Deepthroat</t>
  </si>
  <si>
    <t>https://thumb.tapecontent.net/thumb/mYgmLga84xSbPWK/XbRD2Pz10KiBw8.jpg</t>
  </si>
  <si>
    <t>Angela White - 94500060 - ripnsfw.com.jpg</t>
  </si>
  <si>
    <t>https://doodstream.com/d/3ioum44ck8fh/</t>
  </si>
  <si>
    <t>https://lulustream.com/d/htao4vby9vt7</t>
  </si>
  <si>
    <t>https://streamtape.com/v/6ekPK4B974s91GG/Angela_White_-_94500060_-_ripnsfw.com.mp4</t>
  </si>
  <si>
    <t>#MILF, #BigTits, #Hardcore, #Bigass, #Blowjob, #Amateur, #Deepthroat</t>
  </si>
  <si>
    <t>#MILF #BigTits #Hardcore #Bigass #Blowjob #Amateur</t>
  </si>
  <si>
    <t>https://thumb.tapecontent.net/thumb/3aAO16eMyyhdJGA/y23Yxgvob7S1M1b.jpg</t>
  </si>
  <si>
    <t>Angela White - 95008111 - Onlyfans - Violet Myers.jpg</t>
  </si>
  <si>
    <t>https://doodstream.com/d/gu1zab6s92v1/</t>
  </si>
  <si>
    <t>https://lulustream.com/d/fig2r78nojie</t>
  </si>
  <si>
    <t>https://streamtape.com/v/6PprgekGMmC9kgm/Angela_White_-_95008111_-_Onlyfans_-_Violet_Myers.mp4</t>
  </si>
  <si>
    <t>https://thumb.tapecontent.net/thumb/6jGwDzabWzf90go/vV83YmxMrxI4yqG.jpg</t>
  </si>
  <si>
    <t>Angela White - 95590990 - ripnsfw.com.jpg</t>
  </si>
  <si>
    <t>https://doodstream.com/d/am2d8v8hm0ud/</t>
  </si>
  <si>
    <t>https://lulustream.com/d/oad0y34ea06k</t>
  </si>
  <si>
    <t>https://streamtape.com/v/p8RGPzZBppcrK09/Angela_White_-_95590990_-_ripnsfw.com</t>
  </si>
  <si>
    <t>#MILF, #BigTits, #Hardcore, #Bigass, #Blowjob, #Amateur, #Deepthroat, #Footjob</t>
  </si>
  <si>
    <t>#MILF #BigTits #Hardcore #Bigass #Blowjob #Amateur #Deepthroat</t>
  </si>
  <si>
    <t>https://thumb.tapecontent.net/thumb/p8RGPzZBppcrK09/AkRR8JYxG6sXdVk.jpg</t>
  </si>
  <si>
    <t>Angela White - 98417632 - ripnsfw.com.jpg</t>
  </si>
  <si>
    <t>https://doodstream.com/d/rw6kh0et845n/</t>
  </si>
  <si>
    <t>https://lulustream.com/d/j44glzrt1fyc</t>
  </si>
  <si>
    <t>https://streamtape.com/v/ZxvGVp9LyQhqQxX/Angela_White_-_98417632_-_ripnsfw.com</t>
  </si>
  <si>
    <t>#Anal, #BigTits, #Hardcore, #Bigass, #Porn, #Teen, #Blowjob, #Deepthroat, #Facial</t>
  </si>
  <si>
    <t>#Anal #BigTits #Hardcore #Bigass #Porn #Teen #Blowjob</t>
  </si>
  <si>
    <t>https://thumb.tapecontent.net/thumb/ZxvGVp9LyQhqQxX/b7Vpd3vp1MFPbqR.jpg</t>
  </si>
  <si>
    <t>Angela White - 99679909 - Onlyfans - Lily Starfire.jpg</t>
  </si>
  <si>
    <t>https://doodstream.com/d/s6efbrbghm28/</t>
  </si>
  <si>
    <t>https://lulustream.com/d/p7oyxndqj59p</t>
  </si>
  <si>
    <t>https://streamtape.com/v/gVM0z6Ra7lC9jl/Angela_White_-_99679909_-_Onlyfans_-_Lily_Starfire.mp4</t>
  </si>
  <si>
    <t>#MILF, #BigTits, #Bigass, #Threesome</t>
  </si>
  <si>
    <t>#MILF #BigTits #Bigass #Threesome</t>
  </si>
  <si>
    <t>https://thumb.tapecontent.net/thumb/lqk0ORL6y7IOGq/WeR9wRkX6Ri0ky.jpg</t>
  </si>
  <si>
    <t>Angie Faith - 27452056 - Blacked.jpg</t>
  </si>
  <si>
    <t>https://doodstream.com/d/k39rd1z7rq64/</t>
  </si>
  <si>
    <t>https://lulustream.com/d/huenefcapgm9</t>
  </si>
  <si>
    <t>https://thumb.tapecontent.net/thumb/6XrPAB194YH9J8D/V02d0G28orcK1r1.jpg</t>
  </si>
  <si>
    <t>Angie Faith - 43434590 - Onlyfans.jpg</t>
  </si>
  <si>
    <t>https://doodstream.com/d/lgu2eitr0bbx/</t>
  </si>
  <si>
    <t>https://lulustream.com/d/sn67abep0whn</t>
  </si>
  <si>
    <t>https://thumb.tapecontent.net/thumb/wJorJyKlpRtJ9M4/Dea07wBA4DsLQW.jpg</t>
  </si>
  <si>
    <t>Angie Faith - 55810526 - Onlyfans.jpg</t>
  </si>
  <si>
    <t>https://doodstream.com/d/74usbu7kzdiy/</t>
  </si>
  <si>
    <t>https://lulustream.com/d/fltnsz8g3x2g</t>
  </si>
  <si>
    <t>#Anal, #BigTits, #Hardcore, #Teen</t>
  </si>
  <si>
    <t>#Anal #BigTits #Hardcore #Teen</t>
  </si>
  <si>
    <t>https://thumb.tapecontent.net/thumb/q6gX2xZojjuzVJx/XqLwDgbvmmSDlGR.jpg</t>
  </si>
  <si>
    <t>Angie Faith - 70823069 - ripnsfw.com - Andie Anderson.jpg</t>
  </si>
  <si>
    <t>https://doodstream.com/d/dtfrvqrq4dja/</t>
  </si>
  <si>
    <t>https://lulustream.com/d/xlcwg6cqk9md</t>
  </si>
  <si>
    <t>#MILF, #BigTits, #Hardcore, #Threesome, #Bigass, #Porn, #Teen, #Blowjob, #Blonde</t>
  </si>
  <si>
    <t>#MILF #BigTits #Hardcore #Threesome #Bigass #Porn #Teen #Blowjob #Blonde</t>
  </si>
  <si>
    <t>https://thumb.tapecontent.net/thumb/VoxLAaa6PKUKmyL/23BlyZW9R3TZdQ7.jpg</t>
  </si>
  <si>
    <t>Angie Faith - 73673203 - Deeper.jpg</t>
  </si>
  <si>
    <t>https://doodstream.com/d/qqgpmyssudni/</t>
  </si>
  <si>
    <t>https://lulustream.com/d/ontww07y4ugc</t>
  </si>
  <si>
    <t>#threesome #teen #blowjob #porn</t>
  </si>
  <si>
    <t>https://thumb.tapecontent.net/thumb/G2Wa6W6Z3Li1bXW/1L2gM2PVxXCez1X.jpg</t>
  </si>
  <si>
    <t>Angie Faith - 78793411 - Onlyfans.jpg</t>
  </si>
  <si>
    <t>https://doodstream.com/d/zbp813y2y2gq/</t>
  </si>
  <si>
    <t>https://lulustream.com/d/jc90f79e7bfh</t>
  </si>
  <si>
    <t>#teen #bigtits #blowjob #blonde</t>
  </si>
  <si>
    <t>https://thumb.tapecontent.net/thumb/zVB8geOG3lIYPzd/3A9e2e1ewxiD4k.jpg</t>
  </si>
  <si>
    <t>Angie Faith - 82486972 - MrLLife.jpg</t>
  </si>
  <si>
    <t>https://doodstream.com/d/8sbw3a34hoa8/</t>
  </si>
  <si>
    <t>https://lulustream.com/d/mvf66luox97q</t>
  </si>
  <si>
    <t>#bigtits #porn #teen #bigass</t>
  </si>
  <si>
    <t>https://thumb.tapecontent.net/thumb/dkyMlKM4X6hkKz6/M7RoDZKlXBsmazB.jpg</t>
  </si>
  <si>
    <t>Anna - 81003547 - Czech Casting.jpg</t>
  </si>
  <si>
    <t>https://doodstream.com/d/od8u73atwqas/</t>
  </si>
  <si>
    <t>https://lulustream.com/d/fpyl2fij7e3a</t>
  </si>
  <si>
    <t>#teen #brunette #blowjob #casting</t>
  </si>
  <si>
    <t>https://thumb.tapecontent.net/thumb/GMqPo7oJBkfabb/ZwmBjOZBYGiq1oa.jpg</t>
  </si>
  <si>
    <t>Anna Claire Clouds - 12069430 - Deeper.jpg</t>
  </si>
  <si>
    <t>https://doodstream.com/d/fsr4j1nhl90i/</t>
  </si>
  <si>
    <t>https://lulustream.com/d/7xkr8owmd3fu</t>
  </si>
  <si>
    <t>#Anal, #Hardcore, #Threesome, #Porn</t>
  </si>
  <si>
    <t>#Anal #Hardcore #Threesome #Porn</t>
  </si>
  <si>
    <t>https://thumb.tapecontent.net/thumb/8qpaP4DarLIoBMd/RXPAGWRbgQud8yo.jpg</t>
  </si>
  <si>
    <t>Arabelle Raphael - 14490824 - GD.jpg</t>
  </si>
  <si>
    <t>https://doodstream.com/d/rq2aohyawvsw/</t>
  </si>
  <si>
    <t>https://lulustream.com/d/17oed5pv41is</t>
  </si>
  <si>
    <t>#milf #bigtits #blowjob #brunette</t>
  </si>
  <si>
    <t>https://thumb.tapecontent.net/thumb/QAJGVXx7xlI9zj/WwwG7jgkjwspj8.jpg</t>
  </si>
  <si>
    <t>Arabelle Raphael - 20603209 - Onlyfans - Hailey Rose.jpg</t>
  </si>
  <si>
    <t>https://doodstream.com/d/46jz4szfzlsi/</t>
  </si>
  <si>
    <t>https://lulustream.com/d/hsu66jf1vzva</t>
  </si>
  <si>
    <t>#threesome #blowjob #bigtits #bigass</t>
  </si>
  <si>
    <t>https://thumb.tapecontent.net/thumb/7YwozrbMmXsA6ya/WwAkgvRqzPcbBQv.jpg</t>
  </si>
  <si>
    <t>Arabelle Raphael - 25078464 - Onlyfans.jpg</t>
  </si>
  <si>
    <t>https://doodstream.com/d/6yfwc8k0g2k2/</t>
  </si>
  <si>
    <t>https://lulustream.com/d/bik7da2mi4mp</t>
  </si>
  <si>
    <t>#milf #bigtits #pov #blowjob</t>
  </si>
  <si>
    <t>https://thumb.tapecontent.net/thumb/28892oR096hxe7/aVBLDLK8vLSxv7z.jpg</t>
  </si>
  <si>
    <t>Arabelle Raphael - 84159136 - ripnsfw.com - Sarah Arabic.jpg</t>
  </si>
  <si>
    <t>https://doodstream.com/d/i0rakw0d6bur/</t>
  </si>
  <si>
    <t>https://lulustream.com/d/trnv2c0t9seh</t>
  </si>
  <si>
    <t>#MILF, #BigTits, #Hardcore, #Threesome, #Interracial, #Bigass, #Blowjob, #Amateur, #Facial</t>
  </si>
  <si>
    <t>#MILF #BigTits #Hardcore #Threesome #Interracial</t>
  </si>
  <si>
    <t>https://thumb.tapecontent.net/thumb/DqVgDRp2YbFBdl/4mbJ2zOXxXhKY8l.jpg</t>
  </si>
  <si>
    <t>Arabelle Raphael - 87639737 - GotFilled.jpg</t>
  </si>
  <si>
    <t>https://doodstream.com/d/adva9gsex0ti/</t>
  </si>
  <si>
    <t>https://lulustream.com/d/0la7c8k6lbz4</t>
  </si>
  <si>
    <t>#anal #creampie #milf #blowjob</t>
  </si>
  <si>
    <t>https://thumb.tapecontent.net/thumb/23QepbZpKmFZOLR/xqozJpWpXjckgLx.jpg</t>
  </si>
  <si>
    <t>Ariesia - 11046294 - ripnsfw.com.jpg</t>
  </si>
  <si>
    <t>https://doodstream.com/d/oawqkpinlfzi/</t>
  </si>
  <si>
    <t>https://lulustream.com/d/6d03mqxx3fjp</t>
  </si>
  <si>
    <t>#Teen, #Teens, #Blowjob, #Amateur, #Deepthroat, #Blonde</t>
  </si>
  <si>
    <t>#Teen #Teens #Blowjob #Amateur</t>
  </si>
  <si>
    <t>https://thumb.tapecontent.net/thumb/3DAlPpLOMPIdveW/vrv7m6dwaOf2xe.jpg</t>
  </si>
  <si>
    <t>Ariesia - 13099354 - ripnsfw.com.jpg</t>
  </si>
  <si>
    <t>https://doodstream.com/d/bjpmbb6gadp5/</t>
  </si>
  <si>
    <t>https://lulustream.com/d/hxuh7rjf4g1z</t>
  </si>
  <si>
    <t>#Teen, #Blowjob, #Amateur, #Blonde, #Facial</t>
  </si>
  <si>
    <t>#Teen #Blowjob #Amateur #Blonde #Facial</t>
  </si>
  <si>
    <t>https://thumb.tapecontent.net/thumb/vr4KGomy8RF2LX/2PZDM8DYdaSZkRV.jpg</t>
  </si>
  <si>
    <t>Ariesia - 24291735 - ripnsfw.com.jpg</t>
  </si>
  <si>
    <t>https://doodstream.com/d/o7zk6hnock7m/</t>
  </si>
  <si>
    <t>https://lulustream.com/d/evi92gxydj5n</t>
  </si>
  <si>
    <t>#BigTits, #Hardcore, #Teen, #Teens, #Blowjob, #Amateur, #Deepthroat, #Blonde, #Facial</t>
  </si>
  <si>
    <t>#BigTits #Hardcore #Teen #Teens #Blowjob #Amateur</t>
  </si>
  <si>
    <t>https://thumb.tapecontent.net/thumb/8JOwLLV6ZOfoxZ9/mrZyVW7x8MiBLl.jpg</t>
  </si>
  <si>
    <t>Ariesia - 24793588 - ripnsfw.com.jpg</t>
  </si>
  <si>
    <t>https://doodstream.com/d/1y90zlhzfnz1/</t>
  </si>
  <si>
    <t>https://lulustream.com/d/g4j2qg4mxpcb</t>
  </si>
  <si>
    <t>#BigTits, #Hardcore, #Teen, #Blowjob, #Amateur, #Blonde</t>
  </si>
  <si>
    <t>#BigTits #Hardcore #Teen #Blowjob #Amateur</t>
  </si>
  <si>
    <t>https://thumb.tapecontent.net/thumb/1WYRDpw0XMheoBD/YZGjkVA72pFo38.jpg</t>
  </si>
  <si>
    <t>Ariesia - 25268222 - ripnsfw.com.jpg</t>
  </si>
  <si>
    <t>https://doodstream.com/d/gcjoj8znqe3p/</t>
  </si>
  <si>
    <t>https://lulustream.com/d/cwpkokk41lqr</t>
  </si>
  <si>
    <t>#Hardcore, #Teen, #Artporn, #Teens, #Amateur, #Blowjob, #Blonde</t>
  </si>
  <si>
    <t>#Hardcore #Teen #Artporn #Teens #Amateur</t>
  </si>
  <si>
    <t>https://thumb.tapecontent.net/thumb/G37D1BbOAXcmwA/XWr6d879LDcDvbp.jpg</t>
  </si>
  <si>
    <t>Ariesia - 47928946 - ripnsfw.com.jpg</t>
  </si>
  <si>
    <t>https://doodstream.com/d/4oihk8x2i9gl/</t>
  </si>
  <si>
    <t>https://lulustream.com/d/pbe1bcy58z0l</t>
  </si>
  <si>
    <t>#BigTits, #Hardcore, #Threesome, #Teen, #Blowjob, #Amateur, #Blonde</t>
  </si>
  <si>
    <t>https://thumb.tapecontent.net/thumb/ZkVXlp1ZL9uqxjb/MaD2jKk21pUmOx0.jpg</t>
  </si>
  <si>
    <t>Ariesia - 79545222 - ripnsfw.com.jpg</t>
  </si>
  <si>
    <t>https://doodstream.com/d/sww0icm0snq8/</t>
  </si>
  <si>
    <t>https://lulustream.com/d/cb1asrq2k8wu</t>
  </si>
  <si>
    <t>#Teen, #Teens, #Blowjob, #Amateur</t>
  </si>
  <si>
    <t>https://thumb.tapecontent.net/thumb/7Rkd4DpL8AhAD2a/pY0GgAQz00FxX2.jpg</t>
  </si>
  <si>
    <t>Ariesia - 84498369 - Onlyfans.jpg</t>
  </si>
  <si>
    <t>https://doodstream.com/d/b7y7zibj28qh/</t>
  </si>
  <si>
    <t>https://lulustream.com/d/gxztp2o0ummy</t>
  </si>
  <si>
    <t>#BigTits, #Teen, #Blowjob, #Amateur, #Deepthroat, #Blonde</t>
  </si>
  <si>
    <t>#BigTits #Teen #Blowjob #Amateur #Deepthroat #Blonde</t>
  </si>
  <si>
    <t>https://thumb.tapecontent.net/thumb/YyrYa22eqXtvQKP/9yGoxLy8R3FBYk.jpg</t>
  </si>
  <si>
    <t>Ariesia - 84637288 - Onlyfans.jpg</t>
  </si>
  <si>
    <t>https://doodstream.com/d/gqqpa7ss1l0g/</t>
  </si>
  <si>
    <t>https://lulustream.com/d/9gl7yerj6s3n</t>
  </si>
  <si>
    <t>#BigTits, #Hardcore, #Teen, #Amateur, #Blowjob, #Blonde</t>
  </si>
  <si>
    <t>#BigTits #Hardcore #Teen #Amateur #Blowjob #Blonde</t>
  </si>
  <si>
    <t>https://thumb.tapecontent.net/thumb/LYrmdqXeegH40K/L1O28bxmABCRzd2.jpg</t>
  </si>
  <si>
    <t>Ariesia - 88224176 - ripnsfw.com.jpg</t>
  </si>
  <si>
    <t>https://doodstream.com/d/sde6xva44s5q/</t>
  </si>
  <si>
    <t>https://lulustream.com/d/wxhinwmz3hgb</t>
  </si>
  <si>
    <t>#Hardcore, #Teen, #Blowjob, #Amateur, #Blonde</t>
  </si>
  <si>
    <t>#Hardcore #Teen #Blowjob #Amateur #Blonde</t>
  </si>
  <si>
    <t>https://thumb.tapecontent.net/thumb/Mq023AdBpGHmZwV/VmAmwZ8wXQFxYq.jpg</t>
  </si>
  <si>
    <t>Ariesia - 99161496 - ripnsfw.com.jpg</t>
  </si>
  <si>
    <t>https://doodstream.com/d/b05w850isewp/</t>
  </si>
  <si>
    <t>https://lulustream.com/d/gilkoxam6ssq</t>
  </si>
  <si>
    <t>https://thumb.tapecontent.net/thumb/l49GYZPL4PH7XvL/KZMRvRd06Vs0Mwq.jpg</t>
  </si>
  <si>
    <t>Asa Akira - 63675570 - Onlyfans.jpg</t>
  </si>
  <si>
    <t>https://doodstream.com/d/lzas4hs4fk2g/</t>
  </si>
  <si>
    <t>https://lulustream.com/d/okuc2ryc4lqn</t>
  </si>
  <si>
    <t>#milf #bigtits #creampie #asian</t>
  </si>
  <si>
    <t>https://thumb.tapecontent.net/thumb/yVMaawgK2Pi1XAY/2rQaQAyeJ4TZZk7.jpg</t>
  </si>
  <si>
    <t>Asa Akira - 81098035 - Onlyfans.jpg</t>
  </si>
  <si>
    <t>https://doodstream.com/d/62354t0614o4/</t>
  </si>
  <si>
    <t>https://lulustream.com/d/4zp20m1cexaq</t>
  </si>
  <si>
    <t>#milf #asian #anal #bigtits</t>
  </si>
  <si>
    <t>https://thumb.tapecontent.net/thumb/9o0pZAZaPrIoAa/OgwpXvp19RCkby.jpg</t>
  </si>
  <si>
    <t>Ashley Alexander - 34919677 - ripnsfw.com.jpg</t>
  </si>
  <si>
    <t>https://doodstream.com/d/4ryl31yt3lpr/</t>
  </si>
  <si>
    <t>https://lulustream.com/d/3fdeyvh8p5n7</t>
  </si>
  <si>
    <t>#BigTits #Hardcore #Bigass #Teen #Artporn #Blowjob #Amateur</t>
  </si>
  <si>
    <t>https://thumb.tapecontent.net/thumb/ZwDoVg9MKYTq9ym/vV6z2vpJgBt4rOz.jpg</t>
  </si>
  <si>
    <t>Audrey Bitoni - 13074864 - ripnsfw.com.jpg</t>
  </si>
  <si>
    <t>https://doodstream.com/d/twky389uiuzv/</t>
  </si>
  <si>
    <t>https://lulustream.com/d/t30uwy5gjmdw</t>
  </si>
  <si>
    <t>#MILF, #BigTits, #Hardcore, #Bigass, #Porn, #Blowjob</t>
  </si>
  <si>
    <t>#MILF #BigTits #Hardcore #Bigass #Porn</t>
  </si>
  <si>
    <t>https://thumb.tapecontent.net/thumb/4RoBe20MGwfKKp7/1zk09bbyJpH0yp.jpg</t>
  </si>
  <si>
    <t>Audrey Bitoni - 48200011 - ripnsfw.com.jpg</t>
  </si>
  <si>
    <t>https://doodstream.com/d/kohmechbcskr/</t>
  </si>
  <si>
    <t>https://lulustream.com/d/xdorj7bqrlbq</t>
  </si>
  <si>
    <t>#MILF, #BigTits, #Hardcore, #Porn, #Blowjob, #Deepthroat</t>
  </si>
  <si>
    <t>#MILF #BigTits #Hardcore #Porn</t>
  </si>
  <si>
    <t>https://thumb.tapecontent.net/thumb/7zVJVzypMatR6Z/rKV7ApkM9BUejD.jpg</t>
  </si>
  <si>
    <t>Audrey Bitoni - 70563939 - ripnsfw.com.jpg</t>
  </si>
  <si>
    <t>https://doodstream.com/d/1b5st9ye2pxc/</t>
  </si>
  <si>
    <t>https://lulustream.com/d/qepwl9pwxr33</t>
  </si>
  <si>
    <t>https://thumb.tapecontent.net/thumb/q3AzpG0XmqhRX6/90ykkgpWP6faa8a.jpg</t>
  </si>
  <si>
    <t>Audrey Bitoni - 78675955 - ripnsfw.com.jpg</t>
  </si>
  <si>
    <t>https://doodstream.com/d/cdhggym1mmmf/</t>
  </si>
  <si>
    <t>https://lulustream.com/d/s18rkd1mtfub</t>
  </si>
  <si>
    <t>#MILF, #BigTits, #Hardcore, #Blowjob, #Amateur, #Facial, #Deepthroat</t>
  </si>
  <si>
    <t>#MILF #BigTits #Hardcore #Blowjob #Amateur #Facial #Deepthroat</t>
  </si>
  <si>
    <t>https://thumb.tapecontent.net/thumb/JWrYJmDpjDcj8DX/lAWkA0lokes7qDd.jpg</t>
  </si>
  <si>
    <t>Aura - 64601495 - ripnsfw.com - Stephanie.jpg</t>
  </si>
  <si>
    <t>https://doodstream.com/d/y2f3d1b0o712/</t>
  </si>
  <si>
    <t>https://lulustream.com/d/oo9951psh1fy</t>
  </si>
  <si>
    <t>#MILF, #BigTits, #Creampie, #Hardcore, #Bigass, #Threesome, #Porn, #Blowjob, #Deepthroat, #Blonde</t>
  </si>
  <si>
    <t>#MILF #BigTits #Creampie #Hardcore #Bigass #Threesome #Porn #Blowjob</t>
  </si>
  <si>
    <t>https://thumb.tapecontent.net/thumb/Bq3eAYWRD1CyL61/Og14XxkJYvFZjY3.jpg</t>
  </si>
  <si>
    <t>Aurora Pink - 26980107 - ripnsfw.com.jpg</t>
  </si>
  <si>
    <t>https://doodstream.com/d/kowkz6zjhjrq/</t>
  </si>
  <si>
    <t>https://lulustream.com/d/19pnu26pxq8a</t>
  </si>
  <si>
    <t>#Anal, #Hardcore, #Teen, #Porn, #Casting, #Blowjob, #Facial</t>
  </si>
  <si>
    <t>#Anal #Hardcore #Teen #Porn</t>
  </si>
  <si>
    <t>https://thumb.tapecontent.net/thumb/JK2AVmqy8mfjjvd/opBmaWX9LXS3Vo.jpg</t>
  </si>
  <si>
    <t>Autumn Falls - 35230585 - ripnsfw.com.jpg</t>
  </si>
  <si>
    <t>https://doodstream.com/d/obc3g92cy77q/</t>
  </si>
  <si>
    <t>https://lulustream.com/d/9crdyjq3939u</t>
  </si>
  <si>
    <t>#Anal, #BigTits, #Hardcore, #Bigass, #Teen, #Blowjob, #Amateur, #Deepthroat, #Facial</t>
  </si>
  <si>
    <t>#Anal #BigTits #Hardcore #Bigass #Teen #Blowjob #Amateur #Deepthroat</t>
  </si>
  <si>
    <t>https://thumb.tapecontent.net/thumb/owJO0QgD1pidMg/ywmDoWrqRGF160J.jpg</t>
  </si>
  <si>
    <t>Autumn Falls - 51622055 - ripnsfw.com.jpg</t>
  </si>
  <si>
    <t>https://doodstream.com/d/92h4s60wpht9/</t>
  </si>
  <si>
    <t>https://lulustream.com/d/m5t0ytubw2d1</t>
  </si>
  <si>
    <t>#BigTits, #Hardcore, #Porn, #Teen, #Latina, #Blowjob, #Amateur, #Deepthroat, #Facial</t>
  </si>
  <si>
    <t>#BigTits #Hardcore #Porn #Teen #Latina #Blowjob #Amateur</t>
  </si>
  <si>
    <t>https://thumb.tapecontent.net/thumb/WGAR199GywSbJ6L/gLwPja3RdYCBp6.jpg</t>
  </si>
  <si>
    <t>Autumn Falls - 87819304 - Onlyfans.jpg</t>
  </si>
  <si>
    <t>https://doodstream.com/d/odxqoo78yb24/</t>
  </si>
  <si>
    <t>https://lulustream.com/d/qpkvkg0wldji</t>
  </si>
  <si>
    <t>#BigTits, #Hardcore, #Bigass, #Teen, #Latina, #Roleplay, #Blowjob, #Amateur, #Facial, #Massage</t>
  </si>
  <si>
    <t>#BigTits #Hardcore #Bigass #Teen #Latina #Roleplay #Blowjob #Amateur</t>
  </si>
  <si>
    <t>https://thumb.tapecontent.net/thumb/6P2WL33obgs9AAL/D4Bj4ZZprvukeRy.jpg</t>
  </si>
  <si>
    <t>Ava Amira - 12261419 - ripnsfw.com - Lena the plug.jpg</t>
  </si>
  <si>
    <t>https://doodstream.com/d/gf61g2n45h8o/</t>
  </si>
  <si>
    <t>https://lulustream.com/d/3qqdh12p24yf</t>
  </si>
  <si>
    <t>#MILF #BigTits #Hardcore #Threesome #Bigass #Blowjob #Amateur #Deepthroat #Facial</t>
  </si>
  <si>
    <t>https://thumb.tapecontent.net/thumb/4DwelQblZAuKRm0/Dz9rbKvRpOIkeM6.jpg</t>
  </si>
  <si>
    <t>Ava Ann - 77092894 - ripnsfw.com.jpg</t>
  </si>
  <si>
    <t>https://doodstream.com/d/shmge5aghyqv/</t>
  </si>
  <si>
    <t>https://lulustream.com/d/5xcwhu3wrn9v</t>
  </si>
  <si>
    <t>#BigTits #Hardcore #Bigass #Porn #Teen</t>
  </si>
  <si>
    <t>https://thumb.tapecontent.net/thumb/gak3q36oDvtYaB/AQa1WvL7artXM10.jpg</t>
  </si>
  <si>
    <t>Ava Nicks - 15100334 - ripnsfw.com.jpg</t>
  </si>
  <si>
    <t>https://doodstream.com/d/dacplz3220dc/</t>
  </si>
  <si>
    <t>https://lulustream.com/d/0m9um8fz3lcb</t>
  </si>
  <si>
    <t>#MILF, #BigTits, #Hardcore, #Bigass, #Roleplay, #Blowjob, #Amateur, #Hotwife, #Deepthroat, #Blonde, #Facial</t>
  </si>
  <si>
    <t>#MILF #BigTits #Hardcore #Bigass #Roleplay #Blowjob #Amateur #Hotwife #Deepthroat #Blonde #Facial</t>
  </si>
  <si>
    <t>https://thumb.tapecontent.net/thumb/4XlOZWPrJAuKb0y/2boRgrrYgWhZD2M.jpg</t>
  </si>
  <si>
    <t>Ava Nicks - 17338366 - Onlyfans.jpg</t>
  </si>
  <si>
    <t>https://doodstream.com/d/dqszjf9lqj8c/</t>
  </si>
  <si>
    <t>https://lulustream.com/d/4kgomd5k7dy3</t>
  </si>
  <si>
    <t>#milf #pov #bigtits #brunette</t>
  </si>
  <si>
    <t>https://thumb.tapecontent.net/thumb/LMpGAPx2OZuRzOy/8qYodWBK1Rho7Y6.jpg</t>
  </si>
  <si>
    <t>Ava Nicks - 20529051 - ripnsfw.com.jpg</t>
  </si>
  <si>
    <t>https://doodstream.com/d/9k0n1hs0arfi/</t>
  </si>
  <si>
    <t>https://lulustream.com/d/ugxcwd7pge7b</t>
  </si>
  <si>
    <t>#MILF, #BigTits, #Hardcore, #Bigass, #Blowjob, #Amateur, #Blonde, #Facial</t>
  </si>
  <si>
    <t>#MILF #BigTits #Hardcore #Bigass #Blowjob #Amateur #Blonde #Facial</t>
  </si>
  <si>
    <t>https://thumb.tapecontent.net/thumb/wgDaAqKv8WTeyq/0LWm0eDVLPTbzp8.jpg</t>
  </si>
  <si>
    <t>Ava Nicks - 21999170 - ripnsfw.com.jpg</t>
  </si>
  <si>
    <t>https://doodstream.com/d/r3bcyskylzg5/</t>
  </si>
  <si>
    <t>https://lulustream.com/d/ecjeonkrbpqc</t>
  </si>
  <si>
    <t>#MILF, #BigTits, #Creampie, #Hardcore, #Bigass, #Roleplay, #Stepmom, #Blowjob, #Amateur, #Blonde</t>
  </si>
  <si>
    <t>#MILF #BigTits #Creampie #Hardcore #Bigass #Roleplay #Stepmom #Blowjob</t>
  </si>
  <si>
    <t>https://thumb.tapecontent.net/thumb/vgbKeqkJy6H4OOL/ALRXXRKGxGCX3lB.jpg</t>
  </si>
  <si>
    <t>Ava Nicks - 38871602 - Onlyfans.jpg</t>
  </si>
  <si>
    <t>https://doodstream.com/d/8qnldy8axpsg/</t>
  </si>
  <si>
    <t>https://lulustream.com/d/mmcusr73g01q</t>
  </si>
  <si>
    <t>#MILF, #BigTits, #Hardcore, #Black, #Threesome, #Interracial, #Bigass, #Stepmom, #Blowjob, #Amateur, #Hotwife, #Deepthroat, #Blonde, #Facial, #Creampie</t>
  </si>
  <si>
    <t>#MILF #BigTits #Hardcore #Black #Threesome #Interracial #Bigass #Stepmom #Blowjob</t>
  </si>
  <si>
    <t>https://thumb.tapecontent.net/thumb/4yQlYaXMVkfKYJW/QaQVkVk97Big7Z.jpg</t>
  </si>
  <si>
    <t>Ava Nicks - 47176935 - ripnsfw.com.jpg</t>
  </si>
  <si>
    <t>https://doodstream.com/d/s78snr503p51/</t>
  </si>
  <si>
    <t>https://lulustream.com/d/kj2zug8n2rma</t>
  </si>
  <si>
    <t>#MILF, #BigTits, #Hardcore, #Bigass, #Blowjob, #Amateur, #Hotwife, #Deepthroat, #Blonde</t>
  </si>
  <si>
    <t>https://thumb.tapecontent.net/thumb/2WXXe626qpHZ2aZ/x3V73V389RtkWKX.jpg</t>
  </si>
  <si>
    <t>Ava Nicks - 52585228 - ripnsfw.com.jpg</t>
  </si>
  <si>
    <t>https://doodstream.com/d/0409pwqeexzm/</t>
  </si>
  <si>
    <t>https://lulustream.com/d/ro8gsgjn6ivs</t>
  </si>
  <si>
    <t>#MILF, #BigTits, #Hardcore, #Bigass, #Creampie, #Blowjob, #Stepmom, #Amateur, #Blonde</t>
  </si>
  <si>
    <t>#MILF #BigTits #Hardcore #Bigass #Creampie</t>
  </si>
  <si>
    <t>https://thumb.tapecontent.net/thumb/0RqGjgoxgrigX3/MqpZ99jm8bUmRw6.jpg</t>
  </si>
  <si>
    <t>Ava Nicks - 56147496 - Onlyfans.jpg</t>
  </si>
  <si>
    <t>https://doodstream.com/d/xdsfbfvbdmzi/</t>
  </si>
  <si>
    <t>https://lulustream.com/d/zoaga4nodwgy</t>
  </si>
  <si>
    <t>#milf #blowjob #bigass #bigtits</t>
  </si>
  <si>
    <t>https://thumb.tapecontent.net/thumb/zQPy9QdoXXCYRYV/ggGyylKpmpF31b.jpg</t>
  </si>
  <si>
    <t>Ava Nicks - 65195299 - Onlyfans.jpg</t>
  </si>
  <si>
    <t>https://doodstream.com/d/6x6j8s1euh5w/</t>
  </si>
  <si>
    <t>https://lulustream.com/d/a9m8xsfu49rv</t>
  </si>
  <si>
    <t>#MILF, #BigTits, #Hardcore, #Bigass, #Stepmom, #Amateur, #Blowjob, #Hotwife, #Blonde</t>
  </si>
  <si>
    <t>#MILF #BigTits #Hardcore #Bigass #Stepmom</t>
  </si>
  <si>
    <t>https://thumb.tapecontent.net/thumb/LDAKJ0L26mIRRWp/P6ZM7pV0eqCDZy.jpg</t>
  </si>
  <si>
    <t>Ava Nicks - 67896154 - ripnsfw.com.jpg</t>
  </si>
  <si>
    <t>https://doodstream.com/d/8k5rxcgxvrpo/</t>
  </si>
  <si>
    <t>https://lulustream.com/d/aaox3p4iyz70</t>
  </si>
  <si>
    <t>#MILF, #BigTits, #Creampie, #Hardcore, #Bigass, #Blowjob, #Amateur, #Hotwife, #Blonde</t>
  </si>
  <si>
    <t>#MILF #BigTits #Creampie #Hardcore #Bigass #Blowjob #Amateur #Hotwife</t>
  </si>
  <si>
    <t>https://thumb.tapecontent.net/thumb/2BmAvyBlAqcWzy/k9pMkDD4X3SOJO7.jpg</t>
  </si>
  <si>
    <t>Ava Nicks - 68148030 - ripnsfw.com.jpg</t>
  </si>
  <si>
    <t>https://doodstream.com/d/n3tppaiy8rqa/</t>
  </si>
  <si>
    <t>https://lulustream.com/d/bsybs46r7514</t>
  </si>
  <si>
    <t>#MILF, #BigTits, #Bigass, #Blowjob, #Amateur, #Blonde</t>
  </si>
  <si>
    <t>#MILF #BigTits #Bigass #Blowjob #Amateur #Blonde</t>
  </si>
  <si>
    <t>https://thumb.tapecontent.net/thumb/y2wpoekWw2H1ZYl/beYVABywGVTP8D4.jpg</t>
  </si>
  <si>
    <t>Ava Nicks - 71430001 - Onlyfans.jpg</t>
  </si>
  <si>
    <t>https://doodstream.com/d/0chb93nxcwun/</t>
  </si>
  <si>
    <t>https://lulustream.com/d/tulo8yjmbfmk</t>
  </si>
  <si>
    <t>#milf #bigass #bigtits #pov</t>
  </si>
  <si>
    <t>https://thumb.tapecontent.net/thumb/12PKGpRkj3c6jp/gQDlkGjpppiq0bz.jpg</t>
  </si>
  <si>
    <t>Ava Nicks - 76436173 - Onlyfans.jpg</t>
  </si>
  <si>
    <t>https://doodstream.com/d/u35q5q6hiuug/</t>
  </si>
  <si>
    <t>https://lulustream.com/d/jdu9ub0j62ny</t>
  </si>
  <si>
    <t>#MILF, #BigTits, #Creampie, #Hardcore, #Bigass, #Artporn, #Stepmom, #Blowjob, #Amateur, #Hotwife, #Deepthroat, #Blonde</t>
  </si>
  <si>
    <t>#MILF #BigTits #Creampie #Hardcore #Bigass #Artporn #Stepmom #Blowjob #Amateur #Hotwife #Deepthroat #Blonde</t>
  </si>
  <si>
    <t>https://thumb.tapecontent.net/thumb/aRW8Qp7xA1U0gG/OPMzO7MwM9uZqqQ.jpg</t>
  </si>
  <si>
    <t>Ava Nicks - 79881241 - ripnsfw.com.jpg</t>
  </si>
  <si>
    <t>https://doodstream.com/d/nnpa08zhv6e2/</t>
  </si>
  <si>
    <t>https://lulustream.com/d/vnbj4y14cex7</t>
  </si>
  <si>
    <t>#MILF #BigTits #Hardcore #Bigass #Roleplay #Blowjob #Amateur #Hotwife</t>
  </si>
  <si>
    <t>https://thumb.tapecontent.net/thumb/OXkYyzgeY4uZV7B/V7Lldwm1jRtOyk.jpg</t>
  </si>
  <si>
    <t>Ava Nicks - 90251809 - ripnsfw.com.jpg</t>
  </si>
  <si>
    <t>https://doodstream.com/d/4g2o8bnc2g3d/</t>
  </si>
  <si>
    <t>https://lulustream.com/d/69zytf35azi8</t>
  </si>
  <si>
    <t>#MILF, #BigTits, #Hardcore, #Bigass, #Blowjob, #Amateur, #Deepthroat, #Blonde, #Facial</t>
  </si>
  <si>
    <t>https://thumb.tapecontent.net/thumb/0RgvM1x7lYfbJLa/3WXGlwKdW2SdB0X.jpg</t>
  </si>
  <si>
    <t>Ava Nicks - 93219248 - ripnsfw.com.jpg</t>
  </si>
  <si>
    <t>https://doodstream.com/d/4p85k7vqfsm7/</t>
  </si>
  <si>
    <t>https://lulustream.com/d/7u322va0u360</t>
  </si>
  <si>
    <t>#MILF, #BigTits, #Bigass, #Blowjob, #Amateur, #Hotwife, #Blonde</t>
  </si>
  <si>
    <t>#MILF #BigTits #Bigass #Blowjob #Amateur</t>
  </si>
  <si>
    <t>https://thumb.tapecontent.net/thumb/PZArd9A71xU0jzQ/gL0xVzyqoGSvaD.jpg</t>
  </si>
  <si>
    <t>Avery - 95107628 - ripnsfw.com.jpg</t>
  </si>
  <si>
    <t>https://doodstream.com/d/jvcmlpxqrf66/</t>
  </si>
  <si>
    <t>https://lulustream.com/d/svyhpatvkjvm</t>
  </si>
  <si>
    <t>#Anal, #BigTits, #Creampie, #Hardcore, #Black, #Interracial, #Bigass, #Porn, #Teen, #Blowjob, #Blonde</t>
  </si>
  <si>
    <t>#Anal #BigTits #Creampie #Hardcore #Black #Interracial #Bigass #Porn #Teen</t>
  </si>
  <si>
    <t>https://thumb.tapecontent.net/thumb/9OPrm3z1l8talde/L3ewz9yJXMSbVX.jpg</t>
  </si>
  <si>
    <t>Bananapotato333 - 36693743 - Onlyfans.jpg</t>
  </si>
  <si>
    <t>https://doodstream.com/d/wiy5n0clgl1u/</t>
  </si>
  <si>
    <t>https://lulustream.com/d/dza91b8aeasc</t>
  </si>
  <si>
    <t>#creampie #teen #brunette #bigtits</t>
  </si>
  <si>
    <t>https://thumb.tapecontent.net/thumb/ReY73BllObtdd0V/w6ydBdmb6RuJrB6.jpg</t>
  </si>
  <si>
    <t>Blake Blossom - 26782260 - ripnsfw.com - Lena the plug.jpg</t>
  </si>
  <si>
    <t>https://doodstream.com/d/41tz5xm84pbr/</t>
  </si>
  <si>
    <t>https://lulustream.com/d/8lnjtfv3y7ue</t>
  </si>
  <si>
    <t>#MILF, #BigTits, #Hardcore, #Threesome, #Bigass, #Blowjob, #Amateur, #Blonde, #Facial</t>
  </si>
  <si>
    <t>#MILF #BigTits #Hardcore #Threesome #Bigass #Blowjob #Amateur #Blonde #Facial</t>
  </si>
  <si>
    <t>https://thumb.tapecontent.net/thumb/OJgzO7AQvMtZJwx/MXv6KodzyRFmvaV.jpg</t>
  </si>
  <si>
    <t>Blake Blossom - 40550793 - ripnsfw.com.jpg</t>
  </si>
  <si>
    <t>https://doodstream.com/d/8v7tkvznv5r4/</t>
  </si>
  <si>
    <t>https://lulustream.com/d/qr58bh6snn8g</t>
  </si>
  <si>
    <t>#BigTits, #Hardcore, #Black, #Interracial, #Teen, #Blowjob, #Amateur, #Blonde, #Deepthroat</t>
  </si>
  <si>
    <t>#BigTits #Hardcore #Black #Interracial #Teen #Blowjob #Amateur #Blonde #Deepthroat</t>
  </si>
  <si>
    <t>https://thumb.tapecontent.net/thumb/9bOw39yV1BT14e/A47xD3gZLmIm1Z.jpg</t>
  </si>
  <si>
    <t>Blake Blossom - 52742082 - Camsoda.jpg</t>
  </si>
  <si>
    <t>https://doodstream.com/d/lsmpbgkrifw4/</t>
  </si>
  <si>
    <t>https://lulustream.com/d/v9327vflhs1p</t>
  </si>
  <si>
    <t>#teen #bigtits #solo #public</t>
  </si>
  <si>
    <t>https://thumb.tapecontent.net/thumb/zQgmzwOK9KIv6p/wxrZwd1pqJiJXGB.jpg</t>
  </si>
  <si>
    <t>Blake Blossom - 54816476 - ripnsfw.com.jpg</t>
  </si>
  <si>
    <t>https://doodstream.com/d/i6hdmh1kwrp2/</t>
  </si>
  <si>
    <t>https://lulustream.com/d/csgf8yqplnbr</t>
  </si>
  <si>
    <t>https://thumb.tapecontent.net/thumb/Aq4zAWkyZKIvbR/zPKoYBr6gauGZq.jpg</t>
  </si>
  <si>
    <t>Blake Blossom - 79412478 - ripnsfw.com.jpg</t>
  </si>
  <si>
    <t>https://doodstream.com/d/rmhvm3uaeq7a/</t>
  </si>
  <si>
    <t>https://lulustream.com/d/knrkv4mabic0</t>
  </si>
  <si>
    <t>#BigTits, #MILF, #Hardcore, #Black, #Interracial, #Porn, #Blowjob, #Deepthroat, #Blonde</t>
  </si>
  <si>
    <t>#BigTits #MILF #Hardcore #Black #Interracial #Porn #Blowjob #Deepthroat</t>
  </si>
  <si>
    <t>https://thumb.tapecontent.net/thumb/QPxXLrQoAxC0ZWk/9Wxe3Z3ZJ0uaaAz.jpg</t>
  </si>
  <si>
    <t>Blake Blossom - 80725716 - ripnsfw.com - Angel Youngs.jpg</t>
  </si>
  <si>
    <t>https://doodstream.com/d/a96uvs3xsf8i/</t>
  </si>
  <si>
    <t>https://lulustream.com/d/dlcwmhyuxx5s</t>
  </si>
  <si>
    <t>#BigTits, #Hardcore, #Threesome, #Bigass, #Teen, #Blowjob, #Amateur, #Deepthroat, #Blonde, #Facial</t>
  </si>
  <si>
    <t>#BigTits #Hardcore #Threesome #Bigass #Teen #Blowjob #Amateur</t>
  </si>
  <si>
    <t>https://thumb.tapecontent.net/thumb/l0GmgPZ29aI71rB/1Lerq2aaRPTewVq.jpg</t>
  </si>
  <si>
    <t>Bonnie Blue - 35424196 - ripnsfw.com.jpg</t>
  </si>
  <si>
    <t>https://doodstream.com/d/abmt73hv22ct/</t>
  </si>
  <si>
    <t>https://lulustream.com/d/hyxk4byf0c9o</t>
  </si>
  <si>
    <t>#MILF, #BigTits, #Hardcore, #Blowjob, #Amateur, #Threesome, #Deepthroat, #Blonde, #Facial</t>
  </si>
  <si>
    <t>#MILF #BigTits #Hardcore #Blowjob #Amateur</t>
  </si>
  <si>
    <t>https://thumb.tapecontent.net/thumb/rgOoozv2KQIbmlK/m6AXaJlOkjtb3XP.jpg</t>
  </si>
  <si>
    <t>Bonnie Blue - 42460162 - Onlyfans.jpg</t>
  </si>
  <si>
    <t>https://doodstream.com/d/zwmu756gg9vg/</t>
  </si>
  <si>
    <t>https://lulustream.com/d/aunt69k8pqfv</t>
  </si>
  <si>
    <t>#blonde #pov #blowjob #amateur</t>
  </si>
  <si>
    <t>https://thumb.tapecontent.net/thumb/rAB9ooy3BjFb69Q/kqw86pDZMkF6b4.jpg</t>
  </si>
  <si>
    <t>Bonnie Blue - 58248796 - XVRED.jpg</t>
  </si>
  <si>
    <t>https://doodstream.com/d/atan28ke5acy/</t>
  </si>
  <si>
    <t>https://lulustream.com/d/zvog9tzsdk5m</t>
  </si>
  <si>
    <t>#Hardcore, #Gangbang, #Teen, #Blowjob</t>
  </si>
  <si>
    <t>#Hardcore #Gangbang #Teen #Blowjob</t>
  </si>
  <si>
    <t>https://thumb.tapecontent.net/thumb/MrxboDblMGHmPP7/jqaAYjl9PLfD9w.jpg</t>
  </si>
  <si>
    <r>
      <t xml:space="preserve">Brandi Love - 72955926 - </t>
    </r>
    <r>
      <rPr>
        <u/>
        <sz val="10"/>
        <color rgb="FF1155CC"/>
        <rFont val="Arial"/>
      </rPr>
      <t>ripnsfw.com</t>
    </r>
    <r>
      <rPr>
        <sz val="10"/>
        <color rgb="FF000000"/>
        <rFont val="Arial"/>
        <scheme val="minor"/>
      </rPr>
      <t>.jpg</t>
    </r>
  </si>
  <si>
    <t>https://doodstream.com/d/vszsa3udi0np/</t>
  </si>
  <si>
    <t>https://lulustream.com/d/92gue72onpex</t>
  </si>
  <si>
    <t>#MILF, #BigTits, #Hardcore, #Black, #Interracial, #Bigass, #Blowjob, #Amateur, #Mature, #Hotwife, #Deepthroat, #Blonde, #Facial</t>
  </si>
  <si>
    <t>#MILF #BigTits #Hardcore #Black #Interracial #Bigass #Blowjob #Amateur #Mature #Hotwife</t>
  </si>
  <si>
    <t>https://thumb.tapecontent.net/thumb/0LgXqB619JIb7vA/vz69b4aPjet4XaR.jpg</t>
  </si>
  <si>
    <t>Brandy Renee - 25399996 - Onlyfans.jpg</t>
  </si>
  <si>
    <t>https://doodstream.com/d/hm4h6lwhicj0/</t>
  </si>
  <si>
    <t>https://lulustream.com/d/e6znklauliqr</t>
  </si>
  <si>
    <t>#milf #bigtits #blowjob #amateur</t>
  </si>
  <si>
    <t>https://thumb.tapecontent.net/thumb/kzJ6jw1eYMSOJlO/pD6dgy3q78Ury8x.jpg</t>
  </si>
  <si>
    <t>Brandy Renee - 26373806 - ripnsfw.com.jpg</t>
  </si>
  <si>
    <t>https://doodstream.com/d/u33nen47qaj9/</t>
  </si>
  <si>
    <t>https://lulustream.com/d/foqoudl9vew1</t>
  </si>
  <si>
    <t>#MILF, #BigTits, #Hardcore, #Black, #Interracial, #Bigass, #Blowjob, #Amateur, #Hotwife, #Deepthroat, #Blonde</t>
  </si>
  <si>
    <t>#MILF #BigTits #Hardcore #Black #Interracial #Bigass #Blowjob</t>
  </si>
  <si>
    <t>https://thumb.tapecontent.net/thumb/rlJ7kLKmllhbwLR/rrMbRej96mFbQDB.jpg</t>
  </si>
  <si>
    <t>Brandy Renee - 29716522 - ripnsfw.com.jpg</t>
  </si>
  <si>
    <t>https://doodstream.com/d/5juqzy4orxey/</t>
  </si>
  <si>
    <t>https://lulustream.com/d/fmcpdw5tmztf</t>
  </si>
  <si>
    <t>#MILF, #BigTits, #Hardcore, #Bigass, #Blowjob, #Amateur, #Blonde</t>
  </si>
  <si>
    <t>#MILF #BigTits #Hardcore #Bigass #Blowjob</t>
  </si>
  <si>
    <t>https://thumb.tapecontent.net/thumb/6R3g9jyRXYC97B0/m6aMwLdRzAHbA2M.jpg</t>
  </si>
  <si>
    <t>Brandy Renee - 32148809 - ripnsfw.com.jpg</t>
  </si>
  <si>
    <t>https://doodstream.com/d/1siquun9th0l/</t>
  </si>
  <si>
    <t>https://lulustream.com/d/9ear7xjmlvnv</t>
  </si>
  <si>
    <t>#MILF, #BigTits, #Hardcore, #Bigass, #Blowjob, #Amateur, #Deepthroat, #Blonde</t>
  </si>
  <si>
    <t>https://thumb.tapecontent.net/thumb/Y7GzQwy6QaCvm8z/3k2Wj3K44Ru2Wl.jpg</t>
  </si>
  <si>
    <t>Brandy Renee - 37670419 - ripnsfw.com.jpg</t>
  </si>
  <si>
    <t>https://doodstream.com/d/318bm4klxjth/</t>
  </si>
  <si>
    <t>https://lulustream.com/d/vt3h5h68re64</t>
  </si>
  <si>
    <t>https://thumb.tapecontent.net/thumb/w7ZRmYzak6FJ11Y/6e331AvOVMS90bD.jpg</t>
  </si>
  <si>
    <t>Brandy Renee - 45062658 - Onlyfans.jpg</t>
  </si>
  <si>
    <t>https://doodstream.com/d/byi8gz1t1cxl/</t>
  </si>
  <si>
    <t>https://lulustream.com/d/i6s4v8tygvi2</t>
  </si>
  <si>
    <t>#milf #bigtits #blowjob #pov</t>
  </si>
  <si>
    <t>https://thumb.tapecontent.net/thumb/OYrWgJkvV8sZRRg/qZpPd1Be8LfzQX7.jpg</t>
  </si>
  <si>
    <t>Brandy Renee - 50238847 - ripnsfw.com.jpg</t>
  </si>
  <si>
    <t>https://doodstream.com/d/6pq1qwb5lbo8/</t>
  </si>
  <si>
    <t>https://lulustream.com/d/9clpjo1po1uf</t>
  </si>
  <si>
    <t>#MILF, #BigTits, #Hardcore, #Black, #Interracial, #Threesome, #Bigass, #Blowjob, #Amateur, #Deepthroat, #Blonde, #Facial</t>
  </si>
  <si>
    <t>#MILF #BigTits #Hardcore #Black #Interracial #Threesome #Bigass #Blowjob #Amateur #Deepthroat #Blonde #Facial</t>
  </si>
  <si>
    <t>https://thumb.tapecontent.net/thumb/ekly0g9rz0IYVK6/yj9ByMZOydt11xG.jpg</t>
  </si>
  <si>
    <t>Brandy Renee - 51065523 - ripnsfw.com.jpg</t>
  </si>
  <si>
    <t>https://doodstream.com/d/9b84oa2fo50d/</t>
  </si>
  <si>
    <t>https://lulustream.com/d/eiw6j7z5hv2d</t>
  </si>
  <si>
    <t>#MILF, #BigTits, #Creampie, #Hardcore, #Bigass, #Blowjob, #Amateur, #Deepthroat, #Blonde</t>
  </si>
  <si>
    <t>#MILF #BigTits #Creampie #Hardcore #Bigass</t>
  </si>
  <si>
    <t>https://thumb.tapecontent.net/thumb/yD0mDLG4yXf1WKJ/XymyQWqVp0TDj3B.jpg</t>
  </si>
  <si>
    <t>Brandy Renee - 52199052 - Onlyfans.jpg</t>
  </si>
  <si>
    <t>https://doodstream.com/d/52j1b1z6r1sw/</t>
  </si>
  <si>
    <t>https://lulustream.com/d/bt8395vsob57</t>
  </si>
  <si>
    <t>#blonde #interracial #bigtits #bigass</t>
  </si>
  <si>
    <t>https://thumb.tapecontent.net/thumb/w4jVLMA4e3uJbRx/vY91d1pgzLC4pKp.jpg</t>
  </si>
  <si>
    <t>Brandy Renee - 55295743 - ripnsfw.com.jpg</t>
  </si>
  <si>
    <t>https://doodstream.com/d/eua0jpktqg4v/</t>
  </si>
  <si>
    <t>https://lulustream.com/d/264lrcjonqw6</t>
  </si>
  <si>
    <t>https://thumb.tapecontent.net/thumb/ygQOQv4rAji1VJD/jYDKllAo0zt2em.jpg</t>
  </si>
  <si>
    <t>Brandy Renee - 56174489 - ripnsfw.com.jpg</t>
  </si>
  <si>
    <t>https://doodstream.com/d/jgzmf2bfze7t/</t>
  </si>
  <si>
    <t>https://lulustream.com/d/9krbct3dqohz</t>
  </si>
  <si>
    <t>#MILF, #BigTits, #Hardcore, #Bigass, #Roleplay, #Blowjob, #Amateur, #Blonde, #Facial</t>
  </si>
  <si>
    <t>#MILF #BigTits #Hardcore #Bigass #Roleplay #Blowjob #Amateur #Blonde #Facial</t>
  </si>
  <si>
    <t>https://thumb.tapecontent.net/thumb/K9yrJrRJJ8H06Gd/Oo3wkmPLV9sgBM.jpg</t>
  </si>
  <si>
    <t>Brandy Renee - 60513733 - ripnsfw.com.jpg</t>
  </si>
  <si>
    <t>https://doodstream.com/d/df2tlsfghapl/</t>
  </si>
  <si>
    <t>https://lulustream.com/d/cqs5v75h2pzg</t>
  </si>
  <si>
    <t>#MILF, #BigTits, #Hardcore, #Creampie, #Bigass, #Blowjob, #Amateur, #Blonde</t>
  </si>
  <si>
    <t>#MILF #BigTits #Hardcore #Creampie</t>
  </si>
  <si>
    <t>https://thumb.tapecontent.net/thumb/ldVoXGxlkdComk/pLGjBmxJaMSr4lb.jpg</t>
  </si>
  <si>
    <t>Brandy Renee - 61045229 - Onlyfans.jpg</t>
  </si>
  <si>
    <t>https://doodstream.com/d/0f7a0vhs78lr/</t>
  </si>
  <si>
    <t>https://lulustream.com/d/d7gzwvzt9xhb</t>
  </si>
  <si>
    <t>#milf #bigtits #bigass #blowjob</t>
  </si>
  <si>
    <t>https://thumb.tapecontent.net/thumb/r3qkPm44BYubVvD/Me9B6bd1g0CmKrL.jpg</t>
  </si>
  <si>
    <t>Brandy Renee - 68971068 - ripnsfw.com.jpg</t>
  </si>
  <si>
    <t>https://doodstream.com/d/9f5fhgyhdu8g/</t>
  </si>
  <si>
    <t>https://lulustream.com/d/3vwv0xytpts8</t>
  </si>
  <si>
    <t>#MILF, #BigTits, #Hardcore, #Bigass, #Blowjob, #Blonde, #Facial</t>
  </si>
  <si>
    <t>#MILF #BigTits #Hardcore #Bigass #Blowjob #Blonde #Facial</t>
  </si>
  <si>
    <t>https://thumb.tapecontent.net/thumb/2WlQplAm7lSZOd6/zLlqgqprolsYPx2.jpg</t>
  </si>
  <si>
    <t>Brandy Renee - 69855289 - ripnsfw.com.jpg</t>
  </si>
  <si>
    <t>https://doodstream.com/d/qh9fsxzzxovo/</t>
  </si>
  <si>
    <t>https://lulustream.com/d/6dv91pfoqz0u</t>
  </si>
  <si>
    <t>#MILF, #BigTits, #Hardcore, #Bigass, #Porn, #Blowjob, #Deepthroat, #Blonde, #Facial</t>
  </si>
  <si>
    <t>https://thumb.tapecontent.net/thumb/28OrwKwX1ruZrYB/aVApKaGa7xTJzV.jpg</t>
  </si>
  <si>
    <t>Brandy Renee - 69962852 - PB.jpg</t>
  </si>
  <si>
    <t>https://doodstream.com/d/hrj932r6g7cv/</t>
  </si>
  <si>
    <t>https://lulustream.com/d/4487s2hmp8ka</t>
  </si>
  <si>
    <t>#milf #blowjob #bigtits #bigass</t>
  </si>
  <si>
    <t>https://thumb.tapecontent.net/thumb/zPop1OWeL7uYZP6/D0pWw8jK73Ck0o1.jpg</t>
  </si>
  <si>
    <t>Brandy Renee - 70980059 - Onlyfans.jpg</t>
  </si>
  <si>
    <t>https://doodstream.com/d/65l86lcnuepl/</t>
  </si>
  <si>
    <t>https://lulustream.com/d/y2cxax53k1y5</t>
  </si>
  <si>
    <t>https://thumb.tapecontent.net/thumb/GAy62qX6MDToGB/78PRYbYG7LSAjmx.jpg</t>
  </si>
  <si>
    <t>Brandy Renee - 84414486 - ripnsfw.com.jpg</t>
  </si>
  <si>
    <t>https://doodstream.com/d/urpn9viyjhbo/</t>
  </si>
  <si>
    <t>https://lulustream.com/d/vb3nmloo07gj</t>
  </si>
  <si>
    <t>#Anal, #MILF, #BigTits, #Creampie, #Hardcore, #Bigass, #Artporn, #Blowjob, #Amateur, #Blonde</t>
  </si>
  <si>
    <t>#Anal #MILF #BigTits #Creampie #Hardcore #Bigass #Artporn #Blowjob #Amateur #Blonde</t>
  </si>
  <si>
    <t>https://thumb.tapecontent.net/thumb/kLV2JzbBy7uOv68/9kxGZPyPXPcax7q.jpg</t>
  </si>
  <si>
    <t>Brandy Renee - 90479935 - Onlyfans.jpg</t>
  </si>
  <si>
    <t>https://doodstream.com/d/0ezlfpi0hhch/</t>
  </si>
  <si>
    <t>https://lulustream.com/d/lgr6wpjqb6ty</t>
  </si>
  <si>
    <t>https://thumb.tapecontent.net/thumb/7zVjgK3daWFAqga/merAgP0OjDTb9lr.jpg</t>
  </si>
  <si>
    <t>Brandy Renee - 92475213 - ripnsfw.com.jpg</t>
  </si>
  <si>
    <t>https://doodstream.com/d/u1pk9b2lbesl/</t>
  </si>
  <si>
    <t>https://lulustream.com/d/inyufpe2x7d7</t>
  </si>
  <si>
    <t>https://thumb.tapecontent.net/thumb/w7pJ00pr46foww/MqXJzzoMmYuDYl.jpg</t>
  </si>
  <si>
    <t>Brandy Renee - 96226505 - ripnsfw.com.jpg</t>
  </si>
  <si>
    <t>https://doodstream.com/d/soiv77xbvkr3/</t>
  </si>
  <si>
    <t>https://lulustream.com/d/oekuwoq8n92t</t>
  </si>
  <si>
    <t>https://thumb.tapecontent.net/thumb/R41JRAooABsdbdA/Xj8rwWwkj8hDagY.jpg</t>
  </si>
  <si>
    <t>Brandy Renee - 97559228 - ripnsfw.com.jpg</t>
  </si>
  <si>
    <t>https://doodstream.com/d/ixd4gd89eu1k/</t>
  </si>
  <si>
    <t>https://lulustream.com/d/nch2iiko4ht6</t>
  </si>
  <si>
    <t>https://thumb.tapecontent.net/thumb/zlZP4XlRYVHYlj2/jY2vB9Wq29UzXWV.jpg</t>
  </si>
  <si>
    <t>Brenda Trindade - 11630796 - Onlyfans.jpg</t>
  </si>
  <si>
    <t>https://doodstream.com/d/uzxucxui0ff7/</t>
  </si>
  <si>
    <t>https://lulustream.com/d/p6s4c24sm1a8</t>
  </si>
  <si>
    <t>#teen #bigtits #blowjob #latina</t>
  </si>
  <si>
    <t>https://thumb.tapecontent.net/thumb/BQaBkxq0vdHyZRX/VBp3o9ROo0UKlX7.jpg</t>
  </si>
  <si>
    <t>Brenda Trindade - 13190040 - ripnsfw.com.jpg</t>
  </si>
  <si>
    <t>https://doodstream.com/d/y1x9wa7ht6ys/</t>
  </si>
  <si>
    <t>https://lulustream.com/d/8qeuwsoeltk8</t>
  </si>
  <si>
    <t>#BigTits, #Creampie, #Hardcore, #Bigass, #Teen, #Latina, #Roleplay, #Artporn, #Teens, #Blowjob, #Amateur, #Deepthroat</t>
  </si>
  <si>
    <t>https://thumb.tapecontent.net/thumb/886GlLryjZCoA4d/3akmvBbpvjIdeWy.jpg</t>
  </si>
  <si>
    <t>Brenda Trindade - 24748836 - ripnsfw.com.jpg</t>
  </si>
  <si>
    <t>https://doodstream.com/d/9letclyzeozh/</t>
  </si>
  <si>
    <t>https://lulustream.com/d/hketa2nn6alc</t>
  </si>
  <si>
    <t>#BigTits, #Bigass, #Teen, #Latina, #Blowjob, #Amateur, #Facial, #Deepthroat</t>
  </si>
  <si>
    <t>#BigTits #Bigass #Teen #Latina #Blowjob #Amateur</t>
  </si>
  <si>
    <t>https://thumb.tapecontent.net/thumb/wVOlKwMjWmhJ7gx/eLmp1R0KR4Skz2.jpg</t>
  </si>
  <si>
    <t>Brenda Trindade - 25529253 - ripnsfw.com.jpg</t>
  </si>
  <si>
    <t>https://doodstream.com/d/ryzl41c9kdsg/</t>
  </si>
  <si>
    <t>https://lulustream.com/d/rpepvtrz10vt</t>
  </si>
  <si>
    <t>#BigTits, #Bigass, #Teen, #Latina, #Blowjob, #Amateur, #Deepthroat, #Facial</t>
  </si>
  <si>
    <t>#BigTits #Bigass #Teen #Latina</t>
  </si>
  <si>
    <t>https://thumb.tapecontent.net/thumb/r219oBYev3HbjzP/gw7dRBQkz9fqRqe.jpg</t>
  </si>
  <si>
    <t>Brenda Trindade - 27782850 - ripnsfw.com.jpg</t>
  </si>
  <si>
    <t>https://doodstream.com/d/3of11qzrmv2n/</t>
  </si>
  <si>
    <t>https://lulustream.com/d/0bzhgwbfy0rb</t>
  </si>
  <si>
    <t>#BigTits, #Teen, #Latina, #Blowjob, #Amateur</t>
  </si>
  <si>
    <t>#BigTits #Teen #Latina #Blowjob</t>
  </si>
  <si>
    <t>https://thumb.tapecontent.net/thumb/pd0wPweo83UGGz/vrYg2Qa8yMf4XLB.jpg</t>
  </si>
  <si>
    <t>Brenda Trindade - 28778875 - Onlyfans.jpg</t>
  </si>
  <si>
    <t>https://doodstream.com/d/ugdrdzefe7ol/</t>
  </si>
  <si>
    <t>https://lulustream.com/d/zr6zdsiw5ogn</t>
  </si>
  <si>
    <t>#bigass #latina #brunette #amateur</t>
  </si>
  <si>
    <t>https://thumb.tapecontent.net/thumb/vBpZ7Lgm1Qt4r8Y/z6Qw2bD6vLTGKK.jpg</t>
  </si>
  <si>
    <t>Brenda Trindade - 29232355 - ripnsfw.com.jpg</t>
  </si>
  <si>
    <t>https://doodstream.com/d/cfpvr8caa279/</t>
  </si>
  <si>
    <t>https://lulustream.com/d/e6syvsyu0b1w</t>
  </si>
  <si>
    <t>#BigTits, #Bigass, #Latina, #Teen, #Blowjob, #Amateur, #Deepthroat, #Facial</t>
  </si>
  <si>
    <t>#BigTits #Bigass #Latina #Teen #Blowjob</t>
  </si>
  <si>
    <t>https://thumb.tapecontent.net/thumb/7qJMDD649ahBX7/PkogAkXyQXH06O8.jpg</t>
  </si>
  <si>
    <t>Brenda Trindade - 29851665 - Onlyfans.jpg</t>
  </si>
  <si>
    <t>https://doodstream.com/d/r88zjgz4zzj8/</t>
  </si>
  <si>
    <t>https://lulustream.com/d/mm06ybeh40e7</t>
  </si>
  <si>
    <t>https://thumb.tapecontent.net/thumb/jO8BKQw90DsJJ6/RkAz3m2g2OuZW7.jpg</t>
  </si>
  <si>
    <t>Brenda Trindade - 36041235 - ripnsfw.com.jpg</t>
  </si>
  <si>
    <t>https://doodstream.com/d/fw4e1g9sypab/</t>
  </si>
  <si>
    <t>https://lulustream.com/d/ntcrgsasyylk</t>
  </si>
  <si>
    <t>#BigTits, #Teen, #Latina, #Teens, #Blowjob, #Amateur, #Deepthroat</t>
  </si>
  <si>
    <t>#BigTits #Teen #Latina #Teens #Blowjob #Amateur #Deepthroat</t>
  </si>
  <si>
    <t>https://thumb.tapecontent.net/thumb/9epDqGXd7BhaaXM/z7jywwYk93FYAjq.jpg</t>
  </si>
  <si>
    <t>Brenda Trindade - 39657579 - ripnsfw.com.jpg</t>
  </si>
  <si>
    <t>https://doodstream.com/d/wuab8keggw4u/</t>
  </si>
  <si>
    <t>https://lulustream.com/d/7lowvt2etn2e</t>
  </si>
  <si>
    <t>#BigTits, #Hardcore, #Bigass, #Teen, #Latina, #Blowjob, #Amateur, #Deepthroat, #Facial</t>
  </si>
  <si>
    <t>#BigTits #Hardcore #Bigass #Teen #Latina</t>
  </si>
  <si>
    <t>https://thumb.tapecontent.net/thumb/xv9lXM97loTkYDb/eGK7lX73A2f9j8.jpg</t>
  </si>
  <si>
    <t>Brenda Trindade - 41135871 - ripnsfw.com.jpg</t>
  </si>
  <si>
    <t>https://doodstream.com/d/0m94zhr6mi9l/</t>
  </si>
  <si>
    <t>https://lulustream.com/d/hxdvmyl1m0ds</t>
  </si>
  <si>
    <t>#BigTits #Bigass #Teen #Latina #Blowjob #Amateur #Deepthroat #Facial</t>
  </si>
  <si>
    <t>https://thumb.tapecontent.net/thumb/r0B1kB3DMyTbBDJ/ZKBBAMlmojhq24O.jpg</t>
  </si>
  <si>
    <t>Brenda Trindade - 48654770 - Onlyfans.jpg</t>
  </si>
  <si>
    <t>https://doodstream.com/d/sp7gaebqrm5n/</t>
  </si>
  <si>
    <t>https://lulustream.com/d/y3uuzi5bonky</t>
  </si>
  <si>
    <t>#teen #bigtits #bigass #blowjob</t>
  </si>
  <si>
    <t>https://thumb.tapecontent.net/thumb/1xOZ3KJqX6UeZGy/WqB7XpbBZPTb914.jpg</t>
  </si>
  <si>
    <t>Brenda Trindade - 57367647 - ripnsfw.com.jpg</t>
  </si>
  <si>
    <t>https://doodstream.com/d/d3q7vshvkh8f/</t>
  </si>
  <si>
    <t>https://lulustream.com/d/9gxkqvv8wpc5</t>
  </si>
  <si>
    <t>#BigTits, #Bigass, #Teen, #Blowjob, #Amateur, #Hotwife, #Deepthroat, #Facial, #Latina</t>
  </si>
  <si>
    <t>#BigTits #Bigass #Teen #Blowjob #Amateur #Hotwife #Deepthroat #Facial #Latina</t>
  </si>
  <si>
    <t>https://thumb.tapecontent.net/thumb/YLDZYL1Gk1SvVew/xyKegz48yvUkOzA.jpg</t>
  </si>
  <si>
    <t>Brenda Trindade - 58624434 - Onlyfans.jpg</t>
  </si>
  <si>
    <t>https://doodstream.com/d/3hhy7x6b3a30/</t>
  </si>
  <si>
    <t>https://lulustream.com/d/xcy82mkqhni0</t>
  </si>
  <si>
    <t>#teen #latina #blowjob #bigass</t>
  </si>
  <si>
    <t>https://thumb.tapecontent.net/thumb/OX3ZwrXjg2cZbb2/lW6mv83oyxc7xpo.jpg</t>
  </si>
  <si>
    <t>Brenda Trindade - 63639116 - ripnsfw.com.jpg</t>
  </si>
  <si>
    <t>https://doodstream.com/d/74l4rf2fiqsz/</t>
  </si>
  <si>
    <t>https://lulustream.com/d/lahmfrnkmdap</t>
  </si>
  <si>
    <t>#BigTits, #Teen, #Blowjob, #Amateur, #Deepthroat, #Facial</t>
  </si>
  <si>
    <t>#BigTits #Teen #Blowjob #Amateur #Deepthroat</t>
  </si>
  <si>
    <t>https://thumb.tapecontent.net/thumb/dVZeRywGXKSkvKk/Mx42wr71K1cm8p3.jpg</t>
  </si>
  <si>
    <t>Brenda Trindade - 65002869 - ripnsfw.com.jpg</t>
  </si>
  <si>
    <t>https://doodstream.com/d/f1h2rod0b5ty/</t>
  </si>
  <si>
    <t>https://lulustream.com/d/d77wz4ejc6mr</t>
  </si>
  <si>
    <t>#BigTits, #Bigass, #Latina, #Teen, #Blowjob, #Amateur, #Facial, #Deepthroat</t>
  </si>
  <si>
    <t>https://thumb.tapecontent.net/thumb/eVr99arrzYhYb6M/goZrMM8bqXFY68.jpg</t>
  </si>
  <si>
    <t>Brenda Trindade - 65684076 - Onlyfans.jpg</t>
  </si>
  <si>
    <t>https://doodstream.com/d/b7ep3940j1w4/</t>
  </si>
  <si>
    <t>https://lulustream.com/d/b1ar36x2ou5n</t>
  </si>
  <si>
    <t>https://thumb.tapecontent.net/thumb/Q2wq9bpDRbI0lwl/D9M6BAW4g3tkKJX.jpg</t>
  </si>
  <si>
    <t>Brenda Trindade - 76832927 - Onlyfans.jpg</t>
  </si>
  <si>
    <t>https://doodstream.com/d/2ixe5z739xpc/</t>
  </si>
  <si>
    <t>https://lulustream.com/d/qx919q1q4wu3</t>
  </si>
  <si>
    <t>#teen #latina #bigass #blowjob</t>
  </si>
  <si>
    <t>https://thumb.tapecontent.net/thumb/vpJaXxXRVQCPQX/1Lem4KwB7lte3A1.jpg</t>
  </si>
  <si>
    <t>Brenda Trindade - 81769918 - Onlyfans.jpg</t>
  </si>
  <si>
    <t>https://doodstream.com/d/91780omphsh9/</t>
  </si>
  <si>
    <t>https://lulustream.com/d/cyc3wbdvw7pi</t>
  </si>
  <si>
    <t>#teen #bigtits #bigass #latina</t>
  </si>
  <si>
    <t>https://thumb.tapecontent.net/thumb/VGwbZXo46VIKGZo/elzZmdaMdpUZOl.jpg</t>
  </si>
  <si>
    <t>Brenda Trindade - 91220604 - ripnsfw.com.jpg</t>
  </si>
  <si>
    <t>https://doodstream.com/d/mp91h23361in/</t>
  </si>
  <si>
    <t>https://lulustream.com/d/l247i3c030e8</t>
  </si>
  <si>
    <t>#BigTits, #Bigass, #Teen, #Latina, #Blowjob, #Amateur, #Deepthroat</t>
  </si>
  <si>
    <t>#BigTits #Bigass #Teen #Latina #Blowjob #Amateur #Deepthroat</t>
  </si>
  <si>
    <t>https://thumb.tapecontent.net/thumb/M6pJ9KrWaaFweO/7dJrbolwpeUAqDo.jpg</t>
  </si>
  <si>
    <t>Brenda Trindade - 95951634 - Onlyfans.jpg</t>
  </si>
  <si>
    <t>https://doodstream.com/d/mi3re9hzs1nj/</t>
  </si>
  <si>
    <t>https://lulustream.com/d/ep3153zbbh8w</t>
  </si>
  <si>
    <t>#bigass #latina #brunette #doggystyle</t>
  </si>
  <si>
    <t>https://thumb.tapecontent.net/thumb/GjVjjgdablI1wOb/BJ8ll7MGekhyY1D.jpg</t>
  </si>
  <si>
    <t>Brenda Trindade - 97482311 - Onlyfans.jpg</t>
  </si>
  <si>
    <t>https://doodstream.com/d/jqflqnky0ds5/</t>
  </si>
  <si>
    <t>https://lulustream.com/d/s0sr79j31hco</t>
  </si>
  <si>
    <t>https://thumb.tapecontent.net/thumb/KLwdGWw3bWTzqb/8vqlY2qaaGtoPvk.jpg</t>
  </si>
  <si>
    <t>Brenda Trindade - 98672929 - Onlyfans.jpg</t>
  </si>
  <si>
    <t>https://doodstream.com/d/wvumzu2t2vji/</t>
  </si>
  <si>
    <t>https://lulustream.com/d/rxyxbcu8c5d0</t>
  </si>
  <si>
    <t>https://thumb.tapecontent.net/thumb/WeOBoexZrgubPrx/y7akymrVy1f1peO.jpg</t>
  </si>
  <si>
    <t>Briana Moon - 42590292 - ripnsfw.com - Lena the plug.jpg</t>
  </si>
  <si>
    <t>https://doodstream.com/d/aaabjgfxvgq9/</t>
  </si>
  <si>
    <t>https://lulustream.com/d/i6xeec5re7at</t>
  </si>
  <si>
    <t>https://thumb.tapecontent.net/thumb/79eMpL9g44SADlr/eKYw2raLJMuZ64.jpg</t>
  </si>
  <si>
    <t>Britney Rose - 10772530 - ExploitedCollegeGirls.jpg</t>
  </si>
  <si>
    <t>https://doodstream.com/d/m3jojgpc7mex/</t>
  </si>
  <si>
    <t>https://lulustream.com/d/6qznhuev7l1c</t>
  </si>
  <si>
    <t>#anal #hardcore #threesome #porn</t>
  </si>
  <si>
    <t>https://thumb.tapecontent.net/thumb/eay4G9OrLxuY07a/eoy3Je4rpdhYrb0.jpg</t>
  </si>
  <si>
    <t>Britney Rose - 48369561 - BackroomCastingCouch.jpg</t>
  </si>
  <si>
    <t>https://doodstream.com/d/83y0z4fehdc0/</t>
  </si>
  <si>
    <t>https://lulustream.com/d/hltwpr4eetkr</t>
  </si>
  <si>
    <t>#anal #threesome #blonde #casting</t>
  </si>
  <si>
    <t>https://thumb.tapecontent.net/thumb/AKrmQp4x71UXL1M/1P7k1r49qjfeAyJ.jpg</t>
  </si>
  <si>
    <t>Britt Blair - 41336370 - ripnsfw.com - Lena the plug.jpg</t>
  </si>
  <si>
    <t>https://doodstream.com/d/h29f1ttfs7p9/</t>
  </si>
  <si>
    <t>https://lulustream.com/d/5cwsx2cxvr0w</t>
  </si>
  <si>
    <t>#MILF, #BigTits, #Hardcore, #Threesome, #Bigass, #Teen, #Stepmom, #Blowjob, #Amateur, #Hotwife, #Blonde, #Deepthroat, #Facial</t>
  </si>
  <si>
    <t>#MILF #BigTits #Hardcore #Threesome #Bigass #Teen #Stepmom #Blowjob #Amateur #Hotwife #Blonde #Deepthroat #Facial</t>
  </si>
  <si>
    <t>https://thumb.tapecontent.net/thumb/3d0P3LAgvZcdepO/bzp3wKRR0RTPgjM.jpg</t>
  </si>
  <si>
    <t>BunnyDollStella - 50581644 - Onlyfans - JackandJill.jpg</t>
  </si>
  <si>
    <t>https://doodstream.com/d/e1sye7ie9by1/</t>
  </si>
  <si>
    <t>https://lulustream.com/d/78xskba6lb9m</t>
  </si>
  <si>
    <t>https://thumb.tapecontent.net/thumb/QPqpR0pxzGt0ak2/26BZR9b21mHZYAP.jpg</t>
  </si>
  <si>
    <t>CallMeSlo - 93926811 - Onlyfans.jpg</t>
  </si>
  <si>
    <t>https://doodstream.com/d/2t5za8afzmq8/</t>
  </si>
  <si>
    <t>https://lulustream.com/d/o5cgdwkev3cg</t>
  </si>
  <si>
    <t>#teen #redhead #blowjob #amateur</t>
  </si>
  <si>
    <t>https://thumb.tapecontent.net/thumb/ZrbrzOpmodi7Ge/opZwXKWR72TJrzw.jpg</t>
  </si>
  <si>
    <t>Chanel Camryn - 17231421 - HotWifexxx.jpg</t>
  </si>
  <si>
    <t>https://doodstream.com/d/dryl9ccoo94l/</t>
  </si>
  <si>
    <t>https://lulustream.com/d/kd8v5rqvbiso</t>
  </si>
  <si>
    <t>#teen #brunette #blowjob #porn</t>
  </si>
  <si>
    <t>https://thumb.tapecontent.net/thumb/8127kbAaQaCoB84/MaOPde3z19SmW32.jpg</t>
  </si>
  <si>
    <t>Chanel Camryn - 62839957 - ripnsfw.com.jpg</t>
  </si>
  <si>
    <t>https://doodstream.com/d/nsdw2gzgs0ig/</t>
  </si>
  <si>
    <t>https://lulustream.com/d/w1wml029msut</t>
  </si>
  <si>
    <t>#Anal, #Hardcore, #Bigass, #Porn, #Teen, #Blowjob, #Facial, #Deepthroat</t>
  </si>
  <si>
    <t>#Anal #Hardcore #Bigass #Porn #Teen #Blowjob #Facial</t>
  </si>
  <si>
    <t>https://thumb.tapecontent.net/thumb/gVgAz3vVBjcqwpe/bKagQ6opgeHPzB4.jpg</t>
  </si>
  <si>
    <t>Chanel Camryn - 92612739 - Onlyfans.jpg</t>
  </si>
  <si>
    <t>https://doodstream.com/d/lyqgwai8xsce/</t>
  </si>
  <si>
    <t>https://lulustream.com/d/rkn4mp90kla5</t>
  </si>
  <si>
    <t>#teen #anal #blowjob #brunette</t>
  </si>
  <si>
    <t>https://thumb.tapecontent.net/thumb/a0OZBB1483hzzg/qad2Kdzy2pizdrV.jpg</t>
  </si>
  <si>
    <t>Charlotte French - 14383021 - ripnsfw.com.jpg</t>
  </si>
  <si>
    <t>https://doodstream.com/d/qeeqsthecgds/</t>
  </si>
  <si>
    <t>https://lulustream.com/d/99a5lp7dhjgx</t>
  </si>
  <si>
    <t>#Anal, #Hardcore, #Porn, #Teen, #Blowjob</t>
  </si>
  <si>
    <t>#Anal #Hardcore #Porn #Teen</t>
  </si>
  <si>
    <t>https://thumb.tapecontent.net/thumb/QDzZx3a8DeT0OlP/DQ2AG130mzskMe9.jpg</t>
  </si>
  <si>
    <t>Cherie Deville - 17215527 - ripnsfw.com.jpg</t>
  </si>
  <si>
    <t>https://doodstream.com/d/3vkxcsraz59d/</t>
  </si>
  <si>
    <t>https://lulustream.com/d/6zaixpre83t9</t>
  </si>
  <si>
    <t>#Anal, #MILF, #BigTits, #Hardcore, #Bigass, #Blowjob, #Amateur</t>
  </si>
  <si>
    <t>https://thumb.tapecontent.net/thumb/0Rk8KgW9bdHbzkP/akba8AoRmLhx6Xj.jpg</t>
  </si>
  <si>
    <t>Cherie Deville - 18597806 - Onlyfans.jpg</t>
  </si>
  <si>
    <t>https://doodstream.com/d/5kxr36h6r199/</t>
  </si>
  <si>
    <t>https://lulustream.com/d/n50xmv0i8d24</t>
  </si>
  <si>
    <t>https://thumb.tapecontent.net/thumb/1ADljy2GKWTeYRl/DlyABakbgGfAR1.jpg</t>
  </si>
  <si>
    <t>Cherie Deville - 19564637 - ripnsfw.com.jpg</t>
  </si>
  <si>
    <t>https://doodstream.com/d/mnz9h99567ri/</t>
  </si>
  <si>
    <t>https://lulustream.com/d/7jc6ii854u67</t>
  </si>
  <si>
    <t>#MILF, #BigTits, #Hardcore, #Bigass, #Blowjob, #Amateur, #Mature, #Hotwife</t>
  </si>
  <si>
    <t>#MILF #BigTits #Hardcore #Bigass #Blowjob #Amateur #Mature</t>
  </si>
  <si>
    <t>https://thumb.tapecontent.net/thumb/7PjeR1KqBJsRyq/8VpzP4D6KvUogD0.jpg</t>
  </si>
  <si>
    <t>Cherie Deville - 21818710 - Onlyfans.jpg</t>
  </si>
  <si>
    <t>https://doodstream.com/d/zkso5hic4hfh/</t>
  </si>
  <si>
    <t>https://lulustream.com/d/zuj8qtmuurmb</t>
  </si>
  <si>
    <t>https://thumb.tapecontent.net/thumb/bRBYVAqgxRIPP3b/9ll3y30YXkca4oA.jpg</t>
  </si>
  <si>
    <t>Cherie Deville - 27444960 - XVRED - Hazel Grace.jpg</t>
  </si>
  <si>
    <t>https://doodstream.com/d/clzz4bgdlji9/</t>
  </si>
  <si>
    <t>https://lulustream.com/d/00hytrb4tysy</t>
  </si>
  <si>
    <t>#MILF, #BigTits, #Creampie, #Hardcore, #Black, #Interracial, #Threesome, #Bigass, #Artporn, #Stepmom, #Blowjob, #Amateur, #Mature, #Hotwife, #Deepthroat</t>
  </si>
  <si>
    <t>#MILF #BigTits #Creampie #Hardcore #Black #Interracial #Threesome #Bigass #Artporn #Stepmom #Blowjob #Amateur</t>
  </si>
  <si>
    <t>https://thumb.tapecontent.net/thumb/kkVbeymzlyHOxjg/2LG6zb0ex9sZwY2.jpg</t>
  </si>
  <si>
    <t>Cherie Deville - 43213370 - Onlyfans - Dana DeArmond.jpg</t>
  </si>
  <si>
    <t>https://doodstream.com/d/klq54s5plgfo/</t>
  </si>
  <si>
    <t>https://lulustream.com/d/lm4qcl9umlng</t>
  </si>
  <si>
    <t>#MILF, #BigTits, #Hardcore, #Threesome, #Bigass, #Porn, #Stepmom, #Hotwife, #Blowjob, #Amateur</t>
  </si>
  <si>
    <t>#MILF #BigTits #Hardcore #Threesome #Bigass</t>
  </si>
  <si>
    <t>https://thumb.tapecontent.net/thumb/AXxwKYyjOaTXpyy/pxraDMvwa1Hrao6.jpg</t>
  </si>
  <si>
    <t>Cherie Deville - 49175490 - Onlyfans.jpg</t>
  </si>
  <si>
    <t>https://doodstream.com/d/fxbuajqxbp6q/</t>
  </si>
  <si>
    <t>https://lulustream.com/d/kfwkhpnqhxdc</t>
  </si>
  <si>
    <t>#milf #bigass #bigtits #blowjob</t>
  </si>
  <si>
    <t>https://thumb.tapecontent.net/thumb/ZjOkPjDwLkTqpoO/7m0Ya0MbrYhAjBx.jpg</t>
  </si>
  <si>
    <t>Cherie Deville - 66265964 - XVRED.jpg</t>
  </si>
  <si>
    <t>https://doodstream.com/d/b2pezqfijjn1/</t>
  </si>
  <si>
    <t>https://lulustream.com/d/iqxxod9xv36q</t>
  </si>
  <si>
    <t>#MILF, #BigTits, #Hardcore, #Bigass, #Stepmom, #Amateur, #Blowjob, #Facial</t>
  </si>
  <si>
    <t>https://thumb.tapecontent.net/thumb/xOYy3kQQwAUk3Mr/2D8x2djJmmCZyZx.jpg</t>
  </si>
  <si>
    <t>Cherie Deville - 70617047 - XVRED.jpg</t>
  </si>
  <si>
    <t>https://doodstream.com/d/5yls4j7tl1a6/</t>
  </si>
  <si>
    <t>https://lulustream.com/d/g147lzn4lj67</t>
  </si>
  <si>
    <t>#MILF, #BigTits, #Hardcore, #Bigass, #Artporn, #Stepmom, #Blowjob, #Amateur, #Mature, #Hotwife, #Deepthroat, #Facial</t>
  </si>
  <si>
    <t>#MILF #BigTits #Hardcore #Bigass #Artporn #Stepmom #Blowjob</t>
  </si>
  <si>
    <t>https://thumb.tapecontent.net/thumb/9kexZxAgqPtazkq/rDgjZGw3XdSGwa.jpg</t>
  </si>
  <si>
    <t>Cherie Deville - 95403949 - ripnsfw.com - Lena the plug.jpg</t>
  </si>
  <si>
    <t>https://doodstream.com/d/o3vn5nr8xuz8/</t>
  </si>
  <si>
    <t>https://lulustream.com/d/11holk0hgcrw</t>
  </si>
  <si>
    <t>#MILF, #BigTits, #Creampie, #Hardcore, #Threesome, #Bigass, #Blowjob, #Amateur, #Pregnant</t>
  </si>
  <si>
    <t>#MILF #BigTits #Creampie #Hardcore #Threesome #Bigass #Blowjob</t>
  </si>
  <si>
    <t>https://thumb.tapecontent.net/thumb/bkAdmb7bw0FPYQO/XragobLg8xtDDZG.jpg</t>
  </si>
  <si>
    <t>Cherry Crush - 18101943 - Onlyfans.jpg</t>
  </si>
  <si>
    <t>https://doodstream.com/d/jmvkf96mlnj8/</t>
  </si>
  <si>
    <t>https://lulustream.com/d/zscx3v4jwwzl</t>
  </si>
  <si>
    <t>#asmr #bigtits #bigass #teen</t>
  </si>
  <si>
    <t>https://thumb.tapecontent.net/thumb/1ADkKM1PjeIezr7/rgZ2M4dDDXt3eX.jpg</t>
  </si>
  <si>
    <t>Cherry Crush - 22967091 - Onlyfans.jpg</t>
  </si>
  <si>
    <t>https://doodstream.com/d/wh7vwzbnmbif/</t>
  </si>
  <si>
    <t>https://lulustream.com/d/mqvkxgwow0wu</t>
  </si>
  <si>
    <t>#teen #bigtits #blowjob #bigass</t>
  </si>
  <si>
    <t>https://thumb.tapecontent.net/thumb/3xqKvYo8D0udwA7/1a1oR7r2zZcyOd.jpg</t>
  </si>
  <si>
    <t>Cherry Crush - 31670888 - Onlyfans.jpg</t>
  </si>
  <si>
    <t>https://doodstream.com/d/vhnkpcguy4u0/</t>
  </si>
  <si>
    <t>https://lulustream.com/d/or54uyjamnqq</t>
  </si>
  <si>
    <t>#anal #bigtits #hardcore #bigass</t>
  </si>
  <si>
    <t>https://thumb.tapecontent.net/thumb/2o4Le7yGgAtzqx/eP4KmWyaWJSYr1X.jpg</t>
  </si>
  <si>
    <t>Cherry Crush - 42545650 - Onlyfans.jpg</t>
  </si>
  <si>
    <t>https://doodstream.com/d/bnzygkkj5g47/</t>
  </si>
  <si>
    <t>https://lulustream.com/d/5ubqa2zhjtrp</t>
  </si>
  <si>
    <t>https://thumb.tapecontent.net/thumb/dvzwxbG7a8Hkmd4/jq1BWB0yPKhz8Yz.jpg</t>
  </si>
  <si>
    <t>Cherry Crush - 42781173 - Onlyfans.jpg</t>
  </si>
  <si>
    <t>https://doodstream.com/d/5i8ya0xmha8t/</t>
  </si>
  <si>
    <t>https://lulustream.com/d/xb42mbfniyrk</t>
  </si>
  <si>
    <t>#blowjob #teen #bigass #pov</t>
  </si>
  <si>
    <t>https://thumb.tapecontent.net/thumb/DMA0BjXpmMsB7M/gvM2q76Pzkhqyod.jpg</t>
  </si>
  <si>
    <t>Cherry Crush - 50898168 - Onlyfans.jpg</t>
  </si>
  <si>
    <t>https://doodstream.com/d/pn3bbeomwn31/</t>
  </si>
  <si>
    <t>https://lulustream.com/d/l9o0zi3ixtph</t>
  </si>
  <si>
    <t>https://thumb.tapecontent.net/thumb/OVBLdRQ1YotgM1/9633L4o7wGfadRL.jpg</t>
  </si>
  <si>
    <t>Cherry Crush - 61962423 - Onlyfans.jpg</t>
  </si>
  <si>
    <t>https://doodstream.com/d/3pzx08ww07d8/</t>
  </si>
  <si>
    <t>https://lulustream.com/d/jzmyboagw8mf</t>
  </si>
  <si>
    <t>#BigTits, #Teen, #Teens, #Blowjob, #Amateur, #Deepthroat, #Blonde, #Facial</t>
  </si>
  <si>
    <t>#BigTits #Teen #Teens #Blowjob</t>
  </si>
  <si>
    <t>https://thumb.tapecontent.net/thumb/LXkZA73OLOtRmyD/2DkWQ8gP6PFZ0WR.jpg</t>
  </si>
  <si>
    <t>Cherry Crush - 70612286 - Onlyfans.jpg</t>
  </si>
  <si>
    <t>https://doodstream.com/d/2yadh2scvzad/</t>
  </si>
  <si>
    <t>https://lulustream.com/d/g3v6kzlqpsgi</t>
  </si>
  <si>
    <t>#teen #bigtits #blowjob #solo</t>
  </si>
  <si>
    <t>https://thumb.tapecontent.net/thumb/lPkXm4VJVyC7PvW/Wo8eBvYBvxSbV1M.jpg</t>
  </si>
  <si>
    <t>Cherry Crush - 72758988 - Onlyfans.jpg</t>
  </si>
  <si>
    <t>https://doodstream.com/d/9ltnzu00efrq/</t>
  </si>
  <si>
    <t>https://lulustream.com/d/kyhwt7lx359p</t>
  </si>
  <si>
    <t>#bigtits #teen #blowjob #amateur</t>
  </si>
  <si>
    <t>https://thumb.tapecontent.net/thumb/qywg1MzpKjFz3Z6/YVdwLk6PzDtvGXx.jpg</t>
  </si>
  <si>
    <t>Cherry Crush - 75242411 - Onlyfans.jpg</t>
  </si>
  <si>
    <t>https://doodstream.com/d/h071x3mastje/</t>
  </si>
  <si>
    <t>https://lulustream.com/d/nux1a2mpa6cy</t>
  </si>
  <si>
    <t>#BigTits, #Teen, #Roleplay, #Solo</t>
  </si>
  <si>
    <t>#BigTits #Teen #Roleplay #Solo</t>
  </si>
  <si>
    <t>https://thumb.tapecontent.net/thumb/2zDewyJyaQHxr3/Q3OADOraBgI0b7R.jpg</t>
  </si>
  <si>
    <t>Chloe Foxxe - 49813379 - Onlyfans.jpg</t>
  </si>
  <si>
    <t>https://doodstream.com/d/qy92a1w3xz0u/</t>
  </si>
  <si>
    <t>https://lulustream.com/d/jaoey9t18qmw</t>
  </si>
  <si>
    <t>#teen #blowjob #brunette #doggystyle</t>
  </si>
  <si>
    <t>https://thumb.tapecontent.net/thumb/WwolrmdO1oUpbe/VGb64rbgWmiKeQm.jpg</t>
  </si>
  <si>
    <t>Codi Vore - 25973564 - Onlyfans.jpg</t>
  </si>
  <si>
    <t>https://doodstream.com/d/khgtia29umvr/</t>
  </si>
  <si>
    <t>https://lulustream.com/d/w4f9vd5wf9hf</t>
  </si>
  <si>
    <t>#milf #bigtits #blowjob #blonde</t>
  </si>
  <si>
    <t>https://thumb.tapecontent.net/thumb/Y1z2zyjRYvU6gj/DjaRvKLBY1FkP3w.jpg</t>
  </si>
  <si>
    <t>Codi Vore - 59741750 - Onlyfans.jpg</t>
  </si>
  <si>
    <t>https://doodstream.com/d/19veq6ccsk7o/</t>
  </si>
  <si>
    <t>https://lulustream.com/d/9r8ae03ec8kf</t>
  </si>
  <si>
    <t>#milf #creampie #blonde #bigtits</t>
  </si>
  <si>
    <t>https://thumb.tapecontent.net/thumb/wPL2GzZb8DHJ8wb/prO9GvK1zvsre9v.jpg</t>
  </si>
  <si>
    <t>Codi Vore - 97196141 - Onlyfans - Ginger Monroe.jpg</t>
  </si>
  <si>
    <t>https://doodstream.com/d/7m8lihcwr7r8/</t>
  </si>
  <si>
    <t>https://lulustream.com/d/ybbc8ra87bv9</t>
  </si>
  <si>
    <t>#milf #bigtits #hardcore #bigass</t>
  </si>
  <si>
    <t>https://thumb.tapecontent.net/thumb/zV7BxqWxozFYAo3/DalDpwMrY0Tkk7a.jpg</t>
  </si>
  <si>
    <t>Comatozze - 11995759 - Onlyfans.jpg</t>
  </si>
  <si>
    <t>https://doodstream.com/d/f4wnvgqmz0y7/</t>
  </si>
  <si>
    <t>https://lulustream.com/d/zmdmomwvshfy</t>
  </si>
  <si>
    <t>https://thumb.tapecontent.net/thumb/V6D1jx7JGluY3m/r2Z7w0zeqYTb7Zy.jpg</t>
  </si>
  <si>
    <t>Comatozze - 12745761 - Onlyfans.jpg</t>
  </si>
  <si>
    <t>https://doodstream.com/d/8199t6r1fxa1/</t>
  </si>
  <si>
    <t>https://lulustream.com/d/g6rltx4sqxig</t>
  </si>
  <si>
    <t>https://thumb.tapecontent.net/thumb/g9arLe4YQAiqwZV/vwGevlaRg8s4682.jpg</t>
  </si>
  <si>
    <t>Comatozze - 17647210 - Onlyfans.jpg</t>
  </si>
  <si>
    <t>https://doodstream.com/d/erq5bu8xlp0y/</t>
  </si>
  <si>
    <t>https://lulustream.com/d/69xgm9j57166</t>
  </si>
  <si>
    <t>https://thumb.tapecontent.net/thumb/dgYB7PL8kriZrp/bZGKeZoXj9UPwdK.jpg</t>
  </si>
  <si>
    <t>Comatozze - 22614725 - Onlyfans.jpg</t>
  </si>
  <si>
    <t>https://doodstream.com/d/fuxj7ux624k9/</t>
  </si>
  <si>
    <t>https://lulustream.com/d/xwgdggkhm8bs</t>
  </si>
  <si>
    <t>https://thumb.tapecontent.net/thumb/O4b7449KxQHW9z/7jlKP7pZgRUAAO1.jpg</t>
  </si>
  <si>
    <t>Comatozze - 24841502 - FH.jpg</t>
  </si>
  <si>
    <t>https://doodstream.com/d/iebcys5w4xbg/</t>
  </si>
  <si>
    <t>https://lulustream.com/d/q8vziwqqchem</t>
  </si>
  <si>
    <t>https://thumb.tapecontent.net/thumb/rJe9XrP969ubqG7/ygvAxAkB79hoaQ.jpg</t>
  </si>
  <si>
    <t>Comatozze - 30142657 - Onlyfans.jpg</t>
  </si>
  <si>
    <t>https://doodstream.com/d/g5yxi5hsok7t/</t>
  </si>
  <si>
    <t>https://lulustream.com/d/p4c0s1r9dy4j</t>
  </si>
  <si>
    <t>https://thumb.tapecontent.net/thumb/D40OdX4BXKT6pL/O4ggzmzp7yUZPeX.jpg</t>
  </si>
  <si>
    <t>Comatozze - 42181282 - Onlyfans.jpg</t>
  </si>
  <si>
    <t>https://doodstream.com/d/j5wxphwlxduj/</t>
  </si>
  <si>
    <t>https://lulustream.com/d/lrt9qk1fg4rp</t>
  </si>
  <si>
    <t>https://thumb.tapecontent.net/thumb/0LKK8pVQ16T6VQ/vlQKXk6WOpSDmm.jpg</t>
  </si>
  <si>
    <t>Comatozze - 46990227 - Onlyfans.jpg</t>
  </si>
  <si>
    <t>https://doodstream.com/d/6v25uqrbj691/</t>
  </si>
  <si>
    <t>https://lulustream.com/d/6e46fzcreagp</t>
  </si>
  <si>
    <t>https://thumb.tapecontent.net/thumb/2LLA1dLAwBtZX1g/agJexko9aaTxvJ3.jpg</t>
  </si>
  <si>
    <t>Comatozze - 49437136 - Onlyfans.jpg</t>
  </si>
  <si>
    <t>https://doodstream.com/d/5ahlb1alma9e/</t>
  </si>
  <si>
    <t>https://lulustream.com/d/kawze6weqphs</t>
  </si>
  <si>
    <t>https://thumb.tapecontent.net/thumb/qD0MZb1XqyiZrM/G3dg6aADX3I1xJL.jpg</t>
  </si>
  <si>
    <t>Comatozze - 54421017 - XVRED.jpg</t>
  </si>
  <si>
    <t>https://doodstream.com/d/gwnuyiia30wx/</t>
  </si>
  <si>
    <t>https://lulustream.com/d/mek72didoojk</t>
  </si>
  <si>
    <t>https://thumb.tapecontent.net/thumb/aGY17gA2mDuxVzp/zbKvbD3DzbuYMO3.jpg</t>
  </si>
  <si>
    <t>Comatozze - 68511307 - Onlyfans.jpg</t>
  </si>
  <si>
    <t>https://doodstream.com/d/3u6urfh9x2m8/</t>
  </si>
  <si>
    <t>https://lulustream.com/d/qw72xqr7s9gm</t>
  </si>
  <si>
    <t>https://thumb.tapecontent.net/thumb/6RXdzAGdB7t9Jqe/DjKRO9x8KXhkvm8.jpg</t>
  </si>
  <si>
    <t>Comatozze - 75998619 - Onlyfans.jpg</t>
  </si>
  <si>
    <t>https://doodstream.com/d/didojw0jhgko/</t>
  </si>
  <si>
    <t>https://lulustream.com/d/8ye92awl979r</t>
  </si>
  <si>
    <t>#BigTits #Hardcore #Bigass #Teen #Artporn #Teens #Blowjob #Amateur #Deepthroat</t>
  </si>
  <si>
    <t>https://thumb.tapecontent.net/thumb/2PKDAKL91ruVPv/qMWR8aPqlkSzVLg.jpg</t>
  </si>
  <si>
    <t>Comatozze - 76965609 -  Onlyfans.jpg</t>
  </si>
  <si>
    <t>https://doodstream.com/d/hsgn3ebv9k95/</t>
  </si>
  <si>
    <t>https://lulustream.com/d/nrfez17ohhi4</t>
  </si>
  <si>
    <t>#BigTits, #Bigass, #Hardcore, #Teen</t>
  </si>
  <si>
    <t>#BigTits #Bigass #Hardcore #Teen</t>
  </si>
  <si>
    <t>https://thumb.tapecontent.net/thumb/pDmWm2qDp7hWZW/aq6JwG4AXPfx6we.jpg</t>
  </si>
  <si>
    <t>Comatozze - 84083230 - Onlyfans.jpg</t>
  </si>
  <si>
    <t>https://doodstream.com/d/ciupneczxbnt/</t>
  </si>
  <si>
    <t>https://lulustream.com/d/zckcq83qyx52</t>
  </si>
  <si>
    <t>#anal #teen #bigtits #bigass</t>
  </si>
  <si>
    <t>https://thumb.tapecontent.net/thumb/gg8jGqzVXzFqyee/KZPjdZA7g7tgV2.jpg</t>
  </si>
  <si>
    <t>Comatozze - 89278600 - Onlyfans.jpg</t>
  </si>
  <si>
    <t>https://doodstream.com/d/e6xdcv7a59z4/</t>
  </si>
  <si>
    <t>https://lulustream.com/d/op3nve2yw999</t>
  </si>
  <si>
    <t>https://thumb.tapecontent.net/thumb/VyPVwKW98af9p7/mrMqylyyyvfbY3P.jpg</t>
  </si>
  <si>
    <t>Comatozze - 91374902 - FH.jpg</t>
  </si>
  <si>
    <t>https://doodstream.com/d/lit5ooq2n9zg/</t>
  </si>
  <si>
    <t>https://lulustream.com/d/jg4s9pj0fl55</t>
  </si>
  <si>
    <t>https://thumb.tapecontent.net/thumb/AlVzDdjBQWsX6kX/6j13oomPVqFOYD.jpg</t>
  </si>
  <si>
    <t>Comatozze - 95705657 - FapHouse.jpg</t>
  </si>
  <si>
    <t>https://doodstream.com/d/9wp4x3lh0or1/</t>
  </si>
  <si>
    <t>https://lulustream.com/d/86b02914h0sl</t>
  </si>
  <si>
    <t>#creampie #teen #bigass #bigtits</t>
  </si>
  <si>
    <t>https://thumb.tapecontent.net/thumb/dpjgoqgOpAtZbv/ggMqXZwQ9Zcqeb6.jpg</t>
  </si>
  <si>
    <t>Cory Chase - 64159902 - EA.jpg</t>
  </si>
  <si>
    <t>https://doodstream.com/d/gqmjrq7ld3ga/</t>
  </si>
  <si>
    <t>https://lulustream.com/d/08653a7b72oy</t>
  </si>
  <si>
    <t>#milf #bigtits #interracial #threesome</t>
  </si>
  <si>
    <t>https://thumb.tapecontent.net/thumb/wGQAQjg3eJTJK9z/d7MROBL9Q9tBPa.jpg</t>
  </si>
  <si>
    <t>Cory Chase - 95758715 - ripnsfw.com - Juniper Ren.jpg</t>
  </si>
  <si>
    <t>https://doodstream.com/d/fn2h560zop03/</t>
  </si>
  <si>
    <t>https://lulustream.com/d/414r9mc1uhqn</t>
  </si>
  <si>
    <t>#MILF, #BigTits, #Hardcore, #Threesome, #Teen, #Blowjob, #Facial, #Porn</t>
  </si>
  <si>
    <t>#MILF #BigTits #Hardcore #Threesome #Teen #Blowjob</t>
  </si>
  <si>
    <t>https://thumb.tapecontent.net/thumb/DaB3Y1r1eWukoGq/oGq1WqDB3RcJ4KX.jpg</t>
  </si>
  <si>
    <t>Dahlia Sage - 89666098 - BackroomCastingCouch.jpg</t>
  </si>
  <si>
    <t>https://doodstream.com/d/jftpqxfn32zh/</t>
  </si>
  <si>
    <t>https://lulustream.com/d/qslq9i6253f9</t>
  </si>
  <si>
    <t>https://thumb.tapecontent.net/thumb/4DgB4YzLlKhKe86/yB1KJMRqMxheeX.jpg</t>
  </si>
  <si>
    <t>Dainty Wilder - 02791119 - Onlyfans.jpg</t>
  </si>
  <si>
    <t>https://doodstream.com/d/qq8gw8074sra/</t>
  </si>
  <si>
    <t>https://lulustream.com/d/hiuswiw6v1r1</t>
  </si>
  <si>
    <t>#teen #brunette #squirt #bigtits</t>
  </si>
  <si>
    <t>https://thumb.tapecontent.net/thumb/jrqxbprkD8Tz0W3/Za3JXqMza0iq1D7.jpg</t>
  </si>
  <si>
    <t>Dainty Wilder - 10194725 - Onlyfans - Lucy Mochi - Caryn Beaumont.jpg</t>
  </si>
  <si>
    <t>https://doodstream.com/d/47lfbiptkgd0/</t>
  </si>
  <si>
    <t>https://lulustream.com/d/s2bpijv960o3</t>
  </si>
  <si>
    <t>#BigTits, #Lesbian, #Asian, #Threesome, #Teen, #Teens</t>
  </si>
  <si>
    <t>#BigTits #Lesbian #Asian #Threesome #Teen</t>
  </si>
  <si>
    <t>https://thumb.tapecontent.net/thumb/Jwp8Z8BR2mcoR9/lrMqawJzZ4C7XK4.jpg</t>
  </si>
  <si>
    <t>Dainty Wilder - 13798100 - Onlyfans - Lena Polanski.jpg</t>
  </si>
  <si>
    <t>https://doodstream.com/d/enbeb9phzhe9/</t>
  </si>
  <si>
    <t>https://lulustream.com/d/yjf7e74plm0o</t>
  </si>
  <si>
    <t>#anal #foursome #teens #bigtits</t>
  </si>
  <si>
    <t>https://thumb.tapecontent.net/thumb/WyW1Xaa6Wwhb94m/zVMXM7L4bMSeOD.jpg</t>
  </si>
  <si>
    <t>Dainty Wilder - 20082922 - Onlyfans.jpg</t>
  </si>
  <si>
    <t>https://doodstream.com/d/njolyoxyy61b/</t>
  </si>
  <si>
    <t>https://lulustream.com/d/qgh8bpzc9pg9</t>
  </si>
  <si>
    <t>#teen #squirt #bigtits #solo</t>
  </si>
  <si>
    <t>https://thumb.tapecontent.net/thumb/pdMm3zobBRUr3aD/kKJ1BVQwk1IPvR.jpg</t>
  </si>
  <si>
    <t>Dainty Wilder - 23578439 - Onlyfans.jpg</t>
  </si>
  <si>
    <t>https://doodstream.com/d/6nwauq7tvbmu/</t>
  </si>
  <si>
    <t>https://lulustream.com/d/ndp1n2ap5taz</t>
  </si>
  <si>
    <t>#anal #brunette #blowjob #teen</t>
  </si>
  <si>
    <t>https://thumb.tapecontent.net/thumb/zM11mv7X9PUYZWV/ylKAvZvokrh1GXb.jpg</t>
  </si>
  <si>
    <t>Dainty Wilder - 25302871 - Onlyfans.jpg</t>
  </si>
  <si>
    <t>https://doodstream.com/d/20xqe78a5z9x/</t>
  </si>
  <si>
    <t>https://lulustream.com/d/b0xuul2nny50</t>
  </si>
  <si>
    <t>#anal #teen #blowjob #bigtits</t>
  </si>
  <si>
    <t>https://thumb.tapecontent.net/thumb/3xM7gd4LoVCdgzZ/yjagYReJb8U1VAG.jpg</t>
  </si>
  <si>
    <t>Dainty Wilder - 25785112 - Onlyfans - Alina Lopez - Lucy Mochi - Cheerleader Kait.jpg</t>
  </si>
  <si>
    <t>https://doodstream.com/d/nukci1ra28ug/</t>
  </si>
  <si>
    <t>https://lulustream.com/d/g1g5mqbnsu6r</t>
  </si>
  <si>
    <t>#blowjob #teens #orgy #brunette</t>
  </si>
  <si>
    <t>https://thumb.tapecontent.net/thumb/olplmRdG3xuJz64/kZWV1OdBMkUOLYK.jpg</t>
  </si>
  <si>
    <t>Dainty Wilder - 39415690 - Onlyfans.jpg</t>
  </si>
  <si>
    <t>https://doodstream.com/d/pgmdymeslx4k/</t>
  </si>
  <si>
    <t>https://lulustream.com/d/l4k5woghsfqt</t>
  </si>
  <si>
    <t>#anal #bigtits #teen #blowjob</t>
  </si>
  <si>
    <t>https://thumb.tapecontent.net/thumb/owgkAq6Vx3fJQQm/A33KV6qjpJsXple.jpg</t>
  </si>
  <si>
    <t>Dainty Wilder - 43236156 - Onlyfans.jpg</t>
  </si>
  <si>
    <t>https://doodstream.com/d/6binq34esltf/</t>
  </si>
  <si>
    <t>https://lulustream.com/d/aa45e4pzddy3</t>
  </si>
  <si>
    <t>#teen #bigtits #blowjob #squirt</t>
  </si>
  <si>
    <t>https://thumb.tapecontent.net/thumb/eAga61Qa9KtJB7/92bXlJm7DRCa3ep.jpg</t>
  </si>
  <si>
    <t>Dainty Wilder - 48110335 - Onlyfans - Ryan Reid.jpg</t>
  </si>
  <si>
    <t>https://doodstream.com/d/301vh8s17pbn/</t>
  </si>
  <si>
    <t>https://lulustream.com/d/dyf6n41ia2i8</t>
  </si>
  <si>
    <t>#BigTits, #Threesome, #Teen, #Blowjob</t>
  </si>
  <si>
    <t>#BigTits #Threesome #Teen #Blowjob</t>
  </si>
  <si>
    <t>https://thumb.tapecontent.net/thumb/7bOZJpGxO6cAe7Z/GW6aXvvKZzH1kpx.jpg</t>
  </si>
  <si>
    <t>Dainty Wilder - 54428152 - Onlyfans.jpg</t>
  </si>
  <si>
    <t>https://doodstream.com/d/vkskkm6z9eae/</t>
  </si>
  <si>
    <t>https://lulustream.com/d/9aas3tg5ovh6</t>
  </si>
  <si>
    <t>#BigTits, #Teen, #Blowjob, #Amateur</t>
  </si>
  <si>
    <t>#BigTits #Teen #Blowjob #Amateur</t>
  </si>
  <si>
    <t>https://thumb.tapecontent.net/thumb/lkq6kWQ4LVivJp/VXbbj2jZb7uZMr.jpg</t>
  </si>
  <si>
    <t>Dainty Wilder - 65825910 - Onlyfans - Valerica Steele.jpg</t>
  </si>
  <si>
    <t>https://doodstream.com/d/y7u09jf0qx1m/</t>
  </si>
  <si>
    <t>https://lulustream.com/d/7facn1cbjcif</t>
  </si>
  <si>
    <t>#teens #bigtits #blowjob #brunette</t>
  </si>
  <si>
    <t>https://thumb.tapecontent.net/thumb/oQxWGJO7yluKAd/qKVOMeey0pHzJAK.jpg</t>
  </si>
  <si>
    <t>Dainty Wilder - 66940297 - ripnsfw.com - Elly Clutch.jpg</t>
  </si>
  <si>
    <t>https://doodstream.com/d/g3kwgd8rnbpx/</t>
  </si>
  <si>
    <t>https://lulustream.com/d/vkp6d1jksjo2</t>
  </si>
  <si>
    <t>#BigTits, #Lesbian, #Teen, #Squirt, #Roleplay, #Teens</t>
  </si>
  <si>
    <t>#BigTits #Lesbian #Teen #Squirt</t>
  </si>
  <si>
    <t>https://thumb.tapecontent.net/thumb/17Wd0BDwWYF1Qz/be02Jr8RWziPgex.jpg</t>
  </si>
  <si>
    <t>Dainty Wilder - 67327074 - Onlyfans.jpg</t>
  </si>
  <si>
    <t>https://doodstream.com/d/or4ekwy2ecnc/</t>
  </si>
  <si>
    <t>https://lulustream.com/d/sykd1cn4abhp</t>
  </si>
  <si>
    <t>#anal #teen #bigtits #solo</t>
  </si>
  <si>
    <t>https://thumb.tapecontent.net/thumb/LkMmla3oMWIRVr3/7krlLxVrB8CA3rX.jpg</t>
  </si>
  <si>
    <t>Dainty Wilder - 69890982 - ripnsfw.com - Alina Lopez.jpg</t>
  </si>
  <si>
    <t>https://doodstream.com/d/viu5tn6ooa12/</t>
  </si>
  <si>
    <t>https://lulustream.com/d/d9ltv66cz28z</t>
  </si>
  <si>
    <t>#BigTits, #Hardcore, #Threesome, #Teen, #Blowjob, #Amateur, #Squirt, #Deepthroat, #Facial</t>
  </si>
  <si>
    <t>#BigTits #Hardcore #Threesome #Teen #Blowjob #Amateur</t>
  </si>
  <si>
    <t>https://thumb.tapecontent.net/thumb/JogAvLklyYCjp48/3OmAVLkxJmu3BQ.jpg</t>
  </si>
  <si>
    <t>Dainty Wilder - 71504764 - Onlyfans - Martina Smeraldi.jpg</t>
  </si>
  <si>
    <t>https://doodstream.com/d/n7s5k3nsvb8k/</t>
  </si>
  <si>
    <t>https://lulustream.com/d/f9n15bbew3qd</t>
  </si>
  <si>
    <t>#anal #squirt #bigtits #teens</t>
  </si>
  <si>
    <t>https://thumb.tapecontent.net/thumb/RmMZ9rv06zcdQ41/KWpOdkwpYqs0m80.jpg</t>
  </si>
  <si>
    <t>Dainty Wilder - 73520865 - Onlyfans.jpg</t>
  </si>
  <si>
    <t>https://doodstream.com/d/y002iau4vhey/</t>
  </si>
  <si>
    <t>https://lulustream.com/d/0vsa2aeu589y</t>
  </si>
  <si>
    <t>#anal #teen #bigtits #blowjob</t>
  </si>
  <si>
    <t>https://thumb.tapecontent.net/thumb/VyeR4qLVvvIK6zB/B7eWd3dK2VFm2D.jpg</t>
  </si>
  <si>
    <t>Dainty Wilder - 83047853 - ripnsfw.com - Madi Ruve.jpg</t>
  </si>
  <si>
    <t>https://doodstream.com/d/n7rxdgyyt104/</t>
  </si>
  <si>
    <t>https://lulustream.com/d/g60bok3v9jde</t>
  </si>
  <si>
    <t>#BigTits, #Lesbian, #Teen, #Squirt, #Roleplay, #Teens, #Blonde</t>
  </si>
  <si>
    <t>#BigTits #Lesbian #Teen #Squirt #Roleplay #Teens #Blonde</t>
  </si>
  <si>
    <t>https://thumb.tapecontent.net/thumb/Kg3mjrVZx3C0QMj/zGbPjvdowKhy61.jpg</t>
  </si>
  <si>
    <t>Dainty Wilder - 83378552 - ripnsfw.com.jpg</t>
  </si>
  <si>
    <t>https://doodstream.com/d/x4wrkpxakqpz/</t>
  </si>
  <si>
    <t>https://lulustream.com/d/eyy6w5cld7oa</t>
  </si>
  <si>
    <t>#BigTits, #Teen, #Solo, #Squirt</t>
  </si>
  <si>
    <t>#BigTits #Teen #Solo #Squirt</t>
  </si>
  <si>
    <t>https://thumb.tapecontent.net/thumb/XdR2w8oozdfDlVp/6a2MXz4bL0i9r1Q.jpg</t>
  </si>
  <si>
    <t>Dainty Wilder - 85880814 - Onlyfans - Lucy Mochi.jpg</t>
  </si>
  <si>
    <t>https://doodstream.com/d/4cqay9x17vah/</t>
  </si>
  <si>
    <t>https://lulustream.com/d/83fgbp79890u</t>
  </si>
  <si>
    <t>#threesome #teens #asian #brunette</t>
  </si>
  <si>
    <t>https://thumb.tapecontent.net/thumb/eP08pxwlr1tYyPB/b1lz7z1yX2FKwO.jpg</t>
  </si>
  <si>
    <t>Dainty Wilder - 86337696 - Onlyfans.jpg</t>
  </si>
  <si>
    <t>https://doodstream.com/d/q2iop0enxaqt/</t>
  </si>
  <si>
    <t>https://lulustream.com/d/5ctxef542yli</t>
  </si>
  <si>
    <t>#anal #threesome #teen #squirt</t>
  </si>
  <si>
    <t>https://thumb.tapecontent.net/thumb/XyzVlPmW32iDydv/bQqa31eLdBcP94y.jpg</t>
  </si>
  <si>
    <t>Dainty Wilder - 89040537 - Onlyfans.jpg</t>
  </si>
  <si>
    <t>https://doodstream.com/d/mvu8da6lk6v3/</t>
  </si>
  <si>
    <t>https://lulustream.com/d/y2iv8zw2ww5t</t>
  </si>
  <si>
    <t>#blowjob #anal #teen #bigtits</t>
  </si>
  <si>
    <t>https://thumb.tapecontent.net/thumb/QepAllZPqBf0bMb/xvpvq0pOJaUkggB.jpg</t>
  </si>
  <si>
    <t>Dainty Wilder - 89256519 - Onlyfans - Caryn Beaumont.jpg</t>
  </si>
  <si>
    <t>https://doodstream.com/d/srl6id3e6sve/</t>
  </si>
  <si>
    <t>https://lulustream.com/d/yy284lgr2dup</t>
  </si>
  <si>
    <t>#Anal, #BigTits, #Lesbian, #Bigass, #Teen, #Squirt, #Teens</t>
  </si>
  <si>
    <t>#Anal #BigTits #Lesbian #Bigass</t>
  </si>
  <si>
    <t>https://thumb.tapecontent.net/thumb/PWv3K3vBxmU07M7/Qyjm9jKVXVs0YDr.jpg</t>
  </si>
  <si>
    <t>Dainty Wilder - 89850398 - Onlyfans.jpg</t>
  </si>
  <si>
    <t>https://doodstream.com/d/ot58q2ptj0go/</t>
  </si>
  <si>
    <t>https://lulustream.com/d/npgiso9cypv2</t>
  </si>
  <si>
    <t>#teen #anal #bigtits #blowjob</t>
  </si>
  <si>
    <t>https://thumb.tapecontent.net/thumb/ZKRKYbPrdOs7zl/Ga1aO29Yk6f1gjb.jpg</t>
  </si>
  <si>
    <t>Dainty Wilder - 90178666 - Onlyfans.jpg</t>
  </si>
  <si>
    <t>https://doodstream.com/d/yjk5c2lp0b26/</t>
  </si>
  <si>
    <t>https://lulustream.com/d/ofo1ly6bg60m</t>
  </si>
  <si>
    <t>#teen #roleplay #bigtits #facial</t>
  </si>
  <si>
    <t>https://thumb.tapecontent.net/thumb/6op0mXk9k0se39/27W3r7m3ZdHZlY3.jpg</t>
  </si>
  <si>
    <t>Dainty Wilder - 91661936 - ripnsfw.com.jpg</t>
  </si>
  <si>
    <t>https://doodstream.com/d/83267rqdudmz/</t>
  </si>
  <si>
    <t>https://lulustream.com/d/llz6g3hvo265</t>
  </si>
  <si>
    <t>#BigTits, #Teen, #Squirt, #Solo</t>
  </si>
  <si>
    <t>#BigTits #Teen #Squirt #Solo</t>
  </si>
  <si>
    <t>https://thumb.tapecontent.net/thumb/pj3LQa1q1rsre7o/KqKMmA9mxWUDQK.jpg</t>
  </si>
  <si>
    <t>Dainty Wilder - 94217019 - Onlyfans.jpg</t>
  </si>
  <si>
    <t>https://doodstream.com/d/ah0g85d6mxrp/</t>
  </si>
  <si>
    <t>https://lulustream.com/d/gteljjx0iywq</t>
  </si>
  <si>
    <t>https://thumb.tapecontent.net/thumb/eKRRyG3QMaCYllr/qjpl8jb9djUz3PK.jpg</t>
  </si>
  <si>
    <t>Dainty Wilder - 95597183 - Onlyfans.jpg</t>
  </si>
  <si>
    <t>https://doodstream.com/d/810ggxk8hzb5/</t>
  </si>
  <si>
    <t>https://lulustream.com/d/dy4ur5ue9zig</t>
  </si>
  <si>
    <t>#teen #blowjob #bigtits #pov</t>
  </si>
  <si>
    <t>https://thumb.tapecontent.net/thumb/1jX8BYYlpMceYaj/WeAVbBzabaf01g.jpg</t>
  </si>
  <si>
    <t>Dainty Wilder - 96957950 - Onlyfans.jpg</t>
  </si>
  <si>
    <t>https://doodstream.com/d/3j7aplxcybaj/</t>
  </si>
  <si>
    <t>https://lulustream.com/d/zp80qm5e36gr</t>
  </si>
  <si>
    <t>#anal #bigtits #blowjob #teen</t>
  </si>
  <si>
    <t>https://thumb.tapecontent.net/thumb/re8jZZ0z4LtbvYo/qMYdAwPQZdfzlrj.jpg</t>
  </si>
  <si>
    <t>Dainty Wilder - 99124741 - Onlyfans - Angela White.jpg</t>
  </si>
  <si>
    <t>https://doodstream.com/d/nhr0suwnctga/</t>
  </si>
  <si>
    <t>https://lulustream.com/d/ob7xprj9u9am</t>
  </si>
  <si>
    <t>#milf #teen #brunette #bigtits</t>
  </si>
  <si>
    <t>https://thumb.tapecontent.net/thumb/mD3PgJXxJDsb3j2/LMb4xQx0y0hbLG.jpg</t>
  </si>
  <si>
    <t>Dakota Lyn - 67489905 - ripnsfw.com - Lena the plug.jpg</t>
  </si>
  <si>
    <t>https://doodstream.com/d/auq5a6a5h3db/</t>
  </si>
  <si>
    <t>https://lulustream.com/d/hsmgjgqg39ay</t>
  </si>
  <si>
    <t>#MILF, #BigTits, #Hardcore, #Threesome, #Bigass, #Teen, #Blowjob, #Amateur, #Hotwife, #Deepthroat, #Blonde</t>
  </si>
  <si>
    <t>#MILF #BigTits #Hardcore #Threesome #Bigass #Teen #Blowjob #Amateur #Hotwife #Deepthroat</t>
  </si>
  <si>
    <t>https://thumb.tapecontent.net/thumb/MegMWjyZ1LTmgPZ/OXxy1amawRHG02.jpg</t>
  </si>
  <si>
    <t>Dallas - 45043928 - ripnsfw.com.jpg</t>
  </si>
  <si>
    <t>https://doodstream.com/d/wcxucxau7tqv/</t>
  </si>
  <si>
    <t>https://lulustream.com/d/ak0tglveosl9</t>
  </si>
  <si>
    <t>#Anal, #BigTits, #Casting, #Hardcore, #Bigass, #Porn, #Teen, #Blowjob, #Deepthroat, #Blonde, #Facial</t>
  </si>
  <si>
    <t>#Anal #BigTits #Casting #Hardcore</t>
  </si>
  <si>
    <t>https://thumb.tapecontent.net/thumb/R6bLDpmKVxSB6z/4xmZ6WKwDmcKbLP.jpg</t>
  </si>
  <si>
    <t>Dani Daniels - 10120271 - Onlyfans.jpg</t>
  </si>
  <si>
    <t>https://doodstream.com/d/vod7pm7zd9hd/</t>
  </si>
  <si>
    <t>https://lulustream.com/d/yeerormy3syl</t>
  </si>
  <si>
    <t>#milf #bigtits #bigass #solo</t>
  </si>
  <si>
    <t>https://thumb.tapecontent.net/thumb/GeLlxkL4alT1e3g/vKzWePJZXkCB8x.jpg</t>
  </si>
  <si>
    <t>Dani Daniels - 10192788 - Onlyfans.jpg</t>
  </si>
  <si>
    <t>https://doodstream.com/d/r3pyp6uz3j1j/</t>
  </si>
  <si>
    <t>https://lulustream.com/d/2ldbajithi1w</t>
  </si>
  <si>
    <t>#milf #bigass #blowjob #bigtits</t>
  </si>
  <si>
    <t>https://thumb.tapecontent.net/thumb/R6QeKeRY4JHde8K/LJ4GVZVB2ksZGY.jpg</t>
  </si>
  <si>
    <t>Dani Daniels - 11866682 - Onlyfans.jpg</t>
  </si>
  <si>
    <t>https://doodstream.com/d/tbbuisudq580/</t>
  </si>
  <si>
    <t>https://lulustream.com/d/7bybkabcybzq</t>
  </si>
  <si>
    <t>#MILF, #BigTits, #Bigass, #Roleplay</t>
  </si>
  <si>
    <t>#MILF #BigTits #Bigass #Roleplay</t>
  </si>
  <si>
    <t>https://thumb.tapecontent.net/thumb/XPgPxkDr2WfD9DP/vkklYklLjBI4xq7.jpg</t>
  </si>
  <si>
    <t>Dani Daniels - 12294589 - ripnsfw.com.jpg</t>
  </si>
  <si>
    <t>https://doodstream.com/d/e9bw5kklu3f3/</t>
  </si>
  <si>
    <t>https://lulustream.com/d/vp6jsr9vdowt</t>
  </si>
  <si>
    <t>#MILF, #BigTits, #Bigass, #Roleplay, #Solo</t>
  </si>
  <si>
    <t>#MILF #BigTits #Bigass #Roleplay #Solo</t>
  </si>
  <si>
    <t>https://thumb.tapecontent.net/thumb/P7GOq7jBMKIGdM/gwGX9LvKwDsqWzx.jpg</t>
  </si>
  <si>
    <t>Dani Daniels - 12369492 - Onlyfans.jpg</t>
  </si>
  <si>
    <t>https://doodstream.com/d/3y11nzyqb6z7/</t>
  </si>
  <si>
    <t>https://lulustream.com/d/ehw51jt3pusj</t>
  </si>
  <si>
    <t>https://thumb.tapecontent.net/thumb/Z3y2p0JvoJIqz4G/y0rQKgV81pT1Ddz.jpg</t>
  </si>
  <si>
    <t>Dani Daniels - 12709167 - Onlyfans.jpg</t>
  </si>
  <si>
    <t>https://doodstream.com/d/ervqfwmi4pi9/</t>
  </si>
  <si>
    <t>https://lulustream.com/d/uav84pjl0pdm</t>
  </si>
  <si>
    <t>https://thumb.tapecontent.net/thumb/K4LPeqWo6yt0kyx/xOQpYZp7wxikamZ.jpg</t>
  </si>
  <si>
    <t>Dani Daniels - 13782221 - Onlyfans - Cherie Deville.jpg</t>
  </si>
  <si>
    <t>https://doodstream.com/d/hh9m7mu8mhmr/</t>
  </si>
  <si>
    <t>https://lulustream.com/d/ghed4u47zkmj</t>
  </si>
  <si>
    <t>#milf #bigtits #lesbian #bigass</t>
  </si>
  <si>
    <t>https://thumb.tapecontent.net/thumb/3waYYyqqK8f6gB/R99rv38PQOTd87Q.jpg</t>
  </si>
  <si>
    <t>Dani Daniels - 14936776 - Onlyfans.jpg</t>
  </si>
  <si>
    <t>https://doodstream.com/d/360im8mcesgh/</t>
  </si>
  <si>
    <t>https://lulustream.com/d/oya66nwviqw8</t>
  </si>
  <si>
    <t>https://thumb.tapecontent.net/thumb/6a7abl1w0lu920m/Xr2XopLqjWtAK1.jpg</t>
  </si>
  <si>
    <t>Dani Daniels - 15548161 - ripnsfw.com.jpg</t>
  </si>
  <si>
    <t>https://doodstream.com/d/ybi5rvj7o89u/</t>
  </si>
  <si>
    <t>https://lulustream.com/d/pisxxxsrjmil</t>
  </si>
  <si>
    <t>#MILF, #BigTits, #Bigass, #Solo</t>
  </si>
  <si>
    <t>#MILF #BigTits #Bigass #Solo</t>
  </si>
  <si>
    <t>https://thumb.tapecontent.net/thumb/bRjkvBXeRacPkDW/br6mj2dXMktLMe.jpg</t>
  </si>
  <si>
    <t>Dani Daniels - 15968493 - ripnsfw.com.jpg</t>
  </si>
  <si>
    <t>https://doodstream.com/d/c5xwvfp9ecwx/</t>
  </si>
  <si>
    <t>https://lulustream.com/d/zc6ahfmymiuw</t>
  </si>
  <si>
    <t>https://thumb.tapecontent.net/thumb/A1W8gdVY04sXle6/rJMJrd1JvMubpxd.jpg</t>
  </si>
  <si>
    <t>Dani Daniels - 16461556 - ripnsfw.com.jpg</t>
  </si>
  <si>
    <t>https://doodstream.com/d/uhz6uvma9ird/</t>
  </si>
  <si>
    <t>https://lulustream.com/d/ofjl3rqxyzh2</t>
  </si>
  <si>
    <t>#MILF, #BigTits, #Bigass, #Roleplay, #Blowjob, #Solo</t>
  </si>
  <si>
    <t>#MILF #BigTits #Bigass #Roleplay #Blowjob #Solo</t>
  </si>
  <si>
    <t>https://thumb.tapecontent.net/thumb/d8DQWG0mA0U1zz/qKM8140mVeSzBRx.jpg</t>
  </si>
  <si>
    <t>Dani Daniels - 18551184 - Onlyfans.jpg</t>
  </si>
  <si>
    <t>https://doodstream.com/d/jb2zpm8qrsln/</t>
  </si>
  <si>
    <t>https://lulustream.com/d/snxwe34m0aye</t>
  </si>
  <si>
    <t>https://thumb.tapecontent.net/thumb/R4Pqaoal2gudo2e/2rv4mZbqGxTZ4o3.jpg</t>
  </si>
  <si>
    <t>Dani Daniels - 20554155 - Onlyfans.jpg</t>
  </si>
  <si>
    <t>https://doodstream.com/d/lpsajp6gp7zi/</t>
  </si>
  <si>
    <t>https://lulustream.com/d/r5nheiiyuybu</t>
  </si>
  <si>
    <t>#creampie #milf #bigtits #bigass</t>
  </si>
  <si>
    <t>https://thumb.tapecontent.net/thumb/k3yzVapOjGuOvkz/6xKRax39XLCeAB.jpg</t>
  </si>
  <si>
    <t>Dani Daniels - 21193358 - Onlyfans - Cherie Deville.jpg</t>
  </si>
  <si>
    <t>https://doodstream.com/d/bpb1woozexjw/</t>
  </si>
  <si>
    <t>https://lulustream.com/d/nfdi9dazw1h6</t>
  </si>
  <si>
    <t>#milf #bigtits #bigass #lesbian</t>
  </si>
  <si>
    <t>https://thumb.tapecontent.net/thumb/4xDPD2mPG9Fp7z/OqvwMPmaMvHZv0k.jpg</t>
  </si>
  <si>
    <t>Dani Daniels - 21877820 - ripnsfw.com.jpg</t>
  </si>
  <si>
    <t>https://doodstream.com/d/msxoqzgf3r9m/</t>
  </si>
  <si>
    <t>https://lulustream.com/d/r9rii0q5acpp</t>
  </si>
  <si>
    <t>https://thumb.tapecontent.net/thumb/jl0wmB6bYDuzjj3/vz0Ax2WA4ZU4mrv.jpg</t>
  </si>
  <si>
    <t>Dani Daniels - 23174622 - ripnsfw.com.jpg</t>
  </si>
  <si>
    <t>https://doodstream.com/d/yfiq1lkj9i5q/</t>
  </si>
  <si>
    <t>https://lulustream.com/d/bh3owo0s3t7w</t>
  </si>
  <si>
    <t>#MILF, #BigTits, #Bigass, #Blowjob, #Solo</t>
  </si>
  <si>
    <t>#MILF #BigTits #Bigass #Blowjob</t>
  </si>
  <si>
    <t>https://thumb.tapecontent.net/thumb/mQL01ara8zFbK48/XJLyQgJVDKUWV3.jpg</t>
  </si>
  <si>
    <t>Dani Daniels - 23640136 - Onlyfans.jpg</t>
  </si>
  <si>
    <t>https://doodstream.com/d/mi5v5zzxbhrt/</t>
  </si>
  <si>
    <t>https://lulustream.com/d/73ltgtimclqj</t>
  </si>
  <si>
    <t>https://thumb.tapecontent.net/thumb/VPVapxj6AwUKwQ6/kzb1AQ4lBkfOg9G.jpg</t>
  </si>
  <si>
    <t>Dani Daniels - 24938224 - Onlyfans.jpg</t>
  </si>
  <si>
    <t>https://doodstream.com/d/fp3lru5wjosv/</t>
  </si>
  <si>
    <t>https://lulustream.com/d/cz8du1fy9310</t>
  </si>
  <si>
    <t>https://thumb.tapecontent.net/thumb/a0DPD0glgAHbaR/xvbo46OY2WTkAzx.jpg</t>
  </si>
  <si>
    <t>Dani Daniels - 24947976 - Onlyfans.jpg</t>
  </si>
  <si>
    <t>https://doodstream.com/d/7ji2jtn3e4if/</t>
  </si>
  <si>
    <t>https://lulustream.com/d/j6il4dcvsnmh</t>
  </si>
  <si>
    <t>#milf #bigass #bigtits #solo</t>
  </si>
  <si>
    <t>https://thumb.tapecontent.net/thumb/2BMO8vba6duZloY/aoJ9woyp02uQPB.jpg</t>
  </si>
  <si>
    <t>Dani Daniels - 25310723 - Onlyfans.jpg</t>
  </si>
  <si>
    <t>https://doodstream.com/d/b508bb9n1yji/</t>
  </si>
  <si>
    <t>https://lulustream.com/d/0zlh4l2d8ml2</t>
  </si>
  <si>
    <t>#milf #blowjob #bigtits #pov</t>
  </si>
  <si>
    <t>https://thumb.tapecontent.net/thumb/VXaYO0g0KLSKKmB/brLDGJjDjxsPy3l.jpg</t>
  </si>
  <si>
    <t>Dani Daniels - 25442564 - ripnsfw.com.jpg</t>
  </si>
  <si>
    <t>https://doodstream.com/d/37e33pqxc4ff/</t>
  </si>
  <si>
    <t>https://lulustream.com/d/y8vn02udshuh</t>
  </si>
  <si>
    <t>#MILF, #BigTits, #Creampie, #Hardcore, #Bigass, #Blowjob, #Amateur, #Hotwife</t>
  </si>
  <si>
    <t>https://thumb.tapecontent.net/thumb/R4KzLLkGypcdddY/w7KBABbOMgcJqLq.jpg</t>
  </si>
  <si>
    <t>Dani Daniels - 26059965 - Onlyfans.jpg</t>
  </si>
  <si>
    <t>https://doodstream.com/d/pzq4hlrfzxlm/</t>
  </si>
  <si>
    <t>https://lulustream.com/d/utmmxrolpdfv</t>
  </si>
  <si>
    <t>#MILF, #BigTits, #Bigass, #Blowjob</t>
  </si>
  <si>
    <t>https://thumb.tapecontent.net/thumb/KydkRw91ejFa4Q/eKorQpZ6Z2sYbkB.jpg</t>
  </si>
  <si>
    <t>Dani Daniels - 26780664 - Onlyfans.jpg</t>
  </si>
  <si>
    <t>https://doodstream.com/d/tdhaz0hzmul3/</t>
  </si>
  <si>
    <t>https://lulustream.com/d/qifdjtxzenea</t>
  </si>
  <si>
    <t>https://thumb.tapecontent.net/thumb/m3mxGor4X0fbmYj/xrXPXJGbdlhk2Yx.jpg</t>
  </si>
  <si>
    <t>Dani Daniels - 28431182 - Onlyfans.jpg</t>
  </si>
  <si>
    <t>https://doodstream.com/d/uucpitkmed9f/</t>
  </si>
  <si>
    <t>https://lulustream.com/d/pixxv5izqsoc</t>
  </si>
  <si>
    <t>#bigtits #milf #joi #bigass</t>
  </si>
  <si>
    <t>https://thumb.tapecontent.net/thumb/goaxZWaw49Uq0lv/xvKgRK0egWFk20Q.jpg</t>
  </si>
  <si>
    <t>Dani Daniels - 30012565 - Onlyfans.jpg</t>
  </si>
  <si>
    <t>https://doodstream.com/d/3j2vigss2usf/</t>
  </si>
  <si>
    <t>https://lulustream.com/d/amx0fxs36r1j</t>
  </si>
  <si>
    <t>#milf #bigtits #creampie #hardcore</t>
  </si>
  <si>
    <t>https://thumb.tapecontent.net/thumb/2bjV2qdMXZIj92/Y1bkjxbPm2h60w.jpg</t>
  </si>
  <si>
    <t>Dani Daniels - 30908064 - Onlyfans.jpg</t>
  </si>
  <si>
    <t>https://doodstream.com/d/q8sd0ulyq584/</t>
  </si>
  <si>
    <t>https://lulustream.com/d/zzu2fnzlzmiq</t>
  </si>
  <si>
    <t>#MILF, #BigTits, #Bigass, #Stepmom, #Blowjob, #Amateur</t>
  </si>
  <si>
    <t>#MILF #BigTits #Bigass #Stepmom</t>
  </si>
  <si>
    <t>https://thumb.tapecontent.net/thumb/kkXZgJklDKUOxqp/vPJar6akb4T4gde.jpg</t>
  </si>
  <si>
    <t>Dani Daniels - 32212857 - Onlyfans.jpg</t>
  </si>
  <si>
    <t>https://doodstream.com/d/x2y3g8aqlax3/</t>
  </si>
  <si>
    <t>https://lulustream.com/d/apry7fhwdr0q</t>
  </si>
  <si>
    <t>https://thumb.tapecontent.net/thumb/6XzlpqXDqPh9zQ9/y7K07L9x7bU1AXd.jpg</t>
  </si>
  <si>
    <t>Dani Daniels - 32498568 - Onlyfans.jpg</t>
  </si>
  <si>
    <t>https://doodstream.com/d/l0aps3gvcv6e/</t>
  </si>
  <si>
    <t>https://lulustream.com/d/ruosu9zgkm9e</t>
  </si>
  <si>
    <t>https://thumb.tapecontent.net/thumb/D0OGrrJDyRfkgjy/9q4mZjA79YHYA2.jpg</t>
  </si>
  <si>
    <t>Dani Daniels - 32595635 - Onlyfans.jpg</t>
  </si>
  <si>
    <t>https://doodstream.com/d/gw6zhhnckb0g/</t>
  </si>
  <si>
    <t>https://lulustream.com/d/lznr10d5u5xw</t>
  </si>
  <si>
    <t>https://thumb.tapecontent.net/thumb/Yw17K8XxMpcvDyV/bGKwwLPY24IPVb0.jpg</t>
  </si>
  <si>
    <t>Dani Daniels - 33684637 - Onlyfans.jpg</t>
  </si>
  <si>
    <t>https://doodstream.com/d/d8seuoxurizi/</t>
  </si>
  <si>
    <t>https://lulustream.com/d/ko5bfrk733v3</t>
  </si>
  <si>
    <t>#milf #bigtits #creampie #bigass</t>
  </si>
  <si>
    <t>https://thumb.tapecontent.net/thumb/vPzblYxBKWH4mJr/dvXBzWdmdxskrQ8.jpg</t>
  </si>
  <si>
    <t>Dani Daniels - 34237053 - Onlyfans.jpg</t>
  </si>
  <si>
    <t>https://doodstream.com/d/ljmt3r9l3i1c/</t>
  </si>
  <si>
    <t>https://lulustream.com/d/v82g63k39nb6</t>
  </si>
  <si>
    <t>https://thumb.tapecontent.net/thumb/81amJvM0QGioKRQ/j4mr7V1KKWIzwjv.jpg</t>
  </si>
  <si>
    <t>Dani Daniels - 34410908 - ripnsfw.com.jpg</t>
  </si>
  <si>
    <t>https://doodstream.com/d/ig80fqyv5hov/</t>
  </si>
  <si>
    <t>https://lulustream.com/d/zu5blo9mcnoc</t>
  </si>
  <si>
    <t>#MILF, #BigTits, #Bigass, #Solo, #Public</t>
  </si>
  <si>
    <t>https://thumb.tapecontent.net/thumb/qg7PqyWjpmTzQx6/gly1Bx6KpVfvdp.jpg</t>
  </si>
  <si>
    <t>Dani Daniels - 36451659 - Onlyfans.jpg</t>
  </si>
  <si>
    <t>https://doodstream.com/d/pijpw3q174ja/</t>
  </si>
  <si>
    <t>https://lulustream.com/d/v5zr365oipr0</t>
  </si>
  <si>
    <t>https://thumb.tapecontent.net/thumb/zVODAr3ryxtYlLK/wPQwDXbdO0iJOrA.jpg</t>
  </si>
  <si>
    <t>Dani Daniels - 36544901 - ripnsfw.com.jpg</t>
  </si>
  <si>
    <t>https://doodstream.com/d/y89awizlixgl/</t>
  </si>
  <si>
    <t>https://lulustream.com/d/m3sg8orqd73j</t>
  </si>
  <si>
    <t>https://thumb.tapecontent.net/thumb/lgP0Ae6pMjCz3L/ag2GZOrR2Ycx3xB.jpg</t>
  </si>
  <si>
    <t>Dani Daniels - 36758110 - Onlyfans.jpg</t>
  </si>
  <si>
    <t>https://doodstream.com/d/5jepz8xgymo8/</t>
  </si>
  <si>
    <t>https://lulustream.com/d/zfuybhap64cj</t>
  </si>
  <si>
    <t>https://thumb.tapecontent.net/thumb/Wpv8Bd06ldtb3oL/DeVMBpDYb3FkpYB.jpg</t>
  </si>
  <si>
    <t>Dani Daniels - 36918464 - ripnsfw.com.jpg</t>
  </si>
  <si>
    <t>https://doodstream.com/d/rvkdjd98z7e6/</t>
  </si>
  <si>
    <t>https://lulustream.com/d/848yi00zp3o4</t>
  </si>
  <si>
    <t>#MILF, #BigTits, #Bigass, #Blowjob, #Amateur, #Hotwife</t>
  </si>
  <si>
    <t>#MILF #BigTits #Bigass #Blowjob #Amateur #Hotwife</t>
  </si>
  <si>
    <t>https://thumb.tapecontent.net/thumb/oGQWKlyDxMsJ1Zl/wGoppOwKPJcxVB.jpg</t>
  </si>
  <si>
    <t>Dani Daniels - 37638420 - ripnsfw.com.jpg</t>
  </si>
  <si>
    <t>https://doodstream.com/d/jprbpg7kij2q/</t>
  </si>
  <si>
    <t>https://lulustream.com/d/obmo5fu1ltvo</t>
  </si>
  <si>
    <t>https://thumb.tapecontent.net/thumb/vrW09AP1Ljs41ZW/DWQrWrd3rYsDYB.jpg</t>
  </si>
  <si>
    <t>Dani Daniels - 38519286 - Onlyfans.jpg</t>
  </si>
  <si>
    <t>https://doodstream.com/d/fdpe7nkju0tz/</t>
  </si>
  <si>
    <t>https://lulustream.com/d/q1yo4r0vv4t2</t>
  </si>
  <si>
    <t>https://thumb.tapecontent.net/thumb/AXWvOaeMj9tX3mJ/Dzx4YzAw6ytkM7e.jpg</t>
  </si>
  <si>
    <t>Dani Daniels - 39177375 - ripnsfw.com.jpg</t>
  </si>
  <si>
    <t>https://doodstream.com/d/05uoifuwd7dd/</t>
  </si>
  <si>
    <t>https://lulustream.com/d/ta9dv9rckmk0</t>
  </si>
  <si>
    <t>https://thumb.tapecontent.net/thumb/RW2gyraM1wsdRZ1/YGzZvjxvQLCLqD.jpg</t>
  </si>
  <si>
    <t>Dani Daniels - 39608022 - Onlyfans.jpg</t>
  </si>
  <si>
    <t>https://doodstream.com/d/n69ohnc0bfxg/</t>
  </si>
  <si>
    <t>https://lulustream.com/d/vep3s1mm3erz</t>
  </si>
  <si>
    <t>https://thumb.tapecontent.net/thumb/PZg3GkvBd8hDQ4/M6o7wZllDGCmmKa.jpg</t>
  </si>
  <si>
    <t>Dani Daniels - 40739253 - Onlyfans.jpg</t>
  </si>
  <si>
    <t>https://doodstream.com/d/7ay4s5cc4ea5/</t>
  </si>
  <si>
    <t>https://lulustream.com/d/h5huijo5gx3f</t>
  </si>
  <si>
    <t>https://thumb.tapecontent.net/thumb/mPBvKP9B7XIbA7R/kPpWKOqBJqSykB.jpg</t>
  </si>
  <si>
    <t>Dani Daniels - 41251325 - ripnsfw.com.jpg</t>
  </si>
  <si>
    <t>https://doodstream.com/d/0p8xur8ykswz/</t>
  </si>
  <si>
    <t>https://lulustream.com/d/d7gy8w4q5vex</t>
  </si>
  <si>
    <t>https://thumb.tapecontent.net/thumb/9qmObQpB0LfaMW1/pDlAXqjjGRir4Me.jpg</t>
  </si>
  <si>
    <t>Dani Daniels - 42052345 - ripnsfw.com.jpg</t>
  </si>
  <si>
    <t>https://doodstream.com/d/1gy1i67uqhnf/</t>
  </si>
  <si>
    <t>https://lulustream.com/d/5wy5emvbfkal</t>
  </si>
  <si>
    <t>https://thumb.tapecontent.net/thumb/K7y8B7Gxm1u0dld/LkAWVY3ZM0FRVmB.jpg</t>
  </si>
  <si>
    <t>Dani Daniels - 42529421 - ripnsfw.com.jpg</t>
  </si>
  <si>
    <t>https://doodstream.com/d/4qgallaq4bku/</t>
  </si>
  <si>
    <t>https://lulustream.com/d/3n0pwpbcel94</t>
  </si>
  <si>
    <t>https://thumb.tapecontent.net/thumb/BXpRomyvpQUyd86/GXqX2eGBg2F1e98.jpg</t>
  </si>
  <si>
    <t>Dani Daniels - 42870284 - ripnsfw.com.jpg</t>
  </si>
  <si>
    <t>https://doodstream.com/d/p5kpigl80z4x/</t>
  </si>
  <si>
    <t>https://lulustream.com/d/fukg5kuqabll</t>
  </si>
  <si>
    <t>https://thumb.tapecontent.net/thumb/9OMgaemyqYC9pM/LkML206Zp8f4xy.jpg</t>
  </si>
  <si>
    <t>Dani Daniels - 42919483 - Onlyfans.jpg</t>
  </si>
  <si>
    <t>https://doodstream.com/d/r9qadgshkyiq/</t>
  </si>
  <si>
    <t>https://lulustream.com/d/zqbyp6nhkxqp</t>
  </si>
  <si>
    <t>https://thumb.tapecontent.net/thumb/gPq7RPaQkZFqRbB/W6K6zWG4bOIb3L4.jpg</t>
  </si>
  <si>
    <t>Dani Daniels - 42956171 - Onlyfans.jpg</t>
  </si>
  <si>
    <t>https://doodstream.com/d/vhhvgniborwr/</t>
  </si>
  <si>
    <t>https://lulustream.com/d/bpfgllsm38r1</t>
  </si>
  <si>
    <t>#milf #roleplay #blowjob #bigtits</t>
  </si>
  <si>
    <t>https://thumb.tapecontent.net/thumb/kPrkarROomUOgA1/LLLgjZ1vqvu6rO.jpg</t>
  </si>
  <si>
    <t>Dani Daniels - 43341333 - Onlyfans.jpg</t>
  </si>
  <si>
    <t>https://doodstream.com/d/fib5n1iiyunz/</t>
  </si>
  <si>
    <t>https://lulustream.com/d/sd4ei0ivpt8m</t>
  </si>
  <si>
    <t>https://thumb.tapecontent.net/thumb/2LqKzapqvoCAqj/ow8DaepaL2fJgjb.jpg</t>
  </si>
  <si>
    <t>Dani Daniels - 43357088 - Onlyfans.jpg</t>
  </si>
  <si>
    <t>https://doodstream.com/d/qiwhfj65idwd/</t>
  </si>
  <si>
    <t>https://lulustream.com/d/0mkudbtn5hl5</t>
  </si>
  <si>
    <t>#milf #bigtits #solo #bigass</t>
  </si>
  <si>
    <t>https://thumb.tapecontent.net/thumb/PWV43mgA7aF0PXR/yVO1KPm2K6t1Raq.jpg</t>
  </si>
  <si>
    <t>Dani Daniels - 44166498 - Onlyfans.jpg</t>
  </si>
  <si>
    <t>https://doodstream.com/d/d03ykucb3wgn/</t>
  </si>
  <si>
    <t>https://lulustream.com/d/1ls7im9klq01</t>
  </si>
  <si>
    <t>#MILF, #BigTits, #Bigass, #Roleplay, #Stepmom, #Solo</t>
  </si>
  <si>
    <t>https://thumb.tapecontent.net/thumb/rg0Rww7gwPsbmGP/4BG4Rap37eCK0AG.jpg</t>
  </si>
  <si>
    <t>Dani Daniels - 44807966 - Onlyfans.jpg</t>
  </si>
  <si>
    <t>https://doodstream.com/d/k6goa230hp6x/</t>
  </si>
  <si>
    <t>https://lulustream.com/d/u8yzw73zt9os</t>
  </si>
  <si>
    <t>#milf #bigtits #blowjob #bigass</t>
  </si>
  <si>
    <t>https://thumb.tapecontent.net/thumb/1boLRRVbwGsekm3/jj0XlR4X2pSz3WG.jpg</t>
  </si>
  <si>
    <t>Dani Daniels - 46535961 - Onlyfans.jpg</t>
  </si>
  <si>
    <t>https://doodstream.com/d/nlwcuw5kzb9g/</t>
  </si>
  <si>
    <t>https://lulustream.com/d/vu2pexu7nvhs</t>
  </si>
  <si>
    <t>https://thumb.tapecontent.net/thumb/AkqLDXbkbMuDRy/A6WYJ6mzmacXR6W.jpg</t>
  </si>
  <si>
    <t>Dani Daniels - 47568354 - Onlyfans.jpg</t>
  </si>
  <si>
    <t>https://doodstream.com/d/2q0oxfqd5yr7/</t>
  </si>
  <si>
    <t>https://lulustream.com/d/x14rpcdgb4c5</t>
  </si>
  <si>
    <t>https://thumb.tapecontent.net/thumb/AA28D3KLokiXlO2/6RalP6PR07t984r.jpg</t>
  </si>
  <si>
    <t>Dani Daniels - 47942974 - Onlyfans.jpg</t>
  </si>
  <si>
    <t>https://doodstream.com/d/veik6uw0apkm/</t>
  </si>
  <si>
    <t>https://lulustream.com/d/dtluea2ik27d</t>
  </si>
  <si>
    <t>#milf #bigass #blowjob #brunette</t>
  </si>
  <si>
    <t>https://thumb.tapecontent.net/thumb/wrwAJ39kVjspxG/zDkD2BYXl4TYAL2.jpg</t>
  </si>
  <si>
    <t>Dani Daniels - 48386737 - Onlyfans.jpg</t>
  </si>
  <si>
    <t>https://doodstream.com/d/c36hbo1g0gvx/</t>
  </si>
  <si>
    <t>https://lulustream.com/d/hxyp7j0170in</t>
  </si>
  <si>
    <t>#milf #bigtits #bigass #joi</t>
  </si>
  <si>
    <t>https://thumb.tapecontent.net/thumb/xb0aZA0v2rskWD8/A2O9oz7DrDIXOmZ.jpg</t>
  </si>
  <si>
    <t>Dani Daniels - 48767448 - ripnsfw.com.jpg</t>
  </si>
  <si>
    <t>https://doodstream.com/d/97w4yrcp4i41/</t>
  </si>
  <si>
    <t>https://lulustream.com/d/qkqix9lreik7</t>
  </si>
  <si>
    <t>#MILF, #BigTits, #Roleplay, #Solo</t>
  </si>
  <si>
    <t>https://thumb.tapecontent.net/thumb/e4d88yR0kLtYd4Z/zXZDK7Ak66fG2Y.jpg</t>
  </si>
  <si>
    <t>Dani Daniels - 49151166 - Onlyfans.jpg</t>
  </si>
  <si>
    <t>https://doodstream.com/d/p2sthnpnmv3x/</t>
  </si>
  <si>
    <t>https://lulustream.com/d/t5437e6mdz6y</t>
  </si>
  <si>
    <t>https://thumb.tapecontent.net/thumb/M6aXGYXkywHGe4/JDYYKAkJXoCVWp.jpg</t>
  </si>
  <si>
    <t>Dani Daniels - 49253459 - ripnsfw.com.jpg</t>
  </si>
  <si>
    <t>https://doodstream.com/d/pdrrxidndfin/</t>
  </si>
  <si>
    <t>https://lulustream.com/d/4s9yan8wgi8c</t>
  </si>
  <si>
    <t>https://thumb.tapecontent.net/thumb/z6W2eZdQjXcY3jB/W89JyOWyyZUbKPM.jpg</t>
  </si>
  <si>
    <t>Dani Daniels - 50955700 - Onlyfans.jpg</t>
  </si>
  <si>
    <t>https://doodstream.com/d/pu88amkb9myx/</t>
  </si>
  <si>
    <t>https://lulustream.com/d/o23uan9ic3dy</t>
  </si>
  <si>
    <t>#MILF, #BigTits, #Creampie, #Hardcore, #Bigass, #Stepmom, #Blowjob, #Amateur, #Mature</t>
  </si>
  <si>
    <t>#MILF #BigTits #Creampie #Hardcore #Bigass #Stepmom #Blowjob #Amateur #Mature</t>
  </si>
  <si>
    <t>https://thumb.tapecontent.net/thumb/3q7eqDYqgehdvjl/LYqpJzRMkQuZzx.jpg</t>
  </si>
  <si>
    <t>Dani Daniels - 51399692 - ripnsfw.com.jpg</t>
  </si>
  <si>
    <t>https://doodstream.com/d/4froz14hxhqb/</t>
  </si>
  <si>
    <t>https://lulustream.com/d/ffr0wrkvv1nr</t>
  </si>
  <si>
    <t>https://thumb.tapecontent.net/thumb/Bz8GWr43aRuy4a6/lDLXlgmpM0f7pWd.jpg</t>
  </si>
  <si>
    <t>Dani Daniels - 52597804 - Onlyfans.jpg</t>
  </si>
  <si>
    <t>https://doodstream.com/d/yo7tqr4o5d28/</t>
  </si>
  <si>
    <t>https://lulustream.com/d/4r07zexgcq2w</t>
  </si>
  <si>
    <t>#MILF, #BigTits, #Bigass, #Roleplay, #Squirt, #Stepmom, #Solo, #Hotwife</t>
  </si>
  <si>
    <t>https://thumb.tapecontent.net/thumb/akbGAy1GKLcxKZa/26BDrYQ7e2FR1a.jpg</t>
  </si>
  <si>
    <t>Dani Daniels - 53224351 - Onlyfans.jpg</t>
  </si>
  <si>
    <t>https://doodstream.com/d/vaq6qcd2h1vl/</t>
  </si>
  <si>
    <t>https://lulustream.com/d/0r17nhx9cb6y</t>
  </si>
  <si>
    <t>https://thumb.tapecontent.net/thumb/R4LBJj31Z9sBGB/LVjZMZVvb1uvXe.jpg</t>
  </si>
  <si>
    <t>Dani Daniels - 53635031 - Onlyfans.jpg</t>
  </si>
  <si>
    <t>https://doodstream.com/d/lqr0djr2bzcz/</t>
  </si>
  <si>
    <t>https://lulustream.com/d/bfh5r8zhmfh2</t>
  </si>
  <si>
    <t>https://thumb.tapecontent.net/thumb/y24Xed8YJGs18D4/ykX1jqAJGpT32a.jpg</t>
  </si>
  <si>
    <t>Dani Daniels - 54852918 - ripnsfw.com.jpg</t>
  </si>
  <si>
    <t>https://doodstream.com/d/5i6nztxu1fir/</t>
  </si>
  <si>
    <t>https://lulustream.com/d/le63ce74zs8r</t>
  </si>
  <si>
    <t>#MILF, #BigTits, #Bigass, #Blowjob, #Amateur</t>
  </si>
  <si>
    <t>https://thumb.tapecontent.net/thumb/O2mr3q747gIZZ8G/GXvgaJkvOxI1KRp.jpg</t>
  </si>
  <si>
    <t>Dani Daniels - 56497943 - Onlyfans.jpg</t>
  </si>
  <si>
    <t>https://doodstream.com/d/kfaegrf72ulk/</t>
  </si>
  <si>
    <t>https://lulustream.com/d/u5hpb2flt134</t>
  </si>
  <si>
    <t>#MILF, #BigTits, #Creampie, #Hardcore, #Bigass, #Stepmom, #Amateur, #Hotwife, #Blowjob</t>
  </si>
  <si>
    <t>#MILF #BigTits #Creampie #Hardcore #Bigass #Stepmom #Amateur</t>
  </si>
  <si>
    <t>https://thumb.tapecontent.net/thumb/4W3d3DRQGmHKRqB/7KjZW3baqLTA1Rk.jpg</t>
  </si>
  <si>
    <t>Dani Daniels - 57203383 - Onlyfans.jpg</t>
  </si>
  <si>
    <t>https://doodstream.com/d/rucoerik7xco/</t>
  </si>
  <si>
    <t>https://lulustream.com/d/1hl3ws4dxdka</t>
  </si>
  <si>
    <t>#bigass #solo #milf #bigtits</t>
  </si>
  <si>
    <t>https://thumb.tapecontent.net/thumb/3JRgXQ1gklcdBg0/qvwDg9yR1bfRQg.jpg</t>
  </si>
  <si>
    <t>Dani Daniels - 58313208 - Onlyfans.jpg</t>
  </si>
  <si>
    <t>https://doodstream.com/d/ih3qzkhmpbj3/</t>
  </si>
  <si>
    <t>https://lulustream.com/d/vw4wi7f5s848</t>
  </si>
  <si>
    <t>#milf #brunette #bigass #bigtits</t>
  </si>
  <si>
    <t>https://thumb.tapecontent.net/thumb/Yw91Dvo3Y6CvlRm/Pr8lGzMK2BT0v82.jpg</t>
  </si>
  <si>
    <t>Dani Daniels - 59473752 - ripnsfw.com.jpg</t>
  </si>
  <si>
    <t>https://doodstream.com/d/22xkovsw30vf/</t>
  </si>
  <si>
    <t>https://lulustream.com/d/08yosrrwarfx</t>
  </si>
  <si>
    <t>#MILF, #BigTits, #Bigass, #Blowjob, #Amateur, #Facial</t>
  </si>
  <si>
    <t>https://thumb.tapecontent.net/thumb/2V1MkVYlyMTZD4r/lO7197jlyahaZa.jpg</t>
  </si>
  <si>
    <t>Dani Daniels - 60238559 - ripnsfw.com.jpg</t>
  </si>
  <si>
    <t>https://doodstream.com/d/54yyxmqexjth/</t>
  </si>
  <si>
    <t>https://lulustream.com/d/jcedg2y4ivd2</t>
  </si>
  <si>
    <t>https://thumb.tapecontent.net/thumb/0DJV46gexeT6Vv/oQbw6LjVYYFJ00b.jpg</t>
  </si>
  <si>
    <t>Dani Daniels - 60408971 - Onlyfans.jpg</t>
  </si>
  <si>
    <t>https://doodstream.com/d/tpibplzwmdaz/</t>
  </si>
  <si>
    <t>https://lulustream.com/d/xrg81czlhzqz</t>
  </si>
  <si>
    <t>https://thumb.tapecontent.net/thumb/09Oy1ZyBymfDZ1/69v7DZ0OqRf9XrM.jpg</t>
  </si>
  <si>
    <t>Dani Daniels - 61335376 - Onlyfans.jpg</t>
  </si>
  <si>
    <t>https://doodstream.com/d/lpullw3jlad0/</t>
  </si>
  <si>
    <t>https://lulustream.com/d/tjxvok0oyasd</t>
  </si>
  <si>
    <t>https://thumb.tapecontent.net/thumb/7k7d1eP3exFMqe/9odg38oGXASDRG.jpg</t>
  </si>
  <si>
    <t>Dani Daniels - 63122723 - Onlyfans.jpg</t>
  </si>
  <si>
    <t>https://doodstream.com/d/xxyhmq6a86c3/</t>
  </si>
  <si>
    <t>https://lulustream.com/d/p78y0draqvlx</t>
  </si>
  <si>
    <t>https://thumb.tapecontent.net/thumb/KZAaVgmzebi0d1j/G6VwobAA96Cdbj.jpg</t>
  </si>
  <si>
    <t>Dani Daniels - 64107808 - ripnsfw.com.jpg</t>
  </si>
  <si>
    <t>https://doodstream.com/d/yj5naslaahta/</t>
  </si>
  <si>
    <t>https://lulustream.com/d/0ie7wbjbtk24</t>
  </si>
  <si>
    <t>https://thumb.tapecontent.net/thumb/ezXVWb9lrJImK8/pgv3oV8gvMTr24r.jpg</t>
  </si>
  <si>
    <t>Dani Daniels - 64692416 - ripnsfw.com.jpg</t>
  </si>
  <si>
    <t>https://doodstream.com/d/ft4sj1zzcn3n/</t>
  </si>
  <si>
    <t>https://lulustream.com/d/3jwfz6lq1mzw</t>
  </si>
  <si>
    <t>#MILF, #BigTits, #Hardcore, #Bigass, #Blowjob, #Amateur, #Hotwife</t>
  </si>
  <si>
    <t>https://thumb.tapecontent.net/thumb/z6p4kLZD8pTYal1/qJYRQdea41IzmAl.jpg</t>
  </si>
  <si>
    <t>Dani Daniels - 64808876 - Onlyfans.jpg</t>
  </si>
  <si>
    <t>https://doodstream.com/d/7sauzo2y9xq0/</t>
  </si>
  <si>
    <t>https://lulustream.com/d/6dl1f7xhoss2</t>
  </si>
  <si>
    <t>https://thumb.tapecontent.net/thumb/ogeYZ3jLG4TjLO/e3mGwale4LUYgXK.jpg</t>
  </si>
  <si>
    <t>Dani Daniels - 65000313 - Onlyfans.jpg</t>
  </si>
  <si>
    <t>https://doodstream.com/d/d3779g7hywpj/</t>
  </si>
  <si>
    <t>https://lulustream.com/d/s4dpib58mz59</t>
  </si>
  <si>
    <t>#MILF, #BigTits, #Hardcore, #Bigass, #Stepmom, #Blowjob, #Amateur, #Hotwife</t>
  </si>
  <si>
    <t>https://thumb.tapecontent.net/thumb/mrY8g3Qa0PCbL0e/qgA6ObPvvGhzJdO.jpg</t>
  </si>
  <si>
    <t>Dani Daniels - 66212622 - Onlyfans.jpg</t>
  </si>
  <si>
    <t>https://doodstream.com/d/rhm4knfau72r/</t>
  </si>
  <si>
    <t>https://lulustream.com/d/fldkmlw8kf24</t>
  </si>
  <si>
    <t>https://thumb.tapecontent.net/thumb/LL00vADRbxsRRbv/GQ4jbgD00Ki1v0O.jpg</t>
  </si>
  <si>
    <t>Dani Daniels - 66422331 - Onlyfans.jpg</t>
  </si>
  <si>
    <t>https://doodstream.com/d/4z3n6wu6mq6j/</t>
  </si>
  <si>
    <t>https://lulustream.com/d/q2uqwg22nf68</t>
  </si>
  <si>
    <t>https://thumb.tapecontent.net/thumb/kPqJDx2lYrIOqW4/Q3RxY4MpXyT06Xg.jpg</t>
  </si>
  <si>
    <t>Dani Daniels - 66537645 - Onlyfans.jpg</t>
  </si>
  <si>
    <t>https://doodstream.com/d/974jatr5z9nh/</t>
  </si>
  <si>
    <t>https://lulustream.com/d/ee2lw8lv79ir</t>
  </si>
  <si>
    <t>#milf #solo #bigass #bigtits</t>
  </si>
  <si>
    <t>https://thumb.tapecontent.net/thumb/Qk1ja1qjqVF0QDg/XyKaeDzPa3UD4VQ.jpg</t>
  </si>
  <si>
    <t>Dani Daniels - 67231091 - Onlyfans.jpg</t>
  </si>
  <si>
    <t>https://doodstream.com/d/bwtvf1a7bi52/</t>
  </si>
  <si>
    <t>https://lulustream.com/d/iiw1uf0jdkcr</t>
  </si>
  <si>
    <t>https://thumb.tapecontent.net/thumb/0R7gXQa0WMS6kj/6Wa9wQ3xedie3g.jpg</t>
  </si>
  <si>
    <t>Dani Daniels - 67462200 - Onlyfans.jpg</t>
  </si>
  <si>
    <t>https://doodstream.com/d/9wwzk59c1vyj/</t>
  </si>
  <si>
    <t>https://lulustream.com/d/psutvpfo0ybw</t>
  </si>
  <si>
    <t>https://thumb.tapecontent.net/thumb/26RrdjrOO4SZ90o/PW9q3qeY24I0Z1Q.jpg</t>
  </si>
  <si>
    <t>Dani Daniels - 69449307 - ripnsfw.com.jpg</t>
  </si>
  <si>
    <t>https://doodstream.com/d/d3sb9u7ygmra/</t>
  </si>
  <si>
    <t>https://lulustream.com/d/cjvq5yqvutoq</t>
  </si>
  <si>
    <t>https://thumb.tapecontent.net/thumb/Qb9O7oVoq6CRpo/XdLBrw91AmuDb1a.jpg</t>
  </si>
  <si>
    <t>Dani Daniels - 71865378 - ripnsfw.com.jpg</t>
  </si>
  <si>
    <t>https://doodstream.com/d/6qibowqbhx7y/</t>
  </si>
  <si>
    <t>https://lulustream.com/d/qb6kem99z6vm</t>
  </si>
  <si>
    <t>#MILF, #BigTits, #Bigass, #Roleplay, #Blowjob, #Amateur, #Hotwife</t>
  </si>
  <si>
    <t>https://thumb.tapecontent.net/thumb/JX9DYgrDeQfj1vo/wVW478qKg6sJmQm.jpg</t>
  </si>
  <si>
    <t>Dani Daniels - 73207233 - Onlyfans.jpg</t>
  </si>
  <si>
    <t>https://doodstream.com/d/3duw7yczunc4/</t>
  </si>
  <si>
    <t>https://lulustream.com/d/ubpyfc2pxdkq</t>
  </si>
  <si>
    <t>https://thumb.tapecontent.net/thumb/Vo4OAyaRxbikPA/Zqb7P3G0DWTqW4P.jpg</t>
  </si>
  <si>
    <t>Dani Daniels - 73731266 - ripnsfw.com.jpg</t>
  </si>
  <si>
    <t>https://doodstream.com/d/36f5w5f8mqho/</t>
  </si>
  <si>
    <t>https://lulustream.com/d/q5lb51rz45s1</t>
  </si>
  <si>
    <t>#MILF, #Bigass, #Roleplay, #Solo</t>
  </si>
  <si>
    <t>#MILF #Bigass #Roleplay #Solo</t>
  </si>
  <si>
    <t>https://thumb.tapecontent.net/thumb/8z2a6jYq3RfoLAZ/vk48M30dVyCBoD.jpg</t>
  </si>
  <si>
    <t>Dani Daniels - 73971620 - Onlyfans.jpg</t>
  </si>
  <si>
    <t>https://doodstream.com/d/ii0pq75wcew5/</t>
  </si>
  <si>
    <t>https://lulustream.com/d/t5w07bz3l7vs</t>
  </si>
  <si>
    <t>https://thumb.tapecontent.net/thumb/gY1J4Wov06cBqr/1dXbgPQx2rFem1x.jpg</t>
  </si>
  <si>
    <t>Dani Daniels - 75405909 - Onlyfans.jpg</t>
  </si>
  <si>
    <t>https://doodstream.com/d/mqjm3f1f2tyf/</t>
  </si>
  <si>
    <t>https://lulustream.com/d/00art7ufnlyg</t>
  </si>
  <si>
    <t>https://thumb.tapecontent.net/thumb/WZ7dPPqKydtbZ88/lWZvv0J1VXt7R3q.jpg</t>
  </si>
  <si>
    <t>Dani Daniels - 77462867 - ripnsfw.com.jpg</t>
  </si>
  <si>
    <t>https://doodstream.com/d/g0rtv37xr7b2/</t>
  </si>
  <si>
    <t>https://lulustream.com/d/nz8zg27p7cuo</t>
  </si>
  <si>
    <t>https://thumb.tapecontent.net/thumb/6kaDWkx8WVI9zgv/pVoGPOpaXPFV9A.jpg</t>
  </si>
  <si>
    <t>Dani Daniels - 77851374 - ripnsfw.com.jpg</t>
  </si>
  <si>
    <t>https://doodstream.com/d/h3wlyp7vkex0/</t>
  </si>
  <si>
    <t>https://lulustream.com/d/4wuc9ivc1lcl</t>
  </si>
  <si>
    <t>https://thumb.tapecontent.net/thumb/ja4vKopvGRizK7a/rl2PvrpLRPIbJjg.jpg</t>
  </si>
  <si>
    <t>Dani Daniels - 78535438 - ripnsfw.com.jpg</t>
  </si>
  <si>
    <t>https://doodstream.com/d/67sktvkei3vi/</t>
  </si>
  <si>
    <t>https://lulustream.com/d/hec1uic9duzv</t>
  </si>
  <si>
    <t>#MILF #BigTits #Bigass #Blowjob #Solo</t>
  </si>
  <si>
    <t>https://thumb.tapecontent.net/thumb/0RQZxw0BMycbGbj/410amZbZJ2cKAQ9.jpg</t>
  </si>
  <si>
    <t>Dani Daniels - 79153926 - ripnsfw.com.jpg</t>
  </si>
  <si>
    <t>https://doodstream.com/d/rr9m6odch1l5/</t>
  </si>
  <si>
    <t>https://lulustream.com/d/8aqbq4pybibh</t>
  </si>
  <si>
    <t>https://thumb.tapecontent.net/thumb/ZJLl1aV26BsqWx0/VYM8z8mAp3UK7aa.jpg</t>
  </si>
  <si>
    <t>Dani Daniels - 80036291 - Onlyfans.jpg</t>
  </si>
  <si>
    <t>https://doodstream.com/d/su3ktmp7ox00/</t>
  </si>
  <si>
    <t>https://lulustream.com/d/2c9dccb3d849</t>
  </si>
  <si>
    <t>https://thumb.tapecontent.net/thumb/YLo08o3lqMcvbja/OxBJ1q7YgRikrY.jpg</t>
  </si>
  <si>
    <t>Dani Daniels - 81731075 - Onlyfans.jpg</t>
  </si>
  <si>
    <t>https://doodstream.com/d/ibrnyhgurqu8/</t>
  </si>
  <si>
    <t>https://lulustream.com/d/x06qkv28hhwf</t>
  </si>
  <si>
    <t>https://thumb.tapecontent.net/thumb/3dP0r3xwx6fdVqb/e3Dq9PW9pgiY0KV.jpg</t>
  </si>
  <si>
    <t>Dani Daniels - 82404264 - Onlyfans.jpg</t>
  </si>
  <si>
    <t>https://doodstream.com/d/xh444pbric9p/</t>
  </si>
  <si>
    <t>https://lulustream.com/d/cg08vl3zx9lz</t>
  </si>
  <si>
    <t>#milf #bigtits #bigass #creampie</t>
  </si>
  <si>
    <t>https://thumb.tapecontent.net/thumb/1A47ZaP7ydteepJ/XBPrLj172BsDqAy.jpg</t>
  </si>
  <si>
    <t>Dani Daniels - 84456951 - Onlyfans.jpg</t>
  </si>
  <si>
    <t>https://doodstream.com/d/brfvlq3a849f/</t>
  </si>
  <si>
    <t>https://lulustream.com/d/vo19vjfr5m55</t>
  </si>
  <si>
    <t>https://thumb.tapecontent.net/thumb/Ald2rGdP4mTXY2o/aRZB4O1JYLhxVaO.jpg</t>
  </si>
  <si>
    <t>Dani Daniels - 86477252 - ripnsfw.com.jpg</t>
  </si>
  <si>
    <t>https://doodstream.com/d/xte0eo0v1ykg/</t>
  </si>
  <si>
    <t>https://lulustream.com/d/ltnj59i4ntbd</t>
  </si>
  <si>
    <t>https://thumb.tapecontent.net/thumb/wxrQOvl0g2iJ3wk/lxm0m89z6KtZmK.jpg</t>
  </si>
  <si>
    <t>Dani Daniels - 87454355 - ripnsfw.com.jpg</t>
  </si>
  <si>
    <t>https://doodstream.com/d/lbgut81mo04j/</t>
  </si>
  <si>
    <t>https://lulustream.com/d/7e05wi4iu9o3</t>
  </si>
  <si>
    <t>#MILF #BigTits #Creampie #Hardcore #Bigass #Blowjob #Amateur</t>
  </si>
  <si>
    <t>https://thumb.tapecontent.net/thumb/B4kePl6Q3zIrWm/JbQM68alljCjLG7.jpg</t>
  </si>
  <si>
    <t>Dani Daniels - 87513728 - Onlyfans.jpg</t>
  </si>
  <si>
    <t>https://doodstream.com/d/eboor2ylswx2/</t>
  </si>
  <si>
    <t>https://lulustream.com/d/p6y3jo4j9d8n</t>
  </si>
  <si>
    <t>https://thumb.tapecontent.net/thumb/9pbR9XomK6tyVq/J0JO6Krxp4hjBYd.jpg</t>
  </si>
  <si>
    <t>Dani Daniels - 89355838 - Onlyfans.jpg</t>
  </si>
  <si>
    <t>https://doodstream.com/d/afrrnj9cjxq7/</t>
  </si>
  <si>
    <t>https://lulustream.com/d/kxhc39nrfwf5</t>
  </si>
  <si>
    <t>#bigass #blowjob #milf #pov</t>
  </si>
  <si>
    <t>https://thumb.tapecontent.net/thumb/gj1jVO91kXiq0Rw/qlDGz0mXkphzXwx.jpg</t>
  </si>
  <si>
    <t>Dani Daniels - 89403394 - ripnsfw.com.jpg</t>
  </si>
  <si>
    <t>https://doodstream.com/d/vv0xs7nd9otb/</t>
  </si>
  <si>
    <t>https://lulustream.com/d/mak9ntf4ojgs</t>
  </si>
  <si>
    <t>https://thumb.tapecontent.net/thumb/O1648eM0WRCZbK6/P6JRV24pBzsBPo.jpg</t>
  </si>
  <si>
    <t>Dani Daniels - 90021854 - ripnsfw.com.jpg</t>
  </si>
  <si>
    <t>https://doodstream.com/d/fxq6akmx36gp/</t>
  </si>
  <si>
    <t>https://lulustream.com/d/u182c2pfblhb</t>
  </si>
  <si>
    <t>#MILF #BigTits #Bigass #Blowjob #Amateur #Facial</t>
  </si>
  <si>
    <t>https://thumb.tapecontent.net/thumb/KAdBvY7GD1h0ReQ/96zReDYq9LfB0Z.jpg</t>
  </si>
  <si>
    <t>Dani Daniels - 90128248 - Onlyfans.jpg</t>
  </si>
  <si>
    <t>https://doodstream.com/d/bn2kcdut1c19/</t>
  </si>
  <si>
    <t>https://lulustream.com/d/i35rocmguunv</t>
  </si>
  <si>
    <t>https://thumb.tapecontent.net/thumb/49YzvL4e6QtKYoj/jbB7Adx77DHzZlQ.jpg</t>
  </si>
  <si>
    <t>Dani Daniels - 90416090 - Onlyfans.jpg</t>
  </si>
  <si>
    <t>https://doodstream.com/d/viwbqh5bjbqi/</t>
  </si>
  <si>
    <t>https://lulustream.com/d/dx0t07sdb2w4</t>
  </si>
  <si>
    <t>#milf #bigass #blowjob #amateur</t>
  </si>
  <si>
    <t>https://thumb.tapecontent.net/thumb/G6D30M0OK4s1KX3/09kv1jdd9vhbpdy.jpg</t>
  </si>
  <si>
    <t>Dani Daniels - 91909436 - Onlyfans.jpg</t>
  </si>
  <si>
    <t>https://doodstream.com/d/mnntjmxbnicj/</t>
  </si>
  <si>
    <t>https://lulustream.com/d/xwnlu2939bg1</t>
  </si>
  <si>
    <t>#milf #bigtits #blowjob #roleplay</t>
  </si>
  <si>
    <t>https://thumb.tapecontent.net/thumb/OVeJ89ZLzrsZVdo/wgzqyeYbv8sJraV.jpg</t>
  </si>
  <si>
    <t>Dani Daniels - 92237642 - ripnsfw.com.jpg</t>
  </si>
  <si>
    <t>https://doodstream.com/d/drs6co266myl/</t>
  </si>
  <si>
    <t>https://lulustream.com/d/sumj67ray696</t>
  </si>
  <si>
    <t>https://thumb.tapecontent.net/thumb/dgGPXOKJdrckOJk/bzqpVyo94rhP3Ld.jpg</t>
  </si>
  <si>
    <t>Dani Daniels - 93689739 -  Onlyfans.jpg</t>
  </si>
  <si>
    <t>https://doodstream.com/d/ow06563fk7c7/</t>
  </si>
  <si>
    <t>https://lulustream.com/d/360yt3xdy9lb</t>
  </si>
  <si>
    <t>https://thumb.tapecontent.net/thumb/Vk4MGk894eTKmrq/zKJ9oBrPgkfYj0Z.jpg</t>
  </si>
  <si>
    <t>Dani Daniels - 94374755 - ripnsfw.com.jpg</t>
  </si>
  <si>
    <t>https://doodstream.com/d/f6r20uar7rlf/</t>
  </si>
  <si>
    <t>https://lulustream.com/d/tj780h8xu7nx</t>
  </si>
  <si>
    <t>#MILF, #BigTits, #Bigass, #Roleplay, #Squirt, #Solo</t>
  </si>
  <si>
    <t>#MILF #BigTits #Bigass #Roleplay #Squirt #Solo</t>
  </si>
  <si>
    <t>https://thumb.tapecontent.net/thumb/PZQVyL0zjjfRaz/QdLM3YPryQs049O.jpg</t>
  </si>
  <si>
    <t>Dani Daniels - 95592521 - Onlyfans.jpg</t>
  </si>
  <si>
    <t>https://doodstream.com/d/ki7ey4giaqmh/</t>
  </si>
  <si>
    <t>https://lulustream.com/d/tjtexl7icoyc</t>
  </si>
  <si>
    <t>https://thumb.tapecontent.net/thumb/Woa7JQ0Pjbcpa1/mOm6BGJB86CbPyL.jpg</t>
  </si>
  <si>
    <t>Dani Daniels - 95662151 - Onlyfans.jpg</t>
  </si>
  <si>
    <t>https://doodstream.com/d/2suc1wxhv3ly/</t>
  </si>
  <si>
    <t>https://lulustream.com/d/cqyoofvatlft</t>
  </si>
  <si>
    <t>https://thumb.tapecontent.net/thumb/DPAD3r87xYFkgv3/oLwOqQ826ZfJrrj.jpg</t>
  </si>
  <si>
    <t>Dani Daniels - 95688512 - Onlyfans.jpg</t>
  </si>
  <si>
    <t>https://doodstream.com/d/ajfdmtk5go1q/</t>
  </si>
  <si>
    <t>https://lulustream.com/d/0t5g58mqckhw</t>
  </si>
  <si>
    <t>https://thumb.tapecontent.net/thumb/8wpZxgDDZXuJ4g/6aoY4XvYbxtL1m.jpg</t>
  </si>
  <si>
    <t>Dani Daniels - 96155439 - Onlyfans.jpg</t>
  </si>
  <si>
    <t>https://doodstream.com/d/q8jqcirivivl/</t>
  </si>
  <si>
    <t>https://lulustream.com/d/tkyiqd7pau1o</t>
  </si>
  <si>
    <t>https://thumb.tapecontent.net/thumb/wZ7e49y6M7hJX9A/ePwdgB1MYLtYv1Z.jpg</t>
  </si>
  <si>
    <t>Dani Daniels - 96494907 - Onlyfans.jpg</t>
  </si>
  <si>
    <t>https://doodstream.com/d/5pyhvalp7kb2/</t>
  </si>
  <si>
    <t>https://lulustream.com/d/b1zvsdxxcsag</t>
  </si>
  <si>
    <t>https://thumb.tapecontent.net/thumb/rkjeD2MLarhbw4x/gqXe2YPVvMiq1zv.jpg</t>
  </si>
  <si>
    <t>Dani Daniels - 97058650 - Onlyfans.jpg</t>
  </si>
  <si>
    <t>https://doodstream.com/d/pwlyw8fyk5t0/</t>
  </si>
  <si>
    <t>https://lulustream.com/d/vro4ll7zp94s</t>
  </si>
  <si>
    <t>https://thumb.tapecontent.net/thumb/W16VJ46AxMIbVZq/3V7xK1j1dXHdqee.jpg</t>
  </si>
  <si>
    <t>Dani Daniels - 97485031 - Onlyfans.jpg</t>
  </si>
  <si>
    <t>https://doodstream.com/d/uys9zf9k9k7g/</t>
  </si>
  <si>
    <t>https://lulustream.com/d/6y6chaxke6tr</t>
  </si>
  <si>
    <t>https://thumb.tapecontent.net/thumb/zx8xR36DOMspJ3/06Yl7bzD7PIb7qm.jpg</t>
  </si>
  <si>
    <t>Dani Daniels - 98334702 - Onlyfans.jpg</t>
  </si>
  <si>
    <t>https://doodstream.com/d/z9ri62oz8kh5/</t>
  </si>
  <si>
    <t>https://lulustream.com/d/uc58fqqzccup</t>
  </si>
  <si>
    <t>https://thumb.tapecontent.net/thumb/9pYY7BzrZjFaMM1/pzxxGDLrqzHr2L6.jpg</t>
  </si>
  <si>
    <t>Dani Daniels - 98881443 - Onlyfans.jpg</t>
  </si>
  <si>
    <t>https://doodstream.com/d/20gk6gnkna5z/</t>
  </si>
  <si>
    <t>https://lulustream.com/d/23wqy9n3ayuj</t>
  </si>
  <si>
    <t>#MILF, #BigTits, #Bigass, #Stepmom, #Blowjob, #Amateur, #Hotwife</t>
  </si>
  <si>
    <t>#MILF #BigTits #Bigass #Stepmom #Blowjob</t>
  </si>
  <si>
    <t>https://thumb.tapecontent.net/thumb/B7expjPD2QtyyJD/xmGjWQm31buQ97.jpg</t>
  </si>
  <si>
    <t>Dani Daniels - 99392329 - Onlyfans.jpg</t>
  </si>
  <si>
    <t>https://doodstream.com/d/zg9wawuv0w7r/</t>
  </si>
  <si>
    <t>https://lulustream.com/d/40d6s4x26rlg</t>
  </si>
  <si>
    <t>https://thumb.tapecontent.net/thumb/4BxK1vDbVOiKYwl/W1W6eavVPPS0Op.jpg</t>
  </si>
  <si>
    <t>Danielle Renae - 20920082 - ripnsfw.com - Lena The Plug.jpg</t>
  </si>
  <si>
    <t>https://doodstream.com/d/ulgzi3iiwsw7/</t>
  </si>
  <si>
    <t>https://lulustream.com/d/j0bfmbcprs0x</t>
  </si>
  <si>
    <t>#MILF, #BigTits, #Hardcore, #Threesome, #Bigass, #Blowjob, #Amateur, #Deepthroat, #Blonde, #Facial</t>
  </si>
  <si>
    <t>https://thumb.tapecontent.net/thumb/VyOe6YmjlLIKD1L/LeGM27PJP3SWgL.jpg</t>
  </si>
  <si>
    <t>Delilah Raige - 77795488 - ripnsfw.com - Lena the plug.jpg</t>
  </si>
  <si>
    <t>https://doodstream.com/d/8jqgfsgjugyd/</t>
  </si>
  <si>
    <t>https://lulustream.com/d/88rk4ati2m22</t>
  </si>
  <si>
    <t>#MILF, #BigTits, #Hardcore, #Threesome, #Bigass, #Blowjob, #Amateur, #Hotwife, #Facial, #Deepthroat</t>
  </si>
  <si>
    <t>https://thumb.tapecontent.net/thumb/2De0629lZ3uZ8Wz/wZZgDWro1Yfxe7.jpg</t>
  </si>
  <si>
    <t>Devil Khloe - 31706903 - ripnsfw.com.jpg</t>
  </si>
  <si>
    <t>https://doodstream.com/d/m5n5wdu1xv94/</t>
  </si>
  <si>
    <t>https://lulustream.com/d/b5el2rirq6sg</t>
  </si>
  <si>
    <t>#MILF, #BigTits, #Hardcore, #Bigass, #Blowjob, #Amateur</t>
  </si>
  <si>
    <t>https://thumb.tapecontent.net/thumb/6RzWel7AMQt9GPa/GkODpmjaQbf1vvb.jpg</t>
  </si>
  <si>
    <t>Diamond Franco - 16454260 - FS - Amiee Cambridge.jpg</t>
  </si>
  <si>
    <t>https://doodstream.com/d/qi6zcsbps9rk/</t>
  </si>
  <si>
    <t>https://lulustream.com/d/o1jiv959kjfm</t>
  </si>
  <si>
    <t>#teen #porn #bigass #blowjob</t>
  </si>
  <si>
    <t>https://thumb.tapecontent.net/thumb/OdwJK80GWQCek7/Wg6DrlA3b9Ib77m.jpg</t>
  </si>
  <si>
    <t>Diamond Franco - 39439069 - ripnsfw.com.jpg</t>
  </si>
  <si>
    <t>https://doodstream.com/d/yimgcebpc6we/</t>
  </si>
  <si>
    <t>https://lulustream.com/d/8fzq6iui4tax</t>
  </si>
  <si>
    <t>#BigTits, #Hardcore, #Bigass, #Teen, #Blowjob, #Amateur, #Deepthroat, #Facial</t>
  </si>
  <si>
    <t>https://thumb.tapecontent.net/thumb/kk6eja2oLpuO4AQ/90aWeWkVJ3SaGjP.jpg</t>
  </si>
  <si>
    <t>Diamond Franco - 42383378 - Onlyfans.jpg</t>
  </si>
  <si>
    <t>https://doodstream.com/d/uvgafi7tpdb3/</t>
  </si>
  <si>
    <t>https://lulustream.com/d/ylib1ij98di9</t>
  </si>
  <si>
    <t>#teen #brunette #blowjob #creampie</t>
  </si>
  <si>
    <t>https://thumb.tapecontent.net/thumb/Xqgr6pydYdtZ8O/6KDDdO9mvat98Vd.jpg</t>
  </si>
  <si>
    <t>Diamond Franco - 59378949 - Onlyfans.jpg</t>
  </si>
  <si>
    <t>https://doodstream.com/d/2ek0m2zmajfl/</t>
  </si>
  <si>
    <t>https://lulustream.com/d/f35ikzq5o34q</t>
  </si>
  <si>
    <t>#threesome #bigtits #blowjob #bigass</t>
  </si>
  <si>
    <t>https://thumb.tapecontent.net/thumb/KewJ9PDwPYc0xex/kw3bbPvyBGiOqjV.jpg</t>
  </si>
  <si>
    <t>Diamond Franco - 68883516 - MPF.jpg</t>
  </si>
  <si>
    <t>https://doodstream.com/d/zt62bnx2nmi8/</t>
  </si>
  <si>
    <t>https://lulustream.com/d/y44owpwv9ogy</t>
  </si>
  <si>
    <t>#bigtits #hardcore #porn #teen</t>
  </si>
  <si>
    <t>https://thumb.tapecontent.net/thumb/vzDrz41bOLf41j3/k0bR3yDdv1hO7BV.jpg</t>
  </si>
  <si>
    <t>Diamond Franco - 75076645 - Onlyfans.jpg</t>
  </si>
  <si>
    <t>https://doodstream.com/d/gircumaplo1t/</t>
  </si>
  <si>
    <t>https://lulustream.com/d/ajtfeutzrewg</t>
  </si>
  <si>
    <t>#teen #blowjob #amateur #brunette</t>
  </si>
  <si>
    <t>https://thumb.tapecontent.net/thumb/kg1le0a4JKCOVOZ/6R8X0PkloWS9mQ7.jpg</t>
  </si>
  <si>
    <t>Diamond Franco - 78123221 - Onlyfans - Lena the plug.jpg</t>
  </si>
  <si>
    <t>https://doodstream.com/d/udg0tqdlb96s/</t>
  </si>
  <si>
    <t>https://lulustream.com/d/y4j2hpwror0a</t>
  </si>
  <si>
    <t>#milf #blowjob #hardcore #bigass</t>
  </si>
  <si>
    <t>https://thumb.tapecontent.net/thumb/1WgwWwdj1BUxL6/MxY8jdyx8PImgZq.jpg</t>
  </si>
  <si>
    <t>Diamond Franco - 83210407 - Onlyfans.jpg</t>
  </si>
  <si>
    <t>https://doodstream.com/d/3exae52tg3j9/</t>
  </si>
  <si>
    <t>https://lulustream.com/d/yw3xbw0n7mf4</t>
  </si>
  <si>
    <t>#teen #brunette #blowjob #bigass</t>
  </si>
  <si>
    <t>https://thumb.tapecontent.net/thumb/RALpW4zzAoIdy0p/VawryL103YhyQ6.jpg</t>
  </si>
  <si>
    <t>Elle Brooke - 20581581 - Onlyfans.jpg</t>
  </si>
  <si>
    <t>https://doodstream.com/d/n5zrcve4pkg7/</t>
  </si>
  <si>
    <t>https://lulustream.com/d/v5730r4pi9dy</t>
  </si>
  <si>
    <t>https://thumb.tapecontent.net/thumb/Mk3QQdboGmHBQD/jPwe7OoJRWFDme.jpg</t>
  </si>
  <si>
    <t>Elle Brooke - 25581299 - Onlyfans.jpg</t>
  </si>
  <si>
    <t>https://doodstream.com/d/2iftivze2yxg/</t>
  </si>
  <si>
    <t>https://lulustream.com/d/kefo0rgvwq0j</t>
  </si>
  <si>
    <t>#MILF, #BigTits, #Hardcore, #Anal</t>
  </si>
  <si>
    <t>#MILF #BigTits #Hardcore #Anal</t>
  </si>
  <si>
    <t>https://thumb.tapecontent.net/thumb/O1ymAv4RMWHkkR/YZ8xWxelYbHv87a.jpg</t>
  </si>
  <si>
    <t>Elle Brooke - 28992312 - ripnsfw.com.jpg</t>
  </si>
  <si>
    <t>https://doodstream.com/d/qeesxjzisw5r/</t>
  </si>
  <si>
    <t>https://lulustream.com/d/v5rijmki53ez</t>
  </si>
  <si>
    <t>#BigTits, #Creampie, #Hardcore, #Black, #Interracial, #Bigass, #Blowjob, #Amateur, #Blonde</t>
  </si>
  <si>
    <t>#BigTits #Creampie #Hardcore #Black #Interracial</t>
  </si>
  <si>
    <t>https://thumb.tapecontent.net/thumb/8BvzqzO6vLcMMr/B2VOd2VWxjiyJP7.jpg</t>
  </si>
  <si>
    <t>Elle Brooke - 36398354 - Onlyfans.jpg</t>
  </si>
  <si>
    <t>https://doodstream.com/d/xzynffzgi4s6/</t>
  </si>
  <si>
    <t>https://lulustream.com/d/iyl8osibj0pn</t>
  </si>
  <si>
    <t>#blonde #bigtits #creampie #doggystyle</t>
  </si>
  <si>
    <t>https://thumb.tapecontent.net/thumb/g0J13LwqqOtqprv/DMLoXpMJ69IkjP4.jpg</t>
  </si>
  <si>
    <t>Elle Brooke - 44998593 - Onlyfans.jpg</t>
  </si>
  <si>
    <t>https://doodstream.com/d/erzqumcg85h7/</t>
  </si>
  <si>
    <t>https://lulustream.com/d/h4dufhrge5fd</t>
  </si>
  <si>
    <t>#MILF, #Hardcore, #Threesome, #Blowjob</t>
  </si>
  <si>
    <t>#MILF #Hardcore #Threesome #Blowjob</t>
  </si>
  <si>
    <t>https://thumb.tapecontent.net/thumb/yj6P1ppwQmh1R3B/o2BdQ6lxLaUJlLg.jpg</t>
  </si>
  <si>
    <t>Elle Brooke - 46261359 - ripnsfw.com.jpg</t>
  </si>
  <si>
    <t>https://doodstream.com/d/bl9dne73xpnf/</t>
  </si>
  <si>
    <t>https://lulustream.com/d/cy07egzl424a</t>
  </si>
  <si>
    <t>#Anal, #MILF, #Hardcore, #Bigass, #Blonde</t>
  </si>
  <si>
    <t>#Anal #MILF #Hardcore #Bigass</t>
  </si>
  <si>
    <t>https://thumb.tapecontent.net/thumb/RqamLxdyjwu7x1/Kz6Gjak9l4u0ZXo.jpg</t>
  </si>
  <si>
    <t>Elle Brooke - 46761279 - Onlyfans.jpg</t>
  </si>
  <si>
    <t>https://doodstream.com/d/7ju58i4hys5t/</t>
  </si>
  <si>
    <t>https://lulustream.com/d/u07lsdqfr8eq</t>
  </si>
  <si>
    <t>#MILF, #BigTits, #Hardcore, #Black, #Interracial, #Bigass, #Blowjob, #Amateur, #Hotwife, #Deepthroat, #Blonde, #Facial</t>
  </si>
  <si>
    <t>#MILF #BigTits #Hardcore #Black #Interracial #Bigass #Blowjob #Amateur #Hotwife</t>
  </si>
  <si>
    <t>https://thumb.tapecontent.net/thumb/4Awe04dDOmFK4Mo/2kK447bJxMIWOJ.jpg</t>
  </si>
  <si>
    <t>Elle Brooke - 62205591 - Onlyfans.jpg</t>
  </si>
  <si>
    <t>https://doodstream.com/d/9liqpnkkxpsv/</t>
  </si>
  <si>
    <t>https://lulustream.com/d/jqqxlsy13lgm</t>
  </si>
  <si>
    <t>https://thumb.tapecontent.net/thumb/oea66ALMwmTKxk/wymGRAykdPHJ0M2.jpg</t>
  </si>
  <si>
    <t>Elle Brooke - 94384356 - ripnsfw.com.jpg</t>
  </si>
  <si>
    <t>https://doodstream.com/d/f8yr3e2v045w/</t>
  </si>
  <si>
    <t>https://lulustream.com/d/vg4kgdh4izs4</t>
  </si>
  <si>
    <t>#MILF #BigTits #Hardcore #Bigass #Blowjob #Amateur #Deepthroat #Blonde</t>
  </si>
  <si>
    <t>https://thumb.tapecontent.net/thumb/Y6yvpXqM04Hv7AQ/ygjdzpmyoAToRe.jpg</t>
  </si>
  <si>
    <t>Ellie - 64980370 - ripnsfw.com.jpg</t>
  </si>
  <si>
    <t>https://doodstream.com/d/cs5s8v24np91/</t>
  </si>
  <si>
    <t>https://lulustream.com/d/8z26rddc54pe</t>
  </si>
  <si>
    <t>#BigTits, #Hardcore, #Threesome, #Bigass, #Porn, #Teen, #Blowjob, #Deepthroat, #Blonde, #Facial</t>
  </si>
  <si>
    <t>#BigTits #Hardcore #Threesome #Bigass #Porn #Teen #Blowjob</t>
  </si>
  <si>
    <t>https://thumb.tapecontent.net/thumb/jgxw19JW7Rczzoz/YwPb6R07aAfv7YY.jpg</t>
  </si>
  <si>
    <t>Ellie Nova - 76987710 - Onlyfans.jpg</t>
  </si>
  <si>
    <t>https://doodstream.com/d/vfuz8xzmshr8/</t>
  </si>
  <si>
    <t>https://lulustream.com/d/q6kpyqag89nl</t>
  </si>
  <si>
    <t>#bigtits #hardcore #black #interracial</t>
  </si>
  <si>
    <t>https://thumb.tapecontent.net/thumb/2BM2xq3bmasZJGM/jqJaebejdaszwrr.jpg</t>
  </si>
  <si>
    <t>Ellie Nova - 79574907 - NVG.jpg</t>
  </si>
  <si>
    <t>https://doodstream.com/d/ztz9qe7szb0k/</t>
  </si>
  <si>
    <t>https://lulustream.com/d/usdxx1stxqby</t>
  </si>
  <si>
    <t>#teen #brunette #bigass #bigtits</t>
  </si>
  <si>
    <t>https://thumb.tapecontent.net/thumb/7wMDkxMKLqiA7r4/8Jzq0oQRRvCoL3P.jpg</t>
  </si>
  <si>
    <t>Ellie Nova - 98623078 - ripnsfw.com.jpg</t>
  </si>
  <si>
    <t>https://doodstream.com/d/tst3l6nwihcx/</t>
  </si>
  <si>
    <t>https://lulustream.com/d/x2f1d5vvudle</t>
  </si>
  <si>
    <t>#BigTits, #Hardcore, #Bigass, #Porn, #Teen, #Blowjob, #Facial</t>
  </si>
  <si>
    <t>#BigTits #Hardcore #Bigass #Porn #Teen #Blowjob #Facial</t>
  </si>
  <si>
    <t>https://thumb.tapecontent.net/thumb/79GbJ1vBorfAe6b/g9YY1o2vWQIq2QW.jpg</t>
  </si>
  <si>
    <r>
      <rPr>
        <sz val="10"/>
        <rFont val="Arial"/>
      </rPr>
      <t xml:space="preserve">Elly Clutch - 12974468 - </t>
    </r>
    <r>
      <rPr>
        <u/>
        <sz val="10"/>
        <color rgb="FF1155CC"/>
        <rFont val="Arial"/>
      </rPr>
      <t>ripnsfw.com</t>
    </r>
    <r>
      <rPr>
        <sz val="10"/>
        <rFont val="Arial"/>
      </rPr>
      <t>.jpg</t>
    </r>
  </si>
  <si>
    <t>https://doodstream.com/d/1sjwqa22bvnf/</t>
  </si>
  <si>
    <t>https://lulustream.com/d/8b1mn9h18n76</t>
  </si>
  <si>
    <t>#BigTits, #Hardcore, #Teen, #Blowjob, #Amateur</t>
  </si>
  <si>
    <t>https://thumb.tapecontent.net/thumb/0LvM42yk4WSb1kx/owQKbaXVXdfJ8yR.jpg</t>
  </si>
  <si>
    <t>Elly Clutch - 13895263 - ripnsfw.com.jpg</t>
  </si>
  <si>
    <t>https://doodstream.com/d/qmkhxbijqc9l/</t>
  </si>
  <si>
    <t>https://lulustream.com/d/qp0z4bfbnm4d</t>
  </si>
  <si>
    <t>#BigTits, #Creampie, #Hardcore, #Teen, #Blowjob, #Amateur, #Deepthroat</t>
  </si>
  <si>
    <t>#BigTits #Creampie #Hardcore #Teen #Blowjob #Amateur #Deepthroat</t>
  </si>
  <si>
    <t>https://thumb.tapecontent.net/thumb/KQw83glv3KU0Q94/168Z9dwOR8S66m.jpg</t>
  </si>
  <si>
    <t>Elly Clutch - 18436971 - ripnsfw.com - Zoey Di Giacomo.jpg</t>
  </si>
  <si>
    <t>https://doodstream.com/d/r5cu7p1xpwoe/</t>
  </si>
  <si>
    <t>https://lulustream.com/d/jdcwuu715ho6</t>
  </si>
  <si>
    <t>#BigTits, #Hardcore, #Teen, #Teens, #Threesome, #Blowjob, #Amateur</t>
  </si>
  <si>
    <t>#BigTits #Hardcore #Teen #Teens #Threesome #Blowjob</t>
  </si>
  <si>
    <t>https://thumb.tapecontent.net/thumb/qgkx3ZBvADizBoL/W3jdd9VwzDIbdXA.jpg</t>
  </si>
  <si>
    <t>Elly Clutch - 18825464 - ripnsfw.com.jpg</t>
  </si>
  <si>
    <t>https://doodstream.com/d/iyzfv9s960x0/</t>
  </si>
  <si>
    <t>https://lulustream.com/d/524y3jrqytvq</t>
  </si>
  <si>
    <t>#BigTits, #Hardcore, #Teen, #Blowjob, #Amateur, #Deepthroat, #Facial</t>
  </si>
  <si>
    <t>https://thumb.tapecontent.net/thumb/XW70dq3bWecDazL/yg69M9RerPsO8V.jpg</t>
  </si>
  <si>
    <t>Elly Clutch - 19357564 - Onlyfans.jpg</t>
  </si>
  <si>
    <t>https://doodstream.com/d/ssw6vgs49clz/</t>
  </si>
  <si>
    <t>https://lulustream.com/d/fa7eqhif5usn</t>
  </si>
  <si>
    <t>#teen #bigtits #blowjob #amateur</t>
  </si>
  <si>
    <t>https://thumb.tapecontent.net/thumb/mk6Le8BKdMubmVA/KPv9VyqRPXs06Y7.jpg</t>
  </si>
  <si>
    <t>Elly Clutch - 23267349 - Onlyfans.jpg</t>
  </si>
  <si>
    <t>https://doodstream.com/d/swmglt9ygbgu/</t>
  </si>
  <si>
    <t>https://lulustream.com/d/m511agxw55tf</t>
  </si>
  <si>
    <t>#BigTits, #Creampie, #Hardcore, #Teen, #Artporn, #Blowjob, #Amateur, #Hotwife, #Deepthroat</t>
  </si>
  <si>
    <t>#BigTits #Creampie #Hardcore #Teen #Artporn #Blowjob #Amateur #Hotwife #Deepthroat</t>
  </si>
  <si>
    <t>https://thumb.tapecontent.net/thumb/O40BWGArxyUgq1/0p6P1YaoKbubwok.jpg</t>
  </si>
  <si>
    <t>Elly Clutch - 26678756 - Onlyfans.jpg</t>
  </si>
  <si>
    <t>https://doodstream.com/d/igc6hvyyzzdy/</t>
  </si>
  <si>
    <t>https://lulustream.com/d/tk1iwu968nng</t>
  </si>
  <si>
    <t>#teen #bigtits #pov #blowjob</t>
  </si>
  <si>
    <t>https://thumb.tapecontent.net/thumb/brjWa4vRagSPjGY/qlad3qowR2SwkO.jpg</t>
  </si>
  <si>
    <t>Elly Clutch - 27341499 - Onlyfans.jpg</t>
  </si>
  <si>
    <t>https://doodstream.com/d/76f9tifk4817/</t>
  </si>
  <si>
    <t>https://lulustream.com/d/opn45upygy81</t>
  </si>
  <si>
    <t>#teen #bigtits #blowjob #facial</t>
  </si>
  <si>
    <t>https://thumb.tapecontent.net/thumb/OoMq26bd64hZ2QV/VrLP4bL69JhK8QP.jpg</t>
  </si>
  <si>
    <t>Elly Clutch - 28159340 - Onlyfans.jpg</t>
  </si>
  <si>
    <t>https://doodstream.com/d/2dm3ho0pptly/</t>
  </si>
  <si>
    <t>https://lulustream.com/d/mh3t6z7spcvi</t>
  </si>
  <si>
    <t>#interracial #bigtits #redhead #blowjob</t>
  </si>
  <si>
    <t>https://thumb.tapecontent.net/thumb/bvG77ezLXMTP0LL/WZdgJZ2Y1ZUQRv.jpg</t>
  </si>
  <si>
    <t>Elly Clutch - 32867880 - LucidFlix.jpg</t>
  </si>
  <si>
    <t>https://doodstream.com/d/58bo0gs2q9pl/</t>
  </si>
  <si>
    <t>https://lulustream.com/d/gf3iduwphzvc</t>
  </si>
  <si>
    <t>#teen #bigtits #blowjob #redhead</t>
  </si>
  <si>
    <t>https://thumb.tapecontent.net/thumb/BGLOk2x8l9HydXP/6KG0YYdM4wFl6y.jpg</t>
  </si>
  <si>
    <t>Elly Clutch - 39927204 - Onlyfans.jpg</t>
  </si>
  <si>
    <t>https://doodstream.com/d/6sl0typldk3m/</t>
  </si>
  <si>
    <t>https://lulustream.com/d/u5jw2i8engq0</t>
  </si>
  <si>
    <t>#teen #redhead #blowjob #pov</t>
  </si>
  <si>
    <t>https://thumb.tapecontent.net/thumb/JKvLldkAzjfjLJ0/vQl2MGzxy4F4ddV.jpg</t>
  </si>
  <si>
    <t>Elly Clutch - 40587812 - ripnsfw.com - Ava Amira.jpg</t>
  </si>
  <si>
    <t>https://doodstream.com/d/pcoyvn0dfbrf/</t>
  </si>
  <si>
    <t>https://lulustream.com/d/691j68b8osa4</t>
  </si>
  <si>
    <t>#BigTits, #Hardcore, #Threesome, #Teen, #Teens, #Blowjob, #Amateur</t>
  </si>
  <si>
    <t>#BigTits #Hardcore #Threesome #Teen #Teens</t>
  </si>
  <si>
    <t>https://thumb.tapecontent.net/thumb/4DWPoXRwQ6h23a/YOQVpklmjbuvlBq.jpg</t>
  </si>
  <si>
    <t>Elly Clutch - 45573246 - Onlyfans - Susie Stellar.jpg</t>
  </si>
  <si>
    <t>https://doodstream.com/d/zdrnt4rk3nmy/</t>
  </si>
  <si>
    <t>https://lulustream.com/d/mgf3rg7wqy9a</t>
  </si>
  <si>
    <t>#threesome #bigtits #blonde #redhead</t>
  </si>
  <si>
    <t>https://thumb.tapecontent.net/thumb/jW7RqlBd3kszyp2/1ReOolJ1q4tpJm.jpg</t>
  </si>
  <si>
    <t>Elly Clutch - 47418489 - DrDPOV.jpg</t>
  </si>
  <si>
    <t>https://doodstream.com/d/vukauu2qlxs2/</t>
  </si>
  <si>
    <t>https://lulustream.com/d/sg3hx5w746a1</t>
  </si>
  <si>
    <t>#teen #redhead #bigtits #blowjob</t>
  </si>
  <si>
    <t>https://thumb.tapecontent.net/thumb/OX0BxMdBMztZjYP/PvBMyR9WqOf0plz.jpg</t>
  </si>
  <si>
    <t>Elly Clutch - 50931142 - Onlyfans.jpg</t>
  </si>
  <si>
    <t>https://doodstream.com/d/re25df5cy7gk/</t>
  </si>
  <si>
    <t>https://lulustream.com/d/gqzm1dolwc67</t>
  </si>
  <si>
    <t>#BigTits, #Hardcore, #Teen, #Artporn, #Amateur, #Blowjob</t>
  </si>
  <si>
    <t>#BigTits #Hardcore #Teen #Artporn #Amateur #Blowjob</t>
  </si>
  <si>
    <t>https://thumb.tapecontent.net/thumb/qKA2QZK4eqtaL0/dPBXoxjBRPUGam.jpg</t>
  </si>
  <si>
    <t>Elly Clutch - 50993696 - ripnsfw.com.jpg</t>
  </si>
  <si>
    <t>https://doodstream.com/d/faopqbqbssnz/</t>
  </si>
  <si>
    <t>https://lulustream.com/d/n8fd1biuu59r</t>
  </si>
  <si>
    <t>#BigTits, #Creampie, #Hardcore, #Teen, #Artporn, #Blowjob, #Amateur, #Blonde</t>
  </si>
  <si>
    <t>#BigTits #Creampie #Hardcore #Teen #Artporn #Blowjob #Amateur</t>
  </si>
  <si>
    <t>https://thumb.tapecontent.net/thumb/XPeObBOKQjFDprl/aqLy1bMJ63uxRbv.jpg</t>
  </si>
  <si>
    <t>Elly Clutch - 51331959 - XVRED - Jewelz Blu.jpg</t>
  </si>
  <si>
    <t>https://doodstream.com/d/u5ttvdsiq9ci/</t>
  </si>
  <si>
    <t>https://lulustream.com/d/59myho71hh1j</t>
  </si>
  <si>
    <t>#teens #redhead #blowjob #pov</t>
  </si>
  <si>
    <t>https://thumb.tapecontent.net/thumb/Qw4wJlpz0Pi80M/RAQQvRp3YGHdGYW.jpg</t>
  </si>
  <si>
    <t>Elly Clutch - 52743631 - Onlyfans - Chloe Foxxe.jpg</t>
  </si>
  <si>
    <t>https://doodstream.com/d/3jfhsm9031wo/</t>
  </si>
  <si>
    <t>https://lulustream.com/d/pin4fl91wj7h</t>
  </si>
  <si>
    <t>#bigtits #threesome #blowjob #redhead</t>
  </si>
  <si>
    <t>https://thumb.tapecontent.net/thumb/xyDBQmBeAeik3Qr/wdxrPPgKrVtJ2rB.jpg</t>
  </si>
  <si>
    <t>Elly Clutch - 56314419 - Onlyfans.jpg</t>
  </si>
  <si>
    <t>https://doodstream.com/d/8u51pvr2pz3t/</t>
  </si>
  <si>
    <t>https://lulustream.com/d/pqlf8eodkq8w</t>
  </si>
  <si>
    <t>#blowjob #bigtits #pov #redhead</t>
  </si>
  <si>
    <t>https://thumb.tapecontent.net/thumb/OgqbQAJYwJcZjRb/pM0yQJ7gvptrZxW.jpg</t>
  </si>
  <si>
    <t>Elly Clutch - 56939748 - Onlyfans.jpg</t>
  </si>
  <si>
    <t>https://doodstream.com/d/vho0ibpaue8k/</t>
  </si>
  <si>
    <t>https://lulustream.com/d/kf59q4yamnxi</t>
  </si>
  <si>
    <t>https://thumb.tapecontent.net/thumb/7GGOJ3L9w2sAKvk/R4GmMA8A3xIdl3v.jpg</t>
  </si>
  <si>
    <t>Elly Clutch - 60792517 - Onlyfans - Sky Wonderland.jpg</t>
  </si>
  <si>
    <t>https://doodstream.com/d/4k6tnj87dr29/</t>
  </si>
  <si>
    <t>https://lulustream.com/d/5youken3q9p6</t>
  </si>
  <si>
    <t>#teen #redhead #blowjob #bigtits</t>
  </si>
  <si>
    <t>https://thumb.tapecontent.net/thumb/Q1y0bKQaZvi0Z3a/grKlbYj1jLSqbxj.jpg</t>
  </si>
  <si>
    <t>Elly Clutch - 63179344 - Onlyfans.jpg</t>
  </si>
  <si>
    <t>https://doodstream.com/d/lgxt273q0tk5/</t>
  </si>
  <si>
    <t>https://lulustream.com/d/5rw3474yvd0k</t>
  </si>
  <si>
    <t>#bigtits #creampie #hardcore #teen</t>
  </si>
  <si>
    <t>https://thumb.tapecontent.net/thumb/aPmOgOpD23cbg2/kZop8KepoviOxeM.jpg</t>
  </si>
  <si>
    <t>Elly Clutch - 67068773 - ripnsfw.com.jpg</t>
  </si>
  <si>
    <t>https://doodstream.com/d/ppuuwh1ss8tq/</t>
  </si>
  <si>
    <t>https://lulustream.com/d/ezyglgn6y0p2</t>
  </si>
  <si>
    <t>#BigTits, #Hardcore, #Threesome, #Teen, #Artporn, #Teens, #Blowjob, #Amateur, #Deepthroat</t>
  </si>
  <si>
    <t>https://thumb.tapecontent.net/thumb/G3BMbKq2bPIlw8/meoRxMqo37sbAXp.jpg</t>
  </si>
  <si>
    <t>Elly Clutch - 67600788 - Onlyfans.jpg</t>
  </si>
  <si>
    <t>https://doodstream.com/d/jjtsru4kk4s3/</t>
  </si>
  <si>
    <t>https://lulustream.com/d/wt0eheu44roa</t>
  </si>
  <si>
    <t>#BigTits, #Hardcore, #Creampie, #Teen, #Artporn, #Blowjob, #Amateur, #Blonde</t>
  </si>
  <si>
    <t>#BigTits #Hardcore #Creampie #Teen #Artporn #Blowjob #Amateur</t>
  </si>
  <si>
    <t>https://thumb.tapecontent.net/thumb/WD3yjO2Zr7Sbvdj/3appzp3GpaSX1x.jpg</t>
  </si>
  <si>
    <t>Elly Clutch - 71354082 - ripnsfw.com.jpg</t>
  </si>
  <si>
    <t>https://doodstream.com/d/6y1i1k1brryl/</t>
  </si>
  <si>
    <t>https://lulustream.com/d/x88zbmlgs712</t>
  </si>
  <si>
    <t>#BigTits, #Hardcore, #Interracial, #Teen, #Blowjob, #Amateur</t>
  </si>
  <si>
    <t>https://thumb.tapecontent.net/thumb/1ADqGzXAQ2UeYDB/zb70DXvM8zFYrpW.jpg</t>
  </si>
  <si>
    <t>Elly Clutch - 71915196 - Onlyfans - Hannah Jo.jpg</t>
  </si>
  <si>
    <t>https://doodstream.com/d/5o571qwcv19o/</t>
  </si>
  <si>
    <t>https://lulustream.com/d/cxmn1g457fxv</t>
  </si>
  <si>
    <t>#teens #bigtits #blowjob #amateur</t>
  </si>
  <si>
    <t>https://thumb.tapecontent.net/thumb/pl0d931ZkMcr2ZO/ajYdp2R3b2uxXZP.jpg</t>
  </si>
  <si>
    <t>Elly Clutch - 79397769 - Onlyfans.jpg</t>
  </si>
  <si>
    <t>https://doodstream.com/d/kzpinwnp5mrc/</t>
  </si>
  <si>
    <t>https://lulustream.com/d/hnpwscdqerjn</t>
  </si>
  <si>
    <t>#BigTits, #Hardcore, #Teen, #Artporn, #Blowjob, #Amateur, #Deepthroat</t>
  </si>
  <si>
    <t>#BigTits #Hardcore #Teen #Artporn #Blowjob #Amateur</t>
  </si>
  <si>
    <t>https://thumb.tapecontent.net/thumb/JK2WXvmj9bigGq/myzVQ3jVQ3IdKo.jpg</t>
  </si>
  <si>
    <t>Elly Clutch - 90351632 - ripnsfw.com.jpg</t>
  </si>
  <si>
    <t>https://doodstream.com/d/t0w8dfhgjfw9/</t>
  </si>
  <si>
    <t>https://lulustream.com/d/lc47c2sppgqx</t>
  </si>
  <si>
    <t>#BigTits, #Creampie, #Hardcore, #Teen, #Blowjob, #Amateur</t>
  </si>
  <si>
    <t>#BigTits #Creampie #Hardcore #Teen #Blowjob #Amateur</t>
  </si>
  <si>
    <t>https://thumb.tapecontent.net/thumb/gweJqz68Lafq7We/AAv9qgVm3OHXJw1.jpg</t>
  </si>
  <si>
    <t>Elly Clutch - 99916281 - ripnsfw.com - Sidney Summers.jpg</t>
  </si>
  <si>
    <t>https://doodstream.com/d/2kzqzsqy51e5/</t>
  </si>
  <si>
    <t>https://lulustream.com/d/pf2imnd5yve8</t>
  </si>
  <si>
    <t>#BigTits, #Hardcore, #Threesome, #Teen, #Artporn, #Blowjob, #Amateur, #Deepthroat, #Facial</t>
  </si>
  <si>
    <t>#BigTits #Hardcore #Threesome #Teen #Artporn #Blowjob #Amateur #Deepthroat</t>
  </si>
  <si>
    <t>https://thumb.tapecontent.net/thumb/PkPWAxrMYyF0mYM/vwpGYze3r6FjD1.jpg</t>
  </si>
  <si>
    <t>Emily Walters - 16857122 - Onlyfans.jpg</t>
  </si>
  <si>
    <t>https://doodstream.com/d/jgih9mcbd3ek/</t>
  </si>
  <si>
    <t>https://lulustream.com/d/i5gan13c4ttg</t>
  </si>
  <si>
    <t>#MILF, #Hardcore, #Black, #Threesome, #Interracial, #Stepmom, #Blowjob, #Amateur, #Deepthroat, #Hotwife, #Blonde, #Facial</t>
  </si>
  <si>
    <t>#MILF #Hardcore #Black #Threesome #Interracial #Stepmom #Blowjob #Amateur #Deepthroat #Hotwife #Blonde #Facial</t>
  </si>
  <si>
    <t>https://thumb.tapecontent.net/thumb/W8r26gbZ2Rubwm6/ZaKY3BBRM6FqamM.jpg</t>
  </si>
  <si>
    <t>Emily Walters - 17222726 - Onlyfans.jpg</t>
  </si>
  <si>
    <t>https://doodstream.com/d/abcgk643fm3p/</t>
  </si>
  <si>
    <t>https://lulustream.com/d/e5zzescu1ei1</t>
  </si>
  <si>
    <t>#blonde #blowjob #facial #bigtits</t>
  </si>
  <si>
    <t>https://thumb.tapecontent.net/thumb/g3aXoYv1wpCqjWz/M6o3gxqQ4xCm4Gz.jpg</t>
  </si>
  <si>
    <t>Emily Walters - 19561148 - Onlyfans.jpg</t>
  </si>
  <si>
    <t>https://doodstream.com/d/oco3z1uz9sbi/</t>
  </si>
  <si>
    <t>https://lulustream.com/d/7dqp2d2u1oxo</t>
  </si>
  <si>
    <t>#MILF, #Hardcore, #Creampie, #Black</t>
  </si>
  <si>
    <t>#MILF #Hardcore #Creampie #Black</t>
  </si>
  <si>
    <t>https://thumb.tapecontent.net/thumb/wlyBQbO7yqIJMy3/1jZKOx9R8BTeeKx.jpg</t>
  </si>
  <si>
    <t>Emily Walters - 26307279 - Onlyfans.jpg</t>
  </si>
  <si>
    <t>https://doodstream.com/d/88noka66auhj/</t>
  </si>
  <si>
    <t>https://lulustream.com/d/znp0s1kpfi6o</t>
  </si>
  <si>
    <t>#milf #blowjob #blonde #threesome</t>
  </si>
  <si>
    <t>https://thumb.tapecontent.net/thumb/GQOgQRlg39h1K86/p9pPxoA62ATX18.jpg</t>
  </si>
  <si>
    <t>Emily Walters - 54972070 - Onlyfans.jpg</t>
  </si>
  <si>
    <t>https://doodstream.com/d/6ve7ikkq8yar/</t>
  </si>
  <si>
    <t>https://lulustream.com/d/6yjhypqa2u6j</t>
  </si>
  <si>
    <t>#milf #blowjob #amateur #bigtits</t>
  </si>
  <si>
    <t>https://thumb.tapecontent.net/thumb/V0azDJqM1McKAwY/2V80KQZKd0sZ3LG.jpg</t>
  </si>
  <si>
    <t>Emily Walters - 57438156 - Onlyfans.jpg</t>
  </si>
  <si>
    <t>https://doodstream.com/d/gkq7vf9i1cly/</t>
  </si>
  <si>
    <t>https://lulustream.com/d/vy6r5f8ch51a</t>
  </si>
  <si>
    <t>#foursome #bigtits #blonde #milf</t>
  </si>
  <si>
    <t>https://thumb.tapecontent.net/thumb/a2OeQK1qj6cxDky/0rYv1v3wjRHbdW9.jpg</t>
  </si>
  <si>
    <t>Emily Walters - 57597598 - Onlyfans - Hotwife Alice.jpg</t>
  </si>
  <si>
    <t>https://doodstream.com/d/niu0bwcnzlno/</t>
  </si>
  <si>
    <t>https://lulustream.com/d/1jsv8tfs2b4t</t>
  </si>
  <si>
    <t>https://thumb.tapecontent.net/thumb/aZJX8K3yxgIxj9X/reyXGWJQ9aCbV68.jpg</t>
  </si>
  <si>
    <t>Emily Walters - 62534135 - Onlyfans.jpg</t>
  </si>
  <si>
    <t>https://doodstream.com/d/8drphra49pet/</t>
  </si>
  <si>
    <t>https://lulustream.com/d/k4a8t6nml4tn</t>
  </si>
  <si>
    <t>#blonde #bigtits #blowjob #facial</t>
  </si>
  <si>
    <t>https://thumb.tapecontent.net/thumb/27qG3JRw43UZ7Jz/4z1lQXzWK8Hyxx.jpg</t>
  </si>
  <si>
    <t>Emily Walters - 92239134 - Onlyfans.jpg</t>
  </si>
  <si>
    <t>https://doodstream.com/d/06mgw82vy32n/</t>
  </si>
  <si>
    <t>https://lulustream.com/d/64ivazarxl3x</t>
  </si>
  <si>
    <t>#milf #threesome #bigtits #bigass</t>
  </si>
  <si>
    <t>https://thumb.tapecontent.net/thumb/W30v7AVDYQurlX/VX3bVx1MvoCOYv.jpg</t>
  </si>
  <si>
    <t>Emily Walters - 93399680 - Onlyfans.jpg</t>
  </si>
  <si>
    <t>https://doodstream.com/d/pog3ruilex4y/</t>
  </si>
  <si>
    <t>https://lulustream.com/d/ma5bn5tgzv4m</t>
  </si>
  <si>
    <t>#MILF, #Hardcore, #Black, #Interracial</t>
  </si>
  <si>
    <t>#MILF #Hardcore #Black #Interracial</t>
  </si>
  <si>
    <t>https://thumb.tapecontent.net/thumb/lQ8L477zkjs7qqa/QdaZM2zlrDu00A4.jpg</t>
  </si>
  <si>
    <t>Emily Willis - 15231839 - ripnsfw.com.jpg</t>
  </si>
  <si>
    <t>https://doodstream.com/d/4oq6gc23gec5/</t>
  </si>
  <si>
    <t>https://lulustream.com/d/jllfgh853v37</t>
  </si>
  <si>
    <t>#Creampie, #Hardcore, #Porn, #Teen, #Blowjob</t>
  </si>
  <si>
    <t>#Creampie #Hardcore #Porn #Teen #Blowjob</t>
  </si>
  <si>
    <t>https://thumb.tapecontent.net/thumb/9XAdmxvrqehawbm/J9B62jPa0euGpZ.jpg</t>
  </si>
  <si>
    <t>Emma Magnolia - 11393557 - Onlyfans - Jewelz Blu.jpg</t>
  </si>
  <si>
    <t>https://doodstream.com/d/3bp7as255txr/</t>
  </si>
  <si>
    <t>https://lulustream.com/d/xb2lg79fghvu</t>
  </si>
  <si>
    <t>https://thumb.tapecontent.net/thumb/gdbWAv21WrsBK8/Wed7rX4KboHbjO2.jpg</t>
  </si>
  <si>
    <t>Emma Magnolia - 16838177 - Onlyfans.jpg</t>
  </si>
  <si>
    <t>https://doodstream.com/d/r7oba1m9o1yg/</t>
  </si>
  <si>
    <t>https://lulustream.com/d/hahg641nzw18</t>
  </si>
  <si>
    <t>https://thumb.tapecontent.net/thumb/wdmxGmYXZrhx17/96vjBOmQwlT6Y9.jpg</t>
  </si>
  <si>
    <t>Emma Magnolia - 71272411 - Onlyfans - Cami Strella.jpg</t>
  </si>
  <si>
    <t>https://doodstream.com/d/w9qe2qash5jo/</t>
  </si>
  <si>
    <t>https://lulustream.com/d/g7ugu29wyjab</t>
  </si>
  <si>
    <t>#milf #bigtits #blowjob #threesome</t>
  </si>
  <si>
    <t>https://thumb.tapecontent.net/thumb/goX0vQBvpjcJo6/L1KWZ6p8D7TR0RO.jpg</t>
  </si>
  <si>
    <t>Erin - 91380296 - BackroomCastingCouch.jpg</t>
  </si>
  <si>
    <t>https://doodstream.com/d/0h5l4i5f694e/</t>
  </si>
  <si>
    <t>https://lulustream.com/d/ax46xforlo05</t>
  </si>
  <si>
    <t>#teen #casting #blowjob #blonde</t>
  </si>
  <si>
    <t>https://thumb.tapecontent.net/thumb/VBKBwe1DRPtK1a4/Py0BD7m2avS0ZmR.jpg</t>
  </si>
  <si>
    <t>Eva Elfie - 10969325 - PPV.jpg</t>
  </si>
  <si>
    <t>https://doodstream.com/d/xkrnvcrefkxl/</t>
  </si>
  <si>
    <t>https://lulustream.com/d/u051aw0c0rbr</t>
  </si>
  <si>
    <t>https://thumb.tapecontent.net/thumb/aYk16KXArdcx1b6/xXVO764gLJikMro.jpg</t>
  </si>
  <si>
    <t>Eva Elfie - 14676280 - Onlyfans.jpg</t>
  </si>
  <si>
    <t>https://doodstream.com/d/d9g1c42s4sob/</t>
  </si>
  <si>
    <t>https://lulustream.com/d/ofej9owvx5j9</t>
  </si>
  <si>
    <t>https://thumb.tapecontent.net/thumb/pdW6wrJeeKUrrpx/d8RQl604AbIkpyo.jpg</t>
  </si>
  <si>
    <t>Eva Elfie - 15309465 - ripnsfw.com.jpg</t>
  </si>
  <si>
    <t>https://doodstream.com/d/lqkogoju5qap/</t>
  </si>
  <si>
    <t>https://lulustream.com/d/bbiu3q080e32</t>
  </si>
  <si>
    <t>#BigTits, #Hardcore, #Teen, #Artporn, #Teens, #Blowjob, #Amateur, #Hotwife, #Deepthroat, #Blonde</t>
  </si>
  <si>
    <t>#BigTits #Hardcore #Teen #Artporn #Teens #Blowjob #Amateur #Hotwife</t>
  </si>
  <si>
    <t>https://thumb.tapecontent.net/thumb/6egr4a3JVohLrk/RLzKkB0dePtdRV6.jpg</t>
  </si>
  <si>
    <t>Eva Elfie - 16361811 - Onlyfans.jpg</t>
  </si>
  <si>
    <t>https://doodstream.com/d/py5k8z99xnet/</t>
  </si>
  <si>
    <t>https://lulustream.com/d/0yui4z8gzga5</t>
  </si>
  <si>
    <t>https://thumb.tapecontent.net/thumb/mrryqbxA7rhbbaM/K9gRjMk3mGI0Qv6.jpg</t>
  </si>
  <si>
    <t>Eva Elfie - 17962206 - Onlyfans.jpg</t>
  </si>
  <si>
    <t>https://doodstream.com/d/lu0oxxrjbe8z/</t>
  </si>
  <si>
    <t>https://lulustream.com/d/nt480k7qf3yb</t>
  </si>
  <si>
    <t>#teen #bigtits #blonde #blowjob</t>
  </si>
  <si>
    <t>https://thumb.tapecontent.net/thumb/bqWqvgkqZ7IPk40/K9Y82ov4BmiJPw.jpg</t>
  </si>
  <si>
    <t>Eva Elfie - 19230638 - Onlyfans.jpg</t>
  </si>
  <si>
    <t>https://doodstream.com/d/u4br5zhafxtm/</t>
  </si>
  <si>
    <t>https://lulustream.com/d/y60pswyoeiig</t>
  </si>
  <si>
    <t>#BigTits, #Hardcore, #Teen, #Teens, #Artporn, #Blowjob, #Amateur, #Blonde, #Facial</t>
  </si>
  <si>
    <t>#BigTits #Hardcore #Teen #Teens</t>
  </si>
  <si>
    <t>https://thumb.tapecontent.net/thumb/WX3pzRvp2dibabA/4X7gQWe9QoHKgLz.jpg</t>
  </si>
  <si>
    <t>Eva Elfie - 20301549 - Onlyfans.jpg</t>
  </si>
  <si>
    <t>https://doodstream.com/d/mpqj96g6knke/</t>
  </si>
  <si>
    <t>https://lulustream.com/d/3ruhtvm8gsrf</t>
  </si>
  <si>
    <t>#teen #blonde #bigtits #blowjob</t>
  </si>
  <si>
    <t>https://thumb.tapecontent.net/thumb/Xg3o6oWVmJfDQXB/qOm3q8Lzoahz0O2.jpg</t>
  </si>
  <si>
    <t>Eva Elfie - 30292999 - ripnsfw.com.jpg</t>
  </si>
  <si>
    <t>https://doodstream.com/d/y5woi3rrioe5/</t>
  </si>
  <si>
    <t>https://lulustream.com/d/xy9xdmmfqu97</t>
  </si>
  <si>
    <t>#BigTits, #Hardcore, #Teen, #Blowjob, #Amateur, #Deepthroat, #Blonde, #Facial</t>
  </si>
  <si>
    <t>https://thumb.tapecontent.net/thumb/Wr1w02x9y6hq4w/QJmYOkJ2XbF0jzV.jpg</t>
  </si>
  <si>
    <t>Eva Elfie - 32413746 - Onlyfans.jpg</t>
  </si>
  <si>
    <t>https://doodstream.com/d/qnvbkphfu4r8/</t>
  </si>
  <si>
    <t>https://lulustream.com/d/mbr21c5zctul</t>
  </si>
  <si>
    <t>https://thumb.tapecontent.net/thumb/YVmzlAerBoCoy6/Oo9XvkO3BWTZ2wY.jpg</t>
  </si>
  <si>
    <t>Eva Elfie - 33050807 - Onlyfans.jpg</t>
  </si>
  <si>
    <t>https://doodstream.com/d/18fmzftg65ny/</t>
  </si>
  <si>
    <t>https://lulustream.com/d/q18kyfg5ob32</t>
  </si>
  <si>
    <t>#BigTits, #Hardcore, #Teen, #Roleplay, #Artporn, #Blowjob, #Amateur, #Deepthroat, #Blonde, #Facial</t>
  </si>
  <si>
    <t>#BigTits #Hardcore #Teen #Roleplay #Artporn #Blowjob #Amateur</t>
  </si>
  <si>
    <t>https://thumb.tapecontent.net/thumb/p434m8YX17TrmAd/LOzzR6W4qkhRR9j.jpg</t>
  </si>
  <si>
    <t>Eva Elfie - 37883745 - Onlyfans.jpg</t>
  </si>
  <si>
    <t>https://doodstream.com/d/4q5749gt48w6/</t>
  </si>
  <si>
    <t>https://lulustream.com/d/zr1szgypango</t>
  </si>
  <si>
    <t>#BigTits, #Hardcore, #Teen, #Blowjob, #Amateur, #Blonde, #Facial</t>
  </si>
  <si>
    <t>#BigTits #Hardcore #Teen #Blowjob #Amateur #Blonde</t>
  </si>
  <si>
    <t>https://thumb.tapecontent.net/thumb/DlbrxKOxr4ik70D/myxDPplMR6ibZYL.jpg</t>
  </si>
  <si>
    <t>Eva Elfie - 41235226 - Onlyfans.jpg</t>
  </si>
  <si>
    <t>https://doodstream.com/d/n7ecpgm4cjql/</t>
  </si>
  <si>
    <t>https://lulustream.com/d/9ihrxzevvq6x</t>
  </si>
  <si>
    <t>https://thumb.tapecontent.net/thumb/dZ1b9o8P2mtkXGk/vgZpgPO9ylh4Z0K.jpg</t>
  </si>
  <si>
    <t>Eva Elfie - 42075104 - Onlyfans.jpg</t>
  </si>
  <si>
    <t>https://doodstream.com/d/tmo90jstwyzz/</t>
  </si>
  <si>
    <t>https://lulustream.com/d/p2d0f1kle9qz</t>
  </si>
  <si>
    <t>#teen #blowjob #bigtits #blonde</t>
  </si>
  <si>
    <t>https://thumb.tapecontent.net/thumb/pdVZKKXPQjIV80/Qg7rmRKOQKs0YQx.jpg</t>
  </si>
  <si>
    <t>Eva Elfie - 47114945 - Onlyfans.jpg</t>
  </si>
  <si>
    <t>https://doodstream.com/d/vs2i4fp8dz5f/</t>
  </si>
  <si>
    <t>https://lulustream.com/d/mb7uqypc4e8w</t>
  </si>
  <si>
    <t>https://thumb.tapecontent.net/thumb/W18k28q90zcee3/BbGO280ZrbUygro.jpg</t>
  </si>
  <si>
    <t>Eva Elfie - 51047553 - Onlyfans.jpg</t>
  </si>
  <si>
    <t>https://doodstream.com/d/shfhz2r9i1h3/</t>
  </si>
  <si>
    <t>https://lulustream.com/d/9beuvpkonepf</t>
  </si>
  <si>
    <t>#BigTits, #Creampie, #Hardcore, #Teen, #Roleplay, #Blowjob, #Amateur, #Blonde</t>
  </si>
  <si>
    <t>#BigTits #Creampie #Hardcore #Teen #Roleplay #Blowjob #Amateur #Blonde</t>
  </si>
  <si>
    <t>https://thumb.tapecontent.net/thumb/vV3bDR3L9Gu4GA0/KL2RlvK22wH0mwO.jpg</t>
  </si>
  <si>
    <t>Eva Elfie - 51558283 - Onlyfans.jpg</t>
  </si>
  <si>
    <t>https://doodstream.com/d/k9wunouuq7wh/</t>
  </si>
  <si>
    <t>https://lulustream.com/d/r25xcko5lw1h</t>
  </si>
  <si>
    <t>#teen #creampie #bigtits #blowjob</t>
  </si>
  <si>
    <t>https://thumb.tapecontent.net/thumb/oL0WAdaGqViJ8Re/jYLKx08KZJtzraJ.jpg</t>
  </si>
  <si>
    <t>Eva Elfie - 55413650 - Onlyfans.jpg</t>
  </si>
  <si>
    <t>https://doodstream.com/d/9uf12glfj720/</t>
  </si>
  <si>
    <t>https://lulustream.com/d/4l8rfkl1jpj9</t>
  </si>
  <si>
    <t>#teen #blowjob #blonde #bigtits</t>
  </si>
  <si>
    <t>https://thumb.tapecontent.net/thumb/yxKYZ31LLxcwjX/P8J71lvp9Bh06xj.jpg</t>
  </si>
  <si>
    <t>Eva Elfie - 59206791 - Onlyfans.jpg</t>
  </si>
  <si>
    <t>https://doodstream.com/d/1yndlhi76gln/</t>
  </si>
  <si>
    <t>https://lulustream.com/d/32fhlt6nuv7r</t>
  </si>
  <si>
    <t>https://thumb.tapecontent.net/thumb/AwVrpZOw24sXKM9/x2DRl7DPDdhkJj9.jpg</t>
  </si>
  <si>
    <t>Eva Elfie - 64057150 - Onlyfans.jpg</t>
  </si>
  <si>
    <t>https://doodstream.com/d/9snjpl9h4gwt/</t>
  </si>
  <si>
    <t>https://lulustream.com/d/cjvfgaca22r0</t>
  </si>
  <si>
    <t>https://thumb.tapecontent.net/thumb/KkBPzKraXgs03gX/8d7JwolGv3ToP93.jpg</t>
  </si>
  <si>
    <t>Eva Elfie - 67250856 - Onlyfans.jpg</t>
  </si>
  <si>
    <t>https://doodstream.com/d/tjzfql4togf8/</t>
  </si>
  <si>
    <t>https://lulustream.com/d/xt0r7gsqqmkp</t>
  </si>
  <si>
    <t>https://thumb.tapecontent.net/thumb/XqWQ7VbAm4TDV23/vYRWoQzZQgfJ9L.jpg</t>
  </si>
  <si>
    <t>Eva Elfie - 68592528 - Onlyfans.jpg</t>
  </si>
  <si>
    <t>https://doodstream.com/d/ztx7jwf40h0h/</t>
  </si>
  <si>
    <t>https://lulustream.com/d/allaa5ytfnur</t>
  </si>
  <si>
    <t>https://thumb.tapecontent.net/thumb/WQLzWx1aWeUbDLM/vB1Dpl8qp4c4030.jpg</t>
  </si>
  <si>
    <t>Eva Elfie - 70410727 - Onlyfans.jpg</t>
  </si>
  <si>
    <t>https://doodstream.com/d/ymj69bdsbolb/</t>
  </si>
  <si>
    <t>https://lulustream.com/d/u646thgu0fuf</t>
  </si>
  <si>
    <t>#teen #creampie #bigtits #blonde</t>
  </si>
  <si>
    <t>https://thumb.tapecontent.net/thumb/rxrJGWj1oktbvwm/gjjABbLeXJtq1lq.jpg</t>
  </si>
  <si>
    <t>Eva Elfie - 71677812 - Onlyfans.jpg</t>
  </si>
  <si>
    <t>https://doodstream.com/d/jcmhnf2598z7/</t>
  </si>
  <si>
    <t>https://lulustream.com/d/22k4x4lg3lx7</t>
  </si>
  <si>
    <t>#BigTits, #Hardcore, #Teen, #Artporn, #Teens, #Blowjob, #Amateur, #Blonde</t>
  </si>
  <si>
    <t>#BigTits #Hardcore #Teen #Artporn #Teens #Blowjob</t>
  </si>
  <si>
    <t>https://thumb.tapecontent.net/thumb/vrxaDmK8BjS498Z/BQLqLAxmkaUygdO.jpg</t>
  </si>
  <si>
    <t>Eva Elfie - 76703582 - Onlyfans.jpg</t>
  </si>
  <si>
    <t>https://doodstream.com/d/ybmksr3kfcsw/</t>
  </si>
  <si>
    <t>https://lulustream.com/d/q4svj2apw8eq</t>
  </si>
  <si>
    <t>https://thumb.tapecontent.net/thumb/JoPmYke6qOtjqwZ/Ok0j3lDWAmFZ3Jz.jpg</t>
  </si>
  <si>
    <t>Eva Elfie - 81379736 - Onlyfans.jpg</t>
  </si>
  <si>
    <t>https://doodstream.com/d/88v6td33g9sj/</t>
  </si>
  <si>
    <t>https://lulustream.com/d/1b2p3ms2voay</t>
  </si>
  <si>
    <t>#BigTits, #Creampie, #Hardcore, #Teen</t>
  </si>
  <si>
    <t>#BigTits #Creampie #Hardcore #Teen</t>
  </si>
  <si>
    <t>https://thumb.tapecontent.net/thumb/06mAjqZOGBsb72b/meD3dD43YeC2dD.jpg</t>
  </si>
  <si>
    <t>Eva Elfie - 83083274 - Onlyfans.jpg</t>
  </si>
  <si>
    <t>https://doodstream.com/d/6yzldar3j9nd/</t>
  </si>
  <si>
    <t>https://lulustream.com/d/e4wfj9oayedz</t>
  </si>
  <si>
    <t>#BigTits, #Teen, #Teens, #Amateur, #Blowjob, #Blonde, #Facial</t>
  </si>
  <si>
    <t>#BigTits #Teen #Teens #Amateur</t>
  </si>
  <si>
    <t>https://thumb.tapecontent.net/thumb/JkKLg4pzDmuj1ed/QXMD2ve3pYt012m.jpg</t>
  </si>
  <si>
    <t>Eva Elfie - 85253171 - Onlyfans.jpg</t>
  </si>
  <si>
    <t>https://doodstream.com/d/yw1v81eqdmvo/</t>
  </si>
  <si>
    <t>https://lulustream.com/d/3jur9d9iveru</t>
  </si>
  <si>
    <t>https://thumb.tapecontent.net/thumb/1xxyYbO3j6feoyY/XJ91l4DJPQfzR3.jpg</t>
  </si>
  <si>
    <t>Eva Elfie - 87988491 - Onlyfans.jpg</t>
  </si>
  <si>
    <t>https://doodstream.com/d/5qr98hhftg2o/</t>
  </si>
  <si>
    <t>https://lulustream.com/d/u6pph05yxdet</t>
  </si>
  <si>
    <t>#BigTits, #Hardcore, #Teen, #Roleplay</t>
  </si>
  <si>
    <t>#BigTits #Hardcore #Teen #Roleplay</t>
  </si>
  <si>
    <t>https://thumb.tapecontent.net/thumb/8KRDlXO4j7Howjl/YO7YpVxDXrHv9P2.jpg</t>
  </si>
  <si>
    <t>Eva Elfie - 91672213 - Onlyfans.jpg</t>
  </si>
  <si>
    <t>https://doodstream.com/d/a5ct2kadwa4e/</t>
  </si>
  <si>
    <t>https://lulustream.com/d/77ucbn34pii7</t>
  </si>
  <si>
    <t>https://thumb.tapecontent.net/thumb/6jJrbowZ6VF9z7P/KXRdJmBM60h01O3.jpg</t>
  </si>
  <si>
    <t>Eva Elfie - 93618535 - Onlyfans.jpg</t>
  </si>
  <si>
    <t>https://doodstream.com/d/un9f9k9ubcps/</t>
  </si>
  <si>
    <t>https://lulustream.com/d/gvio1909wrru</t>
  </si>
  <si>
    <t>https://thumb.tapecontent.net/thumb/8PQwRrzA7lC437/YLBykBaaJWcv98Z.jpg</t>
  </si>
  <si>
    <t>Eva Elfie - 97760224 - Onlyfans.jpg</t>
  </si>
  <si>
    <t>https://doodstream.com/d/hh5by62vaqs3/</t>
  </si>
  <si>
    <t>https://lulustream.com/d/349p4kxoqbo0</t>
  </si>
  <si>
    <t>https://thumb.tapecontent.net/thumb/8VZVk26QvdCoaVV/l4RDbVyVbBf7RmY.jpg</t>
  </si>
  <si>
    <t>Eva Elfie - 99259850 - Onlyfans.jpg</t>
  </si>
  <si>
    <t>https://doodstream.com/d/n1imyfx0rke8/</t>
  </si>
  <si>
    <t>https://lulustream.com/d/fytv1vavn5au</t>
  </si>
  <si>
    <t>https://thumb.tapecontent.net/thumb/ZxY31epdgQFqDrp/dpMwde0Qb1CkXMp.jpg</t>
  </si>
  <si>
    <t>Eva Nyx - 70048649 - PPV.jpg</t>
  </si>
  <si>
    <t>https://doodstream.com/d/5v2o1xm1tj94/</t>
  </si>
  <si>
    <t>https://lulustream.com/d/yprr9sdvzo2u</t>
  </si>
  <si>
    <t>#blowjob #blonde #teen #amateur</t>
  </si>
  <si>
    <t>https://thumb.tapecontent.net/thumb/Lykm2rovqAU64O/MyOJ2pYvBecYpB.jpg</t>
  </si>
  <si>
    <t>Eva Nyx - 86406160 - FS - Charlie Forde.jpg</t>
  </si>
  <si>
    <t>https://doodstream.com/d/7x4liel1jfxp/</t>
  </si>
  <si>
    <t>https://lulustream.com/d/ya75oijb484w</t>
  </si>
  <si>
    <t>#BigTits, #Hardcore, #Bigass, #Porn, #Teen, #Roleplay, #Teens, #Blowjob, #Deepthroat, #Blonde, #Facial, #Foursome</t>
  </si>
  <si>
    <t>#BigTits #Hardcore #Bigass #Porn #Teen #Roleplay #Teens #Blowjob #Deepthroat #Blonde</t>
  </si>
  <si>
    <t>https://thumb.tapecontent.net/thumb/KQwAezGlv2hgMv/0B0d9GGVGQSb31R.jpg</t>
  </si>
  <si>
    <t>Gabbie Carter - 11937242 - Onlyfans.jpg</t>
  </si>
  <si>
    <t>https://doodstream.com/d/0nzcmmf48qlk/</t>
  </si>
  <si>
    <t>https://lulustream.com/d/tfvrnmfl8s38</t>
  </si>
  <si>
    <t>#MILF, #BigTits, #Creampie, #Hardcore, #Artporn, #Stepmom, #Blowjob, #Amateur, #Hotwife, #Deepthroat, #Blonde</t>
  </si>
  <si>
    <t>#MILF #BigTits #Creampie #Hardcore #Artporn #Stepmom #Blowjob #Amateur #Hotwife</t>
  </si>
  <si>
    <t>https://thumb.tapecontent.net/thumb/rgOZBbxrV6cbrML/3GVP6GRWqKtdQ4k.jpg</t>
  </si>
  <si>
    <t>Gabbie Carter - 14177864 - ripnsfw.com - Little Caprice.jpg</t>
  </si>
  <si>
    <t>https://doodstream.com/d/zmhvqow4gajc/</t>
  </si>
  <si>
    <t>https://lulustream.com/d/cgh7l6v22b62</t>
  </si>
  <si>
    <t>#BigTits, #Hardcore, #Porn, #Teen, #Teens, #Blowjob, #Deepthroat, #Blonde</t>
  </si>
  <si>
    <t>#BigTits #Hardcore #Porn #Teen #Teens</t>
  </si>
  <si>
    <t>https://thumb.tapecontent.net/thumb/O4vkxZo0dgSG1Z/P6G1aD8YvAT0Oo8.jpg</t>
  </si>
  <si>
    <t>Gabbie Carter - 16143215 - Onlyfans.jpg</t>
  </si>
  <si>
    <t>https://doodstream.com/d/zhwffdmdbgzz/</t>
  </si>
  <si>
    <t>https://lulustream.com/d/5bz8tisyzja1</t>
  </si>
  <si>
    <t>#milf #blowjob #bigtits #blonde</t>
  </si>
  <si>
    <t>https://thumb.tapecontent.net/thumb/8Ovx63O4kJUX63/JKJvDyV1jKSjqVJ.jpg</t>
  </si>
  <si>
    <t>Gabbie Carter - 20538793 - Onlyfans.jpg</t>
  </si>
  <si>
    <t>https://doodstream.com/d/fxtpijqu3ifu/</t>
  </si>
  <si>
    <t>https://lulustream.com/d/zzr5r4acrakr</t>
  </si>
  <si>
    <t>#milf #bigtits #handjob #blonde</t>
  </si>
  <si>
    <t>https://thumb.tapecontent.net/thumb/MqD4zGMjvoiDy8/L3VMvkDrXQtRkBm.jpg</t>
  </si>
  <si>
    <t>Gabbie Carter - 22251371 - Onlyfans.jpg</t>
  </si>
  <si>
    <t>https://doodstream.com/d/2oeetb7483tk/</t>
  </si>
  <si>
    <t>https://lulustream.com/d/yjiayhyotstg</t>
  </si>
  <si>
    <t>#milf #bigtits #blonde #blowjob</t>
  </si>
  <si>
    <t>https://thumb.tapecontent.net/thumb/1aVbWjzQLPf1z2/dqlJ14jr7JT9Oa.jpg</t>
  </si>
  <si>
    <t>Gabbie Carter - 27573005 - Onlyfans.jpg</t>
  </si>
  <si>
    <t>https://doodstream.com/d/y0chen13nyxj/</t>
  </si>
  <si>
    <t>https://lulustream.com/d/gxmcx1fxz0i1</t>
  </si>
  <si>
    <t>https://thumb.tapecontent.net/thumb/9eJYbBjplGFaerj/ApB18vjDY3UXYdv.jpg</t>
  </si>
  <si>
    <t>Gabbie Carter - 28724000 - Onlyfans.jpg</t>
  </si>
  <si>
    <t>https://doodstream.com/d/vdmno181dfgg/</t>
  </si>
  <si>
    <t>https://lulustream.com/d/rhj7uq6844bf</t>
  </si>
  <si>
    <t>#blowjob #milf #pov #bigtits</t>
  </si>
  <si>
    <t>https://thumb.tapecontent.net/thumb/4XxyoYe697hG0d/egAd776p1Gu9Ko.jpg</t>
  </si>
  <si>
    <t>Gabbie Carter - 33418129 - Onlyfans.jpg</t>
  </si>
  <si>
    <t>https://doodstream.com/d/43whru2mf3sr/</t>
  </si>
  <si>
    <t>https://lulustream.com/d/wwpg0re0qfe6</t>
  </si>
  <si>
    <t>#blowjob #milf #pov #blonde</t>
  </si>
  <si>
    <t>https://thumb.tapecontent.net/thumb/DAzQP7g0akCkaae/A3WWzRLJyPTXOzk.jpg</t>
  </si>
  <si>
    <t>Gabbie Carter - 34898438 - Onlyfans.jpg</t>
  </si>
  <si>
    <t>https://doodstream.com/d/1tjkhhuil1il/</t>
  </si>
  <si>
    <t>https://lulustream.com/d/ejm6gmyzdmat</t>
  </si>
  <si>
    <t>#milf #blonde #bigtits #milk</t>
  </si>
  <si>
    <t>https://thumb.tapecontent.net/thumb/DogZP8l6eYFkgX9/jW19B3bJWJSae1.jpg</t>
  </si>
  <si>
    <t>Gabbie Carter - 35121961 - Onlyfans.jpg</t>
  </si>
  <si>
    <t>https://doodstream.com/d/sxs971lzeyjm/</t>
  </si>
  <si>
    <t>https://lulustream.com/d/ee0tekkbs1sn</t>
  </si>
  <si>
    <t>#milf #blonde #bigtits #blowjob</t>
  </si>
  <si>
    <t>https://thumb.tapecontent.net/thumb/yxwZoxoBZeI11ad/BQlRVOq83otyLY6.jpg</t>
  </si>
  <si>
    <t>Gabbie Carter - 36367348 - Onlyfans.jpg</t>
  </si>
  <si>
    <t>https://doodstream.com/d/4recy2df4zwb/</t>
  </si>
  <si>
    <t>https://lulustream.com/d/spw3kdyzs3rk</t>
  </si>
  <si>
    <t>#anal #milf #bigtits #blowjob</t>
  </si>
  <si>
    <t>https://thumb.tapecontent.net/thumb/bKkbBxmAWwtPAx9/xOQw92LOyOHk2Qb.jpg</t>
  </si>
  <si>
    <t>Gabbie Carter - 38136601 - ripnsfw.com.jpg</t>
  </si>
  <si>
    <t>https://doodstream.com/d/6pez696pjetj/</t>
  </si>
  <si>
    <t>https://lulustream.com/d/tioetldcv4no</t>
  </si>
  <si>
    <t>https://thumb.tapecontent.net/thumb/K9dmzzJxvQIoPz/yPMRAkz0Xmh383.jpg</t>
  </si>
  <si>
    <t>Gabbie Carter - 39126781 - ripnsfw.com.jpg</t>
  </si>
  <si>
    <t>https://doodstream.com/d/vyp18p4jw8da/</t>
  </si>
  <si>
    <t>https://lulustream.com/d/3zhjn9tfrtzw</t>
  </si>
  <si>
    <t>#BigTits, #Hardcore, #Black, #Interracial, #Porn, #Teen, #Blowjob, #Deepthroat, #Blonde, #Facial</t>
  </si>
  <si>
    <t>#BigTits #Hardcore #Black #Interracial #Porn #Teen #Blowjob #Deepthroat #Blonde</t>
  </si>
  <si>
    <t>https://thumb.tapecontent.net/thumb/VmaZDLLRYpSzlG/WGD7DJ80okhbJva.jpg</t>
  </si>
  <si>
    <t>Gabbie Carter - 40364129 - ripnsfw.com.jpg</t>
  </si>
  <si>
    <t>https://doodstream.com/d/39nn37xovx0a/</t>
  </si>
  <si>
    <t>https://lulustream.com/d/ngtb14qcr9a9</t>
  </si>
  <si>
    <t>#BigTits, #Hardcore, #Porn, #Teen, #Blowjob, #Blonde</t>
  </si>
  <si>
    <t>#BigTits #Hardcore #Porn #Teen #Blowjob #Blonde</t>
  </si>
  <si>
    <t>https://thumb.tapecontent.net/thumb/YLR9PrORRWSvDqD/MxkmKKYxlVumjOJ.jpg</t>
  </si>
  <si>
    <t>Gabbie Carter - 40796243 - ripnsfw.com.jpg</t>
  </si>
  <si>
    <t>https://doodstream.com/d/fy0gbct4o8ew/</t>
  </si>
  <si>
    <t>https://lulustream.com/d/wwnuymx8qjo2</t>
  </si>
  <si>
    <t>#MILF, #BigTits, #Hardcore, #Creampie, #Blowjob, #Amateur, #Hotwife, #Blonde</t>
  </si>
  <si>
    <t>#MILF #BigTits #Hardcore #Creampie #Blowjob #Amateur #Hotwife #Blonde</t>
  </si>
  <si>
    <t>https://thumb.tapecontent.net/thumb/kkW7YvmDPatOGgo/x278lapP9zuDGd.jpg</t>
  </si>
  <si>
    <t>Gabbie Carter - 43063870 - Onlyfans.jpg</t>
  </si>
  <si>
    <t>https://doodstream.com/d/6k62zu1a6z9f/</t>
  </si>
  <si>
    <t>https://lulustream.com/d/cpbyq3edv9pl</t>
  </si>
  <si>
    <t>#milf #blowjob #blonde #pov</t>
  </si>
  <si>
    <t>https://thumb.tapecontent.net/thumb/OJRp0brVGwfelQ/p8pkVvdObBSl1p.jpg</t>
  </si>
  <si>
    <t>Gabbie Carter - 43669016 - Onlyfans.jpg</t>
  </si>
  <si>
    <t>https://doodstream.com/d/wpqdrnirst36/</t>
  </si>
  <si>
    <t>https://lulustream.com/d/nteyxmhbrf2l</t>
  </si>
  <si>
    <t>#milf #bigtits #creampie #blonde</t>
  </si>
  <si>
    <t>https://thumb.tapecontent.net/thumb/41Px8qOaX8iKYxQ/ew6QAroqyaiY4lQ.jpg</t>
  </si>
  <si>
    <t>Gabbie Carter - 45387459 - Onlyfans.jpg</t>
  </si>
  <si>
    <t>https://doodstream.com/d/3d6t1mrxkzv4/</t>
  </si>
  <si>
    <t>https://lulustream.com/d/sukd2b2j3c7v</t>
  </si>
  <si>
    <t>https://thumb.tapecontent.net/thumb/PDP4a7VGOgT0JGd/bPj8R8O1dVCLea.jpg</t>
  </si>
  <si>
    <t>Gabbie Carter - 47956232 - Onlyfans.jpg</t>
  </si>
  <si>
    <t>https://doodstream.com/d/zci6iq5tzksj/</t>
  </si>
  <si>
    <t>https://lulustream.com/d/8n0531nnrh0q</t>
  </si>
  <si>
    <t>#milf #bigtits #blowjob #creampie</t>
  </si>
  <si>
    <t>https://thumb.tapecontent.net/thumb/G9eXZ8lDPYiY77/RgOR14bO1DcdOje.jpg</t>
  </si>
  <si>
    <t>Gabbie Carter - 47987650 - Onlyfans.jpg</t>
  </si>
  <si>
    <t>https://doodstream.com/d/tt1gklwdae4a/</t>
  </si>
  <si>
    <t>https://lulustream.com/d/y9xfbv38j6t9</t>
  </si>
  <si>
    <t>#MILF, #BigTits, #Hardcore, #Blowjob, #Amateur, #Hotwife, #Deepthroat, #Blonde, #Facial</t>
  </si>
  <si>
    <t>#MILF #BigTits #Hardcore #Blowjob #Amateur #Hotwife #Deepthroat</t>
  </si>
  <si>
    <t>https://thumb.tapecontent.net/thumb/m9l6O8RJXeSG7B/rbQx1zJ9lvfb2Wb.jpg</t>
  </si>
  <si>
    <t>Gabbie Carter - 48558257 - Onlyfans.jpg</t>
  </si>
  <si>
    <t>https://doodstream.com/d/tq0kzz79tn45/</t>
  </si>
  <si>
    <t>https://lulustream.com/d/xfzpzxtj16c3</t>
  </si>
  <si>
    <t>#milf #bigtits #blonde #solo</t>
  </si>
  <si>
    <t>https://thumb.tapecontent.net/thumb/wZWD29bOWqToAw/qKJq0yR4rlcz87v.jpg</t>
  </si>
  <si>
    <t>Gabbie Carter - 50559757 - ripnsfw.com.jpg</t>
  </si>
  <si>
    <t>https://doodstream.com/d/7nidm1xuqrxt/</t>
  </si>
  <si>
    <t>https://lulustream.com/d/4x5jtj8k3hjz</t>
  </si>
  <si>
    <t>#MILF, #BigTits, #Roleplay, #Blowjob, #Blonde</t>
  </si>
  <si>
    <t>#MILF #BigTits #Roleplay #Blowjob #Blonde</t>
  </si>
  <si>
    <t>https://thumb.tapecontent.net/thumb/MyY0YaXdxeIeXL/KzAVoW6AMqt0Rqk.jpg</t>
  </si>
  <si>
    <t>Gabbie Carter - 57774773 - Onlyfans.jpg</t>
  </si>
  <si>
    <t>https://doodstream.com/d/biz0bq0v51lh/</t>
  </si>
  <si>
    <t>https://lulustream.com/d/3y1pwtdpb82g</t>
  </si>
  <si>
    <t>#bigtits #milf #hardcore #blonde</t>
  </si>
  <si>
    <t>https://thumb.tapecontent.net/thumb/m3ym9xkAALhVgl/kKzmDGR7r7sO1dR.jpg</t>
  </si>
  <si>
    <t>Gabbie Carter - 57960276 - Onlyfans.jpg</t>
  </si>
  <si>
    <t>https://doodstream.com/d/cukpofrtpknk/</t>
  </si>
  <si>
    <t>https://lulustream.com/d/j4hi8cupuk39</t>
  </si>
  <si>
    <t>#anal #creampie #milf #bigtits</t>
  </si>
  <si>
    <t>https://thumb.tapecontent.net/thumb/yd2ZY0vp18UojW/J98lxZm77ZcjxQA.jpg</t>
  </si>
  <si>
    <t>Gabbie Carter - 59574286 - Onlyfans.jpg</t>
  </si>
  <si>
    <t>https://doodstream.com/d/bfp1vw2aenp9/</t>
  </si>
  <si>
    <t>https://lulustream.com/d/yk9guj60hh46</t>
  </si>
  <si>
    <t>#creampie #milf #bigtits #blonde</t>
  </si>
  <si>
    <t>https://thumb.tapecontent.net/thumb/8PyM1qrK29form9/YBB738xdA1hvQ1D.jpg</t>
  </si>
  <si>
    <t>Gabbie Carter - 61126965 - ripnsfw.com - Angel Youngs.jpg</t>
  </si>
  <si>
    <t>https://doodstream.com/d/aihbrqw1xvwy/</t>
  </si>
  <si>
    <t>https://lulustream.com/d/jfioomjzb5mb</t>
  </si>
  <si>
    <t>#Anal, #BigTits, #Creampie, #Hardcore, #Threesome, #Porn, #Teen, #Blowjob, #Deepthroat, #Blonde</t>
  </si>
  <si>
    <t>#Anal #BigTits #Creampie #Hardcore</t>
  </si>
  <si>
    <t>https://thumb.tapecontent.net/thumb/o2YGdV0YlqfJLY7/rA0zZbb2mWCye6.jpg</t>
  </si>
  <si>
    <t>Gabbie Carter - 61356883 - ripnsfw.com.jpg</t>
  </si>
  <si>
    <t>https://doodstream.com/d/ldkfu2zrof2b/</t>
  </si>
  <si>
    <t>https://lulustream.com/d/tq09wtqjmi35</t>
  </si>
  <si>
    <t>#BigTits, #Hardcore, #Porn, #Teen, #Blowjob, #Amateur, #Deepthroat, #Blonde, #Facial</t>
  </si>
  <si>
    <t>#BigTits #Hardcore #Porn #Teen #Blowjob #Amateur</t>
  </si>
  <si>
    <t>https://thumb.tapecontent.net/thumb/yg0xLM1Y9aT1lA9/7BGwbRoOwPIYp2.jpg</t>
  </si>
  <si>
    <t>Gabbie Carter - 66679080 - Onlyfans.jpg</t>
  </si>
  <si>
    <t>https://doodstream.com/d/n8z78d98y54e/</t>
  </si>
  <si>
    <t>https://lulustream.com/d/mvphv8m0zdea</t>
  </si>
  <si>
    <t>#milf #bigtits #solo #blowjob</t>
  </si>
  <si>
    <t>https://thumb.tapecontent.net/thumb/V8aVk9OBvDhKdm3/ao4pgjzoz2cxkbV.jpg</t>
  </si>
  <si>
    <t>Gabbie Carter - 67796670 - Onlyfans.jpg</t>
  </si>
  <si>
    <t>https://doodstream.com/d/jcqcpabmy2gq/</t>
  </si>
  <si>
    <t>https://lulustream.com/d/h5gnbuqw2i34</t>
  </si>
  <si>
    <t>https://thumb.tapecontent.net/thumb/KyyjvYvWBdF0qkZ/MyX0LGgJWvsmR2V.jpg</t>
  </si>
  <si>
    <t>Gabbie Carter - 69571722 - ripnsfw.com.jpg</t>
  </si>
  <si>
    <t>https://doodstream.com/d/ygx7svkh5i99/</t>
  </si>
  <si>
    <t>https://lulustream.com/d/4l9gguke30ty</t>
  </si>
  <si>
    <t>#MILF, #BigTits, #Hardcore, #Blowjob, #Amateur, #Hotwife, #Blonde</t>
  </si>
  <si>
    <t>#MILF #BigTits #Hardcore #Blowjob #Amateur #Hotwife #Blonde</t>
  </si>
  <si>
    <t>https://thumb.tapecontent.net/thumb/Mr3RA4Q2mzimV2o/bRy6gOVY4pUL6A.jpg</t>
  </si>
  <si>
    <t>Gabbie Carter - 70879136 - Onlyfans.jpg</t>
  </si>
  <si>
    <t>https://doodstream.com/d/o77yz4ynpqc4/</t>
  </si>
  <si>
    <t>https://lulustream.com/d/3vv8z0fvt7is</t>
  </si>
  <si>
    <t>https://thumb.tapecontent.net/thumb/qZeoeKBGjvsz2ga/zlrak4lMa7HYLrm.jpg</t>
  </si>
  <si>
    <t>Gabbie Carter - 75482473 - Onlyfans.jpg</t>
  </si>
  <si>
    <t>https://doodstream.com/d/dpv41a4vkdnl/</t>
  </si>
  <si>
    <t>https://lulustream.com/d/eysjxvkchypq</t>
  </si>
  <si>
    <t>https://thumb.tapecontent.net/thumb/4vZVRQboy6IKDxQ/8KgPwGoQypfoolZ.jpg</t>
  </si>
  <si>
    <t>Gabbie Carter - 78356614 - Onlyfans.jpg</t>
  </si>
  <si>
    <t>https://doodstream.com/d/b35xvakju85r/</t>
  </si>
  <si>
    <t>https://lulustream.com/d/2lj42119yahk</t>
  </si>
  <si>
    <t>https://thumb.tapecontent.net/thumb/Gp7yBv9BPai1z6Z/OxJ3vVd2rQHmoP.jpg</t>
  </si>
  <si>
    <t>Gabbie Carter - 78580590 - ripnsfw.com.jpg</t>
  </si>
  <si>
    <t>https://doodstream.com/d/fsrpdu92n0cm/</t>
  </si>
  <si>
    <t>https://lulustream.com/d/1ruv3qcts49n</t>
  </si>
  <si>
    <t>#Anal, #MILF, #BigTits, #Creampie, #Hardcore, #Artporn, #Blowjob, #Amateur, #Hotwife, #Blonde</t>
  </si>
  <si>
    <t>#Anal #MILF #BigTits #Creampie #Hardcore #Artporn #Blowjob #Amateur #Hotwife #Blonde</t>
  </si>
  <si>
    <t>https://thumb.tapecontent.net/thumb/8qZBV77oYWcoRk2/zXWB8mVPWeUY3dX.jpg</t>
  </si>
  <si>
    <t>Gabbie Carter - 80894194 - ripnsfw.com.jpg</t>
  </si>
  <si>
    <t>https://doodstream.com/d/cyt0oge6dljc/</t>
  </si>
  <si>
    <t>https://lulustream.com/d/cms0x2e2zni3</t>
  </si>
  <si>
    <t>https://thumb.tapecontent.net/thumb/qrVoPddRPeUz9DJ/ZVrYKzJB30UBXb.jpg</t>
  </si>
  <si>
    <t>Gabbie Carter - 82882024 - Onlyfans.jpg</t>
  </si>
  <si>
    <t>https://doodstream.com/d/k1kygi8eihmw/</t>
  </si>
  <si>
    <t>https://lulustream.com/d/bznm586e7uoy</t>
  </si>
  <si>
    <t>https://thumb.tapecontent.net/thumb/z3mO4WYq7MfYLMV/1zBK0YZAYKSejmw.jpg</t>
  </si>
  <si>
    <t>Gabbie Carter - 83252268 - Onlyfans.jpg</t>
  </si>
  <si>
    <t>https://doodstream.com/d/yp8mr8mbq9vm/</t>
  </si>
  <si>
    <t>https://lulustream.com/d/gjqrgtjyz6xa</t>
  </si>
  <si>
    <t>#milf #handjob #bigtits #blonde</t>
  </si>
  <si>
    <t>https://thumb.tapecontent.net/thumb/r3KBLADgpMtbPRq/wYbaMp60kzHWae.jpg</t>
  </si>
  <si>
    <t>Gabbie Carter - 84125752 - Onlyfans.jpg</t>
  </si>
  <si>
    <t>https://doodstream.com/d/h1ahx730f5y9/</t>
  </si>
  <si>
    <t>https://lulustream.com/d/m8txeegx23tp</t>
  </si>
  <si>
    <t>#milf #bigtits #blowjob #deepthroat</t>
  </si>
  <si>
    <t>https://thumb.tapecontent.net/thumb/Q0X7QvDOexu0oPa/g2mmbWYl2DFqdOw.jpg</t>
  </si>
  <si>
    <t>Gabbie Carter - 84416045 - Onlyfans.jpg</t>
  </si>
  <si>
    <t>https://doodstream.com/d/8q65kx7192gy/</t>
  </si>
  <si>
    <t>https://lulustream.com/d/p7izqtz29g1b</t>
  </si>
  <si>
    <t>#milf #bigtits #creampie #blowjob</t>
  </si>
  <si>
    <t>https://thumb.tapecontent.net/thumb/jbxK8MovP6Fz0Mq/7z6Oaxl3OKCAa0y.jpg</t>
  </si>
  <si>
    <t>Gabbie Carter - 85598003 - Onlyfans.jpg</t>
  </si>
  <si>
    <t>https://doodstream.com/d/5umdukv7o3qs/</t>
  </si>
  <si>
    <t>https://lulustream.com/d/3gjg6noectcr</t>
  </si>
  <si>
    <t>https://thumb.tapecontent.net/thumb/88eZdyOz9xForbK/WpOBJzZdqasbwYv.jpg</t>
  </si>
  <si>
    <t>Gabbie Carter - 87954006 - ripnsfw.com.jpg</t>
  </si>
  <si>
    <t>https://doodstream.com/d/ogswjra9im6i/</t>
  </si>
  <si>
    <t>https://lulustream.com/d/l7l4ofoj04yq</t>
  </si>
  <si>
    <t>#MILF, #BigTits, #Hardcore, #Blowjob, #Amateur, #Hotwife, #Deepthroat, #Blonde</t>
  </si>
  <si>
    <t>https://thumb.tapecontent.net/thumb/Bv7woZbWKOUyezY/q8XebqajXxIzVQX.jpg</t>
  </si>
  <si>
    <t>Gabbie Carter - 88275932 - ripnsfw.com.jpg</t>
  </si>
  <si>
    <t>https://doodstream.com/d/ur4eljw8jr14/</t>
  </si>
  <si>
    <t>https://lulustream.com/d/k7ng70l8c9ok</t>
  </si>
  <si>
    <t>#BigTits, #Teen, #Roleplay, #Solo, #Blonde</t>
  </si>
  <si>
    <t>#BigTits #Teen #Roleplay #Solo #Blonde</t>
  </si>
  <si>
    <t>https://thumb.tapecontent.net/thumb/0roDg3DVeatbzzy/ea9QWd30m0co1e.jpg</t>
  </si>
  <si>
    <t>Gabbie Carter - 88513952 - Onlyfans.jpg</t>
  </si>
  <si>
    <t>https://doodstream.com/d/g89802dekkou/</t>
  </si>
  <si>
    <t>https://lulustream.com/d/120uazjuxwvx</t>
  </si>
  <si>
    <t>https://thumb.tapecontent.net/thumb/GbdOzoAPg2slXb/k29ymK4lPRi8J4.jpg</t>
  </si>
  <si>
    <t>Gabbie Carter - 91592222 - Onlyfans.jpg</t>
  </si>
  <si>
    <t>https://doodstream.com/d/gii2udzx33b4/</t>
  </si>
  <si>
    <t>https://lulustream.com/d/kh6h6kbgfr0b</t>
  </si>
  <si>
    <t>#milf #blonde #handjob #bigtits</t>
  </si>
  <si>
    <t>https://thumb.tapecontent.net/thumb/6wKWlVK1Keu98Wj/y0wxJwY3DPf1RR1.jpg</t>
  </si>
  <si>
    <t>Gabbie Carter - 96137621 - Onlyfans.jpg</t>
  </si>
  <si>
    <t>https://doodstream.com/d/auz1pld4ard7/</t>
  </si>
  <si>
    <t>https://lulustream.com/d/3m8en50r81oq</t>
  </si>
  <si>
    <t>#milf #milk #bigtits #blonde</t>
  </si>
  <si>
    <t>https://thumb.tapecontent.net/thumb/mY1mZz7qxyUXlG/wz3yvpA8PvFJwz2.jpg</t>
  </si>
  <si>
    <t>Gabbie Carter - 98491626 - Onlyfans.jpg</t>
  </si>
  <si>
    <t>https://doodstream.com/d/0cm9ak7bfzra/</t>
  </si>
  <si>
    <t>https://lulustream.com/d/rx5ficjdoaql</t>
  </si>
  <si>
    <t>https://thumb.tapecontent.net/thumb/D0DxZJpyDluwbx/apqkrB49arFxrem.jpg</t>
  </si>
  <si>
    <t>Gabbie Carter - 99789739 - ripnsfw.com.jpg</t>
  </si>
  <si>
    <t>https://doodstream.com/d/qk6v094ilghh/</t>
  </si>
  <si>
    <t>https://lulustream.com/d/3osv6yo6psi6</t>
  </si>
  <si>
    <t>#MILF, #BigTits, #Creampie, #Hardcore, #Artporn, #Amateur, #Blowjob, #Hotwife, #Deepthroat, #Blonde</t>
  </si>
  <si>
    <t>https://thumb.tapecontent.net/thumb/oGVAzBbJW0fb8K/YPGwBVje1dCoP0.jpg</t>
  </si>
  <si>
    <t>Gia Derza - 43518026 - ripnsfw.com - Lena the plug.jpg</t>
  </si>
  <si>
    <t>https://doodstream.com/d/r8n07finj1zi/</t>
  </si>
  <si>
    <t>https://lulustream.com/d/ze98hoyhgsny</t>
  </si>
  <si>
    <t>#MILF, #BigTits, #Hardcore, #Threesome, #Bigass, #Teen, #Blowjob, #Amateur, #Deepthroat, #Facial</t>
  </si>
  <si>
    <t>#MILF #BigTits #Hardcore #Threesome #Bigass #Teen #Blowjob #Amateur #Deepthroat #Facial</t>
  </si>
  <si>
    <t>https://thumb.tapecontent.net/thumb/9WaV6r6zPZsadR2/OYPOXeDyyZFZq1v.jpg</t>
  </si>
  <si>
    <t>Gia Ohmy - 84464192 - ripnsfw.com.jpg</t>
  </si>
  <si>
    <t>https://doodstream.com/d/2yjm793udtmy/</t>
  </si>
  <si>
    <t>https://lulustream.com/d/1ocs75mkkntx</t>
  </si>
  <si>
    <t>#BigTits, #Creampie, #Hardcore, #Bigass, #Teen, #Blowjob, #Amateur, #Deepthroat, #Blonde</t>
  </si>
  <si>
    <t>https://thumb.tapecontent.net/thumb/DMoq7VzQWAHDJP/dRQazPOkdxhkml8.jpg</t>
  </si>
  <si>
    <t>Gianna Dior - 79907199 - Onlyfans.jpg</t>
  </si>
  <si>
    <t>https://doodstream.com/d/9htn7xwxrudx/</t>
  </si>
  <si>
    <t>https://lulustream.com/d/v9mtf31yr37c</t>
  </si>
  <si>
    <t>#threesome #blonde #blowjob #smalltits</t>
  </si>
  <si>
    <t>https://thumb.tapecontent.net/thumb/vVMXYJlg9Ofb6Q/VXRMljzVJMIKvwp.jpg</t>
  </si>
  <si>
    <t>Gianna Michaels - 41853666 - ripnsfw.com.jpg</t>
  </si>
  <si>
    <t>https://doodstream.com/d/kea1kxy9b9uv/</t>
  </si>
  <si>
    <t>https://lulustream.com/d/eng4dbn3y3dk</t>
  </si>
  <si>
    <t>#MILF, #BigTits, #Hardcore, #Black, #Interracial, #Bigass, #Porn, #Blowjob, #Deepthroat</t>
  </si>
  <si>
    <t>https://thumb.tapecontent.net/thumb/J92xjVd0vOTjWGR/78g6A90QzlSAAGL.jpg</t>
  </si>
  <si>
    <t>Gianna Michaels - 69804375 - ripnsfw.com.jpg</t>
  </si>
  <si>
    <t>https://doodstream.com/d/yp8dnmuh53ce/</t>
  </si>
  <si>
    <t>https://lulustream.com/d/as9x6ryu2nbd</t>
  </si>
  <si>
    <t>#MILF, #BigTits, #Hardcore, #Bigass, #Porn, #Blowjob, #Deepthroat</t>
  </si>
  <si>
    <t>https://thumb.tapecontent.net/thumb/Me1mOOaQpkCm4Kl/jPmWVyqgAkUzAlr.jpg</t>
  </si>
  <si>
    <t>Gigi Sweets - 35828855 - ripnsfw.com.jpg</t>
  </si>
  <si>
    <t>https://doodstream.com/d/fo4lhtt76b4w/</t>
  </si>
  <si>
    <t>https://lulustream.com/d/cn1v8juwzvtb</t>
  </si>
  <si>
    <t>#BigTits, #Hardcore, #Bigass, #Teen, #Blowjob, #Amateur, #Blonde, #Deepthroat</t>
  </si>
  <si>
    <t>#BigTits #Hardcore #Bigass #Teen #Blowjob #Amateur #Blonde</t>
  </si>
  <si>
    <t>https://thumb.tapecontent.net/thumb/0rVLRQqlGgIbjeY/MX81oeZR7XsmPKD.jpg</t>
  </si>
  <si>
    <t>Gigi Talamini - 16620448 - Onlyfans.jpg</t>
  </si>
  <si>
    <t>https://doodstream.com/d/4e4bng6xgko7/</t>
  </si>
  <si>
    <t>https://lulustream.com/d/7vv1zx7ubllx</t>
  </si>
  <si>
    <t>#teen #blonde #bigtits #latina</t>
  </si>
  <si>
    <t>https://thumb.tapecontent.net/thumb/VdkOo3bjgltKRLA/ZrpwXlaDDBsqzD8.jpg</t>
  </si>
  <si>
    <t>Gigi Talamini - 25972018 - Onlyfans.jpg</t>
  </si>
  <si>
    <t>https://doodstream.com/d/qirtjkov4qlt/</t>
  </si>
  <si>
    <t>https://lulustream.com/d/8puc0fn099c8</t>
  </si>
  <si>
    <t>https://thumb.tapecontent.net/thumb/ZayqJLYL7lCqaaJ/Vrwpw2w3MBtKd9J.jpg</t>
  </si>
  <si>
    <t>Gigi Talamini - 33625937 - Onlyfans.jpg</t>
  </si>
  <si>
    <t>https://doodstream.com/d/3givzolyyxme/</t>
  </si>
  <si>
    <t>https://lulustream.com/d/wridntyed3p9</t>
  </si>
  <si>
    <t>#teen #blonde #bigtits #bigass</t>
  </si>
  <si>
    <t>https://thumb.tapecontent.net/thumb/jpAYJeKvAmizK12/MJ9ldJapWXIGdG.jpg</t>
  </si>
  <si>
    <t>Gigi Talamini - 45883572 - Onlyfans.jpg</t>
  </si>
  <si>
    <t>https://doodstream.com/d/pttvmo2c1tqz/</t>
  </si>
  <si>
    <t>https://lulustream.com/d/xvbame02h3qf</t>
  </si>
  <si>
    <t>https://thumb.tapecontent.net/thumb/rlywjKGko6ibpPQ/klQAQGlzOlTPvy.jpg</t>
  </si>
  <si>
    <t>Gina Valentina - 23298130 - Onlyfans.jpg</t>
  </si>
  <si>
    <t>https://doodstream.com/d/gvb2ohlx34jc/</t>
  </si>
  <si>
    <t>https://lulustream.com/d/ez4douahop3s</t>
  </si>
  <si>
    <t>#milf #bigtits #bigass #latina</t>
  </si>
  <si>
    <t>https://thumb.tapecontent.net/thumb/L1XwOrW10oIRkoM/pMWbemw8yKTr3ZD.jpg</t>
  </si>
  <si>
    <t>Gina Valentina - 31761301 - Onlyfans - Kali Roses.jpg</t>
  </si>
  <si>
    <t>https://doodstream.com/d/tlt1z41tq9d2/</t>
  </si>
  <si>
    <t>https://lulustream.com/d/ap1fzc9vjuu3</t>
  </si>
  <si>
    <t>#MILF, #BigTits, #Lesbian, #Bigass, #Latina, #Blonde</t>
  </si>
  <si>
    <t>#MILF #BigTits #Lesbian #Bigass #Latina</t>
  </si>
  <si>
    <t>https://thumb.tapecontent.net/thumb/eovpdK2RJxcYRxM/PGlmMYO1y4T04Qo.jpg</t>
  </si>
  <si>
    <t>Gina Valentina - 45654148 - ripnsfw.com - Angel Youngs.jpg</t>
  </si>
  <si>
    <t>https://doodstream.com/d/ya348vxsenio/</t>
  </si>
  <si>
    <t>https://lulustream.com/d/s9k2utxfh0al</t>
  </si>
  <si>
    <t>#BigTits, #Hardcore, #Threesome, #Bigass, #Teen, #Latina, #Teens, #Blowjob, #Amateur, #Hotwife, #Deepthroat, #Blonde, #Facial</t>
  </si>
  <si>
    <t>#BigTits #Hardcore #Threesome #Bigass #Teen #Latina #Teens #Blowjob #Amateur #Hotwife</t>
  </si>
  <si>
    <t>https://thumb.tapecontent.net/thumb/akoGlKqv9RCOOg/3dvpKzYMZ9TLDG.jpg</t>
  </si>
  <si>
    <t>Gina Valentina - 64377769 - ripnsfw.com - Vanessa Sky.jpg</t>
  </si>
  <si>
    <t>https://doodstream.com/d/fs12ioy3il7d/</t>
  </si>
  <si>
    <t>https://lulustream.com/d/fhx9wve2xz0e</t>
  </si>
  <si>
    <t>#MILF, #BigTits, #Hardcore, #Threesome, #Bigass, #Latina, #Blowjob, #Amateur, #Hotwife, #Deepthroat, #Facial</t>
  </si>
  <si>
    <t>#MILF #BigTits #Hardcore #Threesome #Bigass #Latina #Blowjob #Amateur #Hotwife #Deepthroat #Facial</t>
  </si>
  <si>
    <t>https://thumb.tapecontent.net/thumb/1B0MQq8wwzfePYV/yB6RorgOLgc1bKm.jpg</t>
  </si>
  <si>
    <t>GwenGwiz - 11173292 - Onlyfans.jpg</t>
  </si>
  <si>
    <t>https://doodstream.com/d/a4nxolalc0dw/</t>
  </si>
  <si>
    <t>https://lulustream.com/d/amgnrharavg3</t>
  </si>
  <si>
    <t>#teen #bigtits #blonde #amateur</t>
  </si>
  <si>
    <t>https://thumb.tapecontent.net/thumb/4XOz34y3MLFK3qV/09KJMpG77MFmDm.jpg</t>
  </si>
  <si>
    <t>GwenGwiz - 14451453 - Onlyfans.jpg</t>
  </si>
  <si>
    <t>https://doodstream.com/d/uqoyl0s9y53k/</t>
  </si>
  <si>
    <t>https://lulustream.com/d/shzyno64gqlq</t>
  </si>
  <si>
    <t>#BigTits, #Teen, #Amateur, #Blowjob</t>
  </si>
  <si>
    <t>#BigTits #Teen #Amateur #Blowjob</t>
  </si>
  <si>
    <t>https://thumb.tapecontent.net/thumb/kLPa6PwVYpi8jr/1pzdj34XaKSeoax.jpg</t>
  </si>
  <si>
    <t>GwenGwiz - 19746229 - Onlyfans.jpg</t>
  </si>
  <si>
    <t>https://doodstream.com/d/0fwqcehjj1hk/</t>
  </si>
  <si>
    <t>https://lulustream.com/d/4j2lk5jjmhhr</t>
  </si>
  <si>
    <t>https://thumb.tapecontent.net/thumb/O4qGg3oJx6T937/8vkvRgd8wJT8Ym.jpg</t>
  </si>
  <si>
    <t>GwenGwiz - 21124761 - Onlyfans.jpg</t>
  </si>
  <si>
    <t>https://doodstream.com/d/mh7t663eu3ps/</t>
  </si>
  <si>
    <t>https://lulustream.com/d/cwp3yzp78o24</t>
  </si>
  <si>
    <t>https://thumb.tapecontent.net/thumb/belWQyqlY2sP3qx/4XMMwOjM8mFK0Od.jpg</t>
  </si>
  <si>
    <t>GwenGwiz - 21171873 - Onlyfans.jpg</t>
  </si>
  <si>
    <t>https://doodstream.com/d/9flbqbp7oxzz/</t>
  </si>
  <si>
    <t>https://lulustream.com/d/derlm8l8qgpg</t>
  </si>
  <si>
    <t>#teen #bigtits #blowjob #roleplay</t>
  </si>
  <si>
    <t>https://thumb.tapecontent.net/thumb/9k2Gleqqa2Hoxa/7qwVpQwo68TAZqP.jpg</t>
  </si>
  <si>
    <t>GwenGwiz - 23883767 - Onlyfans.jpg</t>
  </si>
  <si>
    <t>https://doodstream.com/d/j381e5wcdy0k/</t>
  </si>
  <si>
    <t>https://lulustream.com/d/g5f38yj405d3</t>
  </si>
  <si>
    <t>#BigTits, #Hardcore, #Teen, #Blowjob, #Hotwife, #Amateur, #Deepthroat, #Blonde, #Facial</t>
  </si>
  <si>
    <t>#BigTits #Hardcore #Teen #Blowjob #Hotwife</t>
  </si>
  <si>
    <t>https://thumb.tapecontent.net/thumb/ZoazrbG7ODhq9R4/klerlqV1gpCOAbo.jpg</t>
  </si>
  <si>
    <t>GwenGwiz - 26925539 - Onlyfans.jpg</t>
  </si>
  <si>
    <t>https://doodstream.com/d/4xtgottvyez3/</t>
  </si>
  <si>
    <t>https://lulustream.com/d/4rk20zvw6fpt</t>
  </si>
  <si>
    <t>https://thumb.tapecontent.net/thumb/3JdGMloQApTdVwZ/JwJ1LJZrLxSjpXy.jpg</t>
  </si>
  <si>
    <t>GwenGwiz - 32001059 - Onlyfans.jpg</t>
  </si>
  <si>
    <t>https://doodstream.com/d/bj0ognqhtrzc/</t>
  </si>
  <si>
    <t>https://lulustream.com/d/o3400bth8koc</t>
  </si>
  <si>
    <t>#teen #blonde #bigtits #amateur</t>
  </si>
  <si>
    <t>https://thumb.tapecontent.net/thumb/gwxgjZdYGvCqpR4/glmj6D39Wrcq7Mm.jpg</t>
  </si>
  <si>
    <t>GwenGwiz - 36201641 - Onlyfans.jpg</t>
  </si>
  <si>
    <t>https://doodstream.com/d/xa7mtojyse9q/</t>
  </si>
  <si>
    <t>https://lulustream.com/d/31nozwo7ykgx</t>
  </si>
  <si>
    <t>https://thumb.tapecontent.net/thumb/x1yd7kRPDzfkPVk/9p6bPZGKOkSZ4Z.jpg</t>
  </si>
  <si>
    <t>GwenGwiz - 40219417 - Onlyfans.jpg</t>
  </si>
  <si>
    <t>https://doodstream.com/d/1hirojpo3zl2/</t>
  </si>
  <si>
    <t>https://lulustream.com/d/s4mxuqnmpgpk</t>
  </si>
  <si>
    <t>https://thumb.tapecontent.net/thumb/kkAQBLyVp9hOqm2/OX94gAowqefZ47p.jpg</t>
  </si>
  <si>
    <t>GwenGwiz - 46825627 - Onlyfans.jpg</t>
  </si>
  <si>
    <t>https://doodstream.com/d/l3txkd08lny6/</t>
  </si>
  <si>
    <t>https://lulustream.com/d/ydlaxgo69lo9</t>
  </si>
  <si>
    <t>https://thumb.tapecontent.net/thumb/7YWd8QvDb0FAkdb/X1DLWYd3bYS07q.jpg</t>
  </si>
  <si>
    <t>GwenGwiz - 48119909 - Onlyfans.jpg</t>
  </si>
  <si>
    <t>https://doodstream.com/d/fz89c6vx68f1/</t>
  </si>
  <si>
    <t>https://lulustream.com/d/7aregyu4qcb8</t>
  </si>
  <si>
    <t>https://thumb.tapecontent.net/thumb/R6oaaz0QvDFdQJm/g0wA01BjVGsqod4.jpg</t>
  </si>
  <si>
    <t>GwenGwiz - 53384436 - Onlyfans.jpg</t>
  </si>
  <si>
    <t>https://doodstream.com/d/2j91ytn9v1k0/</t>
  </si>
  <si>
    <t>https://lulustream.com/d/986dtl2e52vx</t>
  </si>
  <si>
    <t>https://thumb.tapecontent.net/thumb/7pe99dOqvYiByD/ydVW3V3MDAS1VMX.jpg</t>
  </si>
  <si>
    <t>GwenGwiz - 65124374 - Onlyfans.jpg</t>
  </si>
  <si>
    <t>https://doodstream.com/d/kx1we6vbc078/</t>
  </si>
  <si>
    <t>https://lulustream.com/d/5wyiy7t7lxp7</t>
  </si>
  <si>
    <t>https://thumb.tapecontent.net/thumb/DWWPYYAWAPTkJz0/RWX7xRJBjOUdMMY.jpg</t>
  </si>
  <si>
    <t>GwenGwiz - 65805926 - Onlyfans.jpg</t>
  </si>
  <si>
    <t>https://doodstream.com/d/qna0nwegkavm/</t>
  </si>
  <si>
    <t>https://lulustream.com/d/ubmkgljjx9gm</t>
  </si>
  <si>
    <t>#BigTits, #Hardcore, #Teen, #Roleplay, #Artporn, #Blowjob, #Amateur, #Hotwife, #Blonde, #Deepthroat</t>
  </si>
  <si>
    <t>#BigTits #Hardcore #Teen #Roleplay #Artporn #Blowjob #Amateur #Hotwife #Blonde</t>
  </si>
  <si>
    <t>https://thumb.tapecontent.net/thumb/o97gmyJ024FJLX0/Prwd8qXWqWux74.jpg</t>
  </si>
  <si>
    <t>GwenGwiz - 68168500 - Onlyfans.jpg</t>
  </si>
  <si>
    <t>https://doodstream.com/d/hta9t8wmefqq/</t>
  </si>
  <si>
    <t>https://lulustream.com/d/2ahs9kiw8s00</t>
  </si>
  <si>
    <t>#BigTits, #Creampie, #Hardcore, #Teen, #Roleplay, #Artporn, #Teens, #Blowjob, #Amateur, #Hotwife, #Deepthroat, #Blonde</t>
  </si>
  <si>
    <t>#BigTits #Creampie #Hardcore #Teen #Roleplay #Artporn #Teens #Blowjob #Amateur #Hotwife</t>
  </si>
  <si>
    <t>https://thumb.tapecontent.net/thumb/eVrLBgjApKUYV0x/bVypLxM9ABuPALm.jpg</t>
  </si>
  <si>
    <t>GwenGwiz - 68407312 - Onlyfans.jpg</t>
  </si>
  <si>
    <t>https://doodstream.com/d/h8o4n5vguva0/</t>
  </si>
  <si>
    <t>https://lulustream.com/d/e8wavs7kvtoo</t>
  </si>
  <si>
    <t>https://thumb.tapecontent.net/thumb/d82xqdWDbQskKb1/okjrXJ8m9DCJmzx.jpg</t>
  </si>
  <si>
    <t>GwenGwiz - 70119396 - Onlyfans.jpg</t>
  </si>
  <si>
    <t>https://doodstream.com/d/pwkc9ilps2of/</t>
  </si>
  <si>
    <t>https://lulustream.com/d/bbd3aap7uf62</t>
  </si>
  <si>
    <t>https://thumb.tapecontent.net/thumb/ogK7ODYmOqSJB98/2DZP9LWWpYcZ3j2.jpg</t>
  </si>
  <si>
    <t>GwenGwiz - 71208676 - Onlyfans.jpg</t>
  </si>
  <si>
    <t>https://doodstream.com/d/pev2r8wpjhpz/</t>
  </si>
  <si>
    <t>https://lulustream.com/d/rrll9du2sqzt</t>
  </si>
  <si>
    <t>https://thumb.tapecontent.net/thumb/JoDer4xpgWujxa9/m9D1mJkmdWub8b2.jpg</t>
  </si>
  <si>
    <t>GwenGwiz - 80799513 - Onlyfans.jpg</t>
  </si>
  <si>
    <t>https://doodstream.com/d/n8fp7pab3i6x/</t>
  </si>
  <si>
    <t>https://lulustream.com/d/ga7i7rqrmdbz</t>
  </si>
  <si>
    <t>https://thumb.tapecontent.net/thumb/x1x1jJlQGOTkYlR/P3XJdKkzXri0dqP.jpg</t>
  </si>
  <si>
    <t>GwenGwiz - 82250884 - Onlyfans.jpg</t>
  </si>
  <si>
    <t>https://doodstream.com/d/2panxncd9dft/</t>
  </si>
  <si>
    <t>https://lulustream.com/d/n674oubcbbei</t>
  </si>
  <si>
    <t>https://thumb.tapecontent.net/thumb/gdW2wolxOlHqWMP/Q28p8D01Pqh00AP.jpg</t>
  </si>
  <si>
    <t>GwenGwiz - 91197485 - Onlyfans.jpg</t>
  </si>
  <si>
    <t>https://doodstream.com/d/s0f4ydp8uigy/</t>
  </si>
  <si>
    <t>https://lulustream.com/d/4gakqi6dhqyo</t>
  </si>
  <si>
    <t>https://thumb.tapecontent.net/thumb/mQ3Y6Gxjv1Sdv9/BYOrA7j0DRSyyzj.jpg</t>
  </si>
  <si>
    <t>GwenGwiz - 91203069 - Onlyfans.jpg</t>
  </si>
  <si>
    <t>https://doodstream.com/d/iu9s5syfkgia/</t>
  </si>
  <si>
    <t>https://lulustream.com/d/qillhorwyj5s</t>
  </si>
  <si>
    <t>https://thumb.tapecontent.net/thumb/0pzLDJ80jAcbdKJ/xqy7W4Z6QVHkgJ8.jpg</t>
  </si>
  <si>
    <t>GwenGwiz - 91444182 - Onlyfans.jpg</t>
  </si>
  <si>
    <t>https://doodstream.com/d/vrv33hd37hsb/</t>
  </si>
  <si>
    <t>https://lulustream.com/d/5qzizhwnbspf</t>
  </si>
  <si>
    <t>https://thumb.tapecontent.net/thumb/9BxRwD7Jq7UagxD/m7aBgodbmKubo0G.jpg</t>
  </si>
  <si>
    <t>GwenGwiz - 92110695 - Onlyfans.jpg</t>
  </si>
  <si>
    <t>https://doodstream.com/d/ai82j70tu3xf/</t>
  </si>
  <si>
    <t>https://lulustream.com/d/g7cl0jd63ukr</t>
  </si>
  <si>
    <t>#teen #blonde #blowjob #bigtits</t>
  </si>
  <si>
    <t>https://thumb.tapecontent.net/thumb/1B1JwwqVA9Ieoqq/o1OlQWg7eBtjld.jpg</t>
  </si>
  <si>
    <t>GwenGwiz - 92682708 - Onlyfans.jpg</t>
  </si>
  <si>
    <t>https://doodstream.com/d/vzxe9bt3t9xj/</t>
  </si>
  <si>
    <t>https://lulustream.com/d/mf91ypibcfyu</t>
  </si>
  <si>
    <t>https://thumb.tapecontent.net/thumb/jlRp3eo1opFGXJ/akKDk4Qv0Oi01O.jpg</t>
  </si>
  <si>
    <t>Hailey Rose - 18271884 - Onlyfans.jpg</t>
  </si>
  <si>
    <t>https://doodstream.com/d/kbabq9z01oey/</t>
  </si>
  <si>
    <t>https://lulustream.com/d/8rutq4geh9mw</t>
  </si>
  <si>
    <t>#blowjob #brunette #bigtits #halloween</t>
  </si>
  <si>
    <t>https://thumb.tapecontent.net/thumb/k3zbJ63m4lIO7px/Rkv666yXJBidVBL.jpg</t>
  </si>
  <si>
    <t>Hailey Rose - 20228354 - Onlyfans - Azzy Star.jpg</t>
  </si>
  <si>
    <t>https://doodstream.com/d/v2dh06ovb5hs/</t>
  </si>
  <si>
    <t>https://lulustream.com/d/bts1ytp9te3q</t>
  </si>
  <si>
    <t>#threesome #bigass #bigtits #brunette</t>
  </si>
  <si>
    <t>https://thumb.tapecontent.net/thumb/lQGKl6Gka7U7r10/R6KjboOO10IdWqO.jpg</t>
  </si>
  <si>
    <t>Hailey Rose - 23405273 - ripnsfw.com - Victoria Peach - Katty Soarez.jpg</t>
  </si>
  <si>
    <t>https://doodstream.com/d/a44shtfh071h/</t>
  </si>
  <si>
    <t>https://lulustream.com/d/yoopcx9m84f6</t>
  </si>
  <si>
    <t>#BigTits, #Hardcore, #Bigass, #Blowjob, #Amateur, #Facial, #Foursome</t>
  </si>
  <si>
    <t>#BigTits #Hardcore #Bigass #Blowjob #Amateur #Facial</t>
  </si>
  <si>
    <t>https://thumb.tapecontent.net/thumb/RgPY4lQzL0f7p0/4omYyRy2AycKqe8.jpg</t>
  </si>
  <si>
    <t>Hailey Rose - 25813053 - Onlyfans - Alanna Pow.jpg</t>
  </si>
  <si>
    <t>https://doodstream.com/d/bc204on1yckm/</t>
  </si>
  <si>
    <t>https://lulustream.com/d/982v8hqqx4nn</t>
  </si>
  <si>
    <t>#threesome #teens #bigass #bigtits</t>
  </si>
  <si>
    <t>https://thumb.tapecontent.net/thumb/DelXLPLrzbckPaP/vy8XXM8BzzTwLR.jpg</t>
  </si>
  <si>
    <t>Hailey Rose - 26050788 - ripnsfw.com - Adriana Sahar.jpg</t>
  </si>
  <si>
    <t>https://doodstream.com/d/csrvrddfg1px/</t>
  </si>
  <si>
    <t>https://lulustream.com/d/17s3s52kcuz7</t>
  </si>
  <si>
    <t>#BigTits, #Hardcore, #Threesome, #Bigass, #Amateur, #Teen, #Blowjob, #Roleplay</t>
  </si>
  <si>
    <t>#BigTits #Hardcore #Threesome #Bigass</t>
  </si>
  <si>
    <t>https://thumb.tapecontent.net/thumb/dPwAQe6oDVF7eO/ZJ1vzjgdodUq9d7.jpg</t>
  </si>
  <si>
    <t>Hailey Rose - 44879717 - ripnsfw.com - Minami Airi.jpg</t>
  </si>
  <si>
    <t>https://doodstream.com/d/60d5r7bdib7o/</t>
  </si>
  <si>
    <t>https://lulustream.com/d/i2qbeadkw6xb</t>
  </si>
  <si>
    <t>#BigTits, #Hardcore, #Asian, #Threesome, #Interracial, #Teen, #Blowjob, #Hotwife, #Amateur</t>
  </si>
  <si>
    <t>#BigTits #Hardcore #Asian #Threesome #Interracial #Teen #Blowjob #Hotwife</t>
  </si>
  <si>
    <t>https://thumb.tapecontent.net/thumb/88y8O28e0LhXPr/goQ77BL9jXFq1Xy.jpg</t>
  </si>
  <si>
    <t>Hailey Rose - 50639876 - Onlyfans - Toochi Kash.jpg</t>
  </si>
  <si>
    <t>https://doodstream.com/d/p5hhce2c1nbf/</t>
  </si>
  <si>
    <t>https://lulustream.com/d/yncwnjhu2zpt</t>
  </si>
  <si>
    <t>#BigTits, #Hardcore, #Threesome, #Blowjob</t>
  </si>
  <si>
    <t>#BigTits #Hardcore #Threesome #Blowjob</t>
  </si>
  <si>
    <t>https://thumb.tapecontent.net/thumb/PrkXLOloMpf01W3/gqyP8kjj0vTqWgr.jpg</t>
  </si>
  <si>
    <t>Hailey Rose - 53044248 - EvilAngel.jpg</t>
  </si>
  <si>
    <t>https://doodstream.com/d/nwi1kuqzz7n2/</t>
  </si>
  <si>
    <t>https://lulustream.com/d/c5ya6z04lu24</t>
  </si>
  <si>
    <t>#BigTits, #Black, #Threesome, #Interracial, #Porn, #Teen, #Blowjob, #Deepthroat, #Facial</t>
  </si>
  <si>
    <t>#BigTits #Black #Threesome #Interracial #Porn</t>
  </si>
  <si>
    <t>https://thumb.tapecontent.net/thumb/VVKdagbJxDcPAq/qv7lp4rQB8hzVww.jpg</t>
  </si>
  <si>
    <t>Hailey Rose - 55725809 - ripnsfw.com.jpg</t>
  </si>
  <si>
    <t>https://doodstream.com/d/rqtw681tw9u0/</t>
  </si>
  <si>
    <t>https://lulustream.com/d/74f4n5gr0nbr</t>
  </si>
  <si>
    <t>#BigTits, #Hardcore, #Threesome, #Bigass, #Teen, #Blowjob, #Amateur, #Blonde</t>
  </si>
  <si>
    <t>#BigTits #Hardcore #Threesome #Bigass #Teen #Blowjob</t>
  </si>
  <si>
    <t>https://thumb.tapecontent.net/thumb/vowmpwzJGZt4ZMb/kbG2PRZpvKCOV0o.jpg</t>
  </si>
  <si>
    <t>Hailey Rose - 57089023 - Onlyfans.jpg</t>
  </si>
  <si>
    <t>https://doodstream.com/d/oup0jk5e8opc/</t>
  </si>
  <si>
    <t>https://lulustream.com/d/sqniqdotu28v</t>
  </si>
  <si>
    <t>#BigTits, #Hardcore, #Bigass, #Teen, #Roleplay, #Artporn, #Teens, #Amateur, #Hotwife, #Deepthroat, #Facial</t>
  </si>
  <si>
    <t>#BigTits #Hardcore #Bigass #Teen #Roleplay</t>
  </si>
  <si>
    <t>https://thumb.tapecontent.net/thumb/3ka9BwGa47Cdyqe/xMM649AM2yi0ve.jpg</t>
  </si>
  <si>
    <t>Hailey Rose - 60474796 - ripnsfw.com.jpg</t>
  </si>
  <si>
    <t>https://doodstream.com/d/2v1me9eyqtkj/</t>
  </si>
  <si>
    <t>https://lulustream.com/d/uvcs20naur63</t>
  </si>
  <si>
    <t>#BigTits, #Hardcore, #Teen, #Blowjob, #Amateur, #Hotwife</t>
  </si>
  <si>
    <t>https://thumb.tapecontent.net/thumb/1W11qWZVGwCpmA/KyB8mbrj0eT0mKp.jpg</t>
  </si>
  <si>
    <t>Hailey Rose - 62549663 - ripnsfw.com.jpg</t>
  </si>
  <si>
    <t>https://doodstream.com/d/vp2vod2ksnur/</t>
  </si>
  <si>
    <t>https://lulustream.com/d/tb2k0oye93pb</t>
  </si>
  <si>
    <t>#BigTits, #Hardcore, #Teen, #Blowjob, #Amateur, #Hotwife, #Facial</t>
  </si>
  <si>
    <t>#BigTits #Hardcore #Teen #Blowjob #Amateur #Hotwife #Facial</t>
  </si>
  <si>
    <t>https://thumb.tapecontent.net/thumb/4mx2v8KbdBSKj7m/RwW6bxvvopfXgp.jpg</t>
  </si>
  <si>
    <t>Hailey Rose - 64026964 - Onlyfans.jpg</t>
  </si>
  <si>
    <t>https://doodstream.com/d/8mny4jy2tuec/</t>
  </si>
  <si>
    <t>https://lulustream.com/d/oio6q8sgzef5</t>
  </si>
  <si>
    <t>https://thumb.tapecontent.net/thumb/9RLMgeJXv1U91V/PWvVVv9dDafBeY.jpg</t>
  </si>
  <si>
    <t>Hailey Rose - 74905403 - ripnsfw.com.jpg</t>
  </si>
  <si>
    <t>https://doodstream.com/d/x3rrqjpk469y/</t>
  </si>
  <si>
    <t>https://lulustream.com/d/gpg006kjdkqc</t>
  </si>
  <si>
    <t>#BigTits, #Hardcore, #Teen, #Roleplay, #Artporn, #Blowjob, #Amateur, #Hotwife</t>
  </si>
  <si>
    <t>https://thumb.tapecontent.net/thumb/KL71ZqADlBs0XWb/OPjBQyB2LKsZyyk.jpg</t>
  </si>
  <si>
    <t>Hailey Rose - 81200370 - ripnsfw.com.jpg</t>
  </si>
  <si>
    <t>https://doodstream.com/d/5i4na2hme0el/</t>
  </si>
  <si>
    <t>https://lulustream.com/d/1heq1rpzmor6</t>
  </si>
  <si>
    <t>#BigTits, #Teen, #Blowjob, #Amateur, #Hotwife, #Deepthroat, #Facial</t>
  </si>
  <si>
    <t>#BigTits #Teen #Blowjob #Amateur #Hotwife</t>
  </si>
  <si>
    <t>https://thumb.tapecontent.net/thumb/dgk0Lq3vevck4dY/MaKw4XrjrkUmZaa.jpg</t>
  </si>
  <si>
    <t>Hailey Rose - 86565490 - Onlyfans - Sabrina Nichole.jpg</t>
  </si>
  <si>
    <t>https://doodstream.com/d/rkmoiv4r5kkk/</t>
  </si>
  <si>
    <t>https://lulustream.com/d/vcvta3ey6k4m</t>
  </si>
  <si>
    <t>#bigtits #milf #creampie #threesome</t>
  </si>
  <si>
    <t>https://thumb.tapecontent.net/thumb/vgezg8goGbI4V6B/APpoPMgrzkTvZ7.jpg</t>
  </si>
  <si>
    <t>Hailey Rose - 87831195 - Bang.jpg</t>
  </si>
  <si>
    <t>https://doodstream.com/d/w5498ezwys4r/</t>
  </si>
  <si>
    <t>https://lulustream.com/d/2riyd2t91ode</t>
  </si>
  <si>
    <t>#teen #blowjob #bigass #bigtits</t>
  </si>
  <si>
    <t>https://thumb.tapecontent.net/thumb/yB3Mb4M8Ozc11Dp/8q20ov1V6gco9ar.jpg</t>
  </si>
  <si>
    <t>Hailey Rose - 89713763 - Onlyfans - Minami Airi.jpg</t>
  </si>
  <si>
    <t>https://doodstream.com/d/0dg7pshjadvv/</t>
  </si>
  <si>
    <t>https://lulustream.com/d/uka32r1g1sa6</t>
  </si>
  <si>
    <t>#blowjob #threesome #bigtits #teens</t>
  </si>
  <si>
    <t>https://thumb.tapecontent.net/thumb/jkRp3Mkl43szOQz/pd9PQVGYDvhreBX.jpg</t>
  </si>
  <si>
    <t>Hailey Rose - 92204304 - ripnsfw.com.jpg</t>
  </si>
  <si>
    <t>https://doodstream.com/d/ghvohye9n2v6/</t>
  </si>
  <si>
    <t>https://lulustream.com/d/fdu863fjx118</t>
  </si>
  <si>
    <t>#BigTits #Teen #Blowjob #Amateur #Hotwife #Deepthroat</t>
  </si>
  <si>
    <t>https://thumb.tapecontent.net/thumb/7X1vMRYempUApqA/0ADBeVXOvjFbyml.jpg</t>
  </si>
  <si>
    <t>Hailey Rose - 92309292 - ripnsfw.com - Penelope Woods.jpg</t>
  </si>
  <si>
    <t>https://doodstream.com/d/i3t0gh9ug363/</t>
  </si>
  <si>
    <t>https://lulustream.com/d/4lzph7xejtt9</t>
  </si>
  <si>
    <t>#BigTits, #Creampie, #Hardcore, #Blowjob, #Amateur, #Deepthroat, #Hotwife</t>
  </si>
  <si>
    <t>#BigTits #Creampie #Hardcore #Blowjob</t>
  </si>
  <si>
    <t>https://thumb.tapecontent.net/thumb/0ppddg7kQ9hbJX8/okJZPQLrYATJ0MZ.jpg</t>
  </si>
  <si>
    <t>Hailey Rose - 97187164 - Onlyfans - Violet Myers.jpg</t>
  </si>
  <si>
    <t>https://doodstream.com/d/et2q65iilut3/</t>
  </si>
  <si>
    <t>https://lulustream.com/d/5ctr8cu9mzjo</t>
  </si>
  <si>
    <t>#threesome #bigtits #bigass #brunette</t>
  </si>
  <si>
    <t>https://thumb.tapecontent.net/thumb/djBY3vvyJdIkKGR/o9WZzzBvWoTJgRW.jpg</t>
  </si>
  <si>
    <t>Haley Reed - 69512016 - ripnsfw.com.jpg</t>
  </si>
  <si>
    <t>https://doodstream.com/d/n8yfg405yjp8/</t>
  </si>
  <si>
    <t>https://lulustream.com/d/4xyn6eoz2qjf</t>
  </si>
  <si>
    <t>#Hardcore, #Teen, #Blowjob, #Porn</t>
  </si>
  <si>
    <t>#Hardcore #Teen #Blowjob #Porn</t>
  </si>
  <si>
    <t>https://thumb.tapecontent.net/thumb/OPjy3vgqJ0cevP/o6yyoqGojrIJrG7.jpg</t>
  </si>
  <si>
    <t>Haley Spades - 10933434 - ItsAnal.jpg</t>
  </si>
  <si>
    <t>https://doodstream.com/d/7w4960rkn2r6/</t>
  </si>
  <si>
    <t>https://lulustream.com/d/lu8zdzp6owqa</t>
  </si>
  <si>
    <t>#anal #teen #blowjob #porn</t>
  </si>
  <si>
    <t>https://thumb.tapecontent.net/thumb/9PRLDg2Jpaca031/KqM6deQM0lI08PB.jpg</t>
  </si>
  <si>
    <t>Haley Spades - 11884996 - Onlyfans.jpg</t>
  </si>
  <si>
    <t>https://doodstream.com/d/2i635cumsdwm/</t>
  </si>
  <si>
    <t>https://lulustream.com/d/77m5ugc4uilq</t>
  </si>
  <si>
    <t>#teen #blowjob #blonde #bigass</t>
  </si>
  <si>
    <t>https://thumb.tapecontent.net/thumb/klBYGqALrmuyBD/Z34D6dBaQouqv0w.jpg</t>
  </si>
  <si>
    <t>Haley Spades - 13165762 - Onlyfans.jpg</t>
  </si>
  <si>
    <t>https://doodstream.com/d/amt58rt8q694/</t>
  </si>
  <si>
    <t>https://lulustream.com/d/c091xn2x67my</t>
  </si>
  <si>
    <t>#teen #blowjob #anal #bigass</t>
  </si>
  <si>
    <t>https://thumb.tapecontent.net/thumb/M9387jpZP6i0aw/yPJOgwoO66t18Q6.jpg</t>
  </si>
  <si>
    <t>Haley Spades - 13747519 - BS.jpg</t>
  </si>
  <si>
    <t>https://doodstream.com/d/ydd3hcikwpzc/</t>
  </si>
  <si>
    <t>https://lulustream.com/d/d8a17c1ib0md</t>
  </si>
  <si>
    <t>#Hardcore, #Bigass, #Teen, #Porn</t>
  </si>
  <si>
    <t>#Hardcore #Bigass #Teen #Porn</t>
  </si>
  <si>
    <t>https://thumb.tapecontent.net/thumb/zlGal1ybdytY3xk/Qw09QwjxLLc8MJ.jpg</t>
  </si>
  <si>
    <t>Haley Spades - 18505168 - Onlyfans.jpg</t>
  </si>
  <si>
    <t>https://doodstream.com/d/2ae8n76ll27q/</t>
  </si>
  <si>
    <t>https://lulustream.com/d/pbpjf0xcolyu</t>
  </si>
  <si>
    <t>#anal #teen #blowjob #blonde</t>
  </si>
  <si>
    <t>https://thumb.tapecontent.net/thumb/ao1p8ZA6a1sx7wV/41Zejk6MbYIKePQ.jpg</t>
  </si>
  <si>
    <t>Haley Spades - 20748217 - Onlyfans.jpg</t>
  </si>
  <si>
    <t>https://doodstream.com/d/b7r9f0f1wi5k/</t>
  </si>
  <si>
    <t>https://lulustream.com/d/vxlswrveda3u</t>
  </si>
  <si>
    <t>#threesome #blonde #teen #blowjob</t>
  </si>
  <si>
    <t>https://thumb.tapecontent.net/thumb/MPMq7pGL7kSm4Q2/aVr3DAmY4YSx8yx.jpg</t>
  </si>
  <si>
    <t>Haley Spades - 26381060 - PB.jpg</t>
  </si>
  <si>
    <t>https://doodstream.com/d/9ups4h4fulih/</t>
  </si>
  <si>
    <t>https://lulustream.com/d/dpepq4ma5umj</t>
  </si>
  <si>
    <t>#Hardcore, #Bigass, #Teen, #Blowjob</t>
  </si>
  <si>
    <t>#Hardcore #Bigass #Teen #Blowjob</t>
  </si>
  <si>
    <t>https://thumb.tapecontent.net/thumb/er04ORx8yvijMv/AKOL4RR9jkcXP4M.jpg</t>
  </si>
  <si>
    <t>Haley Spades - 26743368 - NP - Mia River.jpg</t>
  </si>
  <si>
    <t>https://doodstream.com/d/b2dl1j7zommt/</t>
  </si>
  <si>
    <t>https://lulustream.com/d/l07pt4skgpzp</t>
  </si>
  <si>
    <t>#teen #threesome #bigass #porn</t>
  </si>
  <si>
    <t>https://thumb.tapecontent.net/thumb/RXgKL42BG1Uja9/RXW1736wPqHdz9q.jpg</t>
  </si>
  <si>
    <t>Haley Spades - 29725313 - XVRED.jpg</t>
  </si>
  <si>
    <t>https://doodstream.com/d/196gowqkszp7/</t>
  </si>
  <si>
    <t>https://lulustream.com/d/grjrhyu221ia</t>
  </si>
  <si>
    <t>#anal #creampie #teen #bigass</t>
  </si>
  <si>
    <t>https://thumb.tapecontent.net/thumb/z7QX7Y2ZqVTy3z/Q3e0BD428Vc0177.jpg</t>
  </si>
  <si>
    <t>Haley Spades - 34171606 - ripnsfw.com.jpg</t>
  </si>
  <si>
    <t>https://doodstream.com/d/eiumwipil3oh/</t>
  </si>
  <si>
    <t>https://lulustream.com/d/kukte5t0etzx</t>
  </si>
  <si>
    <t>#Hardcore, #Teen, #Artporn, #Blowjob, #Amateur, #Deepthroat, #Blonde, #Facial</t>
  </si>
  <si>
    <t>#Hardcore #Teen #Artporn #Blowjob</t>
  </si>
  <si>
    <t>https://thumb.tapecontent.net/thumb/eV41wJW0lQIkQj/vQgZzk9LM6t4kXr.jpg</t>
  </si>
  <si>
    <t>Haley Spades - 37618933 - Dark X.jpg</t>
  </si>
  <si>
    <t>https://doodstream.com/d/0petmtcwhqd6/</t>
  </si>
  <si>
    <t>https://lulustream.com/d/2h9jkp6ip2p1</t>
  </si>
  <si>
    <t>#teen #bigass #blonde #blowjob</t>
  </si>
  <si>
    <t>https://thumb.tapecontent.net/thumb/xZYZpRJjKYTkd03/wyjjg0Wk1mhJ8zA.jpg</t>
  </si>
  <si>
    <t>Haley Spades - 38025833 - Onlyfans.jpg</t>
  </si>
  <si>
    <t>https://doodstream.com/d/3tv7rsf4pt8x/</t>
  </si>
  <si>
    <t>https://lulustream.com/d/uxvcr5etgpzu</t>
  </si>
  <si>
    <t>#anal #teen #blowjob #bigass</t>
  </si>
  <si>
    <t>https://thumb.tapecontent.net/thumb/G9pjMv2pmDu1xPq/brpgmgp6KPiPXyY.jpg</t>
  </si>
  <si>
    <t>Haley Spades - 38720636 - Onlyfans.jpg</t>
  </si>
  <si>
    <t>https://doodstream.com/d/bsnptrykx048/</t>
  </si>
  <si>
    <t>https://lulustream.com/d/vufwbw3vpddq</t>
  </si>
  <si>
    <t>#teen #blowjob #bigass #blonde</t>
  </si>
  <si>
    <t>https://thumb.tapecontent.net/thumb/begQ8vDVMaHo9Y/L22ZJwde2BIRrkj.jpg</t>
  </si>
  <si>
    <t>Haley Spades - 39361622 - Onlyfans.jpg</t>
  </si>
  <si>
    <t>https://doodstream.com/d/8sr2khkone1y/</t>
  </si>
  <si>
    <t>https://lulustream.com/d/gmqlk2t85jrw</t>
  </si>
  <si>
    <t>#teen #doublepenetration #anal #bigass</t>
  </si>
  <si>
    <t>https://thumb.tapecontent.net/thumb/RgGvq0zgRpHdQ1z/qO0dyJZY7pfy7D.jpg</t>
  </si>
  <si>
    <t>Haley Spades - 39906896 - FS.jpg</t>
  </si>
  <si>
    <t>https://doodstream.com/d/f9r6azgkc90r/</t>
  </si>
  <si>
    <t>https://lulustream.com/d/25fzhdzqdl4k</t>
  </si>
  <si>
    <t>#milf #hardcore #threesome #bigass</t>
  </si>
  <si>
    <t>https://thumb.tapecontent.net/thumb/PrpXZaVVjDH0KYP/J3j0jgakLeUg3m.jpg</t>
  </si>
  <si>
    <t>Haley Spades - 40753305 - Onlyfans.jpg</t>
  </si>
  <si>
    <t>https://doodstream.com/d/fw0cy9w547yb/</t>
  </si>
  <si>
    <t>https://lulustream.com/d/p3ryb6imde4l</t>
  </si>
  <si>
    <t>https://thumb.tapecontent.net/thumb/BALjYL1mgzC6LY/7P7WGbljKbFAe9e.jpg</t>
  </si>
  <si>
    <t>Haley Spades - 47547873 - Onlyfans.jpg</t>
  </si>
  <si>
    <t>https://doodstream.com/d/xvdw5lat4h0c/</t>
  </si>
  <si>
    <t>https://lulustream.com/d/60zvt1kn15va</t>
  </si>
  <si>
    <t>#teen #bigass #blowjob #interracial</t>
  </si>
  <si>
    <t>https://thumb.tapecontent.net/thumb/XkDzaBjl4zUZPW/WPAg3pmDbwTbDd7.jpg</t>
  </si>
  <si>
    <t>Haley Spades - 53567199 - EvilAngel.jpg</t>
  </si>
  <si>
    <t>https://doodstream.com/d/q377p5sbxwje/</t>
  </si>
  <si>
    <t>https://lulustream.com/d/lhlfecf6y4hk</t>
  </si>
  <si>
    <t>#doublepenetration #anal #interracial #foursome</t>
  </si>
  <si>
    <t>https://thumb.tapecontent.net/thumb/LLxk7jqrydURr2O/6kylBWa9qWs9BWG.jpg</t>
  </si>
  <si>
    <t>Haley Spades - 59507747 - Tushy.jpg</t>
  </si>
  <si>
    <t>https://doodstream.com/d/fwfp83yhcneu/</t>
  </si>
  <si>
    <t>https://lulustream.com/d/chmzssrt48i5</t>
  </si>
  <si>
    <t>#doublepenetration #anal #bigass #threesome</t>
  </si>
  <si>
    <t>https://thumb.tapecontent.net/thumb/wg6J0gjPVbhJJVp/JXJWok3PvBijjAX.jpg</t>
  </si>
  <si>
    <t>Haley Spades - 60485003 - ripnsfw.com.jpg</t>
  </si>
  <si>
    <t>https://doodstream.com/d/9yzzqxfcy5hh/</t>
  </si>
  <si>
    <t>https://lulustream.com/d/7sk6sovpvuk3</t>
  </si>
  <si>
    <t>#Hardcore, #Bigass, #Porn, #Teen, #Blowjob, #Blonde, #Facial</t>
  </si>
  <si>
    <t>#Hardcore #Bigass #Porn #Teen #Blowjob #Blonde #Facial</t>
  </si>
  <si>
    <t>https://thumb.tapecontent.net/thumb/KXjm2gwdzmc0q6j/ggqVPGA1vwsqeWr.jpg</t>
  </si>
  <si>
    <t>Haley Spades - 60845164 - Onlyfans.jpg</t>
  </si>
  <si>
    <t>https://doodstream.com/d/gkd3layv5nq5/</t>
  </si>
  <si>
    <t>https://lulustream.com/d/hbxdiqtassvi</t>
  </si>
  <si>
    <t>#Hardcore, #Bigass, #Teen, #Artporn, #Blowjob, #Amateur, #Deepthroat, #Blonde, #Facial</t>
  </si>
  <si>
    <t>#Hardcore #Bigass #Teen #Artporn #Blowjob #Amateur #Deepthroat #Blonde #Facial</t>
  </si>
  <si>
    <t>https://thumb.tapecontent.net/thumb/A4RL1rmLJkSXYvp/OPvPlmmaMjhZpom.jpg</t>
  </si>
  <si>
    <t>Haley Spades - 62164664 - Hardx.jpg</t>
  </si>
  <si>
    <t>https://doodstream.com/d/kaa4h3gfjz59/</t>
  </si>
  <si>
    <t>https://lulustream.com/d/e0r23alinyr6</t>
  </si>
  <si>
    <t>#teen #anal #bigass #blonde</t>
  </si>
  <si>
    <t>https://thumb.tapecontent.net/thumb/p71KkabodmfraJX/q7xdWrwJr4CzJOB.jpg</t>
  </si>
  <si>
    <t>Haley Spades - 62687412 - Onlyfans.jpg</t>
  </si>
  <si>
    <t>https://doodstream.com/d/gmve0y9pklp8/</t>
  </si>
  <si>
    <t>https://lulustream.com/d/960aqdpv9cee</t>
  </si>
  <si>
    <t>#teen #bigass #blowjob #blonde</t>
  </si>
  <si>
    <t>https://thumb.tapecontent.net/thumb/w6KW6J8QBvIJObL/3q0j87Ljv9UdVv6.jpg</t>
  </si>
  <si>
    <t>Haley Spades - 70700659 - FS.jpg</t>
  </si>
  <si>
    <t>https://doodstream.com/d/iep2i9o0qka8/</t>
  </si>
  <si>
    <t>https://lulustream.com/d/rhgmypkrm366</t>
  </si>
  <si>
    <t>#anal #hardcore #porn #teen</t>
  </si>
  <si>
    <t>https://thumb.tapecontent.net/thumb/eAo1rp4Pxlt22G/7jRz7wlvq9U4RR.jpg</t>
  </si>
  <si>
    <t>Haley Spades - 75230723 - BTS.jpg</t>
  </si>
  <si>
    <t>https://doodstream.com/d/vjiih07ltmu4/</t>
  </si>
  <si>
    <t>https://lulustream.com/d/95dwae81tt0b</t>
  </si>
  <si>
    <t>https://thumb.tapecontent.net/thumb/QkQjYW9APet0O73/r8Rjq9v9vRubWJ4.jpg</t>
  </si>
  <si>
    <t>Haley Spades - 82044382 - XVRED.jpg</t>
  </si>
  <si>
    <t>https://doodstream.com/d/hngxsfs8qywz/</t>
  </si>
  <si>
    <t>https://lulustream.com/d/oohfdtdv0wtv</t>
  </si>
  <si>
    <t>#anal #hardcore #threesome #bigass</t>
  </si>
  <si>
    <t>https://thumb.tapecontent.net/thumb/wG7Q73jBDLuJ9Vy/17y9jVboV8Feelk.jpg</t>
  </si>
  <si>
    <t>Haley Spades - 84254722 - PD.jpg</t>
  </si>
  <si>
    <t>https://doodstream.com/d/rmkaveoimnho/</t>
  </si>
  <si>
    <t>https://lulustream.com/d/2nnzbq7grc4x</t>
  </si>
  <si>
    <t>#teen #anal #bigass #doublepenetration</t>
  </si>
  <si>
    <t>https://thumb.tapecontent.net/thumb/YgwMpdQYqWFvAZA/9pB7X404aRCZMK.jpg</t>
  </si>
  <si>
    <t>Haley Spades - 89312649 - Onlyfans.jpg</t>
  </si>
  <si>
    <t>https://doodstream.com/d/tcyti6ez89ra/</t>
  </si>
  <si>
    <t>https://lulustream.com/d/6q7u0hpqzcxq</t>
  </si>
  <si>
    <t>#Anal, #Creampie, #Hardcore, #Bigass</t>
  </si>
  <si>
    <t>#Anal #Creampie #Hardcore #Bigass</t>
  </si>
  <si>
    <t>https://thumb.tapecontent.net/thumb/DAY49grZ9kck1Mg/Mzllx26LJJSYJ0.jpg</t>
  </si>
  <si>
    <t>Haley Spades - 89642695 - Onlyfans.jpg</t>
  </si>
  <si>
    <t>https://doodstream.com/d/6a7ycx6yzg38/</t>
  </si>
  <si>
    <t>https://lulustream.com/d/atb073tp5tbl</t>
  </si>
  <si>
    <t>#teen #blonde #bigass #blowjob</t>
  </si>
  <si>
    <t>https://thumb.tapecontent.net/thumb/y2J9GbKe70t1WO4/0rL3QeAKmmHb3qW.jpg</t>
  </si>
  <si>
    <t>Haley Spades - 94148243 - OF.jpg</t>
  </si>
  <si>
    <t>https://doodstream.com/d/xks5bzsb4v69/</t>
  </si>
  <si>
    <t>https://lulustream.com/d/bpsqv9dy8a3b</t>
  </si>
  <si>
    <t>#teen #blowjob #blonde #porn</t>
  </si>
  <si>
    <t>https://thumb.tapecontent.net/thumb/kvLQMRJV8PfYeO/wrk1POGmdrSJOPq.jpg</t>
  </si>
  <si>
    <t>Haley Spades - 94852051 - Onlyfans - Jewelz Blu.jpg</t>
  </si>
  <si>
    <t>https://doodstream.com/d/uosaea2clt7w/</t>
  </si>
  <si>
    <t>https://lulustream.com/d/m7rhg9oygyv9</t>
  </si>
  <si>
    <t>#BigTits, #Hardcore, #Threesome, #Bigass</t>
  </si>
  <si>
    <t>https://thumb.tapecontent.net/thumb/xr2W8pak3kUkG9a/Ypqkepo9Bec6Jl.jpg</t>
  </si>
  <si>
    <t>Haley Spades - 96147019 - Gangbang Creampie.jpg</t>
  </si>
  <si>
    <t>https://doodstream.com/d/y8cme36nhv7e/</t>
  </si>
  <si>
    <t>https://lulustream.com/d/u4eeviemm50d</t>
  </si>
  <si>
    <t>#creampie #teen #interracial #blowjob</t>
  </si>
  <si>
    <t>https://thumb.tapecontent.net/thumb/aYe84mqjLetx7ZJ/vxxwxWGjeJT2Pk.jpg</t>
  </si>
  <si>
    <t>Haley Spades - 97355912 - ripnsfw.com.jpg</t>
  </si>
  <si>
    <t>https://doodstream.com/d/sy1tumdssnjw/</t>
  </si>
  <si>
    <t>https://lulustream.com/d/qwfsnfh985ei</t>
  </si>
  <si>
    <t>#Anal, #Hardcore, #Black, #Threesome, #Interracial, #Bigass, #Porn, #Teen, #Blowjob, #Deepthroat, #Blonde, #Facial</t>
  </si>
  <si>
    <t>#Anal #Hardcore #Black #Threesome #Interracial #Bigass</t>
  </si>
  <si>
    <t>https://thumb.tapecontent.net/thumb/K9PKvWoM87U0QMP/6wRPAWb6X1ieRW.jpg</t>
  </si>
  <si>
    <t>Happy_Yulia - 78859240 -  Onlyfans.jpg</t>
  </si>
  <si>
    <t>https://doodstream.com/d/rl5p2mmsfvbv/</t>
  </si>
  <si>
    <t>https://lulustream.com/d/uqpk1exye70x</t>
  </si>
  <si>
    <t>#teen #blonde #bigtits #facial</t>
  </si>
  <si>
    <t>https://thumb.tapecontent.net/thumb/r4ozdklLM1CbjDJ/Y1G3gOlkxPFvAgG.jpg</t>
  </si>
  <si>
    <t>Hayley Davies - 15229591 - Onlyfans.jpg</t>
  </si>
  <si>
    <t>https://doodstream.com/d/p64gtgqkcjrq/</t>
  </si>
  <si>
    <t>https://lulustream.com/d/sq95lh7vln9f</t>
  </si>
  <si>
    <t>#milf #blonde #bigtits #bigass</t>
  </si>
  <si>
    <t>https://thumb.tapecontent.net/thumb/Vyz1BAmjV9hKpBL/Gbe6RwWpm1H1G36.jpg</t>
  </si>
  <si>
    <t>Hayley Davies - 26666486 - PB.jpg</t>
  </si>
  <si>
    <t>https://doodstream.com/d/cs42jvgvz0wc/</t>
  </si>
  <si>
    <t>https://lulustream.com/d/r12a6fvunjfa</t>
  </si>
  <si>
    <t>https://thumb.tapecontent.net/thumb/oAK73Pwrjrsbmq/pV6KjpRlA6srQL4.jpg</t>
  </si>
  <si>
    <t>Hayley Davies - 43204677 - Onlyfans.jpg</t>
  </si>
  <si>
    <t>https://doodstream.com/d/s6skgozww4fk/</t>
  </si>
  <si>
    <t>https://lulustream.com/d/a6l0bm4j4omv</t>
  </si>
  <si>
    <t>https://thumb.tapecontent.net/thumb/q8yMX9qgzocLA2/2Vg3KweJllHZ3lr.jpg</t>
  </si>
  <si>
    <t>Hayley Davies - 99348682 - Onlyfans - Violet Myers.jpg</t>
  </si>
  <si>
    <t>https://doodstream.com/d/iajkm5k5sron/</t>
  </si>
  <si>
    <t>https://lulustream.com/d/83m8de2jsa4k</t>
  </si>
  <si>
    <t>https://thumb.tapecontent.net/thumb/kLZ0BbMrYrhOLl4/mq8Grmw98QHbJ8A.jpg</t>
  </si>
  <si>
    <t>Hinatakio - 84111829 - Onlyfans.jpg</t>
  </si>
  <si>
    <t>https://doodstream.com/d/xuwbe9198wvx/</t>
  </si>
  <si>
    <t>https://lulustream.com/d/2qo53k7cmjkj</t>
  </si>
  <si>
    <t>#Teen, #Teens, #Blowjob, #Amateur, #Deepthroat, #Facial</t>
  </si>
  <si>
    <t>#Teen #Teens #Blowjob #Amateur #Deepthroat #Facial</t>
  </si>
  <si>
    <t>https://thumb.tapecontent.net/thumb/w4OV62mbVZFJZpJ/YqYAbB12qQivbe0.jpg</t>
  </si>
  <si>
    <t>Honey Sasha - 71637373 - Onlyfans.jpg</t>
  </si>
  <si>
    <t>https://doodstream.com/d/luxrgnea8m4u/</t>
  </si>
  <si>
    <t>https://lulustream.com/d/x0i7044rmb26</t>
  </si>
  <si>
    <t>#BigTits, #Hardcore, #Bigass, #Teen, #Artporn, #Teens, #Blowjob, #Amateur</t>
  </si>
  <si>
    <t>https://thumb.tapecontent.net/thumb/9ODMLD6bqaIOxG/wD1ZBLab7VuJ3wl.jpg</t>
  </si>
  <si>
    <t>Indica Flower - 40171471 - Onlyfans.jpg</t>
  </si>
  <si>
    <t>https://doodstream.com/d/6feu0fkgq71i/</t>
  </si>
  <si>
    <t>https://lulustream.com/d/yt24slj3d59c</t>
  </si>
  <si>
    <t>https://thumb.tapecontent.net/thumb/klablQbOpkf6lo/o98MLZ6GY9fJryM.jpg</t>
  </si>
  <si>
    <t>Indica Flower - 43277129 - Onlyfans.jpg</t>
  </si>
  <si>
    <t>https://doodstream.com/d/ynpqaeb2utwj/</t>
  </si>
  <si>
    <t>https://lulustream.com/d/99r6jv9nw70o</t>
  </si>
  <si>
    <t>https://thumb.tapecontent.net/thumb/2689VZL3M2sRb6/ayGOr2WAvPcJvg.jpg</t>
  </si>
  <si>
    <t>Indica Flower - 49136859 - Onlyfans.jpg</t>
  </si>
  <si>
    <t>https://doodstream.com/d/ls08fniogi62/</t>
  </si>
  <si>
    <t>https://lulustream.com/d/y4deodmubrh5</t>
  </si>
  <si>
    <t>https://thumb.tapecontent.net/thumb/k2QkbPJPD1TOGlb/G21xdZrkp9I1D91.jpg</t>
  </si>
  <si>
    <t>Indica Flower - 52696210 - MLR.jpg</t>
  </si>
  <si>
    <t>https://doodstream.com/d/l6hv76ccucyw/</t>
  </si>
  <si>
    <t>https://lulustream.com/d/3pyzkyzbrg1y</t>
  </si>
  <si>
    <t>https://thumb.tapecontent.net/thumb/e4pgKDpvObIkBe/Kk2Y9YD9vDi0e9w.jpg</t>
  </si>
  <si>
    <t>Indica Flower - 66160100 - Onlyfans.jpg</t>
  </si>
  <si>
    <t>https://doodstream.com/d/y9970uhpend9/</t>
  </si>
  <si>
    <t>https://lulustream.com/d/60464yqizfdi</t>
  </si>
  <si>
    <t>https://thumb.tapecontent.net/thumb/rkaYdl1Bb4ibQGB/RDYgVZJ7XGCZGw.jpg</t>
  </si>
  <si>
    <t>Indica Flower - 76022716 - Onlyfans.jpg</t>
  </si>
  <si>
    <t>https://doodstream.com/d/ug7lv4bj6e4k/</t>
  </si>
  <si>
    <t>https://lulustream.com/d/bjjn5qqgykw7</t>
  </si>
  <si>
    <t>https://thumb.tapecontent.net/thumb/9p4qeo4DL1HaxbO/8XgZ2BWK9QTowJk.jpg</t>
  </si>
  <si>
    <t>Indica Flower - 77303400 - Onlyfans - Angela White.jpg</t>
  </si>
  <si>
    <t>https://doodstream.com/d/94tnfilouaxz/</t>
  </si>
  <si>
    <t>https://lulustream.com/d/uvrf1lxwqpbg</t>
  </si>
  <si>
    <t>https://thumb.tapecontent.net/thumb/wO2yOmBLg2tJzgz/GKoowopm60h11e8.jpg</t>
  </si>
  <si>
    <t>Indica Flower - 86487740 - Onlyfans.jpg</t>
  </si>
  <si>
    <t>https://doodstream.com/d/rsdax3sre2ue/</t>
  </si>
  <si>
    <t>https://lulustream.com/d/fdr2cpi0v0g9</t>
  </si>
  <si>
    <t>#bigtits #milf #hardcore #bigass</t>
  </si>
  <si>
    <t>https://thumb.tapecontent.net/thumb/PDpwWo1PQMiW9w/k2dPmwMyyWueyG.jpg</t>
  </si>
  <si>
    <t>Indica Flower - 91384409 - Onlyfans.jpg</t>
  </si>
  <si>
    <t>https://doodstream.com/d/gntvpuwt2n06/</t>
  </si>
  <si>
    <t>https://lulustream.com/d/vbvt98hnpnpb</t>
  </si>
  <si>
    <t>https://thumb.tapecontent.net/thumb/vwQeepvqrQSa7j/9yP37kmO8LCarOZ.jpg</t>
  </si>
  <si>
    <t>Indica Flower - 92908779 - Onlyfans.jpg</t>
  </si>
  <si>
    <t>https://doodstream.com/d/klulovnudtln/</t>
  </si>
  <si>
    <t>https://lulustream.com/d/c9sxoryotjnz</t>
  </si>
  <si>
    <t>https://thumb.tapecontent.net/thumb/pbM6L06aZoHrMOK/gYRpbWQbJ4Fqq0z.jpg</t>
  </si>
  <si>
    <t>Indica Flower - 93773610 - Onlyfans.jpg</t>
  </si>
  <si>
    <t>https://doodstream.com/d/f42vj2rxm6bp/</t>
  </si>
  <si>
    <t>https://lulustream.com/d/kszu9la1jt02</t>
  </si>
  <si>
    <t>#milf #blowjob #bigtits #brunette</t>
  </si>
  <si>
    <t>https://thumb.tapecontent.net/thumb/8OLJZbwG6DioVAe/017z82RRyeIABW.jpg</t>
  </si>
  <si>
    <t>Indica Flower - 94126261 - NaughtyAmerica.jpg</t>
  </si>
  <si>
    <t>https://doodstream.com/d/xt2hm0qau8uk/</t>
  </si>
  <si>
    <t>https://lulustream.com/d/6plaqmussr0s</t>
  </si>
  <si>
    <t>https://thumb.tapecontent.net/thumb/AXe3Gzm27OsX7LZ/0pR2XzKq99sb9mz.jpg</t>
  </si>
  <si>
    <t>Indica Flower - 97821652 - Onlyfans.jpg</t>
  </si>
  <si>
    <t>https://doodstream.com/d/doxbl254fwfl/</t>
  </si>
  <si>
    <t>https://lulustream.com/d/4j6z4gujyoez</t>
  </si>
  <si>
    <t>https://thumb.tapecontent.net/thumb/9jLABaLgAgIybJ/zM9JaXLmx3sYrGk.jpg</t>
  </si>
  <si>
    <t>Irisxjase - 87281834 - Onlyfans.jpg</t>
  </si>
  <si>
    <t>https://doodstream.com/d/tf3deflt8iaf/</t>
  </si>
  <si>
    <t>https://lulustream.com/d/htc811zylvdx</t>
  </si>
  <si>
    <t>#Hardcore, #Threesome, #Teen, #Blowjob</t>
  </si>
  <si>
    <t>#Hardcore #Threesome #Teen #Blowjob</t>
  </si>
  <si>
    <t>https://thumb.tapecontent.net/thumb/LYrl0Pm4LVhyJ8/qvm6Y01Re7tzV4d.jpg</t>
  </si>
  <si>
    <t>Ivy Lebelle - 22706899 - Onlyfans.jpg</t>
  </si>
  <si>
    <t>https://doodstream.com/d/ljhgklso13k4/</t>
  </si>
  <si>
    <t>https://lulustream.com/d/3clmzxvfo60r</t>
  </si>
  <si>
    <t>https://thumb.tapecontent.net/thumb/dRyyw9jZ29ikq2x/vp0ddrQYxrI4vLr.jpg</t>
  </si>
  <si>
    <t>Ivy Lebelle - 30820563 - BA.jpg</t>
  </si>
  <si>
    <t>https://doodstream.com/d/w6m9q68zuizh/</t>
  </si>
  <si>
    <t>https://lulustream.com/d/wdnz8kcedvuk</t>
  </si>
  <si>
    <t>https://thumb.tapecontent.net/thumb/17VmwYkxo3SeOLx/laeZlX0M03Sm6w.jpg</t>
  </si>
  <si>
    <t>Ivy Lebelle - 42093081 - Onlyfans.jpg</t>
  </si>
  <si>
    <t>https://doodstream.com/d/p7ypucc7c8qe/</t>
  </si>
  <si>
    <t>https://lulustream.com/d/fvbprlazjetg</t>
  </si>
  <si>
    <t>#doublepenetration #anal #milf #bigtits</t>
  </si>
  <si>
    <t>https://thumb.tapecontent.net/thumb/bkjr6D4VGqSPkML/KXp8y94GAaf0yGz.jpg</t>
  </si>
  <si>
    <t>Ivy Lebelle - 99143196 - RR.jpg</t>
  </si>
  <si>
    <t>https://doodstream.com/d/3r18oimpe194/</t>
  </si>
  <si>
    <t>https://lulustream.com/d/csmobz2ink0c</t>
  </si>
  <si>
    <t>#bigtits #milf #hardcore #black</t>
  </si>
  <si>
    <t>https://thumb.tapecontent.net/thumb/OdrORGKPAls7b6/GJzQZAJ43pimYL.jpg</t>
  </si>
  <si>
    <t>Izzy - 68912986 - ExploitedCollegeGirls.jpg</t>
  </si>
  <si>
    <t>https://doodstream.com/d/l2rvikni8ujl/</t>
  </si>
  <si>
    <t>https://lulustream.com/d/qygkj6ehqos8</t>
  </si>
  <si>
    <t>https://thumb.tapecontent.net/thumb/gVwYQAg3A3uq07J/DQXYmOoMA1ik7oX.jpg</t>
  </si>
  <si>
    <t>JackandJill - 30452349 - Chaturbate - Olivia Madison - Vivi Vicious.jpg</t>
  </si>
  <si>
    <t>https://doodstream.com/d/5395wxwmlk02/</t>
  </si>
  <si>
    <t>https://lulustream.com/d/sj9rk6z2qa0z</t>
  </si>
  <si>
    <t>#teens #threesome #brunette #blowjob</t>
  </si>
  <si>
    <t>https://thumb.tapecontent.net/thumb/BkXe6v2BG1I97v/dRL9xq803kikvgM.jpg</t>
  </si>
  <si>
    <t>JackandJill - 34651195 - ripnsfw.com - Luna Luxe.jpg</t>
  </si>
  <si>
    <t>https://doodstream.com/d/n3qemlx9orhw/</t>
  </si>
  <si>
    <t>https://lulustream.com/d/75rchft27mqp</t>
  </si>
  <si>
    <t>#MILF, #BigTits, #Creampie, #Hardcore, #Threesome, #Bigass, #Blowjob, #Amateur, #Deepthroat, #Blonde</t>
  </si>
  <si>
    <t>https://thumb.tapecontent.net/thumb/Gp36w1qMwZhYQM/yjXZqZZoPMswAz.jpg</t>
  </si>
  <si>
    <t>JackandJill - 42997212 - Chaturbate.jpg</t>
  </si>
  <si>
    <t>https://doodstream.com/d/39tmezrej4mb/</t>
  </si>
  <si>
    <t>https://lulustream.com/d/qolyevomkv2x</t>
  </si>
  <si>
    <t>#porn #teen #blowjob #teens</t>
  </si>
  <si>
    <t>https://thumb.tapecontent.net/thumb/7daVdxoBZ0FAZj8/ZKoJ6Oy6XPhqGrJ.jpg</t>
  </si>
  <si>
    <t>JackandJill - 47820545 - Chaturbate - Sami Hayes - BadBarbiePriv.jpg</t>
  </si>
  <si>
    <t>https://doodstream.com/d/j06qqm21ncjx/</t>
  </si>
  <si>
    <t>https://lulustream.com/d/fujywz3q2tjr</t>
  </si>
  <si>
    <t>#foursome #bigtits #bigass #teens</t>
  </si>
  <si>
    <t>https://thumb.tapecontent.net/thumb/wZjxY0vagWuJdMa/3G2yl8wPYZHdK0R.jpg</t>
  </si>
  <si>
    <t>JackandJill - 89492404 - ripnsfw.com.jpg</t>
  </si>
  <si>
    <t>https://doodstream.com/d/jubiyhqengcm/</t>
  </si>
  <si>
    <t>https://lulustream.com/d/j387tsu5oz0s</t>
  </si>
  <si>
    <t>#MILF, #BigTits, #Creampie, #Hardcore, #Teen, #Blowjob, #Amateur, #Hotwife, #Deepthroat, #Blonde, #Foursome</t>
  </si>
  <si>
    <t>https://thumb.tapecontent.net/thumb/mY4yeZvO2PfbA70/4xrdqQL7vQur6W.jpg</t>
  </si>
  <si>
    <t>JadeTeen - 12508665 - ripnsfw.com - Lena the plug.jpg</t>
  </si>
  <si>
    <t>https://doodstream.com/d/fdkom49rkcz9/</t>
  </si>
  <si>
    <t>https://lulustream.com/d/qsz82p94rszv</t>
  </si>
  <si>
    <t>https://thumb.tapecontent.net/thumb/OkJqvK2XoOHZRpW/wGjqy37B8YSJmvZ.jpg</t>
  </si>
  <si>
    <t>JadeTeen - 83448182 - Onlyfans.jpg</t>
  </si>
  <si>
    <t>https://doodstream.com/d/i2nzt7p3scx8/</t>
  </si>
  <si>
    <t>https://lulustream.com/d/nv2k4o1tc98e</t>
  </si>
  <si>
    <t>#creampie #teen #bigtits #blowjob</t>
  </si>
  <si>
    <t>https://thumb.tapecontent.net/thumb/eVlLzmGvYPuYv3b/b1PmrvKdqwiPPJZ.jpg</t>
  </si>
  <si>
    <t>Jamie Young - 43184780 - Onlyfans.jpg</t>
  </si>
  <si>
    <t>https://doodstream.com/d/j52e7l55ir2l/</t>
  </si>
  <si>
    <t>https://lulustream.com/d/1c9ggspj6tg0</t>
  </si>
  <si>
    <t>#Hardcore, #Bigass, #Teen, #Artporn, #Blowjob, #Teens, #Amateur, #Hotwife, #Deepthroat, #Facial</t>
  </si>
  <si>
    <t>#Hardcore #Bigass #Teen #Artporn #Blowjob #Teens #Amateur #Hotwife</t>
  </si>
  <si>
    <t>https://thumb.tapecontent.net/thumb/pD2dZGOl9gSr3pD/Q1JM1ze1x0F0o82.jpg</t>
  </si>
  <si>
    <t>Jamie Young - 43293327 - Onlyfans.jpg</t>
  </si>
  <si>
    <t>https://doodstream.com/d/rg4zlg9q815d/</t>
  </si>
  <si>
    <t>https://lulustream.com/d/v9ctz96ytk59</t>
  </si>
  <si>
    <t>#teen #blowjob #bigass #brunette</t>
  </si>
  <si>
    <t>https://thumb.tapecontent.net/thumb/Q2KqJ0ve8vs0zKb/JW7Adqa6LaFeZ7.jpg</t>
  </si>
  <si>
    <t>Jamie Young - 45331849 - Onlyfans.jpg</t>
  </si>
  <si>
    <t>https://doodstream.com/d/ns0cqtta321j/</t>
  </si>
  <si>
    <t>https://lulustream.com/d/si1vcp9xkm0h</t>
  </si>
  <si>
    <t>#Anal, #Hardcore, #Piss, #Bigass, #Teen, #Artporn, #Blowjob, #Amateur, #Facial</t>
  </si>
  <si>
    <t>#Anal #Hardcore #Piss #Bigass</t>
  </si>
  <si>
    <t>https://thumb.tapecontent.net/thumb/GwjQdqpaWWs9aQ/0pPly3Jvb8HbRPA.jpg</t>
  </si>
  <si>
    <t>Jamie Young - 45711223 - Onlyfans.jpg</t>
  </si>
  <si>
    <t>https://doodstream.com/d/0o7irfxaa6ax/</t>
  </si>
  <si>
    <t>https://lulustream.com/d/5b7gkwba7drx</t>
  </si>
  <si>
    <t>#teen #blowjob #pov #brunette</t>
  </si>
  <si>
    <t>https://thumb.tapecontent.net/thumb/M6XV7mkdPXFwy7/eGj3Vq9xbPtYagA.jpg</t>
  </si>
  <si>
    <t>Jamie Young - 51707129 - Onlyfans.jpg</t>
  </si>
  <si>
    <t>https://doodstream.com/d/h103alsng1vw/</t>
  </si>
  <si>
    <t>https://lulustream.com/d/mlsqeawc6vqp</t>
  </si>
  <si>
    <t>#teen #bigass #brunette #blowjob</t>
  </si>
  <si>
    <t>https://thumb.tapecontent.net/thumb/d3XJ76em1AI1xZ/vyjxVqZDLOh4gRV.jpg</t>
  </si>
  <si>
    <t>Jamie Young - 58168938 - Onlyfans.jpg</t>
  </si>
  <si>
    <t>https://doodstream.com/d/d3aikemlx4e5/</t>
  </si>
  <si>
    <t>https://lulustream.com/d/aknjxpmi8zps</t>
  </si>
  <si>
    <t>#Bigass, #Teen, #Blowjob, #Amateur</t>
  </si>
  <si>
    <t>#Bigass #Teen #Blowjob #Amateur</t>
  </si>
  <si>
    <t>https://thumb.tapecontent.net/thumb/wl8y4rv8V7TJ9Wk/wG9Yppmqz1TJK7G.jpg</t>
  </si>
  <si>
    <t>Jamie Young - 60153011 - ripnsfw.com.jpg</t>
  </si>
  <si>
    <t>https://doodstream.com/d/nw8tfhxr0b71/</t>
  </si>
  <si>
    <t>https://lulustream.com/d/1rfrm84wxrkt</t>
  </si>
  <si>
    <t>#Creampie, #Hardcore, #Teen, #Teens, #Amateur, #Hotwife, #Deepthroat</t>
  </si>
  <si>
    <t>#Creampie #Hardcore #Teen #Teens</t>
  </si>
  <si>
    <t>https://thumb.tapecontent.net/thumb/BJmp2dA10zsyoYw/bV7gBkrMY8SPV3B.jpg</t>
  </si>
  <si>
    <t>Jamie Young - 61411359 - ripnsfw.com.jpg</t>
  </si>
  <si>
    <t>https://doodstream.com/d/31haxkxu5xsh/</t>
  </si>
  <si>
    <t>https://lulustream.com/d/7g7mysyw11dn</t>
  </si>
  <si>
    <t>#Hardcore, #Bigass, #Teen, #Blowjob, #Amateur, #Facial</t>
  </si>
  <si>
    <t>https://thumb.tapecontent.net/thumb/Doqvey7bxKhdDg/zlBLZvq6o3TYmP0.jpg</t>
  </si>
  <si>
    <t>Jamie Young - 65180743 - ripnsfw.com.jpg</t>
  </si>
  <si>
    <t>https://doodstream.com/d/jaowukxhbms3/</t>
  </si>
  <si>
    <t>https://lulustream.com/d/f3675gknh77p</t>
  </si>
  <si>
    <t>#Hardcore, #Creampie, #Bigass, #Teen, #Blowjob, #Amateur, #Deepthroat</t>
  </si>
  <si>
    <t>#Hardcore #Creampie #Bigass #Teen #Blowjob #Amateur #Deepthroat</t>
  </si>
  <si>
    <t>https://thumb.tapecontent.net/thumb/Xqk12QWL2wID7zG/Z3rXWWYrxPiqpq4.jpg</t>
  </si>
  <si>
    <t>Jamie Young - 65261396 - ripnsfw.com.jpg</t>
  </si>
  <si>
    <t>https://doodstream.com/d/cgwn6yh9facp/</t>
  </si>
  <si>
    <t>https://lulustream.com/d/wkhzp78bwnjn</t>
  </si>
  <si>
    <t>#Hardcore, #Teen, #Artporn, #Amateur, #Teens, #Blowjob, #Piss</t>
  </si>
  <si>
    <t>#Hardcore #Teen #Artporn #Amateur #Teens #Blowjob</t>
  </si>
  <si>
    <t>https://thumb.tapecontent.net/thumb/1LxXJq6oMPSxpJ/8OBaZ04jLdTYXD.jpg</t>
  </si>
  <si>
    <t>Jamie Young - 72170116 - Onlyfans.jpg</t>
  </si>
  <si>
    <t>https://doodstream.com/d/4ng8kg4pqkms/</t>
  </si>
  <si>
    <t>https://lulustream.com/d/sw0vc5lwtesy</t>
  </si>
  <si>
    <t>#teen #blowjob #brunette #bigass</t>
  </si>
  <si>
    <t>https://thumb.tapecontent.net/thumb/xlDdy7x9bvHDoL/7pVAkzOpzmFAz1G.jpg</t>
  </si>
  <si>
    <t>Jamie Young - 73885756 - Onlyfans.jpg</t>
  </si>
  <si>
    <t>https://doodstream.com/d/hvreyfahc9w5/</t>
  </si>
  <si>
    <t>https://lulustream.com/d/cab3gdbdzo79</t>
  </si>
  <si>
    <t>https://thumb.tapecontent.net/thumb/78VMboqvY3TAqaQ/O4mLgBRv7ZTz4R.jpg</t>
  </si>
  <si>
    <t>Jamie Young - 74870486 - Onlyfans.jpg</t>
  </si>
  <si>
    <t>https://doodstream.com/d/5t9qe26uqd22/</t>
  </si>
  <si>
    <t>https://lulustream.com/d/i4p4mpwy37f5</t>
  </si>
  <si>
    <t>#teen #bigass #blowjob #brunette</t>
  </si>
  <si>
    <t>https://thumb.tapecontent.net/thumb/xmWJ8wrGYMckMYO/KQRovjBAmdT09q1.jpg</t>
  </si>
  <si>
    <t>Jamie Young - 77619579 - Onlyfans.jpg</t>
  </si>
  <si>
    <t>https://doodstream.com/d/9gqqfmwde6le/</t>
  </si>
  <si>
    <t>https://lulustream.com/d/hs1pdkr98yr8</t>
  </si>
  <si>
    <t>https://thumb.tapecontent.net/thumb/1WrxMGJ6BOIezLO/mlZyLpZ9rPtBlx.jpg</t>
  </si>
  <si>
    <t>Jamie Young - 84155640 - Onlyfans.jpg</t>
  </si>
  <si>
    <t>https://doodstream.com/d/4ialt60ud0wf/</t>
  </si>
  <si>
    <t>https://lulustream.com/d/oghlgvxly645</t>
  </si>
  <si>
    <t>https://thumb.tapecontent.net/thumb/e36B3eL8OWsogp/doZbRz4lVWu9wm.jpg</t>
  </si>
  <si>
    <t>Jamie Young - 84390953 - Onlyfans.jpg</t>
  </si>
  <si>
    <t>https://doodstream.com/d/m9aoqidy3f6y/</t>
  </si>
  <si>
    <t>https://lulustream.com/d/9og8qy39ecwt</t>
  </si>
  <si>
    <t>#teen #blowjob #bigass #amateur</t>
  </si>
  <si>
    <t>https://thumb.tapecontent.net/thumb/2BaOvD8OariZY6y/bZ9xOpgXzkUPaz7.jpg</t>
  </si>
  <si>
    <t>Jamie Young - 88118699 - Onlyfans.jpg</t>
  </si>
  <si>
    <t>https://doodstream.com/d/wv4zfcwugw9z/</t>
  </si>
  <si>
    <t>https://lulustream.com/d/c8vfnxkucccj</t>
  </si>
  <si>
    <t>#blowjob #teen #bigass #brunette</t>
  </si>
  <si>
    <t>https://thumb.tapecontent.net/thumb/DkrgOly36VhGba/bzwxyx17OxsPgvB.jpg</t>
  </si>
  <si>
    <t>Jamie Young - 88859495 - Onlyfans.jpg</t>
  </si>
  <si>
    <t>https://doodstream.com/d/st12kao7d5tr/</t>
  </si>
  <si>
    <t>https://lulustream.com/d/6lumnujfe5yy</t>
  </si>
  <si>
    <t>https://thumb.tapecontent.net/thumb/z7obL3RK76CYAZX/Alq4eRqzM0uXylZ.jpg</t>
  </si>
  <si>
    <t>Jamie Young - 92950989 - Onlyfans.jpg</t>
  </si>
  <si>
    <t>https://doodstream.com/d/ood6e82gedjh/</t>
  </si>
  <si>
    <t>https://lulustream.com/d/mhji5azrlxk4</t>
  </si>
  <si>
    <t>https://thumb.tapecontent.net/thumb/jAYev0bJdrUg80/akQ101kakzSxvxz.jpg</t>
  </si>
  <si>
    <t>Jamie Young - 96691307 - Onlyfans.jpg</t>
  </si>
  <si>
    <t>https://doodstream.com/d/hcsqpuljjftl/</t>
  </si>
  <si>
    <t>https://lulustream.com/d/w6d4dq6sr1xk</t>
  </si>
  <si>
    <t>https://thumb.tapecontent.net/thumb/JYJV3zbJJbSj04z/1WeoKdLLdrce4VL.jpg</t>
  </si>
  <si>
    <t>Jane Wilde - 74586510 - ripnsfw.com.jpg</t>
  </si>
  <si>
    <t>https://doodstream.com/d/sebsn33te5de/</t>
  </si>
  <si>
    <t>https://lulustream.com/d/4hj59jf1nb7e</t>
  </si>
  <si>
    <t>#Hardcore, #Bigass, #Teen, #Blowjob, #Amateur, #Deepthroat, #Facial</t>
  </si>
  <si>
    <t>#Hardcore #Bigass #Teen #Blowjob #Amateur #Deepthroat #Facial</t>
  </si>
  <si>
    <t>https://thumb.tapecontent.net/thumb/rb0mmmBx1MibvPL/1p0mzRb1B4Uea60.jpg</t>
  </si>
  <si>
    <t>Jane Wilde - 76008701 - ripnsfw.com.jpg</t>
  </si>
  <si>
    <t>https://doodstream.com/d/nrgvncoeyhl7/</t>
  </si>
  <si>
    <t>https://lulustream.com/d/eeeqfdymnnea</t>
  </si>
  <si>
    <t>#MILF, #Hardcore, #Bigass, #Blowjob, #Amateur, #Deepthroat</t>
  </si>
  <si>
    <t>#MILF #Hardcore #Bigass #Blowjob #Amateur #Deepthroat</t>
  </si>
  <si>
    <t>https://thumb.tapecontent.net/thumb/MY6QjZxjqWsBB8/1DRylrjJGDfd70.jpg</t>
  </si>
  <si>
    <t>Jenna Starr - 52331648 - Onlyfans.jpg</t>
  </si>
  <si>
    <t>https://doodstream.com/d/h6ttqelnvf24/</t>
  </si>
  <si>
    <t>https://lulustream.com/d/3f7jsybr3k1t</t>
  </si>
  <si>
    <t>https://thumb.tapecontent.net/thumb/ggOXOzVgKKfqDJO/pxkB89XrL9frO6X.jpg</t>
  </si>
  <si>
    <t>Jenna Starr - 87417242 - Onlyfans.jpg</t>
  </si>
  <si>
    <t>https://doodstream.com/d/r7cg0mo6xnu7/</t>
  </si>
  <si>
    <t>https://lulustream.com/d/0ef9j5998k6w</t>
  </si>
  <si>
    <t>#milf #bigtits #bigass #interracial</t>
  </si>
  <si>
    <t>https://thumb.tapecontent.net/thumb/Xq8K4dae6jsDD7D/l06R6jbDYQc7QXG.jpg</t>
  </si>
  <si>
    <t>Jessica Starling - 32235557 - ripnsfw.com.jpg</t>
  </si>
  <si>
    <t>https://doodstream.com/d/kkfx9j9myocu/</t>
  </si>
  <si>
    <t>https://lulustream.com/d/mq8j2sho12uz</t>
  </si>
  <si>
    <t>#BigTits, #Hardcore, #Black, #Interracial, #Bigass, #Porn, #Teen, #Blowjob, #Deepthroat, #Blonde, #Facial</t>
  </si>
  <si>
    <t>#BigTits #Hardcore #Black #Interracial #Bigass #Porn #Teen #Blowjob #Deepthroat #Blonde</t>
  </si>
  <si>
    <t>https://thumb.tapecontent.net/thumb/ykAwlBQVPMIyDB/JJY34XWwLJFj8je.jpg</t>
  </si>
  <si>
    <t>Jessica Starling - 34422315 - ripnsfw.com.jpg</t>
  </si>
  <si>
    <t>https://doodstream.com/d/extsv39k9k5e/</t>
  </si>
  <si>
    <t>https://lulustream.com/d/nynr85ghcisf</t>
  </si>
  <si>
    <t>#Anal, #BigTits, #Creampie, #Hardcore, #Bigass, #Teen, #Blowjob, #Amateur, #Deepthroat</t>
  </si>
  <si>
    <t>#Anal #BigTits #Creampie #Hardcore #Bigass #Teen #Blowjob #Amateur</t>
  </si>
  <si>
    <t>https://thumb.tapecontent.net/thumb/Ly8pxrdwykI7Jg/0dOLjVO0xRUblwr.jpg</t>
  </si>
  <si>
    <t>Jessica Starling - 43868467 - ripnsfw.com.jpg</t>
  </si>
  <si>
    <t>https://doodstream.com/d/a9uyyvir9psf/</t>
  </si>
  <si>
    <t>https://lulustream.com/d/ya8n440rb4jw</t>
  </si>
  <si>
    <t>https://thumb.tapecontent.net/thumb/yd0vrm4MMzs1zle/X1xZ8MvYoruD8Jv.jpg</t>
  </si>
  <si>
    <t>Jessica Starling - 79453596 - ripnsfw.com.jpg</t>
  </si>
  <si>
    <t>https://doodstream.com/d/d13m12nbbt8a/</t>
  </si>
  <si>
    <t>https://lulustream.com/d/0bmu9s51i4v5</t>
  </si>
  <si>
    <t>#Anal, #BigTits, #Creampie, #Hardcore, #Bigass, #Teen, #Blowjob, #Amateur, #Blonde, #Deepthroat</t>
  </si>
  <si>
    <t>#Anal #BigTits #Creampie #Hardcore #Bigass #Teen #Blowjob</t>
  </si>
  <si>
    <t>https://thumb.tapecontent.net/thumb/YqzrAVyGDVuvMom/wDQgXMOY3qcJzz8.jpg</t>
  </si>
  <si>
    <t>Jessie Rogers - 10648497 - Onlyfans.jpg</t>
  </si>
  <si>
    <t>https://doodstream.com/d/jzaerifv7tan/</t>
  </si>
  <si>
    <t>https://lulustream.com/d/losqdpug1d6l</t>
  </si>
  <si>
    <t>https://thumb.tapecontent.net/thumb/gPO7myVywpCqWBA/jgMj3dKRZmCzWWk.jpg</t>
  </si>
  <si>
    <t>Jessie Rogers - 11640804 - Onlyfans.jpg</t>
  </si>
  <si>
    <t>https://doodstream.com/d/zlgp8yyru8cl/</t>
  </si>
  <si>
    <t>https://lulustream.com/d/14i3s5nfh9t1</t>
  </si>
  <si>
    <t>https://thumb.tapecontent.net/thumb/wgxa1OMA0BIJOlW/6wX4dJdKozsl2d.jpg</t>
  </si>
  <si>
    <t>Jessie Rogers - 13653644 - Onlyfans.jpg</t>
  </si>
  <si>
    <t>https://doodstream.com/d/3uflyqxtqsx0/</t>
  </si>
  <si>
    <t>https://lulustream.com/d/enku4im9cizy</t>
  </si>
  <si>
    <t>https://thumb.tapecontent.net/thumb/jYkWkYp3wVtzZ19/0Ro7K9Gmgpfb1zq.jpg</t>
  </si>
  <si>
    <t>Jessie Rogers - 14908342 - NewSensations.jpg</t>
  </si>
  <si>
    <t>https://doodstream.com/d/59ch98uwuped/</t>
  </si>
  <si>
    <t>https://lulustream.com/d/5w7ribny22rn</t>
  </si>
  <si>
    <t>#milf #blowjob #porn #bigass</t>
  </si>
  <si>
    <t>https://thumb.tapecontent.net/thumb/mllggqPRPos6Mr/41L8m6YQxDSKYjW.jpg</t>
  </si>
  <si>
    <t>Jessie Rogers - 20897311 - PPV.jpg</t>
  </si>
  <si>
    <t>https://doodstream.com/d/8bhl9o5dntp9/</t>
  </si>
  <si>
    <t>https://lulustream.com/d/2qhf7nr01wqg</t>
  </si>
  <si>
    <t>https://thumb.tapecontent.net/thumb/9XqZ86P4LbUaeY3/pbODJM4kagcrdY0.jpg</t>
  </si>
  <si>
    <t>Jessie Rogers - 22580865 - Onlyfans.jpg</t>
  </si>
  <si>
    <t>https://doodstream.com/d/vwlueisdok43/</t>
  </si>
  <si>
    <t>https://lulustream.com/d/80lf8shm7b5q</t>
  </si>
  <si>
    <t>https://thumb.tapecontent.net/thumb/WbBqma2Q7XCb3wx/pY9DRR8LJ9TWwQ.jpg</t>
  </si>
  <si>
    <t>Jessie Rogers - 23206176 - PC.jpg</t>
  </si>
  <si>
    <t>https://doodstream.com/d/wf2psnicdm8y/</t>
  </si>
  <si>
    <t>https://lulustream.com/d/3ruyjh4s9grd</t>
  </si>
  <si>
    <t>#anal #milf #bigtits #bigass</t>
  </si>
  <si>
    <t>https://thumb.tapecontent.net/thumb/J06o1MZYa0CjWmb/74PPp1Y3PmIAKr1.jpg</t>
  </si>
  <si>
    <t>Jessie Rogers - 23837155 - BlackedRaw.jpg</t>
  </si>
  <si>
    <t>https://doodstream.com/d/ns8vasixddvq/</t>
  </si>
  <si>
    <t>https://lulustream.com/d/ehfiysg0uk7j</t>
  </si>
  <si>
    <t>#milf #bigtits #interracial #bigass</t>
  </si>
  <si>
    <t>https://thumb.tapecontent.net/thumb/rdvdzkLdjbUbmqp/02km2RKB7dUeq8.jpg</t>
  </si>
  <si>
    <t>Jessie Rogers - 25028555 - Onlyfans - Tommy King.jpg</t>
  </si>
  <si>
    <t>https://doodstream.com/d/09piocc6sxqz/</t>
  </si>
  <si>
    <t>https://lulustream.com/d/p3bdes8hx371</t>
  </si>
  <si>
    <t>https://thumb.tapecontent.net/thumb/el9P7QdqRwimyX/pMYv9KQPWkSrkoo.jpg</t>
  </si>
  <si>
    <t>Jessie Rogers - 27969728 - Mylf.jpg</t>
  </si>
  <si>
    <t>https://doodstream.com/d/c33zy6aev2bn/</t>
  </si>
  <si>
    <t>https://lulustream.com/d/2w9yid4ielh5</t>
  </si>
  <si>
    <t>#MILF, #BigTits, #Hardcore, #Bigass, #Porn, #Latina, #Stepmom, #Blowjob, #Hotwife, #Deepthroat, #Blonde, #Facial</t>
  </si>
  <si>
    <t>#MILF #BigTits #Hardcore #Bigass #Porn #Latina #Stepmom #Blowjob #Hotwife</t>
  </si>
  <si>
    <t>https://thumb.tapecontent.net/thumb/bjAkr9lQOOhLo9/ZjQPq47dJOsg9y.jpg</t>
  </si>
  <si>
    <t>Jessie Rogers - 29227295 - MPF.jpg</t>
  </si>
  <si>
    <t>https://doodstream.com/d/7il96nm6t6zf/</t>
  </si>
  <si>
    <t>https://lulustream.com/d/avlpfrh6vx15</t>
  </si>
  <si>
    <t>https://thumb.tapecontent.net/thumb/Qgbmm393aes0PgJ/bzZxzZxD7Bidjb.jpg</t>
  </si>
  <si>
    <t>Jessie Rogers - 30802683 - EvilAngel.jpg</t>
  </si>
  <si>
    <t>https://doodstream.com/d/8ll5uoag21rb/</t>
  </si>
  <si>
    <t>https://lulustream.com/d/ig1y9agczz9f</t>
  </si>
  <si>
    <t>https://thumb.tapecontent.net/thumb/wZYXGDYgljIJ9g8/l4KY7wjAJRt78BX.jpg</t>
  </si>
  <si>
    <t>Jessie Rogers - 30904958 - JulesJordan.jpg</t>
  </si>
  <si>
    <t>https://doodstream.com/d/2f5x3v903w4s/</t>
  </si>
  <si>
    <t>https://lulustream.com/d/rayhaf3100r6</t>
  </si>
  <si>
    <t>https://thumb.tapecontent.net/thumb/KyzbZ3GlWMs0xpk/wz44x4dajMUJyor.jpg</t>
  </si>
  <si>
    <t>Jessie Rogers - 32575602 - Fansly.jpg</t>
  </si>
  <si>
    <t>https://doodstream.com/d/axjeo2uno6mk/</t>
  </si>
  <si>
    <t>https://lulustream.com/d/qefp33yb2o9x</t>
  </si>
  <si>
    <t>https://thumb.tapecontent.net/thumb/wa77pe1PJyCJkKK/GpqZbQQLwot1LYj.jpg</t>
  </si>
  <si>
    <t>Jessie Rogers - 32870489 - Onlyfans.jpg</t>
  </si>
  <si>
    <t>https://doodstream.com/d/cq1udx9moc2k/</t>
  </si>
  <si>
    <t>https://lulustream.com/d/n2yfnhk4a283</t>
  </si>
  <si>
    <t>#milf #anal #bigtits #bigass</t>
  </si>
  <si>
    <t>https://thumb.tapecontent.net/thumb/ea1GX6w1pYUYPld/djAKkqw6ebhP9D.jpg</t>
  </si>
  <si>
    <t>Jessie Rogers - 38320444 - JSTV.jpg</t>
  </si>
  <si>
    <t>https://doodstream.com/d/91qin3l7c1kj/</t>
  </si>
  <si>
    <t>https://lulustream.com/d/zo1y3phcsnby</t>
  </si>
  <si>
    <t>#anal #bigass #bigtits #interracial</t>
  </si>
  <si>
    <t>https://thumb.tapecontent.net/thumb/GX9WgpZGmxT1egd/gl9a76DvMrTqMwA.jpg</t>
  </si>
  <si>
    <t>Jessie Rogers - 38677225 - Onlyfans.jpg</t>
  </si>
  <si>
    <t>https://doodstream.com/d/mnxijrxaz7pz/</t>
  </si>
  <si>
    <t>https://lulustream.com/d/59j1remf74ej</t>
  </si>
  <si>
    <t>https://thumb.tapecontent.net/thumb/6pQXRxdvz8ueBz/MPGrk77vd3t0bQ.jpg</t>
  </si>
  <si>
    <t>Jessie Rogers - 45681547 - Onlyfans.jpg</t>
  </si>
  <si>
    <t>https://doodstream.com/d/eqgdg6savno9/</t>
  </si>
  <si>
    <t>https://lulustream.com/d/wpzbmfbaoohu</t>
  </si>
  <si>
    <t>#blowjob #milf #bigtits #bigass</t>
  </si>
  <si>
    <t>https://thumb.tapecontent.net/thumb/LXzbmOdwY8faaW/Z2XaW0AQ1muqLQK.jpg</t>
  </si>
  <si>
    <t>Jessie Rogers - 46655415 - Onlyfans.jpg</t>
  </si>
  <si>
    <t>https://doodstream.com/d/blhb05iyqdp2/</t>
  </si>
  <si>
    <t>https://lulustream.com/d/eb2eff3i7exd</t>
  </si>
  <si>
    <t>#MILF, #BigTits, #Hardcore, #Bigass, #Latina, #Blowjob, #Stepmom, #Amateur, #Hotwife, #Deepthroat, #Blonde</t>
  </si>
  <si>
    <t>#MILF #BigTits #Hardcore #Bigass #Latina</t>
  </si>
  <si>
    <t>https://thumb.tapecontent.net/thumb/P3DV4bk6vdfx73/M7o6j2j9ORum3WL.jpg</t>
  </si>
  <si>
    <t>Jessie Rogers - 52486299 - Onlyfans.jpg</t>
  </si>
  <si>
    <t>https://doodstream.com/d/mqv380qaepvh/</t>
  </si>
  <si>
    <t>https://lulustream.com/d/ag094ez03oc8</t>
  </si>
  <si>
    <t>https://thumb.tapecontent.net/thumb/R7vAmVodxdUdvGD/3WWKdjdDgRtdgbW.jpg</t>
  </si>
  <si>
    <t>Jessie Rogers - 52589270 - ripnsfw.com.jpg</t>
  </si>
  <si>
    <t>https://doodstream.com/d/gpiu7sp0fxd3/</t>
  </si>
  <si>
    <t>https://lulustream.com/d/hzcfmli43850</t>
  </si>
  <si>
    <t>#MILF, #BigTits, #Hardcore, #Black, #Interracial, #Bigass, #Porn, #Latina, #Blowjob, #Deepthroat, #Blonde</t>
  </si>
  <si>
    <t>#MILF #BigTits #Hardcore #Black #Interracial #Bigass #Porn #Latina</t>
  </si>
  <si>
    <t>https://thumb.tapecontent.net/thumb/BB6Y2mOXPvSyB3O/voBP1YrRJvUaBo.jpg</t>
  </si>
  <si>
    <t>Jessie Rogers - 52690104 - Tushy.jpg</t>
  </si>
  <si>
    <t>https://doodstream.com/d/zk9ge0h48vhz/</t>
  </si>
  <si>
    <t>https://lulustream.com/d/vzqm0k0oklxx</t>
  </si>
  <si>
    <t>#anal #milf #bigass #bigtits</t>
  </si>
  <si>
    <t>https://thumb.tapecontent.net/thumb/KPAY2GggjzH0O8W/bkDlxJk6PJIPP6j.jpg</t>
  </si>
  <si>
    <t>Jessie Rogers - 57572969 - TMW.jpg</t>
  </si>
  <si>
    <t>https://doodstream.com/d/ndhdght17u82/</t>
  </si>
  <si>
    <t>https://lulustream.com/d/vkmey7qcqbxq</t>
  </si>
  <si>
    <t>https://thumb.tapecontent.net/thumb/kWPaArjmZOUOdOm/X2rBQzM4lycDV1A.jpg</t>
  </si>
  <si>
    <t>Jessie Rogers - 58009051 - Onlyfans.jpg</t>
  </si>
  <si>
    <t>https://doodstream.com/d/uz7oez73rade/</t>
  </si>
  <si>
    <t>https://lulustream.com/d/py2ohol5uowk</t>
  </si>
  <si>
    <t>#milf #bigtits #hardcore #black</t>
  </si>
  <si>
    <t>https://thumb.tapecontent.net/thumb/kDZVYWe34BCOVvx/bqr1vmvRgAuQxG.jpg</t>
  </si>
  <si>
    <t>Jessie Rogers - 64518286 - Onlyfans.jpg</t>
  </si>
  <si>
    <t>https://doodstream.com/d/6y89fdbb3au4/</t>
  </si>
  <si>
    <t>https://lulustream.com/d/onwmervp2zab</t>
  </si>
  <si>
    <t>#milf #bigass #bigtits #pool</t>
  </si>
  <si>
    <t>https://thumb.tapecontent.net/thumb/xOVDW8bPgWikb2d/JA499GbDVqfjDQB.jpg</t>
  </si>
  <si>
    <t>Jessie Rogers - 67186969 - Onlyfans.jpg</t>
  </si>
  <si>
    <t>https://doodstream.com/d/tur0mckezxc9/</t>
  </si>
  <si>
    <t>https://lulustream.com/d/60a1ttfyijhh</t>
  </si>
  <si>
    <t>#Anal, #MILF, #BigTits, #Hardcore, #Black, #Interracial, #Bigass, #Porn, #Latina, #Stepmom, #Blowjob, #Hotwife, #Deepthroat, #Blonde</t>
  </si>
  <si>
    <t>#Anal #MILF #BigTits #Hardcore #Black #Interracial #Bigass</t>
  </si>
  <si>
    <t>https://thumb.tapecontent.net/thumb/koka77OqdwiOx4z/eoYvQvK7m3iYYGk.jpg</t>
  </si>
  <si>
    <t>Jessie Rogers - 71295357 - Onlyfans.jpg</t>
  </si>
  <si>
    <t>https://doodstream.com/d/gva3kils6zlz/</t>
  </si>
  <si>
    <t>https://lulustream.com/d/celbs46xbu9l</t>
  </si>
  <si>
    <t>https://thumb.tapecontent.net/thumb/8XBq7rl4lBFXPp/Pr4LDAAYxlS0QKq.jpg</t>
  </si>
  <si>
    <t>Jessie Rogers - 72664390 - Onlyfans.jpg</t>
  </si>
  <si>
    <t>https://doodstream.com/d/eoqpma24365o/</t>
  </si>
  <si>
    <t>https://lulustream.com/d/faxjox6f3yoz</t>
  </si>
  <si>
    <t>#milf #interracial #bigtits #bigass</t>
  </si>
  <si>
    <t>https://thumb.tapecontent.net/thumb/dpbaxqzQBlckkJD/3xWyQLK1M4ido4l.jpg</t>
  </si>
  <si>
    <t>Jessie Rogers - 78269518 - Onlyfans.jpg</t>
  </si>
  <si>
    <t>https://doodstream.com/d/y8c3v7uuliht/</t>
  </si>
  <si>
    <t>https://lulustream.com/d/d6ulih3epqjb</t>
  </si>
  <si>
    <t>https://thumb.tapecontent.net/thumb/rrjoAprGLPcbbRy/q3gKMQ4R7Khz8XO.jpg</t>
  </si>
  <si>
    <t>Jessie Rogers - 79785667 - Evil Angel.jpg</t>
  </si>
  <si>
    <t>https://doodstream.com/d/nuzb3o7jfqab/</t>
  </si>
  <si>
    <t>https://lulustream.com/d/eqvd9fu3rqv3</t>
  </si>
  <si>
    <t>#milf #doublepenetration #anal #bigass</t>
  </si>
  <si>
    <t>https://thumb.tapecontent.net/thumb/DlXKLGW81JSkkm3/qx1ZvZYvJGCzpbd.jpg</t>
  </si>
  <si>
    <t>Jessie Rogers - 84263564 - Onlyfans.jpg</t>
  </si>
  <si>
    <t>https://doodstream.com/d/3xfcskoayz6i/</t>
  </si>
  <si>
    <t>https://lulustream.com/d/3h80vhtq1hpv</t>
  </si>
  <si>
    <t>https://thumb.tapecontent.net/thumb/X2YvmBBa9khDex7/02xVrgmVQBIbP9x.jpg</t>
  </si>
  <si>
    <t>Jessie Rogers - 87103916 - Onlyfans - Violet Myers.jpg</t>
  </si>
  <si>
    <t>https://doodstream.com/d/e3p386vhr02j/</t>
  </si>
  <si>
    <t>https://lulustream.com/d/kimozw1tpgcs</t>
  </si>
  <si>
    <t>https://thumb.tapecontent.net/thumb/g1OWOkBO1jiq1zm/06J84qg3QLhbqbL.jpg</t>
  </si>
  <si>
    <t>Jessie Rogers - 89289006 - Mylf.jpg</t>
  </si>
  <si>
    <t>https://doodstream.com/d/4l2rrmd2znk4/</t>
  </si>
  <si>
    <t>https://lulustream.com/d/fvlw9wtsqn1w</t>
  </si>
  <si>
    <t>https://thumb.tapecontent.net/thumb/vW18Dj7beBF411d/pYq3zpGZK9SB1v.jpg</t>
  </si>
  <si>
    <t>Jessie Rogers - 92786766 - HardX.jpg</t>
  </si>
  <si>
    <t>https://doodstream.com/d/vjmwyb4xxuik/</t>
  </si>
  <si>
    <t>https://lulustream.com/d/f2d5gqraizbd</t>
  </si>
  <si>
    <t>#anal #bigtits #milf #bigass</t>
  </si>
  <si>
    <t>https://thumb.tapecontent.net/thumb/YGRxbQz7VdFBl1/jAG1qBk3mWHzyJl.jpg</t>
  </si>
  <si>
    <t>Jessie Rogers - 94536611 - Onlyfans.jpg</t>
  </si>
  <si>
    <t>https://doodstream.com/d/x61mp7gmx6p7/</t>
  </si>
  <si>
    <t>https://lulustream.com/d/6rarqk2niyj0</t>
  </si>
  <si>
    <t>#milf #bigass #bigtits #blonde</t>
  </si>
  <si>
    <t>https://thumb.tapecontent.net/thumb/3DD1pppzxdhdgzR/VWkm2B1Y3xTxp6.jpg</t>
  </si>
  <si>
    <t>Jessie Rogers - 98919097 - Elegant Angel.jpg</t>
  </si>
  <si>
    <t>https://doodstream.com/d/wystdx52ykr5/</t>
  </si>
  <si>
    <t>https://lulustream.com/d/3dahty829kdw</t>
  </si>
  <si>
    <t>https://thumb.tapecontent.net/thumb/We3e9LrqGMSWA1/kKWOMkZRrqUOlWa.jpg</t>
  </si>
  <si>
    <t>Jessie Rogers - 99017284 - Onlyfans - Lola Rose.jpg</t>
  </si>
  <si>
    <t>https://doodstream.com/d/hsb7sx3q7zo1/</t>
  </si>
  <si>
    <t>https://lulustream.com/d/49rg49w45x9c</t>
  </si>
  <si>
    <t>#threesome #bigtits #bigass #milf</t>
  </si>
  <si>
    <t>https://thumb.tapecontent.net/thumb/PrMqYV10Y2c04A6/VoZ4dq30q9UKW07.jpg</t>
  </si>
  <si>
    <t>Jessie Rogers - 99753692 - HGR.jpg</t>
  </si>
  <si>
    <t>https://doodstream.com/d/gn38tg40ze79/</t>
  </si>
  <si>
    <t>https://lulustream.com/d/uww7nycxc6sf</t>
  </si>
  <si>
    <t>https://thumb.tapecontent.net/thumb/gr1A08jojBUYlr/0zjbg7lvp3sbdp3.jpg</t>
  </si>
  <si>
    <t>Jewelz Blu - 03348831 - XVRED.jpg</t>
  </si>
  <si>
    <t>https://doodstream.com/d/6jx4cu9xh3ou/</t>
  </si>
  <si>
    <t>https://lulustream.com/d/jpgouz8gojvt</t>
  </si>
  <si>
    <t>#anal #milf #bigtits #hardcore</t>
  </si>
  <si>
    <t>https://thumb.tapecontent.net/thumb/PbdX0zBo8VI0KzX/A3l3JB7qxPImXM.jpg</t>
  </si>
  <si>
    <t>Jewelz Blu - 10839415 - ripnsfw.com.jpg</t>
  </si>
  <si>
    <t>https://doodstream.com/d/q6povpr7ssd8/</t>
  </si>
  <si>
    <t>https://lulustream.com/d/c5j2zl1cxmmw</t>
  </si>
  <si>
    <t>#MILF, #BigTits, #Hardcore, #Bigass, #Blowjob, #Amateur, #Deepthroat, #Facial</t>
  </si>
  <si>
    <t>https://thumb.tapecontent.net/thumb/OVby94P3Bwf6K1/dgoAkqawWKIkOX2.jpg</t>
  </si>
  <si>
    <t>Jewelz Blu - 12758288 - Onlyfans.jpg</t>
  </si>
  <si>
    <t>https://doodstream.com/d/n792ri8g9v8u/</t>
  </si>
  <si>
    <t>https://lulustream.com/d/l92c0lvaxt9v</t>
  </si>
  <si>
    <t>https://thumb.tapecontent.net/thumb/4vvRlgoPQPFKPRW/Lv86gVLzMwfRBl4.jpg</t>
  </si>
  <si>
    <t>Jewelz Blu - 14290187 - DL.jpg</t>
  </si>
  <si>
    <t>https://doodstream.com/d/slh3a6v7d6iq/</t>
  </si>
  <si>
    <t>https://lulustream.com/d/ewnh8cs3hw12</t>
  </si>
  <si>
    <t>#MILF, #BigTits, #Creampie, #Hardcore, #Threesome, #Bigass, #Porn, #Blowjob, #Deepthroat</t>
  </si>
  <si>
    <t>#MILF #BigTits #Creampie #Hardcore #Threesome</t>
  </si>
  <si>
    <t>https://thumb.tapecontent.net/thumb/l26Bk1Wqd4H7Y3q/2KamAAB99QsZ91D.jpg</t>
  </si>
  <si>
    <t>Jewelz Blu - 15090517 - XVRED.jpg</t>
  </si>
  <si>
    <t>https://doodstream.com/d/fca9d9n926cz/</t>
  </si>
  <si>
    <t>https://lulustream.com/d/gt21c8hsil1d</t>
  </si>
  <si>
    <t>#milf #bigtits #hardcore #porn</t>
  </si>
  <si>
    <t>https://thumb.tapecontent.net/thumb/wGabXjep0rtVk0/v96w1A84z0TL0p.jpg</t>
  </si>
  <si>
    <t>Jewelz Blu - 15848151 - ripnsfw.com.jpg</t>
  </si>
  <si>
    <t>https://doodstream.com/d/vktfg1pbt2gk/</t>
  </si>
  <si>
    <t>https://lulustream.com/d/dbfune560sdl</t>
  </si>
  <si>
    <t>#MILF, #BigTits, #Creampie, #Hardcore, #Bigass, #Blowjob, #Amateur, #Deepthroat</t>
  </si>
  <si>
    <t>https://thumb.tapecontent.net/thumb/VBV7Z1vKzWIOJx/RpPb70ld1WSdOvz.jpg</t>
  </si>
  <si>
    <t>Jewelz Blu - 20027318 - XVRED.jpg</t>
  </si>
  <si>
    <t>https://doodstream.com/d/q2q30866mkot/</t>
  </si>
  <si>
    <t>https://lulustream.com/d/lwwsdqz2dkng</t>
  </si>
  <si>
    <t>https://thumb.tapecontent.net/thumb/Y7PqdMz96pSpV0/ZkqYG6xw8XsgGo.jpg</t>
  </si>
  <si>
    <t>Jewelz Blu - 20774899 - Onlyfans.jpg</t>
  </si>
  <si>
    <t>https://doodstream.com/d/x2jt5xo886i0/</t>
  </si>
  <si>
    <t>https://lulustream.com/d/4ca486qglbh8</t>
  </si>
  <si>
    <t>https://thumb.tapecontent.net/thumb/LM8qx71aa1uR00B/VOgydJxY6XFKMqR.jpg</t>
  </si>
  <si>
    <t>Jewelz Blu - 23674481 - ripnsfw.com.jpg</t>
  </si>
  <si>
    <t>https://doodstream.com/d/z80osgpyzsn3/</t>
  </si>
  <si>
    <t>https://lulustream.com/d/k040tue07ld1</t>
  </si>
  <si>
    <t>#MILF, #BigTits, #Hardcore, #Bigass, #Roleplay, #Blowjob, #Amateur, #Deepthroat, #Facial</t>
  </si>
  <si>
    <t>#MILF #BigTits #Hardcore #Bigass #Roleplay #Blowjob</t>
  </si>
  <si>
    <t>https://thumb.tapecontent.net/thumb/K0XlAwjrOLS0QO2/AL8MezRjQaIGL3.jpg</t>
  </si>
  <si>
    <t>Jewelz Blu - 24941599 - Onlyfans.jpg</t>
  </si>
  <si>
    <t>https://doodstream.com/d/dhvoj348w3fi/</t>
  </si>
  <si>
    <t>https://lulustream.com/d/igq1ia8qalyx</t>
  </si>
  <si>
    <t>#MILF, #BigTits, #Creampie, #Hardcore, #Bigass, #Blowjob, #Amateur</t>
  </si>
  <si>
    <t>https://thumb.tapecontent.net/thumb/OkQgRa4DzJt132/mqlJpBKPJjcbK2j.jpg</t>
  </si>
  <si>
    <t>Jewelz Blu - 27017887 - XVRED.jpg</t>
  </si>
  <si>
    <t>https://doodstream.com/d/7t5q26x20nin/</t>
  </si>
  <si>
    <t>https://lulustream.com/d/j7h8a6gx4pss</t>
  </si>
  <si>
    <t>https://thumb.tapecontent.net/thumb/RyxV9B8k0gfddD8/0V2M4Q1qm1Hbyx4.jpg</t>
  </si>
  <si>
    <t>Jewelz Blu - 27463836 - ripnsfw.com.jpg</t>
  </si>
  <si>
    <t>https://doodstream.com/d/yd1hk8th1yry/</t>
  </si>
  <si>
    <t>https://lulustream.com/d/qxqd8iec97g7</t>
  </si>
  <si>
    <t>#MILF, #BigTits, #Hardcore, #Black, #Interracial, #Bigass, #Blowjob, #Amateur, #Deepthroat, #Facial</t>
  </si>
  <si>
    <t>#MILF #BigTits #Hardcore #Black #Interracial #Bigass</t>
  </si>
  <si>
    <t>https://thumb.tapecontent.net/thumb/P9BDYWjXDKi04PD/4GZxly3RDYIKjLJ.jpg</t>
  </si>
  <si>
    <t>Jewelz Blu - 27488131 - FamilyTherapy.jpg</t>
  </si>
  <si>
    <t>https://doodstream.com/d/7d1a66vxlquo/</t>
  </si>
  <si>
    <t>https://lulustream.com/d/2z5xemnlug82</t>
  </si>
  <si>
    <t>#milf #bigtits #blowjob #facial</t>
  </si>
  <si>
    <t>https://thumb.tapecontent.net/thumb/9ve3wl9bJySawAy/AAAW0BbmB1IXMPJ.jpg</t>
  </si>
  <si>
    <t>Jewelz Blu - 27700665 - Onlyfans.jpg</t>
  </si>
  <si>
    <t>https://doodstream.com/d/9apllhm0rrko/</t>
  </si>
  <si>
    <t>https://lulustream.com/d/ltnk08zjjcki</t>
  </si>
  <si>
    <t>#milf #blowjob #interracial #bigtits</t>
  </si>
  <si>
    <t>https://thumb.tapecontent.net/thumb/g3DJ0XKJXdhqbRD/Dq2PP3o0JJckpwK.jpg</t>
  </si>
  <si>
    <t>Jewelz Blu - 28736983 - Onlyfans.jpg</t>
  </si>
  <si>
    <t>https://doodstream.com/d/e03yscuf9enj/</t>
  </si>
  <si>
    <t>https://lulustream.com/d/xrkq08lqal2z</t>
  </si>
  <si>
    <t>#MILF, #BigTits, #Creampie, #Hardcore, #Bigass, #Artporn, #Amateur, #Deepthroat</t>
  </si>
  <si>
    <t>#MILF #BigTits #Creampie #Hardcore #Bigass #Artporn</t>
  </si>
  <si>
    <t>https://thumb.tapecontent.net/thumb/1bx1m6VPdYSekz6/6b4BevxbV9ulb3.jpg</t>
  </si>
  <si>
    <t>Jewelz Blu - 30487695 - Onlyfans.jpg</t>
  </si>
  <si>
    <t>https://doodstream.com/d/a4lw3n1xkf2o/</t>
  </si>
  <si>
    <t>https://lulustream.com/d/wjamdwx11sbn</t>
  </si>
  <si>
    <t>https://thumb.tapecontent.net/thumb/1PbpJRPlmzfePBd/2aWB4zreQ1HZ3d4.jpg</t>
  </si>
  <si>
    <t>Jewelz Blu - 30652345 - Onlyfans.jpg</t>
  </si>
  <si>
    <t>https://doodstream.com/d/n69zr8asaqt1/</t>
  </si>
  <si>
    <t>https://lulustream.com/d/g9cb1pppbc0a</t>
  </si>
  <si>
    <t>https://thumb.tapecontent.net/thumb/GpLo93rVMpi1pD0/PDGXvMwZ8pHAlA.jpg</t>
  </si>
  <si>
    <t>Jewelz Blu - 30969940 - FCP.jpg</t>
  </si>
  <si>
    <t>https://doodstream.com/d/7vyk7tt1ws0p/</t>
  </si>
  <si>
    <t>https://lulustream.com/d/759td9jv8ygk</t>
  </si>
  <si>
    <t>https://thumb.tapecontent.net/thumb/VGmz6MoQAXHK1e3/QK3VeJJGO6u0XJK.jpg</t>
  </si>
  <si>
    <t>Jewelz Blu - 31562178 - XVRED.jpg</t>
  </si>
  <si>
    <t>https://doodstream.com/d/eput9z2g9t18/</t>
  </si>
  <si>
    <t>https://lulustream.com/d/twmygrnvi4zb</t>
  </si>
  <si>
    <t>#MILF, #BigTits, #Bigass, #Roleplay, #Blowjob, #Amateur, #Deepthroat, #Facial</t>
  </si>
  <si>
    <t>#MILF #BigTits #Bigass #Roleplay #Blowjob</t>
  </si>
  <si>
    <t>https://thumb.tapecontent.net/thumb/mDP0xWRz62HbKKB/xkeW7B4WOGflmK.jpg</t>
  </si>
  <si>
    <t>Jewelz Blu - 32850979 - XVRED.jpg</t>
  </si>
  <si>
    <t>https://doodstream.com/d/fdo0vkfrmpp5/</t>
  </si>
  <si>
    <t>https://lulustream.com/d/auvdv44nurgu</t>
  </si>
  <si>
    <t>https://thumb.tapecontent.net/thumb/k0Ro7MWD12IOwrM/k3VLkLmRRLcO7vl.jpg</t>
  </si>
  <si>
    <t>Jewelz Blu - 34265757 - Onlyfans.jpg</t>
  </si>
  <si>
    <t>https://doodstream.com/d/2cpmrjno8vxn/</t>
  </si>
  <si>
    <t>https://lulustream.com/d/gxl01ifrordi</t>
  </si>
  <si>
    <t>#milf #bigtits #bigass #threesome</t>
  </si>
  <si>
    <t>https://thumb.tapecontent.net/thumb/eVvW0d2OpdhYvlV/Qe78X0ZMbdiyGQ.jpg</t>
  </si>
  <si>
    <t>Jewelz Blu - 34444545 - ripnsfw.com.jpg</t>
  </si>
  <si>
    <t>https://doodstream.com/d/l6k3drp9op4j/</t>
  </si>
  <si>
    <t>https://lulustream.com/d/2gupoew9ych6</t>
  </si>
  <si>
    <t>#MILF #BigTits #Hardcore #Black #Interracial #Bigass #Blowjob #Amateur</t>
  </si>
  <si>
    <t>https://thumb.tapecontent.net/thumb/z696bWWWx8TYMP6/zkAbybxBQAtYA3x.jpg</t>
  </si>
  <si>
    <t>Jewelz Blu - 35535447 - XVRED.jpg</t>
  </si>
  <si>
    <t>https://doodstream.com/d/l6e2aijp9dup/</t>
  </si>
  <si>
    <t>https://lulustream.com/d/1kq07wbunprl</t>
  </si>
  <si>
    <t>https://thumb.tapecontent.net/thumb/Wp0xevdQzYCpWP/bko4jyGml6HKjy.jpg</t>
  </si>
  <si>
    <t>Jewelz Blu - 36422262 - ripnsfw.com.jpg</t>
  </si>
  <si>
    <t>https://doodstream.com/d/sbmropkevtt6/</t>
  </si>
  <si>
    <t>https://lulustream.com/d/pr5ynbprs1w5</t>
  </si>
  <si>
    <t>#Anal, #MILF, #BigTits, #Creampie, #Hardcore, #Bigass, #Porn, #Blowjob, #Amateur, #Deepthroat</t>
  </si>
  <si>
    <t>#Anal #MILF #BigTits #Creampie #Hardcore #Bigass #Porn #Blowjob</t>
  </si>
  <si>
    <t>https://thumb.tapecontent.net/thumb/lOGqDb3dD2c7rz0/K40qjg0dbRc0mlB.jpg</t>
  </si>
  <si>
    <t>Jewelz Blu - 37745917 - Onlyfans.jpg</t>
  </si>
  <si>
    <t>https://doodstream.com/d/b2ymeldspfiz/</t>
  </si>
  <si>
    <t>https://lulustream.com/d/6g2kcuumkwcc</t>
  </si>
  <si>
    <t>https://thumb.tapecontent.net/thumb/Qak29jxWoqf0D16/lPMmOmayKAtvlL.jpg</t>
  </si>
  <si>
    <t>Jewelz Blu - 39366961 - Onlyfans.jpg</t>
  </si>
  <si>
    <t>https://doodstream.com/d/odslbwpxmv7h/</t>
  </si>
  <si>
    <t>https://lulustream.com/d/xrq6hxl7fft2</t>
  </si>
  <si>
    <t>https://thumb.tapecontent.net/thumb/oA7Vao2QDjIJyz9/Mx66OW43yQumJxv.jpg</t>
  </si>
  <si>
    <t>Jewelz Blu - 41229618 - XVRED.jpg</t>
  </si>
  <si>
    <t>https://doodstream.com/d/j4oppy7jrnjy/</t>
  </si>
  <si>
    <t>https://lulustream.com/d/dgs8iftkyarn</t>
  </si>
  <si>
    <t>#bigass #blowjob #milf #interracial</t>
  </si>
  <si>
    <t>https://thumb.tapecontent.net/thumb/9elV8MvBx2FaxBX/JWYjXVKKZlcGYw.jpg</t>
  </si>
  <si>
    <t>Jewelz Blu - 41266259 - ripnsfw.com.jpg</t>
  </si>
  <si>
    <t>https://doodstream.com/d/okx48ykcc6j2/</t>
  </si>
  <si>
    <t>https://lulustream.com/d/8pjsv394ncte</t>
  </si>
  <si>
    <t>#MILF #BigTits #Creampie #Hardcore #Bigass #Blowjob #Amateur #Deepthroat</t>
  </si>
  <si>
    <t>https://thumb.tapecontent.net/thumb/17ZvXzjdLpHeAkD/3kwjZ13PZDidqzO.jpg</t>
  </si>
  <si>
    <t>Jewelz Blu - 42869335 - ripnsfw.com.jpg</t>
  </si>
  <si>
    <t>https://doodstream.com/d/6curfocbrgia/</t>
  </si>
  <si>
    <t>https://lulustream.com/d/ka3onfa1g1m6</t>
  </si>
  <si>
    <t>https://thumb.tapecontent.net/thumb/OoYmVwb1z1uZVZm/qMMwdkq939sz3D0.jpg</t>
  </si>
  <si>
    <t>Jewelz Blu - 43064399 - ripnsfw.com.jpg</t>
  </si>
  <si>
    <t>https://doodstream.com/d/dmsihaf2qahv/</t>
  </si>
  <si>
    <t>https://lulustream.com/d/0h6kea9ag1yd</t>
  </si>
  <si>
    <t>https://thumb.tapecontent.net/thumb/Gka8bx1AZgtoPl/vobb4M3roqI4xv2.jpg</t>
  </si>
  <si>
    <t>Jewelz Blu - 43818937 - Onlyfans.jpg</t>
  </si>
  <si>
    <t>https://doodstream.com/d/ckh8n9b61dgs/</t>
  </si>
  <si>
    <t>https://lulustream.com/d/w4tbswq0mmhh</t>
  </si>
  <si>
    <t>#MILF, #BigTits, #Creampie, #Hardcore, #Bigass, #Roleplay, #Blowjob, #Amateur, #Deepthroat</t>
  </si>
  <si>
    <t>#MILF #BigTits #Creampie #Hardcore #Bigass #Roleplay #Blowjob #Amateur #Deepthroat</t>
  </si>
  <si>
    <t>https://thumb.tapecontent.net/thumb/796JZ91mgRsxxr/ePGoYvrgqzUYRZw.jpg</t>
  </si>
  <si>
    <t>Jewelz Blu - 44600385 - XVRED.jpg</t>
  </si>
  <si>
    <t>https://doodstream.com/d/yof0mtnzbrnl/</t>
  </si>
  <si>
    <t>https://lulustream.com/d/9hjitkqbdn7r</t>
  </si>
  <si>
    <t>https://thumb.tapecontent.net/thumb/dKKjDK4GPDCZKq/0RLkKzBZr4UgXP.jpg</t>
  </si>
  <si>
    <t>Jewelz Blu - 45114530 - ripnsfw.com.jpg</t>
  </si>
  <si>
    <t>https://doodstream.com/d/661a9sphu99r/</t>
  </si>
  <si>
    <t>https://lulustream.com/d/npsol25wr1sc</t>
  </si>
  <si>
    <t>https://thumb.tapecontent.net/thumb/y2r9YkwQZQS1qqK/oGwrMaQXXDFJQWp.jpg</t>
  </si>
  <si>
    <t>Jewelz Blu - 45536058 - ripnsfw.com - Haley Spades.jpg</t>
  </si>
  <si>
    <t>https://doodstream.com/d/7dzuaurvbici/</t>
  </si>
  <si>
    <t>https://lulustream.com/d/zjicly017rti</t>
  </si>
  <si>
    <t>#BigTits, #Hardcore, #Bigass, #Teen, #Roleplay, #Artporn, #Blowjob, #Amateur, #Blonde</t>
  </si>
  <si>
    <t>#BigTits #Hardcore #Bigass #Teen #Roleplay #Artporn #Blowjob #Amateur #Blonde</t>
  </si>
  <si>
    <t>https://thumb.tapecontent.net/thumb/m30rz674oqCbYQy/QP1LwoYOqAC0e22.jpg</t>
  </si>
  <si>
    <t>Jewelz Blu - 45802958 - Onlyfans.jpg</t>
  </si>
  <si>
    <t>https://doodstream.com/d/zghf038gvssr/</t>
  </si>
  <si>
    <t>https://lulustream.com/d/o419hspta35g</t>
  </si>
  <si>
    <t>#milf #bigtits #bigass #roleplay</t>
  </si>
  <si>
    <t>https://thumb.tapecontent.net/thumb/gLd2jXMjDaIJz9/Y64MmOk7DoCvDlr.jpg</t>
  </si>
  <si>
    <t>Jewelz Blu - 46115763 - XVRED.jpg</t>
  </si>
  <si>
    <t>https://doodstream.com/d/ll5ak9l1fwbv/</t>
  </si>
  <si>
    <t>https://lulustream.com/d/pwf99stubz0j</t>
  </si>
  <si>
    <t>#milf #bigass #bigtits #joi</t>
  </si>
  <si>
    <t>https://thumb.tapecontent.net/thumb/69w36vvXgAI9YjA/Bz8XxmA7bgsVW1.jpg</t>
  </si>
  <si>
    <t>Jewelz Blu - 48982150 - Onlyfans.jpg</t>
  </si>
  <si>
    <t>https://doodstream.com/d/ltjo7hng9v3b/</t>
  </si>
  <si>
    <t>https://lulustream.com/d/s017q29h3cq4</t>
  </si>
  <si>
    <t>https://thumb.tapecontent.net/thumb/94MAvqW08OiolX/wDW3D21Bblhlgq.jpg</t>
  </si>
  <si>
    <t>Jewelz Blu - 49589158 - NM.jpg</t>
  </si>
  <si>
    <t>https://doodstream.com/d/wyb34xpfp0ps/</t>
  </si>
  <si>
    <t>https://lulustream.com/d/6uba5bez22ht</t>
  </si>
  <si>
    <t>https://thumb.tapecontent.net/thumb/YLlaap4Z9KsvMLg/4x4XMKm9KDUpW3.jpg</t>
  </si>
  <si>
    <t>Jewelz Blu - 51031582 - EvilAngel.jpg</t>
  </si>
  <si>
    <t>https://doodstream.com/d/5yz3xwv9c3o6/</t>
  </si>
  <si>
    <t>https://lulustream.com/d/e0eflh069aco</t>
  </si>
  <si>
    <t>https://thumb.tapecontent.net/thumb/kbV0d0WQVySOgM7/voe7wWD42WI49zJ.jpg</t>
  </si>
  <si>
    <t>Jewelz Blu - 51129751 - Onlyfans.jpg</t>
  </si>
  <si>
    <t>https://doodstream.com/d/wn9jxxvcmwtj/</t>
  </si>
  <si>
    <t>https://lulustream.com/d/89jccszu9zr5</t>
  </si>
  <si>
    <t>#creampie #bigtits #milf #bigass</t>
  </si>
  <si>
    <t>https://thumb.tapecontent.net/thumb/Q2ZPKMLbrghrXg/Bv8dyvRYVKCyO7R.jpg</t>
  </si>
  <si>
    <t>Jewelz Blu - 52346238 - Onlyfans.jpg</t>
  </si>
  <si>
    <t>https://doodstream.com/d/pabj2v92uw7p/</t>
  </si>
  <si>
    <t>https://lulustream.com/d/9qvrdig0e66s</t>
  </si>
  <si>
    <t>#MILF, #BigTits, #Hardcore, #Bigass, #Blowjob, #Roleplay, #Amateur</t>
  </si>
  <si>
    <t>https://thumb.tapecontent.net/thumb/VW97aaBVzXCz0g/R7VbAJDwg4FdzKz.jpg</t>
  </si>
  <si>
    <t>Jewelz Blu - 54539806 - XVRED.jpg</t>
  </si>
  <si>
    <t>https://doodstream.com/d/1awuhyzax9ki/</t>
  </si>
  <si>
    <t>https://lulustream.com/d/s57zhaz6ud7p</t>
  </si>
  <si>
    <t>https://thumb.tapecontent.net/thumb/zM3JZrgwxkcYar0/KAdd78dXboT0mQ8.jpg</t>
  </si>
  <si>
    <t>Jewelz Blu - 56129913 - Onlyfans.jpg</t>
  </si>
  <si>
    <t>https://doodstream.com/d/yo0d19762b02/</t>
  </si>
  <si>
    <t>https://lulustream.com/d/2b9ufwo8xb7z</t>
  </si>
  <si>
    <t>#milf #bigass #bigtits #doggystyle</t>
  </si>
  <si>
    <t>https://thumb.tapecontent.net/thumb/dpxR2PP2OgckYaR/q6YMadWXwMizGk8.jpg</t>
  </si>
  <si>
    <t>Jewelz Blu - 56335032 - ripnsfw.com.jpg</t>
  </si>
  <si>
    <t>https://doodstream.com/d/c8vfye9ynl78/</t>
  </si>
  <si>
    <t>https://lulustream.com/d/akzdpjnuw9am</t>
  </si>
  <si>
    <t>https://thumb.tapecontent.net/thumb/lg8XQpYv1gU7klx/OPO7ABjARetZlar.jpg</t>
  </si>
  <si>
    <t>Jewelz Blu - 56464578 - Onlyfans.jpg</t>
  </si>
  <si>
    <t>https://doodstream.com/d/mweezfbupuo9/</t>
  </si>
  <si>
    <t>https://lulustream.com/d/8a959zc4bxm1</t>
  </si>
  <si>
    <t>#MILF, #BigTits, #Hardcore, #Black, #Interracial, #Bigass, #Porn, #Artporn, #Blowjob, #Deepthroat, #Facial</t>
  </si>
  <si>
    <t>https://thumb.tapecontent.net/thumb/p4YJeo84oxTW6y/mQzlbJYpwXHbj4g.jpg</t>
  </si>
  <si>
    <t>Jewelz Blu - 56933664 - Onlyfans.jpg</t>
  </si>
  <si>
    <t>https://doodstream.com/d/7c5ezk4p1nzl/</t>
  </si>
  <si>
    <t>https://lulustream.com/d/56f0o5t5tpp3</t>
  </si>
  <si>
    <t>https://thumb.tapecontent.net/thumb/A1mZKZgLGJtXy3A/8qma0oovZqH6oB.jpg</t>
  </si>
  <si>
    <t>Jewelz Blu - 57450602 - XVRED.jpg</t>
  </si>
  <si>
    <t>https://doodstream.com/d/17yy55aiemm7/</t>
  </si>
  <si>
    <t>https://lulustream.com/d/xzmh6516kp1j</t>
  </si>
  <si>
    <t>https://thumb.tapecontent.net/thumb/A1krXjZJBXH4dj/jrmzkwwxjOIDLy.jpg</t>
  </si>
  <si>
    <t>Jewelz Blu - 57592298 - ripnsfw.com.jpg</t>
  </si>
  <si>
    <t>https://doodstream.com/d/j3ah11o031aj/</t>
  </si>
  <si>
    <t>https://lulustream.com/d/7z28297k5omt</t>
  </si>
  <si>
    <t>https://thumb.tapecontent.net/thumb/kLvJyQDDoZUOzlp/OVL44gAkwquZPXP.jpg</t>
  </si>
  <si>
    <t>Jewelz Blu - 58378785 - ElegantAngel.jpg</t>
  </si>
  <si>
    <t>https://doodstream.com/d/1hcchzv94df9/</t>
  </si>
  <si>
    <t>https://lulustream.com/d/c08v66120ih4</t>
  </si>
  <si>
    <t>#Anal, #BigTits, #Hardcore, #Bigass, #Teen, #Artporn, #Blowjob, #Amateur, #Deepthroat, #Blonde</t>
  </si>
  <si>
    <t>#Anal #BigTits #Hardcore #Bigass #Teen #Artporn #Blowjob</t>
  </si>
  <si>
    <t>https://thumb.tapecontent.net/thumb/Aq9yrZRW2qsmm1/ZPYxrPOMAJUqWJ4.jpg</t>
  </si>
  <si>
    <t>Jewelz Blu - 59133561 - XVRED.jpg</t>
  </si>
  <si>
    <t>https://doodstream.com/d/tmxlhqp362zb/</t>
  </si>
  <si>
    <t>https://lulustream.com/d/59fjfonxzav7</t>
  </si>
  <si>
    <t>https://thumb.tapecontent.net/thumb/bRMgdRlZXbhP9Dw/Joz7XZyjj4Tr6b.jpg</t>
  </si>
  <si>
    <t>Jewelz Blu - 59999160 - ripnsfw.com - Catherine Knight.jpg</t>
  </si>
  <si>
    <t>https://doodstream.com/d/80eu0r3p8iuk/</t>
  </si>
  <si>
    <t>https://lulustream.com/d/qmlumtlhky2k</t>
  </si>
  <si>
    <t>https://thumb.tapecontent.net/thumb/1Oo3z7zXq3ieOJ6/7moJ83BjrDtAZqx.jpg</t>
  </si>
  <si>
    <t>Jewelz Blu - 65838320 - Onlyfans.jpg</t>
  </si>
  <si>
    <t>https://doodstream.com/d/hvln2fpes6j3/</t>
  </si>
  <si>
    <t>https://lulustream.com/d/4x3sqhyjbo7p</t>
  </si>
  <si>
    <t>#MILF, #BigTits, #Creampie, #Hardcore</t>
  </si>
  <si>
    <t>https://thumb.tapecontent.net/thumb/0BpOblY4lzubdWV/Ooyar9OWVOtZpR9.jpg</t>
  </si>
  <si>
    <t>Jewelz Blu - 66365849 - Onlyfans.jpg</t>
  </si>
  <si>
    <t>https://doodstream.com/d/315cluyoefa4/</t>
  </si>
  <si>
    <t>https://lulustream.com/d/ep0c6abxp40a</t>
  </si>
  <si>
    <t>#doublepenetration #anal #bigtits #milf</t>
  </si>
  <si>
    <t>https://thumb.tapecontent.net/thumb/XW74pZObA7FD8rB/wOPXyOLDeKiJ0bR.jpg</t>
  </si>
  <si>
    <t>Jewelz Blu - 66368610 - XVRED.jpg</t>
  </si>
  <si>
    <t>https://doodstream.com/d/t72ds542b50g/</t>
  </si>
  <si>
    <t>https://lulustream.com/d/q6q19pni0pxp</t>
  </si>
  <si>
    <t>https://thumb.tapecontent.net/thumb/O1PQmpmA31SZ4YO/xkmrgkde44i0GY.jpg</t>
  </si>
  <si>
    <t>Jewelz Blu - 68292768 - PPV.jpg</t>
  </si>
  <si>
    <t>https://doodstream.com/d/x0cfbqvyxh4u/</t>
  </si>
  <si>
    <t>https://lulustream.com/d/kx4rj1qziqco</t>
  </si>
  <si>
    <t>https://thumb.tapecontent.net/thumb/9eB191rGwrUaXrp/Mej9VBK2JOfmxMw.jpg</t>
  </si>
  <si>
    <t>Jewelz Blu - 68434400 - ripnsfw.com.jpg</t>
  </si>
  <si>
    <t>https://doodstream.com/d/g1xc9kybxwjo/</t>
  </si>
  <si>
    <t>https://lulustream.com/d/in5ghjkfy0a7</t>
  </si>
  <si>
    <t>#MILF, #BigTits, #Hardcore, #Bigass, #Porn, #Roleplay, #Blowjob</t>
  </si>
  <si>
    <t>https://thumb.tapecontent.net/thumb/46336o6jaRtKDXv/Zqgj6Lv16JTqXX3.jpg</t>
  </si>
  <si>
    <t>Jewelz Blu - 68644221 - ripnsfw.com.jpg</t>
  </si>
  <si>
    <t>https://doodstream.com/d/kyicgtel1l3p/</t>
  </si>
  <si>
    <t>https://lulustream.com/d/vgpksriddpyd</t>
  </si>
  <si>
    <t>https://thumb.tapecontent.net/thumb/Vmel4AGzJruKlrP/yoArbZdla9I1RvY.jpg</t>
  </si>
  <si>
    <t>Jewelz Blu - 71833873 - Onlyfans.jpg</t>
  </si>
  <si>
    <t>https://doodstream.com/d/v5ht1sjpj9bd/</t>
  </si>
  <si>
    <t>https://lulustream.com/d/uozcitoor2k5</t>
  </si>
  <si>
    <t>https://thumb.tapecontent.net/thumb/9v0Qy326KvuOKD/o9Q2Va3g1gfJ40D.jpg</t>
  </si>
  <si>
    <t>Jewelz Blu - 75107883 - ripnsfw.com.jpg</t>
  </si>
  <si>
    <t>https://doodstream.com/d/vipugvzqzyk1/</t>
  </si>
  <si>
    <t>https://lulustream.com/d/obrlgzv2zd8w</t>
  </si>
  <si>
    <t>https://thumb.tapecontent.net/thumb/AQjlQOaYj8F4Ll/P78JrKZKVvI0qp8.jpg</t>
  </si>
  <si>
    <t>Jewelz Blu - 76658060 - ripnsfw.com.jpg</t>
  </si>
  <si>
    <t>https://doodstream.com/d/vy2iy5sr8bvq/</t>
  </si>
  <si>
    <t>https://lulustream.com/d/ufzy371qwgu5</t>
  </si>
  <si>
    <t>https://thumb.tapecontent.net/thumb/R7VaLvAWbGcdAqK/Aw3PDMQQM9uX839.jpg</t>
  </si>
  <si>
    <t>Jewelz Blu - 78824960 - Onlyfans.jpg</t>
  </si>
  <si>
    <t>https://doodstream.com/d/ikl3tejoou2d/</t>
  </si>
  <si>
    <t>https://lulustream.com/d/cpqan4ary7c6</t>
  </si>
  <si>
    <t>https://thumb.tapecontent.net/thumb/wal9GxGQw9IJ3Rb/rrP7Pro44oHb0yb.jpg</t>
  </si>
  <si>
    <t>Jewelz Blu - 80080009 - XVRED.jpg</t>
  </si>
  <si>
    <t>https://doodstream.com/d/wz2jjirgdg02/</t>
  </si>
  <si>
    <t>https://lulustream.com/d/14qglm82goif</t>
  </si>
  <si>
    <t>https://thumb.tapecontent.net/thumb/6QaQP3Xby4I4xj/3kd0OOm78mhX7j.jpg</t>
  </si>
  <si>
    <t>Jewelz Blu - 80880139 - XVRED.jpg</t>
  </si>
  <si>
    <t>https://doodstream.com/d/vcf19fnhv1wb/</t>
  </si>
  <si>
    <t>https://lulustream.com/d/1c1agb2gy7b1</t>
  </si>
  <si>
    <t>https://thumb.tapecontent.net/thumb/8Vj29z9lJ0fobpq/LpLK7lk88pCRXlL.jpg</t>
  </si>
  <si>
    <t>Jewelz Blu - 82173814 - Onlyfans.jpg</t>
  </si>
  <si>
    <t>https://doodstream.com/d/odj5nv3iptf7/</t>
  </si>
  <si>
    <t>https://lulustream.com/d/0x23z09n89h4</t>
  </si>
  <si>
    <t>https://thumb.tapecontent.net/thumb/7jXBjMReARUAAkw/or8qr9J4QoTbPk.jpg</t>
  </si>
  <si>
    <t>Jewelz Blu - 82714956 - XVRED.jpg</t>
  </si>
  <si>
    <t>https://doodstream.com/d/p5n3cyoan8ke/</t>
  </si>
  <si>
    <t>https://lulustream.com/d/clt5277wmejx</t>
  </si>
  <si>
    <t>https://thumb.tapecontent.net/thumb/Vr2p8gAQ1xTKpMy/1R6QVo23ByUeR90.jpg</t>
  </si>
  <si>
    <t>Jewelz Blu - 83258517 - XVRED.jpg</t>
  </si>
  <si>
    <t>https://doodstream.com/d/cvai1xs1l6aa/</t>
  </si>
  <si>
    <t>https://lulustream.com/d/hunloop0w2au</t>
  </si>
  <si>
    <t>https://thumb.tapecontent.net/thumb/pbwd3Rex1Lir9x8/L20w3qlyyqtRqvB.jpg</t>
  </si>
  <si>
    <t>Jewelz Blu - 83310030 - ripnsfw.com.jpg</t>
  </si>
  <si>
    <t>https://doodstream.com/d/21d4lqx3igm7/</t>
  </si>
  <si>
    <t>https://lulustream.com/d/pi7hjy171bsy</t>
  </si>
  <si>
    <t>#MILF #BigTits #Hardcore #Bigass #Blowjob #Amateur #Deepthroat #Facial</t>
  </si>
  <si>
    <t>https://thumb.tapecontent.net/thumb/Y8OmGpmQrDHvQ0W/ybVQlJaeL7I3Bd.jpg</t>
  </si>
  <si>
    <t>Jewelz Blu - 84014328 - ElegantAngel.jpg</t>
  </si>
  <si>
    <t>https://doodstream.com/d/knjamsymfr3z/</t>
  </si>
  <si>
    <t>https://lulustream.com/d/f68adjt9ergr</t>
  </si>
  <si>
    <t>https://thumb.tapecontent.net/thumb/yPaBx2YBKjtkPR/oQ9KOe6Pp3sxGJ.jpg</t>
  </si>
  <si>
    <t>Jewelz Blu - 85600588 - XVRED.jpg</t>
  </si>
  <si>
    <t>https://doodstream.com/d/f1h4d5vriibi/</t>
  </si>
  <si>
    <t>https://lulustream.com/d/367a89s9a1oz</t>
  </si>
  <si>
    <t>https://thumb.tapecontent.net/thumb/3kP148P1KDcaVW/pLGoQ18d79urQg3.jpg</t>
  </si>
  <si>
    <t>Jewelz Blu - 86541323 - XVRED.jpg</t>
  </si>
  <si>
    <t>https://doodstream.com/d/2szg4ypw5jak/</t>
  </si>
  <si>
    <t>https://lulustream.com/d/k2z87hhpqagp</t>
  </si>
  <si>
    <t>https://thumb.tapecontent.net/thumb/23OoJjXMeXTzB6/mPgK8apW60sXWk.jpg</t>
  </si>
  <si>
    <t>Jewelz Blu - 86873906 - ripnsfw.com.jpg</t>
  </si>
  <si>
    <t>https://doodstream.com/d/p7qhndm8wv04/</t>
  </si>
  <si>
    <t>https://lulustream.com/d/dnratt0jy4ss</t>
  </si>
  <si>
    <t>#MILF, #BigTits, #Roleplay, #Amateur</t>
  </si>
  <si>
    <t>#MILF #BigTits #Roleplay #Amateur</t>
  </si>
  <si>
    <t>https://thumb.tapecontent.net/thumb/DGg2yyLWMAskk7Z/mwaDybGPz3ibrmm.jpg</t>
  </si>
  <si>
    <t>Jewelz Blu - 90632680 - XVRED.jpg</t>
  </si>
  <si>
    <t>https://doodstream.com/d/aezc0uxyeknr/</t>
  </si>
  <si>
    <t>https://lulustream.com/d/xnepfpbjve2q</t>
  </si>
  <si>
    <t>#MILF, #BigTits, #Bigass, #Blowjob, #Amateur, #Facial, #Deepthroat, #Footjob</t>
  </si>
  <si>
    <t>https://thumb.tapecontent.net/thumb/YVJ246A93XcLjG/R7grm1pyQLcx1V.jpg</t>
  </si>
  <si>
    <t>Jewelz Blu - 91004697 - ripnsfw.com.jpg</t>
  </si>
  <si>
    <t>https://doodstream.com/d/y1fgh4lj7izr/</t>
  </si>
  <si>
    <t>https://lulustream.com/d/npyhdtawmaz5</t>
  </si>
  <si>
    <t>https://thumb.tapecontent.net/thumb/0zdG4JpBqRCb7L2/4ykYqg6YMGIKAy8.jpg</t>
  </si>
  <si>
    <t>Jewelz Blu - 91066475 - Onlyfans.jpg</t>
  </si>
  <si>
    <t>https://doodstream.com/d/72x8zdgie2oj/</t>
  </si>
  <si>
    <t>https://lulustream.com/d/jf7cp4dpyqy9</t>
  </si>
  <si>
    <t>#creampie #milf #bigtits #blowjob</t>
  </si>
  <si>
    <t>https://thumb.tapecontent.net/thumb/l7zX2AAdb2F7xem/BvVQY1q8M8hypOW.jpg</t>
  </si>
  <si>
    <t>Jewelz Blu - 91464913 - Onlyfans.jpg</t>
  </si>
  <si>
    <t>https://doodstream.com/d/u68sjwmvpmhy/</t>
  </si>
  <si>
    <t>https://lulustream.com/d/vfmdejqsyw3a</t>
  </si>
  <si>
    <t>#milf #bigass #bigtits #creampie</t>
  </si>
  <si>
    <t>https://thumb.tapecontent.net/thumb/QD4RmYoPg9tJAO/AJMKWKyZRxhXpwZ.jpg</t>
  </si>
  <si>
    <t>Jewelz Blu - 92919613 - XVRED.jpg</t>
  </si>
  <si>
    <t>https://doodstream.com/d/2rr9v7p2jxqf/</t>
  </si>
  <si>
    <t>https://lulustream.com/d/3j5zmavkb6za</t>
  </si>
  <si>
    <t>https://thumb.tapecontent.net/thumb/pjBQGpP6RJUryzJ/wPMvxgBzMYCJ7BG.jpg</t>
  </si>
  <si>
    <t>Jewelz Blu - 93410711 - Onlyfans.jpg</t>
  </si>
  <si>
    <t>https://doodstream.com/d/8kncmbqdtl6l/</t>
  </si>
  <si>
    <t>https://lulustream.com/d/gvn5qikl10vj</t>
  </si>
  <si>
    <t>https://thumb.tapecontent.net/thumb/KZD12ymYYOi0GLB/4dj9A32V0wiKoG0.jpg</t>
  </si>
  <si>
    <t>Jewelz Blu - 93619322 - Onlyfans - Haley Spades.jpg</t>
  </si>
  <si>
    <t>https://doodstream.com/d/lctbx4f2jfy0/</t>
  </si>
  <si>
    <t>https://lulustream.com/d/t165ikhn5wof</t>
  </si>
  <si>
    <t>#BigTits, #MILF, #Hardcore, #Threesome</t>
  </si>
  <si>
    <t>#BigTits #MILF #Hardcore #Threesome</t>
  </si>
  <si>
    <t>https://thumb.tapecontent.net/thumb/ajDe3xaoAjtxD4R/qaVMkLbKMxTz3Dg.jpg</t>
  </si>
  <si>
    <t>Jewelz Blu - 95336352 - Onlyfans.jpg</t>
  </si>
  <si>
    <t>https://doodstream.com/d/fif6l3m96vtg/</t>
  </si>
  <si>
    <t>https://lulustream.com/d/1lob685s69m2</t>
  </si>
  <si>
    <t>https://thumb.tapecontent.net/thumb/vK8372R72Af4yLb/8Oko6pa4pMIoaYW.jpg</t>
  </si>
  <si>
    <t>Jewelz Blu - 95623353 - ripnsfw.com.jpg</t>
  </si>
  <si>
    <t>https://doodstream.com/d/pjravdvq94vu/</t>
  </si>
  <si>
    <t>https://lulustream.com/d/etss5d4caxgy</t>
  </si>
  <si>
    <t>https://thumb.tapecontent.net/thumb/8Wq99vaJDzU6MG/qjWGg3ROVrhzrrp.jpg</t>
  </si>
  <si>
    <t>Jewelz Blu - 95638896 - XVRED - Hailey Rose.jpg</t>
  </si>
  <si>
    <t>https://doodstream.com/d/ry2tb94edr5e/</t>
  </si>
  <si>
    <t>https://lulustream.com/d/7wvjblezwnu6</t>
  </si>
  <si>
    <t>#bigtits #bigass #threesome #blowjob</t>
  </si>
  <si>
    <t>https://thumb.tapecontent.net/thumb/Ba61BM4eVPSyoVA/PJ2O1LjbWaf0X6w.jpg</t>
  </si>
  <si>
    <t>Jewelz Blu - 96252943 - XVRED.jpg</t>
  </si>
  <si>
    <t>https://doodstream.com/d/obrop5v3v82t/</t>
  </si>
  <si>
    <t>https://lulustream.com/d/2topeuz3uvpf</t>
  </si>
  <si>
    <t>#anal #bigtits #doublepenetration #bigass</t>
  </si>
  <si>
    <t>https://thumb.tapecontent.net/thumb/q8O30zqXPKIzqx0/z6YpAQDBdYsYMG1.jpg</t>
  </si>
  <si>
    <t>Jewelz Blu - 96624921 - PF.jpg</t>
  </si>
  <si>
    <t>https://doodstream.com/d/4qjtx2h715gq/</t>
  </si>
  <si>
    <t>https://lulustream.com/d/zhwbu0521mxc</t>
  </si>
  <si>
    <t>#bigass #blowjob #bigtits #facial</t>
  </si>
  <si>
    <t>https://thumb.tapecontent.net/thumb/X1yPWzDRMwSDY6B/p8RZpLXDlDUrgxR.jpg</t>
  </si>
  <si>
    <t>Jewelz Blu - 96870764 - Onlyfans.jpg</t>
  </si>
  <si>
    <t>https://doodstream.com/d/31r4pk8hj9yf/</t>
  </si>
  <si>
    <t>https://lulustream.com/d/z4vy18lgdcck</t>
  </si>
  <si>
    <t>#bigtits #milf #creampie #hardcore</t>
  </si>
  <si>
    <t>https://thumb.tapecontent.net/thumb/wZebwzRQOpfJm8w/6q1eAYBQ7vh9J6p.jpg</t>
  </si>
  <si>
    <t>Juniper - 73596562 - BackroomCastingCouch.jpg</t>
  </si>
  <si>
    <t>https://doodstream.com/d/xd6lljg5mkpn/</t>
  </si>
  <si>
    <t>https://lulustream.com/d/anpcytfrr3p3</t>
  </si>
  <si>
    <t>#anal #teen #creampie #casting</t>
  </si>
  <si>
    <t>https://thumb.tapecontent.net/thumb/lqDLl8dkwLs7pgl/G6YdVvxwrDuox3.jpg</t>
  </si>
  <si>
    <t>Juniper Ren - 12323656 - AO.jpg</t>
  </si>
  <si>
    <t>https://doodstream.com/d/zzvruh3fq9yu/</t>
  </si>
  <si>
    <t>https://lulustream.com/d/teu9t1u899bn</t>
  </si>
  <si>
    <t>#Anal, #Hardcore, #Porn, #Teen</t>
  </si>
  <si>
    <t>https://thumb.tapecontent.net/thumb/lAqeVVBWa7u71e9/4oBjQBoOXLSK37q.jpg</t>
  </si>
  <si>
    <t>Juniper Ren - 14825639 - ripnsfw.com.jpg</t>
  </si>
  <si>
    <t>https://doodstream.com/d/t1g7hj18ht0t/</t>
  </si>
  <si>
    <t>https://lulustream.com/d/u7xlh9v7c8t0</t>
  </si>
  <si>
    <t>#Hardcore, #Porn, #Teen, #Artporn, #Blowjob, #Deepthroat</t>
  </si>
  <si>
    <t>#Hardcore #Porn #Teen #Artporn #Blowjob</t>
  </si>
  <si>
    <t>https://thumb.tapecontent.net/thumb/M9o4zVM1eDSmXLo/0D9d3VlKqGuKDA.jpg</t>
  </si>
  <si>
    <t>Juniper Ren - 57287679 - ripnsfw.com.jpg</t>
  </si>
  <si>
    <t>https://doodstream.com/d/lhn7w16k9pro/</t>
  </si>
  <si>
    <t>https://lulustream.com/d/3bgzwf0nquro</t>
  </si>
  <si>
    <t>#Hardcore, #Teen, #Porn, #Blowjob, #Facial</t>
  </si>
  <si>
    <t>#Hardcore #Teen #Porn #Blowjob</t>
  </si>
  <si>
    <t>https://thumb.tapecontent.net/thumb/4mLA0V1Og8cKvbV/7YmgRB2dVAUAgMM.jpg</t>
  </si>
  <si>
    <t>Juniper Ren - 96086342 - ripnsfw.com.jpg</t>
  </si>
  <si>
    <t>https://doodstream.com/d/48bv1mu8zp1e/</t>
  </si>
  <si>
    <t>https://lulustream.com/d/9eg1fv0wmpdy</t>
  </si>
  <si>
    <t>#Anal, #Hardcore, #Porn, #Teen, #Blowjob, #Deepthroat, #Facial</t>
  </si>
  <si>
    <t>#Anal #Hardcore #Porn #Teen #Blowjob #Deepthroat</t>
  </si>
  <si>
    <t>https://thumb.tapecontent.net/thumb/A6130WApKMSD2M/zxyPM3zZyZHvqZ.jpg</t>
  </si>
  <si>
    <t>Juniper Ren - 96325718 - ripnsfw.com.jpg</t>
  </si>
  <si>
    <t>https://doodstream.com/d/ftynklarbaxv/</t>
  </si>
  <si>
    <t>https://lulustream.com/d/n1te8u2gf5e4</t>
  </si>
  <si>
    <t>#Hardcore, #Teen, #Blowjob, #Porn, #Deepthroat, #Facial</t>
  </si>
  <si>
    <t>https://thumb.tapecontent.net/thumb/XWOjxbd4DZSDO2P/M0xWgaXX4KUmkGV.jpg</t>
  </si>
  <si>
    <t>Juniper Ren - 99851979 - ripnsfw.com.jpg</t>
  </si>
  <si>
    <t>https://doodstream.com/d/vdsigh23strk/</t>
  </si>
  <si>
    <t>https://lulustream.com/d/5f0208ns9lmn</t>
  </si>
  <si>
    <t>#Hardcore, #Black, #Interracial, #Porn, #Teen, #Blowjob, #Deepthroat, #Facial</t>
  </si>
  <si>
    <t>#Hardcore #Black #Interracial #Porn #Teen #Blowjob</t>
  </si>
  <si>
    <t>https://thumb.tapecontent.net/thumb/WeqrBb31xaibxRv/KQxkm8GWM8U0yPb.jpg</t>
  </si>
  <si>
    <t>Kagney Linn Karter - 55994241 - ripnsfw.com.jpg</t>
  </si>
  <si>
    <t>https://doodstream.com/d/ie73pu0so6bv/</t>
  </si>
  <si>
    <t>https://lulustream.com/d/jrfsmgwrphr5</t>
  </si>
  <si>
    <t>#Anal, #BigTits, #Hardcore, #Bigass, #Porn, #Teen, #Blowjob, #Deepthroat, #Blonde, #Facial</t>
  </si>
  <si>
    <t>https://thumb.tapecontent.net/thumb/493Jw8y1apIKwOd/apoV9PaWy3FWJY.jpg</t>
  </si>
  <si>
    <t>Kali Roses - 27700551 - Onlyfans.jpg</t>
  </si>
  <si>
    <t>https://doodstream.com/d/b2z9qxn6u0i3/</t>
  </si>
  <si>
    <t>https://lulustream.com/d/8rqsvkg15dxn</t>
  </si>
  <si>
    <t>https://thumb.tapecontent.net/thumb/2PzlR9bLW0cQ18/v947Bze8Dph4g6W.jpg</t>
  </si>
  <si>
    <t>Kali Roses - 28586276 - XVRED - Ali Rose.jpg</t>
  </si>
  <si>
    <t>https://doodstream.com/d/mziyqhkmpcrv/</t>
  </si>
  <si>
    <t>https://lulustream.com/d/lztsspreqn1z</t>
  </si>
  <si>
    <t>#milf #bigtits #hardcore #threesome</t>
  </si>
  <si>
    <t>https://thumb.tapecontent.net/thumb/MxrVwbRBPVHmK3p/XdZ8WROd6GhDa9M.jpg</t>
  </si>
  <si>
    <t>Kali Roses - 33146055 - ripnsfw.com.jpg</t>
  </si>
  <si>
    <t>https://doodstream.com/d/n35kdmeb9s6z/</t>
  </si>
  <si>
    <t>https://lulustream.com/d/yn3jhvyijuh5</t>
  </si>
  <si>
    <t>https://thumb.tapecontent.net/thumb/7bomMZd8ayuAK4K/2kG40AdpXlfZMA7.jpg</t>
  </si>
  <si>
    <t>Kali Roses - 34740220 - XVRED.jpg</t>
  </si>
  <si>
    <t>https://doodstream.com/d/f022tu51enlz/</t>
  </si>
  <si>
    <t>https://lulustream.com/d/t579nmqall3e</t>
  </si>
  <si>
    <t>https://thumb.tapecontent.net/thumb/glLX62LbdBCq0Gk/M9J198MoK1F1ol.jpg</t>
  </si>
  <si>
    <t>Kali Roses - 38472992 - Camsoda.jpg</t>
  </si>
  <si>
    <t>https://doodstream.com/d/qobcrtsysfhz/</t>
  </si>
  <si>
    <t>https://lulustream.com/d/cx2itdjo478m</t>
  </si>
  <si>
    <t>#milf #bigtits #bigass #blonde</t>
  </si>
  <si>
    <t>https://thumb.tapecontent.net/thumb/Qyb9prvvazI0YPm/dZjlpJM670CkrAq.jpg</t>
  </si>
  <si>
    <t>Kali Roses - 44828043 - Manyvids - Elana Bunnz.jpg</t>
  </si>
  <si>
    <t>https://doodstream.com/d/01qf3ik9js82/</t>
  </si>
  <si>
    <t>https://lulustream.com/d/oigzci7gnbqq</t>
  </si>
  <si>
    <t>#threesome #bigass #blowjob #pov</t>
  </si>
  <si>
    <t>https://thumb.tapecontent.net/thumb/OW184ZRlGkSZAy0/J2OxWe8qaLsjvXK.jpg</t>
  </si>
  <si>
    <t>Kali Roses - 45948552 - ripnsfw.com.jpg</t>
  </si>
  <si>
    <t>https://doodstream.com/d/xndbdpxvh10n/</t>
  </si>
  <si>
    <t>https://lulustream.com/d/gmw4jex01vic</t>
  </si>
  <si>
    <t>#MILF, #BigTits, #Hardcore, #Black, #Interracial, #Bigass, #Porn, #Blowjob, #Deepthroat, #Blonde, #Facial, #Foursome</t>
  </si>
  <si>
    <t>#MILF #BigTits #Hardcore #Black #Interracial #Bigass #Porn #Blowjob #Deepthroat #Blonde #Facial</t>
  </si>
  <si>
    <t>https://thumb.tapecontent.net/thumb/zG0A30Q0kGfYLGR/W63JPxew9MT018.jpg</t>
  </si>
  <si>
    <t>Kali Roses - 56029035 - XVRED.jpg</t>
  </si>
  <si>
    <t>https://doodstream.com/d/cnpdpid5jzpf/</t>
  </si>
  <si>
    <t>https://lulustream.com/d/e8mwseludofe</t>
  </si>
  <si>
    <t>#milf #bigtits #blonde #bigass</t>
  </si>
  <si>
    <t>https://thumb.tapecontent.net/thumb/ylm9zWBDwgF14XA/lOgdeaqPP2H740e.jpg</t>
  </si>
  <si>
    <t>Kali Roses - 56530419 - XVRED - Ashley Alexander - Madalina Moon.jpg</t>
  </si>
  <si>
    <t>https://doodstream.com/d/bqnboq6tbgui/</t>
  </si>
  <si>
    <t>https://lulustream.com/d/tlxq4gr7p42t</t>
  </si>
  <si>
    <t>#MILF, #BigTits, #Hardcore, #Bigass, #Blowjob, #Amateur, #Blonde, #Foursome</t>
  </si>
  <si>
    <t>https://thumb.tapecontent.net/thumb/WwXkgrxD6gCbVea/RXOW1PeWgGUdbpx.jpg</t>
  </si>
  <si>
    <t>Kali Roses - 63542067 - Onlyfans.jpg</t>
  </si>
  <si>
    <t>https://doodstream.com/d/axjb74svwbwm/</t>
  </si>
  <si>
    <t>https://lulustream.com/d/vabx6qn8cipa</t>
  </si>
  <si>
    <t>#MILF, #BigTits, #Hardcore, #Bigass, #Artporn, #Stepmom, #Blowjob, #Amateur, #Deepthroat, #Blonde</t>
  </si>
  <si>
    <t>https://thumb.tapecontent.net/thumb/k9WjOylqD2sOxGk/2r6KaGAPQdtZw38.jpg</t>
  </si>
  <si>
    <t>Kali Roses - 69966088 - XVRED.jpg</t>
  </si>
  <si>
    <t>https://doodstream.com/d/zn0dsx6gez1a/</t>
  </si>
  <si>
    <t>https://lulustream.com/d/3c5u3xkuj7ub</t>
  </si>
  <si>
    <t>#milf #threesome #blowjob #bigass</t>
  </si>
  <si>
    <t>https://thumb.tapecontent.net/thumb/KZQXRwzLLYU0O6k/d32Mlm4YJ2Uk68L.jpg</t>
  </si>
  <si>
    <t>Kali Roses - 73978346 - Onlyfans.jpg</t>
  </si>
  <si>
    <t>https://doodstream.com/d/j16uevadoll3/</t>
  </si>
  <si>
    <t>https://lulustream.com/d/rs5txgl4dcag</t>
  </si>
  <si>
    <t>https://thumb.tapecontent.net/thumb/Y7MbKbZ9GXHBmx/4ykb7Jl1keCKj6m.jpg</t>
  </si>
  <si>
    <t>Kali Roses - 74222197 - Onlyfans - Jenna Starr.jpg</t>
  </si>
  <si>
    <t>https://doodstream.com/d/50mbdotpn3p9/</t>
  </si>
  <si>
    <t>https://lulustream.com/d/04i9oe6mmsu6</t>
  </si>
  <si>
    <t>#milf #threesome #bigass #bigtits</t>
  </si>
  <si>
    <t>https://thumb.tapecontent.net/thumb/brxya0mGe8TdGk/jrbpaP1pbDfzPK8.jpg</t>
  </si>
  <si>
    <t>Kali Roses - 76067349 - ripnsfw.com.jpg</t>
  </si>
  <si>
    <t>https://doodstream.com/d/w93ju2kv76pf/</t>
  </si>
  <si>
    <t>https://lulustream.com/d/k9hgak7rh1md</t>
  </si>
  <si>
    <t>#MILF #BigTits #Hardcore #Bigass #Porn #Blowjob</t>
  </si>
  <si>
    <t>https://thumb.tapecontent.net/thumb/wGDR1RWqB1SJyZl/KGy9mkdYljh0keG.jpg</t>
  </si>
  <si>
    <t>Kali Roses - 79105797 - ripnsfw.com.jpg</t>
  </si>
  <si>
    <t>https://doodstream.com/d/q9n7td7rnfoi/</t>
  </si>
  <si>
    <t>https://lulustream.com/d/gwh6zowbwy80</t>
  </si>
  <si>
    <t>https://thumb.tapecontent.net/thumb/zxzYqJvm3GSYa0v/zxYxBWwWqMcYzvo.jpg</t>
  </si>
  <si>
    <t>Kali Roses - 80756120 - HardX.jpg</t>
  </si>
  <si>
    <t>https://doodstream.com/d/82w6cbad4qal/</t>
  </si>
  <si>
    <t>https://lulustream.com/d/xq5n3hahzap6</t>
  </si>
  <si>
    <t>#MILF, #BigTits, #Hardcore, #Bigass, #Porn, #Blowjob, #Stepmom, #Hotwife, #Deepthroat, #Blonde</t>
  </si>
  <si>
    <t>#MILF #BigTits #Hardcore #Bigass #Porn #Blowjob #Stepmom #Hotwife</t>
  </si>
  <si>
    <t>https://thumb.tapecontent.net/thumb/bQwXlKjBx2cPkJl/q888YP4VYlhWRv.jpg</t>
  </si>
  <si>
    <t>Kali Roses - 87655058 - ripnsfw.com.jpg</t>
  </si>
  <si>
    <t>https://doodstream.com/d/iohbs5mgo3zm/</t>
  </si>
  <si>
    <t>https://lulustream.com/d/wu91grwm4ec0</t>
  </si>
  <si>
    <t>#MILF, #BigTits, #Hardcore, #Bigass, #Blowjob, #Amateur, #Blonde, #Deepthroat</t>
  </si>
  <si>
    <t>https://thumb.tapecontent.net/thumb/zK107avd9jTYBvP/MkJGrewk2AtGXy.jpg</t>
  </si>
  <si>
    <t>Kali Roses - 89846730 - Onlyfans.jpg</t>
  </si>
  <si>
    <t>https://doodstream.com/d/5zwshia2jb7y/</t>
  </si>
  <si>
    <t>https://lulustream.com/d/8xkyd6urcvqa</t>
  </si>
  <si>
    <t>https://thumb.tapecontent.net/thumb/4RG7y64kYmIVYg/OrqGzxVDGAFg1L.jpg</t>
  </si>
  <si>
    <t>Kali Roses - 97216217 - XVRED.jpg</t>
  </si>
  <si>
    <t>https://doodstream.com/d/8iq9zjb8cj69/</t>
  </si>
  <si>
    <t>https://lulustream.com/d/ppdygwvgxwaf</t>
  </si>
  <si>
    <t>https://thumb.tapecontent.net/thumb/Pjjr9Kg6LatbYd/LqOYg9pZpKFWz3.jpg</t>
  </si>
  <si>
    <t>Kali Roses - 97546975 - Onlyfans.jpg</t>
  </si>
  <si>
    <t>https://doodstream.com/d/v1sst3ecnr9h/</t>
  </si>
  <si>
    <t>https://lulustream.com/d/qh3aamjw6yxb</t>
  </si>
  <si>
    <t>https://thumb.tapecontent.net/thumb/Z1Y0oL23XkH7Zd/jWeV2v1eDrczZvl.jpg</t>
  </si>
  <si>
    <t>Kali Roses - 99506561 - ripnsfw.com.jpg</t>
  </si>
  <si>
    <t>https://doodstream.com/d/jz7h9scdb1xf/</t>
  </si>
  <si>
    <t>https://lulustream.com/d/g9lk6qb7g1l3</t>
  </si>
  <si>
    <t>https://thumb.tapecontent.net/thumb/1J8031aXwxIewAx/OJ9RllD36DIZ20e.jpg</t>
  </si>
  <si>
    <t>Kate Kuray - 11114763 - Onlyfans.jpg</t>
  </si>
  <si>
    <t>https://doodstream.com/d/viofy070o04j/</t>
  </si>
  <si>
    <t>https://lulustream.com/d/hglr8zj793ch</t>
  </si>
  <si>
    <t>https://thumb.tapecontent.net/thumb/lP32w6el7Pi7XOD/pxgY8m3OxqsrZ3O.jpg</t>
  </si>
  <si>
    <t>Kate Kuray - 14559380 - ripnsfw.com.jpg</t>
  </si>
  <si>
    <t>https://doodstream.com/d/vmuffk0fgsr8/</t>
  </si>
  <si>
    <t>https://lulustream.com/d/6npq1jx6c34i</t>
  </si>
  <si>
    <t>#Hardcore, #Bigass, #Teen, #Amateur, #Hotwife, #Blonde</t>
  </si>
  <si>
    <t>#Hardcore #Bigass #Teen #Amateur</t>
  </si>
  <si>
    <t>https://thumb.tapecontent.net/thumb/o9BapAr9KKiJLdd/Kz3PrOrRMqu0MAD.jpg</t>
  </si>
  <si>
    <t>Kate Kuray - 15467800 - ripnsfw.com.jpg</t>
  </si>
  <si>
    <t>https://doodstream.com/d/mlifxx52zpoz/</t>
  </si>
  <si>
    <t>https://lulustream.com/d/rzxyqe9d7z49</t>
  </si>
  <si>
    <t>#Bigass, #Teen, #Blowjob, #Amateur, #Deepthroat, #Blonde</t>
  </si>
  <si>
    <t>https://thumb.tapecontent.net/thumb/2VZeM3pLreHZgYM/Xy7WRG4oLaUDO8W.jpg</t>
  </si>
  <si>
    <t>Kate Kuray - 17186286 - ripnsfw.com.jpg</t>
  </si>
  <si>
    <t>https://doodstream.com/d/jrqowx65bvcv/</t>
  </si>
  <si>
    <t>https://lulustream.com/d/9zttyodb0ktl</t>
  </si>
  <si>
    <t>#Bigass, #Teen, #Teens, #Blowjob, #Amateur, #Blonde</t>
  </si>
  <si>
    <t>#Bigass #Teen #Teens #Blowjob</t>
  </si>
  <si>
    <t>https://thumb.tapecontent.net/thumb/Ogxr3jDYRlcZv8p/oWXV639xmOsJzbQ.jpg</t>
  </si>
  <si>
    <t>Kate Kuray - 17709481 - ripnsfw.com.jpg</t>
  </si>
  <si>
    <t>https://doodstream.com/d/crpxp8apn1p6/</t>
  </si>
  <si>
    <t>https://lulustream.com/d/51lru033ipub</t>
  </si>
  <si>
    <t>#Hardcore, #Bigass, #Teen, #Blowjob, #Amateur</t>
  </si>
  <si>
    <t>https://thumb.tapecontent.net/thumb/6mVe7x8W0ai92m8/9PZxrDPvW9iaevY.jpg</t>
  </si>
  <si>
    <t>Kate Kuray - 20257771 - Onlyfans.jpg</t>
  </si>
  <si>
    <t>https://doodstream.com/d/583bsr9bm1o9/</t>
  </si>
  <si>
    <t>https://lulustream.com/d/svl3dmp5ajhp</t>
  </si>
  <si>
    <t>https://thumb.tapecontent.net/thumb/3dw94KbwQdcdkoj/O6pl0Or280TZ2W0.jpg</t>
  </si>
  <si>
    <t>Kate Kuray - 24990642 - ripnsfw.com.jpg</t>
  </si>
  <si>
    <t>https://doodstream.com/d/vkib769z68ww/</t>
  </si>
  <si>
    <t>https://lulustream.com/d/sht0dm1icrge</t>
  </si>
  <si>
    <t>#BigTits, #Bigass, #Teen, #Teens, #Amateur, #Deepthroat, #Blonde, #Facial, #Blowjob</t>
  </si>
  <si>
    <t>#BigTits #Bigass #Teen #Teens #Amateur</t>
  </si>
  <si>
    <t>https://thumb.tapecontent.net/thumb/XP9YDLgp9PiDJJ3/zlAxD19zaqIYrGr.jpg</t>
  </si>
  <si>
    <t>Kate Kuray - 25748212 - Onlyfans.jpg</t>
  </si>
  <si>
    <t>https://doodstream.com/d/zrwdfgm4sgcn/</t>
  </si>
  <si>
    <t>https://lulustream.com/d/o0xd83ye106j</t>
  </si>
  <si>
    <t>https://thumb.tapecontent.net/thumb/BzXePbOLyBUyxba/doQYK2wO17Ckyal.jpg</t>
  </si>
  <si>
    <t>Kate Kuray - 27058445 - Onlyfans.jpg</t>
  </si>
  <si>
    <t>https://doodstream.com/d/1sf8ufgc7g2r/</t>
  </si>
  <si>
    <t>https://lulustream.com/d/75pt1um24s4u</t>
  </si>
  <si>
    <t>#Hardcore, #Bigass, #Teen, #Roleplay, #Amateur, #Blowjob, #Teens, #Blonde</t>
  </si>
  <si>
    <t>#Hardcore #Bigass #Teen #Roleplay #Amateur #Blowjob #Teens #Blonde</t>
  </si>
  <si>
    <t>https://thumb.tapecontent.net/thumb/4m1Ap3MW28fKwQ2/gwZ0emg4OBuB3p.jpg</t>
  </si>
  <si>
    <t>Kate Kuray - 29107362 - Onlyfans.jpg</t>
  </si>
  <si>
    <t>https://doodstream.com/d/ihu6irp8wigs/</t>
  </si>
  <si>
    <t>https://lulustream.com/d/dauoykzezqdb</t>
  </si>
  <si>
    <t>https://thumb.tapecontent.net/thumb/doL3z9A1LztgBm/okmzPowra8iJVOK.jpg</t>
  </si>
  <si>
    <t>Kate Kuray - 30761773 - Onlyfans.jpg</t>
  </si>
  <si>
    <t>https://doodstream.com/d/ghkjq7k7xze0/</t>
  </si>
  <si>
    <t>https://lulustream.com/d/d6g5oqy9gd7l</t>
  </si>
  <si>
    <t>#Creampie, #Hardcore, #Teen, #Artporn, #Teens, #Blowjob, #Amateur, #Blonde</t>
  </si>
  <si>
    <t>#Creampie #Hardcore #Teen #Artporn</t>
  </si>
  <si>
    <t>https://thumb.tapecontent.net/thumb/OdJwDRvlRLhZPbG/oeGW0PjJ2Gix9y.jpg</t>
  </si>
  <si>
    <t>Kate Kuray - 31200598 - ripnsfw.com.jpg</t>
  </si>
  <si>
    <t>https://doodstream.com/d/0ff4k32rebng/</t>
  </si>
  <si>
    <t>https://lulustream.com/d/k6krfgcbpvwq</t>
  </si>
  <si>
    <t>#Bigass, #Teen, #Teens, #Blowjob, #Amateur, #Deepthroat, #Blonde, #Creampie</t>
  </si>
  <si>
    <t>#Bigass #Teen #Teens #Blowjob #Amateur #Deepthroat</t>
  </si>
  <si>
    <t>https://thumb.tapecontent.net/thumb/LXbBOWWewOfRpey/LM9m9yX9Z1UR27X.jpg</t>
  </si>
  <si>
    <t>Kate Kuray - 31360985 - ripnsfw.com.jpg</t>
  </si>
  <si>
    <t>https://doodstream.com/d/7vfursytw2u9/</t>
  </si>
  <si>
    <t>https://lulustream.com/d/9jpcmtn2qbh5</t>
  </si>
  <si>
    <t>#Bigass, #Teen, #Blowjob, #Amateur, #Blonde, #Deepthroat, #Facial</t>
  </si>
  <si>
    <t>#Bigass #Teen #Blowjob #Amateur #Blonde</t>
  </si>
  <si>
    <t>https://thumb.tapecontent.net/thumb/DAl4Lw2vK6Ckood/9lRDZVP8Qwsar7M.jpg</t>
  </si>
  <si>
    <t>Kate Kuray - 31548926 - ripnsfw.com.jpg</t>
  </si>
  <si>
    <t>https://doodstream.com/d/cas5g6ssaw3g/</t>
  </si>
  <si>
    <t>https://lulustream.com/d/l1wttue2rx7l</t>
  </si>
  <si>
    <t>#Hardcore, #Bigass, #Teen, #Blowjob, #Amateur, #Hotwife, #Deepthroat, #Blonde, #Facial</t>
  </si>
  <si>
    <t>#Hardcore #Bigass #Teen #Blowjob #Amateur #Hotwife #Deepthroat #Blonde #Facial</t>
  </si>
  <si>
    <t>https://thumb.tapecontent.net/thumb/WqvqDyrrMJCbvW9/lw9lbP4Zblc7k1x.jpg</t>
  </si>
  <si>
    <t>Kate Kuray - 31937039 - Onlyfans.jpg</t>
  </si>
  <si>
    <t>https://doodstream.com/d/2txl1v52cxum/</t>
  </si>
  <si>
    <t>https://lulustream.com/d/ck6mo086wufy</t>
  </si>
  <si>
    <t>#Bigass, #Teen, #Teens, #Blowjob, #Amateur, #Deepthroat, #Blonde, #Facial</t>
  </si>
  <si>
    <t>#Bigass #Teen #Teens #Blowjob #Amateur</t>
  </si>
  <si>
    <t>https://thumb.tapecontent.net/thumb/jkOpgQAOl0CJO3/4w83OweMkxTKMRm.jpg</t>
  </si>
  <si>
    <t>Kate Kuray - 32292220 - Onlyfans.jpg</t>
  </si>
  <si>
    <t>https://doodstream.com/d/y4sauszeayqc/</t>
  </si>
  <si>
    <t>https://lulustream.com/d/1kb88l89a3zh</t>
  </si>
  <si>
    <t>https://thumb.tapecontent.net/thumb/3o6pGBx27aUaBy/92QWl9Ov6PIaeA3.jpg</t>
  </si>
  <si>
    <t>Kate Kuray - 37514322 - Onlyfans.jpg</t>
  </si>
  <si>
    <t>https://doodstream.com/d/uqqemngqfkqx/</t>
  </si>
  <si>
    <t>https://lulustream.com/d/zm8w89xzu9ft</t>
  </si>
  <si>
    <t>https://thumb.tapecontent.net/thumb/VBd1Vwo2LaHK7jB/MJ1699GGQOfmZ4y.jpg</t>
  </si>
  <si>
    <t>Kate Kuray - 37527639 - Onlyfans.jpg</t>
  </si>
  <si>
    <t>https://doodstream.com/d/ny9w3z15ok6d/</t>
  </si>
  <si>
    <t>https://lulustream.com/d/huv3v4ochw1z</t>
  </si>
  <si>
    <t>#creampie #teen #blowjob #bigass</t>
  </si>
  <si>
    <t>https://thumb.tapecontent.net/thumb/belrdJx3RqfPeXj/XgvvpM3vywfgdG.jpg</t>
  </si>
  <si>
    <t>Kate Kuray - 37661671 - ripnsfw.com.jpg</t>
  </si>
  <si>
    <t>https://doodstream.com/d/6seqn0xjgz07/</t>
  </si>
  <si>
    <t>https://lulustream.com/d/s1ylyok9bt6p</t>
  </si>
  <si>
    <t>#Hardcore, #Bigass, #Teen, #Blowjob, #Amateur, #Deepthroat, #Blonde</t>
  </si>
  <si>
    <t>#Hardcore #Bigass #Teen #Blowjob #Amateur #Deepthroat</t>
  </si>
  <si>
    <t>https://thumb.tapecontent.net/thumb/yDq4PzzbxeI1prz/0pa8872JKwsbzYg.jpg</t>
  </si>
  <si>
    <t>Kate Kuray - 38454928 - ripnsfw.com.jpg</t>
  </si>
  <si>
    <t>https://doodstream.com/d/4v6xa2anxhzx/</t>
  </si>
  <si>
    <t>https://lulustream.com/d/012f785ltgw8</t>
  </si>
  <si>
    <t>#Anal, #Creampie, #Hardcore, #Bigass, #Teen, #Blowjob, #Amateur, #Deepthroat, #Blonde</t>
  </si>
  <si>
    <t>https://thumb.tapecontent.net/thumb/QgpkopkByKh9D7/RpPZQLZRoMidPzR.jpg</t>
  </si>
  <si>
    <t>Kate Kuray - 39524310 - Onlyfans.jpg</t>
  </si>
  <si>
    <t>https://doodstream.com/d/rcu1gjmzfra1/</t>
  </si>
  <si>
    <t>https://lulustream.com/d/3kgqqix912ix</t>
  </si>
  <si>
    <t>#Hardcore, #Bigass, #Teen, #Artporn, #Teens, #Blowjob, #Amateur, #Deepthroat, #Blonde</t>
  </si>
  <si>
    <t>#Hardcore #Bigass #Teen #Artporn #Teens #Blowjob #Amateur #Deepthroat #Blonde</t>
  </si>
  <si>
    <t>https://thumb.tapecontent.net/thumb/g1olDOMYgQfqKR2/1pBjpzPbD7CelkJ.jpg</t>
  </si>
  <si>
    <t>Kate Kuray - 42296364 - Onlyfans.jpg</t>
  </si>
  <si>
    <t>https://doodstream.com/d/q8ctqib73tt5/</t>
  </si>
  <si>
    <t>https://lulustream.com/d/9mz873tk4hgz</t>
  </si>
  <si>
    <t>#Creampie, #Hardcore, #Bigass, #Teen</t>
  </si>
  <si>
    <t>#Creampie #Hardcore #Bigass #Teen</t>
  </si>
  <si>
    <t>https://thumb.tapecontent.net/thumb/BbG22m8ea8Syorl/yjxb1r3QMLh1Ypq.jpg</t>
  </si>
  <si>
    <t>Kate Kuray - 44819980 - ripnsfw.com.jpg</t>
  </si>
  <si>
    <t>https://doodstream.com/d/gwtkbduspt4s/</t>
  </si>
  <si>
    <t>https://lulustream.com/d/ccg18omah7o7</t>
  </si>
  <si>
    <t>#Bigass, #Teen, #Blowjob, #Amateur, #Deepthroat, #Blonde, #Facial</t>
  </si>
  <si>
    <t>#Bigass #Teen #Blowjob #Amateur #Deepthroat</t>
  </si>
  <si>
    <t>https://thumb.tapecontent.net/thumb/2BwG1lJjvJSZv8G/Rwz4klezQxidyek.jpg</t>
  </si>
  <si>
    <t>Kate Kuray - 48954158 - Onlyfans.jpg</t>
  </si>
  <si>
    <t>https://doodstream.com/d/vfqpth0ottje/</t>
  </si>
  <si>
    <t>https://lulustream.com/d/eek7lvbbsczk</t>
  </si>
  <si>
    <t>https://thumb.tapecontent.net/thumb/beD3pVvr6QfP36G/b11lljDBAlUPbKy.jpg</t>
  </si>
  <si>
    <t>Kate Kuray - 49501513 - Onlyfans.jpg</t>
  </si>
  <si>
    <t>https://doodstream.com/d/yse1n5sx58jl/</t>
  </si>
  <si>
    <t>https://lulustream.com/d/jkmwf0a9xd1q</t>
  </si>
  <si>
    <t>#BigTits, #Bigass, #Teen, #Artporn, #Blowjob, #Teens, #Amateur, #Blonde, #Facial</t>
  </si>
  <si>
    <t>#BigTits #Bigass #Teen #Artporn #Blowjob #Teens</t>
  </si>
  <si>
    <t>https://thumb.tapecontent.net/thumb/080pPGJWQwsbblV/1qLjZLrL3Ksekx3.jpg</t>
  </si>
  <si>
    <t>Kate Kuray - 50681885 - Onlyfans.jpg</t>
  </si>
  <si>
    <t>https://doodstream.com/d/tfnbhzzsv4ef/</t>
  </si>
  <si>
    <t>https://lulustream.com/d/yn9yteacmj55</t>
  </si>
  <si>
    <t>#BigTits, #Bigass, #Teen, #Teens, #Blowjob, #Amateur, #Deepthroat</t>
  </si>
  <si>
    <t>#BigTits #Bigass #Teen #Teens #Blowjob #Amateur #Deepthroat</t>
  </si>
  <si>
    <t>https://thumb.tapecontent.net/thumb/61GBwXDO4zi9wWZ/pLeDYw6vv3treyM.jpg</t>
  </si>
  <si>
    <t>Kate Kuray - 52712442 - ripnsfw.com.jpg</t>
  </si>
  <si>
    <t>https://doodstream.com/d/yjdqytl18s0m/</t>
  </si>
  <si>
    <t>https://lulustream.com/d/nm5t9u4e5k4u</t>
  </si>
  <si>
    <t>#Bigass, #Teen, #Blowjob, #Amateur, #Hotwife, #Deepthroat, #Blonde, #Facial</t>
  </si>
  <si>
    <t>#Bigass #Teen #Blowjob #Amateur #Hotwife #Deepthroat #Blonde #Facial</t>
  </si>
  <si>
    <t>https://thumb.tapecontent.net/thumb/LDq0oyabWQcb1o/lPJjYl01KqhZq4.jpg</t>
  </si>
  <si>
    <t>Kate Kuray - 52743841 - ripnsfw.com.jpg</t>
  </si>
  <si>
    <t>https://doodstream.com/d/pq6iadvmq55w/</t>
  </si>
  <si>
    <t>https://lulustream.com/d/i14oywiuftip</t>
  </si>
  <si>
    <t>#Bigass, #Teen, #Blowjob, #Amateur, #Hotwife, #Blonde, #Facial</t>
  </si>
  <si>
    <t>https://thumb.tapecontent.net/thumb/koo7y9ZbxDseq2/GjdVk1gqBPh1Kjb.jpg</t>
  </si>
  <si>
    <t>Kate Kuray - 53810882 - Onlyfans.jpg</t>
  </si>
  <si>
    <t>https://doodstream.com/d/joi07753kyaw/</t>
  </si>
  <si>
    <t>https://lulustream.com/d/wjfar0371rx3</t>
  </si>
  <si>
    <t>#Hardcore, #Bigass, #Teen, #Artporn, #Blowjob, #Amateur, #Blonde, #Facial</t>
  </si>
  <si>
    <t>#Hardcore #Bigass #Teen #Artporn #Blowjob #Amateur</t>
  </si>
  <si>
    <t>https://thumb.tapecontent.net/thumb/9vDALWMD37HawL9/q9gdmB7od6hzm91.jpg</t>
  </si>
  <si>
    <t>Kate Kuray - 57812832 - Onlyfans.jpg</t>
  </si>
  <si>
    <t>https://doodstream.com/d/62gdphooydhl/</t>
  </si>
  <si>
    <t>https://lulustream.com/d/rtgpiczlyk3z</t>
  </si>
  <si>
    <t>https://thumb.tapecontent.net/thumb/JAMadBWPplcrpx/XPmQ7MAz7BcDOoG.jpg</t>
  </si>
  <si>
    <t>Kate Kuray - 58954014 - Onlyfans.jpg</t>
  </si>
  <si>
    <t>https://doodstream.com/d/z4wt62z2vw72/</t>
  </si>
  <si>
    <t>https://lulustream.com/d/1d2yo27asb4o</t>
  </si>
  <si>
    <t>https://thumb.tapecontent.net/thumb/XxwLKYMDdaTDQ0q/R9BRKV0Rpmfddvk.jpg</t>
  </si>
  <si>
    <t>Kate Kuray - 59471136 - Onlyfans.jpg</t>
  </si>
  <si>
    <t>https://doodstream.com/d/npw93us0ki9g/</t>
  </si>
  <si>
    <t>https://lulustream.com/d/lxpa3wy489e3</t>
  </si>
  <si>
    <t>https://thumb.tapecontent.net/thumb/bZaBlyJ6qxhPPAe/ko0YrYAzPZhrL6.jpg</t>
  </si>
  <si>
    <t>Kate Kuray - 60539133 - Onlyfans.jpg</t>
  </si>
  <si>
    <t>https://doodstream.com/d/vvcptqf88skx/</t>
  </si>
  <si>
    <t>https://lulustream.com/d/3gcc5t09s2em</t>
  </si>
  <si>
    <t>https://thumb.tapecontent.net/thumb/xPJg9mL01qfDJ1/mkxolPywX3ibZwl.jpg</t>
  </si>
  <si>
    <t>Kate Kuray - 61565501 - Onlyfans.jpg</t>
  </si>
  <si>
    <t>https://doodstream.com/d/i9jbsk4pz1w1/</t>
  </si>
  <si>
    <t>https://lulustream.com/d/vp926m8xgb5o</t>
  </si>
  <si>
    <t>#bigass #teen #blowjob #amateur</t>
  </si>
  <si>
    <t>https://thumb.tapecontent.net/thumb/dP6YYvydp9UkWJp/e3xYGlwKO1sYlpv.jpg</t>
  </si>
  <si>
    <t>Kate Kuray - 62037694 - Onlyfans.jpg</t>
  </si>
  <si>
    <t>https://doodstream.com/d/kta6y0tag77h/</t>
  </si>
  <si>
    <t>https://lulustream.com/d/qm7pr27sptut</t>
  </si>
  <si>
    <t>#teen #bigass #blowjob #facial</t>
  </si>
  <si>
    <t>https://thumb.tapecontent.net/thumb/WX3aDWVVAdibDzP/0pBvAjzwY8U64v.jpg</t>
  </si>
  <si>
    <t>Kate Kuray - 62851207 - ripnsfw.com.jpg</t>
  </si>
  <si>
    <t>https://doodstream.com/d/9tqgizbw027n/</t>
  </si>
  <si>
    <t>https://lulustream.com/d/jqlxs3swdrte</t>
  </si>
  <si>
    <t>#Anal, #Hardcore, #Bigass, #Teen, #Blowjob, #Amateur, #Deepthroat, #Blonde</t>
  </si>
  <si>
    <t>#Anal #Hardcore #Bigass #Teen #Blowjob #Amateur #Deepthroat</t>
  </si>
  <si>
    <t>https://thumb.tapecontent.net/thumb/Yew13xea0Jsvlql/KQl7AXjmyBfbQW.jpg</t>
  </si>
  <si>
    <t>Kate Kuray - 63865212 - ripnsfw.com.jpg</t>
  </si>
  <si>
    <t>https://doodstream.com/d/dv4u05xaf4ky/</t>
  </si>
  <si>
    <t>https://lulustream.com/d/239zrm70b2sx</t>
  </si>
  <si>
    <t>#Bigass, #Teen, #Blowjob, #Amateur, #Blonde</t>
  </si>
  <si>
    <t>https://thumb.tapecontent.net/thumb/P3YwqdGJ8PT07gZ/kb3L0DZRWGiOv79.jpg</t>
  </si>
  <si>
    <t>Kate Kuray - 65130339 - ripnsfw.com.jpg</t>
  </si>
  <si>
    <t>https://doodstream.com/d/ku2l088wjx3w/</t>
  </si>
  <si>
    <t>https://lulustream.com/d/uicl5f3k5co3</t>
  </si>
  <si>
    <t>#BigTits #Creampie #Hardcore #Bigass #Teen #Blowjob #Amateur #Deepthroat #Blonde</t>
  </si>
  <si>
    <t>https://thumb.tapecontent.net/thumb/xg9PxgkZLoikdaz/OJ067bm71yHZrAO.jpg</t>
  </si>
  <si>
    <t>Kate Kuray - 65746870 - Onlyfans.jpg</t>
  </si>
  <si>
    <t>https://doodstream.com/d/80lxo8o7dxph/</t>
  </si>
  <si>
    <t>https://lulustream.com/d/d7ybpi4cc3im</t>
  </si>
  <si>
    <t>https://thumb.tapecontent.net/thumb/XYBwAY4k92TDDr1/OoGQQv0QV9tZJ2y.jpg</t>
  </si>
  <si>
    <t>Kate Kuray - 65754293 - ripnsfw.com.jpg</t>
  </si>
  <si>
    <t>https://doodstream.com/d/u7qt41csbwnd/</t>
  </si>
  <si>
    <t>https://lulustream.com/d/2pgmq1nws0fl</t>
  </si>
  <si>
    <t>#Bigass, #Teen, #Artporn, #Blowjob, #Amateur, #Hotwife, #Facial</t>
  </si>
  <si>
    <t>#Bigass #Teen #Artporn #Blowjob #Amateur</t>
  </si>
  <si>
    <t>https://thumb.tapecontent.net/thumb/WeVomeamBdUbb2e/Pwpl9qDXXGfDov.jpg</t>
  </si>
  <si>
    <t>Kate Kuray - 68895176 - Onlyfans.jpg</t>
  </si>
  <si>
    <t>https://doodstream.com/d/o0vn7d8r4bhs/</t>
  </si>
  <si>
    <t>https://lulustream.com/d/evgh1gvv9k89</t>
  </si>
  <si>
    <t>#BigTits, #Creampie, #Hardcore, #Teen, #Blowjob, #Amateur, #Blonde</t>
  </si>
  <si>
    <t>https://thumb.tapecontent.net/thumb/6Kj13P41qOS92vD/K4PVVRAgj2C0MYg.jpg</t>
  </si>
  <si>
    <t>Kate Kuray - 69887722 - Onlyfans.jpg</t>
  </si>
  <si>
    <t>https://doodstream.com/d/kl4zfgh5lnmc/</t>
  </si>
  <si>
    <t>https://lulustream.com/d/2mb6tll4ahe3</t>
  </si>
  <si>
    <t>https://thumb.tapecontent.net/thumb/RAdD3qOe7Kcdb43/z1yB4MpRdPCYwyb.jpg</t>
  </si>
  <si>
    <t>Kate Kuray - 70244559 - ripnsfw.com.jpg</t>
  </si>
  <si>
    <t>https://doodstream.com/d/0y35tj1piir8/</t>
  </si>
  <si>
    <t>https://lulustream.com/d/sdofevtmn6b2</t>
  </si>
  <si>
    <t>#Hardcore, #Bigass, #Teen, #Blowjob, #Roleplay, #Amateur, #Hotwife, #Deepthroat, #Facial</t>
  </si>
  <si>
    <t>#Hardcore #Bigass #Teen #Blowjob #Roleplay #Amateur #Hotwife</t>
  </si>
  <si>
    <t>https://thumb.tapecontent.net/thumb/XyKxgDKBZqFWJ7/DlWR42Dr73UBLb.jpg</t>
  </si>
  <si>
    <t>Kate Kuray - 73815915 - Onlyfans.jpg</t>
  </si>
  <si>
    <t>https://doodstream.com/d/g9fvxqcvlgc6/</t>
  </si>
  <si>
    <t>https://lulustream.com/d/81qc1mmqaawx</t>
  </si>
  <si>
    <t>https://thumb.tapecontent.net/thumb/QezAxzo3vDH07X3/ZxmZgb7x3rUqxz2.jpg</t>
  </si>
  <si>
    <t>Kate Kuray - 74101637 - Onlyfans.jpg</t>
  </si>
  <si>
    <t>https://doodstream.com/d/dyn8fiyzwead/</t>
  </si>
  <si>
    <t>https://lulustream.com/d/etpcv5maze6h</t>
  </si>
  <si>
    <t>https://thumb.tapecontent.net/thumb/LOYVz3kXKBS6j4/gaLOjBjV9AfY33.jpg</t>
  </si>
  <si>
    <t>Kate Kuray - 75592039 - Onlyfans.jpg</t>
  </si>
  <si>
    <t>https://doodstream.com/d/1g78j3vkijdh/</t>
  </si>
  <si>
    <t>https://lulustream.com/d/fn3tpgeo9abf</t>
  </si>
  <si>
    <t>#anal #teen #bigass #blowjob</t>
  </si>
  <si>
    <t>https://thumb.tapecontent.net/thumb/mPQAprJKXDcbxob/29P1dZjrdgSZv8W.jpg</t>
  </si>
  <si>
    <t>Kate Kuray - 76061384 - Onlyfans.jpg</t>
  </si>
  <si>
    <t>https://doodstream.com/d/cfmun7f7iuec/</t>
  </si>
  <si>
    <t>https://lulustream.com/d/htdcwcgkudox</t>
  </si>
  <si>
    <t>#Anal, #Bigass, #Teen, #Blowjob</t>
  </si>
  <si>
    <t>#Anal #Bigass #Teen #Blowjob</t>
  </si>
  <si>
    <t>https://thumb.tapecontent.net/thumb/k2gaY8BwKLsOKXz/KkGKOxlJZmsgdM.jpg</t>
  </si>
  <si>
    <t>Kate Kuray - 76518279 - Onlyfans.jpg</t>
  </si>
  <si>
    <t>https://doodstream.com/d/rax86kyr80dw/</t>
  </si>
  <si>
    <t>https://lulustream.com/d/18vu7f8fgp9e</t>
  </si>
  <si>
    <t>https://thumb.tapecontent.net/thumb/GKOKGl6rJ4cA73/XyLzrgyvOrUDYzk.jpg</t>
  </si>
  <si>
    <t>Kate Kuray - 78248963 - Onlyfans.jpg</t>
  </si>
  <si>
    <t>https://doodstream.com/d/fxgxn989a6p1/</t>
  </si>
  <si>
    <t>https://lulustream.com/d/mc49w6laxdfc</t>
  </si>
  <si>
    <t>#Hardcore, #Bigass, #Artporn, #Teen, #Blowjob, #Amateur, #Blonde</t>
  </si>
  <si>
    <t>#Hardcore #Bigass #Artporn #Teen #Blowjob #Amateur #Blonde</t>
  </si>
  <si>
    <t>https://thumb.tapecontent.net/thumb/QgklOrdApWS923/Bkmq1Yl6zatyLKr.jpg</t>
  </si>
  <si>
    <t>Kate Kuray - 78384396 - ripnsfw.com.jpg</t>
  </si>
  <si>
    <t>https://doodstream.com/d/p18kcup3yc7t/</t>
  </si>
  <si>
    <t>https://lulustream.com/d/nouxuapd245u</t>
  </si>
  <si>
    <t>#BigTits, #Hardcore, #Bigass, #Teen, #Roleplay, #Amateur, #Blowjob, #Hotwife, #Deepthroat</t>
  </si>
  <si>
    <t>https://thumb.tapecontent.net/thumb/GkMzYaabbwF1pZL/BaA02dOPB0iyepz.jpg</t>
  </si>
  <si>
    <t>Kate Kuray - 78674480 - Onlyfans.jpg</t>
  </si>
  <si>
    <t>https://doodstream.com/d/23qmpr28qqld/</t>
  </si>
  <si>
    <t>https://lulustream.com/d/3spfqyycu49k</t>
  </si>
  <si>
    <t>#teen #bigass #blowjob #amateur</t>
  </si>
  <si>
    <t>https://thumb.tapecontent.net/thumb/1qd4BQgDJ6ueKol/Mk8dpbZeR0imZ2V.jpg</t>
  </si>
  <si>
    <t>Kate Kuray - 81849938 - ripnsfw.com.jpg</t>
  </si>
  <si>
    <t>https://doodstream.com/d/m5quzl81i0gf/</t>
  </si>
  <si>
    <t>https://lulustream.com/d/scq8bf4u40w9</t>
  </si>
  <si>
    <t>#Bigass #Teen #Teens #Blowjob #Amateur #Deepthroat #Blonde</t>
  </si>
  <si>
    <t>https://thumb.tapecontent.net/thumb/Zo6b1y4YlWhqlAZ/DlvKkbmgdAFkljL.jpg</t>
  </si>
  <si>
    <t>Kate Kuray - 84468850 -  Onlyfans.jpg</t>
  </si>
  <si>
    <t>https://doodstream.com/d/hnbrjdq1bjhm/</t>
  </si>
  <si>
    <t>https://lulustream.com/d/7iiirq7x1mov</t>
  </si>
  <si>
    <t>#Hardcore, #Bigass, #Teen, #Blowjob, #Amateur, #Blonde</t>
  </si>
  <si>
    <t>https://thumb.tapecontent.net/thumb/xPlgyvVDZ0Fl0X/mPq2By330DcbxoO.jpg</t>
  </si>
  <si>
    <t>Kate Kuray - 87376874 - Onlyfans.jpg</t>
  </si>
  <si>
    <t>https://doodstream.com/d/gwbf93wj9vwe/</t>
  </si>
  <si>
    <t>https://lulustream.com/d/kvhj3yb9w8rd</t>
  </si>
  <si>
    <t>https://thumb.tapecontent.net/thumb/glQv4em9odcYRo/0eeJMle21Ocb7Ax.jpg</t>
  </si>
  <si>
    <t>Kate Kuray - 88073470 - Onlyfans.jpg</t>
  </si>
  <si>
    <t>https://doodstream.com/d/1yrqvk7dyu5k/</t>
  </si>
  <si>
    <t>https://lulustream.com/d/btlpe1dpfwce</t>
  </si>
  <si>
    <t>https://thumb.tapecontent.net/thumb/aYXmgDzw3muQKZ/z67BQLp084cQDV.jpg</t>
  </si>
  <si>
    <t>Kate Kuray - 88789994 - Onlyfans.jpg</t>
  </si>
  <si>
    <t>https://doodstream.com/d/rxzqcrp5h9db/</t>
  </si>
  <si>
    <t>https://lulustream.com/d/c2i4aoi3mp0y</t>
  </si>
  <si>
    <t>#Hardcore #Bigass #Teen #Blowjob #Amateur</t>
  </si>
  <si>
    <t>https://thumb.tapecontent.net/thumb/4djQM6GXmRiK6rq/Zak9DrvDrGfqx4o.jpg</t>
  </si>
  <si>
    <t>Kate Kuray - 89667345 - ripnsfw.com.jpg</t>
  </si>
  <si>
    <t>https://doodstream.com/d/8xt7fx21vfrt/</t>
  </si>
  <si>
    <t>https://lulustream.com/d/s0hnwcypp26r</t>
  </si>
  <si>
    <t>#Hardcore, #Bigass, #Teen, #Roleplay, #Blowjob, #Amateur, #Deepthroat, #Blonde</t>
  </si>
  <si>
    <t>#Hardcore #Bigass #Teen #Roleplay #Blowjob #Amateur</t>
  </si>
  <si>
    <t>https://thumb.tapecontent.net/thumb/aPMbQQR7ZlsbOz/Kq7QMVqWb0fowG.jpg</t>
  </si>
  <si>
    <t>Kate Kuray - 90036586 - Onlyfans.jpg</t>
  </si>
  <si>
    <t>https://doodstream.com/d/jlzlffhnc1wq/</t>
  </si>
  <si>
    <t>https://lulustream.com/d/qkhw9rvh37gw</t>
  </si>
  <si>
    <t>#Bigass #Teen #Blowjob #Amateur #Deepthroat #Blonde #Facial</t>
  </si>
  <si>
    <t>https://thumb.tapecontent.net/thumb/OdJWZqpoPauZQxp/Y80AdgpLKvfvkp8.jpg</t>
  </si>
  <si>
    <t>Kate Kuray - 91405663 - Onlyfans.jpg</t>
  </si>
  <si>
    <t>https://doodstream.com/d/sqbbdfkp2xhj/</t>
  </si>
  <si>
    <t>https://lulustream.com/d/mwl7epohtihq</t>
  </si>
  <si>
    <t>https://thumb.tapecontent.net/thumb/7Dyjw3pa9ziA3KX/17OWqQW6V6IeobG.jpg</t>
  </si>
  <si>
    <t>Kate Kuray - 94016805 - Onlyfans.jpg</t>
  </si>
  <si>
    <t>https://doodstream.com/d/mltj2zet8kpk/</t>
  </si>
  <si>
    <t>https://lulustream.com/d/h2ukvzlf9rc8</t>
  </si>
  <si>
    <t>https://thumb.tapecontent.net/thumb/3dMx6vRPJ3s6DP/YZyQLO0x6ltvP0P.jpg</t>
  </si>
  <si>
    <t>Kate Kuray - 95200301 - ripnsfw.com.jpg</t>
  </si>
  <si>
    <t>https://doodstream.com/d/addn1wj4jhju/</t>
  </si>
  <si>
    <t>https://lulustream.com/d/a0jde5pn0h4t</t>
  </si>
  <si>
    <t>#Hardcore, #Bigass, #Teen, #Blowjob, #Amateur, #Deepthroat, #Blonde, #Facial</t>
  </si>
  <si>
    <t>#Hardcore #Bigass #Teen #Blowjob #Amateur #Deepthroat #Blonde #Facial</t>
  </si>
  <si>
    <t>https://thumb.tapecontent.net/thumb/KWJxV1D2VjU01L7/re8d2DOxBqu3qX.jpg</t>
  </si>
  <si>
    <t>Kate Kuray - 95934097 - Onlyfans.jpg</t>
  </si>
  <si>
    <t>https://doodstream.com/d/t19ffz012si8/</t>
  </si>
  <si>
    <t>https://lulustream.com/d/iili9x6podqj</t>
  </si>
  <si>
    <t>#Hardcore, #Bigass, #Teen, #Artporn</t>
  </si>
  <si>
    <t>#Hardcore #Bigass #Teen #Artporn</t>
  </si>
  <si>
    <t>https://thumb.tapecontent.net/thumb/0W62ZBO6YKhbo6k/2WQdM3J3YkSZroL.jpg</t>
  </si>
  <si>
    <t>Kate Kuray - 99654390 - ripnsfw.com.jpg</t>
  </si>
  <si>
    <t>https://doodstream.com/d/f34g9pdivafz/</t>
  </si>
  <si>
    <t>https://lulustream.com/d/5oeyvjzn7yty</t>
  </si>
  <si>
    <t>#Hardcore, #Bigass, #Teen, #Roleplay, #Teens, #Blowjob, #Amateur, #Hotwife, #Deepthroat, #Blonde, #Facial</t>
  </si>
  <si>
    <t>#Hardcore #Bigass #Teen #Roleplay #Teens</t>
  </si>
  <si>
    <t>https://thumb.tapecontent.net/thumb/wG9aADBM8OsJXmX/8Zdk3a0Q76Uo7PM.jpg</t>
  </si>
  <si>
    <t>Kate Kuray - 99849017 - Onlyfans.jpg</t>
  </si>
  <si>
    <t>https://doodstream.com/d/wumiq9uo45p1/</t>
  </si>
  <si>
    <t>https://lulustream.com/d/xf1qypln5o9m</t>
  </si>
  <si>
    <t>#BigTits, #Hardcore, #Bigass, #Teen, #Teens, #Blowjob, #Amateur, #Blonde</t>
  </si>
  <si>
    <t>#BigTits #Hardcore #Bigass #Teen #Teens #Blowjob #Amateur</t>
  </si>
  <si>
    <t>https://thumb.tapecontent.net/thumb/ggXjZBQvmmiqKPL/WGORx60PXOsbbjv.jpg</t>
  </si>
  <si>
    <t>Katerina - 58905159 - BackroomCastingCouch.jpg</t>
  </si>
  <si>
    <t>https://doodstream.com/d/63ekfaec6835/</t>
  </si>
  <si>
    <t>https://lulustream.com/d/l7l7fmb4lc38</t>
  </si>
  <si>
    <t>#teen #bigtits #anal #casting</t>
  </si>
  <si>
    <t>https://thumb.tapecontent.net/thumb/4PprXjX0VviVWL/3wRvXxVyxjtdqy0.jpg</t>
  </si>
  <si>
    <t>Katie - 32786172 - ripnsfw.com.jpg</t>
  </si>
  <si>
    <t>https://doodstream.com/d/oo4zzxu70bd0/</t>
  </si>
  <si>
    <t>https://lulustream.com/d/mu2h1vhtr4by</t>
  </si>
  <si>
    <t>#Anal, #BigTits, #Creampie, #Hardcore, #Bigass, #Porn, #Teen, #Blowjob, #Blonde</t>
  </si>
  <si>
    <t>#Anal #BigTits #Creampie #Hardcore #Bigass #Porn</t>
  </si>
  <si>
    <t>https://thumb.tapecontent.net/thumb/olveAvd1mPsJ6qX/zbG1XjZMJbHY0gq.jpg</t>
  </si>
  <si>
    <t>Katie Karr - 62455009 - ripnsfw.com.jpg</t>
  </si>
  <si>
    <t>https://doodstream.com/d/aqeiv8cr6f8t/</t>
  </si>
  <si>
    <t>https://lulustream.com/d/rqryazwahpgf</t>
  </si>
  <si>
    <t>#Creampie, #Hardcore, #Teen, #Blowjob, #Amateur, #Deepthroat, #Blonde, #Roleplay</t>
  </si>
  <si>
    <t>#Creampie #Hardcore #Teen #Blowjob #Amateur #Deepthroat #Blonde</t>
  </si>
  <si>
    <t>https://thumb.tapecontent.net/thumb/wxVbew74vetJrL1/2zJ48rM3ZXcZMlz.jpg</t>
  </si>
  <si>
    <t>Kayley Gunner - 14062820 - Onlyfans.jpg</t>
  </si>
  <si>
    <t>https://doodstream.com/d/krwb52iya7mc/</t>
  </si>
  <si>
    <t>https://lulustream.com/d/22cn60rlb3mc</t>
  </si>
  <si>
    <t>https://thumb.tapecontent.net/thumb/jWrOr4RaKqczWjB/r4JkQYzlBzsbPwl.jpg</t>
  </si>
  <si>
    <t>Kayley Gunner - 25869219 - XVRED - The Official Egypt.jpg</t>
  </si>
  <si>
    <t>https://doodstream.com/d/696aj6oi8uzb/</t>
  </si>
  <si>
    <t>https://lulustream.com/d/xtbur4l4jnrf</t>
  </si>
  <si>
    <t>#threesome #interracial #bigass #bigtits</t>
  </si>
  <si>
    <t>https://thumb.tapecontent.net/thumb/9q0r97JWVwHae7r/032b1PKaWWibPg4.jpg</t>
  </si>
  <si>
    <t>Kayley Gunner - 26141834 - TTP.jpg</t>
  </si>
  <si>
    <t>https://doodstream.com/d/7x9wwze74u09/</t>
  </si>
  <si>
    <t>https://lulustream.com/d/2z3ke5absxnm</t>
  </si>
  <si>
    <t>#threesome #bigtits #milf #creampie</t>
  </si>
  <si>
    <t>https://thumb.tapecontent.net/thumb/q31M7o3Aolizz60/m1dQ3q9GojIbKBJ.jpg</t>
  </si>
  <si>
    <t>Kayley Gunner - 26358645 - Onlyfans - Joanna Angel.jpg</t>
  </si>
  <si>
    <t>https://doodstream.com/d/9swytzidt9z8/</t>
  </si>
  <si>
    <t>https://lulustream.com/d/q6vwlgz1nalv</t>
  </si>
  <si>
    <t>#threesome #bigass #bigtits #blowjob</t>
  </si>
  <si>
    <t>https://thumb.tapecontent.net/thumb/Zj48DAym0ecqABz/mqleYz4Gersb1ML.jpg</t>
  </si>
  <si>
    <t>Kayley Gunner - 31825963 - ripnsfw.com - Savannah Bond.jpg</t>
  </si>
  <si>
    <t>https://doodstream.com/d/wk45jz9qijku/</t>
  </si>
  <si>
    <t>https://lulustream.com/d/g9p539vele5i</t>
  </si>
  <si>
    <t>#MILF #BigTits #Hardcore #Threesome #Bigass #Blowjob #Amateur #Deepthroat #Blonde #Facial</t>
  </si>
  <si>
    <t>https://thumb.tapecontent.net/thumb/JKoxAV7kgocjW8b/8zkOoPJVexTopwB.jpg</t>
  </si>
  <si>
    <t>Kayley Gunner - 34173244 - ripnsfw.com.jpg</t>
  </si>
  <si>
    <t>https://doodstream.com/d/cmsa8n5z9enl/</t>
  </si>
  <si>
    <t>https://lulustream.com/d/qysnzb75ym9m</t>
  </si>
  <si>
    <t>https://thumb.tapecontent.net/thumb/wrrL4M7qQxIjYM/ja4rxO1kaoIzkpq.jpg</t>
  </si>
  <si>
    <t>Kayley Gunner - 35561716 - Onlyfans.jpg</t>
  </si>
  <si>
    <t>https://doodstream.com/d/wwh3xyc6rlrx/</t>
  </si>
  <si>
    <t>https://lulustream.com/d/kxao1uf4obch</t>
  </si>
  <si>
    <t>#bigass #bigtits #blonde #interracial</t>
  </si>
  <si>
    <t>https://thumb.tapecontent.net/thumb/Vml7yveaWrFKM16/L1pMjj0r4lsb0b.jpg</t>
  </si>
  <si>
    <t>Kayley Gunner - 36112750 - Onlyfans - Angel Youngs.jpg</t>
  </si>
  <si>
    <t>https://doodstream.com/d/qqj01px5sn95/</t>
  </si>
  <si>
    <t>https://lulustream.com/d/k5sbbvghi3sx</t>
  </si>
  <si>
    <t>https://thumb.tapecontent.net/thumb/wrqoQDk7KRfWx7/yxOBP819gXf1QWB.jpg</t>
  </si>
  <si>
    <t>Kayley Gunner - 37877312 - Onlyfans.jpg</t>
  </si>
  <si>
    <t>https://doodstream.com/d/ie4y20516d6i/</t>
  </si>
  <si>
    <t>https://lulustream.com/d/02v7d9i7dfn7</t>
  </si>
  <si>
    <t>#bigtits #milf #interracial #bigass</t>
  </si>
  <si>
    <t>https://thumb.tapecontent.net/thumb/Mkjq3lzWXdImjMZ/vkRWJaMZY8i4g39.jpg</t>
  </si>
  <si>
    <t>Kayley Gunner - 44734993 - ripnsfw.com.jpg</t>
  </si>
  <si>
    <t>https://doodstream.com/d/whi2am97b942/</t>
  </si>
  <si>
    <t>https://lulustream.com/d/5te5big4r1y0</t>
  </si>
  <si>
    <t>#MILF, #BigTits, #Hardcore, #Black, #Interracial, #Bigass, #Porn, #Blowjob, #Deepthroat, #Blonde, #Facial</t>
  </si>
  <si>
    <t>https://thumb.tapecontent.net/thumb/287M96wX1viZ0Z1/BXQeba6lxxFyeOR.jpg</t>
  </si>
  <si>
    <t>Kayley Gunner - 45117258 - Onlyfans - Savannah Bond.jpg</t>
  </si>
  <si>
    <t>https://doodstream.com/d/kroiaxqxxv7h/</t>
  </si>
  <si>
    <t>https://lulustream.com/d/w5otr12peo55</t>
  </si>
  <si>
    <t>#milf #threesome #blonde #bigtits</t>
  </si>
  <si>
    <t>https://thumb.tapecontent.net/thumb/xmxMeGlJakukBQl/lPQKyVvAPYh7Qkq.jpg</t>
  </si>
  <si>
    <t>Kayley Gunner - 54758611 - Onlyfans.jpg</t>
  </si>
  <si>
    <t>https://doodstream.com/d/6naftc8hc9om/</t>
  </si>
  <si>
    <t>https://lulustream.com/d/xxfwlkpy5lvl</t>
  </si>
  <si>
    <t>https://thumb.tapecontent.net/thumb/k0YKK4gOWpiOVVy/bZYZxryro8TK7z.jpg</t>
  </si>
  <si>
    <t>Kayley Gunner - 69343220 - ripnsfw.com.jpg</t>
  </si>
  <si>
    <t>https://doodstream.com/d/wwfr9ezc6jze/</t>
  </si>
  <si>
    <t>https://lulustream.com/d/yhvx0ilpclz8</t>
  </si>
  <si>
    <t>https://thumb.tapecontent.net/thumb/bRKm0wVwdgFdeb/XP48A143waF0Qo.jpg</t>
  </si>
  <si>
    <t>Kayley Gunner - 71875781 - Onlyfans - Hailey Rose.jpg</t>
  </si>
  <si>
    <t>https://doodstream.com/d/yvv8vnhho7zt/</t>
  </si>
  <si>
    <t>https://lulustream.com/d/jul1aw0v9a9r</t>
  </si>
  <si>
    <t>#threesome #bigtits #bigass #blowjob</t>
  </si>
  <si>
    <t>https://thumb.tapecontent.net/thumb/BvaLjr8O3juVW0/jvydb3MKAMSqk2.jpg</t>
  </si>
  <si>
    <t>Kayley Gunner - 85945135 - Onlyfans.jpg</t>
  </si>
  <si>
    <t>https://doodstream.com/d/avtlikmgxxfc/</t>
  </si>
  <si>
    <t>https://lulustream.com/d/ktcu2hlwgab2</t>
  </si>
  <si>
    <t>https://thumb.tapecontent.net/thumb/W6xoJKe8QOFbaPv/akDX1l4mJ6ixGpo.jpg</t>
  </si>
  <si>
    <t>Kayley Gunner - 86509715 - Onlyfans.jpg</t>
  </si>
  <si>
    <t>https://doodstream.com/d/0slg4fywbhbh/</t>
  </si>
  <si>
    <t>https://lulustream.com/d/coe51fvothk6</t>
  </si>
  <si>
    <t>#blonde #milf #bigtits #blowjob</t>
  </si>
  <si>
    <t>https://thumb.tapecontent.net/thumb/pl9vvo317LtBV7/Bzeyq0pajrTQjb.jpg</t>
  </si>
  <si>
    <t>Kayley Gunner - 97434221 - Onlyfans.jpg</t>
  </si>
  <si>
    <t>https://doodstream.com/d/a6mgllygbbl6/</t>
  </si>
  <si>
    <t>https://lulustream.com/d/t0cqkmdqekdc</t>
  </si>
  <si>
    <t>#creampie #milf #bigass #bigtits</t>
  </si>
  <si>
    <t>https://thumb.tapecontent.net/thumb/QbAXYDqlVls9pB/MZjG43wb01h6ZX.jpg</t>
  </si>
  <si>
    <t>Kayley Gunner - 97772911 - JulesJordan.jpg</t>
  </si>
  <si>
    <t>https://doodstream.com/d/7r5b6qdh45o5/</t>
  </si>
  <si>
    <t>https://lulustream.com/d/0kz2q1j0mewm</t>
  </si>
  <si>
    <t>#MILF, #BigTits, #Hardcore, #Black, #Interracial, #Bigass, #Porn, #Blowjob, #Hotwife, #Deepthroat, #Blonde, #Facial</t>
  </si>
  <si>
    <t>https://thumb.tapecontent.net/thumb/vl7jBQlAlei4kBO/4zw22AjGZOHGeQ.jpg</t>
  </si>
  <si>
    <t>Kelsi Monroe - 33753675 - Onlyfans.jpg</t>
  </si>
  <si>
    <t>https://doodstream.com/d/4lbj22p1icqo/</t>
  </si>
  <si>
    <t>https://lulustream.com/d/ytx0keyiz4tc</t>
  </si>
  <si>
    <t>#MILF, #Hardcore, #Bigass, #Artporn, #Stepmom, #Blowjob, #Amateur, #Mature, #Hotwife, #Deepthroat, #Facial, #Massage</t>
  </si>
  <si>
    <t>#MILF #Hardcore #Bigass #Artporn #Stepmom #Blowjob #Amateur #Mature #Hotwife #Deepthroat #Facial #Massage</t>
  </si>
  <si>
    <t>https://thumb.tapecontent.net/thumb/Dqaw61kr3kcDvb/3dkZ4ZQ71RtdJaw.jpg</t>
  </si>
  <si>
    <t>Kelsi Monroe - 51056603 - ripnsfw.com.jpg</t>
  </si>
  <si>
    <t>https://doodstream.com/d/j5yml4itbczj/</t>
  </si>
  <si>
    <t>https://lulustream.com/d/7h5syphua1y9</t>
  </si>
  <si>
    <t>#MILF, #Hardcore, #Bigass, #Blowjob, #Amateur, #Deepthroat, #Facial</t>
  </si>
  <si>
    <t>#MILF #Hardcore #Bigass #Blowjob</t>
  </si>
  <si>
    <t>https://thumb.tapecontent.net/thumb/YgGe3OOlYofvxAy/74MgMow7zGS8kl.jpg</t>
  </si>
  <si>
    <t>Kelsi Monroe - 62295398 - ripnsfw.com.jpg</t>
  </si>
  <si>
    <t>https://doodstream.com/d/nj2a8uiyhyse/</t>
  </si>
  <si>
    <t>https://lulustream.com/d/mo5mpclkumlb</t>
  </si>
  <si>
    <t>#MILF, #Hardcore, #Bigass, #Porn, #Blowjob, #Deepthroat, #Facial</t>
  </si>
  <si>
    <t>#MILF #Hardcore #Bigass #Porn</t>
  </si>
  <si>
    <t>https://thumb.tapecontent.net/thumb/xevB1Q8lW1ikdwj/Zxkzvy3dYXSqzGk.jpg</t>
  </si>
  <si>
    <t>Kendra Lust - 60592294 - Onlyfans.jpg</t>
  </si>
  <si>
    <t>https://doodstream.com/d/i1t1cb7dgalm/</t>
  </si>
  <si>
    <t>https://lulustream.com/d/5wdzehgsiofi</t>
  </si>
  <si>
    <t>#blowjob #milf #bigass #anal</t>
  </si>
  <si>
    <t>https://thumb.tapecontent.net/thumb/mej7L1L0LOSb3P2/lP4DXjvOMlc7PMP.jpg</t>
  </si>
  <si>
    <t>Kendra Lust - 74014139 - Onlyfans.jpg</t>
  </si>
  <si>
    <t>https://doodstream.com/d/0axd7exg0w05/</t>
  </si>
  <si>
    <t>https://lulustream.com/d/vsrder36bdfa</t>
  </si>
  <si>
    <t>#MILF, #BigTits, #Bigass, #Stepmom, #Mature, #Solo</t>
  </si>
  <si>
    <t>#MILF #BigTits #Bigass #Stepmom #Mature</t>
  </si>
  <si>
    <t>https://thumb.tapecontent.net/thumb/QJyp1bJ7LJF0ZXb/27ZWdr9kweUZJ9Y.jpg</t>
  </si>
  <si>
    <t>Kendra Lust - 76519840 - FH.jpg</t>
  </si>
  <si>
    <t>https://doodstream.com/d/novpnocrbfg9/</t>
  </si>
  <si>
    <t>https://lulustream.com/d/choq7arrlqmp</t>
  </si>
  <si>
    <t>https://thumb.tapecontent.net/thumb/a404AGK78xsxLlj/09gkDJaeJvSb7RG.jpg</t>
  </si>
  <si>
    <t>Kendra Lust - 91121829 - ripnsfw.com.jpg</t>
  </si>
  <si>
    <t>https://doodstream.com/d/701xqhtb2fow/</t>
  </si>
  <si>
    <t>https://lulustream.com/d/88xb0phcjn7u</t>
  </si>
  <si>
    <t>#MILF, #BigTits, #Hardcore, #Bigass, #Porn, #Blowjob, #Mature, #Facial</t>
  </si>
  <si>
    <t>https://thumb.tapecontent.net/thumb/z13MYZ4V3YHG6J/GvmoeJrV09TdZP.jpg</t>
  </si>
  <si>
    <t>Kendra Sunderland - 57529324 - ripnsfw.com.jpg</t>
  </si>
  <si>
    <t>https://doodstream.com/d/jxfangisd3cj/</t>
  </si>
  <si>
    <t>https://lulustream.com/d/oq1u0yqr6w4m</t>
  </si>
  <si>
    <t>https://thumb.tapecontent.net/thumb/m3xJp3AjBvCb1QX/O1Y7OVJegGTZpOb.jpg</t>
  </si>
  <si>
    <t>Kendra Sunderland - 62925139 - Onlyfans.jpg</t>
  </si>
  <si>
    <t>https://doodstream.com/d/gqho4gpddykl/</t>
  </si>
  <si>
    <t>https://lulustream.com/d/dvdl4zcb99vg</t>
  </si>
  <si>
    <t>https://thumb.tapecontent.net/thumb/M7kMdVPJLLimqZ2/gPQkAA7O8LSq69g.jpg</t>
  </si>
  <si>
    <t>Kendra Sunderland - 77896881 - ripnsfw.com.jpg</t>
  </si>
  <si>
    <t>https://doodstream.com/d/tmicww8ay2e3/</t>
  </si>
  <si>
    <t>https://lulustream.com/d/zj2wptrv6g51</t>
  </si>
  <si>
    <t>#BigTits, #Hardcore, #Black, #Interracial, #Bigass, #Teen, #Blowjob, #Amateur, #Deepthroat, #Blonde, #Facial</t>
  </si>
  <si>
    <t>#BigTits #Hardcore #Black #Interracial #Bigass #Teen #Blowjob #Amateur #Deepthroat</t>
  </si>
  <si>
    <t>https://thumb.tapecontent.net/thumb/LpxwvBKdBefbdg/0RQLM0DJBDib4M4.jpg</t>
  </si>
  <si>
    <t>Kianna Dior - 67759608 - Onlyfans.jpg</t>
  </si>
  <si>
    <t>https://doodstream.com/d/hyq6v5j1m5qi/</t>
  </si>
  <si>
    <t>https://lulustream.com/d/fxpbkaggqjxw</t>
  </si>
  <si>
    <t>#milf #asian #blowjob #bigass</t>
  </si>
  <si>
    <t>https://thumb.tapecontent.net/thumb/P9Yv89K4D1u0qvj/LkrkgG1JboIRLwG.jpg</t>
  </si>
  <si>
    <t>Kianna Dior - 72268823 - DarkkoTV - Hailey Rose.jpg</t>
  </si>
  <si>
    <t>https://doodstream.com/d/g35ytbhpec2h/</t>
  </si>
  <si>
    <t>https://lulustream.com/d/7owe977syf00</t>
  </si>
  <si>
    <t>#milf #bigtits #threesome #bigass</t>
  </si>
  <si>
    <t>https://thumb.tapecontent.net/thumb/zka84MKvJ0HYRwX/e3XyvdR7xYtYr3W.jpg</t>
  </si>
  <si>
    <t>Kianna Dior - 96284360 - ripnsfw.com.jpg</t>
  </si>
  <si>
    <t>https://doodstream.com/d/wmo0531aluhv/</t>
  </si>
  <si>
    <t>https://lulustream.com/d/84ezwewmseme</t>
  </si>
  <si>
    <t>#MILF, #BigTits, #Hardcore, #Black, #Interracial, #Bigass, #Blowjob, #Amateur, #Deepthroat, #Blonde, #Facial</t>
  </si>
  <si>
    <t>https://thumb.tapecontent.net/thumb/ervXzVw8YwfYPqV/vVlDypvKQqTbWV.jpg</t>
  </si>
  <si>
    <t>Kimmy Granger - 30878325 - Onlyfans.jpg</t>
  </si>
  <si>
    <t>https://doodstream.com/d/ymiaqfagxpt7/</t>
  </si>
  <si>
    <t>https://lulustream.com/d/re00y23psatx</t>
  </si>
  <si>
    <t>https://thumb.tapecontent.net/thumb/A0K8MZYDXXSXXXP/BLByl27JxmTypaB.jpg</t>
  </si>
  <si>
    <t>Kimmy Granger - 35557187 - ripnsfw.com.jpg</t>
  </si>
  <si>
    <t>https://doodstream.com/d/j7m36w1jdfgw/</t>
  </si>
  <si>
    <t>https://lulustream.com/d/foyheah6fq4x</t>
  </si>
  <si>
    <t>#MILF, #BigTits, #Creampie, #Hardcore, #Artporn, #Blowjob, #Amateur, #Hotwife, #Blonde</t>
  </si>
  <si>
    <t>#MILF #BigTits #Creampie #Hardcore #Artporn #Blowjob #Amateur #Hotwife #Blonde</t>
  </si>
  <si>
    <t>https://thumb.tapecontent.net/thumb/ZKPzygo46phqaOY/qKPjLAXOvXczQoP.jpg</t>
  </si>
  <si>
    <t>Kinechan - 60680314 - Privacy.jpg</t>
  </si>
  <si>
    <t>https://doodstream.com/d/1gaj652batg4/</t>
  </si>
  <si>
    <t>https://lulustream.com/d/3xh1isl2h1w6</t>
  </si>
  <si>
    <t>#Anal, #BigTits, #Creampie, #Hardcore, #Bigass, #Teen, #Latina, #Amateur</t>
  </si>
  <si>
    <t>https://thumb.tapecontent.net/thumb/Bq0gAjeMgkiye7L/yPXeekRYYVi1bq2.jpg</t>
  </si>
  <si>
    <t>Kylie Rocket - 78173618 - ripnsfw.com - Lena the plug.jpg</t>
  </si>
  <si>
    <t>https://doodstream.com/d/ohmiahymaqny/</t>
  </si>
  <si>
    <t>https://lulustream.com/d/t7xcxd5ynmc9</t>
  </si>
  <si>
    <t>#MILF, #BigTits, #Hardcore, #Threesome, #Bigass, #Blowjob, #Amateur, #Deepthroat</t>
  </si>
  <si>
    <t>https://thumb.tapecontent.net/thumb/er4PblwaKZCYlX7/dLPQ4R27BzhkVz4.jpg</t>
  </si>
  <si>
    <t>Lacee Rose - 50621497 - ripnsfw.com.jpg</t>
  </si>
  <si>
    <t>https://doodstream.com/d/g12f11ou71z8/</t>
  </si>
  <si>
    <t>https://lulustream.com/d/j6s6hvmb8mec</t>
  </si>
  <si>
    <t>#Casting, #Creampie, #Hardcore, #Porn, #Teen, #Blowjob, #Blonde</t>
  </si>
  <si>
    <t>#Casting #Creampie #Hardcore #Porn #Teen</t>
  </si>
  <si>
    <t>https://thumb.tapecontent.net/thumb/egOmPOx4xXSZxl/Bqmmpm7D3rsyLYM.jpg</t>
  </si>
  <si>
    <t>Lady Lorreign - 23688987 - ripnsfw.com.jpg</t>
  </si>
  <si>
    <t>https://doodstream.com/d/ykzqsqyl7lv0/</t>
  </si>
  <si>
    <t>https://lulustream.com/d/5po5z844oscs</t>
  </si>
  <si>
    <t>#Anal, #MILF, #BigTits, #Creampie, #Hardcore, #Interracial, #Porn, #Blowjob, #Deepthroat</t>
  </si>
  <si>
    <t>#Anal #MILF #BigTits #Creampie #Hardcore #Interracial #Porn</t>
  </si>
  <si>
    <t>https://thumb.tapecontent.net/thumb/6akd9d18g2HvkO/G6YY4mO2YJI1DyL.jpg</t>
  </si>
  <si>
    <t>Lana Rhoades - 54819397 - JulesJordan.jpg</t>
  </si>
  <si>
    <t>https://doodstream.com/d/kkb3pj1ok0q4/</t>
  </si>
  <si>
    <t>https://lulustream.com/d/do7yzuwqfayk</t>
  </si>
  <si>
    <t>https://thumb.tapecontent.net/thumb/7kww2LgDA1f4Ad/vVJJ2p3Zy3sDjQ.jpg</t>
  </si>
  <si>
    <t>Lana Rhoades - 88485313 - Onlyfans.jpg</t>
  </si>
  <si>
    <t>https://doodstream.com/d/zwqej4hkfdu9/</t>
  </si>
  <si>
    <t>https://lulustream.com/d/8n664uzd5btv</t>
  </si>
  <si>
    <t>#teen #brunette #blowjob #amateur</t>
  </si>
  <si>
    <t>https://thumb.tapecontent.net/thumb/WQjYVbOB7yUgo6/Xo0bO1rZy9UDqOw.jpg</t>
  </si>
  <si>
    <t>Lana Rhoades - 95202033 - ripnsfw.com.jpg</t>
  </si>
  <si>
    <t>https://doodstream.com/d/jwzutubqbw1q/</t>
  </si>
  <si>
    <t>https://lulustream.com/d/g7a2muj131ae</t>
  </si>
  <si>
    <t>#Anal, #BigTits, #Creampie, #Hardcore, #Bigass, #Porn, #Teen, #Blowjob, #Deepthroat</t>
  </si>
  <si>
    <t>#Anal #BigTits #Creampie #Hardcore #Bigass</t>
  </si>
  <si>
    <t>https://thumb.tapecontent.net/thumb/LM6aaLYJ1YHRk1G/owYW8KwgpvSJ2g6.jpg</t>
  </si>
  <si>
    <t>Lanie Morgan - 99629422 - ripnsfw.com.jpg</t>
  </si>
  <si>
    <t>https://doodstream.com/d/umbnde71eher/</t>
  </si>
  <si>
    <t>https://lulustream.com/d/433396slyt07</t>
  </si>
  <si>
    <t>#BigTits, #Hardcore, #Creampie, #Teen, #Roleplay, #Artporn, #Blowjob, #Amateur</t>
  </si>
  <si>
    <t>#BigTits #Hardcore #Creampie #Teen #Roleplay #Artporn #Blowjob</t>
  </si>
  <si>
    <t>https://thumb.tapecontent.net/thumb/aY10XbDoBMTd46/o69dllarbQiJrG4.jpg</t>
  </si>
  <si>
    <t>LaSirena69 - 20115278 - ripnsfw.com - Keisha Grey.jpg</t>
  </si>
  <si>
    <t>https://doodstream.com/d/37t5g1t9g21w/</t>
  </si>
  <si>
    <t>https://lulustream.com/d/ug6dfdg12xv2</t>
  </si>
  <si>
    <t>#MILF, #BigTits, #Hardcore, #Threesome, #Bigass, #Latina, #Blowjob, #Amateur</t>
  </si>
  <si>
    <t>#MILF #BigTits #Hardcore #Threesome #Bigass #Latina #Blowjob</t>
  </si>
  <si>
    <t>https://thumb.tapecontent.net/thumb/6BKj82jlYvS99qz/pzPq1JM3mPsVZ2.jpg</t>
  </si>
  <si>
    <t>LaSirena69 - 22949278 - ripnsfw.com.jpg</t>
  </si>
  <si>
    <t>https://doodstream.com/d/6mt8vg9tyoba/</t>
  </si>
  <si>
    <t>https://lulustream.com/d/2uux38n9r9p6</t>
  </si>
  <si>
    <t>#MILF, #BigTits, #Hardcore, #Bigass, #Latina, #Blowjob, #Amateur, #Facial</t>
  </si>
  <si>
    <t>https://thumb.tapecontent.net/thumb/LDQx07O2zXhRoaX/YPORkD3G7BcLQo.jpg</t>
  </si>
  <si>
    <t>LaSirena69 - 35812000 - ripnsfw.com.jpg</t>
  </si>
  <si>
    <t>https://doodstream.com/d/4dggl4q59loj/</t>
  </si>
  <si>
    <t>https://lulustream.com/d/vvhc51aphy1j</t>
  </si>
  <si>
    <t>#Anal, #MILF, #BigTits, #Creampie, #Hardcore, #Bigass, #Latina, #Blowjob, #Stepmom, #Amateur</t>
  </si>
  <si>
    <t>#Anal #MILF #BigTits #Creampie #Hardcore #Bigass #Latina #Blowjob #Stepmom #Amateur</t>
  </si>
  <si>
    <t>https://thumb.tapecontent.net/thumb/MXBlXmzegdSmW9G/x9ZLyVGZPQfkbpy.jpg</t>
  </si>
  <si>
    <t>LaSirena69 - 42144025 - ripnsfw.com.jpg</t>
  </si>
  <si>
    <t>https://doodstream.com/d/1uguistzryoh/</t>
  </si>
  <si>
    <t>https://lulustream.com/d/2w7lf82l7yi1</t>
  </si>
  <si>
    <t>#MILF, #BigTits, #Hardcore, #Bigass, #Latina, #Roleplay, #Blowjob, #Amateur</t>
  </si>
  <si>
    <t>#MILF #BigTits #Hardcore #Bigass #Latina #Roleplay #Blowjob</t>
  </si>
  <si>
    <t>https://thumb.tapecontent.net/thumb/jVgyw9aV9yT2Qy/1jBlwJXPYRteemk.jpg</t>
  </si>
  <si>
    <t>LaSirena69 - 51141387 - Onlyfans.jpg</t>
  </si>
  <si>
    <t>https://doodstream.com/d/u0y83df6m8b1/</t>
  </si>
  <si>
    <t>https://lulustream.com/d/hiccwmsigyvq</t>
  </si>
  <si>
    <t>#milf #pov #blowjob #brunette</t>
  </si>
  <si>
    <t>https://thumb.tapecontent.net/thumb/zDk4LO6YJvsX0B/D22KAedG3rukP1y.jpg</t>
  </si>
  <si>
    <t>LaSirena69 - 54968486 - ripnsfw.com - Lena the plug.jpg</t>
  </si>
  <si>
    <t>https://doodstream.com/d/y2bxr0naqv2n/</t>
  </si>
  <si>
    <t>https://lulustream.com/d/swcjioeh648y</t>
  </si>
  <si>
    <t>#MILF, #BigTits, #Hardcore, #Threesome, #Bigass, #Latina, #Amateur, #Facial, #Blowjob</t>
  </si>
  <si>
    <t>#MILF #BigTits #Hardcore #Threesome #Bigass #Latina #Amateur #Facial #Blowjob</t>
  </si>
  <si>
    <t>https://thumb.tapecontent.net/thumb/81j8jOGwjaFogal/P6wMbwJ7KyI0KxQ.jpg</t>
  </si>
  <si>
    <t>LaSirena69 - 61463431 - ripnsfw.com.jpg</t>
  </si>
  <si>
    <t>https://doodstream.com/d/jhlo6j6xqbhr/</t>
  </si>
  <si>
    <t>https://lulustream.com/d/2a197z6v0yal</t>
  </si>
  <si>
    <t>#MILF, #BigTits, #Hardcore, #Black, #Threesome, #Interracial, #Bigass, #Porn, #Latina, #Blowjob, #DoublePenetration, #Deepthroat, #Facial</t>
  </si>
  <si>
    <t>#MILF #BigTits #Hardcore #Black #Threesome #Interracial</t>
  </si>
  <si>
    <t>https://thumb.tapecontent.net/thumb/8XBj3k4GJWcoBPl/P8brOOOBpMt0OmA.jpg</t>
  </si>
  <si>
    <t>LaSirena69 - 78164881 - ripnsfw.com.jpg</t>
  </si>
  <si>
    <t>https://doodstream.com/d/8ue93x3b799w/</t>
  </si>
  <si>
    <t>https://lulustream.com/d/fh9pivuncijh</t>
  </si>
  <si>
    <t>#MILF #BigTits #Hardcore #Bigass #Latina #Blowjob #Amateur #Facial</t>
  </si>
  <si>
    <t>https://thumb.tapecontent.net/thumb/9jVZJM6DmkFaaq4/KQ9dq6vy9OHbKx.jpg</t>
  </si>
  <si>
    <t>LaSirena69 - 91388699 - ripnsfw.com.jpg</t>
  </si>
  <si>
    <t>https://doodstream.com/d/7sto15l1aa8j/</t>
  </si>
  <si>
    <t>https://lulustream.com/d/m0trvrmye187</t>
  </si>
  <si>
    <t>#MILF, #BigTits, #Anal, #Hardcore, #Bigass, #Latina, #Blowjob, #Amateur, #Hotwife, #Deepthroat</t>
  </si>
  <si>
    <t>#MILF #BigTits #Anal #Hardcore #Bigass #Latina #Blowjob</t>
  </si>
  <si>
    <t>https://thumb.tapecontent.net/thumb/a2qWWQlpdytxqpx/QeWQbRebGyc0j7R.jpg</t>
  </si>
  <si>
    <t>Laura - 60887387 - ripnsfw.com.jpg</t>
  </si>
  <si>
    <t>https://doodstream.com/d/5iq2n58ufh4l/</t>
  </si>
  <si>
    <t>https://lulustream.com/d/gek3vp15apdx</t>
  </si>
  <si>
    <t>#Anal, #MILF, #BigTits, #Creampie, #Hardcore, #Bigass, #Porn, #Blowjob</t>
  </si>
  <si>
    <t>#Anal #MILF #BigTits #Creampie #Hardcore #Bigass</t>
  </si>
  <si>
    <t>https://thumb.tapecontent.net/thumb/jOolWryOmVFDG9/1x00pylq0mHrbe.jpg</t>
  </si>
  <si>
    <t>Lauren Phillips - 11178968 - OF.jpg</t>
  </si>
  <si>
    <t>https://doodstream.com/d/2e3p0aidtj5m/</t>
  </si>
  <si>
    <t>https://lulustream.com/d/q5m6p4bem1oz</t>
  </si>
  <si>
    <t>https://thumb.tapecontent.net/thumb/kowyqKdelPTOqww/23G04YddDXsZwgg.jpg</t>
  </si>
  <si>
    <t>Lauren Phillips - 11919211 - ripnsfw.com.jpg</t>
  </si>
  <si>
    <t>https://doodstream.com/d/p56p69igsdd1/</t>
  </si>
  <si>
    <t>https://lulustream.com/d/xu3gwgbqo76w</t>
  </si>
  <si>
    <t>https://thumb.tapecontent.net/thumb/QA3w9WedM7sJ9b/6mL3RVL9KRIePM.jpg</t>
  </si>
  <si>
    <t>Lauren Phillips - 25755399 - Camsoda.jpg</t>
  </si>
  <si>
    <t>https://doodstream.com/d/exdt9lhdn7h2/</t>
  </si>
  <si>
    <t>https://lulustream.com/d/apuqydathhdk</t>
  </si>
  <si>
    <t>#milf #bigtits #bigass #porn</t>
  </si>
  <si>
    <t>https://thumb.tapecontent.net/thumb/1W3VylWlBYTeZAB/PvJg03RZVoi0KzD.jpg</t>
  </si>
  <si>
    <t>Lauren Phillips - 39940867 - Chaturbate.jpg</t>
  </si>
  <si>
    <t>https://doodstream.com/d/ckb4cvgbsx2o/</t>
  </si>
  <si>
    <t>https://lulustream.com/d/z68j13ji3uj6</t>
  </si>
  <si>
    <t>https://thumb.tapecontent.net/thumb/ZjjADd7d1BIwZ2/AqKOGg7rD9cwVa.jpg</t>
  </si>
  <si>
    <t>Lauren Phillips - 43962331 - PornWorld.jpg</t>
  </si>
  <si>
    <t>https://doodstream.com/d/xbzbo1h7u966/</t>
  </si>
  <si>
    <t>https://lulustream.com/d/9jjckeggp6pb</t>
  </si>
  <si>
    <t>#Anal, #MILF, #BigTits, #Hardcore, #Threesome, #Bigass, #Porn, #Stepmom, #Blowjob, #Amateur, #Hotwife, #Deepthroat, #Facial</t>
  </si>
  <si>
    <t>#Anal #MILF #BigTits #Hardcore #Threesome #Bigass #Porn #Stepmom #Blowjob #Amateur #Hotwife #Deepthroat</t>
  </si>
  <si>
    <t>https://thumb.tapecontent.net/thumb/A6jo748V12FDGm/gYzXGmR71PUqMOy.jpg</t>
  </si>
  <si>
    <t>Lauren Phillips - 44561077 - MTS - Molly Little.jpg</t>
  </si>
  <si>
    <t>https://doodstream.com/d/nvj9x0qislwk/</t>
  </si>
  <si>
    <t>https://lulustream.com/d/nasaq9nvwiu7</t>
  </si>
  <si>
    <t>#milf #blowjob #bigtits #threesome</t>
  </si>
  <si>
    <t>https://thumb.tapecontent.net/thumb/3w1eWOKgDXUa4R/YKqwzGAzmPTBWZ.jpg</t>
  </si>
  <si>
    <t>Lauren Phillips - 50946753 - ripnsfw.com.jpg</t>
  </si>
  <si>
    <t>https://doodstream.com/d/0vgnj34uct4j/</t>
  </si>
  <si>
    <t>https://lulustream.com/d/nftfm5r3s6ra</t>
  </si>
  <si>
    <t>https://thumb.tapecontent.net/thumb/D93Pbwr9kWtkOjo/mP3rJ0O88YFdab.jpg</t>
  </si>
  <si>
    <t>Lauren Phillips - 56919928 - FS.jpg</t>
  </si>
  <si>
    <t>https://doodstream.com/d/i38go9px2hqt/</t>
  </si>
  <si>
    <t>https://lulustream.com/d/izk56x0euqb7</t>
  </si>
  <si>
    <t>https://thumb.tapecontent.net/thumb/Jp3j7xwvBVfj12a/djpe0RylQjHkpBl.jpg</t>
  </si>
  <si>
    <t>Lauren Phillips - 59454267 - Milfy.jpg</t>
  </si>
  <si>
    <t>https://doodstream.com/d/4x51qhhz966i/</t>
  </si>
  <si>
    <t>https://lulustream.com/d/nfahj9voadgy</t>
  </si>
  <si>
    <t>#milf #anal #bigtits #doublepenetration</t>
  </si>
  <si>
    <t>https://thumb.tapecontent.net/thumb/9v63axLZ2Of9ML/aqpyK07Ye6S2Yx.jpg</t>
  </si>
  <si>
    <t>Lauren Phillips - 60929494 - ripnsfw.com.jpg</t>
  </si>
  <si>
    <t>https://doodstream.com/d/inpp8go9o5k4/</t>
  </si>
  <si>
    <t>https://lulustream.com/d/prqe7tfeao0e</t>
  </si>
  <si>
    <t>https://thumb.tapecontent.net/thumb/dOp3KqyQlQt7Ky/klyA1D82KaT66y.jpg</t>
  </si>
  <si>
    <t>Lauren Phillips - 61130047 - MWTB.jpg</t>
  </si>
  <si>
    <t>https://doodstream.com/d/nixcsk2rry22/</t>
  </si>
  <si>
    <t>https://lulustream.com/d/xka1ah5m76n2</t>
  </si>
  <si>
    <t>Lauren Phillips - 77774724 - ripnsfw.com.jpg</t>
  </si>
  <si>
    <t>https://doodstream.com/d/jn7asgjqh6y8/</t>
  </si>
  <si>
    <t>https://lulustream.com/d/o75kl08myy2d</t>
  </si>
  <si>
    <t>#MILF, #BigTits, #Hardcore, #Black, #Interracial, #Threesome, #Bigass, #Porn, #Blowjob, #DoublePenetration, #Deepthroat, #Facial</t>
  </si>
  <si>
    <t>#MILF #BigTits #Hardcore #Black #Interracial #Threesome #Bigass #Porn #Blowjob #DoublePenetration #Deepthroat #Facial</t>
  </si>
  <si>
    <t>https://thumb.tapecontent.net/thumb/apky1VzD4RHx1Kl/y20K3qWlYoS1row.jpg</t>
  </si>
  <si>
    <t>Lauren Phillips - 82716686 - Onlyfans.jpg</t>
  </si>
  <si>
    <t>https://doodstream.com/d/ruin6avlwzgu/</t>
  </si>
  <si>
    <t>https://lulustream.com/d/372l2rfp5yky</t>
  </si>
  <si>
    <t>https://thumb.tapecontent.net/thumb/8WPjW6m7A6SovKo/6blZW2mJPxc9088.jpg</t>
  </si>
  <si>
    <t>Lauren Phillips - 86627243 - ripnsfw.com.jpg</t>
  </si>
  <si>
    <t>https://doodstream.com/d/2b11zue3wlnw/</t>
  </si>
  <si>
    <t>https://lulustream.com/d/b7we97jbuu0s</t>
  </si>
  <si>
    <t>#Anal, #MILF, #BigTits, #Creampie, #Hardcore, #Gangbang, #Black, #Interracial, #Bigass, #Porn, #Blowjob, #Deepthroat, #Facial</t>
  </si>
  <si>
    <t>#Anal #MILF #BigTits #Creampie #Hardcore #Gangbang #Black #Interracial #Bigass #Porn #Blowjob</t>
  </si>
  <si>
    <t>https://thumb.tapecontent.net/thumb/PLRLmK34R6F0azB/wZjJV6geePtJbM7.jpg</t>
  </si>
  <si>
    <t>Lauren Phillips - 88465112 - MF.jpg</t>
  </si>
  <si>
    <t>https://doodstream.com/d/raxtlzj5hcfi/</t>
  </si>
  <si>
    <t>https://lulustream.com/d/94f4ebqm8h0a</t>
  </si>
  <si>
    <t>https://thumb.tapecontent.net/thumb/ePA4komRdMS97z/7jowXd80QwSApKw.jpg</t>
  </si>
  <si>
    <t>Lauren Phillips - 92862302 - Mylf.jpg</t>
  </si>
  <si>
    <t>https://doodstream.com/d/i7rfgn6a1xut/</t>
  </si>
  <si>
    <t>https://lulustream.com/d/it96lc4kdj8b</t>
  </si>
  <si>
    <t>#MILF, #BigTits, #Hardcore, #Bigass, #Porn, #Roleplay, #Stepmom, #Blowjob, #Facial</t>
  </si>
  <si>
    <t>#MILF #BigTits #Hardcore #Bigass #Porn #Roleplay #Stepmom #Blowjob #Facial</t>
  </si>
  <si>
    <t>https://thumb.tapecontent.net/thumb/Kw01LOl6PpS08eK/RDOa1Rm7XPtdwK7.jpg</t>
  </si>
  <si>
    <t>Lauren Phillips - 95493352 - ripnsfw.com.jpg</t>
  </si>
  <si>
    <t>https://doodstream.com/d/hobcdiffzzmb/</t>
  </si>
  <si>
    <t>https://lulustream.com/d/483u7xxscrp2</t>
  </si>
  <si>
    <t>#MILF, #BigTits, #Creampie, #Hardcore, #Bigass, #Porn, #Blowjob, #Deepthroat</t>
  </si>
  <si>
    <t>#MILF #BigTits #Creampie #Hardcore #Bigass #Porn</t>
  </si>
  <si>
    <t>https://thumb.tapecontent.net/thumb/RA06BypKALTdWDx/ZV8ZaOKX68TMOv.jpg</t>
  </si>
  <si>
    <t>Lauren Phillips - 99942714 - OF.jpg</t>
  </si>
  <si>
    <t>https://doodstream.com/d/bu71nvqc98ag/</t>
  </si>
  <si>
    <t>https://lulustream.com/d/l482m7exb0mj</t>
  </si>
  <si>
    <t>https://thumb.tapecontent.net/thumb/V0kLoGAXGOcKdry/zGXBm9k9DrsYBGM.jpg</t>
  </si>
  <si>
    <t>Lena Paul - 21328114 - Onlyfans.jpg</t>
  </si>
  <si>
    <t>https://doodstream.com/d/lz02l8oww3f3/</t>
  </si>
  <si>
    <t>https://lulustream.com/d/mpi7b4n2tv54</t>
  </si>
  <si>
    <t>https://thumb.tapecontent.net/thumb/o1G1xWYGYZiJell/kDBgOrxPqpHO442.jpg</t>
  </si>
  <si>
    <t>Lena Paul - 27997914 - Onlyfans.jpg</t>
  </si>
  <si>
    <t>https://doodstream.com/d/d9ue7865uo0l/</t>
  </si>
  <si>
    <t>https://lulustream.com/d/puekgfug9zso</t>
  </si>
  <si>
    <t>#milf #blonde #bigtits #doggystyle</t>
  </si>
  <si>
    <t>https://thumb.tapecontent.net/thumb/xkd3KLYLL0CkYqX/2O7aPP1Qj9iZwgG.jpg</t>
  </si>
  <si>
    <t>Lena Paul - 30756435 - Onlyfans.jpg</t>
  </si>
  <si>
    <t>https://doodstream.com/d/yqgz0esgcm5p/</t>
  </si>
  <si>
    <t>https://lulustream.com/d/rwsh7ttqnl24</t>
  </si>
  <si>
    <t>#MILF, #BigTits, #Hardcore, #Bigass, #Stepmom, #Amateur, #Blowjob, #Hotwife, #Deepthroat, #Blonde</t>
  </si>
  <si>
    <t>https://thumb.tapecontent.net/thumb/MXB11JQmx7Ima1l/PbZGK61ryvi0KDj.jpg</t>
  </si>
  <si>
    <t>Lena Paul - 31870577 - ripnsfw.com.jpg</t>
  </si>
  <si>
    <t>https://doodstream.com/d/y3lz8tlaq0xb/</t>
  </si>
  <si>
    <t>https://lulustream.com/d/g9rfrjr8waet</t>
  </si>
  <si>
    <t>https://thumb.tapecontent.net/thumb/Qd8PeDK0eAiR7d/zX7K3qOa6DiYDG7.jpg</t>
  </si>
  <si>
    <t>Lena Paul - 32115319 - Onlyfans - Angel Youngs.jpg</t>
  </si>
  <si>
    <t>https://doodstream.com/d/jmval7j34m7y/</t>
  </si>
  <si>
    <t>https://lulustream.com/d/8hwazoojiw8r</t>
  </si>
  <si>
    <t>#MILF, #BigTits, #Lesbian, #Bigass</t>
  </si>
  <si>
    <t>#MILF #BigTits #Lesbian #Bigass</t>
  </si>
  <si>
    <t>https://thumb.tapecontent.net/thumb/3WBoJyA32zhdQaL/BzKwlK9je2tydvK.jpg</t>
  </si>
  <si>
    <t>Lena Paul - 37180502 - ripnsfw.com.jpg</t>
  </si>
  <si>
    <t>https://doodstream.com/d/tv78ktj32rgw/</t>
  </si>
  <si>
    <t>https://lulustream.com/d/ubg3m9mzp2r3</t>
  </si>
  <si>
    <t>#MILF #BigTits #Hardcore #Bigass #Blowjob #Amateur #Hotwife</t>
  </si>
  <si>
    <t>https://thumb.tapecontent.net/thumb/VVqaG3lLpehKJaM/dQKAlJvgwQHbq4.jpg</t>
  </si>
  <si>
    <t>Lena Paul - 41030276 - Onlyfans - Susie Stellar.jpg</t>
  </si>
  <si>
    <t>https://doodstream.com/d/0mwotdtwcgpx/</t>
  </si>
  <si>
    <t>https://lulustream.com/d/5trkyyf9gqlv</t>
  </si>
  <si>
    <t>https://thumb.tapecontent.net/thumb/KAWx6Pr9qqf0y6V/3azLYwr10btd1xo.jpg</t>
  </si>
  <si>
    <t>Lena Paul - 41292465 - ripnsfw.com.jpg</t>
  </si>
  <si>
    <t>https://doodstream.com/d/5dxgxzvxrta6/</t>
  </si>
  <si>
    <t>https://lulustream.com/d/dd00hm3trppv</t>
  </si>
  <si>
    <t>#MILF, #BigTits, #Blowjob, #Amateur, #Hotwife, #Blonde, #Facial</t>
  </si>
  <si>
    <t>https://thumb.tapecontent.net/thumb/PZKV8GjV7gT04d3/P7m0907MJPtxlx.jpg</t>
  </si>
  <si>
    <t>Lena Paul - 44319291 - ripnsfw.com.jpg</t>
  </si>
  <si>
    <t>https://doodstream.com/d/ekqf7cw1ztrw/</t>
  </si>
  <si>
    <t>https://lulustream.com/d/n420o64q00kl</t>
  </si>
  <si>
    <t>#MILF, #BigTits, #Hardcore, #Bigass, #Blowjob, #Amateur, #Hotwife, #Deepthroat, #Blonde, #Facial</t>
  </si>
  <si>
    <t>#MILF #BigTits #Hardcore #Bigass #Blowjob #Amateur #Hotwife #Deepthroat</t>
  </si>
  <si>
    <t>https://thumb.tapecontent.net/thumb/VoKk4JXeOJFkQz/bezlZDQ3xWhPArY.jpg</t>
  </si>
  <si>
    <t>Lena Paul - 57956824 - MLR.jpg</t>
  </si>
  <si>
    <t>https://doodstream.com/d/lmgj4sziwv55/</t>
  </si>
  <si>
    <t>https://lulustream.com/d/rzwec9zqiaya</t>
  </si>
  <si>
    <t>https://thumb.tapecontent.net/thumb/R6Poy6k2l6Cd4vj/BXGYxMArd6uyaMg.jpg</t>
  </si>
  <si>
    <t>Lena Paul - 58507052 - ripnsfw.com.jpg</t>
  </si>
  <si>
    <t>https://doodstream.com/d/18odr1v4hyy9/</t>
  </si>
  <si>
    <t>https://lulustream.com/d/bed0f8l9uikq</t>
  </si>
  <si>
    <t>#Anal, #MILF, #BigTits, #Creampie, #Hardcore, #Bigass, #Blowjob, #Amateur, #Deepthroat, #Blonde</t>
  </si>
  <si>
    <t>#Anal #MILF #BigTits #Creampie #Hardcore #Bigass #Blowjob</t>
  </si>
  <si>
    <t>https://thumb.tapecontent.net/thumb/aZR9jR28v9fxV1D/Yp3BAm4MOzFByd.jpg</t>
  </si>
  <si>
    <t>Lena Paul - 63024767 - Onlyfans.jpg</t>
  </si>
  <si>
    <t>https://doodstream.com/d/o80x67gkjk4j/</t>
  </si>
  <si>
    <t>https://lulustream.com/d/ha5odfou3gw5</t>
  </si>
  <si>
    <t>#bigtits #milf #solo #dildo</t>
  </si>
  <si>
    <t>https://thumb.tapecontent.net/thumb/owwAqvpW0pCvaX/LaVpPp347MiR1MY.jpg</t>
  </si>
  <si>
    <t>Lena Paul - 69129060 - Onlyfans.jpg</t>
  </si>
  <si>
    <t>https://doodstream.com/d/ri13pntqhkon/</t>
  </si>
  <si>
    <t>https://lulustream.com/d/u83v3q6a484x</t>
  </si>
  <si>
    <t>https://thumb.tapecontent.net/thumb/YGJWxemXwQtvyeX/dropzQg62zF1dm.jpg</t>
  </si>
  <si>
    <t>Lena Paul - 82667033 - ripnsfw.com.jpg</t>
  </si>
  <si>
    <t>https://doodstream.com/d/xgx1ru5f5e7e/</t>
  </si>
  <si>
    <t>https://lulustream.com/d/xpkelppr29mh</t>
  </si>
  <si>
    <t>https://thumb.tapecontent.net/thumb/bKorlmWRQXCPgpD/PybPa0WZ3Of07bj.jpg</t>
  </si>
  <si>
    <t>Lena Paul - 84320153 - Onlyfans.jpg</t>
  </si>
  <si>
    <t>https://doodstream.com/d/xoqcwuguryty/</t>
  </si>
  <si>
    <t>https://lulustream.com/d/5nn2euyjsuqz</t>
  </si>
  <si>
    <t>#milf #solo #bigtits #bigass</t>
  </si>
  <si>
    <t>https://thumb.tapecontent.net/thumb/yPL2OkdmrrTkZG/pYMV3OMoeDTr9vB.jpg</t>
  </si>
  <si>
    <t>Lena Paul - 84424299 - ripnsfw.com.jpg</t>
  </si>
  <si>
    <t>https://doodstream.com/d/3j92dahq9jhg/</t>
  </si>
  <si>
    <t>https://lulustream.com/d/wuwnbiibozwd</t>
  </si>
  <si>
    <t>https://thumb.tapecontent.net/thumb/zrR17qYyYAip7A/XJgZ2eR37diD7Mp.jpg</t>
  </si>
  <si>
    <t>Lena Paul - 94995910 - ripnsfw.com.jpg</t>
  </si>
  <si>
    <t>https://doodstream.com/d/c77qr2kbhodx/</t>
  </si>
  <si>
    <t>https://lulustream.com/d/r9asamlzfwbh</t>
  </si>
  <si>
    <t>#MILF, #BigTits, #Bigass, #Solo, #Blonde</t>
  </si>
  <si>
    <t>#MILF #BigTits #Bigass #Solo #Blonde</t>
  </si>
  <si>
    <t>https://thumb.tapecontent.net/thumb/Voa98bPKroUKlyl/M7o9dY6qoyTdLa.jpg</t>
  </si>
  <si>
    <t>Lena Paul - 98221198 - ripnsfw.com.jpg</t>
  </si>
  <si>
    <t>https://doodstream.com/d/fx6sgs48ukn3/</t>
  </si>
  <si>
    <t>https://lulustream.com/d/0x5eiglhit36</t>
  </si>
  <si>
    <t>#MILF, #BigTits, #Hardcore, #Bigass, #Amateur, #Hotwife, #Blonde</t>
  </si>
  <si>
    <t>https://thumb.tapecontent.net/thumb/LV4eooMVr2FRpZ3/Rqw9q4wO7eFdl2y.jpg</t>
  </si>
  <si>
    <t>Lena Polanski - 13773574 - Onlyfans.jpg</t>
  </si>
  <si>
    <t>https://doodstream.com/d/kla9i8moytjr/</t>
  </si>
  <si>
    <t>https://lulustream.com/d/qsr2i9lgtrs8</t>
  </si>
  <si>
    <t>#teen #blonde #bigtits #creampie</t>
  </si>
  <si>
    <t>https://thumb.tapecontent.net/thumb/DepyLkg4KXikX7g/KQVdOV8rMJu01qM.jpg</t>
  </si>
  <si>
    <t>Lena Polanski - 24946235 - ripnsfw.com.jpg</t>
  </si>
  <si>
    <t>https://doodstream.com/d/7z48hempim3s/</t>
  </si>
  <si>
    <t>https://lulustream.com/d/zm8avh4d22wa</t>
  </si>
  <si>
    <t>#Anal, #BigTits, #Hardcore, #Bigass, #Teen, #Blowjob, #Amateur, #Deepthroat, #Blonde, #Facial</t>
  </si>
  <si>
    <t>https://thumb.tapecontent.net/thumb/W8LGOR9zQrcb4aa/yAD1gARDzyCwPm.jpg</t>
  </si>
  <si>
    <t>Lena Polanski - 38748871 - Onlyfans.jpg</t>
  </si>
  <si>
    <t>https://doodstream.com/d/dzjkywizqjad/</t>
  </si>
  <si>
    <t>https://lulustream.com/d/dhzac4cbevaj</t>
  </si>
  <si>
    <t>#blonde #teen #bigtits #blowjob</t>
  </si>
  <si>
    <t>https://thumb.tapecontent.net/thumb/4xQowJjo7Ziyme/G9q40Mpx1LC1Gvq.jpg</t>
  </si>
  <si>
    <t>Lena Polanski - 39109462 - ripnsfw.com.jpg</t>
  </si>
  <si>
    <t>https://doodstream.com/d/pxf1z6zni3t7/</t>
  </si>
  <si>
    <t>https://lulustream.com/d/i5wg7hqjfomq</t>
  </si>
  <si>
    <t>#Anal, #BigTits, #Creampie, #Hardcore, #Bigass, #Teen, #Blowjob, #Amateur, #Deepthroat, #Blonde</t>
  </si>
  <si>
    <t>#Anal #BigTits #Creampie #Hardcore #Bigass #Teen #Blowjob #Amateur #Deepthroat</t>
  </si>
  <si>
    <t>https://thumb.tapecontent.net/thumb/0pDwMypRGdCb84e/QDBbWZlwOkI0OOv.jpg</t>
  </si>
  <si>
    <t>Lena Polanski - 51375358 - ripnsfw.com - Cheerleader Kait.jpg</t>
  </si>
  <si>
    <t>https://doodstream.com/d/rtwu4lufarmg/</t>
  </si>
  <si>
    <t>https://lulustream.com/d/v73wcxnymewk</t>
  </si>
  <si>
    <t>https://thumb.tapecontent.net/thumb/qKrZ46OpGvUzg8m/BAe33V0VBoTy4Zm.jpg</t>
  </si>
  <si>
    <t>Lena Polanski - 66318390 - ripnsfw.com.jpg</t>
  </si>
  <si>
    <t>https://doodstream.com/d/qis3c1jqahj8/</t>
  </si>
  <si>
    <t>https://lulustream.com/d/ca68bet1imhw</t>
  </si>
  <si>
    <t>#BigTits, #Creampie, #Hardcore, #Bigass, #Teen, #Artporn, #Blowjob, #Amateur, #Blonde</t>
  </si>
  <si>
    <t>#BigTits #Creampie #Hardcore #Bigass #Teen #Artporn #Blowjob #Amateur #Blonde</t>
  </si>
  <si>
    <t>https://thumb.tapecontent.net/thumb/wGXybV9z99SJbzP/1p6kDJ07jbFePMk.jpg</t>
  </si>
  <si>
    <t>Lena Polanski - 91091749 - ripnsfw.com.jpg</t>
  </si>
  <si>
    <t>https://doodstream.com/d/jju9cmab9g89/</t>
  </si>
  <si>
    <t>https://lulustream.com/d/c5ige4t7kwoe</t>
  </si>
  <si>
    <t>#BigTits #Creampie #Hardcore #Bigass #Teen #Blowjob #Amateur #Deepthroat</t>
  </si>
  <si>
    <t>https://thumb.tapecontent.net/thumb/8VB8GLvDgmCoVRy/74o3yXqa0lTM7y.jpg</t>
  </si>
  <si>
    <t>Lena Polanski - 91174981 - ripnsfw.com.jpg</t>
  </si>
  <si>
    <t>https://doodstream.com/d/nvhpfiqbsq0b/</t>
  </si>
  <si>
    <t>https://lulustream.com/d/3v1ahggxw1s7</t>
  </si>
  <si>
    <t>https://thumb.tapecontent.net/thumb/Q0BXv0ZL1WT0oWY/z3mQLXZrMvhYrv8.jpg</t>
  </si>
  <si>
    <t>Lena the plug - 15985766 - Onlyfans.jpg</t>
  </si>
  <si>
    <t>https://doodstream.com/d/53iaalcpvf4b/</t>
  </si>
  <si>
    <t>https://lulustream.com/d/yy9x09w9z0m8</t>
  </si>
  <si>
    <t>https://thumb.tapecontent.net/thumb/aqpYVopKRgIxLdP/J3AQWBRa6kSroO.jpg</t>
  </si>
  <si>
    <t>Lena the plug - 18963060 - Onlyfans - Sinatra Monroe.jpg</t>
  </si>
  <si>
    <t>https://doodstream.com/d/dc56meb5hj9v/</t>
  </si>
  <si>
    <t>https://lulustream.com/d/iey51kgptzqa</t>
  </si>
  <si>
    <t>#MILF, #BigTits, #Hardcore, #Threesome, #Bigass, #Blowjob, #Stepmom, #Amateur, #Hotwife, #Deepthroat</t>
  </si>
  <si>
    <t>#MILF #BigTits #Hardcore #Threesome #Bigass #Blowjob #Stepmom</t>
  </si>
  <si>
    <t>https://thumb.tapecontent.net/thumb/4qlWWW7x9YTK0lj/oxw7ybO8mzsv2e.jpg</t>
  </si>
  <si>
    <t>Lena the plug - 29767304 - Onlyfans.jpg</t>
  </si>
  <si>
    <t>https://doodstream.com/d/4rulwkdwgg81/</t>
  </si>
  <si>
    <t>https://lulustream.com/d/n6zfj44eds0f</t>
  </si>
  <si>
    <t>https://thumb.tapecontent.net/thumb/4qB4AXK2aWHKbpX/ZrO48XWYYOTqJZ1.jpg</t>
  </si>
  <si>
    <t>Lena the plug - 35146123 - Onlyfans - Jewelz Blu.jpg</t>
  </si>
  <si>
    <t>https://doodstream.com/d/5od2geulqid5/</t>
  </si>
  <si>
    <t>https://lulustream.com/d/pw7trcvapqcl</t>
  </si>
  <si>
    <t>https://thumb.tapecontent.net/thumb/oZRD34dM8OUxo0/3dY4Xm8jWDcdK04.jpg</t>
  </si>
  <si>
    <t>Lena the plug - 44691980 - Onlyfans.jpg</t>
  </si>
  <si>
    <t>https://doodstream.com/d/pp90m82ap5ez/</t>
  </si>
  <si>
    <t>https://lulustream.com/d/qmiluejocsno</t>
  </si>
  <si>
    <t>https://thumb.tapecontent.net/thumb/MrkAXLpkdZimVYg/goPgavpAdoIgq2.jpg</t>
  </si>
  <si>
    <t>Lena the plug - 44757154 - ripnsfw.com.jpg</t>
  </si>
  <si>
    <t>https://doodstream.com/d/u0upu4ekcach/</t>
  </si>
  <si>
    <t>https://lulustream.com/d/ypsepkslsobp</t>
  </si>
  <si>
    <t>#MILF, #BigTits, #Hardcore, #Black, #Bigass, #Blowjob, #Amateur, #Hotwife, #Deepthroat, #Facial</t>
  </si>
  <si>
    <t>https://thumb.tapecontent.net/thumb/GWKRpxwXlrI1p9v/WQOow7xl23tbvvo.jpg</t>
  </si>
  <si>
    <t>Lena the plug - 62542301 - Onlyfans.jpg</t>
  </si>
  <si>
    <t>https://doodstream.com/d/busnk0xrv0re/</t>
  </si>
  <si>
    <t>https://lulustream.com/d/sqei02qk2th4</t>
  </si>
  <si>
    <t>https://thumb.tapecontent.net/thumb/PqvXDBlGPpt039d/llrzLZaZVdU7gDl.jpg</t>
  </si>
  <si>
    <t>Lena the plug - 74722268 - Onlyfans.jpg</t>
  </si>
  <si>
    <t>https://doodstream.com/d/1zq8u0l79ouf/</t>
  </si>
  <si>
    <t>https://lulustream.com/d/s7nrem3sveq0</t>
  </si>
  <si>
    <t>https://thumb.tapecontent.net/thumb/dvPOVjqwKLIkowL/6wqrOPoVG7tZMB.jpg</t>
  </si>
  <si>
    <t>Lena the plug - 75484337 - Onlyfans.jpg</t>
  </si>
  <si>
    <t>https://doodstream.com/d/s0rhwcdx13ju/</t>
  </si>
  <si>
    <t>https://lulustream.com/d/ebu8z6u9j04g</t>
  </si>
  <si>
    <t>#threesome #milf #blowjob #bigtits</t>
  </si>
  <si>
    <t>https://thumb.tapecontent.net/thumb/l4GoQ18PWduolY/k0mwd7RPR8COJV9.jpg</t>
  </si>
  <si>
    <t>Lena the plug - 79601210 - Onlyfans.jpg</t>
  </si>
  <si>
    <t>https://doodstream.com/d/g3qosmd7zb6c/</t>
  </si>
  <si>
    <t>https://lulustream.com/d/4iovuc0mcg07</t>
  </si>
  <si>
    <t>https://thumb.tapecontent.net/thumb/pbjpYxZ7zacrOgG/R9Wyx80pqXcdRpp.jpg</t>
  </si>
  <si>
    <r>
      <rPr>
        <sz val="10"/>
        <rFont val="Arial"/>
      </rPr>
      <t xml:space="preserve">Lena the plug - 85084017 - </t>
    </r>
    <r>
      <rPr>
        <u/>
        <sz val="10"/>
        <color rgb="FF1155CC"/>
        <rFont val="Arial"/>
      </rPr>
      <t>ripnsfw.com</t>
    </r>
    <r>
      <rPr>
        <sz val="10"/>
        <rFont val="Arial"/>
      </rPr>
      <t>.jpg</t>
    </r>
  </si>
  <si>
    <t>https://doodstream.com/d/kp2wn8ma1ct3/</t>
  </si>
  <si>
    <t>https://lulustream.com/d/2us24lnpfh8a</t>
  </si>
  <si>
    <t>#MILF, #BigTits, #Hardcore, #Bigass, #Latina, #Stepmom, #Blowjob, #Amateur, #Hotwife, #Facial, #Deepthroat</t>
  </si>
  <si>
    <t>https://thumb.tapecontent.net/thumb/OxK128PJ39tZyoB/GkY2OGx4XXtovW.jpg</t>
  </si>
  <si>
    <t>Lena the plug - 85746653 - Onlyfans.jpg</t>
  </si>
  <si>
    <t>https://doodstream.com/d/ant9vosfkq0q/</t>
  </si>
  <si>
    <t>https://lulustream.com/d/vyv38tveubte</t>
  </si>
  <si>
    <t>https://thumb.tapecontent.net/thumb/jv2lDY03dkfD9R/XWJvLVLxzPIZ4O.jpg</t>
  </si>
  <si>
    <t>Lexi Belle - 14586632 - Onlyfans.jpg</t>
  </si>
  <si>
    <t>https://doodstream.com/d/vnbecbxipr51/</t>
  </si>
  <si>
    <t>https://lulustream.com/d/odv5jczmsubb</t>
  </si>
  <si>
    <t>#Hardcore, #Teen, #Blowjob, #Amateur</t>
  </si>
  <si>
    <t>#Hardcore #Teen #Blowjob #Amateur</t>
  </si>
  <si>
    <t>https://thumb.tapecontent.net/thumb/eAm6yvkmjZcYzAR/6w2mVzoejLt9jQq.jpg</t>
  </si>
  <si>
    <t>Lexi Belle - 30943150 - Onlyfans.jpg</t>
  </si>
  <si>
    <t>https://doodstream.com/d/8tqu72h7lllv/</t>
  </si>
  <si>
    <t>https://lulustream.com/d/5gacj4ordbnq</t>
  </si>
  <si>
    <t>https://thumb.tapecontent.net/thumb/mOyMb4Z6j4CdkW/wGx8GWb2VMtWwa.jpg</t>
  </si>
  <si>
    <t>Lexi Belle - 43590742 - Onlyfans.jpg</t>
  </si>
  <si>
    <t>https://doodstream.com/d/f2sbpfgftmr2/</t>
  </si>
  <si>
    <t>https://lulustream.com/d/n0yeqy5649p8</t>
  </si>
  <si>
    <t>https://thumb.tapecontent.net/thumb/4zPRWrG9ozFra1/MxQVka4BOkswJ7.jpg</t>
  </si>
  <si>
    <t>Lexi Belle - 50640426 - Onlyfans.jpg</t>
  </si>
  <si>
    <t>https://doodstream.com/d/eckkhtpcb0iq/</t>
  </si>
  <si>
    <t>https://lulustream.com/d/nsjpvu46rj1l</t>
  </si>
  <si>
    <t>#teen #blowjob #roleplay #pov</t>
  </si>
  <si>
    <t>https://thumb.tapecontent.net/thumb/3wJKvGebqZUdedg/GwX02AK2JBc1RyQ.jpg</t>
  </si>
  <si>
    <t>Lexi Belle - 86205405 - Onlyfans.jpg</t>
  </si>
  <si>
    <t>https://doodstream.com/d/7ae2jekew11j/</t>
  </si>
  <si>
    <t>https://lulustream.com/d/0jmrvjewvf3p</t>
  </si>
  <si>
    <t>#MILF, #Blowjob, #Amateur, #Blonde</t>
  </si>
  <si>
    <t>#MILF #Blowjob #Amateur #Blonde</t>
  </si>
  <si>
    <t>https://thumb.tapecontent.net/thumb/0WqpYAaY3WTbwPM/gRxgqWD7dMs4GW.jpg</t>
  </si>
  <si>
    <t>Lexi Belle - 89537050 - Onlyfans.jpg</t>
  </si>
  <si>
    <t>https://doodstream.com/d/xvzc3ntle4zs/</t>
  </si>
  <si>
    <t>https://lulustream.com/d/9o4bpulrnxg8</t>
  </si>
  <si>
    <t>#teen #blowjob #roleplay #amateur</t>
  </si>
  <si>
    <t>https://thumb.tapecontent.net/thumb/DZg3olZXjeFDd7/ldmQ80yXols7LQM.jpg</t>
  </si>
  <si>
    <t>Lilibet Saunders - 22672446 - ripnsfw.com.jpg</t>
  </si>
  <si>
    <t>https://doodstream.com/d/syednfqi2czd/</t>
  </si>
  <si>
    <t>https://lulustream.com/d/cm0udikm5btr</t>
  </si>
  <si>
    <t>#BigTits, #Hardcore, #Black, #Interracial, #Bigass, #Porn, #Teen, #Blowjob, #Deepthroat, #Facial</t>
  </si>
  <si>
    <t>https://thumb.tapecontent.net/thumb/k9eZzjDJ4gCO1Ar/Oxp082m1Kyi7ow.jpg</t>
  </si>
  <si>
    <t>Lilibet Saunders - 51729589 - TH - Cory Chase.jpg</t>
  </si>
  <si>
    <t>https://doodstream.com/d/epxr2y00ybva/</t>
  </si>
  <si>
    <t>https://lulustream.com/d/s3hjoa1qcxbt</t>
  </si>
  <si>
    <t>https://thumb.tapecontent.net/thumb/K9brDymOY1f01BP/prQzXraVWaFR63.jpg</t>
  </si>
  <si>
    <t>Lilibet Saunders - 57590408 - FamilyTherapy.jpg</t>
  </si>
  <si>
    <t>https://doodstream.com/d/14ctq1ev6ezp/</t>
  </si>
  <si>
    <t>https://lulustream.com/d/dp5h5bqhl9kx</t>
  </si>
  <si>
    <t>#BigTits, #Hardcore, #Bigass, #Teen, #Artporn, #Blowjob, #Amateur, #Facial</t>
  </si>
  <si>
    <t>https://thumb.tapecontent.net/thumb/AJZXWQ7d8eImWp/Jk0v86YGedtjxQ7.jpg</t>
  </si>
  <si>
    <t>Lilibet Saunders - 59586146 - ripnsfw.com.jpg</t>
  </si>
  <si>
    <t>https://doodstream.com/d/qip1qarxrjsw/</t>
  </si>
  <si>
    <t>https://lulustream.com/d/hbbedc5ckluh</t>
  </si>
  <si>
    <t>#BigTits #Hardcore #Black #Interracial #Bigass #Porn #Teen #Blowjob</t>
  </si>
  <si>
    <t>https://thumb.tapecontent.net/thumb/BqAZ87j6y9cQOw/3VDgMQpVB8hdmvX.jpg</t>
  </si>
  <si>
    <t>Lilibet Saunders - 66638774 - ripnsfw.com.jpg</t>
  </si>
  <si>
    <t>https://doodstream.com/d/xpl94upkr2q0/</t>
  </si>
  <si>
    <t>https://lulustream.com/d/zko8l0tg2fa8</t>
  </si>
  <si>
    <t>#BigTits, #Hardcore, #Bigass, #Teen, #Blowjob, #Porn, #Facial</t>
  </si>
  <si>
    <t>https://thumb.tapecontent.net/thumb/YwlA4PwJe4CdGO/R9YYrbpxL6HZQo.jpg</t>
  </si>
  <si>
    <t>Lilibet Saunders - 73049112 - TT.jpg</t>
  </si>
  <si>
    <t>https://doodstream.com/d/k3mw8zyqsclc/</t>
  </si>
  <si>
    <t>https://lulustream.com/d/xrlp5zokar9z</t>
  </si>
  <si>
    <t>#teen #bigtits #porn #bigass</t>
  </si>
  <si>
    <t>https://thumb.tapecontent.net/thumb/BvjVR1BaOrsVBV/ZDJYAemmeZUqJeg.jpg</t>
  </si>
  <si>
    <t>Lily Lanes - 49905651 - ripnsfw.com.jpg</t>
  </si>
  <si>
    <t>https://doodstream.com/d/g9k6jwn7u2eg/</t>
  </si>
  <si>
    <t>https://lulustream.com/d/bx3a642ibpqs</t>
  </si>
  <si>
    <t>https://thumb.tapecontent.net/thumb/OqAaKpgbQ1ig3G/OPPk9BMQvKcZjKe.jpg</t>
  </si>
  <si>
    <t>Lily Lanes - 66507163 - Onlyfans.jpg</t>
  </si>
  <si>
    <t>https://doodstream.com/d/rhfzvs3r7dl8/</t>
  </si>
  <si>
    <t>https://lulustream.com/d/j453xg41yytk</t>
  </si>
  <si>
    <t>#bigtits #bigass #teen #blowjob</t>
  </si>
  <si>
    <t>https://thumb.tapecontent.net/thumb/jYGm4XD3oLim9p/o6Do9dkqMWUJ80p.jpg</t>
  </si>
  <si>
    <t>Lily Lanes - 72145197 - Onlyfans.jpg</t>
  </si>
  <si>
    <t>https://doodstream.com/d/duc0cd5ofl0t/</t>
  </si>
  <si>
    <t>https://lulustream.com/d/68ui0wgr5mn3</t>
  </si>
  <si>
    <t>https://thumb.tapecontent.net/thumb/zM9zg8LeoLUyjJ/1AxJZ1qb0XteP26.jpg</t>
  </si>
  <si>
    <t>Lily Lanes - 94429684 - Onlyfans.jpg</t>
  </si>
  <si>
    <t>https://doodstream.com/d/wz2pocnou9xu/</t>
  </si>
  <si>
    <t>https://lulustream.com/d/mvu7kixamvm3</t>
  </si>
  <si>
    <t>#teen #blonde #blowjob #pov</t>
  </si>
  <si>
    <t>https://thumb.tapecontent.net/thumb/m3gRYPGeqRU634/KGgJKld62RIovM.jpg</t>
  </si>
  <si>
    <t>Lily Lou - 84313016 - ripnsfw.com - Lena the plug.jpg</t>
  </si>
  <si>
    <t>https://doodstream.com/d/u5iv9s2edjab/</t>
  </si>
  <si>
    <t>https://lulustream.com/d/60i76fng21pw</t>
  </si>
  <si>
    <t>#MILF, #BigTits, #Hardcore, #Creampie, #Bigass, #Blowjob, #Amateur, #Deepthroat</t>
  </si>
  <si>
    <t>#MILF #BigTits #Hardcore #Creampie #Bigass #Blowjob</t>
  </si>
  <si>
    <t>https://thumb.tapecontent.net/thumb/Mj9L2AzRJkTmJyX/2gevJLopPmFZ3w1.jpg</t>
  </si>
  <si>
    <t>Lily Phillips - 13508856 - Onlyfans - Annie Kate.jpg</t>
  </si>
  <si>
    <t>https://doodstream.com/d/edqhy2usqdrx/</t>
  </si>
  <si>
    <t>https://lulustream.com/d/0tk3oo52duw8</t>
  </si>
  <si>
    <t>#anal #teen #doublepenetration #bigass</t>
  </si>
  <si>
    <t>https://thumb.tapecontent.net/thumb/vgdL73Zj8PS49rq/zboA3d72wKCYYq9.jpg</t>
  </si>
  <si>
    <t>Lily Phillips - 14574939 - Onlyfans.jpg</t>
  </si>
  <si>
    <t>https://doodstream.com/d/eqgaant86968/</t>
  </si>
  <si>
    <t>https://lulustream.com/d/6wo8gh05fhre</t>
  </si>
  <si>
    <t>#teen #gangbang #blowjob #bigass</t>
  </si>
  <si>
    <t>https://thumb.tapecontent.net/thumb/a4WYPDYrWPIxL0v/mY8qBz1o4ltbw3k.jpg</t>
  </si>
  <si>
    <t>Lily Phillips - 16139632 - Onlyfans.jpg</t>
  </si>
  <si>
    <t>https://doodstream.com/d/sw3hg6fev1ei/</t>
  </si>
  <si>
    <t>https://lulustream.com/d/wjfhrla9o7ua</t>
  </si>
  <si>
    <t>https://thumb.tapecontent.net/thumb/GAbl9Y13MRh1rpy/Y8Y6bQeKlpTL7m.jpg</t>
  </si>
  <si>
    <t>Lily Phillips - 25426930 - Onlyfans - Bonnie Blue.jpg</t>
  </si>
  <si>
    <t>https://doodstream.com/d/zcllkxfau0xx/</t>
  </si>
  <si>
    <t>https://lulustream.com/d/u1qxoddv5f2h</t>
  </si>
  <si>
    <t>#teen #bigtits #blowjob #threesome</t>
  </si>
  <si>
    <t>https://thumb.tapecontent.net/thumb/pbQQVDR0yMFraKA/Vd8RRz6BAqtKK4j.jpg</t>
  </si>
  <si>
    <t>Lily Phillips - 40018720 - PB.jpg</t>
  </si>
  <si>
    <t>https://doodstream.com/d/ubgixx0t0tnw/</t>
  </si>
  <si>
    <t>https://lulustream.com/d/utj9axz7yriz</t>
  </si>
  <si>
    <t>https://thumb.tapecontent.net/thumb/y7202Jy4zwim8y/dvQzGjaW6XHkWZR.jpg</t>
  </si>
  <si>
    <t>Lily Phillips - 41732670 - Onlyfans.jpg</t>
  </si>
  <si>
    <t>https://doodstream.com/d/hyiw9mk4x5t1/</t>
  </si>
  <si>
    <t>https://lulustream.com/d/g9kex0k248mg</t>
  </si>
  <si>
    <t>#teen #cuckold #blowjob #blonde</t>
  </si>
  <si>
    <t>https://thumb.tapecontent.net/thumb/P9MaZPP1ZyIkBQ/KzY916MzpKHAZ9.jpg</t>
  </si>
  <si>
    <t>Lily Phillips - 45303572 - Onlyfans.jpg</t>
  </si>
  <si>
    <t>https://doodstream.com/d/c37uidbupzl8/</t>
  </si>
  <si>
    <t>https://lulustream.com/d/pft0uesfnvnn</t>
  </si>
  <si>
    <t>#teen #blonde #gangbang #cumshot</t>
  </si>
  <si>
    <t>https://thumb.tapecontent.net/thumb/VVX7Rbg6VKFKRzG/BGRAe4Xqg1Cm81.jpg</t>
  </si>
  <si>
    <t>Lily Phillips - 58309361 - Onlyfans.jpg</t>
  </si>
  <si>
    <t>https://doodstream.com/d/kuv8sbafwpxv/</t>
  </si>
  <si>
    <t>https://lulustream.com/d/1m6x8n6nx4mm</t>
  </si>
  <si>
    <t>#teen #gangbang #doublepenetration #piss</t>
  </si>
  <si>
    <t>https://thumb.tapecontent.net/thumb/vDAm2BjrQMi4XDZ/xk1bG1LqDdfkRZJ.jpg</t>
  </si>
  <si>
    <t>Lily Phillips - 59344750 - Onlyfans.jpg</t>
  </si>
  <si>
    <t>https://doodstream.com/d/r567rlxm5pib/</t>
  </si>
  <si>
    <t>https://lulustream.com/d/ywwr79k68yi2</t>
  </si>
  <si>
    <t>#teen #gangbang #interracial #blowjob</t>
  </si>
  <si>
    <t>https://thumb.tapecontent.net/thumb/LdeXOOZbOVfRzYj/JydWdoXWJgUjD66.jpg</t>
  </si>
  <si>
    <t>Lily Phillips - 62412720 - Onlyfans.jpg</t>
  </si>
  <si>
    <t>https://doodstream.com/d/64d8ambzmhi5/</t>
  </si>
  <si>
    <t>https://lulustream.com/d/fth8zrannchz</t>
  </si>
  <si>
    <t>#anal #bigass #blonde #blowjob</t>
  </si>
  <si>
    <t>https://thumb.tapecontent.net/thumb/RyPvzbJ3K3Ud376/x96m9wK37lCkrPe.jpg</t>
  </si>
  <si>
    <t>Lily Phillips - 65483042 - TTPOV.jpg</t>
  </si>
  <si>
    <t>https://doodstream.com/d/1n0l5e9urcfb/</t>
  </si>
  <si>
    <t>https://lulustream.com/d/2aer9iefl3j9</t>
  </si>
  <si>
    <t>#anal #creampie #hardcore #threesome</t>
  </si>
  <si>
    <t>https://thumb.tapecontent.net/thumb/o2zr94XKAjCJmkZ/9bG3pjpVqOiY0Z.jpg</t>
  </si>
  <si>
    <t>Lily Phillips - 70477182 - ripnsfw.com.jpg</t>
  </si>
  <si>
    <t>https://doodstream.com/d/gxr830trvz29/</t>
  </si>
  <si>
    <t>https://lulustream.com/d/0ems3op9a0kr</t>
  </si>
  <si>
    <t>#BigTits, #Hardcore, #Black, #Interracial, #Teen, #Blowjob, #Amateur, #Blonde</t>
  </si>
  <si>
    <t>#BigTits #Hardcore #Black #Interracial #Teen</t>
  </si>
  <si>
    <t>https://thumb.tapecontent.net/thumb/Y8BM11LjM2Uv9xk/1DA24q7694CeR4a.jpg</t>
  </si>
  <si>
    <t>Lily Phillips - 77002283 - PB.jpg</t>
  </si>
  <si>
    <t>https://doodstream.com/d/gmmh8h6416d4/</t>
  </si>
  <si>
    <t>https://lulustream.com/d/sdf4nslcgx4l</t>
  </si>
  <si>
    <t>#interracial #gangbang #doublepentration #blonde</t>
  </si>
  <si>
    <t>https://thumb.tapecontent.net/thumb/aoAevexXZDtzM9/6wZr7YPd18t9GxR.jpg</t>
  </si>
  <si>
    <t>Lily Phillips - 78144589 - Onlyfans.jpg</t>
  </si>
  <si>
    <t>https://doodstream.com/d/dj6fxrdjgmo3/</t>
  </si>
  <si>
    <t>https://lulustream.com/d/5w4ojbysu7fy</t>
  </si>
  <si>
    <t>https://thumb.tapecontent.net/thumb/wG7MrMRJqgHJyx8/OXpJmBwD77UZb22.jpg</t>
  </si>
  <si>
    <t>Lily Phillips - 89948601 - Onlyfans - Bonnie Blue.jpg</t>
  </si>
  <si>
    <t>https://doodstream.com/d/e2n6wwncapje/</t>
  </si>
  <si>
    <t>https://lulustream.com/d/fcpswmmrkklu</t>
  </si>
  <si>
    <t>#orgy #teens #blowjob #blonde</t>
  </si>
  <si>
    <t>https://thumb.tapecontent.net/thumb/9pQY7ymO8dIaxJD/VGPYKX6aLdiKM86.jpg</t>
  </si>
  <si>
    <t>Lily Phillips - 91665456 - AV.jpg</t>
  </si>
  <si>
    <t>https://doodstream.com/d/lsb5jyl5ix4c/</t>
  </si>
  <si>
    <t>https://lulustream.com/d/0uqevlop4ja1</t>
  </si>
  <si>
    <t>#anal #gangbang #hardcore #interracial</t>
  </si>
  <si>
    <t>https://thumb.tapecontent.net/thumb/GXLvwP0WvvTa7M/qy67Z6wr3XTzbMj.jpg</t>
  </si>
  <si>
    <t>Lily Phillips - 91773332 - Onlyfans - Annie Kate.jpg</t>
  </si>
  <si>
    <t>https://doodstream.com/d/5yp8f4hflbew/</t>
  </si>
  <si>
    <t>https://lulustream.com/d/dc0xx485fwd2</t>
  </si>
  <si>
    <t>#teen #blowjob #bigtits #gangbang</t>
  </si>
  <si>
    <t>https://thumb.tapecontent.net/thumb/BJKrq8yjDjuK80/goZ3MKj30rUqWLR.jpg</t>
  </si>
  <si>
    <t>Lily Phillips - 94901126 - ripnsfw.com.jpg</t>
  </si>
  <si>
    <t>https://doodstream.com/d/qnix79ori8xw/</t>
  </si>
  <si>
    <t>https://lulustream.com/d/q30u4og44rm1</t>
  </si>
  <si>
    <t>#BigTits, #Hardcore, #Gangbang, #Bigass, #Teen, #Blowjob, #Amateur, #Deepthroat, #Blonde, #Facial</t>
  </si>
  <si>
    <t>#BigTits #Hardcore #Gangbang #Bigass #Teen #Blowjob #Amateur #Deepthroat #Blonde</t>
  </si>
  <si>
    <t>https://thumb.tapecontent.net/thumb/Y7V6vAOo6Ltv4dm/XwgqWwVjk3UBYp.jpg</t>
  </si>
  <si>
    <t>Lily Phillips - 97081805 - Onlyfans.jpg</t>
  </si>
  <si>
    <t>https://doodstream.com/d/j87p80qlgtdm/</t>
  </si>
  <si>
    <t>https://lulustream.com/d/ktk4j7iv7pkj</t>
  </si>
  <si>
    <t>https://thumb.tapecontent.net/thumb/7R7RkdWJ2rs8vK/qvARmZko3QTzmaA.jpg</t>
  </si>
  <si>
    <t>Lily Phillips - 98914583 - Onlyfans.jpg</t>
  </si>
  <si>
    <t>https://doodstream.com/d/npltriquecwo/</t>
  </si>
  <si>
    <t>https://lulustream.com/d/3uii4rxtrrxt</t>
  </si>
  <si>
    <t>#doublepenetration #anal #teen #blonde</t>
  </si>
  <si>
    <t>https://thumb.tapecontent.net/thumb/2WVraxpoBVsZ78x/M7OYR28Qadce9Y.jpg</t>
  </si>
  <si>
    <t>Lily Phillips - 99616786 - Onlyfans.jpg</t>
  </si>
  <si>
    <t>https://doodstream.com/d/qtyin6yfq2md/</t>
  </si>
  <si>
    <t>https://lulustream.com/d/tf9e3nx80bxe</t>
  </si>
  <si>
    <t>https://thumb.tapecontent.net/thumb/ZXwyA9ly24FqW37/7mQWdeem3WIAg72.jpg</t>
  </si>
  <si>
    <t>Linzy Ray - 81129270 - Onlyfans.jpg</t>
  </si>
  <si>
    <t>https://doodstream.com/d/qwl2xcqakq2k/</t>
  </si>
  <si>
    <t>https://lulustream.com/d/mcjtcfnurwa5</t>
  </si>
  <si>
    <t>#teen #redhead #blowjob #facial</t>
  </si>
  <si>
    <t>https://thumb.tapecontent.net/thumb/JprGZYoRwkSj48w/wO9PM6D6LZIJ0LL.jpg</t>
  </si>
  <si>
    <t>Little Caprice - 39052768 - ripnsfw.com.jpg</t>
  </si>
  <si>
    <t>https://doodstream.com/d/34o92x653vuy/</t>
  </si>
  <si>
    <t>https://lulustream.com/d/auhbfy73yb9p</t>
  </si>
  <si>
    <t>#Anal, #Creampie, #Hardcore, #Porn, #Teen, #Blowjob, #Deepthroat</t>
  </si>
  <si>
    <t>#Anal #Creampie #Hardcore #Porn #Teen #Blowjob #Deepthroat</t>
  </si>
  <si>
    <t>https://thumb.tapecontent.net/thumb/m9gbOld4AyhbZL4/0pq7jqekG8tbzY1.jpg</t>
  </si>
  <si>
    <t>Little Caprice - 46057281 - ripnsfw.com.jpg</t>
  </si>
  <si>
    <t>https://doodstream.com/d/4dapso3f94f4/</t>
  </si>
  <si>
    <t>https://lulustream.com/d/cjcp0ka2hxd3</t>
  </si>
  <si>
    <t>https://thumb.tapecontent.net/thumb/4X1kQvGy08CVak/6k4KMAJexQU9wM6.jpg</t>
  </si>
  <si>
    <t>Little Caprice - 52891444 - ripnsfw.com.jpg</t>
  </si>
  <si>
    <t>https://doodstream.com/d/ekbpm5hagku8/</t>
  </si>
  <si>
    <t>https://lulustream.com/d/t42ilg635izg</t>
  </si>
  <si>
    <t>#Hardcore #Black #Interracial #Porn</t>
  </si>
  <si>
    <t>https://thumb.tapecontent.net/thumb/02aRkK90losbrBY/1WQ1DyeevOsejVj.jpg</t>
  </si>
  <si>
    <t>Little Caprice - 53639246 - ripnsfw.com.jpg</t>
  </si>
  <si>
    <t>https://doodstream.com/d/jehpqrf9vvat/</t>
  </si>
  <si>
    <t>https://lulustream.com/d/hkx64jdzffeg</t>
  </si>
  <si>
    <t>#MILF, #BigTits, #Hardcore, #Threesome, #Bigass, #Blowjob, #Amateur, #Deepthroat, #Facial, #DoublePenetration</t>
  </si>
  <si>
    <t>https://thumb.tapecontent.net/thumb/RA4Bvm8KOOILlX/O2gpVyg7bph9k0.jpg</t>
  </si>
  <si>
    <t>Little Caprice - 82751751 - LC.jpg</t>
  </si>
  <si>
    <t>https://doodstream.com/d/1a4vl4aefx8p/</t>
  </si>
  <si>
    <t>https://lulustream.com/d/8m5rrczn38t1</t>
  </si>
  <si>
    <t>#pornstar #milf #brunette #blowjob</t>
  </si>
  <si>
    <t>https://thumb.tapecontent.net/thumb/0rLKxeRqylHbGV4/oMmD3aM3OYTJaLw.jpg</t>
  </si>
  <si>
    <t>Liz Jordan - 21264575 - Onlyfans - Madi Ruve.jpg</t>
  </si>
  <si>
    <t>https://doodstream.com/d/kwnox8gg7nae/</t>
  </si>
  <si>
    <t>https://lulustream.com/d/v9s4godwhnon</t>
  </si>
  <si>
    <t>#Hardcore, #Threesome, #Teen, #Artporn, #Teens, #Blowjob, #Amateur, #Deepthroat, #Blonde, #Facial</t>
  </si>
  <si>
    <t>#Hardcore #Threesome #Teen #Artporn #Teens</t>
  </si>
  <si>
    <t>https://thumb.tapecontent.net/thumb/b1kye3jp38sPgoB/QK4azbj19VFwpD.jpg</t>
  </si>
  <si>
    <t>Lizzie Love - 81357602 - CathyScraving.jpg</t>
  </si>
  <si>
    <t>https://doodstream.com/d/j0tb39dsb32p/</t>
  </si>
  <si>
    <t>https://lulustream.com/d/2fozhgkn3c6f</t>
  </si>
  <si>
    <t>#orgy #creampie #teen #brunette</t>
  </si>
  <si>
    <t>https://thumb.tapecontent.net/thumb/2be3bxXQpdtxa8/YVezdjLZybHvmvA.jpg</t>
  </si>
  <si>
    <t>Lola Cheeks - 43319214 - BackroomCastingCouch.jpg</t>
  </si>
  <si>
    <t>https://doodstream.com/d/hn44gcrzycs2/</t>
  </si>
  <si>
    <t>https://lulustream.com/d/t6tb7zpietl3</t>
  </si>
  <si>
    <t>#Casting, #Hardcore, #Bigass, #Porn, #Teen, #Blowjob, #Deepthroat, #Blonde, #Facial</t>
  </si>
  <si>
    <t>#Casting #Hardcore #Bigass #Porn</t>
  </si>
  <si>
    <t>https://thumb.tapecontent.net/thumb/7dMZMmgdWXIAjyd/27aYYWvdlOCZ9Pg.jpg</t>
  </si>
  <si>
    <t>Lola Valentine - 67255151 - ripnsfw.com.jpg</t>
  </si>
  <si>
    <t>https://doodstream.com/d/q3gz3rfdw70b/</t>
  </si>
  <si>
    <t>https://lulustream.com/d/gwpdy2o82i9e</t>
  </si>
  <si>
    <t>#Creampie, #Hardcore, #Gangbang, #Black, #Interracial, #Bigass, #Porn, #Teen, #Blowjob</t>
  </si>
  <si>
    <t>#Creampie #Hardcore #Gangbang #Black #Interracial #Bigass</t>
  </si>
  <si>
    <t>https://thumb.tapecontent.net/thumb/WGggO7jWvwIg8l/gvMGbBLm62TqRpk.jpg</t>
  </si>
  <si>
    <t>London - 68537971 - ripnsfw.com.jpg</t>
  </si>
  <si>
    <t>https://doodstream.com/d/b47oc09tbr49/</t>
  </si>
  <si>
    <t>https://lulustream.com/d/1qjwh336fz8i</t>
  </si>
  <si>
    <t>#Creampie #Hardcore #Porn #Teen</t>
  </si>
  <si>
    <t>https://thumb.tapecontent.net/thumb/dLbJbgqKaYCbml/dZkwMP41e0fkpDe.jpg</t>
  </si>
  <si>
    <t>Lucy - 87467552 - BackroomCastingCouch.jpg</t>
  </si>
  <si>
    <t>https://doodstream.com/d/693ypiy9gddo/</t>
  </si>
  <si>
    <t>https://lulustream.com/d/ug1cp7fj1jnx</t>
  </si>
  <si>
    <t>#anal #teen #redhead #casting</t>
  </si>
  <si>
    <t>https://thumb.tapecontent.net/thumb/Rj8dVakVJ8tdzv1/vWWLDZ4jv1u2Q1.jpg</t>
  </si>
  <si>
    <t>Lucy Foxx - 13250580 - TS.jpg</t>
  </si>
  <si>
    <t>https://doodstream.com/d/qkzpwznja4ws/</t>
  </si>
  <si>
    <t>https://lulustream.com/d/apmocpbjvo0v</t>
  </si>
  <si>
    <t>#Hardcore, #Porn, #Teen, #Blowjob</t>
  </si>
  <si>
    <t>#Hardcore #Porn #Teen #Blowjob</t>
  </si>
  <si>
    <t>https://thumb.tapecontent.net/thumb/xv27x9YPdoskpYe/8Z4PzD4D73Iodvm.jpg</t>
  </si>
  <si>
    <t>Lucy Foxx - 84642179 - XVRED.jpg</t>
  </si>
  <si>
    <t>https://doodstream.com/d/euwgaojto050/</t>
  </si>
  <si>
    <t>https://lulustream.com/d/3cgchvalb336</t>
  </si>
  <si>
    <t>#teen #blowjob #hardcore #redhead</t>
  </si>
  <si>
    <t>https://thumb.tapecontent.net/thumb/mevgWk6PGoHbojY/kPkQyPkobXCOObD.jpg</t>
  </si>
  <si>
    <t>Lucy Mochi - 11144877 - Onlyfans.jpg</t>
  </si>
  <si>
    <t>https://doodstream.com/d/h5rkupr5eiie/</t>
  </si>
  <si>
    <t>https://lulustream.com/d/37eiu9nhtpxd</t>
  </si>
  <si>
    <t>https://thumb.tapecontent.net/thumb/9vbyxA1X1qC6OJ/dADBP6e6R6fkmke.jpg</t>
  </si>
  <si>
    <t>Lucy Mochi - 15336383 - ripnsfw.com.jpg</t>
  </si>
  <si>
    <t>https://doodstream.com/d/5dohslxgopbq/</t>
  </si>
  <si>
    <t>https://lulustream.com/d/bf1jfi923tmx</t>
  </si>
  <si>
    <t>#Anal, #BigTits, #Hardcore, #Asian, #Black, #Teen, #Artporn, #Blowjob, #Amateur, #Deepthroat</t>
  </si>
  <si>
    <t>#Anal #BigTits #Hardcore #Asian #Black #Teen #Artporn</t>
  </si>
  <si>
    <t>https://thumb.tapecontent.net/thumb/ogdZRQ8kZetJJKZ/29VOr47Z2LHZl91.jpg</t>
  </si>
  <si>
    <t>Lucy Mochi - 16687170 - Onlyfans - Nicole Doshi.jpg</t>
  </si>
  <si>
    <t>https://doodstream.com/d/ejsqhruqinta/</t>
  </si>
  <si>
    <t>https://lulustream.com/d/k2vmehxdjp7s</t>
  </si>
  <si>
    <t>#threesome #asian #brunette #blowjob</t>
  </si>
  <si>
    <t>https://thumb.tapecontent.net/thumb/q6kYXQJkMoIzpbP/wGVeq0rmLGSJ2WW.jpg</t>
  </si>
  <si>
    <t>Lucy Mochi - 23173703 - Onlyfans - JasmineTeaa.jpg</t>
  </si>
  <si>
    <t>https://doodstream.com/d/2n61ih9m436l/</t>
  </si>
  <si>
    <t>https://lulustream.com/d/jw9uvyhwk167</t>
  </si>
  <si>
    <t>#foursome #asian #teens #blowjob</t>
  </si>
  <si>
    <t>https://thumb.tapecontent.net/thumb/qOLgjY4ekRizm7w/dV8VZXWb0xsZxW.jpg</t>
  </si>
  <si>
    <t>Lucy Mochi - 25810112 - ripnsfw.com - JackandJill.jpg</t>
  </si>
  <si>
    <t>https://doodstream.com/d/iciuv1qgub3s/</t>
  </si>
  <si>
    <t>https://lulustream.com/d/8r4ks5m384jq</t>
  </si>
  <si>
    <t>#Creampie, #Hardcore, #Asian, #Teen, #Blowjob, #Amateur, #Deepthroat</t>
  </si>
  <si>
    <t>#Creampie #Hardcore #Asian #Teen</t>
  </si>
  <si>
    <t>https://thumb.tapecontent.net/thumb/AAX8rdAkY0tXL44/XxWVO6kkqaSAoP.jpg</t>
  </si>
  <si>
    <t>Lucy Mochi - 29122637 - Onlyfans.jpg</t>
  </si>
  <si>
    <t>https://doodstream.com/d/7jkz05a17gpr/</t>
  </si>
  <si>
    <t>https://lulustream.com/d/n70agds24emq</t>
  </si>
  <si>
    <t>#creampie #asian #teen #blowjob</t>
  </si>
  <si>
    <t>https://thumb.tapecontent.net/thumb/2DOyBxOgzruZZxP/ZwOpAZrXbBSq9o1.jpg</t>
  </si>
  <si>
    <t>Lucy Mochi - 29196588 - ripnsfw.com.jpg</t>
  </si>
  <si>
    <t>https://doodstream.com/d/eil9jnwlpco5/</t>
  </si>
  <si>
    <t>https://lulustream.com/d/bnw7mrgnt19x</t>
  </si>
  <si>
    <t>#BigTits, #Hardcore, #Asian, #Interracial, #Porn, #Teen, #Blowjob, #Deepthroat, #Facial</t>
  </si>
  <si>
    <t>#BigTits #Hardcore #Asian #Interracial #Porn #Teen #Blowjob #Deepthroat</t>
  </si>
  <si>
    <t>https://thumb.tapecontent.net/thumb/W8BxDe0aj6cbOJQ/DjA0ao0gYecxBv.jpg</t>
  </si>
  <si>
    <t>Lucy Mochi - 29795650 - Onlyfans.jpg</t>
  </si>
  <si>
    <t>https://doodstream.com/d/7sw6nx7eihmu/</t>
  </si>
  <si>
    <t>https://lulustream.com/d/aa9rsnagn8ie</t>
  </si>
  <si>
    <t>#creampie #teen #asian #blowjob</t>
  </si>
  <si>
    <t>https://thumb.tapecontent.net/thumb/QyA7eLzDadh04Bv/abvAJ3XWQbUx6b4.jpg</t>
  </si>
  <si>
    <t>Lucy Mochi - 31426357 - Onlyfans.jpg</t>
  </si>
  <si>
    <t>https://doodstream.com/d/vsl09wz714t9/</t>
  </si>
  <si>
    <t>https://lulustream.com/d/3q0ovw4pq8xu</t>
  </si>
  <si>
    <t>#anal #teen #asian #blowjob</t>
  </si>
  <si>
    <t>https://thumb.tapecontent.net/thumb/4mBjzegAA2fKaWx/J0vqeBqd0Xh98X.jpg</t>
  </si>
  <si>
    <t>Lucy Mochi - 35825034 - Onlyfans - Jackandjill - EtherealClaire.jpg</t>
  </si>
  <si>
    <t>https://doodstream.com/d/l6b5udt7mkan/</t>
  </si>
  <si>
    <t>https://lulustream.com/d/tzhuodwm1hwo</t>
  </si>
  <si>
    <t>#Creampie, #Hardcore, #Threesome, #Interracial, #Asian, #Teen, #Artporn, #Teens, #Blowjob, #Amateur, #Deepthroat, #Blonde</t>
  </si>
  <si>
    <t>#Creampie #Hardcore #Threesome #Interracial #Asian #Teen #Artporn #Teens #Blowjob</t>
  </si>
  <si>
    <t>https://thumb.tapecontent.net/thumb/4v4Z2dzkxZurrq/o6YyezG1bxCJXO9.jpg</t>
  </si>
  <si>
    <t>Lucy Mochi - 36879561 - Onlyfans.jpg</t>
  </si>
  <si>
    <t>https://doodstream.com/d/4ofzry9hcbpl/</t>
  </si>
  <si>
    <t>https://lulustream.com/d/mnwhnzombcag</t>
  </si>
  <si>
    <t>#teen #asian #blowjob #threesome</t>
  </si>
  <si>
    <t>https://thumb.tapecontent.net/thumb/BGwxAoGadOiykOq/Q1WPZOo0LXf866.jpg</t>
  </si>
  <si>
    <t>Lucy Mochi - 40363312 - Onlyfans - AliceOnCam.jpg</t>
  </si>
  <si>
    <t>https://doodstream.com/d/u8rtyh2vzs7x/</t>
  </si>
  <si>
    <t>https://lulustream.com/d/260zvhweefxy</t>
  </si>
  <si>
    <t>#Creampie, #Hardcore, #Asian, #Threesome</t>
  </si>
  <si>
    <t>#Creampie #Hardcore #Asian #Threesome</t>
  </si>
  <si>
    <t>https://thumb.tapecontent.net/thumb/kbDjkvGLM7fOXDo/8R6pbRjaLwsozrL.jpg</t>
  </si>
  <si>
    <t>Lucy Mochi - 40777494 - ripnsfw.com.jpg</t>
  </si>
  <si>
    <t>https://doodstream.com/d/csnc5e63u2c0/</t>
  </si>
  <si>
    <t>https://lulustream.com/d/dm2pjdbqvrbs</t>
  </si>
  <si>
    <t>#BigTits, #Hardcore, #Asian, #Black, #Interracial, #Porn, #Teen, #Blowjob, #Deepthroat, #Facial</t>
  </si>
  <si>
    <t>#BigTits #Hardcore #Asian #Black #Interracial #Porn</t>
  </si>
  <si>
    <t>https://thumb.tapecontent.net/thumb/QwbZo7WP0gt0l80/KJQq3KO4ReSoeJ.jpg</t>
  </si>
  <si>
    <t>Lucy Mochi - 43122219 - ripnsfw.com - Georgia Stone.jpg</t>
  </si>
  <si>
    <t>https://doodstream.com/d/qanzhz7gvx2h/</t>
  </si>
  <si>
    <t>https://lulustream.com/d/ardvsp7ue1pp</t>
  </si>
  <si>
    <t>#BigTits, #Hardcore, #Threesome, #Teen, #Asian, #Amateur, #Deepthroat, #Blowjob</t>
  </si>
  <si>
    <t>#BigTits #Hardcore #Threesome #Teen #Asian #Amateur</t>
  </si>
  <si>
    <t>https://thumb.tapecontent.net/thumb/Z2PB77G7zriM66/2KYJxaoe46tQpw.jpg</t>
  </si>
  <si>
    <t>Lucy Mochi - 48837763 - Onlyfans.jpg</t>
  </si>
  <si>
    <t>https://doodstream.com/d/itkxi8prgki5/</t>
  </si>
  <si>
    <t>https://lulustream.com/d/ey6jh857e4te</t>
  </si>
  <si>
    <t>#Hardcore, #Asian, #Teen, #Blowjob</t>
  </si>
  <si>
    <t>#Hardcore #Asian #Teen #Blowjob</t>
  </si>
  <si>
    <t>https://thumb.tapecontent.net/thumb/GKG1mAl1BZU1Xw6/k3r1eQPRz6FOdAB.jpg</t>
  </si>
  <si>
    <t>Lucy Mochi - 54228852 - Anal Therapy.jpg</t>
  </si>
  <si>
    <t>https://doodstream.com/d/1ai4quoywkkz/</t>
  </si>
  <si>
    <t>https://lulustream.com/d/2bcobaa1diie</t>
  </si>
  <si>
    <t>#anal #teen #asian #facial</t>
  </si>
  <si>
    <t>https://thumb.tapecontent.net/thumb/GQyPQLpYz9t1Dmb/Qd8OQK4Xamsgwm.jpg</t>
  </si>
  <si>
    <t>Lucy Mochi - 66984989 - Family Therapy.jpg</t>
  </si>
  <si>
    <t>https://doodstream.com/d/4ojaxoykxobr/</t>
  </si>
  <si>
    <t>https://lulustream.com/d/5qxveibtpwht</t>
  </si>
  <si>
    <t>#teen #asian #anal #blowjob</t>
  </si>
  <si>
    <t>https://thumb.tapecontent.net/thumb/1By8ree3q1fbza/XbWd6qdpBxiDRQV.jpg</t>
  </si>
  <si>
    <t>Lucy Mochi - 82807987 - ripnsfw.com - Clara Trinity.jpg</t>
  </si>
  <si>
    <t>https://doodstream.com/d/67wdbaqinx5v/</t>
  </si>
  <si>
    <t>https://lulustream.com/d/ljthr300jho2</t>
  </si>
  <si>
    <t>#BigTits, #Hardcore, #Asian, #Threesome, #Teen, #Teens, #Blowjob, #Amateur, #Hotwife, #Deepthroat</t>
  </si>
  <si>
    <t>#BigTits #Hardcore #Asian #Threesome #Teen</t>
  </si>
  <si>
    <t>https://thumb.tapecontent.net/thumb/kKryYXPpbXcQRG/7z0Yz9JmzlsJOY.jpg</t>
  </si>
  <si>
    <t>Lucy Mochi - 89542094 - Onlyfans.jpg</t>
  </si>
  <si>
    <t>https://doodstream.com/d/kq8e6z2013d7/</t>
  </si>
  <si>
    <t>https://lulustream.com/d/galueit23gsu</t>
  </si>
  <si>
    <t>#anal #teen #asian #creampie</t>
  </si>
  <si>
    <t>https://thumb.tapecontent.net/thumb/PkWZ3la1ZyC0j7w/Kkd9K4pWO1Cwk8.jpg</t>
  </si>
  <si>
    <t>Lucy Mochi - 93294370 - ripnsfw.com.jpg</t>
  </si>
  <si>
    <t>https://doodstream.com/d/3wrjn5nb97dl/</t>
  </si>
  <si>
    <t>https://lulustream.com/d/98orjiynqydm</t>
  </si>
  <si>
    <t>#BigTits, #Hardcore, #Asian, #Threesome, #Interracial, #Teen, #Blowjob, #Amateur</t>
  </si>
  <si>
    <t>#BigTits #Hardcore #Asian #Threesome #Interracial</t>
  </si>
  <si>
    <t>https://thumb.tapecontent.net/thumb/ggZWzrzk6viqo8d/vlP4XglpJBUDkd.jpg</t>
  </si>
  <si>
    <t>Lucy Mochi - 99388211 - Onlyfans.jpg</t>
  </si>
  <si>
    <t>https://doodstream.com/d/pgc7cbtifkam/</t>
  </si>
  <si>
    <t>https://lulustream.com/d/9skc8d33vwsw</t>
  </si>
  <si>
    <t>#creampie #teen #asian #outdoor</t>
  </si>
  <si>
    <t>https://thumb.tapecontent.net/thumb/84vaaPbW8wIMl8/6jqL2ojozvs9yrB.jpg</t>
  </si>
  <si>
    <t>Maddie Wren - 29100921 - ripnsfw.com - Lena the plug.jpg</t>
  </si>
  <si>
    <t>https://doodstream.com/d/lpk8fqb1hrqw/</t>
  </si>
  <si>
    <t>https://lulustream.com/d/msdbichrdtee</t>
  </si>
  <si>
    <t>https://thumb.tapecontent.net/thumb/7jb9YGyRBqiVB9/BXW96xr6xWUQXY.jpg</t>
  </si>
  <si>
    <t>MaddieBubz - 84035528 - Onlyfans.jpg</t>
  </si>
  <si>
    <t>https://doodstream.com/d/s9g5vpninuoh/</t>
  </si>
  <si>
    <t>https://lulustream.com/d/0rq2f3xdk9av</t>
  </si>
  <si>
    <t>#BigTits, #Hardcore, #Bigass, #Teen, #Artporn, #Blowjob, #Amateur, #Deepthroat, #Facial</t>
  </si>
  <si>
    <t>#BigTits #Hardcore #Bigass #Teen #Artporn #Blowjob #Amateur #Deepthroat #Facial</t>
  </si>
  <si>
    <t>https://thumb.tapecontent.net/thumb/Zk0jdreveZIqV23/RXKPWdX0VVIdV01.jpg</t>
  </si>
  <si>
    <t>Madison Lanez - 95931349 - Onlyfans.jpg</t>
  </si>
  <si>
    <t>https://doodstream.com/d/ovssk7h7io32/</t>
  </si>
  <si>
    <t>https://lulustream.com/d/kjnci0ankrvs</t>
  </si>
  <si>
    <t>#BigTits, #Creampie, #Hardcore, #Black, #Interracial, #Bigass, #Teen, #Artporn, #Blowjob, #Amateur, #Hotwife, #Deepthroat, #Blonde</t>
  </si>
  <si>
    <t>#BigTits #Creampie #Hardcore #Black #Interracial #Bigass #Teen #Artporn #Blowjob #Amateur</t>
  </si>
  <si>
    <t>https://thumb.tapecontent.net/thumb/Re1ydJl2BQcdbq3/8VqjqQ1v1XFo9XY.jpg</t>
  </si>
  <si>
    <t>Madison Morgan - 27978540 - Onlyfans.jpg</t>
  </si>
  <si>
    <t>https://doodstream.com/d/pfy1dbv6g9ll/</t>
  </si>
  <si>
    <t>https://lulustream.com/d/qzh7ngvmjnvc</t>
  </si>
  <si>
    <t>https://thumb.tapecontent.net/thumb/GbZ7xAGVxLC17Rx/YeaOqQ97BPCB6Q.jpg</t>
  </si>
  <si>
    <t>Madison Morgan - 60817052 - Elegant Angel.jpg</t>
  </si>
  <si>
    <t>https://doodstream.com/d/51mxzz1joji8/</t>
  </si>
  <si>
    <t>https://lulustream.com/d/5c8img791g2k</t>
  </si>
  <si>
    <t>#Anal #MILF #BigTits #Hardcore #Bigass #Porn #Blowjob #Deepthroat</t>
  </si>
  <si>
    <t>https://thumb.tapecontent.net/thumb/Xqz0RPm94AFDaDJ/JAqeAOPpjWtJ0L.jpg</t>
  </si>
  <si>
    <t>Mae Winters - 55467075 - XVRED.jpg</t>
  </si>
  <si>
    <t>https://doodstream.com/d/u42tsi1ptcv8/</t>
  </si>
  <si>
    <t>https://lulustream.com/d/wyia0qd951er</t>
  </si>
  <si>
    <t>#blonde #facial #blowjob #amateur</t>
  </si>
  <si>
    <t>https://thumb.tapecontent.net/thumb/RmRW7X2wLXtd3vA/1dDXzvAl6oseAOQ.jpg</t>
  </si>
  <si>
    <t>Maisey Monroe - 39659947 - TMW.jpg</t>
  </si>
  <si>
    <t>https://doodstream.com/d/0yglnw2dtvzp/</t>
  </si>
  <si>
    <t>https://lulustream.com/d/mqod1z5tetzb</t>
  </si>
  <si>
    <t>#bigtits #creampie #hardcore #black</t>
  </si>
  <si>
    <t>https://thumb.tapecontent.net/thumb/p1xRK4qPBecr9vd/ll9yalmjWghvom.jpg</t>
  </si>
  <si>
    <t>Marry Queen - 45288539 - WoodmanCastingX.jpg</t>
  </si>
  <si>
    <t>https://doodstream.com/d/xeuds0sc80z5/</t>
  </si>
  <si>
    <t>https://lulustream.com/d/4xdso617whcg</t>
  </si>
  <si>
    <t>https://thumb.tapecontent.net/thumb/bkDJJWerPZfPpx0/VWRwYJKyXQtY2e.jpg</t>
  </si>
  <si>
    <t>Megan Murkovski - 19629165 - ripnsfw.com.jpg</t>
  </si>
  <si>
    <t>https://doodstream.com/d/8b25a77m0qfd/</t>
  </si>
  <si>
    <t>https://lulustream.com/d/rrj7y90l1e1a</t>
  </si>
  <si>
    <t>#Anal, #Hardcore, #Bigass, #Porn, #Teen, #Blowjob, #Facial</t>
  </si>
  <si>
    <t>#Anal #Hardcore #Bigass #Porn #Teen #Blowjob</t>
  </si>
  <si>
    <t>https://thumb.tapecontent.net/thumb/R4p24A3aoPudrPo/DAJ07GgJMPFkZqR.jpg</t>
  </si>
  <si>
    <t>Melanie Marie - 16822618 - ripnsfw.com - Hope Heaven.jpg</t>
  </si>
  <si>
    <t>https://doodstream.com/d/87jtxjw933pj/</t>
  </si>
  <si>
    <t>https://lulustream.com/d/17b7kzx56kx9</t>
  </si>
  <si>
    <t>#BigTits, #Hardcore, #Interracial, #Porn, #Teen, #Teens, #Blowjob, #Deepthroat, #Blonde, #Facial, #Foursome</t>
  </si>
  <si>
    <t>#BigTits #Hardcore #Interracial #Porn #Teen #Teens #Blowjob #Deepthroat #Blonde #Facial #Foursome</t>
  </si>
  <si>
    <t>https://thumb.tapecontent.net/thumb/mymzOqw83LFb9PX/Ry7KBO90egfj4W.jpg</t>
  </si>
  <si>
    <t>Melanie Marie - 20905476 - PG.jpg</t>
  </si>
  <si>
    <t>https://doodstream.com/d/q22wwuydu89l/</t>
  </si>
  <si>
    <t>https://lulustream.com/d/o1bzgbjvvi5l</t>
  </si>
  <si>
    <t>#teen #bigtits #blowjob #pov</t>
  </si>
  <si>
    <t>https://thumb.tapecontent.net/thumb/ewGjBved4bcm13/r8GrMPjqxLUbqr8.jpg</t>
  </si>
  <si>
    <t>Melanie Marie - 24675020 - Tushy.jpg</t>
  </si>
  <si>
    <t>https://doodstream.com/d/o7iiodu153ck/</t>
  </si>
  <si>
    <t>https://lulustream.com/d/il0hjcpvz7jx</t>
  </si>
  <si>
    <t>#Anal, #BigTits, #Hardcore, #Porn</t>
  </si>
  <si>
    <t>#Anal #BigTits #Hardcore #Porn</t>
  </si>
  <si>
    <t>https://thumb.tapecontent.net/thumb/Yw8Q4b7zPJSvkyK/yl6GKKO3OgI1Zeo.jpg</t>
  </si>
  <si>
    <t>Melanie Marie - 32771012 - ripnsfw.com.jpg</t>
  </si>
  <si>
    <t>https://doodstream.com/d/wi7c4l17z0lh/</t>
  </si>
  <si>
    <t>https://lulustream.com/d/tb3pi6nq6ury</t>
  </si>
  <si>
    <t>#BigTits, #Hardcore, #Teen, #Blowjob, #Amateur, #Facial</t>
  </si>
  <si>
    <t>https://thumb.tapecontent.net/thumb/e2pLmj9dK9IoOe/gw9by88MwGs9Ro.jpg</t>
  </si>
  <si>
    <t>Melanie Marie - 69961900 - Onlyfans.jpg</t>
  </si>
  <si>
    <t>https://doodstream.com/d/lz3hfcdv953t/</t>
  </si>
  <si>
    <t>https://lulustream.com/d/ze530e5knbeq</t>
  </si>
  <si>
    <t>https://thumb.tapecontent.net/thumb/eVq0lmOpKvUY0G7/dKR47rZy26FkKz2.jpg</t>
  </si>
  <si>
    <t>Melanie Marie - 86014845 - ripnsfw.com - Addison Vodka.jpg</t>
  </si>
  <si>
    <t>https://doodstream.com/d/lek5d3ueyen9/</t>
  </si>
  <si>
    <t>https://lulustream.com/d/4ov1x45deshj</t>
  </si>
  <si>
    <t>#BigTits, #Hardcore, #Threesome, #Teen, #Teens, #Artporn, #Blowjob, #Amateur, #Deepthroat, #Blonde, #Facial</t>
  </si>
  <si>
    <t>#BigTits #Hardcore #Threesome #Teen #Teens #Artporn #Blowjob #Amateur #Deepthroat #Blonde</t>
  </si>
  <si>
    <t>https://thumb.tapecontent.net/thumb/bwGOA7wAkeuPyVR/mwMLjgmyg1ubwk9.jpg</t>
  </si>
  <si>
    <t>Melanie Marie - 91881730 - Chaturbate - JackandJill - Dakota Lyn.jpg</t>
  </si>
  <si>
    <t>https://doodstream.com/d/jomr5dxbylpo/</t>
  </si>
  <si>
    <t>https://lulustream.com/d/yi0xbiqt0vu8</t>
  </si>
  <si>
    <t>#milf #threesome #blowjob #cumshot</t>
  </si>
  <si>
    <t>https://thumb.tapecontent.net/thumb/jgp6BbwA14izWqr/lO2K8jGpwpTzWk.jpg</t>
  </si>
  <si>
    <t>Melody Marks - 11512283 - ripnsfw.com.jpg</t>
  </si>
  <si>
    <t>https://doodstream.com/d/1fe4dg94cs76/</t>
  </si>
  <si>
    <t>https://lulustream.com/d/oq0v5vw8k2jc</t>
  </si>
  <si>
    <t>https://thumb.tapecontent.net/thumb/bGYAdz97LwcPr1e/YGozZzVw6wsvDd0.jpg</t>
  </si>
  <si>
    <t>Melody Marks - 12460258 - ripnsfw.com.jpg</t>
  </si>
  <si>
    <t>https://doodstream.com/d/oaojfbcfxmpd/</t>
  </si>
  <si>
    <t>https://lulustream.com/d/lqgdlkvnamcl</t>
  </si>
  <si>
    <t>#BigTits, #Hardcore, #Threesome, #Bigass, #Porn, #Teen, #Blowjob, #Deepthroat, #Blonde</t>
  </si>
  <si>
    <t>#BigTits #Hardcore #Threesome #Bigass #Porn #Teen #Blowjob #Deepthroat #Blonde</t>
  </si>
  <si>
    <t>https://thumb.tapecontent.net/thumb/OVkp2MeMoxc9qJ/v2427jmmawFLvb.jpg</t>
  </si>
  <si>
    <t>Melody Marks - 15086964 - ripnsfw.com.jpg</t>
  </si>
  <si>
    <t>https://doodstream.com/d/hve4gpmjg2vh/</t>
  </si>
  <si>
    <t>https://lulustream.com/d/k4shlg9z0sm1</t>
  </si>
  <si>
    <t>#BigTits, #Hardcore, #Bigass, #Teen, #Porn, #Blowjob, #Blonde, #Deepthroat</t>
  </si>
  <si>
    <t>https://thumb.tapecontent.net/thumb/8VAL1xjGJ2soalw/jZG7YZXrbZFz0yV.jpg</t>
  </si>
  <si>
    <t>Melody Marks - 16641436 - ripnsfw.com.jpg</t>
  </si>
  <si>
    <t>https://doodstream.com/d/a9is8ntbrktq/</t>
  </si>
  <si>
    <t>https://lulustream.com/d/rjcxay4vqwor</t>
  </si>
  <si>
    <t>https://thumb.tapecontent.net/thumb/9RPqkeGBk6io6D/jOgZXr6JpxHzzMX.jpg</t>
  </si>
  <si>
    <t>Melody Marks - 17549065 - ripnsfw.com.jpg</t>
  </si>
  <si>
    <t>https://doodstream.com/d/qtre3e44a4eb/</t>
  </si>
  <si>
    <t>https://lulustream.com/d/32b0rfhg5qo7</t>
  </si>
  <si>
    <t>https://thumb.tapecontent.net/thumb/rApDAM8mB9cbRKA/g3jGwwJZM0TBVz.jpg</t>
  </si>
  <si>
    <t>Melody Marks - 23696115 - ripnsfw.com.jpg</t>
  </si>
  <si>
    <t>https://doodstream.com/d/gvaf2nyfyo5v/</t>
  </si>
  <si>
    <t>https://lulustream.com/d/l7672o0xitke</t>
  </si>
  <si>
    <t>#BigTits, #Hardcore, #Bigass, #Porn, #Teen, #Blowjob, #Blonde</t>
  </si>
  <si>
    <t>https://thumb.tapecontent.net/thumb/ygKk7DqpRkI1b66/1bOwkeg7k9SegxG.jpg</t>
  </si>
  <si>
    <t>Melody Marks - 24308236 - ripnsfw.com.jpg</t>
  </si>
  <si>
    <t>https://doodstream.com/d/renn80w1s7m3/</t>
  </si>
  <si>
    <t>https://lulustream.com/d/lhy7itzmj8kc</t>
  </si>
  <si>
    <t>https://thumb.tapecontent.net/thumb/d8zpRVPB7VFk6AA/2PrPld6Yg8SZM22.jpg</t>
  </si>
  <si>
    <t>Melody Marks - 24429324 - ripnsfw.com.jpg</t>
  </si>
  <si>
    <t>https://doodstream.com/d/p94ba0x76ly6/</t>
  </si>
  <si>
    <t>https://lulustream.com/d/dsdvf7foyv3x</t>
  </si>
  <si>
    <t>#BigTits, #Hardcore, #Bigass, #Porn, #Teen, #Roleplay, #Artporn, #Blowjob, #Deepthroat, #Blonde</t>
  </si>
  <si>
    <t>https://thumb.tapecontent.net/thumb/4odApALVgrUK6G1/DoYWgY3AWMIkOqB.jpg</t>
  </si>
  <si>
    <t>Melody Marks - 24969447 - ripnsfw.com.jpg</t>
  </si>
  <si>
    <t>https://doodstream.com/d/e0uquonyhrvs/</t>
  </si>
  <si>
    <t>https://lulustream.com/d/xly1d09lnn1e</t>
  </si>
  <si>
    <t>#Hardcore, #Threesome, #Teen, #Blonde</t>
  </si>
  <si>
    <t>#Hardcore #Threesome #Teen #Blonde</t>
  </si>
  <si>
    <t>https://thumb.tapecontent.net/thumb/vPWLz21AjdF4X0m/2qQqmQgm1rtxm3.jpg</t>
  </si>
  <si>
    <t>Melody Marks - 26087470 - ripnsfw.com.jpg</t>
  </si>
  <si>
    <t>https://doodstream.com/d/o3tky73o1wty/</t>
  </si>
  <si>
    <t>https://lulustream.com/d/so8hyuhf36q3</t>
  </si>
  <si>
    <t>#BigTits #Hardcore #Bigass #Porn #Teen #Blowjob #Deepthroat #Blonde</t>
  </si>
  <si>
    <t>https://thumb.tapecontent.net/thumb/QJVwWaZze9UwrA/adXoo8ALpYIxwDV.jpg</t>
  </si>
  <si>
    <t>Melody Marks - 28313309 - ripnsfw.com - Lilly Bell.jpg</t>
  </si>
  <si>
    <t>https://doodstream.com/d/xb7sikfoia1m/</t>
  </si>
  <si>
    <t>https://lulustream.com/d/lq4nyhq6b009</t>
  </si>
  <si>
    <t>#BigTits, #Hardcore, #Threesome, #Bigass, #Porn, #Teen, #Teens, #Blowjob, #Deepthroat, #Blonde</t>
  </si>
  <si>
    <t>#BigTits #Hardcore #Threesome #Bigass #Porn #Teen #Teens #Blowjob #Deepthroat #Blonde</t>
  </si>
  <si>
    <t>https://thumb.tapecontent.net/thumb/abXrr9lApQUxRMW/o11Gq2mb6Wubg6.jpg</t>
  </si>
  <si>
    <t>Melody Marks - 34326515 - ripnsfw.com - Cory Chase.jpg</t>
  </si>
  <si>
    <t>https://doodstream.com/d/ol6tnv92ka82/</t>
  </si>
  <si>
    <t>https://lulustream.com/d/jwhchx464imx</t>
  </si>
  <si>
    <t>#MILF, #BigTits, #Hardcore, #Threesome, #Bigass, #Porn, #Teen, #Blowjob, #Deepthroat, #Blonde</t>
  </si>
  <si>
    <t>#MILF #BigTits #Hardcore #Threesome #Bigass #Porn #Teen</t>
  </si>
  <si>
    <t>https://thumb.tapecontent.net/thumb/17jg2eaR3OteRgj/2zkZdrLvybCZ9rj.jpg</t>
  </si>
  <si>
    <t>Melody Marks - 41586007 - NF.jpg</t>
  </si>
  <si>
    <t>https://doodstream.com/d/g7f1gnzj5nfz/</t>
  </si>
  <si>
    <t>https://lulustream.com/d/c4ipap00vboc</t>
  </si>
  <si>
    <t>#blowjob #teen #blonde #porn</t>
  </si>
  <si>
    <t>https://thumb.tapecontent.net/thumb/bpK3O86lmXCPaZG/Bv7BkqgR97T6v7.jpg</t>
  </si>
  <si>
    <t>Melody Marks - 41917273 - Onlyfans.jpg</t>
  </si>
  <si>
    <t>https://doodstream.com/d/f9c6ckftqwjt/</t>
  </si>
  <si>
    <t>https://lulustream.com/d/1ovq98ka03sl</t>
  </si>
  <si>
    <t>https://thumb.tapecontent.net/thumb/r4lagjLr6YFbBMg/pkp3l2j2eVFGoV.jpg</t>
  </si>
  <si>
    <t>Melody Marks - 44001768 - IP.jpg</t>
  </si>
  <si>
    <t>https://doodstream.com/d/punxtdtp0go5/</t>
  </si>
  <si>
    <t>https://lulustream.com/d/ks0eymrdgh43</t>
  </si>
  <si>
    <t>https://thumb.tapecontent.net/thumb/6PGpBpYae2S9w4b/AKPMa8bQDbuX8Q3.jpg</t>
  </si>
  <si>
    <t>Melody Marks - 47537489 - ripnsfw.com.jpg</t>
  </si>
  <si>
    <t>https://doodstream.com/d/icl4g4q8kobe/</t>
  </si>
  <si>
    <t>https://lulustream.com/d/hod3yjm14ogn</t>
  </si>
  <si>
    <t>#BigTits, #Hardcore, #Porn, #Teen, #Blowjob, #Blonde, #Facial</t>
  </si>
  <si>
    <t>#BigTits #Hardcore #Porn #Teen #Blowjob #Blonde #Facial</t>
  </si>
  <si>
    <t>https://thumb.tapecontent.net/thumb/xr270Ge9yLIkgxz/vxOWvPZ60rFwMe.jpg</t>
  </si>
  <si>
    <t>Melody Marks - 49097547 - ripnsfw.com.jpg</t>
  </si>
  <si>
    <t>https://doodstream.com/d/nnsli8k7irw7/</t>
  </si>
  <si>
    <t>https://lulustream.com/d/dnqbycju29ke</t>
  </si>
  <si>
    <t>#BigTits, #Creampie, #Hardcore, #Porn, #Teen, #Blowjob, #Deepthroat, #Blonde</t>
  </si>
  <si>
    <t>#BigTits #Creampie #Hardcore #Porn #Teen</t>
  </si>
  <si>
    <t>https://thumb.tapecontent.net/thumb/Me9GpbolWzumkkJ/1DYWKdwmxKIeA1O.jpg</t>
  </si>
  <si>
    <t>Melody Marks - 49968496 - Deeper.jpg</t>
  </si>
  <si>
    <t>https://doodstream.com/d/ocs5zir2k9ch/</t>
  </si>
  <si>
    <t>https://lulustream.com/d/jxhtpkz1p5f9</t>
  </si>
  <si>
    <t>#teen #interracial #blowjob #blonde</t>
  </si>
  <si>
    <t>https://thumb.tapecontent.net/thumb/oG7zdd4pDbiJwoA/Mkzv4VY7KJcmkZz.jpg</t>
  </si>
  <si>
    <t>Melody Marks - 55284403 - IL.jpg</t>
  </si>
  <si>
    <t>https://doodstream.com/d/c9nyebnbl5ks/</t>
  </si>
  <si>
    <t>https://lulustream.com/d/nfw97gudpoms</t>
  </si>
  <si>
    <t>#Hardcore, #Teen, #Porn, #Artporn, #Teens, #Blowjob, #Blonde</t>
  </si>
  <si>
    <t>#Hardcore #Teen #Porn #Artporn #Teens #Blowjob</t>
  </si>
  <si>
    <t>https://thumb.tapecontent.net/thumb/0Z9rgzqebZHb4bW/79gG37bvKrsAg6j.jpg</t>
  </si>
  <si>
    <t>Melody Marks - 58867059 - PX - Audrey Reid.jpg</t>
  </si>
  <si>
    <t>https://doodstream.com/d/p8ol6hdjr1at/</t>
  </si>
  <si>
    <t>https://lulustream.com/d/50wi2wnp7oyn</t>
  </si>
  <si>
    <t>#Hardcore, #Threesome, #Teen, #Porn</t>
  </si>
  <si>
    <t>#Hardcore #Threesome #Teen #Porn</t>
  </si>
  <si>
    <t>https://thumb.tapecontent.net/thumb/OxvYMV78JvHZ2be/zGlkw6MvJWuGZO.jpg</t>
  </si>
  <si>
    <t>Melody Marks - 61380918 - ripnsfw.com.jpg</t>
  </si>
  <si>
    <t>https://doodstream.com/d/dtwkzxxzriho/</t>
  </si>
  <si>
    <t>https://lulustream.com/d/kjvynw8ic8wj</t>
  </si>
  <si>
    <t>#BigTits, #Creampie, #Hardcore, #Asian, #Bigass, #Teen, #Porn, #Blowjob, #Blonde</t>
  </si>
  <si>
    <t>#BigTits #Creampie #Hardcore #Asian #Bigass #Teen #Porn #Blowjob #Blonde</t>
  </si>
  <si>
    <t>https://thumb.tapecontent.net/thumb/b3OYo6PeOziP0qm/k3XYzaXARGuO1DD.jpg</t>
  </si>
  <si>
    <t>Melody Marks - 65336114 - ripnsfw.com.jpg</t>
  </si>
  <si>
    <t>https://doodstream.com/d/djhjo16fj07l/</t>
  </si>
  <si>
    <t>https://lulustream.com/d/46elh2oo4cok</t>
  </si>
  <si>
    <t>https://thumb.tapecontent.net/thumb/GkJMWXGrvOH1JYa/pVkwzL79zmurOOx.jpg</t>
  </si>
  <si>
    <t>Melody Marks - 67372968 - ripnsfw.com.jpg</t>
  </si>
  <si>
    <t>https://doodstream.com/d/cb2rec5cfqha/</t>
  </si>
  <si>
    <t>https://lulustream.com/d/kwhnl2bii9vi</t>
  </si>
  <si>
    <t>https://thumb.tapecontent.net/thumb/P7yBL9ql7zU0aYk/BOWzxPP98ZIQPO.jpg</t>
  </si>
  <si>
    <t>Melody Marks - 71734885 - Onlyfans.jpg</t>
  </si>
  <si>
    <t>https://doodstream.com/d/2yp8ivgsnbk3/</t>
  </si>
  <si>
    <t>https://lulustream.com/d/q21inkr1yh12</t>
  </si>
  <si>
    <t>https://thumb.tapecontent.net/thumb/Q3JxGaAWl1C0zDd/VPqqR2w74McKdap.jpg</t>
  </si>
  <si>
    <t>Melody Marks - 77818427 - BlackedRaw - Sky Wonderland.jpg</t>
  </si>
  <si>
    <t>https://doodstream.com/d/ru6fuiy0iemi/</t>
  </si>
  <si>
    <t>https://lulustream.com/d/r90o6mi16t36</t>
  </si>
  <si>
    <t>#teens #blonde #interracial #blowjob</t>
  </si>
  <si>
    <t>https://thumb.tapecontent.net/thumb/yV9YkLKaD7sB34/vgdJWrpdv8u4qxZ.jpg</t>
  </si>
  <si>
    <t>Melody Marks - 81393731 - ripnsfw.com.jpg</t>
  </si>
  <si>
    <t>https://doodstream.com/d/yanlbujoqri5/</t>
  </si>
  <si>
    <t>https://lulustream.com/d/971500ljm0wa</t>
  </si>
  <si>
    <t>#BigTits, #Creampie, #Hardcore, #Bigass, #Porn, #Teen, #Blowjob, #Blonde, #Deepthroat</t>
  </si>
  <si>
    <t>https://thumb.tapecontent.net/thumb/VPD3G88PpXhKe2P/d7Qz7y4PP4CkodG.jpg</t>
  </si>
  <si>
    <t>Melody Marks - 81414858 - Chaturbate - Theodora Day - JackandJill.jpg</t>
  </si>
  <si>
    <t>https://doodstream.com/d/850zsw0aziyz/</t>
  </si>
  <si>
    <t>https://lulustream.com/d/v8jq1ajqym4y</t>
  </si>
  <si>
    <t>#foursome #blonde #blowjob #facial</t>
  </si>
  <si>
    <t>https://thumb.tapecontent.net/thumb/2Dq80bDzBPIVKQ/JkYOKL1lKZTjv7b.jpg</t>
  </si>
  <si>
    <t>Melody Marks - 82099308 - IPOV - Gal Ritchie.jpg</t>
  </si>
  <si>
    <t>https://doodstream.com/d/3bvofhcqbguk/</t>
  </si>
  <si>
    <t>https://lulustream.com/d/er4ar3c5knnx</t>
  </si>
  <si>
    <t>#BigTits, #Hardcore, #Threesome, #Porn</t>
  </si>
  <si>
    <t>#BigTits #Hardcore #Threesome #Porn</t>
  </si>
  <si>
    <t>https://thumb.tapecontent.net/thumb/ZzjdZ7aeP6tq918/D94mr9V7mlCkzVz.jpg</t>
  </si>
  <si>
    <t>Melody Marks - 83513747 - ripnsfw.com.jpg</t>
  </si>
  <si>
    <t>https://doodstream.com/d/u4wcfvio9mhj/</t>
  </si>
  <si>
    <t>https://lulustream.com/d/k0ixr17x4a4n</t>
  </si>
  <si>
    <t>#BigTits, #Hardcore, #Bigass, #Porn, #Teen, #Threesome, #Blowjob, #Deepthroat, #Blonde, #Facial</t>
  </si>
  <si>
    <t>#BigTits #Hardcore #Bigass #Porn #Teen #Threesome #Blowjob #Deepthroat</t>
  </si>
  <si>
    <t>https://thumb.tapecontent.net/thumb/jWvkqLj7edczAlD/xr7zvqDzk8SkRkJ.jpg</t>
  </si>
  <si>
    <t>Melody Marks - 86169688 - ripnsfw.com.jpg</t>
  </si>
  <si>
    <t>https://doodstream.com/d/2y0tnvy2bilb/</t>
  </si>
  <si>
    <t>https://lulustream.com/d/wg19778zviqt</t>
  </si>
  <si>
    <t>#BigTits, #Hardcore, #Threesome, #Bigass, #Porn, #Teen, #Blowjob, #Deepthroat, #Facial, #Blonde</t>
  </si>
  <si>
    <t>#BigTits #Hardcore #Threesome #Bigass #Porn</t>
  </si>
  <si>
    <t>https://thumb.tapecontent.net/thumb/L1LkQdegagtRrr4/0de90r07BQsbyv2.jpg</t>
  </si>
  <si>
    <t>Melody Marks - 87312191 - ripnsfw.com.jpg</t>
  </si>
  <si>
    <t>https://doodstream.com/d/q9nnxwmvp6lf/</t>
  </si>
  <si>
    <t>https://lulustream.com/d/slmivg899naq</t>
  </si>
  <si>
    <t>#BigTits, #Hardcore, #Porn, #Teen, #Blowjob, #Deepthroat, #Blonde, #Foursome</t>
  </si>
  <si>
    <t>https://thumb.tapecontent.net/thumb/3kvXrJOr6VsdBkj/w76KwklMyQcJXmM.jpg</t>
  </si>
  <si>
    <t>Melody Marks - 87615408 - ripnsfw.com.jpg</t>
  </si>
  <si>
    <t>https://doodstream.com/d/cqlgod05z87x/</t>
  </si>
  <si>
    <t>https://lulustream.com/d/cfac0ottyx2y</t>
  </si>
  <si>
    <t>#BigTits, #Hardcore, #Porn, #Teen, #Roleplay, #Blowjob, #Blonde</t>
  </si>
  <si>
    <t>#BigTits #Hardcore #Porn #Teen #Roleplay #Blowjob</t>
  </si>
  <si>
    <t>https://thumb.tapecontent.net/thumb/GGX3blL1rDC1zwy/x3QxRxGlZJfkg02.jpg</t>
  </si>
  <si>
    <t>Melody Marks - 88122372 - OF.jpg</t>
  </si>
  <si>
    <t>https://doodstream.com/d/18yfuxiys74o/</t>
  </si>
  <si>
    <t>https://lulustream.com/d/ucci8l4q1n2v</t>
  </si>
  <si>
    <t>#teen #blowjob #porn #blonde</t>
  </si>
  <si>
    <t>https://thumb.tapecontent.net/thumb/lGRkQ6JllyFbZ8/34718Dy2A9IdWbY.jpg</t>
  </si>
  <si>
    <t>Melody Marks - 89941516 - ripnsfw.com.jpg</t>
  </si>
  <si>
    <t>https://doodstream.com/d/yb6uzl9iu2mo/</t>
  </si>
  <si>
    <t>https://lulustream.com/d/7wsirv36u5sr</t>
  </si>
  <si>
    <t>#BigTits, #Hardcore, #Teen, #Porn, #Blowjob, #Deepthroat, #Blonde, #Facial</t>
  </si>
  <si>
    <t>#BigTits #Hardcore #Teen #Porn #Blowjob #Deepthroat #Blonde #Facial</t>
  </si>
  <si>
    <t>https://thumb.tapecontent.net/thumb/VmlL04qjMZTOzR/b7Ame1r8PaHPjYb.jpg</t>
  </si>
  <si>
    <t>Mewslut - 43798527 - ripnsfw.com.jpg</t>
  </si>
  <si>
    <t>https://doodstream.com/d/s278twp7erig/</t>
  </si>
  <si>
    <t>https://lulustream.com/d/oytjm1gd9yah</t>
  </si>
  <si>
    <t>#Hardcore, #Teen, #Blowjob, #Roleplay, #Amateur, #Deepthroat, #Facial</t>
  </si>
  <si>
    <t>#Hardcore #Teen #Blowjob #Roleplay #Amateur</t>
  </si>
  <si>
    <t>https://thumb.tapecontent.net/thumb/lA21ZGPyQZSb11/QXYr0yWdqXsweW.jpg</t>
  </si>
  <si>
    <t>Mia Malkova - 17691696 - Onlyfans.jpg</t>
  </si>
  <si>
    <t>https://doodstream.com/d/p60gm4ajspbo/</t>
  </si>
  <si>
    <t>https://lulustream.com/d/1jrb9yqq7uek</t>
  </si>
  <si>
    <t>#Anal, #MILF, #BigTits, #Creampie, #Hardcore, #Bigass, #Blowjob, #Amateur, #Hotwife, #Deepthroat, #Blonde</t>
  </si>
  <si>
    <t>#Anal #MILF #BigTits #Creampie #Hardcore #Bigass #Blowjob #Amateur #Hotwife</t>
  </si>
  <si>
    <t>https://thumb.tapecontent.net/thumb/X19B7lgoVqSD9q1/P71qLZAelpsLz0.jpg</t>
  </si>
  <si>
    <t>Mia Malkova - 18416994 - Onlyfans.jpg</t>
  </si>
  <si>
    <t>https://doodstream.com/d/gli557aakkag/</t>
  </si>
  <si>
    <t>https://lulustream.com/d/ohnd61yoirw7</t>
  </si>
  <si>
    <t>#MILF, #BigTits, #Solo, #Blonde</t>
  </si>
  <si>
    <t>#MILF #BigTits #Solo #Blonde</t>
  </si>
  <si>
    <t>https://thumb.tapecontent.net/thumb/KzbR7VepWPt0ZO8/Mk93gqywGySm41y.jpg</t>
  </si>
  <si>
    <t>Mia Malkova - 22061583 - Onlyfans - Belle Delphine.jpg</t>
  </si>
  <si>
    <t>https://doodstream.com/d/h00mji59e890/</t>
  </si>
  <si>
    <t>https://lulustream.com/d/aeozgpbrzuvg</t>
  </si>
  <si>
    <t>https://thumb.tapecontent.net/thumb/YLG4YbzDmKcv0VJ/wPM09omD3qIVVX.jpg</t>
  </si>
  <si>
    <t>Mia Malkova - 38489095 - Onlyfans.jpg</t>
  </si>
  <si>
    <t>https://doodstream.com/d/v8iwihxwdbrf/</t>
  </si>
  <si>
    <t>https://lulustream.com/d/kewpddxnm0nu</t>
  </si>
  <si>
    <t>https://thumb.tapecontent.net/thumb/bVre4vpOyDSPjbv/gojJlyLPBeiqD8Q.jpg</t>
  </si>
  <si>
    <t>Mia Malkova - 41359143 - Onlyfans.jpg</t>
  </si>
  <si>
    <t>https://doodstream.com/d/qb237dbo3yyb/</t>
  </si>
  <si>
    <t>https://lulustream.com/d/xyt3hqvoqlzq</t>
  </si>
  <si>
    <t>https://thumb.tapecontent.net/thumb/ekXYaW1yJVtYvxe/7GRqr62MoWS8Qa.jpg</t>
  </si>
  <si>
    <t>Mia Malkova - 42738945 - Onlyfans.jpg</t>
  </si>
  <si>
    <t>https://doodstream.com/d/pnewki3zzhw3/</t>
  </si>
  <si>
    <t>https://lulustream.com/d/22k9nsl8r8io</t>
  </si>
  <si>
    <t>#blonde #bigass #bigtits #milf</t>
  </si>
  <si>
    <t>https://thumb.tapecontent.net/thumb/Wo1j7ylom1sgQw/yVV9rYD1PJH3M9.jpg</t>
  </si>
  <si>
    <t>Mia Malkova - 45449164 - Onlyfans.jpg</t>
  </si>
  <si>
    <t>https://doodstream.com/d/ltm69xn0zcoy/</t>
  </si>
  <si>
    <t>https://lulustream.com/d/ap4irg4tui4v</t>
  </si>
  <si>
    <t>https://thumb.tapecontent.net/thumb/DPeRrM1Y8Ztk179/l4QzjR8JW9f7G6V.jpg</t>
  </si>
  <si>
    <t>Mia Malkova - 51929303 - Onlyfans.jpg</t>
  </si>
  <si>
    <t>https://doodstream.com/d/tgkeqz50u3zf/</t>
  </si>
  <si>
    <t>https://lulustream.com/d/r68ks3m0gbqi</t>
  </si>
  <si>
    <t>#MILF, #BigTits, #Hardcore, #Bigass, #Porn, #Stepmom, #Blowjob, #Hotwife, #Deepthroat, #Blonde, #Facial</t>
  </si>
  <si>
    <t>#MILF #BigTits #Hardcore #Bigass #Porn #Stepmom #Blowjob #Hotwife #Deepthroat</t>
  </si>
  <si>
    <t>https://thumb.tapecontent.net/thumb/m6AmLZ7o63hb3le/YP1zRbXvXwtvk3D.jpg</t>
  </si>
  <si>
    <t>Mia Malkova - 58518494 - Onlyfans - Elle Brooke.jpg</t>
  </si>
  <si>
    <t>https://doodstream.com/d/cls8jbkl17oj/</t>
  </si>
  <si>
    <t>https://lulustream.com/d/gfn2xt6umfqm</t>
  </si>
  <si>
    <t>https://thumb.tapecontent.net/thumb/06aMggvoP3FbRoZ/b7elYAQx24sPa8A.jpg</t>
  </si>
  <si>
    <t>Mia Malkova - 58551090 - Onlyfans.jpg</t>
  </si>
  <si>
    <t>https://doodstream.com/d/kydnft591qjm/</t>
  </si>
  <si>
    <t>https://lulustream.com/d/3ci67sc1vnk6</t>
  </si>
  <si>
    <t>https://thumb.tapecontent.net/thumb/aq3vrWMOVaFJVv/90PLWreXjOfazvW.jpg</t>
  </si>
  <si>
    <t>Mia Malkova - 67876165 - ripnsfw.com.jpg</t>
  </si>
  <si>
    <t>https://doodstream.com/d/onvnyeih9086/</t>
  </si>
  <si>
    <t>https://lulustream.com/d/iwpffprd4nna</t>
  </si>
  <si>
    <t>https://thumb.tapecontent.net/thumb/01rQ6m2rgahbJyY/vQg4g6d7jMu4qRB.jpg</t>
  </si>
  <si>
    <t>Mia Malkova - 70813268 - Onlyfans.jpg</t>
  </si>
  <si>
    <t>https://doodstream.com/d/fpgis45eug2a/</t>
  </si>
  <si>
    <t>https://lulustream.com/d/28adfgga59yg</t>
  </si>
  <si>
    <t>https://thumb.tapecontent.net/thumb/xqa0kb26wKckp3d/WqGgjlaQbeibaKX.jpg</t>
  </si>
  <si>
    <t>Mia Malkova - 87253864 - Onlyfans.jpg</t>
  </si>
  <si>
    <t>https://doodstream.com/d/rjn7tsx4yzae/</t>
  </si>
  <si>
    <t>https://lulustream.com/d/4gxfij3o9ujc</t>
  </si>
  <si>
    <t>#blowjob #blonde #milf #roleplay</t>
  </si>
  <si>
    <t>https://thumb.tapecontent.net/thumb/xegpYmjL9xsk4ZM/Mz7rALaG0Vim3pa.jpg</t>
  </si>
  <si>
    <t>Mia Malkova - 92617722 - Onlyfans.jpg</t>
  </si>
  <si>
    <t>https://doodstream.com/d/88ks6i9jkc7z/</t>
  </si>
  <si>
    <t>https://lulustream.com/d/kxgeoripjmra</t>
  </si>
  <si>
    <t>#milf #bigtits #blowjob #solo</t>
  </si>
  <si>
    <t>https://thumb.tapecontent.net/thumb/VObKW1PDrdhz4O/px6rX9aDgpTlmY.jpg</t>
  </si>
  <si>
    <t>Mia Malkova - 96356422 - ripnsfw.com.jpg</t>
  </si>
  <si>
    <t>https://doodstream.com/d/m9nqjplq625o/</t>
  </si>
  <si>
    <t>https://lulustream.com/d/6itzasfcvck3</t>
  </si>
  <si>
    <t>#MILF, #BigTits, #Bigass, #Roleplay, #Blowjob, #Solo, #Blonde</t>
  </si>
  <si>
    <t>https://thumb.tapecontent.net/thumb/vVYXQa9Yr9f40dr/0VZdpAPV8YfbdLg.jpg</t>
  </si>
  <si>
    <t>Michelle Hoek - 10480061 - ripnsfw.com.jpg</t>
  </si>
  <si>
    <t>https://doodstream.com/d/hu5ifkasuq6m/</t>
  </si>
  <si>
    <t>https://lulustream.com/d/67zjs3t495s9</t>
  </si>
  <si>
    <t>#Anal, #MILF, #BigTits, #Hardcore, #Threesome, #Bigass, #Porn, #Roleplay, #Blowjob</t>
  </si>
  <si>
    <t>#Anal #MILF #BigTits #Hardcore #Threesome #Bigass</t>
  </si>
  <si>
    <t>https://thumb.tapecontent.net/thumb/YVl6YwveVgIvxV8/j7gvA6LZppHzwXM.jpg</t>
  </si>
  <si>
    <t>Mila Sobolov - 55887993 - Onlyfans.jpg</t>
  </si>
  <si>
    <t>https://doodstream.com/d/yyptxroj9x85/</t>
  </si>
  <si>
    <t>https://lulustream.com/d/yl5pk5gnllml</t>
  </si>
  <si>
    <t>#teen #blonde #blowjob #amateur</t>
  </si>
  <si>
    <t>https://thumb.tapecontent.net/thumb/YwrvVZPPRmiv4b8/QPGxvB7mp8u0Z9l.jpg</t>
  </si>
  <si>
    <t>Milana Milka - 94089315 - ripnsfw.com.jpg</t>
  </si>
  <si>
    <t>https://doodstream.com/d/yxszkllrumig/</t>
  </si>
  <si>
    <t>https://lulustream.com/d/ssnbd447d6g0</t>
  </si>
  <si>
    <t>#Anal, #BigTits, #Hardcore, #Bigass, #Teen, #Blowjob, #Porn, #Blonde, #Facial</t>
  </si>
  <si>
    <t>#Anal #BigTits #Hardcore #Bigass #Teen #Blowjob #Porn</t>
  </si>
  <si>
    <t>https://thumb.tapecontent.net/thumb/qrYL0BbwDocadz/6wdD3Wa4axU93wk.jpg</t>
  </si>
  <si>
    <t>Mini Loonaa - 24435407 - Onlyfans.jpg</t>
  </si>
  <si>
    <t>https://doodstream.com/d/tt7hzxhapyy8/</t>
  </si>
  <si>
    <t>https://lulustream.com/d/2zfdw1wzxryh</t>
  </si>
  <si>
    <t>https://thumb.tapecontent.net/thumb/qyR21zKmR2I1KO/bejqPb60BQFQmA.jpg</t>
  </si>
  <si>
    <t>Mini Loonaa - 34493585 - ripnsfw.com.jpg</t>
  </si>
  <si>
    <t>https://doodstream.com/d/zim76s78umxw/</t>
  </si>
  <si>
    <t>https://lulustream.com/d/ocggy3dfjn7g</t>
  </si>
  <si>
    <t>#BigTits, #Creampie, #Hardcore, #Bigass, #Teen, #Blowjob, #Amateur, #Hotwife, #Deepthroat</t>
  </si>
  <si>
    <t>https://thumb.tapecontent.net/thumb/rbdog2Lagls3DO/a0zPV36vyJUxBGo.jpg</t>
  </si>
  <si>
    <t>Mini Loonaa - 35538209 - Onlyfans.jpg</t>
  </si>
  <si>
    <t>https://doodstream.com/d/426nz4vmjvjv/</t>
  </si>
  <si>
    <t>https://lulustream.com/d/4bczvnrg1paz</t>
  </si>
  <si>
    <t>https://thumb.tapecontent.net/thumb/jla4kMLL8jHQQd/zVedqZbDkWTYrrr.jpg</t>
  </si>
  <si>
    <t>Mini Loonaa - 35834297 - Onlyfans.jpg</t>
  </si>
  <si>
    <t>https://doodstream.com/d/xcg7mgc2zxg8/</t>
  </si>
  <si>
    <t>https://lulustream.com/d/3ih30nbkyws3</t>
  </si>
  <si>
    <t>https://thumb.tapecontent.net/thumb/Va40Mm9YYWhKd7V/aZDJQ1YO0etOJz.jpg</t>
  </si>
  <si>
    <t>Mini Loonaa - 49583813 - ripnsfw.com.jpg</t>
  </si>
  <si>
    <t>https://doodstream.com/d/1cynmnfhsx9r/</t>
  </si>
  <si>
    <t>https://lulustream.com/d/3smkn239k5ln</t>
  </si>
  <si>
    <t>#BigTits, #Bigass, #Teen, #Blowjob, #Amateur, #Deepthroat, #Facial</t>
  </si>
  <si>
    <t>https://thumb.tapecontent.net/thumb/BvyAzG7d0AUW1L/prOXOyBg2acr8oW.jpg</t>
  </si>
  <si>
    <t>Mini Loonaa - 64264764 - Onlyfans.jpg</t>
  </si>
  <si>
    <t>https://doodstream.com/d/k5e9hxluvsrt/</t>
  </si>
  <si>
    <t>https://lulustream.com/d/fu45w0z9dkow</t>
  </si>
  <si>
    <t>https://thumb.tapecontent.net/thumb/3992ZjR8pPhAMG/QrmXkOx81jt0beK.jpg</t>
  </si>
  <si>
    <t>Mini Loonaa - 71137386 - Onlyfans.jpg</t>
  </si>
  <si>
    <t>https://doodstream.com/d/6v6i6535ph1h/</t>
  </si>
  <si>
    <t>https://lulustream.com/d/efyxnml91vmj</t>
  </si>
  <si>
    <t>#teen #bigtits #threessome #blowjob</t>
  </si>
  <si>
    <t>https://thumb.tapecontent.net/thumb/aG1xDRk8AxTxK2D/Q202arjwzjU0zRw.jpg</t>
  </si>
  <si>
    <t>Mini Loonaa - 89805685 - ripnsfw.com.jpg</t>
  </si>
  <si>
    <t>https://doodstream.com/d/q4kcb8p6oete/</t>
  </si>
  <si>
    <t>https://lulustream.com/d/w7cirrj4bxse</t>
  </si>
  <si>
    <t>#BigTits, #Hardcore, #Bigass, #Teen, #Blowjob, #Amateur, #Hotwife, #Deepthroat, #Facial</t>
  </si>
  <si>
    <t>#BigTits #Hardcore #Bigass #Teen #Blowjob #Amateur #Hotwife</t>
  </si>
  <si>
    <t>https://thumb.tapecontent.net/thumb/r0MG6bjKG3Ub0JK/gaRoRXe34Buv0e.jpg</t>
  </si>
  <si>
    <t>Misty - 77897391 - PS.jpg</t>
  </si>
  <si>
    <t>https://doodstream.com/d/f26f32pzlcmj/</t>
  </si>
  <si>
    <t>https://lulustream.com/d/1fo4c3cwqoa5</t>
  </si>
  <si>
    <t>#Anal, #MILF, #BigTits, #Creampie</t>
  </si>
  <si>
    <t>#Anal #MILF #BigTits #Creampie</t>
  </si>
  <si>
    <t>https://thumb.tapecontent.net/thumb/kqeW6OJ6rQUOJr1/jPZrD0XQQ8SzjPR.jpg</t>
  </si>
  <si>
    <t>Nakedbarbiedoll - 24627046 - Onlyfans.jpg</t>
  </si>
  <si>
    <t>https://doodstream.com/d/j4tho068fivh/</t>
  </si>
  <si>
    <t>https://lulustream.com/d/ot0m3tqv8bft</t>
  </si>
  <si>
    <t>#bigtits #blowjob #redhead #amateur</t>
  </si>
  <si>
    <t>https://thumb.tapecontent.net/thumb/RwzVPeJQo4hdPRg/g9y0D7dwkAFBYZ.jpg</t>
  </si>
  <si>
    <t>Natalia Starr - 10215923 - ripnsfw.com - Lena the plug.jpg</t>
  </si>
  <si>
    <t>https://doodstream.com/d/af1lqail32m8/</t>
  </si>
  <si>
    <t>https://lulustream.com/d/i9u43yhapshm</t>
  </si>
  <si>
    <t>#MILF, #BigTits, #Hardcore, #Threesome, #Bigass, #Blowjob, #Amateur, #Hotwife, #Deepthroat, #Blonde, #Facial</t>
  </si>
  <si>
    <t>#MILF #BigTits #Hardcore #Threesome #Bigass #Blowjob #Amateur</t>
  </si>
  <si>
    <t>https://thumb.tapecontent.net/thumb/adBep8Qe7yCx3A7/xeLRL6RMwYFqzv.jpg</t>
  </si>
  <si>
    <t>Natasha Nice - 24690414 - Onlyfans.jpg</t>
  </si>
  <si>
    <t>https://doodstream.com/d/h14cpj17mqbf/</t>
  </si>
  <si>
    <t>https://lulustream.com/d/z8ygel4k7ruz</t>
  </si>
  <si>
    <t>https://thumb.tapecontent.net/thumb/yM69KJKQD7i1QVe/94bJJQ68PRtBZV.jpg</t>
  </si>
  <si>
    <t>Natasha Nice - 25140577 - ripnsfw.com.jpg</t>
  </si>
  <si>
    <t>https://doodstream.com/d/jgqqyqnsht30/</t>
  </si>
  <si>
    <t>https://lulustream.com/d/6oiu5os9kkr9</t>
  </si>
  <si>
    <t>#MILF, #BigTits, #Hardcore, #Black, #Interracial, #Bigass, #Blowjob, #Amateur, #Facial</t>
  </si>
  <si>
    <t>https://thumb.tapecontent.net/thumb/dQKzG86pJdSkmLm/z1bXV9BG3LHYADd.jpg</t>
  </si>
  <si>
    <t>Natasha Nice - 45413400 - Bang.jpg</t>
  </si>
  <si>
    <t>https://doodstream.com/d/nccksko7tdr0/</t>
  </si>
  <si>
    <t>https://lulustream.com/d/3eomqxggbtf1</t>
  </si>
  <si>
    <t>#MILF, #BigTits, #Hardcore, #Bigass, #Porn, #Blowjob, #Facial</t>
  </si>
  <si>
    <t>https://thumb.tapecontent.net/thumb/mOldRkePZLTMwe/xv86jlBVKqUkMb4.jpg</t>
  </si>
  <si>
    <t>Natasha Nice - 50308482 - Onlyfans.jpg</t>
  </si>
  <si>
    <t>https://doodstream.com/d/igk47m8js41j/</t>
  </si>
  <si>
    <t>https://lulustream.com/d/zh2cutokip2g</t>
  </si>
  <si>
    <t>https://thumb.tapecontent.net/thumb/ZwdQZelmGXtMg4/6BRQKZlM3BSLje.jpg</t>
  </si>
  <si>
    <t>Natasha Nice - 57865739 - XVRED.jpg</t>
  </si>
  <si>
    <t>https://doodstream.com/d/kjp0boqetce4/</t>
  </si>
  <si>
    <t>https://lulustream.com/d/dg93kso5a7j8</t>
  </si>
  <si>
    <t>https://thumb.tapecontent.net/thumb/GW01aRZMWkUlY6/v2bRYXRz8ZUP11.jpg</t>
  </si>
  <si>
    <t>Natasha Nice - 60001539 - XVRED.jpg</t>
  </si>
  <si>
    <t>https://doodstream.com/d/186ylxdppxh0/</t>
  </si>
  <si>
    <t>https://lulustream.com/d/ntdkffso4g1c</t>
  </si>
  <si>
    <t>https://thumb.tapecontent.net/thumb/r9jB6ewjvLfY6p/o6bJP2eOdmubwV.jpg</t>
  </si>
  <si>
    <t>Natasha Nice - 70766285 - XVRED.jpg</t>
  </si>
  <si>
    <t>https://doodstream.com/d/3ytleg1x493m/</t>
  </si>
  <si>
    <t>https://lulustream.com/d/79exirndbflo</t>
  </si>
  <si>
    <t>#MILF, #BigTits, #Bigass, #Stepmom, #Blowjob, #Amateur, #Mature, #Hotwife</t>
  </si>
  <si>
    <t>#MILF #BigTits #Bigass #Stepmom #Blowjob #Amateur #Mature</t>
  </si>
  <si>
    <t>https://thumb.tapecontent.net/thumb/j7wabZrML1CzyqD/ajjBrajMj7SxgPv.jpg</t>
  </si>
  <si>
    <t>Natasha Nice - 97260972 - Onlyfans.jpg</t>
  </si>
  <si>
    <t>https://doodstream.com/d/fv0ipy65exj4/</t>
  </si>
  <si>
    <t>https://lulustream.com/d/k2bfmqsealu7</t>
  </si>
  <si>
    <t>https://thumb.tapecontent.net/thumb/aYlxJPWKarux1oR/8DXQJMKlKMsJDz.jpg</t>
  </si>
  <si>
    <t>Nicole Doshi - 40682016 - ripnsfw.com.jpg</t>
  </si>
  <si>
    <t>https://doodstream.com/d/8cjkgt9y9e39/</t>
  </si>
  <si>
    <t>https://lulustream.com/d/krutf9htcdrv</t>
  </si>
  <si>
    <t>#MILF, #BigTits, #Creampie, #Hardcore, #Asian, #Black, #Interracial, #Bigass, #Porn, #Blowjob, #Deepthroat</t>
  </si>
  <si>
    <t>#MILF #BigTits #Creampie #Hardcore #Asian #Black #Interracial #Bigass #Porn</t>
  </si>
  <si>
    <t>https://thumb.tapecontent.net/thumb/DoJ96DWxQYh6gR/KGlXgwWQ4pI01D3.jpg</t>
  </si>
  <si>
    <t>Nicole Doshi - 95057329 - ripnsfw.com.jpg</t>
  </si>
  <si>
    <t>https://doodstream.com/d/qc3okcpkfamh/</t>
  </si>
  <si>
    <t>https://lulustream.com/d/5sbkpgb702h3</t>
  </si>
  <si>
    <t>#MILF, #BigTits, #Hardcore, #Asian, #Black, #Interracial, #Bigass, #Blowjob, #Amateur, #Deepthroat, #Facial</t>
  </si>
  <si>
    <t>#MILF #BigTits #Hardcore #Asian #Black #Interracial #Bigass #Blowjob</t>
  </si>
  <si>
    <t>https://thumb.tapecontent.net/thumb/4d28Zw9jk6cKlWd/lDZZWB9kyzF7gZJ.jpg</t>
  </si>
  <si>
    <t>Nicole Rae - 64606430 - ripnsfw.com.jpg</t>
  </si>
  <si>
    <t>https://doodstream.com/d/k78c60lioyx0/</t>
  </si>
  <si>
    <t>https://lulustream.com/d/6xueo4uwny02</t>
  </si>
  <si>
    <t>#Anal, #BigTits, #Creampie, #Hardcore, #Porn, #Blowjob, #Blonde, #Deepthroat</t>
  </si>
  <si>
    <t>#Anal #BigTits #Creampie #Hardcore #Porn #Blowjob #Blonde</t>
  </si>
  <si>
    <t>https://thumb.tapecontent.net/thumb/plYL0BMZGqSrmGr/JkjLk3DgGwCjD0J.jpg</t>
  </si>
  <si>
    <t>Nikoletta Queen - 54048368 - DD4K.jpg</t>
  </si>
  <si>
    <t>https://doodstream.com/d/l8hfr09xzp9l/</t>
  </si>
  <si>
    <t>https://lulustream.com/d/pio1qh7mflsv</t>
  </si>
  <si>
    <t>#BigTits, #Hardcore, #Bigass, #Porn, #Teen, #Artporn, #Blowjob, #Deepthroat, #Blonde</t>
  </si>
  <si>
    <t>#BigTits #Hardcore #Bigass #Porn #Teen #Artporn #Blowjob #Deepthroat #Blonde</t>
  </si>
  <si>
    <t>https://thumb.tapecontent.net/thumb/oLmor3xmeeFJLWl/XY2MDBXMR9HDQRQ.jpg</t>
  </si>
  <si>
    <t>Nina - 62548810 - BackroomCastingCouch.jpg</t>
  </si>
  <si>
    <t>https://doodstream.com/d/lq7ebgy99p5s/</t>
  </si>
  <si>
    <t>https://lulustream.com/d/p73bki3wiioz</t>
  </si>
  <si>
    <t>#teen #casting #anal #facial</t>
  </si>
  <si>
    <t>https://thumb.tapecontent.net/thumb/vrz0lXeoAQi4e84/2DZ41BX44lCZgyx.jpg</t>
  </si>
  <si>
    <t>Norah Nova - 62065316 - ripnsfw.com.jpg</t>
  </si>
  <si>
    <t>https://doodstream.com/d/hecnwfaa1mzl/</t>
  </si>
  <si>
    <t>https://lulustream.com/d/nc2vq0mtz9dj</t>
  </si>
  <si>
    <t>#Creampie, #Hardcore, #Porn, #Teen, #Blowjob, #Deepthroat, #Blonde</t>
  </si>
  <si>
    <t>https://thumb.tapecontent.net/thumb/ZKXZDBG0bgiqpr9/2OYaY3kv32IZ22m.jpg</t>
  </si>
  <si>
    <t>Octokuro - 13942903 - Onlyfans.jpg</t>
  </si>
  <si>
    <t>https://doodstream.com/d/n95jcugktrsk/</t>
  </si>
  <si>
    <t>https://lulustream.com/d/ejix5hq32r6w</t>
  </si>
  <si>
    <t>https://thumb.tapecontent.net/thumb/Da47A4eYaLTkpPO/j4gvVDym3JszlRp.jpg</t>
  </si>
  <si>
    <t>Octokuro - 14366191 - Onlyfans.jpg</t>
  </si>
  <si>
    <t>https://doodstream.com/d/3t3o4xccv9tl/</t>
  </si>
  <si>
    <t>https://lulustream.com/d/ddon6nvs224k</t>
  </si>
  <si>
    <t>https://thumb.tapecontent.net/thumb/wl7YGZxdpOIJzOR/391wLxVkvzidbkY.jpg</t>
  </si>
  <si>
    <t>Octokuro - 15289353 - Onlyfans.jpg</t>
  </si>
  <si>
    <t>https://doodstream.com/d/6zh51os37hkq/</t>
  </si>
  <si>
    <t>https://lulustream.com/d/i3btk7sh3lm0</t>
  </si>
  <si>
    <t>https://thumb.tapecontent.net/thumb/kDM6XOL7w3t6rp/Oq93xjZW10s6za.jpg</t>
  </si>
  <si>
    <t>Octokuro - 20147673 - Onlyfans.jpg</t>
  </si>
  <si>
    <t>https://doodstream.com/d/pgfpmt63w71h/</t>
  </si>
  <si>
    <t>https://lulustream.com/d/za50gd2zsewj</t>
  </si>
  <si>
    <t>#Anal, #MILF, #BigTits, #Hardcore, #Bigass, #Roleplay, #Artporn, #Blowjob, #Amateur, #Hotwife, #Deepthroat</t>
  </si>
  <si>
    <t>#Anal #MILF #BigTits #Hardcore #Bigass #Roleplay #Artporn</t>
  </si>
  <si>
    <t>https://thumb.tapecontent.net/thumb/Zb0vlywzD8Sq9ZR/dRgVXAzXpDSkWJK.jpg</t>
  </si>
  <si>
    <t>Octokuro - 20324869 - Onlyfans.jpg</t>
  </si>
  <si>
    <t>https://doodstream.com/d/szwma1glk4bs/</t>
  </si>
  <si>
    <t>https://lulustream.com/d/21vhyrlu7u9m</t>
  </si>
  <si>
    <t>https://thumb.tapecontent.net/thumb/xmrbD6lO4PckeXR/rxJz3QxV0ktbzww.jpg</t>
  </si>
  <si>
    <t>Octokuro - 22351742 - Onlyfans.jpg</t>
  </si>
  <si>
    <t>https://doodstream.com/d/tg0qsmuitrp2/</t>
  </si>
  <si>
    <t>https://lulustream.com/d/z9nr9w72na10</t>
  </si>
  <si>
    <t>https://thumb.tapecontent.net/thumb/O7PVlm8DDafZAJW/6Q6kOKzxWzHpjL.jpg</t>
  </si>
  <si>
    <t>Octokuro - 24693016 - Onlyfans.jpg</t>
  </si>
  <si>
    <t>https://doodstream.com/d/32w0p06gqbdl/</t>
  </si>
  <si>
    <t>https://lulustream.com/d/0yzxtv892j44</t>
  </si>
  <si>
    <t>https://thumb.tapecontent.net/thumb/JX7R0rVWzvhj329/MaQKJakAzouoBy.jpg</t>
  </si>
  <si>
    <t>Octokuro - 25831855 - Onlyfans.jpg</t>
  </si>
  <si>
    <t>https://doodstream.com/d/aqzd8xdxmq1i/</t>
  </si>
  <si>
    <t>https://lulustream.com/d/zp0myjax8z9z</t>
  </si>
  <si>
    <t>#MILF, #Hardcore, #Blowjob, #Amateur, #Deepthroat, #BigTits, #Bigass</t>
  </si>
  <si>
    <t>#MILF #Hardcore #Blowjob #Amateur #Deepthroat</t>
  </si>
  <si>
    <t>https://thumb.tapecontent.net/thumb/oL19Z4Z8RWUJ28Q/WeA6r3lvPlC0j9.jpg</t>
  </si>
  <si>
    <t>Octokuro - 31843939 - ripnsfw.com.jpg</t>
  </si>
  <si>
    <t>https://doodstream.com/d/7sx9jogea77a/</t>
  </si>
  <si>
    <t>https://lulustream.com/d/dfcw1pe29rek</t>
  </si>
  <si>
    <t>#Anal, #MILF, #BigTits, #Hardcore, #Bigass, #Threesome, #Porn, #Blowjob, #Amateur, #Deepthroat</t>
  </si>
  <si>
    <t>#Anal #MILF #BigTits #Hardcore #Bigass #Threesome #Porn #Blowjob #Amateur #Deepthroat</t>
  </si>
  <si>
    <t>https://thumb.tapecontent.net/thumb/17A2L4d4vgI628/VaQaWkrKVRHKrk7.jpg</t>
  </si>
  <si>
    <t>Octokuro - 32073173 - Onlyfans.jpg</t>
  </si>
  <si>
    <t>https://doodstream.com/d/0lewfyzjjfuj/</t>
  </si>
  <si>
    <t>https://lulustream.com/d/rptxuq1hun1o</t>
  </si>
  <si>
    <t>#Anal, #MILF, #BigTits, #Hardcore, #Bigass, #Roleplay, #Artporn, #Stepmom, #Blowjob, #Amateur, #Mature, #Hotwife, #Deepthroat, #Facial</t>
  </si>
  <si>
    <t>#Anal #MILF #BigTits #Hardcore #Bigass #Roleplay #Artporn #Stepmom #Blowjob #Amateur #Mature #Hotwife</t>
  </si>
  <si>
    <t>https://thumb.tapecontent.net/thumb/O2xGzVozMpsgkR/RDvy1ZmBg0cdd8Q.jpg</t>
  </si>
  <si>
    <t>Octokuro - 34038524 - Onlyfans.jpg</t>
  </si>
  <si>
    <t>https://doodstream.com/d/odxe6wmssn8c/</t>
  </si>
  <si>
    <t>https://lulustream.com/d/za8c4vrp5chs</t>
  </si>
  <si>
    <t>https://thumb.tapecontent.net/thumb/X29qW7kq8wSD7k2/aYPlPzKZg0ibmk.jpg</t>
  </si>
  <si>
    <t>Octokuro - 35071147 - Onlyfans.jpg</t>
  </si>
  <si>
    <t>https://doodstream.com/d/upyq87i0m2x9/</t>
  </si>
  <si>
    <t>https://lulustream.com/d/28i5hv6uedf6</t>
  </si>
  <si>
    <t>#blowjob #milf #bigtits #anal</t>
  </si>
  <si>
    <t>https://thumb.tapecontent.net/thumb/Vz6D4xlKB2h9aR/ll2LBLkrLki7Mj0.jpg</t>
  </si>
  <si>
    <t>Octokuro - 37754208 - Onlyfans.jpg</t>
  </si>
  <si>
    <t>https://doodstream.com/d/10p6yoevhgnr/</t>
  </si>
  <si>
    <t>https://lulustream.com/d/d65sbu3ggw04</t>
  </si>
  <si>
    <t>https://thumb.tapecontent.net/thumb/Z2M3Ll29A3HMLB/bkdOy1eaRkSPzBw.jpg</t>
  </si>
  <si>
    <t>Octokuro - 40551953 - Onlyfans.jpg</t>
  </si>
  <si>
    <t>https://doodstream.com/d/jlqi4k6v1g1f/</t>
  </si>
  <si>
    <t>https://lulustream.com/d/17hpp57yt0jj</t>
  </si>
  <si>
    <t>#doublepenetration #anal #bigass #bigtits</t>
  </si>
  <si>
    <t>https://thumb.tapecontent.net/thumb/oAry77vd4YCJk9q/PjdOWX3jR0uRkd.jpg</t>
  </si>
  <si>
    <t>Octokuro - 41129594 - Onlyfans.jpg</t>
  </si>
  <si>
    <t>https://doodstream.com/d/2qlv9mdjzl2z/</t>
  </si>
  <si>
    <t>https://lulustream.com/d/670i1m7tavv2</t>
  </si>
  <si>
    <t>https://thumb.tapecontent.net/thumb/LMveWBykDvHRKvA/MjxoqJ3PM0teG9.jpg</t>
  </si>
  <si>
    <t>Octokuro - 42043379 - Onlyfans.jpg</t>
  </si>
  <si>
    <t>https://doodstream.com/d/epg8unrpp3l8/</t>
  </si>
  <si>
    <t>https://lulustream.com/d/o6ek36scntni</t>
  </si>
  <si>
    <t>https://thumb.tapecontent.net/thumb/3a6yp46ZK7Hdwpg/DAgAGB8RZOTkPZb.jpg</t>
  </si>
  <si>
    <t>Octokuro - 43317682 - Onlyfans.jpg</t>
  </si>
  <si>
    <t>https://doodstream.com/d/4epcul7rqz6t/</t>
  </si>
  <si>
    <t>https://lulustream.com/d/vtlrisyeb1xi</t>
  </si>
  <si>
    <t>https://thumb.tapecontent.net/thumb/VxQgeWkKbPuKJXK/MPQ198QAD0f1yx.jpg</t>
  </si>
  <si>
    <t>Octokuro - 43587736 - Onlyfans.jpg</t>
  </si>
  <si>
    <t>https://doodstream.com/d/u0hfkr8yzd1x/</t>
  </si>
  <si>
    <t>https://lulustream.com/d/k9t1maetjr3p</t>
  </si>
  <si>
    <t>https://thumb.tapecontent.net/thumb/VxQ6WdqZpACK7lM/Jq6DK3vWyMsj3Zv.jpg</t>
  </si>
  <si>
    <t>Octokuro - 46438824 - Onlyfans.jpg</t>
  </si>
  <si>
    <t>https://doodstream.com/d/6di85wamqgou/</t>
  </si>
  <si>
    <t>https://lulustream.com/d/mpexvppcga84</t>
  </si>
  <si>
    <t>https://thumb.tapecontent.net/thumb/RQMd6WlMxlCJv8/BbA8OyW1QbfWDM.jpg</t>
  </si>
  <si>
    <t>Octokuro - 47863179 - ripnsfw.com.jpg</t>
  </si>
  <si>
    <t>https://doodstream.com/d/fc1s74ajnyer/</t>
  </si>
  <si>
    <t>https://lulustream.com/d/49twtvt2z3ww</t>
  </si>
  <si>
    <t>#MILF, #BigTits, #Hardcore, #Bigass, #Roleplay, #Blowjob, #Amateur, #Deepthroat</t>
  </si>
  <si>
    <t>https://thumb.tapecontent.net/thumb/QA14g42DAQCG7Y/Varr0Q1VmDIKGjq.jpg</t>
  </si>
  <si>
    <t>Octokuro - 48603480 - Onlyfans.jpg</t>
  </si>
  <si>
    <t>https://doodstream.com/d/sa6ss0p9bu5g/</t>
  </si>
  <si>
    <t>https://lulustream.com/d/s6206vzfa42e</t>
  </si>
  <si>
    <t>https://thumb.tapecontent.net/thumb/re3DqAqYXWtb0Wo/BO8ZZozjDoH2Y0.jpg</t>
  </si>
  <si>
    <t>Octokuro - 52294903 - PornWorld.jpg</t>
  </si>
  <si>
    <t>https://doodstream.com/d/9f5ffz90yumj/</t>
  </si>
  <si>
    <t>https://lulustream.com/d/ps66i21qq63x</t>
  </si>
  <si>
    <t>https://thumb.tapecontent.net/thumb/o684pqVeLaHJ4lY/dAgzAlMdLPikqOL.jpg</t>
  </si>
  <si>
    <t>Octokuro - 53119254 - ripnsfw.com.jpg</t>
  </si>
  <si>
    <t>https://doodstream.com/d/fzi8b1p5d2c4/</t>
  </si>
  <si>
    <t>https://lulustream.com/d/62bxb1q34bb6</t>
  </si>
  <si>
    <t>#Anal, #MILF, #BigTits, #Hardcore, #Bigass, #Roleplay, #Blowjob, #Amateur, #Deepthroat, #Blonde, #Facial</t>
  </si>
  <si>
    <t>https://thumb.tapecontent.net/thumb/DPJGAmrjZBskgeQ/QaA0ZXYW06uR6R.jpg</t>
  </si>
  <si>
    <t>Octokuro - 54716594 - Onlyfans.jpg</t>
  </si>
  <si>
    <t>https://doodstream.com/d/rw6m3oz7hbbw/</t>
  </si>
  <si>
    <t>https://lulustream.com/d/zt10ver97r6a</t>
  </si>
  <si>
    <t>#bigtits #bigass #blowjob #milf</t>
  </si>
  <si>
    <t>https://thumb.tapecontent.net/thumb/RWB4YLJamesdemY/zDLJM0AYyZUYRKr.jpg</t>
  </si>
  <si>
    <t>Octokuro - 58018560 - Onlyfans.jpg</t>
  </si>
  <si>
    <t>https://doodstream.com/d/lml3ydmzqb3l/</t>
  </si>
  <si>
    <t>https://lulustream.com/d/64jcsra7pecs</t>
  </si>
  <si>
    <t>https://thumb.tapecontent.net/thumb/7DbepYz128sA1vX/o6r0mVqRZAHJVyL.jpg</t>
  </si>
  <si>
    <t>Octokuro - 59935821 - Onlyfans.jpg</t>
  </si>
  <si>
    <t>https://doodstream.com/d/jbs3koclf9no/</t>
  </si>
  <si>
    <t>https://lulustream.com/d/tjmnqlcochob</t>
  </si>
  <si>
    <t>https://thumb.tapecontent.net/thumb/xXYv4BZ0ORiop0/0pLYKaGoLbHK6R.jpg</t>
  </si>
  <si>
    <t>Octokuro - 60165630 - Onlyfans.jpg</t>
  </si>
  <si>
    <t>https://doodstream.com/d/dgjyqdul11t9/</t>
  </si>
  <si>
    <t>https://lulustream.com/d/ykyod8roeu7u</t>
  </si>
  <si>
    <t>#anal #bigtits #blowjob #milf</t>
  </si>
  <si>
    <t>https://thumb.tapecontent.net/thumb/3kO9JR1a8lF3Vk/vBwMBX0Bb9t4Xkb.jpg</t>
  </si>
  <si>
    <t>Octokuro - 64117623 - Onlyfans.jpg</t>
  </si>
  <si>
    <t>https://doodstream.com/d/gz193cnkdqr2/</t>
  </si>
  <si>
    <t>https://lulustream.com/d/jsuhh6p03efa</t>
  </si>
  <si>
    <t>https://thumb.tapecontent.net/thumb/j76k12g6y3czjWK/p1yaQXlgW9TrpM2.jpg</t>
  </si>
  <si>
    <t>Octokuro - 64883548 - Onlyfans.jpg</t>
  </si>
  <si>
    <t>https://doodstream.com/d/jocnxtpa3skh/</t>
  </si>
  <si>
    <t>https://lulustream.com/d/picwi2n0o1tt</t>
  </si>
  <si>
    <t>https://thumb.tapecontent.net/thumb/2rJpG3RK19hRx1/OWZD7Dzj89hZRkP.jpg</t>
  </si>
  <si>
    <t>Octokuro - 67483896 - Onlyfans.jpg</t>
  </si>
  <si>
    <t>https://doodstream.com/d/9q94y05fbbh0/</t>
  </si>
  <si>
    <t>https://lulustream.com/d/5cctejhbc52o</t>
  </si>
  <si>
    <t>https://thumb.tapecontent.net/thumb/W3P67o1G3OSb97G/Vr37loO943hK7Ro.jpg</t>
  </si>
  <si>
    <t>Octokuro - 69004840 - OnlyTarts.jpg</t>
  </si>
  <si>
    <t>https://doodstream.com/d/exz7nebytnw0/</t>
  </si>
  <si>
    <t>https://lulustream.com/d/fsvmtfv1on53</t>
  </si>
  <si>
    <t>https://thumb.tapecontent.net/thumb/wzogpl7PlJtJyqx/XyDA4gD4ldiD8va.jpg</t>
  </si>
  <si>
    <t>Octokuro - 69857341 - Onlyfans.jpg</t>
  </si>
  <si>
    <t>https://doodstream.com/d/cthugqntvh6l/</t>
  </si>
  <si>
    <t>https://lulustream.com/d/jieisoy8qbkj</t>
  </si>
  <si>
    <t>#bigtits #roleplay #blowjob #bigass</t>
  </si>
  <si>
    <t>https://thumb.tapecontent.net/thumb/7YrQKgX2O6CAz4Z/rxGmP27Aaotbry7.jpg</t>
  </si>
  <si>
    <t>Octokuro - 72571242 - ripnsfw.com.jpg</t>
  </si>
  <si>
    <t>https://doodstream.com/d/9zwdr8tblw7c/</t>
  </si>
  <si>
    <t>https://lulustream.com/d/s86gmzjv129p</t>
  </si>
  <si>
    <t>#MILF, #BigTits, #Hardcore, #Black, #Interracial, #Bigass, #Roleplay, #Artporn, #Blowjob, #Amateur, #Deepthroat, #Facial</t>
  </si>
  <si>
    <t>https://thumb.tapecontent.net/thumb/QdzaJkXYxZUGyG/yPwOzObjDRi19vY.jpg</t>
  </si>
  <si>
    <t>Octokuro - 75943645 - Onlyfans.jpg</t>
  </si>
  <si>
    <t>https://doodstream.com/d/as5pte4we0i0/</t>
  </si>
  <si>
    <t>https://lulustream.com/d/4enfdtpawja2</t>
  </si>
  <si>
    <t>https://thumb.tapecontent.net/thumb/k2l8AoWAblcOK1Z/MJwRaVV3LdSmRZ2.jpg</t>
  </si>
  <si>
    <t>Octokuro - 77610147 - Onlyfans.jpg</t>
  </si>
  <si>
    <t>https://doodstream.com/d/9y54t1geyig1/</t>
  </si>
  <si>
    <t>https://lulustream.com/d/b8b1bces5mu0</t>
  </si>
  <si>
    <t>https://thumb.tapecontent.net/thumb/OAOkygy6pYckd3/ab0lZJOA1LhQzQ.jpg</t>
  </si>
  <si>
    <t>Octokuro - 83051674 - Onlyfans.jpg</t>
  </si>
  <si>
    <t>https://doodstream.com/d/m4ahpimeq6a0/</t>
  </si>
  <si>
    <t>https://lulustream.com/d/ix736psq5w7n</t>
  </si>
  <si>
    <t>https://thumb.tapecontent.net/thumb/W1ggd4zpwgTbwvr/bebyJlWOmvtPjAJ.jpg</t>
  </si>
  <si>
    <t>Octokuro - 83093985 - Onlyfans.jpg</t>
  </si>
  <si>
    <t>https://doodstream.com/d/h7zy4o0qitwj/</t>
  </si>
  <si>
    <t>https://lulustream.com/d/8jihitil0z1p</t>
  </si>
  <si>
    <t>#milf #bigass #bigtits #roleplay</t>
  </si>
  <si>
    <t>https://thumb.tapecontent.net/thumb/PX0VlGMRXai0VA7/pYkOPWKLLDfr4Lo.jpg</t>
  </si>
  <si>
    <t>Octokuro - 84375532 - ripnsfw.com.jpg</t>
  </si>
  <si>
    <t>https://doodstream.com/d/ufs06r14napa/</t>
  </si>
  <si>
    <t>https://lulustream.com/d/9u76l84goq4m</t>
  </si>
  <si>
    <t>#MILF #BigTits #Hardcore #Bigass #Roleplay #Blowjob #Amateur #Deepthroat #Facial</t>
  </si>
  <si>
    <t>https://thumb.tapecontent.net/thumb/MeJLmDxGYRTmmJe/7wqeOrBXPpsAeQw.jpg</t>
  </si>
  <si>
    <t>Octokuro - 86995868 - Vampired.jpg</t>
  </si>
  <si>
    <t>https://doodstream.com/d/d4pmyk5ilx99/</t>
  </si>
  <si>
    <t>https://lulustream.com/d/9ahpykb0j6i6</t>
  </si>
  <si>
    <t>#anal #bigtits #milf #creampie</t>
  </si>
  <si>
    <t>https://thumb.tapecontent.net/thumb/gV9Bj7Jk7RcqWDe/8wY7dqDgDpc6zZ.jpg</t>
  </si>
  <si>
    <t>Octokuro - 86997868 - Onlyfans.jpg</t>
  </si>
  <si>
    <t>https://doodstream.com/d/aejye6rt8kgi/</t>
  </si>
  <si>
    <t>https://lulustream.com/d/5r47wdqfzhmg</t>
  </si>
  <si>
    <t>#bigtits #blowjob #bigass #interracial</t>
  </si>
  <si>
    <t>https://thumb.tapecontent.net/thumb/oDj0P1JKv6sJg0k/plrbDYrK42Uro47.jpg</t>
  </si>
  <si>
    <t>Octokuro - 87079998 - RS.jpg</t>
  </si>
  <si>
    <t>https://doodstream.com/d/ry1uv9nik0p9/</t>
  </si>
  <si>
    <t>https://lulustream.com/d/5sjzwvhpmk7m</t>
  </si>
  <si>
    <t>https://thumb.tapecontent.net/thumb/g2vLrVo1v2hqWq7/QdlqKGWwqgS01kl.jpg</t>
  </si>
  <si>
    <t>Octokuro - 93953392 - Onlyfans.jpg</t>
  </si>
  <si>
    <t>https://doodstream.com/d/ldsrdfw27b1d/</t>
  </si>
  <si>
    <t>https://lulustream.com/d/sekznpyajn84</t>
  </si>
  <si>
    <t>https://thumb.tapecontent.net/thumb/bG4WAV99rLUPgpL/D3vqkb1OY8cDmZ.jpg</t>
  </si>
  <si>
    <t>Octokuro - 94167508 - ripnsfw.com.jpg</t>
  </si>
  <si>
    <t>https://doodstream.com/d/5otet9hkxnmb/</t>
  </si>
  <si>
    <t>https://lulustream.com/d/ir72ntjltipq</t>
  </si>
  <si>
    <t>#MILF, #BigTits, #Hardcore, #Bigass, #Porn, #Roleplay, #Blowjob, #Latina, #Deepthroat</t>
  </si>
  <si>
    <t>#MILF #BigTits #Hardcore #Bigass #Porn #Roleplay #Blowjob #Latina</t>
  </si>
  <si>
    <t>https://thumb.tapecontent.net/thumb/ol4O1WmRpqtJXaM/J2AkwoOLZRCj3GB.jpg</t>
  </si>
  <si>
    <t>Octokuro - 96562730 - Onlyfans.jpg</t>
  </si>
  <si>
    <t>https://doodstream.com/d/5kucnhx0ab7v/</t>
  </si>
  <si>
    <t>https://lulustream.com/d/77d6lp1d3moq</t>
  </si>
  <si>
    <t>#bigass #blowjob #creampie #bigtits</t>
  </si>
  <si>
    <t>https://thumb.tapecontent.net/thumb/PvqprVx6bbsGaJ/BvrLV29x1GhyBqw.jpg</t>
  </si>
  <si>
    <t>Octokuro - 97262351 - Onlyfans.jpg</t>
  </si>
  <si>
    <t>https://doodstream.com/d/q38vrg03rsqs/</t>
  </si>
  <si>
    <t>https://lulustream.com/d/68q5ro9kig8o</t>
  </si>
  <si>
    <t>#doublepenetration #gangbang #anal #bigass</t>
  </si>
  <si>
    <t>https://thumb.tapecontent.net/thumb/78koYWWMWVfAg0v/aqovApX41lUx3jR.jpg</t>
  </si>
  <si>
    <t>Octokuro - 98357542 - Onlyfans.jpg</t>
  </si>
  <si>
    <t>https://doodstream.com/d/s6qavseb2mio/</t>
  </si>
  <si>
    <t>https://lulustream.com/d/d9puh3145c3t</t>
  </si>
  <si>
    <t>#milf #bigtits #anal #bigass</t>
  </si>
  <si>
    <t>https://thumb.tapecontent.net/thumb/lr1mjR0ervF7KbO/m6qQ620JX2Hbxz9.jpg</t>
  </si>
  <si>
    <t>Octokuro - 99769777 - Onlyfans.jpg</t>
  </si>
  <si>
    <t>https://doodstream.com/d/lz1obslajrdc/</t>
  </si>
  <si>
    <t>https://lulustream.com/d/c76rgpi3fev7</t>
  </si>
  <si>
    <t>https://thumb.tapecontent.net/thumb/3V8rgdzqr3sdB3R/yA8OG74zrlc1qj8.jpg</t>
  </si>
  <si>
    <t>Octokuro - 99817193 - Onlyfans.jpg</t>
  </si>
  <si>
    <t>https://doodstream.com/d/0rfd1lvyb0dl/</t>
  </si>
  <si>
    <t>https://lulustream.com/d/s63v7wresxxi</t>
  </si>
  <si>
    <t>https://thumb.tapecontent.net/thumb/yV7Mrg4pzWI1llb/Jy8Leal4QxfjlWW.jpg</t>
  </si>
  <si>
    <t>Olivia Sparkle - 11092806 - LCDreams.jpg</t>
  </si>
  <si>
    <t>https://doodstream.com/d/fpk97vtk700t/</t>
  </si>
  <si>
    <t>https://lulustream.com/d/fyz8fxsyv9g1</t>
  </si>
  <si>
    <t>https://thumb.tapecontent.net/thumb/WyMMelKB44UbxbX/wrYqDwQr9JiJRBD.jpg</t>
  </si>
  <si>
    <t>Olivia Sparkle - 14448737 - ripnsfw.com.jpg</t>
  </si>
  <si>
    <t>https://doodstream.com/d/0jj50q0ok5c8/</t>
  </si>
  <si>
    <t>https://lulustream.com/d/qg1yzk58dbv0</t>
  </si>
  <si>
    <t>#Hardcore, #Bigass, #Teen, #Porn, #Roleplay, #Teens, #Blonde</t>
  </si>
  <si>
    <t>https://thumb.tapecontent.net/thumb/Q3VPRrrXBpT03ka/B4yljAo71RUy1Z1.jpg</t>
  </si>
  <si>
    <t>Olivia Sparkle - 17764835 - H4K.jpg</t>
  </si>
  <si>
    <t>https://doodstream.com/d/xiiewy9qhd7h/</t>
  </si>
  <si>
    <t>https://lulustream.com/d/jazkvi3txf8a</t>
  </si>
  <si>
    <t>#Hardcore #Bigass #Porn #Teen #Blowjob #Blonde</t>
  </si>
  <si>
    <t>https://thumb.tapecontent.net/thumb/Mye62PBvX0tm724/My616KgabQimvWq.jpg</t>
  </si>
  <si>
    <t>Olivia Sparkle - 26408287 - Onlyfans.jpg</t>
  </si>
  <si>
    <t>https://doodstream.com/d/kkr53863zpxy/</t>
  </si>
  <si>
    <t>https://lulustream.com/d/31qq7ne3dqc6</t>
  </si>
  <si>
    <t>#teen #blowjob #amateur #blonde</t>
  </si>
  <si>
    <t>https://thumb.tapecontent.net/thumb/RmyjpeybmVhd8mG/r24Q26xgWRtGXV.jpg</t>
  </si>
  <si>
    <t>Olivia Sparkle - 36942485 - Submissed.jpg</t>
  </si>
  <si>
    <t>https://doodstream.com/d/8l4k8a9e0xv7/</t>
  </si>
  <si>
    <t>https://lulustream.com/d/glzn5llu043v</t>
  </si>
  <si>
    <t>https://thumb.tapecontent.net/thumb/KA0DbBx7ejS026e/ZPzLK0RBMzIqqGY.jpg</t>
  </si>
  <si>
    <t>Olivia Sparkle - 58920974 - NF.jpg</t>
  </si>
  <si>
    <t>https://doodstream.com/d/6iv6pxko044i/</t>
  </si>
  <si>
    <t>https://lulustream.com/d/iomu8jazis07</t>
  </si>
  <si>
    <t>#teen #bigass #porn #blowjob</t>
  </si>
  <si>
    <t>https://thumb.tapecontent.net/thumb/xrGYjqDQrzujYj/OgrWg39l2zCZlAR.jpg</t>
  </si>
  <si>
    <t>Olivia Sparkle - 68549677 - NF.jpg</t>
  </si>
  <si>
    <t>https://doodstream.com/d/nbll60kwvmue/</t>
  </si>
  <si>
    <t>https://lulustream.com/d/l5jntbvewdkl</t>
  </si>
  <si>
    <t>https://thumb.tapecontent.net/thumb/OWdJyK0RzRUZ0Py/JAj7Pwg3Q9IJGP.jpg</t>
  </si>
  <si>
    <t>Olivia Sparkle - 75098849 - DS.jpg</t>
  </si>
  <si>
    <t>https://doodstream.com/d/h4nmjyycqmo0/</t>
  </si>
  <si>
    <t>https://lulustream.com/d/e6073c2nwtn8</t>
  </si>
  <si>
    <t>https://thumb.tapecontent.net/thumb/O78kMLQ8Gqfzoo/2VJV7AJyBMcZl2r.jpg</t>
  </si>
  <si>
    <t>Olivia Sparkle - 86517907 - ripnsfw.com.jpg</t>
  </si>
  <si>
    <t>https://doodstream.com/d/xrltgpe1j2fd/</t>
  </si>
  <si>
    <t>https://lulustream.com/d/n6iirja91lm7</t>
  </si>
  <si>
    <t>#Creampie, #Hardcore, #Bigass, #Porn, #Teen, #Blowjob, #Blonde</t>
  </si>
  <si>
    <t>#Creampie #Hardcore #Bigass #Porn #Teen #Blowjob</t>
  </si>
  <si>
    <t>https://thumb.tapecontent.net/thumb/zPQld8wxkdFYL4e/GQM00vlMjQC1zqb.jpg</t>
  </si>
  <si>
    <t>Olivia Sparkle - 96940959 - CU.jpg</t>
  </si>
  <si>
    <t>https://doodstream.com/d/c89k6qizt2vz/</t>
  </si>
  <si>
    <t>https://lulustream.com/d/0au6kr0yjo2o</t>
  </si>
  <si>
    <t>#bigass #porn #teen #artporn</t>
  </si>
  <si>
    <t>https://thumb.tapecontent.net/thumb/ZPqz8rlZO6tqpo6/A2RDjGyKXBCX7Gr.jpg</t>
  </si>
  <si>
    <t>Payton Preslee - 34521859 - Onlyfans - Brynn Michaels.jpg</t>
  </si>
  <si>
    <t>https://doodstream.com/d/6dan04v6dnb2/</t>
  </si>
  <si>
    <t>https://lulustream.com/d/dp1a56p5y5ox</t>
  </si>
  <si>
    <t>https://thumb.tapecontent.net/thumb/lrdb1gbbvQI7pjR/PWKk6BY7e8h0qX2.jpg</t>
  </si>
  <si>
    <t>Payton Preslee - 57269050 - ripnsfw.com.jpg</t>
  </si>
  <si>
    <t>https://doodstream.com/d/t3qawsc0nxos/</t>
  </si>
  <si>
    <t>https://lulustream.com/d/lnzkuhpfsld9</t>
  </si>
  <si>
    <t>#MILF, #BigTits, #Porn, #Roleplay, #Blowjob, #Deepthroat, #Facial</t>
  </si>
  <si>
    <t>#MILF #BigTits #Porn #Roleplay</t>
  </si>
  <si>
    <t>https://thumb.tapecontent.net/thumb/eVXz8PZrDaFYvbO/4qGJ7QDv1mUKX3m.jpg</t>
  </si>
  <si>
    <t>Payton Preslee - 92445527 - HoF - Ellie Nova.jpg</t>
  </si>
  <si>
    <t>https://doodstream.com/d/6wkozjfxpd72/</t>
  </si>
  <si>
    <t>https://lulustream.com/d/5cgmy4pb4i0c</t>
  </si>
  <si>
    <t>https://thumb.tapecontent.net/thumb/9qOBe3R9Bbu6qz/qv0rmVO6XWIzdeJ.jpg</t>
  </si>
  <si>
    <t>Payton Preslee - 95697340 - Bang.jpg</t>
  </si>
  <si>
    <t>https://doodstream.com/d/ujdaknwfl13z/</t>
  </si>
  <si>
    <t>https://lulustream.com/d/ogemib7v2upu</t>
  </si>
  <si>
    <t>#MILF, #BigTits, #Hardcore, #Bigass, #Porn, #Stepmom, #Blowjob, #Deepthroat, #Facial</t>
  </si>
  <si>
    <t>#MILF #BigTits #Hardcore #Bigass #Porn #Stepmom #Blowjob</t>
  </si>
  <si>
    <t>https://thumb.tapecontent.net/thumb/1qYVk9XVDXheWGJ/YqGQAoy4zZHvyYy.jpg</t>
  </si>
  <si>
    <t>Payton Preslee - 96767909 - JulesJordan - Connie Perignon.jpg</t>
  </si>
  <si>
    <t>https://doodstream.com/d/o8sscbdk91od/</t>
  </si>
  <si>
    <t>https://lulustream.com/d/1xi4inv3nczb</t>
  </si>
  <si>
    <t>#MILF, #BigTits, #Hardcore, #Asian, #Threesome, #Interracial, #Bigass, #Porn, #Blowjob, #Deepthroat, #Facial</t>
  </si>
  <si>
    <t>#MILF #BigTits #Hardcore #Asian #Threesome</t>
  </si>
  <si>
    <t>https://thumb.tapecontent.net/thumb/mvAYa3xGqJFb80D/y7YgkGxw01f14Pw.jpg</t>
  </si>
  <si>
    <t>Polly Yangs - 24271910 - ripnsfw.com.jpg</t>
  </si>
  <si>
    <t>https://doodstream.com/d/ck94j5dpqz0f/</t>
  </si>
  <si>
    <t>https://lulustream.com/d/i83iyfob0609</t>
  </si>
  <si>
    <t>#BigTits #Hardcore #Teen #Blowjob #Amateur #Deepthroat</t>
  </si>
  <si>
    <t>https://thumb.tapecontent.net/thumb/kwr8eKa4p7uOOQQ/APXRQL1b9gCXOaD.jpg</t>
  </si>
  <si>
    <t>Rae Lil Black - 34360378 - ripnsfw.com.jpg</t>
  </si>
  <si>
    <t>https://doodstream.com/d/0n622k3ct7wx/</t>
  </si>
  <si>
    <t>https://lulustream.com/d/hjegqpes4v3s</t>
  </si>
  <si>
    <t>#BigTits, #Asian, #Teen, #Blowjob, #Solo</t>
  </si>
  <si>
    <t>#BigTits #Asian #Teen #Blowjob</t>
  </si>
  <si>
    <t>https://thumb.tapecontent.net/thumb/9oZ43Y4rpYFOLA/XqG1zOJYmQUD6qz.jpg</t>
  </si>
  <si>
    <t>Rae Lil Black - 36474335 - Onlyfans.jpg</t>
  </si>
  <si>
    <t>https://doodstream.com/d/zivd27tgyta7/</t>
  </si>
  <si>
    <t>https://lulustream.com/d/zcmfbdm5o9xq</t>
  </si>
  <si>
    <t>#asian #brunette #blowjob #bigtits</t>
  </si>
  <si>
    <t>https://thumb.tapecontent.net/thumb/xkZkbxj7xxSDRM/djWVo7DvDrckpap.jpg</t>
  </si>
  <si>
    <t>Rae Lil Black - 86254441 - ripnsfw.com.jpg</t>
  </si>
  <si>
    <t>https://doodstream.com/d/0j7jm13lpvxj/</t>
  </si>
  <si>
    <t>https://lulustream.com/d/5j88pbctdz3w</t>
  </si>
  <si>
    <t>#BigTits, #Hardcore, #Asian, #Teen, #Porn, #Roleplay, #Blowjob, #Facial</t>
  </si>
  <si>
    <t>#BigTits #Hardcore #Asian #Teen #Porn #Roleplay #Blowjob #Facial</t>
  </si>
  <si>
    <t>https://thumb.tapecontent.net/thumb/qOWDYZB7J8Fzqqm/r3PwXzqgJwCbb29.jpg</t>
  </si>
  <si>
    <t>Rae Lil Black - 97194071 - Onlyfans.jpg</t>
  </si>
  <si>
    <t>https://doodstream.com/d/2jk5bdg8x6by/</t>
  </si>
  <si>
    <t>https://lulustream.com/d/jliiw0d6duqn</t>
  </si>
  <si>
    <t>#MILF, #BigTits, #Asian, #Amateur</t>
  </si>
  <si>
    <t>#MILF #BigTits #Asian #Amateur</t>
  </si>
  <si>
    <t>https://thumb.tapecontent.net/thumb/wgGZzMg47zUJO93/2qAvD80B6bsZdxw.jpg</t>
  </si>
  <si>
    <t>Raini - 75439323 - BackroomCastingCouch.jpg</t>
  </si>
  <si>
    <t>https://doodstream.com/d/a20owmgm42g4/</t>
  </si>
  <si>
    <t>https://lulustream.com/d/9yqnvuo97f30</t>
  </si>
  <si>
    <t>#teen #brunette #casting #anal</t>
  </si>
  <si>
    <t>https://thumb.tapecontent.net/thumb/74OorX16dOHAL6V/ajWQO42vgxsxyr1.jpg</t>
  </si>
  <si>
    <t>Rebeca Fox - 16691815 - AV.jpg</t>
  </si>
  <si>
    <t>https://doodstream.com/d/e151xxxuzgjh/</t>
  </si>
  <si>
    <t>https://lulustream.com/d/a05piznf89ys</t>
  </si>
  <si>
    <t>#doublepenetration #anal #teen #gangbang</t>
  </si>
  <si>
    <t>https://thumb.tapecontent.net/thumb/6914eqq7GwT9Dxq/1x8lOajmykUbbG.jpg</t>
  </si>
  <si>
    <t>Rebeca Fox - 97988409 - FAQ.jpg</t>
  </si>
  <si>
    <t>https://doodstream.com/d/zgcnz99b20wx/</t>
  </si>
  <si>
    <t>https://lulustream.com/d/re0hkt15wnzx</t>
  </si>
  <si>
    <t>https://thumb.tapecontent.net/thumb/ZDplW2mGgXcBDK/bRjybjpLkjUPydW.jpg</t>
  </si>
  <si>
    <t>Reislin - 55127366 - ripnsfw.com.jpg</t>
  </si>
  <si>
    <t>https://doodstream.com/d/a690nt5d0xo2/</t>
  </si>
  <si>
    <t>https://lulustream.com/d/lcpt9s7brqoh</t>
  </si>
  <si>
    <t>https://thumb.tapecontent.net/thumb/wDKvAwO8Q4CJb3K/aPAplq0ODGSbQ1.jpg</t>
  </si>
  <si>
    <t>Remido - 17868897 - D4.jpg</t>
  </si>
  <si>
    <t>https://doodstream.com/d/nh8g6cwbjin7/</t>
  </si>
  <si>
    <t>https://lulustream.com/d/mmwpv557n0d9</t>
  </si>
  <si>
    <t>https://thumb.tapecontent.net/thumb/0eovZdWyBksb1lk/gjXYMAGARqFqW7V.jpg</t>
  </si>
  <si>
    <t>Remido - 54581348 - ripnsfw.com.jpg</t>
  </si>
  <si>
    <t>https://doodstream.com/d/v3texwsnb0b1/</t>
  </si>
  <si>
    <t>https://lulustream.com/d/2qlfdeuzewg9</t>
  </si>
  <si>
    <t>#BigTits, #Creampie, #Hardcore, #Bigass, #Porn, #Teen, #Blowjob, #Deepthroat</t>
  </si>
  <si>
    <t>#BigTits #Creampie #Hardcore #Bigass #Porn #Teen #Blowjob</t>
  </si>
  <si>
    <t>https://thumb.tapecontent.net/thumb/pMJOo6qlqPSrya9/1q8j3BvBWotx1G.jpg</t>
  </si>
  <si>
    <t>Remido - 61743542 - OT.jpg</t>
  </si>
  <si>
    <t>https://doodstream.com/d/9n2xgmkqql6u/</t>
  </si>
  <si>
    <t>https://lulustream.com/d/ro76yshhqpvj</t>
  </si>
  <si>
    <t>#teen #bigass #bigtits #blowjob</t>
  </si>
  <si>
    <t>https://thumb.tapecontent.net/thumb/DWBLzweoPLtk7RA/1PvokYMaqguegpZ.jpg</t>
  </si>
  <si>
    <t>Remy Lacroix - 10307538 - Onlyfans.jpg</t>
  </si>
  <si>
    <t>https://doodstream.com/d/c5oz4wjpvr9g/</t>
  </si>
  <si>
    <t>https://lulustream.com/d/b4tc3q0q66qx</t>
  </si>
  <si>
    <t>#milf #hardcore #bigass #blowjob</t>
  </si>
  <si>
    <t>https://thumb.tapecontent.net/thumb/jkzbZxVXeRF29b/9RJy2JMjk3c9kb.jpg</t>
  </si>
  <si>
    <t>Remy Lacroix - 11605734 - Onlyfans.jpg</t>
  </si>
  <si>
    <t>https://doodstream.com/d/fd23dza3npq1/</t>
  </si>
  <si>
    <t>https://lulustream.com/d/kfadtjrl8xyy</t>
  </si>
  <si>
    <t>#milf #bigass #blowjob #blonde</t>
  </si>
  <si>
    <t>https://thumb.tapecontent.net/thumb/787Yzv1MkqHAOqv/GPdRgb1xw9SA7b.jpg</t>
  </si>
  <si>
    <t>Remy Lacroix - 25602670 - Onlyfans.jpg</t>
  </si>
  <si>
    <t>https://doodstream.com/d/3kxj9heinq6g/</t>
  </si>
  <si>
    <t>https://lulustream.com/d/xjua5v58fvja</t>
  </si>
  <si>
    <t>#MILF, #Hardcore, #Threesome, #Bigass</t>
  </si>
  <si>
    <t>#MILF #Hardcore #Threesome #Bigass</t>
  </si>
  <si>
    <t>https://thumb.tapecontent.net/thumb/QyRJq4qrr9f0Yb6/Keqv4yPZ19U0rKK.jpg</t>
  </si>
  <si>
    <t>Remy Lacroix - 30133802 - Onlyfans.jpg</t>
  </si>
  <si>
    <t>https://doodstream.com/d/z93gak4s6tzu/</t>
  </si>
  <si>
    <t>https://lulustream.com/d/y3s72fv8c2q2</t>
  </si>
  <si>
    <t>https://thumb.tapecontent.net/thumb/08aOMVx1Q7Tbqyv/Dj4ZOG009wukZm9.jpg</t>
  </si>
  <si>
    <t>Remy Lacroix - 35214609 - Onlyfans.jpg</t>
  </si>
  <si>
    <t>https://doodstream.com/d/bpgp1m4bx7sv/</t>
  </si>
  <si>
    <t>https://lulustream.com/d/gv4mfh2n4bsf</t>
  </si>
  <si>
    <t>https://thumb.tapecontent.net/thumb/P6DQm4O7Kwt0P0z/kvX2a3DxxrTO13D.jpg</t>
  </si>
  <si>
    <t>Remy Lacroix - 37921435 - Onlyfans.jpg</t>
  </si>
  <si>
    <t>https://doodstream.com/d/uau1grd3imgt/</t>
  </si>
  <si>
    <t>https://lulustream.com/d/yzlgdnptfsba</t>
  </si>
  <si>
    <t>#milf #blowjob #bigass #blonde</t>
  </si>
  <si>
    <t>https://thumb.tapecontent.net/thumb/Xy7jd63191uDrW8/brwrblzKwqhPAPw.jpg</t>
  </si>
  <si>
    <t>Remy Lacroix - 44852556 - Onlyfans.jpg</t>
  </si>
  <si>
    <t>https://doodstream.com/d/sns2gr44el4s/</t>
  </si>
  <si>
    <t>https://lulustream.com/d/qymyniuneesr</t>
  </si>
  <si>
    <t>#Anal, #MILF, #Hardcore, #Black</t>
  </si>
  <si>
    <t>#Anal #MILF #Hardcore #Black</t>
  </si>
  <si>
    <t>https://thumb.tapecontent.net/thumb/XJGG3xYWLyTDDLx/Bvx9ZgKVrYCybAe.jpg</t>
  </si>
  <si>
    <t>Remy Lacroix - 46659805 - Onlyfans.jpg</t>
  </si>
  <si>
    <t>https://doodstream.com/d/0w025blyon8r/</t>
  </si>
  <si>
    <t>https://lulustream.com/d/hv6tzbhzhtt7</t>
  </si>
  <si>
    <t>#milf #bigass #blowjob #threesome</t>
  </si>
  <si>
    <t>https://thumb.tapecontent.net/thumb/A4ezwdGdRWTXrwM/vY6Wy8kRq3c4z6b.jpg</t>
  </si>
  <si>
    <t>Remy Lacroix - 55081926 - ripnsfw.com.jpg</t>
  </si>
  <si>
    <t>https://doodstream.com/d/zy28f5gdosu7/</t>
  </si>
  <si>
    <t>https://lulustream.com/d/pdkg1bkcpf2j</t>
  </si>
  <si>
    <t>#Hardcore, #Bigass, #Porn, #Teen, #Blowjob, #Deepthroat, #Blonde, #Facial</t>
  </si>
  <si>
    <t>#Hardcore #Bigass #Porn #Teen #Blowjob</t>
  </si>
  <si>
    <t>https://thumb.tapecontent.net/thumb/RkPxABa2kBUdvLz/D0mJBRMv4AcB3Z.jpg</t>
  </si>
  <si>
    <t>Remy Lacroix - 71611678 - Onlyfans.jpg</t>
  </si>
  <si>
    <t>https://doodstream.com/d/0j0fyvp527yf/</t>
  </si>
  <si>
    <t>https://lulustream.com/d/cqg2j7kwooea</t>
  </si>
  <si>
    <t>https://thumb.tapecontent.net/thumb/Kwdmq3y2X0T0eK1/G9xbyeavVeio8b.jpg</t>
  </si>
  <si>
    <t>Remy Lacroix - 85696956 - Onlyfans.jpg</t>
  </si>
  <si>
    <t>https://doodstream.com/d/3dytxwcdo4a0/</t>
  </si>
  <si>
    <t>https://lulustream.com/d/lkry37ili0di</t>
  </si>
  <si>
    <t>https://thumb.tapecontent.net/thumb/QDWR7g93roS0oXl/BeardXrvZzsyJjz.jpg</t>
  </si>
  <si>
    <t>Remy Lacroix - 96309335 - Onlyfans.jpg</t>
  </si>
  <si>
    <t>https://doodstream.com/d/bkyvx3z2omo9/</t>
  </si>
  <si>
    <t>https://lulustream.com/d/p2jm1o2gxx9b</t>
  </si>
  <si>
    <t>https://thumb.tapecontent.net/thumb/zr9o0wprZoHYZKy/B4bGWxrBOkcmV8.jpg</t>
  </si>
  <si>
    <t>Richh Des - 24637531 - ripnsfw.com.jpg</t>
  </si>
  <si>
    <t>https://doodstream.com/d/zipqjzlc2rpv/</t>
  </si>
  <si>
    <t>https://lulustream.com/d/pe34e3icill1</t>
  </si>
  <si>
    <t>#BigTits #Hardcore #Bigass #Teen #Blowjob #Amateur #Deepthroat #Blonde #Facial</t>
  </si>
  <si>
    <t>https://thumb.tapecontent.net/thumb/ZKAQgjZ7qwsqp8R/gwv8wx1aJdIq1Gx.jpg</t>
  </si>
  <si>
    <t>Richh Des - 55828464 - ripnsfw.com.jpg</t>
  </si>
  <si>
    <t>https://doodstream.com/d/48oktnzk2kho/</t>
  </si>
  <si>
    <t>https://lulustream.com/d/qfe6ij3870h5</t>
  </si>
  <si>
    <t>#BigTits, #Creampie, #Hardcore, #Bigass, #Teen, #Blowjob, #Amateur, #Deepthroat</t>
  </si>
  <si>
    <t>https://thumb.tapecontent.net/thumb/MJ8OejGmgqim72M/g184JvxvyVFqW6A.jpg</t>
  </si>
  <si>
    <t>Riley Reid - 12535236 - Onlyfans - Jill Kassidy - Melissa Moore.jpg</t>
  </si>
  <si>
    <t>https://doodstream.com/d/sh1rrxju1bfv/</t>
  </si>
  <si>
    <t>https://lulustream.com/d/kiwwapfhzguq</t>
  </si>
  <si>
    <t>#Hardcore, #Bigass, #Teen, #Artporn, #Teens, #Blowjob, #Amateur, #Deepthroat, #Facial, #Foursome</t>
  </si>
  <si>
    <t>#Hardcore #Bigass #Teen #Artporn #Teens #Blowjob #Amateur #Deepthroat #Facial #Foursome</t>
  </si>
  <si>
    <t>https://thumb.tapecontent.net/thumb/XkPpaRvXMQf0WP/mPpv6X0aaPHdAY.jpg</t>
  </si>
  <si>
    <t>Riley Reid - 13377773 - Onlyfans.jpg</t>
  </si>
  <si>
    <t>https://doodstream.com/d/5t6yjm437rkg/</t>
  </si>
  <si>
    <t>https://lulustream.com/d/qv0edj9lm092</t>
  </si>
  <si>
    <t>https://thumb.tapecontent.net/thumb/RjJmJvb7YwIXYd/1JQGvWB80WSeY1l.jpg</t>
  </si>
  <si>
    <t>Riley Reid - 16167707 - Onlyfans.jpg</t>
  </si>
  <si>
    <t>https://doodstream.com/d/fdf78qzxv23m/</t>
  </si>
  <si>
    <t>https://lulustream.com/d/ohfgqdv0gy55</t>
  </si>
  <si>
    <t>https://thumb.tapecontent.net/thumb/Pwa8JjQ0M0hbl3/DAWYjAb4eYtBGJ.jpg</t>
  </si>
  <si>
    <t>Riley Reid - 19096283 - Onlyfans - Cheerleader Kait.jpg</t>
  </si>
  <si>
    <t>https://doodstream.com/d/ejijlfn23thi/</t>
  </si>
  <si>
    <t>https://lulustream.com/d/d0q1bmrb4ei0</t>
  </si>
  <si>
    <t>#bigass #threesome #blowjob #teens</t>
  </si>
  <si>
    <t>https://thumb.tapecontent.net/thumb/QKjealLG4qiJ8Q/qKaloeW2QBUzpY2.jpg</t>
  </si>
  <si>
    <t>Riley Reid - 23234580 - Onlyfans.jpg</t>
  </si>
  <si>
    <t>https://doodstream.com/d/wu25i7f3yf28/</t>
  </si>
  <si>
    <t>https://lulustream.com/d/dsdz5dxabs0u</t>
  </si>
  <si>
    <t>#milf #anal #bigass #blowjob</t>
  </si>
  <si>
    <t>https://thumb.tapecontent.net/thumb/WDL9ZXdZDjfbjYr/JYQrwKDw9Gsjkxm.jpg</t>
  </si>
  <si>
    <t>Riley Reid - 28043180 - Onlyfans.jpg</t>
  </si>
  <si>
    <t>https://doodstream.com/d/5vodcd3ke1i2/</t>
  </si>
  <si>
    <t>https://lulustream.com/d/k0s5eduh063x</t>
  </si>
  <si>
    <t>https://thumb.tapecontent.net/thumb/wVMKvXdyxYHx2D/APdvQLOeOrcmkK.jpg</t>
  </si>
  <si>
    <t>Riley Reid - 31899025 - Onlyfans.jpg</t>
  </si>
  <si>
    <t>https://doodstream.com/d/ujga9z7s133e/</t>
  </si>
  <si>
    <t>https://lulustream.com/d/0cmjyk9w5b9n</t>
  </si>
  <si>
    <t>#MILF, #Hardcore, #Bigass, #Artporn, #Blowjob, #Amateur, #Hotwife, #Deepthroat</t>
  </si>
  <si>
    <t>#MILF #Hardcore #Bigass #Artporn #Blowjob #Amateur</t>
  </si>
  <si>
    <t>https://thumb.tapecontent.net/thumb/pjgG0w2KKmiWz6/g24v7376BRFqW1z.jpg</t>
  </si>
  <si>
    <t>Riley Reid - 43753980 - Onlyfans.jpg</t>
  </si>
  <si>
    <t>https://doodstream.com/d/8zf1lhdlhvwi/</t>
  </si>
  <si>
    <t>https://lulustream.com/d/tjf818nrj4bx</t>
  </si>
  <si>
    <t>#milf #solo #bigass #brunette</t>
  </si>
  <si>
    <t>https://thumb.tapecontent.net/thumb/xZO3B2yOJdskWxm/eqDo9LWD0RFZzX.jpg</t>
  </si>
  <si>
    <t>Riley Reid - 45995335 - Onlyfans.jpg</t>
  </si>
  <si>
    <t>https://doodstream.com/d/cdhpx1fkths4/</t>
  </si>
  <si>
    <t>https://lulustream.com/d/ldsx4ddgp1c7</t>
  </si>
  <si>
    <t>#milf #blowjob #brunette #missionary</t>
  </si>
  <si>
    <t>https://thumb.tapecontent.net/thumb/k0YrllQgp3uOjva/7Y7okPYZmeIA1ZP.jpg</t>
  </si>
  <si>
    <t>Riley Reid - 53869248 - ripnsfw.com - Gina Valentina.jpg</t>
  </si>
  <si>
    <t>https://doodstream.com/d/odbh8xfyqrtp/</t>
  </si>
  <si>
    <t>https://lulustream.com/d/xffglvcazg95</t>
  </si>
  <si>
    <t>https://thumb.tapecontent.net/thumb/bQVA7p03YXIo3Q/61QWzoBojZIZKw.jpg</t>
  </si>
  <si>
    <t>Riley Reid - 56833088 - Onlyfans.jpg</t>
  </si>
  <si>
    <t>https://doodstream.com/d/s4ysny956utd/</t>
  </si>
  <si>
    <t>https://lulustream.com/d/lwadudojgpcr</t>
  </si>
  <si>
    <t>#milf #blowjob #smalltits #bigass</t>
  </si>
  <si>
    <t>https://thumb.tapecontent.net/thumb/BOGL6LopLZiMvY/PwBd0X3L3eH0jv3.jpg</t>
  </si>
  <si>
    <t>Riley Reid - 62155824 - ripnsfw.com.jpg</t>
  </si>
  <si>
    <t>https://doodstream.com/d/b8xtv4blnnau/</t>
  </si>
  <si>
    <t>https://lulustream.com/d/q85jp9oa6mkz</t>
  </si>
  <si>
    <t>#Creampie, #Hardcore, #Bigass, #Porn, #Teen, #Blowjob</t>
  </si>
  <si>
    <t>#Creampie #Hardcore #Bigass #Porn</t>
  </si>
  <si>
    <t>https://thumb.tapecontent.net/thumb/ZwyxM7J0XQiq8J4/ewBGY2a2b4sY6R8.jpg</t>
  </si>
  <si>
    <t>Riley Reid - 65640239 - ripnsfw.com.jpg</t>
  </si>
  <si>
    <t>https://doodstream.com/d/4edpp7cn6eqo/</t>
  </si>
  <si>
    <t>https://lulustream.com/d/y8s7smcw4vud</t>
  </si>
  <si>
    <t>#MILF, #Hardcore, #Bigass, #Blowjob, #Amateur, #Hotwife, #Deepthroat, #Facial</t>
  </si>
  <si>
    <t>#MILF #Hardcore #Bigass #Blowjob #Amateur #Hotwife</t>
  </si>
  <si>
    <t>https://thumb.tapecontent.net/thumb/WqPQpOxw0gCbxbR/w4gjrvQY3mFjAj.jpg</t>
  </si>
  <si>
    <t>Riley Reid - 65655091 - Onlyfans.jpg</t>
  </si>
  <si>
    <t>https://doodstream.com/d/t8vbcv0y05fe/</t>
  </si>
  <si>
    <t>https://lulustream.com/d/gzsd2u0r1fds</t>
  </si>
  <si>
    <t>#milf #blowjob #bigass #brunette</t>
  </si>
  <si>
    <t>https://thumb.tapecontent.net/thumb/rBD8p1VMbrIbbOW/Al1pJwXJmqiXPmX.jpg</t>
  </si>
  <si>
    <t>Riley Reid - 65879363 - ripnsfw.com.jpg</t>
  </si>
  <si>
    <t>https://doodstream.com/d/jextz0v40lg1/</t>
  </si>
  <si>
    <t>https://lulustream.com/d/aridgvjvo39y</t>
  </si>
  <si>
    <t>#Hardcore, #Black, #Interracial, #Bigass, #Porn, #Teen, #Blowjob, #Deepthroat, #Facial</t>
  </si>
  <si>
    <t>#Hardcore #Black #Interracial #Bigass</t>
  </si>
  <si>
    <t>https://thumb.tapecontent.net/thumb/41WKmgAezvSKYVl/qjBqXL9MMDCZze.jpg</t>
  </si>
  <si>
    <t>Riley Reid - 66192061 - Onlyfans.jpg</t>
  </si>
  <si>
    <t>https://doodstream.com/d/mi89poamexho/</t>
  </si>
  <si>
    <t>https://lulustream.com/d/bn8pj1f7gi8z</t>
  </si>
  <si>
    <t>#anal #milf #bigass #blowjob</t>
  </si>
  <si>
    <t>https://thumb.tapecontent.net/thumb/ewGW0PlR1eC9ZY/Zjkr3z7oWgUqX3Y.jpg</t>
  </si>
  <si>
    <t>Riley Reid - 73150962 - ripnsfw.com.jpg</t>
  </si>
  <si>
    <t>https://doodstream.com/d/jt4rinzhi735/</t>
  </si>
  <si>
    <t>https://lulustream.com/d/l51nxi84jtpj</t>
  </si>
  <si>
    <t>#MILF #Hardcore #Bigass #Blowjob #Amateur</t>
  </si>
  <si>
    <t>https://thumb.tapecontent.net/thumb/bKMd3yoWl7HPem7/zGx8oKX3bGSYmMe.jpg</t>
  </si>
  <si>
    <t>Riley Reid - 73485944 - ripnsfw.com.jpg</t>
  </si>
  <si>
    <t>https://doodstream.com/d/5x1gnkaghnf3/</t>
  </si>
  <si>
    <t>https://lulustream.com/d/1er6pm3uyo20</t>
  </si>
  <si>
    <t>#Anal, #Hardcore, #Black, #Interracial, #Bigass, #Porn, #Teen, #Blowjob, #Deepthroat, #Facial</t>
  </si>
  <si>
    <t>#Anal #Hardcore #Black #Interracial #Bigass #Porn #Teen</t>
  </si>
  <si>
    <t>https://thumb.tapecontent.net/thumb/k9od4pylqyuOLJD/egkQ6R6VrRsmax.jpg</t>
  </si>
  <si>
    <t>Riley Reid - 73710661 - Onlyfans.jpg</t>
  </si>
  <si>
    <t>https://doodstream.com/d/8cpnrsj754to/</t>
  </si>
  <si>
    <t>https://lulustream.com/d/449w20mslrug</t>
  </si>
  <si>
    <t>#milf #blowjob #bigass #pov</t>
  </si>
  <si>
    <t>https://thumb.tapecontent.net/thumb/aYAkwKGyvRFxKpq/1jYOrOJJdGTez4V.jpg</t>
  </si>
  <si>
    <t>Riley Reid - 77610777 - Onlyfans.jpg</t>
  </si>
  <si>
    <t>https://doodstream.com/d/yxoa43oblyyj/</t>
  </si>
  <si>
    <t>https://lulustream.com/d/tf7wvhcuvuvl</t>
  </si>
  <si>
    <t>#gangbang #bigass #doublepenetration #anal</t>
  </si>
  <si>
    <t>https://thumb.tapecontent.net/thumb/PDPdBvJxQ4I0QkD/4DJW0ADgaqiVjw.jpg</t>
  </si>
  <si>
    <t>Riley Reid - 82332637 - ripnsfw.com.jpg</t>
  </si>
  <si>
    <t>https://doodstream.com/d/pbtv0sjub00l/</t>
  </si>
  <si>
    <t>https://lulustream.com/d/m2kc40gf23sv</t>
  </si>
  <si>
    <t>#Hardcore, #Gangbang, #Black, #Interracial, #Bigass, #Porn, #Teen, #Blowjob, #Deepthroat, #Facial</t>
  </si>
  <si>
    <t>#Hardcore #Gangbang #Black #Interracial #Bigass #Porn #Teen #Blowjob #Deepthroat</t>
  </si>
  <si>
    <t>https://thumb.tapecontent.net/thumb/LMdk4ZgaO4FRV2D/Z33wOlLDr4SqWeo.jpg</t>
  </si>
  <si>
    <t>Riley Reid - 82966135 - Onlyfans - Stella Barey.jpg</t>
  </si>
  <si>
    <t>https://doodstream.com/d/m4nss4ojdpnd/</t>
  </si>
  <si>
    <t>https://lulustream.com/d/xfilcz1bifnl</t>
  </si>
  <si>
    <t>#threesome #blowjob #bigass #brunette</t>
  </si>
  <si>
    <t>https://thumb.tapecontent.net/thumb/g2qqORBdy2Fg9K/pgOrg2QLyAFrexW.jpg</t>
  </si>
  <si>
    <t>Riley Reid - 93448192 - Onlyfans - Cheerleader Kait.jpg</t>
  </si>
  <si>
    <t>https://doodstream.com/d/a9hbe9w292mn/</t>
  </si>
  <si>
    <t>https://lulustream.com/d/i49bcal6j4fj</t>
  </si>
  <si>
    <t>https://thumb.tapecontent.net/thumb/Kqm6MOb8pbt0MwK/4RXl8J7WjxCKqMK.jpg</t>
  </si>
  <si>
    <t>Rosaline Dawn - 89378793 - Onlyfans.jpg</t>
  </si>
  <si>
    <t>https://doodstream.com/d/4tsn47xq0bk7/</t>
  </si>
  <si>
    <t>https://lulustream.com/d/b7n1ojtg7kqc</t>
  </si>
  <si>
    <t>https://thumb.tapecontent.net/thumb/jpAqQwRvM7Cz1mO/6QOa8rW29gC90R0.jpg</t>
  </si>
  <si>
    <t>Rosaline Dawn - 97771533 - Onlyfans.jpg</t>
  </si>
  <si>
    <t>https://doodstream.com/d/ug5udwjjwu82/</t>
  </si>
  <si>
    <t>https://lulustream.com/d/g9k2p2002jek</t>
  </si>
  <si>
    <t>#teen #brunette #blowjob #pov</t>
  </si>
  <si>
    <t>https://thumb.tapecontent.net/thumb/jAGAQKybGJHzOr9/WeexZ19k7jUbd2P.jpg</t>
  </si>
  <si>
    <t>Sage King - 21309506 - BackroomCastingCouch.jpg</t>
  </si>
  <si>
    <t>https://doodstream.com/d/dns1mnsi636k/</t>
  </si>
  <si>
    <t>https://lulustream.com/d/eqpaa65laf2h</t>
  </si>
  <si>
    <t>#anal #casting #teen #creampie</t>
  </si>
  <si>
    <t>https://thumb.tapecontent.net/thumb/KXyol1pzYPiAwx/MkV1QVVz8rS0jQ.jpg</t>
  </si>
  <si>
    <t>Sami Hayes - 13787155 - ripnsfw.com.jpg</t>
  </si>
  <si>
    <t>https://doodstream.com/d/gq0bnpw72nku/</t>
  </si>
  <si>
    <t>https://lulustream.com/d/rzsh8x2vxxip</t>
  </si>
  <si>
    <t>#BigTits, #Hardcore, #Bigass, #Teen, #Blowjob, #Amateur</t>
  </si>
  <si>
    <t>https://thumb.tapecontent.net/thumb/x1oeJ77ZLmHkd9v/kbppJxwZq2I6re.jpg</t>
  </si>
  <si>
    <t>Sami Hayes - 17599208 - Onlyfans.jpg</t>
  </si>
  <si>
    <t>https://doodstream.com/d/0bkkc64o8u72/</t>
  </si>
  <si>
    <t>https://lulustream.com/d/67yqrlqoh60p</t>
  </si>
  <si>
    <t>#BigTits, #Creampie, #Hardcore, #Bigass, #Teen, #Artporn, #Blowjob, #Amateur, #Deepthroat</t>
  </si>
  <si>
    <t>#BigTits #Creampie #Hardcore #Bigass #Teen #Artporn #Blowjob #Amateur</t>
  </si>
  <si>
    <t>https://thumb.tapecontent.net/thumb/VWW6VpOB9ahKDvm/aGgmvkkd1DHxrKe.jpg</t>
  </si>
  <si>
    <t>Sami Hayes - 18378655 - Onlyfans.jpg</t>
  </si>
  <si>
    <t>https://doodstream.com/d/i3cba5ert3vx/</t>
  </si>
  <si>
    <t>https://lulustream.com/d/2jxavlxprwpw</t>
  </si>
  <si>
    <t>#BigTits, #Hardcore, #Black, #Interracial, #Bigass, #Teen, #Artporn, #Teens, #Blowjob, #Amateur, #Deepthroat, #Facial</t>
  </si>
  <si>
    <t>#BigTits #Hardcore #Black #Interracial #Bigass #Teen #Artporn</t>
  </si>
  <si>
    <t>https://thumb.tapecontent.net/thumb/lGBZO8VBa4s7e43/Mzr87op3yWtBDz.jpg</t>
  </si>
  <si>
    <t>Sami Hayes - 21303583 - ripnsfw.com.jpg</t>
  </si>
  <si>
    <t>https://doodstream.com/d/2p46vh32lasj/</t>
  </si>
  <si>
    <t>https://lulustream.com/d/28y9jyctugzc</t>
  </si>
  <si>
    <t>#BigTits, #Hardcore, #Bigass, #Teen, #Artporn, #Blowjob, #Amateur</t>
  </si>
  <si>
    <t>#BigTits #Hardcore #Bigass #Teen #Artporn #Blowjob</t>
  </si>
  <si>
    <t>https://thumb.tapecontent.net/thumb/KQB0Bwm12OS0ekJ/PjxqkAPv1pU0QgP.jpg</t>
  </si>
  <si>
    <t>Sami Hayes - 24783546 - ripnsfw.com.jpg</t>
  </si>
  <si>
    <t>https://doodstream.com/d/0wy0p69x8zjv/</t>
  </si>
  <si>
    <t>https://lulustream.com/d/adslfntrkwhh</t>
  </si>
  <si>
    <t>#BigTits, #Hardcore, #Black, #Interracial, #Bigass, #Teen, #Blowjob, #Amateur, #Deepthroat</t>
  </si>
  <si>
    <t>https://thumb.tapecontent.net/thumb/Vdq1gw2GeWhky9/08kolyBRyyFbRzw.jpg</t>
  </si>
  <si>
    <t>Sami Hayes - 26446957 - ripnsfw.com.jpg</t>
  </si>
  <si>
    <t>https://doodstream.com/d/5pgie9umxb6f/</t>
  </si>
  <si>
    <t>https://lulustream.com/d/dqxy6tsreps9</t>
  </si>
  <si>
    <t>#BigTits, #Creampie, #Hardcore, #Threesome, #Bigass, #Teen, #Black, #Interracial, #Blowjob, #Teens, #Artporn, #Amateur, #Deepthroat</t>
  </si>
  <si>
    <t>#BigTits #Creampie #Hardcore #Threesome #Bigass #Teen #Black #Interracial #Blowjob #Teens #Artporn #Amateur</t>
  </si>
  <si>
    <t>https://thumb.tapecontent.net/thumb/wrRXDbd11mcl0r/A40eo4awoksZmw.jpg</t>
  </si>
  <si>
    <t>Sami Hayes - 30605305 - ripnsfw.com - Wild Halli.jpg</t>
  </si>
  <si>
    <t>https://doodstream.com/d/z4b3ncog2t7l/</t>
  </si>
  <si>
    <t>https://lulustream.com/d/6yqtwiqrhsz2</t>
  </si>
  <si>
    <t>#BigTits, #Hardcore, #Threesome, #Bigass, #Teen, #Teens, #Blowjob, #Amateur, #Deepthroat, #Facial, #Blonde</t>
  </si>
  <si>
    <t>#BigTits #Hardcore #Threesome #Bigass #Teen #Teens #Blowjob #Amateur #Deepthroat #Facial</t>
  </si>
  <si>
    <t>https://thumb.tapecontent.net/thumb/6wdoVyaaewf999W/w7GX0g2KzwhJrdx.jpg</t>
  </si>
  <si>
    <t>Sami Hayes - 34614987 - Onlyfans.jpg</t>
  </si>
  <si>
    <t>https://doodstream.com/d/ta6ibje8nnew/</t>
  </si>
  <si>
    <t>https://lulustream.com/d/24qxow5ra0ng</t>
  </si>
  <si>
    <t>#teen #bigtits #brunette #facial</t>
  </si>
  <si>
    <t>https://thumb.tapecontent.net/thumb/Yp2QGKpqwkFvWgr/W9Z9J3XpyLIbKWP.jpg</t>
  </si>
  <si>
    <t>Sami Hayes - 35889098 - ripnsfw.com.jpg</t>
  </si>
  <si>
    <t>https://doodstream.com/d/ra1x6jgqt71s/</t>
  </si>
  <si>
    <t>https://lulustream.com/d/juglfkamanow</t>
  </si>
  <si>
    <t>https://thumb.tapecontent.net/thumb/erWWGqlwvOIYYx2/3ByY0vdB2MTdBLJ.jpg</t>
  </si>
  <si>
    <t>Sami Hayes - 35930910 - ripnsfw.com.jpg</t>
  </si>
  <si>
    <t>https://doodstream.com/d/o9pb5uxy6p51/</t>
  </si>
  <si>
    <t>https://lulustream.com/d/aukg79p6v8sv</t>
  </si>
  <si>
    <t>#BigTits #Hardcore #Black #Interracial #Bigass</t>
  </si>
  <si>
    <t>https://thumb.tapecontent.net/thumb/xPyJobgjP2TkBr4/jrAPaOyvDeSzrea.jpg</t>
  </si>
  <si>
    <t>Sami Hayes - 37019928 - Onlyfans - Kiki Isobel.jpg</t>
  </si>
  <si>
    <t>https://doodstream.com/d/q3mqebfw9j5s/</t>
  </si>
  <si>
    <t>https://lulustream.com/d/6w96yprnosgf</t>
  </si>
  <si>
    <t>#BigTits, #Hardcore, #Threesome, #Bigass, #Teen, #Artporn, #Teens, #Blowjob, #Amateur, #Deepthroat, #Facial</t>
  </si>
  <si>
    <t>#BigTits #Hardcore #Threesome #Bigass #Teen #Artporn #Teens #Blowjob #Amateur #Deepthroat #Facial</t>
  </si>
  <si>
    <t>https://thumb.tapecontent.net/thumb/Mx0DDPx7ygImKgx/MY827WW9mktmJXa.jpg</t>
  </si>
  <si>
    <t>Sami Hayes - 38914614 - FH.jpg</t>
  </si>
  <si>
    <t>https://doodstream.com/d/xc3hq30u63fl/</t>
  </si>
  <si>
    <t>https://lulustream.com/d/pc91jzcrg3m9</t>
  </si>
  <si>
    <t>https://thumb.tapecontent.net/thumb/1WGK6mj0dAheK9a/vlqew3J9q9f4XeA.jpg</t>
  </si>
  <si>
    <t>Sami Hayes - 39608816 - Onlyfans.jpg</t>
  </si>
  <si>
    <t>https://doodstream.com/d/xbqha8uc9khi/</t>
  </si>
  <si>
    <t>https://lulustream.com/d/c63lv0spy9n2</t>
  </si>
  <si>
    <t>#BigTits, #Hardcore, #Black, #Interracial, #Bigass, #Teen, #Artporn, #Blowjob, #Amateur, #Facial</t>
  </si>
  <si>
    <t>https://thumb.tapecontent.net/thumb/4qedVezWWlUJ0Q/AKRQbD7kDgIXYB3.jpg</t>
  </si>
  <si>
    <t>Sami Hayes - 52847283 - Onlyfans.jpg</t>
  </si>
  <si>
    <t>https://doodstream.com/d/misg63uxtqa1/</t>
  </si>
  <si>
    <t>https://lulustream.com/d/btco9jpjccdy</t>
  </si>
  <si>
    <t>#BigTits, #Creampie, #Hardcore, #Black, #Interracial, #Bigass, #Teen, #Artporn, #Blowjob, #Amateur, #Deepthroat</t>
  </si>
  <si>
    <t>#BigTits #Creampie #Hardcore #Black #Interracial #Bigass #Teen</t>
  </si>
  <si>
    <t>https://thumb.tapecontent.net/thumb/JexpVz28ZosZyJ/12Z339GwM4teKe7.jpg</t>
  </si>
  <si>
    <t>Sami Hayes - 58001185 - Onlyfans.jpg</t>
  </si>
  <si>
    <t>https://doodstream.com/d/xtmq0vy47abc/</t>
  </si>
  <si>
    <t>https://lulustream.com/d/v4lea7ocsbzz</t>
  </si>
  <si>
    <t>https://thumb.tapecontent.net/thumb/qKaeLG4kgPsyd9/9WOyq11vzdfaXlG.jpg</t>
  </si>
  <si>
    <t>Sami Hayes - 63650538 - Onlyfans - Ava Amira.jpg</t>
  </si>
  <si>
    <t>https://doodstream.com/d/uk3nz10dk16r/</t>
  </si>
  <si>
    <t>https://lulustream.com/d/7bph90kdte9k</t>
  </si>
  <si>
    <t>https://thumb.tapecontent.net/thumb/G9KamVvwDQulzK/46ylryjA98tKK9q.jpg</t>
  </si>
  <si>
    <t>Sami Hayes - 65397396 - MLR.jpg</t>
  </si>
  <si>
    <t>https://doodstream.com/d/egw9m1h4prnq/</t>
  </si>
  <si>
    <t>https://lulustream.com/d/rdmoqbhla1fm</t>
  </si>
  <si>
    <t>#BigTits, #Creampie, #Hardcore, #Bigass, #Teen, #Artporn, #Blowjob, #Porn, #Deepthroat</t>
  </si>
  <si>
    <t>#BigTits #Creampie #Hardcore #Bigass #Teen #Artporn #Blowjob #Porn #Deepthroat</t>
  </si>
  <si>
    <t>https://thumb.tapecontent.net/thumb/Xo2K0rbOmPuDlAq/3P0O8xl8RruaDy.jpg</t>
  </si>
  <si>
    <t>Sami Hayes - 70538746 - Onlyfans.jpg</t>
  </si>
  <si>
    <t>https://doodstream.com/d/10vjw4beu0ya/</t>
  </si>
  <si>
    <t>https://lulustream.com/d/wy5r2uizc0fq</t>
  </si>
  <si>
    <t>#BigTits, #Creampie, #Hardcore, #Bigass, #Teen, #Artporn, #Blowjob, #Amateur</t>
  </si>
  <si>
    <t>https://thumb.tapecontent.net/thumb/01grrJdJ7lTbdYJ/ggDG0RAr36TqW1A.jpg</t>
  </si>
  <si>
    <t>Sami Hayes - 77902618 - Onlyfans.jpg</t>
  </si>
  <si>
    <t>https://doodstream.com/d/fy4jqhl0qlwc/</t>
  </si>
  <si>
    <t>https://lulustream.com/d/k79208hpzkmq</t>
  </si>
  <si>
    <t>#BigTits, #Hardcore, #Bigass, #Teen, #Artporn, #Teens, #Blowjob, #Amateur, #Deepthroat</t>
  </si>
  <si>
    <t>https://thumb.tapecontent.net/thumb/YK1pWOqOVXHvgyz/PW4Oda7L4eiGqj.jpg</t>
  </si>
  <si>
    <t>Sami Hayes - 81722742 - Onlyfans.jpg</t>
  </si>
  <si>
    <t>https://doodstream.com/d/66ibvziycx23/</t>
  </si>
  <si>
    <t>https://lulustream.com/d/wx3lkim9l59k</t>
  </si>
  <si>
    <t>#BigTits, #Creampie, #Hardcore, #Interracial</t>
  </si>
  <si>
    <t>#BigTits #Creampie #Hardcore #Interracial</t>
  </si>
  <si>
    <t>https://thumb.tapecontent.net/thumb/7YVxZVv3wMTAlMW/vxZ4wp6lzoC4mmp.jpg</t>
  </si>
  <si>
    <t>Sami Hayes - 92253588 - FH.jpg</t>
  </si>
  <si>
    <t>https://doodstream.com/d/yc42f6t8s0z8/</t>
  </si>
  <si>
    <t>https://lulustream.com/d/fb1srn17pw2u</t>
  </si>
  <si>
    <t>https://thumb.tapecontent.net/thumb/RXwrOM2DPBTdRgK/3JBOD14XDPSdbog.jpg</t>
  </si>
  <si>
    <t>Sami Hayes - 93405290 - Onlyfans.jpg</t>
  </si>
  <si>
    <t>https://doodstream.com/d/ikwp5q9rdi8e/</t>
  </si>
  <si>
    <t>https://lulustream.com/d/9op2s123g5l7</t>
  </si>
  <si>
    <t>https://thumb.tapecontent.net/thumb/k2WYp3JgpZfOx66/djPM9R436aIkJ3J.jpg</t>
  </si>
  <si>
    <t>SammmNextDoor - 55379535 - ripnsfw.com - Lena the plug.jpg</t>
  </si>
  <si>
    <t>https://doodstream.com/d/1apnkwwsr1oi/</t>
  </si>
  <si>
    <t>https://lulustream.com/d/05289tqw1rr0</t>
  </si>
  <si>
    <t>#MILF, #BigTits, #Hardcore, #Threesome, #Bigass, #Teen, #Blowjob, #Amateur, #Blonde, #Facial</t>
  </si>
  <si>
    <t>https://thumb.tapecontent.net/thumb/VPPAJDW6MrSy60/QyZoB66w6VCAJx.jpg</t>
  </si>
  <si>
    <t>Sarah Illustrates - 91588899 - ripnsfw.com.jpg</t>
  </si>
  <si>
    <t>https://doodstream.com/d/0xy2jdbaqx5g/</t>
  </si>
  <si>
    <t>https://lulustream.com/d/jw28cmjfallf</t>
  </si>
  <si>
    <t>#MILF, #BigTits, #Hardcore, #Blowjob, #Black, #Amateur, #Facial</t>
  </si>
  <si>
    <t>#MILF #BigTits #Hardcore #Blowjob #Black #Amateur</t>
  </si>
  <si>
    <t>https://thumb.tapecontent.net/thumb/6qeB4jkDvMCpdq/Mqxjbj42Y4ummmr.jpg</t>
  </si>
  <si>
    <t>Sarah Illustrates - 99792931 - Onlyfans.jpg</t>
  </si>
  <si>
    <t>https://doodstream.com/d/0ctf6fx1nqhr/</t>
  </si>
  <si>
    <t>https://lulustream.com/d/m5mqlq4kurek</t>
  </si>
  <si>
    <t>#MILF, #BigTits, #Hardcore, #Blowjob, #Amateur, #Hotwife</t>
  </si>
  <si>
    <t>#MILF #BigTits #Hardcore #Blowjob</t>
  </si>
  <si>
    <t>https://thumb.tapecontent.net/thumb/JWM8PbVOwXcjdMA/L3RKXqoQyeTRkQR.jpg</t>
  </si>
  <si>
    <t>Sasha Grey - 35073417 - ripnsfw.com.jpg</t>
  </si>
  <si>
    <t>https://doodstream.com/d/4k50ujzrhg23/</t>
  </si>
  <si>
    <t>https://lulustream.com/d/zcn8r49qbyy6</t>
  </si>
  <si>
    <t>#Hardcore #Black #Interracial #Bigass #Porn #Teen #Blowjob #Deepthroat #Facial</t>
  </si>
  <si>
    <t>https://thumb.tapecontent.net/thumb/3AWAqPelzoCrkk/ywyXPOgVwvt1LJK.jpg</t>
  </si>
  <si>
    <t>Sasha Grey - 36758525 - ripnsfw.com.jpg</t>
  </si>
  <si>
    <t>https://doodstream.com/d/wqqru82ahnus/</t>
  </si>
  <si>
    <t>https://lulustream.com/d/q414qqdmiuek</t>
  </si>
  <si>
    <t>#Anal, #Hardcore, #Bigass, #Porn, #Teen, #Blowjob, #Deepthroat, #Facial</t>
  </si>
  <si>
    <t>#Anal #Hardcore #Bigass #Porn #Teen</t>
  </si>
  <si>
    <t>https://thumb.tapecontent.net/thumb/08eAyYDXoosbbVz/oD116x4XyqiJyrQ.jpg</t>
  </si>
  <si>
    <t>Sasha Grey - 52381181 - EA.jpg</t>
  </si>
  <si>
    <t>https://doodstream.com/d/f1pqo6lejyz2/</t>
  </si>
  <si>
    <t>https://lulustream.com/d/7vxbje5tg2l2</t>
  </si>
  <si>
    <t>#pornstar #brunette #blowjob #hairy</t>
  </si>
  <si>
    <t>https://thumb.tapecontent.net/thumb/gaOV1RAAmxsJgO/doWBx4vM7zuGPd.jpg</t>
  </si>
  <si>
    <t>Sasha Grey - 93132689 - ripnsfw.com.jpg</t>
  </si>
  <si>
    <t>https://doodstream.com/d/3rh1icppriwp/</t>
  </si>
  <si>
    <t>https://lulustream.com/d/hfk55v0qqed8</t>
  </si>
  <si>
    <t>#Hardcore, #Black, #Interracial, #Bigass, #Porn, #Teen, #Blowjob, #Deepthroat, #Facial, #Rimjob, #Rimming</t>
  </si>
  <si>
    <t>#Hardcore #Black #Interracial #Bigass #Porn #Teen</t>
  </si>
  <si>
    <t>https://thumb.tapecontent.net/thumb/1pPqajoo7zHeOeB/qWwMGYQOPyhzVgX.jpg</t>
  </si>
  <si>
    <t>Sasha Grey - 96620718 - ripnsfw.com.jpg</t>
  </si>
  <si>
    <t>https://doodstream.com/d/g1tdnooicaqz/</t>
  </si>
  <si>
    <t>https://lulustream.com/d/3cbyercbswdr</t>
  </si>
  <si>
    <t>#Anal, #Hardcore, #Threesome, #Bigass, #Porn, #Teen, #Blowjob, #Deepthroat, #Facial</t>
  </si>
  <si>
    <t>#Anal #Hardcore #Threesome #Bigass #Porn #Teen #Blowjob #Deepthroat #Facial</t>
  </si>
  <si>
    <t>https://thumb.tapecontent.net/thumb/6mL96QDkAGFpMk/pLRzY10AaBsGp8.jpg</t>
  </si>
  <si>
    <t>Sav Shawz - 94987507 - Onlyfans.jpg</t>
  </si>
  <si>
    <t>https://doodstream.com/d/ecsykjle6t7x/</t>
  </si>
  <si>
    <t>https://lulustream.com/d/wakne65u8ahj</t>
  </si>
  <si>
    <t>#threesome #milf #bigtits #bigass</t>
  </si>
  <si>
    <t>https://thumb.tapecontent.net/thumb/vV4QW9PpxQf4OBw/gVybQ2m9z9UqqGa.jpg</t>
  </si>
  <si>
    <t>Savannah Bond - 14619680 - Onlyfans.jpg</t>
  </si>
  <si>
    <t>https://doodstream.com/d/72mppsop5mdy/</t>
  </si>
  <si>
    <t>https://lulustream.com/d/9rihpi4xmu1c</t>
  </si>
  <si>
    <t>#anal #milf #bigtits #creampie</t>
  </si>
  <si>
    <t>https://thumb.tapecontent.net/thumb/er0ZOVYm2jiooo/yVKp0kq1Y9S1497.jpg</t>
  </si>
  <si>
    <t>Savannah Bond - 16972233 - EvilAngel.jpg</t>
  </si>
  <si>
    <t>https://doodstream.com/d/32jfdktwe1u0/</t>
  </si>
  <si>
    <t>https://lulustream.com/d/eddm4ecvdmyw</t>
  </si>
  <si>
    <t>#Anal, #MILF, #BigTits, #Hardcore, #Black, #Threesome, #Interracial, #Bigass, #Porn, #Stepmom, #Blowjob, #Hotwife, #Deepthroat, #Blonde, #Facial</t>
  </si>
  <si>
    <t>#Anal #MILF #BigTits #Hardcore #Black #Threesome #Interracial #Bigass #Porn #Stepmom #Blowjob</t>
  </si>
  <si>
    <t>https://thumb.tapecontent.net/thumb/QyRBLrqLm0t01eV/mrXllMWk4Ptdjq.jpg</t>
  </si>
  <si>
    <t>Savannah Bond - 18950624 - ripnsfw.com - Karmen Karma.jpg</t>
  </si>
  <si>
    <t>https://doodstream.com/d/7idxlhp5j9z6/</t>
  </si>
  <si>
    <t>https://lulustream.com/d/p05prs2m8595</t>
  </si>
  <si>
    <t>#MILF, #BigTits, #Anal, #Hardcore, #Gangbang, #Black, #Interracial, #Bigass, #Blowjob, #Amateur, #Deepthroat, #Blonde, #Facial</t>
  </si>
  <si>
    <t>#MILF #BigTits #Anal #Hardcore #Gangbang #Black</t>
  </si>
  <si>
    <t>https://thumb.tapecontent.net/thumb/WgQzv01OrYtRwv/z6mQwX1vd9iQ8B.jpg</t>
  </si>
  <si>
    <t>Savannah Bond - 19013131 - ripnsfw.com.jpg</t>
  </si>
  <si>
    <t>https://doodstream.com/d/lm76f65zeqdi/</t>
  </si>
  <si>
    <t>https://lulustream.com/d/inavlwvmh4vl</t>
  </si>
  <si>
    <t>#Anal, #MILF, #BigTits, #Hardcore, #Bigass, #Blowjob, #DoublePenetration, #Blonde, #Deepthroat</t>
  </si>
  <si>
    <t>#Anal #MILF #BigTits #Hardcore #Bigass #Blowjob #DoublePenetration</t>
  </si>
  <si>
    <t>https://thumb.tapecontent.net/thumb/Z3Zmjda1zwIqv4G/Be9WPkWlrBsMxx.jpg</t>
  </si>
  <si>
    <t>Savannah Bond - 19263135 - ripnsfw.com.jpg</t>
  </si>
  <si>
    <t>https://doodstream.com/d/ge1mbyl3zs88/</t>
  </si>
  <si>
    <t>https://lulustream.com/d/lmitk4e3w1kn</t>
  </si>
  <si>
    <t>#Anal, #MILF, #BigTits, #Hardcore, #Black, #Interracial, #Bigass, #Porn, #Blowjob, #Deepthroat, #Blonde, #Facial</t>
  </si>
  <si>
    <t>https://thumb.tapecontent.net/thumb/p23DeOgDkZtx7L/3O6ev440dlFdJKL.jpg</t>
  </si>
  <si>
    <t>Savannah Bond - 19386008 - ripnsfw.com.jpg</t>
  </si>
  <si>
    <t>https://doodstream.com/d/51gjunkvk8fs/</t>
  </si>
  <si>
    <t>https://lulustream.com/d/kosdc06ich3i</t>
  </si>
  <si>
    <t>#MILF #BigTits #Hardcore #Bigass #Porn #Blowjob #Deepthroat #Blonde</t>
  </si>
  <si>
    <t>https://thumb.tapecontent.net/thumb/617LZ6rzZOt9yAx/Vo4lJWyMvbHPYz.jpg</t>
  </si>
  <si>
    <t>Savannah Bond - 20430624 - ripnsfw.com.jpg</t>
  </si>
  <si>
    <t>https://doodstream.com/d/00cun6ckzaa3/</t>
  </si>
  <si>
    <t>https://lulustream.com/d/2d3r2zregdwz</t>
  </si>
  <si>
    <t>https://thumb.tapecontent.net/thumb/8VQzld71OlfMwe/YyMJQlBgAkUOoV.jpg</t>
  </si>
  <si>
    <r>
      <rPr>
        <sz val="10"/>
        <rFont val="Arial"/>
      </rPr>
      <t xml:space="preserve">Savannah Bond - 21784907 - </t>
    </r>
    <r>
      <rPr>
        <u/>
        <sz val="10"/>
        <color rgb="FF1155CC"/>
        <rFont val="Arial"/>
      </rPr>
      <t>ripnsfw.com</t>
    </r>
    <r>
      <rPr>
        <sz val="10"/>
        <rFont val="Arial"/>
      </rPr>
      <t>.jpg</t>
    </r>
  </si>
  <si>
    <t>https://doodstream.com/d/w9loxc4ka2x0/</t>
  </si>
  <si>
    <t>https://lulustream.com/d/ou26pn1ti8y3</t>
  </si>
  <si>
    <t>#Anal, #MILF, #BigTits, #Hardcore, #Bigass, #Porn, #Blowjob, #Blonde</t>
  </si>
  <si>
    <t>#Anal #MILF #BigTits #Hardcore #Bigass #Porn #Blowjob #Blonde</t>
  </si>
  <si>
    <t>https://thumb.tapecontent.net/thumb/K4kB2edx9QCzyb/PGM98xpDLGU0mqz.jpg</t>
  </si>
  <si>
    <t>Savannah Bond - 23178348 - ripnsfw.com - Kayley Gunner.jpg</t>
  </si>
  <si>
    <t>https://doodstream.com/d/5giq7l1mdukj/</t>
  </si>
  <si>
    <t>https://lulustream.com/d/y9onmiw165r7</t>
  </si>
  <si>
    <t>#MILF, #BigTits, #Hardcore, #Black, #Threesome, #Interracial, #Bigass, #Porn, #Blowjob, #Deepthroat, #Blonde, #Facial</t>
  </si>
  <si>
    <t>https://thumb.tapecontent.net/thumb/9od1gjjaOkIagvA/RQYAarxR0kuJ91.jpg</t>
  </si>
  <si>
    <t>Savannah Bond - 28300660 - ripnsfw.com.jpg</t>
  </si>
  <si>
    <t>https://doodstream.com/d/5jndcx6nlr7g/</t>
  </si>
  <si>
    <t>https://lulustream.com/d/t6jfku3p7hr0</t>
  </si>
  <si>
    <t>#MILF, #BigTits, #Creampie, #Hardcore, #Bigass, #Porn, #Blowjob, #Deepthroat, #Blonde</t>
  </si>
  <si>
    <t>https://thumb.tapecontent.net/thumb/xqw22mk6GxUkMA0/b1x7egrRYyCPp7m.jpg</t>
  </si>
  <si>
    <t>Savannah Bond - 28374263 - JulesJordan.jpg</t>
  </si>
  <si>
    <t>https://doodstream.com/d/zpgemof4bygh/</t>
  </si>
  <si>
    <t>https://lulustream.com/d/1jjog133orzl</t>
  </si>
  <si>
    <t>#Anal, #MILF, #BigTits, #Hardcore, #Bigass, #Porn, #Squirt, #Stepmom, #Blowjob, #Hotwife, #Deepthroat, #Blonde, #Facial</t>
  </si>
  <si>
    <t>#Anal #MILF #BigTits #Hardcore #Bigass #Porn</t>
  </si>
  <si>
    <t>https://thumb.tapecontent.net/thumb/2bo7BmB37pUZbgD/1P9QebRZg6CeKAG.jpg</t>
  </si>
  <si>
    <t>Savannah Bond - 28964799 - ripnsfw.com.jpg</t>
  </si>
  <si>
    <t>https://doodstream.com/d/qv0q40asfab0/</t>
  </si>
  <si>
    <t>https://lulustream.com/d/y4p7zjfpgz6h</t>
  </si>
  <si>
    <t>https://thumb.tapecontent.net/thumb/VWq8QAaGAbtxmv/m6ABjargkaibWzg.jpg</t>
  </si>
  <si>
    <t>Savannah Bond - 31486715 - Onlyfans - Ivy Lebelle.jpg</t>
  </si>
  <si>
    <t>https://doodstream.com/d/1y8hwuskzhbb/</t>
  </si>
  <si>
    <t>https://lulustream.com/d/b1wjgobzhwaa</t>
  </si>
  <si>
    <t>https://thumb.tapecontent.net/thumb/BPLrYxXMewsyOOX/O4DjWQz2p8hZ2Jv.jpg</t>
  </si>
  <si>
    <t>Savannah Bond - 34030239 - ripnsfw.com.jpg</t>
  </si>
  <si>
    <t>https://doodstream.com/d/ceqc92hn0n3v/</t>
  </si>
  <si>
    <t>https://lulustream.com/d/fyznglrpvkjh</t>
  </si>
  <si>
    <t>#Anal, #MILF, #BigTits, #Hardcore, #Black, #Interracial, #Bigass, #Porn, #Blowjob, #Deepthroat, #Blonde</t>
  </si>
  <si>
    <t>https://thumb.tapecontent.net/thumb/8Vlz6zP3ObH6xO/bqBzOZXxjjtLB4.jpg</t>
  </si>
  <si>
    <t>Savannah Bond - 34293046 - Onlyfans.jpg</t>
  </si>
  <si>
    <t>https://doodstream.com/d/ogmj9kbdejov/</t>
  </si>
  <si>
    <t>https://lulustream.com/d/4im2r3qlsvlb</t>
  </si>
  <si>
    <t>https://thumb.tapecontent.net/thumb/90QyJL2w1vHa23A/MymapdVOVLfD0L.jpg</t>
  </si>
  <si>
    <t>Savannah Bond - 36028697 - Onlyfans.jpg</t>
  </si>
  <si>
    <t>https://doodstream.com/d/f3xqg7py1p9r/</t>
  </si>
  <si>
    <t>https://lulustream.com/d/46h5ercu90rv</t>
  </si>
  <si>
    <t>https://thumb.tapecontent.net/thumb/JAAd4By082ijMb7/Z3PwP8bVYMIwmM.jpg</t>
  </si>
  <si>
    <t>Savannah Bond - 41186576 - ripnsfw.com.jpg</t>
  </si>
  <si>
    <t>https://doodstream.com/d/qnv59myynus4/</t>
  </si>
  <si>
    <t>https://lulustream.com/d/q930to2cylsi</t>
  </si>
  <si>
    <t>#Anal #MILF #BigTits #Hardcore #Black #Interracial #Bigass #Porn #Blowjob</t>
  </si>
  <si>
    <t>https://thumb.tapecontent.net/thumb/pjYXe73OA3ir8gw/XwyowR6Jv9CDb3r.jpg</t>
  </si>
  <si>
    <t>Savannah Bond - 42819858 - ripnsfw.com - Angela White.jpg</t>
  </si>
  <si>
    <t>https://doodstream.com/d/a86v6h1xjyu5/</t>
  </si>
  <si>
    <t>https://lulustream.com/d/io5e1oj393pc</t>
  </si>
  <si>
    <t>#Anal, #MILF, #BigTits, #Hardcore, #Black, #Threesome, #Interracial, #Bigass, #Porn, #Blowjob, #Deepthroat, #Blonde, #Facial</t>
  </si>
  <si>
    <t>#Anal #MILF #BigTits #Hardcore #Black</t>
  </si>
  <si>
    <t>https://thumb.tapecontent.net/thumb/QyzvqpbPXlIyxL/jOG9yprg78Sz1Xl.jpg</t>
  </si>
  <si>
    <t>Savannah Bond - 43572884 - ripnsfw.com - Angel Youngs.jpg</t>
  </si>
  <si>
    <t>https://doodstream.com/d/43x2ufnbn0h9/</t>
  </si>
  <si>
    <t>https://lulustream.com/d/5gu1gqc3qol5</t>
  </si>
  <si>
    <t>#MILF, #BigTits, #Hardcore, #Threesome, #Bigass, #Teen, #Blowjob, #Amateur, #Deepthroat, #Blonde</t>
  </si>
  <si>
    <t>https://thumb.tapecontent.net/thumb/wOBgOWVrG3SJOzB/kqq2q771qrf8Ap.jpg</t>
  </si>
  <si>
    <t>Savannah Bond - 46266365 - Onlyfans.jpg</t>
  </si>
  <si>
    <t>https://doodstream.com/d/k04czohg76th/</t>
  </si>
  <si>
    <t>https://lulustream.com/d/90i4gvw9f3cb</t>
  </si>
  <si>
    <t>https://thumb.tapecontent.net/thumb/lOb443K1Lvs7XZ4/OoZr0Lro1BH6eV.jpg</t>
  </si>
  <si>
    <t>Savannah Bond - 46601485 - ripnsfw.com.jpg</t>
  </si>
  <si>
    <t>https://doodstream.com/d/hkbqnh4uf4m1/</t>
  </si>
  <si>
    <t>https://lulustream.com/d/v2tr7kiwtv56</t>
  </si>
  <si>
    <t>#MILF, #BigTits, #Hardcore, #Bigass, #Roleplay, #Blowjob, #Amateur, #Deepthroat, #Blonde, #Facial</t>
  </si>
  <si>
    <t>#MILF #BigTits #Hardcore #Bigass #Roleplay #Blowjob #Amateur #Deepthroat #Blonde</t>
  </si>
  <si>
    <t>https://thumb.tapecontent.net/thumb/KQ8dlWLZp7f0d19/QgRbaDRbe4FG4d.jpg</t>
  </si>
  <si>
    <t>Savannah Bond - 46694045 - ripnsfw.com.jpg</t>
  </si>
  <si>
    <t>https://doodstream.com/d/sj3d5r5v8w5t/</t>
  </si>
  <si>
    <t>https://lulustream.com/d/bmpemqcb1xs3</t>
  </si>
  <si>
    <t>#Anal, #MILF, #BigTits, #Hardcore, #Bigass, #Porn, #Blowjob, #Deepthroat, #Blonde, #Facial</t>
  </si>
  <si>
    <t>https://thumb.tapecontent.net/thumb/OaBRaR3VO4IZBxJ/BGVwJ97zLLIWPb.jpg</t>
  </si>
  <si>
    <t>Savannah Bond - 51338393 - ripnsfw.com.jpg</t>
  </si>
  <si>
    <t>https://doodstream.com/d/9xf4v6b83da7/</t>
  </si>
  <si>
    <t>https://lulustream.com/d/1tc4e81gai8m</t>
  </si>
  <si>
    <t>#Anal, #MILF, #BigTits, #Creampie, #Hardcore, #Black, #Interracial, #Bigass, #Blowjob, #Piss, #Deepthroat, #Blonde</t>
  </si>
  <si>
    <t>#Anal #MILF #BigTits #Creampie #Hardcore #Black #Interracial #Bigass #Blowjob</t>
  </si>
  <si>
    <t>https://thumb.tapecontent.net/thumb/7zMWAD28e9HApme/ydl6DYdL9YieXD.jpg</t>
  </si>
  <si>
    <t>Savannah Bond - 54203161 - ripnsfw.com.jpg</t>
  </si>
  <si>
    <t>https://doodstream.com/d/wan7z3kl1rqz/</t>
  </si>
  <si>
    <t>https://lulustream.com/d/6hhaoglztc3g</t>
  </si>
  <si>
    <t>#Anal, #MILF, #BigTits, #Creampie, #Hardcore, #Bigass, #Porn, #Blowjob, #Deepthroat, #Blonde</t>
  </si>
  <si>
    <t>#Anal #MILF #BigTits #Creampie #Hardcore</t>
  </si>
  <si>
    <t>https://thumb.tapecontent.net/thumb/26LJxkv4DGTKkY/ZoJ9a8jr4DHPYj.jpg</t>
  </si>
  <si>
    <t>Savannah Bond - 58563307 - ripnsfw.com.jpg</t>
  </si>
  <si>
    <t>https://doodstream.com/d/mobufvrpc9z7/</t>
  </si>
  <si>
    <t>https://lulustream.com/d/2dk4ejqwfd12</t>
  </si>
  <si>
    <t>#MILF, #BigTits, #Hardcore, #Black, #Interracial, #Bigass, #Blowjob, #Amateur, #Deepthroat, #Blonde</t>
  </si>
  <si>
    <t>https://thumb.tapecontent.net/thumb/Wr11e6WkgbfW7p/PrkwQoZ32ys0dRy.jpg</t>
  </si>
  <si>
    <t>Savannah Bond - 59872464 - ripnsfw.com - Lena the plug.jpg</t>
  </si>
  <si>
    <t>https://doodstream.com/d/3i5v45541ztl/</t>
  </si>
  <si>
    <t>https://lulustream.com/d/f01can3hfkr3</t>
  </si>
  <si>
    <t>#MILF, #BigTits, #Hardcore, #Threesome, #Bigass, #Blowjob, #Amateur, #Hotwife, #Blonde, #Facial</t>
  </si>
  <si>
    <t>https://thumb.tapecontent.net/thumb/88y9VJj11gSoRyW/M0xwg1ZZokTmZmx.jpg</t>
  </si>
  <si>
    <t>Savannah Bond - 60598299 - ripnsfw.com.jpg</t>
  </si>
  <si>
    <t>https://doodstream.com/d/hensnfhro51x/</t>
  </si>
  <si>
    <t>https://lulustream.com/d/cpcey48e588u</t>
  </si>
  <si>
    <t>#MILF, #BigTits, #Hardcore, #Bigass, #Porn, #Blowjob, #Deepthroat, #Blonde</t>
  </si>
  <si>
    <t>https://thumb.tapecontent.net/thumb/k3BqgG6Zrqcr7w/ZJvVgZRJd2uqLzb.jpg</t>
  </si>
  <si>
    <t>Savannah Bond - 62042251 - ripnsfw.com.jpg</t>
  </si>
  <si>
    <t>https://doodstream.com/d/46hk4maomigd/</t>
  </si>
  <si>
    <t>https://lulustream.com/d/pc73yuvyyn7k</t>
  </si>
  <si>
    <t>#Anal, #MILF, #BigTits, #Hardcore, #Gangbang, #Black, #Interracial, #Bigass, #Porn, #Blowjob, #DoublePenetration, #Deepthroat, #Blonde, #Facial</t>
  </si>
  <si>
    <t>#Anal #MILF #BigTits #Hardcore #Gangbang #Black #Interracial #Bigass #Porn</t>
  </si>
  <si>
    <t>https://thumb.tapecontent.net/thumb/xe9mbaVwGyUkJbR/GaYQyApgQxF1bmy.jpg</t>
  </si>
  <si>
    <t>Savannah Bond - 65916741 - ripnsfw.com.jpg</t>
  </si>
  <si>
    <t>https://doodstream.com/d/uc67yzdbhnz1/</t>
  </si>
  <si>
    <t>https://lulustream.com/d/a78ju4m8gm2o</t>
  </si>
  <si>
    <t>#MILF, #BigTits, #Hardcore, #Black, #Interracial, #Bigass, #Porn, #Blowjob, #Deepthroat, #Blonde</t>
  </si>
  <si>
    <t>https://thumb.tapecontent.net/thumb/4xRjO6mAY4i2OY/lwjPZM6xP2HBx8.jpg</t>
  </si>
  <si>
    <t>Savannah Bond - 67876579 - Onlyfans.jpg</t>
  </si>
  <si>
    <t>https://doodstream.com/d/3uegjahy1t0p/</t>
  </si>
  <si>
    <t>https://lulustream.com/d/e9li95kl2gvi</t>
  </si>
  <si>
    <t>https://thumb.tapecontent.net/thumb/3wmeGWQLq8Hd7PK/BBdorWmLopSyXQ1.jpg</t>
  </si>
  <si>
    <t>Savannah Bond - 68907500 - ripnsfw.com.jpg</t>
  </si>
  <si>
    <t>https://doodstream.com/d/o8zm5b2sd43w/</t>
  </si>
  <si>
    <t>https://lulustream.com/d/a1s5s45detq9</t>
  </si>
  <si>
    <t>#Anal, #MILF, #BigTits, #Hardcore, #Interracial, #Black, #Bigass, #Porn, #Blowjob, #Deepthroat, #Blonde, #Facial</t>
  </si>
  <si>
    <t>#Anal #MILF #BigTits #Hardcore #Interracial #Black #Bigass #Porn #Blowjob</t>
  </si>
  <si>
    <t>https://thumb.tapecontent.net/thumb/29YzMpX9gmUZXVK/1aGB1DAVQrtyzp.jpg</t>
  </si>
  <si>
    <t>Savannah Bond - 74884313 - EvilAngel.jpg</t>
  </si>
  <si>
    <t>https://doodstream.com/d/bjch5mlx7ys5/</t>
  </si>
  <si>
    <t>https://lulustream.com/d/h1mxcpfhpa02</t>
  </si>
  <si>
    <t>https://thumb.tapecontent.net/thumb/XBvlk9aywysD8dr/OJmXPBRJkkhZV2d.jpg</t>
  </si>
  <si>
    <t>Savannah Bond - 77933958 - ripnsfw.com - Gia Derza.jpg</t>
  </si>
  <si>
    <t>https://doodstream.com/d/598vqa3jjci7/</t>
  </si>
  <si>
    <t>https://lulustream.com/d/2fjfx4p2fprq</t>
  </si>
  <si>
    <t>#Anal #MILF #BigTits #Hardcore #Black #Threesome #Interracial #Bigass #Porn #Blowjob #Deepthroat</t>
  </si>
  <si>
    <t>https://thumb.tapecontent.net/thumb/op2eVLZbe8I34D/dLo7OwPYReckqRY.jpg</t>
  </si>
  <si>
    <t>Savannah Bond - 80054280 - ripnsfw.com.jpg</t>
  </si>
  <si>
    <t>https://doodstream.com/d/l3i1iaylbt3e/</t>
  </si>
  <si>
    <t>https://lulustream.com/d/fv8c7pb5m2lw</t>
  </si>
  <si>
    <t>https://thumb.tapecontent.net/thumb/94YJWQ2ZB0faXe4/0BzPl7Ze8MIeQw.jpg</t>
  </si>
  <si>
    <t>Savannah Bond - 82871930 - ripnsfw.com.jpg</t>
  </si>
  <si>
    <t>https://doodstream.com/d/gkzdoh5d3vle/</t>
  </si>
  <si>
    <t>https://lulustream.com/d/i4uf7ctwlgga</t>
  </si>
  <si>
    <t>https://thumb.tapecontent.net/thumb/ybqeBe2x1Mh1Dpv/YBygm9YrlzsvVd2.jpg</t>
  </si>
  <si>
    <t>Savannah Bond - 83857792 - Onlyfans - Violet Myers.jpg</t>
  </si>
  <si>
    <t>https://doodstream.com/d/u16renvw6eht/</t>
  </si>
  <si>
    <t>https://lulustream.com/d/ynz40t45t4im</t>
  </si>
  <si>
    <t>https://thumb.tapecontent.net/thumb/OJ82gbLLe1tZP33/41eL6WWze3iK39X.jpg</t>
  </si>
  <si>
    <t>Savannah Bond - 84382694 - ripnsfw.com.jpg</t>
  </si>
  <si>
    <t>https://doodstream.com/d/kb0i6vxv4ock/</t>
  </si>
  <si>
    <t>https://lulustream.com/d/ky7i6hioeu3u</t>
  </si>
  <si>
    <t>#Anal #MILF #BigTits #Hardcore #Bigass #Porn #Blowjob #Deepthroat #Blonde #Facial</t>
  </si>
  <si>
    <t>https://thumb.tapecontent.net/thumb/k3ywYXawkzIOLK9/Wp7wbJe8RPtb4Mp.jpg</t>
  </si>
  <si>
    <t>Savannah Bond - 88052323 - ripnsfw.com.jpg</t>
  </si>
  <si>
    <t>https://doodstream.com/d/le4y6motzqv5/</t>
  </si>
  <si>
    <t>https://lulustream.com/d/3yqfx4s2wpsg</t>
  </si>
  <si>
    <t>#Anal, #MILF, #BigTits, #Hardcore, #Bigass, #Porn, #Blowjob, #Deepthroat, #Blonde</t>
  </si>
  <si>
    <t>#Anal #MILF #BigTits #Hardcore #Bigass #Porn #Blowjob</t>
  </si>
  <si>
    <t>https://thumb.tapecontent.net/thumb/KqBqDqDdeLH0yLx/GwxyJ0yYkaC1g1Z.jpg</t>
  </si>
  <si>
    <t>Savannah Bond - 90199336 - Onlyfans.jpg</t>
  </si>
  <si>
    <t>https://doodstream.com/d/8b3m35uqak3c/</t>
  </si>
  <si>
    <t>https://lulustream.com/d/gig2mrnbsnli</t>
  </si>
  <si>
    <t>#Anal, #MILF, #BigTits, #Hardcore, #Bigass, #Porn, #Stepmom, #Blowjob, #Deepthroat, #Blonde, #Facial</t>
  </si>
  <si>
    <t>#Anal #MILF #BigTits #Hardcore #Bigass #Porn #Stepmom #Blowjob #Deepthroat #Blonde</t>
  </si>
  <si>
    <t>https://thumb.tapecontent.net/thumb/17LAZrAQBQUeo7r/RDRdvLJpOQid18D.jpg</t>
  </si>
  <si>
    <t>Savannah Bond - 91147371 - ripnsfw.com.jpg</t>
  </si>
  <si>
    <t>https://doodstream.com/d/zujg28m5x3q1/</t>
  </si>
  <si>
    <t>https://lulustream.com/d/uulldcfm2vlu</t>
  </si>
  <si>
    <t>#MILF, #BigTits, #Hardcore, #Black, #Bigass, #Interracial, #Porn, #Blowjob, #Deepthroat, #Blonde</t>
  </si>
  <si>
    <t>#MILF #BigTits #Hardcore #Black #Bigass #Interracial #Porn</t>
  </si>
  <si>
    <t>https://thumb.tapecontent.net/thumb/qZv979A3ABCAzV/gdmxBdZmKrTqr03.jpg</t>
  </si>
  <si>
    <t>Savannah Bond - 96516471 - Bang.jpg</t>
  </si>
  <si>
    <t>https://doodstream.com/d/rpsnyxfni59h/</t>
  </si>
  <si>
    <t>https://lulustream.com/d/jrn8jh2vhgfk</t>
  </si>
  <si>
    <t>#MILF, #BigTits, #Hardcore, #Bigass, #Porn, #Blowjob, #Stepmom, #Deepthroat, #Blonde, #Facial</t>
  </si>
  <si>
    <t>#MILF #BigTits #Hardcore #Bigass #Porn #Blowjob #Stepmom</t>
  </si>
  <si>
    <t>https://thumb.tapecontent.net/thumb/1B2R2qplB0Uej33/BOdzGQekZxSyJgA.jpg</t>
  </si>
  <si>
    <t>Savannah Bond - 99647479 - ripnsfw.com - Francesca Le.jpg</t>
  </si>
  <si>
    <t>https://doodstream.com/d/xsbh0ai1yzov/</t>
  </si>
  <si>
    <t>https://lulustream.com/d/dn9xr7xwfsjb</t>
  </si>
  <si>
    <t>#Anal, #MILF, #BigTits, #Hardcore, #Threesome, #Bigass, #Porn, #Blowjob, #Deepthroat, #Blonde, #Facial</t>
  </si>
  <si>
    <t>#Anal #MILF #BigTits #Hardcore #Threesome #Bigass #Porn</t>
  </si>
  <si>
    <t>https://thumb.tapecontent.net/thumb/RDb9jAgRmjHdOLg/AowemjYWwVUXlbB.jpg</t>
  </si>
  <si>
    <t>Scarlet Chase - 52605657 - ripnsfw.com.jpg</t>
  </si>
  <si>
    <t>https://doodstream.com/d/b9yxmpc8cvwq/</t>
  </si>
  <si>
    <t>https://lulustream.com/d/jcknn3i0jqlq</t>
  </si>
  <si>
    <t>https://thumb.tapecontent.net/thumb/LO3qb7m4dDC4Ja/j2DPw12l8kfzOp7.jpg</t>
  </si>
  <si>
    <t>Scarlet Chase - 86232948 - ripnsfw.com.jpg</t>
  </si>
  <si>
    <t>https://doodstream.com/d/c9959u8s1k0o/</t>
  </si>
  <si>
    <t>https://lulustream.com/d/yl70k1sa5ejk</t>
  </si>
  <si>
    <t>#Anal, #BigTits, #Hardcore, #Bigass, #Porn, #Teen, #Blowjob, #Deepthroat, #Blonde</t>
  </si>
  <si>
    <t>#Anal #BigTits #Hardcore #Bigass #Porn #Teen</t>
  </si>
  <si>
    <t>https://thumb.tapecontent.net/thumb/3GgP1aYMOkc2Ga/bzJ6ll8bX3SQ3M.jpg</t>
  </si>
  <si>
    <t>Scarlett - 24350717 - BackroomCastingCouch.jpg</t>
  </si>
  <si>
    <t>https://doodstream.com/d/r7pnuwyd9wra/</t>
  </si>
  <si>
    <t>https://lulustream.com/d/m3w4gbtb2tyg</t>
  </si>
  <si>
    <t>#anal #casting #teen #porn</t>
  </si>
  <si>
    <t>https://thumb.tapecontent.net/thumb/3P7GkV4j1WCdWym/Mo7vzRv3dmcm2Rw.jpg</t>
  </si>
  <si>
    <t>Scarlett Hampton - 02295819 - Chaturbate - JackandJill.jpg</t>
  </si>
  <si>
    <t>https://doodstream.com/d/zagym6b0w1kq/</t>
  </si>
  <si>
    <t>https://lulustream.com/d/3c51gzl9a8mx</t>
  </si>
  <si>
    <t>#anal #threesome #blowjob #blonde</t>
  </si>
  <si>
    <t>https://thumb.tapecontent.net/thumb/bVgymky0OjtDRQ/BeJXwYpr3AhmZ8.jpg</t>
  </si>
  <si>
    <t>Scarlettkissesxo - 37218340 - Onlyfans.jpg</t>
  </si>
  <si>
    <t>https://doodstream.com/d/e3bx7jp77bxf/</t>
  </si>
  <si>
    <t>https://lulustream.com/d/tetnzi4kkmh1</t>
  </si>
  <si>
    <t>https://thumb.tapecontent.net/thumb/Jw08p277aPujlRV/p2POB2rLZVfrPzp.jpg</t>
  </si>
  <si>
    <t>Scarlettkissesxo - 38580972 - Onlyfans.jpg</t>
  </si>
  <si>
    <t>https://doodstream.com/d/l5i3q7hs574h/</t>
  </si>
  <si>
    <t>https://lulustream.com/d/laa7bemj9874</t>
  </si>
  <si>
    <t>https://thumb.tapecontent.net/thumb/17kopZaaOxsbLA/yjJZ43oA3bHKdb.jpg</t>
  </si>
  <si>
    <t>Scarlettkissesxo - 49030137 - Onlyfans.jpg</t>
  </si>
  <si>
    <t>https://doodstream.com/d/ixsbjhsl9boq/</t>
  </si>
  <si>
    <t>https://lulustream.com/d/ruz1mw6yrvoz</t>
  </si>
  <si>
    <t>#blonde #bigtits #bigass #blowjob</t>
  </si>
  <si>
    <t>https://thumb.tapecontent.net/thumb/mQd1zwKOz2Hb3MK/g9G143jOwaI4M9.jpg</t>
  </si>
  <si>
    <t>Scarlettkissesxo - 49786567 - Onlyfans.jpg</t>
  </si>
  <si>
    <t>https://doodstream.com/d/92sgk19zix4z/</t>
  </si>
  <si>
    <t>https://lulustream.com/d/cnmg1vda81zh</t>
  </si>
  <si>
    <t>#bigtits #sloppy #blowjob #blonde</t>
  </si>
  <si>
    <t>https://thumb.tapecontent.net/thumb/dr1Zp2GYPQTk4Gj/7m4YOowkdxsJRR.jpg</t>
  </si>
  <si>
    <t>Scarlettkissesxo - 77970543 - Onlyfans.jpg</t>
  </si>
  <si>
    <t>https://doodstream.com/d/u49sv9jvrxwc/</t>
  </si>
  <si>
    <t>https://lulustream.com/d/2b5lp8q5k2rp</t>
  </si>
  <si>
    <t>#blonde #blowjob #bigass #bigtits</t>
  </si>
  <si>
    <t>https://thumb.tapecontent.net/thumb/PjmWQaG6g4h00wB/vzbKMg8o1zs49eW.jpg</t>
  </si>
  <si>
    <t>Scarlettkissesxo - 90057118 - Onlyfans.jpg</t>
  </si>
  <si>
    <t>https://doodstream.com/d/ju98yk3k8qj9/</t>
  </si>
  <si>
    <t>https://lulustream.com/d/3o3cr08gdym6</t>
  </si>
  <si>
    <t>https://thumb.tapecontent.net/thumb/xgpwydmB0XUkGQD/ePz07bl4kXiJQ0.jpg</t>
  </si>
  <si>
    <t>Shrooms Q - 35238998 - ripnsfw.com.jpg</t>
  </si>
  <si>
    <t>https://doodstream.com/d/ap086kxbb698/</t>
  </si>
  <si>
    <t>https://lulustream.com/d/jd6notgdwrqo</t>
  </si>
  <si>
    <t>#Hardcore, #Teen, #Blowjob, #Amateur, #Deepthroat</t>
  </si>
  <si>
    <t>#Hardcore #Teen #Blowjob #Amateur #Deepthroat</t>
  </si>
  <si>
    <t>https://thumb.tapecontent.net/thumb/39w3GKzK0etdmbx/ZxAajRdJ0ofqarz.jpg</t>
  </si>
  <si>
    <t>Shrooms Q - 37477053 - ripnsfw.com.jpg</t>
  </si>
  <si>
    <t>https://doodstream.com/d/9hxzdfajpbog/</t>
  </si>
  <si>
    <t>https://lulustream.com/d/5tor4pwpcvcq</t>
  </si>
  <si>
    <t>#Hardcore, #Black, #Threesome, #Interracial, #Teen, #Teens, #Blowjob, #Amateur, #Deepthroat</t>
  </si>
  <si>
    <t>#Hardcore #Black #Threesome #Interracial #Teen #Teens #Blowjob</t>
  </si>
  <si>
    <t>https://thumb.tapecontent.net/thumb/Xb88yzR2PdfzgW/VrOemMAeJJTkjp.jpg</t>
  </si>
  <si>
    <t>Shrooms Q - 37782494 - ripnsfw.com.jpg</t>
  </si>
  <si>
    <t>https://doodstream.com/d/buuhj26pgk5e/</t>
  </si>
  <si>
    <t>https://lulustream.com/d/xr8v1edqgn9q</t>
  </si>
  <si>
    <t>#Anal, #Hardcore, #Threesome, #Porn, #Teen, #Blowjob, #Amateur, #Deepthroat, #DoublePenetration</t>
  </si>
  <si>
    <t>#Anal #Hardcore #Threesome #Porn #Teen #Blowjob #Amateur #Deepthroat #DoublePenetration</t>
  </si>
  <si>
    <t>https://thumb.tapecontent.net/thumb/vwLlQZMdX8u4xvd/BLY6yzXRoVTGDZ.jpg</t>
  </si>
  <si>
    <t>Shrooms Q - 48799327 - ripnsfw.com.jpg</t>
  </si>
  <si>
    <t>https://doodstream.com/d/ff4wu8fdobkd/</t>
  </si>
  <si>
    <t>https://lulustream.com/d/068u49743cnu</t>
  </si>
  <si>
    <t>#Porn, #Teen, #Blowjob, #Deepthroat, #Facial</t>
  </si>
  <si>
    <t>#Porn #Teen #Blowjob #Deepthroat</t>
  </si>
  <si>
    <t>https://thumb.tapecontent.net/thumb/LJR6p0wkmkSvM0/yrvg6yMWVjt1pyb.jpg</t>
  </si>
  <si>
    <t>Shrooms Q - 53174250 - Onlyfans.jpg</t>
  </si>
  <si>
    <t>https://doodstream.com/d/1dglc99zyh9d/</t>
  </si>
  <si>
    <t>https://lulustream.com/d/v6a5mbx2mt11</t>
  </si>
  <si>
    <t>#anal #hardcore #threesome #teen</t>
  </si>
  <si>
    <t>https://thumb.tapecontent.net/thumb/MklQe2MJbYSmOek/kZYo2pAGdJSO1XL.jpg</t>
  </si>
  <si>
    <t>Shrooms Q - 57278873 - HHH.jpg</t>
  </si>
  <si>
    <t>https://doodstream.com/d/2062m5pfbxu3/</t>
  </si>
  <si>
    <t>https://lulustream.com/d/mt46las9dhgi</t>
  </si>
  <si>
    <t>#Hardcore, #Piss, #Porn, #Teen, #Roleplay, #Blowjob, #Deepthroat, #Rimjob, #Rimming</t>
  </si>
  <si>
    <t>#Hardcore #Piss #Porn #Teen #Roleplay #Blowjob #Deepthroat #Rimjob #Rimming</t>
  </si>
  <si>
    <t>https://thumb.tapecontent.net/thumb/4ywp1Mab1QhKPRr/9BDpZgJKYWSazGO.jpg</t>
  </si>
  <si>
    <t>Shrooms Q - 57405087 - ripnsfw.com.jpg</t>
  </si>
  <si>
    <t>https://doodstream.com/d/da9tgi8wzlgm/</t>
  </si>
  <si>
    <t>https://lulustream.com/d/rreu76ycalpe</t>
  </si>
  <si>
    <t>#Anal, #Creampie, #Hardcore, #Teen, #Blowjob, #Amateur</t>
  </si>
  <si>
    <t>#Anal #Creampie #Hardcore #Teen #Blowjob</t>
  </si>
  <si>
    <t>https://thumb.tapecontent.net/thumb/3kvVgr0GaeTdBaL/jjYpoK4ARRCzzRx.jpg</t>
  </si>
  <si>
    <t>Shrooms Q - 61145456 - ripnsfw.com - Katie Cai.jpg</t>
  </si>
  <si>
    <t>https://doodstream.com/d/n5etu5j1or5h/</t>
  </si>
  <si>
    <t>https://lulustream.com/d/v1z19rrkwumy</t>
  </si>
  <si>
    <t>#Threesome, #Teen, #Teens, #Blowjob, #Amateur</t>
  </si>
  <si>
    <t>#Threesome #Teen #Teens #Blowjob</t>
  </si>
  <si>
    <t>https://thumb.tapecontent.net/thumb/038kx9GAkGSbo0y/oLkrQpl4z3tJgy2.jpg</t>
  </si>
  <si>
    <t>Shrooms Q - 62250341 - ripnsfw.com.jpg</t>
  </si>
  <si>
    <t>https://doodstream.com/d/v0rg1kavvols/</t>
  </si>
  <si>
    <t>https://lulustream.com/d/3pqh500ne8y9</t>
  </si>
  <si>
    <t>https://thumb.tapecontent.net/thumb/0A9OzPGzJbSbGRQ/GjLbR32wwRImGV.jpg</t>
  </si>
  <si>
    <t>Shrooms Q - 63317077 - ripnsfw.com.jpg</t>
  </si>
  <si>
    <t>https://doodstream.com/d/uhelr4g07b1y/</t>
  </si>
  <si>
    <t>https://lulustream.com/d/re6bmw69xm1r</t>
  </si>
  <si>
    <t>#Hardcore, #Black, #Interracial, #Porn, #Teen, #Blowjob, #Amateur, #Deepthroat</t>
  </si>
  <si>
    <t>https://thumb.tapecontent.net/thumb/rx9Yx4rYyMibmKZ/OkWW3xyoMmSZZyo.jpg</t>
  </si>
  <si>
    <t>Shrooms Q - 66164999 - ripnsfw.com.jpg</t>
  </si>
  <si>
    <t>https://doodstream.com/d/irrjv927lhrx/</t>
  </si>
  <si>
    <t>https://lulustream.com/d/al08eb7xhvqc</t>
  </si>
  <si>
    <t>#Creampie, #Hardcore, #Teen, #Blowjob, #Amateur</t>
  </si>
  <si>
    <t>#Creampie #Hardcore #Teen #Blowjob</t>
  </si>
  <si>
    <t>https://thumb.tapecontent.net/thumb/PqX9koKyoGT04Wz/3DLVbvVkLbURpw.jpg</t>
  </si>
  <si>
    <t>Shrooms Q - 76027062 - ripnsfw.com.jpg</t>
  </si>
  <si>
    <t>https://doodstream.com/d/wo09aczr4a8k/</t>
  </si>
  <si>
    <t>https://lulustream.com/d/1qsj0udwu443</t>
  </si>
  <si>
    <t>#Creampie, #Hardcore, #Teen, #Blowjob, #Amateur, #Deepthroat, #Public</t>
  </si>
  <si>
    <t>#Creampie #Hardcore #Teen #Blowjob #Amateur #Deepthroat</t>
  </si>
  <si>
    <t>https://thumb.tapecontent.net/thumb/rkdVYkQQ8ziGGY/9Rb3K4vrYLialak.jpg</t>
  </si>
  <si>
    <t>Shrooms Q - 76619625 - Swallowed.jpg</t>
  </si>
  <si>
    <t>https://doodstream.com/d/6hnwjy24hmaq/</t>
  </si>
  <si>
    <t>https://lulustream.com/d/57evcma5wp6a</t>
  </si>
  <si>
    <t>#Teen, #Artporn, #Amateur, #Blowjob, #Deepthroat, #Facial</t>
  </si>
  <si>
    <t>#Teen #Artporn #Amateur #Blowjob</t>
  </si>
  <si>
    <t>https://thumb.tapecontent.net/thumb/oW0lj1mllQh98A/DWD0pomywyukgjw.jpg</t>
  </si>
  <si>
    <t>Shrooms Q - 77194109 - ripnsfw.com.jpg</t>
  </si>
  <si>
    <t>https://doodstream.com/d/yivwd6der5bg/</t>
  </si>
  <si>
    <t>https://lulustream.com/d/6fnaumskqtfi</t>
  </si>
  <si>
    <t>#Hardcore, #Teen, #Artporn, #Deepthroat, #Blowjob, #Facial</t>
  </si>
  <si>
    <t>#Hardcore #Teen #Artporn #Deepthroat #Blowjob</t>
  </si>
  <si>
    <t>https://thumb.tapecontent.net/thumb/yBBoV0bodPUBrw/vDopX1ZY7LH4yyl.jpg</t>
  </si>
  <si>
    <t>Shrooms Q - 80325815 - ripnsfw.com.jpg</t>
  </si>
  <si>
    <t>https://doodstream.com/d/dw25iptx4r60/</t>
  </si>
  <si>
    <t>https://lulustream.com/d/15ms5oa5ian2</t>
  </si>
  <si>
    <t>#Hardcore, #Porn, #Teen, #Roleplay, #Squirt, #Artporn, #Blowjob, #Deepthroat</t>
  </si>
  <si>
    <t>#Hardcore #Porn #Teen #Roleplay #Squirt #Artporn #Blowjob</t>
  </si>
  <si>
    <t>https://thumb.tapecontent.net/thumb/3AYG004o37tXWv/wkb2pzkGVmuJK8z.jpg</t>
  </si>
  <si>
    <t>Shrooms Q - 83439685 - ripnsfw.com.jpg</t>
  </si>
  <si>
    <t>https://doodstream.com/d/9qh8d16zcgvy/</t>
  </si>
  <si>
    <t>https://lulustream.com/d/40dxyjkv28pv</t>
  </si>
  <si>
    <t>#Anal, #Hardcore, #Teen, #Blowjob, #Amateur, #Deepthroat</t>
  </si>
  <si>
    <t>#Anal #Hardcore #Teen #Blowjob #Amateur</t>
  </si>
  <si>
    <t>https://thumb.tapecontent.net/thumb/1pko6WkwaMIegyR/8qAyydADbxi24G.jpg</t>
  </si>
  <si>
    <t>Shrooms Q - 86858943 - ripnsfw.com - Katee V.jpg</t>
  </si>
  <si>
    <t>https://doodstream.com/d/q242quihd10v/</t>
  </si>
  <si>
    <t>https://lulustream.com/d/7ofzqasne0rp</t>
  </si>
  <si>
    <t>#Hardcore, #Threesome, #Porn, #Teen, #Teens, #Blowjob, #Creampie, #Deepthroat</t>
  </si>
  <si>
    <t>#Hardcore #Threesome #Porn #Teen #Teens #Blowjob</t>
  </si>
  <si>
    <t>https://thumb.tapecontent.net/thumb/JvgWaoyvrlcjm8q/yjjrZLkj0QImrq.jpg</t>
  </si>
  <si>
    <t>Shrooms Q - 92378079 - Chaturbate - Katie Cai - JackandJill.jpg</t>
  </si>
  <si>
    <t>https://doodstream.com/d/9gru2kx02e46/</t>
  </si>
  <si>
    <t>https://lulustream.com/d/my3x30q9xyad</t>
  </si>
  <si>
    <t>#foursome #creampie #teen #brunette</t>
  </si>
  <si>
    <t>https://thumb.tapecontent.net/thumb/z7dQRXB38yTYd4r/79Y1jbvvBoIAlbp.jpg</t>
  </si>
  <si>
    <t>Shyla - 65322400 - PS.jpg</t>
  </si>
  <si>
    <t>https://doodstream.com/d/pfh3znqhdrqr/</t>
  </si>
  <si>
    <t>https://lulustream.com/d/9pxs4oshgmzf</t>
  </si>
  <si>
    <t>#anal #blowjob #blonde #bigtits</t>
  </si>
  <si>
    <t>https://thumb.tapecontent.net/thumb/3WkvqW2Kq9sdZ8r/Okm3VRGjKmsZqBe.jpg</t>
  </si>
  <si>
    <t>Sinatra Monroe - 41393220 - ripnsfw.com - Lena the plug.jpg</t>
  </si>
  <si>
    <t>https://doodstream.com/d/gbgcdj55xr0w/</t>
  </si>
  <si>
    <t>https://lulustream.com/d/q11lbxy8t5su</t>
  </si>
  <si>
    <t>https://thumb.tapecontent.net/thumb/akzmdk9zl0CxqJJ/8BlvYjyvkqHj4w.jpg</t>
  </si>
  <si>
    <t>Siri Dahl - 26343434 - ripnsfw.com.jpg</t>
  </si>
  <si>
    <t>https://doodstream.com/d/edsbqr7rxy3l/</t>
  </si>
  <si>
    <t>https://lulustream.com/d/cyygbb4bpwh7</t>
  </si>
  <si>
    <t>https://thumb.tapecontent.net/thumb/9P7XD1wlPdIa20z/PZkOZqa7jBcALB.jpg</t>
  </si>
  <si>
    <t>Sky Bri - 10452774 - XVRED.jpg</t>
  </si>
  <si>
    <t>https://doodstream.com/d/0w059bgd2zc6/</t>
  </si>
  <si>
    <t>https://lulustream.com/d/k716sgfc9fa3</t>
  </si>
  <si>
    <t>https://thumb.tapecontent.net/thumb/AXop44mWjvfXyla/GvvJWDqPqmS1wPg.jpg</t>
  </si>
  <si>
    <t>Sky Bri - 12892926 - Onlyfans.jpg</t>
  </si>
  <si>
    <t>https://doodstream.com/d/u1rinepv55ix/</t>
  </si>
  <si>
    <t>https://lulustream.com/d/fff89cw40krf</t>
  </si>
  <si>
    <t>https://thumb.tapecontent.net/thumb/0Dvjp7b7r2iDXD/zDBy1aJprwTYYxp.jpg</t>
  </si>
  <si>
    <t>Sky Bri - 13337466 - Onlyfans.jpg</t>
  </si>
  <si>
    <t>https://doodstream.com/d/2ly4dnta1mh1/</t>
  </si>
  <si>
    <t>https://lulustream.com/d/g20plc3fbluc</t>
  </si>
  <si>
    <t>https://thumb.tapecontent.net/thumb/R7VbgB0kD3fkpL/dLyX0XmR2kfkx0X.jpg</t>
  </si>
  <si>
    <t>Sky Bri - 20586001 - ripnsfw.com - Angela White.jpg</t>
  </si>
  <si>
    <t>https://doodstream.com/d/tcv9fj9vwchu/</t>
  </si>
  <si>
    <t>https://lulustream.com/d/bb1gwg4uv661</t>
  </si>
  <si>
    <t>#MILF, #BigTits, #Hardcore, #Threesome, #Bigass, #Teen, #Blowjob, #Amateur, #Deepthroat, #Blonde, #Facial</t>
  </si>
  <si>
    <t>#MILF #BigTits #Hardcore #Threesome #Bigass #Teen #Blowjob #Amateur</t>
  </si>
  <si>
    <t>https://thumb.tapecontent.net/thumb/LVB3Xodq86F6PP/LpM1JqzGmdu7e9.jpg</t>
  </si>
  <si>
    <t>Sky Bri - 22104457 - Onlyfans.jpg</t>
  </si>
  <si>
    <t>https://doodstream.com/d/rvhuljnwst3x/</t>
  </si>
  <si>
    <t>https://lulustream.com/d/z9u8xg9iyn3z</t>
  </si>
  <si>
    <t>#teen #interracial #bigtits #bigass</t>
  </si>
  <si>
    <t>https://thumb.tapecontent.net/thumb/gj8vkVmJQesqdaV/0LXA8ePZkDtbxyd.jpg</t>
  </si>
  <si>
    <t>Sky Bri - 25610133 - ripnsfw.com - Lena the plug.jpg</t>
  </si>
  <si>
    <t>https://doodstream.com/d/7nf8pu6k4iqa/</t>
  </si>
  <si>
    <t>https://lulustream.com/d/xbi4wn6zd7fk</t>
  </si>
  <si>
    <t>#BigTits, #MILF, #Threesome, #Bigass, #Teen, #Blowjob, #Amateur, #Deepthroat, #Blonde</t>
  </si>
  <si>
    <t>#BigTits #MILF #Threesome #Bigass #Teen</t>
  </si>
  <si>
    <t>https://thumb.tapecontent.net/thumb/kK71RRwjzqUOXXm/waPoOpX4jmFeVx.jpg</t>
  </si>
  <si>
    <t>Sky Bri - 27369214 - ripnsfw.com.jpg</t>
  </si>
  <si>
    <t>https://doodstream.com/d/074fbdcp8dr4/</t>
  </si>
  <si>
    <t>https://lulustream.com/d/swi79jussqr8</t>
  </si>
  <si>
    <t>https://thumb.tapecontent.net/thumb/JKeLy949mWF66G/9oex2kmr9WTax4b.jpg</t>
  </si>
  <si>
    <t>Sky Bri - 30897205 - Onlyfans - Lena the plug.jpg</t>
  </si>
  <si>
    <t>https://doodstream.com/d/tm9kh8xe6th2/</t>
  </si>
  <si>
    <t>https://lulustream.com/d/724rnucunny5</t>
  </si>
  <si>
    <t>#threesome #lesbian #bigass #bigtits</t>
  </si>
  <si>
    <t>https://thumb.tapecontent.net/thumb/z3w9Yx72aYFYRBx/MqdO7pkkrpumvqL.jpg</t>
  </si>
  <si>
    <t>Sky Bri - 46781745 - Onlyfans.jpg</t>
  </si>
  <si>
    <t>https://doodstream.com/d/xf70p42aitp2/</t>
  </si>
  <si>
    <t>https://lulustream.com/d/a50sz7e9662c</t>
  </si>
  <si>
    <t>https://thumb.tapecontent.net/thumb/O4mQMmvw0WimOb/V8qKO6Jw9biKpqV.jpg</t>
  </si>
  <si>
    <t>Sky Bri - 81507660 - Onlyfans.jpg</t>
  </si>
  <si>
    <t>https://doodstream.com/d/8qyqaoplk0ip/</t>
  </si>
  <si>
    <t>https://lulustream.com/d/iv18kzd64ubg</t>
  </si>
  <si>
    <t>#teen #threesome #bigtits #bigass</t>
  </si>
  <si>
    <t>https://thumb.tapecontent.net/thumb/AJvZOYlLRkhXpMB/qZAjYGgPq2Tzb7Q.jpg</t>
  </si>
  <si>
    <t>Sky Bri - 83997240 - Onlyfans.jpg</t>
  </si>
  <si>
    <t>https://doodstream.com/d/iwx3rh8ayfz5/</t>
  </si>
  <si>
    <t>https://lulustream.com/d/4cxp4hva7xe2</t>
  </si>
  <si>
    <t>https://thumb.tapecontent.net/thumb/39KzAxrYBeHroj/lAg3bJzXD4u7rvw.jpg</t>
  </si>
  <si>
    <t>Sky Bri - 91788222 - Onlyfans.jpg</t>
  </si>
  <si>
    <t>https://doodstream.com/d/peifwp69ui0t/</t>
  </si>
  <si>
    <t>https://lulustream.com/d/62y8ez7zbj9p</t>
  </si>
  <si>
    <t>#blonde #teen #bigtits #handjob</t>
  </si>
  <si>
    <t>https://thumb.tapecontent.net/thumb/GP03zo7qWaH1GZV/dA8mJD2MArukmwD.jpg</t>
  </si>
  <si>
    <t>Sky Bri - 96295247 - Onlyfans.jpg</t>
  </si>
  <si>
    <t>https://doodstream.com/d/fay39lml2xjb/</t>
  </si>
  <si>
    <t>https://lulustream.com/d/g05jdksjeme8</t>
  </si>
  <si>
    <t>https://thumb.tapecontent.net/thumb/vWj1m1a73OcDK6/abaeLx0lQbCQBz.jpg</t>
  </si>
  <si>
    <t>Skye Blue - 12334640 - ripnsfw.com - JackandJill.jpg</t>
  </si>
  <si>
    <t>https://doodstream.com/d/aqjqpua90b0s/</t>
  </si>
  <si>
    <t>https://lulustream.com/d/12eflmp5zxmb</t>
  </si>
  <si>
    <t>#BigTits, #Hardcore, #Teen, #Teens, #Blowjob, #Amateur, #Deepthroat, #Blonde, #Foursome</t>
  </si>
  <si>
    <t>https://thumb.tapecontent.net/thumb/QkyyMkm43dF0m8A/O6L77pMRYmSZj08.jpg</t>
  </si>
  <si>
    <t>Skye Blue - 56299693 - ripnsfw.com.jpg</t>
  </si>
  <si>
    <t>https://doodstream.com/d/4nxy4368sbgb/</t>
  </si>
  <si>
    <t>https://lulustream.com/d/n6jtmf1i496d</t>
  </si>
  <si>
    <t>#BigTits, #Hardcore, #Threesome, #Teen, #Blowjob, #Amateur, #Deepthroat, #Blonde, #Facial</t>
  </si>
  <si>
    <t>#BigTits #Hardcore #Threesome #Teen #Blowjob #Amateur #Deepthroat #Blonde</t>
  </si>
  <si>
    <t>https://thumb.tapecontent.net/thumb/aGprXogYDDSxqkd/px0gVV1DJMsrQqR.jpg</t>
  </si>
  <si>
    <t>Skye Blue - 93915326 - Onlyfans.jpg</t>
  </si>
  <si>
    <t>https://doodstream.com/d/noi4py0qaz3b/</t>
  </si>
  <si>
    <t>https://lulustream.com/d/tan0harr7ijj</t>
  </si>
  <si>
    <t>#bigass #blowjob #blonde #hairy</t>
  </si>
  <si>
    <t>https://thumb.tapecontent.net/thumb/16MMJL0B30HezQW/eg7kaLOJxxfY6XV.jpg</t>
  </si>
  <si>
    <t>Slimthick Vic - 88680369 - Onlyfans - Kay Lovely.jpg</t>
  </si>
  <si>
    <t>https://doodstream.com/d/wn8cmk1ckxxh/</t>
  </si>
  <si>
    <t>https://lulustream.com/d/jsuztvck0t99</t>
  </si>
  <si>
    <t>#blowjob #bigass #bigtits #blonde</t>
  </si>
  <si>
    <t>https://thumb.tapecontent.net/thumb/brXopj76rGiPj1r/3GerdPv17mTddjV.jpg</t>
  </si>
  <si>
    <t>Slimthick Vic - 96569222 - Onlyfans - Brandy Renee.jpg</t>
  </si>
  <si>
    <t>https://doodstream.com/d/jv081wsrx28f/</t>
  </si>
  <si>
    <t>https://lulustream.com/d/gkylvh33pstw</t>
  </si>
  <si>
    <t>https://thumb.tapecontent.net/thumb/Z17Z1Qw4D7Tq0mj/ZyBvP8bQ0ZCqDl3.jpg</t>
  </si>
  <si>
    <t>Sophie Reade - 23896378 - Onlyfans.jpg</t>
  </si>
  <si>
    <t>https://doodstream.com/d/y2oso3vcs8tp/</t>
  </si>
  <si>
    <t>https://lulustream.com/d/x8vexh7ahswc</t>
  </si>
  <si>
    <t>#milf #blonde #blowjob #bigtits</t>
  </si>
  <si>
    <t>https://thumb.tapecontent.net/thumb/2rgY6P3Pr3HZXMZ/YLzjYwLy6xcvgPM.jpg</t>
  </si>
  <si>
    <t>Sophie Reade - 31784986 - ripnsfw.com.jpg</t>
  </si>
  <si>
    <t>https://doodstream.com/d/slzni0sqo4ni/</t>
  </si>
  <si>
    <t>https://lulustream.com/d/069rmys0mfzk</t>
  </si>
  <si>
    <t>#MILF, #BigTits, #Creampie, #Hardcore, #Bigass, #Blowjob, #Amateur, #Blonde</t>
  </si>
  <si>
    <t>https://thumb.tapecontent.net/thumb/R47WjLMyQrTdGxd/g2DPGJRWpBHqQ6l.jpg</t>
  </si>
  <si>
    <t>Sophie Reade - 43360544 - ripnsfw.com.jpg</t>
  </si>
  <si>
    <t>https://doodstream.com/d/56hg4akeia9j/</t>
  </si>
  <si>
    <t>https://lulustream.com/d/ot7g2id45wno</t>
  </si>
  <si>
    <t>#MILF, #BigTits, #Creampie, #Hardcore, #Black, #Interracial, #Bigass, #Blowjob, #Amateur, #Blonde</t>
  </si>
  <si>
    <t>#MILF #BigTits #Creampie #Hardcore #Black #Interracial #Bigass #Blowjob</t>
  </si>
  <si>
    <t>https://thumb.tapecontent.net/thumb/ePdXA46qyrFYzpd/Y687qrmgBkTpo0.jpg</t>
  </si>
  <si>
    <t>Sophie Reade - 51791022 - ripnsfw.com.jpg</t>
  </si>
  <si>
    <t>https://doodstream.com/d/20j6qdgqfjyu/</t>
  </si>
  <si>
    <t>https://lulustream.com/d/i1lsnz7mqv5y</t>
  </si>
  <si>
    <t>https://thumb.tapecontent.net/thumb/vWDwOW90lXcwLx/0Lypx8JklKHb8qM.jpg</t>
  </si>
  <si>
    <t>Sophie Reade - 53603393 - Onlyfans.jpg</t>
  </si>
  <si>
    <t>https://doodstream.com/d/b4gvb4dltmwd/</t>
  </si>
  <si>
    <t>https://lulustream.com/d/mwgdc6rx4uld</t>
  </si>
  <si>
    <t>#milf #threesome #blowjob #bigtits</t>
  </si>
  <si>
    <t>https://thumb.tapecontent.net/thumb/KwVDaQleyaI0d6e/233yxZ07wWUZyxk.jpg</t>
  </si>
  <si>
    <t>Sophie Reade - 54476943 - Onlyfans.jpg</t>
  </si>
  <si>
    <t>https://doodstream.com/d/rvi3ik1nubdm/</t>
  </si>
  <si>
    <t>https://lulustream.com/d/5qr1d682estt</t>
  </si>
  <si>
    <t>https://thumb.tapecontent.net/thumb/qak80pqb3dIz8gx/Zq1MjGkDo1iqDxM.jpg</t>
  </si>
  <si>
    <t>Sophie Reade - 64423930 - ripnsfw.com.jpg</t>
  </si>
  <si>
    <t>https://doodstream.com/d/70z1tl0y2lzf/</t>
  </si>
  <si>
    <t>https://lulustream.com/d/6x71rwv8jw9t</t>
  </si>
  <si>
    <t>#MILF, #BigTits, #Creampie, #Hardcore, #Threesome, #Bigass, #Blowjob, #DoublePenetration, #Amateur, #Blonde</t>
  </si>
  <si>
    <t>https://thumb.tapecontent.net/thumb/0zj1Ljg9kQS6yb/3pbdX0Ge2pcddZm.jpg</t>
  </si>
  <si>
    <t>Sophie Reade - 66840415 - ripnsfw.com.jpg</t>
  </si>
  <si>
    <t>https://doodstream.com/d/ihjeain7s186/</t>
  </si>
  <si>
    <t>https://lulustream.com/d/w2o1wn0cp9ft</t>
  </si>
  <si>
    <t>#MILF, #BigTits, #Creampie, #Hardcore, #Bigass, #Stepmom, #Amateur, #Blonde</t>
  </si>
  <si>
    <t>#MILF #BigTits #Creampie #Hardcore #Bigass #Stepmom #Amateur #Blonde</t>
  </si>
  <si>
    <t>https://thumb.tapecontent.net/thumb/A0GP6dQ43wiXK7A/LJmkWZGYoAcRQdM.jpg</t>
  </si>
  <si>
    <t>Sophie Reade - 84515479 - FTV.jpg</t>
  </si>
  <si>
    <t>https://doodstream.com/d/9kgeiabs13b0/</t>
  </si>
  <si>
    <t>https://lulustream.com/d/fs2wxvsqj7l8</t>
  </si>
  <si>
    <t>#milf #blonde #piss #interracial</t>
  </si>
  <si>
    <t>https://thumb.tapecontent.net/thumb/Y6l6189Q7jIvP43/BJL9p0JGlmIMyo.jpg</t>
  </si>
  <si>
    <t>Sophie Reade - 96816459 - Onlyfans.jpg</t>
  </si>
  <si>
    <t>https://doodstream.com/d/p9cefb6tlwrp/</t>
  </si>
  <si>
    <t>https://lulustream.com/d/5a326nx6yyps</t>
  </si>
  <si>
    <t>https://thumb.tapecontent.net/thumb/Wblmwr9WLRibx6p/eg9yymWj13FOXP.jpg</t>
  </si>
  <si>
    <t>Sophie Tyler - 37800505 - ripnsfw.com.jpg</t>
  </si>
  <si>
    <t>https://doodstream.com/d/hlfxd12jas5r/</t>
  </si>
  <si>
    <t>https://lulustream.com/d/pfgij3xv4f97</t>
  </si>
  <si>
    <t>https://thumb.tapecontent.net/thumb/ldbv2PgWa0f78ye/0ZaM2jBMOdU2LY.jpg</t>
  </si>
  <si>
    <t>Stella Barey - 42384532 - Onlyfans - Harper Red.jpg</t>
  </si>
  <si>
    <t>https://doodstream.com/d/mlght2lw7ym5/</t>
  </si>
  <si>
    <t>https://lulustream.com/d/pxnadt6w14ei</t>
  </si>
  <si>
    <t>#teens #blowjob #bigass #amateur</t>
  </si>
  <si>
    <t>https://thumb.tapecontent.net/thumb/eo0YA4XBRXCYqzY/OqjQWMAwvOtZl3g.jpg</t>
  </si>
  <si>
    <t>Stella Barey - 64932653 - FamilyTherapy.jpg</t>
  </si>
  <si>
    <t>https://doodstream.com/d/7od9t6g01k4f/</t>
  </si>
  <si>
    <t>https://lulustream.com/d/hr0qhr5ipijh</t>
  </si>
  <si>
    <t>#Hardcore, #Threesome, #Bigass, #Teen</t>
  </si>
  <si>
    <t>https://thumb.tapecontent.net/thumb/yPJjzajqaWh1LaA/GQdD0AYVPVt1zkR.jpg</t>
  </si>
  <si>
    <t>Stella Brooks - 23882974 - Onlyfans.jpg</t>
  </si>
  <si>
    <t>https://doodstream.com/d/0634svrp44tk/</t>
  </si>
  <si>
    <t>https://lulustream.com/d/xopfeidcb95x</t>
  </si>
  <si>
    <t>#MILF, #BigTits, #Hardcore, #Creampie</t>
  </si>
  <si>
    <t>https://thumb.tapecontent.net/thumb/vlRYKeXAkvf41Dw/0p204YWKoysgGa.jpg</t>
  </si>
  <si>
    <t>Stella Brooks - 30501504 - XVRED.jpg</t>
  </si>
  <si>
    <t>https://doodstream.com/d/ed1r5rhmjcqg/</t>
  </si>
  <si>
    <t>https://lulustream.com/d/hd71fy9a8fia</t>
  </si>
  <si>
    <t>#bigtits #creampie #hardcore #bigass</t>
  </si>
  <si>
    <t>https://thumb.tapecontent.net/thumb/12jgVeKXrJtee9X/jZYjMWelvgcz1Y3.jpg</t>
  </si>
  <si>
    <t>Stella Brooks - 59319855 - Onlyfans - Ivy Lebelle.jpg</t>
  </si>
  <si>
    <t>https://doodstream.com/d/1z2p6p0e0tmv/</t>
  </si>
  <si>
    <t>https://lulustream.com/d/76vdozpt3xuo</t>
  </si>
  <si>
    <t>https://thumb.tapecontent.net/thumb/VmB3lW1wKMFKWv3/6kZg2AAAvjhxdw.jpg</t>
  </si>
  <si>
    <t>Stella Brooks - 71192884 - XVRED.jpg</t>
  </si>
  <si>
    <t>https://doodstream.com/d/mcldvs09pi9h/</t>
  </si>
  <si>
    <t>https://lulustream.com/d/w6f1hy2li6j1</t>
  </si>
  <si>
    <t>https://thumb.tapecontent.net/thumb/AppLmxwWoDIXLRD/OdAea4p6DyHZZwJ.jpg</t>
  </si>
  <si>
    <t>Stella Brooks - 83024281 - Onlyfans.jpg</t>
  </si>
  <si>
    <t>https://doodstream.com/d/hc5r3qw280fx/</t>
  </si>
  <si>
    <t>https://lulustream.com/d/w0hfrvvf5dpj</t>
  </si>
  <si>
    <t>https://thumb.tapecontent.net/thumb/YWAR23J7dGHv4L9/17pkYex0GmseqZg.jpg</t>
  </si>
  <si>
    <t>Stella Brooks - 97821752 - Onlyfans.jpg</t>
  </si>
  <si>
    <t>https://doodstream.com/d/cotqmp1wcalq/</t>
  </si>
  <si>
    <t>https://lulustream.com/d/lue0qe7ittpr</t>
  </si>
  <si>
    <t>https://thumb.tapecontent.net/thumb/9XZrXXx0LOtyRJ/01Dgw4D9yeibbev.jpg</t>
  </si>
  <si>
    <t>Stella Luxx - 50248255 - Onlyfans.jpg</t>
  </si>
  <si>
    <t>https://doodstream.com/d/y8pkhzgjtlun/</t>
  </si>
  <si>
    <t>https://lulustream.com/d/2kle2vxrvrse</t>
  </si>
  <si>
    <t>https://thumb.tapecontent.net/thumb/XxD67dg84XCg8e/A3rWj0k4wksXAZX.jpg</t>
  </si>
  <si>
    <t>Stella Luxx - 60914314 - ripnsfw.com.jpg</t>
  </si>
  <si>
    <t>https://doodstream.com/d/hb4l1bih5tws/</t>
  </si>
  <si>
    <t>https://lulustream.com/d/g7mbcbkta34a</t>
  </si>
  <si>
    <t>#BigTits, #Hardcore, #Teen, #Deepthroat, #Amateur, #Blowjob</t>
  </si>
  <si>
    <t>#BigTits #Hardcore #Teen #Deepthroat #Amateur #Blowjob</t>
  </si>
  <si>
    <t>https://thumb.tapecontent.net/thumb/Vk4MDbJvjxCKKRk/Okbozwv1PpsZbzz.jpg</t>
  </si>
  <si>
    <t>Stella Luxx - 61119564 - Onlyfans.jpg</t>
  </si>
  <si>
    <t>https://doodstream.com/d/f9dxtblqr730/</t>
  </si>
  <si>
    <t>https://lulustream.com/d/48o2js4d7xit</t>
  </si>
  <si>
    <t>https://thumb.tapecontent.net/thumb/xbgGKWx2J6SkJMw/jO2OYWyQlYFzey6.jpg</t>
  </si>
  <si>
    <t>Stella Luxx - 94714864 - Blacked.jpg</t>
  </si>
  <si>
    <t>https://doodstream.com/d/vo74srer589x/</t>
  </si>
  <si>
    <t>https://lulustream.com/d/03kxksmf391z</t>
  </si>
  <si>
    <t>#BigTits, #Hardcore, #Black, #Porn</t>
  </si>
  <si>
    <t>#BigTits #Hardcore #Black #Porn</t>
  </si>
  <si>
    <t>https://thumb.tapecontent.net/thumb/jVwlMRGvBeIz8Rp/4mW8mmJApZsdL9.jpg</t>
  </si>
  <si>
    <t>Stephanie - 77688519 - ripnsfw.com.jpg</t>
  </si>
  <si>
    <t>https://doodstream.com/d/ol8jagprev1a/</t>
  </si>
  <si>
    <t>https://lulustream.com/d/nox7cvvqj4e4</t>
  </si>
  <si>
    <t>#MILF, #BigTits, #Creampie, #Hardcore, #Bigass, #Blowjob, #Porn</t>
  </si>
  <si>
    <t>#MILF #BigTits #Creampie #Hardcore #Bigass #Blowjob</t>
  </si>
  <si>
    <t>https://thumb.tapecontent.net/thumb/28Jmprakq7fZORQ/2WMXQvG3yoCZJbx.jpg</t>
  </si>
  <si>
    <t>Sugary Kitty - 18642191 - ripnsfw.com.jpg</t>
  </si>
  <si>
    <t>https://doodstream.com/d/sz89o9o99aax/</t>
  </si>
  <si>
    <t>https://lulustream.com/d/ngr6hayw7xha</t>
  </si>
  <si>
    <t>#Creampie, #Hardcore, #Teen, #Roleplay, #Blowjob, #Teens, #Artporn, #Amateur</t>
  </si>
  <si>
    <t>#Creampie #Hardcore #Teen #Roleplay #Blowjob</t>
  </si>
  <si>
    <t>https://thumb.tapecontent.net/thumb/qWGWxvR71gFzV4j/qD2o8Pzv9BCzeA4.jpg</t>
  </si>
  <si>
    <t>Summer Col - 69638452 - ripnsfw.com - Lena the plug.jpg</t>
  </si>
  <si>
    <t>https://doodstream.com/d/0r5dc1mhkkfl/</t>
  </si>
  <si>
    <t>https://lulustream.com/d/w7nn83koujt4</t>
  </si>
  <si>
    <t>#MILF, #BigTits, #Hardcore, #Threesome, #Blowjob, #Bigass, #Amateur, #Deepthroat, #Facial</t>
  </si>
  <si>
    <t>#MILF #BigTits #Hardcore #Threesome #Blowjob #Bigass #Amateur #Deepthroat</t>
  </si>
  <si>
    <t>https://thumb.tapecontent.net/thumb/x944l91jd4twmy/ewBemaMLyJcoBw.jpg</t>
  </si>
  <si>
    <t>Suzy Wilde - 81455937 - ripnsfw.com.jpg</t>
  </si>
  <si>
    <t>https://doodstream.com/d/22sucwowjsfv/</t>
  </si>
  <si>
    <t>https://lulustream.com/d/vcf1qsbyhg0f</t>
  </si>
  <si>
    <t>#Anal, #MILF, #BigTits, #Creampie, #Hardcore, #Bigass, #Porn, #Blowjob, #Deepthroat</t>
  </si>
  <si>
    <t>#Anal #MILF #BigTits #Creampie #Hardcore #Bigass #Porn</t>
  </si>
  <si>
    <t>https://thumb.tapecontent.net/thumb/2Kyg833RqjFZwoY/1qd9JPB1dlhembA.jpg</t>
  </si>
  <si>
    <t>Sweetie Fox - 14534690 - Onlyfans.jpg</t>
  </si>
  <si>
    <t>https://doodstream.com/d/u8ozgh1sa14k/</t>
  </si>
  <si>
    <t>https://lulustream.com/d/vl8a0z3i2fz5</t>
  </si>
  <si>
    <t>https://thumb.tapecontent.net/thumb/xXLV1bLB2MhkWw8/qyoBXv2YpGFwyA.jpg</t>
  </si>
  <si>
    <t>Sweetie Fox - 18070308 - ripnsfw.com.jpg</t>
  </si>
  <si>
    <t>https://doodstream.com/d/fnhjs3b1lz1e/</t>
  </si>
  <si>
    <t>https://lulustream.com/d/c7fcxhru9huu</t>
  </si>
  <si>
    <t>#BigTits, #Hardcore, #Bigass, #Teen, #Blowjob, #Amateur, #Deepthroat</t>
  </si>
  <si>
    <t>https://thumb.tapecontent.net/thumb/xo4qm4VMk4h0O3/x3Wwkkg83KUkLJk.jpg</t>
  </si>
  <si>
    <t>Sweetie Fox - 26093245 - Onlyfans.jpg</t>
  </si>
  <si>
    <t>https://doodstream.com/d/qv2zk9ciz2og/</t>
  </si>
  <si>
    <t>https://lulustream.com/d/htjk6y4ga8q5</t>
  </si>
  <si>
    <t>#creampie #bigtits #teen #blowjob</t>
  </si>
  <si>
    <t>https://thumb.tapecontent.net/thumb/WoOKoPL1Rvcb7XD/KLpYXMBlbjCD6D.jpg</t>
  </si>
  <si>
    <t>Sweetie Fox - 31273671 - ripnsfw.com.jpg</t>
  </si>
  <si>
    <t>https://doodstream.com/d/egp41i3efh0x/</t>
  </si>
  <si>
    <t>https://lulustream.com/d/fprxku3rmnoc</t>
  </si>
  <si>
    <t>#BigTits, #Hardcore, #Bigass, #Teen, #Roleplay, #Blowjob, #Amateur, #Deepthroat, #Blonde</t>
  </si>
  <si>
    <t>#BigTits #Hardcore #Bigass #Teen #Roleplay #Blowjob #Amateur</t>
  </si>
  <si>
    <t>https://thumb.tapecontent.net/thumb/PLkjDD3bMDH0aB0/Prw1L8bzxzF04Xk.jpg</t>
  </si>
  <si>
    <t>Sweetie Fox - 34904991 - Onlyfans - Octokuro.jpg</t>
  </si>
  <si>
    <t>https://doodstream.com/d/m15uw8niqc0i/</t>
  </si>
  <si>
    <t>https://lulustream.com/d/a4nhqwtvfhqi</t>
  </si>
  <si>
    <t>#bigtits #bigass #blowjob #pov</t>
  </si>
  <si>
    <t>https://thumb.tapecontent.net/thumb/Xybl8go8LRh3jo/2rLayyvBGviZ34M.jpg</t>
  </si>
  <si>
    <t>Sweetie Fox - 35718365 - ripnsfw.com.jpg</t>
  </si>
  <si>
    <t>https://doodstream.com/d/7k46yndieb5k/</t>
  </si>
  <si>
    <t>https://lulustream.com/d/cm7emcauexjy</t>
  </si>
  <si>
    <t>#BigTits, #Hardcore, #Bigass, #Teen, #Blowjob, #Amateur, #Facial</t>
  </si>
  <si>
    <t>https://thumb.tapecontent.net/thumb/AP0K9m1QzWFXoV1/0BDXVLldkDtbdk1.jpg</t>
  </si>
  <si>
    <t>Sweetie Fox - 39327044 - Onlyfans.jpg</t>
  </si>
  <si>
    <t>https://doodstream.com/d/6qh83qqi3gb7/</t>
  </si>
  <si>
    <t>https://lulustream.com/d/qk2h33w8zuxr</t>
  </si>
  <si>
    <t>#bigtits #teen #bigass #blowjob</t>
  </si>
  <si>
    <t>https://thumb.tapecontent.net/thumb/9Bp6KwbJOxSY6w/G6Q74xbl0JF1rgL.jpg</t>
  </si>
  <si>
    <t>Sweetie Fox - 41562688 - Onlyfans.jpg</t>
  </si>
  <si>
    <t>https://doodstream.com/d/3in3axgq91b1/</t>
  </si>
  <si>
    <t>https://lulustream.com/d/pjvm8z3uilf7</t>
  </si>
  <si>
    <t>#bigass #blowjob #teen #bigtits</t>
  </si>
  <si>
    <t>https://thumb.tapecontent.net/thumb/RWkd6K6W8GCdljW/XbpZ1bLMZwsAqr.jpg</t>
  </si>
  <si>
    <t>Sweetie Fox - 49496648 - Onlyfans.jpg</t>
  </si>
  <si>
    <t>https://doodstream.com/d/bznh9myepbde/</t>
  </si>
  <si>
    <t>https://lulustream.com/d/qz15lmn3jrby</t>
  </si>
  <si>
    <t>https://thumb.tapecontent.net/thumb/LJpv217OVgI6mQ/B4z0mgAXa1fyooQ.jpg</t>
  </si>
  <si>
    <t>Sweetie Fox - 52485798 - ripnsfw.com.jpg</t>
  </si>
  <si>
    <t>https://doodstream.com/d/wyyyve1su6mi/</t>
  </si>
  <si>
    <t>https://lulustream.com/d/5nr8kcwy5hyc</t>
  </si>
  <si>
    <t>https://thumb.tapecontent.net/thumb/YyGrzVW4yxSv0Dv/0WJZlYjVK8cKeZ.jpg</t>
  </si>
  <si>
    <t>Sweetie Fox - 53610530 - Onlyfans.jpg</t>
  </si>
  <si>
    <t>https://doodstream.com/d/ev86i34dsdem/</t>
  </si>
  <si>
    <t>https://lulustream.com/d/kuoqm7d1cqf3</t>
  </si>
  <si>
    <t>#bigtits #hardcore #bigass #teen</t>
  </si>
  <si>
    <t>https://thumb.tapecontent.net/thumb/PLWrkQZMYZtb0k/MPg8o4v4kgFmbMM.jpg</t>
  </si>
  <si>
    <t>Sweetie Fox - 57886292 - ripnsfw.com.jpg</t>
  </si>
  <si>
    <t>https://doodstream.com/d/5xhqszw5o7yq/</t>
  </si>
  <si>
    <t>https://lulustream.com/d/w4bt2dj52cg7</t>
  </si>
  <si>
    <t>#BigTits, #Hardcore, #Bigass, #Teen, #Roleplay, #Blowjob, #Amateur, #Hotwife, #Deepthroat</t>
  </si>
  <si>
    <t>#BigTits #Hardcore #Bigass #Teen #Roleplay #Blowjob</t>
  </si>
  <si>
    <t>https://thumb.tapecontent.net/thumb/gozpy6Q7lVcv4G/jAaj6KGYX8tDDP.jpg</t>
  </si>
  <si>
    <t>Sweetie Fox - 59555739 - Onlyfans.jpg</t>
  </si>
  <si>
    <t>https://doodstream.com/d/mq6swxs6zddp/</t>
  </si>
  <si>
    <t>https://lulustream.com/d/8hcso2zusg94</t>
  </si>
  <si>
    <t>https://thumb.tapecontent.net/thumb/LYBvzZ7JyDHRr6g/GP2qJOQrM6u1e4a.jpg</t>
  </si>
  <si>
    <t>Sweetie Fox - 63836083 - Onlyfans.jpg</t>
  </si>
  <si>
    <t>https://doodstream.com/d/hcv7smc0p48y/</t>
  </si>
  <si>
    <t>https://lulustream.com/d/fsku1czuv41y</t>
  </si>
  <si>
    <t>https://thumb.tapecontent.net/thumb/wGJkK3jwQpievk/QaMRz6m13PU06GB.jpg</t>
  </si>
  <si>
    <t>Sweetie Fox - 77006221 - Onlyfans.jpg</t>
  </si>
  <si>
    <t>https://doodstream.com/d/nwbfif6k4r9e/</t>
  </si>
  <si>
    <t>https://lulustream.com/d/7q8x854enlt1</t>
  </si>
  <si>
    <t>https://thumb.tapecontent.net/thumb/Wbr0Y3BV6kib8AX/Xyz22YPQXYSzrq.jpg</t>
  </si>
  <si>
    <t>Sweetie Fox - 83234134 - Onlyfans.jpg</t>
  </si>
  <si>
    <t>https://doodstream.com/d/sv1tmbi95cui/</t>
  </si>
  <si>
    <t>https://lulustream.com/d/70bdvdoht5pg</t>
  </si>
  <si>
    <t>#BigTits, #Hardcore, #Bigass, #Teen, #Roleplay, #Artporn, #Blowjob, #Amateur, #Deepthroat</t>
  </si>
  <si>
    <t>#BigTits #Hardcore #Bigass #Teen #Roleplay #Artporn</t>
  </si>
  <si>
    <t>https://thumb.tapecontent.net/thumb/lWaA81qoJ0i706Z/mQ8g1jdzeJUbwjG.jpg</t>
  </si>
  <si>
    <t>Sweetie Fox - 85780578 - Onlyfans.jpg</t>
  </si>
  <si>
    <t>https://doodstream.com/d/65cpszihavha/</t>
  </si>
  <si>
    <t>https://lulustream.com/d/vkwamtsx8jub</t>
  </si>
  <si>
    <t>https://thumb.tapecontent.net/thumb/DomMrzz1v8uwde/vPvAyLzjkPibDd.jpg</t>
  </si>
  <si>
    <t>Sweetie Fox - 89708658 - Onlyfans.jpg</t>
  </si>
  <si>
    <t>https://doodstream.com/d/wmoznhomuseg/</t>
  </si>
  <si>
    <t>https://lulustream.com/d/wv28ai2dzitc</t>
  </si>
  <si>
    <t>#teens #bigtits #blowjob #bigass</t>
  </si>
  <si>
    <t>https://thumb.tapecontent.net/thumb/xXbxDrgjDeTkb1d/0Wv0dyAyROUb4xq.jpg</t>
  </si>
  <si>
    <t>Sweetie Fox - 93425687 - ripnsfw.com.jpg</t>
  </si>
  <si>
    <t>https://doodstream.com/d/69s4wozufhq0/</t>
  </si>
  <si>
    <t>https://lulustream.com/d/4etrcr0vurfd</t>
  </si>
  <si>
    <t>#BigTits, #Hardcore, #Bigass, #Teen, #Blowjob, #Roleplay, #Amateur, #Deepthroat</t>
  </si>
  <si>
    <t>#BigTits #Hardcore #Bigass #Teen #Blowjob #Roleplay #Amateur #Deepthroat</t>
  </si>
  <si>
    <t>https://thumb.tapecontent.net/thumb/Bq4XqGXvBwCyyzP/MzaOZYgdaBiDxJ.jpg</t>
  </si>
  <si>
    <t>Sweetie Fox - 97460514 - ripnsfw.com.jpg</t>
  </si>
  <si>
    <t>https://doodstream.com/d/tf098wgzhabc/</t>
  </si>
  <si>
    <t>https://lulustream.com/d/ebxwj2aptfr0</t>
  </si>
  <si>
    <t>https://thumb.tapecontent.net/thumb/1qxAoQzayotpd7/j4owZ8bddaCzjKB.jpg</t>
  </si>
  <si>
    <t>Tessa - 55037351 - BackroomCastingCouch.jpg</t>
  </si>
  <si>
    <t>https://doodstream.com/d/st70yg8ybbht/</t>
  </si>
  <si>
    <t>https://lulustream.com/d/kexjnplli0pt</t>
  </si>
  <si>
    <t>#anal #blowjob #blonde #casting</t>
  </si>
  <si>
    <t>https://thumb.tapecontent.net/thumb/R6b4V7qqpgHJ6K/8XqwL7zYWMTl6w.jpg</t>
  </si>
  <si>
    <t>TheDanDangler - 12824636 - Onlyfans - Angela White.jpg</t>
  </si>
  <si>
    <t>https://doodstream.com/d/3skqimkf72uy/</t>
  </si>
  <si>
    <t>https://lulustream.com/d/il81k0isycz0</t>
  </si>
  <si>
    <t>https://thumb.tapecontent.net/thumb/JWgPWar3qDIjLmB/J36LW6ejPGUjqJ7.jpg</t>
  </si>
  <si>
    <t>TheDanDangler - 17642971 - Onlyfans - Kayla Lea.jpg</t>
  </si>
  <si>
    <t>https://doodstream.com/d/jdfj7u14f02b/</t>
  </si>
  <si>
    <t>https://lulustream.com/d/yssap7wywxwt</t>
  </si>
  <si>
    <t>#interracial #threesome #bigass #bigtits</t>
  </si>
  <si>
    <t>https://thumb.tapecontent.net/thumb/PrxZ9BgMOGHA7G/MxV3GbJBaqCmaL3.jpg</t>
  </si>
  <si>
    <t>TheDanDangler - 22869286 - Onlyfans.jpg</t>
  </si>
  <si>
    <t>https://doodstream.com/d/gfo3ijhhepmq/</t>
  </si>
  <si>
    <t>https://lulustream.com/d/fciw0d0wx34l</t>
  </si>
  <si>
    <t>https://thumb.tapecontent.net/thumb/d3AxKW2rx9hkK2j/LpMdRbRbX0FR1v7.jpg</t>
  </si>
  <si>
    <t>TheDanDangler - 41207150 - Onlyfans.jpg</t>
  </si>
  <si>
    <t>https://doodstream.com/d/fyl56peuqf27/</t>
  </si>
  <si>
    <t>https://lulustream.com/d/oskcd78dflax</t>
  </si>
  <si>
    <t>https://thumb.tapecontent.net/thumb/g0JO7XVAZptq0w4/rbQem7advOFbJDb.jpg</t>
  </si>
  <si>
    <t>TheDanDangler - 52688320 - PB.jpg</t>
  </si>
  <si>
    <t>https://doodstream.com/d/63z8wb9mrpb6/</t>
  </si>
  <si>
    <t>https://lulustream.com/d/0of288be0ker</t>
  </si>
  <si>
    <t>https://thumb.tapecontent.net/thumb/P98mb7q7R0hgqR/waJBLD0KpJHGye.jpg</t>
  </si>
  <si>
    <t>TheDanDangler - 55519215 - Onlyfans.jpg</t>
  </si>
  <si>
    <t>https://doodstream.com/d/ndxayogzkfnc/</t>
  </si>
  <si>
    <t>https://lulustream.com/d/k300irbe2ati</t>
  </si>
  <si>
    <t>https://thumb.tapecontent.net/thumb/op4yqkKJKVfJ2mV/8J34A1Wvy3SlMB.jpg</t>
  </si>
  <si>
    <t>TheDanDangler - 62022952 - Onlyfans.jpg</t>
  </si>
  <si>
    <t>https://doodstream.com/d/oy25h044hxpp/</t>
  </si>
  <si>
    <t>https://lulustream.com/d/9i518lxy38qf</t>
  </si>
  <si>
    <t>#blowjob #bigass #bigtits #milf</t>
  </si>
  <si>
    <t>https://thumb.tapecontent.net/thumb/RpeLbpMMbdSJLR/wzYg4lvYJ9FJJv4.jpg</t>
  </si>
  <si>
    <t>TheDanDangler - 63370343 - Onlyfans - Lena the plug.jpg</t>
  </si>
  <si>
    <t>https://doodstream.com/d/izyh4kpa1ilo/</t>
  </si>
  <si>
    <t>https://lulustream.com/d/fch74q6v61x1</t>
  </si>
  <si>
    <t>https://thumb.tapecontent.net/thumb/4dx8B791wPFKgMB/9b7ZxRLzd8I9lL.jpg</t>
  </si>
  <si>
    <t>TheDanDangler - 69507662 - Onlyfans - Violet Myers.jpg</t>
  </si>
  <si>
    <t>https://doodstream.com/d/s4ek0gn1cyny/</t>
  </si>
  <si>
    <t>https://lulustream.com/d/zgxuldmxzbn9</t>
  </si>
  <si>
    <t>https://thumb.tapecontent.net/thumb/xvvawLy6eYhq8m/oxKD2dlKJVUJzao.jpg</t>
  </si>
  <si>
    <t>TheDanDangler - 75016114 - Onlyfans.jpg</t>
  </si>
  <si>
    <t>https://doodstream.com/d/ynnlpptojoqs/</t>
  </si>
  <si>
    <t>https://lulustream.com/d/r5ejl2w5b76u</t>
  </si>
  <si>
    <t>#threesome #interracial #bigtits #bigass</t>
  </si>
  <si>
    <t>https://thumb.tapecontent.net/thumb/b3goaryzQ9uP8XA/L2kpvgzBdeHR1LV.jpg</t>
  </si>
  <si>
    <t>TheDanDangler - 75377053 - Onlyfans.jpg</t>
  </si>
  <si>
    <t>https://doodstream.com/d/8zzkazodoahl/</t>
  </si>
  <si>
    <t>https://lulustream.com/d/dco8m4d1sfrz</t>
  </si>
  <si>
    <t>https://thumb.tapecontent.net/thumb/2VwBJDzbDmiZ3ka/laKbrYw6k7fdb4.jpg</t>
  </si>
  <si>
    <t>TheDanDangler - 80371557 - Onlyfans - Violet Myers - Roxie Sinner - Connie Perignon.jpg</t>
  </si>
  <si>
    <t>https://doodstream.com/d/dqt12h3dmytn/</t>
  </si>
  <si>
    <t>https://lulustream.com/d/6g7brq3l9pq4</t>
  </si>
  <si>
    <t>#orgy #bigtits #blowjob #bigass</t>
  </si>
  <si>
    <t>https://thumb.tapecontent.net/thumb/m66xYJoYDJFbKL4/ZX1Agl1YjxTqQrg.jpg</t>
  </si>
  <si>
    <t>TheDanDangler - 81270185 - ripnsfw.com.jpg</t>
  </si>
  <si>
    <t>https://doodstream.com/d/njlvv0ssq6xd/</t>
  </si>
  <si>
    <t>https://lulustream.com/d/m7lzj7foti8z</t>
  </si>
  <si>
    <t>#MILF, #BigTits, #Hardcore, #Black, #Interracial, #Bigass, #Blowjob, #Amateur, #Blonde</t>
  </si>
  <si>
    <t>#MILF #BigTits #Hardcore #Black #Interracial #Bigass #Blowjob #Amateur #Blonde</t>
  </si>
  <si>
    <t>https://thumb.tapecontent.net/thumb/oMAzjXZ6betJyZv/ydjzMA34zyC1zjM.jpg</t>
  </si>
  <si>
    <t>TheDanDangler - 82758099 - Chaturbate - JackandJill.jpg</t>
  </si>
  <si>
    <t>https://doodstream.com/d/fdhf741s03lz/</t>
  </si>
  <si>
    <t>https://lulustream.com/d/it9dce1iw5xf</t>
  </si>
  <si>
    <t>#blonde #threesome #bigtits #bigass</t>
  </si>
  <si>
    <t>https://thumb.tapecontent.net/thumb/WP6oPLKLe0Hb323/YZo1aBOvD3upAP.jpg</t>
  </si>
  <si>
    <t>TheDanDangler - 99244604 - Onlyfans.jpg</t>
  </si>
  <si>
    <t>https://doodstream.com/d/2te074i1z541/</t>
  </si>
  <si>
    <t>https://lulustream.com/d/c09qgpzah36e</t>
  </si>
  <si>
    <t>https://thumb.tapecontent.net/thumb/4X1db94JjOiKM64/2rko7moKOvuZyGw.jpg</t>
  </si>
  <si>
    <t>TheDanDangler - 99921056 - ripnsfw.com.jpg</t>
  </si>
  <si>
    <t>https://doodstream.com/d/bwzlazo7fpti/</t>
  </si>
  <si>
    <t>https://lulustream.com/d/j53tzbh8ea02</t>
  </si>
  <si>
    <t>#MILF #BigTits #Hardcore #Black #Interracial #Bigass #Porn</t>
  </si>
  <si>
    <t>https://thumb.tapecontent.net/thumb/ZaLkJrbgwRIB78/7Xg7m0LYXVCAl0a.jpg</t>
  </si>
  <si>
    <t>Theodora - 61002102 - BackroomCastingCouch.jpg</t>
  </si>
  <si>
    <t>https://doodstream.com/d/05xa23ne8w8z/</t>
  </si>
  <si>
    <t>https://lulustream.com/d/cmkywxrfrr6l</t>
  </si>
  <si>
    <t>#BigTits, #Casting, #Creampie, #Hardcore</t>
  </si>
  <si>
    <t>#BigTits #Casting #Creampie #Hardcore</t>
  </si>
  <si>
    <t>https://thumb.tapecontent.net/thumb/jqxJVJkveYILzg/1x0jlRMr0YIeqWb.jpg</t>
  </si>
  <si>
    <t>Tru Kait - 13048826 - Onlyfans.jpg</t>
  </si>
  <si>
    <t>https://doodstream.com/d/xtewm7pxkfj8/</t>
  </si>
  <si>
    <t>https://lulustream.com/d/rn83st7vxf0t</t>
  </si>
  <si>
    <t>#bigtits #bigass #blowjob #brunette</t>
  </si>
  <si>
    <t>https://thumb.tapecontent.net/thumb/oQAlQwW8OwHOp8/kgOv3KbaP3CDKA.jpg</t>
  </si>
  <si>
    <t>Tru Kait - 27617508 - ripnsfw.com.jpg</t>
  </si>
  <si>
    <t>https://doodstream.com/d/zvz8rpvzxls4/</t>
  </si>
  <si>
    <t>https://lulustream.com/d/ue7nib90071z</t>
  </si>
  <si>
    <t>#MILF #BigTits #Hardcore #Bigass #Blowjob #Amateur #Facial</t>
  </si>
  <si>
    <t>https://thumb.tapecontent.net/thumb/41x0PBPR3Qc2eg/GPbmMdkzVbi17Q0.jpg</t>
  </si>
  <si>
    <t>Tru Kait - 35274187 - ripnsfw.com.jpg</t>
  </si>
  <si>
    <t>https://doodstream.com/d/9n6smx2ag0et/</t>
  </si>
  <si>
    <t>https://lulustream.com/d/ki084q25kbej</t>
  </si>
  <si>
    <t>#MILF, #BigTits, #Hardcore, #Bigass, #Latina, #Blowjob, #Amateur, #Deepthroat</t>
  </si>
  <si>
    <t>https://thumb.tapecontent.net/thumb/mPQoG9YlyqcbqWg/7B9RQDKVp8IADwA.jpg</t>
  </si>
  <si>
    <t>Tru Kait - 60340999 - Onlyfans - Elle Brooke.jpg</t>
  </si>
  <si>
    <t>https://doodstream.com/d/eiv13rnbx71g/</t>
  </si>
  <si>
    <t>https://lulustream.com/d/i6nr7x4814p9</t>
  </si>
  <si>
    <t>https://thumb.tapecontent.net/thumb/wV746XAKqbIJM9L/v2GLq61Ll1IJg7.jpg</t>
  </si>
  <si>
    <t>Tru Kait - 64359273 - Onlyfans.jpg</t>
  </si>
  <si>
    <t>https://doodstream.com/d/9yjdadw5v99b/</t>
  </si>
  <si>
    <t>https://lulustream.com/d/ki0yx2n5sncp</t>
  </si>
  <si>
    <t>#blowjob #milf #bigtits #pov</t>
  </si>
  <si>
    <t>https://thumb.tapecontent.net/thumb/0RjA88PmvATm7O/R9WVlooGvxHXAg.jpg</t>
  </si>
  <si>
    <t>Tru Kait - 69147960 - Onlyfans.jpg</t>
  </si>
  <si>
    <t>https://doodstream.com/d/om1cjy4i3fve/</t>
  </si>
  <si>
    <t>https://lulustream.com/d/rv8ub73pxcgx</t>
  </si>
  <si>
    <t>https://thumb.tapecontent.net/thumb/JpqLoeq94AFj3DZ/qJDkMBWMWaUa2o.jpg</t>
  </si>
  <si>
    <t>Tru Kait - 96724229 - Onlyfans - Hayley Davies.jpg</t>
  </si>
  <si>
    <t>https://doodstream.com/d/0l1k5givv8db/</t>
  </si>
  <si>
    <t>https://lulustream.com/d/vxcanc23t9gb</t>
  </si>
  <si>
    <t>https://thumb.tapecontent.net/thumb/1PRYJ047XoFeadw/bgPKAozYrvuPw1x.jpg</t>
  </si>
  <si>
    <t>Valentina Nappi - 11582220 - Onlyfans.jpg</t>
  </si>
  <si>
    <t>https://doodstream.com/d/tb3curglycv9/</t>
  </si>
  <si>
    <t>https://lulustream.com/d/fxu0n1edhpou</t>
  </si>
  <si>
    <t>#creampie #milf #blowjob #bigass</t>
  </si>
  <si>
    <t>https://thumb.tapecontent.net/thumb/QJ9ypmv7b8C0DAQ/zDJYoK8ZwBhYa8k.jpg</t>
  </si>
  <si>
    <t>Valentina Nappi - 18075203 - Onlyfans - Violet Starr.jpg</t>
  </si>
  <si>
    <t>https://doodstream.com/d/hppwlwlygliv/</t>
  </si>
  <si>
    <t>https://lulustream.com/d/zpejen2os007</t>
  </si>
  <si>
    <t>https://thumb.tapecontent.net/thumb/9WOV0LQRPeIaryV/Bvl0V9YgdOtypd1.jpg</t>
  </si>
  <si>
    <t>Valentina Nappi - 22365103 - Onlyfans.jpg</t>
  </si>
  <si>
    <t>https://doodstream.com/d/1ecko0rxs8yd/</t>
  </si>
  <si>
    <t>https://lulustream.com/d/tuwjmlp0aqxc</t>
  </si>
  <si>
    <t>https://thumb.tapecontent.net/thumb/xrdey7bqdZiQR2/P6OXAmaoD6h06kR.jpg</t>
  </si>
  <si>
    <t>Valentina Nappi - 25551660 - ripnsfw.com.jpg</t>
  </si>
  <si>
    <t>https://doodstream.com/d/zmhdcfmsq8jn/</t>
  </si>
  <si>
    <t>https://lulustream.com/d/kpqotxup82x3</t>
  </si>
  <si>
    <t>#MILF #BigTits #Hardcore #Black #Interracial #Bigass #Porn #Blowjob</t>
  </si>
  <si>
    <t>https://thumb.tapecontent.net/thumb/qD9qa3X91aUzXpw/rDz9ZaXqK9f3xo.jpg</t>
  </si>
  <si>
    <t>Valentina Nappi - 30306316 - Onlyfans.jpg</t>
  </si>
  <si>
    <t>https://doodstream.com/d/8i7nvwr58v0t/</t>
  </si>
  <si>
    <t>https://lulustream.com/d/ly18xxphau8x</t>
  </si>
  <si>
    <t>#anal #milf #bigtits #threesome</t>
  </si>
  <si>
    <t>https://thumb.tapecontent.net/thumb/k02q2Lalp1IOv3Q/6RpgRaqoMzC93Lq.jpg</t>
  </si>
  <si>
    <t>Valentina Nappi - 31083478 - Deeper - Gal Ritchie - Chanel Camryn.jpg</t>
  </si>
  <si>
    <t>https://doodstream.com/d/okpx79z1khky/</t>
  </si>
  <si>
    <t>https://lulustream.com/d/rhoket13hei2</t>
  </si>
  <si>
    <t>https://thumb.tapecontent.net/thumb/xe7aPKbL9ysjwP/08YoKLYqQXImoR.jpg</t>
  </si>
  <si>
    <t>Valentina Nappi - 32729334 - Onlyfans.jpg</t>
  </si>
  <si>
    <t>https://doodstream.com/d/3smwh4uzntca/</t>
  </si>
  <si>
    <t>https://lulustream.com/d/s5cddseui5kr</t>
  </si>
  <si>
    <t>https://thumb.tapecontent.net/thumb/ml1vwDMA0bIbYYe/WyOJkjB7BgSR0O.jpg</t>
  </si>
  <si>
    <t>Valentina Nappi - 35990230 - Tushy.jpg</t>
  </si>
  <si>
    <t>https://doodstream.com/d/bckbyiqqp3au/</t>
  </si>
  <si>
    <t>https://lulustream.com/d/asban2muqd2k</t>
  </si>
  <si>
    <t>https://thumb.tapecontent.net/thumb/pxwLVWDzx1tr87L/x38aPrlwmDTkAjg.jpg</t>
  </si>
  <si>
    <t>Valentina Nappi - 41448076 - Onlyfans.jpg</t>
  </si>
  <si>
    <t>https://doodstream.com/d/k85nucgmv6s1/</t>
  </si>
  <si>
    <t>https://lulustream.com/d/5137p22w63kh</t>
  </si>
  <si>
    <t>https://thumb.tapecontent.net/thumb/8OpyvdqXlxsJAB/dQGrromja7ikL7P.jpg</t>
  </si>
  <si>
    <t>Valentina Nappi - 48112568 - ripnsfw.com.jpg</t>
  </si>
  <si>
    <t>https://doodstream.com/d/k3pzx6qmdthn/</t>
  </si>
  <si>
    <t>https://lulustream.com/d/w3oqs023oc6i</t>
  </si>
  <si>
    <t>https://thumb.tapecontent.net/thumb/k9gAArzxpyFO44M/WqKG22VDK8TQZV.jpg</t>
  </si>
  <si>
    <t>Valentina Nappi - 56651761 - Onlyfans - Violet Myers.jpg</t>
  </si>
  <si>
    <t>https://doodstream.com/d/jn2pf4t4djfn/</t>
  </si>
  <si>
    <t>https://lulustream.com/d/c3pupgxh8lbm</t>
  </si>
  <si>
    <t>#bigtits #milf #lesbian #bigass</t>
  </si>
  <si>
    <t>https://thumb.tapecontent.net/thumb/zrBBWRA2e2sYPZb/LYJ8q9BzDKIR1ar.jpg</t>
  </si>
  <si>
    <t>Valentina Nappi - 58549865 - Onlyfans.jpg</t>
  </si>
  <si>
    <t>https://doodstream.com/d/mvvpk3565cl3/</t>
  </si>
  <si>
    <t>https://lulustream.com/d/zxtbetupzeli</t>
  </si>
  <si>
    <t>#milf #pov #blowjob #facial</t>
  </si>
  <si>
    <t>https://thumb.tapecontent.net/thumb/Vz80ZadorgSPyk/jk4LlMgbvGHzjXZ.jpg</t>
  </si>
  <si>
    <t>Valentina Nappi - 62527848 - Onlyfans.jpg</t>
  </si>
  <si>
    <t>https://doodstream.com/d/khoodc0vvapo/</t>
  </si>
  <si>
    <t>https://lulustream.com/d/wsqz5qqf7q9k</t>
  </si>
  <si>
    <t>#milf #interracial #blowjob #bigass</t>
  </si>
  <si>
    <t>https://thumb.tapecontent.net/thumb/Pvwr2QQo2YU0q1Q/7P3wx6br1KHA3VG.jpg</t>
  </si>
  <si>
    <t>Valentina Nappi - 62934399 - Onlyfans.jpg</t>
  </si>
  <si>
    <t>https://doodstream.com/d/z1q0hxpl4iri/</t>
  </si>
  <si>
    <t>https://lulustream.com/d/q77run5v6y51</t>
  </si>
  <si>
    <t>https://thumb.tapecontent.net/thumb/dpBg1bb6xGhkW7K/lWwaRWY2B7U7qDj.jpg</t>
  </si>
  <si>
    <t>Valentina Nappi - 64759953 - EvilAngel.jpg</t>
  </si>
  <si>
    <t>https://doodstream.com/d/iq2lokpu35ck/</t>
  </si>
  <si>
    <t>https://lulustream.com/d/sr8ooxyd8y7k</t>
  </si>
  <si>
    <t>#anal #milf #interracial #bigass</t>
  </si>
  <si>
    <t>https://thumb.tapecontent.net/thumb/4BaLplJd0VTKPmj/VrdXrq6rKBuKpr4.jpg</t>
  </si>
  <si>
    <t>Valentina Nappi - 69894279 - ripnsfw.com.jpg</t>
  </si>
  <si>
    <t>https://doodstream.com/d/r49sg3e0g4ry/</t>
  </si>
  <si>
    <t>https://lulustream.com/d/b3i7yoales0m</t>
  </si>
  <si>
    <t>#MILF, #BigTits, #Hardcore, #Black, #Interracial, #Bigass, #Porn, #Blowjob, #Deepthroat, #Facial</t>
  </si>
  <si>
    <t>https://thumb.tapecontent.net/thumb/eakYVb7D7yIoOV/rD0qwlRKWafbw30.jpg</t>
  </si>
  <si>
    <t>Valentina Nappi - 71950480 - JSTV.jpg</t>
  </si>
  <si>
    <t>https://doodstream.com/d/s8p7w16ar5qw/</t>
  </si>
  <si>
    <t>https://lulustream.com/d/995vhdt3g9wu</t>
  </si>
  <si>
    <t>#milf #interracial #bigass #bigtits</t>
  </si>
  <si>
    <t>https://thumb.tapecontent.net/thumb/lA36RReLBAS7q3M/8d36bBGzbdtMRV.jpg</t>
  </si>
  <si>
    <t>Valentina Nappi - 78831902 - PB - Cherie Deville - Kayley Gunner - Yasmina Khan - Luna Star - Sara Retali.jpg</t>
  </si>
  <si>
    <t>https://doodstream.com/d/ni3fx0wyqsli/</t>
  </si>
  <si>
    <t>https://lulustream.com/d/ktko06xewvdf</t>
  </si>
  <si>
    <t>https://thumb.tapecontent.net/thumb/wy13AR77ylUJ7P4/YqJdJwQ06LFvX7P.jpg</t>
  </si>
  <si>
    <t>Valentina Nappi - 84238758 - MP.jpg</t>
  </si>
  <si>
    <t>https://doodstream.com/d/9fxpxsdwt6l0/</t>
  </si>
  <si>
    <t>https://lulustream.com/d/u4sndoe6uzvt</t>
  </si>
  <si>
    <t>#milf #pov #blowjob #bigtits</t>
  </si>
  <si>
    <t>https://thumb.tapecontent.net/thumb/Ye4vjGL91ZhvD7j/brQ8Q2Ral8TPrbw.jpg</t>
  </si>
  <si>
    <t>Valentina Nappi - 87322396 - ripnsfw.com.jpg</t>
  </si>
  <si>
    <t>https://doodstream.com/d/15oo1p2v4g6x/</t>
  </si>
  <si>
    <t>https://lulustream.com/d/wy9j30e21s0f</t>
  </si>
  <si>
    <t>https://thumb.tapecontent.net/thumb/x1g0YorzDgUkKQ1/jrWxygOAkKTzpoW.jpg</t>
  </si>
  <si>
    <t>Valentina Nappi - 90064549 - PornWorld.jpg</t>
  </si>
  <si>
    <t>https://doodstream.com/d/39vr2icmue30/</t>
  </si>
  <si>
    <t>https://lulustream.com/d/vrerd26g5sj2</t>
  </si>
  <si>
    <t>#MILF, #BigTits, #Hardcore, #Bigass, #Porn, #Stepmom, #Blowjob, #Hotwife, #Deepthroat, #Facial</t>
  </si>
  <si>
    <t>#MILF #BigTits #Hardcore #Bigass #Porn #Stepmom #Blowjob #Hotwife</t>
  </si>
  <si>
    <t>https://thumb.tapecontent.net/thumb/eYda3WZeA3UmW2/yGZQygJeo8FmP8.jpg</t>
  </si>
  <si>
    <t>Valentina Nappi - 98211643 - JSTV - Agatha Vega.jpg</t>
  </si>
  <si>
    <t>https://doodstream.com/d/jipbex2n9mae/</t>
  </si>
  <si>
    <t>https://lulustream.com/d/9qbm68pc6btj</t>
  </si>
  <si>
    <t>https://thumb.tapecontent.net/thumb/Kz4ZqBJGo9C01dP/vKrJKxLj7Qc4XLg.jpg</t>
  </si>
  <si>
    <t>Valentina Nappi - 98931095 - Onlyfans.jpg</t>
  </si>
  <si>
    <t>https://doodstream.com/d/k9x9velsp1cy/</t>
  </si>
  <si>
    <t>https://lulustream.com/d/i47ec2j11qzt</t>
  </si>
  <si>
    <t>#milf #interracial #bigass #blowjob</t>
  </si>
  <si>
    <t>https://thumb.tapecontent.net/thumb/BeKegeRAZmFK4q/PrO73e71Wau02eX.jpg</t>
  </si>
  <si>
    <t>Valentine Vixen - 67153144 - ripnsfw.com - Lena the plug.jpg</t>
  </si>
  <si>
    <t>https://doodstream.com/d/hx0dujovxq1o/</t>
  </si>
  <si>
    <t>https://lulustream.com/d/ywexwux3n4f1</t>
  </si>
  <si>
    <t>https://thumb.tapecontent.net/thumb/WZly8ex0A7FbzPP/pbVrW9ZmgYfrQyK.jpg</t>
  </si>
  <si>
    <t>Valentine Vixen - 80195094 - Onlyfans.jpg</t>
  </si>
  <si>
    <t>https://doodstream.com/d/svh8yz1h10zr/</t>
  </si>
  <si>
    <t>https://lulustream.com/d/y61h47wekycw</t>
  </si>
  <si>
    <t>#MILF, #BigTits, #Hardcore, #Black, #Interracial, #Bigass, #Blowjob, #Amateur, #Hotwife, #Deepthroat</t>
  </si>
  <si>
    <t>https://thumb.tapecontent.net/thumb/bGz77XYXd2TP1Vq/dZkRAGaax4Ck8vW.jpg</t>
  </si>
  <si>
    <t>Valerica Steele - 17080532 - Onlyfans.jpg</t>
  </si>
  <si>
    <t>https://doodstream.com/d/ufgs65r35l60/</t>
  </si>
  <si>
    <t>https://lulustream.com/d/snty3a9doxvy</t>
  </si>
  <si>
    <t>https://thumb.tapecontent.net/thumb/pgr0A717J1Cr3z4/1D4dQ3bxy4CeYpM.jpg</t>
  </si>
  <si>
    <t>Valerica Steele - 21782896 - Onlyfans.jpg</t>
  </si>
  <si>
    <t>https://doodstream.com/d/x0hvh9tohfh8/</t>
  </si>
  <si>
    <t>https://lulustream.com/d/ewuyyv3ki13g</t>
  </si>
  <si>
    <t>#teen #bigtits #blowjob #piss</t>
  </si>
  <si>
    <t>https://thumb.tapecontent.net/thumb/6jWp49zrJAc93Op/VPQzvdBaZ7CxaM.jpg</t>
  </si>
  <si>
    <t>Valerica Steele - 33990394 - PB.jpg</t>
  </si>
  <si>
    <t>https://doodstream.com/d/hsi8qfulb760/</t>
  </si>
  <si>
    <t>https://lulustream.com/d/17osyv1mt1nl</t>
  </si>
  <si>
    <t>#blowjob #threesome #bigtits #teen</t>
  </si>
  <si>
    <t>https://thumb.tapecontent.net/thumb/Kel6VKxJXLS0Qlm/KAD9GgdGgbUjG0.jpg</t>
  </si>
  <si>
    <t>Valerica Steele - 35896064 - Onlyfans.jpg</t>
  </si>
  <si>
    <t>https://doodstream.com/d/cvepa15bjz17/</t>
  </si>
  <si>
    <t>https://lulustream.com/d/1723lm9eljfj</t>
  </si>
  <si>
    <t>#teen #bigtits #interracial #blowjob</t>
  </si>
  <si>
    <t>https://thumb.tapecontent.net/thumb/Y8dRAzr6w0c2dy/QPAqOB4LrjU00dv.jpg</t>
  </si>
  <si>
    <t>Valerica Steele - 40347610 - Onlyfans.jpg</t>
  </si>
  <si>
    <t>https://doodstream.com/d/nyr85nkm15b3/</t>
  </si>
  <si>
    <t>https://lulustream.com/d/urz42psjtaiw</t>
  </si>
  <si>
    <t>https://thumb.tapecontent.net/thumb/KyKKZ8gOoyC08LZ/wkw70QdJ7buJ07J.jpg</t>
  </si>
  <si>
    <t>Valerica Steele - 46899517 - Onlyfans.jpg</t>
  </si>
  <si>
    <t>https://doodstream.com/d/6w27p3t1lqgl/</t>
  </si>
  <si>
    <t>https://lulustream.com/d/bz8t2gfiifl2</t>
  </si>
  <si>
    <t>https://thumb.tapecontent.net/thumb/7jGOPamBMptJj3/VazWGVAjR3CKwXq.jpg</t>
  </si>
  <si>
    <t>Valerica Steele - 47210811 - ripnsfw.com.jpg</t>
  </si>
  <si>
    <t>https://doodstream.com/d/zdtee12ed137/</t>
  </si>
  <si>
    <t>https://lulustream.com/d/yxbvi4cz58ob</t>
  </si>
  <si>
    <t>https://thumb.tapecontent.net/thumb/29pmxKDmRmSZyx7/8Bg8ZdM7YpfoxwG.jpg</t>
  </si>
  <si>
    <t>Valerica Steele - 63981478 - Onlyfans.jpg</t>
  </si>
  <si>
    <t>https://doodstream.com/d/xztyhn0tflu8/</t>
  </si>
  <si>
    <t>https://lulustream.com/d/bvoyfsee93q2</t>
  </si>
  <si>
    <t>https://thumb.tapecontent.net/thumb/pg2oamJJAeTVAa/yBQbj0zddlh1Ag1.jpg</t>
  </si>
  <si>
    <t>Valerica Steele - 64528221 - Deeper - Asteria Jade.jpg</t>
  </si>
  <si>
    <t>https://doodstream.com/d/jee37s84sucd/</t>
  </si>
  <si>
    <t>https://lulustream.com/d/36a9h9e0mutc</t>
  </si>
  <si>
    <t>#bigtits #blowjob #teens #interracial</t>
  </si>
  <si>
    <t>https://thumb.tapecontent.net/thumb/wP7Pa2oeApHJ7Al/BjBw7b2726uyLzV.jpg</t>
  </si>
  <si>
    <t>Valerica Steele - 67298684 - ripnsfw.com.jpg</t>
  </si>
  <si>
    <t>https://doodstream.com/d/zjbctmdr8235/</t>
  </si>
  <si>
    <t>https://lulustream.com/d/agsy6c2zgci4</t>
  </si>
  <si>
    <t>#Creampie, #Hardcore, #Black, #Interracial, #Teen, #Squirt, #Blowjob, #Amateur, #Deepthroat</t>
  </si>
  <si>
    <t>#Creampie #Hardcore #Black #Interracial #Teen #Squirt #Blowjob #Amateur</t>
  </si>
  <si>
    <t>https://thumb.tapecontent.net/thumb/DXZ0e4DkgmckaQB/q9ekv4ZVO3uKw0.jpg</t>
  </si>
  <si>
    <t>Valerica Steele - 69304102 - Onlyfans.jpg</t>
  </si>
  <si>
    <t>https://doodstream.com/d/xd4ol3z9h66j/</t>
  </si>
  <si>
    <t>https://lulustream.com/d/z0hm2fbqgs8p</t>
  </si>
  <si>
    <t>#teen #interracial #bigtits #blowjob</t>
  </si>
  <si>
    <t>https://thumb.tapecontent.net/thumb/e2Xw1wP70GsYr9G/3q9x4PYXdjTdzk1.jpg</t>
  </si>
  <si>
    <t>Valerica Steele - 75492502 - Onlyfans.jpg</t>
  </si>
  <si>
    <t>https://doodstream.com/d/c77xubz3h5gb/</t>
  </si>
  <si>
    <t>https://lulustream.com/d/4xa3y2htqi70</t>
  </si>
  <si>
    <t>#teen #outdoor #bigtits #blowjob</t>
  </si>
  <si>
    <t>https://thumb.tapecontent.net/thumb/MjavKkZ0YlSmjaY/8OadlJao9LUoovY.jpg</t>
  </si>
  <si>
    <t>Valerica Steele - 83725491 - ripnsfw.com.jpg</t>
  </si>
  <si>
    <t>https://doodstream.com/d/zoayj3ogdoi8/</t>
  </si>
  <si>
    <t>https://lulustream.com/d/rm7rq061h5cl</t>
  </si>
  <si>
    <t>#Hardcore, #Black, #Interracial, #Bigass, #Teen, #Blowjob, #Amateur, #Deepthroat</t>
  </si>
  <si>
    <t>https://thumb.tapecontent.net/thumb/zLqLvyv6LMTYq0o/Q2jB21Gl0BFRD4.jpg</t>
  </si>
  <si>
    <t>Valerica Steele - 88056051 - XVRED.jpg</t>
  </si>
  <si>
    <t>https://doodstream.com/d/7emozhou77dq/</t>
  </si>
  <si>
    <t>https://lulustream.com/d/ev5o8hddll76</t>
  </si>
  <si>
    <t>https://thumb.tapecontent.net/thumb/Q2B9mOPr1di06Dp/1pA1bwDz8puemPl.jpg</t>
  </si>
  <si>
    <t>Valerica Steele - 88316277 - PB.jpg</t>
  </si>
  <si>
    <t>https://doodstream.com/d/3d5593edffzg/</t>
  </si>
  <si>
    <t>https://lulustream.com/d/5dlpnidr6iic</t>
  </si>
  <si>
    <t>https://thumb.tapecontent.net/thumb/9O1vrQpJeKiBqw/GQmQ8xaV48U9m8.jpg</t>
  </si>
  <si>
    <t>Valerica Steele - 93431306 - Onlyfans.jpg</t>
  </si>
  <si>
    <t>https://doodstream.com/d/kuvb1w2rfal1/</t>
  </si>
  <si>
    <t>https://lulustream.com/d/hzc1a4v8zrcj</t>
  </si>
  <si>
    <t>https://thumb.tapecontent.net/thumb/6k8AqDV9Lpu9B74/yl4OR1g16eF1DKW.jpg</t>
  </si>
  <si>
    <t>Valerica Steele - 94903486 - Onlyfans.jpg</t>
  </si>
  <si>
    <t>https://doodstream.com/d/o1nzikkpir53/</t>
  </si>
  <si>
    <t>https://lulustream.com/d/n7h4f8grt3at</t>
  </si>
  <si>
    <t>https://thumb.tapecontent.net/thumb/9kP18KDWDZh9R8/yj82eR8gj9cdpo.jpg</t>
  </si>
  <si>
    <t>Valerica Steele - 96288677 - SS.jpg</t>
  </si>
  <si>
    <t>https://doodstream.com/d/qbb6d88sueg4/</t>
  </si>
  <si>
    <t>https://lulustream.com/d/el9obmlv96rj</t>
  </si>
  <si>
    <t>#teen #bigtits #blowjob #massage</t>
  </si>
  <si>
    <t>https://thumb.tapecontent.net/thumb/lqR0y9qWa1U7GXW/v2BKyw94K2F4OW6.jpg</t>
  </si>
  <si>
    <t>Valerica Steele - 96346788 - Bang.jpg</t>
  </si>
  <si>
    <t>https://doodstream.com/d/lbe1kzsgf1r1/</t>
  </si>
  <si>
    <t>https://lulustream.com/d/k208sr9aypke</t>
  </si>
  <si>
    <t>#BigTits, #Hardcore, #Threesome, #Teen, #Porn, #Teens, #Blowjob, #Deepthroat, #Facial</t>
  </si>
  <si>
    <t>#BigTits #Hardcore #Threesome #Teen #Porn</t>
  </si>
  <si>
    <t>https://thumb.tapecontent.net/thumb/m1dmDoKzoQhbbqQ/qM2bpA6rl6Czmoe.jpg</t>
  </si>
  <si>
    <t>Valerica Steele - 97879386 - Onlyfans.jpg</t>
  </si>
  <si>
    <t>https://doodstream.com/d/09fansd4qe2i/</t>
  </si>
  <si>
    <t>https://lulustream.com/d/rpxbegz71ilg</t>
  </si>
  <si>
    <t>https://thumb.tapecontent.net/thumb/J3zwRAr1LkFjzbe/2LpoKQmDzWhZgba.jpg</t>
  </si>
  <si>
    <t>Vanda Angel - 23666695 - Inflagranti.jpg</t>
  </si>
  <si>
    <t>https://doodstream.com/d/c6a7xivn8iph/</t>
  </si>
  <si>
    <t>https://lulustream.com/d/4r5vq5v0fydp</t>
  </si>
  <si>
    <t>https://thumb.tapecontent.net/thumb/gry6337z4ZTq8K8/AADv4AJwzGfXk97.jpg</t>
  </si>
  <si>
    <t>Vanda Angel - 65423416 - Inflagranti.jpg</t>
  </si>
  <si>
    <t>https://doodstream.com/d/ce1dtrqufv0c/</t>
  </si>
  <si>
    <t>https://lulustream.com/d/lt7ovqfwdoia</t>
  </si>
  <si>
    <t>#teen #blowjob #bigtits #porn</t>
  </si>
  <si>
    <t>https://thumb.tapecontent.net/thumb/g1pKlp04Q9IqRxj/3P8yLZ0WVasdmj2.jpg</t>
  </si>
  <si>
    <t>Vanessa Sky - 15447404 - GD.jpg</t>
  </si>
  <si>
    <t>https://doodstream.com/d/s4q3uud9ax97/</t>
  </si>
  <si>
    <t>https://lulustream.com/d/zdhh2vgx5bmp</t>
  </si>
  <si>
    <t>#brunette #blowjob #bigtits #porn</t>
  </si>
  <si>
    <t>https://thumb.tapecontent.net/thumb/RDDXDJ2LvMHdQXw/zKJZQ6Aegrhp94.jpg</t>
  </si>
  <si>
    <t>Violet Dawn - 76000213 - ripnsfw.com.jpg</t>
  </si>
  <si>
    <t>https://doodstream.com/d/8qs1t60gs2kh/</t>
  </si>
  <si>
    <t>https://lulustream.com/d/vjvxzt4mpeuh</t>
  </si>
  <si>
    <t>#Anal, #Hardcore, #Teen, #Blowjob, #Amateur, #Facial</t>
  </si>
  <si>
    <t>#Anal #Hardcore #Teen #Blowjob #Amateur #Facial</t>
  </si>
  <si>
    <t>https://thumb.tapecontent.net/thumb/pMy82jgyQzhW6e/Aq3OQblj91CW6Q.jpg</t>
  </si>
  <si>
    <t>Violet Myers - 10931012 - Onlyfans.jpg</t>
  </si>
  <si>
    <t>https://doodstream.com/d/2zrw66l28y5q/</t>
  </si>
  <si>
    <t>https://lulustream.com/d/pbuuaqeftp9c</t>
  </si>
  <si>
    <t>#milf #bigass #bigtits #brunette</t>
  </si>
  <si>
    <t>https://thumb.tapecontent.net/thumb/QgYDPLoRRlf0OZ2/rkPbVwmbKBcbW9j.jpg</t>
  </si>
  <si>
    <t>Violet Myers - 10931617 - Onlyfans.jpg</t>
  </si>
  <si>
    <t>https://doodstream.com/d/ugtpqlv5t84p/</t>
  </si>
  <si>
    <t>https://lulustream.com/d/k1nvryv3t1f2</t>
  </si>
  <si>
    <t>https://thumb.tapecontent.net/thumb/dpKr9WBxMWCkW08/GAwm1JgXWMS13QV.jpg</t>
  </si>
  <si>
    <t>Violet Myers - 11112124 - ripnsfw.com - Raissa Bellini.jpg</t>
  </si>
  <si>
    <t>https://doodstream.com/d/ieilsa1p9ld1/</t>
  </si>
  <si>
    <t>https://lulustream.com/d/o05webquflwa</t>
  </si>
  <si>
    <t>#MILF, #BigTits, #Hardcore, #Threesome, #Bigass, #Latina, #Blowjob, #Amateur, #Deepthroat</t>
  </si>
  <si>
    <t>#MILF #BigTits #Hardcore #Threesome #Bigass #Latina</t>
  </si>
  <si>
    <t>https://thumb.tapecontent.net/thumb/Z2L1yM762kFqWJV/WeaagxYB34UQRp.jpg</t>
  </si>
  <si>
    <t>Violet Myers - 12322457 - ripnsfw.com - Lena the plug.jpg</t>
  </si>
  <si>
    <t>https://doodstream.com/d/xgflanlsvcar/</t>
  </si>
  <si>
    <t>https://lulustream.com/d/2cwswu3wdy5e</t>
  </si>
  <si>
    <t>#MILF, #BigTits, #Hardcore, #Threesome, #Bigass, #Latina, #Blowjob, #Stepmom, #Amateur, #Facial</t>
  </si>
  <si>
    <t>https://thumb.tapecontent.net/thumb/aGbzl9BODJFx39j/BzkkkGXmZjtygX1.jpg</t>
  </si>
  <si>
    <t>Violet Myers - 12378786 - Onlyfans.jpg</t>
  </si>
  <si>
    <t>https://doodstream.com/d/gigvulgw69wj/</t>
  </si>
  <si>
    <t>https://lulustream.com/d/ggdltog4pig3</t>
  </si>
  <si>
    <t>https://thumb.tapecontent.net/thumb/9oxgYWPRVDSagWA/YPGJrzWOyrcvgPJ.jpg</t>
  </si>
  <si>
    <t>Violet Myers - 15445770 - Onlyfans - Raissa Bellini.jpg</t>
  </si>
  <si>
    <t>https://doodstream.com/d/3ii0p94b41el/</t>
  </si>
  <si>
    <t>https://lulustream.com/d/dezfkcm0ci1w</t>
  </si>
  <si>
    <t>#MILF, #BigTits, #Hardcore, #Threesome, #Bigass, #Latina, #Stepmom, #Blowjob, #Amateur, #Hotwife, #Deepthroat, #Facial</t>
  </si>
  <si>
    <t>https://thumb.tapecontent.net/thumb/0z6dgA8LOjTbrlX/mrAMz8gP6bFBK1.jpg</t>
  </si>
  <si>
    <t>Violet Myers - 17285742 - Onlyfans.jpg</t>
  </si>
  <si>
    <t>https://doodstream.com/d/uzauou5x0u4e/</t>
  </si>
  <si>
    <t>https://lulustream.com/d/7xv11sk1cta6</t>
  </si>
  <si>
    <t>#MILF, #BigTits, #Hardcore, #Black, #Interracial, #Bigass, #Latina, #Artporn, #Blowjob, #Amateur, #Hotwife, #Deepthroat</t>
  </si>
  <si>
    <t>#MILF #BigTits #Hardcore #Black #Interracial #Bigass #Latina #Artporn</t>
  </si>
  <si>
    <t>https://thumb.tapecontent.net/thumb/YPyJL16exqSvYRr/d7DR0aDovGSkv4b.jpg</t>
  </si>
  <si>
    <t>Violet Myers - 17383595 - Onlyfans - Emma Magnolia.jpg</t>
  </si>
  <si>
    <t>https://doodstream.com/d/jxxroafwfj6c/</t>
  </si>
  <si>
    <t>https://lulustream.com/d/1iuqalq63kj4</t>
  </si>
  <si>
    <t>#MILF, #BigTits, #Hardcore, #Threesome, #Bigass, #Latina, #Stepmom, #Amateur, #Blowjob, #Hotwife, #Deepthroat</t>
  </si>
  <si>
    <t>https://thumb.tapecontent.net/thumb/My3PmLmzjKhmgke/zG6jljxQeltGL3.jpg</t>
  </si>
  <si>
    <t>Violet Myers - 19734092 - Onlyfans.jpg</t>
  </si>
  <si>
    <t>https://doodstream.com/d/w3aohckv9h08/</t>
  </si>
  <si>
    <t>https://lulustream.com/d/i3p3z4ajxz4y</t>
  </si>
  <si>
    <t>https://thumb.tapecontent.net/thumb/Q3q8eQKyAqTGyg/rDyoLv6KvyFb7vv.jpg</t>
  </si>
  <si>
    <t>Violet Myers - 21266101 - ripnsfw.com - Lena the plug.jpg</t>
  </si>
  <si>
    <t>https://doodstream.com/d/mkpx212ywhss/</t>
  </si>
  <si>
    <t>https://lulustream.com/d/060ppfv5328u</t>
  </si>
  <si>
    <t>#MILF, #BigTits, #Hardcore, #Threesome, #Bigass, #Latina, #Blowjob, #Amateur, #Hotwife, #Deepthroat</t>
  </si>
  <si>
    <t>#MILF #BigTits #Hardcore #Threesome #Bigass #Latina #Blowjob #Amateur</t>
  </si>
  <si>
    <t>https://thumb.tapecontent.net/thumb/J0X0gxV4xzCj3Vz/roaDrW4kgASbL1a.jpg</t>
  </si>
  <si>
    <t>Violet Myers - 21770202 - Bellesa.jpg</t>
  </si>
  <si>
    <t>https://doodstream.com/d/m2ki90v2207j/</t>
  </si>
  <si>
    <t>https://lulustream.com/d/we5a67gu6h0t</t>
  </si>
  <si>
    <t>https://thumb.tapecontent.net/thumb/oegp3bxpX1sJwj2/8zxv4yXlb1somdj.jpg</t>
  </si>
  <si>
    <t>Violet Myers - 22947103 - Blacked.jpg</t>
  </si>
  <si>
    <t>https://doodstream.com/d/yr83m3ntr92o/</t>
  </si>
  <si>
    <t>https://lulustream.com/d/d7a8h9d8rcaf</t>
  </si>
  <si>
    <t>https://thumb.tapecontent.net/thumb/6QWLRJlqp2t9GGK/WXyz01yJgXugZr.jpg</t>
  </si>
  <si>
    <t>Violet Myers - 24446612 - Onlyfans.jpg</t>
  </si>
  <si>
    <t>https://doodstream.com/d/llbbnyhxcksr/</t>
  </si>
  <si>
    <t>https://lulustream.com/d/slkjn497d9gx</t>
  </si>
  <si>
    <t>https://thumb.tapecontent.net/thumb/LJ6kk9YWrgcWjY/2DM1LxWrpWIZOrm.jpg</t>
  </si>
  <si>
    <t>Violet Myers - 25360649 - Onlyfans - Hailey Rose - Jaaden Kyrelle.jpg</t>
  </si>
  <si>
    <t>https://doodstream.com/d/55rb7ph0dhk2/</t>
  </si>
  <si>
    <t>https://lulustream.com/d/8w6uckk30k2y</t>
  </si>
  <si>
    <t>#MILF, #BigTits, #Lesbian, #Threesome</t>
  </si>
  <si>
    <t>#MILF #BigTits #Lesbian #Threesome</t>
  </si>
  <si>
    <t>https://thumb.tapecontent.net/thumb/GwVgvWyjqRF9Ov/qDRLrW7DK9IzqDL.jpg</t>
  </si>
  <si>
    <t>Violet Myers - 25687268 - MLR.jpg</t>
  </si>
  <si>
    <t>https://doodstream.com/d/8yhyxweo2j8l/</t>
  </si>
  <si>
    <t>https://lulustream.com/d/pjbel9drcf0z</t>
  </si>
  <si>
    <t>https://thumb.tapecontent.net/thumb/OWMXJ63oWjHZ8Rm/7Ywv6KyBg0FAdk8.jpg</t>
  </si>
  <si>
    <t>Violet Myers - 33024590 - Onlyfans - Kianna Dior.jpg</t>
  </si>
  <si>
    <t>https://doodstream.com/d/2yz4f2bv4esu/</t>
  </si>
  <si>
    <t>https://lulustream.com/d/ozlbc94q4eu2</t>
  </si>
  <si>
    <t>https://thumb.tapecontent.net/thumb/W1Wxrl1ol6Ub9jB/DevdDb7Mr3Fk1Bk.jpg</t>
  </si>
  <si>
    <t>Violet Myers - 34531153 - Onlyfans.jpg</t>
  </si>
  <si>
    <t>https://doodstream.com/d/11qpayzdvr3d/</t>
  </si>
  <si>
    <t>https://lulustream.com/d/o84irb0hkauj</t>
  </si>
  <si>
    <t>https://thumb.tapecontent.net/thumb/8wlmkwljGGTogbo/1jBMJKqbxjtezx0.jpg</t>
  </si>
  <si>
    <t>Violet Myers - 36670339 - Onlyfans.jpg</t>
  </si>
  <si>
    <t>https://doodstream.com/d/hvaixvu0n9ac/</t>
  </si>
  <si>
    <t>https://lulustream.com/d/x3w3kvpepoyc</t>
  </si>
  <si>
    <t>https://thumb.tapecontent.net/thumb/DzgyBBLjWxFkrG1/eLgMW8ZYQwtYzDW.jpg</t>
  </si>
  <si>
    <t>Violet Myers - 37239826 -  Onlyfans - Angel Youngs.jpg</t>
  </si>
  <si>
    <t>https://doodstream.com/d/f94lypdvrgx0/</t>
  </si>
  <si>
    <t>https://lulustream.com/d/twxryvslupfk</t>
  </si>
  <si>
    <t>https://thumb.tapecontent.net/thumb/6pb1jQjjd1U9Xga/VXGjlX9X60uKV6d.jpg</t>
  </si>
  <si>
    <t>Violet Myers - 38601761 - Onlyfans.jpg</t>
  </si>
  <si>
    <t>https://doodstream.com/d/r3xdz6kzy6r3/</t>
  </si>
  <si>
    <t>https://lulustream.com/d/rfkj8oanaaae</t>
  </si>
  <si>
    <t>#bigtits #milf #bigass #blowjob</t>
  </si>
  <si>
    <t>https://thumb.tapecontent.net/thumb/YGJ33ZaW3DtLBY/gVjGGKG38Quq7qD.jpg</t>
  </si>
  <si>
    <t>Violet Myers - 39780174 - Onlyfans.jpg</t>
  </si>
  <si>
    <t>https://doodstream.com/d/imu20unhxafb/</t>
  </si>
  <si>
    <t>https://lulustream.com/d/3btbwzexvkfb</t>
  </si>
  <si>
    <t>https://thumb.tapecontent.net/thumb/GbZW3WvmGgS1kk3/MJr7Y2emwxUm79k.jpg</t>
  </si>
  <si>
    <t>Violet Myers - 41586485 - Tushy.jpg</t>
  </si>
  <si>
    <t>https://doodstream.com/d/bbudh4ssbcfa/</t>
  </si>
  <si>
    <t>https://lulustream.com/d/dfto4hqk23zi</t>
  </si>
  <si>
    <t>https://thumb.tapecontent.net/thumb/LMdG3v6kgZhbZj/7km0d0gRGRuo76.jpg</t>
  </si>
  <si>
    <t>Violet Myers - 42955362 - Onlyfans.jpg</t>
  </si>
  <si>
    <t>https://doodstream.com/d/bcy248u63p68/</t>
  </si>
  <si>
    <t>https://lulustream.com/d/h6jigzrrz011</t>
  </si>
  <si>
    <t>https://thumb.tapecontent.net/thumb/6Kb67bb0k6H90vb/qJyeJ7RZ8ZUzb4J.jpg</t>
  </si>
  <si>
    <t>Violet Myers - 43312973 - MLR.jpg</t>
  </si>
  <si>
    <t>https://doodstream.com/d/zzz5haaoyo2n/</t>
  </si>
  <si>
    <t>https://lulustream.com/d/32m7ub6nwwu3</t>
  </si>
  <si>
    <t>https://thumb.tapecontent.net/thumb/VBBLy3Qop1tKryx/1Rvwlqop7pixOV.jpg</t>
  </si>
  <si>
    <t>Violet Myers - 44431372 - Onlyfans.jpg</t>
  </si>
  <si>
    <t>https://doodstream.com/d/i2bk3let2vu7/</t>
  </si>
  <si>
    <t>https://lulustream.com/d/q6ztar9gp1sp</t>
  </si>
  <si>
    <t>https://thumb.tapecontent.net/thumb/MXqzP9Yz1mcmg1J/DqLzqZROOYckMo2.jpg</t>
  </si>
  <si>
    <t>Violet Myers - 48173020 - Onlyfans.jpg</t>
  </si>
  <si>
    <t>https://doodstream.com/d/4le1ihaxxuy0/</t>
  </si>
  <si>
    <t>https://lulustream.com/d/pmpyuh6ang3l</t>
  </si>
  <si>
    <t>https://thumb.tapecontent.net/thumb/X1BvP70pgJhBde/349x3zodwKfdO8q.jpg</t>
  </si>
  <si>
    <t>Violet Myers - 48491010 - Onlyfans.jpg</t>
  </si>
  <si>
    <t>https://doodstream.com/d/k85z6j21iora/</t>
  </si>
  <si>
    <t>https://lulustream.com/d/ke7p7vagpuf4</t>
  </si>
  <si>
    <t>#milf #bigtits #roleplay #joi</t>
  </si>
  <si>
    <t>https://thumb.tapecontent.net/thumb/ybMPR4mvaVH1Vv1/1LQ6rQk2XMFeYar.jpg</t>
  </si>
  <si>
    <t>Violet Myers - 49168775 - Onlyfans - Elly Clutch.jpg</t>
  </si>
  <si>
    <t>https://doodstream.com/d/ewdb9v8gidwl/</t>
  </si>
  <si>
    <t>https://lulustream.com/d/m4rvepadrkr1</t>
  </si>
  <si>
    <t>#threesome #teen #bigtits #blowjob</t>
  </si>
  <si>
    <t>https://thumb.tapecontent.net/thumb/lgPkgbpV6MI7XZl/P7M1Mj6LjvhW1l.jpg</t>
  </si>
  <si>
    <t>Violet Myers - 49779351 - Onlyfans.jpg</t>
  </si>
  <si>
    <t>https://doodstream.com/d/xqv8ncrci03o/</t>
  </si>
  <si>
    <t>https://lulustream.com/d/olgw2tv1by1x</t>
  </si>
  <si>
    <t>https://thumb.tapecontent.net/thumb/4BwROQ4VXkFKM9d/aPyvG6m01PhxjeA.jpg</t>
  </si>
  <si>
    <t>Violet Myers - 51020078 - Onlyfans.jpg</t>
  </si>
  <si>
    <t>https://doodstream.com/d/fkleswtqlvx1/</t>
  </si>
  <si>
    <t>https://lulustream.com/d/c6gjf5uk6bis</t>
  </si>
  <si>
    <t>https://thumb.tapecontent.net/thumb/XPQp8ZJ7j7iDyl3/1paVVPVobwtegKg.jpg</t>
  </si>
  <si>
    <t>Violet Myers - 51617269 - Onlyfans - Angela White.jpg</t>
  </si>
  <si>
    <t>https://doodstream.com/d/0nnz9sggc6vk/</t>
  </si>
  <si>
    <t>https://lulustream.com/d/gsk3q89h96af</t>
  </si>
  <si>
    <t>https://thumb.tapecontent.net/thumb/m9qVv4xwrZIbJ6q/90dwjplP9Bsa4Wk.jpg</t>
  </si>
  <si>
    <t>Violet Myers - 52285724 - Onlyfans.jpg</t>
  </si>
  <si>
    <t>https://doodstream.com/d/odtx0gbhqj2f/</t>
  </si>
  <si>
    <t>https://lulustream.com/d/u8mv89alsqlq</t>
  </si>
  <si>
    <t>https://thumb.tapecontent.net/thumb/O74Q2BkG3ZTZBag/JeM1J4VlKGuj4vl.jpg</t>
  </si>
  <si>
    <t>Violet Myers - 52594792 - Onlyfans.jpg</t>
  </si>
  <si>
    <t>https://doodstream.com/d/kvkvobxd6knu/</t>
  </si>
  <si>
    <t>https://lulustream.com/d/nah62mlejy8q</t>
  </si>
  <si>
    <t>#bigtits #blowjob #bigass #milf</t>
  </si>
  <si>
    <t>https://thumb.tapecontent.net/thumb/2rlKObQ3z4cZXxW/3WKxrelXvYhARK.jpg</t>
  </si>
  <si>
    <t>Violet Myers - 54315108 -  Onlyfans.jpg</t>
  </si>
  <si>
    <t>https://doodstream.com/d/t7r8chlxh1mb/</t>
  </si>
  <si>
    <t>https://lulustream.com/d/i5efxqtgz5q6</t>
  </si>
  <si>
    <t>https://thumb.tapecontent.net/thumb/lOY3mWXb9pT73Rq/kgejqXK8wGCOA1y.jpg</t>
  </si>
  <si>
    <t>Violet Myers - 56549820 - Onlyfans.jpg</t>
  </si>
  <si>
    <t>https://doodstream.com/d/5g2u19sa3dvd/</t>
  </si>
  <si>
    <t>https://lulustream.com/d/m586yxybf4ig</t>
  </si>
  <si>
    <t>https://thumb.tapecontent.net/thumb/oGGg0BzGdKUJ1qd/v2QQPzykelFYBY.jpg</t>
  </si>
  <si>
    <t>Violet Myers - 57220845 - ripnsfw.com - Angela White.jpg</t>
  </si>
  <si>
    <t>https://doodstream.com/d/4ab5qfr56r00/</t>
  </si>
  <si>
    <t>https://lulustream.com/d/royzcplgcg2j</t>
  </si>
  <si>
    <t>#MILF, #BigTits, #Hardcore, #Threesome, #Black, #Interracial, #Bigass, #Latina, #Blowjob, #Amateur, #Deepthroat, #Facial</t>
  </si>
  <si>
    <t>#MILF #BigTits #Hardcore #Threesome #Black #Interracial #Bigass</t>
  </si>
  <si>
    <t>https://thumb.tapecontent.net/thumb/vr8Q3z42zRI41kz/jkPWx7axekIz1q1.jpg</t>
  </si>
  <si>
    <t>Violet Myers - 57616791 - Camsoda.jpg</t>
  </si>
  <si>
    <t>https://doodstream.com/d/j4xjw6plb6c2/</t>
  </si>
  <si>
    <t>https://lulustream.com/d/29rraopezcwp</t>
  </si>
  <si>
    <t>https://thumb.tapecontent.net/thumb/k0QmDPlYQGHOKXo/7q7b1qdrJzfA7Pl.jpg</t>
  </si>
  <si>
    <t>Violet Myers - 58334536 - Onlyfans - Angela White.jpg</t>
  </si>
  <si>
    <t>https://doodstream.com/d/1npj6r6jegmi/</t>
  </si>
  <si>
    <t>https://lulustream.com/d/njw2f4wtbuea</t>
  </si>
  <si>
    <t>https://thumb.tapecontent.net/thumb/qljzA9WweAHzJzw/ZxwoKea8VWCq0bo.jpg</t>
  </si>
  <si>
    <t>Violet Myers - 59964539 - Tushy.jpg</t>
  </si>
  <si>
    <t>https://doodstream.com/d/27vvx5df98pv/</t>
  </si>
  <si>
    <t>https://lulustream.com/d/e9ufgv3j9sb4</t>
  </si>
  <si>
    <t>https://thumb.tapecontent.net/thumb/ApB4LVe9aMIXqA4/jkQR7X03K6i4mj.jpg</t>
  </si>
  <si>
    <t>Violet Myers - 62469806 - Onlyfans.jpg</t>
  </si>
  <si>
    <t>https://doodstream.com/d/82gwfj4apzfi/</t>
  </si>
  <si>
    <t>https://lulustream.com/d/i3j71ok2xbyb</t>
  </si>
  <si>
    <t>https://thumb.tapecontent.net/thumb/GW8mb0KZ6bS1Rey/JYmPM4AVYJijMWa.jpg</t>
  </si>
  <si>
    <t>Violet Myers - 62986674 - Onlyfans.jpg</t>
  </si>
  <si>
    <t>https://doodstream.com/d/8i40uov6ufa3/</t>
  </si>
  <si>
    <t>https://lulustream.com/d/ydy5ofqbxev4</t>
  </si>
  <si>
    <t>#teens #bigass #bigtits #lesbian</t>
  </si>
  <si>
    <t>https://thumb.tapecontent.net/thumb/eYXG9LzllRH9qo/JYwgX1mxbySjLVD.jpg</t>
  </si>
  <si>
    <t>Violet Myers - 64925967 - Onlyfans.jpg</t>
  </si>
  <si>
    <t>https://doodstream.com/d/j8d1igyrkhuy/</t>
  </si>
  <si>
    <t>https://lulustream.com/d/hyf0y231dxp6</t>
  </si>
  <si>
    <t>https://thumb.tapecontent.net/thumb/zKMmoYbMpLTYYee/4RGMx991eYFK01B.jpg</t>
  </si>
  <si>
    <t>Violet Myers - 65437027 - Camsoda.jpg</t>
  </si>
  <si>
    <t>https://doodstream.com/d/0lv394y15pri/</t>
  </si>
  <si>
    <t>https://lulustream.com/d/1mor1untjidp</t>
  </si>
  <si>
    <t>https://thumb.tapecontent.net/thumb/ydd4rvm4RPHm6y/84Xr7gl3oWco91w.jpg</t>
  </si>
  <si>
    <t>Violet Myers - 68380227 - Onlyfans.jpg</t>
  </si>
  <si>
    <t>https://doodstream.com/d/f4fvc52lu4yc/</t>
  </si>
  <si>
    <t>https://lulustream.com/d/xzq07zze1e8d</t>
  </si>
  <si>
    <t>https://thumb.tapecontent.net/thumb/y2MqwpXy1jC1zGp/M7GXWWgJrpcmJL0.jpg</t>
  </si>
  <si>
    <t>Violet Myers - 69941077 - XVRED - Lexi Lore - Bec The Barbie - Linda Lan.jpg</t>
  </si>
  <si>
    <t>https://doodstream.com/d/3u5ghup8eqoa/</t>
  </si>
  <si>
    <t>https://lulustream.com/d/0fd64nsat136</t>
  </si>
  <si>
    <t>#orgy #milf #bigass #bigtits</t>
  </si>
  <si>
    <t>https://thumb.tapecontent.net/thumb/k2oLaPl7PvUOkrK/Z3ZV1W0La0IoBQ.jpg</t>
  </si>
  <si>
    <t>Violet Myers - 71852868 - PC.jpg</t>
  </si>
  <si>
    <t>https://doodstream.com/d/x5es1rhdd9g3/</t>
  </si>
  <si>
    <t>https://lulustream.com/d/f8chqntzv4cy</t>
  </si>
  <si>
    <t>https://thumb.tapecontent.net/thumb/royqrxpgYXSbz13/0z8pVv3QXwIbJw6.jpg</t>
  </si>
  <si>
    <t>Violet Myers - 72100664 - ripnsfw.com.jpg</t>
  </si>
  <si>
    <t>https://doodstream.com/d/l3kykru3zogh/</t>
  </si>
  <si>
    <t>https://lulustream.com/d/9dcm0ixvncrf</t>
  </si>
  <si>
    <t>#MILF #BigTits #Hardcore #Bigass #Latina #Blowjob #Amateur</t>
  </si>
  <si>
    <t>https://thumb.tapecontent.net/thumb/dPxr6lylwJukVyW/KgeR3O89RmC09KP.jpg</t>
  </si>
  <si>
    <t>Violet Myers - 73689223 - XVRED.jpg</t>
  </si>
  <si>
    <t>https://doodstream.com/d/c4salq425zs0/</t>
  </si>
  <si>
    <t>https://lulustream.com/d/ejbgr7cjkz2x</t>
  </si>
  <si>
    <t>https://thumb.tapecontent.net/thumb/klBAxVRAWRtOO7e/6KlwMmVRgATvA3.jpg</t>
  </si>
  <si>
    <t>Violet Myers - 74529932 - CamSoda.jpg</t>
  </si>
  <si>
    <t>https://doodstream.com/d/8u576wljfehj/</t>
  </si>
  <si>
    <t>https://lulustream.com/d/z5u2da94cj2h</t>
  </si>
  <si>
    <t>https://thumb.tapecontent.net/thumb/d7p3Aay1zpik4jO/BeOJXaXdbrIyy7A.jpg</t>
  </si>
  <si>
    <t>Violet Myers - 74865421 - XVRED.jpg</t>
  </si>
  <si>
    <t>https://doodstream.com/d/vfq6ppt9dtus/</t>
  </si>
  <si>
    <t>https://lulustream.com/d/1w3niws7wxzc</t>
  </si>
  <si>
    <t>https://thumb.tapecontent.net/thumb/bpoePbJ2p7CxJO/kbLorlkBpDtOzyk.jpg</t>
  </si>
  <si>
    <t>Violet Myers - 75494414 - XVRED.jpg</t>
  </si>
  <si>
    <t>https://doodstream.com/d/aj1i0c6qkb3d/</t>
  </si>
  <si>
    <t>https://lulustream.com/d/1paksnry551o</t>
  </si>
  <si>
    <t>https://thumb.tapecontent.net/thumb/gam1G79ja7fqr2L/OxbloWmXvvuZ3qD.jpg</t>
  </si>
  <si>
    <t>Violet Myers - 76155839 - Onlyfans - Alina Lopez.jpg</t>
  </si>
  <si>
    <t>https://doodstream.com/d/jkyvpfemb7sj/</t>
  </si>
  <si>
    <t>https://lulustream.com/d/34pchsyjzfq4</t>
  </si>
  <si>
    <t>https://thumb.tapecontent.net/thumb/m7q4DzrwdXTbxJ9/ydyj7BXmJBSelW.jpg</t>
  </si>
  <si>
    <t>Violet Myers - 76308967 - Onlyfans.jpg</t>
  </si>
  <si>
    <t>https://doodstream.com/d/xxp63eokdi4r/</t>
  </si>
  <si>
    <t>https://lulustream.com/d/5ia8sh7dufrb</t>
  </si>
  <si>
    <t>https://thumb.tapecontent.net/thumb/G3DZJJygoOHA4D/bev3q16gZKSPbVm.jpg</t>
  </si>
  <si>
    <t>Violet Myers - 81824789 - Onlyfans.jpg</t>
  </si>
  <si>
    <t>https://doodstream.com/d/t2jaoxdkkn6t/</t>
  </si>
  <si>
    <t>https://lulustream.com/d/ee8is38pvgdf</t>
  </si>
  <si>
    <t>https://thumb.tapecontent.net/thumb/V048ryQzXQhKwev/kpVD84qMWKuyYe.jpg</t>
  </si>
  <si>
    <t>Violet Myers - 82928322 - Onlyfans.jpg</t>
  </si>
  <si>
    <t>https://doodstream.com/d/c4wiplw89cek/</t>
  </si>
  <si>
    <t>https://lulustream.com/d/sv78rod8s92b</t>
  </si>
  <si>
    <t>https://thumb.tapecontent.net/thumb/Va0yXeQpYJiOdB/7mpZ1928PWcAZXY.jpg</t>
  </si>
  <si>
    <t>Violet Myers - 85075742 - Onlyfans.jpg</t>
  </si>
  <si>
    <t>https://doodstream.com/d/5gb9lqi8azc6/</t>
  </si>
  <si>
    <t>https://lulustream.com/d/6a1ng2acsyyg</t>
  </si>
  <si>
    <t>#MILF, #BigTits, #Hardcore, #Bigass, #Latina, #Artporn, #Stepmom, #Blowjob, #Amateur, #Hotwife, #Deepthroat, #Facial</t>
  </si>
  <si>
    <t>#MILF #BigTits #Hardcore #Bigass #Latina #Artporn</t>
  </si>
  <si>
    <t>https://thumb.tapecontent.net/thumb/WZ4ZZXd2DgcblRg/Bzw1gwK6ARCyXoy.jpg</t>
  </si>
  <si>
    <t>Violet Myers - 87190925 - Onlyfans.jpg</t>
  </si>
  <si>
    <t>https://doodstream.com/d/ra8geunks1i3/</t>
  </si>
  <si>
    <t>https://lulustream.com/d/n1ljoac1pkan</t>
  </si>
  <si>
    <t>https://thumb.tapecontent.net/thumb/RXlOVpGl4ztX7d/owXek9yRqeSOl4.jpg</t>
  </si>
  <si>
    <t>Violet Myers - 87442420 - Onlyfans.jpg</t>
  </si>
  <si>
    <t>https://doodstream.com/d/bhxn3iir1np3/</t>
  </si>
  <si>
    <t>https://lulustream.com/d/fe8cqreduxgl</t>
  </si>
  <si>
    <t>https://thumb.tapecontent.net/thumb/x2wJMg2KKlSje0/X2ljv3Qbg6UDkbb.jpg</t>
  </si>
  <si>
    <t>Violet Myers - 89461594 - ripnsfw.com - Lena the plug.jpg</t>
  </si>
  <si>
    <t>https://doodstream.com/d/i051w3ymlb3y/</t>
  </si>
  <si>
    <t>https://lulustream.com/d/gzy7wian6751</t>
  </si>
  <si>
    <t>#MILF #BigTits #Hardcore #Threesome #Bigass #Latina #Blowjob #Amateur #Hotwife</t>
  </si>
  <si>
    <t>https://thumb.tapecontent.net/thumb/xgx9AwR2jgu9qV/9kp3yPP7PAfal3p.jpg</t>
  </si>
  <si>
    <t>Violet Myers - 90005104 - Onlyfans.jpg</t>
  </si>
  <si>
    <t>https://doodstream.com/d/cnctkvc1xtg4/</t>
  </si>
  <si>
    <t>https://lulustream.com/d/yeoi6r0sxx9i</t>
  </si>
  <si>
    <t>https://thumb.tapecontent.net/thumb/79ZVL0QRYeTxWr/26Lkkxd3pKuZ7OA.jpg</t>
  </si>
  <si>
    <t>Violet Myers - 92812758 - Onlyfans.jpg</t>
  </si>
  <si>
    <t>https://doodstream.com/d/q6aojmowapev/</t>
  </si>
  <si>
    <t>https://lulustream.com/d/w19ln2qv4nug</t>
  </si>
  <si>
    <t>https://thumb.tapecontent.net/thumb/XjXyAq849JS3J8/YDLXd91DlecvVAQ.jpg</t>
  </si>
  <si>
    <t>Violet Myers - 96688536 - Onlyfans.jpg</t>
  </si>
  <si>
    <t>https://doodstream.com/d/fns4tu6wn1jm/</t>
  </si>
  <si>
    <t>https://lulustream.com/d/q1cae03i65z0</t>
  </si>
  <si>
    <t>https://thumb.tapecontent.net/thumb/g00dDr47evHqlp7/jWbxxKPrLefJJl.jpg</t>
  </si>
  <si>
    <t>Violet Myers - 99229329 - Onlyfans - Lena the plug.jpg</t>
  </si>
  <si>
    <t>https://doodstream.com/d/v5yp4xh38npg/</t>
  </si>
  <si>
    <t>https://lulustream.com/d/rmigrup740kr</t>
  </si>
  <si>
    <t>https://thumb.tapecontent.net/thumb/ZVwqb2ZOv1TyAj/Q1dkZ16dqdFwYy.jpg</t>
  </si>
  <si>
    <t>Violet Ray - 56804782 - ExploitedCollegeGirls.jpg</t>
  </si>
  <si>
    <t>https://doodstream.com/d/9ovcilm31wrs/</t>
  </si>
  <si>
    <t>https://lulustream.com/d/l12h7m4ik63f</t>
  </si>
  <si>
    <t>#Casting, #Hardcore, #Porn, #Teen</t>
  </si>
  <si>
    <t>#Casting #Hardcore #Porn #Teen</t>
  </si>
  <si>
    <t>https://thumb.tapecontent.net/thumb/Qb4lrA6oW9i0LAe/9O4y2MgGWOsBQb.jpg</t>
  </si>
  <si>
    <t>Vivian Taylor - 21079570 - BR.jpg</t>
  </si>
  <si>
    <t>https://doodstream.com/d/j0mu5xt7gj2n/</t>
  </si>
  <si>
    <t>https://lulustream.com/d/1rlemxm0wf0c</t>
  </si>
  <si>
    <t>https://thumb.tapecontent.net/thumb/ZJX2rJYMW1TqAaM/AKZ89OxVXbIw0g.jpg</t>
  </si>
  <si>
    <t>Vivian Taylor - 22537547 - Onlyfans.jpg</t>
  </si>
  <si>
    <t>https://doodstream.com/d/lr55d6vg4rxt/</t>
  </si>
  <si>
    <t>https://lulustream.com/d/ibo8soj9yda3</t>
  </si>
  <si>
    <t>https://thumb.tapecontent.net/thumb/zQzYpD9va8iYDrW/BOmRWdeg4Yi96A.jpg</t>
  </si>
  <si>
    <t>Vivian Taylor - 23340937 - Onlyfans.jpg</t>
  </si>
  <si>
    <t>https://doodstream.com/d/jgcm9da2cdmr/</t>
  </si>
  <si>
    <t>https://lulustream.com/d/wbd5gw5fn0yi</t>
  </si>
  <si>
    <t>https://thumb.tapecontent.net/thumb/mqz0dBX47LCbwem/Y8breKq44khv8Va.jpg</t>
  </si>
  <si>
    <t>Vivian Taylor - 23782061 - MPF.jpg</t>
  </si>
  <si>
    <t>https://doodstream.com/d/tq05gs2smzfz/</t>
  </si>
  <si>
    <t>https://lulustream.com/d/074f4yzskpc8</t>
  </si>
  <si>
    <t>#MILF, #BigTits, #Hardcore, #Bigass, #Porn, #Blowjob, #Hotwife, #Deepthroat, #Facial</t>
  </si>
  <si>
    <t>https://thumb.tapecontent.net/thumb/be307xGgX8uPwAv/Jy3wvZJag7Ie0x.jpg</t>
  </si>
  <si>
    <t>Vivian Taylor - 27988189 - ripnsfw.com.jpg</t>
  </si>
  <si>
    <t>https://doodstream.com/d/8gyk27yeyk8g/</t>
  </si>
  <si>
    <t>https://lulustream.com/d/5meu70yjhetk</t>
  </si>
  <si>
    <t>#MILF, #BigTits, #Hardcore, #Black, #Bigass, #Interracial, #Porn, #Blowjob, #Facial, #Deepthroat</t>
  </si>
  <si>
    <t>https://thumb.tapecontent.net/thumb/rexl2Q281yubb8y/dpk0OyXkW4HkJKX.jpg</t>
  </si>
  <si>
    <t>Vivian Taylor - 30693922 - Onlyfans.jpg</t>
  </si>
  <si>
    <t>https://doodstream.com/d/6lpc86h2ai7x/</t>
  </si>
  <si>
    <t>https://lulustream.com/d/25j6wvyvayo4</t>
  </si>
  <si>
    <t>https://thumb.tapecontent.net/thumb/GpdVX1v2YVudk9/QPvJm6LokJcR6K.jpg</t>
  </si>
  <si>
    <t>Vivian Taylor - 31149052 - ripnsfw.com.jpg</t>
  </si>
  <si>
    <t>https://doodstream.com/d/hpt9g8zfb1kw/</t>
  </si>
  <si>
    <t>https://lulustream.com/d/3z3mm60onm64</t>
  </si>
  <si>
    <t>#BigTits, #Hardcore, #Black, #Interracial, #Bigass, #Porn, #Teen, #Blowjob, #Deepthroat, #Facial, #Footjob</t>
  </si>
  <si>
    <t>#BigTits #Hardcore #Black #Interracial #Bigass #Porn #Teen #Blowjob #Deepthroat #Facial #Footjob</t>
  </si>
  <si>
    <t>https://thumb.tapecontent.net/thumb/7GPxxdwgPlfAr1e/Bjz6AVZQJwhQql.jpg</t>
  </si>
  <si>
    <t>Vivian Taylor - 34896965 - Onlyfans.jpg</t>
  </si>
  <si>
    <t>https://doodstream.com/d/9t1x90jftvk7/</t>
  </si>
  <si>
    <t>https://lulustream.com/d/rnk8zu4tsxzh</t>
  </si>
  <si>
    <t>https://thumb.tapecontent.net/thumb/QDZ03Bvqp0C000v/01p8rzrBzYUb3d6.jpg</t>
  </si>
  <si>
    <t>Vivian Taylor - 39152588 - ripnsfw.com.jpg</t>
  </si>
  <si>
    <t>https://doodstream.com/d/b3iql8ao00ns/</t>
  </si>
  <si>
    <t>https://lulustream.com/d/rttcxjsxbti9</t>
  </si>
  <si>
    <t>https://thumb.tapecontent.net/thumb/qKOe03D3vlfz0Jj/KXDBA8031mFJdx.jpg</t>
  </si>
  <si>
    <t>Vivian Taylor - 41045332 - ripnsfw.com.jpg</t>
  </si>
  <si>
    <t>https://doodstream.com/d/9i7iezlk7cou/</t>
  </si>
  <si>
    <t>https://lulustream.com/d/kx13krhjaiwe</t>
  </si>
  <si>
    <t>https://thumb.tapecontent.net/thumb/dqKlp9DG71hkKD4/PLG7KvvaPatgo4.jpg</t>
  </si>
  <si>
    <t>Vivian Taylor - 42892117 - Onlyfans.jpg</t>
  </si>
  <si>
    <t>https://doodstream.com/d/4znzisvz8z86/</t>
  </si>
  <si>
    <t>https://lulustream.com/d/crt7140cusez</t>
  </si>
  <si>
    <t>https://thumb.tapecontent.net/thumb/eLwO7wo32bSkKe/OYBRylW71XfZyMo.jpg</t>
  </si>
  <si>
    <t>Vivian Taylor - 44884635 - ripnsfw.com.jpg</t>
  </si>
  <si>
    <t>https://doodstream.com/d/7vyrkjvdc4j7/</t>
  </si>
  <si>
    <t>https://lulustream.com/d/7wtvmlsi7b05</t>
  </si>
  <si>
    <t>#MILF, #BigTits, #Hardcore, #Black, #Threesome, #Interracial, #Bigass, #Porn, #Blowjob, #Deepthroat</t>
  </si>
  <si>
    <t>#MILF #BigTits #Hardcore #Black #Threesome #Interracial #Bigass #Porn</t>
  </si>
  <si>
    <t>https://thumb.tapecontent.net/thumb/AXzL1XGYz1uBgB/1LPQkQ8pmRUe4oD.jpg</t>
  </si>
  <si>
    <t>Vivian Taylor - 53117148 - Onlyfans.jpg</t>
  </si>
  <si>
    <t>https://doodstream.com/d/315vbdirsmps/</t>
  </si>
  <si>
    <t>https://lulustream.com/d/wakcrirpcm87</t>
  </si>
  <si>
    <t>https://thumb.tapecontent.net/thumb/mDk21K0MoQfbZD4/zl32BbL07jtYdpQ.jpg</t>
  </si>
  <si>
    <t>Vivian Taylor - 61592313 - Onlyfans.jpg</t>
  </si>
  <si>
    <t>https://doodstream.com/d/5mvco2u5y62o/</t>
  </si>
  <si>
    <t>https://lulustream.com/d/g6e9o28for03</t>
  </si>
  <si>
    <t>https://thumb.tapecontent.net/thumb/Qg8KDXbXZWCJ9K/xyPbW7pDAysq4a.jpg</t>
  </si>
  <si>
    <t>Vivian Taylor - 66850404 - ripnsfw.com.jpg</t>
  </si>
  <si>
    <t>https://doodstream.com/d/4zcqn5lf1qsj/</t>
  </si>
  <si>
    <t>https://lulustream.com/d/d2swwq2jwyil</t>
  </si>
  <si>
    <t>https://thumb.tapecontent.net/thumb/dKw10jRyBpckRZ4/kwQWerK3RwsOjkX.jpg</t>
  </si>
  <si>
    <t>Vivian Taylor - 67870189 - Onlyfans.jpg</t>
  </si>
  <si>
    <t>https://doodstream.com/d/y25vp7ac0a36/</t>
  </si>
  <si>
    <t>https://lulustream.com/d/ze3s49ol6w44</t>
  </si>
  <si>
    <t>https://thumb.tapecontent.net/thumb/Zw9W672DJehMoM/o2JYp3azXXhJXwl.jpg</t>
  </si>
  <si>
    <t>Vivian Taylor - 70927654 - ripnsfw.com.jpg</t>
  </si>
  <si>
    <t>https://doodstream.com/d/g2q8ah4t4zbn/</t>
  </si>
  <si>
    <t>https://lulustream.com/d/35fk9sqbf3zk</t>
  </si>
  <si>
    <t>https://thumb.tapecontent.net/thumb/QgM17X13bdt0bqk/z33Ov9wmbJcYDrV.jpg</t>
  </si>
  <si>
    <t>Vivian Taylor - 74834685 - TMW.jpg</t>
  </si>
  <si>
    <t>https://doodstream.com/d/rv6h6rjpyi1a/</t>
  </si>
  <si>
    <t>https://lulustream.com/d/qt4osndwmvgu</t>
  </si>
  <si>
    <t>https://thumb.tapecontent.net/thumb/QbVOvAx3YLF0lDm/vWWqAKdY96Ca0o.jpg</t>
  </si>
  <si>
    <t>Vivian Taylor - 76201123 - Bang.jpg</t>
  </si>
  <si>
    <t>https://doodstream.com/d/xxyk9eci3w8t/</t>
  </si>
  <si>
    <t>https://lulustream.com/d/gqeffat6evds</t>
  </si>
  <si>
    <t>https://thumb.tapecontent.net/thumb/QKdy96gB0gUyq7/DaDeMv2LJ7Tk1jA.jpg</t>
  </si>
  <si>
    <t>Vivian Taylor - 78534742 - ripnsfw.com.jpg</t>
  </si>
  <si>
    <t>https://doodstream.com/d/b06dcfzc1jq2/</t>
  </si>
  <si>
    <t>https://lulustream.com/d/6122y6inry27</t>
  </si>
  <si>
    <t>#MILF #BigTits #Hardcore #Bigass #Blowjob #Amateur #Blonde</t>
  </si>
  <si>
    <t>https://thumb.tapecontent.net/thumb/RmPQ0adzWgcdbaV/qyGYOaa73ZtL2B.jpg</t>
  </si>
  <si>
    <t>Vivian Taylor - 83159571 - Onlyfans.jpg</t>
  </si>
  <si>
    <t>https://doodstream.com/d/2a6iwow6htaa/</t>
  </si>
  <si>
    <t>https://lulustream.com/d/2prwpdfo6h57</t>
  </si>
  <si>
    <t>https://thumb.tapecontent.net/thumb/DQl2vlko2jTkgvY/a4M8z4R420Ub4O.jpg</t>
  </si>
  <si>
    <t>Vivian Taylor - 94947900 - ripnsfw.com.jpg</t>
  </si>
  <si>
    <t>https://doodstream.com/d/ueihhaghw38u/</t>
  </si>
  <si>
    <t>https://lulustream.com/d/vbo8hqnpz6ex</t>
  </si>
  <si>
    <t>https://thumb.tapecontent.net/thumb/mgdLjgk6l2Cbaw4/pr6DxA2K1YixaO.jpg</t>
  </si>
  <si>
    <t>Vivian Taylor - 94975125 - ripnsfw.com.jpg</t>
  </si>
  <si>
    <t>https://doodstream.com/d/gec7nyfmnpl2/</t>
  </si>
  <si>
    <t>https://lulustream.com/d/ux1fk1hm6ocu</t>
  </si>
  <si>
    <t>https://thumb.tapecontent.net/thumb/lDKVlOOLzaFBO4/1xRdpxkPRdFya4.jpg</t>
  </si>
  <si>
    <t>Vivian Taylor - 96078743 - ripnsfw.com.jpg</t>
  </si>
  <si>
    <t>https://doodstream.com/d/6uhhjkdixzui/</t>
  </si>
  <si>
    <t>https://lulustream.com/d/6jr4sapyl4yp</t>
  </si>
  <si>
    <t>https://thumb.tapecontent.net/thumb/ZbDxXrj6vxFRbw/vVkARAobGkf4RvO.jpg</t>
  </si>
  <si>
    <t>Vivian Taylor - 99978734 - ripnsfw.com.jpg</t>
  </si>
  <si>
    <t>https://doodstream.com/d/z636wk73z8ug/</t>
  </si>
  <si>
    <t>https://lulustream.com/d/3jy3zsscurn3</t>
  </si>
  <si>
    <t>#MILF, #BigTits, #Creampie, #Hardcore, #Bigass, #Amateur, #Blowjob</t>
  </si>
  <si>
    <t>https://thumb.tapecontent.net/thumb/0JlxZMGMZ4iL1X/X1ZMyryv3VFWYr.jpg</t>
  </si>
  <si>
    <t>Wild Halli - 81526399 - Onlyfans.jpg</t>
  </si>
  <si>
    <t>https://doodstream.com/d/jn5y96nr9sll/</t>
  </si>
  <si>
    <t>https://lulustream.com/d/1rmn06ii4y9w</t>
  </si>
  <si>
    <t>https://thumb.tapecontent.net/thumb/LDA44W8VpZTR2Yv/OAD6eJWxw7CZy4Y.jpg</t>
  </si>
  <si>
    <t>Witchersdoll - 68351388 - ripnsfw.com.jpg</t>
  </si>
  <si>
    <t>https://doodstream.com/d/ht2mxxr35m0z/</t>
  </si>
  <si>
    <t>https://lulustream.com/d/gkgxv7qvhv5o</t>
  </si>
  <si>
    <t>#BigTits, #Hardcore, #Bigass, #Teen, #Roleplay, #Blowjob, #Amateur, #Facial</t>
  </si>
  <si>
    <t>https://thumb.tapecontent.net/thumb/7P0b7jPqJgFAgxx/bq8g81MKvRuJvy.jpg</t>
  </si>
  <si>
    <t>Yuiwoo - 35203460 - Onlyfans.jpg</t>
  </si>
  <si>
    <t>https://doodstream.com/d/ht09ip6ybqwp/</t>
  </si>
  <si>
    <t>https://lulustream.com/d/4865g3g49ncq</t>
  </si>
  <si>
    <t>#Teen, #Blowjob, #Amateur, #Blonde</t>
  </si>
  <si>
    <t>#Teen #Blowjob #Amateur #Blonde</t>
  </si>
  <si>
    <t>https://thumb.tapecontent.net/thumb/vLMRworRj0I40ex/rK0LVdmD8yi3oq.jpg</t>
  </si>
  <si>
    <t>Yuiwoo - 38709626 - Onlyfans.jpg</t>
  </si>
  <si>
    <t>https://doodstream.com/d/vp95a8ljqbgk/</t>
  </si>
  <si>
    <t>https://lulustream.com/d/lu88yaebpfhe</t>
  </si>
  <si>
    <t>https://thumb.tapecontent.net/thumb/ekqPXQ9P4Dfo4v/mQvrPkYLGmib1eA.jpg</t>
  </si>
  <si>
    <t>ZiaFox - 37596286 - Onlyfans.jpg</t>
  </si>
  <si>
    <t>https://doodstream.com/d/6m7k0d7i3xdp/</t>
  </si>
  <si>
    <t>https://lulustream.com/d/u9s8ndol074x</t>
  </si>
  <si>
    <t>#Teen, #Artporn, #Blowjob, #Amateur, #Teens, #Deepthroat, #Facial</t>
  </si>
  <si>
    <t>#Teen #Artporn #Blowjob #Amateur</t>
  </si>
  <si>
    <t>https://thumb.tapecontent.net/thumb/wDJ4VLapARtJJjq/Al1JQLGxrPIXpZl.jpg</t>
  </si>
  <si>
    <t>Lauren Phillips - 88227658 - ripnsfw.com.jpg</t>
  </si>
  <si>
    <t>https://doodstream.com/d/tnwrko0xvsce/</t>
  </si>
  <si>
    <t>https://lulustream.com/d/1a6jj2rp1qai</t>
  </si>
  <si>
    <t>https://thumb.tapecontent.net/thumb/Oe0mm8lJ9DFZvdz/qJkZjXXddRfALj.jpg</t>
  </si>
  <si>
    <t>Melody Marks - 52689070 - ripnsfw.com - Lexi Lore.jpg</t>
  </si>
  <si>
    <t>https://doodstream.com/d/7529yqz351k1/</t>
  </si>
  <si>
    <t>https://lulustream.com/d/4mek0h25mp8x</t>
  </si>
  <si>
    <t>#BigTits, #Hardcore, #Black, #Interracial, #Porn, #Teen, #Teens, #Blowjob, #Deepthroat, #Blonde, #Facial</t>
  </si>
  <si>
    <t>https://thumb.tapecontent.net/thumb/d3MJlqo22QhgeQ/oAyzD6eXdlsJ0XO.jpg</t>
  </si>
  <si>
    <t>Dani Daniels - 15999002 - ripnsfw.com.jpg</t>
  </si>
  <si>
    <t>https://doodstream.com/d/9tzfdytpppnk/</t>
  </si>
  <si>
    <t>https://lulustream.com/d/zobh67ng0akb</t>
  </si>
  <si>
    <t>https://thumb.tapecontent.net/thumb/4DJlZO9glxHKqMk/yBPdKgR3V7skQe.jpg</t>
  </si>
  <si>
    <t>Savannah Bond - 43230045 - ripnsfw.com.jpg</t>
  </si>
  <si>
    <t>https://doodstream.com/d/5k05n87r4nv5/</t>
  </si>
  <si>
    <t>https://lulustream.com/d/k661x2wa5dy0</t>
  </si>
  <si>
    <t>https://thumb.tapecontent.net/thumb/evQWejwDpQcO9e/apkLLapJo7S29G.jpg</t>
  </si>
  <si>
    <t>Savannah Bond - 57797769 - ripnsfw.com.jpg</t>
  </si>
  <si>
    <t>https://doodstream.com/d/03st6n6thdjh/</t>
  </si>
  <si>
    <t>https://lulustream.com/d/szfbofb9p2tx</t>
  </si>
  <si>
    <t>https://thumb.tapecontent.net/thumb/YZGjP4MMRXFvYop/7jeOARRd7KtJlr.jpg</t>
  </si>
  <si>
    <t>Audrey Bitoni - 43598517 - ripnsfw.com.jpg</t>
  </si>
  <si>
    <t>https://doodstream.com/d/rj21im27iw2v/</t>
  </si>
  <si>
    <t>https://lulustream.com/d/i3bhatrz455b</t>
  </si>
  <si>
    <t>#MILF, #BigTits, #Hardcore, #Porn, #Blowjob, #Deepthroat, #Facial</t>
  </si>
  <si>
    <t>#MILF #BigTits #Hardcore #Porn #Blowjob #Deepthroat #Facial</t>
  </si>
  <si>
    <t>https://thumb.tapecontent.net/thumb/Or3QDpLG6ZsZv4y/yGzpX19O4RS1zqA.jpg</t>
  </si>
  <si>
    <t>Dallas - 79482146 - ripnsfw.com.jpg</t>
  </si>
  <si>
    <t>https://doodstream.com/d/msbdrz49auwo/</t>
  </si>
  <si>
    <t>https://lulustream.com/d/u9hkyyat701p</t>
  </si>
  <si>
    <t>#Anal, #BigTits, #Hardcore, #Threesome, #Bigass, #Porn, #Teen, #Casting, #Blowjob, #Deepthroat, #Blonde, #DoublePenetration</t>
  </si>
  <si>
    <t>#Anal #BigTits #Hardcore #Threesome #Bigass #Porn #Teen #Casting</t>
  </si>
  <si>
    <t>https://thumb.tapecontent.net/thumb/VWAABQjYXDcKvy8/YOQbPylO06Iv8PG.jpg</t>
  </si>
  <si>
    <t>Angel Youngs - 99978168 - ripnsfw.com - Angela White.jpg</t>
  </si>
  <si>
    <t>https://doodstream.com/d/wllnqzp4xqm9/</t>
  </si>
  <si>
    <t>https://lulustream.com/d/2jmyok09qkcx</t>
  </si>
  <si>
    <t>https://thumb.tapecontent.net/thumb/kKMZvrg4zpFO4Og/YqD8dZBLbPhvVWL.jpg</t>
  </si>
  <si>
    <t>Angela White - 18835676 - ripnsfw.com.jpg</t>
  </si>
  <si>
    <t>https://doodstream.com/d/hgh27vn7albd/</t>
  </si>
  <si>
    <t>https://lulustream.com/d/5phe9e2ee347</t>
  </si>
  <si>
    <t>https://thumb.tapecontent.net/thumb/dpbVzeq3zjCkqjb/Qww744X0zvtGla.jpg</t>
  </si>
  <si>
    <t>Elly Clutch - 19643052 - ripnsfw.com.jpg</t>
  </si>
  <si>
    <t>https://doodstream.com/d/0tf2h6dzy9cl/</t>
  </si>
  <si>
    <t>https://lulustream.com/d/oc4zqno6esxi</t>
  </si>
  <si>
    <t>#BigTits, #Hardcore, #Teen, #Blowjob, #Amateur, #Deepthroat</t>
  </si>
  <si>
    <t>https://thumb.tapecontent.net/thumb/pl2aYvqjo3Ur88d/1BPxBG4kPLsJPk.jpg</t>
  </si>
  <si>
    <t>JackandJill - 77873799 - ripnsfw.com.jpg</t>
  </si>
  <si>
    <t>https://doodstream.com/d/8ypaktfh3n7l/</t>
  </si>
  <si>
    <t>https://lulustream.com/d/zeg9bpp14cg6</t>
  </si>
  <si>
    <t>#MILF, #BigTits, #Hardcore, #Blowjob, #Amateur, #Deepthroat, #Blonde</t>
  </si>
  <si>
    <t>#MILF #BigTits #Hardcore #Blowjob #Amateur #Deepthroat</t>
  </si>
  <si>
    <t>https://thumb.tapecontent.net/thumb/gdaa6lzomaTqqe3/Dj88OpMKRDTGV7.jpg</t>
  </si>
  <si>
    <t>Riley Reid - 74517398 - ripnsfw.com.jpg</t>
  </si>
  <si>
    <t>https://doodstream.com/d/yf3qsazyl9t4/</t>
  </si>
  <si>
    <t>https://lulustream.com/d/clg9u6rpsojn</t>
  </si>
  <si>
    <t>#Anal, #Hardcore, #Gangbang, #Bigass, #Teen, #Blowjob, #Amateur, #DoublePenetration, #Deepthroat, #Facial</t>
  </si>
  <si>
    <t>#Anal #Hardcore #Gangbang #Bigass #Teen #Blowjob #Amateur #DoublePenetration</t>
  </si>
  <si>
    <t>https://thumb.tapecontent.net/thumb/A6q4BJbxZQuZZo/m3J8BDxXDYibADO.jpg</t>
  </si>
  <si>
    <t>Codi Vore - 54419516 - ripnsfw.com.jpg</t>
  </si>
  <si>
    <t>https://doodstream.com/d/kx9hvpvs57nm/</t>
  </si>
  <si>
    <t>https://lulustream.com/d/g3nipxhbmgiz</t>
  </si>
  <si>
    <t>#BigTits, #Hardcore, #Threesome, #Bigass, #Porn, #Teen, #Blowjob, #Blonde, #Facial</t>
  </si>
  <si>
    <t>#BigTits #Hardcore #Threesome #Bigass #Porn #Teen #Blowjob #Blonde #Facial</t>
  </si>
  <si>
    <t>https://thumb.tapecontent.net/thumb/ZDkomXkwWRIqDBp/GelV8Pxx3MC1Xvq.jpg</t>
  </si>
  <si>
    <t>Kimmy Granger - 68499628 - ripnsfw.com.jpg</t>
  </si>
  <si>
    <t>https://doodstream.com/d/j8hunxz8efji/</t>
  </si>
  <si>
    <t>https://lulustream.com/d/ozolotc03e3p</t>
  </si>
  <si>
    <t>#MILF, #BigTits, #Hardcore, #Creampie, #Blowjob, #Amateur, #Blonde</t>
  </si>
  <si>
    <t>#MILF #BigTits #Hardcore #Creampie #Blowjob #Amateur #Blonde</t>
  </si>
  <si>
    <t>https://thumb.tapecontent.net/thumb/ZyDmzWl1z2CqLrZ/PjyjWkyWzVS04A6.jpg</t>
  </si>
  <si>
    <t>Jewelz Blu - 72073394 - ripnsfw.com.jpg</t>
  </si>
  <si>
    <t>https://doodstream.com/d/yagu1ddssi7p/</t>
  </si>
  <si>
    <t>https://lulustream.com/d/5kndrr1rl87o</t>
  </si>
  <si>
    <t>#Anal, #MILF, #BigTits, #Hardcore, #Black, #Interracial, #Bigass, #Porn, #Blowjob, #Deepthroat</t>
  </si>
  <si>
    <t>#Anal #MILF #BigTits #Hardcore #Black #Interracial #Bigass #Porn #Blowjob #Deepthroat</t>
  </si>
  <si>
    <t>https://thumb.tapecontent.net/thumb/pbjqZ2OKJxFr9Pk/VVzW1OvqVVFyZV.jpg</t>
  </si>
  <si>
    <t>Bonnie Blue - 58246826 - ripnsfw.com.jpg</t>
  </si>
  <si>
    <t>https://doodstream.com/d/tlmz7vtyt1c3/</t>
  </si>
  <si>
    <t>https://lulustream.com/d/jc3q15tqlkuq</t>
  </si>
  <si>
    <t>#MILF, #BigTits, #Hardcore, #Threesome, #Bigass, #Blowjob, #Amateur, #Hotwife, #Deepthroat, #Blonde, #Pregnant</t>
  </si>
  <si>
    <t>#MILF #BigTits #Hardcore #Threesome #Bigass #Blowjob #Amateur #Hotwife #Deepthroat #Blonde #Pregnant</t>
  </si>
  <si>
    <t>https://thumb.tapecontent.net/thumb/wr14QV00MySJvKr/pd6QeOe6yphrd49.jpg</t>
  </si>
  <si>
    <t>Angela White - 99269914 - ripnsfw.com - Little Puck.jpg</t>
  </si>
  <si>
    <t>https://doodstream.com/d/vup3k9gsumvy/</t>
  </si>
  <si>
    <t>https://lulustream.com/d/h5o1bn2eoe53</t>
  </si>
  <si>
    <t>#MILF, #BigTits, #Hardcore, #Threesome, #Bigass, #Porn, #Roleplay, #Blowjob, #Amateur, #Deepthroat</t>
  </si>
  <si>
    <t>https://thumb.tapecontent.net/thumb/k2rmMBL2rkiO7La/ldGvWD244js7XyX.jpg</t>
  </si>
  <si>
    <t>Elly Clutch - 77597006 - ripnsfw.com.jpg</t>
  </si>
  <si>
    <t>https://doodstream.com/d/5ajdjcv8vbsy/</t>
  </si>
  <si>
    <t>https://lulustream.com/d/03njdkszx9p9</t>
  </si>
  <si>
    <t>#BigTits #Hardcore #Teen #Blowjob #Amateur #Facial</t>
  </si>
  <si>
    <t>https://thumb.tapecontent.net/thumb/K9bJRYLgpbc0xVq/JeX8bokD3VsjYOy.jpg</t>
  </si>
  <si>
    <t>Alanna Pow - 65985439 - ripnsfw.com.jpg</t>
  </si>
  <si>
    <t>https://doodstream.com/d/k2xigorbbls3/</t>
  </si>
  <si>
    <t>https://lulustream.com/d/qyhbx3lvreab</t>
  </si>
  <si>
    <t>#BigTits, #Hardcore, #Bigass, #Teen, #Blowjob, #Amateur, #Blonde, #Creampie</t>
  </si>
  <si>
    <t>https://thumb.tapecontent.net/thumb/pMa9r0bQAZcrvWP/WQYxmrZvyLH0BQ.jpg</t>
  </si>
  <si>
    <t>Angel Youngs - 15926635 - ripnsfw.com.jpg</t>
  </si>
  <si>
    <t>https://doodstream.com/d/ehv8rpktdy9b/</t>
  </si>
  <si>
    <t>https://lulustream.com/d/sseluw62w2h0</t>
  </si>
  <si>
    <t>https://thumb.tapecontent.net/thumb/V6VjG7k9wRCKAev/prOKJ34W9ZurZ82.jpg</t>
  </si>
  <si>
    <t>Chanel Camryn - 69640605 - ripnsfw.com.jpg</t>
  </si>
  <si>
    <t>https://doodstream.com/d/d46k2cii8k11/</t>
  </si>
  <si>
    <t>https://lulustream.com/d/6hh9ay372c0c</t>
  </si>
  <si>
    <t>#Hardcore, #Porn, #Teen, #Blowjob, #Facial</t>
  </si>
  <si>
    <t>https://thumb.tapecontent.net/thumb/8v2aBKWmDWFompl/vWYJm8mVGGf4y6e.jpg</t>
  </si>
  <si>
    <t>Cory Chase - 32061429 - ripnsfw.com.jpg</t>
  </si>
  <si>
    <t>https://doodstream.com/d/elwruvi8xe49/</t>
  </si>
  <si>
    <t>https://lulustream.com/d/pamg9csuj4ef</t>
  </si>
  <si>
    <t>#Anal, #MILF, #BigTits, #Hardcore, #Threesome, #Interracial, #Bigass, #Porn, #Blowjob, #DoublePenetration, #Mature, #Hotwife, #Deepthroat, #Blonde, #Facial</t>
  </si>
  <si>
    <t>#Anal #MILF #BigTits #Hardcore #Threesome #Interracial</t>
  </si>
  <si>
    <t>https://thumb.tapecontent.net/thumb/MXY42x00lOHm88v/y0W9RDGKr1u14PQ.jpg</t>
  </si>
  <si>
    <t>Dakota Lyn - 65009550 - ripnsfw.com.jpg</t>
  </si>
  <si>
    <t>https://doodstream.com/d/5nz08586807e/</t>
  </si>
  <si>
    <t>https://lulustream.com/d/tytihx7uelzr</t>
  </si>
  <si>
    <t>#Hardcore, #Porn, #Teen, #Blowjob, #Deepthroat, #Blonde, #Facial</t>
  </si>
  <si>
    <t>#Hardcore #Porn #Teen #Blowjob #Deepthroat #Blonde #Facial</t>
  </si>
  <si>
    <t>https://thumb.tapecontent.net/thumb/AKBO9zY9jpTwqY/qDrOG9e6A0FzVyx.jpg</t>
  </si>
  <si>
    <t>Eva Nyx - 65490161 - ripnsfw.com.jpg</t>
  </si>
  <si>
    <t>https://doodstream.com/d/ojw752meqnn5/</t>
  </si>
  <si>
    <t>https://lulustream.com/d/fzgujnsl4sj7</t>
  </si>
  <si>
    <t>#BigTits, #Creampie, #Hardcore, #Bigass, #Teen, #Porn, #Blowjob, #Blonde</t>
  </si>
  <si>
    <t>https://thumb.tapecontent.net/thumb/RLjPWaMkzBcdz32/eqzDKb7gOwFmGG.jpg</t>
  </si>
  <si>
    <t>Hot Pearl - 62415070 - ripnsfw.com.jpg</t>
  </si>
  <si>
    <t>https://doodstream.com/d/frfa2pqfz5vk/</t>
  </si>
  <si>
    <t>https://lulustream.com/d/570qgjqsrd33</t>
  </si>
  <si>
    <t>#Anal, #Hardcore, #Threesome, #Teen, #Blowjob, #Amateur</t>
  </si>
  <si>
    <t>#Anal #Hardcore #Threesome #Teen #Blowjob #Amateur</t>
  </si>
  <si>
    <t>https://thumb.tapecontent.net/thumb/Dlb7rep9zMT6mO/VBAqO9XQjBuKvW2.jpg</t>
  </si>
  <si>
    <t>Iris Leon - 64346618 - ripnsfw.com.jpg</t>
  </si>
  <si>
    <t>https://doodstream.com/d/auo6gpc2cubf/</t>
  </si>
  <si>
    <t>https://lulustream.com/d/ievnfaseak1q</t>
  </si>
  <si>
    <t>https://bunkr.cr/a/rLjdhdGN</t>
  </si>
  <si>
    <t>#BigTits, #Hardcore, #Piss, #Bigass, #Porn, #Teen, #Blowjob, #Deepthroat, #Facial</t>
  </si>
  <si>
    <t>#BigTits #Hardcore #Piss #Bigass #Porn #Teen #Blowjob #Deepthroat</t>
  </si>
  <si>
    <t>https://thumb.tapecontent.net/thumb/a2j9pgL9AkCx1g7/4AL8OyJ6kocKYMz.jpg</t>
  </si>
  <si>
    <t>Jewel Diamant - 91184699 - ripnsfw.com - Lena the plug.jpg</t>
  </si>
  <si>
    <t>https://doodstream.com/d/ej21wmj1kn2e/</t>
  </si>
  <si>
    <t>https://lulustream.com/d/h589o4idi0h6</t>
  </si>
  <si>
    <t>https://bunkr.cr/a/OtqAay78</t>
  </si>
  <si>
    <t>https://thumb.tapecontent.net/thumb/ygRRxAPGm8i1MmD/wZz4QgAG94uVZX.jpg</t>
  </si>
  <si>
    <t>Scarlet Chase - 37202021 - ripnsfw.com.jpg</t>
  </si>
  <si>
    <t>https://doodstream.com/d/frbu1lv7gm1p/</t>
  </si>
  <si>
    <t>https://lulustream.com/d/7hpxojxblf4f</t>
  </si>
  <si>
    <t>https://bunkr.pk/f/gpTYjRJ4ptDSd</t>
  </si>
  <si>
    <t>#Anal, #BigTits, #Hardcore, #Bigass, #Teen, #Blowjob, #Amateur, #Deepthroat, #Blonde</t>
  </si>
  <si>
    <t>#Anal #BigTits #Hardcore #Bigass #Teen #Blowjob #Amateur #Deepthroat #Blonde</t>
  </si>
  <si>
    <t>https://thumb.tapecontent.net/thumb/pdVvG7XxR7FryQa/xg0JKkQkJMfkPZA.jpg</t>
  </si>
  <si>
    <t>Scarlett - 18238704 - ripnsfw.com.jpg</t>
  </si>
  <si>
    <t>https://doodstream.com/d/wfwsvwmam6b4/</t>
  </si>
  <si>
    <t>https://lulustream.com/d/x39m65m6l3xx</t>
  </si>
  <si>
    <t>https://bunkr.pk/f/NEWjF0TEEHlQt</t>
  </si>
  <si>
    <t>#BigTits, #Hardcore, #Porn, #Blowjob, #Facial</t>
  </si>
  <si>
    <t>#BigTits #Hardcore #Porn #Blowjob</t>
  </si>
  <si>
    <t>https://thumb.tapecontent.net/thumb/a21lm0povVCxR28/JA4rxQ84lrfjX2p.jpg</t>
  </si>
  <si>
    <t>Wendy Marvell - 58763065 - ripnsfw.com.jpg</t>
  </si>
  <si>
    <t>https://doodstream.com/d/sl0xz6l9gne6/</t>
  </si>
  <si>
    <t>https://lulustream.com/d/ban6qd99gspv</t>
  </si>
  <si>
    <t>#Anal, #BigTits, #Hardcore, #Porn, #Teen, #Blowjob, #Facial</t>
  </si>
  <si>
    <t>https://thumb.tapecontent.net/thumb/3aR4OaPkQ8hdw33/djb9BabYMpUgwX.jpg</t>
  </si>
  <si>
    <t>Angela White - 77762607 - ripnsfw.com.jpg</t>
  </si>
  <si>
    <t>https://doodstream.com/d/lm29kuked01f/</t>
  </si>
  <si>
    <t>https://lulustream.com/d/4hslkyyzmtfp</t>
  </si>
  <si>
    <t>https://bunkr.pk/f/UPA0FekFj5JEB</t>
  </si>
  <si>
    <t>#Anal, #MILF, #BigTits, #Hardcore, #Bigass, #Porn, #Blowjob, #Deepthroat</t>
  </si>
  <si>
    <t>https://thumb.tapecontent.net/thumb/DPlxVbewAXTkrlz/Zr10oObKwguKdR.jpg</t>
  </si>
  <si>
    <t>Cory Chase - 97797979 - ripnsfw.com.jpg</t>
  </si>
  <si>
    <t>https://doodstream.com/d/w1lzw9rt47il/</t>
  </si>
  <si>
    <t>https://lulustream.com/d/544rc5hsvlfa</t>
  </si>
  <si>
    <t>https://bunkr.pk/f/eDfXTiEJaD0cB</t>
  </si>
  <si>
    <t>#Anal, #MILF, #BigTits, #Hardcore, #Black, #Interracial, #Bigass, #Porn, #Blowjob, #Hotwife, #Mature, #Deepthroat, #Blonde, #Facial</t>
  </si>
  <si>
    <t>https://thumb.tapecontent.net/thumb/xe8QOYJvgwFk4Z7/agDM7VxVD3Txr9r.jpg</t>
  </si>
  <si>
    <t>Dani Daniels - 88978315 - ripnsfw.com.jpg</t>
  </si>
  <si>
    <t>https://doodstream.com/d/4fs8ir27dvuj/</t>
  </si>
  <si>
    <t>https://lulustream.com/d/9u3dkj6lmilo</t>
  </si>
  <si>
    <t>https://bunkr.pk/f/Ng56uvY56cR5g</t>
  </si>
  <si>
    <t>https://thumb.tapecontent.net/thumb/yxAA89B93yH1Gew/DoYg19YxbeH67B.jpg</t>
  </si>
  <si>
    <t>Lauren Phillips - 51000890 - ripnsfw.com.jpg</t>
  </si>
  <si>
    <t>https://doodstream.com/d/61ipexl7zv8u/</t>
  </si>
  <si>
    <t>https://lulustream.com/d/slxlkk9xzghy</t>
  </si>
  <si>
    <t>https://bunkr.pk/f/YR2sxgX1lgi1l</t>
  </si>
  <si>
    <t>#MILF, #BigTits, #Hardcore, #Bigass, #Porn, #Blowjob, #Rimjob</t>
  </si>
  <si>
    <t>https://thumb.tapecontent.net/thumb/OY08ZDDqBpU1BV/9BLGdD4XbMHa3Ja.jpg</t>
  </si>
  <si>
    <t>Melody Marks - 14814003 - ripnsfw.com.jpg</t>
  </si>
  <si>
    <t>https://doodstream.com/d/0b6tip4s9ck1/</t>
  </si>
  <si>
    <t>https://lulustream.com/d/7whdeuiaxloh</t>
  </si>
  <si>
    <t>https://bunkr.pk/f/VGxzOe9VJYz0t</t>
  </si>
  <si>
    <t>#BigTits, #Hardcore, #Porn, #Teen, #Blowjob, #Deepthroat, #Amateur, #Blonde</t>
  </si>
  <si>
    <t>https://thumb.tapecontent.net/thumb/1D230VxDzVCe4qL/7zG1xJ8ez1txaD.jpg</t>
  </si>
  <si>
    <t>Savannah Bond - 89639486 - ripnsfw.com.jpg</t>
  </si>
  <si>
    <t>https://doodstream.com/d/etbvn6zrha46/</t>
  </si>
  <si>
    <t>https://lulustream.com/d/mxz0ouee6tb2</t>
  </si>
  <si>
    <t>https://bunkr.pk/f/PhMNK9EAdAjal</t>
  </si>
  <si>
    <t>#MILF, #BigTits, #Hardcore, #Black, #Interracial, #Bigass, #Porn, #Roleplay, #Blowjob, #Deepthroat, #Blonde</t>
  </si>
  <si>
    <t>https://thumb.tapecontent.net/thumb/VmjOjWG1lXCyw6/OJVj7ovp6OUZBkA.jpg</t>
  </si>
  <si>
    <t>Vivian Taylor - 52516759 - ripnsfw.com.jpg</t>
  </si>
  <si>
    <t>https://doodstream.com/d/d8ldui0um55e/</t>
  </si>
  <si>
    <t>https://lulustream.com/d/nths7amrmmij</t>
  </si>
  <si>
    <t>https://bunkr.pk/f/uaXEnql9olDwD</t>
  </si>
  <si>
    <t>#MILF, #BigTits, #Hardcore, #Bigass, #Porn, #Blowjob, #Deepthroat, #Facial</t>
  </si>
  <si>
    <t>https://thumb.tapecontent.net/thumb/4vGp2JRrqxCKobZ/yxmXyxvRJXuOBL.jpg</t>
  </si>
  <si>
    <t>https://doodstream.com/d/CODE/</t>
  </si>
  <si>
    <t>https://lulustream.com/d/CODE</t>
  </si>
  <si>
    <t>VIDEO</t>
  </si>
  <si>
    <t>VIEWS</t>
  </si>
  <si>
    <t>ripnsfw222.mp4</t>
  </si>
  <si>
    <t>Addison Vodka</t>
  </si>
  <si>
    <t>#teen #blonde #lingerie #wife</t>
  </si>
  <si>
    <t>#Anal</t>
  </si>
  <si>
    <t>Adriana Chechik</t>
  </si>
  <si>
    <t>#milf #bigtits #bigass #pornstar</t>
  </si>
  <si>
    <t>#French</t>
  </si>
  <si>
    <t>Alanna Pow</t>
  </si>
  <si>
    <t>#teen #bigtits #bigass #blonde</t>
  </si>
  <si>
    <t>#MILF</t>
  </si>
  <si>
    <t>Alexa Pearl</t>
  </si>
  <si>
    <t>#milf #bigtits #brunette #hotwife</t>
  </si>
  <si>
    <t>#BigTits</t>
  </si>
  <si>
    <t>Alexis Texas</t>
  </si>
  <si>
    <t>#milf #bigass #blonde #pornstar</t>
  </si>
  <si>
    <t>#Casting</t>
  </si>
  <si>
    <t>AlicexMaia</t>
  </si>
  <si>
    <t>#Lesbian</t>
  </si>
  <si>
    <t>Alina</t>
  </si>
  <si>
    <t>#Creampie</t>
  </si>
  <si>
    <t>Amy Rose</t>
  </si>
  <si>
    <t>#Hardcore</t>
  </si>
  <si>
    <t>Angel Youngs</t>
  </si>
  <si>
    <t>#teen #blonde #bigtits #pornstar</t>
  </si>
  <si>
    <t>#Asian</t>
  </si>
  <si>
    <t>Angela White</t>
  </si>
  <si>
    <t>#Gangbang</t>
  </si>
  <si>
    <t>Angie Faith</t>
  </si>
  <si>
    <t>#Piss</t>
  </si>
  <si>
    <t>Anna</t>
  </si>
  <si>
    <t>#teen #bigtits #brunette #bigass</t>
  </si>
  <si>
    <t>#Trans</t>
  </si>
  <si>
    <t>Arabelle Raphael</t>
  </si>
  <si>
    <t>#milf #bigass #bigtits #pornstar</t>
  </si>
  <si>
    <t>#Black</t>
  </si>
  <si>
    <t>Asa Akira</t>
  </si>
  <si>
    <t>#milf #asian #bigtits #pornstar</t>
  </si>
  <si>
    <t>#Threesome</t>
  </si>
  <si>
    <t>Autumn Falls</t>
  </si>
  <si>
    <t>#bigtits #bigass #latina #pornstar</t>
  </si>
  <si>
    <t>#Interracial</t>
  </si>
  <si>
    <t>Ava Nicks</t>
  </si>
  <si>
    <t>#milf #bigtits #bigass #brunette</t>
  </si>
  <si>
    <t>#Bigass</t>
  </si>
  <si>
    <t>Bananapotato333</t>
  </si>
  <si>
    <t>#teen #bigtits #bigass #hotwife</t>
  </si>
  <si>
    <t>#Porn</t>
  </si>
  <si>
    <t>Blake Blossom</t>
  </si>
  <si>
    <t>#teen #bigtits #blonde #pornstar</t>
  </si>
  <si>
    <t>#Teen</t>
  </si>
  <si>
    <t>Bonnie Blue</t>
  </si>
  <si>
    <t>#Latina</t>
  </si>
  <si>
    <t>Brandy Renee</t>
  </si>
  <si>
    <t>#Roleplay</t>
  </si>
  <si>
    <t>Brenda Trindade</t>
  </si>
  <si>
    <t>#Squirt</t>
  </si>
  <si>
    <t>Britney Rose</t>
  </si>
  <si>
    <t>#teen #blonde #bigass #bigtits</t>
  </si>
  <si>
    <t>#Artporn</t>
  </si>
  <si>
    <t>BunnyDollStella</t>
  </si>
  <si>
    <t>#blonde #teen #bigtits #lingerie</t>
  </si>
  <si>
    <t>#Teens</t>
  </si>
  <si>
    <t>CallMeSlo</t>
  </si>
  <si>
    <t>#teen #bigtits #bigass #lingerie</t>
  </si>
  <si>
    <t>#Stepmom</t>
  </si>
  <si>
    <t>Chanel Camryn</t>
  </si>
  <si>
    <t>#teen #brunette #bigtits #pornstar</t>
  </si>
  <si>
    <t>#Blowjob</t>
  </si>
  <si>
    <t>Cherie Deville</t>
  </si>
  <si>
    <t>#DoublePenetration</t>
  </si>
  <si>
    <t>Cherry Crush</t>
  </si>
  <si>
    <t>#Transsexual</t>
  </si>
  <si>
    <t>Chloe Foxxe</t>
  </si>
  <si>
    <t>#brunette #bigtits #bigass #lingerie</t>
  </si>
  <si>
    <t>#Amateur</t>
  </si>
  <si>
    <t>Codi Vore</t>
  </si>
  <si>
    <t>#Mature</t>
  </si>
  <si>
    <t>Comatozze</t>
  </si>
  <si>
    <t>#Solo</t>
  </si>
  <si>
    <t>Cory Chase</t>
  </si>
  <si>
    <t>#milf #blonde #bigtits #pornstar</t>
  </si>
  <si>
    <t>#Hotwife</t>
  </si>
  <si>
    <t>Dainty Wilder</t>
  </si>
  <si>
    <t>#teen #bigtits #brunette #lingerie</t>
  </si>
  <si>
    <t>#Ebony</t>
  </si>
  <si>
    <t>Dani Daniels</t>
  </si>
  <si>
    <t>#Orgy</t>
  </si>
  <si>
    <t>Diamond Franco</t>
  </si>
  <si>
    <t>#teen #bigtits #bigass #brunette</t>
  </si>
  <si>
    <t>#Deepthroat</t>
  </si>
  <si>
    <t>Elle Brooke</t>
  </si>
  <si>
    <t>#Blonde</t>
  </si>
  <si>
    <t>Ellie Nova</t>
  </si>
  <si>
    <t>#teen #brunette #bigtits #bigass</t>
  </si>
  <si>
    <t>#Facial</t>
  </si>
  <si>
    <t>Elly Clutch</t>
  </si>
  <si>
    <t>#teen #bigtits #redhead #lingerie</t>
  </si>
  <si>
    <t>#Foursome</t>
  </si>
  <si>
    <t>Emily Walters</t>
  </si>
  <si>
    <t>#milf #blonde #bigtits #hotwife</t>
  </si>
  <si>
    <t>#Rimjob</t>
  </si>
  <si>
    <t>Emma Magnolia</t>
  </si>
  <si>
    <t>#milf #bigtits #bigass #redhead</t>
  </si>
  <si>
    <t>#Shemale</t>
  </si>
  <si>
    <t>Erin</t>
  </si>
  <si>
    <t>#teen #brunette #bigtits #lingerie</t>
  </si>
  <si>
    <t>#Public</t>
  </si>
  <si>
    <t>Eva Elfie</t>
  </si>
  <si>
    <t>#teen #blonde #bigtits #lingerie</t>
  </si>
  <si>
    <t>#Massage</t>
  </si>
  <si>
    <t>Eva Nyx</t>
  </si>
  <si>
    <t>#Footjob</t>
  </si>
  <si>
    <t>Gabbie Carter</t>
  </si>
  <si>
    <t>#milf #bigtits #blonde #pornstar</t>
  </si>
  <si>
    <t>#Rimming</t>
  </si>
  <si>
    <t>Gianna Dior</t>
  </si>
  <si>
    <t>#teen #brunette #bigass #pornstar</t>
  </si>
  <si>
    <t>#Fisting</t>
  </si>
  <si>
    <t>Gigi Talamini</t>
  </si>
  <si>
    <t>#Pregnant</t>
  </si>
  <si>
    <t>Gina Valentina</t>
  </si>
  <si>
    <t>GwenGwiz</t>
  </si>
  <si>
    <t>#blonde #bigtits #hotwife #lingerie</t>
  </si>
  <si>
    <t>Hailey Rose</t>
  </si>
  <si>
    <t>#bigtits #brunette #indian #teen</t>
  </si>
  <si>
    <t>Haley Spades</t>
  </si>
  <si>
    <t>#bigass #blonde #teen #pornstar</t>
  </si>
  <si>
    <t>Happy_Yulia</t>
  </si>
  <si>
    <t>#bigtits #bigass #blonde #teen</t>
  </si>
  <si>
    <t>Hayley Davies</t>
  </si>
  <si>
    <t>Indica Flower</t>
  </si>
  <si>
    <t>Ivy Lebelle</t>
  </si>
  <si>
    <t>Izzy</t>
  </si>
  <si>
    <t>#teen #blonde #bigass #lingerie</t>
  </si>
  <si>
    <t>JackandJill</t>
  </si>
  <si>
    <t>#milf #blonde #bigtits #amateur</t>
  </si>
  <si>
    <t>JadeTeen</t>
  </si>
  <si>
    <t>Jamie Young</t>
  </si>
  <si>
    <t>#teen #bigass #brunette #lingerie</t>
  </si>
  <si>
    <t>Jenna Starr</t>
  </si>
  <si>
    <t>Jessie Rogers</t>
  </si>
  <si>
    <t>Jewelz Blu</t>
  </si>
  <si>
    <t>Juniper</t>
  </si>
  <si>
    <t>#teen #brunette #lingerie #bigass</t>
  </si>
  <si>
    <t>Kali Roses</t>
  </si>
  <si>
    <t>Kate Kuray</t>
  </si>
  <si>
    <t>#teen #bigass #lingerie #amateur</t>
  </si>
  <si>
    <t>Katerina</t>
  </si>
  <si>
    <t>#teen #bigtits #lingerie #bigass</t>
  </si>
  <si>
    <t>Kayley Gunner</t>
  </si>
  <si>
    <t>Kendra Lust</t>
  </si>
  <si>
    <t>Kianna Dior</t>
  </si>
  <si>
    <t>#milf #bigtits #bigass #asian</t>
  </si>
  <si>
    <t>Kimmy Granger</t>
  </si>
  <si>
    <t>Lana Rhoades</t>
  </si>
  <si>
    <t>#teen #bigtits #bigass #pornstar</t>
  </si>
  <si>
    <t>LaSirena69</t>
  </si>
  <si>
    <t>Lauren Phillips</t>
  </si>
  <si>
    <t>Lena Paul</t>
  </si>
  <si>
    <t>Lena Polanski</t>
  </si>
  <si>
    <t>Lena the plug</t>
  </si>
  <si>
    <t>#milf #bigtits #bigass #hotwife</t>
  </si>
  <si>
    <t>Lexi Belle</t>
  </si>
  <si>
    <t>Lilibet Saunders</t>
  </si>
  <si>
    <t>Lily Lanes</t>
  </si>
  <si>
    <t>Lily Phillips</t>
  </si>
  <si>
    <t>Linzy Ray</t>
  </si>
  <si>
    <t>Little Caprice</t>
  </si>
  <si>
    <t>#teen #bigtits #brunette #pornstar</t>
  </si>
  <si>
    <t>Lizzie Love</t>
  </si>
  <si>
    <t>#milf #brunette #bigtits #bigass</t>
  </si>
  <si>
    <t>Lucy</t>
  </si>
  <si>
    <t>#teen #redhead #bigtits #lingerie</t>
  </si>
  <si>
    <t>Lucy Foxx</t>
  </si>
  <si>
    <t>Lucy Mochi</t>
  </si>
  <si>
    <t>#teen #asian #brunette #lingerie</t>
  </si>
  <si>
    <t>Mae Winters</t>
  </si>
  <si>
    <t>Maisey Monroe</t>
  </si>
  <si>
    <t>#blonde #milf #bigtits #bigass</t>
  </si>
  <si>
    <t>Melanie Marie</t>
  </si>
  <si>
    <t>Melody Marks</t>
  </si>
  <si>
    <t>Mia Malkova</t>
  </si>
  <si>
    <t>Mila Sobolov</t>
  </si>
  <si>
    <t>Mini Loonaa</t>
  </si>
  <si>
    <t>Nakedbarbiedoll</t>
  </si>
  <si>
    <t>Natasha Nice</t>
  </si>
  <si>
    <t>Nina</t>
  </si>
  <si>
    <t>Octokuro</t>
  </si>
  <si>
    <t>#milf #bigtits #bigass #hardcore</t>
  </si>
  <si>
    <t>Olivia Sparkle</t>
  </si>
  <si>
    <t>Payton Preslee</t>
  </si>
  <si>
    <t>Rae Lil Black</t>
  </si>
  <si>
    <t>#teen #bigtits #asian #pornstar</t>
  </si>
  <si>
    <t>Raini</t>
  </si>
  <si>
    <t>Rebeca Fox</t>
  </si>
  <si>
    <t>Remido</t>
  </si>
  <si>
    <t>Remy Lacroix</t>
  </si>
  <si>
    <t>#milf #bigass #chubby #pornstar</t>
  </si>
  <si>
    <t>Riley Reid</t>
  </si>
  <si>
    <t>#milf #bigass #brunette #pornstar</t>
  </si>
  <si>
    <t>Rosaline Dawn</t>
  </si>
  <si>
    <t>Sage King</t>
  </si>
  <si>
    <t>Sasha Grey</t>
  </si>
  <si>
    <t>#teen #bigass #brunette #pornstar</t>
  </si>
  <si>
    <t>Sav Shawz</t>
  </si>
  <si>
    <t>Savannah Bond</t>
  </si>
  <si>
    <t>Scarlett</t>
  </si>
  <si>
    <t>Scarlett Hampton</t>
  </si>
  <si>
    <t>#teen #bigass #blonde #lingerie</t>
  </si>
  <si>
    <t>Scarlettkissesxo</t>
  </si>
  <si>
    <t>#milf #bigtits #bigass #bondee</t>
  </si>
  <si>
    <t>Shrooms Q</t>
  </si>
  <si>
    <t>#teen #brunette #lingerie #skinny</t>
  </si>
  <si>
    <t>Shyla</t>
  </si>
  <si>
    <t>#milf #chubby #bigass #bigtits</t>
  </si>
  <si>
    <t>Sky Bri</t>
  </si>
  <si>
    <t>Skye Blue</t>
  </si>
  <si>
    <t>#teen #bigtits #blonde #bigass</t>
  </si>
  <si>
    <t>Slimthick Vic</t>
  </si>
  <si>
    <t>Sophie Reade</t>
  </si>
  <si>
    <t>Ssamibaby</t>
  </si>
  <si>
    <t>Stella Barey</t>
  </si>
  <si>
    <t>Stella Brooks</t>
  </si>
  <si>
    <t>Stella Luxx</t>
  </si>
  <si>
    <t>#teen #bigtits #bigass #redhead</t>
  </si>
  <si>
    <t>Sweetie Fox</t>
  </si>
  <si>
    <t>Tessa</t>
  </si>
  <si>
    <t>TheDanDangler</t>
  </si>
  <si>
    <t>Tru Kait</t>
  </si>
  <si>
    <t>Valentina Nappi</t>
  </si>
  <si>
    <t>Valerica Steele</t>
  </si>
  <si>
    <t>Vanda Angel</t>
  </si>
  <si>
    <t>Vanessa Sky</t>
  </si>
  <si>
    <t>Violet Myers</t>
  </si>
  <si>
    <t>Violet Ray</t>
  </si>
  <si>
    <t>Vivian Taylor</t>
  </si>
  <si>
    <t>Wild Halli</t>
  </si>
  <si>
    <t>Yuiwoo</t>
  </si>
  <si>
    <t>ZiaFox</t>
  </si>
  <si>
    <t>NAME_.jpg</t>
  </si>
  <si>
    <t>https://vidnest.io/CODE</t>
  </si>
  <si>
    <t>https://thumbcdn.com/splash/CODE.jpg</t>
  </si>
  <si>
    <t>&lt;!-- Addison Vodka - 47359261 - Onlyfans --&gt;</t>
  </si>
  <si>
    <t>https://thumbcdn.com/splash/nu5qur8og9tqb50k.jpg</t>
  </si>
  <si>
    <t xml:space="preserve">Addison Vodka </t>
  </si>
  <si>
    <t>47359261</t>
  </si>
  <si>
    <t xml:space="preserve">Adriana Chechik </t>
  </si>
  <si>
    <t>34528255</t>
  </si>
  <si>
    <t>&lt;!-- Adriana Chechik - 34528255 - Onlyfans - Kimmy Granger --&gt;</t>
  </si>
  <si>
    <t>51420656</t>
  </si>
  <si>
    <t>https://thumbcdn.com/splash/wkufiau460owcq76.jpg</t>
  </si>
  <si>
    <t>59972113</t>
  </si>
  <si>
    <t>69701197</t>
  </si>
  <si>
    <t>&lt;!-- Adriana Chechik - 51420656 - Onlyfans --&gt;</t>
  </si>
  <si>
    <t>78872640</t>
  </si>
  <si>
    <t>https://thumbcdn.com/splash/mstx7nv42qlvlddi.jpg</t>
  </si>
  <si>
    <t xml:space="preserve">Alanna Pow </t>
  </si>
  <si>
    <t>15841633</t>
  </si>
  <si>
    <t>17563322</t>
  </si>
  <si>
    <t>&lt;!-- Adriana Chechik - 59972113 - Tushy --&gt;</t>
  </si>
  <si>
    <t>19034023</t>
  </si>
  <si>
    <t>https://thumbcdn.com/splash/hh6btwx54i0ymciq.jpg</t>
  </si>
  <si>
    <t>22226111</t>
  </si>
  <si>
    <t>25567227</t>
  </si>
  <si>
    <t>&lt;!-- Adriana Chechik - 69701197 - Onlyfans --&gt;</t>
  </si>
  <si>
    <t>26155010</t>
  </si>
  <si>
    <t>https://thumbcdn.com/splash/0n7loh0bjp11jigp.jpg</t>
  </si>
  <si>
    <t>27269863</t>
  </si>
  <si>
    <t>37317864</t>
  </si>
  <si>
    <t>&lt;!-- Adriana Chechik - 78872640 - Onlyfans --&gt;</t>
  </si>
  <si>
    <t>38181644</t>
  </si>
  <si>
    <t>https://thumbcdn.com/splash/zt9i0jjrmc4bm8j1.jpg</t>
  </si>
  <si>
    <t>38679952</t>
  </si>
  <si>
    <t>54503023</t>
  </si>
  <si>
    <t>&lt;!-- Alanna Pow - 15841633 - Onlyfans --&gt;</t>
  </si>
  <si>
    <t>54606458</t>
  </si>
  <si>
    <t>https://thumbcdn.com/splash/65k7ydc4sz0iagos.jpg</t>
  </si>
  <si>
    <t>62968616</t>
  </si>
  <si>
    <t>69979470</t>
  </si>
  <si>
    <t>&lt;!-- Alanna Pow - 17563322 - Onlyfans --&gt;</t>
  </si>
  <si>
    <t>72645909</t>
  </si>
  <si>
    <t>https://thumbcdn.com/splash/bnggdihvxysua5ro.jpg</t>
  </si>
  <si>
    <t>73449975</t>
  </si>
  <si>
    <t>77255491</t>
  </si>
  <si>
    <t>&lt;!-- Alanna Pow - 19034023 - Onlyfans --&gt;</t>
  </si>
  <si>
    <t>78660470</t>
  </si>
  <si>
    <t>https://thumbcdn.com/splash/ulyf1nrhddqddcrh.jpg</t>
  </si>
  <si>
    <t>81325680</t>
  </si>
  <si>
    <t>84414746</t>
  </si>
  <si>
    <t>&lt;!-- Alanna Pow - 22226111 - Onlyfans --&gt;</t>
  </si>
  <si>
    <t>86395221</t>
  </si>
  <si>
    <t>https://thumbcdn.com/splash/tn6rrr096hjys7ue.jpg</t>
  </si>
  <si>
    <t>87263949</t>
  </si>
  <si>
    <t>93326301</t>
  </si>
  <si>
    <t>&lt;!-- Alanna Pow - 25567227 - Onlyfans --&gt;</t>
  </si>
  <si>
    <t xml:space="preserve">Alexa Pearl </t>
  </si>
  <si>
    <t>98658557</t>
  </si>
  <si>
    <t>https://thumbcdn.com/splash/1c0lsvl548i19fuh.jpg</t>
  </si>
  <si>
    <t xml:space="preserve">Alexis Fawx </t>
  </si>
  <si>
    <t>76454201</t>
  </si>
  <si>
    <t>78579747</t>
  </si>
  <si>
    <t>&lt;!-- Alanna Pow - 26155010 - MCF --&gt;</t>
  </si>
  <si>
    <t>87280451</t>
  </si>
  <si>
    <t>https://thumbcdn.com/splash/2s7omctmqzr2jy2z.jpg</t>
  </si>
  <si>
    <t xml:space="preserve">Alexis Texas </t>
  </si>
  <si>
    <t>55946865</t>
  </si>
  <si>
    <t>58344561</t>
  </si>
  <si>
    <t>&lt;!-- Alanna Pow - 27269863 - Onlyfans --&gt;</t>
  </si>
  <si>
    <t>78334326</t>
  </si>
  <si>
    <t>https://thumbcdn.com/splash/clcooeuwlyl4pk6o.jpg</t>
  </si>
  <si>
    <t>85557282</t>
  </si>
  <si>
    <t xml:space="preserve">Alice Bong </t>
  </si>
  <si>
    <t>80520139</t>
  </si>
  <si>
    <t>&lt;!-- Alanna Pow - 37317864 - Onlyfans --&gt;</t>
  </si>
  <si>
    <t>93984122</t>
  </si>
  <si>
    <t>https://thumbcdn.com/splash/u5qduc1xza2glddt.jpg</t>
  </si>
  <si>
    <t xml:space="preserve">AlicexMaia </t>
  </si>
  <si>
    <t>10721850</t>
  </si>
  <si>
    <t>12079108</t>
  </si>
  <si>
    <t>&lt;!-- Alanna Pow - 38181644 - Onlyfans --&gt;</t>
  </si>
  <si>
    <t>14731619</t>
  </si>
  <si>
    <t>https://thumbcdn.com/splash/pby6fpkg6a14s1uc.jpg</t>
  </si>
  <si>
    <t>17531294</t>
  </si>
  <si>
    <t>19457440</t>
  </si>
  <si>
    <t>&lt;!-- Alanna Pow - 38679952 - XVRED --&gt;</t>
  </si>
  <si>
    <t>19553158</t>
  </si>
  <si>
    <t>https://thumbcdn.com/splash/9rs1zpf5n43xdwsq.jpg</t>
  </si>
  <si>
    <t>29448765</t>
  </si>
  <si>
    <t>42662611</t>
  </si>
  <si>
    <t>&lt;!-- Alanna Pow - 54503023 - Onlyfans --&gt;</t>
  </si>
  <si>
    <t>45305787</t>
  </si>
  <si>
    <t>https://thumbcdn.com/splash/cclwkkefdggqr6gq.jpg</t>
  </si>
  <si>
    <t>49296667</t>
  </si>
  <si>
    <t>63578233</t>
  </si>
  <si>
    <t>&lt;!-- Alanna Pow - 54606458 - Onlyfans --&gt;</t>
  </si>
  <si>
    <t>67191993</t>
  </si>
  <si>
    <t>https://thumbcdn.com/splash/tq5bah9vyi9c63em.jpg</t>
  </si>
  <si>
    <t>75717227</t>
  </si>
  <si>
    <t>78662402</t>
  </si>
  <si>
    <t>&lt;!-- Alanna Pow - 62968616 - Onlyfans --&gt;</t>
  </si>
  <si>
    <t>84776312</t>
  </si>
  <si>
    <t>https://thumbcdn.com/splash/vzem54fyhdljwa2c.jpg</t>
  </si>
  <si>
    <t>88450355</t>
  </si>
  <si>
    <t>91745439</t>
  </si>
  <si>
    <t>&lt;!-- Alanna Pow - 69979470 - Onlyfans --&gt;</t>
  </si>
  <si>
    <t xml:space="preserve">Alina </t>
  </si>
  <si>
    <t>93433724</t>
  </si>
  <si>
    <t>https://thumbcdn.com/splash/1bzsk44ytuvuunaw.jpg</t>
  </si>
  <si>
    <t xml:space="preserve">Alina Lopez </t>
  </si>
  <si>
    <t>39625651</t>
  </si>
  <si>
    <t xml:space="preserve">Amy Rose </t>
  </si>
  <si>
    <t>11992120</t>
  </si>
  <si>
    <t>&lt;!-- Alanna Pow - 72645909 - Onlyfans --&gt;</t>
  </si>
  <si>
    <t>15675021</t>
  </si>
  <si>
    <t>https://thumbcdn.com/splash/t0hywldsgdsrk74d.jpg</t>
  </si>
  <si>
    <t>31711047</t>
  </si>
  <si>
    <t>34061424</t>
  </si>
  <si>
    <t>&lt;!-- Alanna Pow - 73449975 - Onlyfans --&gt;</t>
  </si>
  <si>
    <t>42163415</t>
  </si>
  <si>
    <t>https://thumbcdn.com/splash/skcxf8vpx9h7fkfg.jpg</t>
  </si>
  <si>
    <t>46469035</t>
  </si>
  <si>
    <t>51937780</t>
  </si>
  <si>
    <t>&lt;!-- Alanna Pow - 77255491 - MLRaw --&gt;</t>
  </si>
  <si>
    <t>61578433</t>
  </si>
  <si>
    <t>https://thumbcdn.com/splash/zq7d8ljoubv4nd16.jpg</t>
  </si>
  <si>
    <t>61767415</t>
  </si>
  <si>
    <t>67576256</t>
  </si>
  <si>
    <t>&lt;!-- Alanna Pow - 78660470 - Onlyfans --&gt;</t>
  </si>
  <si>
    <t>76271177</t>
  </si>
  <si>
    <t>https://thumbcdn.com/splash/yfattlhukc3uc7yt.jpg</t>
  </si>
  <si>
    <t>93974731</t>
  </si>
  <si>
    <t xml:space="preserve">Angel Youngs </t>
  </si>
  <si>
    <t>10017287</t>
  </si>
  <si>
    <t>&lt;!-- Alanna Pow - 81325680 - Onlyfans --&gt;</t>
  </si>
  <si>
    <t>14830070</t>
  </si>
  <si>
    <t>https://thumbcdn.com/splash/cy07nlvkadbeg6lh.jpg</t>
  </si>
  <si>
    <t>19396508</t>
  </si>
  <si>
    <t>24858157</t>
  </si>
  <si>
    <t>&lt;!-- Alanna Pow - 84414746 - Onlyfans --&gt;</t>
  </si>
  <si>
    <t>35043183</t>
  </si>
  <si>
    <t>https://thumbcdn.com/splash/99twg2cvfs812dui.jpg</t>
  </si>
  <si>
    <t>42346078</t>
  </si>
  <si>
    <t>43443695</t>
  </si>
  <si>
    <t>&lt;!-- Alanna Pow - 86395221 - Onlyfans --&gt;</t>
  </si>
  <si>
    <t>54216002</t>
  </si>
  <si>
    <t>https://thumbcdn.com/splash/uzkraixfx28fkn6x.jpg</t>
  </si>
  <si>
    <t>78515446</t>
  </si>
  <si>
    <t>89644494</t>
  </si>
  <si>
    <t>&lt;!-- Alanna Pow - 87263949 - Onlyfans --&gt;</t>
  </si>
  <si>
    <t>94892923</t>
  </si>
  <si>
    <t>https://thumbcdn.com/splash/tp6ipgucn0iacboh.jpg</t>
  </si>
  <si>
    <t>95299695</t>
  </si>
  <si>
    <t>99101023</t>
  </si>
  <si>
    <t>&lt;!-- Alanna Pow - 93326301 - Onlyfans --&gt;</t>
  </si>
  <si>
    <t xml:space="preserve">Angela White </t>
  </si>
  <si>
    <t>12494438</t>
  </si>
  <si>
    <t>https://thumbcdn.com/splash/37ua8rlvso92b5ct.jpg</t>
  </si>
  <si>
    <t>12902427</t>
  </si>
  <si>
    <t>13039747</t>
  </si>
  <si>
    <t>&lt;!-- Alexa Pearl - 98658557 - Onlyfans --&gt;</t>
  </si>
  <si>
    <t>13108503</t>
  </si>
  <si>
    <t>https://thumbcdn.com/splash/xc75ybuqdjt93l3w.jpg</t>
  </si>
  <si>
    <t>17458052</t>
  </si>
  <si>
    <t>20460908</t>
  </si>
  <si>
    <t>&lt;!-- Alexis Fawx - 76454201 - Onlyfans --&gt;</t>
  </si>
  <si>
    <t>25637668</t>
  </si>
  <si>
    <t>https://thumbcdn.com/splash/ut2h6i6qyev32an7.jpg</t>
  </si>
  <si>
    <t>26849040</t>
  </si>
  <si>
    <t>35114411</t>
  </si>
  <si>
    <t>&lt;!-- Alexis Fawx - 78579747 - Onlyfans --&gt;</t>
  </si>
  <si>
    <t>35508956</t>
  </si>
  <si>
    <t>https://thumbcdn.com/splash/tdu43qsmt9mjb2ga.jpg</t>
  </si>
  <si>
    <t>35786373</t>
  </si>
  <si>
    <t>36065019</t>
  </si>
  <si>
    <t>&lt;!-- Alexis Fawx - 87280451 - Onlyfans --&gt;</t>
  </si>
  <si>
    <t>42471317</t>
  </si>
  <si>
    <t>https://thumbcdn.com/splash/viz1u30d0y9hp73y.jpg</t>
  </si>
  <si>
    <t>44664461</t>
  </si>
  <si>
    <t>55230680</t>
  </si>
  <si>
    <t>&lt;!-- Alexis Texas - 55946865 - Onlyfans --&gt;</t>
  </si>
  <si>
    <t>57030955</t>
  </si>
  <si>
    <t>https://thumbcdn.com/splash/msjiuzzfd7wpmzv4.jpg</t>
  </si>
  <si>
    <t>61068711</t>
  </si>
  <si>
    <t>62235682</t>
  </si>
  <si>
    <t>&lt;!-- Alexis Texas - 58344561 - Onlyfans --&gt;</t>
  </si>
  <si>
    <t>66371349</t>
  </si>
  <si>
    <t>https://thumbcdn.com/splash/q49x8r4777m6qzoy.jpg</t>
  </si>
  <si>
    <t>67538070</t>
  </si>
  <si>
    <t>68398268</t>
  </si>
  <si>
    <t>&lt;!-- Alexis Texas - 78334326 - Onlyfans - Nikki Benz --&gt;</t>
  </si>
  <si>
    <t>68460886</t>
  </si>
  <si>
    <t>https://thumbcdn.com/splash/mpjshzok97fu2jfy.jpg</t>
  </si>
  <si>
    <t>74594738</t>
  </si>
  <si>
    <t>75043078</t>
  </si>
  <si>
    <t>&lt;!-- Alexis Texas - 85557282 - Onlyfans --&gt;</t>
  </si>
  <si>
    <t>80252257</t>
  </si>
  <si>
    <t>https://thumbcdn.com/splash/jp6ycg2g9yhcq7vo.jpg</t>
  </si>
  <si>
    <t>84891613</t>
  </si>
  <si>
    <t>90791951</t>
  </si>
  <si>
    <t>&lt;!-- Alice Bong - 80520139 - Onlyfans --&gt;</t>
  </si>
  <si>
    <t>91733115</t>
  </si>
  <si>
    <t>https://thumbcdn.com/splash/y73ziarlc5tkwky6.jpg</t>
  </si>
  <si>
    <t>95008111</t>
  </si>
  <si>
    <t>99679909</t>
  </si>
  <si>
    <t>&lt;!-- Alice Bong - 93984122 - Onlyfans --&gt;</t>
  </si>
  <si>
    <t xml:space="preserve">Angie Faith </t>
  </si>
  <si>
    <t>27452056</t>
  </si>
  <si>
    <t>https://thumbcdn.com/splash/gk36g89dux0zbtt8.jpg</t>
  </si>
  <si>
    <t>43434590</t>
  </si>
  <si>
    <t>55810526</t>
  </si>
  <si>
    <t>&lt;!-- AlicexMaia - 10721850 - Onlyfans --&gt;</t>
  </si>
  <si>
    <t>73673203</t>
  </si>
  <si>
    <t>https://thumbcdn.com/splash/hch2w5ks8h2koyji.jpg</t>
  </si>
  <si>
    <t>78793411</t>
  </si>
  <si>
    <t>82486972</t>
  </si>
  <si>
    <t>&lt;!-- AlicexMaia - 12079108 - Onlyfans --&gt;</t>
  </si>
  <si>
    <t xml:space="preserve">Anna </t>
  </si>
  <si>
    <t>81003547</t>
  </si>
  <si>
    <t>https://thumbcdn.com/splash/ik1asxc31y9hfpwq.jpg</t>
  </si>
  <si>
    <t xml:space="preserve">Anna Claire Clouds </t>
  </si>
  <si>
    <t>12069430</t>
  </si>
  <si>
    <t xml:space="preserve">Arabelle Raphael </t>
  </si>
  <si>
    <t>14490824</t>
  </si>
  <si>
    <t>&lt;!-- AlicexMaia - 14731619 - Onlyfans --&gt;</t>
  </si>
  <si>
    <t>20603209</t>
  </si>
  <si>
    <t>https://thumbcdn.com/splash/k4p0ca0y5sv3wwm2.jpg</t>
  </si>
  <si>
    <t>25078464</t>
  </si>
  <si>
    <t>87639737</t>
  </si>
  <si>
    <t>&lt;!-- AlicexMaia - 17531294 - Onlyfans --&gt;</t>
  </si>
  <si>
    <t xml:space="preserve">Asa Akira </t>
  </si>
  <si>
    <t>63675570</t>
  </si>
  <si>
    <t>https://thumbcdn.com/splash/1zhkrua1cttsmy62.jpg</t>
  </si>
  <si>
    <t>81098035</t>
  </si>
  <si>
    <t xml:space="preserve">Autumn Falls </t>
  </si>
  <si>
    <t>87819304</t>
  </si>
  <si>
    <t>&lt;!-- AlicexMaia - 19457440 - Onlyfans --&gt;</t>
  </si>
  <si>
    <t xml:space="preserve">Ava Nicks </t>
  </si>
  <si>
    <t>17338366</t>
  </si>
  <si>
    <t>https://thumbcdn.com/splash/uwkf2v5hdwr177fj.jpg</t>
  </si>
  <si>
    <t>38871602</t>
  </si>
  <si>
    <t>56147496</t>
  </si>
  <si>
    <t>&lt;!-- AlicexMaia - 19553158 - Onlyfans --&gt;</t>
  </si>
  <si>
    <t>71430001</t>
  </si>
  <si>
    <t>https://thumbcdn.com/splash/y23zpbl44cchimc5.jpg</t>
  </si>
  <si>
    <t>76436173</t>
  </si>
  <si>
    <t xml:space="preserve">Bananapotato333 </t>
  </si>
  <si>
    <t>36693743</t>
  </si>
  <si>
    <t>&lt;!-- AlicexMaia - 29448765 - Onlyfans --&gt;</t>
  </si>
  <si>
    <t xml:space="preserve">Blake Blossom </t>
  </si>
  <si>
    <t>52742082</t>
  </si>
  <si>
    <t>https://thumbcdn.com/splash/gewcza0o3ujd8gx3.jpg</t>
  </si>
  <si>
    <t xml:space="preserve">Bonnie Blue </t>
  </si>
  <si>
    <t>42460162</t>
  </si>
  <si>
    <t>58248796</t>
  </si>
  <si>
    <t>&lt;!-- AlicexMaia - 42662611 - Onlyfans --&gt;</t>
  </si>
  <si>
    <t xml:space="preserve">Brandy Renee </t>
  </si>
  <si>
    <t>25399996</t>
  </si>
  <si>
    <t>https://thumbcdn.com/splash/sdpo7aqz7biqqzer.jpg</t>
  </si>
  <si>
    <t>45062658</t>
  </si>
  <si>
    <t>52199052</t>
  </si>
  <si>
    <t>&lt;!-- AlicexMaia - 45305787 - Onlyfans --&gt;</t>
  </si>
  <si>
    <t>61045229</t>
  </si>
  <si>
    <t>https://thumbcdn.com/splash/vd3694b5x9jgtma7.jpg</t>
  </si>
  <si>
    <t>69962852</t>
  </si>
  <si>
    <t>70980059</t>
  </si>
  <si>
    <t>&lt;!-- AlicexMaia - 49296667 - Onlyfans --&gt;</t>
  </si>
  <si>
    <t>90479935</t>
  </si>
  <si>
    <t>https://thumbcdn.com/splash/3byfccyanyxacrm9.jpg</t>
  </si>
  <si>
    <t xml:space="preserve">Brenda Trindade </t>
  </si>
  <si>
    <t>11630796</t>
  </si>
  <si>
    <t>28778875</t>
  </si>
  <si>
    <t>&lt;!-- AlicexMaia - 63578233 - Onlyfans --&gt;</t>
  </si>
  <si>
    <t>29851665</t>
  </si>
  <si>
    <t>https://thumbcdn.com/splash/dlh9fwr7cu5k8wtu.jpg</t>
  </si>
  <si>
    <t>48654770</t>
  </si>
  <si>
    <t>58624434</t>
  </si>
  <si>
    <t>&lt;!-- AlicexMaia - 67191993 - Onlyfans --&gt;</t>
  </si>
  <si>
    <t>65684076</t>
  </si>
  <si>
    <t>https://thumbcdn.com/splash/joxom1j0vnbdlps0.jpg</t>
  </si>
  <si>
    <t>76832927</t>
  </si>
  <si>
    <t>81769918</t>
  </si>
  <si>
    <t>&lt;!-- AlicexMaia - 75717227 - Onlyfans --&gt;</t>
  </si>
  <si>
    <t>95951634</t>
  </si>
  <si>
    <t>https://thumbcdn.com/splash/4231wzo2uciqp3zj.jpg</t>
  </si>
  <si>
    <t>97482311</t>
  </si>
  <si>
    <t>98672929</t>
  </si>
  <si>
    <t>&lt;!-- AlicexMaia - 78662402 - Onlyfans --&gt;</t>
  </si>
  <si>
    <t xml:space="preserve">Britney Rose </t>
  </si>
  <si>
    <t>10772530</t>
  </si>
  <si>
    <t>https://thumbcdn.com/splash/kmp5i56v25irz1qe.jpg</t>
  </si>
  <si>
    <t>48369561</t>
  </si>
  <si>
    <t xml:space="preserve">BunnyDollStella </t>
  </si>
  <si>
    <t>50581644</t>
  </si>
  <si>
    <t>&lt;!-- AlicexMaia - 84776312 - Onlyfans --&gt;</t>
  </si>
  <si>
    <t xml:space="preserve">CallMeSlo </t>
  </si>
  <si>
    <t>93926811</t>
  </si>
  <si>
    <t>https://thumbcdn.com/splash/asjvdy472gd3qjr3.jpg</t>
  </si>
  <si>
    <t xml:space="preserve">Chanel Camryn </t>
  </si>
  <si>
    <t>17231421</t>
  </si>
  <si>
    <t>92612739</t>
  </si>
  <si>
    <t>&lt;!-- AlicexMaia - 88450355 - Onlyfans --&gt;</t>
  </si>
  <si>
    <t xml:space="preserve">Cherie Deville </t>
  </si>
  <si>
    <t>18597806</t>
  </si>
  <si>
    <t>https://thumbcdn.com/splash/pf1rmaxa6hqjbi4o.jpg</t>
  </si>
  <si>
    <t>21818710</t>
  </si>
  <si>
    <t>27444960</t>
  </si>
  <si>
    <t>&lt;!-- AlicexMaia - 91745439 - Onlyfans --&gt;</t>
  </si>
  <si>
    <t>43213370</t>
  </si>
  <si>
    <t>https://thumbcdn.com/splash/9xvqh1bvqk7ywx23.jpg</t>
  </si>
  <si>
    <t>49175490</t>
  </si>
  <si>
    <t>70617047</t>
  </si>
  <si>
    <t>&lt;!-- Alina - 93433724 - BackroomCastingCouch --&gt;</t>
  </si>
  <si>
    <t xml:space="preserve">Cherry Crush </t>
  </si>
  <si>
    <t>18101943</t>
  </si>
  <si>
    <t>https://thumbcdn.com/splash/2j7juglp195jkvzg.jpg</t>
  </si>
  <si>
    <t>22967091</t>
  </si>
  <si>
    <t>31670888</t>
  </si>
  <si>
    <t>&lt;!-- Alina Lopez - 39625651 - Onlyfans - Gizelle Blanco --&gt;</t>
  </si>
  <si>
    <t>42545650</t>
  </si>
  <si>
    <t>https://thumbcdn.com/splash/jufwwohl4j2hs1rp.jpg</t>
  </si>
  <si>
    <t>42781173</t>
  </si>
  <si>
    <t>50898168</t>
  </si>
  <si>
    <t>&lt;!-- Amy Rose - 11992120 - Onlyfans --&gt;</t>
  </si>
  <si>
    <t>61962423</t>
  </si>
  <si>
    <t>https://thumbcdn.com/splash/57056jca2rz1fx57.jpg</t>
  </si>
  <si>
    <t>70612286</t>
  </si>
  <si>
    <t>72758988</t>
  </si>
  <si>
    <t>&lt;!-- Amy Rose - 15675021 - Onlyfans --&gt;</t>
  </si>
  <si>
    <t>75242411</t>
  </si>
  <si>
    <t>https://thumbcdn.com/splash/nhr78zdqew9xjg45.jpg</t>
  </si>
  <si>
    <t xml:space="preserve">Chloe Foxxe </t>
  </si>
  <si>
    <t>49813379</t>
  </si>
  <si>
    <t xml:space="preserve">Codi Vore </t>
  </si>
  <si>
    <t>25973564</t>
  </si>
  <si>
    <t>&lt;!-- Amy Rose - 31711047 - Onlyfans --&gt;</t>
  </si>
  <si>
    <t>59741750</t>
  </si>
  <si>
    <t>https://thumbcdn.com/splash/txcngakwdhrw43d2.jpg</t>
  </si>
  <si>
    <t>97196141</t>
  </si>
  <si>
    <t xml:space="preserve">Comatozze </t>
  </si>
  <si>
    <t>11995759</t>
  </si>
  <si>
    <t>&lt;!-- Amy Rose - 34061424 - Onlyfans --&gt;</t>
  </si>
  <si>
    <t>12745761</t>
  </si>
  <si>
    <t>https://thumbcdn.com/splash/0h3oc1h9u3z7v3j0.jpg</t>
  </si>
  <si>
    <t>17647210</t>
  </si>
  <si>
    <t>22614725</t>
  </si>
  <si>
    <t>&lt;!-- Amy Rose - 42163415 - Onlyfans --&gt;</t>
  </si>
  <si>
    <t>24841502</t>
  </si>
  <si>
    <t>https://thumbcdn.com/splash/sxmikwy1tqlwz7ib.jpg</t>
  </si>
  <si>
    <t>30142657</t>
  </si>
  <si>
    <t>42181282</t>
  </si>
  <si>
    <t>&lt;!-- Amy Rose - 46469035 - Onlyfans --&gt;</t>
  </si>
  <si>
    <t>46990227</t>
  </si>
  <si>
    <t>https://thumbcdn.com/splash/st5xhfgjh22vdpjr.jpg</t>
  </si>
  <si>
    <t>49437136</t>
  </si>
  <si>
    <t>54421017</t>
  </si>
  <si>
    <t>&lt;!-- Amy Rose - 51937780 - Onlyfans --&gt;</t>
  </si>
  <si>
    <t>68511307</t>
  </si>
  <si>
    <t>https://thumbcdn.com/splash/7lcdbbq6koc4ljhf.jpg</t>
  </si>
  <si>
    <t>75998619</t>
  </si>
  <si>
    <t>76965609</t>
  </si>
  <si>
    <t>&lt;!-- Amy Rose - 61578433 - Onlyfans --&gt;</t>
  </si>
  <si>
    <t>84083230</t>
  </si>
  <si>
    <t>https://thumbcdn.com/splash/4fr90ak8qkyiobbe.jpg</t>
  </si>
  <si>
    <t>89278600</t>
  </si>
  <si>
    <t>91374902</t>
  </si>
  <si>
    <t>&lt;!-- Amy Rose - 61767415 - Onlyfans --&gt;</t>
  </si>
  <si>
    <t>95705657</t>
  </si>
  <si>
    <t>https://thumbcdn.com/splash/bp7xh3ve2kyf7ecl.jpg</t>
  </si>
  <si>
    <t xml:space="preserve">Cory Chase </t>
  </si>
  <si>
    <t>64159902</t>
  </si>
  <si>
    <t xml:space="preserve">Dahlia Sage </t>
  </si>
  <si>
    <t>89666098</t>
  </si>
  <si>
    <t>&lt;!-- Amy Rose - 67576256 - Onlyfans --&gt;</t>
  </si>
  <si>
    <t xml:space="preserve">Dainty Wilder </t>
  </si>
  <si>
    <t>02791119</t>
  </si>
  <si>
    <t>https://thumbcdn.com/splash/c7vror99hzdidkjq.jpg</t>
  </si>
  <si>
    <t>10194725</t>
  </si>
  <si>
    <t>13798100</t>
  </si>
  <si>
    <t>&lt;!-- Amy Rose - 76271177 - Onlyfans --&gt;</t>
  </si>
  <si>
    <t>20082922</t>
  </si>
  <si>
    <t>https://thumbcdn.com/splash/b9pseadi8ge0ejon.jpg</t>
  </si>
  <si>
    <t>23578439</t>
  </si>
  <si>
    <t>25302871</t>
  </si>
  <si>
    <t>&lt;!-- Amy Rose - 93974731 - Onlyfans --&gt;</t>
  </si>
  <si>
    <t>25785112</t>
  </si>
  <si>
    <t>https://thumbcdn.com/splash/6l33pr5w6o5f46yx.jpg</t>
  </si>
  <si>
    <t>39415690</t>
  </si>
  <si>
    <t>43236156</t>
  </si>
  <si>
    <t>&lt;!-- Angel Youngs - 10017287 - Onlyfans - Gabby Stone --&gt;</t>
  </si>
  <si>
    <t>48110335</t>
  </si>
  <si>
    <t>https://thumbcdn.com/splash/8w6op1udrj25btjg.jpg</t>
  </si>
  <si>
    <t>54428152</t>
  </si>
  <si>
    <t>65825910</t>
  </si>
  <si>
    <t>&lt;!-- Angel Youngs - 14830070 - Onlyfans --&gt;</t>
  </si>
  <si>
    <t>67327074</t>
  </si>
  <si>
    <t>https://thumbcdn.com/splash/2wos8pvxuf5vq6vf.jpg</t>
  </si>
  <si>
    <t>71504764</t>
  </si>
  <si>
    <t>73520865</t>
  </si>
  <si>
    <t>&lt;!-- Angel Youngs - 19396508 - Onlyfans - Victoria Peach --&gt;</t>
  </si>
  <si>
    <t>85880814</t>
  </si>
  <si>
    <t>https://thumbcdn.com/splash/48hnvr8i3pmgpw53.jpg</t>
  </si>
  <si>
    <t>86337696</t>
  </si>
  <si>
    <t>89040537</t>
  </si>
  <si>
    <t>&lt;!-- Angel Youngs - 24858157 - Onlyfans --&gt;</t>
  </si>
  <si>
    <t>89256519</t>
  </si>
  <si>
    <t>https://thumbcdn.com/splash/t726cb1yg1v2ov1v.jpg</t>
  </si>
  <si>
    <t>89850398</t>
  </si>
  <si>
    <t>90178666</t>
  </si>
  <si>
    <t>&lt;!-- Angel Youngs - 35043183 - Onlyfans --&gt;</t>
  </si>
  <si>
    <t>94217019</t>
  </si>
  <si>
    <t>https://thumbcdn.com/splash/db9d8827vw1pd87z.jpg</t>
  </si>
  <si>
    <t>95597183</t>
  </si>
  <si>
    <t>96957950</t>
  </si>
  <si>
    <t>&lt;!-- Angel Youngs - 42346078 - Blacked --&gt;</t>
  </si>
  <si>
    <t>99124741</t>
  </si>
  <si>
    <t>https://thumbcdn.com/splash/nqc8dqixeur4i3t6.jpg</t>
  </si>
  <si>
    <t xml:space="preserve">Dani Daniels </t>
  </si>
  <si>
    <t>10120271</t>
  </si>
  <si>
    <t>10192788</t>
  </si>
  <si>
    <t>&lt;!-- Angel Youngs - 43443695 - XVRED - Katrina Colt --&gt;</t>
  </si>
  <si>
    <t>11866682</t>
  </si>
  <si>
    <t>https://thumbcdn.com/splash/7e8932nvi3iu306z.jpg</t>
  </si>
  <si>
    <t>12369492</t>
  </si>
  <si>
    <t>12709167</t>
  </si>
  <si>
    <t>&lt;!-- Angel Youngs - 54216002 - Onlyfans - Angela White --&gt;</t>
  </si>
  <si>
    <t>13782221</t>
  </si>
  <si>
    <t>https://thumbcdn.com/splash/utuss0vsednzmnfb.jpg</t>
  </si>
  <si>
    <t>14936776</t>
  </si>
  <si>
    <t>18551184</t>
  </si>
  <si>
    <t>&lt;!-- Angel Youngs - 78515446 - Onlyfans - Angela White --&gt;</t>
  </si>
  <si>
    <t>20554155</t>
  </si>
  <si>
    <t>https://thumbcdn.com/splash/vytx6v2zv2vv3jh7.jpg</t>
  </si>
  <si>
    <t>21193358</t>
  </si>
  <si>
    <t>23640136</t>
  </si>
  <si>
    <t>&lt;!-- Angel Youngs - 89644494 - Onlyfans --&gt;</t>
  </si>
  <si>
    <t>24938224</t>
  </si>
  <si>
    <t>https://thumbcdn.com/splash/ungzdigm0e5lezck.jpg</t>
  </si>
  <si>
    <t>24947976</t>
  </si>
  <si>
    <t>25310723</t>
  </si>
  <si>
    <t>&lt;!-- Angel Youngs - 94892923 - Onlyfans --&gt;</t>
  </si>
  <si>
    <t>26059965</t>
  </si>
  <si>
    <t>https://thumbcdn.com/splash/xu9409plgzngovvn.jpg</t>
  </si>
  <si>
    <t>26780664</t>
  </si>
  <si>
    <t>28431182</t>
  </si>
  <si>
    <t>&lt;!-- Angel Youngs - 95299695 - Onlyfans - Angela White --&gt;</t>
  </si>
  <si>
    <t>30012565</t>
  </si>
  <si>
    <t>https://thumbcdn.com/splash/14cxzrasoblnkk6j.jpg</t>
  </si>
  <si>
    <t>30908064</t>
  </si>
  <si>
    <t>32212857</t>
  </si>
  <si>
    <t>&lt;!-- Angel Youngs - 99101023 - Onlyfans --&gt;</t>
  </si>
  <si>
    <t>32498568</t>
  </si>
  <si>
    <t>https://thumbcdn.com/splash/zb3rwjhbbnj55igw.jpg</t>
  </si>
  <si>
    <t>32595635</t>
  </si>
  <si>
    <t>33684637</t>
  </si>
  <si>
    <t>&lt;!-- Angela White - 12494438 - Onlyfans - VIolet Myers --&gt;</t>
  </si>
  <si>
    <t>34237053</t>
  </si>
  <si>
    <t>https://thumbcdn.com/splash/ixabflwrseb9eswg.jpg</t>
  </si>
  <si>
    <t>36451659</t>
  </si>
  <si>
    <t>36758110</t>
  </si>
  <si>
    <t>&lt;!-- Angela White - 12902427 - Onlyfans --&gt;</t>
  </si>
  <si>
    <t>38519286</t>
  </si>
  <si>
    <t>https://thumbcdn.com/splash/6vnb3zx8i1csvmkr.jpg</t>
  </si>
  <si>
    <t>39608022</t>
  </si>
  <si>
    <t>40739253</t>
  </si>
  <si>
    <t>&lt;!-- Angela White - 13039747 - Onlyfans - Rissa May --&gt;</t>
  </si>
  <si>
    <t>42919483</t>
  </si>
  <si>
    <t>https://thumbcdn.com/splash/a2cdm3h4x98dljvd.jpg</t>
  </si>
  <si>
    <t>42956171</t>
  </si>
  <si>
    <t>43341333</t>
  </si>
  <si>
    <t>&lt;!-- Angela White - 13108503 - Onlyfans - Violet Myers --&gt;</t>
  </si>
  <si>
    <t>43357088</t>
  </si>
  <si>
    <t>https://thumbcdn.com/splash/u4lac9cjh4089hjd.jpg</t>
  </si>
  <si>
    <t>44166498</t>
  </si>
  <si>
    <t>44807966</t>
  </si>
  <si>
    <t>&lt;!-- Angela White - 17458052 - Onlyfans --&gt;</t>
  </si>
  <si>
    <t>46535961</t>
  </si>
  <si>
    <t>https://thumbcdn.com/splash/frne91yyo69ac0x7.jpg</t>
  </si>
  <si>
    <t>47568354</t>
  </si>
  <si>
    <t>47942974</t>
  </si>
  <si>
    <t>&lt;!-- Angela White - 20460908 - Onlyfans --&gt;</t>
  </si>
  <si>
    <t>48386737</t>
  </si>
  <si>
    <t>https://thumbcdn.com/splash/plplgrvgfbhjlxag.jpg</t>
  </si>
  <si>
    <t>49151166</t>
  </si>
  <si>
    <t>50955700</t>
  </si>
  <si>
    <t>&lt;!-- Angela White - 25637668 - Onlyfans - Angel Youngs --&gt;</t>
  </si>
  <si>
    <t>52597804</t>
  </si>
  <si>
    <t>https://thumbcdn.com/splash/4j6flmlk89wqcthj.jpg</t>
  </si>
  <si>
    <t>53224351</t>
  </si>
  <si>
    <t>53635031</t>
  </si>
  <si>
    <t>&lt;!-- Angela White - 26849040 - Onlyfans --&gt;</t>
  </si>
  <si>
    <t>56497943</t>
  </si>
  <si>
    <t>https://thumbcdn.com/splash/cy3ews0n3bghzor6.jpg</t>
  </si>
  <si>
    <t>57203383</t>
  </si>
  <si>
    <t>58313208</t>
  </si>
  <si>
    <t>&lt;!-- Angela White - 35114411 - Onlyfans --&gt;</t>
  </si>
  <si>
    <t>60408971</t>
  </si>
  <si>
    <t>https://thumbcdn.com/splash/hih40lpz3p6amu2n.jpg</t>
  </si>
  <si>
    <t>61335376</t>
  </si>
  <si>
    <t>63122723</t>
  </si>
  <si>
    <t>&lt;!-- Angela White - 35508956 - Onlyfans --&gt;</t>
  </si>
  <si>
    <t>64808876</t>
  </si>
  <si>
    <t>https://thumbcdn.com/splash/hyq42qw1j2t31apj.jpg</t>
  </si>
  <si>
    <t>65000313</t>
  </si>
  <si>
    <t>66212622</t>
  </si>
  <si>
    <t>&lt;!-- Angela White - 35786373 - Onlyfans - Slimthic Vic --&gt;</t>
  </si>
  <si>
    <t>66422331</t>
  </si>
  <si>
    <t>https://thumbcdn.com/splash/vu6vxo2lt1420048.jpg</t>
  </si>
  <si>
    <t>66537645</t>
  </si>
  <si>
    <t>67231091</t>
  </si>
  <si>
    <t>&lt;!-- Angela White - 36065019 - Onlyfans --&gt;</t>
  </si>
  <si>
    <t>67462200</t>
  </si>
  <si>
    <t>https://thumbcdn.com/splash/8uvav6rnlrihj7hq.jpg</t>
  </si>
  <si>
    <t>73207233</t>
  </si>
  <si>
    <t>73971620</t>
  </si>
  <si>
    <t>&lt;!-- Angela White - 42471317 - Onlyfans --&gt;</t>
  </si>
  <si>
    <t>75405909</t>
  </si>
  <si>
    <t>https://thumbcdn.com/splash/12gdfu2yv72pvxg7.jpg</t>
  </si>
  <si>
    <t>80036291</t>
  </si>
  <si>
    <t>81731075</t>
  </si>
  <si>
    <t>&lt;!-- Angela White - 44664461 - Onlyfans - Violet Myers --&gt;</t>
  </si>
  <si>
    <t>82404264</t>
  </si>
  <si>
    <t>https://thumbcdn.com/splash/3ssh0y98168b4bhx.jpg</t>
  </si>
  <si>
    <t>84456951</t>
  </si>
  <si>
    <t>87513728</t>
  </si>
  <si>
    <t>&lt;!-- Angela White - 55230680 - Onlyfans --&gt;</t>
  </si>
  <si>
    <t>89355838</t>
  </si>
  <si>
    <t>https://thumbcdn.com/splash/au0if5vr0rsx0vqs.jpg</t>
  </si>
  <si>
    <t>90128248</t>
  </si>
  <si>
    <t>90416090</t>
  </si>
  <si>
    <t>&lt;!-- Angela White - 57030955 - Onlyfans --&gt;</t>
  </si>
  <si>
    <t>91909436</t>
  </si>
  <si>
    <t>https://thumbcdn.com/splash/3sj6gimgmvse60qs.jpg</t>
  </si>
  <si>
    <t>93689739</t>
  </si>
  <si>
    <t>95592521</t>
  </si>
  <si>
    <t>&lt;!-- Angela White - 61068711 - Onlyfans --&gt;</t>
  </si>
  <si>
    <t>95662151</t>
  </si>
  <si>
    <t>https://thumbcdn.com/splash/suwoxziqd9atycx8.jpg</t>
  </si>
  <si>
    <t>95688512</t>
  </si>
  <si>
    <t>96155439</t>
  </si>
  <si>
    <t>&lt;!-- Angela White - 62235682 - Onlyfans - Lucy Lotus --&gt;</t>
  </si>
  <si>
    <t>96494907</t>
  </si>
  <si>
    <t>https://thumbcdn.com/splash/lsnb8142sopx0r8d.jpg</t>
  </si>
  <si>
    <t>97058650</t>
  </si>
  <si>
    <t>97485031</t>
  </si>
  <si>
    <t>&lt;!-- Angela White - 66371349 - Onlyfans - Mia Malkova - Riley Reid --&gt;</t>
  </si>
  <si>
    <t>98334702</t>
  </si>
  <si>
    <t>https://thumbcdn.com/splash/w0p3izo715rpkn6k.jpg</t>
  </si>
  <si>
    <t>98881443</t>
  </si>
  <si>
    <t>99392329</t>
  </si>
  <si>
    <t>&lt;!-- Angela White - 67538070 - Onlyfans --&gt;</t>
  </si>
  <si>
    <t xml:space="preserve">Diamond Franco </t>
  </si>
  <si>
    <t>16454260</t>
  </si>
  <si>
    <t>https://thumbcdn.com/splash/arozad4n0snccuwj.jpg</t>
  </si>
  <si>
    <t>42383378</t>
  </si>
  <si>
    <t>59378949</t>
  </si>
  <si>
    <t>&lt;!-- Angela White - 68398268 - Onlyfans --&gt;</t>
  </si>
  <si>
    <t>68883516</t>
  </si>
  <si>
    <t>https://thumbcdn.com/splash/i6t02q1xrvt6z3ul.jpg</t>
  </si>
  <si>
    <t>75076645</t>
  </si>
  <si>
    <t>78123221</t>
  </si>
  <si>
    <t>&lt;!-- Angela White - 68460886 - Onlyfans --&gt;</t>
  </si>
  <si>
    <t>83210407</t>
  </si>
  <si>
    <t>https://thumbcdn.com/splash/fnit5bux2jffm9l9.jpg</t>
  </si>
  <si>
    <t xml:space="preserve">Elle Brooke </t>
  </si>
  <si>
    <t>20581581</t>
  </si>
  <si>
    <t>25581299</t>
  </si>
  <si>
    <t>&lt;!-- Angela White - 74594738 - Onlyfans --&gt;</t>
  </si>
  <si>
    <t>36398354</t>
  </si>
  <si>
    <t>https://thumbcdn.com/splash/n6h40vgejo3q6myq.jpg</t>
  </si>
  <si>
    <t>44998593</t>
  </si>
  <si>
    <t>46761279</t>
  </si>
  <si>
    <t>&lt;!-- Angela White - 75043078 - Onlyfans --&gt;</t>
  </si>
  <si>
    <t>62205591</t>
  </si>
  <si>
    <t>https://thumbcdn.com/splash/0que4tuqipv0z88q.jpg</t>
  </si>
  <si>
    <t xml:space="preserve">Ellie Nova </t>
  </si>
  <si>
    <t>76987710</t>
  </si>
  <si>
    <t>79574907</t>
  </si>
  <si>
    <t>&lt;!-- Angela White - 80252257 - Onlyfans --&gt;</t>
  </si>
  <si>
    <t xml:space="preserve">Elly Clutch </t>
  </si>
  <si>
    <t>19357564</t>
  </si>
  <si>
    <t>https://thumbcdn.com/splash/a0pq8lra3vha3q7w.jpg</t>
  </si>
  <si>
    <t>23267349</t>
  </si>
  <si>
    <t>26678756</t>
  </si>
  <si>
    <t>&lt;!-- Angela White - 84891613 - Onlyfans --&gt;</t>
  </si>
  <si>
    <t>27341499</t>
  </si>
  <si>
    <t>https://thumbcdn.com/splash/ym3vpcimblxk5joj.jpg</t>
  </si>
  <si>
    <t>28159340</t>
  </si>
  <si>
    <t>32867880</t>
  </si>
  <si>
    <t>&lt;!-- Angela White - 90791951 - Onlyfans - Lily Starfire --&gt;</t>
  </si>
  <si>
    <t>39927204</t>
  </si>
  <si>
    <t>https://thumbcdn.com/splash/dy8kl7ro6f1v5jtj.jpg</t>
  </si>
  <si>
    <t>45573246</t>
  </si>
  <si>
    <t>47418489</t>
  </si>
  <si>
    <t>&lt;!-- Angela White - 91733115 - Onlyfans --&gt;</t>
  </si>
  <si>
    <t>50931142</t>
  </si>
  <si>
    <t>https://thumbcdn.com/splash/ykarz4vpya8cnywz.jpg</t>
  </si>
  <si>
    <t>51331959</t>
  </si>
  <si>
    <t>52743631</t>
  </si>
  <si>
    <t>&lt;!-- Angela White - 95008111 - Onlyfans - Violet Myers --&gt;</t>
  </si>
  <si>
    <t>56314419</t>
  </si>
  <si>
    <t>https://thumbcdn.com/splash/fdbrdu8uu2zerr30.jpg</t>
  </si>
  <si>
    <t>56939748</t>
  </si>
  <si>
    <t>60792517</t>
  </si>
  <si>
    <t>&lt;!-- Angela White - 99679909 - Onlyfans - Lily Starfire --&gt;</t>
  </si>
  <si>
    <t>63179344</t>
  </si>
  <si>
    <t>https://thumbcdn.com/splash/ig6jetty48i5dd6x.jpg</t>
  </si>
  <si>
    <t>67600788</t>
  </si>
  <si>
    <t>71915196</t>
  </si>
  <si>
    <t>&lt;!-- Angie Faith - 27452056 - Blacked --&gt;</t>
  </si>
  <si>
    <t>79397769</t>
  </si>
  <si>
    <t>https://thumbcdn.com/splash/rgeam8jl0h2wdewl.jpg</t>
  </si>
  <si>
    <t xml:space="preserve">Emily Walters </t>
  </si>
  <si>
    <t>16857122</t>
  </si>
  <si>
    <t>17222726</t>
  </si>
  <si>
    <t>&lt;!-- Angie Faith - 43434590 - Onlyfans --&gt;</t>
  </si>
  <si>
    <t>19561148</t>
  </si>
  <si>
    <t>https://thumbcdn.com/splash/gsx7y08l2d1q4zkm.jpg</t>
  </si>
  <si>
    <t>26307279</t>
  </si>
  <si>
    <t>54972070</t>
  </si>
  <si>
    <t>&lt;!-- Angie Faith - 55810526 - Onlyfans --&gt;</t>
  </si>
  <si>
    <t>57438156</t>
  </si>
  <si>
    <t>https://thumbcdn.com/splash/l5d6e44n0031dwu1.jpg</t>
  </si>
  <si>
    <t>57597598</t>
  </si>
  <si>
    <t>62534135</t>
  </si>
  <si>
    <t>&lt;!-- Angie Faith - 73673203 - Deeper --&gt;</t>
  </si>
  <si>
    <t>92239134</t>
  </si>
  <si>
    <t>https://thumbcdn.com/splash/ccoify2z7qd9ivip.jpg</t>
  </si>
  <si>
    <t>93399680</t>
  </si>
  <si>
    <t xml:space="preserve">Emma Magnolia </t>
  </si>
  <si>
    <t>11393557</t>
  </si>
  <si>
    <t>&lt;!-- Angie Faith - 78793411 - Onlyfans --&gt;</t>
  </si>
  <si>
    <t>16838177</t>
  </si>
  <si>
    <t>https://thumbcdn.com/splash/3dh4ekp5woyrg30d.jpg</t>
  </si>
  <si>
    <t>71272411</t>
  </si>
  <si>
    <t xml:space="preserve">Erin </t>
  </si>
  <si>
    <t>91380296</t>
  </si>
  <si>
    <t>&lt;!-- Angie Faith - 82486972 - MrLLife --&gt;</t>
  </si>
  <si>
    <t xml:space="preserve">Eva Elfie </t>
  </si>
  <si>
    <t>10969325</t>
  </si>
  <si>
    <t>https://thumbcdn.com/splash/ncuvdr7eb6022vol.jpg</t>
  </si>
  <si>
    <t>14676280</t>
  </si>
  <si>
    <t>16361811</t>
  </si>
  <si>
    <t>&lt;!-- Anna - 81003547 - Czech Casting --&gt;</t>
  </si>
  <si>
    <t>17962206</t>
  </si>
  <si>
    <t>https://thumbcdn.com/splash/vb4z98j0pzz38231.jpg</t>
  </si>
  <si>
    <t>19230638</t>
  </si>
  <si>
    <t>20301549</t>
  </si>
  <si>
    <t>&lt;!-- Anna Claire Clouds - 12069430 - Deeper --&gt;</t>
  </si>
  <si>
    <t>32413746</t>
  </si>
  <si>
    <t>https://thumbcdn.com/splash/qci0rv1nly1s8pjy.jpg</t>
  </si>
  <si>
    <t>33050807</t>
  </si>
  <si>
    <t>41235226</t>
  </si>
  <si>
    <t>&lt;!-- Arabelle Raphael - 14490824 - GD --&gt;</t>
  </si>
  <si>
    <t>42075104</t>
  </si>
  <si>
    <t>https://thumbcdn.com/splash/ar7ax6za4rw80jbh.jpg</t>
  </si>
  <si>
    <t>47114945</t>
  </si>
  <si>
    <t>51558283</t>
  </si>
  <si>
    <t>&lt;!-- Arabelle Raphael - 20603209 - Onlyfans - Hailey Rose --&gt;</t>
  </si>
  <si>
    <t>55413650</t>
  </si>
  <si>
    <t>https://thumbcdn.com/splash/um8iv4iz9ikfpiz2.jpg</t>
  </si>
  <si>
    <t>59206791</t>
  </si>
  <si>
    <t>64057150</t>
  </si>
  <si>
    <t>&lt;!-- Arabelle Raphael - 25078464 - Onlyfans --&gt;</t>
  </si>
  <si>
    <t>67250856</t>
  </si>
  <si>
    <t>https://thumbcdn.com/splash/ob317aezw9yza9xz.jpg</t>
  </si>
  <si>
    <t>68592528</t>
  </si>
  <si>
    <t>70410727</t>
  </si>
  <si>
    <t>&lt;!-- Arabelle Raphael - 87639737 - GotFilled --&gt;</t>
  </si>
  <si>
    <t>71677812</t>
  </si>
  <si>
    <t>https://thumbcdn.com/splash/z4b9njkig9jj79xi.jpg</t>
  </si>
  <si>
    <t>76703582</t>
  </si>
  <si>
    <t>81379736</t>
  </si>
  <si>
    <t>&lt;!-- Asa Akira - 63675570 - Onlyfans --&gt;</t>
  </si>
  <si>
    <t>85253171</t>
  </si>
  <si>
    <t>https://thumbcdn.com/splash/xj2k98uvho1gn4a9.jpg</t>
  </si>
  <si>
    <t>87988491</t>
  </si>
  <si>
    <t>91672213</t>
  </si>
  <si>
    <t>&lt;!-- Asa Akira - 81098035 - Onlyfans --&gt;</t>
  </si>
  <si>
    <t>93618535</t>
  </si>
  <si>
    <t>https://thumbcdn.com/splash/f09fepcizhq3ltry.jpg</t>
  </si>
  <si>
    <t>97760224</t>
  </si>
  <si>
    <t>99259850</t>
  </si>
  <si>
    <t>&lt;!-- Autumn Falls - 87819304 - Onlyfans --&gt;</t>
  </si>
  <si>
    <t xml:space="preserve">Eva Nyx </t>
  </si>
  <si>
    <t>70048649</t>
  </si>
  <si>
    <t>https://thumbcdn.com/splash/udy64l82axafodz5.jpg</t>
  </si>
  <si>
    <t>86406160</t>
  </si>
  <si>
    <t xml:space="preserve">Gabbie Carter </t>
  </si>
  <si>
    <t>11937242</t>
  </si>
  <si>
    <t>&lt;!-- Ava Nicks - 17338366 - Onlyfans --&gt;</t>
  </si>
  <si>
    <t>16143215</t>
  </si>
  <si>
    <t>https://thumbcdn.com/splash/6rchnnkzndwl3ays.jpg</t>
  </si>
  <si>
    <t>20538793</t>
  </si>
  <si>
    <t>22251371</t>
  </si>
  <si>
    <t>&lt;!-- Ava Nicks - 38871602 - Onlyfans --&gt;</t>
  </si>
  <si>
    <t>27573005</t>
  </si>
  <si>
    <t>https://thumbcdn.com/splash/99gzukhx6glftoys.jpg</t>
  </si>
  <si>
    <t>28724000</t>
  </si>
  <si>
    <t>33418129</t>
  </si>
  <si>
    <t>&lt;!-- Ava Nicks - 56147496 - Onlyfans --&gt;</t>
  </si>
  <si>
    <t>34898438</t>
  </si>
  <si>
    <t>https://thumbcdn.com/splash/q4fawll5pellcvcj.jpg</t>
  </si>
  <si>
    <t>35121961</t>
  </si>
  <si>
    <t>36367348</t>
  </si>
  <si>
    <t>&lt;!-- Ava Nicks - 71430001 - Onlyfans --&gt;</t>
  </si>
  <si>
    <t>43063870</t>
  </si>
  <si>
    <t>https://thumbcdn.com/splash/ha41dn34gz88ifu6.jpg</t>
  </si>
  <si>
    <t>43669016</t>
  </si>
  <si>
    <t>45387459</t>
  </si>
  <si>
    <t>&lt;!-- Ava Nicks - 76436173 - Onlyfans --&gt;</t>
  </si>
  <si>
    <t>47956232</t>
  </si>
  <si>
    <t>https://thumbcdn.com/splash/fd9ib5m6dg33trkz.jpg</t>
  </si>
  <si>
    <t>47987650</t>
  </si>
  <si>
    <t>48558257</t>
  </si>
  <si>
    <t>&lt;!-- Bananapotato333 - 36693743 - Onlyfans --&gt;</t>
  </si>
  <si>
    <t>57774773</t>
  </si>
  <si>
    <t>https://thumbcdn.com/splash/w4flufhphasp8w2y.jpg</t>
  </si>
  <si>
    <t>57960276</t>
  </si>
  <si>
    <t>59574286</t>
  </si>
  <si>
    <t>&lt;!-- Blake Blossom - 52742082 - Camsoda --&gt;</t>
  </si>
  <si>
    <t>66679080</t>
  </si>
  <si>
    <t>https://thumbcdn.com/splash/l0cl5o657maw88v6.jpg</t>
  </si>
  <si>
    <t>67796670</t>
  </si>
  <si>
    <t>70879136</t>
  </si>
  <si>
    <t>&lt;!-- Bonnie Blue - 42460162 - Onlyfans --&gt;</t>
  </si>
  <si>
    <t>75482473</t>
  </si>
  <si>
    <t>https://thumbcdn.com/splash/vbx7inadk7w59dpc.jpg</t>
  </si>
  <si>
    <t>78356614</t>
  </si>
  <si>
    <t>82882024</t>
  </si>
  <si>
    <t>&lt;!-- Bonnie Blue - 58248796 - XVRED --&gt;</t>
  </si>
  <si>
    <t>83252268</t>
  </si>
  <si>
    <t>https://thumbcdn.com/splash/i8h2ngeuzpolld3n.jpg</t>
  </si>
  <si>
    <t>84125752</t>
  </si>
  <si>
    <t>84416045</t>
  </si>
  <si>
    <t>&lt;!-- Brandy Renee - 25399996 - Onlyfans --&gt;</t>
  </si>
  <si>
    <t>85598003</t>
  </si>
  <si>
    <t>https://thumbcdn.com/splash/ias8lsob7ugtqb6o.jpg</t>
  </si>
  <si>
    <t>88513952</t>
  </si>
  <si>
    <t>91592222</t>
  </si>
  <si>
    <t>&lt;!-- Brandy Renee - 45062658 - Onlyfans --&gt;</t>
  </si>
  <si>
    <t>96137621</t>
  </si>
  <si>
    <t>https://thumbcdn.com/splash/j23glorvw2sewo1i.jpg</t>
  </si>
  <si>
    <t>98491626</t>
  </si>
  <si>
    <t xml:space="preserve">Gianna Dior </t>
  </si>
  <si>
    <t>79907199</t>
  </si>
  <si>
    <t>&lt;!-- Brandy Renee - 52199052 - Onlyfans --&gt;</t>
  </si>
  <si>
    <t xml:space="preserve">Gigi Talamini </t>
  </si>
  <si>
    <t>16620448</t>
  </si>
  <si>
    <t>https://thumbcdn.com/splash/91ilqppwlq0cv4hz.jpg</t>
  </si>
  <si>
    <t>25972018</t>
  </si>
  <si>
    <t>33625937</t>
  </si>
  <si>
    <t>&lt;!-- Brandy Renee - 61045229 - Onlyfans --&gt;</t>
  </si>
  <si>
    <t>45883572</t>
  </si>
  <si>
    <t>https://thumbcdn.com/splash/2i1licq67c5jqb9f.jpg</t>
  </si>
  <si>
    <t xml:space="preserve">Gina Valentina </t>
  </si>
  <si>
    <t>23298130</t>
  </si>
  <si>
    <t xml:space="preserve">GwenGwiz </t>
  </si>
  <si>
    <t>11173292</t>
  </si>
  <si>
    <t>&lt;!-- Brandy Renee - 69962852 - PB --&gt;</t>
  </si>
  <si>
    <t>14451453</t>
  </si>
  <si>
    <t>https://thumbcdn.com/splash/c1wf376137r297ok.jpg</t>
  </si>
  <si>
    <t>19746229</t>
  </si>
  <si>
    <t>21124761</t>
  </si>
  <si>
    <t>&lt;!-- Brandy Renee - 70980059 - Onlyfans --&gt;</t>
  </si>
  <si>
    <t>21171873</t>
  </si>
  <si>
    <t>https://thumbcdn.com/splash/lfrftd6w5vhbnr2y.jpg</t>
  </si>
  <si>
    <t>23883767</t>
  </si>
  <si>
    <t>26925539</t>
  </si>
  <si>
    <t>&lt;!-- Brandy Renee - 90479935 - Onlyfans --&gt;</t>
  </si>
  <si>
    <t>32001059</t>
  </si>
  <si>
    <t>https://thumbcdn.com/splash/ceh5l7dzbqt8ft85.jpg</t>
  </si>
  <si>
    <t>36201641</t>
  </si>
  <si>
    <t>40219417</t>
  </si>
  <si>
    <t>&lt;!-- Brenda Trindade - 11630796 - Onlyfans --&gt;</t>
  </si>
  <si>
    <t>46825627</t>
  </si>
  <si>
    <t>https://thumbcdn.com/splash/7sj6hn3hx7pprnk3.jpg</t>
  </si>
  <si>
    <t>48119909</t>
  </si>
  <si>
    <t>53384436</t>
  </si>
  <si>
    <t>&lt;!-- Brenda Trindade - 28778875 - Onlyfans --&gt;</t>
  </si>
  <si>
    <t>65124374</t>
  </si>
  <si>
    <t>https://thumbcdn.com/splash/vmingmdpr040jxs5.jpg</t>
  </si>
  <si>
    <t>65805926</t>
  </si>
  <si>
    <t>68168500</t>
  </si>
  <si>
    <t>&lt;!-- Brenda Trindade - 29851665 - Onlyfans --&gt;</t>
  </si>
  <si>
    <t>68407312</t>
  </si>
  <si>
    <t>https://thumbcdn.com/splash/935fllawx5r33ll0.jpg</t>
  </si>
  <si>
    <t>70119396</t>
  </si>
  <si>
    <t>71208676</t>
  </si>
  <si>
    <t>&lt;!-- Brenda Trindade - 48654770 - Onlyfans --&gt;</t>
  </si>
  <si>
    <t>80799513</t>
  </si>
  <si>
    <t>https://thumbcdn.com/splash/fyb22c9nbumlijud.jpg</t>
  </si>
  <si>
    <t>82250884</t>
  </si>
  <si>
    <t>91197485</t>
  </si>
  <si>
    <t>&lt;!-- Brenda Trindade - 58624434 - Onlyfans --&gt;</t>
  </si>
  <si>
    <t>91203069</t>
  </si>
  <si>
    <t>https://thumbcdn.com/splash/wjdt3fei3wo98kf1.jpg</t>
  </si>
  <si>
    <t>91444182</t>
  </si>
  <si>
    <t>92110695</t>
  </si>
  <si>
    <t>&lt;!-- Brenda Trindade - 65684076 - Onlyfans --&gt;</t>
  </si>
  <si>
    <t>92682708</t>
  </si>
  <si>
    <t>https://thumbcdn.com/splash/xfkrro4gme2ssrpr.jpg</t>
  </si>
  <si>
    <t xml:space="preserve">Hailey Rose </t>
  </si>
  <si>
    <t>18271884</t>
  </si>
  <si>
    <t>20228354</t>
  </si>
  <si>
    <t>&lt;!-- Brenda Trindade - 76832927 - Onlyfans --&gt;</t>
  </si>
  <si>
    <t>25813053</t>
  </si>
  <si>
    <t>https://thumbcdn.com/splash/xov75zlm1xe4jmup.jpg</t>
  </si>
  <si>
    <t>50639876</t>
  </si>
  <si>
    <t>53044248</t>
  </si>
  <si>
    <t>&lt;!-- Brenda Trindade - 81769918 - Onlyfans --&gt;</t>
  </si>
  <si>
    <t>57089023</t>
  </si>
  <si>
    <t>https://thumbcdn.com/splash/it3xafz8h45ug7al.jpg</t>
  </si>
  <si>
    <t>64026964</t>
  </si>
  <si>
    <t>86565490</t>
  </si>
  <si>
    <t>&lt;!-- Brenda Trindade - 95951634 - Onlyfans --&gt;</t>
  </si>
  <si>
    <t>87831195</t>
  </si>
  <si>
    <t>https://thumbcdn.com/splash/hpnzfamp6m0uynyc.jpg</t>
  </si>
  <si>
    <t>89713763</t>
  </si>
  <si>
    <t>97187164</t>
  </si>
  <si>
    <t>&lt;!-- Brenda Trindade - 97482311 - Onlyfans --&gt;</t>
  </si>
  <si>
    <t xml:space="preserve">Haley Spades </t>
  </si>
  <si>
    <t>10933434</t>
  </si>
  <si>
    <t>https://thumbcdn.com/splash/dhxyl9jn86uv3wm1.jpg</t>
  </si>
  <si>
    <t>11884996</t>
  </si>
  <si>
    <t>13165762</t>
  </si>
  <si>
    <t>&lt;!-- Brenda Trindade - 98672929 - Onlyfans --&gt;</t>
  </si>
  <si>
    <t>13747519</t>
  </si>
  <si>
    <t>https://thumbcdn.com/splash/92t8gslazk5uutqr.jpg</t>
  </si>
  <si>
    <t>18505168</t>
  </si>
  <si>
    <t>20748217</t>
  </si>
  <si>
    <t>&lt;!-- Britney Rose - 10772530 - ExploitedCollegeGirls --&gt;</t>
  </si>
  <si>
    <t>26381060</t>
  </si>
  <si>
    <t>https://thumbcdn.com/splash/u37lcsw07r6gfw25.jpg</t>
  </si>
  <si>
    <t>26743368</t>
  </si>
  <si>
    <t>29725313</t>
  </si>
  <si>
    <t>&lt;!-- Britney Rose - 48369561 - BackroomCastingCouch --&gt;</t>
  </si>
  <si>
    <t>37618933</t>
  </si>
  <si>
    <t>https://thumbcdn.com/splash/fhsp15znvo5pn2v8.jpg</t>
  </si>
  <si>
    <t>38025833</t>
  </si>
  <si>
    <t>38720636</t>
  </si>
  <si>
    <t>&lt;!-- BunnyDollStella - 50581644 - Onlyfans - JackandJill --&gt;</t>
  </si>
  <si>
    <t>39361622</t>
  </si>
  <si>
    <t>https://thumbcdn.com/splash/xa1yqcmp2rwfvg5s.jpg</t>
  </si>
  <si>
    <t>39906896</t>
  </si>
  <si>
    <t>40753305</t>
  </si>
  <si>
    <t>&lt;!-- CallMeSlo - 93926811 - Onlyfans --&gt;</t>
  </si>
  <si>
    <t>47547873</t>
  </si>
  <si>
    <t>https://thumbcdn.com/splash/z5q3xgyylku6y0vo.jpg</t>
  </si>
  <si>
    <t>53567199</t>
  </si>
  <si>
    <t>59507747</t>
  </si>
  <si>
    <t>&lt;!-- Chanel Camryn - 17231421 - HotWifexxx --&gt;</t>
  </si>
  <si>
    <t>62164664</t>
  </si>
  <si>
    <t>https://thumbcdn.com/splash/u3wjfifda26bp829.jpg</t>
  </si>
  <si>
    <t>62687412</t>
  </si>
  <si>
    <t>70700659</t>
  </si>
  <si>
    <t>&lt;!-- Chanel Camryn - 92612739 - Onlyfans --&gt;</t>
  </si>
  <si>
    <t>75230723</t>
  </si>
  <si>
    <t>https://thumbcdn.com/splash/kt5xjuzxr9fccj9b.jpg</t>
  </si>
  <si>
    <t>82044382</t>
  </si>
  <si>
    <t>84254722</t>
  </si>
  <si>
    <t>&lt;!-- Cherie Deville - 18597806 - Onlyfans --&gt;</t>
  </si>
  <si>
    <t>89312649</t>
  </si>
  <si>
    <t>https://thumbcdn.com/splash/50z7izc571i6jho2.jpg</t>
  </si>
  <si>
    <t>89642695</t>
  </si>
  <si>
    <t>94148243</t>
  </si>
  <si>
    <t>&lt;!-- Cherie Deville - 21818710 - Onlyfans --&gt;</t>
  </si>
  <si>
    <t>94852051</t>
  </si>
  <si>
    <t>https://thumbcdn.com/splash/hd38khtb96ypycxt.jpg</t>
  </si>
  <si>
    <t>96147019</t>
  </si>
  <si>
    <t xml:space="preserve">Happy_Yulia </t>
  </si>
  <si>
    <t>78859240</t>
  </si>
  <si>
    <t>&lt;!-- Cherie Deville - 27444960 - XVRED - Hazel Grace --&gt;</t>
  </si>
  <si>
    <t xml:space="preserve">Hayley Davies </t>
  </si>
  <si>
    <t>15229591</t>
  </si>
  <si>
    <t>https://thumbcdn.com/splash/hhhvz7q3n2x3tc22.jpg</t>
  </si>
  <si>
    <t>26666486</t>
  </si>
  <si>
    <t>43204677</t>
  </si>
  <si>
    <t>&lt;!-- Cherie Deville - 43213370 - Onlyfans - Dana DeArmond --&gt;</t>
  </si>
  <si>
    <t>99348682</t>
  </si>
  <si>
    <t>https://thumbcdn.com/splash/6ppcq75am11s8n30.jpg</t>
  </si>
  <si>
    <t xml:space="preserve">Hinatakio </t>
  </si>
  <si>
    <t>84111829</t>
  </si>
  <si>
    <t xml:space="preserve">Honey Sasha </t>
  </si>
  <si>
    <t>71637373</t>
  </si>
  <si>
    <t>&lt;!-- Cherie Deville - 49175490 - Onlyfans --&gt;</t>
  </si>
  <si>
    <t xml:space="preserve">Indica Flower </t>
  </si>
  <si>
    <t>40171471</t>
  </si>
  <si>
    <t>https://thumbcdn.com/splash/jvogjjjmc9uro6df.jpg</t>
  </si>
  <si>
    <t>43277129</t>
  </si>
  <si>
    <t>49136859</t>
  </si>
  <si>
    <t>&lt;!-- Cherie Deville - 70617047 - XVRED --&gt;</t>
  </si>
  <si>
    <t>52696210</t>
  </si>
  <si>
    <t>https://thumbcdn.com/splash/ajlojk7490gwodfq.jpg</t>
  </si>
  <si>
    <t>66160100</t>
  </si>
  <si>
    <t>76022716</t>
  </si>
  <si>
    <t>&lt;!-- Cherry Crush - 18101943 - Onlyfans --&gt;</t>
  </si>
  <si>
    <t>77303400</t>
  </si>
  <si>
    <t>https://thumbcdn.com/splash/ejwlt1hpv1jxvqb7.jpg</t>
  </si>
  <si>
    <t>86487740</t>
  </si>
  <si>
    <t>91384409</t>
  </si>
  <si>
    <t>&lt;!-- Cherry Crush - 22967091 - Onlyfans --&gt;</t>
  </si>
  <si>
    <t>92908779</t>
  </si>
  <si>
    <t>https://thumbcdn.com/splash/bxw43356cg7673c9.jpg</t>
  </si>
  <si>
    <t>93773610</t>
  </si>
  <si>
    <t>94126261</t>
  </si>
  <si>
    <t>&lt;!-- Cherry Crush - 31670888 - Onlyfans --&gt;</t>
  </si>
  <si>
    <t>97821652</t>
  </si>
  <si>
    <t>https://thumbcdn.com/splash/vgpzbpbbx6z994k3.jpg</t>
  </si>
  <si>
    <t xml:space="preserve">Irisxjase </t>
  </si>
  <si>
    <t>87281834</t>
  </si>
  <si>
    <t xml:space="preserve">Ivy Lebelle </t>
  </si>
  <si>
    <t>22706899</t>
  </si>
  <si>
    <t>&lt;!-- Cherry Crush - 42545650 - Onlyfans --&gt;</t>
  </si>
  <si>
    <t>30820563</t>
  </si>
  <si>
    <t>https://thumbcdn.com/splash/rljy8avaeoxygi00.jpg</t>
  </si>
  <si>
    <t>42093081</t>
  </si>
  <si>
    <t>99143196</t>
  </si>
  <si>
    <t>&lt;!-- Cherry Crush - 42781173 - Onlyfans --&gt;</t>
  </si>
  <si>
    <t xml:space="preserve">Izzy </t>
  </si>
  <si>
    <t>68912986</t>
  </si>
  <si>
    <t>https://thumbcdn.com/splash/5ahrn8ykuicbue2s.jpg</t>
  </si>
  <si>
    <t xml:space="preserve">JackandJill </t>
  </si>
  <si>
    <t>30452349</t>
  </si>
  <si>
    <t>42997212</t>
  </si>
  <si>
    <t>&lt;!-- Cherry Crush - 50898168 - Onlyfans --&gt;</t>
  </si>
  <si>
    <t>JadeTeen - 68144218 - Onlyfans.jpg</t>
  </si>
  <si>
    <t>47820545</t>
  </si>
  <si>
    <t>https://thumbcdn.com/splash/z67ag69h3z4quban.jpg</t>
  </si>
  <si>
    <t xml:space="preserve">JadeTeen </t>
  </si>
  <si>
    <t>68144218</t>
  </si>
  <si>
    <t>83448182</t>
  </si>
  <si>
    <t>&lt;!-- Cherry Crush - 61962423 - Onlyfans --&gt;</t>
  </si>
  <si>
    <t xml:space="preserve">Jamie Young </t>
  </si>
  <si>
    <t>43184780</t>
  </si>
  <si>
    <t>https://thumbcdn.com/splash/5lefzngavzpd2p4n.jpg</t>
  </si>
  <si>
    <t>43293327</t>
  </si>
  <si>
    <t>45711223</t>
  </si>
  <si>
    <t>&lt;!-- Cherry Crush - 70612286 - Onlyfans --&gt;</t>
  </si>
  <si>
    <t>51707129</t>
  </si>
  <si>
    <t>https://thumbcdn.com/splash/ne4w3wadw2kz5rbc.jpg</t>
  </si>
  <si>
    <t>58168938</t>
  </si>
  <si>
    <t>72170116</t>
  </si>
  <si>
    <t>&lt;!-- Cherry Crush - 72758988 - Onlyfans --&gt;</t>
  </si>
  <si>
    <t>73885756</t>
  </si>
  <si>
    <t>https://thumbcdn.com/splash/47203l3uh174drd2.jpg</t>
  </si>
  <si>
    <t>74870486</t>
  </si>
  <si>
    <t>77619579</t>
  </si>
  <si>
    <t>&lt;!-- Cherry Crush - 75242411 - Onlyfans --&gt;</t>
  </si>
  <si>
    <t>84155640</t>
  </si>
  <si>
    <t>https://thumbcdn.com/splash/6mfnfp7bohpd02w7.jpg</t>
  </si>
  <si>
    <t>84390953</t>
  </si>
  <si>
    <t>88118699</t>
  </si>
  <si>
    <t>&lt;!-- Chloe Foxxe - 49813379 - Onlyfans --&gt;</t>
  </si>
  <si>
    <t>88859495</t>
  </si>
  <si>
    <t>https://thumbcdn.com/splash/qk7u4wmrfns0694k.jpg</t>
  </si>
  <si>
    <t>92950989</t>
  </si>
  <si>
    <t>96691307</t>
  </si>
  <si>
    <t>&lt;!-- Codi Vore - 25973564 - Onlyfans --&gt;</t>
  </si>
  <si>
    <t xml:space="preserve">Jenna Starr </t>
  </si>
  <si>
    <t>52331648</t>
  </si>
  <si>
    <t>https://thumbcdn.com/splash/ynoer0gg8brbcx0i.jpg</t>
  </si>
  <si>
    <t>87417242</t>
  </si>
  <si>
    <t xml:space="preserve">Jessie Rogers </t>
  </si>
  <si>
    <t>10648497</t>
  </si>
  <si>
    <t>&lt;!-- Codi Vore - 59741750 - Onlyfans --&gt;</t>
  </si>
  <si>
    <t>11640804</t>
  </si>
  <si>
    <t>https://thumbcdn.com/splash/9yt84rvpvogmsz4m.jpg</t>
  </si>
  <si>
    <t>13653644</t>
  </si>
  <si>
    <t>14908342</t>
  </si>
  <si>
    <t>&lt;!-- Codi Vore - 97196141 - Onlyfans - Ginger Monroe --&gt;</t>
  </si>
  <si>
    <t>20897311</t>
  </si>
  <si>
    <t>https://thumbcdn.com/splash/auv2e68r2f1bzibc.jpg</t>
  </si>
  <si>
    <t>22580865</t>
  </si>
  <si>
    <t>23206176</t>
  </si>
  <si>
    <t>&lt;!-- Comatozze - 11995759 - Onlyfans --&gt;</t>
  </si>
  <si>
    <t>23837155</t>
  </si>
  <si>
    <t>https://thumbcdn.com/splash/xwm3tmr6b01szjuc.jpg</t>
  </si>
  <si>
    <t>25028555</t>
  </si>
  <si>
    <t>27969728</t>
  </si>
  <si>
    <t>&lt;!-- Comatozze - 12745761 - Onlyfans --&gt;</t>
  </si>
  <si>
    <t>29227295</t>
  </si>
  <si>
    <t>https://thumbcdn.com/splash/9hos7xu00t81mc60.jpg</t>
  </si>
  <si>
    <t>30802683</t>
  </si>
  <si>
    <t>30904958</t>
  </si>
  <si>
    <t>&lt;!-- Comatozze - 17647210 - Onlyfans --&gt;</t>
  </si>
  <si>
    <t>32575602</t>
  </si>
  <si>
    <t>https://thumbcdn.com/splash/t4wh45rpe7ovgmkl.jpg</t>
  </si>
  <si>
    <t>32870489</t>
  </si>
  <si>
    <t>38320444</t>
  </si>
  <si>
    <t>&lt;!-- Comatozze - 22614725 - Onlyfans --&gt;</t>
  </si>
  <si>
    <t>38677225</t>
  </si>
  <si>
    <t>https://thumbcdn.com/splash/91i27m8fjbekr3mr.jpg</t>
  </si>
  <si>
    <t>45681547</t>
  </si>
  <si>
    <t>46655415</t>
  </si>
  <si>
    <t>&lt;!-- Comatozze - 24841502 - FH --&gt;</t>
  </si>
  <si>
    <t>52486299</t>
  </si>
  <si>
    <t>https://thumbcdn.com/splash/irqgxgqnyjwiudnp.jpg</t>
  </si>
  <si>
    <t>52690104</t>
  </si>
  <si>
    <t>57572969</t>
  </si>
  <si>
    <t>&lt;!-- Comatozze - 30142657 - Onlyfans --&gt;</t>
  </si>
  <si>
    <t>58009051</t>
  </si>
  <si>
    <t>https://thumbcdn.com/splash/a0ea8meofrvg6yie.jpg</t>
  </si>
  <si>
    <t>64518286</t>
  </si>
  <si>
    <t>Jessie Rogers - 67490497 - Onlyfans.jpg</t>
  </si>
  <si>
    <t>67186969</t>
  </si>
  <si>
    <t>&lt;!-- Comatozze - 42181282 - Onlyfans --&gt;</t>
  </si>
  <si>
    <t>67490497</t>
  </si>
  <si>
    <t>https://thumbcdn.com/splash/7e5x9vk4tgr9rg11.jpg</t>
  </si>
  <si>
    <t>71295357</t>
  </si>
  <si>
    <t>72664390</t>
  </si>
  <si>
    <t>&lt;!-- Comatozze - 46990227 - Onlyfans --&gt;</t>
  </si>
  <si>
    <t>78269518</t>
  </si>
  <si>
    <t>https://thumbcdn.com/splash/tfodf7lm49rywlli.jpg</t>
  </si>
  <si>
    <t>79785667</t>
  </si>
  <si>
    <t>84263564</t>
  </si>
  <si>
    <t>&lt;!-- Comatozze - 49437136 - Onlyfans --&gt;</t>
  </si>
  <si>
    <t>87103916</t>
  </si>
  <si>
    <t>https://thumbcdn.com/splash/kf58ck1qj5t8nuzs.jpg</t>
  </si>
  <si>
    <t>89289006</t>
  </si>
  <si>
    <t>92786766</t>
  </si>
  <si>
    <t>&lt;!-- Comatozze - 54421017 - XVRED --&gt;</t>
  </si>
  <si>
    <t>94536611</t>
  </si>
  <si>
    <t>https://thumbcdn.com/splash/x5d7huqo7jayvt34.jpg</t>
  </si>
  <si>
    <t>98919097</t>
  </si>
  <si>
    <t>99017284</t>
  </si>
  <si>
    <t>&lt;!-- Comatozze - 68511307 - Onlyfans --&gt;</t>
  </si>
  <si>
    <t>99753692</t>
  </si>
  <si>
    <t>https://thumbcdn.com/splash/eacquqs0mfbpl1me.jpg</t>
  </si>
  <si>
    <t xml:space="preserve">Jewelz Blu </t>
  </si>
  <si>
    <t>03348831</t>
  </si>
  <si>
    <t>12758288</t>
  </si>
  <si>
    <t>&lt;!-- Comatozze - 75998619 - Onlyfans --&gt;</t>
  </si>
  <si>
    <t>14290187</t>
  </si>
  <si>
    <t>https://thumbcdn.com/splash/lop4zoluuf41d2ay.jpg</t>
  </si>
  <si>
    <t>15090517</t>
  </si>
  <si>
    <t>20027318</t>
  </si>
  <si>
    <t>&lt;!-- Comatozze - 76965609 -  Onlyfans --&gt;</t>
  </si>
  <si>
    <t>20774899</t>
  </si>
  <si>
    <t>https://thumbcdn.com/splash/hz74kg4dxp5emymu.jpg</t>
  </si>
  <si>
    <t>24941599</t>
  </si>
  <si>
    <t>27017887</t>
  </si>
  <si>
    <t>&lt;!-- Comatozze - 84083230 - Onlyfans --&gt;</t>
  </si>
  <si>
    <t>27488131</t>
  </si>
  <si>
    <t>https://thumbcdn.com/splash/kvzyk2vm7opf70gj.jpg</t>
  </si>
  <si>
    <t>27700665</t>
  </si>
  <si>
    <t>28736983</t>
  </si>
  <si>
    <t>&lt;!-- Comatozze - 89278600 - Onlyfans --&gt;</t>
  </si>
  <si>
    <t>30652345</t>
  </si>
  <si>
    <t>https://thumbcdn.com/splash/uemypfnbhq0ymykc.jpg</t>
  </si>
  <si>
    <t>30969940</t>
  </si>
  <si>
    <t>32850979</t>
  </si>
  <si>
    <t>&lt;!-- Comatozze - 91374902 - FH --&gt;</t>
  </si>
  <si>
    <t>Jewelz Blu - 34444545 - IDK.jpg</t>
  </si>
  <si>
    <t>34265757</t>
  </si>
  <si>
    <t>https://thumbcdn.com/splash/5fm6eieksre8pefh.jpg</t>
  </si>
  <si>
    <t>34444545</t>
  </si>
  <si>
    <t>35535447</t>
  </si>
  <si>
    <t>&lt;!-- Comatozze - 95705657 - FapHouse --&gt;</t>
  </si>
  <si>
    <t>37745917</t>
  </si>
  <si>
    <t>https://thumbcdn.com/splash/orxdwfuleaqhie7m.jpg</t>
  </si>
  <si>
    <t>39366961</t>
  </si>
  <si>
    <t>41229618</t>
  </si>
  <si>
    <t>&lt;!-- Cory Chase - 64159902 - EA --&gt;</t>
  </si>
  <si>
    <t>44600385</t>
  </si>
  <si>
    <t>https://thumbcdn.com/splash/f9m3mdoe126x8xwo.jpg</t>
  </si>
  <si>
    <t>45802958</t>
  </si>
  <si>
    <t>46115763</t>
  </si>
  <si>
    <t>&lt;!-- Dahlia Sage - 89666098 - BackroomCastingCouch --&gt;</t>
  </si>
  <si>
    <t>48982150</t>
  </si>
  <si>
    <t>https://thumbcdn.com/splash/mekscrs094uqje38.jpg</t>
  </si>
  <si>
    <t>49589158</t>
  </si>
  <si>
    <t>51031582</t>
  </si>
  <si>
    <t>&lt;!-- Dainty Wilder - 02791119 - Onlyfans --&gt;</t>
  </si>
  <si>
    <t>51129751</t>
  </si>
  <si>
    <t>https://thumbcdn.com/splash/3r8oemjwnmv70z19.jpg</t>
  </si>
  <si>
    <t>54539806</t>
  </si>
  <si>
    <t>56129913</t>
  </si>
  <si>
    <t>&lt;!-- Dainty Wilder - 10194725 - Onlyfans - Lucy Mochi - Caryn Beaumont --&gt;</t>
  </si>
  <si>
    <t>56464578</t>
  </si>
  <si>
    <t>https://thumbcdn.com/splash/4p55fyzrgu7u4dz3.jpg</t>
  </si>
  <si>
    <t>56933664</t>
  </si>
  <si>
    <t>57450602</t>
  </si>
  <si>
    <t>&lt;!-- Dainty Wilder - 13798100 - Onlyfans - Lena Polanski --&gt;</t>
  </si>
  <si>
    <t>58378785</t>
  </si>
  <si>
    <t>https://thumbcdn.com/splash/mnt8nwfy3u9jawo4.jpg</t>
  </si>
  <si>
    <t>59133561</t>
  </si>
  <si>
    <t>65838320</t>
  </si>
  <si>
    <t>&lt;!-- Dainty Wilder - 20082922 - Onlyfans --&gt;</t>
  </si>
  <si>
    <t>66365849</t>
  </si>
  <si>
    <t>https://thumbcdn.com/splash/qygr09p6z3q7athp.jpg</t>
  </si>
  <si>
    <t>66368610</t>
  </si>
  <si>
    <t>68292768</t>
  </si>
  <si>
    <t>&lt;!-- Dainty Wilder - 23578439 - Onlyfans --&gt;</t>
  </si>
  <si>
    <t>71833873</t>
  </si>
  <si>
    <t>https://thumbcdn.com/splash/lvcrq8s21xqnni54.jpg</t>
  </si>
  <si>
    <t>78824960</t>
  </si>
  <si>
    <t>80080009</t>
  </si>
  <si>
    <t>&lt;!-- Dainty Wilder - 25302871 - Onlyfans --&gt;</t>
  </si>
  <si>
    <t>80880139</t>
  </si>
  <si>
    <t>https://thumbcdn.com/splash/l496hx1oocpandkh.jpg</t>
  </si>
  <si>
    <t>83258517</t>
  </si>
  <si>
    <t>84014328</t>
  </si>
  <si>
    <t>&lt;!-- Dainty Wilder - 25785112 - Onlyfans - Alina Lopez - Lucy Mochi - Cheerleader Kait --&gt;</t>
  </si>
  <si>
    <t>85600588</t>
  </si>
  <si>
    <t>https://thumbcdn.com/splash/zzz0np2s4tz1vece.jpg</t>
  </si>
  <si>
    <t>86541323</t>
  </si>
  <si>
    <t>91066475</t>
  </si>
  <si>
    <t>&lt;!-- Dainty Wilder - 39415690 - Onlyfans --&gt;</t>
  </si>
  <si>
    <t>91464913</t>
  </si>
  <si>
    <t>https://thumbcdn.com/splash/4ffr6q76ez1s7g3k.jpg</t>
  </si>
  <si>
    <t>92919613</t>
  </si>
  <si>
    <t>93410711</t>
  </si>
  <si>
    <t>&lt;!-- Dainty Wilder - 43236156 - Onlyfans --&gt;</t>
  </si>
  <si>
    <t>93619322</t>
  </si>
  <si>
    <t>https://thumbcdn.com/splash/qa76a82j0wzjai4o.jpg</t>
  </si>
  <si>
    <t>95336352</t>
  </si>
  <si>
    <t>95638896</t>
  </si>
  <si>
    <t>&lt;!-- Dainty Wilder - 48110335 - Onlyfans - Ryan Reid --&gt;</t>
  </si>
  <si>
    <t>96252943</t>
  </si>
  <si>
    <t>https://thumbcdn.com/splash/92hmx0va27we0mw1.jpg</t>
  </si>
  <si>
    <t>96624921</t>
  </si>
  <si>
    <t>96870764</t>
  </si>
  <si>
    <t>&lt;!-- Dainty Wilder - 54428152 - Onlyfans --&gt;</t>
  </si>
  <si>
    <t xml:space="preserve">Juniper </t>
  </si>
  <si>
    <t>73596562</t>
  </si>
  <si>
    <t>https://thumbcdn.com/splash/pnrkjpimsa75rapt.jpg</t>
  </si>
  <si>
    <t xml:space="preserve">Juniper Ren </t>
  </si>
  <si>
    <t>12323656</t>
  </si>
  <si>
    <t xml:space="preserve">Kali Roses </t>
  </si>
  <si>
    <t>27700551</t>
  </si>
  <si>
    <t>&lt;!-- Dainty Wilder - 65825910 - Onlyfans - Valerica Steele --&gt;</t>
  </si>
  <si>
    <t>28586276</t>
  </si>
  <si>
    <t>https://thumbcdn.com/splash/y08ccj4yisss716m.jpg</t>
  </si>
  <si>
    <t>34740220</t>
  </si>
  <si>
    <t>38472992</t>
  </si>
  <si>
    <t>&lt;!-- Dainty Wilder - 67327074 - Onlyfans --&gt;</t>
  </si>
  <si>
    <t>44828043</t>
  </si>
  <si>
    <t>https://thumbcdn.com/splash/yvf4t1s49afkw1xl.jpg</t>
  </si>
  <si>
    <t>56029035</t>
  </si>
  <si>
    <t>63542067</t>
  </si>
  <si>
    <t>&lt;!-- Dainty Wilder - 71504764 - Onlyfans - Martina Smeraldi --&gt;</t>
  </si>
  <si>
    <t>69966088</t>
  </si>
  <si>
    <t>https://thumbcdn.com/splash/jzdpprvxvhgd94ax.jpg</t>
  </si>
  <si>
    <t>73978346</t>
  </si>
  <si>
    <t>74222197</t>
  </si>
  <si>
    <t>&lt;!-- Dainty Wilder - 73520865 - Onlyfans --&gt;</t>
  </si>
  <si>
    <t>80756120</t>
  </si>
  <si>
    <t>https://thumbcdn.com/splash/4gohks36uscfuypq.jpg</t>
  </si>
  <si>
    <t>89846730</t>
  </si>
  <si>
    <t>97216217</t>
  </si>
  <si>
    <t>&lt;!-- Dainty Wilder - 85880814 - Onlyfans - Lucy Mochi --&gt;</t>
  </si>
  <si>
    <t>97546975</t>
  </si>
  <si>
    <t>https://thumbcdn.com/splash/w8y1r93g2ipvpvdk.jpg</t>
  </si>
  <si>
    <t xml:space="preserve">Kate Kuray </t>
  </si>
  <si>
    <t>11114763</t>
  </si>
  <si>
    <t>20257771</t>
  </si>
  <si>
    <t>&lt;!-- Dainty Wilder - 86337696 - Onlyfans --&gt;</t>
  </si>
  <si>
    <t>25748212</t>
  </si>
  <si>
    <t>https://thumbcdn.com/splash/vqqt3nybzsmxwrwq.jpg</t>
  </si>
  <si>
    <t>27058445</t>
  </si>
  <si>
    <t>29107362</t>
  </si>
  <si>
    <t>&lt;!-- Dainty Wilder - 89040537 - Onlyfans --&gt;</t>
  </si>
  <si>
    <t>32292220</t>
  </si>
  <si>
    <t>https://thumbcdn.com/splash/6dqlpjci7uqwuor9.jpg</t>
  </si>
  <si>
    <t>37514322</t>
  </si>
  <si>
    <t>37527639</t>
  </si>
  <si>
    <t>&lt;!-- Dainty Wilder - 89256519 - Onlyfans - Caryn Beaumont --&gt;</t>
  </si>
  <si>
    <t>39524310</t>
  </si>
  <si>
    <t>https://thumbcdn.com/splash/kuojiofrn87il0h5.jpg</t>
  </si>
  <si>
    <t>42296364</t>
  </si>
  <si>
    <t>48954158</t>
  </si>
  <si>
    <t>&lt;!-- Dainty Wilder - 89850398 - Onlyfans --&gt;</t>
  </si>
  <si>
    <t>49501513</t>
  </si>
  <si>
    <t>https://thumbcdn.com/splash/c52uuv771ipm7t4a.jpg</t>
  </si>
  <si>
    <t>50681885</t>
  </si>
  <si>
    <t>57812832</t>
  </si>
  <si>
    <t>&lt;!-- Dainty Wilder - 90178666 - Onlyfans --&gt;</t>
  </si>
  <si>
    <t>58954014</t>
  </si>
  <si>
    <t>https://thumbcdn.com/splash/i6m74wrke7z1ldcn.jpg</t>
  </si>
  <si>
    <t>60539133</t>
  </si>
  <si>
    <t>61565501</t>
  </si>
  <si>
    <t>&lt;!-- Dainty Wilder - 94217019 - Onlyfans --&gt;</t>
  </si>
  <si>
    <t>62037694</t>
  </si>
  <si>
    <t>https://thumbcdn.com/splash/eemxyeel28fyw3ax.jpg</t>
  </si>
  <si>
    <t>65746870</t>
  </si>
  <si>
    <t>Kate Kuray - 70244559 - Onlyfans.jpg</t>
  </si>
  <si>
    <t>69887722</t>
  </si>
  <si>
    <t>&lt;!-- Dainty Wilder - 95597183 - Onlyfans --&gt;</t>
  </si>
  <si>
    <t>70244559</t>
  </si>
  <si>
    <t>https://thumbcdn.com/splash/jkh6qodu0vb2wvlu.jpg</t>
  </si>
  <si>
    <t>73815915</t>
  </si>
  <si>
    <t>74101637</t>
  </si>
  <si>
    <t>&lt;!-- Dainty Wilder - 96957950 - Onlyfans --&gt;</t>
  </si>
  <si>
    <t>75592039</t>
  </si>
  <si>
    <t>https://thumbcdn.com/splash/qfygaoocpp9qb2rs.jpg</t>
  </si>
  <si>
    <t>76061384</t>
  </si>
  <si>
    <t>76518279</t>
  </si>
  <si>
    <t>&lt;!-- Dainty Wilder - 99124741 - Onlyfans - Angela White --&gt;</t>
  </si>
  <si>
    <t>78674480</t>
  </si>
  <si>
    <t>https://thumbcdn.com/splash/1cwsi17hca5kuiny.jpg</t>
  </si>
  <si>
    <t>87376874</t>
  </si>
  <si>
    <t>88073470</t>
  </si>
  <si>
    <t>&lt;!-- Dani Daniels - 10120271 - Onlyfans --&gt;</t>
  </si>
  <si>
    <t>94016805</t>
  </si>
  <si>
    <t>https://thumbcdn.com/splash/9srjkue77a83ky3t.jpg</t>
  </si>
  <si>
    <t>95934097</t>
  </si>
  <si>
    <t xml:space="preserve">Katerina </t>
  </si>
  <si>
    <t>58905159</t>
  </si>
  <si>
    <t>&lt;!-- Dani Daniels - 10192788 - Onlyfans --&gt;</t>
  </si>
  <si>
    <t xml:space="preserve">Kayley Gunner </t>
  </si>
  <si>
    <t>14062820</t>
  </si>
  <si>
    <t>https://thumbcdn.com/splash/4dzrghvill6fah24.jpg</t>
  </si>
  <si>
    <t>25869219</t>
  </si>
  <si>
    <t>26141834</t>
  </si>
  <si>
    <t>&lt;!-- Dani Daniels - 11866682 - Onlyfans --&gt;</t>
  </si>
  <si>
    <t>26358645</t>
  </si>
  <si>
    <t>https://thumbcdn.com/splash/gwq1t5jz1pb9k51s.jpg</t>
  </si>
  <si>
    <t>35561716</t>
  </si>
  <si>
    <t>36112750</t>
  </si>
  <si>
    <t>&lt;!-- Dani Daniels - 12369492 - Onlyfans --&gt;</t>
  </si>
  <si>
    <t>37877312</t>
  </si>
  <si>
    <t>https://thumbcdn.com/splash/3o2fchh07rvke87g.jpg</t>
  </si>
  <si>
    <t>45117258</t>
  </si>
  <si>
    <t>54758611</t>
  </si>
  <si>
    <t>&lt;!-- Dani Daniels - 12709167 - Onlyfans --&gt;</t>
  </si>
  <si>
    <t>71875781</t>
  </si>
  <si>
    <t>https://thumbcdn.com/splash/1nsaqvu5t2t2w53b.jpg</t>
  </si>
  <si>
    <t>85945135</t>
  </si>
  <si>
    <t>86509715</t>
  </si>
  <si>
    <t>&lt;!-- Dani Daniels - 13782221 - Onlyfans - Cherie Deville --&gt;</t>
  </si>
  <si>
    <t>97434221</t>
  </si>
  <si>
    <t>https://thumbcdn.com/splash/5alrj6wpbmcosrgq.jpg</t>
  </si>
  <si>
    <t>97772911</t>
  </si>
  <si>
    <t xml:space="preserve">Kelsi Monroe </t>
  </si>
  <si>
    <t>33753675</t>
  </si>
  <si>
    <t>&lt;!-- Dani Daniels - 14936776 - Onlyfans --&gt;</t>
  </si>
  <si>
    <t xml:space="preserve">Kendra Lust </t>
  </si>
  <si>
    <t>60592294</t>
  </si>
  <si>
    <t>https://thumbcdn.com/splash/q9up5m0fy4hnlx03.jpg</t>
  </si>
  <si>
    <t>76519840</t>
  </si>
  <si>
    <t xml:space="preserve">Kendra Sunderland </t>
  </si>
  <si>
    <t>62925139</t>
  </si>
  <si>
    <t>&lt;!-- Dani Daniels - 18551184 - Onlyfans --&gt;</t>
  </si>
  <si>
    <t xml:space="preserve">Kianna Dior </t>
  </si>
  <si>
    <t>67759608</t>
  </si>
  <si>
    <t>https://thumbcdn.com/splash/lswjw3ldssn7pwoe.jpg</t>
  </si>
  <si>
    <t>72268823</t>
  </si>
  <si>
    <t xml:space="preserve">Kimmy Granger </t>
  </si>
  <si>
    <t>30878325</t>
  </si>
  <si>
    <t>&lt;!-- Dani Daniels - 20554155 - Onlyfans --&gt;</t>
  </si>
  <si>
    <t xml:space="preserve">Kinechan </t>
  </si>
  <si>
    <t>60680314</t>
  </si>
  <si>
    <t>https://thumbcdn.com/splash/ks1qju9zwlzo5hzn.jpg</t>
  </si>
  <si>
    <t xml:space="preserve">Lana Rhoades </t>
  </si>
  <si>
    <t>54819397</t>
  </si>
  <si>
    <t>88485313</t>
  </si>
  <si>
    <t>&lt;!-- Dani Daniels - 21193358 - Onlyfans - Cherie Deville --&gt;</t>
  </si>
  <si>
    <t xml:space="preserve">LaSirena69 </t>
  </si>
  <si>
    <t>51141387</t>
  </si>
  <si>
    <t>https://thumbcdn.com/splash/7tq4y6a505esqqu8.jpg</t>
  </si>
  <si>
    <t xml:space="preserve">Lauren Phillips </t>
  </si>
  <si>
    <t>11178968</t>
  </si>
  <si>
    <t>25755399</t>
  </si>
  <si>
    <t>&lt;!-- Dani Daniels - 23640136 - Onlyfans --&gt;</t>
  </si>
  <si>
    <t>39940867</t>
  </si>
  <si>
    <t>https://thumbcdn.com/splash/xjeec9y2mha4te94.jpg</t>
  </si>
  <si>
    <t>43962331</t>
  </si>
  <si>
    <t>44561077</t>
  </si>
  <si>
    <t>&lt;!-- Dani Daniels - 24938224 - Onlyfans --&gt;</t>
  </si>
  <si>
    <t>56919928</t>
  </si>
  <si>
    <t>https://thumbcdn.com/splash/31tmdvumfk74v9lu.jpg</t>
  </si>
  <si>
    <t>59454267</t>
  </si>
  <si>
    <t>61130047</t>
  </si>
  <si>
    <t>&lt;!-- Dani Daniels - 24947976 - Onlyfans --&gt;</t>
  </si>
  <si>
    <t>82716686</t>
  </si>
  <si>
    <t>https://thumbcdn.com/splash/7o9vbd8j47vjj91y.jpg</t>
  </si>
  <si>
    <t>88465112</t>
  </si>
  <si>
    <t>92862302</t>
  </si>
  <si>
    <t>&lt;!-- Dani Daniels - 25310723 - Onlyfans --&gt;</t>
  </si>
  <si>
    <t>99942714</t>
  </si>
  <si>
    <t>https://thumbcdn.com/splash/re4q6du2zwftizvo.jpg</t>
  </si>
  <si>
    <t xml:space="preserve">Lena Paul </t>
  </si>
  <si>
    <t>21328114</t>
  </si>
  <si>
    <t>27997914</t>
  </si>
  <si>
    <t>&lt;!-- Dani Daniels - 26059965 - Onlyfans --&gt;</t>
  </si>
  <si>
    <t>30756435</t>
  </si>
  <si>
    <t>https://thumbcdn.com/splash/ymi3w5cq535lm0rf.jpg</t>
  </si>
  <si>
    <t>32115319</t>
  </si>
  <si>
    <t>41030276</t>
  </si>
  <si>
    <t>&lt;!-- Dani Daniels - 26780664 - Onlyfans --&gt;</t>
  </si>
  <si>
    <t>57956824</t>
  </si>
  <si>
    <t>https://thumbcdn.com/splash/m5apnwbdqeqacyev.jpg</t>
  </si>
  <si>
    <t>63024767</t>
  </si>
  <si>
    <t>69129060</t>
  </si>
  <si>
    <t>&lt;!-- Dani Daniels - 28431182 - Onlyfans --&gt;</t>
  </si>
  <si>
    <t>84320153</t>
  </si>
  <si>
    <t>https://thumbcdn.com/splash/ef2d2di9fbo2y8e8.jpg</t>
  </si>
  <si>
    <t xml:space="preserve">Lena Polanski </t>
  </si>
  <si>
    <t>13773574</t>
  </si>
  <si>
    <t>38748871</t>
  </si>
  <si>
    <t>&lt;!-- Dani Daniels - 30012565 - Onlyfans --&gt;</t>
  </si>
  <si>
    <t xml:space="preserve">Lena the plug </t>
  </si>
  <si>
    <t>15985766</t>
  </si>
  <si>
    <t>https://thumbcdn.com/splash/edo4oeydqmnrppc7.jpg</t>
  </si>
  <si>
    <t>18963060</t>
  </si>
  <si>
    <t>29767304</t>
  </si>
  <si>
    <t>&lt;!-- Dani Daniels - 30908064 - Onlyfans --&gt;</t>
  </si>
  <si>
    <t>35146123</t>
  </si>
  <si>
    <t>https://thumbcdn.com/splash/7wub0lr46a92qpzk.jpg</t>
  </si>
  <si>
    <t>44691980</t>
  </si>
  <si>
    <t>62542301</t>
  </si>
  <si>
    <t>&lt;!-- Dani Daniels - 32212857 - Onlyfans --&gt;</t>
  </si>
  <si>
    <t>74722268</t>
  </si>
  <si>
    <t>https://thumbcdn.com/splash/lftmgmhdsi115etb.jpg</t>
  </si>
  <si>
    <t>75484337</t>
  </si>
  <si>
    <t>79601210</t>
  </si>
  <si>
    <t>&lt;!-- Dani Daniels - 32498568 - Onlyfans --&gt;</t>
  </si>
  <si>
    <t>85746653</t>
  </si>
  <si>
    <t>https://thumbcdn.com/splash/jec7d26cs9nm8whg.jpg</t>
  </si>
  <si>
    <t xml:space="preserve">Lexi Belle </t>
  </si>
  <si>
    <t>14586632</t>
  </si>
  <si>
    <t>30943150</t>
  </si>
  <si>
    <t>&lt;!-- Dani Daniels - 32595635 - Onlyfans --&gt;</t>
  </si>
  <si>
    <t>43590742</t>
  </si>
  <si>
    <t>https://thumbcdn.com/splash/22cc2en8ujyu6uq7.jpg</t>
  </si>
  <si>
    <t>50640426</t>
  </si>
  <si>
    <t>86205405</t>
  </si>
  <si>
    <t>&lt;!-- Dani Daniels - 33684637 - Onlyfans --&gt;</t>
  </si>
  <si>
    <t>89537050</t>
  </si>
  <si>
    <t>https://thumbcdn.com/splash/ch6z4eetpc3nj2pc.jpg</t>
  </si>
  <si>
    <t xml:space="preserve">Lilibet Saunders </t>
  </si>
  <si>
    <t>51729589</t>
  </si>
  <si>
    <t>73049112</t>
  </si>
  <si>
    <t>&lt;!-- Dani Daniels - 34237053 - Onlyfans --&gt;</t>
  </si>
  <si>
    <t xml:space="preserve">Lily Lanes </t>
  </si>
  <si>
    <t>66507163</t>
  </si>
  <si>
    <t>https://thumbcdn.com/splash/jqzor7t3jna5bwcv.jpg</t>
  </si>
  <si>
    <t>72145197</t>
  </si>
  <si>
    <t>94429684</t>
  </si>
  <si>
    <t>&lt;!-- Dani Daniels - 36451659 - Onlyfans --&gt;</t>
  </si>
  <si>
    <t xml:space="preserve">Lily Phillips </t>
  </si>
  <si>
    <t>13508856</t>
  </si>
  <si>
    <t>https://thumbcdn.com/splash/lxm7co7mkd5mw10p.jpg</t>
  </si>
  <si>
    <t>14574939</t>
  </si>
  <si>
    <t>16139632</t>
  </si>
  <si>
    <t>&lt;!-- Dani Daniels - 36758110 - Onlyfans --&gt;</t>
  </si>
  <si>
    <t>25426930</t>
  </si>
  <si>
    <t>https://thumbcdn.com/splash/9ey43gddxydhjrfo.jpg</t>
  </si>
  <si>
    <t>40018720</t>
  </si>
  <si>
    <t>41732670</t>
  </si>
  <si>
    <t>&lt;!-- Dani Daniels - 38519286 - Onlyfans --&gt;</t>
  </si>
  <si>
    <t>45303572</t>
  </si>
  <si>
    <t>https://thumbcdn.com/splash/cij9rsjwnj75gjxy.jpg</t>
  </si>
  <si>
    <t>58309361</t>
  </si>
  <si>
    <t>59344750</t>
  </si>
  <si>
    <t>&lt;!-- Dani Daniels - 39608022 - Onlyfans --&gt;</t>
  </si>
  <si>
    <t>62412720</t>
  </si>
  <si>
    <t>https://thumbcdn.com/splash/x9yyskptozsh3ycf.jpg</t>
  </si>
  <si>
    <t>65483042</t>
  </si>
  <si>
    <t>77002283</t>
  </si>
  <si>
    <t>&lt;!-- Dani Daniels - 40739253 - Onlyfans --&gt;</t>
  </si>
  <si>
    <t>78144589</t>
  </si>
  <si>
    <t>https://thumbcdn.com/splash/zasuo82j5rapbd37.jpg</t>
  </si>
  <si>
    <t>89948601</t>
  </si>
  <si>
    <t>91665456</t>
  </si>
  <si>
    <t>&lt;!-- Dani Daniels - 42919483 - Onlyfans --&gt;</t>
  </si>
  <si>
    <t>91773332</t>
  </si>
  <si>
    <t>https://thumbcdn.com/splash/38l7pwzfxakqqa16.jpg</t>
  </si>
  <si>
    <t>97081805</t>
  </si>
  <si>
    <t>98914583</t>
  </si>
  <si>
    <t>&lt;!-- Dani Daniels - 42956171 - Onlyfans --&gt;</t>
  </si>
  <si>
    <t>99616786</t>
  </si>
  <si>
    <t>https://thumbcdn.com/splash/2202e6q87pzza8s9.jpg</t>
  </si>
  <si>
    <t xml:space="preserve">Linzy Ray </t>
  </si>
  <si>
    <t>81129270</t>
  </si>
  <si>
    <t xml:space="preserve">Little Caprice </t>
  </si>
  <si>
    <t>82751751</t>
  </si>
  <si>
    <t>&lt;!-- Dani Daniels - 43341333 - Onlyfans --&gt;</t>
  </si>
  <si>
    <t xml:space="preserve">Liz Jordan </t>
  </si>
  <si>
    <t>21264575</t>
  </si>
  <si>
    <t>https://thumbcdn.com/splash/vqtevpns7g8lmrkt.jpg</t>
  </si>
  <si>
    <t xml:space="preserve">Lizzie Love </t>
  </si>
  <si>
    <t>81357602</t>
  </si>
  <si>
    <t xml:space="preserve">Lola Cheeks </t>
  </si>
  <si>
    <t>43319214</t>
  </si>
  <si>
    <t>&lt;!-- Dani Daniels - 43357088 - Onlyfans --&gt;</t>
  </si>
  <si>
    <t xml:space="preserve">Lucy </t>
  </si>
  <si>
    <t>87467552</t>
  </si>
  <si>
    <t>https://thumbcdn.com/splash/69jk1eep1qfczjqy.jpg</t>
  </si>
  <si>
    <t xml:space="preserve">Lucy Foxx </t>
  </si>
  <si>
    <t>13250580</t>
  </si>
  <si>
    <t>84642179</t>
  </si>
  <si>
    <t>&lt;!-- Dani Daniels - 44166498 - Onlyfans --&gt;</t>
  </si>
  <si>
    <t xml:space="preserve">Lucy Mochi </t>
  </si>
  <si>
    <t>11144877</t>
  </si>
  <si>
    <t>https://thumbcdn.com/splash/l5nyhd2yeefb8n0z.jpg</t>
  </si>
  <si>
    <t>16687170</t>
  </si>
  <si>
    <t>23173703</t>
  </si>
  <si>
    <t>&lt;!-- Dani Daniels - 44807966 - Onlyfans --&gt;</t>
  </si>
  <si>
    <t>29122637</t>
  </si>
  <si>
    <t>https://thumbcdn.com/splash/29aef2y63wr26nh1.jpg</t>
  </si>
  <si>
    <t>29795650</t>
  </si>
  <si>
    <t>31426357</t>
  </si>
  <si>
    <t>&lt;!-- Dani Daniels - 46535961 - Onlyfans --&gt;</t>
  </si>
  <si>
    <t>35825034</t>
  </si>
  <si>
    <t>https://thumbcdn.com/splash/6hri671wcccn8k8g.jpg</t>
  </si>
  <si>
    <t>36879561</t>
  </si>
  <si>
    <t>40363312</t>
  </si>
  <si>
    <t>&lt;!-- Dani Daniels - 47568354 - Onlyfans --&gt;</t>
  </si>
  <si>
    <t>48837763</t>
  </si>
  <si>
    <t>https://thumbcdn.com/splash/5s0rjv6uqw5pw9an.jpg</t>
  </si>
  <si>
    <t>54228852</t>
  </si>
  <si>
    <t>66984989</t>
  </si>
  <si>
    <t>&lt;!-- Dani Daniels - 47942974 - Onlyfans --&gt;</t>
  </si>
  <si>
    <t>89542094</t>
  </si>
  <si>
    <t>https://thumbcdn.com/splash/ya77bdjidx288fa0.jpg</t>
  </si>
  <si>
    <t>99388211</t>
  </si>
  <si>
    <t xml:space="preserve">MaddieBubz </t>
  </si>
  <si>
    <t>84035528</t>
  </si>
  <si>
    <t>&lt;!-- Dani Daniels - 48386737 - Onlyfans --&gt;</t>
  </si>
  <si>
    <t xml:space="preserve">Madison Lanez </t>
  </si>
  <si>
    <t>95931349</t>
  </si>
  <si>
    <t>https://thumbcdn.com/splash/rvjb1qp26mi81zee.jpg</t>
  </si>
  <si>
    <t xml:space="preserve">Madison Morgan </t>
  </si>
  <si>
    <t>27978540</t>
  </si>
  <si>
    <t>60817052</t>
  </si>
  <si>
    <t>&lt;!-- Dani Daniels - 49151166 - Onlyfans --&gt;</t>
  </si>
  <si>
    <t xml:space="preserve">Mae Winters </t>
  </si>
  <si>
    <t>55467075</t>
  </si>
  <si>
    <t>https://thumbcdn.com/splash/3y3ram1gcgxy61qo.jpg</t>
  </si>
  <si>
    <t xml:space="preserve">Maisey Monroe </t>
  </si>
  <si>
    <t>39659947</t>
  </si>
  <si>
    <t xml:space="preserve">Marry Queen </t>
  </si>
  <si>
    <t>45288539</t>
  </si>
  <si>
    <t>&lt;!-- Dani Daniels - 50955700 - Onlyfans --&gt;</t>
  </si>
  <si>
    <t xml:space="preserve">Melanie Marie </t>
  </si>
  <si>
    <t>20905476</t>
  </si>
  <si>
    <t>https://thumbcdn.com/splash/7xft28dz6tqznkn8.jpg</t>
  </si>
  <si>
    <t>24675020</t>
  </si>
  <si>
    <t>69961900</t>
  </si>
  <si>
    <t>&lt;!-- Dani Daniels - 52597804 - Onlyfans --&gt;</t>
  </si>
  <si>
    <t>91881730</t>
  </si>
  <si>
    <t>https://thumbcdn.com/splash/7f96ese3398tjzib.jpg</t>
  </si>
  <si>
    <t xml:space="preserve">Melody Marks </t>
  </si>
  <si>
    <t>41586007</t>
  </si>
  <si>
    <t>41917273</t>
  </si>
  <si>
    <t>&lt;!-- Dani Daniels - 53224351 - Onlyfans --&gt;</t>
  </si>
  <si>
    <t>44001768</t>
  </si>
  <si>
    <t>https://thumbcdn.com/splash/fhxb5jamixr1jzpq.jpg</t>
  </si>
  <si>
    <t>49968496</t>
  </si>
  <si>
    <t>55284403</t>
  </si>
  <si>
    <t>&lt;!-- Dani Daniels - 53635031 - Onlyfans --&gt;</t>
  </si>
  <si>
    <t>58867059</t>
  </si>
  <si>
    <t>https://thumbcdn.com/splash/kytv8g5jdfwagjbs.jpg</t>
  </si>
  <si>
    <t>71734885</t>
  </si>
  <si>
    <t>77818427</t>
  </si>
  <si>
    <t>&lt;!-- Dani Daniels - 56497943 - Onlyfans --&gt;</t>
  </si>
  <si>
    <t>81414858</t>
  </si>
  <si>
    <t>https://thumbcdn.com/splash/3wt31nr2b8jx4c13.jpg</t>
  </si>
  <si>
    <t>82099308</t>
  </si>
  <si>
    <t>88122372</t>
  </si>
  <si>
    <t>&lt;!-- Dani Daniels - 57203383 - Onlyfans --&gt;</t>
  </si>
  <si>
    <t xml:space="preserve">Mia Malkova </t>
  </si>
  <si>
    <t>17691696</t>
  </si>
  <si>
    <t>https://thumbcdn.com/splash/onfeibcqgx55pzji.jpg</t>
  </si>
  <si>
    <t>18416994</t>
  </si>
  <si>
    <t>22061583</t>
  </si>
  <si>
    <t>&lt;!-- Dani Daniels - 58313208 - Onlyfans --&gt;</t>
  </si>
  <si>
    <t>38489095</t>
  </si>
  <si>
    <t>https://thumbcdn.com/splash/ui1wsa4aroqm6gpk.jpg</t>
  </si>
  <si>
    <t>41359143</t>
  </si>
  <si>
    <t>42738945</t>
  </si>
  <si>
    <t>&lt;!-- Dani Daniels - 60408971 - Onlyfans --&gt;</t>
  </si>
  <si>
    <t>45449164</t>
  </si>
  <si>
    <t>https://thumbcdn.com/splash/8yvhzy81k3rssiwr.jpg</t>
  </si>
  <si>
    <t>51929303</t>
  </si>
  <si>
    <t>58518494</t>
  </si>
  <si>
    <t>&lt;!-- Dani Daniels - 61335376 - Onlyfans --&gt;</t>
  </si>
  <si>
    <t>58551090</t>
  </si>
  <si>
    <t>https://thumbcdn.com/splash/0fmhwf10sx0nvf9b.jpg</t>
  </si>
  <si>
    <t>70813268</t>
  </si>
  <si>
    <t>87253864</t>
  </si>
  <si>
    <t>&lt;!-- Dani Daniels - 63122723 - Onlyfans --&gt;</t>
  </si>
  <si>
    <t>92617722</t>
  </si>
  <si>
    <t>https://thumbcdn.com/splash/m1lqt2b075ub2qvh.jpg</t>
  </si>
  <si>
    <t xml:space="preserve">Mila Sobolov </t>
  </si>
  <si>
    <t>55887993</t>
  </si>
  <si>
    <t xml:space="preserve">Mini Loonaa </t>
  </si>
  <si>
    <t>24435407</t>
  </si>
  <si>
    <t>&lt;!-- Dani Daniels - 64808876 - Onlyfans --&gt;</t>
  </si>
  <si>
    <t>35538209</t>
  </si>
  <si>
    <t>https://thumbcdn.com/splash/97brcig60g86kc71.jpg</t>
  </si>
  <si>
    <t>35834297</t>
  </si>
  <si>
    <t>64264764</t>
  </si>
  <si>
    <t>&lt;!-- Dani Daniels - 65000313 - Onlyfans --&gt;</t>
  </si>
  <si>
    <t>71137386</t>
  </si>
  <si>
    <t>https://thumbcdn.com/splash/4n4matrh22axceo9.jpg</t>
  </si>
  <si>
    <t xml:space="preserve">Misty </t>
  </si>
  <si>
    <t>77897391</t>
  </si>
  <si>
    <t xml:space="preserve">Nakedbarbiedoll </t>
  </si>
  <si>
    <t>24627046</t>
  </si>
  <si>
    <t>&lt;!-- Dani Daniels - 66212622 - Onlyfans --&gt;</t>
  </si>
  <si>
    <t xml:space="preserve">Natasha Nice </t>
  </si>
  <si>
    <t>24690414</t>
  </si>
  <si>
    <t>https://thumbcdn.com/splash/yzp561ujztgrrv76.jpg</t>
  </si>
  <si>
    <t>50308482</t>
  </si>
  <si>
    <t>57865739</t>
  </si>
  <si>
    <t>&lt;!-- Dani Daniels - 66422331 - Onlyfans --&gt;</t>
  </si>
  <si>
    <t>60001539</t>
  </si>
  <si>
    <t>https://thumbcdn.com/splash/c82u0xp5izmm75f1.jpg</t>
  </si>
  <si>
    <t>70766285</t>
  </si>
  <si>
    <t>97260972</t>
  </si>
  <si>
    <t>&lt;!-- Dani Daniels - 66537645 - Onlyfans --&gt;</t>
  </si>
  <si>
    <t xml:space="preserve">Nikoletta Queen </t>
  </si>
  <si>
    <t>54048368</t>
  </si>
  <si>
    <t>https://thumbcdn.com/splash/66wo5m4xu2y2t5wz.jpg</t>
  </si>
  <si>
    <t xml:space="preserve">Nina </t>
  </si>
  <si>
    <t>62548810</t>
  </si>
  <si>
    <t xml:space="preserve">Octokuro </t>
  </si>
  <si>
    <t>13942903</t>
  </si>
  <si>
    <t>&lt;!-- Dani Daniels - 67231091 - Onlyfans --&gt;</t>
  </si>
  <si>
    <t>14366191</t>
  </si>
  <si>
    <t>https://thumbcdn.com/splash/64zh4j7s955053kf.jpg</t>
  </si>
  <si>
    <t>15289353</t>
  </si>
  <si>
    <t>20147673</t>
  </si>
  <si>
    <t>&lt;!-- Dani Daniels - 67462200 - Onlyfans --&gt;</t>
  </si>
  <si>
    <t>20324869</t>
  </si>
  <si>
    <t>https://thumbcdn.com/splash/lwpwdagvn32byqen.jpg</t>
  </si>
  <si>
    <t>22351742</t>
  </si>
  <si>
    <t>24693016</t>
  </si>
  <si>
    <t>&lt;!-- Dani Daniels - 73207233 - Onlyfans --&gt;</t>
  </si>
  <si>
    <t>25831855</t>
  </si>
  <si>
    <t>https://thumbcdn.com/splash/fuuu3k5kz6lqaey5.jpg</t>
  </si>
  <si>
    <t>32073173</t>
  </si>
  <si>
    <t>34038524</t>
  </si>
  <si>
    <t>&lt;!-- Dani Daniels - 73971620 - Onlyfans --&gt;</t>
  </si>
  <si>
    <t>35071147</t>
  </si>
  <si>
    <t>https://thumbcdn.com/splash/a5ct51prezetcas4.jpg</t>
  </si>
  <si>
    <t>37754208</t>
  </si>
  <si>
    <t>40551953</t>
  </si>
  <si>
    <t>&lt;!-- Dani Daniels - 75405909 - Onlyfans --&gt;</t>
  </si>
  <si>
    <t>41129594</t>
  </si>
  <si>
    <t>https://thumbcdn.com/splash/1gvvwc9ewe143j29.jpg</t>
  </si>
  <si>
    <t>42043379</t>
  </si>
  <si>
    <t>43317682</t>
  </si>
  <si>
    <t>&lt;!-- Dani Daniels - 80036291 - Onlyfans --&gt;</t>
  </si>
  <si>
    <t>43587736</t>
  </si>
  <si>
    <t>https://thumbcdn.com/splash/qqmpzn5aq5cmkgmp.jpg</t>
  </si>
  <si>
    <t>46438824</t>
  </si>
  <si>
    <t>48603480</t>
  </si>
  <si>
    <t>&lt;!-- Dani Daniels - 81731075 - Onlyfans --&gt;</t>
  </si>
  <si>
    <t>Octokuro - 53119254 - Onlyfans.jpg</t>
  </si>
  <si>
    <t>52294903</t>
  </si>
  <si>
    <t>https://thumbcdn.com/splash/oqutvnqwuiz37uwe.jpg</t>
  </si>
  <si>
    <t>53119254</t>
  </si>
  <si>
    <t>54716594</t>
  </si>
  <si>
    <t>&lt;!-- Dani Daniels - 82404264 - Onlyfans --&gt;</t>
  </si>
  <si>
    <t>58018560</t>
  </si>
  <si>
    <t>https://thumbcdn.com/splash/p9udrgn069hezqmd.jpg</t>
  </si>
  <si>
    <t>59935821</t>
  </si>
  <si>
    <t>60165630</t>
  </si>
  <si>
    <t>&lt;!-- Dani Daniels - 84456951 - Onlyfans --&gt;</t>
  </si>
  <si>
    <t>64117623</t>
  </si>
  <si>
    <t>https://thumbcdn.com/splash/mi58p1zgbk9upijz.jpg</t>
  </si>
  <si>
    <t>64883548</t>
  </si>
  <si>
    <t>67483896</t>
  </si>
  <si>
    <t>&lt;!-- Dani Daniels - 87513728 - Onlyfans --&gt;</t>
  </si>
  <si>
    <t>69004840</t>
  </si>
  <si>
    <t>https://thumbcdn.com/splash/0b1gv3ajimjraxys.jpg</t>
  </si>
  <si>
    <t>69857341</t>
  </si>
  <si>
    <t>75943645</t>
  </si>
  <si>
    <t>&lt;!-- Dani Daniels - 89355838 - Onlyfans --&gt;</t>
  </si>
  <si>
    <t>77610147</t>
  </si>
  <si>
    <t>https://thumbcdn.com/splash/k6f0y5g5j3jkraum.jpg</t>
  </si>
  <si>
    <t>83051674</t>
  </si>
  <si>
    <t>83093985</t>
  </si>
  <si>
    <t>&lt;!-- Dani Daniels - 90128248 - Onlyfans --&gt;</t>
  </si>
  <si>
    <t>86995868</t>
  </si>
  <si>
    <t>https://thumbcdn.com/splash/nb25n2dtrql8f8bt.jpg</t>
  </si>
  <si>
    <t>86997868</t>
  </si>
  <si>
    <t>87079998</t>
  </si>
  <si>
    <t>&lt;!-- Dani Daniels - 90416090 - Onlyfans --&gt;</t>
  </si>
  <si>
    <t>93953392</t>
  </si>
  <si>
    <t>https://thumbcdn.com/splash/oicm654iauca204p.jpg</t>
  </si>
  <si>
    <t>96562730</t>
  </si>
  <si>
    <t>97262351</t>
  </si>
  <si>
    <t>&lt;!-- Dani Daniels - 91909436 - Onlyfans --&gt;</t>
  </si>
  <si>
    <t>98357542</t>
  </si>
  <si>
    <t>https://thumbcdn.com/splash/o88gup3id9es0i1q.jpg</t>
  </si>
  <si>
    <t>99769777</t>
  </si>
  <si>
    <t>99817193</t>
  </si>
  <si>
    <t>&lt;!-- Dani Daniels - 93689739 - Onlyfans --&gt;</t>
  </si>
  <si>
    <t xml:space="preserve">Olivia Sparkle </t>
  </si>
  <si>
    <t>11092806</t>
  </si>
  <si>
    <t>https://thumbcdn.com/splash/cdffijzxxesotrt7.jpg</t>
  </si>
  <si>
    <t>17764835</t>
  </si>
  <si>
    <t>26408287</t>
  </si>
  <si>
    <t>&lt;!-- Dani Daniels - 95592521 - Onlyfans --&gt;</t>
  </si>
  <si>
    <t>36942485</t>
  </si>
  <si>
    <t>https://thumbcdn.com/splash/stz5prk8n00txn2x.jpg</t>
  </si>
  <si>
    <t>58920974</t>
  </si>
  <si>
    <t>68549677</t>
  </si>
  <si>
    <t>&lt;!-- Dani Daniels - 95662151 - Onlyfans --&gt;</t>
  </si>
  <si>
    <t>75098849</t>
  </si>
  <si>
    <t>https://thumbcdn.com/splash/kr7gb9ntjbtq00ds.jpg</t>
  </si>
  <si>
    <t>96940959</t>
  </si>
  <si>
    <t xml:space="preserve">Payton Preslee </t>
  </si>
  <si>
    <t>34521859</t>
  </si>
  <si>
    <t>&lt;!-- Dani Daniels - 95688512 - Onlyfans --&gt;</t>
  </si>
  <si>
    <t>92445527</t>
  </si>
  <si>
    <t>https://thumbcdn.com/splash/xzf4oiuhsjh0sx0c.jpg</t>
  </si>
  <si>
    <t>95697340</t>
  </si>
  <si>
    <t xml:space="preserve">Rae Lil Black </t>
  </si>
  <si>
    <t>36474335</t>
  </si>
  <si>
    <t>&lt;!-- Dani Daniels - 96155439 - Onlyfans --&gt;</t>
  </si>
  <si>
    <t>97194071</t>
  </si>
  <si>
    <t>https://thumbcdn.com/splash/e1w74r3nznqdhmzh.jpg</t>
  </si>
  <si>
    <t xml:space="preserve">Raini </t>
  </si>
  <si>
    <t>75439323</t>
  </si>
  <si>
    <t xml:space="preserve">Rebeca Fox </t>
  </si>
  <si>
    <t>16691815</t>
  </si>
  <si>
    <t>&lt;!-- Dani Daniels - 96494907 - Onlyfans --&gt;</t>
  </si>
  <si>
    <t>97988409</t>
  </si>
  <si>
    <t>https://thumbcdn.com/splash/ffrzlbyutq8pa4a5.jpg</t>
  </si>
  <si>
    <t xml:space="preserve">Remido </t>
  </si>
  <si>
    <t>17868897</t>
  </si>
  <si>
    <t>61743542</t>
  </si>
  <si>
    <t>&lt;!-- Dani Daniels - 97058650 - Onlyfans --&gt;</t>
  </si>
  <si>
    <t xml:space="preserve">Remy Lacroix </t>
  </si>
  <si>
    <t>10307538</t>
  </si>
  <si>
    <t>https://thumbcdn.com/splash/c01n8ywiyslrei6d.jpg</t>
  </si>
  <si>
    <t>11605734</t>
  </si>
  <si>
    <t>25602670</t>
  </si>
  <si>
    <t>&lt;!-- Dani Daniels - 97485031 - Onlyfans --&gt;</t>
  </si>
  <si>
    <t>30133802</t>
  </si>
  <si>
    <t>https://thumbcdn.com/splash/pe59vgc9hrbxspdt.jpg</t>
  </si>
  <si>
    <t>35214609</t>
  </si>
  <si>
    <t>37921435</t>
  </si>
  <si>
    <t>&lt;!-- Dani Daniels - 98334702 - Onlyfans --&gt;</t>
  </si>
  <si>
    <t>44852556</t>
  </si>
  <si>
    <t>https://thumbcdn.com/splash/5x14s56wj6stkp6r.jpg</t>
  </si>
  <si>
    <t>46659805</t>
  </si>
  <si>
    <t>71611678</t>
  </si>
  <si>
    <t>&lt;!-- Dani Daniels - 98881443 - Onlyfans --&gt;</t>
  </si>
  <si>
    <t>85696956</t>
  </si>
  <si>
    <t>https://thumbcdn.com/splash/jn1mzj61v9zpngck.jpg</t>
  </si>
  <si>
    <t>96309335</t>
  </si>
  <si>
    <t xml:space="preserve">Riley Reid </t>
  </si>
  <si>
    <t>12535236</t>
  </si>
  <si>
    <t>&lt;!-- Dani Daniels - 99392329 - Onlyfans --&gt;</t>
  </si>
  <si>
    <t>13377773</t>
  </si>
  <si>
    <t>https://thumbcdn.com/splash/wrwcneddlwd202wd.jpg</t>
  </si>
  <si>
    <t>16167707</t>
  </si>
  <si>
    <t>19096283</t>
  </si>
  <si>
    <t>&lt;!-- Diamond Franco - 16454260 - FS - Amiee Cambridge --&gt;</t>
  </si>
  <si>
    <t>23234580</t>
  </si>
  <si>
    <t>https://thumbcdn.com/splash/3l58k8ceze66dhoo.jpg</t>
  </si>
  <si>
    <t>28043180</t>
  </si>
  <si>
    <t>31899025</t>
  </si>
  <si>
    <t>&lt;!-- Diamond Franco - 42383378 - Onlyfans --&gt;</t>
  </si>
  <si>
    <t>43753980</t>
  </si>
  <si>
    <t>https://thumbcdn.com/splash/p1ih2bddut5nea0a.jpg</t>
  </si>
  <si>
    <t>45995335</t>
  </si>
  <si>
    <t>56833088</t>
  </si>
  <si>
    <t>&lt;!-- Diamond Franco - 59378949 - Onlyfans --&gt;</t>
  </si>
  <si>
    <t>65655091</t>
  </si>
  <si>
    <t>https://thumbcdn.com/splash/whtj94rcpno09yoq.jpg</t>
  </si>
  <si>
    <t>66192061</t>
  </si>
  <si>
    <t>73710661</t>
  </si>
  <si>
    <t>&lt;!-- Diamond Franco - 68883516 - MPF --&gt;</t>
  </si>
  <si>
    <t>77610777</t>
  </si>
  <si>
    <t>https://thumbcdn.com/splash/pnfq3adozpm6eyt0.jpg</t>
  </si>
  <si>
    <t>82966135</t>
  </si>
  <si>
    <t>93448192</t>
  </si>
  <si>
    <t>&lt;!-- Diamond Franco - 75076645 - Onlyfans --&gt;</t>
  </si>
  <si>
    <t xml:space="preserve">Rosaline Dawn </t>
  </si>
  <si>
    <t>89378793</t>
  </si>
  <si>
    <t>https://thumbcdn.com/splash/d9g4j51ct11k88ri.jpg</t>
  </si>
  <si>
    <t>97771533</t>
  </si>
  <si>
    <t xml:space="preserve">Sage King </t>
  </si>
  <si>
    <t>21309506</t>
  </si>
  <si>
    <t>&lt;!-- Diamond Franco - 78123221 - Onlyfans - Lena the plug --&gt;</t>
  </si>
  <si>
    <t xml:space="preserve">Sami Hayes </t>
  </si>
  <si>
    <t>17599208</t>
  </si>
  <si>
    <t>https://thumbcdn.com/splash/cotu9vlo0g00c0qo.jpg</t>
  </si>
  <si>
    <t>18378655</t>
  </si>
  <si>
    <t>34614987</t>
  </si>
  <si>
    <t>&lt;!-- Diamond Franco - 83210407 - Onlyfans --&gt;</t>
  </si>
  <si>
    <t>37019928</t>
  </si>
  <si>
    <t>https://thumbcdn.com/splash/9rcli8r1ja58mnq9.jpg</t>
  </si>
  <si>
    <t>52847283</t>
  </si>
  <si>
    <t>58001185</t>
  </si>
  <si>
    <t>&lt;!-- Elle Brooke - 20581581 - Onlyfans --&gt;</t>
  </si>
  <si>
    <t>63650538</t>
  </si>
  <si>
    <t>https://thumbcdn.com/splash/2v7c9ns9x5xvnymt.jpg</t>
  </si>
  <si>
    <t>65397396</t>
  </si>
  <si>
    <t>77902618</t>
  </si>
  <si>
    <t>&lt;!-- Elle Brooke - 25581299 - Onlyfans --&gt;</t>
  </si>
  <si>
    <t>81722742</t>
  </si>
  <si>
    <t>https://thumbcdn.com/splash/5k6dk6bnu85vqzpb.jpg</t>
  </si>
  <si>
    <t>93405290</t>
  </si>
  <si>
    <t xml:space="preserve">Sasha Grey </t>
  </si>
  <si>
    <t>52381181</t>
  </si>
  <si>
    <t>&lt;!-- Elle Brooke - 36398354 - Onlyfans --&gt;</t>
  </si>
  <si>
    <t xml:space="preserve">Sav Shawz </t>
  </si>
  <si>
    <t>94987507</t>
  </si>
  <si>
    <t>https://thumbcdn.com/splash/6x1k9a93arplq5wt.jpg</t>
  </si>
  <si>
    <t xml:space="preserve">Savannah Bond </t>
  </si>
  <si>
    <t>14619680</t>
  </si>
  <si>
    <t>16972233</t>
  </si>
  <si>
    <t>&lt;!-- Elle Brooke - 44998593 - Onlyfans --&gt;</t>
  </si>
  <si>
    <t>31486715</t>
  </si>
  <si>
    <t>https://thumbcdn.com/splash/wum1y5wnfhhh6nz8.jpg</t>
  </si>
  <si>
    <t>34293046</t>
  </si>
  <si>
    <t>36028697</t>
  </si>
  <si>
    <t>&lt;!-- Elle Brooke - 46761279 - Onlyfans --&gt;</t>
  </si>
  <si>
    <t>46266365</t>
  </si>
  <si>
    <t>https://thumbcdn.com/splash/3q1r5dqpglxbz51f.jpg</t>
  </si>
  <si>
    <t>67876579</t>
  </si>
  <si>
    <t>74884313</t>
  </si>
  <si>
    <t>&lt;!-- Elle Brooke - 62205591 - Onlyfans --&gt;</t>
  </si>
  <si>
    <t>83857792</t>
  </si>
  <si>
    <t>https://thumbcdn.com/splash/621pd8zq9gu53za2.jpg</t>
  </si>
  <si>
    <t xml:space="preserve">Scarlett </t>
  </si>
  <si>
    <t>24350717</t>
  </si>
  <si>
    <t xml:space="preserve">Scarlett Hampton </t>
  </si>
  <si>
    <t>02295819</t>
  </si>
  <si>
    <t>&lt;!-- Ellie Nova - 76987710 - Onlyfans --&gt;</t>
  </si>
  <si>
    <t xml:space="preserve">Scarlettkissesxo </t>
  </si>
  <si>
    <t>37218340</t>
  </si>
  <si>
    <t>https://thumbcdn.com/splash/airkbtw9jpluxd5i.jpg</t>
  </si>
  <si>
    <t>38580972</t>
  </si>
  <si>
    <t>49030137</t>
  </si>
  <si>
    <t>&lt;!-- Ellie Nova - 79574907 - NVG --&gt;</t>
  </si>
  <si>
    <t>49786567</t>
  </si>
  <si>
    <t>https://thumbcdn.com/splash/g93slaem6vuqyk69.jpg</t>
  </si>
  <si>
    <t>77970543</t>
  </si>
  <si>
    <t>90057118</t>
  </si>
  <si>
    <t>&lt;!-- Elly Clutch - 19357564 - Onlyfans --&gt;</t>
  </si>
  <si>
    <t xml:space="preserve">Shrooms Q </t>
  </si>
  <si>
    <t>53174250</t>
  </si>
  <si>
    <t>https://thumbcdn.com/splash/buywer62y1j9lm9m.jpg</t>
  </si>
  <si>
    <t>57278873</t>
  </si>
  <si>
    <t>92378079</t>
  </si>
  <si>
    <t>&lt;!-- Elly Clutch - 23267349 - Onlyfans --&gt;</t>
  </si>
  <si>
    <t xml:space="preserve">Shyla </t>
  </si>
  <si>
    <t>65322400</t>
  </si>
  <si>
    <t>https://thumbcdn.com/splash/4baxn8ri1z0q1iuf.jpg</t>
  </si>
  <si>
    <t xml:space="preserve">Sky Bri </t>
  </si>
  <si>
    <t>10452774</t>
  </si>
  <si>
    <t>12892926</t>
  </si>
  <si>
    <t>&lt;!-- Elly Clutch - 26678756 - Onlyfans --&gt;</t>
  </si>
  <si>
    <t>13337466</t>
  </si>
  <si>
    <t>https://thumbcdn.com/splash/bw1fa59o8r7q2kjt.jpg</t>
  </si>
  <si>
    <t>22104457</t>
  </si>
  <si>
    <t>30897205</t>
  </si>
  <si>
    <t>&lt;!-- Elly Clutch - 27341499 - Onlyfans --&gt;</t>
  </si>
  <si>
    <t>46781745</t>
  </si>
  <si>
    <t>https://thumbcdn.com/splash/sjte2iu1uhwlgyoi.jpg</t>
  </si>
  <si>
    <t>81507660</t>
  </si>
  <si>
    <t>83997240</t>
  </si>
  <si>
    <t>&lt;!-- Elly Clutch - 28159340 - Onlyfans --&gt;</t>
  </si>
  <si>
    <t>91788222</t>
  </si>
  <si>
    <t>https://thumbcdn.com/splash/ecxlhch7418oz5iu.jpg</t>
  </si>
  <si>
    <t>96295247</t>
  </si>
  <si>
    <t xml:space="preserve">Skye Blue </t>
  </si>
  <si>
    <t>93915326</t>
  </si>
  <si>
    <t>&lt;!-- Elly Clutch - 32867880 - LucidFlix --&gt;</t>
  </si>
  <si>
    <t xml:space="preserve">Slimthick Vic </t>
  </si>
  <si>
    <t>88680369</t>
  </si>
  <si>
    <t>https://thumbcdn.com/splash/ic4x6epg8xrwqohx.jpg</t>
  </si>
  <si>
    <t>96569222</t>
  </si>
  <si>
    <t xml:space="preserve">Sophie Reade </t>
  </si>
  <si>
    <t>23896378</t>
  </si>
  <si>
    <t>&lt;!-- Elly Clutch - 39927204 - Onlyfans --&gt;</t>
  </si>
  <si>
    <t>53603393</t>
  </si>
  <si>
    <t>https://thumbcdn.com/splash/2k00ma092zq122bh.jpg</t>
  </si>
  <si>
    <t>54476943</t>
  </si>
  <si>
    <t>84515479</t>
  </si>
  <si>
    <t>&lt;!-- Elly Clutch - 45573246 - Onlyfans - Susie Stellar --&gt;</t>
  </si>
  <si>
    <t>96816459</t>
  </si>
  <si>
    <t>https://thumbcdn.com/splash/2b4t16qxkqwa6ewj.jpg</t>
  </si>
  <si>
    <t xml:space="preserve">Stella Barey </t>
  </si>
  <si>
    <t>42384532</t>
  </si>
  <si>
    <t>64932653</t>
  </si>
  <si>
    <t>&lt;!-- Elly Clutch - 47418489 - DrDaddyPOV --&gt;</t>
  </si>
  <si>
    <t xml:space="preserve">Stella Brooks </t>
  </si>
  <si>
    <t>23882974</t>
  </si>
  <si>
    <t>https://thumbcdn.com/splash/m79c2e5wxeg7bxdu.jpg</t>
  </si>
  <si>
    <t>30501504</t>
  </si>
  <si>
    <t>59319855</t>
  </si>
  <si>
    <t>&lt;!-- Elly Clutch - 50931142 - Onlyfans --&gt;</t>
  </si>
  <si>
    <t>71192884</t>
  </si>
  <si>
    <t>https://thumbcdn.com/splash/rjf5plw3vk2ih992.jpg</t>
  </si>
  <si>
    <t>83024281</t>
  </si>
  <si>
    <t>97821752</t>
  </si>
  <si>
    <t>&lt;!-- Elly Clutch - 51331959 - XVRED - Jewelz Blu --&gt;</t>
  </si>
  <si>
    <t xml:space="preserve">Stella Luxx </t>
  </si>
  <si>
    <t>50248255</t>
  </si>
  <si>
    <t>https://thumbcdn.com/splash/4quf4esw2b32w9z8.jpg</t>
  </si>
  <si>
    <t>61119564</t>
  </si>
  <si>
    <t>94714864</t>
  </si>
  <si>
    <t>&lt;!-- Elly Clutch - 52743631 - Onlyfans - Chloe Foxxe --&gt;</t>
  </si>
  <si>
    <t xml:space="preserve">Sweetie Fox </t>
  </si>
  <si>
    <t>14534690</t>
  </si>
  <si>
    <t>https://thumbcdn.com/splash/d69t1ppp3hau2fvf.jpg</t>
  </si>
  <si>
    <t>26093245</t>
  </si>
  <si>
    <t>34904991</t>
  </si>
  <si>
    <t>&lt;!-- Elly Clutch - 56314419 - Onlyfans --&gt;</t>
  </si>
  <si>
    <t>39327044</t>
  </si>
  <si>
    <t>https://thumbcdn.com/splash/tstfiqrw52kwp4bs.jpg</t>
  </si>
  <si>
    <t>41562688</t>
  </si>
  <si>
    <t>49496648</t>
  </si>
  <si>
    <t>&lt;!-- Elly Clutch - 56939748 - Onlyfans --&gt;</t>
  </si>
  <si>
    <t>53610530</t>
  </si>
  <si>
    <t>https://thumbcdn.com/splash/ie0zflxplln1v4yv.jpg</t>
  </si>
  <si>
    <t>59555739</t>
  </si>
  <si>
    <t>63836083</t>
  </si>
  <si>
    <t>&lt;!-- Elly Clutch - 60792517 - Onlyfans - Sky Wonderland --&gt;</t>
  </si>
  <si>
    <t>77006221</t>
  </si>
  <si>
    <t>https://thumbcdn.com/splash/9eev365xoaecbpll.jpg</t>
  </si>
  <si>
    <t>83234134</t>
  </si>
  <si>
    <t>85780578</t>
  </si>
  <si>
    <t>&lt;!-- Elly Clutch - 63179344 - Onlyfans --&gt;</t>
  </si>
  <si>
    <t>89708658</t>
  </si>
  <si>
    <t>https://thumbcdn.com/splash/inohs75piu4zj1e9.jpg</t>
  </si>
  <si>
    <t xml:space="preserve">Tessa </t>
  </si>
  <si>
    <t>55037351</t>
  </si>
  <si>
    <t xml:space="preserve">TheDanDangler </t>
  </si>
  <si>
    <t>12824636</t>
  </si>
  <si>
    <t>&lt;!-- Elly Clutch - 67600788 - Onlyfans --&gt;</t>
  </si>
  <si>
    <t>17642971</t>
  </si>
  <si>
    <t>https://thumbcdn.com/splash/ruxh4hhzqtsv1j05.jpg</t>
  </si>
  <si>
    <t>22869286</t>
  </si>
  <si>
    <t>41207150</t>
  </si>
  <si>
    <t>&lt;!-- Elly Clutch - 71915196 - Onlyfans - Hannah Jo --&gt;</t>
  </si>
  <si>
    <t>55519215</t>
  </si>
  <si>
    <t>https://thumbcdn.com/splash/604fjxy44zwlpxiq.jpg</t>
  </si>
  <si>
    <t>62022952</t>
  </si>
  <si>
    <t>63370343</t>
  </si>
  <si>
    <t>&lt;!-- Elly Clutch - 79397769 - Onlyfans --&gt;</t>
  </si>
  <si>
    <t>69507662</t>
  </si>
  <si>
    <t>https://thumbcdn.com/splash/zp02jh1flpsq549f.jpg</t>
  </si>
  <si>
    <t>75016114</t>
  </si>
  <si>
    <t>75377053</t>
  </si>
  <si>
    <t>&lt;!-- Emily Walters - 16857122 - Onlyfans --&gt;</t>
  </si>
  <si>
    <t>80371557</t>
  </si>
  <si>
    <t>https://thumbcdn.com/splash/gupfu4iskqewws11.jpg</t>
  </si>
  <si>
    <t>82758099</t>
  </si>
  <si>
    <t>99244604</t>
  </si>
  <si>
    <t>&lt;!-- Emily Walters - 17222726 - Onlyfans --&gt;</t>
  </si>
  <si>
    <t xml:space="preserve">Theodora </t>
  </si>
  <si>
    <t>61002102</t>
  </si>
  <si>
    <t>https://thumbcdn.com/splash/h7o834i5h4lkdufv.jpg</t>
  </si>
  <si>
    <t xml:space="preserve">Tru Kait </t>
  </si>
  <si>
    <t>13048826</t>
  </si>
  <si>
    <t>60340999</t>
  </si>
  <si>
    <t>&lt;!-- Emily Walters - 19561148 - Onlyfans --&gt;</t>
  </si>
  <si>
    <t>64359273</t>
  </si>
  <si>
    <t>https://thumbcdn.com/splash/1n2yd0g35pto2osw.jpg</t>
  </si>
  <si>
    <t>69147960</t>
  </si>
  <si>
    <t>96724229</t>
  </si>
  <si>
    <t>&lt;!-- Emily Walters - 26307279 - Onlyfans --&gt;</t>
  </si>
  <si>
    <t xml:space="preserve">Valentina Nappi </t>
  </si>
  <si>
    <t>11582220</t>
  </si>
  <si>
    <t>https://thumbcdn.com/splash/5626ly3h2gky46kz.jpg</t>
  </si>
  <si>
    <t>18075203</t>
  </si>
  <si>
    <t>22365103</t>
  </si>
  <si>
    <t>&lt;!-- Emily Walters - 54972070 - Onlyfans --&gt;</t>
  </si>
  <si>
    <t>30306316</t>
  </si>
  <si>
    <t>https://thumbcdn.com/splash/jo4fkr8zxxdwo7bq.jpg</t>
  </si>
  <si>
    <t>31083478</t>
  </si>
  <si>
    <t>32729334</t>
  </si>
  <si>
    <t>&lt;!-- Emily Walters - 57438156 - Onlyfans --&gt;</t>
  </si>
  <si>
    <t>35990230</t>
  </si>
  <si>
    <t>https://thumbcdn.com/splash/6ccf5xh8j6kwn8ij.jpg</t>
  </si>
  <si>
    <t>41448076</t>
  </si>
  <si>
    <t>56651761</t>
  </si>
  <si>
    <t>&lt;!-- Emily Walters - 57597598 - Onlyfans - Hotwife Alice --&gt;</t>
  </si>
  <si>
    <t>58549865</t>
  </si>
  <si>
    <t>https://thumbcdn.com/splash/pkg1ko9l3sob4b91.jpg</t>
  </si>
  <si>
    <t>62527848</t>
  </si>
  <si>
    <t>62934399</t>
  </si>
  <si>
    <t>&lt;!-- Emily Walters - 62534135 - Onlyfans --&gt;</t>
  </si>
  <si>
    <t>64759953</t>
  </si>
  <si>
    <t>https://thumbcdn.com/splash/iorubhqpb5futotc.jpg</t>
  </si>
  <si>
    <t>71950480</t>
  </si>
  <si>
    <t>78831902</t>
  </si>
  <si>
    <t>&lt;!-- Emily Walters - 92239134 - Onlyfans --&gt;</t>
  </si>
  <si>
    <t>84238758</t>
  </si>
  <si>
    <t>https://thumbcdn.com/splash/amrdbd74meco8hdp.jpg</t>
  </si>
  <si>
    <t>90064549</t>
  </si>
  <si>
    <t>98211643</t>
  </si>
  <si>
    <t>&lt;!-- Emily Walters - 93399680 - Onlyfans --&gt;</t>
  </si>
  <si>
    <t>98931095</t>
  </si>
  <si>
    <t>https://thumbcdn.com/splash/ahu3glw6x4qo3k1q.jpg</t>
  </si>
  <si>
    <t xml:space="preserve">Valentine Vixen </t>
  </si>
  <si>
    <t>80195094</t>
  </si>
  <si>
    <t xml:space="preserve">Valerica Steele </t>
  </si>
  <si>
    <t>17080532</t>
  </si>
  <si>
    <t>&lt;!-- Emma Magnolia - 11393557 - Onlyfans - Jewelz Blu --&gt;</t>
  </si>
  <si>
    <t>21782896</t>
  </si>
  <si>
    <t>https://thumbcdn.com/splash/5fypc5mose24uzeu.jpg</t>
  </si>
  <si>
    <t>33990394</t>
  </si>
  <si>
    <t>35896064</t>
  </si>
  <si>
    <t>&lt;!-- Emma Magnolia - 16838177 - Onlyfans --&gt;</t>
  </si>
  <si>
    <t>40347610</t>
  </si>
  <si>
    <t>https://thumbcdn.com/splash/6pg90zhyrrm5ukok.jpg</t>
  </si>
  <si>
    <t>46899517</t>
  </si>
  <si>
    <t>63981478</t>
  </si>
  <si>
    <t>&lt;!-- Emma Magnolia - 71272411 - Onlyfans - Cami Strella --&gt;</t>
  </si>
  <si>
    <t>64528221</t>
  </si>
  <si>
    <t>https://thumbcdn.com/splash/wdctfmbzukq9ul5u.jpg</t>
  </si>
  <si>
    <t>69304102</t>
  </si>
  <si>
    <t>75492502</t>
  </si>
  <si>
    <t>&lt;!-- Erin - 91380296 - BackroomCastingCouch --&gt;</t>
  </si>
  <si>
    <t>88056051</t>
  </si>
  <si>
    <t>https://thumbcdn.com/splash/l0i20y1lwtqtoxs3.jpg</t>
  </si>
  <si>
    <t>88316277</t>
  </si>
  <si>
    <t>93431306</t>
  </si>
  <si>
    <t>&lt;!-- Eva Elfie - 10969325 - PPV --&gt;</t>
  </si>
  <si>
    <t>94903486</t>
  </si>
  <si>
    <t>https://thumbcdn.com/splash/cjjlmxihkmfltppl.jpg</t>
  </si>
  <si>
    <t>96288677</t>
  </si>
  <si>
    <t>96346788</t>
  </si>
  <si>
    <t>&lt;!-- Eva Elfie - 14676280 - Onlyfans --&gt;</t>
  </si>
  <si>
    <t>97879386</t>
  </si>
  <si>
    <t>https://thumbcdn.com/splash/950wye3h0plnyr8x.jpg</t>
  </si>
  <si>
    <t xml:space="preserve">Vanda Angel </t>
  </si>
  <si>
    <t>23666695</t>
  </si>
  <si>
    <t>65423416</t>
  </si>
  <si>
    <t>&lt;!-- Eva Elfie - 16361811 - Onlyfans --&gt;</t>
  </si>
  <si>
    <t xml:space="preserve">Vanessa Sky </t>
  </si>
  <si>
    <t>15447404</t>
  </si>
  <si>
    <t>https://thumbcdn.com/splash/kn3hyiqrhwt3hpgm.jpg</t>
  </si>
  <si>
    <t xml:space="preserve">Violet Myers </t>
  </si>
  <si>
    <t>10931012</t>
  </si>
  <si>
    <t>10931617</t>
  </si>
  <si>
    <t>&lt;!-- Eva Elfie - 17962206 - Onlyfans --&gt;</t>
  </si>
  <si>
    <t>12378786</t>
  </si>
  <si>
    <t>https://thumbcdn.com/splash/h0z27npo7056y16k.jpg</t>
  </si>
  <si>
    <t>15445770</t>
  </si>
  <si>
    <t>17285742</t>
  </si>
  <si>
    <t>&lt;!-- Eva Elfie - 19230638 - Onlyfans --&gt;</t>
  </si>
  <si>
    <t>17383595</t>
  </si>
  <si>
    <t>https://thumbcdn.com/splash/4qzo13xf9b09osga.jpg</t>
  </si>
  <si>
    <t>19734092</t>
  </si>
  <si>
    <t>21770202</t>
  </si>
  <si>
    <t>&lt;!-- Eva Elfie - 20301549 - Onlyfans --&gt;</t>
  </si>
  <si>
    <t>22947103</t>
  </si>
  <si>
    <t>https://thumbcdn.com/splash/ciu8v9rtktewmpal.jpg</t>
  </si>
  <si>
    <t>24446612</t>
  </si>
  <si>
    <t>25360649</t>
  </si>
  <si>
    <t>&lt;!-- Eva Elfie - 32413746 - Onlyfans --&gt;</t>
  </si>
  <si>
    <t>25687268</t>
  </si>
  <si>
    <t>https://thumbcdn.com/splash/3qy7rsi5qqx232pg.jpg</t>
  </si>
  <si>
    <t>33024590</t>
  </si>
  <si>
    <t>34531153</t>
  </si>
  <si>
    <t>&lt;!-- Eva Elfie - 33050807 - Onlyfans --&gt;</t>
  </si>
  <si>
    <t>36670339</t>
  </si>
  <si>
    <t>https://thumbcdn.com/splash/8j6mxovmo70m00l1.jpg</t>
  </si>
  <si>
    <t>37239826</t>
  </si>
  <si>
    <t>38601761</t>
  </si>
  <si>
    <t>&lt;!-- Eva Elfie - 41235226 - Onlyfans --&gt;</t>
  </si>
  <si>
    <t>39780174</t>
  </si>
  <si>
    <t>https://thumbcdn.com/splash/z8012xxtt014huuu.jpg</t>
  </si>
  <si>
    <t>41586485</t>
  </si>
  <si>
    <t>42955362</t>
  </si>
  <si>
    <t>&lt;!-- Eva Elfie - 42075104 - Onlyfans --&gt;</t>
  </si>
  <si>
    <t>43312973</t>
  </si>
  <si>
    <t>https://thumbcdn.com/splash/we2zx97ek05gv45o.jpg</t>
  </si>
  <si>
    <t>44431372</t>
  </si>
  <si>
    <t>48173020</t>
  </si>
  <si>
    <t>&lt;!-- Eva Elfie - 47114945 - Onlyfans --&gt;</t>
  </si>
  <si>
    <t>48491010</t>
  </si>
  <si>
    <t>https://thumbcdn.com/splash/yjlsedr0u9kke3nn.jpg</t>
  </si>
  <si>
    <t>49168775</t>
  </si>
  <si>
    <t>49779351</t>
  </si>
  <si>
    <t>&lt;!-- Eva Elfie - 51558283 - Onlyfans --&gt;</t>
  </si>
  <si>
    <t>51020078</t>
  </si>
  <si>
    <t>https://thumbcdn.com/splash/k3i9iok565r6x0fr.jpg</t>
  </si>
  <si>
    <t>51617269</t>
  </si>
  <si>
    <t>52285724</t>
  </si>
  <si>
    <t>&lt;!-- Eva Elfie - 55413650 - Onlyfans --&gt;</t>
  </si>
  <si>
    <t>52594792</t>
  </si>
  <si>
    <t>https://thumbcdn.com/splash/4yfjg7735fcyh9wg.jpg</t>
  </si>
  <si>
    <t>54315108</t>
  </si>
  <si>
    <t>56549820</t>
  </si>
  <si>
    <t>&lt;!-- Eva Elfie - 59206791 - Onlyfans --&gt;</t>
  </si>
  <si>
    <t>57616791</t>
  </si>
  <si>
    <t>https://thumbcdn.com/splash/muu8k24uq1ttv32w.jpg</t>
  </si>
  <si>
    <t>58334536</t>
  </si>
  <si>
    <t>59964539</t>
  </si>
  <si>
    <t>&lt;!-- Eva Elfie - 64057150 - Onlyfans --&gt;</t>
  </si>
  <si>
    <t>62469806</t>
  </si>
  <si>
    <t>https://thumbcdn.com/splash/qwqebu7fz5coxng9.jpg</t>
  </si>
  <si>
    <t>62986674</t>
  </si>
  <si>
    <t>64925967</t>
  </si>
  <si>
    <t>&lt;!-- Eva Elfie - 67250856 - Onlyfans --&gt;</t>
  </si>
  <si>
    <t>65437027</t>
  </si>
  <si>
    <t>https://thumbcdn.com/splash/18frbm0tc6of856i.jpg</t>
  </si>
  <si>
    <t>68380227</t>
  </si>
  <si>
    <t>69941077</t>
  </si>
  <si>
    <t>&lt;!-- Eva Elfie - 68592528 - Onlyfans --&gt;</t>
  </si>
  <si>
    <t>Violet Myers - 72100664 - XVRED.jpg</t>
  </si>
  <si>
    <t>71852868</t>
  </si>
  <si>
    <t>https://thumbcdn.com/splash/ixg3mfcfzeebh81g.jpg</t>
  </si>
  <si>
    <t>72100664</t>
  </si>
  <si>
    <t>73689223</t>
  </si>
  <si>
    <t>&lt;!-- Eva Elfie - 70410727 - Onlyfans --&gt;</t>
  </si>
  <si>
    <t>74529932</t>
  </si>
  <si>
    <t>https://thumbcdn.com/splash/fbgcou5uz8ohak9a.jpg</t>
  </si>
  <si>
    <t>74865421</t>
  </si>
  <si>
    <t>75494414</t>
  </si>
  <si>
    <t>&lt;!-- Eva Elfie - 71677812 - Onlyfans --&gt;</t>
  </si>
  <si>
    <t>76155839</t>
  </si>
  <si>
    <t>https://thumbcdn.com/splash/7mtpn2vndzk71cs2.jpg</t>
  </si>
  <si>
    <t>76308967</t>
  </si>
  <si>
    <t>81824789</t>
  </si>
  <si>
    <t>&lt;!-- Eva Elfie - 76703582 - Onlyfans --&gt;</t>
  </si>
  <si>
    <t>82928322</t>
  </si>
  <si>
    <t>https://thumbcdn.com/splash/g7cybym1bi44vbg3.jpg</t>
  </si>
  <si>
    <t>85075742</t>
  </si>
  <si>
    <t>87190925</t>
  </si>
  <si>
    <t>&lt;!-- Eva Elfie - 81379736 - Onlyfans --&gt;</t>
  </si>
  <si>
    <t>87442420</t>
  </si>
  <si>
    <t>https://thumbcdn.com/splash/na2vgtpchqthjml6.jpg</t>
  </si>
  <si>
    <t>90005104</t>
  </si>
  <si>
    <t>92812758</t>
  </si>
  <si>
    <t>&lt;!-- Eva Elfie - 85253171 - Onlyfans --&gt;</t>
  </si>
  <si>
    <t>96688536</t>
  </si>
  <si>
    <t>https://thumbcdn.com/splash/ubn8gdjbr671q28f.jpg</t>
  </si>
  <si>
    <t>99229329</t>
  </si>
  <si>
    <t xml:space="preserve">Violet Ray </t>
  </si>
  <si>
    <t>56804782</t>
  </si>
  <si>
    <t>&lt;!-- Eva Elfie - 87988491 - Onlyfans --&gt;</t>
  </si>
  <si>
    <t xml:space="preserve">Vivian Taylor </t>
  </si>
  <si>
    <t>21079570</t>
  </si>
  <si>
    <t>https://thumbcdn.com/splash/wtt319yoy0okeisg.jpg</t>
  </si>
  <si>
    <t>22537547</t>
  </si>
  <si>
    <t>23340937</t>
  </si>
  <si>
    <t>&lt;!-- Eva Elfie - 91672213 - Onlyfans --&gt;</t>
  </si>
  <si>
    <t>23782061</t>
  </si>
  <si>
    <t>https://thumbcdn.com/splash/rabtjqh3ys1jubj1.jpg</t>
  </si>
  <si>
    <t>30693922</t>
  </si>
  <si>
    <t>34896965</t>
  </si>
  <si>
    <t>&lt;!-- Eva Elfie - 93618535 - Onlyfans --&gt;</t>
  </si>
  <si>
    <t>42892117</t>
  </si>
  <si>
    <t>https://thumbcdn.com/splash/ef2borkf6ykogby3.jpg</t>
  </si>
  <si>
    <t>53117148</t>
  </si>
  <si>
    <t>61592313</t>
  </si>
  <si>
    <t>&lt;!-- Eva Elfie - 97760224 - Onlyfans --&gt;</t>
  </si>
  <si>
    <t>67870189</t>
  </si>
  <si>
    <t>https://thumbcdn.com/splash/5vagppdk5i0l2e0t.jpg</t>
  </si>
  <si>
    <t>74834685</t>
  </si>
  <si>
    <t>76201123</t>
  </si>
  <si>
    <t>&lt;!-- Eva Elfie - 99259850 - Onlyfans --&gt;</t>
  </si>
  <si>
    <t>83159571</t>
  </si>
  <si>
    <t>https://thumbcdn.com/splash/s162v56b2g9g36x7.jpg</t>
  </si>
  <si>
    <t xml:space="preserve">Wild Halli </t>
  </si>
  <si>
    <t>81526399</t>
  </si>
  <si>
    <t xml:space="preserve">Yuiwoo </t>
  </si>
  <si>
    <t>35203460</t>
  </si>
  <si>
    <t>&lt;!-- Eva Nyx - 70048649 - PPV --&gt;</t>
  </si>
  <si>
    <t>38709626</t>
  </si>
  <si>
    <t>https://thumbcdn.com/splash/uqgkukbrtb7awm3x.jpg</t>
  </si>
  <si>
    <t xml:space="preserve">ZiaFox </t>
  </si>
  <si>
    <t>37596286</t>
  </si>
  <si>
    <t>&lt;!-- Eva Nyx - 86406160 - FS - Charlie Forde --&gt;</t>
  </si>
  <si>
    <t>https://thumbcdn.com/splash/58tjsp550sg892i8.jpg</t>
  </si>
  <si>
    <t>&lt;!-- Gabbie Carter - 11937242 - Onlyfans --&gt;</t>
  </si>
  <si>
    <t>https://thumbcdn.com/splash/b9dywvzzrnr67i8b.jpg</t>
  </si>
  <si>
    <t>&lt;!-- Gabbie Carter - 16143215 - Onlyfans --&gt;</t>
  </si>
  <si>
    <t>https://thumbcdn.com/splash/9txnkt34ab00v14c.jpg</t>
  </si>
  <si>
    <t>&lt;!-- Gabbie Carter - 20538793 - Onlyfans --&gt;</t>
  </si>
  <si>
    <t>https://thumbcdn.com/splash/jqfzlieb5erge6os.jpg</t>
  </si>
  <si>
    <t>&lt;!-- Gabbie Carter - 22251371 - Onlyfans --&gt;</t>
  </si>
  <si>
    <t>https://thumbcdn.com/splash/ytjduv3hngjuqewg.jpg</t>
  </si>
  <si>
    <t>&lt;!-- Gabbie Carter - 27573005 - Onlyfans --&gt;</t>
  </si>
  <si>
    <t>https://thumbcdn.com/splash/oivk4dpqz8mmufzp.jpg</t>
  </si>
  <si>
    <t>&lt;!-- Gabbie Carter - 28724000 - Onlyfans --&gt;</t>
  </si>
  <si>
    <t>https://thumbcdn.com/splash/kz9wx3xo6w39f4c9.jpg</t>
  </si>
  <si>
    <t>&lt;!-- Gabbie Carter - 33418129 - Onlyfans --&gt;</t>
  </si>
  <si>
    <t>https://thumbcdn.com/splash/4xo0ah6useo2sy1f.jpg</t>
  </si>
  <si>
    <t>&lt;!-- Gabbie Carter - 34898438 - Onlyfans --&gt;</t>
  </si>
  <si>
    <t>https://thumbcdn.com/splash/b4jfshe4fxjqpqbx.jpg</t>
  </si>
  <si>
    <t>&lt;!-- Gabbie Carter - 35121961 - Onlyfans --&gt;</t>
  </si>
  <si>
    <t>https://thumbcdn.com/splash/4h4877vs9lfaj0d9.jpg</t>
  </si>
  <si>
    <t>&lt;!-- Gabbie Carter - 36367348 - Onlyfans --&gt;</t>
  </si>
  <si>
    <t>https://thumbcdn.com/splash/0tssguatf27bmliq.jpg</t>
  </si>
  <si>
    <t>&lt;!-- Gabbie Carter - 43063870 - Onlyfans --&gt;</t>
  </si>
  <si>
    <t>https://thumbcdn.com/splash/72h41g4xk6me5lqu.jpg</t>
  </si>
  <si>
    <t>&lt;!-- Gabbie Carter - 43669016 - Onlyfans --&gt;</t>
  </si>
  <si>
    <t>https://thumbcdn.com/splash/pqzisv0cpvt6mvat.jpg</t>
  </si>
  <si>
    <t>&lt;!-- Gabbie Carter - 45387459 - Onlyfans --&gt;</t>
  </si>
  <si>
    <t>https://thumbcdn.com/splash/x8kg284q78a9c5jy.jpg</t>
  </si>
  <si>
    <t>&lt;!-- Gabbie Carter - 47956232 - Onlyfans --&gt;</t>
  </si>
  <si>
    <t>https://thumbcdn.com/splash/7gwmuwp221ev66yb.jpg</t>
  </si>
  <si>
    <t>&lt;!-- Gabbie Carter - 47987650 - Onlyfans --&gt;</t>
  </si>
  <si>
    <t>https://thumbcdn.com/splash/f0gwuc66qh4vcdt1.jpg</t>
  </si>
  <si>
    <t>&lt;!-- Gabbie Carter - 48558257 - Onlyfans --&gt;</t>
  </si>
  <si>
    <t>https://thumbcdn.com/splash/bbqhzd0azjagxf6i.jpg</t>
  </si>
  <si>
    <t>&lt;!-- Gabbie Carter - 57774773 - Onlyfans --&gt;</t>
  </si>
  <si>
    <t>https://thumbcdn.com/splash/q94obvbveyamcnj3.jpg</t>
  </si>
  <si>
    <t>&lt;!-- Gabbie Carter - 57960276 - Onlyfans --&gt;</t>
  </si>
  <si>
    <t>https://thumbcdn.com/splash/5nuvjrif0acni17q.jpg</t>
  </si>
  <si>
    <t>&lt;!-- Gabbie Carter - 59574286 - Onlyfans --&gt;</t>
  </si>
  <si>
    <t>https://thumbcdn.com/splash/g5o8vbv5gghx7cjv.jpg</t>
  </si>
  <si>
    <t>&lt;!-- Gabbie Carter - 66679080 - Onlyfans --&gt;</t>
  </si>
  <si>
    <t>https://thumbcdn.com/splash/1ir6geoxfwdtwlt9.jpg</t>
  </si>
  <si>
    <t>&lt;!-- Gabbie Carter - 67796670 - Onlyfans --&gt;</t>
  </si>
  <si>
    <t>https://thumbcdn.com/splash/qmzohui7mnreacu7.jpg</t>
  </si>
  <si>
    <t>&lt;!-- Gabbie Carter - 70879136 - Onlyfans --&gt;</t>
  </si>
  <si>
    <t>https://thumbcdn.com/splash/3ny66ar9z6p4kx26.jpg</t>
  </si>
  <si>
    <t>&lt;!-- Gabbie Carter - 75482473 - Onlyfans --&gt;</t>
  </si>
  <si>
    <t>https://thumbcdn.com/splash/m06rn19ry6ypaoz7.jpg</t>
  </si>
  <si>
    <t>&lt;!-- Gabbie Carter - 78356614 - Onlyfans --&gt;</t>
  </si>
  <si>
    <t>https://thumbcdn.com/splash/2q990cs129j8n5pb.jpg</t>
  </si>
  <si>
    <t>&lt;!-- Gabbie Carter - 82882024 - Onlyfans --&gt;</t>
  </si>
  <si>
    <t>https://thumbcdn.com/splash/20kcdq65w4r84gxg.jpg</t>
  </si>
  <si>
    <t>&lt;!-- Gabbie Carter - 83252268 - Onlyfans --&gt;</t>
  </si>
  <si>
    <t>https://thumbcdn.com/splash/r0vnhjukqh8qrrms.jpg</t>
  </si>
  <si>
    <t>&lt;!-- Gabbie Carter - 84125752 - Onlyfans --&gt;</t>
  </si>
  <si>
    <t>https://thumbcdn.com/splash/eetpmo5bbjgqpjcf.jpg</t>
  </si>
  <si>
    <t>&lt;!-- Gabbie Carter - 84416045 - Onlyfans --&gt;</t>
  </si>
  <si>
    <t>https://thumbcdn.com/splash/8r5kfml1gxgs5dyn.jpg</t>
  </si>
  <si>
    <t>&lt;!-- Gabbie Carter - 85598003 - Onlyfans --&gt;</t>
  </si>
  <si>
    <t>https://thumbcdn.com/splash/jj7vs30qnrc554cy.jpg</t>
  </si>
  <si>
    <t>&lt;!-- Gabbie Carter - 88513952 - Onlyfans --&gt;</t>
  </si>
  <si>
    <t>https://thumbcdn.com/splash/q1r6c7n9a20la2g6.jpg</t>
  </si>
  <si>
    <t>&lt;!-- Gabbie Carter - 91592222 - Onlyfans --&gt;</t>
  </si>
  <si>
    <t>https://thumbcdn.com/splash/n5yryih23c7zsutm.jpg</t>
  </si>
  <si>
    <t>&lt;!-- Gabbie Carter - 96137621 - Onlyfans --&gt;</t>
  </si>
  <si>
    <t>https://thumbcdn.com/splash/31e4dv8ry2tsndea.jpg</t>
  </si>
  <si>
    <t>&lt;!-- Gabbie Carter - 98491626 - Onlyfans --&gt;</t>
  </si>
  <si>
    <t>https://thumbcdn.com/splash/l4fz7avabmvle6of.jpg</t>
  </si>
  <si>
    <t>&lt;!-- Gianna Dior - 79907199 - Onlyfans --&gt;</t>
  </si>
  <si>
    <t>https://thumbcdn.com/splash/zghgrbosg69u2c9r.jpg</t>
  </si>
  <si>
    <t>&lt;!-- Gigi Talamini - 16620448 - Onlyfans --&gt;</t>
  </si>
  <si>
    <t>https://thumbcdn.com/splash/8bdx7305vnt1xpt1.jpg</t>
  </si>
  <si>
    <t>&lt;!-- Gigi Talamini - 25972018 - Onlyfans --&gt;</t>
  </si>
  <si>
    <t>https://thumbcdn.com/splash/wiioqq7zaaw34298.jpg</t>
  </si>
  <si>
    <t>&lt;!-- Gigi Talamini - 33625937 - Onlyfans --&gt;</t>
  </si>
  <si>
    <t>https://thumbcdn.com/splash/nw5rlsj8hikpuzpb.jpg</t>
  </si>
  <si>
    <t>&lt;!-- Gigi Talamini - 45883572 - Onlyfans --&gt;</t>
  </si>
  <si>
    <t>https://thumbcdn.com/splash/yrxzeysbfwwtvvny.jpg</t>
  </si>
  <si>
    <t>&lt;!-- Gina Valentina - 23298130 - Onlyfans --&gt;</t>
  </si>
  <si>
    <t>https://thumbcdn.com/splash/kq2qk2u0nftr623j.jpg</t>
  </si>
  <si>
    <t>&lt;!-- GwenGwiz - 11173292 - Onlyfans --&gt;</t>
  </si>
  <si>
    <t>https://thumbcdn.com/splash/dyjur4a3krct4ygz.jpg</t>
  </si>
  <si>
    <t>&lt;!-- GwenGwiz - 14451453 - Onlyfans --&gt;</t>
  </si>
  <si>
    <t>https://thumbcdn.com/splash/sh3815tl1h6kwpky.jpg</t>
  </si>
  <si>
    <t>&lt;!-- GwenGwiz - 19746229 - Onlyfans --&gt;</t>
  </si>
  <si>
    <t>https://thumbcdn.com/splash/wure0a6imdb9xmgf.jpg</t>
  </si>
  <si>
    <t>&lt;!-- GwenGwiz - 21124761 - Onlyfans --&gt;</t>
  </si>
  <si>
    <t>https://thumbcdn.com/splash/3v9wgfgmzqztpmkq.jpg</t>
  </si>
  <si>
    <t>&lt;!-- GwenGwiz - 21171873 - Onlyfans --&gt;</t>
  </si>
  <si>
    <t>https://thumbcdn.com/splash/88tz487b81lhj5tu.jpg</t>
  </si>
  <si>
    <t>&lt;!-- GwenGwiz - 23883767 - Onlyfans --&gt;</t>
  </si>
  <si>
    <t>https://thumbcdn.com/splash/enrk8vhpo4hy26pz.jpg</t>
  </si>
  <si>
    <t>&lt;!-- GwenGwiz - 26925539 - Onlyfans --&gt;</t>
  </si>
  <si>
    <t>https://thumbcdn.com/splash/oizkj4eh7v6dtfwj.jpg</t>
  </si>
  <si>
    <t>&lt;!-- GwenGwiz - 32001059 - Onlyfans --&gt;</t>
  </si>
  <si>
    <t>https://thumbcdn.com/splash/xg6x4fgfubkpervi.jpg</t>
  </si>
  <si>
    <t>&lt;!-- GwenGwiz - 36201641 - Onlyfans --&gt;</t>
  </si>
  <si>
    <t>https://thumbcdn.com/splash/d1eoar2f9l45vj8n.jpg</t>
  </si>
  <si>
    <t>&lt;!-- GwenGwiz - 40219417 - Onlyfans --&gt;</t>
  </si>
  <si>
    <t>https://thumbcdn.com/splash/brp63q91an3w6iq1.jpg</t>
  </si>
  <si>
    <t>&lt;!-- GwenGwiz - 46825627 - Onlyfans --&gt;</t>
  </si>
  <si>
    <t>https://thumbcdn.com/splash/fnrwq1nds51oigeg.jpg</t>
  </si>
  <si>
    <t>&lt;!-- GwenGwiz - 48119909 - Onlyfans --&gt;</t>
  </si>
  <si>
    <t>https://thumbcdn.com/splash/bitqspbde7qljsn1.jpg</t>
  </si>
  <si>
    <t>&lt;!-- GwenGwiz - 53384436 - Onlyfans --&gt;</t>
  </si>
  <si>
    <t>https://thumbcdn.com/splash/gedxoxh5uuvoeuv2.jpg</t>
  </si>
  <si>
    <t>&lt;!-- GwenGwiz - 65124374 - Onlyfans --&gt;</t>
  </si>
  <si>
    <t>https://thumbcdn.com/splash/3jyi016xb1xcqmzs.jpg</t>
  </si>
  <si>
    <t>&lt;!-- GwenGwiz - 65805926 - Onlyfans --&gt;</t>
  </si>
  <si>
    <t>https://thumbcdn.com/splash/1cpzycvdwszuyfa7.jpg</t>
  </si>
  <si>
    <t>&lt;!-- GwenGwiz - 68168500 - Onlyfans --&gt;</t>
  </si>
  <si>
    <t>https://thumbcdn.com/splash/gpf4gn7omczfbmt0.jpg</t>
  </si>
  <si>
    <t>&lt;!-- GwenGwiz - 68407312 - Onlyfans --&gt;</t>
  </si>
  <si>
    <t>https://thumbcdn.com/splash/7u8g630hv9t2h4ra.jpg</t>
  </si>
  <si>
    <t>&lt;!-- GwenGwiz - 70119396 - Onlyfans --&gt;</t>
  </si>
  <si>
    <t>https://thumbcdn.com/splash/6taalshx6nhs7yvr.jpg</t>
  </si>
  <si>
    <t>&lt;!-- GwenGwiz - 71208676 - Onlyfans --&gt;</t>
  </si>
  <si>
    <t>https://thumbcdn.com/splash/qvzcaz13fax7wws9.jpg</t>
  </si>
  <si>
    <t>&lt;!-- GwenGwiz - 80799513 - Onlyfans --&gt;</t>
  </si>
  <si>
    <t>https://thumbcdn.com/splash/89rgqbtqlsdn2rix.jpg</t>
  </si>
  <si>
    <t>&lt;!-- GwenGwiz - 82250884 - Onlyfans --&gt;</t>
  </si>
  <si>
    <t>https://thumbcdn.com/splash/pab4fz0t3q9qaeyl.jpg</t>
  </si>
  <si>
    <t>&lt;!-- GwenGwiz - 91197485 - Onlyfans --&gt;</t>
  </si>
  <si>
    <t>https://thumbcdn.com/splash/7phi6xmkq65bs10y.jpg</t>
  </si>
  <si>
    <t>&lt;!-- GwenGwiz - 91203069 - Onlyfans --&gt;</t>
  </si>
  <si>
    <t>https://thumbcdn.com/splash/tvo833qbzttzfufm.jpg</t>
  </si>
  <si>
    <t>&lt;!-- GwenGwiz - 91444182 - Onlyfans --&gt;</t>
  </si>
  <si>
    <t>https://thumbcdn.com/splash/7xdx7a7sohgvzyll.jpg</t>
  </si>
  <si>
    <t>&lt;!-- GwenGwiz - 92110695 - Onlyfans --&gt;</t>
  </si>
  <si>
    <t>https://thumbcdn.com/splash/acfm49iwyqt7kqcn.jpg</t>
  </si>
  <si>
    <t>&lt;!-- GwenGwiz - 92682708 - Onlyfans --&gt;</t>
  </si>
  <si>
    <t>https://thumbcdn.com/splash/2xymdrudcgixfhfp.jpg</t>
  </si>
  <si>
    <t>&lt;!-- Hailey Rose - 18271884 - Onlyfans --&gt;</t>
  </si>
  <si>
    <t>https://thumbcdn.com/splash/tdykho1me9hgxbs4.jpg</t>
  </si>
  <si>
    <t>&lt;!-- Hailey Rose - 20228354 - Onlyfans - Azzy Star --&gt;</t>
  </si>
  <si>
    <t>https://thumbcdn.com/splash/vaz0359ifxesdppn.jpg</t>
  </si>
  <si>
    <t>&lt;!-- Hailey Rose - 25813053 - Onlyfans - Alanna Pow --&gt;</t>
  </si>
  <si>
    <t>https://thumbcdn.com/splash/hjvxnyrlgsf0v868.jpg</t>
  </si>
  <si>
    <t>&lt;!-- Hailey Rose - 50639876 - Onlyfans - Toochi Kash --&gt;</t>
  </si>
  <si>
    <t>https://thumbcdn.com/splash/9mhp4zibtpf6j6sf.jpg</t>
  </si>
  <si>
    <t>&lt;!-- Hailey Rose - 53044248 - EvilAngel --&gt;</t>
  </si>
  <si>
    <t>https://thumbcdn.com/splash/looe1kz67qthyl8n.jpg</t>
  </si>
  <si>
    <t>&lt;!-- Hailey Rose - 57089023 - Onlyfans --&gt;</t>
  </si>
  <si>
    <t>https://thumbcdn.com/splash/aaaxu9pv478cnlcg.jpg</t>
  </si>
  <si>
    <t>&lt;!-- Hailey Rose - 64026964 - Onlyfans --&gt;</t>
  </si>
  <si>
    <t>https://thumbcdn.com/splash/6ooreqqs0ib5eiq1.jpg</t>
  </si>
  <si>
    <t>&lt;!-- Hailey Rose - 86565490 - Onlyfans - Sabrina Nichole --&gt;</t>
  </si>
  <si>
    <t>https://thumbcdn.com/splash/2gpjbuxisqt86fvl.jpg</t>
  </si>
  <si>
    <t>&lt;!-- Hailey Rose - 87831195 - Bang --&gt;</t>
  </si>
  <si>
    <t>https://thumbcdn.com/splash/3hojtij5qvhvx6lg.jpg</t>
  </si>
  <si>
    <t>&lt;!-- Hailey Rose - 89713763 - Onlyfans - Minami Airi --&gt;</t>
  </si>
  <si>
    <t>https://thumbcdn.com/splash/hxg9ic2u0fvi4nxc.jpg</t>
  </si>
  <si>
    <t>&lt;!-- Hailey Rose - 97187164 - Onlyfans - Violet Myers --&gt;</t>
  </si>
  <si>
    <t>https://thumbcdn.com/splash/bvapl7gj73dot7mj.jpg</t>
  </si>
  <si>
    <t>&lt;!-- Haley Spades - 10933434 - ItsAnal --&gt;</t>
  </si>
  <si>
    <t>https://thumbcdn.com/splash/cmywn0t55s2ix58c.jpg</t>
  </si>
  <si>
    <t>&lt;!-- Haley Spades - 11884996 - Onlyfans --&gt;</t>
  </si>
  <si>
    <t>https://thumbcdn.com/splash/ngbfyce2o4hrvrmi.jpg</t>
  </si>
  <si>
    <t>&lt;!-- Haley Spades - 13165762 - Onlyfans --&gt;</t>
  </si>
  <si>
    <t>https://thumbcdn.com/splash/bscts9blvmjiefr4.jpg</t>
  </si>
  <si>
    <t>&lt;!-- Haley Spades - 13747519 - BS --&gt;</t>
  </si>
  <si>
    <t>https://thumbcdn.com/splash/evtxrrn4lbewfvbr.jpg</t>
  </si>
  <si>
    <t>&lt;!-- Haley Spades - 18505168 - Onlyfans --&gt;</t>
  </si>
  <si>
    <t>https://thumbcdn.com/splash/ipfwshp3zbtobfxs.jpg</t>
  </si>
  <si>
    <t>&lt;!-- Haley Spades - 20748217 - Onlyfans --&gt;</t>
  </si>
  <si>
    <t>https://thumbcdn.com/splash/6sv2x8a1ov1j6jcd.jpg</t>
  </si>
  <si>
    <t>&lt;!-- Haley Spades - 26381060 - PB --&gt;</t>
  </si>
  <si>
    <t>https://thumbcdn.com/splash/z6rm146r9yl9yhce.jpg</t>
  </si>
  <si>
    <t>&lt;!-- Haley Spades - 26743368 - NP - Mia River --&gt;</t>
  </si>
  <si>
    <t>https://thumbcdn.com/splash/waxj0hitbbpxkyt1.jpg</t>
  </si>
  <si>
    <t>&lt;!-- Haley Spades - 29725313 - XVRED --&gt;</t>
  </si>
  <si>
    <t>https://thumbcdn.com/splash/mvgp2gj6c3wpi1a1.jpg</t>
  </si>
  <si>
    <t>&lt;!-- Haley Spades - 37618933 - Dark X --&gt;</t>
  </si>
  <si>
    <t>https://thumbcdn.com/splash/sxkz110be8lhery4.jpg</t>
  </si>
  <si>
    <t>&lt;!-- Haley Spades - 38025833 - Onlyfans --&gt;</t>
  </si>
  <si>
    <t>https://thumbcdn.com/splash/be98bqm2luv3ihcl.jpg</t>
  </si>
  <si>
    <t>&lt;!-- Haley Spades - 38720636 - Onlyfans --&gt;</t>
  </si>
  <si>
    <t>https://thumbcdn.com/splash/j2h9dnxgl6fugehk.jpg</t>
  </si>
  <si>
    <t>&lt;!-- Haley Spades - 39361622 - Onlyfans --&gt;</t>
  </si>
  <si>
    <t>https://thumbcdn.com/splash/l5cduvqo2p8opesp.jpg</t>
  </si>
  <si>
    <t>&lt;!-- Haley Spades - 39906896 - FS --&gt;</t>
  </si>
  <si>
    <t>https://thumbcdn.com/splash/kbemvxb0c4leu9wm.jpg</t>
  </si>
  <si>
    <t>&lt;!-- Haley Spades - 40753305 - Onlyfans --&gt;</t>
  </si>
  <si>
    <t>https://thumbcdn.com/splash/aqwopyppfm59cjqb.jpg</t>
  </si>
  <si>
    <t>&lt;!-- Haley Spades - 47547873 - Onlyfans --&gt;</t>
  </si>
  <si>
    <t>https://thumbcdn.com/splash/ket4z0tn1fiy2u1z.jpg</t>
  </si>
  <si>
    <t>&lt;!-- Haley Spades - 53567199 - EvilAngel --&gt;</t>
  </si>
  <si>
    <t>https://thumbcdn.com/splash/ccxty56e12hjtzie.jpg</t>
  </si>
  <si>
    <t>&lt;!-- Haley Spades - 59507747 - Tushy --&gt;</t>
  </si>
  <si>
    <t>https://thumbcdn.com/splash/rld9tl5rvj63kj2x.jpg</t>
  </si>
  <si>
    <t>&lt;!-- Haley Spades - 62164664 - Hardx --&gt;</t>
  </si>
  <si>
    <t>https://thumbcdn.com/splash/ydof2fe1hpmvcqpw.jpg</t>
  </si>
  <si>
    <t>&lt;!-- Haley Spades - 62687412 - Onlyfans --&gt;</t>
  </si>
  <si>
    <t>https://thumbcdn.com/splash/qi77hk67znmrsk3h.jpg</t>
  </si>
  <si>
    <t>&lt;!-- Haley Spades - 70700659 - FS --&gt;</t>
  </si>
  <si>
    <t>https://thumbcdn.com/splash/6irzfhcffgnjzzqh.jpg</t>
  </si>
  <si>
    <t>&lt;!-- Haley Spades - 75230723 - BTS --&gt;</t>
  </si>
  <si>
    <t>https://thumbcdn.com/splash/l2n1b3yhb9quclj5.jpg</t>
  </si>
  <si>
    <t>&lt;!-- Haley Spades - 82044382 - XVRED --&gt;</t>
  </si>
  <si>
    <t>https://thumbcdn.com/splash/xbig7ize1igazc1v.jpg</t>
  </si>
  <si>
    <t>&lt;!-- Haley Spades - 84254722 - PD --&gt;</t>
  </si>
  <si>
    <t>https://thumbcdn.com/splash/1v152u6uq6j1ltlx.jpg</t>
  </si>
  <si>
    <t>&lt;!-- Haley Spades - 89312649 - Onlyfans --&gt;</t>
  </si>
  <si>
    <t>https://thumbcdn.com/splash/64kcu03z0o77514x.jpg</t>
  </si>
  <si>
    <t>&lt;!-- Haley Spades - 89642695 - Onlyfans --&gt;</t>
  </si>
  <si>
    <t>https://thumbcdn.com/splash/kcq9tifskvriy5sa.jpg</t>
  </si>
  <si>
    <t>&lt;!-- Haley Spades - 94148243 - OF --&gt;</t>
  </si>
  <si>
    <t>https://thumbcdn.com/splash/x6com11pe57sn1iz.jpg</t>
  </si>
  <si>
    <t>&lt;!-- Haley Spades - 94852051 - Onlyfans - Jewelz Blu --&gt;</t>
  </si>
  <si>
    <t>https://thumbcdn.com/splash/u087kkr97osdhlo8.jpg</t>
  </si>
  <si>
    <t>&lt;!-- Haley Spades - 96147019 - Gangbang Creampie --&gt;</t>
  </si>
  <si>
    <t>https://thumbcdn.com/splash/bxa03d1wx37b0b4n.jpg</t>
  </si>
  <si>
    <t>&lt;!-- Happy Yulia - 78859240 - Onlyfans --&gt;</t>
  </si>
  <si>
    <t>https://thumbcdn.com/splash/pesqdyhuupa64hy4.jpg</t>
  </si>
  <si>
    <t>&lt;!-- Hayley Davies - 15229591 - Onlyfans --&gt;</t>
  </si>
  <si>
    <t>https://thumbcdn.com/splash/vfdlrslw76pj78pv.jpg</t>
  </si>
  <si>
    <t>&lt;!-- Hayley Davies - 26666486 - PB --&gt;</t>
  </si>
  <si>
    <t>https://thumbcdn.com/splash/sqf3pcvv69tht6g8.jpg</t>
  </si>
  <si>
    <t>&lt;!-- Hayley Davies - 43204677 - Onlyfans --&gt;</t>
  </si>
  <si>
    <t>https://thumbcdn.com/splash/masd493yym2yxhb3.jpg</t>
  </si>
  <si>
    <t>&lt;!-- Hayley Davies - 99348682 - Onlyfans - Violet Myers --&gt;</t>
  </si>
  <si>
    <t>https://thumbcdn.com/splash/axe2n1pcwkqbiv7e.jpg</t>
  </si>
  <si>
    <t>&lt;!-- Hinatakio - 84111829 - Onlyfans --&gt;</t>
  </si>
  <si>
    <t>https://thumbcdn.com/splash/wr000prtpn1fx9uc.jpg</t>
  </si>
  <si>
    <t>&lt;!-- Honey Sasha - 71637373 - Onlyfans --&gt;</t>
  </si>
  <si>
    <t>https://thumbcdn.com/splash/iodaz0clknrxuhxu.jpg</t>
  </si>
  <si>
    <t>&lt;!-- Indica Flower - 40171471 - Onlyfans --&gt;</t>
  </si>
  <si>
    <t>https://thumbcdn.com/splash/zl1arepseenhhi3h.jpg</t>
  </si>
  <si>
    <t>&lt;!-- Indica Flower - 43277129 - Onlyfans --&gt;</t>
  </si>
  <si>
    <t>https://thumbcdn.com/splash/juj8mg25dezdwdly.jpg</t>
  </si>
  <si>
    <t>&lt;!-- Indica Flower - 49136859 - Onlyfans --&gt;</t>
  </si>
  <si>
    <t>https://thumbcdn.com/splash/6n5lbii6c54g4rpt.jpg</t>
  </si>
  <si>
    <t>&lt;!-- Indica Flower - 52696210 - MLR --&gt;</t>
  </si>
  <si>
    <t>https://thumbcdn.com/splash/zua5joblnfz4w5tr.jpg</t>
  </si>
  <si>
    <t>&lt;!-- Indica Flower - 66160100 - Onlyfans --&gt;</t>
  </si>
  <si>
    <t>https://thumbcdn.com/splash/4ddse1m0u5rb5nru.jpg</t>
  </si>
  <si>
    <t>&lt;!-- Indica Flower - 76022716 - Onlyfans --&gt;</t>
  </si>
  <si>
    <t>https://thumbcdn.com/splash/y2s2li80v63kmjuw.jpg</t>
  </si>
  <si>
    <t>&lt;!-- Indica Flower - 77303400 - Onlyfans - Angela White --&gt;</t>
  </si>
  <si>
    <t>https://thumbcdn.com/splash/g2t1xiqcn0glw6oz.jpg</t>
  </si>
  <si>
    <t>&lt;!-- Indica Flower - 86487740 - Onlyfans --&gt;</t>
  </si>
  <si>
    <t>https://thumbcdn.com/splash/emevavoqq97987g8.jpg</t>
  </si>
  <si>
    <t>&lt;!-- Indica Flower - 91384409 - Onlyfans --&gt;</t>
  </si>
  <si>
    <t>https://thumbcdn.com/splash/7t4mszywd8ssokbb.jpg</t>
  </si>
  <si>
    <t>&lt;!-- Indica Flower - 92908779 - Onlyfans --&gt;</t>
  </si>
  <si>
    <t>https://thumbcdn.com/splash/m8844r1f8zk11a2f.jpg</t>
  </si>
  <si>
    <t>&lt;!-- Indica Flower - 93773610 - Onlyfans --&gt;</t>
  </si>
  <si>
    <t>https://thumbcdn.com/splash/fkzpzwpwxbbb3h4n.jpg</t>
  </si>
  <si>
    <t>&lt;!-- Indica Flower - 94126261 - NaughtyAmerica --&gt;</t>
  </si>
  <si>
    <t>https://thumbcdn.com/splash/ha9g6i1h24ui998w.jpg</t>
  </si>
  <si>
    <t>&lt;!-- Indica Flower - 97821652 - Onlyfans --&gt;</t>
  </si>
  <si>
    <t>https://thumbcdn.com/splash/o12r88w9147f79w9.jpg</t>
  </si>
  <si>
    <t>&lt;!-- Irisxjase - 87281834 - Onlyfans --&gt;</t>
  </si>
  <si>
    <t>https://thumbcdn.com/splash/cp19124jmpmb7qip.jpg</t>
  </si>
  <si>
    <t>&lt;!-- Ivy Lebelle - 22706899 - Onlyfans --&gt;</t>
  </si>
  <si>
    <t>https://thumbcdn.com/splash/zn6aqfye73lu7yo5.jpg</t>
  </si>
  <si>
    <t>&lt;!-- Ivy Lebelle - 30820563 - BA --&gt;</t>
  </si>
  <si>
    <t>https://thumbcdn.com/splash/amk2hxd2ajq6jzn1.jpg</t>
  </si>
  <si>
    <t>&lt;!-- Ivy Lebelle - 42093081 - Onlyfans --&gt;</t>
  </si>
  <si>
    <t>https://thumbcdn.com/splash/kcp05ouodwcv86la.jpg</t>
  </si>
  <si>
    <t>&lt;!-- Ivy Lebelle - 99143196 - RR --&gt;</t>
  </si>
  <si>
    <t>https://thumbcdn.com/splash/8ma5hyvumtd93lmb.jpg</t>
  </si>
  <si>
    <t>&lt;!-- Izzy - 68912986 - ExploitedCollegeGirls --&gt;</t>
  </si>
  <si>
    <t>https://thumbcdn.com/splash/5rhfuqfnhomgzbqi.jpg</t>
  </si>
  <si>
    <t>&lt;!-- JackandJill - 30452349 - Chaturbate - Olivia Madison - Vivi Vicious --&gt;</t>
  </si>
  <si>
    <t>https://thumbcdn.com/splash/7upv846jzl7s2sfv.jpg</t>
  </si>
  <si>
    <t>&lt;!-- JackandJill - 42997212 - Chaturbate --&gt;</t>
  </si>
  <si>
    <t>https://thumbcdn.com/splash/dnevz7r1by67ikdn.jpg</t>
  </si>
  <si>
    <t>&lt;!-- JackandJill - 47820545 - Chaturbate - Sami Hayes - BadBarbiePriv --&gt;</t>
  </si>
  <si>
    <t>https://thumbcdn.com/splash/cgsg408ttn1id42v.jpg</t>
  </si>
  <si>
    <t>&lt;!-- JadeTeen - 68144218 - Onlyfans --&gt;</t>
  </si>
  <si>
    <t>https://thumbcdn.com/splash/sqa5qhec2xvcjlal.jpg</t>
  </si>
  <si>
    <t>&lt;!-- JadeTeen - 83448182 - Onlyfans --&gt;</t>
  </si>
  <si>
    <t>https://thumbcdn.com/splash/91gg8yyr05a66iad.jpg</t>
  </si>
  <si>
    <t>&lt;!-- Jamie Young - 43184780 - Onlyfans --&gt;</t>
  </si>
  <si>
    <t>https://thumbcdn.com/splash/yhcerb3si7dog3op.jpg</t>
  </si>
  <si>
    <t>&lt;!-- Jamie Young - 43293327 - Onlyfans --&gt;</t>
  </si>
  <si>
    <t>https://thumbcdn.com/splash/jpqlppf3kq4xkx7g.jpg</t>
  </si>
  <si>
    <t>&lt;!-- Jamie Young - 45711223 - Onlyfans --&gt;</t>
  </si>
  <si>
    <t>https://thumbcdn.com/splash/hrqzhuq3i88j79jr.jpg</t>
  </si>
  <si>
    <t>&lt;!-- Jamie Young - 51707129 - Onlyfans --&gt;</t>
  </si>
  <si>
    <t>https://thumbcdn.com/splash/v41xdcj0l4utoxsp.jpg</t>
  </si>
  <si>
    <t>&lt;!-- Jamie Young - 58168938 - Onlyfans --&gt;</t>
  </si>
  <si>
    <t>https://thumbcdn.com/splash/kkao4fq4e4e4gxa4.jpg</t>
  </si>
  <si>
    <t>&lt;!-- Jamie Young - 72170116 - Onlyfans --&gt;</t>
  </si>
  <si>
    <t>https://thumbcdn.com/splash/qprtotneqibvoiow.jpg</t>
  </si>
  <si>
    <t>&lt;!-- Jamie Young - 73885756 - Onlyfans --&gt;</t>
  </si>
  <si>
    <t>https://thumbcdn.com/splash/04iivseyq8wnsvi9.jpg</t>
  </si>
  <si>
    <t>&lt;!-- Jamie Young - 74870486 - Onlyfans --&gt;</t>
  </si>
  <si>
    <t>https://thumbcdn.com/splash/wiotzhjdpa0f49r1.jpg</t>
  </si>
  <si>
    <t>&lt;!-- Jamie Young - 77619579 - Onlyfans --&gt;</t>
  </si>
  <si>
    <t>https://thumbcdn.com/splash/ktxt5basqiv570b5.jpg</t>
  </si>
  <si>
    <t>&lt;!-- Jamie Young - 84155640 - Onlyfans --&gt;</t>
  </si>
  <si>
    <t>https://thumbcdn.com/splash/8q32v6lvz6k1npjb.jpg</t>
  </si>
  <si>
    <t>&lt;!-- Jamie Young - 84390953 - Onlyfans --&gt;</t>
  </si>
  <si>
    <t>https://thumbcdn.com/splash/al5cyjvfvycoily4.jpg</t>
  </si>
  <si>
    <t>&lt;!-- Jamie Young - 88118699 - Onlyfans --&gt;</t>
  </si>
  <si>
    <t>https://thumbcdn.com/splash/mi4hz9k9woix0n2g.jpg</t>
  </si>
  <si>
    <t>&lt;!-- Jamie Young - 88859495 - Onlyfans --&gt;</t>
  </si>
  <si>
    <t>https://thumbcdn.com/splash/ky57feiayfjr585y.jpg</t>
  </si>
  <si>
    <t>&lt;!-- Jamie Young - 92950989 - Onlyfans --&gt;</t>
  </si>
  <si>
    <t>https://thumbcdn.com/splash/85hj48wagdsrw9ne.jpg</t>
  </si>
  <si>
    <t>&lt;!-- Jamie Young - 96691307 - Onlyfans --&gt;</t>
  </si>
  <si>
    <t>https://thumbcdn.com/splash/04r4e1l67ivsresb.jpg</t>
  </si>
  <si>
    <t>&lt;!-- Jenna Starr - 52331648 - Onlyfans --&gt;</t>
  </si>
  <si>
    <t>https://thumbcdn.com/splash/vct1aqp6cxb8g54e.jpg</t>
  </si>
  <si>
    <t>&lt;!-- Jenna Starr - 87417242 - Onlyfans --&gt;</t>
  </si>
  <si>
    <t>https://thumbcdn.com/splash/zjgz27ur0a1p13ev.jpg</t>
  </si>
  <si>
    <t>&lt;!-- Jessie Rogers - 10648497 - Onlyfans --&gt;</t>
  </si>
  <si>
    <t>https://thumbcdn.com/splash/ml4f8rhhdnbsefbf.jpg</t>
  </si>
  <si>
    <t>&lt;!-- Jessie Rogers - 11640804 - Onlyfans --&gt;</t>
  </si>
  <si>
    <t>https://thumbcdn.com/splash/scq4lrz5pd0athkm.jpg</t>
  </si>
  <si>
    <t>&lt;!-- Jessie Rogers - 13653644 - Onlyfans --&gt;</t>
  </si>
  <si>
    <t>https://thumbcdn.com/splash/lrfzfjuf9btrlpoz.jpg</t>
  </si>
  <si>
    <t>&lt;!-- Jessie Rogers - 14908342 - NewSensations --&gt;</t>
  </si>
  <si>
    <t>https://thumbcdn.com/splash/u6n3l7bluwkjh4lz.jpg</t>
  </si>
  <si>
    <t>&lt;!-- Jessie Rogers - 20897311 - PPV --&gt;</t>
  </si>
  <si>
    <t>https://thumbcdn.com/splash/5hj8ybgbao7ugubo.jpg</t>
  </si>
  <si>
    <t>&lt;!-- Jessie Rogers - 22580865 - Onlyfans --&gt;</t>
  </si>
  <si>
    <t>https://thumbcdn.com/splash/7tt4huzf4065vncw.jpg</t>
  </si>
  <si>
    <t>&lt;!-- Jessie Rogers - 23206176 - PC --&gt;</t>
  </si>
  <si>
    <t>https://thumbcdn.com/splash/7x6ini63oa90z4uq.jpg</t>
  </si>
  <si>
    <t>&lt;!-- Jessie Rogers - 23837155 - BlackedRaw --&gt;</t>
  </si>
  <si>
    <t>https://thumbcdn.com/splash/00y1hwuyw4x02jok.jpg</t>
  </si>
  <si>
    <t>&lt;!-- Jessie Rogers - 25028555 - Onlyfans - Tommy King --&gt;</t>
  </si>
  <si>
    <t>https://thumbcdn.com/splash/gqb7lnx3ivvi2v7m.jpg</t>
  </si>
  <si>
    <t>&lt;!-- Jessie Rogers - 27969728 - Mylf --&gt;</t>
  </si>
  <si>
    <t>https://thumbcdn.com/splash/cfdcmu4nh5qcm1rs.jpg</t>
  </si>
  <si>
    <t>&lt;!-- Jessie Rogers - 29227295 - MPF --&gt;</t>
  </si>
  <si>
    <t>https://thumbcdn.com/splash/5g7tu3qz2fqoln6d.jpg</t>
  </si>
  <si>
    <t>&lt;!-- Jessie Rogers - 30802683 - EvilAngel --&gt;</t>
  </si>
  <si>
    <t>https://thumbcdn.com/splash/a16s423og5nf15fc.jpg</t>
  </si>
  <si>
    <t>&lt;!-- Jessie Rogers - 30904958 - JulesJordan --&gt;</t>
  </si>
  <si>
    <t>https://thumbcdn.com/splash/3i6vcvuzh47b7q7z.jpg</t>
  </si>
  <si>
    <t>&lt;!-- Jessie Rogers - 32575602 - Fansly --&gt;</t>
  </si>
  <si>
    <t>https://thumbcdn.com/splash/39jd48bjzdfob2rq.jpg</t>
  </si>
  <si>
    <t>&lt;!-- Jessie Rogers - 32870489 - Onlyfans --&gt;</t>
  </si>
  <si>
    <t>https://thumbcdn.com/splash/1wpq88edj2ynrbnb.jpg</t>
  </si>
  <si>
    <t>&lt;!-- Jessie Rogers - 38320444 - JSTV --&gt;</t>
  </si>
  <si>
    <t>https://thumbcdn.com/splash/ectuslk7tqj3vzyf.jpg</t>
  </si>
  <si>
    <t>&lt;!-- Jessie Rogers - 38677225 - Onlyfans --&gt;</t>
  </si>
  <si>
    <t>https://thumbcdn.com/splash/h2kz4ncr5e0k6mav.jpg</t>
  </si>
  <si>
    <t>&lt;!-- Jessie Rogers - 45681547 - Onlyfans --&gt;</t>
  </si>
  <si>
    <t>https://thumbcdn.com/splash/tpefsajkf7bem4kw.jpg</t>
  </si>
  <si>
    <t>&lt;!-- Jessie Rogers - 46655415 - Onlyfans --&gt;</t>
  </si>
  <si>
    <t>https://thumbcdn.com/splash/x1xms6il30a2p3oh.jpg</t>
  </si>
  <si>
    <t>&lt;!-- Jessie Rogers - 52486299 - Onlyfans --&gt;</t>
  </si>
  <si>
    <t>https://thumbcdn.com/splash/7bpr0egesccbuxta.jpg</t>
  </si>
  <si>
    <t>&lt;!-- Jessie Rogers - 52690104 - Tushy --&gt;</t>
  </si>
  <si>
    <t>https://thumbcdn.com/splash/zw0kr7vtihzbkfco.jpg</t>
  </si>
  <si>
    <t>&lt;!-- Jessie Rogers - 57572969 - TMW --&gt;</t>
  </si>
  <si>
    <t>https://thumbcdn.com/splash/635vrxfupgzds3ad.jpg</t>
  </si>
  <si>
    <t>&lt;!-- Jessie Rogers - 58009051 - Onlyfans --&gt;</t>
  </si>
  <si>
    <t>https://thumbcdn.com/splash/8fk737jl4pxpi5qa.jpg</t>
  </si>
  <si>
    <t>&lt;!-- Jessie Rogers - 64518286 - Onlyfans --&gt;</t>
  </si>
  <si>
    <t>https://thumbcdn.com/splash/fo6293vgcz4l5bnr.jpg</t>
  </si>
  <si>
    <t>&lt;!-- Jessie Rogers - 67186969 - Onlyfans --&gt;</t>
  </si>
  <si>
    <t>https://thumbcdn.com/splash/77mfjmve3nbou3p5.jpg</t>
  </si>
  <si>
    <t>&lt;!-- Jessie Rogers - 67490497 - Onlyfans --&gt;</t>
  </si>
  <si>
    <t>https://thumbcdn.com/splash/53l7h4em2avcjpcq.jpg</t>
  </si>
  <si>
    <t>&lt;!-- Jessie Rogers - 71295357 - Onlyfans --&gt;</t>
  </si>
  <si>
    <t>https://thumbcdn.com/splash/7s4ltule2cmzojor.jpg</t>
  </si>
  <si>
    <t>&lt;!-- Jessie Rogers - 72664390 - Onlyfans --&gt;</t>
  </si>
  <si>
    <t>https://thumbcdn.com/splash/7ido45fh44ztu72s.jpg</t>
  </si>
  <si>
    <t>&lt;!-- Jessie Rogers - 78269518 - Onlyfans --&gt;</t>
  </si>
  <si>
    <t>https://thumbcdn.com/splash/exenyb99vmlapsgi.jpg</t>
  </si>
  <si>
    <t>&lt;!-- Jessie Rogers - 79785667 - Evil Angel --&gt;</t>
  </si>
  <si>
    <t>https://thumbcdn.com/splash/p8781flyqg8duat2.jpg</t>
  </si>
  <si>
    <t>&lt;!-- Jessie Rogers - 84263564 - Onlyfans --&gt;</t>
  </si>
  <si>
    <t>https://thumbcdn.com/splash/euv59qfdd21vnhpz.jpg</t>
  </si>
  <si>
    <t>&lt;!-- Jessie Rogers - 87103916 - Onlyfans - Violet Myers --&gt;</t>
  </si>
  <si>
    <t>https://thumbcdn.com/splash/jprhxs9x54pvdyjo.jpg</t>
  </si>
  <si>
    <t>&lt;!-- Jessie Rogers - 89289006 - Mylf --&gt;</t>
  </si>
  <si>
    <t>https://thumbcdn.com/splash/k9ro3y0h8szbm2ew.jpg</t>
  </si>
  <si>
    <t>&lt;!-- Jessie Rogers - 92786766 - HardX --&gt;</t>
  </si>
  <si>
    <t>https://thumbcdn.com/splash/sq7sy54vhz8w7wkh.jpg</t>
  </si>
  <si>
    <t>&lt;!-- Jessie Rogers - 94536611 - Onlyfans --&gt;</t>
  </si>
  <si>
    <t>https://thumbcdn.com/splash/p98riojc7yzlgh9n.jpg</t>
  </si>
  <si>
    <t>&lt;!-- Jessie Rogers - 98919097 - Elegant Angel --&gt;</t>
  </si>
  <si>
    <t>https://thumbcdn.com/splash/icr44ccpwqes057x.jpg</t>
  </si>
  <si>
    <t>&lt;!-- Jessie Rogers - 99017284 - Onlyfans - Lola Rose --&gt;</t>
  </si>
  <si>
    <t>https://thumbcdn.com/splash/iaqm5cxqh3m27hwr.jpg</t>
  </si>
  <si>
    <t>&lt;!-- Jessie Rogers - 99753692 - HGR --&gt;</t>
  </si>
  <si>
    <t>https://thumbcdn.com/splash/s3ix0c51f4s0taiu.jpg</t>
  </si>
  <si>
    <t>&lt;!-- Jewelz Blu - 03348831 - XVRED --&gt;</t>
  </si>
  <si>
    <t>https://thumbcdn.com/splash/mehil24tm54oo3qp.jpg</t>
  </si>
  <si>
    <t>&lt;!-- Jewelz Blu - 12758288 - Onlyfans --&gt;</t>
  </si>
  <si>
    <t>https://thumbcdn.com/splash/ya25fc71pfpy89iy.jpg</t>
  </si>
  <si>
    <t>&lt;!-- Jewelz Blu - 14290187 - DL --&gt;</t>
  </si>
  <si>
    <t>https://thumbcdn.com/splash/rxhjtg4w3gkp0x13.jpg</t>
  </si>
  <si>
    <t>&lt;!-- Jewelz Blu - 15090517 - XVRED --&gt;</t>
  </si>
  <si>
    <t>https://thumbcdn.com/splash/8lpxjk4xtvi64sur.jpg</t>
  </si>
  <si>
    <t>&lt;!-- Jewelz Blu - 20027318 - XVRED --&gt;</t>
  </si>
  <si>
    <t>https://thumbcdn.com/splash/9o1y3f53q4jo7daw.jpg</t>
  </si>
  <si>
    <t>&lt;!-- Jewelz Blu - 20774899 - Onlyfans --&gt;</t>
  </si>
  <si>
    <t>https://thumbcdn.com/splash/7uywntb8shp7me46.jpg</t>
  </si>
  <si>
    <t>&lt;!-- Jewelz Blu - 24941599 - Onlyfans --&gt;</t>
  </si>
  <si>
    <t>https://thumbcdn.com/splash/cw5td57adgt2b38l.jpg</t>
  </si>
  <si>
    <t>&lt;!-- Jewelz Blu - 27017887 - XVRED --&gt;</t>
  </si>
  <si>
    <t>https://thumbcdn.com/splash/7n4rjtg6hwi0gb3j.jpg</t>
  </si>
  <si>
    <t>&lt;!-- Jewelz Blu - 27488131 - FamilyTherapy --&gt;</t>
  </si>
  <si>
    <t>https://thumbcdn.com/splash/4k7xyc5984vcodry.jpg</t>
  </si>
  <si>
    <t>&lt;!-- Jewelz Blu - 27700665 - Onlyfans --&gt;</t>
  </si>
  <si>
    <t>https://thumbcdn.com/splash/nvku8mm6bx44ne00.jpg</t>
  </si>
  <si>
    <t>&lt;!-- Jewelz Blu - 28736983 - Onlyfans --&gt;</t>
  </si>
  <si>
    <t>https://thumbcdn.com/splash/zdj5zhsnq5v4h87i.jpg</t>
  </si>
  <si>
    <t>&lt;!-- Jewelz Blu - 30652345 - Onlyfans --&gt;</t>
  </si>
  <si>
    <t>https://thumbcdn.com/splash/qwz4b0wtk4uopi65.jpg</t>
  </si>
  <si>
    <t>&lt;!-- Jewelz Blu - 30969940 - FCP --&gt;</t>
  </si>
  <si>
    <t>https://thumbcdn.com/splash/bk4pkzewxiho8agk.jpg</t>
  </si>
  <si>
    <t>&lt;!-- Jewelz Blu - 32850979 - XVRED --&gt;</t>
  </si>
  <si>
    <t>https://thumbcdn.com/splash/c6t5lpra2m2e53do.jpg</t>
  </si>
  <si>
    <t>&lt;!-- Jewelz Blu - 34265757 - Onlyfans --&gt;</t>
  </si>
  <si>
    <t>https://thumbcdn.com/splash/ayft1ybh8enpxsd7.jpg</t>
  </si>
  <si>
    <t>&lt;!-- Jewelz Blu - 34444545 - IDK --&gt;</t>
  </si>
  <si>
    <t>https://thumbcdn.com/splash/cu5b9pp5mdbqyjyt.jpg</t>
  </si>
  <si>
    <t>&lt;!-- Jewelz Blu - 35535447 - XVRED --&gt;</t>
  </si>
  <si>
    <t>https://thumbcdn.com/splash/t21a37utytmrlrn9.jpg</t>
  </si>
  <si>
    <t>&lt;!-- Jewelz Blu - 37745917 - Onlyfans --&gt;</t>
  </si>
  <si>
    <t>https://thumbcdn.com/splash/pzo1wf7uelxtzlk0.jpg</t>
  </si>
  <si>
    <t>&lt;!-- Jewelz Blu - 39366961 - Onlyfans --&gt;</t>
  </si>
  <si>
    <t>https://thumbcdn.com/splash/h7v30ns892ef55up.jpg</t>
  </si>
  <si>
    <t>&lt;!-- Jewelz Blu - 41229618 - XVRED --&gt;</t>
  </si>
  <si>
    <t>https://thumbcdn.com/splash/6v0txz8rx1roh9l0.jpg</t>
  </si>
  <si>
    <t>&lt;!-- Jewelz Blu - 44600385 - XVRED --&gt;</t>
  </si>
  <si>
    <t>https://thumbcdn.com/splash/aponqh6rflkunn8y.jpg</t>
  </si>
  <si>
    <t>&lt;!-- Jewelz Blu - 45802958 - Onlyfans --&gt;</t>
  </si>
  <si>
    <t>https://thumbcdn.com/splash/34ncbvt77knt0pfq.jpg</t>
  </si>
  <si>
    <t>&lt;!-- Jewelz Blu - 46115763 - XVRED --&gt;</t>
  </si>
  <si>
    <t>https://thumbcdn.com/splash/jg86lkssvytg5c0w.jpg</t>
  </si>
  <si>
    <t>&lt;!-- Jewelz Blu - 48982150 - Onlyfans --&gt;</t>
  </si>
  <si>
    <t>https://thumbcdn.com/splash/caxcbpsl0ip0aobz.jpg</t>
  </si>
  <si>
    <t>&lt;!-- Jewelz Blu - 49589158 - NM --&gt;</t>
  </si>
  <si>
    <t>https://thumbcdn.com/splash/3l9e4qem2wbofriu.jpg</t>
  </si>
  <si>
    <t>&lt;!-- Jewelz Blu - 51031582 - EvilAngel --&gt;</t>
  </si>
  <si>
    <t>https://thumbcdn.com/splash/qi58sa4zrebfc1xf.jpg</t>
  </si>
  <si>
    <t>&lt;!-- Jewelz Blu - 51129751 - Onlyfans --&gt;</t>
  </si>
  <si>
    <t>https://thumbcdn.com/splash/g8xdfj36orjzdvb6.jpg</t>
  </si>
  <si>
    <t>&lt;!-- Jewelz Blu - 54539806 - XVRED --&gt;</t>
  </si>
  <si>
    <t>https://thumbcdn.com/splash/emhzt3lsoinjc7l3.jpg</t>
  </si>
  <si>
    <t>&lt;!-- Jewelz Blu - 56129913 - Onlyfans --&gt;</t>
  </si>
  <si>
    <t>https://thumbcdn.com/splash/qwt5du09pk68a2ac.jpg</t>
  </si>
  <si>
    <t>&lt;!-- Jewelz Blu - 56464578 - Onlyfans --&gt;</t>
  </si>
  <si>
    <t>https://thumbcdn.com/splash/sa08hvqvb0u2agtx.jpg</t>
  </si>
  <si>
    <t>&lt;!-- Jewelz Blu - 56933664 - Onlyfans --&gt;</t>
  </si>
  <si>
    <t>https://thumbcdn.com/splash/cxpj5rx29lep2gm1.jpg</t>
  </si>
  <si>
    <t>&lt;!-- Jewelz Blu - 57450602 - XVRED --&gt;</t>
  </si>
  <si>
    <t>https://thumbcdn.com/splash/zk1c73qpujgjw9u5.jpg</t>
  </si>
  <si>
    <t>&lt;!-- Jewelz Blu - 58378785 - ElegantAngel --&gt;</t>
  </si>
  <si>
    <t>https://thumbcdn.com/splash/vwslp12m20ql2ty8.jpg</t>
  </si>
  <si>
    <t>&lt;!-- Jewelz Blu - 59133561 - XVRED --&gt;</t>
  </si>
  <si>
    <t>https://thumbcdn.com/splash/x9xgwod0mcaimkag.jpg</t>
  </si>
  <si>
    <t>&lt;!-- Jewelz Blu - 65838320 - Onlyfans --&gt;</t>
  </si>
  <si>
    <t>https://thumbcdn.com/splash/f6rac1luj82pgijh.jpg</t>
  </si>
  <si>
    <t>&lt;!-- Jewelz Blu - 66365849 - Onlyfans --&gt;</t>
  </si>
  <si>
    <t>https://thumbcdn.com/splash/2h7683rt1eaxc6q5.jpg</t>
  </si>
  <si>
    <t>&lt;!-- Jewelz Blu - 66368610 - XVRED --&gt;</t>
  </si>
  <si>
    <t>https://thumbcdn.com/splash/4b08dfpwjvrtbdi7.jpg</t>
  </si>
  <si>
    <t>&lt;!-- Jewelz Blu - 68292768 - PPV --&gt;</t>
  </si>
  <si>
    <t>https://thumbcdn.com/splash/wbcqsevayiqapdlx.jpg</t>
  </si>
  <si>
    <t>&lt;!-- Jewelz Blu - 71833873 - Onlyfans --&gt;</t>
  </si>
  <si>
    <t>https://thumbcdn.com/splash/0cdoc4q7q98u7wf3.jpg</t>
  </si>
  <si>
    <t>&lt;!-- Jewelz Blu - 78824960 - Onlyfans --&gt;</t>
  </si>
  <si>
    <t>https://thumbcdn.com/splash/qjzq72uqyu7r31r5.jpg</t>
  </si>
  <si>
    <t>&lt;!-- Jewelz Blu - 80080009 - XVRED --&gt;</t>
  </si>
  <si>
    <t>https://thumbcdn.com/splash/i1bn8ead36szn50h.jpg</t>
  </si>
  <si>
    <t>&lt;!-- Jewelz Blu - 80880139 - XVRED --&gt;</t>
  </si>
  <si>
    <t>https://thumbcdn.com/splash/4hqjahkiujx3cbdx.jpg</t>
  </si>
  <si>
    <t>&lt;!-- Jewelz Blu - 83258517 - XVRED --&gt;</t>
  </si>
  <si>
    <t>https://thumbcdn.com/splash/8vb8y50zukw1nu7g.jpg</t>
  </si>
  <si>
    <t>&lt;!-- Jewelz Blu - 84014328 - ElegantAngel --&gt;</t>
  </si>
  <si>
    <t>https://thumbcdn.com/splash/r21r2q0urglg27pf.jpg</t>
  </si>
  <si>
    <t>&lt;!-- Jewelz Blu - 85600588 - XVRED --&gt;</t>
  </si>
  <si>
    <t>https://thumbcdn.com/splash/nlkbf5qpordg40uz.jpg</t>
  </si>
  <si>
    <t>&lt;!-- Jewelz Blu - 86541323 - XVRED --&gt;</t>
  </si>
  <si>
    <t>https://thumbcdn.com/splash/0wk5c4rr7mm3pjj8.jpg</t>
  </si>
  <si>
    <t>&lt;!-- Jewelz Blu - 91066475 - Onlyfans --&gt;</t>
  </si>
  <si>
    <t>https://thumbcdn.com/splash/vhj4dqsowu0xz78w.jpg</t>
  </si>
  <si>
    <t>&lt;!-- Jewelz Blu - 91464913 - Onlyfans --&gt;</t>
  </si>
  <si>
    <t>https://thumbcdn.com/splash/9k970iipb9tq8oci.jpg</t>
  </si>
  <si>
    <t>&lt;!-- Jewelz Blu - 92919613 - XVRED --&gt;</t>
  </si>
  <si>
    <t>https://thumbcdn.com/splash/xc2g3aa6aidy7alw.jpg</t>
  </si>
  <si>
    <t>&lt;!-- Jewelz Blu - 93410711 - Onlyfans --&gt;</t>
  </si>
  <si>
    <t>https://thumbcdn.com/splash/8h4421j85vqqz3o8.jpg</t>
  </si>
  <si>
    <t>&lt;!-- Jewelz Blu - 93619322 - Onlyfans - Haley Spades --&gt;</t>
  </si>
  <si>
    <t>https://thumbcdn.com/splash/ar1c43nm2as7krrr.jpg</t>
  </si>
  <si>
    <t>&lt;!-- Jewelz Blu - 95336352 - Onlyfans --&gt;</t>
  </si>
  <si>
    <t>https://thumbcdn.com/splash/pdv5glxeuhram1er.jpg</t>
  </si>
  <si>
    <t>&lt;!-- Jewelz Blu - 95638896 - XVRED - Hailey Rose --&gt;</t>
  </si>
  <si>
    <t>https://thumbcdn.com/splash/q8gzaz5cg8bcn98y.jpg</t>
  </si>
  <si>
    <t>&lt;!-- Jewelz Blu - 96252943 - XVRED --&gt;</t>
  </si>
  <si>
    <t>https://thumbcdn.com/splash/gfwgnjjfopt43bwi.jpg</t>
  </si>
  <si>
    <t>&lt;!-- Jewelz Blu - 96624921 - PF --&gt;</t>
  </si>
  <si>
    <t>https://thumbcdn.com/splash/4zhh4f6dgj9gctxz.jpg</t>
  </si>
  <si>
    <t>&lt;!-- Jewelz Blu - 96870764 - Onlyfans --&gt;</t>
  </si>
  <si>
    <t>https://thumbcdn.com/splash/6u7vbms5qn50nk4d.jpg</t>
  </si>
  <si>
    <t>&lt;!-- Juniper - 73596562 - BackroomCastingCouch --&gt;</t>
  </si>
  <si>
    <t>https://thumbcdn.com/splash/7s6zu1gltnqdecvp.jpg</t>
  </si>
  <si>
    <t>&lt;!-- Juniper Ren - 12323656 - AO --&gt;</t>
  </si>
  <si>
    <t>https://thumbcdn.com/splash/bjyxkehdatn9tgaw.jpg</t>
  </si>
  <si>
    <t>&lt;!-- Kali Roses - 27700551 - Onlyfans --&gt;</t>
  </si>
  <si>
    <t>https://thumbcdn.com/splash/yjpw0nbm7lljq9q8.jpg</t>
  </si>
  <si>
    <t>&lt;!-- Kali Roses - 28586276 - XVRED - Ali Rose --&gt;</t>
  </si>
  <si>
    <t>https://thumbcdn.com/splash/uhysm4xcvzfbf76z.jpg</t>
  </si>
  <si>
    <t>&lt;!-- Kali Roses - 34740220 - XVRED --&gt;</t>
  </si>
  <si>
    <t>https://thumbcdn.com/splash/2rea20f689y59lla.jpg</t>
  </si>
  <si>
    <t>&lt;!-- Kali Roses - 38472992 - Camsoda --&gt;</t>
  </si>
  <si>
    <t>https://thumbcdn.com/splash/bkgsfeip5nriz4o9.jpg</t>
  </si>
  <si>
    <t>&lt;!-- Kali Roses - 44828043 - Manyvids - Elana Bunnz --&gt;</t>
  </si>
  <si>
    <t>https://thumbcdn.com/splash/khxy0gglnodk9r7n.jpg</t>
  </si>
  <si>
    <t>&lt;!-- Kali Roses - 56029035 - XVRED --&gt;</t>
  </si>
  <si>
    <t>https://thumbcdn.com/splash/31kf0wd6a3har2ad.jpg</t>
  </si>
  <si>
    <t>&lt;!-- Kali Roses - 63542067 - Onlyfans --&gt;</t>
  </si>
  <si>
    <t>https://thumbcdn.com/splash/nx3ezxpkxx8ek61r.jpg</t>
  </si>
  <si>
    <t>&lt;!-- Kali Roses - 69966088 - XVRED --&gt;</t>
  </si>
  <si>
    <t>https://thumbcdn.com/splash/vc4g6tud3ktwmm5o.jpg</t>
  </si>
  <si>
    <t>&lt;!-- Kali Roses - 73978346 - Onlyfans --&gt;</t>
  </si>
  <si>
    <t>https://thumbcdn.com/splash/8q6s3tejr7wh0jl7.jpg</t>
  </si>
  <si>
    <t>&lt;!-- Kali Roses - 74222197 - Onlyfans - Jenna Starr --&gt;</t>
  </si>
  <si>
    <t>https://thumbcdn.com/splash/1vxwji36gz9k7ca7.jpg</t>
  </si>
  <si>
    <t>&lt;!-- Kali Roses - 80756120 - HardX --&gt;</t>
  </si>
  <si>
    <t>https://thumbcdn.com/splash/ov18zggjmif6eges.jpg</t>
  </si>
  <si>
    <t>&lt;!-- Kali Roses - 89846730 - Onlyfans --&gt;</t>
  </si>
  <si>
    <t>https://thumbcdn.com/splash/5ucwtw74hmoud8o0.jpg</t>
  </si>
  <si>
    <t>&lt;!-- Kali Roses - 97216217 - XVRED --&gt;</t>
  </si>
  <si>
    <t>https://thumbcdn.com/splash/d3y30e4qi1libsxd.jpg</t>
  </si>
  <si>
    <t>&lt;!-- Kali Roses - 97546975 - Onlyfans --&gt;</t>
  </si>
  <si>
    <t>https://thumbcdn.com/splash/rop8o5inzdyl4of4.jpg</t>
  </si>
  <si>
    <t>&lt;!-- Kate Kuray - 11114763 - Onlyfans --&gt;</t>
  </si>
  <si>
    <t>https://thumbcdn.com/splash/jt12mgcq8i8dra9l.jpg</t>
  </si>
  <si>
    <t>&lt;!-- Kate Kuray - 20257771 - Onlyfans --&gt;</t>
  </si>
  <si>
    <t>https://thumbcdn.com/splash/hjxsgo5hprdsqu4n.jpg</t>
  </si>
  <si>
    <t>&lt;!-- Kate Kuray - 25748212 - Onlyfans --&gt;</t>
  </si>
  <si>
    <t>https://thumbcdn.com/splash/gt9n06v32flj8fps.jpg</t>
  </si>
  <si>
    <t>&lt;!-- Kate Kuray - 27058445 - Onlyfans --&gt;</t>
  </si>
  <si>
    <t>https://thumbcdn.com/splash/gwh1asv0ptwu02p0.jpg</t>
  </si>
  <si>
    <t>&lt;!-- Kate Kuray - 29107362 - Onlyfans --&gt;</t>
  </si>
  <si>
    <t>https://thumbcdn.com/splash/c078h5vsvqzzpe93.jpg</t>
  </si>
  <si>
    <t>&lt;!-- Kate Kuray - 32292220 - Onlyfans --&gt;</t>
  </si>
  <si>
    <t>https://thumbcdn.com/splash/1e7pbyle2i5mpel0.jpg</t>
  </si>
  <si>
    <t>&lt;!-- Kate Kuray - 37514322 - Onlyfans --&gt;</t>
  </si>
  <si>
    <t>https://thumbcdn.com/splash/1gisdaijyw6bg7i0.jpg</t>
  </si>
  <si>
    <t>&lt;!-- Kate Kuray - 37527639 - Onlyfans --&gt;</t>
  </si>
  <si>
    <t>https://thumbcdn.com/splash/2s7bd0d87tv6fwx8.jpg</t>
  </si>
  <si>
    <t>&lt;!-- Kate Kuray - 39524310 - Onlyfans --&gt;</t>
  </si>
  <si>
    <t>https://thumbcdn.com/splash/tudr9e4iutdyla01.jpg</t>
  </si>
  <si>
    <t>&lt;!-- Kate Kuray - 42296364 - Onlyfans --&gt;</t>
  </si>
  <si>
    <t>https://thumbcdn.com/splash/nrkwkbsfg8b30v7c.jpg</t>
  </si>
  <si>
    <t>&lt;!-- Kate Kuray - 48954158 - Onlyfans --&gt;</t>
  </si>
  <si>
    <t>https://thumbcdn.com/splash/yjcb74xsr9ls26uy.jpg</t>
  </si>
  <si>
    <t>&lt;!-- Kate Kuray - 49501513 - Onlyfans --&gt;</t>
  </si>
  <si>
    <t>https://thumbcdn.com/splash/tezn82fhzpol4olr.jpg</t>
  </si>
  <si>
    <t>&lt;!-- Kate Kuray - 50681885 - Onlyfans --&gt;</t>
  </si>
  <si>
    <t>https://thumbcdn.com/splash/0gx9ewn7lw6aw6ga.jpg</t>
  </si>
  <si>
    <t>&lt;!-- Kate Kuray - 57812832 - Onlyfans --&gt;</t>
  </si>
  <si>
    <t>https://thumbcdn.com/splash/gty6zdpw3ouw5yri.jpg</t>
  </si>
  <si>
    <t>&lt;!-- Kate Kuray - 58954014 - Onlyfans --&gt;</t>
  </si>
  <si>
    <t>https://thumbcdn.com/splash/6t05o7k9m7a08n1l.jpg</t>
  </si>
  <si>
    <t>&lt;!-- Kate Kuray - 60539133 - Onlyfans --&gt;</t>
  </si>
  <si>
    <t>https://thumbcdn.com/splash/z7o8ey83kvod4umg.jpg</t>
  </si>
  <si>
    <t>&lt;!-- Kate Kuray - 61565501 - Onlyfans --&gt;</t>
  </si>
  <si>
    <t>https://thumbcdn.com/splash/sr44jf11f4y6blwu.jpg</t>
  </si>
  <si>
    <t>&lt;!-- Kate Kuray - 62037694 - Onlyfans --&gt;</t>
  </si>
  <si>
    <t>https://thumbcdn.com/splash/6r8klgrhybrtp30d.jpg</t>
  </si>
  <si>
    <t>&lt;!-- Kate Kuray - 65746870 - Onlyfans --&gt;</t>
  </si>
  <si>
    <t>https://thumbcdn.com/splash/j97yeb5xowtmom72.jpg</t>
  </si>
  <si>
    <t>&lt;!-- Kate Kuray - 69887722 - Onlyfans --&gt;</t>
  </si>
  <si>
    <t>https://thumbcdn.com/splash/52qcfizu6wu9cn8f.jpg</t>
  </si>
  <si>
    <t>&lt;!-- Kate Kuray - 70244559 - Onlyfans --&gt;</t>
  </si>
  <si>
    <t>https://thumbcdn.com/splash/v0763gkbntsw02b8.jpg</t>
  </si>
  <si>
    <t>&lt;!-- Kate Kuray - 73815915 - Onlyfans --&gt;</t>
  </si>
  <si>
    <t>https://thumbcdn.com/splash/ygv1u0i5s6kus24k.jpg</t>
  </si>
  <si>
    <t>&lt;!-- Kate Kuray - 74101637 - Onlyfans --&gt;</t>
  </si>
  <si>
    <t>https://thumbcdn.com/splash/halgw4rw1u9x7cdz.jpg</t>
  </si>
  <si>
    <t>&lt;!-- Kate Kuray - 75592039 - Onlyfans --&gt;</t>
  </si>
  <si>
    <t>https://thumbcdn.com/splash/l3cy02dei55rt7cl.jpg</t>
  </si>
  <si>
    <t>&lt;!-- Kate Kuray - 76061384 - Onlyfans --&gt;</t>
  </si>
  <si>
    <t>https://thumbcdn.com/splash/0hhab86aivu885t4.jpg</t>
  </si>
  <si>
    <t>&lt;!-- Kate Kuray - 76518279 - Onlyfans --&gt;</t>
  </si>
  <si>
    <t>https://thumbcdn.com/splash/ypa5zycjg9vxzudz.jpg</t>
  </si>
  <si>
    <t>&lt;!-- Kate Kuray - 78674480 - Onlyfans --&gt;</t>
  </si>
  <si>
    <t>https://thumbcdn.com/splash/o4ruj0lmxt5cpm2f.jpg</t>
  </si>
  <si>
    <t>&lt;!-- Kate Kuray - 87376874 - Onlyfans --&gt;</t>
  </si>
  <si>
    <t>https://thumbcdn.com/splash/28esjbvhmyczdnxt.jpg</t>
  </si>
  <si>
    <t>&lt;!-- Kate Kuray - 88073470 - Onlyfans --&gt;</t>
  </si>
  <si>
    <t>https://thumbcdn.com/splash/7nr4f6hdhtkhigux.jpg</t>
  </si>
  <si>
    <t>&lt;!-- Kate Kuray - 94016805 - Onlyfans --&gt;</t>
  </si>
  <si>
    <t>https://thumbcdn.com/splash/g7s6ywkt2xoqzp06.jpg</t>
  </si>
  <si>
    <t>&lt;!-- Kate Kuray - 95934097 - Onlyfans --&gt;</t>
  </si>
  <si>
    <t>https://thumbcdn.com/splash/rc8fmu2truzswkk4.jpg</t>
  </si>
  <si>
    <t>&lt;!-- Katerina - 58905159 - BackroomCastingCouch --&gt;</t>
  </si>
  <si>
    <t>https://thumbcdn.com/splash/knn09brkd43zrf5n.jpg</t>
  </si>
  <si>
    <t>&lt;!-- Kayley Gunner - 14062820 - Onlyfans --&gt;</t>
  </si>
  <si>
    <t>https://thumbcdn.com/splash/ryclmzlmq0okqt3y.jpg</t>
  </si>
  <si>
    <t>&lt;!-- Kayley Gunner - 25869219 - XVRED - The Official Egypt --&gt;</t>
  </si>
  <si>
    <t>https://thumbcdn.com/splash/3oa7byqds6jsu1we.jpg</t>
  </si>
  <si>
    <t>&lt;!-- Kayley Gunner - 26141834 - TTP --&gt;</t>
  </si>
  <si>
    <t>https://thumbcdn.com/splash/k8w2x0bpeko7e1bm.jpg</t>
  </si>
  <si>
    <t>&lt;!-- Kayley Gunner - 26358645 - Onlyfans - Joanna Angel --&gt;</t>
  </si>
  <si>
    <t>https://thumbcdn.com/splash/ran88zsqtuhzaunc.jpg</t>
  </si>
  <si>
    <t>&lt;!-- Kayley Gunner - 35561716 - Onlyfans --&gt;</t>
  </si>
  <si>
    <t>https://thumbcdn.com/splash/e9u58c32kd9u62a7.jpg</t>
  </si>
  <si>
    <t>&lt;!-- Kayley Gunner - 36112750 - Onlyfans - Angel Youngs --&gt;</t>
  </si>
  <si>
    <t>https://thumbcdn.com/splash/a8fdnm9uhnma0478.jpg</t>
  </si>
  <si>
    <t>&lt;!-- Kayley Gunner - 37877312 - Onlyfans --&gt;</t>
  </si>
  <si>
    <t>https://thumbcdn.com/splash/jihfsoa33ict4eza.jpg</t>
  </si>
  <si>
    <t>&lt;!-- Kayley Gunner - 45117258 - Onlyfans - Savannah Bond --&gt;</t>
  </si>
  <si>
    <t>https://thumbcdn.com/splash/r73xcfda1rf2k1r0.jpg</t>
  </si>
  <si>
    <t>&lt;!-- Kayley Gunner - 54758611 - Onlyfans --&gt;</t>
  </si>
  <si>
    <t>https://thumbcdn.com/splash/ii4igicddz0c5bal.jpg</t>
  </si>
  <si>
    <t>&lt;!-- Kayley Gunner - 71875781 - Onlyfans - Hailey Rose --&gt;</t>
  </si>
  <si>
    <t>https://thumbcdn.com/splash/pc8ms34hzfaykt8e.jpg</t>
  </si>
  <si>
    <t>&lt;!-- Kayley Gunner - 85945135 - Onlyfans --&gt;</t>
  </si>
  <si>
    <t>https://thumbcdn.com/splash/sqb0ytihf3ex0dj6.jpg</t>
  </si>
  <si>
    <t>&lt;!-- Kayley Gunner - 86509715 - Onlyfans --&gt;</t>
  </si>
  <si>
    <t>https://thumbcdn.com/splash/jrrkl2kuwb9b886q.jpg</t>
  </si>
  <si>
    <t>&lt;!-- Kayley Gunner - 97434221 - Onlyfans --&gt;</t>
  </si>
  <si>
    <t>https://thumbcdn.com/splash/m3okvacbdi23eesh.jpg</t>
  </si>
  <si>
    <t>&lt;!-- Kayley Gunner - 97772911 - JulesJordan --&gt;</t>
  </si>
  <si>
    <t>https://thumbcdn.com/splash/p6wh0cf7cky41n7r.jpg</t>
  </si>
  <si>
    <t>&lt;!-- Kelsi Monroe - 33753675 - Onlyfans --&gt;</t>
  </si>
  <si>
    <t>https://thumbcdn.com/splash/8bm4q1745e3ij9lt.jpg</t>
  </si>
  <si>
    <t>&lt;!-- Kendra Lust - 60592294 - Onlyfans --&gt;</t>
  </si>
  <si>
    <t>https://thumbcdn.com/splash/6dgxcb6ybnnkozm6.jpg</t>
  </si>
  <si>
    <t>&lt;!-- Kendra Lust - 76519840 - FH --&gt;</t>
  </si>
  <si>
    <t>https://thumbcdn.com/splash/mjyecthwrtwg4lty.jpg</t>
  </si>
  <si>
    <t>&lt;!-- Kendra Sunderland - 62925139 - Onlyfans --&gt;</t>
  </si>
  <si>
    <t>https://thumbcdn.com/splash/9vicz8nfilacc8ha.jpg</t>
  </si>
  <si>
    <t>&lt;!-- Kianna Dior - 67759608 - Onlyfans --&gt;</t>
  </si>
  <si>
    <t>https://thumbcdn.com/splash/i750hzve80rll8k6.jpg</t>
  </si>
  <si>
    <t>&lt;!-- Kianna Dior - 72268823 - DarkkoTV - Hailey Rose --&gt;</t>
  </si>
  <si>
    <t>https://thumbcdn.com/splash/woqc086g1r1cvhhy.jpg</t>
  </si>
  <si>
    <t>&lt;!-- Kimmy Granger - 30878325 - Onlyfans --&gt;</t>
  </si>
  <si>
    <t>https://thumbcdn.com/splash/ez5jlaa6sbzg4af8.jpg</t>
  </si>
  <si>
    <t>&lt;!-- Kinechan - 60680314 - Privacy --&gt;</t>
  </si>
  <si>
    <t>https://thumbcdn.com/splash/zel27x8t100cc6w5.jpg</t>
  </si>
  <si>
    <t>&lt;!-- Lana Rhoades - 54819397 - JulesJordan --&gt;</t>
  </si>
  <si>
    <t>https://thumbcdn.com/splash/hxjnv6cmsd9bsk6t.jpg</t>
  </si>
  <si>
    <t>&lt;!-- Lana Rhoades - 88485313 - Onlyfans --&gt;</t>
  </si>
  <si>
    <t>https://thumbcdn.com/splash/u3zwtn14pxgix1dp.jpg</t>
  </si>
  <si>
    <t>&lt;!-- LaSirena69 - 51141387 - Onlyfans --&gt;</t>
  </si>
  <si>
    <t>https://thumbcdn.com/splash/j5k3rmahebqj69mz.jpg</t>
  </si>
  <si>
    <t>&lt;!-- Lauren Phillips - 11178968 - OF --&gt;</t>
  </si>
  <si>
    <t>https://thumbcdn.com/splash/iwbytrinqpn21s4b.jpg</t>
  </si>
  <si>
    <t>&lt;!-- Lauren Phillips - 25755399 - Camsoda --&gt;</t>
  </si>
  <si>
    <t>https://thumbcdn.com/splash/6hnclb33c4muovsu.jpg</t>
  </si>
  <si>
    <t>&lt;!-- Lauren Phillips - 39940867 - Chaturbate --&gt;</t>
  </si>
  <si>
    <t>https://thumbcdn.com/splash/s2mkhm2hbgo9zvsg.jpg</t>
  </si>
  <si>
    <t>&lt;!-- Lauren Phillips - 43962331 - PornWorld --&gt;</t>
  </si>
  <si>
    <t>https://thumbcdn.com/splash/l6wnu79i8rp38wr4.jpg</t>
  </si>
  <si>
    <t>&lt;!-- Lauren Phillips - 44561077 - MTS - Molly Little --&gt;</t>
  </si>
  <si>
    <t>https://thumbcdn.com/splash/h3ryg05cgh2io66u.jpg</t>
  </si>
  <si>
    <t>&lt;!-- Lauren Phillips - 56919928 - FS --&gt;</t>
  </si>
  <si>
    <t>https://thumbcdn.com/splash/03qiw5cln4l5jbt6.jpg</t>
  </si>
  <si>
    <t>&lt;!-- Lauren Phillips - 59454267 - Milfy --&gt;</t>
  </si>
  <si>
    <t>https://thumbcdn.com/splash/paoizlmqv3zh1ofm.jpg</t>
  </si>
  <si>
    <t>&lt;!-- Lauren Phillips - 61130047 - MWTB --&gt;</t>
  </si>
  <si>
    <t>https://thumbcdn.com/splash/2zxpmz4lgr9hgo2d.jpg</t>
  </si>
  <si>
    <t>&lt;!-- Lauren Phillips - 82716686 - Onlyfans --&gt;</t>
  </si>
  <si>
    <t>https://thumbcdn.com/splash/q1q4o4x85471ihqo.jpg</t>
  </si>
  <si>
    <t>&lt;!-- Lauren Phillips - 88465112 - MF --&gt;</t>
  </si>
  <si>
    <t>https://thumbcdn.com/splash/3xuw95b0cv4oncsr.jpg</t>
  </si>
  <si>
    <t>&lt;!-- Lauren Phillips - 92862302 - Mylf --&gt;</t>
  </si>
  <si>
    <t>https://thumbcdn.com/splash/1c9193xd9rhtsz95.jpg</t>
  </si>
  <si>
    <t>&lt;!-- Lauren Phillips - 99942714 - OF --&gt;</t>
  </si>
  <si>
    <t>https://thumbcdn.com/splash/6kayceuq5e14irrf.jpg</t>
  </si>
  <si>
    <t>&lt;!-- Lena Paul - 21328114 - Onlyfans --&gt;</t>
  </si>
  <si>
    <t>https://thumbcdn.com/splash/thd6n65hvnhp982g.jpg</t>
  </si>
  <si>
    <t>&lt;!-- Lena Paul - 27997914 - Onlyfans --&gt;</t>
  </si>
  <si>
    <t>https://thumbcdn.com/splash/yrq55873jz4r1fxr.jpg</t>
  </si>
  <si>
    <t>&lt;!-- Lena Paul - 30756435 - Onlyfans --&gt;</t>
  </si>
  <si>
    <t>https://thumbcdn.com/splash/2rf166nvouyk2s27.jpg</t>
  </si>
  <si>
    <t>&lt;!-- Lena Paul - 32115319 - Onlyfans - Angel Youngs --&gt;</t>
  </si>
  <si>
    <t>https://thumbcdn.com/splash/rzhwl2a3vkxcemoe.jpg</t>
  </si>
  <si>
    <t>&lt;!-- Lena Paul - 41030276 - Onlyfans - Susie Stellar --&gt;</t>
  </si>
  <si>
    <t>https://thumbcdn.com/splash/0ybeniaxv17tlue3.jpg</t>
  </si>
  <si>
    <t>&lt;!-- Lena Paul - 57956824 - MLR --&gt;</t>
  </si>
  <si>
    <t>https://thumbcdn.com/splash/a8odr2uhv3434yg4.jpg</t>
  </si>
  <si>
    <t>&lt;!-- Lena Paul - 63024767 - Onlyfans --&gt;</t>
  </si>
  <si>
    <t>https://thumbcdn.com/splash/akpovleubinrcs1l.jpg</t>
  </si>
  <si>
    <t>&lt;!-- Lena Paul - 69129060 - Onlyfans --&gt;</t>
  </si>
  <si>
    <t>https://thumbcdn.com/splash/iojnfde5q9jhu6jk.jpg</t>
  </si>
  <si>
    <t>&lt;!-- Lena Paul - 84320153 - Onlyfans --&gt;</t>
  </si>
  <si>
    <t>https://thumbcdn.com/splash/m4jm9iuql041pbz3.jpg</t>
  </si>
  <si>
    <t>&lt;!-- Lena Polanski - 13773574 - Onlyfans --&gt;</t>
  </si>
  <si>
    <t>https://thumbcdn.com/splash/xf7zd9f8f67izzsh.jpg</t>
  </si>
  <si>
    <t>&lt;!-- Lena Polanski - 38748871 - Onlyfans --&gt;</t>
  </si>
  <si>
    <t>https://thumbcdn.com/splash/viea47lkcp7gp7az.jpg</t>
  </si>
  <si>
    <t>&lt;!-- Lena the plug - 15985766 - Onlyfans --&gt;</t>
  </si>
  <si>
    <t>https://thumbcdn.com/splash/q4rhux8s5d7o3ez7.jpg</t>
  </si>
  <si>
    <t>&lt;!-- Lena the plug - 18963060 - Onlyfans - Sinatra Monroe --&gt;</t>
  </si>
  <si>
    <t>https://thumbcdn.com/splash/smwq08m4p9n7lz78.jpg</t>
  </si>
  <si>
    <t>&lt;!-- Lena the plug - 29767304 - Onlyfans --&gt;</t>
  </si>
  <si>
    <t>https://thumbcdn.com/splash/uf819or1ezzp7lgr.jpg</t>
  </si>
  <si>
    <t>&lt;!-- Lena the plug - 35146123 - Onlyfans - Jewelz Blu --&gt;</t>
  </si>
  <si>
    <t>https://thumbcdn.com/splash/jott6n0mjzkxxw13.jpg</t>
  </si>
  <si>
    <t>&lt;!-- Lena the plug - 44691980 - Onlyfans --&gt;</t>
  </si>
  <si>
    <t>https://thumbcdn.com/splash/7a7ee8qofhfzksst.jpg</t>
  </si>
  <si>
    <t>&lt;!-- Lena the plug - 62542301 - Onlyfans --&gt;</t>
  </si>
  <si>
    <t>https://thumbcdn.com/splash/cjswckk32oqxvi8d.jpg</t>
  </si>
  <si>
    <t>&lt;!-- Lena the plug - 74722268 - Onlyfans --&gt;</t>
  </si>
  <si>
    <t>https://thumbcdn.com/splash/eic5uj132eehb8bq.jpg</t>
  </si>
  <si>
    <t>&lt;!-- Lena the plug - 75484337 - Onlyfans --&gt;</t>
  </si>
  <si>
    <t>https://thumbcdn.com/splash/hgh9sd0w92oymx13.jpg</t>
  </si>
  <si>
    <t>&lt;!-- Lena the plug - 79601210 - Onlyfans --&gt;</t>
  </si>
  <si>
    <t>https://thumbcdn.com/splash/a3qi1sebygm2jt48.jpg</t>
  </si>
  <si>
    <t>&lt;!-- Lena the plug - 85746653 - Onlyfans --&gt;</t>
  </si>
  <si>
    <t>https://thumbcdn.com/splash/9q9cvo5ddfo63a50.jpg</t>
  </si>
  <si>
    <t>&lt;!-- Lexi Belle - 14586632 - Onlyfans --&gt;</t>
  </si>
  <si>
    <t>https://thumbcdn.com/splash/100mujhg9xqv8or8.jpg</t>
  </si>
  <si>
    <t>&lt;!-- Lexi Belle - 30943150 - Onlyfans --&gt;</t>
  </si>
  <si>
    <t>https://thumbcdn.com/splash/5gwkn1qf9l3mbpzq.jpg</t>
  </si>
  <si>
    <t>&lt;!-- Lexi Belle - 43590742 - Onlyfans --&gt;</t>
  </si>
  <si>
    <t>https://thumbcdn.com/splash/3eiu06q5ihfgzuwy.jpg</t>
  </si>
  <si>
    <t>&lt;!-- Lexi Belle - 50640426 - Onlyfans --&gt;</t>
  </si>
  <si>
    <t>https://thumbcdn.com/splash/29o7i53yzxm6da97.jpg</t>
  </si>
  <si>
    <t>&lt;!-- Lexi Belle - 86205405 - Onlyfans --&gt;</t>
  </si>
  <si>
    <t>https://thumbcdn.com/splash/j6w9vrsom3nl9o04.jpg</t>
  </si>
  <si>
    <t>&lt;!-- Lexi Belle - 89537050 - Onlyfans --&gt;</t>
  </si>
  <si>
    <t>https://thumbcdn.com/splash/8a8q6llra9l21rp3.jpg</t>
  </si>
  <si>
    <t>&lt;!-- Lilibet Saunders - 51729589 - TH - Cory Chase --&gt;</t>
  </si>
  <si>
    <t>https://thumbcdn.com/splash/gwloh7m3pu560bpe.jpg</t>
  </si>
  <si>
    <t>&lt;!-- Lilibet Saunders - 73049112 - TT --&gt;</t>
  </si>
  <si>
    <t>https://thumbcdn.com/splash/hu7l5ajvt2dfsnz7.jpg</t>
  </si>
  <si>
    <t>&lt;!-- Lily Lanes - 66507163 - Onlyfans --&gt;</t>
  </si>
  <si>
    <t>https://thumbcdn.com/splash/n8bzrjy4a7plxgro.jpg</t>
  </si>
  <si>
    <t>&lt;!-- Lily Lanes - 72145197 - Onlyfans --&gt;</t>
  </si>
  <si>
    <t>https://thumbcdn.com/splash/ornj44p5jdcpn8iy.jpg</t>
  </si>
  <si>
    <t>&lt;!-- Lily Lanes - 94429684 - Onlyfans --&gt;</t>
  </si>
  <si>
    <t>https://thumbcdn.com/splash/8e20vykiuad9apyu.jpg</t>
  </si>
  <si>
    <t>&lt;!-- Lily Phillips - 13508856 - Onlyfans - Annie Kate --&gt;</t>
  </si>
  <si>
    <t>https://thumbcdn.com/splash/0z8cehuslka2ofjc.jpg</t>
  </si>
  <si>
    <t>&lt;!-- Lily Phillips - 14574939 - Onlyfans --&gt;</t>
  </si>
  <si>
    <t>https://thumbcdn.com/splash/iecbw11yny4dc9n0.jpg</t>
  </si>
  <si>
    <t>&lt;!-- Lily Phillips - 16139632 - Onlyfans --&gt;</t>
  </si>
  <si>
    <t>https://thumbcdn.com/splash/7nln4np4nosdal0b.jpg</t>
  </si>
  <si>
    <t>&lt;!-- Lily Phillips - 25426930 - Onlyfans - Bonnie Blue --&gt;</t>
  </si>
  <si>
    <t>https://thumbcdn.com/splash/s81zx1jw2f4zttxt.jpg</t>
  </si>
  <si>
    <t>&lt;!-- Lily Phillips - 40018720 - PB --&gt;</t>
  </si>
  <si>
    <t>https://thumbcdn.com/splash/5ug1iw000datipvj.jpg</t>
  </si>
  <si>
    <t>&lt;!-- Lily Phillips - 41732670 - Onlyfans --&gt;</t>
  </si>
  <si>
    <t>https://thumbcdn.com/splash/ueagxmiv7a8ldjny.jpg</t>
  </si>
  <si>
    <t>&lt;!-- Lily Phillips - 45303572 - Onlyfans --&gt;</t>
  </si>
  <si>
    <t>https://thumbcdn.com/splash/u8q5qmnhngsxs4hx.jpg</t>
  </si>
  <si>
    <t>&lt;!-- Lily Phillips - 58309361 - Onlyfans --&gt;</t>
  </si>
  <si>
    <t>https://thumbcdn.com/splash/hcif0bas65ohbd0u.jpg</t>
  </si>
  <si>
    <t>&lt;!-- Lily Phillips - 59344750 - Onlyfans --&gt;</t>
  </si>
  <si>
    <t>https://thumbcdn.com/splash/yde1lhb271nxz93n.jpg</t>
  </si>
  <si>
    <t>&lt;!-- Lily Phillips - 62412720 - Onlyfans --&gt;</t>
  </si>
  <si>
    <t>https://thumbcdn.com/splash/lsnuhf3j0roxyhg3.jpg</t>
  </si>
  <si>
    <t>&lt;!-- Lily Phillips - 65483042 - TTPOV --&gt;</t>
  </si>
  <si>
    <t>https://thumbcdn.com/splash/pqojtvpwhxjket62.jpg</t>
  </si>
  <si>
    <t>&lt;!-- Lily Phillips - 77002283 - PB --&gt;</t>
  </si>
  <si>
    <t>https://thumbcdn.com/splash/enz87g1yhw60uan9.jpg</t>
  </si>
  <si>
    <t>&lt;!-- Lily Phillips - 78144589 - Onlyfans --&gt;</t>
  </si>
  <si>
    <t>https://thumbcdn.com/splash/9bvwqdxliuo712a8.jpg</t>
  </si>
  <si>
    <t>&lt;!-- Lily Phillips - 89948601 - Onlyfans - Bonnie Blue --&gt;</t>
  </si>
  <si>
    <t>https://thumbcdn.com/splash/yqwzxu2x716uta12.jpg</t>
  </si>
  <si>
    <t>&lt;!-- Lily Phillips - 91665456 - AV --&gt;</t>
  </si>
  <si>
    <t>https://thumbcdn.com/splash/vomlmttit8fmmu6v.jpg</t>
  </si>
  <si>
    <t>&lt;!-- Lily Phillips - 91773332 - Onlyfans - Annie Kate --&gt;</t>
  </si>
  <si>
    <t>https://thumbcdn.com/splash/sezte60aagwoqzb7.jpg</t>
  </si>
  <si>
    <t>&lt;!-- Lily Phillips - 97081805 - Onlyfans --&gt;</t>
  </si>
  <si>
    <t>https://thumbcdn.com/splash/wfiohvitzvr56ho9.jpg</t>
  </si>
  <si>
    <t>&lt;!-- Lily Phillips - 98914583 - Onlyfans --&gt;</t>
  </si>
  <si>
    <t>https://thumbcdn.com/splash/wp8qw80rer0dcw6o.jpg</t>
  </si>
  <si>
    <t>&lt;!-- Lily Phillips - 99616786 - Onlyfans --&gt;</t>
  </si>
  <si>
    <t>https://thumbcdn.com/splash/zowtgvshu3n5n1io.jpg</t>
  </si>
  <si>
    <t>&lt;!-- Linzy Ray - 81129270 - Onlyfans --&gt;</t>
  </si>
  <si>
    <t>https://thumbcdn.com/splash/zd9g7e9ofuemm7kd.jpg</t>
  </si>
  <si>
    <t>&lt;!-- Little Caprice - 82751751 - LC --&gt;</t>
  </si>
  <si>
    <t>https://thumbcdn.com/splash/ub5tbiuh9ojuk7xg.jpg</t>
  </si>
  <si>
    <t>&lt;!-- Liz Jordan - 21264575 - Onlyfans - Madi Ruve --&gt;</t>
  </si>
  <si>
    <t>https://thumbcdn.com/splash/kxpni0z91q4bjv0s.jpg</t>
  </si>
  <si>
    <t>&lt;!-- Lizzie Love - 81357602 - CathyScraving --&gt;</t>
  </si>
  <si>
    <t>https://thumbcdn.com/splash/3s3ndrhtcostunqu.jpg</t>
  </si>
  <si>
    <t>&lt;!-- Lola Cheeks - 43319214 - BackroomCastingCouch --&gt;</t>
  </si>
  <si>
    <t>https://thumbcdn.com/splash/0w4ua9y22iyxx4ty.jpg</t>
  </si>
  <si>
    <t>&lt;!-- Lucy - 87467552 - BackroomCastingCouch --&gt;</t>
  </si>
  <si>
    <t>https://thumbcdn.com/splash/ynw5vkbapnzzmzsk.jpg</t>
  </si>
  <si>
    <t>&lt;!-- Lucy Foxx - 13250580 - TS --&gt;</t>
  </si>
  <si>
    <t>https://thumbcdn.com/splash/zvd4eqjwirgejs53.jpg</t>
  </si>
  <si>
    <t>&lt;!-- Lucy Foxx - 84642179 - XVRED --&gt;</t>
  </si>
  <si>
    <t>https://thumbcdn.com/splash/1kcgmwkz7jc3olel.jpg</t>
  </si>
  <si>
    <t>&lt;!-- Lucy Mochi - 11144877 - Onlyfans --&gt;</t>
  </si>
  <si>
    <t>https://thumbcdn.com/splash/1m072lb7phu8sfcf.jpg</t>
  </si>
  <si>
    <t>&lt;!-- Lucy Mochi - 16687170 - Onlyfans - Nicole Doshi --&gt;</t>
  </si>
  <si>
    <t>https://thumbcdn.com/splash/a21rh3pnlimtogwp.jpg</t>
  </si>
  <si>
    <t>&lt;!-- Lucy Mochi - 23173703 - Onlyfans - JasmineTeaa --&gt;</t>
  </si>
  <si>
    <t>https://thumbcdn.com/splash/kgsn2alxh70kuyec.jpg</t>
  </si>
  <si>
    <t>&lt;!-- Lucy Mochi - 29122637 - Onlyfans --&gt;</t>
  </si>
  <si>
    <t>https://thumbcdn.com/splash/o02mrmz05m021chj.jpg</t>
  </si>
  <si>
    <t>&lt;!-- Lucy Mochi - 29795650 - Onlyfans --&gt;</t>
  </si>
  <si>
    <t>https://thumbcdn.com/splash/86odnvxsfbvk8z6x.jpg</t>
  </si>
  <si>
    <t>&lt;!-- Lucy Mochi - 31426357 - Onlyfans --&gt;</t>
  </si>
  <si>
    <t>https://thumbcdn.com/splash/mwja2i21znm8bb48.jpg</t>
  </si>
  <si>
    <t>&lt;!-- Lucy Mochi - 35825034 - Onlyfans - Jackandjill - EtherealClaire --&gt;</t>
  </si>
  <si>
    <t>https://thumbcdn.com/splash/pbj1pg7sm7bizzuh.jpg</t>
  </si>
  <si>
    <t>&lt;!-- Lucy Mochi - 36879561 - Onlyfans --&gt;</t>
  </si>
  <si>
    <t>https://thumbcdn.com/splash/clpi6ab7o163ib6k.jpg</t>
  </si>
  <si>
    <t>&lt;!-- Lucy Mochi - 40363312 - Onlyfans - AliceOnCam --&gt;</t>
  </si>
  <si>
    <t>https://thumbcdn.com/splash/uex3fb5nqqrnw6ah.jpg</t>
  </si>
  <si>
    <t>&lt;!-- Lucy Mochi - 48837763 - Onlyfans --&gt;</t>
  </si>
  <si>
    <t>https://thumbcdn.com/splash/1da1hqff2onwumm0.jpg</t>
  </si>
  <si>
    <t>&lt;!-- Lucy Mochi - 54228852 - Anal Therapy --&gt;</t>
  </si>
  <si>
    <t>https://thumbcdn.com/splash/sf0n16nugluhvri9.jpg</t>
  </si>
  <si>
    <t>&lt;!-- Lucy Mochi - 66984989 - Family Therapy --&gt;</t>
  </si>
  <si>
    <t>https://thumbcdn.com/splash/58zczzoyjlk3bpkw.jpg</t>
  </si>
  <si>
    <t>&lt;!-- Lucy Mochi - 89542094 - Onlyfans --&gt;</t>
  </si>
  <si>
    <t>https://thumbcdn.com/splash/y02097a3jdi1bsxb.jpg</t>
  </si>
  <si>
    <t>&lt;!-- Lucy Mochi - 99388211 - Onlyfans --&gt;</t>
  </si>
  <si>
    <t>https://thumbcdn.com/splash/spuyr5g7wsu25afa.jpg</t>
  </si>
  <si>
    <t>&lt;!-- MaddieBubz - 84035528 - Onlyfans --&gt;</t>
  </si>
  <si>
    <t>https://thumbcdn.com/splash/cl3bzxp8ec2jwj55.jpg</t>
  </si>
  <si>
    <t>&lt;!-- Madison Lanez - 95931349 - Onlyfans --&gt;</t>
  </si>
  <si>
    <t>https://thumbcdn.com/splash/aqvsl8820cybzz9i.jpg</t>
  </si>
  <si>
    <t>&lt;!-- Madison Morgan - 27978540 - Onlyfans --&gt;</t>
  </si>
  <si>
    <t>https://thumbcdn.com/splash/9r1eypojjtbx8ri9.jpg</t>
  </si>
  <si>
    <t>&lt;!-- Madison Morgan - 60817052 - Elegant Angel --&gt;</t>
  </si>
  <si>
    <t>https://thumbcdn.com/splash/psnagkg0xdc4fddj.jpg</t>
  </si>
  <si>
    <t>&lt;!-- Mae Winters - 55467075 - XVRED --&gt;</t>
  </si>
  <si>
    <t>https://thumbcdn.com/splash/dp6h7o4wto4wrcsv.jpg</t>
  </si>
  <si>
    <t>&lt;!-- Maisey Monroe - 39659947 - TouchMyWife --&gt;</t>
  </si>
  <si>
    <t>https://thumbcdn.com/splash/75927ame0lw57f55.jpg</t>
  </si>
  <si>
    <t>&lt;!-- Marry Queen - 45288539 - WoodmanCastingX --&gt;</t>
  </si>
  <si>
    <t>https://thumbcdn.com/splash/o4sa9bg8tks2nqpd.jpg</t>
  </si>
  <si>
    <t>&lt;!-- Melanie Marie - 20905476 - PG --&gt;</t>
  </si>
  <si>
    <t>https://thumbcdn.com/splash/l34u1j41dl2jdcc3.jpg</t>
  </si>
  <si>
    <t>&lt;!-- Melanie Marie - 24675020 - Tushy --&gt;</t>
  </si>
  <si>
    <t>https://thumbcdn.com/splash/mu82p0nzbg8ur53y.jpg</t>
  </si>
  <si>
    <t>&lt;!-- Melanie Marie - 69961900 - Onlyfans --&gt;</t>
  </si>
  <si>
    <t>https://thumbcdn.com/splash/w2llx505v9a1he73.jpg</t>
  </si>
  <si>
    <t>&lt;!-- Melanie Marie - 91881730 - Chaturbate - JackandJill - Dakota Lyn --&gt;</t>
  </si>
  <si>
    <t>https://thumbcdn.com/splash/id2a1c4gcts4naeb.jpg</t>
  </si>
  <si>
    <t>&lt;!-- Melody Marks - 41586007 - NF --&gt;</t>
  </si>
  <si>
    <t>https://thumbcdn.com/splash/5xe8ygc2t3dhiwl2.jpg</t>
  </si>
  <si>
    <t>&lt;!-- Melody Marks - 41917273 - Onlyfans --&gt;</t>
  </si>
  <si>
    <t>https://thumbcdn.com/splash/vexcxkh310ro18pw.jpg</t>
  </si>
  <si>
    <t>&lt;!-- Melody Marks - 44001768 - IP --&gt;</t>
  </si>
  <si>
    <t>https://thumbcdn.com/splash/a6r0z9dxsxomeud8.jpg</t>
  </si>
  <si>
    <t>&lt;!-- Melody Marks - 49968496 - Deeper --&gt;</t>
  </si>
  <si>
    <t>https://thumbcdn.com/splash/yyrs9yevekuht3ny.jpg</t>
  </si>
  <si>
    <t>&lt;!-- Melody Marks - 55284403 - IL --&gt;</t>
  </si>
  <si>
    <t>https://thumbcdn.com/splash/e8y88mls7xhaio7u.jpg</t>
  </si>
  <si>
    <t>&lt;!-- Melody Marks - 58867059 - PX - Audrey Reid --&gt;</t>
  </si>
  <si>
    <t>https://thumbcdn.com/splash/6dpx429grzj9orqk.jpg</t>
  </si>
  <si>
    <t>&lt;!-- Melody Marks - 71734885 - Onlyfans --&gt;</t>
  </si>
  <si>
    <t>https://thumbcdn.com/splash/ttlgpjn4lx7kok28.jpg</t>
  </si>
  <si>
    <t>&lt;!-- Melody Marks - 77818427 - BlackedRaw - Sky Wonderland --&gt;</t>
  </si>
  <si>
    <t>https://thumbcdn.com/splash/yb97mpg6hcd0v4v3.jpg</t>
  </si>
  <si>
    <t>&lt;!-- Melody Marks - 81414858 - Chaturbate - Theodora Day - JackandJill --&gt;</t>
  </si>
  <si>
    <t>https://thumbcdn.com/splash/t6f0mj8piozg2yaw.jpg</t>
  </si>
  <si>
    <t>&lt;!-- Melody Marks - 82099308 - IPOV - Gal Ritchie --&gt;</t>
  </si>
  <si>
    <t>https://thumbcdn.com/splash/yshxsjpdg0tjfd9p.jpg</t>
  </si>
  <si>
    <t>&lt;!-- Melody Marks - 88122372 - OF --&gt;</t>
  </si>
  <si>
    <t>https://thumbcdn.com/splash/lwa3bu7h2qd1w150.jpg</t>
  </si>
  <si>
    <t>&lt;!-- Mia Malkova - 17691696 - Onlyfans --&gt;</t>
  </si>
  <si>
    <t>https://thumbcdn.com/splash/8q29i84kcyjyzhmm.jpg</t>
  </si>
  <si>
    <t>&lt;!-- Mia Malkova - 18416994 - Onlyfans --&gt;</t>
  </si>
  <si>
    <t>https://thumbcdn.com/splash/o5nj2vvyy6kebcm5.jpg</t>
  </si>
  <si>
    <t>&lt;!-- Mia Malkova - 22061583 - Onlyfans - Belle Delphine --&gt;</t>
  </si>
  <si>
    <t>https://thumbcdn.com/splash/vuazx1zx79mr92ft.jpg</t>
  </si>
  <si>
    <t>&lt;!-- Mia Malkova - 38489095 - Onlyfans --&gt;</t>
  </si>
  <si>
    <t>https://thumbcdn.com/splash/jaeqzmdyutq87bnm.jpg</t>
  </si>
  <si>
    <t>&lt;!-- Mia Malkova - 41359143 - Onlyfans --&gt;</t>
  </si>
  <si>
    <t>https://thumbcdn.com/splash/h5xuyfymzcbymmgn.jpg</t>
  </si>
  <si>
    <t>&lt;!-- Mia Malkova - 42738945 - Onlyfans --&gt;</t>
  </si>
  <si>
    <t>https://thumbcdn.com/splash/b08syigy5m763dmi.jpg</t>
  </si>
  <si>
    <t>&lt;!-- Mia Malkova - 45449164 - Onlyfans --&gt;</t>
  </si>
  <si>
    <t>https://thumbcdn.com/splash/qacc20393vngmpkh.jpg</t>
  </si>
  <si>
    <t>&lt;!-- Mia Malkova - 51929303 - Onlyfans --&gt;</t>
  </si>
  <si>
    <t>https://thumbcdn.com/splash/simialc1l773mkeo.jpg</t>
  </si>
  <si>
    <t>&lt;!-- Mia Malkova - 58518494 - Onlyfans - Elle Brooke --&gt;</t>
  </si>
  <si>
    <t>https://thumbcdn.com/splash/a378iwn5d5y3iahu.jpg</t>
  </si>
  <si>
    <t>&lt;!-- Mia Malkova - 58551090 - Onlyfans --&gt;</t>
  </si>
  <si>
    <t>https://thumbcdn.com/splash/0wa6r805nfjds2a2.jpg</t>
  </si>
  <si>
    <t>&lt;!-- Mia Malkova - 70813268 - Onlyfans --&gt;</t>
  </si>
  <si>
    <t>https://thumbcdn.com/splash/3pzlp6rgwsuojarg.jpg</t>
  </si>
  <si>
    <t>&lt;!-- Mia Malkova - 87253864 - Onlyfans --&gt;</t>
  </si>
  <si>
    <t>https://thumbcdn.com/splash/z22t6di1wo7ygzp7.jpg</t>
  </si>
  <si>
    <t>&lt;!-- Mia Malkova - 92617722 - Onlyfans --&gt;</t>
  </si>
  <si>
    <t>https://thumbcdn.com/splash/s7aicwm4moe27ism.jpg</t>
  </si>
  <si>
    <t>&lt;!-- Mila Sobolov - 55887993 - Onlyfans --&gt;</t>
  </si>
  <si>
    <t>https://thumbcdn.com/splash/5r4e6cwud5z5s58s.jpg</t>
  </si>
  <si>
    <t>&lt;!-- Mini Loonaa - 24435407 - Onlyfans --&gt;</t>
  </si>
  <si>
    <t>https://thumbcdn.com/splash/t503y9kbt69wuw0m.jpg</t>
  </si>
  <si>
    <t>&lt;!-- Mini Loonaa - 35538209 - Onlyfans --&gt;</t>
  </si>
  <si>
    <t>https://thumbcdn.com/splash/a0u6kndno5d3ytwf.jpg</t>
  </si>
  <si>
    <t>&lt;!-- Mini Loonaa - 35834297 - Onlyfans --&gt;</t>
  </si>
  <si>
    <t>https://thumbcdn.com/splash/tr4yhcpstjdd6lwf.jpg</t>
  </si>
  <si>
    <t>&lt;!-- Mini Loonaa - 64264764 - Onlyfans --&gt;</t>
  </si>
  <si>
    <t>https://thumbcdn.com/splash/fdkouvmsfpnf7d46.jpg</t>
  </si>
  <si>
    <t>&lt;!-- Mini Loonaa - 71137386 - Onlyfans --&gt;</t>
  </si>
  <si>
    <t>https://thumbcdn.com/splash/2oxarvh93igsxovm.jpg</t>
  </si>
  <si>
    <t>&lt;!-- Misty - 77897391 - PS --&gt;</t>
  </si>
  <si>
    <t>https://thumbcdn.com/splash/4zqpk0uk0crvvq88.jpg</t>
  </si>
  <si>
    <t>&lt;!-- Nakedbarbiedoll - 24627046 - Onlyfans --&gt;</t>
  </si>
  <si>
    <t>https://thumbcdn.com/splash/yk4lplajzuuezeuh.jpg</t>
  </si>
  <si>
    <t>&lt;!-- Natasha Nice - 24690414 - Onlyfans --&gt;</t>
  </si>
  <si>
    <t>https://thumbcdn.com/splash/zuk6efe7xfthn3qk.jpg</t>
  </si>
  <si>
    <t>&lt;!-- Natasha Nice - 50308482 - Onlyfans --&gt;</t>
  </si>
  <si>
    <t>https://thumbcdn.com/splash/l1olo1aa723hd9y3.jpg</t>
  </si>
  <si>
    <t>&lt;!-- Natasha Nice - 57865739 - XVRED --&gt;</t>
  </si>
  <si>
    <t>https://thumbcdn.com/splash/fxw76mpq6zzi3hr4.jpg</t>
  </si>
  <si>
    <t>&lt;!-- Natasha Nice - 60001539 - XVRED --&gt;</t>
  </si>
  <si>
    <t>https://thumbcdn.com/splash/x28nzwvhjjuhx3gv.jpg</t>
  </si>
  <si>
    <t>&lt;!-- Natasha Nice - 70766285 - XVRED --&gt;</t>
  </si>
  <si>
    <t>https://thumbcdn.com/splash/xlnlj6hx9ha763nw.jpg</t>
  </si>
  <si>
    <t>&lt;!-- Natasha Nice - 97260972 - Onlyfans --&gt;</t>
  </si>
  <si>
    <t>https://thumbcdn.com/splash/cwuqhqrka8ssz2vs.jpg</t>
  </si>
  <si>
    <t>&lt;!-- Nikoletta Queen - 54048368 - DD4K --&gt;</t>
  </si>
  <si>
    <t>https://thumbcdn.com/splash/oub9palqufu47s5h.jpg</t>
  </si>
  <si>
    <t>&lt;!-- Nina - 62548810 - BackroomCastingCouch --&gt;</t>
  </si>
  <si>
    <t>https://thumbcdn.com/splash/hrifimtmzi4pzc0v.jpg</t>
  </si>
  <si>
    <t>&lt;!-- Octokuro - 13942903 - Onlyfans --&gt;</t>
  </si>
  <si>
    <t>https://thumbcdn.com/splash/bdhciag26enzyq2s.jpg</t>
  </si>
  <si>
    <t>&lt;!-- Octokuro - 14366191 - Onlyfans --&gt;</t>
  </si>
  <si>
    <t>https://thumbcdn.com/splash/op4ndn21tlxdjzqu.jpg</t>
  </si>
  <si>
    <t>&lt;!-- Octokuro - 15289353 - Onlyfans --&gt;</t>
  </si>
  <si>
    <t>https://thumbcdn.com/splash/n22femnla4qgo1q4.jpg</t>
  </si>
  <si>
    <t>&lt;!-- Octokuro - 20147673 - Onlyfans --&gt;</t>
  </si>
  <si>
    <t>https://thumbcdn.com/splash/u6kcu0o3008t1ygb.jpg</t>
  </si>
  <si>
    <t>&lt;!-- Octokuro - 20324869 - Onlyfans --&gt;</t>
  </si>
  <si>
    <t>https://thumbcdn.com/splash/b80q2n6zxmy154it.jpg</t>
  </si>
  <si>
    <t>&lt;!-- Octokuro - 22351742 - Onlyfans --&gt;</t>
  </si>
  <si>
    <t>https://thumbcdn.com/splash/c6t12s6v0muu9ptf.jpg</t>
  </si>
  <si>
    <t>&lt;!-- Octokuro - 24693016 - Onlyfans --&gt;</t>
  </si>
  <si>
    <t>https://thumbcdn.com/splash/m5ejl94sfzstd3ap.jpg</t>
  </si>
  <si>
    <t>&lt;!-- Octokuro - 25831855 - Onlyfans --&gt;</t>
  </si>
  <si>
    <t>https://thumbcdn.com/splash/mwdrrj9iplvkyj5k.jpg</t>
  </si>
  <si>
    <t>&lt;!-- Octokuro - 32073173 - Onlyfans --&gt;</t>
  </si>
  <si>
    <t>https://thumbcdn.com/splash/sg6azgb7o3a1h1ge.jpg</t>
  </si>
  <si>
    <t>&lt;!-- Octokuro - 34038524 - Onlyfans --&gt;</t>
  </si>
  <si>
    <t>https://thumbcdn.com/splash/bcwq3uy69j6ysm0j.jpg</t>
  </si>
  <si>
    <t>&lt;!-- Octokuro - 35071147 - Onlyfans --&gt;</t>
  </si>
  <si>
    <t>https://thumbcdn.com/splash/7zweszko5yrnrnds.jpg</t>
  </si>
  <si>
    <t>&lt;!-- Octokuro - 37754208 - Onlyfans --&gt;</t>
  </si>
  <si>
    <t>https://thumbcdn.com/splash/099qaj2lolpvtjjd.jpg</t>
  </si>
  <si>
    <t>&lt;!-- Octokuro - 40551953 - Onlyfans --&gt;</t>
  </si>
  <si>
    <t>https://thumbcdn.com/splash/fjqevtc58c357tdt.jpg</t>
  </si>
  <si>
    <t>&lt;!-- Octokuro - 41129594 - Onlyfans --&gt;</t>
  </si>
  <si>
    <t>https://thumbcdn.com/splash/36pkp0omyyh1ugl0.jpg</t>
  </si>
  <si>
    <t>&lt;!-- Octokuro - 42043379 - Onlyfans --&gt;</t>
  </si>
  <si>
    <t>https://thumbcdn.com/splash/vlbukbbm9ut8kmov.jpg</t>
  </si>
  <si>
    <t>&lt;!-- Octokuro - 43317682 - Onlyfans --&gt;</t>
  </si>
  <si>
    <t>https://thumbcdn.com/splash/88je6132rtiu94ii.jpg</t>
  </si>
  <si>
    <t>&lt;!-- Octokuro - 43587736 - Onlyfans --&gt;</t>
  </si>
  <si>
    <t>https://thumbcdn.com/splash/qrids3zfcnv9nd8h.jpg</t>
  </si>
  <si>
    <t>&lt;!-- Octokuro - 46438824 - Onlyfans --&gt;</t>
  </si>
  <si>
    <t>https://thumbcdn.com/splash/zqhsxk5yc3pkxc62.jpg</t>
  </si>
  <si>
    <t>&lt;!-- Octokuro - 48603480 - Onlyfans --&gt;</t>
  </si>
  <si>
    <t>https://thumbcdn.com/splash/21a0605v7yhjtcwj.jpg</t>
  </si>
  <si>
    <t>&lt;!-- Octokuro - 52294903 - PornWorld --&gt;</t>
  </si>
  <si>
    <t>https://thumbcdn.com/splash/47dzx3oxmx1xawev.jpg</t>
  </si>
  <si>
    <t>&lt;!-- Octokuro - 53119254 - Onlyfans --&gt;</t>
  </si>
  <si>
    <t>https://thumbcdn.com/splash/6ykmdkoul8rvl1v3.jpg</t>
  </si>
  <si>
    <t>&lt;!-- Octokuro - 54716594 - Onlyfans --&gt;</t>
  </si>
  <si>
    <t>https://thumbcdn.com/splash/9bqu2vx4112zdjcu.jpg</t>
  </si>
  <si>
    <t>&lt;!-- Octokuro - 58018560 - Onlyfans --&gt;</t>
  </si>
  <si>
    <t>https://thumbcdn.com/splash/z94922f8or0zazs9.jpg</t>
  </si>
  <si>
    <t>&lt;!-- Octokuro - 59935821 - Onlyfans --&gt;</t>
  </si>
  <si>
    <t>https://thumbcdn.com/splash/vbboqleyflxoxcsg.jpg</t>
  </si>
  <si>
    <t>&lt;!-- Octokuro - 60165630 - Onlyfans --&gt;</t>
  </si>
  <si>
    <t>https://thumbcdn.com/splash/mclqb9v4ovv3qvlb.jpg</t>
  </si>
  <si>
    <t>&lt;!-- Octokuro - 64117623 - Onlyfans --&gt;</t>
  </si>
  <si>
    <t>https://thumbcdn.com/splash/j9rx6na42umhnuwf.jpg</t>
  </si>
  <si>
    <t>&lt;!-- Octokuro - 64883548 - Onlyfans --&gt;</t>
  </si>
  <si>
    <t>https://thumbcdn.com/splash/4jnn6d7aejqpebfc.jpg</t>
  </si>
  <si>
    <t>&lt;!-- Octokuro - 67483896 - Onlyfans --&gt;</t>
  </si>
  <si>
    <t>https://thumbcdn.com/splash/0zchu7pxukohv2wt.jpg</t>
  </si>
  <si>
    <t>&lt;!-- Octokuro - 69004840 - OnlyTarts --&gt;</t>
  </si>
  <si>
    <t>https://thumbcdn.com/splash/33mwqeenrj3vw1i7.jpg</t>
  </si>
  <si>
    <t>&lt;!-- Octokuro - 69857341 - Onlyfans --&gt;</t>
  </si>
  <si>
    <t>https://thumbcdn.com/splash/qv8b6ykbnypx10hr.jpg</t>
  </si>
  <si>
    <t>&lt;!-- Octokuro - 75943645 - Onlyfans --&gt;</t>
  </si>
  <si>
    <t>https://thumbcdn.com/splash/jqim31261b1gk3su.jpg</t>
  </si>
  <si>
    <t>&lt;!-- Octokuro - 77610147 - Onlyfans --&gt;</t>
  </si>
  <si>
    <t>https://thumbcdn.com/splash/0gepoxt15lfx2dwg.jpg</t>
  </si>
  <si>
    <t>&lt;!-- Octokuro - 83051674 - Onlyfans --&gt;</t>
  </si>
  <si>
    <t>https://thumbcdn.com/splash/0dclwepe2onahwgx.jpg</t>
  </si>
  <si>
    <t>&lt;!-- Octokuro - 83093985 - Onlyfans --&gt;</t>
  </si>
  <si>
    <t>https://thumbcdn.com/splash/k4bp4ynavw6jx7yy.jpg</t>
  </si>
  <si>
    <t>&lt;!-- Octokuro - 86995868 - Vampired --&gt;</t>
  </si>
  <si>
    <t>https://thumbcdn.com/splash/1y6ud00zhbdvdsvk.jpg</t>
  </si>
  <si>
    <t>&lt;!-- Octokuro - 86997868 - Onlyfans --&gt;</t>
  </si>
  <si>
    <t>https://thumbcdn.com/splash/xc0pjhxpnlna95fz.jpg</t>
  </si>
  <si>
    <t>&lt;!-- Octokuro - 87079998 - RS --&gt;</t>
  </si>
  <si>
    <t>https://thumbcdn.com/splash/4w28qyhg0lc3o2ht.jpg</t>
  </si>
  <si>
    <t>&lt;!-- Octokuro - 93953392 - Onlyfans --&gt;</t>
  </si>
  <si>
    <t>https://thumbcdn.com/splash/5qbvmo0qvhf8x6b7.jpg</t>
  </si>
  <si>
    <t>&lt;!-- Octokuro - 96562730 - Onlyfans --&gt;</t>
  </si>
  <si>
    <t>https://thumbcdn.com/splash/afrtvsdfbdhq6mpw.jpg</t>
  </si>
  <si>
    <t>&lt;!-- Octokuro - 97262351 - Onlyfans --&gt;</t>
  </si>
  <si>
    <t>https://thumbcdn.com/splash/lu12fjwulg7f2ij3.jpg</t>
  </si>
  <si>
    <t>&lt;!-- Octokuro - 98357542 - Onlyfans --&gt;</t>
  </si>
  <si>
    <t>https://thumbcdn.com/splash/huwj83dxm27z59u8.jpg</t>
  </si>
  <si>
    <t>&lt;!-- Octokuro - 99769777 - Onlyfans --&gt;</t>
  </si>
  <si>
    <t>https://thumbcdn.com/splash/nuy1ddo0442sivhg.jpg</t>
  </si>
  <si>
    <t>&lt;!-- Octokuro - 99817193 - Onlyfans --&gt;</t>
  </si>
  <si>
    <t>https://thumbcdn.com/splash/d1t1uc8uwr8lzuxs.jpg</t>
  </si>
  <si>
    <t>&lt;!-- Olivia Sparkle - 11092806 - LCDreams --&gt;</t>
  </si>
  <si>
    <t>https://thumbcdn.com/splash/eup4wym3jtc60uhy.jpg</t>
  </si>
  <si>
    <t>&lt;!-- Olivia Sparkle - 17764835 - H4K --&gt;</t>
  </si>
  <si>
    <t>https://thumbcdn.com/splash/oxlboqlsn6yd4h6w.jpg</t>
  </si>
  <si>
    <t>&lt;!-- Olivia Sparkle - 26408287 - Onlyfans --&gt;</t>
  </si>
  <si>
    <t>https://thumbcdn.com/splash/w7ntk0u169ow3bi9.jpg</t>
  </si>
  <si>
    <t>&lt;!-- Olivia Sparkle - 36942485 - Submissed --&gt;</t>
  </si>
  <si>
    <t>https://thumbcdn.com/splash/5428fs8r6ewhxx6w.jpg</t>
  </si>
  <si>
    <t>&lt;!-- Olivia Sparkle - 58920974 - NF --&gt;</t>
  </si>
  <si>
    <t>https://thumbcdn.com/splash/tcs4hpxef5sesme7.jpg</t>
  </si>
  <si>
    <t>&lt;!-- Olivia Sparkle - 68549677 - NF --&gt;</t>
  </si>
  <si>
    <t>https://thumbcdn.com/splash/x33uc81jgukly3cm.jpg</t>
  </si>
  <si>
    <t>&lt;!-- Olivia Sparkle - 75098849 - DS --&gt;</t>
  </si>
  <si>
    <t>https://thumbcdn.com/splash/2evlmoubwab44lta.jpg</t>
  </si>
  <si>
    <t>&lt;!-- Olivia Sparkle - 96940959 - CU --&gt;</t>
  </si>
  <si>
    <t>https://thumbcdn.com/splash/480js0ibdl7ihfl8.jpg</t>
  </si>
  <si>
    <t>&lt;!-- Payton Preslee - 34521859 - Onlyfans - Brynn Michaels --&gt;</t>
  </si>
  <si>
    <t>https://thumbcdn.com/splash/4nrollqlulh43dgb.jpg</t>
  </si>
  <si>
    <t>&lt;!-- Payton Preslee - 92445527 - HoF - Ellie Nova --&gt;</t>
  </si>
  <si>
    <t>https://thumbcdn.com/splash/m4t2z9a71ewd9cl3.jpg</t>
  </si>
  <si>
    <t>&lt;!-- Payton Preslee - 95697340 - Bang --&gt;</t>
  </si>
  <si>
    <t>https://thumbcdn.com/splash/3x95uf3r6wzh7rwd.jpg</t>
  </si>
  <si>
    <t>&lt;!-- Rae Lil Black - 36474335 - Onlyfans --&gt;</t>
  </si>
  <si>
    <t>https://thumbcdn.com/splash/8so4jhbfzvrjqa7i.jpg</t>
  </si>
  <si>
    <t>&lt;!-- Rae Lil Black - 97194071 - Onlyfans --&gt;</t>
  </si>
  <si>
    <t>https://thumbcdn.com/splash/erq0grjccc4wmh6s.jpg</t>
  </si>
  <si>
    <t>&lt;!-- Raini - 75439323 - BackroomCastingCouch --&gt;</t>
  </si>
  <si>
    <t>https://thumbcdn.com/splash/j3jv7n4hfw71ph6f.jpg</t>
  </si>
  <si>
    <t>&lt;!-- Rebeca Fox - 16691815 - AV --&gt;</t>
  </si>
  <si>
    <t>https://thumbcdn.com/splash/pubtn8jbn8beb5tr.jpg</t>
  </si>
  <si>
    <t>&lt;!-- Rebeca Fox - 97988409 - FAQ --&gt;</t>
  </si>
  <si>
    <t>https://thumbcdn.com/splash/4m9fwqk8h4pfvp4t.jpg</t>
  </si>
  <si>
    <t>&lt;!-- Remido - 17868897 - D4 --&gt;</t>
  </si>
  <si>
    <t>https://thumbcdn.com/splash/q5whi5gxbbb8o4ku.jpg</t>
  </si>
  <si>
    <t>&lt;!-- Remido - 61743542 - OT --&gt;</t>
  </si>
  <si>
    <t>https://thumbcdn.com/splash/rqfkvx8lhs2jykzs.jpg</t>
  </si>
  <si>
    <t>&lt;!-- Remy Lacroix - 10307538 - Onlyfans --&gt;</t>
  </si>
  <si>
    <t>https://thumbcdn.com/splash/6bo642v4aagvqpj0.jpg</t>
  </si>
  <si>
    <t>&lt;!-- Remy Lacroix - 11605734 - Onlyfans --&gt;</t>
  </si>
  <si>
    <t>https://thumbcdn.com/splash/ywykjnf6v87l6o8c.jpg</t>
  </si>
  <si>
    <t>&lt;!-- Remy Lacroix - 25602670 - Onlyfans --&gt;</t>
  </si>
  <si>
    <t>https://thumbcdn.com/splash/3g6g5ic52aizi9s7.jpg</t>
  </si>
  <si>
    <t>&lt;!-- Remy Lacroix - 30133802 - Onlyfans --&gt;</t>
  </si>
  <si>
    <t>https://thumbcdn.com/splash/3bxvo938072ddv7g.jpg</t>
  </si>
  <si>
    <t>&lt;!-- Remy Lacroix - 35214609 - Onlyfans --&gt;</t>
  </si>
  <si>
    <t>https://thumbcdn.com/splash/f78dzopxyjlhwla2.jpg</t>
  </si>
  <si>
    <t>&lt;!-- Remy Lacroix - 37921435 - Onlyfans --&gt;</t>
  </si>
  <si>
    <t>https://thumbcdn.com/splash/opag4rfj78we3mk7.jpg</t>
  </si>
  <si>
    <t>&lt;!-- Remy Lacroix - 44852556 - Onlyfans --&gt;</t>
  </si>
  <si>
    <t>https://thumbcdn.com/splash/f009dhacy8ruwbww.jpg</t>
  </si>
  <si>
    <t>&lt;!-- Remy Lacroix - 46659805 - Onlyfans --&gt;</t>
  </si>
  <si>
    <t>https://thumbcdn.com/splash/s4nnhrnyq9g3k8ty.jpg</t>
  </si>
  <si>
    <t>&lt;!-- Remy Lacroix - 71611678 - Onlyfans --&gt;</t>
  </si>
  <si>
    <t>https://thumbcdn.com/splash/b7mrs88ngm1ambrr.jpg</t>
  </si>
  <si>
    <t>&lt;!-- Remy Lacroix - 85696956 - Onlyfans --&gt;</t>
  </si>
  <si>
    <t>https://thumbcdn.com/splash/p3s8ugzolyjfohfb.jpg</t>
  </si>
  <si>
    <t>&lt;!-- Remy Lacroix - 96309335 - Onlyfans --&gt;</t>
  </si>
  <si>
    <t>https://thumbcdn.com/splash/o7cjs92wwrgit9pw.jpg</t>
  </si>
  <si>
    <t>&lt;!-- Riley Reid - 12535236 - Onlyfans - Jill Kassidy - Melissa Moore --&gt;</t>
  </si>
  <si>
    <t>https://thumbcdn.com/splash/rshp5zcyfufq5sdt.jpg</t>
  </si>
  <si>
    <t>&lt;!-- Riley Reid - 13377773 - Onlyfans --&gt;</t>
  </si>
  <si>
    <t>https://thumbcdn.com/splash/c61fo2kt9ehsjja6.jpg</t>
  </si>
  <si>
    <t>&lt;!-- Riley Reid - 16167707 - Onlyfans --&gt;</t>
  </si>
  <si>
    <t>https://thumbcdn.com/splash/5oj830bmuhqjngnq.jpg</t>
  </si>
  <si>
    <t>&lt;!-- Riley Reid - 19096283 - Onlyfans - Cheerleader Kait --&gt;</t>
  </si>
  <si>
    <t>https://thumbcdn.com/splash/g0hiqelt8e5ykemu.jpg</t>
  </si>
  <si>
    <t>&lt;!-- Riley Reid - 23234580 - Onlyfans --&gt;</t>
  </si>
  <si>
    <t>https://thumbcdn.com/splash/oifo7d30pd9lfxay.jpg</t>
  </si>
  <si>
    <t>&lt;!-- Riley Reid - 28043180 - Onlyfans --&gt;</t>
  </si>
  <si>
    <t>https://thumbcdn.com/splash/86lzd3cs9ewg8k94.jpg</t>
  </si>
  <si>
    <t>&lt;!-- Riley Reid - 31899025 - Onlyfans --&gt;</t>
  </si>
  <si>
    <t>https://thumbcdn.com/splash/1w8d08kglpqfpyrh.jpg</t>
  </si>
  <si>
    <t>&lt;!-- Riley Reid - 43753980 - Onlyfans --&gt;</t>
  </si>
  <si>
    <t>https://thumbcdn.com/splash/8t2chprzzw8pcfkm.jpg</t>
  </si>
  <si>
    <t>&lt;!-- Riley Reid - 45995335 - Onlyfans --&gt;</t>
  </si>
  <si>
    <t>https://thumbcdn.com/splash/5aacz26yte9jhv5o.jpg</t>
  </si>
  <si>
    <t>&lt;!-- Riley Reid - 56833088 - Onlyfans --&gt;</t>
  </si>
  <si>
    <t>https://thumbcdn.com/splash/qlqeaaylix03i0ww.jpg</t>
  </si>
  <si>
    <t>&lt;!-- Riley Reid - 65655091 - Onlyfans --&gt;</t>
  </si>
  <si>
    <t>https://thumbcdn.com/splash/dww715lr3wi1cbpd.jpg</t>
  </si>
  <si>
    <t>&lt;!-- Riley Reid - 66192061 - Onlyfans --&gt;</t>
  </si>
  <si>
    <t>https://thumbcdn.com/splash/v6lxokjipkrs1ybd.jpg</t>
  </si>
  <si>
    <t>&lt;!-- Riley Reid - 73710661 - Onlyfans --&gt;</t>
  </si>
  <si>
    <t>https://thumbcdn.com/splash/ha17prny65ce7unr.jpg</t>
  </si>
  <si>
    <t>&lt;!-- Riley Reid - 77610777 - Onlyfans --&gt;</t>
  </si>
  <si>
    <t>https://thumbcdn.com/splash/ehcppw649yr8stfx.jpg</t>
  </si>
  <si>
    <t>&lt;!-- Riley Reid - 82966135 - Onlyfans - Stella Barey --&gt;</t>
  </si>
  <si>
    <t>https://thumbcdn.com/splash/3mh3j9hkhzv0yviw.jpg</t>
  </si>
  <si>
    <t>&lt;!-- Riley Reid - 93448192 - Onlyfans - Cheerleader Kait --&gt;</t>
  </si>
  <si>
    <t>https://thumbcdn.com/splash/rx1jc2ptwdhm0b81.jpg</t>
  </si>
  <si>
    <t>&lt;!-- Rosaline Dawn - 89378793 - Onlyfans --&gt;</t>
  </si>
  <si>
    <t>https://thumbcdn.com/splash/q68lsgjeosoe8om2.jpg</t>
  </si>
  <si>
    <t>&lt;!-- Rosaline Dawn - 97771533 - Onlyfans --&gt;</t>
  </si>
  <si>
    <t>https://thumbcdn.com/splash/j6c9n7sxdg5b3ana.jpg</t>
  </si>
  <si>
    <t>&lt;!-- Sage King - 21309506 - BackroomCastingCouch --&gt;</t>
  </si>
  <si>
    <t>https://thumbcdn.com/splash/fzrnbe8hkzw6ehdr.jpg</t>
  </si>
  <si>
    <t>&lt;!-- Sami Hayes - 17599208 - Onlyfans --&gt;</t>
  </si>
  <si>
    <t>https://thumbcdn.com/splash/9o10nc169s16pk0d.jpg</t>
  </si>
  <si>
    <t>&lt;!-- Sami Hayes - 18378655 - Onlyfans --&gt;</t>
  </si>
  <si>
    <t>https://thumbcdn.com/splash/umw59aaq2ouxr1fc.jpg</t>
  </si>
  <si>
    <t>&lt;!-- Sami Hayes - 34614987 - Onlyfans --&gt;</t>
  </si>
  <si>
    <t>https://thumbcdn.com/splash/um91ivuk7ofmw9hb.jpg</t>
  </si>
  <si>
    <t>&lt;!-- Sami Hayes - 37019928 - Onlyfans - Kiki Isobel --&gt;</t>
  </si>
  <si>
    <t>https://thumbcdn.com/splash/1dzxn6i7bn9xhvjz.jpg</t>
  </si>
  <si>
    <t>&lt;!-- Sami Hayes - 52847283 - Onlyfans --&gt;</t>
  </si>
  <si>
    <t>https://thumbcdn.com/splash/b4581hurz6bb1mkz.jpg</t>
  </si>
  <si>
    <t>&lt;!-- Sami Hayes - 58001185 - Onlyfans --&gt;</t>
  </si>
  <si>
    <t>https://thumbcdn.com/splash/wycd9cqlh2ntmjkx.jpg</t>
  </si>
  <si>
    <t>&lt;!-- Sami Hayes - 63650538 - Onlyfans - Ava Amira --&gt;</t>
  </si>
  <si>
    <t>https://thumbcdn.com/splash/vzqc9quey3ex1kfx.jpg</t>
  </si>
  <si>
    <t>&lt;!-- Sami Hayes - 65397396 - MLR --&gt;</t>
  </si>
  <si>
    <t>https://thumbcdn.com/splash/mn9y5ghxugzrzogv.jpg</t>
  </si>
  <si>
    <t>&lt;!-- Sami Hayes - 77902618 - Onlyfans --&gt;</t>
  </si>
  <si>
    <t>https://thumbcdn.com/splash/a3qc18oy447xay8z.jpg</t>
  </si>
  <si>
    <t>&lt;!-- Sami Hayes - 81722742 - Onlyfans --&gt;</t>
  </si>
  <si>
    <t>https://thumbcdn.com/splash/rcnza2xvbh37uayw.jpg</t>
  </si>
  <si>
    <t>&lt;!-- Sami Hayes - 93405290 - Onlyfans --&gt;</t>
  </si>
  <si>
    <t>https://thumbcdn.com/splash/eguytr25lsm3rwtd.jpg</t>
  </si>
  <si>
    <t>&lt;!-- Sasha Grey - 52381181 - EA --&gt;</t>
  </si>
  <si>
    <t>https://thumbcdn.com/splash/c9u328sndvhxdyj9.jpg</t>
  </si>
  <si>
    <t>&lt;!-- Sav Shawz - 94987507 - Onlyfans --&gt;</t>
  </si>
  <si>
    <t>https://thumbcdn.com/splash/d1bujusd0kspfabo.jpg</t>
  </si>
  <si>
    <t>&lt;!-- Savannah Bond - 14619680 - Onlyfans --&gt;</t>
  </si>
  <si>
    <t>https://thumbcdn.com/splash/fm7puqkys4i39six.jpg</t>
  </si>
  <si>
    <t>&lt;!-- Savannah Bond - 16972233 - EvilAngel --&gt;</t>
  </si>
  <si>
    <t>https://thumbcdn.com/splash/20zj07m13v5xiqq5.jpg</t>
  </si>
  <si>
    <t>&lt;!-- Savannah Bond - 31486715 - Onlyfans - Ivy Lebelle --&gt;</t>
  </si>
  <si>
    <t>https://thumbcdn.com/splash/n55hjynzqlmnkai2.jpg</t>
  </si>
  <si>
    <t>&lt;!-- Savannah Bond - 34293046 - Onlyfans --&gt;</t>
  </si>
  <si>
    <t>https://thumbcdn.com/splash/9br6kc9nqy3y8gcz.jpg</t>
  </si>
  <si>
    <t>&lt;!-- Savannah Bond - 36028697 - Onlyfans --&gt;</t>
  </si>
  <si>
    <t>https://thumbcdn.com/splash/xaoiw8sz08h7a6di.jpg</t>
  </si>
  <si>
    <t>&lt;!-- Savannah Bond - 46266365 - Onlyfans --&gt;</t>
  </si>
  <si>
    <t>https://thumbcdn.com/splash/l748hi04kb4w948y.jpg</t>
  </si>
  <si>
    <t>&lt;!-- Savannah Bond - 67876579 - Onlyfans --&gt;</t>
  </si>
  <si>
    <t>https://thumbcdn.com/splash/4jfhzput62znuvzr.jpg</t>
  </si>
  <si>
    <t>&lt;!-- Savannah Bond - 74884313 - EvilAngel --&gt;</t>
  </si>
  <si>
    <t>https://thumbcdn.com/splash/ayziylf7t7fghxyn.jpg</t>
  </si>
  <si>
    <t>&lt;!-- Savannah Bond - 83857792 - Onlyfans - Violet Myers --&gt;</t>
  </si>
  <si>
    <t>https://thumbcdn.com/splash/p5efr78x660plbjy.jpg</t>
  </si>
  <si>
    <t>&lt;!-- Scarlett - 24350717 - BackroomCastingCouch --&gt;</t>
  </si>
  <si>
    <t>https://thumbcdn.com/splash/2mtcljl7iyp1fxgt.jpg</t>
  </si>
  <si>
    <t>&lt;!-- Scarlett Hampton - 02295819 - Chaturbate - JackandJill --&gt;</t>
  </si>
  <si>
    <t>https://thumbcdn.com/splash/cl2tzsd66x4yat8a.jpg</t>
  </si>
  <si>
    <t>&lt;!-- Scarlettkissesxo - 37218340 - Onlyfans --&gt;</t>
  </si>
  <si>
    <t>https://thumbcdn.com/splash/4w5z2qdp95327v9x.jpg</t>
  </si>
  <si>
    <t>&lt;!-- Scarlettkissesxo - 38580972 - Onlyfans --&gt;</t>
  </si>
  <si>
    <t>https://thumbcdn.com/splash/0ecgsoz8erbo6xes.jpg</t>
  </si>
  <si>
    <t>&lt;!-- Scarlettkissesxo - 49030137 - Onlyfans --&gt;</t>
  </si>
  <si>
    <t>https://thumbcdn.com/splash/z5maif3w2emsqdla.jpg</t>
  </si>
  <si>
    <t>&lt;!-- Scarlettkissesxo - 49786567 - Onlyfans --&gt;</t>
  </si>
  <si>
    <t>https://thumbcdn.com/splash/2smsr36td11u2ap8.jpg</t>
  </si>
  <si>
    <t>&lt;!-- Scarlettkissesxo - 77970543 - Onlyfans --&gt;</t>
  </si>
  <si>
    <t>https://thumbcdn.com/splash/ts8vvp37s5z7n1li.jpg</t>
  </si>
  <si>
    <t>&lt;!-- Scarlettkissesxo - 90057118 - Onlyfans --&gt;</t>
  </si>
  <si>
    <t>https://thumbcdn.com/splash/8p3su9vd14eea6ih.jpg</t>
  </si>
  <si>
    <t>&lt;!-- Shrooms Q - 53174250 - Onlyfans --&gt;</t>
  </si>
  <si>
    <t>https://thumbcdn.com/splash/kr79bkhjgtf1idxp.jpg</t>
  </si>
  <si>
    <t>&lt;!-- Shrooms Q - 57278873 - HHH --&gt;</t>
  </si>
  <si>
    <t>https://thumbcdn.com/splash/o9t39glivox6h604.jpg</t>
  </si>
  <si>
    <t>&lt;!-- Shrooms Q - 92378079 - Chaturbate - Katie Cai - JackandJill --&gt;</t>
  </si>
  <si>
    <t>https://thumbcdn.com/splash/1fyevo6xoxi5hyue.jpg</t>
  </si>
  <si>
    <t>&lt;!-- Shyla - 65322400 - PS --&gt;</t>
  </si>
  <si>
    <t>https://thumbcdn.com/splash/akg6p95f09y5g7re.jpg</t>
  </si>
  <si>
    <t>&lt;!-- Sky Bri - 10452774 - XVRED --&gt;</t>
  </si>
  <si>
    <t>https://thumbcdn.com/splash/42ygeh78vtduxeaw.jpg</t>
  </si>
  <si>
    <t>&lt;!-- Sky Bri - 12892926 - Onlyfans --&gt;</t>
  </si>
  <si>
    <t>https://thumbcdn.com/splash/blanfv3xn77f1n5f.jpg</t>
  </si>
  <si>
    <t>&lt;!-- Sky Bri - 13337466 - Onlyfans --&gt;</t>
  </si>
  <si>
    <t>https://thumbcdn.com/splash/xo7jedqbyu30v9qh.jpg</t>
  </si>
  <si>
    <t>&lt;!-- Sky Bri - 22104457 - Onlyfans --&gt;</t>
  </si>
  <si>
    <t>https://thumbcdn.com/splash/wmxs1ih9o95tze3n.jpg</t>
  </si>
  <si>
    <t>&lt;!-- Sky Bri - 30897205 - Onlyfans - Lena the plug --&gt;</t>
  </si>
  <si>
    <t>https://thumbcdn.com/splash/abdq02b8temlz1tm.jpg</t>
  </si>
  <si>
    <t>&lt;!-- Sky Bri - 46781745 - Onlyfans --&gt;</t>
  </si>
  <si>
    <t>https://thumbcdn.com/splash/rmnvrkgeh4vyh0fp.jpg</t>
  </si>
  <si>
    <t>&lt;!-- Sky Bri - 81507660 - Onlyfans --&gt;</t>
  </si>
  <si>
    <t>https://thumbcdn.com/splash/q2e5dxbd4ydekbym.jpg</t>
  </si>
  <si>
    <t>&lt;!-- Sky Bri - 83997240 - Onlyfans --&gt;</t>
  </si>
  <si>
    <t>https://thumbcdn.com/splash/odtnnl483rzn3eyv.jpg</t>
  </si>
  <si>
    <t>&lt;!-- Sky Bri - 91788222 - Onlyfans --&gt;</t>
  </si>
  <si>
    <t>https://thumbcdn.com/splash/utmkunjl6sjvasgs.jpg</t>
  </si>
  <si>
    <t>&lt;!-- Sky Bri - 96295247 - Onlyfans --&gt;</t>
  </si>
  <si>
    <t>https://thumbcdn.com/splash/j9j05o74m2apdg5k.jpg</t>
  </si>
  <si>
    <t>&lt;!-- Skye Blue - 93915326 - Onlyfans --&gt;</t>
  </si>
  <si>
    <t>https://thumbcdn.com/splash/6yhjb521dv0tju4i.jpg</t>
  </si>
  <si>
    <t>&lt;!-- Slimthick Vic - 88680369 - Onlyfans - Kay Lovely --&gt;</t>
  </si>
  <si>
    <t>https://thumbcdn.com/splash/wxadn18msjj51f4p.jpg</t>
  </si>
  <si>
    <t>&lt;!-- Slimthick Vic - 96569222 - Onlyfans - Brandy Renee --&gt;</t>
  </si>
  <si>
    <t>https://thumbcdn.com/splash/ervccfkvdbzlrhd9.jpg</t>
  </si>
  <si>
    <t>&lt;!-- Sophie Reade - 23896378 - Onlyfans --&gt;</t>
  </si>
  <si>
    <t>https://thumbcdn.com/splash/8pwcjiprmkum5rga.jpg</t>
  </si>
  <si>
    <t>&lt;!-- Sophie Reade - 53603393 - Onlyfans --&gt;</t>
  </si>
  <si>
    <t>https://thumbcdn.com/splash/3841mtz31jpuxlyl.jpg</t>
  </si>
  <si>
    <t>&lt;!-- Sophie Reade - 54476943 - Onlyfans --&gt;</t>
  </si>
  <si>
    <t>https://thumbcdn.com/splash/ftxxh36yfa0c5zi8.jpg</t>
  </si>
  <si>
    <t>&lt;!-- Sophie Reade - 84515479 - FTV --&gt;</t>
  </si>
  <si>
    <t>https://thumbcdn.com/splash/476s5qxdburez3me.jpg</t>
  </si>
  <si>
    <t>&lt;!-- Sophie Reade - 96816459 - Onlyfans --&gt;</t>
  </si>
  <si>
    <t>https://thumbcdn.com/splash/z78jgvej4tx0ykc1.jpg</t>
  </si>
  <si>
    <t>&lt;!-- Stella Barey - 42384532 - Onlyfans - Harper Red --&gt;</t>
  </si>
  <si>
    <t>https://thumbcdn.com/splash/3w2sce81vc8xy4dm.jpg</t>
  </si>
  <si>
    <t>&lt;!-- Stella Barey - 64932653 - FamilyTherapy --&gt;</t>
  </si>
  <si>
    <t>https://thumbcdn.com/splash/8omkx4isrt8gqara.jpg</t>
  </si>
  <si>
    <t>&lt;!-- Stella Brooks - 23882974 - Onlyfans --&gt;</t>
  </si>
  <si>
    <t>https://thumbcdn.com/splash/8v0ggfn655p9kr51.jpg</t>
  </si>
  <si>
    <t>&lt;!-- Stella Brooks - 30501504 - XVRED --&gt;</t>
  </si>
  <si>
    <t>https://thumbcdn.com/splash/2sksmr6g3hloug09.jpg</t>
  </si>
  <si>
    <t>&lt;!-- Stella Brooks - 59319855 - Onlyfans - Ivy Lebelle --&gt;</t>
  </si>
  <si>
    <t>https://thumbcdn.com/splash/7wnzs923mznfoi6f.jpg</t>
  </si>
  <si>
    <t>&lt;!-- Stella Brooks - 71192884 - XVRED --&gt;</t>
  </si>
  <si>
    <t>https://thumbcdn.com/splash/med9lwydglx1ylk0.jpg</t>
  </si>
  <si>
    <t>&lt;!-- Stella Brooks - 83024281 - Onlyfans --&gt;</t>
  </si>
  <si>
    <t>https://thumbcdn.com/splash/p1txqrj3188hl8en.jpg</t>
  </si>
  <si>
    <t>&lt;!-- Stella Brooks - 97821752 - Onlyfans --&gt;</t>
  </si>
  <si>
    <t>https://thumbcdn.com/splash/muijz82mhptmytd1.jpg</t>
  </si>
  <si>
    <t>&lt;!-- Stella Luxx - 50248255 - Onlyfans --&gt;</t>
  </si>
  <si>
    <t>https://thumbcdn.com/splash/dz7rm6bgnbmbi2hm.jpg</t>
  </si>
  <si>
    <t>&lt;!-- Stella Luxx - 61119564 - Onlyfans --&gt;</t>
  </si>
  <si>
    <t>https://thumbcdn.com/splash/t7e87o23cfep4ob5.jpg</t>
  </si>
  <si>
    <t>&lt;!-- Stella Luxx - 94714864 - Blacked --&gt;</t>
  </si>
  <si>
    <t>https://thumbcdn.com/splash/yg8p7gthzdef9gtx.jpg</t>
  </si>
  <si>
    <t>&lt;!-- Sweetie Fox - 14534690 - Onlyfans --&gt;</t>
  </si>
  <si>
    <t>https://thumbcdn.com/splash/dssv3oxkajjpzl8v.jpg</t>
  </si>
  <si>
    <t>&lt;!-- Sweetie Fox - 26093245 - Onlyfans --&gt;</t>
  </si>
  <si>
    <t>https://thumbcdn.com/splash/ptrz2lbke5ahp6qn.jpg</t>
  </si>
  <si>
    <t>&lt;!-- Sweetie Fox - 34904991 - Onlyfans - Octokuro --&gt;</t>
  </si>
  <si>
    <t>https://thumbcdn.com/splash/jt9ndzmkxqrx729n.jpg</t>
  </si>
  <si>
    <t>&lt;!-- Sweetie Fox - 39327044 - Onlyfans --&gt;</t>
  </si>
  <si>
    <t>https://thumbcdn.com/splash/j50got99s11pi7bl.jpg</t>
  </si>
  <si>
    <t>&lt;!-- Sweetie Fox - 41562688 - Onlyfans --&gt;</t>
  </si>
  <si>
    <t>https://thumbcdn.com/splash/ujthl8reeds1lqrn.jpg</t>
  </si>
  <si>
    <t>&lt;!-- Sweetie Fox - 49496648 - Onlyfans --&gt;</t>
  </si>
  <si>
    <t>https://thumbcdn.com/splash/3my2900v7ti0kdpx.jpg</t>
  </si>
  <si>
    <t>&lt;!-- Sweetie Fox - 53610530 - Onlyfans --&gt;</t>
  </si>
  <si>
    <t>https://thumbcdn.com/splash/2g2x81uj4vpfkntr.jpg</t>
  </si>
  <si>
    <t>&lt;!-- Sweetie Fox - 59555739 - Onlyfans --&gt;</t>
  </si>
  <si>
    <t>https://thumbcdn.com/splash/eux6uc5pz8da4ura.jpg</t>
  </si>
  <si>
    <t>&lt;!-- Sweetie Fox - 63836083 - Onlyfans --&gt;</t>
  </si>
  <si>
    <t>https://thumbcdn.com/splash/6t2qe0ri79vw6ncq.jpg</t>
  </si>
  <si>
    <t>&lt;!-- Sweetie Fox - 77006221 - Onlyfans --&gt;</t>
  </si>
  <si>
    <t>https://thumbcdn.com/splash/ei0otncxii1jbuiw.jpg</t>
  </si>
  <si>
    <t>&lt;!-- Sweetie Fox - 83234134 - Onlyfans --&gt;</t>
  </si>
  <si>
    <t>https://thumbcdn.com/splash/drskmpnqucg4yios.jpg</t>
  </si>
  <si>
    <t>&lt;!-- Sweetie Fox - 85780578 - Onlyfans --&gt;</t>
  </si>
  <si>
    <t>https://thumbcdn.com/splash/fw0nsu8j2ng0m8qy.jpg</t>
  </si>
  <si>
    <t>&lt;!-- Sweetie Fox - 89708658 - Onlyfans --&gt;</t>
  </si>
  <si>
    <t>https://thumbcdn.com/splash/9tdc5yu0zdk4j49j.jpg</t>
  </si>
  <si>
    <t>&lt;!-- Tessa - 55037351 - BackroomCastingCouch --&gt;</t>
  </si>
  <si>
    <t>https://thumbcdn.com/splash/6mltmt9qg1pxefjh.jpg</t>
  </si>
  <si>
    <t>&lt;!-- TheDanDangler - 12824636 - Onlyfans - Angela White --&gt;</t>
  </si>
  <si>
    <t>https://thumbcdn.com/splash/fo6uqz2a0jknc2nf.jpg</t>
  </si>
  <si>
    <t>&lt;!-- TheDanDangler - 17642971 - Onlyfans - Kayla Lea --&gt;</t>
  </si>
  <si>
    <t>https://thumbcdn.com/splash/hqjw7tmdaesr03ld.jpg</t>
  </si>
  <si>
    <t>&lt;!-- TheDanDangler - 22869286 - Onlyfans --&gt;</t>
  </si>
  <si>
    <t>https://thumbcdn.com/splash/fusfy3c3uhme382o.jpg</t>
  </si>
  <si>
    <t>&lt;!-- TheDanDangler - 41207150 - Onlyfans --&gt;</t>
  </si>
  <si>
    <t>https://thumbcdn.com/splash/ac9e94312tzwgyxy.jpg</t>
  </si>
  <si>
    <t>&lt;!-- TheDanDangler - 55519215 - Onlyfans --&gt;</t>
  </si>
  <si>
    <t>https://thumbcdn.com/splash/2a5f4xd7dc316bnz.jpg</t>
  </si>
  <si>
    <t>&lt;!-- TheDanDangler - 62022952 - Onlyfans --&gt;</t>
  </si>
  <si>
    <t>https://thumbcdn.com/splash/45hk7ver9k27s5r7.jpg</t>
  </si>
  <si>
    <t>&lt;!-- TheDanDangler - 63370343 - Onlyfans - Lena the plug --&gt;</t>
  </si>
  <si>
    <t>https://thumbcdn.com/splash/yanouo9jl2fak5xp.jpg</t>
  </si>
  <si>
    <t>&lt;!-- TheDanDangler - 69507662 - Onlyfans - Violet Myers --&gt;</t>
  </si>
  <si>
    <t>https://thumbcdn.com/splash/pqvvfsfwfxbyhfpu.jpg</t>
  </si>
  <si>
    <t>&lt;!-- TheDanDangler - 75016114 - Onlyfans --&gt;</t>
  </si>
  <si>
    <t>https://thumbcdn.com/splash/wa3v0k9m7jpuee9h.jpg</t>
  </si>
  <si>
    <t>&lt;!-- TheDanDangler - 75377053 - Onlyfans --&gt;</t>
  </si>
  <si>
    <t>https://thumbcdn.com/splash/knenqr50mwd6ixia.jpg</t>
  </si>
  <si>
    <t>&lt;!-- TheDanDangler - 80371557 - Onlyfans - Violet Myers - Roxie Sinner - Connie Perignon - Lena the plug --&gt;</t>
  </si>
  <si>
    <t>https://thumbcdn.com/splash/18d5dmspvwr9eyoc.jpg</t>
  </si>
  <si>
    <t>&lt;!-- TheDanDangler - 82758099 - Chaturbate - JackandJill --&gt;</t>
  </si>
  <si>
    <t>https://thumbcdn.com/splash/bx2l8w3sxl3vu3qb.jpg</t>
  </si>
  <si>
    <t>&lt;!-- TheDanDangler - 99244604 - Onlyfans --&gt;</t>
  </si>
  <si>
    <t>https://thumbcdn.com/splash/4rk87it7din0ofn5.jpg</t>
  </si>
  <si>
    <t>&lt;!-- Theodora - 61002102 - BackroomCastingCouch --&gt;</t>
  </si>
  <si>
    <t>https://thumbcdn.com/splash/p9r9ha5yffe7cgl6.jpg</t>
  </si>
  <si>
    <t>&lt;!-- Tru Kait - 13048826 - Onlyfans --&gt;</t>
  </si>
  <si>
    <t>https://thumbcdn.com/splash/ka4f5hvw8o10wnmj.jpg</t>
  </si>
  <si>
    <t>&lt;!-- Tru Kait - 60340999 - Onlyfans - Elle Brooke --&gt;</t>
  </si>
  <si>
    <t>https://thumbcdn.com/splash/20zshgia87s3e9mk.jpg</t>
  </si>
  <si>
    <t>&lt;!-- Tru Kait - 64359273 - Onlyfans --&gt;</t>
  </si>
  <si>
    <t>https://thumbcdn.com/splash/osl0xqpaahwxn2ch.jpg</t>
  </si>
  <si>
    <t>&lt;!-- Tru Kait - 69147960 - Onlyfans --&gt;</t>
  </si>
  <si>
    <t>https://thumbcdn.com/splash/vjagopnaktg8o82m.jpg</t>
  </si>
  <si>
    <t>&lt;!-- Tru Kait - 96724229 - Onlyfans - Hayley Davies --&gt;</t>
  </si>
  <si>
    <t>https://thumbcdn.com/splash/5afw0eq5kt49mlsk.jpg</t>
  </si>
  <si>
    <t>&lt;!-- Valentina Nappi - 11582220 - Onlyfans --&gt;</t>
  </si>
  <si>
    <t>https://thumbcdn.com/splash/8i5v4yrzt0ddgvuy.jpg</t>
  </si>
  <si>
    <t>&lt;!-- Valentina Nappi - 18075203 - Onlyfans - Violet Starr --&gt;</t>
  </si>
  <si>
    <t>https://thumbcdn.com/splash/5vo5icxj6p87r9ae.jpg</t>
  </si>
  <si>
    <t>&lt;!-- Valentina Nappi - 22365103 - Onlyfans --&gt;</t>
  </si>
  <si>
    <t>https://thumbcdn.com/splash/rtx23i5aj6ezx0hi.jpg</t>
  </si>
  <si>
    <t>&lt;!-- Valentina Nappi - 30306316 - Onlyfans --&gt;</t>
  </si>
  <si>
    <t>https://thumbcdn.com/splash/xsf3opf9xxd3m6r9.jpg</t>
  </si>
  <si>
    <t>&lt;!-- Valentina Nappi - 31083478 - Deeper - Gal Ritchie - Chanel Camryn --&gt;</t>
  </si>
  <si>
    <t>https://thumbcdn.com/splash/vyvjuyogwonzhgvp.jpg</t>
  </si>
  <si>
    <t>&lt;!-- Valentina Nappi - 32729334 - Onlyfans --&gt;</t>
  </si>
  <si>
    <t>https://thumbcdn.com/splash/gkwdtkzeuxq3ivvm.jpg</t>
  </si>
  <si>
    <t>&lt;!-- Valentina Nappi - 35990230 - Tushy --&gt;</t>
  </si>
  <si>
    <t>https://thumbcdn.com/splash/bf1xgilu6iqfwbut.jpg</t>
  </si>
  <si>
    <t>&lt;!-- Valentina Nappi - 41448076 - Onlyfans --&gt;</t>
  </si>
  <si>
    <t>https://thumbcdn.com/splash/f7oiv195yxqbzbnj.jpg</t>
  </si>
  <si>
    <t>&lt;!-- Valentina Nappi - 56651761 - Onlyfans - Violet Myers --&gt;</t>
  </si>
  <si>
    <t>https://thumbcdn.com/splash/fjvvntw2c06vzom7.jpg</t>
  </si>
  <si>
    <t>&lt;!-- Valentina Nappi - 58549865 - Onlyfans --&gt;</t>
  </si>
  <si>
    <t>https://thumbcdn.com/splash/bsive4ddj8ftei41.jpg</t>
  </si>
  <si>
    <t>&lt;!-- Valentina Nappi - 62527848 - Onlyfans --&gt;</t>
  </si>
  <si>
    <t>https://thumbcdn.com/splash/9bnxv5qps3ft2c6k.jpg</t>
  </si>
  <si>
    <t>&lt;!-- Valentina Nappi - 62934399 - Onlyfans --&gt;</t>
  </si>
  <si>
    <t>https://thumbcdn.com/splash/ao9ww0m46fbqj8zi.jpg</t>
  </si>
  <si>
    <t>&lt;!-- Valentina Nappi - 64759953 - EvilAngel --&gt;</t>
  </si>
  <si>
    <t>https://thumbcdn.com/splash/qv4pwcwzhm41mj3m.jpg</t>
  </si>
  <si>
    <t>&lt;!-- Valentina Nappi - 71950480 - JSTV --&gt;</t>
  </si>
  <si>
    <t>https://thumbcdn.com/splash/e74ck54qydy0iims.jpg</t>
  </si>
  <si>
    <t>&lt;!-- Valentina Nappi - 78831902 - PB - Cherie Deville - Kayley Gunner - Yasmina Khan - Luna Star - Sara Retali --&gt;</t>
  </si>
  <si>
    <t>https://thumbcdn.com/splash/uypcrow1mo1yz7sf.jpg</t>
  </si>
  <si>
    <t>&lt;!-- Valentina Nappi - 84238758 - MP --&gt;</t>
  </si>
  <si>
    <t>https://thumbcdn.com/splash/njg0hcsg65mila2x.jpg</t>
  </si>
  <si>
    <t>&lt;!-- Valentina Nappi - 90064549 - PornWorld --&gt;</t>
  </si>
  <si>
    <t>https://thumbcdn.com/splash/ct18we6wa9k9dbm6.jpg</t>
  </si>
  <si>
    <t>&lt;!-- Valentina Nappi - 98211643 - JSTV - Agatha Vega --&gt;</t>
  </si>
  <si>
    <t>https://thumbcdn.com/splash/nhqnov7n82joj541.jpg</t>
  </si>
  <si>
    <t>&lt;!-- Valentina Nappi - 98931095 - Onlyfans --&gt;</t>
  </si>
  <si>
    <t>https://thumbcdn.com/splash/lsxvn3uq85bek2ls.jpg</t>
  </si>
  <si>
    <t>&lt;!-- Valentine Vixen - 80195094 - Onlyfans --&gt;</t>
  </si>
  <si>
    <t>https://thumbcdn.com/splash/5cw43sbpocmhcm72.jpg</t>
  </si>
  <si>
    <t>&lt;!-- Valerica Steele - 17080532 - Onlyfans --&gt;</t>
  </si>
  <si>
    <t>https://thumbcdn.com/splash/vox3khkhbr82lqpg.jpg</t>
  </si>
  <si>
    <t>&lt;!-- Valerica Steele - 21782896 - Onlyfans --&gt;</t>
  </si>
  <si>
    <t>https://thumbcdn.com/splash/xrvdu22efltkbo9g.jpg</t>
  </si>
  <si>
    <t>&lt;!-- Valerica Steele - 33990394 - PB --&gt;</t>
  </si>
  <si>
    <t>https://thumbcdn.com/splash/gciv94tk2hkscsxu.jpg</t>
  </si>
  <si>
    <t>&lt;!-- Valerica Steele - 35896064 - Onlyfans --&gt;</t>
  </si>
  <si>
    <t>https://thumbcdn.com/splash/tu50x3bdtodwgpxw.jpg</t>
  </si>
  <si>
    <t>&lt;!-- Valerica Steele - 40347610 - Onlyfans --&gt;</t>
  </si>
  <si>
    <t>https://thumbcdn.com/splash/uju3yg600h1dgevu.jpg</t>
  </si>
  <si>
    <t>&lt;!-- Valerica Steele - 46899517 - Onlyfans --&gt;</t>
  </si>
  <si>
    <t>https://thumbcdn.com/splash/po6h7r2o3wb7uep2.jpg</t>
  </si>
  <si>
    <t>&lt;!-- Valerica Steele - 63981478 - Onlyfans --&gt;</t>
  </si>
  <si>
    <t>https://thumbcdn.com/splash/mxfdb2qrnysc1n1c.jpg</t>
  </si>
  <si>
    <t>&lt;!-- Valerica Steele - 64528221 - Deeper - Asteria Jade --&gt;</t>
  </si>
  <si>
    <t>https://thumbcdn.com/splash/0p864f4fkkv1h33g.jpg</t>
  </si>
  <si>
    <t>&lt;!-- Valerica Steele - 69304102 - Onlyfans --&gt;</t>
  </si>
  <si>
    <t>https://thumbcdn.com/splash/sds3wtl0weojpfop.jpg</t>
  </si>
  <si>
    <t>&lt;!-- Valerica Steele - 75492502 - Onlyfans --&gt;</t>
  </si>
  <si>
    <t>https://thumbcdn.com/splash/p0q925fro0vkpyka.jpg</t>
  </si>
  <si>
    <t>&lt;!-- Valerica Steele - 88056051 - XVRED --&gt;</t>
  </si>
  <si>
    <t>https://thumbcdn.com/splash/iw1coteqzbfj8chq.jpg</t>
  </si>
  <si>
    <t>&lt;!-- Valerica Steele - 88316277 - PB --&gt;</t>
  </si>
  <si>
    <t>https://thumbcdn.com/splash/c8vskzx9ps698af2.jpg</t>
  </si>
  <si>
    <t>&lt;!-- Valerica Steele - 93431306 - Onlyfans --&gt;</t>
  </si>
  <si>
    <t>https://thumbcdn.com/splash/emd9kc32tmryincb.jpg</t>
  </si>
  <si>
    <t>&lt;!-- Valerica Steele - 94903486 - Onlyfans --&gt;</t>
  </si>
  <si>
    <t>https://thumbcdn.com/splash/v3du4yex7onkfpp6.jpg</t>
  </si>
  <si>
    <t>&lt;!-- Valerica Steele - 96288677 - SS --&gt;</t>
  </si>
  <si>
    <t>https://thumbcdn.com/splash/mvhosheu00u8o2w9.jpg</t>
  </si>
  <si>
    <t>&lt;!-- Valerica Steele - 96346788 - Bang --&gt;</t>
  </si>
  <si>
    <t>https://thumbcdn.com/splash/gpxsr9xv79ao7vz3.jpg</t>
  </si>
  <si>
    <t>&lt;!-- Valerica Steele - 97879386 - Onlyfans --&gt;</t>
  </si>
  <si>
    <t>https://thumbcdn.com/splash/0ubg0maxcjjqh0b7.jpg</t>
  </si>
  <si>
    <t>&lt;!-- Vanda Angel - 23666695 - Inflagranti --&gt;</t>
  </si>
  <si>
    <t>https://thumbcdn.com/splash/sw0risa5w4pk4tar.jpg</t>
  </si>
  <si>
    <t>&lt;!-- Vanda Angel - 65423416 - Inflagranti --&gt;</t>
  </si>
  <si>
    <t>https://thumbcdn.com/splash/4fplhpz4xkh2a309.jpg</t>
  </si>
  <si>
    <t>&lt;!-- Vanessa Sky - 15447404 - GD --&gt;</t>
  </si>
  <si>
    <t>https://thumbcdn.com/splash/htvg831epaqgsysw.jpg</t>
  </si>
  <si>
    <t>&lt;!-- Violet Myers - 10931012 - Onlyfans --&gt;</t>
  </si>
  <si>
    <t>https://thumbcdn.com/splash/faoe8tx4xezvk0am.jpg</t>
  </si>
  <si>
    <t>&lt;!-- Violet Myers - 10931617 - Onlyfans --&gt;</t>
  </si>
  <si>
    <t>https://thumbcdn.com/splash/rca2jtd39l4f5j0x.jpg</t>
  </si>
  <si>
    <t>&lt;!-- Violet Myers - 12378786 - Onlyfans --&gt;</t>
  </si>
  <si>
    <t>https://thumbcdn.com/splash/hyak0jd89a234w0o.jpg</t>
  </si>
  <si>
    <t>&lt;!-- Violet Myers - 15445770 - Onlyfans - Raissa Bellini --&gt;</t>
  </si>
  <si>
    <t>https://thumbcdn.com/splash/s7etip2tjldzj7w0.jpg</t>
  </si>
  <si>
    <t>&lt;!-- Violet Myers - 17285742 - Onlyfans --&gt;</t>
  </si>
  <si>
    <t>https://thumbcdn.com/splash/i8mkubb7nulydcii.jpg</t>
  </si>
  <si>
    <t>&lt;!-- Violet Myers - 17383595 - Onlyfans - Emma Magnolia --&gt;</t>
  </si>
  <si>
    <t>https://thumbcdn.com/splash/qgaiqpt9gx057o5u.jpg</t>
  </si>
  <si>
    <t>&lt;!-- Violet Myers - 19734092 - Onlyfans --&gt;</t>
  </si>
  <si>
    <t>https://thumbcdn.com/splash/b1nwguzdrodgztry.jpg</t>
  </si>
  <si>
    <t>&lt;!-- Violet Myers - 21770202 - Bellesa --&gt;</t>
  </si>
  <si>
    <t>https://thumbcdn.com/splash/pto0ml9mfzubbqoj.jpg</t>
  </si>
  <si>
    <t>&lt;!-- Violet Myers - 22947103 - Blacked --&gt;</t>
  </si>
  <si>
    <t>https://thumbcdn.com/splash/9eusu3gbs4sl4mbp.jpg</t>
  </si>
  <si>
    <t>&lt;!-- Violet Myers - 24446612 - Onlyfans --&gt;</t>
  </si>
  <si>
    <t>https://thumbcdn.com/splash/ihmcb37c67chi2d0.jpg</t>
  </si>
  <si>
    <t>&lt;!-- Violet Myers - 25360649 - Onlyfans - Hailey Rose - Jaaden Kyrelle --&gt;</t>
  </si>
  <si>
    <t>https://thumbcdn.com/splash/u8lyhh11448yfcom.jpg</t>
  </si>
  <si>
    <t>&lt;!-- Violet Myers - 25687268 - MLR --&gt;</t>
  </si>
  <si>
    <t>https://thumbcdn.com/splash/024y7juh5o5tue1h.jpg</t>
  </si>
  <si>
    <t>&lt;!-- Violet Myers - 33024590 - Onlyfans - Kianna Dior --&gt;</t>
  </si>
  <si>
    <t>https://thumbcdn.com/splash/2tbjr6xp98a3epm0.jpg</t>
  </si>
  <si>
    <t>&lt;!-- Violet Myers - 34531153 - Onlyfans --&gt;</t>
  </si>
  <si>
    <t>https://thumbcdn.com/splash/88b1s2s1bqdcmh6y.jpg</t>
  </si>
  <si>
    <t>&lt;!-- Violet Myers - 36670339 - Onlyfans --&gt;</t>
  </si>
  <si>
    <t>https://thumbcdn.com/splash/ffepxzuw1oe0irgl.jpg</t>
  </si>
  <si>
    <t>&lt;!-- Violet Myers - 37239826 - Onlyfans - Angel Youngs --&gt;</t>
  </si>
  <si>
    <t>https://thumbcdn.com/splash/72xj8o0943w3r2r6.jpg</t>
  </si>
  <si>
    <t>&lt;!-- Violet Myers - 38601761 - Onlyfans --&gt;</t>
  </si>
  <si>
    <t>https://thumbcdn.com/splash/zgfy5xmhgp0h07em.jpg</t>
  </si>
  <si>
    <t>&lt;!-- Violet Myers - 39780174 - Onlyfans --&gt;</t>
  </si>
  <si>
    <t>https://thumbcdn.com/splash/sv2buu5d2nusjoou.jpg</t>
  </si>
  <si>
    <t>&lt;!-- Violet Myers - 41586485 - Tushy --&gt;</t>
  </si>
  <si>
    <t>https://thumbcdn.com/splash/j60poub18bqv6w76.jpg</t>
  </si>
  <si>
    <t>&lt;!-- Violet Myers - 42955362 - Onlyfans --&gt;</t>
  </si>
  <si>
    <t>https://thumbcdn.com/splash/iv5kts0r91bvxi7j.jpg</t>
  </si>
  <si>
    <t>&lt;!-- Violet Myers - 43312973 - MLR --&gt;</t>
  </si>
  <si>
    <t>https://thumbcdn.com/splash/k10azktmwf0irewg.jpg</t>
  </si>
  <si>
    <t>&lt;!-- Violet Myers - 44431372 - Onlyfans --&gt;</t>
  </si>
  <si>
    <t>https://thumbcdn.com/splash/emnpld47ewm90w8b.jpg</t>
  </si>
  <si>
    <t>&lt;!-- Violet Myers - 48173020 - Onlyfans --&gt;</t>
  </si>
  <si>
    <t>https://thumbcdn.com/splash/5nrtll6scvtby4xo.jpg</t>
  </si>
  <si>
    <t>&lt;!-- Violet Myers - 48491010 - Onlyfans --&gt;</t>
  </si>
  <si>
    <t>https://thumbcdn.com/splash/uk8nkrn8qu7ul5yq.jpg</t>
  </si>
  <si>
    <t>&lt;!-- Violet Myers - 49168775 - Onlyfans - Elly Clutch --&gt;</t>
  </si>
  <si>
    <t>https://thumbcdn.com/splash/5eamuq4uwf7lbark.jpg</t>
  </si>
  <si>
    <t>&lt;!-- Violet Myers - 49779351 - Onlyfans --&gt;</t>
  </si>
  <si>
    <t>https://thumbcdn.com/splash/ceh6zgoavwi7moh5.jpg</t>
  </si>
  <si>
    <t>&lt;!-- Violet Myers - 51020078 - Onlyfans --&gt;</t>
  </si>
  <si>
    <t>https://thumbcdn.com/splash/bbqel3qlcipbgtyi.jpg</t>
  </si>
  <si>
    <t>&lt;!-- Violet Myers - 51617269 - Onlyfans - Angela White --&gt;</t>
  </si>
  <si>
    <t>https://thumbcdn.com/splash/avvzh582jpuawosn.jpg</t>
  </si>
  <si>
    <t>&lt;!-- Violet Myers - 52285724 - Onlyfans --&gt;</t>
  </si>
  <si>
    <t>https://thumbcdn.com/splash/b03s9jyiyf6v6kml.jpg</t>
  </si>
  <si>
    <t>&lt;!-- Violet Myers - 52594792 - Onlyfans --&gt;</t>
  </si>
  <si>
    <t>https://thumbcdn.com/splash/drxepnpru24kh2x5.jpg</t>
  </si>
  <si>
    <t>&lt;!-- Violet Myers - 54315108 -  Onlyfans --&gt;</t>
  </si>
  <si>
    <t>https://thumbcdn.com/splash/l94ke6npczfmr8oj.jpg</t>
  </si>
  <si>
    <t>&lt;!-- Violet Myers - 56549820 - Onlyfans --&gt;</t>
  </si>
  <si>
    <t>https://thumbcdn.com/splash/grl4g2l8ac99l15s.jpg</t>
  </si>
  <si>
    <t>&lt;!-- Violet Myers - 57616791 - Camsoda --&gt;</t>
  </si>
  <si>
    <t>https://thumbcdn.com/splash/5v0cvc8uzuhr5c4f.jpg</t>
  </si>
  <si>
    <t>&lt;!-- Violet Myers - 58334536 - Onlyfans - Angela White --&gt;</t>
  </si>
  <si>
    <t>https://thumbcdn.com/splash/o58xl88ykfiobwv0.jpg</t>
  </si>
  <si>
    <t>&lt;!-- Violet Myers - 59964539 - Tushy --&gt;</t>
  </si>
  <si>
    <t>https://thumbcdn.com/splash/kkkbcrmlaxsvbxtu.jpg</t>
  </si>
  <si>
    <t>&lt;!-- Violet Myers - 62469806 - Onlyfans --&gt;</t>
  </si>
  <si>
    <t>https://thumbcdn.com/splash/icx4zmvv2iyq46sk.jpg</t>
  </si>
  <si>
    <t>&lt;!-- Violet Myers - 62986674 - Onlyfans --&gt;</t>
  </si>
  <si>
    <t>https://thumbcdn.com/splash/wozj1n06l2yy2mv5.jpg</t>
  </si>
  <si>
    <t>&lt;!-- Violet Myers - 64925967 - Onlyfans --&gt;</t>
  </si>
  <si>
    <t>https://thumbcdn.com/splash/csnuqgb70zz489iv.jpg</t>
  </si>
  <si>
    <t>&lt;!-- Violet Myers - 65437027 - Camsoda --&gt;</t>
  </si>
  <si>
    <t>https://thumbcdn.com/splash/tsnqov63t50jcdnf.jpg</t>
  </si>
  <si>
    <t>&lt;!-- Violet Myers - 68380227 - Onlyfans --&gt;</t>
  </si>
  <si>
    <t>https://thumbcdn.com/splash/t5qlf04kh9mup0gw.jpg</t>
  </si>
  <si>
    <t>&lt;!-- Violet Myers - 69941077 - XVRED - Lexi Lore - Bec The Barbie - Linda Lan --&gt;</t>
  </si>
  <si>
    <t>https://thumbcdn.com/splash/1o0azmclssebmnp9.jpg</t>
  </si>
  <si>
    <t>&lt;!-- Violet Myers - 71852868 - PC --&gt;</t>
  </si>
  <si>
    <t>https://thumbcdn.com/splash/804ifn0ggr20ah6a.jpg</t>
  </si>
  <si>
    <t>&lt;!-- Violet Myers - 72100664 - XVRED --&gt;</t>
  </si>
  <si>
    <t>https://thumbcdn.com/splash/tcaz0u6gf9lnbugq.jpg</t>
  </si>
  <si>
    <t>&lt;!-- Violet Myers - 73689223 - XVRED --&gt;</t>
  </si>
  <si>
    <t>https://thumbcdn.com/splash/dtyjcnctgltsxjyk.jpg</t>
  </si>
  <si>
    <t>&lt;!-- Violet Myers - 74529932 - CamSoda --&gt;</t>
  </si>
  <si>
    <t>https://thumbcdn.com/splash/pve6hbs0ms7kvpqi.jpg</t>
  </si>
  <si>
    <t>&lt;!-- Violet Myers - 74865421 - XVRED --&gt;</t>
  </si>
  <si>
    <t>https://thumbcdn.com/splash/0w0wui41zxj7lsvv.jpg</t>
  </si>
  <si>
    <t>&lt;!-- Violet Myers - 75494414 - XVRED --&gt;</t>
  </si>
  <si>
    <t>https://thumbcdn.com/splash/iyivkzaeh0pg31g9.jpg</t>
  </si>
  <si>
    <t>&lt;!-- Violet Myers - 76155839 - Onlyfans - Alina Lopez --&gt;</t>
  </si>
  <si>
    <t>https://thumbcdn.com/splash/8j5bq2w32sy8f1jp.jpg</t>
  </si>
  <si>
    <t>&lt;!-- Violet Myers - 76308967 - Onlyfans --&gt;</t>
  </si>
  <si>
    <t>https://thumbcdn.com/splash/ibvlbfvr6iwdxvwd.jpg</t>
  </si>
  <si>
    <t>&lt;!-- Violet Myers - 81824789 - Onlyfans --&gt;</t>
  </si>
  <si>
    <t>https://thumbcdn.com/splash/mxmrzxefpndmo7uf.jpg</t>
  </si>
  <si>
    <t>&lt;!-- Violet Myers - 82928322 - Onlyfans --&gt;</t>
  </si>
  <si>
    <t>https://thumbcdn.com/splash/sdiyrkz6cfjaurel.jpg</t>
  </si>
  <si>
    <t>&lt;!-- Violet Myers - 85075742 - Onlyfans --&gt;</t>
  </si>
  <si>
    <t>https://thumbcdn.com/splash/8y64adf7w5zxbscu.jpg</t>
  </si>
  <si>
    <t>&lt;!-- Violet Myers - 87190925 - Onlyfans --&gt;</t>
  </si>
  <si>
    <t>https://thumbcdn.com/splash/g2rcd36k692l49om.jpg</t>
  </si>
  <si>
    <t>&lt;!-- Violet Myers - 87442420 - Onlyfans --&gt;</t>
  </si>
  <si>
    <t>https://thumbcdn.com/splash/jmbq6ogq1ki20vj4.jpg</t>
  </si>
  <si>
    <t>&lt;!-- Violet Myers - 90005104 - Onlyfans --&gt;</t>
  </si>
  <si>
    <t>https://thumbcdn.com/splash/go1eywmddq9tm4vz.jpg</t>
  </si>
  <si>
    <t>&lt;!-- Violet Myers - 92812758 - Onlyfans --&gt;</t>
  </si>
  <si>
    <t>https://thumbcdn.com/splash/b1l98o1tpsudb8g6.jpg</t>
  </si>
  <si>
    <t>&lt;!-- Violet Myers - 96688536 - Onlyfans --&gt;</t>
  </si>
  <si>
    <t>https://thumbcdn.com/splash/lyi7aciyv03ru733.jpg</t>
  </si>
  <si>
    <t>&lt;!-- Violet Myers - 99229329 - Onlyfans - Lena the plug --&gt;</t>
  </si>
  <si>
    <t>https://thumbcdn.com/splash/nede3ob7fkqzcowe.jpg</t>
  </si>
  <si>
    <t>&lt;!-- Violet Ray - 56804782 - ExploitedCollegeGirls --&gt;</t>
  </si>
  <si>
    <t>https://thumbcdn.com/splash/wn8w3lnm6naag7vz.jpg</t>
  </si>
  <si>
    <t>&lt;!-- Vivian Taylor - 21079570 - BR --&gt;</t>
  </si>
  <si>
    <t>https://thumbcdn.com/splash/byycq32k4n9n7vl6.jpg</t>
  </si>
  <si>
    <t>&lt;!-- Vivian Taylor - 22537547 - Onlyfans --&gt;</t>
  </si>
  <si>
    <t>https://thumbcdn.com/splash/jpjylyklofbi8efk.jpg</t>
  </si>
  <si>
    <t>&lt;!-- Vivian Taylor - 23340937 - Onlyfans --&gt;</t>
  </si>
  <si>
    <t>https://thumbcdn.com/splash/65hfq4yzuneuxo7z.jpg</t>
  </si>
  <si>
    <t>&lt;!-- Vivian Taylor - 23782061 - MPF --&gt;</t>
  </si>
  <si>
    <t>https://thumbcdn.com/splash/pkzuxrn8svwnt9or.jpg</t>
  </si>
  <si>
    <t>&lt;!-- Vivian Taylor - 30693922 - Onlyfans --&gt;</t>
  </si>
  <si>
    <t>https://thumbcdn.com/splash/tcxl1kfuxx9qo440.jpg</t>
  </si>
  <si>
    <t>&lt;!-- Vivian Taylor - 34896965 - Onlyfans --&gt;</t>
  </si>
  <si>
    <t>https://thumbcdn.com/splash/1cztm70f1jw9weau.jpg</t>
  </si>
  <si>
    <t>&lt;!-- Vivian Taylor - 42892117 - Onlyfans --&gt;</t>
  </si>
  <si>
    <t>https://thumbcdn.com/splash/3yudjjyh0fq5x25r.jpg</t>
  </si>
  <si>
    <t>&lt;!-- Vivian Taylor - 53117148 - Onlyfans --&gt;</t>
  </si>
  <si>
    <t>https://thumbcdn.com/splash/cj5tdau6x95qjpsp.jpg</t>
  </si>
  <si>
    <t>&lt;!-- Vivian Taylor - 61592313 - Onlyfans --&gt;</t>
  </si>
  <si>
    <t>https://thumbcdn.com/splash/rc8wsef7mtb4g4l9.jpg</t>
  </si>
  <si>
    <t>&lt;!-- Vivian Taylor - 67870189 - Onlyfans --&gt;</t>
  </si>
  <si>
    <t>https://thumbcdn.com/splash/xtyl3sqbsv2vdqvk.jpg</t>
  </si>
  <si>
    <t>&lt;!-- Vivian Taylor - 74834685 - TMW --&gt;</t>
  </si>
  <si>
    <t>https://thumbcdn.com/splash/hw3jrd1lfs2sgp6e.jpg</t>
  </si>
  <si>
    <t>&lt;!-- Vivian Taylor - 76201123 - Bang --&gt;</t>
  </si>
  <si>
    <t>https://thumbcdn.com/splash/xlfcnrpge0470ouw.jpg</t>
  </si>
  <si>
    <t>&lt;!-- Vivian Taylor - 83159571 - Onlyfans - Lena the plug --&gt;</t>
  </si>
  <si>
    <t>https://thumbcdn.com/splash/xfb08roas1l9b37n.jpg</t>
  </si>
  <si>
    <t>&lt;!-- Wild Halli - 81526399 - Onlyfans --&gt;</t>
  </si>
  <si>
    <t>https://thumbcdn.com/splash/b9ssyadbw1zc7fbw.jpg</t>
  </si>
  <si>
    <t>&lt;!-- Yuiwoo - 35203460 - Onlyfans --&gt;</t>
  </si>
  <si>
    <t>https://thumbcdn.com/splash/lv0ph6vdcoz2pi18.jpg</t>
  </si>
  <si>
    <t>&lt;!-- Yuiwoo - 38709626 - Onlyfans --&gt;</t>
  </si>
  <si>
    <t>https://thumbcdn.com/splash/6snff75e7g8384v5.jpg</t>
  </si>
  <si>
    <t>&lt;!-- ZiaFox - 37596286 - Onlyfans --&gt;</t>
  </si>
  <si>
    <t>https://thumbcdn.com/splash/gdfgcsg9aa3014ue.jpg</t>
  </si>
  <si>
    <t>https://motionmuse.ai/r/hk8cwj2</t>
  </si>
  <si>
    <t>https://unlucid.ai/r/bcdj8n1l</t>
  </si>
  <si>
    <t>https://pornmaker.ai/?ref=50oE0m5g</t>
  </si>
  <si>
    <t>https://dpnode.top/r/1eca0bf270f4</t>
  </si>
  <si>
    <t>https://grok.com/imagine</t>
  </si>
  <si>
    <t>https://www.playbox.com/?ref=EOQEOQEOQ</t>
  </si>
  <si>
    <t>https://unlucid.ai/r/xqqwzrs2</t>
  </si>
  <si>
    <t>https://motionmuse.ai/r/nq0ktt1q</t>
  </si>
  <si>
    <t>https://opengoon.com/?invite=cljxvucq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</si>
</sst>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b/>
      <sz val="14"/>
      <color rgb="FFFFFFFF"/>
      <name val="Roboto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b/>
      <i/>
      <sz val="10"/>
      <color rgb="FFFFFFFF"/>
      <name val="System-ui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EC4899"/>
      <name val="System-ui"/>
    </font>
    <font>
      <b/>
      <sz val="10"/>
      <color rgb="FF94A3B8"/>
      <name val="System-ui"/>
    </font>
    <font>
      <b/>
      <sz val="10"/>
      <color rgb="FFFFFFFF"/>
      <name val="System-ui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0" fontId="4" fillId="3" borderId="0" xfId="0" applyFont="1" applyFill="1"/>
    <xf numFmtId="0" fontId="2" fillId="0" borderId="0" xfId="0" applyFont="1"/>
    <xf numFmtId="49" fontId="4" fillId="3" borderId="0" xfId="0" applyNumberFormat="1" applyFont="1" applyFill="1"/>
    <xf numFmtId="0" fontId="4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2" fillId="3" borderId="0" xfId="0" applyFont="1" applyFill="1"/>
    <xf numFmtId="49" fontId="9" fillId="3" borderId="0" xfId="0" applyNumberFormat="1" applyFont="1" applyFill="1"/>
    <xf numFmtId="49" fontId="10" fillId="3" borderId="0" xfId="0" applyNumberFormat="1" applyFont="1" applyFill="1"/>
    <xf numFmtId="49" fontId="11" fillId="3" borderId="0" xfId="0" applyNumberFormat="1" applyFont="1" applyFill="1"/>
    <xf numFmtId="0" fontId="2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49" fontId="9" fillId="0" borderId="0" xfId="0" applyNumberFormat="1" applyFont="1"/>
    <xf numFmtId="49" fontId="13" fillId="0" borderId="0" xfId="0" applyNumberFormat="1" applyFont="1"/>
    <xf numFmtId="0" fontId="3" fillId="0" borderId="0" xfId="0" applyFont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9" fillId="0" borderId="0" xfId="0" applyFont="1"/>
    <xf numFmtId="0" fontId="16" fillId="3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8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49" fontId="3" fillId="3" borderId="0" xfId="0" applyNumberFormat="1" applyFont="1" applyFill="1"/>
    <xf numFmtId="0" fontId="3" fillId="0" borderId="0" xfId="0" applyFont="1" applyAlignment="1">
      <alignment horizontal="left"/>
    </xf>
    <xf numFmtId="49" fontId="3" fillId="0" borderId="0" xfId="0" applyNumberFormat="1" applyFont="1"/>
    <xf numFmtId="49" fontId="19" fillId="0" borderId="0" xfId="0" applyNumberFormat="1" applyFont="1"/>
    <xf numFmtId="0" fontId="20" fillId="0" borderId="0" xfId="0" applyFont="1"/>
    <xf numFmtId="0" fontId="4" fillId="3" borderId="0" xfId="0" applyFont="1" applyFill="1" applyAlignment="1">
      <alignment horizontal="left"/>
    </xf>
    <xf numFmtId="0" fontId="21" fillId="0" borderId="0" xfId="0" applyFont="1"/>
    <xf numFmtId="0" fontId="4" fillId="0" borderId="0" xfId="0" applyFont="1" applyAlignment="1">
      <alignment horizontal="left" vertical="center"/>
    </xf>
    <xf numFmtId="21" fontId="3" fillId="0" borderId="0" xfId="0" applyNumberFormat="1" applyFont="1" applyAlignment="1">
      <alignment horizontal="left" vertical="center"/>
    </xf>
    <xf numFmtId="49" fontId="22" fillId="0" borderId="0" xfId="0" applyNumberFormat="1" applyFont="1"/>
    <xf numFmtId="0" fontId="1" fillId="2" borderId="1" xfId="0" applyFont="1" applyFill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3" fillId="0" borderId="0" xfId="0" applyFont="1"/>
    <xf numFmtId="0" fontId="24" fillId="3" borderId="0" xfId="0" applyFont="1" applyFill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2" fillId="4" borderId="0" xfId="0" applyFont="1" applyFill="1"/>
    <xf numFmtId="0" fontId="25" fillId="0" borderId="0" xfId="0" applyFont="1"/>
    <xf numFmtId="0" fontId="2" fillId="3" borderId="0" xfId="0" applyFont="1" applyFill="1" applyAlignment="1">
      <alignment horizontal="center"/>
    </xf>
    <xf numFmtId="49" fontId="26" fillId="5" borderId="0" xfId="0" applyNumberFormat="1" applyFont="1" applyFill="1"/>
    <xf numFmtId="0" fontId="27" fillId="0" borderId="0" xfId="0" applyFont="1"/>
    <xf numFmtId="0" fontId="28" fillId="0" borderId="0" xfId="0" applyFont="1"/>
    <xf numFmtId="49" fontId="29" fillId="0" borderId="0" xfId="0" applyNumberFormat="1" applyFont="1"/>
    <xf numFmtId="49" fontId="30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49" fontId="29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center"/>
    </xf>
    <xf numFmtId="0" fontId="3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609600</xdr:colOff>
      <xdr:row>0</xdr:row>
      <xdr:rowOff>-9525</xdr:rowOff>
    </xdr:from>
    <xdr:ext cx="628650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70975" y="604150"/>
          <a:ext cx="2268900" cy="298500"/>
        </a:xfrm>
        <a:prstGeom prst="rect">
          <a:avLst/>
        </a:prstGeom>
        <a:solidFill>
          <a:srgbClr val="00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humb.tapecontent.net/thumb/3JdGMloQApTdVwZ/JwJ1LJZrLxSjpXy.jpg" TargetMode="External"/><Relationship Id="rId3182" Type="http://schemas.openxmlformats.org/officeDocument/2006/relationships/hyperlink" Target="https://thumb.tapecontent.net/thumb/7dMZMmgdWXIAjyd/27aYYWvdlOCZ9Pg.jpg" TargetMode="External"/><Relationship Id="rId4233" Type="http://schemas.openxmlformats.org/officeDocument/2006/relationships/hyperlink" Target="https://lulustream.com/e/yssap7wywxwt" TargetMode="External"/><Relationship Id="rId3999" Type="http://schemas.openxmlformats.org/officeDocument/2006/relationships/hyperlink" Target="https://doodstream.com/d/92sgk19zix4z/" TargetMode="External"/><Relationship Id="rId4300" Type="http://schemas.openxmlformats.org/officeDocument/2006/relationships/hyperlink" Target="https://lulustream.com/e/zpejen2os007" TargetMode="External"/><Relationship Id="rId170" Type="http://schemas.openxmlformats.org/officeDocument/2006/relationships/hyperlink" Target="https://lulustream.com/e/12zt5hk8bl0u" TargetMode="External"/><Relationship Id="rId987" Type="http://schemas.openxmlformats.org/officeDocument/2006/relationships/hyperlink" Target="https://luluvdoo.com/d/aa45e4pzddy3" TargetMode="External"/><Relationship Id="rId2668" Type="http://schemas.openxmlformats.org/officeDocument/2006/relationships/hyperlink" Target="https://thumb.tapecontent.net/thumb/BbG22m8ea8Syorl/yjxb1r3QMLh1Ypq.jpg" TargetMode="External"/><Relationship Id="rId3719" Type="http://schemas.openxmlformats.org/officeDocument/2006/relationships/hyperlink" Target="https://doodstream.com/d/sns2gr44el4s/" TargetMode="External"/><Relationship Id="rId4090" Type="http://schemas.openxmlformats.org/officeDocument/2006/relationships/hyperlink" Target="https://lulustream.com/d/12eflmp5zxmb" TargetMode="External"/><Relationship Id="rId1684" Type="http://schemas.openxmlformats.org/officeDocument/2006/relationships/hyperlink" Target="https://thumb.tapecontent.net/thumb/YLR9PrORRWSvDqD/MxkmKKYxlVumjOJ.jpg" TargetMode="External"/><Relationship Id="rId2735" Type="http://schemas.openxmlformats.org/officeDocument/2006/relationships/hyperlink" Target="https://lulustream.com/e/18vu7f8fgp9e" TargetMode="External"/><Relationship Id="rId707" Type="http://schemas.openxmlformats.org/officeDocument/2006/relationships/hyperlink" Target="https://thumb.tapecontent.net/thumb/rlJ7kLKmllhbwLR/rrMbRej96mFbQDB.jpg" TargetMode="External"/><Relationship Id="rId1337" Type="http://schemas.openxmlformats.org/officeDocument/2006/relationships/hyperlink" Target="https://thumb.tapecontent.net/thumb/Woa7JQ0Pjbcpa1/mOm6BGJB86CbPyL.jpg" TargetMode="External"/><Relationship Id="rId1751" Type="http://schemas.openxmlformats.org/officeDocument/2006/relationships/hyperlink" Target="https://thumb.tapecontent.net/thumb/jbxK8MovP6Fz0Mq/7z6Oaxl3OKCAa0y.jpg" TargetMode="External"/><Relationship Id="rId2802" Type="http://schemas.openxmlformats.org/officeDocument/2006/relationships/hyperlink" Target="https://thumb.tapecontent.net/thumb/wrqoQDk7KRfWx7/yxOBP819gXf1QWB.jpg" TargetMode="External"/><Relationship Id="rId43" Type="http://schemas.openxmlformats.org/officeDocument/2006/relationships/hyperlink" Target="https://lulustream.com/e/9g5xi6j2k5ss" TargetMode="External"/><Relationship Id="rId1404" Type="http://schemas.openxmlformats.org/officeDocument/2006/relationships/hyperlink" Target="https://thumb.tapecontent.net/thumb/g0J13LwqqOtqprv/DMLoXpMJ69IkjP4.jpg" TargetMode="External"/><Relationship Id="rId3576" Type="http://schemas.openxmlformats.org/officeDocument/2006/relationships/hyperlink" Target="https://lulustream.com/e/5cctejhbc52o" TargetMode="External"/><Relationship Id="rId4627" Type="http://schemas.openxmlformats.org/officeDocument/2006/relationships/hyperlink" Target="https://lulustream.com/e/wbd5gw5fn0yi" TargetMode="External"/><Relationship Id="rId497" Type="http://schemas.openxmlformats.org/officeDocument/2006/relationships/hyperlink" Target="https://luluvdoo.com/d/qbrhne8d92py" TargetMode="External"/><Relationship Id="rId2178" Type="http://schemas.openxmlformats.org/officeDocument/2006/relationships/hyperlink" Target="https://lulustream.com/e/6lumnujfe5yy" TargetMode="External"/><Relationship Id="rId3229" Type="http://schemas.openxmlformats.org/officeDocument/2006/relationships/hyperlink" Target="https://lulustream.com/d/dm2pjdbqvrbs" TargetMode="External"/><Relationship Id="rId3990" Type="http://schemas.openxmlformats.org/officeDocument/2006/relationships/hyperlink" Target="https://doodstream.com/d/e3bx7jp77bxf/" TargetMode="External"/><Relationship Id="rId1194" Type="http://schemas.openxmlformats.org/officeDocument/2006/relationships/hyperlink" Target="https://doodstream.com/d/veik6uw0apkm/" TargetMode="External"/><Relationship Id="rId2592" Type="http://schemas.openxmlformats.org/officeDocument/2006/relationships/hyperlink" Target="https://doodstream.com/d/50mbdotpn3p9/" TargetMode="External"/><Relationship Id="rId3643" Type="http://schemas.openxmlformats.org/officeDocument/2006/relationships/hyperlink" Target="https://doodstream.com/d/6iv6pxko044i/" TargetMode="External"/><Relationship Id="rId217" Type="http://schemas.openxmlformats.org/officeDocument/2006/relationships/hyperlink" Target="https://doodstream.com/d/seto06rwf7bj/" TargetMode="External"/><Relationship Id="rId564" Type="http://schemas.openxmlformats.org/officeDocument/2006/relationships/hyperlink" Target="https://thumb.tapecontent.net/thumb/dkyMlKM4X6hkKz6/M7RoDZKlXBsmazB.jpg" TargetMode="External"/><Relationship Id="rId2245" Type="http://schemas.openxmlformats.org/officeDocument/2006/relationships/hyperlink" Target="https://thumb.tapecontent.net/thumb/wa77pe1PJyCJkKK/GpqZbQQLwot1LYj.jpg" TargetMode="External"/><Relationship Id="rId3710" Type="http://schemas.openxmlformats.org/officeDocument/2006/relationships/hyperlink" Target="https://doodstream.com/d/z93gak4s6tzu/" TargetMode="External"/><Relationship Id="rId631" Type="http://schemas.openxmlformats.org/officeDocument/2006/relationships/hyperlink" Target="https://lulustream.com/d/qpkvkg0wldji" TargetMode="External"/><Relationship Id="rId1261" Type="http://schemas.openxmlformats.org/officeDocument/2006/relationships/hyperlink" Target="https://doodstream.com/d/974jatr5z9nh/" TargetMode="External"/><Relationship Id="rId2312" Type="http://schemas.openxmlformats.org/officeDocument/2006/relationships/hyperlink" Target="https://lulustream.com/e/49rg49w45x9c" TargetMode="External"/><Relationship Id="rId4484" Type="http://schemas.openxmlformats.org/officeDocument/2006/relationships/hyperlink" Target="https://thumb.tapecontent.net/thumb/DzgyBBLjWxFkrG1/eLgMW8ZYQwtYzDW.jpg" TargetMode="External"/><Relationship Id="rId3086" Type="http://schemas.openxmlformats.org/officeDocument/2006/relationships/hyperlink" Target="https://lulustream.com/d/bx3a642ibpqs" TargetMode="External"/><Relationship Id="rId4137" Type="http://schemas.openxmlformats.org/officeDocument/2006/relationships/hyperlink" Target="https://lulustream.com/e/xopfeidcb95x" TargetMode="External"/><Relationship Id="rId4551" Type="http://schemas.openxmlformats.org/officeDocument/2006/relationships/hyperlink" Target="https://luluvdoo.com/d/ydy5ofqbxev4" TargetMode="External"/><Relationship Id="rId3153" Type="http://schemas.openxmlformats.org/officeDocument/2006/relationships/hyperlink" Target="https://thumb.tapecontent.net/thumb/7R7RkdWJ2rs8vK/qvARmZko3QTzmaA.jpg" TargetMode="External"/><Relationship Id="rId4204" Type="http://schemas.openxmlformats.org/officeDocument/2006/relationships/hyperlink" Target="https://doodstream.com/d/mq6swxs6zddp/" TargetMode="External"/><Relationship Id="rId141" Type="http://schemas.openxmlformats.org/officeDocument/2006/relationships/hyperlink" Target="https://thumb.tapecontent.net/thumb/yxAW293KgAFyZB/BjXo3eVPrwsyoQB.jpg" TargetMode="External"/><Relationship Id="rId3220" Type="http://schemas.openxmlformats.org/officeDocument/2006/relationships/hyperlink" Target="https://doodstream.com/d/l6b5udt7mkan/" TargetMode="External"/><Relationship Id="rId7" Type="http://schemas.openxmlformats.org/officeDocument/2006/relationships/hyperlink" Target="https://doodstream.com/d/4a8gvzx3zlsj/" TargetMode="External"/><Relationship Id="rId2986" Type="http://schemas.openxmlformats.org/officeDocument/2006/relationships/hyperlink" Target="https://thumb.tapecontent.net/thumb/owwAqvpW0pCvaX/LaVpPp347MiR1MY.jpg" TargetMode="External"/><Relationship Id="rId958" Type="http://schemas.openxmlformats.org/officeDocument/2006/relationships/hyperlink" Target="https://thumb.tapecontent.net/thumb/DaB3Y1r1eWukoGq/oGq1WqDB3RcJ4KX.jpg" TargetMode="External"/><Relationship Id="rId1588" Type="http://schemas.openxmlformats.org/officeDocument/2006/relationships/hyperlink" Target="https://thumb.tapecontent.net/thumb/W18k28q90zcee3/BbGO280ZrbUygro.jpg" TargetMode="External"/><Relationship Id="rId2639" Type="http://schemas.openxmlformats.org/officeDocument/2006/relationships/hyperlink" Target="https://thumb.tapecontent.net/thumb/doL3z9A1LztgBm/okmzPowra8iJVOK.jpg" TargetMode="External"/><Relationship Id="rId1655" Type="http://schemas.openxmlformats.org/officeDocument/2006/relationships/hyperlink" Target="https://doodstream.com/d/fxtpijqu3ifu/" TargetMode="External"/><Relationship Id="rId2706" Type="http://schemas.openxmlformats.org/officeDocument/2006/relationships/hyperlink" Target="https://thumb.tapecontent.net/thumb/P3YwqdGJ8PT07gZ/kb3L0DZRWGiOv79.jpg" TargetMode="External"/><Relationship Id="rId4061" Type="http://schemas.openxmlformats.org/officeDocument/2006/relationships/hyperlink" Target="https://luluvdoo.com/d/g20plc3fbluc" TargetMode="External"/><Relationship Id="rId1308" Type="http://schemas.openxmlformats.org/officeDocument/2006/relationships/hyperlink" Target="https://thumb.tapecontent.net/thumb/B4kePl6Q3zIrWm/JbQM68alljCjLG7.jpg" TargetMode="External"/><Relationship Id="rId1722" Type="http://schemas.openxmlformats.org/officeDocument/2006/relationships/hyperlink" Target="https://doodstream.com/d/jcqcpabmy2gq/" TargetMode="External"/><Relationship Id="rId14" Type="http://schemas.openxmlformats.org/officeDocument/2006/relationships/hyperlink" Target="https://thumb.tapecontent.net/thumb/4XpOdzjQ9DUKRDX/96VmPDbdL6HOQm.jpg" TargetMode="External"/><Relationship Id="rId3894" Type="http://schemas.openxmlformats.org/officeDocument/2006/relationships/hyperlink" Target="https://lulustream.com/d/inavlwvmh4vl" TargetMode="External"/><Relationship Id="rId2496" Type="http://schemas.openxmlformats.org/officeDocument/2006/relationships/hyperlink" Target="https://thumb.tapecontent.net/thumb/yPaBx2YBKjtkPR/oQ9KOe6Pp3sxGJ.jpg" TargetMode="External"/><Relationship Id="rId3547" Type="http://schemas.openxmlformats.org/officeDocument/2006/relationships/hyperlink" Target="https://thumb.tapecontent.net/thumb/QA14g42DAQCG7Y/Varr0Q1VmDIKGjq.jpg" TargetMode="External"/><Relationship Id="rId3961" Type="http://schemas.openxmlformats.org/officeDocument/2006/relationships/hyperlink" Target="https://lulustream.com/d/fv8c7pb5m2lw" TargetMode="External"/><Relationship Id="rId468" Type="http://schemas.openxmlformats.org/officeDocument/2006/relationships/hyperlink" Target="https://streamtape.com/v/7dk2J8pGr0TAgmJ/Angela_White_-_63666132_-_ripnsfw.com.mp4" TargetMode="External"/><Relationship Id="rId882" Type="http://schemas.openxmlformats.org/officeDocument/2006/relationships/hyperlink" Target="https://thumb.tapecontent.net/thumb/LXkZA73OLOtRmyD/2DkWQ8gP6PFZ0WR.jpg" TargetMode="External"/><Relationship Id="rId1098" Type="http://schemas.openxmlformats.org/officeDocument/2006/relationships/hyperlink" Target="https://thumb.tapecontent.net/thumb/a0DPD0glgAHbaR/xvbo46OY2WTkAzx.jpg" TargetMode="External"/><Relationship Id="rId2149" Type="http://schemas.openxmlformats.org/officeDocument/2006/relationships/hyperlink" Target="https://thumb.tapecontent.net/thumb/BJmp2dA10zsyoYw/bV7gBkrMY8SPV3B.jpg" TargetMode="External"/><Relationship Id="rId2563" Type="http://schemas.openxmlformats.org/officeDocument/2006/relationships/hyperlink" Target="https://lulustream.com/e/lztsspreqn1z" TargetMode="External"/><Relationship Id="rId3614" Type="http://schemas.openxmlformats.org/officeDocument/2006/relationships/hyperlink" Target="https://doodstream.com/d/5kucnhx0ab7v/" TargetMode="External"/><Relationship Id="rId535" Type="http://schemas.openxmlformats.org/officeDocument/2006/relationships/hyperlink" Target="https://luluvdoo.com/d/oad0y34ea06k" TargetMode="External"/><Relationship Id="rId1165" Type="http://schemas.openxmlformats.org/officeDocument/2006/relationships/hyperlink" Target="https://thumb.tapecontent.net/thumb/K7y8B7Gxm1u0dld/LkAWVY3ZM0FRVmB.jpg" TargetMode="External"/><Relationship Id="rId2216" Type="http://schemas.openxmlformats.org/officeDocument/2006/relationships/hyperlink" Target="https://doodstream.com/d/8bhl9o5dntp9/" TargetMode="External"/><Relationship Id="rId2630" Type="http://schemas.openxmlformats.org/officeDocument/2006/relationships/hyperlink" Target="https://thumb.tapecontent.net/thumb/XP9YDLgp9PiDJJ3/zlAxD19zaqIYrGr.jpg" TargetMode="External"/><Relationship Id="rId602" Type="http://schemas.openxmlformats.org/officeDocument/2006/relationships/hyperlink" Target="https://thumb.tapecontent.net/thumb/LYrmdqXeegH40K/L1O28bxmABCRzd2.jpg" TargetMode="External"/><Relationship Id="rId1232" Type="http://schemas.openxmlformats.org/officeDocument/2006/relationships/hyperlink" Target="https://lulustream.com/d/08yosrrwarfx" TargetMode="External"/><Relationship Id="rId4388" Type="http://schemas.openxmlformats.org/officeDocument/2006/relationships/hyperlink" Target="https://thumb.tapecontent.net/thumb/pg2oamJJAeTVAa/yBQbj0zddlh1Ag1.jpg" TargetMode="External"/><Relationship Id="rId3057" Type="http://schemas.openxmlformats.org/officeDocument/2006/relationships/hyperlink" Target="https://doodstream.com/d/8tqu72h7lllv/" TargetMode="External"/><Relationship Id="rId4108" Type="http://schemas.openxmlformats.org/officeDocument/2006/relationships/hyperlink" Target="https://lulustream.com/d/ot7g2id45wno" TargetMode="External"/><Relationship Id="rId4455" Type="http://schemas.openxmlformats.org/officeDocument/2006/relationships/hyperlink" Target="https://thumb.tapecontent.net/thumb/My3PmLmzjKhmgke/zG6jljxQeltGL3.jpg" TargetMode="External"/><Relationship Id="rId3471" Type="http://schemas.openxmlformats.org/officeDocument/2006/relationships/hyperlink" Target="https://doodstream.com/d/3ytleg1x493m/" TargetMode="External"/><Relationship Id="rId4522" Type="http://schemas.openxmlformats.org/officeDocument/2006/relationships/hyperlink" Target="https://luluvdoo.com/d/gsk3q89h96af" TargetMode="External"/><Relationship Id="rId392" Type="http://schemas.openxmlformats.org/officeDocument/2006/relationships/hyperlink" Target="https://luluvdoo.com/d/buqmzug523qm" TargetMode="External"/><Relationship Id="rId2073" Type="http://schemas.openxmlformats.org/officeDocument/2006/relationships/hyperlink" Target="https://thumb.tapecontent.net/thumb/9p4qeo4DL1HaxbO/8XgZ2BWK9QTowJk.jpg" TargetMode="External"/><Relationship Id="rId3124" Type="http://schemas.openxmlformats.org/officeDocument/2006/relationships/hyperlink" Target="https://luluvdoo.com/d/ywwr79k68yi2" TargetMode="External"/><Relationship Id="rId2140" Type="http://schemas.openxmlformats.org/officeDocument/2006/relationships/hyperlink" Target="https://lulustream.com/e/5b7gkwba7drx" TargetMode="External"/><Relationship Id="rId112" Type="http://schemas.openxmlformats.org/officeDocument/2006/relationships/hyperlink" Target="https://thumb.tapecontent.net/thumb/Z3jZOylr2xtqqjm/d8LgJkR4lmukd8J.jpg" TargetMode="External"/><Relationship Id="rId2957" Type="http://schemas.openxmlformats.org/officeDocument/2006/relationships/hyperlink" Target="https://lulustream.com/e/mpi7b4n2tv54" TargetMode="External"/><Relationship Id="rId929" Type="http://schemas.openxmlformats.org/officeDocument/2006/relationships/hyperlink" Target="https://lulustream.com/e/kawze6weqphs" TargetMode="External"/><Relationship Id="rId1559" Type="http://schemas.openxmlformats.org/officeDocument/2006/relationships/hyperlink" Target="https://lulustream.com/e/0yui4z8gzga5" TargetMode="External"/><Relationship Id="rId1973" Type="http://schemas.openxmlformats.org/officeDocument/2006/relationships/hyperlink" Target="https://lulustream.com/e/uxvcr5etgpzu" TargetMode="External"/><Relationship Id="rId4032" Type="http://schemas.openxmlformats.org/officeDocument/2006/relationships/hyperlink" Target="https://lulustream.com/d/1qsj0udwu443" TargetMode="External"/><Relationship Id="rId1626" Type="http://schemas.openxmlformats.org/officeDocument/2006/relationships/hyperlink" Target="https://doodstream.com/d/5qr98hhftg2o/" TargetMode="External"/><Relationship Id="rId3798" Type="http://schemas.openxmlformats.org/officeDocument/2006/relationships/hyperlink" Target="https://thumb.tapecontent.net/thumb/g2qqORBdy2Fg9K/pgOrg2QLyAFrexW.jpg" TargetMode="External"/><Relationship Id="rId3865" Type="http://schemas.openxmlformats.org/officeDocument/2006/relationships/hyperlink" Target="https://thumb.tapecontent.net/thumb/k2WYp3JgpZfOx66/djPM9R436aIkJ3J.jpg" TargetMode="External"/><Relationship Id="rId786" Type="http://schemas.openxmlformats.org/officeDocument/2006/relationships/hyperlink" Target="https://thumb.tapecontent.net/thumb/OX3ZwrXjg2cZbb2/lW6mv83oyxc7xpo.jpg" TargetMode="External"/><Relationship Id="rId2467" Type="http://schemas.openxmlformats.org/officeDocument/2006/relationships/hyperlink" Target="https://lulustream.com/d/vgpksriddpyd" TargetMode="External"/><Relationship Id="rId3518" Type="http://schemas.openxmlformats.org/officeDocument/2006/relationships/hyperlink" Target="https://thumb.tapecontent.net/thumb/O2xGzVozMpsgkR/RDvy1ZmBg0cdd8Q.jpg" TargetMode="External"/><Relationship Id="rId439" Type="http://schemas.openxmlformats.org/officeDocument/2006/relationships/hyperlink" Target="https://streamtape.com/v/eg82MGLVOjTYvYw/Angela_White_-_42501148_-_ripnsfw.com" TargetMode="External"/><Relationship Id="rId1069" Type="http://schemas.openxmlformats.org/officeDocument/2006/relationships/hyperlink" Target="https://lulustream.com/e/ghed4u47zkmj" TargetMode="External"/><Relationship Id="rId1483" Type="http://schemas.openxmlformats.org/officeDocument/2006/relationships/hyperlink" Target="https://doodstream.com/d/4k6tnj87dr29/" TargetMode="External"/><Relationship Id="rId2881" Type="http://schemas.openxmlformats.org/officeDocument/2006/relationships/hyperlink" Target="https://lulustream.com/e/8n664uzd5btv" TargetMode="External"/><Relationship Id="rId3932" Type="http://schemas.openxmlformats.org/officeDocument/2006/relationships/hyperlink" Target="https://thumb.tapecontent.net/thumb/lOb443K1Lvs7XZ4/OoZr0Lro1BH6eV.jpg" TargetMode="External"/><Relationship Id="rId506" Type="http://schemas.openxmlformats.org/officeDocument/2006/relationships/hyperlink" Target="https://thumb.tapecontent.net/thumb/yV9gGKkqaesw9j/9R31od9AgvUaKDo.jpg" TargetMode="External"/><Relationship Id="rId853" Type="http://schemas.openxmlformats.org/officeDocument/2006/relationships/hyperlink" Target="https://lulustream.com/e/kfwkhpnqhxdc" TargetMode="External"/><Relationship Id="rId1136" Type="http://schemas.openxmlformats.org/officeDocument/2006/relationships/hyperlink" Target="https://thumb.tapecontent.net/thumb/81amJvM0QGioKRQ/j4mr7V1KKWIzwjv.jpg" TargetMode="External"/><Relationship Id="rId2534" Type="http://schemas.openxmlformats.org/officeDocument/2006/relationships/hyperlink" Target="https://thumb.tapecontent.net/thumb/q8O30zqXPKIzqx0/z6YpAQDBdYsYMG1.jpg" TargetMode="External"/><Relationship Id="rId920" Type="http://schemas.openxmlformats.org/officeDocument/2006/relationships/hyperlink" Target="https://lulustream.com/e/p4c0s1r9dy4j" TargetMode="External"/><Relationship Id="rId1550" Type="http://schemas.openxmlformats.org/officeDocument/2006/relationships/hyperlink" Target="https://doodstream.com/d/xkrnvcrefkxl/" TargetMode="External"/><Relationship Id="rId2601" Type="http://schemas.openxmlformats.org/officeDocument/2006/relationships/hyperlink" Target="https://thumb.tapecontent.net/thumb/bQwXlKjBx2cPkJl/q888YP4VYlhWRv.jpg" TargetMode="External"/><Relationship Id="rId1203" Type="http://schemas.openxmlformats.org/officeDocument/2006/relationships/hyperlink" Target="https://lulustream.com/e/t5437e6mdz6y" TargetMode="External"/><Relationship Id="rId4359" Type="http://schemas.openxmlformats.org/officeDocument/2006/relationships/hyperlink" Target="https://lulustream.com/e/i47ec2j11qzt" TargetMode="External"/><Relationship Id="rId4773" Type="http://schemas.openxmlformats.org/officeDocument/2006/relationships/hyperlink" Target="https://bunkr.pk/f/VGxzOe9VJYz0t" TargetMode="External"/><Relationship Id="rId3375" Type="http://schemas.openxmlformats.org/officeDocument/2006/relationships/hyperlink" Target="https://thumb.tapecontent.net/thumb/lA21ZGPyQZSb11/QXYr0yWdqXsweW.jpg" TargetMode="External"/><Relationship Id="rId4426" Type="http://schemas.openxmlformats.org/officeDocument/2006/relationships/hyperlink" Target="https://doodstream.com/d/ce1dtrqufv0c/" TargetMode="External"/><Relationship Id="rId296" Type="http://schemas.openxmlformats.org/officeDocument/2006/relationships/hyperlink" Target="https://thumb.tapecontent.net/thumb/029P2qMpywI0Gb/9jRAeWgwRgSYvd.jpg" TargetMode="External"/><Relationship Id="rId2391" Type="http://schemas.openxmlformats.org/officeDocument/2006/relationships/hyperlink" Target="https://lulustream.com/d/8pjsv394ncte" TargetMode="External"/><Relationship Id="rId3028" Type="http://schemas.openxmlformats.org/officeDocument/2006/relationships/hyperlink" Target="https://doodstream.com/d/5od2geulqid5/" TargetMode="External"/><Relationship Id="rId3442" Type="http://schemas.openxmlformats.org/officeDocument/2006/relationships/hyperlink" Target="https://doodstream.com/d/6v6i6535ph1h/" TargetMode="External"/><Relationship Id="rId363" Type="http://schemas.openxmlformats.org/officeDocument/2006/relationships/hyperlink" Target="https://thumb.tapecontent.net/thumb/wkz9Pd7LakFJ9Yz/bRYzl3gXXrIPjRB.jpg" TargetMode="External"/><Relationship Id="rId2044" Type="http://schemas.openxmlformats.org/officeDocument/2006/relationships/hyperlink" Target="https://doodstream.com/d/s6skgozww4fk/" TargetMode="External"/><Relationship Id="rId430" Type="http://schemas.openxmlformats.org/officeDocument/2006/relationships/hyperlink" Target="https://thumb.tapecontent.net/thumb/bZgdgg1B3jfP9pd/8wOQOO3aZdU6YW.jpg" TargetMode="External"/><Relationship Id="rId1060" Type="http://schemas.openxmlformats.org/officeDocument/2006/relationships/hyperlink" Target="https://lulustream.com/d/vp6jsr9vdowt" TargetMode="External"/><Relationship Id="rId2111" Type="http://schemas.openxmlformats.org/officeDocument/2006/relationships/hyperlink" Target="https://luluvdoo.com/d/qygkj6ehqos8" TargetMode="External"/><Relationship Id="rId1877" Type="http://schemas.openxmlformats.org/officeDocument/2006/relationships/hyperlink" Target="https://lulustream.com/e/5qzizhwnbspf" TargetMode="External"/><Relationship Id="rId2928" Type="http://schemas.openxmlformats.org/officeDocument/2006/relationships/hyperlink" Target="https://lulustream.com/e/izk56x0euqb7" TargetMode="External"/><Relationship Id="rId4283" Type="http://schemas.openxmlformats.org/officeDocument/2006/relationships/hyperlink" Target="https://thumb.tapecontent.net/thumb/mPQoG9YlyqcbqWg/7B9RQDKVp8IADwA.jpg" TargetMode="External"/><Relationship Id="rId1944" Type="http://schemas.openxmlformats.org/officeDocument/2006/relationships/hyperlink" Target="https://lulustream.com/e/77m5ugc4uilq" TargetMode="External"/><Relationship Id="rId4350" Type="http://schemas.openxmlformats.org/officeDocument/2006/relationships/hyperlink" Target="https://lulustream.com/d/wy9j30e21s0f" TargetMode="External"/><Relationship Id="rId4003" Type="http://schemas.openxmlformats.org/officeDocument/2006/relationships/hyperlink" Target="https://lulustream.com/e/2b5lp8q5k2rp" TargetMode="External"/><Relationship Id="rId3769" Type="http://schemas.openxmlformats.org/officeDocument/2006/relationships/hyperlink" Target="https://doodstream.com/d/s4ysny956utd/" TargetMode="External"/><Relationship Id="rId2785" Type="http://schemas.openxmlformats.org/officeDocument/2006/relationships/hyperlink" Target="https://lulustream.com/e/xtbur4l4jnrf" TargetMode="External"/><Relationship Id="rId3836" Type="http://schemas.openxmlformats.org/officeDocument/2006/relationships/hyperlink" Target="https://thumb.tapecontent.net/thumb/Mx0DDPx7ygImKgx/MY827WW9mktmJXa.jpg" TargetMode="External"/><Relationship Id="rId757" Type="http://schemas.openxmlformats.org/officeDocument/2006/relationships/hyperlink" Target="https://lulustream.com/d/8qeuwsoeltk8" TargetMode="External"/><Relationship Id="rId1387" Type="http://schemas.openxmlformats.org/officeDocument/2006/relationships/hyperlink" Target="https://thumb.tapecontent.net/thumb/kg1le0a4JKCOVOZ/6R8X0PkloWS9mQ7.jpg" TargetMode="External"/><Relationship Id="rId2438" Type="http://schemas.openxmlformats.org/officeDocument/2006/relationships/hyperlink" Target="https://lulustream.com/e/56f0o5t5tpp3" TargetMode="External"/><Relationship Id="rId2852" Type="http://schemas.openxmlformats.org/officeDocument/2006/relationships/hyperlink" Target="https://thumb.tapecontent.net/thumb/M7kMdVPJLLimqZ2/gPQkAA7O8LSq69g.jpg" TargetMode="External"/><Relationship Id="rId3903" Type="http://schemas.openxmlformats.org/officeDocument/2006/relationships/hyperlink" Target="https://lulustream.com/d/ou26pn1ti8y3" TargetMode="External"/><Relationship Id="rId93" Type="http://schemas.openxmlformats.org/officeDocument/2006/relationships/hyperlink" Target="https://lulustream.com/e/5gyjbuhx4h2c" TargetMode="External"/><Relationship Id="rId824" Type="http://schemas.openxmlformats.org/officeDocument/2006/relationships/hyperlink" Target="https://lulustream.com/e/o5cgdwkev3cg" TargetMode="External"/><Relationship Id="rId1454" Type="http://schemas.openxmlformats.org/officeDocument/2006/relationships/hyperlink" Target="https://thumb.tapecontent.net/thumb/BGLOk2x8l9HydXP/6KG0YYdM4wFl6y.jpg" TargetMode="External"/><Relationship Id="rId2505" Type="http://schemas.openxmlformats.org/officeDocument/2006/relationships/hyperlink" Target="https://lulustream.com/d/xnepfpbjve2q" TargetMode="External"/><Relationship Id="rId1107" Type="http://schemas.openxmlformats.org/officeDocument/2006/relationships/hyperlink" Target="https://doodstream.com/d/pzq4hlrfzxlm/" TargetMode="External"/><Relationship Id="rId1521" Type="http://schemas.openxmlformats.org/officeDocument/2006/relationships/hyperlink" Target="https://doodstream.com/d/gkq7vf9i1cly/" TargetMode="External"/><Relationship Id="rId4677" Type="http://schemas.openxmlformats.org/officeDocument/2006/relationships/hyperlink" Target="https://thumb.tapecontent.net/thumb/lDKVlOOLzaFBO4/1xRdpxkPRdFya4.jpg" TargetMode="External"/><Relationship Id="rId3279" Type="http://schemas.openxmlformats.org/officeDocument/2006/relationships/hyperlink" Target="https://doodstream.com/d/q22wwuydu89l/" TargetMode="External"/><Relationship Id="rId3693" Type="http://schemas.openxmlformats.org/officeDocument/2006/relationships/hyperlink" Target="https://doodstream.com/d/nh8g6cwbjin7/" TargetMode="External"/><Relationship Id="rId2295" Type="http://schemas.openxmlformats.org/officeDocument/2006/relationships/hyperlink" Target="https://thumb.tapecontent.net/thumb/X2YvmBBa9khDex7/02xVrgmVQBIbP9x.jpg" TargetMode="External"/><Relationship Id="rId3346" Type="http://schemas.openxmlformats.org/officeDocument/2006/relationships/hyperlink" Target="https://thumb.tapecontent.net/thumb/P7yBL9ql7zU0aYk/BOWzxPP98ZIQPO.jpg" TargetMode="External"/><Relationship Id="rId4744" Type="http://schemas.openxmlformats.org/officeDocument/2006/relationships/hyperlink" Target="https://lulustream.com/d/570qgjqsrd33" TargetMode="External"/><Relationship Id="rId267" Type="http://schemas.openxmlformats.org/officeDocument/2006/relationships/hyperlink" Target="https://thumb.tapecontent.net/thumb/1Rxj4wvzRWIekzQ/Xqm3L62jQzcAqb.jpg" TargetMode="External"/><Relationship Id="rId3760" Type="http://schemas.openxmlformats.org/officeDocument/2006/relationships/hyperlink" Target="https://thumb.tapecontent.net/thumb/pjgG0w2KKmiWz6/g24v7376BRFqW1z.jpg" TargetMode="External"/><Relationship Id="rId681" Type="http://schemas.openxmlformats.org/officeDocument/2006/relationships/hyperlink" Target="https://lulustream.com/d/qr58bh6snn8g" TargetMode="External"/><Relationship Id="rId2362" Type="http://schemas.openxmlformats.org/officeDocument/2006/relationships/hyperlink" Target="https://thumb.tapecontent.net/thumb/GpLo93rVMpi1pD0/PDGXvMwZ8pHAlA.jpg" TargetMode="External"/><Relationship Id="rId3413" Type="http://schemas.openxmlformats.org/officeDocument/2006/relationships/hyperlink" Target="https://thumb.tapecontent.net/thumb/xegpYmjL9xsk4ZM/Mz7rALaG0Vim3pa.jpg" TargetMode="External"/><Relationship Id="rId334" Type="http://schemas.openxmlformats.org/officeDocument/2006/relationships/hyperlink" Target="https://thumb.tapecontent.net/thumb/zbGWV7b693hYDxb/61K2714kMwI9Gx8.jpg" TargetMode="External"/><Relationship Id="rId2015" Type="http://schemas.openxmlformats.org/officeDocument/2006/relationships/hyperlink" Target="https://doodstream.com/d/rmkaveoimnho/" TargetMode="External"/><Relationship Id="rId401" Type="http://schemas.openxmlformats.org/officeDocument/2006/relationships/hyperlink" Target="https://thumb.tapecontent.net/thumb/MoVbjkKPv0Hm3aG/Wr0QQmmdMYfbJR7.jpg" TargetMode="External"/><Relationship Id="rId1031" Type="http://schemas.openxmlformats.org/officeDocument/2006/relationships/hyperlink" Target="https://luluvdoo.com/d/ofo1ly6bg60m" TargetMode="External"/><Relationship Id="rId4187" Type="http://schemas.openxmlformats.org/officeDocument/2006/relationships/hyperlink" Target="https://thumb.tapecontent.net/thumb/AP0K9m1QzWFXoV1/0BDXVLldkDtbdk1.jpg" TargetMode="External"/><Relationship Id="rId4254" Type="http://schemas.openxmlformats.org/officeDocument/2006/relationships/hyperlink" Target="https://thumb.tapecontent.net/thumb/xvvawLy6eYhq8m/oxKD2dlKJVUJzao.jpg" TargetMode="External"/><Relationship Id="rId1848" Type="http://schemas.openxmlformats.org/officeDocument/2006/relationships/hyperlink" Target="https://thumb.tapecontent.net/thumb/DWWPYYAWAPTkJz0/RWX7xRJBjOUdMMY.jpg" TargetMode="External"/><Relationship Id="rId3270" Type="http://schemas.openxmlformats.org/officeDocument/2006/relationships/hyperlink" Target="https://lulustream.com/e/mqod1z5tetzb" TargetMode="External"/><Relationship Id="rId4321" Type="http://schemas.openxmlformats.org/officeDocument/2006/relationships/hyperlink" Target="https://thumb.tapecontent.net/thumb/8OpyvdqXlxsJAB/dQGrromja7ikL7P.jpg" TargetMode="External"/><Relationship Id="rId191" Type="http://schemas.openxmlformats.org/officeDocument/2006/relationships/hyperlink" Target="https://doodstream.com/d/odevd4u50df9/" TargetMode="External"/><Relationship Id="rId1915" Type="http://schemas.openxmlformats.org/officeDocument/2006/relationships/hyperlink" Target="https://doodstream.com/d/8mny4jy2tuec/" TargetMode="External"/><Relationship Id="rId2689" Type="http://schemas.openxmlformats.org/officeDocument/2006/relationships/hyperlink" Target="https://doodstream.com/d/z4wt62z2vw72/" TargetMode="External"/><Relationship Id="rId2756" Type="http://schemas.openxmlformats.org/officeDocument/2006/relationships/hyperlink" Target="https://lulustream.com/d/s0hnwcypp26r" TargetMode="External"/><Relationship Id="rId3807" Type="http://schemas.openxmlformats.org/officeDocument/2006/relationships/hyperlink" Target="https://thumb.tapecontent.net/thumb/jAGAQKybGJHzOr9/WeexZ19k7jUbd2P.jpg" TargetMode="External"/><Relationship Id="rId728" Type="http://schemas.openxmlformats.org/officeDocument/2006/relationships/hyperlink" Target="https://lulustream.com/d/cqs5v75h2pzg" TargetMode="External"/><Relationship Id="rId1358" Type="http://schemas.openxmlformats.org/officeDocument/2006/relationships/hyperlink" Target="https://thumb.tapecontent.net/thumb/9pYY7BzrZjFaMM1/pzxxGDLrqzHr2L6.jpg" TargetMode="External"/><Relationship Id="rId1772" Type="http://schemas.openxmlformats.org/officeDocument/2006/relationships/hyperlink" Target="https://thumb.tapecontent.net/thumb/oGVAzBbJW0fb8K/YPGwBVje1dCoP0.jpg" TargetMode="External"/><Relationship Id="rId2409" Type="http://schemas.openxmlformats.org/officeDocument/2006/relationships/hyperlink" Target="https://doodstream.com/d/ll5ak9l1fwbv/" TargetMode="External"/><Relationship Id="rId64" Type="http://schemas.openxmlformats.org/officeDocument/2006/relationships/hyperlink" Target="https://thumb.tapecontent.net/thumb/yAwVJpaXxzI1W4A/Pr8jvQYaR7c0QGx.jpg" TargetMode="External"/><Relationship Id="rId1425" Type="http://schemas.openxmlformats.org/officeDocument/2006/relationships/hyperlink" Target="https://thumb.tapecontent.net/thumb/7wMDkxMKLqiA7r4/8Jzq0oQRRvCoL3P.jpg" TargetMode="External"/><Relationship Id="rId2823" Type="http://schemas.openxmlformats.org/officeDocument/2006/relationships/hyperlink" Target="https://lulustream.com/e/coe51fvothk6" TargetMode="External"/><Relationship Id="rId2199" Type="http://schemas.openxmlformats.org/officeDocument/2006/relationships/hyperlink" Target="https://thumb.tapecontent.net/thumb/Ly8pxrdwykI7Jg/0dOLjVO0xRUblwr.jpg" TargetMode="External"/><Relationship Id="rId3597" Type="http://schemas.openxmlformats.org/officeDocument/2006/relationships/hyperlink" Target="https://thumb.tapecontent.net/thumb/PX0VlGMRXai0VA7/pYkOPWKLLDfr4Lo.jpg" TargetMode="External"/><Relationship Id="rId4648" Type="http://schemas.openxmlformats.org/officeDocument/2006/relationships/hyperlink" Target="https://thumb.tapecontent.net/thumb/eLwO7wo32bSkKe/OYBRylW71XfZyMo.jpg" TargetMode="External"/><Relationship Id="rId3664" Type="http://schemas.openxmlformats.org/officeDocument/2006/relationships/hyperlink" Target="https://thumb.tapecontent.net/thumb/9qOBe3R9Bbu6qz/qv0rmVO6XWIzdeJ.jpg" TargetMode="External"/><Relationship Id="rId4715" Type="http://schemas.openxmlformats.org/officeDocument/2006/relationships/hyperlink" Target="https://thumb.tapecontent.net/thumb/pl2aYvqjo3Ur88d/1BPxBG4kPLsJPk.jpg" TargetMode="External"/><Relationship Id="rId585" Type="http://schemas.openxmlformats.org/officeDocument/2006/relationships/hyperlink" Target="https://lulustream.com/d/6d03mqxx3fjp" TargetMode="External"/><Relationship Id="rId2266" Type="http://schemas.openxmlformats.org/officeDocument/2006/relationships/hyperlink" Target="https://doodstream.com/d/zk9ge0h48vhz/" TargetMode="External"/><Relationship Id="rId2680" Type="http://schemas.openxmlformats.org/officeDocument/2006/relationships/hyperlink" Target="https://lulustream.com/d/nm5t9u4e5k4u" TargetMode="External"/><Relationship Id="rId3317" Type="http://schemas.openxmlformats.org/officeDocument/2006/relationships/hyperlink" Target="https://lulustream.com/d/jwhchx464imx" TargetMode="External"/><Relationship Id="rId3731" Type="http://schemas.openxmlformats.org/officeDocument/2006/relationships/hyperlink" Target="https://lulustream.com/e/lkry37ili0di" TargetMode="External"/><Relationship Id="rId238" Type="http://schemas.openxmlformats.org/officeDocument/2006/relationships/hyperlink" Target="https://luluvdoo.com/d/ren1veqq9y0f" TargetMode="External"/><Relationship Id="rId652" Type="http://schemas.openxmlformats.org/officeDocument/2006/relationships/hyperlink" Target="https://thumb.tapecontent.net/thumb/0RqGjgoxgrigX3/MqpZ99jm8bUmRw6.jpg" TargetMode="External"/><Relationship Id="rId1282" Type="http://schemas.openxmlformats.org/officeDocument/2006/relationships/hyperlink" Target="https://doodstream.com/d/mqjm3f1f2tyf/" TargetMode="External"/><Relationship Id="rId2333" Type="http://schemas.openxmlformats.org/officeDocument/2006/relationships/hyperlink" Target="https://doodstream.com/d/q2q30866mkot/" TargetMode="External"/><Relationship Id="rId305" Type="http://schemas.openxmlformats.org/officeDocument/2006/relationships/hyperlink" Target="https://thumb.tapecontent.net/thumb/zxV8mKa0LbtYRzK/j7v18lxALVuzlpv.jpg" TargetMode="External"/><Relationship Id="rId2400" Type="http://schemas.openxmlformats.org/officeDocument/2006/relationships/hyperlink" Target="https://lulustream.com/e/9hjitkqbdn7r" TargetMode="External"/><Relationship Id="rId1002" Type="http://schemas.openxmlformats.org/officeDocument/2006/relationships/hyperlink" Target="https://thumb.tapecontent.net/thumb/LkMmla3oMWIRVr3/7krlLxVrB8CA3rX.jpg" TargetMode="External"/><Relationship Id="rId4158" Type="http://schemas.openxmlformats.org/officeDocument/2006/relationships/hyperlink" Target="https://thumb.tapecontent.net/thumb/Vk4MDbJvjxCKKRk/Okbozwv1PpsZbzz.jpg" TargetMode="External"/><Relationship Id="rId3174" Type="http://schemas.openxmlformats.org/officeDocument/2006/relationships/hyperlink" Target="https://doodstream.com/d/kwnox8gg7nae/" TargetMode="External"/><Relationship Id="rId4572" Type="http://schemas.openxmlformats.org/officeDocument/2006/relationships/hyperlink" Target="https://lulustream.com/d/ejbgr7cjkz2x" TargetMode="External"/><Relationship Id="rId1819" Type="http://schemas.openxmlformats.org/officeDocument/2006/relationships/hyperlink" Target="https://doodstream.com/d/9flbqbp7oxzz/" TargetMode="External"/><Relationship Id="rId4225" Type="http://schemas.openxmlformats.org/officeDocument/2006/relationships/hyperlink" Target="https://thumb.tapecontent.net/thumb/1qxAoQzayotpd7/j4owZ8bddaCzjKB.jpg" TargetMode="External"/><Relationship Id="rId2190" Type="http://schemas.openxmlformats.org/officeDocument/2006/relationships/hyperlink" Target="https://doodstream.com/d/h6ttqelnvf24/" TargetMode="External"/><Relationship Id="rId3241" Type="http://schemas.openxmlformats.org/officeDocument/2006/relationships/hyperlink" Target="https://thumb.tapecontent.net/thumb/1By8ree3q1fbza/XbWd6qdpBxiDRQV.jpg" TargetMode="External"/><Relationship Id="rId162" Type="http://schemas.openxmlformats.org/officeDocument/2006/relationships/hyperlink" Target="https://thumb.tapecontent.net/thumb/rApbMGvL32hgxx/mwWW73l9dVCldm.jpg" TargetMode="External"/><Relationship Id="rId979" Type="http://schemas.openxmlformats.org/officeDocument/2006/relationships/hyperlink" Target="https://thumb.tapecontent.net/thumb/3xM7gd4LoVCdgzZ/yjagYReJb8U1VAG.jpg" TargetMode="External"/><Relationship Id="rId4082" Type="http://schemas.openxmlformats.org/officeDocument/2006/relationships/hyperlink" Target="https://luluvdoo.com/d/4cxp4hva7xe2" TargetMode="External"/><Relationship Id="rId1676" Type="http://schemas.openxmlformats.org/officeDocument/2006/relationships/hyperlink" Target="https://doodstream.com/d/4recy2df4zwb/" TargetMode="External"/><Relationship Id="rId2727" Type="http://schemas.openxmlformats.org/officeDocument/2006/relationships/hyperlink" Target="https://thumb.tapecontent.net/thumb/LOYVz3kXKBS6j4/gaLOjBjV9AfY33.jpg" TargetMode="External"/><Relationship Id="rId1329" Type="http://schemas.openxmlformats.org/officeDocument/2006/relationships/hyperlink" Target="https://thumb.tapecontent.net/thumb/dgGPXOKJdrckOJk/bzqpVyo94rhP3Ld.jpg" TargetMode="External"/><Relationship Id="rId1743" Type="http://schemas.openxmlformats.org/officeDocument/2006/relationships/hyperlink" Target="https://doodstream.com/d/yp8mr8mbq9vm/" TargetMode="External"/><Relationship Id="rId35" Type="http://schemas.openxmlformats.org/officeDocument/2006/relationships/hyperlink" Target="https://lulustream.com/e/jgnj29xlndop" TargetMode="External"/><Relationship Id="rId1810" Type="http://schemas.openxmlformats.org/officeDocument/2006/relationships/hyperlink" Target="https://doodstream.com/d/uqoyl0s9y53k/" TargetMode="External"/><Relationship Id="rId3568" Type="http://schemas.openxmlformats.org/officeDocument/2006/relationships/hyperlink" Target="https://thumb.tapecontent.net/thumb/3kO9JR1a8lF3Vk/vBwMBX0Bb9t4Xkb.jpg" TargetMode="External"/><Relationship Id="rId3982" Type="http://schemas.openxmlformats.org/officeDocument/2006/relationships/hyperlink" Target="https://lulustream.com/d/yl70k1sa5ejk" TargetMode="External"/><Relationship Id="rId4619" Type="http://schemas.openxmlformats.org/officeDocument/2006/relationships/hyperlink" Target="https://thumb.tapecontent.net/thumb/Qb4lrA6oW9i0LAe/9O4y2MgGWOsBQb.jpg" TargetMode="External"/><Relationship Id="rId489" Type="http://schemas.openxmlformats.org/officeDocument/2006/relationships/hyperlink" Target="https://luluvdoo.com/d/f084c2km5m7n" TargetMode="External"/><Relationship Id="rId2584" Type="http://schemas.openxmlformats.org/officeDocument/2006/relationships/hyperlink" Target="https://lulustream.com/e/vabx6qn8cipa" TargetMode="External"/><Relationship Id="rId3635" Type="http://schemas.openxmlformats.org/officeDocument/2006/relationships/hyperlink" Target="https://lulustream.com/e/jazkvi3txf8a" TargetMode="External"/><Relationship Id="rId556" Type="http://schemas.openxmlformats.org/officeDocument/2006/relationships/hyperlink" Target="https://doodstream.com/d/qqgpmyssudni/" TargetMode="External"/><Relationship Id="rId1186" Type="http://schemas.openxmlformats.org/officeDocument/2006/relationships/hyperlink" Target="https://lulustream.com/e/u8yzw73zt9os" TargetMode="External"/><Relationship Id="rId2237" Type="http://schemas.openxmlformats.org/officeDocument/2006/relationships/hyperlink" Target="https://doodstream.com/d/8ll5uoag21rb/" TargetMode="External"/><Relationship Id="rId209" Type="http://schemas.openxmlformats.org/officeDocument/2006/relationships/hyperlink" Target="https://doodstream.com/d/cbfd40bocvz4/" TargetMode="External"/><Relationship Id="rId970" Type="http://schemas.openxmlformats.org/officeDocument/2006/relationships/hyperlink" Target="https://thumb.tapecontent.net/thumb/WyW1Xaa6Wwhb94m/zVMXM7L4bMSeOD.jpg" TargetMode="External"/><Relationship Id="rId1253" Type="http://schemas.openxmlformats.org/officeDocument/2006/relationships/hyperlink" Target="https://lulustream.com/e/s4dpib58mz59" TargetMode="External"/><Relationship Id="rId2651" Type="http://schemas.openxmlformats.org/officeDocument/2006/relationships/hyperlink" Target="https://lulustream.com/e/1kb88l89a3zh" TargetMode="External"/><Relationship Id="rId3702" Type="http://schemas.openxmlformats.org/officeDocument/2006/relationships/hyperlink" Target="https://lulustream.com/e/b4tc3q0q66qx" TargetMode="External"/><Relationship Id="rId623" Type="http://schemas.openxmlformats.org/officeDocument/2006/relationships/hyperlink" Target="https://lulustream.com/d/oo9951psh1fy" TargetMode="External"/><Relationship Id="rId2304" Type="http://schemas.openxmlformats.org/officeDocument/2006/relationships/hyperlink" Target="https://thumb.tapecontent.net/thumb/YGRxbQz7VdFBl1/jAG1qBk3mWHzyJl.jpg" TargetMode="External"/><Relationship Id="rId1320" Type="http://schemas.openxmlformats.org/officeDocument/2006/relationships/hyperlink" Target="https://lulustream.com/e/i35rocmguunv" TargetMode="External"/><Relationship Id="rId4476" Type="http://schemas.openxmlformats.org/officeDocument/2006/relationships/hyperlink" Target="https://doodstream.com/d/2yz4f2bv4esu/" TargetMode="External"/><Relationship Id="rId3078" Type="http://schemas.openxmlformats.org/officeDocument/2006/relationships/hyperlink" Target="https://thumb.tapecontent.net/thumb/AJZXWQ7d8eImWp/Jk0v86YGedtjxQ7.jpg" TargetMode="External"/><Relationship Id="rId3492" Type="http://schemas.openxmlformats.org/officeDocument/2006/relationships/hyperlink" Target="https://lulustream.com/e/ejix5hq32r6w" TargetMode="External"/><Relationship Id="rId4129" Type="http://schemas.openxmlformats.org/officeDocument/2006/relationships/hyperlink" Target="https://thumb.tapecontent.net/thumb/ldbv2PgWa0f78ye/0ZaM2jBMOdU2LY.jpg" TargetMode="External"/><Relationship Id="rId4543" Type="http://schemas.openxmlformats.org/officeDocument/2006/relationships/hyperlink" Target="https://thumb.tapecontent.net/thumb/qljzA9WweAHzJzw/ZxwoKea8VWCq0bo.jpg" TargetMode="External"/><Relationship Id="rId2094" Type="http://schemas.openxmlformats.org/officeDocument/2006/relationships/hyperlink" Target="https://thumb.tapecontent.net/thumb/9jLABaLgAgIybJ/zM9JaXLmx3sYrGk.jpg" TargetMode="External"/><Relationship Id="rId3145" Type="http://schemas.openxmlformats.org/officeDocument/2006/relationships/hyperlink" Target="https://thumb.tapecontent.net/thumb/GXLvwP0WvvTa7M/qy67Z6wr3XTzbMj.jpg" TargetMode="External"/><Relationship Id="rId4610" Type="http://schemas.openxmlformats.org/officeDocument/2006/relationships/hyperlink" Target="https://thumb.tapecontent.net/thumb/XjXyAq849JS3J8/YDLXd91DlecvVAQ.jpg" TargetMode="External"/><Relationship Id="rId480" Type="http://schemas.openxmlformats.org/officeDocument/2006/relationships/hyperlink" Target="https://thumb.tapecontent.net/thumb/dkoXPKwBa7Tkx6R/r29k90418AhbR63.jpg" TargetMode="External"/><Relationship Id="rId2161" Type="http://schemas.openxmlformats.org/officeDocument/2006/relationships/hyperlink" Target="https://thumb.tapecontent.net/thumb/78VMboqvY3TAqaQ/O4mLgBRv7ZTz4R.jpg" TargetMode="External"/><Relationship Id="rId3212" Type="http://schemas.openxmlformats.org/officeDocument/2006/relationships/hyperlink" Target="https://lulustream.com/d/bnw7mrgnt19x" TargetMode="External"/><Relationship Id="rId133" Type="http://schemas.openxmlformats.org/officeDocument/2006/relationships/hyperlink" Target="https://lulustream.com/d/7odeb2yjvzzm" TargetMode="External"/><Relationship Id="rId200" Type="http://schemas.openxmlformats.org/officeDocument/2006/relationships/hyperlink" Target="https://doodstream.com/d/qctghddt78k0/" TargetMode="External"/><Relationship Id="rId2978" Type="http://schemas.openxmlformats.org/officeDocument/2006/relationships/hyperlink" Target="https://thumb.tapecontent.net/thumb/VoKk4JXeOJFkQz/bezlZDQ3xWhPArY.jpg" TargetMode="External"/><Relationship Id="rId1994" Type="http://schemas.openxmlformats.org/officeDocument/2006/relationships/hyperlink" Target="https://lulustream.com/d/chmzssrt48i5" TargetMode="External"/><Relationship Id="rId1647" Type="http://schemas.openxmlformats.org/officeDocument/2006/relationships/hyperlink" Target="https://doodstream.com/d/0nzcmmf48qlk/" TargetMode="External"/><Relationship Id="rId4053" Type="http://schemas.openxmlformats.org/officeDocument/2006/relationships/hyperlink" Target="https://thumb.tapecontent.net/thumb/9P7XD1wlPdIa20z/PZkOZqa7jBcALB.jpg" TargetMode="External"/><Relationship Id="rId1714" Type="http://schemas.openxmlformats.org/officeDocument/2006/relationships/hyperlink" Target="https://thumb.tapecontent.net/thumb/8PyM1qrK29form9/YBB738xdA1hvQ1D.jpg" TargetMode="External"/><Relationship Id="rId4120" Type="http://schemas.openxmlformats.org/officeDocument/2006/relationships/hyperlink" Target="https://lulustream.com/d/w2o1wn0cp9ft" TargetMode="External"/><Relationship Id="rId2488" Type="http://schemas.openxmlformats.org/officeDocument/2006/relationships/hyperlink" Target="https://thumb.tapecontent.net/thumb/Vr2p8gAQ1xTKpMy/1R6QVo23ByUeR90.jpg" TargetMode="External"/><Relationship Id="rId3886" Type="http://schemas.openxmlformats.org/officeDocument/2006/relationships/hyperlink" Target="https://doodstream.com/d/72mppsop5mdy/" TargetMode="External"/><Relationship Id="rId3539" Type="http://schemas.openxmlformats.org/officeDocument/2006/relationships/hyperlink" Target="https://thumb.tapecontent.net/thumb/VxQgeWkKbPuKJXK/MPQ198QAD0f1yx.jpg" TargetMode="External"/><Relationship Id="rId3953" Type="http://schemas.openxmlformats.org/officeDocument/2006/relationships/hyperlink" Target="https://thumb.tapecontent.net/thumb/3wmeGWQLq8Hd7PK/BBdorWmLopSyXQ1.jpg" TargetMode="External"/><Relationship Id="rId874" Type="http://schemas.openxmlformats.org/officeDocument/2006/relationships/hyperlink" Target="https://doodstream.com/d/5i8ya0xmha8t/" TargetMode="External"/><Relationship Id="rId2555" Type="http://schemas.openxmlformats.org/officeDocument/2006/relationships/hyperlink" Target="https://lulustream.com/d/5f0208ns9lmn" TargetMode="External"/><Relationship Id="rId3606" Type="http://schemas.openxmlformats.org/officeDocument/2006/relationships/hyperlink" Target="https://doodstream.com/d/ry1uv9nik0p9/" TargetMode="External"/><Relationship Id="rId527" Type="http://schemas.openxmlformats.org/officeDocument/2006/relationships/hyperlink" Target="https://thumb.tapecontent.net/thumb/mYgmLga84xSbPWK/XbRD2Pz10KiBw8.jpg" TargetMode="External"/><Relationship Id="rId941" Type="http://schemas.openxmlformats.org/officeDocument/2006/relationships/hyperlink" Target="https://lulustream.com/e/nrfez17ohhi4" TargetMode="External"/><Relationship Id="rId1157" Type="http://schemas.openxmlformats.org/officeDocument/2006/relationships/hyperlink" Target="https://lulustream.com/e/vep3s1mm3erz" TargetMode="External"/><Relationship Id="rId1571" Type="http://schemas.openxmlformats.org/officeDocument/2006/relationships/hyperlink" Target="https://thumb.tapecontent.net/thumb/Wr1w02x9y6hq4w/QJmYOkJ2XbF0jzV.jpg" TargetMode="External"/><Relationship Id="rId2208" Type="http://schemas.openxmlformats.org/officeDocument/2006/relationships/hyperlink" Target="https://lulustream.com/e/14i3s5nfh9t1" TargetMode="External"/><Relationship Id="rId2622" Type="http://schemas.openxmlformats.org/officeDocument/2006/relationships/hyperlink" Target="https://lulustream.com/d/9zttyodb0ktl" TargetMode="External"/><Relationship Id="rId1224" Type="http://schemas.openxmlformats.org/officeDocument/2006/relationships/hyperlink" Target="https://lulustream.com/e/u5hpb2flt134" TargetMode="External"/><Relationship Id="rId3396" Type="http://schemas.openxmlformats.org/officeDocument/2006/relationships/hyperlink" Target="https://thumb.tapecontent.net/thumb/DPeRrM1Y8Ztk179/l4QzjR8JW9f7G6V.jpg" TargetMode="External"/><Relationship Id="rId4447" Type="http://schemas.openxmlformats.org/officeDocument/2006/relationships/hyperlink" Target="https://doodstream.com/d/3ii0p94b41el/" TargetMode="External"/><Relationship Id="rId3049" Type="http://schemas.openxmlformats.org/officeDocument/2006/relationships/hyperlink" Target="https://luluvdoo.com/d/2us24lnpfh8a" TargetMode="External"/><Relationship Id="rId3463" Type="http://schemas.openxmlformats.org/officeDocument/2006/relationships/hyperlink" Target="https://lulustream.com/e/zh2cutokip2g" TargetMode="External"/><Relationship Id="rId384" Type="http://schemas.openxmlformats.org/officeDocument/2006/relationships/hyperlink" Target="https://thumb.tapecontent.net/thumb/p7gPx78RMjHrQGG/WqxPR1R914cbj73.jpg" TargetMode="External"/><Relationship Id="rId2065" Type="http://schemas.openxmlformats.org/officeDocument/2006/relationships/hyperlink" Target="https://doodstream.com/d/l6hv76ccucyw/" TargetMode="External"/><Relationship Id="rId3116" Type="http://schemas.openxmlformats.org/officeDocument/2006/relationships/hyperlink" Target="https://thumb.tapecontent.net/thumb/P9MaZPP1ZyIkBQ/KzY916MzpKHAZ9.jpg" TargetMode="External"/><Relationship Id="rId4514" Type="http://schemas.openxmlformats.org/officeDocument/2006/relationships/hyperlink" Target="https://thumb.tapecontent.net/thumb/lgPkgbpV6MI7XZl/P7M1Mj6LjvhW1l.jpg" TargetMode="External"/><Relationship Id="rId1081" Type="http://schemas.openxmlformats.org/officeDocument/2006/relationships/hyperlink" Target="https://lulustream.com/e/snxwe34m0aye" TargetMode="External"/><Relationship Id="rId3530" Type="http://schemas.openxmlformats.org/officeDocument/2006/relationships/hyperlink" Target="https://thumb.tapecontent.net/thumb/oAry77vd4YCJk9q/PjdOWX3jR0uRkd.jpg" TargetMode="External"/><Relationship Id="rId451" Type="http://schemas.openxmlformats.org/officeDocument/2006/relationships/hyperlink" Target="https://thumb.tapecontent.net/thumb/VdJw42Ly47tK7vX/2r2vrveplmfZ4oW.jpg" TargetMode="External"/><Relationship Id="rId2132" Type="http://schemas.openxmlformats.org/officeDocument/2006/relationships/hyperlink" Target="https://lulustream.com/e/1c9ggspj6tg0" TargetMode="External"/><Relationship Id="rId104" Type="http://schemas.openxmlformats.org/officeDocument/2006/relationships/hyperlink" Target="https://thumb.tapecontent.net/thumb/we1GLVXzg2SVoO/wP0R43x9d1HJ2DO.jpg" TargetMode="External"/><Relationship Id="rId1898" Type="http://schemas.openxmlformats.org/officeDocument/2006/relationships/hyperlink" Target="https://lulustream.com/d/i2qbeadkw6xb" TargetMode="External"/><Relationship Id="rId2949" Type="http://schemas.openxmlformats.org/officeDocument/2006/relationships/hyperlink" Target="https://lulustream.com/d/it96lc4kdj8b" TargetMode="External"/><Relationship Id="rId4371" Type="http://schemas.openxmlformats.org/officeDocument/2006/relationships/hyperlink" Target="https://thumb.tapecontent.net/thumb/6jWp49zrJAc93Op/VPQzvdBaZ7CxaM.jpg" TargetMode="External"/><Relationship Id="rId1965" Type="http://schemas.openxmlformats.org/officeDocument/2006/relationships/hyperlink" Target="https://lulustream.com/e/grjrhyu221ia" TargetMode="External"/><Relationship Id="rId4024" Type="http://schemas.openxmlformats.org/officeDocument/2006/relationships/hyperlink" Target="https://lulustream.com/d/v1z19rrkwumy" TargetMode="External"/><Relationship Id="rId1618" Type="http://schemas.openxmlformats.org/officeDocument/2006/relationships/hyperlink" Target="https://doodstream.com/d/88v6td33g9sj/" TargetMode="External"/><Relationship Id="rId3040" Type="http://schemas.openxmlformats.org/officeDocument/2006/relationships/hyperlink" Target="https://luluvdoo.com/d/s7nrem3sveq0" TargetMode="External"/><Relationship Id="rId3857" Type="http://schemas.openxmlformats.org/officeDocument/2006/relationships/hyperlink" Target="https://thumb.tapecontent.net/thumb/YK1pWOqOVXHvgyz/PW4Oda7L4eiGqj.jpg" TargetMode="External"/><Relationship Id="rId778" Type="http://schemas.openxmlformats.org/officeDocument/2006/relationships/hyperlink" Target="https://thumb.tapecontent.net/thumb/r0B1kB3DMyTbBDJ/ZKBBAMlmojhq24O.jpg" TargetMode="External"/><Relationship Id="rId2459" Type="http://schemas.openxmlformats.org/officeDocument/2006/relationships/hyperlink" Target="https://doodstream.com/d/qod25tt4zrw2/" TargetMode="External"/><Relationship Id="rId2873" Type="http://schemas.openxmlformats.org/officeDocument/2006/relationships/hyperlink" Target="https://lulustream.com/d/j6s6hvmb8mec" TargetMode="External"/><Relationship Id="rId3924" Type="http://schemas.openxmlformats.org/officeDocument/2006/relationships/hyperlink" Target="https://lulustream.com/d/q930to2cylsi" TargetMode="External"/><Relationship Id="rId845" Type="http://schemas.openxmlformats.org/officeDocument/2006/relationships/hyperlink" Target="https://thumb.tapecontent.net/thumb/bRBYVAqgxRIPP3b/9ll3y30YXkca4oA.jpg" TargetMode="External"/><Relationship Id="rId1475" Type="http://schemas.openxmlformats.org/officeDocument/2006/relationships/hyperlink" Target="https://lulustream.com/e/pin4fl91wj7h" TargetMode="External"/><Relationship Id="rId2526" Type="http://schemas.openxmlformats.org/officeDocument/2006/relationships/hyperlink" Target="https://thumb.tapecontent.net/thumb/vK8372R72Af4yLb/8Oko6pa4pMIoaYW.jpg" TargetMode="External"/><Relationship Id="rId1128" Type="http://schemas.openxmlformats.org/officeDocument/2006/relationships/hyperlink" Target="https://doodstream.com/d/gw6zhhnckb0g/" TargetMode="External"/><Relationship Id="rId1542" Type="http://schemas.openxmlformats.org/officeDocument/2006/relationships/hyperlink" Target="https://lulustream.com/e/hahg641nzw18" TargetMode="External"/><Relationship Id="rId2940" Type="http://schemas.openxmlformats.org/officeDocument/2006/relationships/hyperlink" Target="https://doodstream.com/d/ruin6avlwzgu/" TargetMode="External"/><Relationship Id="rId4698" Type="http://schemas.openxmlformats.org/officeDocument/2006/relationships/hyperlink" Target="https://lulustream.com/d/4mek0h25mp8x" TargetMode="External"/><Relationship Id="rId912" Type="http://schemas.openxmlformats.org/officeDocument/2006/relationships/hyperlink" Target="https://thumb.tapecontent.net/thumb/dgYB7PL8kriZrp/bZGKeZoXj9UPwdK.jpg" TargetMode="External"/><Relationship Id="rId4765" Type="http://schemas.openxmlformats.org/officeDocument/2006/relationships/hyperlink" Target="https://thumb.tapecontent.net/thumb/xe8QOYJvgwFk4Z7/agDM7VxVD3Txr9r.jpg" TargetMode="External"/><Relationship Id="rId288" Type="http://schemas.openxmlformats.org/officeDocument/2006/relationships/hyperlink" Target="https://thumb.tapecontent.net/thumb/Gb8pGe7ZV3f1rMw/bZmKaO99V2hPwqy.jpg" TargetMode="External"/><Relationship Id="rId3367" Type="http://schemas.openxmlformats.org/officeDocument/2006/relationships/hyperlink" Target="https://lulustream.com/d/cfac0ottyx2y" TargetMode="External"/><Relationship Id="rId3781" Type="http://schemas.openxmlformats.org/officeDocument/2006/relationships/hyperlink" Target="https://doodstream.com/d/mi89poamexho/" TargetMode="External"/><Relationship Id="rId4418" Type="http://schemas.openxmlformats.org/officeDocument/2006/relationships/hyperlink" Target="https://lulustream.com/e/k208sr9aypke" TargetMode="External"/><Relationship Id="rId2383" Type="http://schemas.openxmlformats.org/officeDocument/2006/relationships/hyperlink" Target="https://lulustream.com/e/6g2kcuumkwcc" TargetMode="External"/><Relationship Id="rId3434" Type="http://schemas.openxmlformats.org/officeDocument/2006/relationships/hyperlink" Target="https://doodstream.com/d/xcg7mgc2zxg8/" TargetMode="External"/><Relationship Id="rId355" Type="http://schemas.openxmlformats.org/officeDocument/2006/relationships/hyperlink" Target="https://thumb.tapecontent.net/thumb/GjPvMgpvJ0HYA8/AMPxogAL7WFXPKP.jpg" TargetMode="External"/><Relationship Id="rId2036" Type="http://schemas.openxmlformats.org/officeDocument/2006/relationships/hyperlink" Target="https://lulustream.com/e/uqpk1exye70x" TargetMode="External"/><Relationship Id="rId2450" Type="http://schemas.openxmlformats.org/officeDocument/2006/relationships/hyperlink" Target="https://thumb.tapecontent.net/thumb/bRMgdRlZXbhP9Dw/Joz7XZyjj4Tr6b.jpg" TargetMode="External"/><Relationship Id="rId3501" Type="http://schemas.openxmlformats.org/officeDocument/2006/relationships/hyperlink" Target="https://lulustream.com/e/za50gd2zsewj" TargetMode="External"/><Relationship Id="rId422" Type="http://schemas.openxmlformats.org/officeDocument/2006/relationships/hyperlink" Target="https://streamtape.com/v/8BxmGVPP0eF8x2/Angela_White_-_35786373_-_Onlyfans_-_Slimthick_Vic.mp4" TargetMode="External"/><Relationship Id="rId1052" Type="http://schemas.openxmlformats.org/officeDocument/2006/relationships/hyperlink" Target="https://lulustream.com/e/yeerormy3syl" TargetMode="External"/><Relationship Id="rId2103" Type="http://schemas.openxmlformats.org/officeDocument/2006/relationships/hyperlink" Target="https://thumb.tapecontent.net/thumb/17VmwYkxo3SeOLx/laeZlX0M03Sm6w.jpg" TargetMode="External"/><Relationship Id="rId4275" Type="http://schemas.openxmlformats.org/officeDocument/2006/relationships/hyperlink" Target="https://lulustream.com/d/cmkywxrfrr6l" TargetMode="External"/><Relationship Id="rId1869" Type="http://schemas.openxmlformats.org/officeDocument/2006/relationships/hyperlink" Target="https://thumb.tapecontent.net/thumb/gdW2wolxOlHqWMP/Q28p8D01Pqh00AP.jpg" TargetMode="External"/><Relationship Id="rId3291" Type="http://schemas.openxmlformats.org/officeDocument/2006/relationships/hyperlink" Target="https://thumb.tapecontent.net/thumb/bwGOA7wAkeuPyVR/mwMLjgmyg1ubwk9.jpg" TargetMode="External"/><Relationship Id="rId1936" Type="http://schemas.openxmlformats.org/officeDocument/2006/relationships/hyperlink" Target="https://lulustream.com/d/5ctr8cu9mzjo" TargetMode="External"/><Relationship Id="rId4342" Type="http://schemas.openxmlformats.org/officeDocument/2006/relationships/hyperlink" Target="https://lulustream.com/e/995vhdt3g9wu" TargetMode="External"/><Relationship Id="rId3011" Type="http://schemas.openxmlformats.org/officeDocument/2006/relationships/hyperlink" Target="https://lulustream.com/d/v73wcxnymewk" TargetMode="External"/><Relationship Id="rId2777" Type="http://schemas.openxmlformats.org/officeDocument/2006/relationships/hyperlink" Target="https://lulustream.com/d/mu2h1vhtr4by" TargetMode="External"/><Relationship Id="rId749" Type="http://schemas.openxmlformats.org/officeDocument/2006/relationships/hyperlink" Target="https://thumb.tapecontent.net/thumb/w7pJ00pr46foww/MqXJzzoMmYuDYl.jpg" TargetMode="External"/><Relationship Id="rId1379" Type="http://schemas.openxmlformats.org/officeDocument/2006/relationships/hyperlink" Target="https://doodstream.com/d/2ek0m2zmajfl/" TargetMode="External"/><Relationship Id="rId3828" Type="http://schemas.openxmlformats.org/officeDocument/2006/relationships/hyperlink" Target="https://lulustream.com/e/24qxow5ra0ng" TargetMode="External"/><Relationship Id="rId1793" Type="http://schemas.openxmlformats.org/officeDocument/2006/relationships/hyperlink" Target="https://lulustream.com/e/wridntyed3p9" TargetMode="External"/><Relationship Id="rId2844" Type="http://schemas.openxmlformats.org/officeDocument/2006/relationships/hyperlink" Target="https://lulustream.com/e/choq7arrlqmp" TargetMode="External"/><Relationship Id="rId85" Type="http://schemas.openxmlformats.org/officeDocument/2006/relationships/hyperlink" Target="https://doodstream.com/d/60ve1m8rumvx/" TargetMode="External"/><Relationship Id="rId816" Type="http://schemas.openxmlformats.org/officeDocument/2006/relationships/hyperlink" Target="https://doodstream.com/d/83y0z4fehdc0/" TargetMode="External"/><Relationship Id="rId1446" Type="http://schemas.openxmlformats.org/officeDocument/2006/relationships/hyperlink" Target="https://doodstream.com/d/76f9tifk4817/" TargetMode="External"/><Relationship Id="rId1860" Type="http://schemas.openxmlformats.org/officeDocument/2006/relationships/hyperlink" Target="https://thumb.tapecontent.net/thumb/ogK7ODYmOqSJB98/2DZP9LWWpYcZ3j2.jpg" TargetMode="External"/><Relationship Id="rId2911" Type="http://schemas.openxmlformats.org/officeDocument/2006/relationships/hyperlink" Target="https://lulustream.com/d/xu3gwgbqo76w" TargetMode="External"/><Relationship Id="rId1513" Type="http://schemas.openxmlformats.org/officeDocument/2006/relationships/hyperlink" Target="https://lulustream.com/e/7dqp2d2u1oxo" TargetMode="External"/><Relationship Id="rId4669" Type="http://schemas.openxmlformats.org/officeDocument/2006/relationships/hyperlink" Target="https://lulustream.com/d/6122y6inry27" TargetMode="External"/><Relationship Id="rId3685" Type="http://schemas.openxmlformats.org/officeDocument/2006/relationships/hyperlink" Target="https://doodstream.com/d/e151xxxuzgjh/" TargetMode="External"/><Relationship Id="rId4736" Type="http://schemas.openxmlformats.org/officeDocument/2006/relationships/hyperlink" Target="https://lulustream.com/d/6hh9ay372c0c" TargetMode="External"/><Relationship Id="rId2287" Type="http://schemas.openxmlformats.org/officeDocument/2006/relationships/hyperlink" Target="https://doodstream.com/d/y8c3v7uuliht/" TargetMode="External"/><Relationship Id="rId3338" Type="http://schemas.openxmlformats.org/officeDocument/2006/relationships/hyperlink" Target="https://doodstream.com/d/p8ol6hdjr1at/" TargetMode="External"/><Relationship Id="rId3752" Type="http://schemas.openxmlformats.org/officeDocument/2006/relationships/hyperlink" Target="https://doodstream.com/d/wu25i7f3yf28/" TargetMode="External"/><Relationship Id="rId259" Type="http://schemas.openxmlformats.org/officeDocument/2006/relationships/hyperlink" Target="https://thumb.tapecontent.net/thumb/mwb710VDzKIbxb9/lWMGq61RZwC7Myl.jpg" TargetMode="External"/><Relationship Id="rId673" Type="http://schemas.openxmlformats.org/officeDocument/2006/relationships/hyperlink" Target="https://thumb.tapecontent.net/thumb/PZArd9A71xU0jzQ/gL0xVzyqoGSvaD.jpg" TargetMode="External"/><Relationship Id="rId2354" Type="http://schemas.openxmlformats.org/officeDocument/2006/relationships/hyperlink" Target="https://thumb.tapecontent.net/thumb/g3DJ0XKJXdhqbRD/Dq2PP3o0JJckpwK.jpg" TargetMode="External"/><Relationship Id="rId3405" Type="http://schemas.openxmlformats.org/officeDocument/2006/relationships/hyperlink" Target="https://thumb.tapecontent.net/thumb/aq3vrWMOVaFJVv/90PLWreXjOfazvW.jpg" TargetMode="External"/><Relationship Id="rId326" Type="http://schemas.openxmlformats.org/officeDocument/2006/relationships/hyperlink" Target="https://luluvdoo.com/d/gjk174gr3czb" TargetMode="External"/><Relationship Id="rId1370" Type="http://schemas.openxmlformats.org/officeDocument/2006/relationships/hyperlink" Target="https://thumb.tapecontent.net/thumb/6RzWel7AMQt9GPa/GkODpmjaQbf1vvb.jpg" TargetMode="External"/><Relationship Id="rId2007" Type="http://schemas.openxmlformats.org/officeDocument/2006/relationships/hyperlink" Target="https://lulustream.com/e/rhgmypkrm366" TargetMode="External"/><Relationship Id="rId740" Type="http://schemas.openxmlformats.org/officeDocument/2006/relationships/hyperlink" Target="https://doodstream.com/d/65l86lcnuepl/" TargetMode="External"/><Relationship Id="rId1023" Type="http://schemas.openxmlformats.org/officeDocument/2006/relationships/hyperlink" Target="https://thumb.tapecontent.net/thumb/QepAllZPqBf0bMb/xvpvq0pOJaUkggB.jpg" TargetMode="External"/><Relationship Id="rId2421" Type="http://schemas.openxmlformats.org/officeDocument/2006/relationships/hyperlink" Target="https://doodstream.com/d/wn9jxxvcmwtj/" TargetMode="External"/><Relationship Id="rId4179" Type="http://schemas.openxmlformats.org/officeDocument/2006/relationships/hyperlink" Target="https://lulustream.com/e/htjk6y4ga8q5" TargetMode="External"/><Relationship Id="rId4593" Type="http://schemas.openxmlformats.org/officeDocument/2006/relationships/hyperlink" Target="https://thumb.tapecontent.net/thumb/Va0yXeQpYJiOdB/7mpZ1928PWcAZXY.jpg" TargetMode="External"/><Relationship Id="rId3195" Type="http://schemas.openxmlformats.org/officeDocument/2006/relationships/hyperlink" Target="https://thumb.tapecontent.net/thumb/mevgWk6PGoHbojY/kPkQyPkobXCOObD.jpg" TargetMode="External"/><Relationship Id="rId4246" Type="http://schemas.openxmlformats.org/officeDocument/2006/relationships/hyperlink" Target="https://doodstream.com/d/oy25h044hxpp/" TargetMode="External"/><Relationship Id="rId4660" Type="http://schemas.openxmlformats.org/officeDocument/2006/relationships/hyperlink" Target="https://thumb.tapecontent.net/thumb/Zw9W672DJehMoM/o2JYp3azXXhJXwl.jpg" TargetMode="External"/><Relationship Id="rId3262" Type="http://schemas.openxmlformats.org/officeDocument/2006/relationships/hyperlink" Target="https://thumb.tapecontent.net/thumb/GbZ7xAGVxLC17Rx/YeaOqQ97BPCB6Q.jpg" TargetMode="External"/><Relationship Id="rId4313" Type="http://schemas.openxmlformats.org/officeDocument/2006/relationships/hyperlink" Target="https://doodstream.com/d/3smwh4uzntca/" TargetMode="External"/><Relationship Id="rId183" Type="http://schemas.openxmlformats.org/officeDocument/2006/relationships/hyperlink" Target="https://doodstream.com/d/n3t0xiknnm7y/" TargetMode="External"/><Relationship Id="rId1907" Type="http://schemas.openxmlformats.org/officeDocument/2006/relationships/hyperlink" Target="https://thumb.tapecontent.net/thumb/vowmpwzJGZt4ZMb/kbG2PRZpvKCOV0o.jpg" TargetMode="External"/><Relationship Id="rId250" Type="http://schemas.openxmlformats.org/officeDocument/2006/relationships/hyperlink" Target="https://doodstream.com/d/y473vrt32bk8/" TargetMode="External"/><Relationship Id="rId1697" Type="http://schemas.openxmlformats.org/officeDocument/2006/relationships/hyperlink" Target="https://luluvdoo.com/d/8n0531nnrh0q" TargetMode="External"/><Relationship Id="rId2748" Type="http://schemas.openxmlformats.org/officeDocument/2006/relationships/hyperlink" Target="https://doodstream.com/d/gwbf93wj9vwe/" TargetMode="External"/><Relationship Id="rId1764" Type="http://schemas.openxmlformats.org/officeDocument/2006/relationships/hyperlink" Target="https://thumb.tapecontent.net/thumb/6wKWlVK1Keu98Wj/y0wxJwY3DPf1RR1.jpg" TargetMode="External"/><Relationship Id="rId2815" Type="http://schemas.openxmlformats.org/officeDocument/2006/relationships/hyperlink" Target="https://thumb.tapecontent.net/thumb/bRKm0wVwdgFdeb/XP48A143waF0Qo.jpg" TargetMode="External"/><Relationship Id="rId4170" Type="http://schemas.openxmlformats.org/officeDocument/2006/relationships/hyperlink" Target="https://thumb.tapecontent.net/thumb/x944l91jd4twmy/ewBemaMLyJcoBw.jpg" TargetMode="External"/><Relationship Id="rId56" Type="http://schemas.openxmlformats.org/officeDocument/2006/relationships/hyperlink" Target="https://thumb.tapecontent.net/thumb/aYzDX643xqhx1Z9/LdrLOVlWlBIRddm.jpg" TargetMode="External"/><Relationship Id="rId1417" Type="http://schemas.openxmlformats.org/officeDocument/2006/relationships/hyperlink" Target="https://thumb.tapecontent.net/thumb/Y6yvpXqM04Hv7AQ/ygjdzpmyoAToRe.jpg" TargetMode="External"/><Relationship Id="rId1831" Type="http://schemas.openxmlformats.org/officeDocument/2006/relationships/hyperlink" Target="https://doodstream.com/d/xa7mtojyse9q/" TargetMode="External"/><Relationship Id="rId3589" Type="http://schemas.openxmlformats.org/officeDocument/2006/relationships/hyperlink" Target="https://doodstream.com/d/9y54t1geyig1/" TargetMode="External"/><Relationship Id="rId577" Type="http://schemas.openxmlformats.org/officeDocument/2006/relationships/hyperlink" Target="https://doodstream.com/d/6yfwc8k0g2k2/" TargetMode="External"/><Relationship Id="rId2258" Type="http://schemas.openxmlformats.org/officeDocument/2006/relationships/hyperlink" Target="https://doodstream.com/d/blhb05iyqdp2/" TargetMode="External"/><Relationship Id="rId3656" Type="http://schemas.openxmlformats.org/officeDocument/2006/relationships/hyperlink" Target="https://thumb.tapecontent.net/thumb/ZPqz8rlZO6tqpo6/A2RDjGyKXBCX7Gr.jpg" TargetMode="External"/><Relationship Id="rId4707" Type="http://schemas.openxmlformats.org/officeDocument/2006/relationships/hyperlink" Target="https://thumb.tapecontent.net/thumb/Or3QDpLG6ZsZv4y/yGzpX19O4RS1zqA.jpg" TargetMode="External"/><Relationship Id="rId991" Type="http://schemas.openxmlformats.org/officeDocument/2006/relationships/hyperlink" Target="https://thumb.tapecontent.net/thumb/7bOZJpGxO6cAe7Z/GW6aXvvKZzH1kpx.jpg" TargetMode="External"/><Relationship Id="rId2672" Type="http://schemas.openxmlformats.org/officeDocument/2006/relationships/hyperlink" Target="https://lulustream.com/e/eek7lvbbsczk" TargetMode="External"/><Relationship Id="rId3309" Type="http://schemas.openxmlformats.org/officeDocument/2006/relationships/hyperlink" Target="https://lulustream.com/d/dsdvf7foyv3x" TargetMode="External"/><Relationship Id="rId3723" Type="http://schemas.openxmlformats.org/officeDocument/2006/relationships/hyperlink" Target="https://lulustream.com/e/hv6tzbhzhtt7" TargetMode="External"/><Relationship Id="rId644" Type="http://schemas.openxmlformats.org/officeDocument/2006/relationships/hyperlink" Target="https://lulustream.com/d/ecjeonkrbpqc" TargetMode="External"/><Relationship Id="rId1274" Type="http://schemas.openxmlformats.org/officeDocument/2006/relationships/hyperlink" Target="https://doodstream.com/d/3duw7yczunc4/" TargetMode="External"/><Relationship Id="rId2325" Type="http://schemas.openxmlformats.org/officeDocument/2006/relationships/hyperlink" Target="https://doodstream.com/d/slh3a6v7d6iq/" TargetMode="External"/><Relationship Id="rId711" Type="http://schemas.openxmlformats.org/officeDocument/2006/relationships/hyperlink" Target="https://thumb.tapecontent.net/thumb/Y7GzQwy6QaCvm8z/3k2Wj3K44Ru2Wl.jpg" TargetMode="External"/><Relationship Id="rId1341" Type="http://schemas.openxmlformats.org/officeDocument/2006/relationships/hyperlink" Target="https://doodstream.com/d/ajfdmtk5go1q/" TargetMode="External"/><Relationship Id="rId4497" Type="http://schemas.openxmlformats.org/officeDocument/2006/relationships/hyperlink" Target="https://doodstream.com/d/bcy248u63p68/" TargetMode="External"/><Relationship Id="rId3099" Type="http://schemas.openxmlformats.org/officeDocument/2006/relationships/hyperlink" Target="https://doodstream.com/d/edqhy2usqdrx/" TargetMode="External"/><Relationship Id="rId4564" Type="http://schemas.openxmlformats.org/officeDocument/2006/relationships/hyperlink" Target="https://thumb.tapecontent.net/thumb/k2oLaPl7PvUOkrK/Z3ZV1W0La0IoBQ.jpg" TargetMode="External"/><Relationship Id="rId3166" Type="http://schemas.openxmlformats.org/officeDocument/2006/relationships/hyperlink" Target="https://thumb.tapecontent.net/thumb/4X1kQvGy08CVak/6k4KMAJexQU9wM6.jpg" TargetMode="External"/><Relationship Id="rId3580" Type="http://schemas.openxmlformats.org/officeDocument/2006/relationships/hyperlink" Target="https://thumb.tapecontent.net/thumb/wzogpl7PlJtJyqx/XyDA4gD4ldiD8va.jpg" TargetMode="External"/><Relationship Id="rId4217" Type="http://schemas.openxmlformats.org/officeDocument/2006/relationships/hyperlink" Target="https://lulustream.com/e/vkwamtsx8jub" TargetMode="External"/><Relationship Id="rId2182" Type="http://schemas.openxmlformats.org/officeDocument/2006/relationships/hyperlink" Target="https://thumb.tapecontent.net/thumb/jAYev0bJdrUg80/akQ101kakzSxvxz.jpg" TargetMode="External"/><Relationship Id="rId3233" Type="http://schemas.openxmlformats.org/officeDocument/2006/relationships/hyperlink" Target="https://doodstream.com/d/itkxi8prgki5/" TargetMode="External"/><Relationship Id="rId4631" Type="http://schemas.openxmlformats.org/officeDocument/2006/relationships/hyperlink" Target="https://thumb.tapecontent.net/thumb/be307xGgX8uPwAv/Jy3wvZJag7Ie0x.jpg" TargetMode="External"/><Relationship Id="rId154" Type="http://schemas.openxmlformats.org/officeDocument/2006/relationships/hyperlink" Target="https://doodstream.com/d/ah9ka7xplo99/" TargetMode="External"/><Relationship Id="rId2999" Type="http://schemas.openxmlformats.org/officeDocument/2006/relationships/hyperlink" Target="https://lulustream.com/d/0x5eiglhit36" TargetMode="External"/><Relationship Id="rId3300" Type="http://schemas.openxmlformats.org/officeDocument/2006/relationships/hyperlink" Target="https://thumb.tapecontent.net/thumb/8VAL1xjGJ2soalw/jZG7YZXrbZFz0yV.jpg" TargetMode="External"/><Relationship Id="rId221" Type="http://schemas.openxmlformats.org/officeDocument/2006/relationships/hyperlink" Target="https://lulustream.com/e/j90puo079yhl" TargetMode="External"/><Relationship Id="rId1668" Type="http://schemas.openxmlformats.org/officeDocument/2006/relationships/hyperlink" Target="https://luluvdoo.com/d/wwpg0re0qfe6" TargetMode="External"/><Relationship Id="rId2719" Type="http://schemas.openxmlformats.org/officeDocument/2006/relationships/hyperlink" Target="https://doodstream.com/d/di2v61zxl741/" TargetMode="External"/><Relationship Id="rId4074" Type="http://schemas.openxmlformats.org/officeDocument/2006/relationships/hyperlink" Target="https://thumb.tapecontent.net/thumb/z3w9Yx72aYFYRBx/MqdO7pkkrpumvqL.jpg" TargetMode="External"/><Relationship Id="rId3090" Type="http://schemas.openxmlformats.org/officeDocument/2006/relationships/hyperlink" Target="https://thumb.tapecontent.net/thumb/jYGm4XD3oLim9p/o6Do9dkqMWUJ80p.jpg" TargetMode="External"/><Relationship Id="rId4141" Type="http://schemas.openxmlformats.org/officeDocument/2006/relationships/hyperlink" Target="https://thumb.tapecontent.net/thumb/12jgVeKXrJtee9X/jZYjMWelvgcz1Y3.jpg" TargetMode="External"/><Relationship Id="rId1735" Type="http://schemas.openxmlformats.org/officeDocument/2006/relationships/hyperlink" Target="https://thumb.tapecontent.net/thumb/Gp7yBv9BPai1z6Z/OxJ3vVd2rQHmoP.jpg" TargetMode="External"/><Relationship Id="rId27" Type="http://schemas.openxmlformats.org/officeDocument/2006/relationships/hyperlink" Target="https://lulustream.com/e/p5yx1cweyqbf" TargetMode="External"/><Relationship Id="rId1802" Type="http://schemas.openxmlformats.org/officeDocument/2006/relationships/hyperlink" Target="https://thumb.tapecontent.net/thumb/eovpdK2RJxcYRxM/PGlmMYO1y4T04Qo.jpg" TargetMode="External"/><Relationship Id="rId3974" Type="http://schemas.openxmlformats.org/officeDocument/2006/relationships/hyperlink" Target="https://lulustream.com/d/uulldcfm2vlu" TargetMode="External"/><Relationship Id="rId895" Type="http://schemas.openxmlformats.org/officeDocument/2006/relationships/hyperlink" Target="https://doodstream.com/d/tpdvpkde1ulp/" TargetMode="External"/><Relationship Id="rId2576" Type="http://schemas.openxmlformats.org/officeDocument/2006/relationships/hyperlink" Target="https://lulustream.com/d/gmw4jex01vic" TargetMode="External"/><Relationship Id="rId2990" Type="http://schemas.openxmlformats.org/officeDocument/2006/relationships/hyperlink" Target="https://lulustream.com/d/xpkelppr29mh" TargetMode="External"/><Relationship Id="rId3627" Type="http://schemas.openxmlformats.org/officeDocument/2006/relationships/hyperlink" Target="https://lulustream.com/e/s63v7wresxxi" TargetMode="External"/><Relationship Id="rId548" Type="http://schemas.openxmlformats.org/officeDocument/2006/relationships/hyperlink" Target="https://doodstream.com/d/lgu2eitr0bbx/" TargetMode="External"/><Relationship Id="rId962" Type="http://schemas.openxmlformats.org/officeDocument/2006/relationships/hyperlink" Target="https://doodstream.com/d/qq8gw8074sra/" TargetMode="External"/><Relationship Id="rId1178" Type="http://schemas.openxmlformats.org/officeDocument/2006/relationships/hyperlink" Target="https://thumb.tapecontent.net/thumb/2LqKzapqvoCAqj/ow8DaepaL2fJgjb.jpg" TargetMode="External"/><Relationship Id="rId1592" Type="http://schemas.openxmlformats.org/officeDocument/2006/relationships/hyperlink" Target="https://lulustream.com/e/r25xcko5lw1h" TargetMode="External"/><Relationship Id="rId2229" Type="http://schemas.openxmlformats.org/officeDocument/2006/relationships/hyperlink" Target="https://lulustream.com/e/p3bdes8hx371" TargetMode="External"/><Relationship Id="rId2643" Type="http://schemas.openxmlformats.org/officeDocument/2006/relationships/hyperlink" Target="https://thumb.tapecontent.net/thumb/LXbBOWWewOfRpey/LM9m9yX9Z1UR27X.jpg" TargetMode="External"/><Relationship Id="rId615" Type="http://schemas.openxmlformats.org/officeDocument/2006/relationships/hyperlink" Target="https://lulustream.com/d/t30uwy5gjmdw" TargetMode="External"/><Relationship Id="rId1245" Type="http://schemas.openxmlformats.org/officeDocument/2006/relationships/hyperlink" Target="https://lulustream.com/d/0ie7wbjbtk24" TargetMode="External"/><Relationship Id="rId1105" Type="http://schemas.openxmlformats.org/officeDocument/2006/relationships/hyperlink" Target="https://lulustream.com/d/y8vn02udshuh" TargetMode="External"/><Relationship Id="rId1312" Type="http://schemas.openxmlformats.org/officeDocument/2006/relationships/hyperlink" Target="https://doodstream.com/d/afrrnj9cjxq7/" TargetMode="External"/><Relationship Id="rId2710" Type="http://schemas.openxmlformats.org/officeDocument/2006/relationships/hyperlink" Target="https://lulustream.com/e/d7ybpi4cc3im" TargetMode="External"/><Relationship Id="rId4468" Type="http://schemas.openxmlformats.org/officeDocument/2006/relationships/hyperlink" Target="https://luluvdoo.com/d/slkjn497d9gx" TargetMode="External"/><Relationship Id="rId3277" Type="http://schemas.openxmlformats.org/officeDocument/2006/relationships/hyperlink" Target="https://lulustream.com/d/17b7kzx56kx9" TargetMode="External"/><Relationship Id="rId4675" Type="http://schemas.openxmlformats.org/officeDocument/2006/relationships/hyperlink" Target="https://thumb.tapecontent.net/thumb/mgdLjgk6l2Cbaw4/pr6DxA2K1YixaO.jpg" TargetMode="External"/><Relationship Id="rId198" Type="http://schemas.openxmlformats.org/officeDocument/2006/relationships/hyperlink" Target="https://lulustream.com/e/5ep5erjdhp2h" TargetMode="External"/><Relationship Id="rId2086" Type="http://schemas.openxmlformats.org/officeDocument/2006/relationships/hyperlink" Target="https://doodstream.com/d/f42vj2rxm6bp/" TargetMode="External"/><Relationship Id="rId3484" Type="http://schemas.openxmlformats.org/officeDocument/2006/relationships/hyperlink" Target="https://lulustream.com/e/pio1qh7mflsv" TargetMode="External"/><Relationship Id="rId3691" Type="http://schemas.openxmlformats.org/officeDocument/2006/relationships/hyperlink" Target="https://lulustream.com/d/lcpt9s7brqoh" TargetMode="External"/><Relationship Id="rId4328" Type="http://schemas.openxmlformats.org/officeDocument/2006/relationships/hyperlink" Target="https://lulustream.com/e/zxtbetupzeli" TargetMode="External"/><Relationship Id="rId4535" Type="http://schemas.openxmlformats.org/officeDocument/2006/relationships/hyperlink" Target="https://thumb.tapecontent.net/thumb/oGGg0BzGdKUJ1qd/v2QQPzykelFYBY.jpg" TargetMode="External"/><Relationship Id="rId4742" Type="http://schemas.openxmlformats.org/officeDocument/2006/relationships/hyperlink" Target="https://lulustream.com/d/fzgujnsl4sj7" TargetMode="External"/><Relationship Id="rId2293" Type="http://schemas.openxmlformats.org/officeDocument/2006/relationships/hyperlink" Target="https://doodstream.com/d/3xfcskoayz6i/" TargetMode="External"/><Relationship Id="rId3137" Type="http://schemas.openxmlformats.org/officeDocument/2006/relationships/hyperlink" Target="https://doodstream.com/d/dj6fxrdjgmo3/" TargetMode="External"/><Relationship Id="rId3344" Type="http://schemas.openxmlformats.org/officeDocument/2006/relationships/hyperlink" Target="https://thumb.tapecontent.net/thumb/GkJMWXGrvOH1JYa/pVkwzL79zmurOOx.jpg" TargetMode="External"/><Relationship Id="rId3551" Type="http://schemas.openxmlformats.org/officeDocument/2006/relationships/hyperlink" Target="https://doodstream.com/d/9f5ffz90yumj/" TargetMode="External"/><Relationship Id="rId4602" Type="http://schemas.openxmlformats.org/officeDocument/2006/relationships/hyperlink" Target="https://thumb.tapecontent.net/thumb/x2wJMg2KKlSje0/X2ljv3Qbg6UDkbb.jpg" TargetMode="External"/><Relationship Id="rId265" Type="http://schemas.openxmlformats.org/officeDocument/2006/relationships/hyperlink" Target="https://thumb.tapecontent.net/thumb/pbO1o6AvaJtlKz/b7M1KlWpQkcPvp8.jpg" TargetMode="External"/><Relationship Id="rId472" Type="http://schemas.openxmlformats.org/officeDocument/2006/relationships/hyperlink" Target="https://thumb.tapecontent.net/thumb/RQV1v2zrG3SdlrP/6qA4WVG0qdFl8Q.jpg" TargetMode="External"/><Relationship Id="rId2153" Type="http://schemas.openxmlformats.org/officeDocument/2006/relationships/hyperlink" Target="https://thumb.tapecontent.net/thumb/Xqk12QWL2wID7zG/Z3rXWWYrxPiqpq4.jpg" TargetMode="External"/><Relationship Id="rId2360" Type="http://schemas.openxmlformats.org/officeDocument/2006/relationships/hyperlink" Target="https://doodstream.com/d/n69zr8asaqt1/" TargetMode="External"/><Relationship Id="rId3204" Type="http://schemas.openxmlformats.org/officeDocument/2006/relationships/hyperlink" Target="https://doodstream.com/d/2n61ih9m436l/" TargetMode="External"/><Relationship Id="rId3411" Type="http://schemas.openxmlformats.org/officeDocument/2006/relationships/hyperlink" Target="https://doodstream.com/d/rjn7tsx4yzae/" TargetMode="External"/><Relationship Id="rId125" Type="http://schemas.openxmlformats.org/officeDocument/2006/relationships/hyperlink" Target="https://lulustream.com/e/6qcb09xoe02o" TargetMode="External"/><Relationship Id="rId332" Type="http://schemas.openxmlformats.org/officeDocument/2006/relationships/hyperlink" Target="https://thumb.tapecontent.net/thumb/oW20bQvLVGFJy9x/pgPqZxXkOpcr3Dx.jpg" TargetMode="External"/><Relationship Id="rId2013" Type="http://schemas.openxmlformats.org/officeDocument/2006/relationships/hyperlink" Target="https://lulustream.com/e/oohfdtdv0wtv" TargetMode="External"/><Relationship Id="rId2220" Type="http://schemas.openxmlformats.org/officeDocument/2006/relationships/hyperlink" Target="https://lulustream.com/e/80lf8shm7b5q" TargetMode="External"/><Relationship Id="rId4185" Type="http://schemas.openxmlformats.org/officeDocument/2006/relationships/hyperlink" Target="https://thumb.tapecontent.net/thumb/Xybl8go8LRh3jo/2rLayyvBGviZ34M.jpg" TargetMode="External"/><Relationship Id="rId4392" Type="http://schemas.openxmlformats.org/officeDocument/2006/relationships/hyperlink" Target="https://lulustream.com/d/agsy6c2zgci4" TargetMode="External"/><Relationship Id="rId1779" Type="http://schemas.openxmlformats.org/officeDocument/2006/relationships/hyperlink" Target="https://thumb.tapecontent.net/thumb/vVMXYJlg9Ofb6Q/VXRMljzVJMIKvwp.jpg" TargetMode="External"/><Relationship Id="rId1986" Type="http://schemas.openxmlformats.org/officeDocument/2006/relationships/hyperlink" Target="https://thumb.tapecontent.net/thumb/BALjYL1mgzC6LY/7P7WGbljKbFAe9e.jpg" TargetMode="External"/><Relationship Id="rId4045" Type="http://schemas.openxmlformats.org/officeDocument/2006/relationships/hyperlink" Target="https://lulustream.com/d/my3x30q9xyad" TargetMode="External"/><Relationship Id="rId4252" Type="http://schemas.openxmlformats.org/officeDocument/2006/relationships/hyperlink" Target="https://doodstream.com/d/s4ek0gn1cyny/" TargetMode="External"/><Relationship Id="rId1639" Type="http://schemas.openxmlformats.org/officeDocument/2006/relationships/hyperlink" Target="https://lulustream.com/e/fytv1vavn5au" TargetMode="External"/><Relationship Id="rId1846" Type="http://schemas.openxmlformats.org/officeDocument/2006/relationships/hyperlink" Target="https://doodstream.com/d/kx1we6vbc078/" TargetMode="External"/><Relationship Id="rId3061" Type="http://schemas.openxmlformats.org/officeDocument/2006/relationships/hyperlink" Target="https://lulustream.com/e/n0yeqy5649p8" TargetMode="External"/><Relationship Id="rId1706" Type="http://schemas.openxmlformats.org/officeDocument/2006/relationships/hyperlink" Target="https://doodstream.com/d/biz0bq0v51lh/" TargetMode="External"/><Relationship Id="rId1913" Type="http://schemas.openxmlformats.org/officeDocument/2006/relationships/hyperlink" Target="https://lulustream.com/d/tb2k0oye93pb" TargetMode="External"/><Relationship Id="rId4112" Type="http://schemas.openxmlformats.org/officeDocument/2006/relationships/hyperlink" Target="https://doodstream.com/d/b4gvb4dltmwd/" TargetMode="External"/><Relationship Id="rId3878" Type="http://schemas.openxmlformats.org/officeDocument/2006/relationships/hyperlink" Target="https://thumb.tapecontent.net/thumb/gaOV1RAAmxsJgO/doWBx4vM7zuGPd.jpg" TargetMode="External"/><Relationship Id="rId799" Type="http://schemas.openxmlformats.org/officeDocument/2006/relationships/hyperlink" Target="https://thumb.tapecontent.net/thumb/VGwbZXo46VIKGZo/elzZmdaMdpUZOl.jpg" TargetMode="External"/><Relationship Id="rId2687" Type="http://schemas.openxmlformats.org/officeDocument/2006/relationships/hyperlink" Target="https://lulustream.com/e/rtgpiczlyk3z" TargetMode="External"/><Relationship Id="rId2894" Type="http://schemas.openxmlformats.org/officeDocument/2006/relationships/hyperlink" Target="https://thumb.tapecontent.net/thumb/jVgyw9aV9yT2Qy/1jBlwJXPYRteemk.jpg" TargetMode="External"/><Relationship Id="rId3738" Type="http://schemas.openxmlformats.org/officeDocument/2006/relationships/hyperlink" Target="https://lulustream.com/d/qfe6ij3870h5" TargetMode="External"/><Relationship Id="rId659" Type="http://schemas.openxmlformats.org/officeDocument/2006/relationships/hyperlink" Target="https://thumb.tapecontent.net/thumb/2BmAvyBlAqcWzy/k9pMkDD4X3SOJO7.jpg" TargetMode="External"/><Relationship Id="rId866" Type="http://schemas.openxmlformats.org/officeDocument/2006/relationships/hyperlink" Target="https://lulustream.com/e/mqvkxgwow0wu" TargetMode="External"/><Relationship Id="rId1289" Type="http://schemas.openxmlformats.org/officeDocument/2006/relationships/hyperlink" Target="https://lulustream.com/d/hec1uic9duzv" TargetMode="External"/><Relationship Id="rId1496" Type="http://schemas.openxmlformats.org/officeDocument/2006/relationships/hyperlink" Target="https://doodstream.com/d/5o571qwcv19o/" TargetMode="External"/><Relationship Id="rId2547" Type="http://schemas.openxmlformats.org/officeDocument/2006/relationships/hyperlink" Target="https://lulustream.com/d/u7xlh9v7c8t0" TargetMode="External"/><Relationship Id="rId3945" Type="http://schemas.openxmlformats.org/officeDocument/2006/relationships/hyperlink" Target="https://lulustream.com/d/cpcey48e588u" TargetMode="External"/><Relationship Id="rId519" Type="http://schemas.openxmlformats.org/officeDocument/2006/relationships/hyperlink" Target="https://streamtape.com/v/90B0malAgoHadQa/Angela_White_-_90791951_-_Onlyfans_-_Lily_Starfire.mp4" TargetMode="External"/><Relationship Id="rId1149" Type="http://schemas.openxmlformats.org/officeDocument/2006/relationships/hyperlink" Target="https://lulustream.com/d/obmo5fu1ltvo" TargetMode="External"/><Relationship Id="rId1356" Type="http://schemas.openxmlformats.org/officeDocument/2006/relationships/hyperlink" Target="https://doodstream.com/d/z9ri62oz8kh5/" TargetMode="External"/><Relationship Id="rId2754" Type="http://schemas.openxmlformats.org/officeDocument/2006/relationships/hyperlink" Target="https://lulustream.com/d/c2i4aoi3mp0y" TargetMode="External"/><Relationship Id="rId2961" Type="http://schemas.openxmlformats.org/officeDocument/2006/relationships/hyperlink" Target="https://thumb.tapecontent.net/thumb/xkd3KLYLL0CkYqX/2O7aPP1Qj9iZwgG.jpg" TargetMode="External"/><Relationship Id="rId3805" Type="http://schemas.openxmlformats.org/officeDocument/2006/relationships/hyperlink" Target="https://doodstream.com/d/ug5udwjjwu82/" TargetMode="External"/><Relationship Id="rId726" Type="http://schemas.openxmlformats.org/officeDocument/2006/relationships/hyperlink" Target="https://lulustream.com/d/9krbct3dqohz" TargetMode="External"/><Relationship Id="rId933" Type="http://schemas.openxmlformats.org/officeDocument/2006/relationships/hyperlink" Target="https://thumb.tapecontent.net/thumb/aGY17gA2mDuxVzp/zbKvbD3DzbuYMO3.jpg" TargetMode="External"/><Relationship Id="rId1009" Type="http://schemas.openxmlformats.org/officeDocument/2006/relationships/hyperlink" Target="https://luluvdoo.com/d/0vsa2aeu589y" TargetMode="External"/><Relationship Id="rId1563" Type="http://schemas.openxmlformats.org/officeDocument/2006/relationships/hyperlink" Target="https://thumb.tapecontent.net/thumb/bqWqvgkqZ7IPk40/K9Y82ov4BmiJPw.jpg" TargetMode="External"/><Relationship Id="rId1770" Type="http://schemas.openxmlformats.org/officeDocument/2006/relationships/hyperlink" Target="https://thumb.tapecontent.net/thumb/D0DxZJpyDluwbx/apqkrB49arFxrem.jpg" TargetMode="External"/><Relationship Id="rId2407" Type="http://schemas.openxmlformats.org/officeDocument/2006/relationships/hyperlink" Target="https://lulustream.com/e/o419hspta35g" TargetMode="External"/><Relationship Id="rId2614" Type="http://schemas.openxmlformats.org/officeDocument/2006/relationships/hyperlink" Target="https://thumb.tapecontent.net/thumb/1J8031aXwxIewAx/OJ9RllD36DIZ20e.jpg" TargetMode="External"/><Relationship Id="rId2821" Type="http://schemas.openxmlformats.org/officeDocument/2006/relationships/hyperlink" Target="https://thumb.tapecontent.net/thumb/W6xoJKe8QOFbaPv/akDX1l4mJ6ixGpo.jpg" TargetMode="External"/><Relationship Id="rId62" Type="http://schemas.openxmlformats.org/officeDocument/2006/relationships/hyperlink" Target="https://doodstream.com/d/0it670gat4vl/" TargetMode="External"/><Relationship Id="rId1216" Type="http://schemas.openxmlformats.org/officeDocument/2006/relationships/hyperlink" Target="https://lulustream.com/e/0r17nhx9cb6y" TargetMode="External"/><Relationship Id="rId1423" Type="http://schemas.openxmlformats.org/officeDocument/2006/relationships/hyperlink" Target="https://doodstream.com/d/ztz9qe7szb0k/" TargetMode="External"/><Relationship Id="rId1630" Type="http://schemas.openxmlformats.org/officeDocument/2006/relationships/hyperlink" Target="https://lulustream.com/e/77ucbn34pii7" TargetMode="External"/><Relationship Id="rId4579" Type="http://schemas.openxmlformats.org/officeDocument/2006/relationships/hyperlink" Target="https://thumb.tapecontent.net/thumb/bpoePbJ2p7CxJO/kbLorlkBpDtOzyk.jpg" TargetMode="External"/><Relationship Id="rId3388" Type="http://schemas.openxmlformats.org/officeDocument/2006/relationships/hyperlink" Target="https://doodstream.com/d/qb237dbo3yyb/" TargetMode="External"/><Relationship Id="rId3595" Type="http://schemas.openxmlformats.org/officeDocument/2006/relationships/hyperlink" Target="https://doodstream.com/d/h7zy4o0qitwj/" TargetMode="External"/><Relationship Id="rId4439" Type="http://schemas.openxmlformats.org/officeDocument/2006/relationships/hyperlink" Target="https://thumb.tapecontent.net/thumb/dpKr9WBxMWCkW08/GAwm1JgXWMS13QV.jpg" TargetMode="External"/><Relationship Id="rId4646" Type="http://schemas.openxmlformats.org/officeDocument/2006/relationships/hyperlink" Target="https://doodstream.com/d/4znzisvz8z86/" TargetMode="External"/><Relationship Id="rId2197" Type="http://schemas.openxmlformats.org/officeDocument/2006/relationships/hyperlink" Target="https://thumb.tapecontent.net/thumb/ykAwlBQVPMIyDB/JJY34XWwLJFj8je.jpg" TargetMode="External"/><Relationship Id="rId3248" Type="http://schemas.openxmlformats.org/officeDocument/2006/relationships/hyperlink" Target="https://thumb.tapecontent.net/thumb/ggZWzrzk6viqo8d/vlP4XglpJBUDkd.jpg" TargetMode="External"/><Relationship Id="rId3455" Type="http://schemas.openxmlformats.org/officeDocument/2006/relationships/hyperlink" Target="https://doodstream.com/d/h14cpj17mqbf/" TargetMode="External"/><Relationship Id="rId3662" Type="http://schemas.openxmlformats.org/officeDocument/2006/relationships/hyperlink" Target="https://doodstream.com/d/6wkozjfxpd72/" TargetMode="External"/><Relationship Id="rId4506" Type="http://schemas.openxmlformats.org/officeDocument/2006/relationships/hyperlink" Target="https://doodstream.com/d/4le1ihaxxuy0/" TargetMode="External"/><Relationship Id="rId4713" Type="http://schemas.openxmlformats.org/officeDocument/2006/relationships/hyperlink" Target="https://thumb.tapecontent.net/thumb/dpbVzeq3zjCkqjb/Qww744X0zvtGla.jpg" TargetMode="External"/><Relationship Id="rId169" Type="http://schemas.openxmlformats.org/officeDocument/2006/relationships/hyperlink" Target="https://doodstream.com/d/8lcxrn4sfnrn/" TargetMode="External"/><Relationship Id="rId376" Type="http://schemas.openxmlformats.org/officeDocument/2006/relationships/hyperlink" Target="https://luluvdoo.com/d/84k5ysn9teyy" TargetMode="External"/><Relationship Id="rId583" Type="http://schemas.openxmlformats.org/officeDocument/2006/relationships/hyperlink" Target="https://lulustream.com/e/0la7c8k6lbz4" TargetMode="External"/><Relationship Id="rId790" Type="http://schemas.openxmlformats.org/officeDocument/2006/relationships/hyperlink" Target="https://thumb.tapecontent.net/thumb/eVr99arrzYhYb6M/goZrMM8bqXFY68.jpg" TargetMode="External"/><Relationship Id="rId2057" Type="http://schemas.openxmlformats.org/officeDocument/2006/relationships/hyperlink" Target="https://lulustream.com/e/yt24slj3d59c" TargetMode="External"/><Relationship Id="rId2264" Type="http://schemas.openxmlformats.org/officeDocument/2006/relationships/hyperlink" Target="https://lulustream.com/d/hzcfmli43850" TargetMode="External"/><Relationship Id="rId2471" Type="http://schemas.openxmlformats.org/officeDocument/2006/relationships/hyperlink" Target="https://thumb.tapecontent.net/thumb/9v0Qy326KvuOKD/o9Q2Va3g1gfJ40D.jpg" TargetMode="External"/><Relationship Id="rId3108" Type="http://schemas.openxmlformats.org/officeDocument/2006/relationships/hyperlink" Target="https://doodstream.com/d/zcllkxfau0xx/" TargetMode="External"/><Relationship Id="rId3315" Type="http://schemas.openxmlformats.org/officeDocument/2006/relationships/hyperlink" Target="https://lulustream.com/d/lq4nyhq6b009" TargetMode="External"/><Relationship Id="rId3522" Type="http://schemas.openxmlformats.org/officeDocument/2006/relationships/hyperlink" Target="https://doodstream.com/d/upyq87i0m2x9/" TargetMode="External"/><Relationship Id="rId236" Type="http://schemas.openxmlformats.org/officeDocument/2006/relationships/hyperlink" Target="https://luluvdoo.com/d/plfx4sce1tfa" TargetMode="External"/><Relationship Id="rId443" Type="http://schemas.openxmlformats.org/officeDocument/2006/relationships/hyperlink" Target="https://thumb.tapecontent.net/thumb/O4W6ylJd34fZZOW/KZX7xwXkOBs0Qxy.jpg" TargetMode="External"/><Relationship Id="rId650" Type="http://schemas.openxmlformats.org/officeDocument/2006/relationships/hyperlink" Target="https://thumb.tapecontent.net/thumb/2WXXe626qpHZ2aZ/x3V73V389RtkWKX.jpg" TargetMode="External"/><Relationship Id="rId1073" Type="http://schemas.openxmlformats.org/officeDocument/2006/relationships/hyperlink" Target="https://thumb.tapecontent.net/thumb/6a7abl1w0lu920m/Xr2XopLqjWtAK1.jpg" TargetMode="External"/><Relationship Id="rId1280" Type="http://schemas.openxmlformats.org/officeDocument/2006/relationships/hyperlink" Target="https://lulustream.com/e/t5w07bz3l7vs" TargetMode="External"/><Relationship Id="rId2124" Type="http://schemas.openxmlformats.org/officeDocument/2006/relationships/hyperlink" Target="https://luluvdoo.com/d/j387tsu5oz0s" TargetMode="External"/><Relationship Id="rId2331" Type="http://schemas.openxmlformats.org/officeDocument/2006/relationships/hyperlink" Target="https://lulustream.com/d/dbfune560sdl" TargetMode="External"/><Relationship Id="rId303" Type="http://schemas.openxmlformats.org/officeDocument/2006/relationships/hyperlink" Target="https://thumb.tapecontent.net/thumb/Rq7Ao8J2Kdsxj6/RpybDYo1QaIdAVL.jpg" TargetMode="External"/><Relationship Id="rId1140" Type="http://schemas.openxmlformats.org/officeDocument/2006/relationships/hyperlink" Target="https://lulustream.com/e/v5zr365oipr0" TargetMode="External"/><Relationship Id="rId4089" Type="http://schemas.openxmlformats.org/officeDocument/2006/relationships/hyperlink" Target="https://thumb.tapecontent.net/thumb/vWj1m1a73OcDK6/abaeLx0lQbCQBz.jpg" TargetMode="External"/><Relationship Id="rId4296" Type="http://schemas.openxmlformats.org/officeDocument/2006/relationships/hyperlink" Target="https://doodstream.com/d/tb3curglycv9/" TargetMode="External"/><Relationship Id="rId510" Type="http://schemas.openxmlformats.org/officeDocument/2006/relationships/hyperlink" Target="https://doodstream.com/d/8i5e4ptl2kio/" TargetMode="External"/><Relationship Id="rId1000" Type="http://schemas.openxmlformats.org/officeDocument/2006/relationships/hyperlink" Target="https://doodstream.com/d/or4ekwy2ecnc/" TargetMode="External"/><Relationship Id="rId1957" Type="http://schemas.openxmlformats.org/officeDocument/2006/relationships/hyperlink" Target="https://thumb.tapecontent.net/thumb/MPMq7pGL7kSm4Q2/aVr3DAmY4YSx8yx.jpg" TargetMode="External"/><Relationship Id="rId4156" Type="http://schemas.openxmlformats.org/officeDocument/2006/relationships/hyperlink" Target="https://thumb.tapecontent.net/thumb/XxD67dg84XCg8e/A3rWj0k4wksXAZX.jpg" TargetMode="External"/><Relationship Id="rId4363" Type="http://schemas.openxmlformats.org/officeDocument/2006/relationships/hyperlink" Target="https://doodstream.com/d/svh8yz1h10zr/" TargetMode="External"/><Relationship Id="rId4570" Type="http://schemas.openxmlformats.org/officeDocument/2006/relationships/hyperlink" Target="https://thumb.tapecontent.net/thumb/dPxr6lylwJukVyW/KgeR3O89RmC09KP.jpg" TargetMode="External"/><Relationship Id="rId1817" Type="http://schemas.openxmlformats.org/officeDocument/2006/relationships/hyperlink" Target="https://lulustream.com/e/cwp3yzp78o24" TargetMode="External"/><Relationship Id="rId3172" Type="http://schemas.openxmlformats.org/officeDocument/2006/relationships/hyperlink" Target="https://lulustream.com/d/8m5rrczn38t1" TargetMode="External"/><Relationship Id="rId4016" Type="http://schemas.openxmlformats.org/officeDocument/2006/relationships/hyperlink" Target="https://doodstream.com/d/1dglc99zyh9d/" TargetMode="External"/><Relationship Id="rId4223" Type="http://schemas.openxmlformats.org/officeDocument/2006/relationships/hyperlink" Target="https://thumb.tapecontent.net/thumb/Bq4XqGXvBwCyyzP/MzaOZYgdaBiDxJ.jpg" TargetMode="External"/><Relationship Id="rId4430" Type="http://schemas.openxmlformats.org/officeDocument/2006/relationships/hyperlink" Target="https://lulustream.com/e/zdhh2vgx5bmp" TargetMode="External"/><Relationship Id="rId3032" Type="http://schemas.openxmlformats.org/officeDocument/2006/relationships/hyperlink" Target="https://luluvdoo.com/d/qmiluejocsno" TargetMode="External"/><Relationship Id="rId160" Type="http://schemas.openxmlformats.org/officeDocument/2006/relationships/hyperlink" Target="https://doodstream.com/d/37fkj3b8lw1m/" TargetMode="External"/><Relationship Id="rId3989" Type="http://schemas.openxmlformats.org/officeDocument/2006/relationships/hyperlink" Target="https://thumb.tapecontent.net/thumb/bVgymky0OjtDRQ/BeJXwYpr3AhmZ8.jpg" TargetMode="External"/><Relationship Id="rId2798" Type="http://schemas.openxmlformats.org/officeDocument/2006/relationships/hyperlink" Target="https://lulustream.com/e/kxao1uf4obch" TargetMode="External"/><Relationship Id="rId3849" Type="http://schemas.openxmlformats.org/officeDocument/2006/relationships/hyperlink" Target="https://thumb.tapecontent.net/thumb/G9KamVvwDQulzK/46ylryjA98tKK9q.jpg" TargetMode="External"/><Relationship Id="rId977" Type="http://schemas.openxmlformats.org/officeDocument/2006/relationships/hyperlink" Target="https://doodstream.com/d/20xqe78a5z9x/" TargetMode="External"/><Relationship Id="rId2658" Type="http://schemas.openxmlformats.org/officeDocument/2006/relationships/hyperlink" Target="https://thumb.tapecontent.net/thumb/belrdJx3RqfPeXj/XgvvpM3vywfgdG.jpg" TargetMode="External"/><Relationship Id="rId2865" Type="http://schemas.openxmlformats.org/officeDocument/2006/relationships/hyperlink" Target="https://thumb.tapecontent.net/thumb/A0K8MZYDXXSXXXP/BLByl27JxmTypaB.jpg" TargetMode="External"/><Relationship Id="rId3709" Type="http://schemas.openxmlformats.org/officeDocument/2006/relationships/hyperlink" Target="https://thumb.tapecontent.net/thumb/QyRJq4qrr9f0Yb6/Keqv4yPZ19U0rKK.jpg" TargetMode="External"/><Relationship Id="rId3916" Type="http://schemas.openxmlformats.org/officeDocument/2006/relationships/hyperlink" Target="https://lulustream.com/d/fyznglrpvkjh" TargetMode="External"/><Relationship Id="rId4080" Type="http://schemas.openxmlformats.org/officeDocument/2006/relationships/hyperlink" Target="https://thumb.tapecontent.net/thumb/AJvZOYlLRkhXpMB/qZAjYGgPq2Tzb7Q.jpg" TargetMode="External"/><Relationship Id="rId837" Type="http://schemas.openxmlformats.org/officeDocument/2006/relationships/hyperlink" Target="https://thumb.tapecontent.net/thumb/0Rk8KgW9bdHbzkP/akba8AoRmLhx6Xj.jpg" TargetMode="External"/><Relationship Id="rId1467" Type="http://schemas.openxmlformats.org/officeDocument/2006/relationships/hyperlink" Target="https://lulustream.com/e/gqzm1dolwc67" TargetMode="External"/><Relationship Id="rId1674" Type="http://schemas.openxmlformats.org/officeDocument/2006/relationships/hyperlink" Target="https://luluvdoo.com/d/ee0tekkbs1sn" TargetMode="External"/><Relationship Id="rId1881" Type="http://schemas.openxmlformats.org/officeDocument/2006/relationships/hyperlink" Target="https://thumb.tapecontent.net/thumb/1B1JwwqVA9Ieoqq/o1OlQWg7eBtjld.jpg" TargetMode="External"/><Relationship Id="rId2518" Type="http://schemas.openxmlformats.org/officeDocument/2006/relationships/hyperlink" Target="https://doodstream.com/d/8kncmbqdtl6l/" TargetMode="External"/><Relationship Id="rId2725" Type="http://schemas.openxmlformats.org/officeDocument/2006/relationships/hyperlink" Target="https://doodstream.com/d/dyn8fiyzwead/" TargetMode="External"/><Relationship Id="rId2932" Type="http://schemas.openxmlformats.org/officeDocument/2006/relationships/hyperlink" Target="https://thumb.tapecontent.net/thumb/9v63axLZ2Of9ML/aqpyK07Ye6S2Yx.jpg" TargetMode="External"/><Relationship Id="rId904" Type="http://schemas.openxmlformats.org/officeDocument/2006/relationships/hyperlink" Target="https://doodstream.com/d/f4wnvgqmz0y7/" TargetMode="External"/><Relationship Id="rId1327" Type="http://schemas.openxmlformats.org/officeDocument/2006/relationships/hyperlink" Target="https://thumb.tapecontent.net/thumb/OVeJ89ZLzrsZVdo/wgzqyeYbv8sJraV.jpg" TargetMode="External"/><Relationship Id="rId1534" Type="http://schemas.openxmlformats.org/officeDocument/2006/relationships/hyperlink" Target="https://lulustream.com/e/ma5bn5tgzv4m" TargetMode="External"/><Relationship Id="rId1741" Type="http://schemas.openxmlformats.org/officeDocument/2006/relationships/hyperlink" Target="https://luluvdoo.com/d/bznm586e7uoy" TargetMode="External"/><Relationship Id="rId33" Type="http://schemas.openxmlformats.org/officeDocument/2006/relationships/hyperlink" Target="https://thumb.tapecontent.net/thumb/GXeoyO3391C9lP/1WgdG8GLJ4se21k.jpg" TargetMode="External"/><Relationship Id="rId1601" Type="http://schemas.openxmlformats.org/officeDocument/2006/relationships/hyperlink" Target="https://lulustream.com/e/cjvfgaca22r0" TargetMode="External"/><Relationship Id="rId3499" Type="http://schemas.openxmlformats.org/officeDocument/2006/relationships/hyperlink" Target="https://thumb.tapecontent.net/thumb/kDM6XOL7w3t6rp/Oq93xjZW10s6za.jpg" TargetMode="External"/><Relationship Id="rId4757" Type="http://schemas.openxmlformats.org/officeDocument/2006/relationships/hyperlink" Target="https://thumb.tapecontent.net/thumb/a21lm0povVCxR28/JA4rxQ84lrfjX2p.jpg" TargetMode="External"/><Relationship Id="rId3359" Type="http://schemas.openxmlformats.org/officeDocument/2006/relationships/hyperlink" Target="https://lulustream.com/e/er4ar3c5knnx" TargetMode="External"/><Relationship Id="rId3566" Type="http://schemas.openxmlformats.org/officeDocument/2006/relationships/hyperlink" Target="https://doodstream.com/d/dgjyqdul11t9/" TargetMode="External"/><Relationship Id="rId487" Type="http://schemas.openxmlformats.org/officeDocument/2006/relationships/hyperlink" Target="https://streamtape.com/v/VVO3BmgqBYik7z/Angela_White_-_68460886_-_Onlyfans.mp4" TargetMode="External"/><Relationship Id="rId694" Type="http://schemas.openxmlformats.org/officeDocument/2006/relationships/hyperlink" Target="https://doodstream.com/d/zwmu756gg9vg/" TargetMode="External"/><Relationship Id="rId2168" Type="http://schemas.openxmlformats.org/officeDocument/2006/relationships/hyperlink" Target="https://doodstream.com/d/4ialt60ud0wf/" TargetMode="External"/><Relationship Id="rId2375" Type="http://schemas.openxmlformats.org/officeDocument/2006/relationships/hyperlink" Target="https://lulustream.com/e/2gupoew9ych6" TargetMode="External"/><Relationship Id="rId3219" Type="http://schemas.openxmlformats.org/officeDocument/2006/relationships/hyperlink" Target="https://thumb.tapecontent.net/thumb/4mBjzegAA2fKaWx/J0vqeBqd0Xh98X.jpg" TargetMode="External"/><Relationship Id="rId3773" Type="http://schemas.openxmlformats.org/officeDocument/2006/relationships/hyperlink" Target="https://thumb.tapecontent.net/thumb/ZwyxM7J0XQiq8J4/ewBGY2a2b4sY6R8.jpg" TargetMode="External"/><Relationship Id="rId3980" Type="http://schemas.openxmlformats.org/officeDocument/2006/relationships/hyperlink" Target="https://lulustream.com/d/jcknn3i0jqlq" TargetMode="External"/><Relationship Id="rId4617" Type="http://schemas.openxmlformats.org/officeDocument/2006/relationships/hyperlink" Target="https://doodstream.com/d/9ovcilm31wrs/" TargetMode="External"/><Relationship Id="rId347" Type="http://schemas.openxmlformats.org/officeDocument/2006/relationships/hyperlink" Target="https://doodstream.com/d/avn1ir39ssr0/" TargetMode="External"/><Relationship Id="rId1184" Type="http://schemas.openxmlformats.org/officeDocument/2006/relationships/hyperlink" Target="https://thumb.tapecontent.net/thumb/rg0Rww7gwPsbmGP/4BG4Rap37eCK0AG.jpg" TargetMode="External"/><Relationship Id="rId2028" Type="http://schemas.openxmlformats.org/officeDocument/2006/relationships/hyperlink" Target="https://lulustream.com/e/m7rhg9oygyv9" TargetMode="External"/><Relationship Id="rId2582" Type="http://schemas.openxmlformats.org/officeDocument/2006/relationships/hyperlink" Target="https://thumb.tapecontent.net/thumb/WwXkgrxD6gCbVea/RXOW1PeWgGUdbpx.jpg" TargetMode="External"/><Relationship Id="rId3426" Type="http://schemas.openxmlformats.org/officeDocument/2006/relationships/hyperlink" Target="https://doodstream.com/d/tt7hzxhapyy8/" TargetMode="External"/><Relationship Id="rId3633" Type="http://schemas.openxmlformats.org/officeDocument/2006/relationships/hyperlink" Target="https://thumb.tapecontent.net/thumb/Q3VPRrrXBpT03ka/B4yljAo71RUy1Z1.jpg" TargetMode="External"/><Relationship Id="rId3840" Type="http://schemas.openxmlformats.org/officeDocument/2006/relationships/hyperlink" Target="https://thumb.tapecontent.net/thumb/4qedVezWWlUJ0Q/AKRQbD7kDgIXYB3.jpg" TargetMode="External"/><Relationship Id="rId554" Type="http://schemas.openxmlformats.org/officeDocument/2006/relationships/hyperlink" Target="https://lulustream.com/d/xlcwg6cqk9md" TargetMode="External"/><Relationship Id="rId761" Type="http://schemas.openxmlformats.org/officeDocument/2006/relationships/hyperlink" Target="https://lulustream.com/d/rpepvtrz10vt" TargetMode="External"/><Relationship Id="rId1391" Type="http://schemas.openxmlformats.org/officeDocument/2006/relationships/hyperlink" Target="https://doodstream.com/d/3exae52tg3j9/" TargetMode="External"/><Relationship Id="rId2235" Type="http://schemas.openxmlformats.org/officeDocument/2006/relationships/hyperlink" Target="https://lulustream.com/e/avlpfrh6vx15" TargetMode="External"/><Relationship Id="rId2442" Type="http://schemas.openxmlformats.org/officeDocument/2006/relationships/hyperlink" Target="https://thumb.tapecontent.net/thumb/A1krXjZJBXH4dj/jrmzkwwxjOIDLy.jpg" TargetMode="External"/><Relationship Id="rId3700" Type="http://schemas.openxmlformats.org/officeDocument/2006/relationships/hyperlink" Target="https://thumb.tapecontent.net/thumb/DWBLzweoPLtk7RA/1PvokYMaqguegpZ.jpg" TargetMode="External"/><Relationship Id="rId207" Type="http://schemas.openxmlformats.org/officeDocument/2006/relationships/hyperlink" Target="https://lulustream.com/e/vrwc80obzmll" TargetMode="External"/><Relationship Id="rId414" Type="http://schemas.openxmlformats.org/officeDocument/2006/relationships/hyperlink" Target="https://streamtape.com/v/dPvQ4DPBqdSkmxx/Angela_White_-_35114411_-_Onlyfans" TargetMode="External"/><Relationship Id="rId621" Type="http://schemas.openxmlformats.org/officeDocument/2006/relationships/hyperlink" Target="https://lulustream.com/d/s18rkd1mtfub" TargetMode="External"/><Relationship Id="rId1044" Type="http://schemas.openxmlformats.org/officeDocument/2006/relationships/hyperlink" Target="https://doodstream.com/d/nhr0suwnctga/" TargetMode="External"/><Relationship Id="rId1251" Type="http://schemas.openxmlformats.org/officeDocument/2006/relationships/hyperlink" Target="https://thumb.tapecontent.net/thumb/ogeYZ3jLG4TjLO/e3mGwale4LUYgXK.jpg" TargetMode="External"/><Relationship Id="rId2302" Type="http://schemas.openxmlformats.org/officeDocument/2006/relationships/hyperlink" Target="https://doodstream.com/d/vjmwyb4xxuik/" TargetMode="External"/><Relationship Id="rId1111" Type="http://schemas.openxmlformats.org/officeDocument/2006/relationships/hyperlink" Target="https://lulustream.com/e/qifdjtxzenea" TargetMode="External"/><Relationship Id="rId4267" Type="http://schemas.openxmlformats.org/officeDocument/2006/relationships/hyperlink" Target="https://lulustream.com/d/it9dce1iw5xf" TargetMode="External"/><Relationship Id="rId4474" Type="http://schemas.openxmlformats.org/officeDocument/2006/relationships/hyperlink" Target="https://luluvdoo.com/d/pjbel9drcf0z" TargetMode="External"/><Relationship Id="rId4681" Type="http://schemas.openxmlformats.org/officeDocument/2006/relationships/hyperlink" Target="https://thumb.tapecontent.net/thumb/0JlxZMGMZ4iL1X/X1ZMyryv3VFWYr.jpg" TargetMode="External"/><Relationship Id="rId3076" Type="http://schemas.openxmlformats.org/officeDocument/2006/relationships/hyperlink" Target="https://thumb.tapecontent.net/thumb/K9brDymOY1f01BP/prQzXraVWaFR63.jpg" TargetMode="External"/><Relationship Id="rId3283" Type="http://schemas.openxmlformats.org/officeDocument/2006/relationships/hyperlink" Target="https://lulustream.com/d/il0hjcpvz7jx" TargetMode="External"/><Relationship Id="rId3490" Type="http://schemas.openxmlformats.org/officeDocument/2006/relationships/hyperlink" Target="https://thumb.tapecontent.net/thumb/ZKXZDBG0bgiqpr9/2OYaY3kv32IZ22m.jpg" TargetMode="External"/><Relationship Id="rId4127" Type="http://schemas.openxmlformats.org/officeDocument/2006/relationships/hyperlink" Target="https://thumb.tapecontent.net/thumb/Wblmwr9WLRibx6p/eg9yymWj13FOXP.jpg" TargetMode="External"/><Relationship Id="rId4334" Type="http://schemas.openxmlformats.org/officeDocument/2006/relationships/hyperlink" Target="https://lulustream.com/e/q77run5v6y51" TargetMode="External"/><Relationship Id="rId4541" Type="http://schemas.openxmlformats.org/officeDocument/2006/relationships/hyperlink" Target="https://doodstream.com/d/1npj6r6jegmi/" TargetMode="External"/><Relationship Id="rId1928" Type="http://schemas.openxmlformats.org/officeDocument/2006/relationships/hyperlink" Target="https://doodstream.com/d/0dg7pshjadvv/" TargetMode="External"/><Relationship Id="rId2092" Type="http://schemas.openxmlformats.org/officeDocument/2006/relationships/hyperlink" Target="https://doodstream.com/d/doxbl254fwfl/" TargetMode="External"/><Relationship Id="rId3143" Type="http://schemas.openxmlformats.org/officeDocument/2006/relationships/hyperlink" Target="https://doodstream.com/d/lsb5jyl5ix4c/" TargetMode="External"/><Relationship Id="rId3350" Type="http://schemas.openxmlformats.org/officeDocument/2006/relationships/hyperlink" Target="https://doodstream.com/d/ru6fuiy0iemi/" TargetMode="External"/><Relationship Id="rId271" Type="http://schemas.openxmlformats.org/officeDocument/2006/relationships/hyperlink" Target="https://doodstream.com/d/op3zz670prkc/" TargetMode="External"/><Relationship Id="rId3003" Type="http://schemas.openxmlformats.org/officeDocument/2006/relationships/hyperlink" Target="https://thumb.tapecontent.net/thumb/DepyLkg4KXikX7g/KQVdOV8rMJu01qM.jpg" TargetMode="External"/><Relationship Id="rId4401" Type="http://schemas.openxmlformats.org/officeDocument/2006/relationships/hyperlink" Target="https://thumb.tapecontent.net/thumb/zLqLvyv6LMTYq0o/Q2jB21Gl0BFRD4.jpg" TargetMode="External"/><Relationship Id="rId131" Type="http://schemas.openxmlformats.org/officeDocument/2006/relationships/hyperlink" Target="https://lulustream.com/d/086tzp1hm5qe" TargetMode="External"/><Relationship Id="rId3210" Type="http://schemas.openxmlformats.org/officeDocument/2006/relationships/hyperlink" Target="https://lulustream.com/e/n70agds24emq" TargetMode="External"/><Relationship Id="rId2769" Type="http://schemas.openxmlformats.org/officeDocument/2006/relationships/hyperlink" Target="https://thumb.tapecontent.net/thumb/0W62ZBO6YKhbo6k/2WQdM3J3YkSZroL.jpg" TargetMode="External"/><Relationship Id="rId2976" Type="http://schemas.openxmlformats.org/officeDocument/2006/relationships/hyperlink" Target="https://thumb.tapecontent.net/thumb/PZKV8GjV7gT04d3/P7m0907MJPtxlx.jpg" TargetMode="External"/><Relationship Id="rId948" Type="http://schemas.openxmlformats.org/officeDocument/2006/relationships/hyperlink" Target="https://thumb.tapecontent.net/thumb/VyPVwKW98af9p7/mrMqylyyyvfbY3P.jpg" TargetMode="External"/><Relationship Id="rId1578" Type="http://schemas.openxmlformats.org/officeDocument/2006/relationships/hyperlink" Target="https://lulustream.com/d/zr1szgypango" TargetMode="External"/><Relationship Id="rId1785" Type="http://schemas.openxmlformats.org/officeDocument/2006/relationships/hyperlink" Target="https://thumb.tapecontent.net/thumb/0rVLRQqlGgIbjeY/MX81oeZR7XsmPKD.jpg" TargetMode="External"/><Relationship Id="rId1992" Type="http://schemas.openxmlformats.org/officeDocument/2006/relationships/hyperlink" Target="https://thumb.tapecontent.net/thumb/LLxk7jqrydURr2O/6kylBWa9qWs9BWG.jpg" TargetMode="External"/><Relationship Id="rId2629" Type="http://schemas.openxmlformats.org/officeDocument/2006/relationships/hyperlink" Target="https://lulustream.com/d/sht0dm1icrge" TargetMode="External"/><Relationship Id="rId2836" Type="http://schemas.openxmlformats.org/officeDocument/2006/relationships/hyperlink" Target="https://lulustream.com/d/mo5mpclkumlb" TargetMode="External"/><Relationship Id="rId4191" Type="http://schemas.openxmlformats.org/officeDocument/2006/relationships/hyperlink" Target="https://doodstream.com/d/3in3axgq91b1/" TargetMode="External"/><Relationship Id="rId77" Type="http://schemas.openxmlformats.org/officeDocument/2006/relationships/hyperlink" Target="https://thumb.tapecontent.net/thumb/lxyd9VjLZxu7pMQ/Q0z3XO7zR9C0x6d.jpg" TargetMode="External"/><Relationship Id="rId808" Type="http://schemas.openxmlformats.org/officeDocument/2006/relationships/hyperlink" Target="https://doodstream.com/d/wvumzu2t2vji/" TargetMode="External"/><Relationship Id="rId1438" Type="http://schemas.openxmlformats.org/officeDocument/2006/relationships/hyperlink" Target="https://lulustream.com/e/fa7eqhif5usn" TargetMode="External"/><Relationship Id="rId1645" Type="http://schemas.openxmlformats.org/officeDocument/2006/relationships/hyperlink" Target="https://lulustream.com/e/ya75oijb484w" TargetMode="External"/><Relationship Id="rId4051" Type="http://schemas.openxmlformats.org/officeDocument/2006/relationships/hyperlink" Target="https://thumb.tapecontent.net/thumb/akzmdk9zl0CxqJJ/8BlvYjyvkqHj4w.jpg" TargetMode="External"/><Relationship Id="rId1852" Type="http://schemas.openxmlformats.org/officeDocument/2006/relationships/hyperlink" Target="https://doodstream.com/d/hta9t8wmefqq/" TargetMode="External"/><Relationship Id="rId2903" Type="http://schemas.openxmlformats.org/officeDocument/2006/relationships/hyperlink" Target="https://thumb.tapecontent.net/thumb/9jVZJM6DmkFaaq4/KQ9dq6vy9OHbKx.jpg" TargetMode="External"/><Relationship Id="rId1505" Type="http://schemas.openxmlformats.org/officeDocument/2006/relationships/hyperlink" Target="https://thumb.tapecontent.net/thumb/PkPWAxrMYyF0mYM/vwpGYze3r6FjD1.jpg" TargetMode="External"/><Relationship Id="rId1712" Type="http://schemas.openxmlformats.org/officeDocument/2006/relationships/hyperlink" Target="https://doodstream.com/d/bfp1vw2aenp9/" TargetMode="External"/><Relationship Id="rId3677" Type="http://schemas.openxmlformats.org/officeDocument/2006/relationships/hyperlink" Target="https://lulustream.com/d/5j88pbctdz3w" TargetMode="External"/><Relationship Id="rId3884" Type="http://schemas.openxmlformats.org/officeDocument/2006/relationships/hyperlink" Target="https://lulustream.com/e/wakne65u8ahj" TargetMode="External"/><Relationship Id="rId4728" Type="http://schemas.openxmlformats.org/officeDocument/2006/relationships/hyperlink" Target="https://lulustream.com/d/h5o1bn2eoe53" TargetMode="External"/><Relationship Id="rId598" Type="http://schemas.openxmlformats.org/officeDocument/2006/relationships/hyperlink" Target="https://thumb.tapecontent.net/thumb/7Rkd4DpL8AhAD2a/pY0GgAQz00FxX2.jpg" TargetMode="External"/><Relationship Id="rId2279" Type="http://schemas.openxmlformats.org/officeDocument/2006/relationships/hyperlink" Target="https://lulustream.com/d/60a1ttfyijhh" TargetMode="External"/><Relationship Id="rId2486" Type="http://schemas.openxmlformats.org/officeDocument/2006/relationships/hyperlink" Target="https://thumb.tapecontent.net/thumb/7jXBjMReARUAAkw/or8qr9J4QoTbPk.jpg" TargetMode="External"/><Relationship Id="rId2693" Type="http://schemas.openxmlformats.org/officeDocument/2006/relationships/hyperlink" Target="https://thumb.tapecontent.net/thumb/bZaBlyJ6qxhPPAe/ko0YrYAzPZhrL6.jpg" TargetMode="External"/><Relationship Id="rId3537" Type="http://schemas.openxmlformats.org/officeDocument/2006/relationships/hyperlink" Target="https://doodstream.com/d/4epcul7rqz6t/" TargetMode="External"/><Relationship Id="rId3744" Type="http://schemas.openxmlformats.org/officeDocument/2006/relationships/hyperlink" Target="https://luluvdoo.com/d/qv0edj9lm092" TargetMode="External"/><Relationship Id="rId3951" Type="http://schemas.openxmlformats.org/officeDocument/2006/relationships/hyperlink" Target="https://doodstream.com/d/3uegjahy1t0p/" TargetMode="External"/><Relationship Id="rId458" Type="http://schemas.openxmlformats.org/officeDocument/2006/relationships/hyperlink" Target="https://streamtape.com/v/dgVxyoDR3WIkWdg/Angela_White_-_61068711_-_Onlyfans.mp4" TargetMode="External"/><Relationship Id="rId665" Type="http://schemas.openxmlformats.org/officeDocument/2006/relationships/hyperlink" Target="https://doodstream.com/d/u35q5q6hiuug/" TargetMode="External"/><Relationship Id="rId872" Type="http://schemas.openxmlformats.org/officeDocument/2006/relationships/hyperlink" Target="https://lulustream.com/e/5ubqa2zhjtrp" TargetMode="External"/><Relationship Id="rId1088" Type="http://schemas.openxmlformats.org/officeDocument/2006/relationships/hyperlink" Target="https://thumb.tapecontent.net/thumb/4xDPD2mPG9Fp7z/OqvwMPmaMvHZv0k.jpg" TargetMode="External"/><Relationship Id="rId1295" Type="http://schemas.openxmlformats.org/officeDocument/2006/relationships/hyperlink" Target="https://thumb.tapecontent.net/thumb/YLo08o3lqMcvbja/OxBJ1q7YgRikrY.jpg" TargetMode="External"/><Relationship Id="rId2139" Type="http://schemas.openxmlformats.org/officeDocument/2006/relationships/hyperlink" Target="https://doodstream.com/d/0o7irfxaa6ax/" TargetMode="External"/><Relationship Id="rId2346" Type="http://schemas.openxmlformats.org/officeDocument/2006/relationships/hyperlink" Target="https://thumb.tapecontent.net/thumb/RyxV9B8k0gfddD8/0V2M4Q1qm1Hbyx4.jpg" TargetMode="External"/><Relationship Id="rId2553" Type="http://schemas.openxmlformats.org/officeDocument/2006/relationships/hyperlink" Target="https://lulustream.com/d/n1te8u2gf5e4" TargetMode="External"/><Relationship Id="rId2760" Type="http://schemas.openxmlformats.org/officeDocument/2006/relationships/hyperlink" Target="https://lulustream.com/d/mwl7epohtihq" TargetMode="External"/><Relationship Id="rId3604" Type="http://schemas.openxmlformats.org/officeDocument/2006/relationships/hyperlink" Target="https://lulustream.com/e/5r47wdqfzhmg" TargetMode="External"/><Relationship Id="rId3811" Type="http://schemas.openxmlformats.org/officeDocument/2006/relationships/hyperlink" Target="https://lulustream.com/d/rzsh8x2vxxip" TargetMode="External"/><Relationship Id="rId318" Type="http://schemas.openxmlformats.org/officeDocument/2006/relationships/hyperlink" Target="https://doodstream.com/d/1qcgjhcjhnr0/" TargetMode="External"/><Relationship Id="rId525" Type="http://schemas.openxmlformats.org/officeDocument/2006/relationships/hyperlink" Target="https://luluvdoo.com/d/j2bh49l2cwn1" TargetMode="External"/><Relationship Id="rId732" Type="http://schemas.openxmlformats.org/officeDocument/2006/relationships/hyperlink" Target="https://thumb.tapecontent.net/thumb/r3qkPm44BYubVvD/Me9B6bd1g0CmKrL.jpg" TargetMode="External"/><Relationship Id="rId1155" Type="http://schemas.openxmlformats.org/officeDocument/2006/relationships/hyperlink" Target="https://thumb.tapecontent.net/thumb/RW2gyraM1wsdRZ1/YGzZvjxvQLCLqD.jpg" TargetMode="External"/><Relationship Id="rId1362" Type="http://schemas.openxmlformats.org/officeDocument/2006/relationships/hyperlink" Target="https://doodstream.com/d/zg9wawuv0w7r/" TargetMode="External"/><Relationship Id="rId2206" Type="http://schemas.openxmlformats.org/officeDocument/2006/relationships/hyperlink" Target="https://thumb.tapecontent.net/thumb/gPO7myVywpCqWBA/jgMj3dKRZmCzWWk.jpg" TargetMode="External"/><Relationship Id="rId2413" Type="http://schemas.openxmlformats.org/officeDocument/2006/relationships/hyperlink" Target="https://lulustream.com/e/s017q29h3cq4" TargetMode="External"/><Relationship Id="rId2620" Type="http://schemas.openxmlformats.org/officeDocument/2006/relationships/hyperlink" Target="https://lulustream.com/d/rzxyqe9d7z49" TargetMode="External"/><Relationship Id="rId1015" Type="http://schemas.openxmlformats.org/officeDocument/2006/relationships/hyperlink" Target="https://doodstream.com/d/4cqay9x17vah/" TargetMode="External"/><Relationship Id="rId1222" Type="http://schemas.openxmlformats.org/officeDocument/2006/relationships/hyperlink" Target="https://thumb.tapecontent.net/thumb/O2mr3q747gIZZ8G/GXvgaJkvOxI1KRp.jpg" TargetMode="External"/><Relationship Id="rId4378" Type="http://schemas.openxmlformats.org/officeDocument/2006/relationships/hyperlink" Target="https://doodstream.com/d/nyr85nkm15b3/" TargetMode="External"/><Relationship Id="rId4585" Type="http://schemas.openxmlformats.org/officeDocument/2006/relationships/hyperlink" Target="https://doodstream.com/d/xxp63eokdi4r/" TargetMode="External"/><Relationship Id="rId3187" Type="http://schemas.openxmlformats.org/officeDocument/2006/relationships/hyperlink" Target="https://doodstream.com/d/693ypiy9gddo/" TargetMode="External"/><Relationship Id="rId3394" Type="http://schemas.openxmlformats.org/officeDocument/2006/relationships/hyperlink" Target="https://doodstream.com/d/ltm69xn0zcoy/" TargetMode="External"/><Relationship Id="rId4238" Type="http://schemas.openxmlformats.org/officeDocument/2006/relationships/hyperlink" Target="https://doodstream.com/d/fyl56peuqf27/" TargetMode="External"/><Relationship Id="rId3047" Type="http://schemas.openxmlformats.org/officeDocument/2006/relationships/hyperlink" Target="https://thumb.tapecontent.net/thumb/pbjpYxZ7zacrOgG/R9Wyx80pqXcdRpp.jpg" TargetMode="External"/><Relationship Id="rId4445" Type="http://schemas.openxmlformats.org/officeDocument/2006/relationships/hyperlink" Target="https://luluvdoo.com/d/ggdltog4pig3" TargetMode="External"/><Relationship Id="rId4652" Type="http://schemas.openxmlformats.org/officeDocument/2006/relationships/hyperlink" Target="https://thumb.tapecontent.net/thumb/mDk21K0MoQfbZD4/zl32BbL07jtYdpQ.jpg" TargetMode="External"/><Relationship Id="rId175" Type="http://schemas.openxmlformats.org/officeDocument/2006/relationships/hyperlink" Target="https://doodstream.com/d/ce9gvvjl1uno/" TargetMode="External"/><Relationship Id="rId3254" Type="http://schemas.openxmlformats.org/officeDocument/2006/relationships/hyperlink" Target="https://doodstream.com/d/s9g5vpninuoh/" TargetMode="External"/><Relationship Id="rId3461" Type="http://schemas.openxmlformats.org/officeDocument/2006/relationships/hyperlink" Target="https://thumb.tapecontent.net/thumb/mOldRkePZLTMwe/xv86jlBVKqUkMb4.jpg" TargetMode="External"/><Relationship Id="rId4305" Type="http://schemas.openxmlformats.org/officeDocument/2006/relationships/hyperlink" Target="https://lulustream.com/d/kpqotxup82x3" TargetMode="External"/><Relationship Id="rId4512" Type="http://schemas.openxmlformats.org/officeDocument/2006/relationships/hyperlink" Target="https://doodstream.com/d/ewdb9v8gidwl/" TargetMode="External"/><Relationship Id="rId382" Type="http://schemas.openxmlformats.org/officeDocument/2006/relationships/hyperlink" Target="https://luluvdoo.com/d/sngehhhof716" TargetMode="External"/><Relationship Id="rId2063" Type="http://schemas.openxmlformats.org/officeDocument/2006/relationships/hyperlink" Target="https://lulustream.com/e/y4deodmubrh5" TargetMode="External"/><Relationship Id="rId2270" Type="http://schemas.openxmlformats.org/officeDocument/2006/relationships/hyperlink" Target="https://lulustream.com/e/vkmey7qcqbxq" TargetMode="External"/><Relationship Id="rId3114" Type="http://schemas.openxmlformats.org/officeDocument/2006/relationships/hyperlink" Target="https://doodstream.com/d/hyiw9mk4x5t1/" TargetMode="External"/><Relationship Id="rId3321" Type="http://schemas.openxmlformats.org/officeDocument/2006/relationships/hyperlink" Target="https://thumb.tapecontent.net/thumb/bpK3O86lmXCPaZG/Bv7BkqgR97T6v7.jpg" TargetMode="External"/><Relationship Id="rId242" Type="http://schemas.openxmlformats.org/officeDocument/2006/relationships/hyperlink" Target="https://lulustream.com/d/pzkqog7r5e3n" TargetMode="External"/><Relationship Id="rId2130" Type="http://schemas.openxmlformats.org/officeDocument/2006/relationships/hyperlink" Target="https://thumb.tapecontent.net/thumb/eVlLzmGvYPuYv3b/b1PmrvKdqwiPPJZ.jpg" TargetMode="External"/><Relationship Id="rId102" Type="http://schemas.openxmlformats.org/officeDocument/2006/relationships/hyperlink" Target="https://thumb.tapecontent.net/thumb/1Amr9mdOkoIewrA/jqDYDKlYBBUzyvd.jpg" TargetMode="External"/><Relationship Id="rId1689" Type="http://schemas.openxmlformats.org/officeDocument/2006/relationships/hyperlink" Target="https://thumb.tapecontent.net/thumb/OJRp0brVGwfelQ/p8pkVvdObBSl1p.jpg" TargetMode="External"/><Relationship Id="rId4095" Type="http://schemas.openxmlformats.org/officeDocument/2006/relationships/hyperlink" Target="https://lulustream.com/e/tan0harr7ijj" TargetMode="External"/><Relationship Id="rId1896" Type="http://schemas.openxmlformats.org/officeDocument/2006/relationships/hyperlink" Target="https://lulustream.com/d/17s3s52kcuz7" TargetMode="External"/><Relationship Id="rId2947" Type="http://schemas.openxmlformats.org/officeDocument/2006/relationships/hyperlink" Target="https://thumb.tapecontent.net/thumb/ePA4komRdMS97z/7jowXd80QwSApKw.jpg" TargetMode="External"/><Relationship Id="rId4162" Type="http://schemas.openxmlformats.org/officeDocument/2006/relationships/hyperlink" Target="https://doodstream.com/d/vo74srer589x/" TargetMode="External"/><Relationship Id="rId919" Type="http://schemas.openxmlformats.org/officeDocument/2006/relationships/hyperlink" Target="https://doodstream.com/d/g5yxi5hsok7t/" TargetMode="External"/><Relationship Id="rId1549" Type="http://schemas.openxmlformats.org/officeDocument/2006/relationships/hyperlink" Target="https://thumb.tapecontent.net/thumb/VBKBwe1DRPtK1a4/Py0BD7m2avS0ZmR.jpg" TargetMode="External"/><Relationship Id="rId1756" Type="http://schemas.openxmlformats.org/officeDocument/2006/relationships/hyperlink" Target="https://thumb.tapecontent.net/thumb/Bv7woZbWKOUyezY/q8XebqajXxIzVQX.jpg" TargetMode="External"/><Relationship Id="rId1963" Type="http://schemas.openxmlformats.org/officeDocument/2006/relationships/hyperlink" Target="https://thumb.tapecontent.net/thumb/RXgKL42BG1Uja9/RXW1736wPqHdz9q.jpg" TargetMode="External"/><Relationship Id="rId2807" Type="http://schemas.openxmlformats.org/officeDocument/2006/relationships/hyperlink" Target="https://thumb.tapecontent.net/thumb/287M96wX1viZ0Z1/BXQeba6lxxFyeOR.jpg" TargetMode="External"/><Relationship Id="rId4022" Type="http://schemas.openxmlformats.org/officeDocument/2006/relationships/hyperlink" Target="https://lulustream.com/d/rreu76ycalpe" TargetMode="External"/><Relationship Id="rId48" Type="http://schemas.openxmlformats.org/officeDocument/2006/relationships/hyperlink" Target="https://doodstream.com/d/ztvzkgn3o0cf/" TargetMode="External"/><Relationship Id="rId1409" Type="http://schemas.openxmlformats.org/officeDocument/2006/relationships/hyperlink" Target="https://thumb.tapecontent.net/thumb/RqamLxdyjwu7x1/Kz6Gjak9l4u0ZXo.jpg" TargetMode="External"/><Relationship Id="rId1616" Type="http://schemas.openxmlformats.org/officeDocument/2006/relationships/hyperlink" Target="https://lulustream.com/e/q4svj2apw8eq" TargetMode="External"/><Relationship Id="rId1823" Type="http://schemas.openxmlformats.org/officeDocument/2006/relationships/hyperlink" Target="https://lulustream.com/e/g5f38yj405d3" TargetMode="External"/><Relationship Id="rId3788" Type="http://schemas.openxmlformats.org/officeDocument/2006/relationships/hyperlink" Target="https://doodstream.com/d/8cpnrsj754to/" TargetMode="External"/><Relationship Id="rId3995" Type="http://schemas.openxmlformats.org/officeDocument/2006/relationships/hyperlink" Target="https://thumb.tapecontent.net/thumb/17kopZaaOxsbLA/yjJZ43oA3bHKdb.jpg" TargetMode="External"/><Relationship Id="rId2597" Type="http://schemas.openxmlformats.org/officeDocument/2006/relationships/hyperlink" Target="https://lulustream.com/d/gwh6zowbwy80" TargetMode="External"/><Relationship Id="rId3648" Type="http://schemas.openxmlformats.org/officeDocument/2006/relationships/hyperlink" Target="https://thumb.tapecontent.net/thumb/OWdJyK0RzRUZ0Py/JAj7Pwg3Q9IJGP.jpg" TargetMode="External"/><Relationship Id="rId3855" Type="http://schemas.openxmlformats.org/officeDocument/2006/relationships/hyperlink" Target="https://doodstream.com/d/fy4jqhl0qlwc/" TargetMode="External"/><Relationship Id="rId569" Type="http://schemas.openxmlformats.org/officeDocument/2006/relationships/hyperlink" Target="https://lulustream.com/d/7xkr8owmd3fu" TargetMode="External"/><Relationship Id="rId776" Type="http://schemas.openxmlformats.org/officeDocument/2006/relationships/hyperlink" Target="https://thumb.tapecontent.net/thumb/xv9lXM97loTkYDb/eGK7lX73A2f9j8.jpg" TargetMode="External"/><Relationship Id="rId983" Type="http://schemas.openxmlformats.org/officeDocument/2006/relationships/hyperlink" Target="https://doodstream.com/d/pgmdymeslx4k/" TargetMode="External"/><Relationship Id="rId1199" Type="http://schemas.openxmlformats.org/officeDocument/2006/relationships/hyperlink" Target="https://thumb.tapecontent.net/thumb/xb0aZA0v2rskWD8/A2O9oz7DrDIXOmZ.jpg" TargetMode="External"/><Relationship Id="rId2457" Type="http://schemas.openxmlformats.org/officeDocument/2006/relationships/hyperlink" Target="https://lulustream.com/e/ep0c6abxp40a" TargetMode="External"/><Relationship Id="rId2664" Type="http://schemas.openxmlformats.org/officeDocument/2006/relationships/hyperlink" Target="https://lulustream.com/e/3kgqqix912ix" TargetMode="External"/><Relationship Id="rId3508" Type="http://schemas.openxmlformats.org/officeDocument/2006/relationships/hyperlink" Target="https://thumb.tapecontent.net/thumb/O7PVlm8DDafZAJW/6Q6kOKzxWzHpjL.jpg" TargetMode="External"/><Relationship Id="rId429" Type="http://schemas.openxmlformats.org/officeDocument/2006/relationships/hyperlink" Target="https://streamtape.com/v/3dVRy7rYQAudO6Q/Angela_White_-_37542569_-_ripnsfw.com_-_Little_Puck.mp4" TargetMode="External"/><Relationship Id="rId636" Type="http://schemas.openxmlformats.org/officeDocument/2006/relationships/hyperlink" Target="https://thumb.tapecontent.net/thumb/gak3q36oDvtYaB/AQa1WvL7artXM10.jpg" TargetMode="External"/><Relationship Id="rId1059" Type="http://schemas.openxmlformats.org/officeDocument/2006/relationships/hyperlink" Target="https://thumb.tapecontent.net/thumb/XPgPxkDr2WfD9DP/vkklYklLjBI4xq7.jpg" TargetMode="External"/><Relationship Id="rId1266" Type="http://schemas.openxmlformats.org/officeDocument/2006/relationships/hyperlink" Target="https://thumb.tapecontent.net/thumb/0R7gXQa0WMS6kj/6Wa9wQ3xedie3g.jpg" TargetMode="External"/><Relationship Id="rId1473" Type="http://schemas.openxmlformats.org/officeDocument/2006/relationships/hyperlink" Target="https://thumb.tapecontent.net/thumb/Qw4wJlpz0Pi80M/RAQQvRp3YGHdGYW.jpg" TargetMode="External"/><Relationship Id="rId2317" Type="http://schemas.openxmlformats.org/officeDocument/2006/relationships/hyperlink" Target="https://doodstream.com/d/6jx4cu9xh3ou/" TargetMode="External"/><Relationship Id="rId2871" Type="http://schemas.openxmlformats.org/officeDocument/2006/relationships/hyperlink" Target="https://lulustream.com/d/t7xcxd5ynmc9" TargetMode="External"/><Relationship Id="rId3715" Type="http://schemas.openxmlformats.org/officeDocument/2006/relationships/hyperlink" Target="https://thumb.tapecontent.net/thumb/P6DQm4O7Kwt0P0z/kvX2a3DxxrTO13D.jpg" TargetMode="External"/><Relationship Id="rId3922" Type="http://schemas.openxmlformats.org/officeDocument/2006/relationships/hyperlink" Target="https://lulustream.com/e/46h5ercu90rv" TargetMode="External"/><Relationship Id="rId843" Type="http://schemas.openxmlformats.org/officeDocument/2006/relationships/hyperlink" Target="https://doodstream.com/d/zkso5hic4hfh/" TargetMode="External"/><Relationship Id="rId1126" Type="http://schemas.openxmlformats.org/officeDocument/2006/relationships/hyperlink" Target="https://lulustream.com/e/ruosu9zgkm9e" TargetMode="External"/><Relationship Id="rId1680" Type="http://schemas.openxmlformats.org/officeDocument/2006/relationships/hyperlink" Target="https://thumb.tapecontent.net/thumb/K9dmzzJxvQIoPz/yPMRAkz0Xmh383.jpg" TargetMode="External"/><Relationship Id="rId2524" Type="http://schemas.openxmlformats.org/officeDocument/2006/relationships/hyperlink" Target="https://doodstream.com/d/fif6l3m96vtg/" TargetMode="External"/><Relationship Id="rId2731" Type="http://schemas.openxmlformats.org/officeDocument/2006/relationships/hyperlink" Target="https://doodstream.com/d/cfmun7f7iuec/" TargetMode="External"/><Relationship Id="rId703" Type="http://schemas.openxmlformats.org/officeDocument/2006/relationships/hyperlink" Target="https://doodstream.com/d/hm4h6lwhicj0/" TargetMode="External"/><Relationship Id="rId910" Type="http://schemas.openxmlformats.org/officeDocument/2006/relationships/hyperlink" Target="https://doodstream.com/d/erq5bu8xlp0y/" TargetMode="External"/><Relationship Id="rId1333" Type="http://schemas.openxmlformats.org/officeDocument/2006/relationships/hyperlink" Target="https://lulustream.com/d/tj780h8xu7nx" TargetMode="External"/><Relationship Id="rId1540" Type="http://schemas.openxmlformats.org/officeDocument/2006/relationships/hyperlink" Target="https://thumb.tapecontent.net/thumb/gdbWAv21WrsBK8/Wed7rX4KboHbjO2.jpg" TargetMode="External"/><Relationship Id="rId4489" Type="http://schemas.openxmlformats.org/officeDocument/2006/relationships/hyperlink" Target="https://luluvdoo.com/d/rfkj8oanaaae" TargetMode="External"/><Relationship Id="rId4696" Type="http://schemas.openxmlformats.org/officeDocument/2006/relationships/hyperlink" Target="https://lulustream.com/d/1a6jj2rp1qai" TargetMode="External"/><Relationship Id="rId1400" Type="http://schemas.openxmlformats.org/officeDocument/2006/relationships/hyperlink" Target="https://lulustream.com/d/v5rijmki53ez" TargetMode="External"/><Relationship Id="rId3298" Type="http://schemas.openxmlformats.org/officeDocument/2006/relationships/hyperlink" Target="https://thumb.tapecontent.net/thumb/OVkp2MeMoxc9qJ/v2427jmmawFLvb.jpg" TargetMode="External"/><Relationship Id="rId4349" Type="http://schemas.openxmlformats.org/officeDocument/2006/relationships/hyperlink" Target="https://thumb.tapecontent.net/thumb/Ye4vjGL91ZhvD7j/brQ8Q2Ral8TPrbw.jpg" TargetMode="External"/><Relationship Id="rId4556" Type="http://schemas.openxmlformats.org/officeDocument/2006/relationships/hyperlink" Target="https://doodstream.com/d/0lv394y15pri/" TargetMode="External"/><Relationship Id="rId4763" Type="http://schemas.openxmlformats.org/officeDocument/2006/relationships/hyperlink" Target="https://lulustream.com/d/544rc5hsvlfa" TargetMode="External"/><Relationship Id="rId3158" Type="http://schemas.openxmlformats.org/officeDocument/2006/relationships/hyperlink" Target="https://luluvdoo.com/d/tf9e3nx80bxe" TargetMode="External"/><Relationship Id="rId3365" Type="http://schemas.openxmlformats.org/officeDocument/2006/relationships/hyperlink" Target="https://lulustream.com/d/slmivg899naq" TargetMode="External"/><Relationship Id="rId3572" Type="http://schemas.openxmlformats.org/officeDocument/2006/relationships/hyperlink" Target="https://doodstream.com/d/jocnxtpa3skh/" TargetMode="External"/><Relationship Id="rId4209" Type="http://schemas.openxmlformats.org/officeDocument/2006/relationships/hyperlink" Target="https://thumb.tapecontent.net/thumb/wGJkK3jwQpievk/QaMRz6m13PU06GB.jpg" TargetMode="External"/><Relationship Id="rId4416" Type="http://schemas.openxmlformats.org/officeDocument/2006/relationships/hyperlink" Target="https://thumb.tapecontent.net/thumb/lqR0y9qWa1U7GXW/v2BKyw94K2F4OW6.jpg" TargetMode="External"/><Relationship Id="rId4623" Type="http://schemas.openxmlformats.org/officeDocument/2006/relationships/hyperlink" Target="https://doodstream.com/d/lr55d6vg4rxt/" TargetMode="External"/><Relationship Id="rId286" Type="http://schemas.openxmlformats.org/officeDocument/2006/relationships/hyperlink" Target="https://thumb.tapecontent.net/thumb/dKLW73yOB9SkOpy/rDGX24PqVrIbLwQ.jpg" TargetMode="External"/><Relationship Id="rId493" Type="http://schemas.openxmlformats.org/officeDocument/2006/relationships/hyperlink" Target="https://luluvdoo.com/d/h0mr2lj8h8ho" TargetMode="External"/><Relationship Id="rId2174" Type="http://schemas.openxmlformats.org/officeDocument/2006/relationships/hyperlink" Target="https://doodstream.com/d/wv4zfcwugw9z/" TargetMode="External"/><Relationship Id="rId2381" Type="http://schemas.openxmlformats.org/officeDocument/2006/relationships/hyperlink" Target="https://thumb.tapecontent.net/thumb/lOGqDb3dD2c7rz0/K40qjg0dbRc0mlB.jpg" TargetMode="External"/><Relationship Id="rId3018" Type="http://schemas.openxmlformats.org/officeDocument/2006/relationships/hyperlink" Target="https://thumb.tapecontent.net/thumb/Q0BXv0ZL1WT0oWY/z3mQLXZrMvhYrv8.jpg" TargetMode="External"/><Relationship Id="rId3225" Type="http://schemas.openxmlformats.org/officeDocument/2006/relationships/hyperlink" Target="https://thumb.tapecontent.net/thumb/BGwxAoGadOiykOq/Q1WPZOo0LXf866.jpg" TargetMode="External"/><Relationship Id="rId3432" Type="http://schemas.openxmlformats.org/officeDocument/2006/relationships/hyperlink" Target="https://lulustream.com/e/4bczvnrg1paz" TargetMode="External"/><Relationship Id="rId146" Type="http://schemas.openxmlformats.org/officeDocument/2006/relationships/hyperlink" Target="https://lulustream.com/d/bxieej7woryy" TargetMode="External"/><Relationship Id="rId353" Type="http://schemas.openxmlformats.org/officeDocument/2006/relationships/hyperlink" Target="https://doodstream.com/d/8ul6e06db897/" TargetMode="External"/><Relationship Id="rId560" Type="http://schemas.openxmlformats.org/officeDocument/2006/relationships/hyperlink" Target="https://lulustream.com/e/jc90f79e7bfh" TargetMode="External"/><Relationship Id="rId1190" Type="http://schemas.openxmlformats.org/officeDocument/2006/relationships/hyperlink" Target="https://thumb.tapecontent.net/thumb/AkqLDXbkbMuDRy/A6WYJ6mzmacXR6W.jpg" TargetMode="External"/><Relationship Id="rId2034" Type="http://schemas.openxmlformats.org/officeDocument/2006/relationships/hyperlink" Target="https://thumb.tapecontent.net/thumb/K9PKvWoM87U0QMP/6wRPAWb6X1ieRW.jpg" TargetMode="External"/><Relationship Id="rId2241" Type="http://schemas.openxmlformats.org/officeDocument/2006/relationships/hyperlink" Target="https://lulustream.com/e/rayhaf3100r6" TargetMode="External"/><Relationship Id="rId213" Type="http://schemas.openxmlformats.org/officeDocument/2006/relationships/hyperlink" Target="https://lulustream.com/e/bqia1oswt0ti" TargetMode="External"/><Relationship Id="rId420" Type="http://schemas.openxmlformats.org/officeDocument/2006/relationships/hyperlink" Target="https://doodstream.com/d/lpbftcwxxpck/" TargetMode="External"/><Relationship Id="rId1050" Type="http://schemas.openxmlformats.org/officeDocument/2006/relationships/hyperlink" Target="https://thumb.tapecontent.net/thumb/R6bLDpmKVxSB6z/4xmZ6WKwDmcKbLP.jpg" TargetMode="External"/><Relationship Id="rId2101" Type="http://schemas.openxmlformats.org/officeDocument/2006/relationships/hyperlink" Target="https://doodstream.com/d/w6m9q68zuizh/" TargetMode="External"/><Relationship Id="rId4066" Type="http://schemas.openxmlformats.org/officeDocument/2006/relationships/hyperlink" Target="https://luluvdoo.com/d/z9u8xg9iyn3z" TargetMode="External"/><Relationship Id="rId1867" Type="http://schemas.openxmlformats.org/officeDocument/2006/relationships/hyperlink" Target="https://doodstream.com/d/2panxncd9dft/" TargetMode="External"/><Relationship Id="rId2918" Type="http://schemas.openxmlformats.org/officeDocument/2006/relationships/hyperlink" Target="https://thumb.tapecontent.net/thumb/ZjjADd7d1BIwZ2/AqKOGg7rD9cwVa.jpg" TargetMode="External"/><Relationship Id="rId4273" Type="http://schemas.openxmlformats.org/officeDocument/2006/relationships/hyperlink" Target="https://thumb.tapecontent.net/thumb/ZaLkJrbgwRIB78/7Xg7m0LYXVCAl0a.jpg" TargetMode="External"/><Relationship Id="rId4480" Type="http://schemas.openxmlformats.org/officeDocument/2006/relationships/hyperlink" Target="https://luluvdoo.com/d/o84irb0hkauj" TargetMode="External"/><Relationship Id="rId1727" Type="http://schemas.openxmlformats.org/officeDocument/2006/relationships/hyperlink" Target="https://doodstream.com/d/o77yz4ynpqc4/" TargetMode="External"/><Relationship Id="rId1934" Type="http://schemas.openxmlformats.org/officeDocument/2006/relationships/hyperlink" Target="https://thumb.tapecontent.net/thumb/0ppddg7kQ9hbJX8/okJZPQLrYATJ0MZ.jpg" TargetMode="External"/><Relationship Id="rId3082" Type="http://schemas.openxmlformats.org/officeDocument/2006/relationships/hyperlink" Target="https://thumb.tapecontent.net/thumb/YwlA4PwJe4CdGO/R9YYrbpxL6HZQo.jpg" TargetMode="External"/><Relationship Id="rId4133" Type="http://schemas.openxmlformats.org/officeDocument/2006/relationships/hyperlink" Target="https://doodstream.com/d/7od9t6g01k4f/" TargetMode="External"/><Relationship Id="rId4340" Type="http://schemas.openxmlformats.org/officeDocument/2006/relationships/hyperlink" Target="https://thumb.tapecontent.net/thumb/eakYVb7D7yIoOV/rD0qwlRKWafbw30.jpg" TargetMode="External"/><Relationship Id="rId19" Type="http://schemas.openxmlformats.org/officeDocument/2006/relationships/hyperlink" Target="https://lulustream.com/d/yddqas6660uo" TargetMode="External"/><Relationship Id="rId3899" Type="http://schemas.openxmlformats.org/officeDocument/2006/relationships/hyperlink" Target="https://thumb.tapecontent.net/thumb/617LZ6rzZOt9yAx/Vo4lJWyMvbHPYz.jpg" TargetMode="External"/><Relationship Id="rId4200" Type="http://schemas.openxmlformats.org/officeDocument/2006/relationships/hyperlink" Target="https://lulustream.com/e/kuoqm7d1cqf3" TargetMode="External"/><Relationship Id="rId3759" Type="http://schemas.openxmlformats.org/officeDocument/2006/relationships/hyperlink" Target="https://luluvdoo.com/d/0cmjyk9w5b9n" TargetMode="External"/><Relationship Id="rId3966" Type="http://schemas.openxmlformats.org/officeDocument/2006/relationships/hyperlink" Target="https://lulustream.com/d/ynz40t45t4im" TargetMode="External"/><Relationship Id="rId3" Type="http://schemas.openxmlformats.org/officeDocument/2006/relationships/hyperlink" Target="https://lulustream.com/d/hodrrnuyu917" TargetMode="External"/><Relationship Id="rId887" Type="http://schemas.openxmlformats.org/officeDocument/2006/relationships/hyperlink" Target="https://lulustream.com/e/kyhwt7lx359p" TargetMode="External"/><Relationship Id="rId2568" Type="http://schemas.openxmlformats.org/officeDocument/2006/relationships/hyperlink" Target="https://lulustream.com/e/t579nmqall3e" TargetMode="External"/><Relationship Id="rId2775" Type="http://schemas.openxmlformats.org/officeDocument/2006/relationships/hyperlink" Target="https://lulustream.com/d/l7l7fmb4lc38" TargetMode="External"/><Relationship Id="rId2982" Type="http://schemas.openxmlformats.org/officeDocument/2006/relationships/hyperlink" Target="https://lulustream.com/d/bed0f8l9uikq" TargetMode="External"/><Relationship Id="rId3619" Type="http://schemas.openxmlformats.org/officeDocument/2006/relationships/hyperlink" Target="https://thumb.tapecontent.net/thumb/78koYWWMWVfAg0v/aqovApX41lUx3jR.jpg" TargetMode="External"/><Relationship Id="rId3826" Type="http://schemas.openxmlformats.org/officeDocument/2006/relationships/hyperlink" Target="https://thumb.tapecontent.net/thumb/6wdoVyaaewf999W/w7GX0g2KzwhJrdx.jpg" TargetMode="External"/><Relationship Id="rId747" Type="http://schemas.openxmlformats.org/officeDocument/2006/relationships/hyperlink" Target="https://thumb.tapecontent.net/thumb/7zVjgK3daWFAqga/merAgP0OjDTb9lr.jpg" TargetMode="External"/><Relationship Id="rId954" Type="http://schemas.openxmlformats.org/officeDocument/2006/relationships/hyperlink" Target="https://doodstream.com/d/gqmjrq7ld3ga/" TargetMode="External"/><Relationship Id="rId1377" Type="http://schemas.openxmlformats.org/officeDocument/2006/relationships/hyperlink" Target="https://lulustream.com/e/ylib1ij98di9" TargetMode="External"/><Relationship Id="rId1584" Type="http://schemas.openxmlformats.org/officeDocument/2006/relationships/hyperlink" Target="https://lulustream.com/e/p2d0f1kle9qz" TargetMode="External"/><Relationship Id="rId1791" Type="http://schemas.openxmlformats.org/officeDocument/2006/relationships/hyperlink" Target="https://thumb.tapecontent.net/thumb/ZayqJLYL7lCqaaJ/Vrwpw2w3MBtKd9J.jpg" TargetMode="External"/><Relationship Id="rId2428" Type="http://schemas.openxmlformats.org/officeDocument/2006/relationships/hyperlink" Target="https://thumb.tapecontent.net/thumb/zM3JZrgwxkcYar0/KAdd78dXboT0mQ8.jpg" TargetMode="External"/><Relationship Id="rId2635" Type="http://schemas.openxmlformats.org/officeDocument/2006/relationships/hyperlink" Target="https://lulustream.com/e/75pt1um24s4u" TargetMode="External"/><Relationship Id="rId2842" Type="http://schemas.openxmlformats.org/officeDocument/2006/relationships/hyperlink" Target="https://thumb.tapecontent.net/thumb/QJyp1bJ7LJF0ZXb/27ZWdr9kweUZJ9Y.jpg" TargetMode="External"/><Relationship Id="rId83" Type="http://schemas.openxmlformats.org/officeDocument/2006/relationships/hyperlink" Target="https://lulustream.com/d/dat15ogft72x" TargetMode="External"/><Relationship Id="rId607" Type="http://schemas.openxmlformats.org/officeDocument/2006/relationships/hyperlink" Target="https://doodstream.com/d/lzas4hs4fk2g/" TargetMode="External"/><Relationship Id="rId814" Type="http://schemas.openxmlformats.org/officeDocument/2006/relationships/hyperlink" Target="https://luluvdoo.com/d/6qznhuev7l1c" TargetMode="External"/><Relationship Id="rId1237" Type="http://schemas.openxmlformats.org/officeDocument/2006/relationships/hyperlink" Target="https://lulustream.com/e/xrg81czlhzqz" TargetMode="External"/><Relationship Id="rId1444" Type="http://schemas.openxmlformats.org/officeDocument/2006/relationships/hyperlink" Target="https://lulustream.com/e/tk1iwu968nng" TargetMode="External"/><Relationship Id="rId1651" Type="http://schemas.openxmlformats.org/officeDocument/2006/relationships/hyperlink" Target="https://thumb.tapecontent.net/thumb/O4vkxZo0dgSG1Z/P6G1aD8YvAT0Oo8.jpg" TargetMode="External"/><Relationship Id="rId2702" Type="http://schemas.openxmlformats.org/officeDocument/2006/relationships/hyperlink" Target="https://thumb.tapecontent.net/thumb/WX3aDWVVAdibDzP/0pBvAjzwY8U64v.jpg" TargetMode="External"/><Relationship Id="rId1304" Type="http://schemas.openxmlformats.org/officeDocument/2006/relationships/hyperlink" Target="https://thumb.tapecontent.net/thumb/Ald2rGdP4mTXY2o/aRZB4O1JYLhxVaO.jpg" TargetMode="External"/><Relationship Id="rId1511" Type="http://schemas.openxmlformats.org/officeDocument/2006/relationships/hyperlink" Target="https://thumb.tapecontent.net/thumb/g3aXoYv1wpCqjWz/M6o3gxqQ4xCm4Gz.jpg" TargetMode="External"/><Relationship Id="rId4667" Type="http://schemas.openxmlformats.org/officeDocument/2006/relationships/hyperlink" Target="https://lulustream.com/e/gqeffat6evds" TargetMode="External"/><Relationship Id="rId3269" Type="http://schemas.openxmlformats.org/officeDocument/2006/relationships/hyperlink" Target="https://doodstream.com/d/0yglnw2dtvzp/" TargetMode="External"/><Relationship Id="rId3476" Type="http://schemas.openxmlformats.org/officeDocument/2006/relationships/hyperlink" Target="https://thumb.tapecontent.net/thumb/aYlxJPWKarux1oR/8DXQJMKlKMsJDz.jpg" TargetMode="External"/><Relationship Id="rId3683" Type="http://schemas.openxmlformats.org/officeDocument/2006/relationships/hyperlink" Target="https://lulustream.com/d/9yqnvuo97f30" TargetMode="External"/><Relationship Id="rId4527" Type="http://schemas.openxmlformats.org/officeDocument/2006/relationships/hyperlink" Target="https://doodstream.com/d/kvkvobxd6knu/" TargetMode="External"/><Relationship Id="rId10" Type="http://schemas.openxmlformats.org/officeDocument/2006/relationships/hyperlink" Target="https://lulustream.com/d/qplmyjy6230d" TargetMode="External"/><Relationship Id="rId397" Type="http://schemas.openxmlformats.org/officeDocument/2006/relationships/hyperlink" Target="https://thumb.tapecontent.net/thumb/KJR3p79alDF0RXd/VYqQJyYLJmcxBL.jpg" TargetMode="External"/><Relationship Id="rId2078" Type="http://schemas.openxmlformats.org/officeDocument/2006/relationships/hyperlink" Target="https://lulustream.com/e/fdr2cpi0v0g9" TargetMode="External"/><Relationship Id="rId2285" Type="http://schemas.openxmlformats.org/officeDocument/2006/relationships/hyperlink" Target="https://lulustream.com/e/faxjox6f3yoz" TargetMode="External"/><Relationship Id="rId2492" Type="http://schemas.openxmlformats.org/officeDocument/2006/relationships/hyperlink" Target="https://lulustream.com/d/pi7hjy171bsy" TargetMode="External"/><Relationship Id="rId3129" Type="http://schemas.openxmlformats.org/officeDocument/2006/relationships/hyperlink" Target="https://doodstream.com/d/1n0l5e9urcfb/" TargetMode="External"/><Relationship Id="rId3336" Type="http://schemas.openxmlformats.org/officeDocument/2006/relationships/hyperlink" Target="https://lulustream.com/e/nfw97gudpoms" TargetMode="External"/><Relationship Id="rId3890" Type="http://schemas.openxmlformats.org/officeDocument/2006/relationships/hyperlink" Target="https://lulustream.com/d/eddm4ecvdmyw" TargetMode="External"/><Relationship Id="rId4734" Type="http://schemas.openxmlformats.org/officeDocument/2006/relationships/hyperlink" Target="https://lulustream.com/d/sseluw62w2h0" TargetMode="External"/><Relationship Id="rId257" Type="http://schemas.openxmlformats.org/officeDocument/2006/relationships/hyperlink" Target="https://thumb.tapecontent.net/thumb/r8X4JwOV27fb7Jy/kWmP8MZAgXUy2r.jpg" TargetMode="External"/><Relationship Id="rId464" Type="http://schemas.openxmlformats.org/officeDocument/2006/relationships/hyperlink" Target="https://luluvdoo.com/d/t1x6vfidsfhk" TargetMode="External"/><Relationship Id="rId1094" Type="http://schemas.openxmlformats.org/officeDocument/2006/relationships/hyperlink" Target="https://lulustream.com/e/73ltgtimclqj" TargetMode="External"/><Relationship Id="rId2145" Type="http://schemas.openxmlformats.org/officeDocument/2006/relationships/hyperlink" Target="https://doodstream.com/d/d3aikemlx4e5/" TargetMode="External"/><Relationship Id="rId3543" Type="http://schemas.openxmlformats.org/officeDocument/2006/relationships/hyperlink" Target="https://doodstream.com/d/6di85wamqgou/" TargetMode="External"/><Relationship Id="rId3750" Type="http://schemas.openxmlformats.org/officeDocument/2006/relationships/hyperlink" Target="https://luluvdoo.com/d/d0q1bmrb4ei0" TargetMode="External"/><Relationship Id="rId117" Type="http://schemas.openxmlformats.org/officeDocument/2006/relationships/hyperlink" Target="https://thumb.tapecontent.net/thumb/ZD426161a2CqJDX/lW4gQXGzw7I7XJ1.jpg" TargetMode="External"/><Relationship Id="rId671" Type="http://schemas.openxmlformats.org/officeDocument/2006/relationships/hyperlink" Target="https://thumb.tapecontent.net/thumb/0RgvM1x7lYfbJLa/3WXGlwKdW2SdB0X.jpg" TargetMode="External"/><Relationship Id="rId2352" Type="http://schemas.openxmlformats.org/officeDocument/2006/relationships/hyperlink" Target="https://doodstream.com/d/9apllhm0rrko/" TargetMode="External"/><Relationship Id="rId3403" Type="http://schemas.openxmlformats.org/officeDocument/2006/relationships/hyperlink" Target="https://doodstream.com/d/kydnft591qjm/" TargetMode="External"/><Relationship Id="rId3610" Type="http://schemas.openxmlformats.org/officeDocument/2006/relationships/hyperlink" Target="https://lulustream.com/e/sekznpyajn84" TargetMode="External"/><Relationship Id="rId324" Type="http://schemas.openxmlformats.org/officeDocument/2006/relationships/hyperlink" Target="https://luluvdoo.com/d/kp1tzsu4j7ng" TargetMode="External"/><Relationship Id="rId531" Type="http://schemas.openxmlformats.org/officeDocument/2006/relationships/hyperlink" Target="https://doodstream.com/d/gu1zab6s92v1/" TargetMode="External"/><Relationship Id="rId1161" Type="http://schemas.openxmlformats.org/officeDocument/2006/relationships/hyperlink" Target="https://thumb.tapecontent.net/thumb/mPBvKP9B7XIbA7R/kPpWKOqBJqSykB.jpg" TargetMode="External"/><Relationship Id="rId2005" Type="http://schemas.openxmlformats.org/officeDocument/2006/relationships/hyperlink" Target="https://thumb.tapecontent.net/thumb/w6KW6J8QBvIJObL/3q0j87Ljv9UdVv6.jpg" TargetMode="External"/><Relationship Id="rId2212" Type="http://schemas.openxmlformats.org/officeDocument/2006/relationships/hyperlink" Target="https://thumb.tapecontent.net/thumb/jYkWkYp3wVtzZ19/0Ro7K9Gmgpfb1zq.jpg" TargetMode="External"/><Relationship Id="rId1021" Type="http://schemas.openxmlformats.org/officeDocument/2006/relationships/hyperlink" Target="https://doodstream.com/d/mvu8da6lk6v3/" TargetMode="External"/><Relationship Id="rId1978" Type="http://schemas.openxmlformats.org/officeDocument/2006/relationships/hyperlink" Target="https://doodstream.com/d/8sr2khkone1y/" TargetMode="External"/><Relationship Id="rId4177" Type="http://schemas.openxmlformats.org/officeDocument/2006/relationships/hyperlink" Target="https://thumb.tapecontent.net/thumb/xo4qm4VMk4h0O3/x3Wwkkg83KUkLJk.jpg" TargetMode="External"/><Relationship Id="rId4384" Type="http://schemas.openxmlformats.org/officeDocument/2006/relationships/hyperlink" Target="https://lulustream.com/d/yxbvi4cz58ob" TargetMode="External"/><Relationship Id="rId4591" Type="http://schemas.openxmlformats.org/officeDocument/2006/relationships/hyperlink" Target="https://doodstream.com/d/c4wiplw89cek/" TargetMode="External"/><Relationship Id="rId3193" Type="http://schemas.openxmlformats.org/officeDocument/2006/relationships/hyperlink" Target="https://doodstream.com/d/euwgaojto050/" TargetMode="External"/><Relationship Id="rId4037" Type="http://schemas.openxmlformats.org/officeDocument/2006/relationships/hyperlink" Target="https://thumb.tapecontent.net/thumb/yBBoV0bodPUBrw/vDopX1ZY7LH4yyl.jpg" TargetMode="External"/><Relationship Id="rId4244" Type="http://schemas.openxmlformats.org/officeDocument/2006/relationships/hyperlink" Target="https://lulustream.com/e/k300irbe2ati" TargetMode="External"/><Relationship Id="rId4451" Type="http://schemas.openxmlformats.org/officeDocument/2006/relationships/hyperlink" Target="https://luluvdoo.com/d/7xv11sk1cta6" TargetMode="External"/><Relationship Id="rId1838" Type="http://schemas.openxmlformats.org/officeDocument/2006/relationships/hyperlink" Target="https://lulustream.com/e/ydlaxgo69lo9" TargetMode="External"/><Relationship Id="rId3053" Type="http://schemas.openxmlformats.org/officeDocument/2006/relationships/hyperlink" Target="https://thumb.tapecontent.net/thumb/jv2lDY03dkfD9R/XWJvLVLxzPIZ4O.jpg" TargetMode="External"/><Relationship Id="rId3260" Type="http://schemas.openxmlformats.org/officeDocument/2006/relationships/hyperlink" Target="https://doodstream.com/d/pfy1dbv6g9ll/" TargetMode="External"/><Relationship Id="rId4104" Type="http://schemas.openxmlformats.org/officeDocument/2006/relationships/hyperlink" Target="https://lulustream.com/e/x8vexh7ahswc" TargetMode="External"/><Relationship Id="rId4311" Type="http://schemas.openxmlformats.org/officeDocument/2006/relationships/hyperlink" Target="https://lulustream.com/d/rhoket13hei2" TargetMode="External"/><Relationship Id="rId181" Type="http://schemas.openxmlformats.org/officeDocument/2006/relationships/hyperlink" Target="https://lulustream.com/e/32c64pwy5uzf" TargetMode="External"/><Relationship Id="rId1905" Type="http://schemas.openxmlformats.org/officeDocument/2006/relationships/hyperlink" Target="https://thumb.tapecontent.net/thumb/VVKdagbJxDcPAq/qv7lp4rQB8hzVww.jpg" TargetMode="External"/><Relationship Id="rId3120" Type="http://schemas.openxmlformats.org/officeDocument/2006/relationships/hyperlink" Target="https://doodstream.com/d/kuv8sbafwpxv/" TargetMode="External"/><Relationship Id="rId998" Type="http://schemas.openxmlformats.org/officeDocument/2006/relationships/hyperlink" Target="https://luluvdoo.com/d/vkp6d1jksjo2" TargetMode="External"/><Relationship Id="rId2679" Type="http://schemas.openxmlformats.org/officeDocument/2006/relationships/hyperlink" Target="https://thumb.tapecontent.net/thumb/61GBwXDO4zi9wWZ/pLeDYw6vv3treyM.jpg" TargetMode="External"/><Relationship Id="rId2886" Type="http://schemas.openxmlformats.org/officeDocument/2006/relationships/hyperlink" Target="https://thumb.tapecontent.net/thumb/aY10XbDoBMTd46/o69dllarbQiJrG4.jpg" TargetMode="External"/><Relationship Id="rId3937" Type="http://schemas.openxmlformats.org/officeDocument/2006/relationships/hyperlink" Target="https://lulustream.com/d/1tc4e81gai8m" TargetMode="External"/><Relationship Id="rId858" Type="http://schemas.openxmlformats.org/officeDocument/2006/relationships/hyperlink" Target="https://lulustream.com/e/g147lzn4lj67" TargetMode="External"/><Relationship Id="rId1488" Type="http://schemas.openxmlformats.org/officeDocument/2006/relationships/hyperlink" Target="https://thumb.tapecontent.net/thumb/aPmOgOpD23cbg2/kZop8KepoviOxeM.jpg" TargetMode="External"/><Relationship Id="rId1695" Type="http://schemas.openxmlformats.org/officeDocument/2006/relationships/hyperlink" Target="https://thumb.tapecontent.net/thumb/PDP4a7VGOgT0JGd/bPj8R8O1dVCLea.jpg" TargetMode="External"/><Relationship Id="rId2539" Type="http://schemas.openxmlformats.org/officeDocument/2006/relationships/hyperlink" Target="https://lulustream.com/e/z4vy18lgdcck" TargetMode="External"/><Relationship Id="rId2746" Type="http://schemas.openxmlformats.org/officeDocument/2006/relationships/hyperlink" Target="https://lulustream.com/d/7iiirq7x1mov" TargetMode="External"/><Relationship Id="rId2953" Type="http://schemas.openxmlformats.org/officeDocument/2006/relationships/hyperlink" Target="https://doodstream.com/d/bu71nvqc98ag/" TargetMode="External"/><Relationship Id="rId718" Type="http://schemas.openxmlformats.org/officeDocument/2006/relationships/hyperlink" Target="https://thumb.tapecontent.net/thumb/ekly0g9rz0IYVK6/yj9ByMZOydt11xG.jpg" TargetMode="External"/><Relationship Id="rId925" Type="http://schemas.openxmlformats.org/officeDocument/2006/relationships/hyperlink" Target="https://doodstream.com/d/6v25uqrbj691/" TargetMode="External"/><Relationship Id="rId1348" Type="http://schemas.openxmlformats.org/officeDocument/2006/relationships/hyperlink" Target="https://lulustream.com/e/b1zvsdxxcsag" TargetMode="External"/><Relationship Id="rId1555" Type="http://schemas.openxmlformats.org/officeDocument/2006/relationships/hyperlink" Target="https://thumb.tapecontent.net/thumb/pdW6wrJeeKUrrpx/d8RQl604AbIkpyo.jpg" TargetMode="External"/><Relationship Id="rId1762" Type="http://schemas.openxmlformats.org/officeDocument/2006/relationships/hyperlink" Target="https://doodstream.com/d/gii2udzx33b4/" TargetMode="External"/><Relationship Id="rId2606" Type="http://schemas.openxmlformats.org/officeDocument/2006/relationships/hyperlink" Target="https://thumb.tapecontent.net/thumb/4RG7y64kYmIVYg/OrqGzxVDGAFg1L.jpg" TargetMode="External"/><Relationship Id="rId1208" Type="http://schemas.openxmlformats.org/officeDocument/2006/relationships/hyperlink" Target="https://lulustream.com/e/o23uan9ic3dy" TargetMode="External"/><Relationship Id="rId1415" Type="http://schemas.openxmlformats.org/officeDocument/2006/relationships/hyperlink" Target="https://thumb.tapecontent.net/thumb/oea66ALMwmTKxk/wymGRAykdPHJ0M2.jpg" TargetMode="External"/><Relationship Id="rId2813" Type="http://schemas.openxmlformats.org/officeDocument/2006/relationships/hyperlink" Target="https://thumb.tapecontent.net/thumb/k0YKK4gOWpiOVVy/bZYZxryro8TK7z.jpg" TargetMode="External"/><Relationship Id="rId54" Type="http://schemas.openxmlformats.org/officeDocument/2006/relationships/hyperlink" Target="https://doodstream.com/d/90kstdunkxjq/" TargetMode="External"/><Relationship Id="rId1622" Type="http://schemas.openxmlformats.org/officeDocument/2006/relationships/hyperlink" Target="https://thumb.tapecontent.net/thumb/JkKLg4pzDmuj1ed/QXMD2ve3pYt012m.jpg" TargetMode="External"/><Relationship Id="rId4778" Type="http://schemas.openxmlformats.org/officeDocument/2006/relationships/hyperlink" Target="https://lulustream.com/d/nths7amrmmij" TargetMode="External"/><Relationship Id="rId2189" Type="http://schemas.openxmlformats.org/officeDocument/2006/relationships/hyperlink" Target="https://thumb.tapecontent.net/thumb/MY6QjZxjqWsBB8/1DRylrjJGDfd70.jpg" TargetMode="External"/><Relationship Id="rId3587" Type="http://schemas.openxmlformats.org/officeDocument/2006/relationships/hyperlink" Target="https://lulustream.com/e/4enfdtpawja2" TargetMode="External"/><Relationship Id="rId3794" Type="http://schemas.openxmlformats.org/officeDocument/2006/relationships/hyperlink" Target="https://luluvdoo.com/d/m2kc40gf23sv" TargetMode="External"/><Relationship Id="rId4638" Type="http://schemas.openxmlformats.org/officeDocument/2006/relationships/hyperlink" Target="https://thumb.tapecontent.net/thumb/7GPxxdwgPlfAr1e/Bjz6AVZQJwhQql.jpg" TargetMode="External"/><Relationship Id="rId2396" Type="http://schemas.openxmlformats.org/officeDocument/2006/relationships/hyperlink" Target="https://thumb.tapecontent.net/thumb/Gka8bx1AZgtoPl/vobb4M3roqI4xv2.jpg" TargetMode="External"/><Relationship Id="rId3447" Type="http://schemas.openxmlformats.org/officeDocument/2006/relationships/hyperlink" Target="https://doodstream.com/d/f26f32pzlcmj/" TargetMode="External"/><Relationship Id="rId3654" Type="http://schemas.openxmlformats.org/officeDocument/2006/relationships/hyperlink" Target="https://doodstream.com/d/c89k6qizt2vz/" TargetMode="External"/><Relationship Id="rId3861" Type="http://schemas.openxmlformats.org/officeDocument/2006/relationships/hyperlink" Target="https://lulustream.com/d/fb1srn17pw2u" TargetMode="External"/><Relationship Id="rId4705" Type="http://schemas.openxmlformats.org/officeDocument/2006/relationships/hyperlink" Target="https://thumb.tapecontent.net/thumb/YZGjP4MMRXFvYop/7jeOARRd7KtJlr.jpg" TargetMode="External"/><Relationship Id="rId368" Type="http://schemas.openxmlformats.org/officeDocument/2006/relationships/hyperlink" Target="https://doodstream.com/d/xemgzn7wst8c/" TargetMode="External"/><Relationship Id="rId575" Type="http://schemas.openxmlformats.org/officeDocument/2006/relationships/hyperlink" Target="https://lulustream.com/e/hsu66jf1vzva" TargetMode="External"/><Relationship Id="rId782" Type="http://schemas.openxmlformats.org/officeDocument/2006/relationships/hyperlink" Target="https://lulustream.com/d/9gxkqvv8wpc5" TargetMode="External"/><Relationship Id="rId2049" Type="http://schemas.openxmlformats.org/officeDocument/2006/relationships/hyperlink" Target="https://thumb.tapecontent.net/thumb/kLZ0BbMrYrhOLl4/mq8Grmw98QHbJ8A.jpg" TargetMode="External"/><Relationship Id="rId2256" Type="http://schemas.openxmlformats.org/officeDocument/2006/relationships/hyperlink" Target="https://lulustream.com/e/wpzbmfbaoohu" TargetMode="External"/><Relationship Id="rId2463" Type="http://schemas.openxmlformats.org/officeDocument/2006/relationships/hyperlink" Target="https://lulustream.com/e/kx4rj1qziqco" TargetMode="External"/><Relationship Id="rId2670" Type="http://schemas.openxmlformats.org/officeDocument/2006/relationships/hyperlink" Target="https://thumb.tapecontent.net/thumb/2BwG1lJjvJSZv8G/Rwz4klezQxidyek.jpg" TargetMode="External"/><Relationship Id="rId3307" Type="http://schemas.openxmlformats.org/officeDocument/2006/relationships/hyperlink" Target="https://lulustream.com/d/lhy7itzmj8kc" TargetMode="External"/><Relationship Id="rId3514" Type="http://schemas.openxmlformats.org/officeDocument/2006/relationships/hyperlink" Target="https://lulustream.com/d/dfcw1pe29rek" TargetMode="External"/><Relationship Id="rId3721" Type="http://schemas.openxmlformats.org/officeDocument/2006/relationships/hyperlink" Target="https://thumb.tapecontent.net/thumb/XJGG3xYWLyTDDLx/Bvx9ZgKVrYCybAe.jpg" TargetMode="External"/><Relationship Id="rId228" Type="http://schemas.openxmlformats.org/officeDocument/2006/relationships/hyperlink" Target="https://lulustream.com/d/wh5thhzlaitd" TargetMode="External"/><Relationship Id="rId435" Type="http://schemas.openxmlformats.org/officeDocument/2006/relationships/hyperlink" Target="https://luluvdoo.com/d/9p1ftv6y9hm0" TargetMode="External"/><Relationship Id="rId642" Type="http://schemas.openxmlformats.org/officeDocument/2006/relationships/hyperlink" Target="https://lulustream.com/d/ugxcwd7pge7b" TargetMode="External"/><Relationship Id="rId1065" Type="http://schemas.openxmlformats.org/officeDocument/2006/relationships/hyperlink" Target="https://doodstream.com/d/ervqfwmi4pi9/" TargetMode="External"/><Relationship Id="rId1272" Type="http://schemas.openxmlformats.org/officeDocument/2006/relationships/hyperlink" Target="https://lulustream.com/d/qb6kem99z6vm" TargetMode="External"/><Relationship Id="rId2116" Type="http://schemas.openxmlformats.org/officeDocument/2006/relationships/hyperlink" Target="https://luluvdoo.com/d/75rchft27mqp" TargetMode="External"/><Relationship Id="rId2323" Type="http://schemas.openxmlformats.org/officeDocument/2006/relationships/hyperlink" Target="https://lulustream.com/e/l92c0lvaxt9v" TargetMode="External"/><Relationship Id="rId2530" Type="http://schemas.openxmlformats.org/officeDocument/2006/relationships/hyperlink" Target="https://lulustream.com/e/7wvjblezwnu6" TargetMode="External"/><Relationship Id="rId502" Type="http://schemas.openxmlformats.org/officeDocument/2006/relationships/hyperlink" Target="https://streamtape.com/v/6kPozQRPVvH9AMp/Angela_White_-_80252257_-_Onlyfans" TargetMode="External"/><Relationship Id="rId1132" Type="http://schemas.openxmlformats.org/officeDocument/2006/relationships/hyperlink" Target="https://lulustream.com/e/ko5bfrk733v3" TargetMode="External"/><Relationship Id="rId4288" Type="http://schemas.openxmlformats.org/officeDocument/2006/relationships/hyperlink" Target="https://lulustream.com/e/ki0yx2n5sncp" TargetMode="External"/><Relationship Id="rId4495" Type="http://schemas.openxmlformats.org/officeDocument/2006/relationships/hyperlink" Target="https://luluvdoo.com/d/dfto4hqk23zi" TargetMode="External"/><Relationship Id="rId3097" Type="http://schemas.openxmlformats.org/officeDocument/2006/relationships/hyperlink" Target="https://lulustream.com/d/60i76fng21pw" TargetMode="External"/><Relationship Id="rId4148" Type="http://schemas.openxmlformats.org/officeDocument/2006/relationships/hyperlink" Target="https://doodstream.com/d/hc5r3qw280fx/" TargetMode="External"/><Relationship Id="rId4355" Type="http://schemas.openxmlformats.org/officeDocument/2006/relationships/hyperlink" Target="https://doodstream.com/d/jipbex2n9mae/" TargetMode="External"/><Relationship Id="rId1949" Type="http://schemas.openxmlformats.org/officeDocument/2006/relationships/hyperlink" Target="https://doodstream.com/d/ydd3hcikwpzc/" TargetMode="External"/><Relationship Id="rId3164" Type="http://schemas.openxmlformats.org/officeDocument/2006/relationships/hyperlink" Target="https://thumb.tapecontent.net/thumb/m9gbOld4AyhbZL4/0pq7jqekG8tbzY1.jpg" TargetMode="External"/><Relationship Id="rId4008" Type="http://schemas.openxmlformats.org/officeDocument/2006/relationships/hyperlink" Target="https://lulustream.com/d/jd6notgdwrqo" TargetMode="External"/><Relationship Id="rId4562" Type="http://schemas.openxmlformats.org/officeDocument/2006/relationships/hyperlink" Target="https://doodstream.com/d/3u5ghup8eqoa/" TargetMode="External"/><Relationship Id="rId292" Type="http://schemas.openxmlformats.org/officeDocument/2006/relationships/hyperlink" Target="https://doodstream.com/d/k7u0wd503ww1/" TargetMode="External"/><Relationship Id="rId1809" Type="http://schemas.openxmlformats.org/officeDocument/2006/relationships/hyperlink" Target="https://thumb.tapecontent.net/thumb/4XOz34y3MLFK3qV/09KJMpG77MFmDm.jpg" TargetMode="External"/><Relationship Id="rId3371" Type="http://schemas.openxmlformats.org/officeDocument/2006/relationships/hyperlink" Target="https://thumb.tapecontent.net/thumb/lGRkQ6JllyFbZ8/34718Dy2A9IdWbY.jpg" TargetMode="External"/><Relationship Id="rId4215" Type="http://schemas.openxmlformats.org/officeDocument/2006/relationships/hyperlink" Target="https://thumb.tapecontent.net/thumb/lWaA81qoJ0i706Z/mQ8g1jdzeJUbwjG.jpg" TargetMode="External"/><Relationship Id="rId4422" Type="http://schemas.openxmlformats.org/officeDocument/2006/relationships/hyperlink" Target="https://thumb.tapecontent.net/thumb/J3zwRAr1LkFjzbe/2LpoKQmDzWhZgba.jpg" TargetMode="External"/><Relationship Id="rId2180" Type="http://schemas.openxmlformats.org/officeDocument/2006/relationships/hyperlink" Target="https://doodstream.com/d/ood6e82gedjh/" TargetMode="External"/><Relationship Id="rId3024" Type="http://schemas.openxmlformats.org/officeDocument/2006/relationships/hyperlink" Target="https://thumb.tapecontent.net/thumb/4qlWWW7x9YTK0lj/oxw7ybO8mzsv2e.jpg" TargetMode="External"/><Relationship Id="rId3231" Type="http://schemas.openxmlformats.org/officeDocument/2006/relationships/hyperlink" Target="https://lulustream.com/d/ardvsp7ue1pp" TargetMode="External"/><Relationship Id="rId152" Type="http://schemas.openxmlformats.org/officeDocument/2006/relationships/hyperlink" Target="https://lulustream.com/e/x274yedco4b4" TargetMode="External"/><Relationship Id="rId2040" Type="http://schemas.openxmlformats.org/officeDocument/2006/relationships/hyperlink" Target="https://thumb.tapecontent.net/thumb/Vyz1BAmjV9hKpBL/Gbe6RwWpm1H1G36.jpg" TargetMode="External"/><Relationship Id="rId2997" Type="http://schemas.openxmlformats.org/officeDocument/2006/relationships/hyperlink" Target="https://lulustream.com/d/r9asamlzfwbh" TargetMode="External"/><Relationship Id="rId969" Type="http://schemas.openxmlformats.org/officeDocument/2006/relationships/hyperlink" Target="https://luluvdoo.com/d/yjf7e74plm0o" TargetMode="External"/><Relationship Id="rId1599" Type="http://schemas.openxmlformats.org/officeDocument/2006/relationships/hyperlink" Target="https://thumb.tapecontent.net/thumb/AwVrpZOw24sXKM9/x2DRl7DPDdhkJj9.jpg" TargetMode="External"/><Relationship Id="rId1459" Type="http://schemas.openxmlformats.org/officeDocument/2006/relationships/hyperlink" Target="https://thumb.tapecontent.net/thumb/4DWPoXRwQ6h23a/YOQVpklmjbuvlBq.jpg" TargetMode="External"/><Relationship Id="rId2857" Type="http://schemas.openxmlformats.org/officeDocument/2006/relationships/hyperlink" Target="https://thumb.tapecontent.net/thumb/P9Yv89K4D1u0qvj/LkrkgG1JboIRLwG.jpg" TargetMode="External"/><Relationship Id="rId3908" Type="http://schemas.openxmlformats.org/officeDocument/2006/relationships/hyperlink" Target="https://thumb.tapecontent.net/thumb/xqw22mk6GxUkMA0/b1x7egrRYyCPp7m.jpg" TargetMode="External"/><Relationship Id="rId4072" Type="http://schemas.openxmlformats.org/officeDocument/2006/relationships/hyperlink" Target="https://doodstream.com/d/tm9kh8xe6th2/" TargetMode="External"/><Relationship Id="rId98" Type="http://schemas.openxmlformats.org/officeDocument/2006/relationships/hyperlink" Target="https://lulustream.com/d/h3ip8zl4hjvi" TargetMode="External"/><Relationship Id="rId829" Type="http://schemas.openxmlformats.org/officeDocument/2006/relationships/hyperlink" Target="https://lulustream.com/d/w1wml029msut" TargetMode="External"/><Relationship Id="rId1666" Type="http://schemas.openxmlformats.org/officeDocument/2006/relationships/hyperlink" Target="https://thumb.tapecontent.net/thumb/4XxyoYe697hG0d/egAd776p1Gu9Ko.jpg" TargetMode="External"/><Relationship Id="rId1873" Type="http://schemas.openxmlformats.org/officeDocument/2006/relationships/hyperlink" Target="https://doodstream.com/d/iu9s5syfkgia/" TargetMode="External"/><Relationship Id="rId2717" Type="http://schemas.openxmlformats.org/officeDocument/2006/relationships/hyperlink" Target="https://lulustream.com/e/2mb6tll4ahe3" TargetMode="External"/><Relationship Id="rId2924" Type="http://schemas.openxmlformats.org/officeDocument/2006/relationships/hyperlink" Target="https://thumb.tapecontent.net/thumb/3w1eWOKgDXUa4R/YKqwzGAzmPTBWZ.jpg" TargetMode="External"/><Relationship Id="rId1319" Type="http://schemas.openxmlformats.org/officeDocument/2006/relationships/hyperlink" Target="https://doodstream.com/d/bn2kcdut1c19/" TargetMode="External"/><Relationship Id="rId1526" Type="http://schemas.openxmlformats.org/officeDocument/2006/relationships/hyperlink" Target="https://thumb.tapecontent.net/thumb/aZJX8K3yxgIxj9X/reyXGWJQ9aCbV68.jpg" TargetMode="External"/><Relationship Id="rId1733" Type="http://schemas.openxmlformats.org/officeDocument/2006/relationships/hyperlink" Target="https://doodstream.com/d/b35xvakju85r/" TargetMode="External"/><Relationship Id="rId1940" Type="http://schemas.openxmlformats.org/officeDocument/2006/relationships/hyperlink" Target="https://doodstream.com/d/7w4960rkn2r6/" TargetMode="External"/><Relationship Id="rId25" Type="http://schemas.openxmlformats.org/officeDocument/2006/relationships/hyperlink" Target="https://thumb.tapecontent.net/thumb/Qe7Rr1aepztrOa/GwKkDa7RBDUYmW.jpg" TargetMode="External"/><Relationship Id="rId1800" Type="http://schemas.openxmlformats.org/officeDocument/2006/relationships/hyperlink" Target="https://thumb.tapecontent.net/thumb/L1XwOrW10oIRkoM/pMWbemw8yKTr3ZD.jpg" TargetMode="External"/><Relationship Id="rId3698" Type="http://schemas.openxmlformats.org/officeDocument/2006/relationships/hyperlink" Target="https://doodstream.com/d/9n2xgmkqql6u/" TargetMode="External"/><Relationship Id="rId4749" Type="http://schemas.openxmlformats.org/officeDocument/2006/relationships/hyperlink" Target="https://lulustream.com/d/h589o4idi0h6" TargetMode="External"/><Relationship Id="rId3558" Type="http://schemas.openxmlformats.org/officeDocument/2006/relationships/hyperlink" Target="https://lulustream.com/e/zt10ver97r6a" TargetMode="External"/><Relationship Id="rId3765" Type="http://schemas.openxmlformats.org/officeDocument/2006/relationships/hyperlink" Target="https://luluvdoo.com/d/ldsx4ddgp1c7" TargetMode="External"/><Relationship Id="rId3972" Type="http://schemas.openxmlformats.org/officeDocument/2006/relationships/hyperlink" Target="https://lulustream.com/d/gig2mrnbsnli" TargetMode="External"/><Relationship Id="rId4609" Type="http://schemas.openxmlformats.org/officeDocument/2006/relationships/hyperlink" Target="https://lulustream.com/d/w19ln2qv4nug" TargetMode="External"/><Relationship Id="rId479" Type="http://schemas.openxmlformats.org/officeDocument/2006/relationships/hyperlink" Target="https://streamtape.com/v/dkoXPKwBa7Tkx6R/Angela_White_-_67538070_-_Onlyfans" TargetMode="External"/><Relationship Id="rId686" Type="http://schemas.openxmlformats.org/officeDocument/2006/relationships/hyperlink" Target="https://lulustream.com/d/csgf8yqplnbr" TargetMode="External"/><Relationship Id="rId893" Type="http://schemas.openxmlformats.org/officeDocument/2006/relationships/hyperlink" Target="https://lulustream.com/e/jaoey9t18qmw" TargetMode="External"/><Relationship Id="rId2367" Type="http://schemas.openxmlformats.org/officeDocument/2006/relationships/hyperlink" Target="https://thumb.tapecontent.net/thumb/mDP0xWRz62HbKKB/xkeW7B4WOGflmK.jpg" TargetMode="External"/><Relationship Id="rId2574" Type="http://schemas.openxmlformats.org/officeDocument/2006/relationships/hyperlink" Target="https://lulustream.com/e/oigzci7gnbqq" TargetMode="External"/><Relationship Id="rId2781" Type="http://schemas.openxmlformats.org/officeDocument/2006/relationships/hyperlink" Target="https://doodstream.com/d/krwb52iya7mc/" TargetMode="External"/><Relationship Id="rId3418" Type="http://schemas.openxmlformats.org/officeDocument/2006/relationships/hyperlink" Target="https://thumb.tapecontent.net/thumb/vVYXQa9Yr9f40dr/0VZdpAPV8YfbdLg.jpg" TargetMode="External"/><Relationship Id="rId3625" Type="http://schemas.openxmlformats.org/officeDocument/2006/relationships/hyperlink" Target="https://thumb.tapecontent.net/thumb/3V8rgdzqr3sdB3R/yA8OG74zrlc1qj8.jpg" TargetMode="External"/><Relationship Id="rId339" Type="http://schemas.openxmlformats.org/officeDocument/2006/relationships/hyperlink" Target="https://thumb.tapecontent.net/thumb/DAdVoZjDMdu6pP/Pv9bP2ekV3CBa2.jpg" TargetMode="External"/><Relationship Id="rId546" Type="http://schemas.openxmlformats.org/officeDocument/2006/relationships/hyperlink" Target="https://lulustream.com/d/huenefcapgm9" TargetMode="External"/><Relationship Id="rId753" Type="http://schemas.openxmlformats.org/officeDocument/2006/relationships/hyperlink" Target="https://thumb.tapecontent.net/thumb/zlZP4XlRYVHYlj2/jY2vB9Wq29UzXWV.jpg" TargetMode="External"/><Relationship Id="rId1176" Type="http://schemas.openxmlformats.org/officeDocument/2006/relationships/hyperlink" Target="https://doodstream.com/d/fib5n1iiyunz/" TargetMode="External"/><Relationship Id="rId1383" Type="http://schemas.openxmlformats.org/officeDocument/2006/relationships/hyperlink" Target="https://lulustream.com/e/y44owpwv9ogy" TargetMode="External"/><Relationship Id="rId2227" Type="http://schemas.openxmlformats.org/officeDocument/2006/relationships/hyperlink" Target="https://thumb.tapecontent.net/thumb/rdvdzkLdjbUbmqp/02km2RKB7dUeq8.jpg" TargetMode="External"/><Relationship Id="rId2434" Type="http://schemas.openxmlformats.org/officeDocument/2006/relationships/hyperlink" Target="https://doodstream.com/d/mweezfbupuo9/" TargetMode="External"/><Relationship Id="rId3832" Type="http://schemas.openxmlformats.org/officeDocument/2006/relationships/hyperlink" Target="https://lulustream.com/d/aukg79p6v8sv" TargetMode="External"/><Relationship Id="rId406" Type="http://schemas.openxmlformats.org/officeDocument/2006/relationships/hyperlink" Target="https://luluvdoo.com/d/ql05lhu0eahy" TargetMode="External"/><Relationship Id="rId960" Type="http://schemas.openxmlformats.org/officeDocument/2006/relationships/hyperlink" Target="https://lulustream.com/d/qslq9i6253f9" TargetMode="External"/><Relationship Id="rId1036" Type="http://schemas.openxmlformats.org/officeDocument/2006/relationships/hyperlink" Target="https://luluvdoo.com/d/gteljjx0iywq" TargetMode="External"/><Relationship Id="rId1243" Type="http://schemas.openxmlformats.org/officeDocument/2006/relationships/hyperlink" Target="https://lulustream.com/e/p78y0draqvlx" TargetMode="External"/><Relationship Id="rId1590" Type="http://schemas.openxmlformats.org/officeDocument/2006/relationships/hyperlink" Target="https://thumb.tapecontent.net/thumb/vV3bDR3L9Gu4GA0/KL2RlvK22wH0mwO.jpg" TargetMode="External"/><Relationship Id="rId2641" Type="http://schemas.openxmlformats.org/officeDocument/2006/relationships/hyperlink" Target="https://thumb.tapecontent.net/thumb/OdJwDRvlRLhZPbG/oeGW0PjJ2Gix9y.jpg" TargetMode="External"/><Relationship Id="rId4399" Type="http://schemas.openxmlformats.org/officeDocument/2006/relationships/hyperlink" Target="https://thumb.tapecontent.net/thumb/MjavKkZ0YlSmjaY/8OadlJao9LUoovY.jpg" TargetMode="External"/><Relationship Id="rId613" Type="http://schemas.openxmlformats.org/officeDocument/2006/relationships/hyperlink" Target="https://lulustream.com/d/3fdeyvh8p5n7" TargetMode="External"/><Relationship Id="rId820" Type="http://schemas.openxmlformats.org/officeDocument/2006/relationships/hyperlink" Target="https://thumb.tapecontent.net/thumb/3d0P3LAgvZcdepO/bzp3wKRR0RTPgjM.jpg" TargetMode="External"/><Relationship Id="rId1450" Type="http://schemas.openxmlformats.org/officeDocument/2006/relationships/hyperlink" Target="https://lulustream.com/e/mh3t6z7spcvi" TargetMode="External"/><Relationship Id="rId2501" Type="http://schemas.openxmlformats.org/officeDocument/2006/relationships/hyperlink" Target="https://lulustream.com/e/k2z87hhpqagp" TargetMode="External"/><Relationship Id="rId1103" Type="http://schemas.openxmlformats.org/officeDocument/2006/relationships/hyperlink" Target="https://lulustream.com/e/0zlh4l2d8ml2" TargetMode="External"/><Relationship Id="rId1310" Type="http://schemas.openxmlformats.org/officeDocument/2006/relationships/hyperlink" Target="https://lulustream.com/e/p6y3jo4j9d8n" TargetMode="External"/><Relationship Id="rId4259" Type="http://schemas.openxmlformats.org/officeDocument/2006/relationships/hyperlink" Target="https://lulustream.com/e/dco8m4d1sfrz" TargetMode="External"/><Relationship Id="rId4466" Type="http://schemas.openxmlformats.org/officeDocument/2006/relationships/hyperlink" Target="https://thumb.tapecontent.net/thumb/6QWLRJlqp2t9GGK/WXyz01yJgXugZr.jpg" TargetMode="External"/><Relationship Id="rId4673" Type="http://schemas.openxmlformats.org/officeDocument/2006/relationships/hyperlink" Target="https://thumb.tapecontent.net/thumb/DQl2vlko2jTkgvY/a4M8z4R420Ub4O.jpg" TargetMode="External"/><Relationship Id="rId3068" Type="http://schemas.openxmlformats.org/officeDocument/2006/relationships/hyperlink" Target="https://thumb.tapecontent.net/thumb/0WqpYAaY3WTbwPM/gRxgqWD7dMs4GW.jpg" TargetMode="External"/><Relationship Id="rId3275" Type="http://schemas.openxmlformats.org/officeDocument/2006/relationships/hyperlink" Target="https://lulustream.com/d/rrj7y90l1e1a" TargetMode="External"/><Relationship Id="rId3482" Type="http://schemas.openxmlformats.org/officeDocument/2006/relationships/hyperlink" Target="https://thumb.tapecontent.net/thumb/plYL0BMZGqSrmGr/JkjLk3DgGwCjD0J.jpg" TargetMode="External"/><Relationship Id="rId4119" Type="http://schemas.openxmlformats.org/officeDocument/2006/relationships/hyperlink" Target="https://thumb.tapecontent.net/thumb/0zj1Ljg9kQS6yb/3pbdX0Ge2pcddZm.jpg" TargetMode="External"/><Relationship Id="rId4326" Type="http://schemas.openxmlformats.org/officeDocument/2006/relationships/hyperlink" Target="https://thumb.tapecontent.net/thumb/zrBBWRA2e2sYPZb/LYJ8q9BzDKIR1ar.jpg" TargetMode="External"/><Relationship Id="rId4533" Type="http://schemas.openxmlformats.org/officeDocument/2006/relationships/hyperlink" Target="https://doodstream.com/d/5g2u19sa3dvd/" TargetMode="External"/><Relationship Id="rId4740" Type="http://schemas.openxmlformats.org/officeDocument/2006/relationships/hyperlink" Target="https://lulustream.com/d/tytihx7uelzr" TargetMode="External"/><Relationship Id="rId196" Type="http://schemas.openxmlformats.org/officeDocument/2006/relationships/hyperlink" Target="https://thumb.tapecontent.net/thumb/V6el2r11QlCKrao/Yp6Zal16YzFv92m.jpg" TargetMode="External"/><Relationship Id="rId2084" Type="http://schemas.openxmlformats.org/officeDocument/2006/relationships/hyperlink" Target="https://lulustream.com/e/c9sxoryotjnz" TargetMode="External"/><Relationship Id="rId2291" Type="http://schemas.openxmlformats.org/officeDocument/2006/relationships/hyperlink" Target="https://lulustream.com/d/eqvd9fu3rqv3" TargetMode="External"/><Relationship Id="rId3135" Type="http://schemas.openxmlformats.org/officeDocument/2006/relationships/hyperlink" Target="https://luluvdoo.com/d/sdf4nslcgx4l" TargetMode="External"/><Relationship Id="rId3342" Type="http://schemas.openxmlformats.org/officeDocument/2006/relationships/hyperlink" Target="https://thumb.tapecontent.net/thumb/b3OYo6PeOziP0qm/k3XYzaXARGuO1DD.jpg" TargetMode="External"/><Relationship Id="rId4600" Type="http://schemas.openxmlformats.org/officeDocument/2006/relationships/hyperlink" Target="https://doodstream.com/d/bhxn3iir1np3/" TargetMode="External"/><Relationship Id="rId263" Type="http://schemas.openxmlformats.org/officeDocument/2006/relationships/hyperlink" Target="https://doodstream.com/d/z1tgvotmg421/" TargetMode="External"/><Relationship Id="rId470" Type="http://schemas.openxmlformats.org/officeDocument/2006/relationships/hyperlink" Target="https://luluvdoo.com/d/q54azfr0ver6" TargetMode="External"/><Relationship Id="rId2151" Type="http://schemas.openxmlformats.org/officeDocument/2006/relationships/hyperlink" Target="https://thumb.tapecontent.net/thumb/Doqvey7bxKhdDg/zlBLZvq6o3TYmP0.jpg" TargetMode="External"/><Relationship Id="rId3202" Type="http://schemas.openxmlformats.org/officeDocument/2006/relationships/hyperlink" Target="https://lulustream.com/e/k2vmehxdjp7s" TargetMode="External"/><Relationship Id="rId123" Type="http://schemas.openxmlformats.org/officeDocument/2006/relationships/hyperlink" Target="https://thumb.tapecontent.net/thumb/eV7yAgdakDCom8/mLBYq0XKL2UbPar.jpg" TargetMode="External"/><Relationship Id="rId330" Type="http://schemas.openxmlformats.org/officeDocument/2006/relationships/hyperlink" Target="https://doodstream.com/d/byki9xmu5dkr/" TargetMode="External"/><Relationship Id="rId2011" Type="http://schemas.openxmlformats.org/officeDocument/2006/relationships/hyperlink" Target="https://thumb.tapecontent.net/thumb/QkQjYW9APet0O73/r8Rjq9v9vRubWJ4.jpg" TargetMode="External"/><Relationship Id="rId2968" Type="http://schemas.openxmlformats.org/officeDocument/2006/relationships/hyperlink" Target="https://lulustream.com/d/8hwazoojiw8r" TargetMode="External"/><Relationship Id="rId4183" Type="http://schemas.openxmlformats.org/officeDocument/2006/relationships/hyperlink" Target="https://doodstream.com/d/m15uw8niqc0i/" TargetMode="External"/><Relationship Id="rId1777" Type="http://schemas.openxmlformats.org/officeDocument/2006/relationships/hyperlink" Target="https://doodstream.com/d/9htn7xwxrudx/" TargetMode="External"/><Relationship Id="rId1984" Type="http://schemas.openxmlformats.org/officeDocument/2006/relationships/hyperlink" Target="https://doodstream.com/d/fw0cy9w547yb/" TargetMode="External"/><Relationship Id="rId2828" Type="http://schemas.openxmlformats.org/officeDocument/2006/relationships/hyperlink" Target="https://doodstream.com/d/7r5b6qdh45o5/" TargetMode="External"/><Relationship Id="rId4390" Type="http://schemas.openxmlformats.org/officeDocument/2006/relationships/hyperlink" Target="https://lulustream.com/d/36a9h9e0mutc" TargetMode="External"/><Relationship Id="rId69" Type="http://schemas.openxmlformats.org/officeDocument/2006/relationships/hyperlink" Target="https://lulustream.com/e/qnootfyydx1n" TargetMode="External"/><Relationship Id="rId1637" Type="http://schemas.openxmlformats.org/officeDocument/2006/relationships/hyperlink" Target="https://thumb.tapecontent.net/thumb/8VZVk26QvdCoaVV/l4RDbVyVbBf7RmY.jpg" TargetMode="External"/><Relationship Id="rId1844" Type="http://schemas.openxmlformats.org/officeDocument/2006/relationships/hyperlink" Target="https://lulustream.com/e/986dtl2e52vx" TargetMode="External"/><Relationship Id="rId4043" Type="http://schemas.openxmlformats.org/officeDocument/2006/relationships/hyperlink" Target="https://thumb.tapecontent.net/thumb/JvgWaoyvrlcjm8q/yjjrZLkj0QImrq.jpg" TargetMode="External"/><Relationship Id="rId4250" Type="http://schemas.openxmlformats.org/officeDocument/2006/relationships/hyperlink" Target="https://lulustream.com/d/fch74q6v61x1" TargetMode="External"/><Relationship Id="rId1704" Type="http://schemas.openxmlformats.org/officeDocument/2006/relationships/hyperlink" Target="https://luluvdoo.com/d/4x5jtj8k3hjz" TargetMode="External"/><Relationship Id="rId4110" Type="http://schemas.openxmlformats.org/officeDocument/2006/relationships/hyperlink" Target="https://lulustream.com/d/i1lsnz7mqv5y" TargetMode="External"/><Relationship Id="rId1911" Type="http://schemas.openxmlformats.org/officeDocument/2006/relationships/hyperlink" Target="https://lulustream.com/d/uvcs20naur63" TargetMode="External"/><Relationship Id="rId3669" Type="http://schemas.openxmlformats.org/officeDocument/2006/relationships/hyperlink" Target="https://thumb.tapecontent.net/thumb/mvAYa3xGqJFb80D/y7YgkGxw01f14Pw.jpg" TargetMode="External"/><Relationship Id="rId797" Type="http://schemas.openxmlformats.org/officeDocument/2006/relationships/hyperlink" Target="https://doodstream.com/d/91780omphsh9/" TargetMode="External"/><Relationship Id="rId2478" Type="http://schemas.openxmlformats.org/officeDocument/2006/relationships/hyperlink" Target="https://thumb.tapecontent.net/thumb/wal9GxGQw9IJ3Rb/rrP7Pro44oHb0yb.jpg" TargetMode="External"/><Relationship Id="rId3876" Type="http://schemas.openxmlformats.org/officeDocument/2006/relationships/hyperlink" Target="https://doodstream.com/d/f1pqo6lejyz2/" TargetMode="External"/><Relationship Id="rId1287" Type="http://schemas.openxmlformats.org/officeDocument/2006/relationships/hyperlink" Target="https://lulustream.com/d/4wuc9ivc1lcl" TargetMode="External"/><Relationship Id="rId2685" Type="http://schemas.openxmlformats.org/officeDocument/2006/relationships/hyperlink" Target="https://thumb.tapecontent.net/thumb/9vDALWMD37HawL9/q9gdmB7od6hzm91.jpg" TargetMode="External"/><Relationship Id="rId2892" Type="http://schemas.openxmlformats.org/officeDocument/2006/relationships/hyperlink" Target="https://thumb.tapecontent.net/thumb/MXBlXmzegdSmW9G/x9ZLyVGZPQfkbpy.jpg" TargetMode="External"/><Relationship Id="rId3529" Type="http://schemas.openxmlformats.org/officeDocument/2006/relationships/hyperlink" Target="https://lulustream.com/e/17hpp57yt0jj" TargetMode="External"/><Relationship Id="rId3736" Type="http://schemas.openxmlformats.org/officeDocument/2006/relationships/hyperlink" Target="https://lulustream.com/d/pe34e3icill1" TargetMode="External"/><Relationship Id="rId3943" Type="http://schemas.openxmlformats.org/officeDocument/2006/relationships/hyperlink" Target="https://lulustream.com/d/f01can3hfkr3" TargetMode="External"/><Relationship Id="rId657" Type="http://schemas.openxmlformats.org/officeDocument/2006/relationships/hyperlink" Target="https://thumb.tapecontent.net/thumb/LDAKJ0L26mIRRWp/P6ZM7pV0eqCDZy.jpg" TargetMode="External"/><Relationship Id="rId864" Type="http://schemas.openxmlformats.org/officeDocument/2006/relationships/hyperlink" Target="https://thumb.tapecontent.net/thumb/1ADkKM1PjeIezr7/rgZ2M4dDDXt3eX.jpg" TargetMode="External"/><Relationship Id="rId1494" Type="http://schemas.openxmlformats.org/officeDocument/2006/relationships/hyperlink" Target="https://lulustream.com/d/x88zbmlgs712" TargetMode="External"/><Relationship Id="rId2338" Type="http://schemas.openxmlformats.org/officeDocument/2006/relationships/hyperlink" Target="https://thumb.tapecontent.net/thumb/LM8qx71aa1uR00B/VOgydJxY6XFKMqR.jpg" TargetMode="External"/><Relationship Id="rId2545" Type="http://schemas.openxmlformats.org/officeDocument/2006/relationships/hyperlink" Target="https://lulustream.com/e/teu9t1u899bn" TargetMode="External"/><Relationship Id="rId2752" Type="http://schemas.openxmlformats.org/officeDocument/2006/relationships/hyperlink" Target="https://lulustream.com/e/btlpe1dpfwce" TargetMode="External"/><Relationship Id="rId3803" Type="http://schemas.openxmlformats.org/officeDocument/2006/relationships/hyperlink" Target="https://lulustream.com/e/b7n1ojtg7kqc" TargetMode="External"/><Relationship Id="rId517" Type="http://schemas.openxmlformats.org/officeDocument/2006/relationships/hyperlink" Target="https://doodstream.com/d/a9hgkp6fjyok/" TargetMode="External"/><Relationship Id="rId724" Type="http://schemas.openxmlformats.org/officeDocument/2006/relationships/hyperlink" Target="https://lulustream.com/d/264lrcjonqw6" TargetMode="External"/><Relationship Id="rId931" Type="http://schemas.openxmlformats.org/officeDocument/2006/relationships/hyperlink" Target="https://doodstream.com/d/gwnuyiia30wx/" TargetMode="External"/><Relationship Id="rId1147" Type="http://schemas.openxmlformats.org/officeDocument/2006/relationships/hyperlink" Target="https://lulustream.com/d/848yi00zp3o4" TargetMode="External"/><Relationship Id="rId1354" Type="http://schemas.openxmlformats.org/officeDocument/2006/relationships/hyperlink" Target="https://lulustream.com/e/6y6chaxke6tr" TargetMode="External"/><Relationship Id="rId1561" Type="http://schemas.openxmlformats.org/officeDocument/2006/relationships/hyperlink" Target="https://doodstream.com/d/lu0oxxrjbe8z/" TargetMode="External"/><Relationship Id="rId2405" Type="http://schemas.openxmlformats.org/officeDocument/2006/relationships/hyperlink" Target="https://thumb.tapecontent.net/thumb/m30rz674oqCbYQy/QP1LwoYOqAC0e22.jpg" TargetMode="External"/><Relationship Id="rId2612" Type="http://schemas.openxmlformats.org/officeDocument/2006/relationships/hyperlink" Target="https://thumb.tapecontent.net/thumb/Z1Y0oL23XkH7Zd/jWeV2v1eDrczZvl.jpg" TargetMode="External"/><Relationship Id="rId60" Type="http://schemas.openxmlformats.org/officeDocument/2006/relationships/hyperlink" Target="https://lulustream.com/e/0heg056665vg" TargetMode="External"/><Relationship Id="rId1007" Type="http://schemas.openxmlformats.org/officeDocument/2006/relationships/hyperlink" Target="https://thumb.tapecontent.net/thumb/RmMZ9rv06zcdQ41/KWpOdkwpYqs0m80.jpg" TargetMode="External"/><Relationship Id="rId1214" Type="http://schemas.openxmlformats.org/officeDocument/2006/relationships/hyperlink" Target="https://thumb.tapecontent.net/thumb/akbGAy1GKLcxKZa/26BDrYQ7e2FR1a.jpg" TargetMode="External"/><Relationship Id="rId1421" Type="http://schemas.openxmlformats.org/officeDocument/2006/relationships/hyperlink" Target="https://lulustream.com/e/q6kpyqag89nl" TargetMode="External"/><Relationship Id="rId4577" Type="http://schemas.openxmlformats.org/officeDocument/2006/relationships/hyperlink" Target="https://doodstream.com/d/vfq6ppt9dtus/" TargetMode="External"/><Relationship Id="rId3179" Type="http://schemas.openxmlformats.org/officeDocument/2006/relationships/hyperlink" Target="https://thumb.tapecontent.net/thumb/2be3bxXQpdtxa8/YVezdjLZybHvmvA.jpg" TargetMode="External"/><Relationship Id="rId3386" Type="http://schemas.openxmlformats.org/officeDocument/2006/relationships/hyperlink" Target="https://lulustream.com/e/kewpddxnm0nu" TargetMode="External"/><Relationship Id="rId3593" Type="http://schemas.openxmlformats.org/officeDocument/2006/relationships/hyperlink" Target="https://lulustream.com/e/ix736psq5w7n" TargetMode="External"/><Relationship Id="rId4437" Type="http://schemas.openxmlformats.org/officeDocument/2006/relationships/hyperlink" Target="https://doodstream.com/d/ugtpqlv5t84p/" TargetMode="External"/><Relationship Id="rId4644" Type="http://schemas.openxmlformats.org/officeDocument/2006/relationships/hyperlink" Target="https://lulustream.com/d/kx13krhjaiwe" TargetMode="External"/><Relationship Id="rId2195" Type="http://schemas.openxmlformats.org/officeDocument/2006/relationships/hyperlink" Target="https://thumb.tapecontent.net/thumb/Xq8K4dae6jsDD7D/l06R6jbDYQc7QXG.jpg" TargetMode="External"/><Relationship Id="rId3039" Type="http://schemas.openxmlformats.org/officeDocument/2006/relationships/hyperlink" Target="https://doodstream.com/d/1zq8u0l79ouf/" TargetMode="External"/><Relationship Id="rId3246" Type="http://schemas.openxmlformats.org/officeDocument/2006/relationships/hyperlink" Target="https://thumb.tapecontent.net/thumb/PkWZ3la1ZyC0j7w/Kkd9K4pWO1Cwk8.jpg" TargetMode="External"/><Relationship Id="rId3453" Type="http://schemas.openxmlformats.org/officeDocument/2006/relationships/hyperlink" Target="https://lulustream.com/d/i9u43yhapshm" TargetMode="External"/><Relationship Id="rId167" Type="http://schemas.openxmlformats.org/officeDocument/2006/relationships/hyperlink" Target="https://lulustream.com/e/kp8gbsfe5gcn" TargetMode="External"/><Relationship Id="rId374" Type="http://schemas.openxmlformats.org/officeDocument/2006/relationships/hyperlink" Target="https://thumb.tapecontent.net/thumb/xyeXrd6lzMcqL6/pkopaKK0QgizxG.jpg" TargetMode="External"/><Relationship Id="rId581" Type="http://schemas.openxmlformats.org/officeDocument/2006/relationships/hyperlink" Target="https://thumb.tapecontent.net/thumb/DqVgDRp2YbFBdl/4mbJ2zOXxXhKY8l.jpg" TargetMode="External"/><Relationship Id="rId2055" Type="http://schemas.openxmlformats.org/officeDocument/2006/relationships/hyperlink" Target="https://thumb.tapecontent.net/thumb/9ODMLD6bqaIOxG/wD1ZBLab7VuJ3wl.jpg" TargetMode="External"/><Relationship Id="rId2262" Type="http://schemas.openxmlformats.org/officeDocument/2006/relationships/hyperlink" Target="https://lulustream.com/e/ag094ez03oc8" TargetMode="External"/><Relationship Id="rId3106" Type="http://schemas.openxmlformats.org/officeDocument/2006/relationships/hyperlink" Target="https://luluvdoo.com/d/wjfhrla9o7ua" TargetMode="External"/><Relationship Id="rId3660" Type="http://schemas.openxmlformats.org/officeDocument/2006/relationships/hyperlink" Target="https://lulustream.com/d/lnzkuhpfsld9" TargetMode="External"/><Relationship Id="rId4504" Type="http://schemas.openxmlformats.org/officeDocument/2006/relationships/hyperlink" Target="https://luluvdoo.com/d/q6ztar9gp1sp" TargetMode="External"/><Relationship Id="rId4711" Type="http://schemas.openxmlformats.org/officeDocument/2006/relationships/hyperlink" Target="https://thumb.tapecontent.net/thumb/kKMZvrg4zpFO4Og/YqD8dZBLbPhvVWL.jpg" TargetMode="External"/><Relationship Id="rId234" Type="http://schemas.openxmlformats.org/officeDocument/2006/relationships/hyperlink" Target="https://thumb.tapecontent.net/thumb/ZVrypKK4mQTqJ0Q/dKZBApL9KVSkyWO.jpg" TargetMode="External"/><Relationship Id="rId3313" Type="http://schemas.openxmlformats.org/officeDocument/2006/relationships/hyperlink" Target="https://lulustream.com/d/so8hyuhf36q3" TargetMode="External"/><Relationship Id="rId3520" Type="http://schemas.openxmlformats.org/officeDocument/2006/relationships/hyperlink" Target="https://lulustream.com/e/za8c4vrp5chs" TargetMode="External"/><Relationship Id="rId441" Type="http://schemas.openxmlformats.org/officeDocument/2006/relationships/hyperlink" Target="https://luluvdoo.com/d/k3a84ptetq7c" TargetMode="External"/><Relationship Id="rId1071" Type="http://schemas.openxmlformats.org/officeDocument/2006/relationships/hyperlink" Target="https://doodstream.com/d/360im8mcesgh/" TargetMode="External"/><Relationship Id="rId2122" Type="http://schemas.openxmlformats.org/officeDocument/2006/relationships/hyperlink" Target="https://luluvdoo.com/d/fujywz3q2tjr" TargetMode="External"/><Relationship Id="rId301" Type="http://schemas.openxmlformats.org/officeDocument/2006/relationships/hyperlink" Target="https://thumb.tapecontent.net/thumb/K9abBWRqk1S0mBg/vL6lWjzOxvf4VXq.jpg" TargetMode="External"/><Relationship Id="rId1888" Type="http://schemas.openxmlformats.org/officeDocument/2006/relationships/hyperlink" Target="https://doodstream.com/d/v2dh06ovb5hs/" TargetMode="External"/><Relationship Id="rId2939" Type="http://schemas.openxmlformats.org/officeDocument/2006/relationships/hyperlink" Target="https://thumb.tapecontent.net/thumb/apky1VzD4RHx1Kl/y20K3qWlYoS1row.jpg" TargetMode="External"/><Relationship Id="rId4087" Type="http://schemas.openxmlformats.org/officeDocument/2006/relationships/hyperlink" Target="https://doodstream.com/d/fay39lml2xjb/" TargetMode="External"/><Relationship Id="rId4294" Type="http://schemas.openxmlformats.org/officeDocument/2006/relationships/hyperlink" Target="https://lulustream.com/e/vxcanc23t9gb" TargetMode="External"/><Relationship Id="rId1748" Type="http://schemas.openxmlformats.org/officeDocument/2006/relationships/hyperlink" Target="https://thumb.tapecontent.net/thumb/Q0X7QvDOexu0oPa/g2mmbWYl2DFqdOw.jpg" TargetMode="External"/><Relationship Id="rId4154" Type="http://schemas.openxmlformats.org/officeDocument/2006/relationships/hyperlink" Target="https://doodstream.com/d/y8pkhzgjtlun/" TargetMode="External"/><Relationship Id="rId4361" Type="http://schemas.openxmlformats.org/officeDocument/2006/relationships/hyperlink" Target="https://lulustream.com/d/ywexwux3n4f1" TargetMode="External"/><Relationship Id="rId1955" Type="http://schemas.openxmlformats.org/officeDocument/2006/relationships/hyperlink" Target="https://doodstream.com/d/b7r9f0f1wi5k/" TargetMode="External"/><Relationship Id="rId3170" Type="http://schemas.openxmlformats.org/officeDocument/2006/relationships/hyperlink" Target="https://thumb.tapecontent.net/thumb/RA4Bvm8KOOILlX/O2gpVyg7bph9k0.jpg" TargetMode="External"/><Relationship Id="rId4014" Type="http://schemas.openxmlformats.org/officeDocument/2006/relationships/hyperlink" Target="https://lulustream.com/d/068u49743cnu" TargetMode="External"/><Relationship Id="rId4221" Type="http://schemas.openxmlformats.org/officeDocument/2006/relationships/hyperlink" Target="https://thumb.tapecontent.net/thumb/xXbxDrgjDeTkb1d/0Wv0dyAyROUb4xq.jpg" TargetMode="External"/><Relationship Id="rId1608" Type="http://schemas.openxmlformats.org/officeDocument/2006/relationships/hyperlink" Target="https://thumb.tapecontent.net/thumb/WQLzWx1aWeUbDLM/vB1Dpl8qp4c4030.jpg" TargetMode="External"/><Relationship Id="rId1815" Type="http://schemas.openxmlformats.org/officeDocument/2006/relationships/hyperlink" Target="https://thumb.tapecontent.net/thumb/O4qGg3oJx6T937/8vkvRgd8wJT8Ym.jpg" TargetMode="External"/><Relationship Id="rId3030" Type="http://schemas.openxmlformats.org/officeDocument/2006/relationships/hyperlink" Target="https://thumb.tapecontent.net/thumb/oZRD34dM8OUxo0/3dY4Xm8jWDcdK04.jpg" TargetMode="External"/><Relationship Id="rId3987" Type="http://schemas.openxmlformats.org/officeDocument/2006/relationships/hyperlink" Target="https://doodstream.com/d/zagym6b0w1kq/" TargetMode="External"/><Relationship Id="rId2589" Type="http://schemas.openxmlformats.org/officeDocument/2006/relationships/hyperlink" Target="https://doodstream.com/d/j16uevadoll3/" TargetMode="External"/><Relationship Id="rId2796" Type="http://schemas.openxmlformats.org/officeDocument/2006/relationships/hyperlink" Target="https://thumb.tapecontent.net/thumb/wrrL4M7qQxIjYM/ja4rxO1kaoIzkpq.jpg" TargetMode="External"/><Relationship Id="rId3847" Type="http://schemas.openxmlformats.org/officeDocument/2006/relationships/hyperlink" Target="https://doodstream.com/d/uk3nz10dk16r/" TargetMode="External"/><Relationship Id="rId768" Type="http://schemas.openxmlformats.org/officeDocument/2006/relationships/hyperlink" Target="https://lulustream.com/d/e6syvsyu0b1w" TargetMode="External"/><Relationship Id="rId975" Type="http://schemas.openxmlformats.org/officeDocument/2006/relationships/hyperlink" Target="https://luluvdoo.com/d/ndp1n2ap5taz" TargetMode="External"/><Relationship Id="rId1398" Type="http://schemas.openxmlformats.org/officeDocument/2006/relationships/hyperlink" Target="https://lulustream.com/e/kefo0rgvwq0j" TargetMode="External"/><Relationship Id="rId2449" Type="http://schemas.openxmlformats.org/officeDocument/2006/relationships/hyperlink" Target="https://lulustream.com/e/59fjfonxzav7" TargetMode="External"/><Relationship Id="rId2656" Type="http://schemas.openxmlformats.org/officeDocument/2006/relationships/hyperlink" Target="https://doodstream.com/d/ny9w3z15ok6d/" TargetMode="External"/><Relationship Id="rId2863" Type="http://schemas.openxmlformats.org/officeDocument/2006/relationships/hyperlink" Target="https://doodstream.com/d/ymiaqfagxpt7/" TargetMode="External"/><Relationship Id="rId3707" Type="http://schemas.openxmlformats.org/officeDocument/2006/relationships/hyperlink" Target="https://doodstream.com/d/3kxj9heinq6g/" TargetMode="External"/><Relationship Id="rId3914" Type="http://schemas.openxmlformats.org/officeDocument/2006/relationships/hyperlink" Target="https://lulustream.com/e/b1wjgobzhwaa" TargetMode="External"/><Relationship Id="rId628" Type="http://schemas.openxmlformats.org/officeDocument/2006/relationships/hyperlink" Target="https://thumb.tapecontent.net/thumb/owJO0QgD1pidMg/ywmDoWrqRGF160J.jpg" TargetMode="External"/><Relationship Id="rId835" Type="http://schemas.openxmlformats.org/officeDocument/2006/relationships/hyperlink" Target="https://thumb.tapecontent.net/thumb/QDzZx3a8DeT0OlP/DQ2AG130mzskMe9.jpg" TargetMode="External"/><Relationship Id="rId1258" Type="http://schemas.openxmlformats.org/officeDocument/2006/relationships/hyperlink" Target="https://doodstream.com/d/4z3n6wu6mq6j/" TargetMode="External"/><Relationship Id="rId1465" Type="http://schemas.openxmlformats.org/officeDocument/2006/relationships/hyperlink" Target="https://thumb.tapecontent.net/thumb/OX0BxMdBMztZjYP/PvBMyR9WqOf0plz.jpg" TargetMode="External"/><Relationship Id="rId1672" Type="http://schemas.openxmlformats.org/officeDocument/2006/relationships/hyperlink" Target="https://thumb.tapecontent.net/thumb/DogZP8l6eYFkgX9/jW19B3bJWJSae1.jpg" TargetMode="External"/><Relationship Id="rId2309" Type="http://schemas.openxmlformats.org/officeDocument/2006/relationships/hyperlink" Target="https://lulustream.com/d/3dahty829kdw" TargetMode="External"/><Relationship Id="rId2516" Type="http://schemas.openxmlformats.org/officeDocument/2006/relationships/hyperlink" Target="https://lulustream.com/e/3j5zmavkb6za" TargetMode="External"/><Relationship Id="rId2723" Type="http://schemas.openxmlformats.org/officeDocument/2006/relationships/hyperlink" Target="https://lulustream.com/e/81qc1mmqaawx" TargetMode="External"/><Relationship Id="rId1118" Type="http://schemas.openxmlformats.org/officeDocument/2006/relationships/hyperlink" Target="https://thumb.tapecontent.net/thumb/2bjV2qdMXZIj92/Y1bkjxbPm2h60w.jpg" TargetMode="External"/><Relationship Id="rId1325" Type="http://schemas.openxmlformats.org/officeDocument/2006/relationships/hyperlink" Target="https://doodstream.com/d/mnntjmxbnicj/" TargetMode="External"/><Relationship Id="rId1532" Type="http://schemas.openxmlformats.org/officeDocument/2006/relationships/hyperlink" Target="https://thumb.tapecontent.net/thumb/W30v7AVDYQurlX/VX3bVx1MvoCOYv.jpg" TargetMode="External"/><Relationship Id="rId2930" Type="http://schemas.openxmlformats.org/officeDocument/2006/relationships/hyperlink" Target="https://doodstream.com/d/4x51qhhz966i/" TargetMode="External"/><Relationship Id="rId4688" Type="http://schemas.openxmlformats.org/officeDocument/2006/relationships/hyperlink" Target="https://lulustream.com/e/4865g3g49ncq" TargetMode="External"/><Relationship Id="rId902" Type="http://schemas.openxmlformats.org/officeDocument/2006/relationships/hyperlink" Target="https://luluvdoo.com/d/ybbc8ra87bv9" TargetMode="External"/><Relationship Id="rId3497" Type="http://schemas.openxmlformats.org/officeDocument/2006/relationships/hyperlink" Target="https://doodstream.com/d/6zh51os37hkq/" TargetMode="External"/><Relationship Id="rId31" Type="http://schemas.openxmlformats.org/officeDocument/2006/relationships/hyperlink" Target="https://thumb.tapecontent.net/thumb/Xya4vBeZkmUXy1/6bwPYBJApQf918g.jpg" TargetMode="External"/><Relationship Id="rId2099" Type="http://schemas.openxmlformats.org/officeDocument/2006/relationships/hyperlink" Target="https://lulustream.com/e/3clmzxvfo60r" TargetMode="External"/><Relationship Id="rId4548" Type="http://schemas.openxmlformats.org/officeDocument/2006/relationships/hyperlink" Target="https://luluvdoo.com/d/i3j71ok2xbyb" TargetMode="External"/><Relationship Id="rId4755" Type="http://schemas.openxmlformats.org/officeDocument/2006/relationships/hyperlink" Target="https://lulustream.com/d/x39m65m6l3xx" TargetMode="External"/><Relationship Id="rId278" Type="http://schemas.openxmlformats.org/officeDocument/2006/relationships/hyperlink" Target="https://lulustream.com/e/oe7gx43gbbbb" TargetMode="External"/><Relationship Id="rId3357" Type="http://schemas.openxmlformats.org/officeDocument/2006/relationships/hyperlink" Target="https://thumb.tapecontent.net/thumb/2Dq80bDzBPIVKQ/JkYOKL1lKZTjv7b.jpg" TargetMode="External"/><Relationship Id="rId3564" Type="http://schemas.openxmlformats.org/officeDocument/2006/relationships/hyperlink" Target="https://lulustream.com/e/tjmnqlcochob" TargetMode="External"/><Relationship Id="rId3771" Type="http://schemas.openxmlformats.org/officeDocument/2006/relationships/hyperlink" Target="https://thumb.tapecontent.net/thumb/BOGL6LopLZiMvY/PwBd0X3L3eH0jv3.jpg" TargetMode="External"/><Relationship Id="rId4408" Type="http://schemas.openxmlformats.org/officeDocument/2006/relationships/hyperlink" Target="https://doodstream.com/d/kuvb1w2rfal1/" TargetMode="External"/><Relationship Id="rId4615" Type="http://schemas.openxmlformats.org/officeDocument/2006/relationships/hyperlink" Target="https://lulustream.com/d/rmigrup740kr" TargetMode="External"/><Relationship Id="rId485" Type="http://schemas.openxmlformats.org/officeDocument/2006/relationships/hyperlink" Target="https://doodstream.com/d/605bqv3syzu2/" TargetMode="External"/><Relationship Id="rId692" Type="http://schemas.openxmlformats.org/officeDocument/2006/relationships/hyperlink" Target="https://lulustream.com/d/hyxk4byf0c9o" TargetMode="External"/><Relationship Id="rId2166" Type="http://schemas.openxmlformats.org/officeDocument/2006/relationships/hyperlink" Target="https://lulustream.com/e/hs1pdkr98yr8" TargetMode="External"/><Relationship Id="rId2373" Type="http://schemas.openxmlformats.org/officeDocument/2006/relationships/hyperlink" Target="https://thumb.tapecontent.net/thumb/eVvW0d2OpdhYvlV/Qe78X0ZMbdiyGQ.jpg" TargetMode="External"/><Relationship Id="rId2580" Type="http://schemas.openxmlformats.org/officeDocument/2006/relationships/hyperlink" Target="https://thumb.tapecontent.net/thumb/ylm9zWBDwgF14XA/lOgdeaqPP2H740e.jpg" TargetMode="External"/><Relationship Id="rId3217" Type="http://schemas.openxmlformats.org/officeDocument/2006/relationships/hyperlink" Target="https://doodstream.com/d/vsl09wz714t9/" TargetMode="External"/><Relationship Id="rId3424" Type="http://schemas.openxmlformats.org/officeDocument/2006/relationships/hyperlink" Target="https://lulustream.com/d/ssnbd447d6g0" TargetMode="External"/><Relationship Id="rId3631" Type="http://schemas.openxmlformats.org/officeDocument/2006/relationships/hyperlink" Target="https://thumb.tapecontent.net/thumb/WyMMelKB44UbxbX/wrYqDwQr9JiJRBD.jpg" TargetMode="External"/><Relationship Id="rId138" Type="http://schemas.openxmlformats.org/officeDocument/2006/relationships/hyperlink" Target="https://lulustream.com/e/fcsuilxwk1qo" TargetMode="External"/><Relationship Id="rId345" Type="http://schemas.openxmlformats.org/officeDocument/2006/relationships/hyperlink" Target="https://luluvdoo.com/d/wdkjwhat9mo5" TargetMode="External"/><Relationship Id="rId552" Type="http://schemas.openxmlformats.org/officeDocument/2006/relationships/hyperlink" Target="https://lulustream.com/e/fltnsz8g3x2g" TargetMode="External"/><Relationship Id="rId1182" Type="http://schemas.openxmlformats.org/officeDocument/2006/relationships/hyperlink" Target="https://doodstream.com/d/d03ykucb3wgn/" TargetMode="External"/><Relationship Id="rId2026" Type="http://schemas.openxmlformats.org/officeDocument/2006/relationships/hyperlink" Target="https://thumb.tapecontent.net/thumb/kvLQMRJV8PfYeO/wrk1POGmdrSJOPq.jpg" TargetMode="External"/><Relationship Id="rId2233" Type="http://schemas.openxmlformats.org/officeDocument/2006/relationships/hyperlink" Target="https://thumb.tapecontent.net/thumb/bjAkr9lQOOhLo9/ZjQPq47dJOsg9y.jpg" TargetMode="External"/><Relationship Id="rId2440" Type="http://schemas.openxmlformats.org/officeDocument/2006/relationships/hyperlink" Target="https://doodstream.com/d/17yy55aiemm7/" TargetMode="External"/><Relationship Id="rId205" Type="http://schemas.openxmlformats.org/officeDocument/2006/relationships/hyperlink" Target="https://thumb.tapecontent.net/thumb/xyZr1WAPZGskAXX/6WWqj4qe7bC97aW.jpg" TargetMode="External"/><Relationship Id="rId412" Type="http://schemas.openxmlformats.org/officeDocument/2006/relationships/hyperlink" Target="https://doodstream.com/d/yu2kum2tsya3/" TargetMode="External"/><Relationship Id="rId1042" Type="http://schemas.openxmlformats.org/officeDocument/2006/relationships/hyperlink" Target="https://luluvdoo.com/d/zp80qm5e36gr" TargetMode="External"/><Relationship Id="rId2300" Type="http://schemas.openxmlformats.org/officeDocument/2006/relationships/hyperlink" Target="https://lulustream.com/e/fvlw9wtsqn1w" TargetMode="External"/><Relationship Id="rId4198" Type="http://schemas.openxmlformats.org/officeDocument/2006/relationships/hyperlink" Target="https://thumb.tapecontent.net/thumb/YyGrzVW4yxSv0Dv/0WJZlYjVK8cKeZ.jpg" TargetMode="External"/><Relationship Id="rId1999" Type="http://schemas.openxmlformats.org/officeDocument/2006/relationships/hyperlink" Target="https://thumb.tapecontent.net/thumb/A4RL1rmLJkSXYvp/OPvPlmmaMjhZpom.jpg" TargetMode="External"/><Relationship Id="rId4058" Type="http://schemas.openxmlformats.org/officeDocument/2006/relationships/hyperlink" Target="https://luluvdoo.com/d/fff89cw40krf" TargetMode="External"/><Relationship Id="rId4265" Type="http://schemas.openxmlformats.org/officeDocument/2006/relationships/hyperlink" Target="https://thumb.tapecontent.net/thumb/oMAzjXZ6betJyZv/ydjzMA34zyC1zjM.jpg" TargetMode="External"/><Relationship Id="rId4472" Type="http://schemas.openxmlformats.org/officeDocument/2006/relationships/hyperlink" Target="https://thumb.tapecontent.net/thumb/GwVgvWyjqRF9Ov/qDRLrW7DK9IzqDL.jpg" TargetMode="External"/><Relationship Id="rId1859" Type="http://schemas.openxmlformats.org/officeDocument/2006/relationships/hyperlink" Target="https://lulustream.com/e/bbd3aap7uf62" TargetMode="External"/><Relationship Id="rId3074" Type="http://schemas.openxmlformats.org/officeDocument/2006/relationships/hyperlink" Target="https://doodstream.com/d/epxr2y00ybva/" TargetMode="External"/><Relationship Id="rId4125" Type="http://schemas.openxmlformats.org/officeDocument/2006/relationships/hyperlink" Target="https://doodstream.com/d/p9cefb6tlwrp/" TargetMode="External"/><Relationship Id="rId1719" Type="http://schemas.openxmlformats.org/officeDocument/2006/relationships/hyperlink" Target="https://doodstream.com/d/n8z78d98y54e/" TargetMode="External"/><Relationship Id="rId1926" Type="http://schemas.openxmlformats.org/officeDocument/2006/relationships/hyperlink" Target="https://lulustream.com/e/2riyd2t91ode" TargetMode="External"/><Relationship Id="rId3281" Type="http://schemas.openxmlformats.org/officeDocument/2006/relationships/hyperlink" Target="https://thumb.tapecontent.net/thumb/ewGjBved4bcm13/r8GrMPjqxLUbqr8.jpg" TargetMode="External"/><Relationship Id="rId4332" Type="http://schemas.openxmlformats.org/officeDocument/2006/relationships/hyperlink" Target="https://thumb.tapecontent.net/thumb/Pvwr2QQo2YU0q1Q/7P3wx6br1KHA3VG.jpg" TargetMode="External"/><Relationship Id="rId2090" Type="http://schemas.openxmlformats.org/officeDocument/2006/relationships/hyperlink" Target="https://lulustream.com/d/6plaqmussr0s" TargetMode="External"/><Relationship Id="rId3141" Type="http://schemas.openxmlformats.org/officeDocument/2006/relationships/hyperlink" Target="https://luluvdoo.com/d/fcpswmmrkklu" TargetMode="External"/><Relationship Id="rId3001" Type="http://schemas.openxmlformats.org/officeDocument/2006/relationships/hyperlink" Target="https://doodstream.com/d/kla9i8moytjr/" TargetMode="External"/><Relationship Id="rId3958" Type="http://schemas.openxmlformats.org/officeDocument/2006/relationships/hyperlink" Target="https://thumb.tapecontent.net/thumb/XBvlk9aywysD8dr/OJmXPBRJkkhZV2d.jpg" TargetMode="External"/><Relationship Id="rId879" Type="http://schemas.openxmlformats.org/officeDocument/2006/relationships/hyperlink" Target="https://thumb.tapecontent.net/thumb/OVBLdRQ1YotgM1/9633L4o7wGfadRL.jpg" TargetMode="External"/><Relationship Id="rId2767" Type="http://schemas.openxmlformats.org/officeDocument/2006/relationships/hyperlink" Target="https://doodstream.com/d/t19ffz012si8/" TargetMode="External"/><Relationship Id="rId739" Type="http://schemas.openxmlformats.org/officeDocument/2006/relationships/hyperlink" Target="https://thumb.tapecontent.net/thumb/zPop1OWeL7uYZP6/D0pWw8jK73Ck0o1.jpg" TargetMode="External"/><Relationship Id="rId1369" Type="http://schemas.openxmlformats.org/officeDocument/2006/relationships/hyperlink" Target="https://lulustream.com/d/b5el2rirq6sg" TargetMode="External"/><Relationship Id="rId1576" Type="http://schemas.openxmlformats.org/officeDocument/2006/relationships/hyperlink" Target="https://lulustream.com/e/q18kyfg5ob32" TargetMode="External"/><Relationship Id="rId2974" Type="http://schemas.openxmlformats.org/officeDocument/2006/relationships/hyperlink" Target="https://thumb.tapecontent.net/thumb/KAWx6Pr9qqf0y6V/3azLYwr10btd1xo.jpg" TargetMode="External"/><Relationship Id="rId3818" Type="http://schemas.openxmlformats.org/officeDocument/2006/relationships/hyperlink" Target="https://thumb.tapecontent.net/thumb/lGBZO8VBa4s7e43/Mzr87op3yWtBDz.jpg" TargetMode="External"/><Relationship Id="rId946" Type="http://schemas.openxmlformats.org/officeDocument/2006/relationships/hyperlink" Target="https://doodstream.com/d/e6xdcv7a59z4/" TargetMode="External"/><Relationship Id="rId1229" Type="http://schemas.openxmlformats.org/officeDocument/2006/relationships/hyperlink" Target="https://doodstream.com/d/ih3qzkhmpbj3/" TargetMode="External"/><Relationship Id="rId1783" Type="http://schemas.openxmlformats.org/officeDocument/2006/relationships/hyperlink" Target="https://thumb.tapecontent.net/thumb/Me1mOOaQpkCm4Kl/jPmWVyqgAkUzAlr.jpg" TargetMode="External"/><Relationship Id="rId1990" Type="http://schemas.openxmlformats.org/officeDocument/2006/relationships/hyperlink" Target="https://doodstream.com/d/q377p5sbxwje/" TargetMode="External"/><Relationship Id="rId2627" Type="http://schemas.openxmlformats.org/officeDocument/2006/relationships/hyperlink" Target="https://lulustream.com/e/svl3dmp5ajhp" TargetMode="External"/><Relationship Id="rId2834" Type="http://schemas.openxmlformats.org/officeDocument/2006/relationships/hyperlink" Target="https://lulustream.com/d/7h5syphua1y9" TargetMode="External"/><Relationship Id="rId75" Type="http://schemas.openxmlformats.org/officeDocument/2006/relationships/hyperlink" Target="https://doodstream.com/d/wg30ws65tlsl/" TargetMode="External"/><Relationship Id="rId806" Type="http://schemas.openxmlformats.org/officeDocument/2006/relationships/hyperlink" Target="https://lulustream.com/e/s0sr79j31hco" TargetMode="External"/><Relationship Id="rId1436" Type="http://schemas.openxmlformats.org/officeDocument/2006/relationships/hyperlink" Target="https://thumb.tapecontent.net/thumb/XW70dq3bWecDazL/yg69M9RerPsO8V.jpg" TargetMode="External"/><Relationship Id="rId1643" Type="http://schemas.openxmlformats.org/officeDocument/2006/relationships/hyperlink" Target="https://thumb.tapecontent.net/thumb/Lykm2rovqAU64O/MyOJ2pYvBecYpB.jpg" TargetMode="External"/><Relationship Id="rId1850" Type="http://schemas.openxmlformats.org/officeDocument/2006/relationships/hyperlink" Target="https://lulustream.com/e/ubmkgljjx9gm" TargetMode="External"/><Relationship Id="rId2901" Type="http://schemas.openxmlformats.org/officeDocument/2006/relationships/hyperlink" Target="https://thumb.tapecontent.net/thumb/8XBj3k4GJWcoBPl/P8brOOOBpMt0OmA.jpg" TargetMode="External"/><Relationship Id="rId1503" Type="http://schemas.openxmlformats.org/officeDocument/2006/relationships/hyperlink" Target="https://thumb.tapecontent.net/thumb/gweJqz68Lafq7We/AAv9qgVm3OHXJw1.jpg" TargetMode="External"/><Relationship Id="rId1710" Type="http://schemas.openxmlformats.org/officeDocument/2006/relationships/hyperlink" Target="https://luluvdoo.com/d/j4hi8cupuk39" TargetMode="External"/><Relationship Id="rId4659" Type="http://schemas.openxmlformats.org/officeDocument/2006/relationships/hyperlink" Target="https://lulustream.com/e/ze3s49ol6w44" TargetMode="External"/><Relationship Id="rId3468" Type="http://schemas.openxmlformats.org/officeDocument/2006/relationships/hyperlink" Target="https://doodstream.com/d/186ylxdppxh0/" TargetMode="External"/><Relationship Id="rId3675" Type="http://schemas.openxmlformats.org/officeDocument/2006/relationships/hyperlink" Target="https://lulustream.com/e/zcmfbdm5o9xq" TargetMode="External"/><Relationship Id="rId3882" Type="http://schemas.openxmlformats.org/officeDocument/2006/relationships/hyperlink" Target="https://thumb.tapecontent.net/thumb/6mL96QDkAGFpMk/pLRzY10AaBsGp8.jpg" TargetMode="External"/><Relationship Id="rId4519" Type="http://schemas.openxmlformats.org/officeDocument/2006/relationships/hyperlink" Target="https://luluvdoo.com/d/c6gjf5uk6bis" TargetMode="External"/><Relationship Id="rId4726" Type="http://schemas.openxmlformats.org/officeDocument/2006/relationships/hyperlink" Target="https://lulustream.com/d/jc3q15tqlkuq" TargetMode="External"/><Relationship Id="rId389" Type="http://schemas.openxmlformats.org/officeDocument/2006/relationships/hyperlink" Target="https://luluvdoo.com/d/o5v1jpfebmak" TargetMode="External"/><Relationship Id="rId596" Type="http://schemas.openxmlformats.org/officeDocument/2006/relationships/hyperlink" Target="https://thumb.tapecontent.net/thumb/ZkVXlp1ZL9uqxjb/MaD2jKk21pUmOx0.jpg" TargetMode="External"/><Relationship Id="rId2277" Type="http://schemas.openxmlformats.org/officeDocument/2006/relationships/hyperlink" Target="https://thumb.tapecontent.net/thumb/xOVDW8bPgWikb2d/JA499GbDVqfjDQB.jpg" TargetMode="External"/><Relationship Id="rId2484" Type="http://schemas.openxmlformats.org/officeDocument/2006/relationships/hyperlink" Target="https://thumb.tapecontent.net/thumb/8Vj29z9lJ0fobpq/LpLK7lk88pCRXlL.jpg" TargetMode="External"/><Relationship Id="rId2691" Type="http://schemas.openxmlformats.org/officeDocument/2006/relationships/hyperlink" Target="https://thumb.tapecontent.net/thumb/XxwLKYMDdaTDQ0q/R9BRKV0Rpmfddvk.jpg" TargetMode="External"/><Relationship Id="rId3328" Type="http://schemas.openxmlformats.org/officeDocument/2006/relationships/hyperlink" Target="https://lulustream.com/d/hod3yjm14ogn" TargetMode="External"/><Relationship Id="rId3535" Type="http://schemas.openxmlformats.org/officeDocument/2006/relationships/hyperlink" Target="https://lulustream.com/e/o6ek36scntni" TargetMode="External"/><Relationship Id="rId3742" Type="http://schemas.openxmlformats.org/officeDocument/2006/relationships/hyperlink" Target="https://thumb.tapecontent.net/thumb/XkPpaRvXMQf0WP/mPpv6X0aaPHdAY.jpg" TargetMode="External"/><Relationship Id="rId249" Type="http://schemas.openxmlformats.org/officeDocument/2006/relationships/hyperlink" Target="https://thumb.tapecontent.net/thumb/LpAxXPx1QlT64y/GGYdZy9VLkhl3J.jpg" TargetMode="External"/><Relationship Id="rId456" Type="http://schemas.openxmlformats.org/officeDocument/2006/relationships/hyperlink" Target="https://doodstream.com/d/tmhpt2j0jncd/" TargetMode="External"/><Relationship Id="rId663" Type="http://schemas.openxmlformats.org/officeDocument/2006/relationships/hyperlink" Target="https://lulustream.com/e/tulo8yjmbfmk" TargetMode="External"/><Relationship Id="rId870" Type="http://schemas.openxmlformats.org/officeDocument/2006/relationships/hyperlink" Target="https://thumb.tapecontent.net/thumb/2o4Le7yGgAtzqx/eP4KmWyaWJSYr1X.jpg" TargetMode="External"/><Relationship Id="rId1086" Type="http://schemas.openxmlformats.org/officeDocument/2006/relationships/hyperlink" Target="https://doodstream.com/d/bpb1woozexjw/" TargetMode="External"/><Relationship Id="rId1293" Type="http://schemas.openxmlformats.org/officeDocument/2006/relationships/hyperlink" Target="https://doodstream.com/d/su3ktmp7ox00/" TargetMode="External"/><Relationship Id="rId2137" Type="http://schemas.openxmlformats.org/officeDocument/2006/relationships/hyperlink" Target="https://lulustream.com/d/si1vcp9xkm0h" TargetMode="External"/><Relationship Id="rId2344" Type="http://schemas.openxmlformats.org/officeDocument/2006/relationships/hyperlink" Target="https://doodstream.com/d/7t5q26x20nin/" TargetMode="External"/><Relationship Id="rId2551" Type="http://schemas.openxmlformats.org/officeDocument/2006/relationships/hyperlink" Target="https://lulustream.com/d/9eg1fv0wmpdy" TargetMode="External"/><Relationship Id="rId109" Type="http://schemas.openxmlformats.org/officeDocument/2006/relationships/hyperlink" Target="https://thumb.tapecontent.net/thumb/MAeAV7PBxwFmb0Z/r8W7yQoGkdhbrqX.jpg" TargetMode="External"/><Relationship Id="rId316" Type="http://schemas.openxmlformats.org/officeDocument/2006/relationships/hyperlink" Target="https://luluvdoo.com/d/52qdxwi8zlcz" TargetMode="External"/><Relationship Id="rId523" Type="http://schemas.openxmlformats.org/officeDocument/2006/relationships/hyperlink" Target="https://streamtape.com/v/RQZpBBGOVoUd48W/Angela_White_-_91733115_-_Onlyfans" TargetMode="External"/><Relationship Id="rId1153" Type="http://schemas.openxmlformats.org/officeDocument/2006/relationships/hyperlink" Target="https://thumb.tapecontent.net/thumb/AXWvOaeMj9tX3mJ/Dzx4YzAw6ytkM7e.jpg" TargetMode="External"/><Relationship Id="rId2204" Type="http://schemas.openxmlformats.org/officeDocument/2006/relationships/hyperlink" Target="https://doodstream.com/d/jzaerifv7tan/" TargetMode="External"/><Relationship Id="rId3602" Type="http://schemas.openxmlformats.org/officeDocument/2006/relationships/hyperlink" Target="https://thumb.tapecontent.net/thumb/gV9Bj7Jk7RcqWDe/8wY7dqDgDpc6zZ.jpg" TargetMode="External"/><Relationship Id="rId730" Type="http://schemas.openxmlformats.org/officeDocument/2006/relationships/hyperlink" Target="https://doodstream.com/d/0f7a0vhs78lr/" TargetMode="External"/><Relationship Id="rId1013" Type="http://schemas.openxmlformats.org/officeDocument/2006/relationships/hyperlink" Target="https://luluvdoo.com/d/eyy6w5cld7oa" TargetMode="External"/><Relationship Id="rId1360" Type="http://schemas.openxmlformats.org/officeDocument/2006/relationships/hyperlink" Target="https://lulustream.com/e/23wqy9n3ayuj" TargetMode="External"/><Relationship Id="rId2411" Type="http://schemas.openxmlformats.org/officeDocument/2006/relationships/hyperlink" Target="https://thumb.tapecontent.net/thumb/69w36vvXgAI9YjA/Bz8XxmA7bgsVW1.jpg" TargetMode="External"/><Relationship Id="rId4169" Type="http://schemas.openxmlformats.org/officeDocument/2006/relationships/hyperlink" Target="https://lulustream.com/d/w7nn83koujt4" TargetMode="External"/><Relationship Id="rId1220" Type="http://schemas.openxmlformats.org/officeDocument/2006/relationships/hyperlink" Target="https://thumb.tapecontent.net/thumb/y24Xed8YJGs18D4/ykX1jqAJGpT32a.jpg" TargetMode="External"/><Relationship Id="rId4376" Type="http://schemas.openxmlformats.org/officeDocument/2006/relationships/hyperlink" Target="https://lulustream.com/e/1723lm9eljfj" TargetMode="External"/><Relationship Id="rId4583" Type="http://schemas.openxmlformats.org/officeDocument/2006/relationships/hyperlink" Target="https://lulustream.com/d/34pchsyjzfq4" TargetMode="External"/><Relationship Id="rId3185" Type="http://schemas.openxmlformats.org/officeDocument/2006/relationships/hyperlink" Target="https://lulustream.com/d/1qjwh336fz8i" TargetMode="External"/><Relationship Id="rId3392" Type="http://schemas.openxmlformats.org/officeDocument/2006/relationships/hyperlink" Target="https://lulustream.com/e/22k9nsl8r8io" TargetMode="External"/><Relationship Id="rId4029" Type="http://schemas.openxmlformats.org/officeDocument/2006/relationships/hyperlink" Target="https://thumb.tapecontent.net/thumb/rx9Yx4rYyMibmKZ/OkWW3xyoMmSZZyo.jpg" TargetMode="External"/><Relationship Id="rId4236" Type="http://schemas.openxmlformats.org/officeDocument/2006/relationships/hyperlink" Target="https://lulustream.com/e/fciw0d0wx34l" TargetMode="External"/><Relationship Id="rId4443" Type="http://schemas.openxmlformats.org/officeDocument/2006/relationships/hyperlink" Target="https://thumb.tapecontent.net/thumb/aGbzl9BODJFx39j/BzkkkGXmZjtygX1.jpg" TargetMode="External"/><Relationship Id="rId4650" Type="http://schemas.openxmlformats.org/officeDocument/2006/relationships/hyperlink" Target="https://thumb.tapecontent.net/thumb/AXzL1XGYz1uBgB/1LPQkQ8pmRUe4oD.jpg" TargetMode="External"/><Relationship Id="rId3045" Type="http://schemas.openxmlformats.org/officeDocument/2006/relationships/hyperlink" Target="https://doodstream.com/d/g3qosmd7zb6c/" TargetMode="External"/><Relationship Id="rId3252" Type="http://schemas.openxmlformats.org/officeDocument/2006/relationships/hyperlink" Target="https://lulustream.com/d/msdbichrdtee" TargetMode="External"/><Relationship Id="rId4303" Type="http://schemas.openxmlformats.org/officeDocument/2006/relationships/hyperlink" Target="https://lulustream.com/e/tuwjmlp0aqxc" TargetMode="External"/><Relationship Id="rId4510" Type="http://schemas.openxmlformats.org/officeDocument/2006/relationships/hyperlink" Target="https://luluvdoo.com/d/ke7p7vagpuf4" TargetMode="External"/><Relationship Id="rId173" Type="http://schemas.openxmlformats.org/officeDocument/2006/relationships/hyperlink" Target="https://lulustream.com/e/m7nz83q70ffz" TargetMode="External"/><Relationship Id="rId380" Type="http://schemas.openxmlformats.org/officeDocument/2006/relationships/hyperlink" Target="https://streamtape.com/v/R6ygo12dZgfLdM/Angela_White_-_18200560_-_ripnsfw.com.mp4" TargetMode="External"/><Relationship Id="rId2061" Type="http://schemas.openxmlformats.org/officeDocument/2006/relationships/hyperlink" Target="https://thumb.tapecontent.net/thumb/2689VZL3M2sRb6/ayGOr2WAvPcJvg.jpg" TargetMode="External"/><Relationship Id="rId3112" Type="http://schemas.openxmlformats.org/officeDocument/2006/relationships/hyperlink" Target="https://luluvdoo.com/d/utj9axz7yriz" TargetMode="External"/><Relationship Id="rId240" Type="http://schemas.openxmlformats.org/officeDocument/2006/relationships/hyperlink" Target="https://luluvdoo.com/d/9kq2lmrbpuni" TargetMode="External"/><Relationship Id="rId100" Type="http://schemas.openxmlformats.org/officeDocument/2006/relationships/hyperlink" Target="https://doodstream.com/d/n3cnt005y6co/" TargetMode="External"/><Relationship Id="rId2878" Type="http://schemas.openxmlformats.org/officeDocument/2006/relationships/hyperlink" Target="https://lulustream.com/e/do7yzuwqfayk" TargetMode="External"/><Relationship Id="rId3929" Type="http://schemas.openxmlformats.org/officeDocument/2006/relationships/hyperlink" Target="https://thumb.tapecontent.net/thumb/wOBgOWVrG3SJOzB/kqq2q771qrf8Ap.jpg" TargetMode="External"/><Relationship Id="rId4093" Type="http://schemas.openxmlformats.org/officeDocument/2006/relationships/hyperlink" Target="https://thumb.tapecontent.net/thumb/aGprXogYDDSxqkd/px0gVV1DJMsrQqR.jpg" TargetMode="External"/><Relationship Id="rId1687" Type="http://schemas.openxmlformats.org/officeDocument/2006/relationships/hyperlink" Target="https://doodstream.com/d/6k62zu1a6z9f/" TargetMode="External"/><Relationship Id="rId1894" Type="http://schemas.openxmlformats.org/officeDocument/2006/relationships/hyperlink" Target="https://lulustream.com/e/982v8hqqx4nn" TargetMode="External"/><Relationship Id="rId2738" Type="http://schemas.openxmlformats.org/officeDocument/2006/relationships/hyperlink" Target="https://thumb.tapecontent.net/thumb/QgklOrdApWS923/Bkmq1Yl6zatyLKr.jpg" TargetMode="External"/><Relationship Id="rId2945" Type="http://schemas.openxmlformats.org/officeDocument/2006/relationships/hyperlink" Target="https://doodstream.com/d/raxtlzj5hcfi/" TargetMode="External"/><Relationship Id="rId917" Type="http://schemas.openxmlformats.org/officeDocument/2006/relationships/hyperlink" Target="https://lulustream.com/e/q8vziwqqchem" TargetMode="External"/><Relationship Id="rId1547" Type="http://schemas.openxmlformats.org/officeDocument/2006/relationships/hyperlink" Target="https://doodstream.com/d/0h5l4i5f694e/" TargetMode="External"/><Relationship Id="rId1754" Type="http://schemas.openxmlformats.org/officeDocument/2006/relationships/hyperlink" Target="https://thumb.tapecontent.net/thumb/88eZdyOz9xForbK/WpOBJzZdqasbwYv.jpg" TargetMode="External"/><Relationship Id="rId1961" Type="http://schemas.openxmlformats.org/officeDocument/2006/relationships/hyperlink" Target="https://doodstream.com/d/b2dl1j7zommt/" TargetMode="External"/><Relationship Id="rId2805" Type="http://schemas.openxmlformats.org/officeDocument/2006/relationships/hyperlink" Target="https://thumb.tapecontent.net/thumb/Mkjq3lzWXdImjMZ/vkRWJaMZY8i4g39.jpg" TargetMode="External"/><Relationship Id="rId4160" Type="http://schemas.openxmlformats.org/officeDocument/2006/relationships/hyperlink" Target="https://lulustream.com/e/48o2js4d7xit" TargetMode="External"/><Relationship Id="rId46" Type="http://schemas.openxmlformats.org/officeDocument/2006/relationships/hyperlink" Target="https://lulustream.com/e/3dajng3aeqm0" TargetMode="External"/><Relationship Id="rId1407" Type="http://schemas.openxmlformats.org/officeDocument/2006/relationships/hyperlink" Target="https://thumb.tapecontent.net/thumb/yj6P1ppwQmh1R3B/o2BdQ6lxLaUJlLg.jpg" TargetMode="External"/><Relationship Id="rId1614" Type="http://schemas.openxmlformats.org/officeDocument/2006/relationships/hyperlink" Target="https://thumb.tapecontent.net/thumb/vrxaDmK8BjS498Z/BQLqLAxmkaUygdO.jpg" TargetMode="External"/><Relationship Id="rId1821" Type="http://schemas.openxmlformats.org/officeDocument/2006/relationships/hyperlink" Target="https://thumb.tapecontent.net/thumb/9k2Gleqqa2Hoxa/7qwVpQwo68TAZqP.jpg" TargetMode="External"/><Relationship Id="rId4020" Type="http://schemas.openxmlformats.org/officeDocument/2006/relationships/hyperlink" Target="https://lulustream.com/e/mt46las9dhgi" TargetMode="External"/><Relationship Id="rId3579" Type="http://schemas.openxmlformats.org/officeDocument/2006/relationships/hyperlink" Target="https://lulustream.com/e/fsvmtfv1on53" TargetMode="External"/><Relationship Id="rId3786" Type="http://schemas.openxmlformats.org/officeDocument/2006/relationships/hyperlink" Target="https://luluvdoo.com/d/1er6pm3uyo20" TargetMode="External"/><Relationship Id="rId2388" Type="http://schemas.openxmlformats.org/officeDocument/2006/relationships/hyperlink" Target="https://doodstream.com/d/j4oppy7jrnjy/" TargetMode="External"/><Relationship Id="rId2595" Type="http://schemas.openxmlformats.org/officeDocument/2006/relationships/hyperlink" Target="https://lulustream.com/d/k9hgak7rh1md" TargetMode="External"/><Relationship Id="rId3439" Type="http://schemas.openxmlformats.org/officeDocument/2006/relationships/hyperlink" Target="https://doodstream.com/d/k5e9hxluvsrt/" TargetMode="External"/><Relationship Id="rId3993" Type="http://schemas.openxmlformats.org/officeDocument/2006/relationships/hyperlink" Target="https://doodstream.com/d/l5i3q7hs574h/" TargetMode="External"/><Relationship Id="rId567" Type="http://schemas.openxmlformats.org/officeDocument/2006/relationships/hyperlink" Target="https://thumb.tapecontent.net/thumb/GMqPo7oJBkfabb/ZwmBjOZBYGiq1oa.jpg" TargetMode="External"/><Relationship Id="rId1197" Type="http://schemas.openxmlformats.org/officeDocument/2006/relationships/hyperlink" Target="https://doodstream.com/d/c36hbo1g0gvx/" TargetMode="External"/><Relationship Id="rId2248" Type="http://schemas.openxmlformats.org/officeDocument/2006/relationships/hyperlink" Target="https://thumb.tapecontent.net/thumb/ea1GX6w1pYUYPld/djAKkqw6ebhP9D.jpg" TargetMode="External"/><Relationship Id="rId3646" Type="http://schemas.openxmlformats.org/officeDocument/2006/relationships/hyperlink" Target="https://doodstream.com/d/nbll60kwvmue/" TargetMode="External"/><Relationship Id="rId3853" Type="http://schemas.openxmlformats.org/officeDocument/2006/relationships/hyperlink" Target="https://lulustream.com/d/wy5r2uizc0fq" TargetMode="External"/><Relationship Id="rId774" Type="http://schemas.openxmlformats.org/officeDocument/2006/relationships/hyperlink" Target="https://thumb.tapecontent.net/thumb/9epDqGXd7BhaaXM/z7jywwYk93FYAjq.jpg" TargetMode="External"/><Relationship Id="rId981" Type="http://schemas.openxmlformats.org/officeDocument/2006/relationships/hyperlink" Target="https://luluvdoo.com/d/g1g5mqbnsu6r" TargetMode="External"/><Relationship Id="rId1057" Type="http://schemas.openxmlformats.org/officeDocument/2006/relationships/hyperlink" Target="https://doodstream.com/d/tbbuisudq580/" TargetMode="External"/><Relationship Id="rId2455" Type="http://schemas.openxmlformats.org/officeDocument/2006/relationships/hyperlink" Target="https://thumb.tapecontent.net/thumb/0BpOblY4lzubdWV/Ooyar9OWVOtZpR9.jpg" TargetMode="External"/><Relationship Id="rId2662" Type="http://schemas.openxmlformats.org/officeDocument/2006/relationships/hyperlink" Target="https://thumb.tapecontent.net/thumb/QgpkopkByKh9D7/RpPZQLZRoMidPzR.jpg" TargetMode="External"/><Relationship Id="rId3506" Type="http://schemas.openxmlformats.org/officeDocument/2006/relationships/hyperlink" Target="https://doodstream.com/d/tg0qsmuitrp2/" TargetMode="External"/><Relationship Id="rId3713" Type="http://schemas.openxmlformats.org/officeDocument/2006/relationships/hyperlink" Target="https://doodstream.com/d/bpgp1m4bx7sv/" TargetMode="External"/><Relationship Id="rId3920" Type="http://schemas.openxmlformats.org/officeDocument/2006/relationships/hyperlink" Target="https://thumb.tapecontent.net/thumb/90QyJL2w1vHa23A/MymapdVOVLfD0L.jpg" TargetMode="External"/><Relationship Id="rId427" Type="http://schemas.openxmlformats.org/officeDocument/2006/relationships/hyperlink" Target="https://thumb.tapecontent.net/thumb/w7OOgWYeBvHJqyM/Ogqp9P49drHZ8l9.jpg" TargetMode="External"/><Relationship Id="rId634" Type="http://schemas.openxmlformats.org/officeDocument/2006/relationships/hyperlink" Target="https://thumb.tapecontent.net/thumb/4DwelQblZAuKRm0/Dz9rbKvRpOIkeM6.jpg" TargetMode="External"/><Relationship Id="rId841" Type="http://schemas.openxmlformats.org/officeDocument/2006/relationships/hyperlink" Target="https://lulustream.com/d/7jc6ii854u67" TargetMode="External"/><Relationship Id="rId1264" Type="http://schemas.openxmlformats.org/officeDocument/2006/relationships/hyperlink" Target="https://doodstream.com/d/bwtvf1a7bi52/" TargetMode="External"/><Relationship Id="rId1471" Type="http://schemas.openxmlformats.org/officeDocument/2006/relationships/hyperlink" Target="https://doodstream.com/d/u5ttvdsiq9ci/" TargetMode="External"/><Relationship Id="rId2108" Type="http://schemas.openxmlformats.org/officeDocument/2006/relationships/hyperlink" Target="https://lulustream.com/e/csmobz2ink0c" TargetMode="External"/><Relationship Id="rId2315" Type="http://schemas.openxmlformats.org/officeDocument/2006/relationships/hyperlink" Target="https://lulustream.com/e/uww7nycxc6sf" TargetMode="External"/><Relationship Id="rId2522" Type="http://schemas.openxmlformats.org/officeDocument/2006/relationships/hyperlink" Target="https://lulustream.com/e/t165ikhn5wof" TargetMode="External"/><Relationship Id="rId701" Type="http://schemas.openxmlformats.org/officeDocument/2006/relationships/hyperlink" Target="https://lulustream.com/d/92gue72onpex" TargetMode="External"/><Relationship Id="rId1124" Type="http://schemas.openxmlformats.org/officeDocument/2006/relationships/hyperlink" Target="https://thumb.tapecontent.net/thumb/6XzlpqXDqPh9zQ9/y7K07L9x7bU1AXd.jpg" TargetMode="External"/><Relationship Id="rId1331" Type="http://schemas.openxmlformats.org/officeDocument/2006/relationships/hyperlink" Target="https://lulustream.com/e/360yt3xdy9lb" TargetMode="External"/><Relationship Id="rId4487" Type="http://schemas.openxmlformats.org/officeDocument/2006/relationships/hyperlink" Target="https://thumb.tapecontent.net/thumb/6pb1jQjjd1U9Xga/VXGjlX9X60uKV6d.jpg" TargetMode="External"/><Relationship Id="rId4694" Type="http://schemas.openxmlformats.org/officeDocument/2006/relationships/hyperlink" Target="https://lulustream.com/e/u9s8ndol074x" TargetMode="External"/><Relationship Id="rId3089" Type="http://schemas.openxmlformats.org/officeDocument/2006/relationships/hyperlink" Target="https://lulustream.com/e/j453xg41yytk" TargetMode="External"/><Relationship Id="rId3296" Type="http://schemas.openxmlformats.org/officeDocument/2006/relationships/hyperlink" Target="https://thumb.tapecontent.net/thumb/bGYAdz97LwcPr1e/YGozZzVw6wsvDd0.jpg" TargetMode="External"/><Relationship Id="rId4347" Type="http://schemas.openxmlformats.org/officeDocument/2006/relationships/hyperlink" Target="https://doodstream.com/d/9fxpxsdwt6l0/" TargetMode="External"/><Relationship Id="rId4554" Type="http://schemas.openxmlformats.org/officeDocument/2006/relationships/hyperlink" Target="https://luluvdoo.com/d/hyf0y231dxp6" TargetMode="External"/><Relationship Id="rId4761" Type="http://schemas.openxmlformats.org/officeDocument/2006/relationships/hyperlink" Target="https://bunkr.pk/f/UPA0FekFj5JEB" TargetMode="External"/><Relationship Id="rId3156" Type="http://schemas.openxmlformats.org/officeDocument/2006/relationships/hyperlink" Target="https://thumb.tapecontent.net/thumb/2WVraxpoBVsZ78x/M7OYR28Qadce9Y.jpg" TargetMode="External"/><Relationship Id="rId3363" Type="http://schemas.openxmlformats.org/officeDocument/2006/relationships/hyperlink" Target="https://lulustream.com/d/wg19778zviqt" TargetMode="External"/><Relationship Id="rId4207" Type="http://schemas.openxmlformats.org/officeDocument/2006/relationships/hyperlink" Target="https://doodstream.com/d/hcv7smc0p48y/" TargetMode="External"/><Relationship Id="rId4414" Type="http://schemas.openxmlformats.org/officeDocument/2006/relationships/hyperlink" Target="https://doodstream.com/d/qbb6d88sueg4/" TargetMode="External"/><Relationship Id="rId284" Type="http://schemas.openxmlformats.org/officeDocument/2006/relationships/hyperlink" Target="https://thumb.tapecontent.net/thumb/6eare7rZXzT99Dv/P9VZ0b86lzU0VyW.jpg" TargetMode="External"/><Relationship Id="rId491" Type="http://schemas.openxmlformats.org/officeDocument/2006/relationships/hyperlink" Target="https://thumb.tapecontent.net/thumb/dRZZd09Awxckk2g/7PKO3vRmyrsRwg.jpg" TargetMode="External"/><Relationship Id="rId2172" Type="http://schemas.openxmlformats.org/officeDocument/2006/relationships/hyperlink" Target="https://lulustream.com/e/9og8qy39ecwt" TargetMode="External"/><Relationship Id="rId3016" Type="http://schemas.openxmlformats.org/officeDocument/2006/relationships/hyperlink" Target="https://thumb.tapecontent.net/thumb/8VB8GLvDgmCoVRy/74o3yXqa0lTM7y.jpg" TargetMode="External"/><Relationship Id="rId3223" Type="http://schemas.openxmlformats.org/officeDocument/2006/relationships/hyperlink" Target="https://doodstream.com/d/4ofzry9hcbpl/" TargetMode="External"/><Relationship Id="rId3570" Type="http://schemas.openxmlformats.org/officeDocument/2006/relationships/hyperlink" Target="https://lulustream.com/e/jsuhh6p03efa" TargetMode="External"/><Relationship Id="rId4621" Type="http://schemas.openxmlformats.org/officeDocument/2006/relationships/hyperlink" Target="https://lulustream.com/e/1rlemxm0wf0c" TargetMode="External"/><Relationship Id="rId144" Type="http://schemas.openxmlformats.org/officeDocument/2006/relationships/hyperlink" Target="https://thumb.tapecontent.net/thumb/Q1Ya4ORQovh0bZG/kwxRQzazZrs89j.jpg" TargetMode="External"/><Relationship Id="rId3430" Type="http://schemas.openxmlformats.org/officeDocument/2006/relationships/hyperlink" Target="https://thumb.tapecontent.net/thumb/rbdog2Lagls3DO/a0zPV36vyJUxBGo.jpg" TargetMode="External"/><Relationship Id="rId351" Type="http://schemas.openxmlformats.org/officeDocument/2006/relationships/hyperlink" Target="https://luluvdoo.com/d/j6tacbhfvd9c" TargetMode="External"/><Relationship Id="rId2032" Type="http://schemas.openxmlformats.org/officeDocument/2006/relationships/hyperlink" Target="https://thumb.tapecontent.net/thumb/aYe84mqjLetx7ZJ/vxxwxWGjeJT2Pk.jpg" TargetMode="External"/><Relationship Id="rId2989" Type="http://schemas.openxmlformats.org/officeDocument/2006/relationships/hyperlink" Target="https://thumb.tapecontent.net/thumb/YGJWxemXwQtvyeX/dropzQg62zF1dm.jpg" TargetMode="External"/><Relationship Id="rId211" Type="http://schemas.openxmlformats.org/officeDocument/2006/relationships/hyperlink" Target="https://thumb.tapecontent.net/thumb/zp1zq3X0LdFYBVP/Bq06pOZqxQH2Vp.jpg" TargetMode="External"/><Relationship Id="rId1798" Type="http://schemas.openxmlformats.org/officeDocument/2006/relationships/hyperlink" Target="https://doodstream.com/d/gvb2ohlx34jc/" TargetMode="External"/><Relationship Id="rId2849" Type="http://schemas.openxmlformats.org/officeDocument/2006/relationships/hyperlink" Target="https://thumb.tapecontent.net/thumb/m3xJp3AjBvCb1QX/O1Y7OVJegGTZpOb.jpg" TargetMode="External"/><Relationship Id="rId1658" Type="http://schemas.openxmlformats.org/officeDocument/2006/relationships/hyperlink" Target="https://doodstream.com/d/2oeetb7483tk/" TargetMode="External"/><Relationship Id="rId1865" Type="http://schemas.openxmlformats.org/officeDocument/2006/relationships/hyperlink" Target="https://lulustream.com/e/ga7i7rqrmdbz" TargetMode="External"/><Relationship Id="rId2709" Type="http://schemas.openxmlformats.org/officeDocument/2006/relationships/hyperlink" Target="https://doodstream.com/d/80lxo8o7dxph/" TargetMode="External"/><Relationship Id="rId4064" Type="http://schemas.openxmlformats.org/officeDocument/2006/relationships/hyperlink" Target="https://thumb.tapecontent.net/thumb/LVB3Xodq86F6PP/LpM1JqzGmdu7e9.jpg" TargetMode="External"/><Relationship Id="rId4271" Type="http://schemas.openxmlformats.org/officeDocument/2006/relationships/hyperlink" Target="https://thumb.tapecontent.net/thumb/4X1db94JjOiKM64/2rko7moKOvuZyGw.jpg" TargetMode="External"/><Relationship Id="rId1518" Type="http://schemas.openxmlformats.org/officeDocument/2006/relationships/hyperlink" Target="https://doodstream.com/d/6ve7ikkq8yar/" TargetMode="External"/><Relationship Id="rId2916" Type="http://schemas.openxmlformats.org/officeDocument/2006/relationships/hyperlink" Target="https://doodstream.com/d/ckb4cvgbsx2o/" TargetMode="External"/><Relationship Id="rId3080" Type="http://schemas.openxmlformats.org/officeDocument/2006/relationships/hyperlink" Target="https://thumb.tapecontent.net/thumb/BqAZ87j6y9cQOw/3VDgMQpVB8hdmvX.jpg" TargetMode="External"/><Relationship Id="rId4131" Type="http://schemas.openxmlformats.org/officeDocument/2006/relationships/hyperlink" Target="https://lulustream.com/e/pxnadt6w14ei" TargetMode="External"/><Relationship Id="rId1725" Type="http://schemas.openxmlformats.org/officeDocument/2006/relationships/hyperlink" Target="https://luluvdoo.com/d/4l9gguke30ty" TargetMode="External"/><Relationship Id="rId1932" Type="http://schemas.openxmlformats.org/officeDocument/2006/relationships/hyperlink" Target="https://thumb.tapecontent.net/thumb/7X1vMRYempUApqA/0ADBeVXOvjFbyml.jpg" TargetMode="External"/><Relationship Id="rId17" Type="http://schemas.openxmlformats.org/officeDocument/2006/relationships/hyperlink" Target="https://thumb.tapecontent.net/thumb/ykK684mJqei1Akw/7KVQkKK7d7UAq09.jpg" TargetMode="External"/><Relationship Id="rId3897" Type="http://schemas.openxmlformats.org/officeDocument/2006/relationships/hyperlink" Target="https://thumb.tapecontent.net/thumb/p23DeOgDkZtx7L/3O6ev440dlFdJKL.jpg" TargetMode="External"/><Relationship Id="rId2499" Type="http://schemas.openxmlformats.org/officeDocument/2006/relationships/hyperlink" Target="https://thumb.tapecontent.net/thumb/3kP148P1KDcaVW/pLGoQ18d79urQg3.jpg" TargetMode="External"/><Relationship Id="rId3757" Type="http://schemas.openxmlformats.org/officeDocument/2006/relationships/hyperlink" Target="https://thumb.tapecontent.net/thumb/wVMKvXdyxYHx2D/APdvQLOeOrcmkK.jpg" TargetMode="External"/><Relationship Id="rId3964" Type="http://schemas.openxmlformats.org/officeDocument/2006/relationships/hyperlink" Target="https://thumb.tapecontent.net/thumb/ybqeBe2x1Mh1Dpv/YBygm9YrlzsvVd2.jpg" TargetMode="External"/><Relationship Id="rId1" Type="http://schemas.openxmlformats.org/officeDocument/2006/relationships/hyperlink" Target="https://lulustream.com/d/tkl7lny2e6ta" TargetMode="External"/><Relationship Id="rId678" Type="http://schemas.openxmlformats.org/officeDocument/2006/relationships/hyperlink" Target="https://thumb.tapecontent.net/thumb/ReY73BllObtdd0V/w6ydBdmb6RuJrB6.jpg" TargetMode="External"/><Relationship Id="rId885" Type="http://schemas.openxmlformats.org/officeDocument/2006/relationships/hyperlink" Target="https://thumb.tapecontent.net/thumb/lPkXm4VJVyC7PvW/Wo8eBvYBvxSbV1M.jpg" TargetMode="External"/><Relationship Id="rId2359" Type="http://schemas.openxmlformats.org/officeDocument/2006/relationships/hyperlink" Target="https://thumb.tapecontent.net/thumb/1PbpJRPlmzfePBd/2aWB4zreQ1HZ3d4.jpg" TargetMode="External"/><Relationship Id="rId2566" Type="http://schemas.openxmlformats.org/officeDocument/2006/relationships/hyperlink" Target="https://thumb.tapecontent.net/thumb/7bomMZd8ayuAK4K/2kG40AdpXlfZMA7.jpg" TargetMode="External"/><Relationship Id="rId2773" Type="http://schemas.openxmlformats.org/officeDocument/2006/relationships/hyperlink" Target="https://thumb.tapecontent.net/thumb/ggXjZBQvmmiqKPL/WGORx60PXOsbbjv.jpg" TargetMode="External"/><Relationship Id="rId2980" Type="http://schemas.openxmlformats.org/officeDocument/2006/relationships/hyperlink" Target="https://lulustream.com/e/rzwec9zqiaya" TargetMode="External"/><Relationship Id="rId3617" Type="http://schemas.openxmlformats.org/officeDocument/2006/relationships/hyperlink" Target="https://doodstream.com/d/q38vrg03rsqs/" TargetMode="External"/><Relationship Id="rId3824" Type="http://schemas.openxmlformats.org/officeDocument/2006/relationships/hyperlink" Target="https://thumb.tapecontent.net/thumb/wrRXDbd11mcl0r/A40eo4awoksZmw.jpg" TargetMode="External"/><Relationship Id="rId538" Type="http://schemas.openxmlformats.org/officeDocument/2006/relationships/hyperlink" Target="https://luluvdoo.com/d/j44glzrt1fyc" TargetMode="External"/><Relationship Id="rId745" Type="http://schemas.openxmlformats.org/officeDocument/2006/relationships/hyperlink" Target="https://doodstream.com/d/0ezlfpi0hhch/" TargetMode="External"/><Relationship Id="rId952" Type="http://schemas.openxmlformats.org/officeDocument/2006/relationships/hyperlink" Target="https://lulustream.com/e/86b02914h0sl" TargetMode="External"/><Relationship Id="rId1168" Type="http://schemas.openxmlformats.org/officeDocument/2006/relationships/hyperlink" Target="https://lulustream.com/d/fukg5kuqabll" TargetMode="External"/><Relationship Id="rId1375" Type="http://schemas.openxmlformats.org/officeDocument/2006/relationships/hyperlink" Target="https://thumb.tapecontent.net/thumb/kk6eja2oLpuO4AQ/90aWeWkVJ3SaGjP.jpg" TargetMode="External"/><Relationship Id="rId1582" Type="http://schemas.openxmlformats.org/officeDocument/2006/relationships/hyperlink" Target="https://thumb.tapecontent.net/thumb/dZ1b9o8P2mtkXGk/vgZpgPO9ylh4Z0K.jpg" TargetMode="External"/><Relationship Id="rId2219" Type="http://schemas.openxmlformats.org/officeDocument/2006/relationships/hyperlink" Target="https://doodstream.com/d/vwlueisdok43/" TargetMode="External"/><Relationship Id="rId2426" Type="http://schemas.openxmlformats.org/officeDocument/2006/relationships/hyperlink" Target="https://doodstream.com/d/1awuhyzax9ki/" TargetMode="External"/><Relationship Id="rId2633" Type="http://schemas.openxmlformats.org/officeDocument/2006/relationships/hyperlink" Target="https://thumb.tapecontent.net/thumb/BzXePbOLyBUyxba/doQYK2wO17Ckyal.jpg" TargetMode="External"/><Relationship Id="rId81" Type="http://schemas.openxmlformats.org/officeDocument/2006/relationships/hyperlink" Target="https://lulustream.com/d/eez691u865ep" TargetMode="External"/><Relationship Id="rId605" Type="http://schemas.openxmlformats.org/officeDocument/2006/relationships/hyperlink" Target="https://lulustream.com/d/gilkoxam6ssq" TargetMode="External"/><Relationship Id="rId812" Type="http://schemas.openxmlformats.org/officeDocument/2006/relationships/hyperlink" Target="https://thumb.tapecontent.net/thumb/79eMpL9g44SADlr/eKYw2raLJMuZ64.jpg" TargetMode="External"/><Relationship Id="rId1028" Type="http://schemas.openxmlformats.org/officeDocument/2006/relationships/hyperlink" Target="https://luluvdoo.com/d/npgiso9cypv2" TargetMode="External"/><Relationship Id="rId1235" Type="http://schemas.openxmlformats.org/officeDocument/2006/relationships/hyperlink" Target="https://thumb.tapecontent.net/thumb/0DJV46gexeT6Vv/oQbw6LjVYYFJ00b.jpg" TargetMode="External"/><Relationship Id="rId1442" Type="http://schemas.openxmlformats.org/officeDocument/2006/relationships/hyperlink" Target="https://thumb.tapecontent.net/thumb/O40BWGArxyUgq1/0p6P1YaoKbubwok.jpg" TargetMode="External"/><Relationship Id="rId2840" Type="http://schemas.openxmlformats.org/officeDocument/2006/relationships/hyperlink" Target="https://thumb.tapecontent.net/thumb/mej7L1L0LOSb3P2/lP4DXjvOMlc7PMP.jpg" TargetMode="External"/><Relationship Id="rId4598" Type="http://schemas.openxmlformats.org/officeDocument/2006/relationships/hyperlink" Target="https://lulustream.com/d/n1ljoac1pkan" TargetMode="External"/><Relationship Id="rId1302" Type="http://schemas.openxmlformats.org/officeDocument/2006/relationships/hyperlink" Target="https://doodstream.com/d/brfvlq3a849f/" TargetMode="External"/><Relationship Id="rId2700" Type="http://schemas.openxmlformats.org/officeDocument/2006/relationships/hyperlink" Target="https://doodstream.com/d/kta6y0tag77h/" TargetMode="External"/><Relationship Id="rId4458" Type="http://schemas.openxmlformats.org/officeDocument/2006/relationships/hyperlink" Target="https://thumb.tapecontent.net/thumb/Q3q8eQKyAqTGyg/rDyoLv6KvyFb7vv.jpg" TargetMode="External"/><Relationship Id="rId3267" Type="http://schemas.openxmlformats.org/officeDocument/2006/relationships/hyperlink" Target="https://lulustream.com/e/wyia0qd951er" TargetMode="External"/><Relationship Id="rId4665" Type="http://schemas.openxmlformats.org/officeDocument/2006/relationships/hyperlink" Target="https://thumb.tapecontent.net/thumb/QbVOvAx3YLF0lDm/vWWqAKdY96Ca0o.jpg" TargetMode="External"/><Relationship Id="rId188" Type="http://schemas.openxmlformats.org/officeDocument/2006/relationships/hyperlink" Target="https://thumb.tapecontent.net/thumb/qxlwO8epdWTzxvQ/V0bz1xYV8afK6e2.jpg" TargetMode="External"/><Relationship Id="rId395" Type="http://schemas.openxmlformats.org/officeDocument/2006/relationships/hyperlink" Target="https://luluvdoo.com/d/ngjiykqzc9ao" TargetMode="External"/><Relationship Id="rId2076" Type="http://schemas.openxmlformats.org/officeDocument/2006/relationships/hyperlink" Target="https://thumb.tapecontent.net/thumb/wO2yOmBLg2tJzgz/GKoowopm60h11e8.jpg" TargetMode="External"/><Relationship Id="rId3474" Type="http://schemas.openxmlformats.org/officeDocument/2006/relationships/hyperlink" Target="https://doodstream.com/d/fv0ipy65exj4/" TargetMode="External"/><Relationship Id="rId3681" Type="http://schemas.openxmlformats.org/officeDocument/2006/relationships/hyperlink" Target="https://thumb.tapecontent.net/thumb/wgGZzMg47zUJO93/2qAvD80B6bsZdxw.jpg" TargetMode="External"/><Relationship Id="rId4318" Type="http://schemas.openxmlformats.org/officeDocument/2006/relationships/hyperlink" Target="https://thumb.tapecontent.net/thumb/pxwLVWDzx1tr87L/x38aPrlwmDTkAjg.jpg" TargetMode="External"/><Relationship Id="rId4525" Type="http://schemas.openxmlformats.org/officeDocument/2006/relationships/hyperlink" Target="https://luluvdoo.com/d/u8mv89alsqlq" TargetMode="External"/><Relationship Id="rId4732" Type="http://schemas.openxmlformats.org/officeDocument/2006/relationships/hyperlink" Target="https://lulustream.com/d/qyhbx3lvreab" TargetMode="External"/><Relationship Id="rId2283" Type="http://schemas.openxmlformats.org/officeDocument/2006/relationships/hyperlink" Target="https://thumb.tapecontent.net/thumb/8XBq7rl4lBFXPp/Pr4LDAAYxlS0QKq.jpg" TargetMode="External"/><Relationship Id="rId2490" Type="http://schemas.openxmlformats.org/officeDocument/2006/relationships/hyperlink" Target="https://lulustream.com/e/hunloop0w2au" TargetMode="External"/><Relationship Id="rId3127" Type="http://schemas.openxmlformats.org/officeDocument/2006/relationships/hyperlink" Target="https://luluvdoo.com/d/fth8zrannchz" TargetMode="External"/><Relationship Id="rId3334" Type="http://schemas.openxmlformats.org/officeDocument/2006/relationships/hyperlink" Target="https://thumb.tapecontent.net/thumb/oG7zdd4pDbiJwoA/Mkzv4VY7KJcmkZz.jpg" TargetMode="External"/><Relationship Id="rId3541" Type="http://schemas.openxmlformats.org/officeDocument/2006/relationships/hyperlink" Target="https://lulustream.com/e/k9t1maetjr3p" TargetMode="External"/><Relationship Id="rId255" Type="http://schemas.openxmlformats.org/officeDocument/2006/relationships/hyperlink" Target="https://doodstream.com/d/hv64hzj45lu5/" TargetMode="External"/><Relationship Id="rId462" Type="http://schemas.openxmlformats.org/officeDocument/2006/relationships/hyperlink" Target="https://thumb.tapecontent.net/thumb/Zy9GdeMR0GiqLGB/oDpZQGzDKptboP.jpg" TargetMode="External"/><Relationship Id="rId1092" Type="http://schemas.openxmlformats.org/officeDocument/2006/relationships/hyperlink" Target="https://thumb.tapecontent.net/thumb/mQL01ara8zFbK48/XJLyQgJVDKUWV3.jpg" TargetMode="External"/><Relationship Id="rId2143" Type="http://schemas.openxmlformats.org/officeDocument/2006/relationships/hyperlink" Target="https://lulustream.com/e/mlsqeawc6vqp" TargetMode="External"/><Relationship Id="rId2350" Type="http://schemas.openxmlformats.org/officeDocument/2006/relationships/hyperlink" Target="https://lulustream.com/e/2z5xemnlug82" TargetMode="External"/><Relationship Id="rId3401" Type="http://schemas.openxmlformats.org/officeDocument/2006/relationships/hyperlink" Target="https://lulustream.com/e/gfn2xt6umfqm" TargetMode="External"/><Relationship Id="rId115" Type="http://schemas.openxmlformats.org/officeDocument/2006/relationships/hyperlink" Target="https://doodstream.com/d/5agd24f6vzee/" TargetMode="External"/><Relationship Id="rId322" Type="http://schemas.openxmlformats.org/officeDocument/2006/relationships/hyperlink" Target="https://luluvdoo.com/d/lj0ojevkoz9p" TargetMode="External"/><Relationship Id="rId2003" Type="http://schemas.openxmlformats.org/officeDocument/2006/relationships/hyperlink" Target="https://doodstream.com/d/gmve0y9pklp8/" TargetMode="External"/><Relationship Id="rId2210" Type="http://schemas.openxmlformats.org/officeDocument/2006/relationships/hyperlink" Target="https://doodstream.com/d/3uflyqxtqsx0/" TargetMode="External"/><Relationship Id="rId4175" Type="http://schemas.openxmlformats.org/officeDocument/2006/relationships/hyperlink" Target="https://thumb.tapecontent.net/thumb/xXLV1bLB2MhkWw8/qyoBXv2YpGFwyA.jpg" TargetMode="External"/><Relationship Id="rId4382" Type="http://schemas.openxmlformats.org/officeDocument/2006/relationships/hyperlink" Target="https://lulustream.com/e/bz8t2gfiifl2" TargetMode="External"/><Relationship Id="rId1769" Type="http://schemas.openxmlformats.org/officeDocument/2006/relationships/hyperlink" Target="https://luluvdoo.com/d/rx5ficjdoaql" TargetMode="External"/><Relationship Id="rId1976" Type="http://schemas.openxmlformats.org/officeDocument/2006/relationships/hyperlink" Target="https://lulustream.com/e/vufwbw3vpddq" TargetMode="External"/><Relationship Id="rId3191" Type="http://schemas.openxmlformats.org/officeDocument/2006/relationships/hyperlink" Target="https://lulustream.com/e/apmocpbjvo0v" TargetMode="External"/><Relationship Id="rId4035" Type="http://schemas.openxmlformats.org/officeDocument/2006/relationships/hyperlink" Target="https://thumb.tapecontent.net/thumb/oW0lj1mllQh98A/DWD0pomywyukgjw.jpg" TargetMode="External"/><Relationship Id="rId4242" Type="http://schemas.openxmlformats.org/officeDocument/2006/relationships/hyperlink" Target="https://thumb.tapecontent.net/thumb/P98mb7q7R0hgqR/waJBLD0KpJHGye.jpg" TargetMode="External"/><Relationship Id="rId1629" Type="http://schemas.openxmlformats.org/officeDocument/2006/relationships/hyperlink" Target="https://doodstream.com/d/a5ct2kadwa4e/" TargetMode="External"/><Relationship Id="rId1836" Type="http://schemas.openxmlformats.org/officeDocument/2006/relationships/hyperlink" Target="https://thumb.tapecontent.net/thumb/kkAQBLyVp9hOqm2/OX94gAowqefZ47p.jpg" TargetMode="External"/><Relationship Id="rId1903" Type="http://schemas.openxmlformats.org/officeDocument/2006/relationships/hyperlink" Target="https://doodstream.com/d/nwi1kuqzz7n2/" TargetMode="External"/><Relationship Id="rId3051" Type="http://schemas.openxmlformats.org/officeDocument/2006/relationships/hyperlink" Target="https://doodstream.com/d/ant9vosfkq0q/" TargetMode="External"/><Relationship Id="rId4102" Type="http://schemas.openxmlformats.org/officeDocument/2006/relationships/hyperlink" Target="https://thumb.tapecontent.net/thumb/Z17Z1Qw4D7Tq0mj/ZyBvP8bQ0ZCqDl3.jpg" TargetMode="External"/><Relationship Id="rId3868" Type="http://schemas.openxmlformats.org/officeDocument/2006/relationships/hyperlink" Target="https://lulustream.com/d/jw28cmjfallf" TargetMode="External"/><Relationship Id="rId789" Type="http://schemas.openxmlformats.org/officeDocument/2006/relationships/hyperlink" Target="https://lulustream.com/d/d77wz4ejc6mr" TargetMode="External"/><Relationship Id="rId996" Type="http://schemas.openxmlformats.org/officeDocument/2006/relationships/hyperlink" Target="https://luluvdoo.com/d/7facn1cbjcif" TargetMode="External"/><Relationship Id="rId2677" Type="http://schemas.openxmlformats.org/officeDocument/2006/relationships/hyperlink" Target="https://doodstream.com/d/tfnbhzzsv4ef/" TargetMode="External"/><Relationship Id="rId2884" Type="http://schemas.openxmlformats.org/officeDocument/2006/relationships/hyperlink" Target="https://thumb.tapecontent.net/thumb/LM6aaLYJ1YHRk1G/owYW8KwgpvSJ2g6.jpg" TargetMode="External"/><Relationship Id="rId3728" Type="http://schemas.openxmlformats.org/officeDocument/2006/relationships/hyperlink" Target="https://lulustream.com/e/cqg2j7kwooea" TargetMode="External"/><Relationship Id="rId649" Type="http://schemas.openxmlformats.org/officeDocument/2006/relationships/hyperlink" Target="https://lulustream.com/d/kj2zug8n2rma" TargetMode="External"/><Relationship Id="rId856" Type="http://schemas.openxmlformats.org/officeDocument/2006/relationships/hyperlink" Target="https://thumb.tapecontent.net/thumb/xOYy3kQQwAUk3Mr/2D8x2djJmmCZyZx.jpg" TargetMode="External"/><Relationship Id="rId1279" Type="http://schemas.openxmlformats.org/officeDocument/2006/relationships/hyperlink" Target="https://doodstream.com/d/ii0pq75wcew5/" TargetMode="External"/><Relationship Id="rId1486" Type="http://schemas.openxmlformats.org/officeDocument/2006/relationships/hyperlink" Target="https://doodstream.com/d/lgxt273q0tk5/" TargetMode="External"/><Relationship Id="rId2537" Type="http://schemas.openxmlformats.org/officeDocument/2006/relationships/hyperlink" Target="https://thumb.tapecontent.net/thumb/X1yPWzDRMwSDY6B/p8RZpLXDlDUrgxR.jpg" TargetMode="External"/><Relationship Id="rId3935" Type="http://schemas.openxmlformats.org/officeDocument/2006/relationships/hyperlink" Target="https://lulustream.com/d/bmpemqcb1xs3" TargetMode="External"/><Relationship Id="rId509" Type="http://schemas.openxmlformats.org/officeDocument/2006/relationships/hyperlink" Target="https://thumb.tapecontent.net/thumb/PGxkvWGQZKUL2o/78ROwqjRv4CAaMq.jpg" TargetMode="External"/><Relationship Id="rId1139" Type="http://schemas.openxmlformats.org/officeDocument/2006/relationships/hyperlink" Target="https://doodstream.com/d/pijpw3q174ja/" TargetMode="External"/><Relationship Id="rId1346" Type="http://schemas.openxmlformats.org/officeDocument/2006/relationships/hyperlink" Target="https://thumb.tapecontent.net/thumb/wZ7e49y6M7hJX9A/ePwdgB1MYLtYv1Z.jpg" TargetMode="External"/><Relationship Id="rId1693" Type="http://schemas.openxmlformats.org/officeDocument/2006/relationships/hyperlink" Target="https://doodstream.com/d/3d6t1mrxkzv4/" TargetMode="External"/><Relationship Id="rId2744" Type="http://schemas.openxmlformats.org/officeDocument/2006/relationships/hyperlink" Target="https://lulustream.com/d/scq8bf4u40w9" TargetMode="External"/><Relationship Id="rId2951" Type="http://schemas.openxmlformats.org/officeDocument/2006/relationships/hyperlink" Target="https://lulustream.com/d/483u7xxscrp2" TargetMode="External"/><Relationship Id="rId716" Type="http://schemas.openxmlformats.org/officeDocument/2006/relationships/hyperlink" Target="https://thumb.tapecontent.net/thumb/OYrWgJkvV8sZRRg/qZpPd1Be8LfzQX7.jpg" TargetMode="External"/><Relationship Id="rId923" Type="http://schemas.openxmlformats.org/officeDocument/2006/relationships/hyperlink" Target="https://lulustream.com/e/lrt9qk1fg4rp" TargetMode="External"/><Relationship Id="rId1553" Type="http://schemas.openxmlformats.org/officeDocument/2006/relationships/hyperlink" Target="https://doodstream.com/d/d9g1c42s4sob/" TargetMode="External"/><Relationship Id="rId1760" Type="http://schemas.openxmlformats.org/officeDocument/2006/relationships/hyperlink" Target="https://luluvdoo.com/d/120uazjuxwvx" TargetMode="External"/><Relationship Id="rId2604" Type="http://schemas.openxmlformats.org/officeDocument/2006/relationships/hyperlink" Target="https://doodstream.com/d/5zwshia2jb7y/" TargetMode="External"/><Relationship Id="rId2811" Type="http://schemas.openxmlformats.org/officeDocument/2006/relationships/hyperlink" Target="https://doodstream.com/d/6naftc8hc9om/" TargetMode="External"/><Relationship Id="rId52" Type="http://schemas.openxmlformats.org/officeDocument/2006/relationships/hyperlink" Target="https://lulustream.com/e/k1yvixzldcw8" TargetMode="External"/><Relationship Id="rId1206" Type="http://schemas.openxmlformats.org/officeDocument/2006/relationships/hyperlink" Target="https://thumb.tapecontent.net/thumb/z6W2eZdQjXcY3jB/W89JyOWyyZUbKPM.jpg" TargetMode="External"/><Relationship Id="rId1413" Type="http://schemas.openxmlformats.org/officeDocument/2006/relationships/hyperlink" Target="https://doodstream.com/d/9liqpnkkxpsv/" TargetMode="External"/><Relationship Id="rId1620" Type="http://schemas.openxmlformats.org/officeDocument/2006/relationships/hyperlink" Target="https://thumb.tapecontent.net/thumb/06mAjqZOGBsb72b/meD3dD43YeC2dD.jpg" TargetMode="External"/><Relationship Id="rId4569" Type="http://schemas.openxmlformats.org/officeDocument/2006/relationships/hyperlink" Target="https://lulustream.com/d/9dcm0ixvncrf" TargetMode="External"/><Relationship Id="rId4776" Type="http://schemas.openxmlformats.org/officeDocument/2006/relationships/hyperlink" Target="https://bunkr.pk/f/PhMNK9EAdAjal" TargetMode="External"/><Relationship Id="rId3378" Type="http://schemas.openxmlformats.org/officeDocument/2006/relationships/hyperlink" Target="https://thumb.tapecontent.net/thumb/X19B7lgoVqSD9q1/P71qLZAelpsLz0.jpg" TargetMode="External"/><Relationship Id="rId3585" Type="http://schemas.openxmlformats.org/officeDocument/2006/relationships/hyperlink" Target="https://thumb.tapecontent.net/thumb/QdzaJkXYxZUGyG/yPwOzObjDRi19vY.jpg" TargetMode="External"/><Relationship Id="rId3792" Type="http://schemas.openxmlformats.org/officeDocument/2006/relationships/hyperlink" Target="https://luluvdoo.com/d/tf7wvhcuvuvl" TargetMode="External"/><Relationship Id="rId4429" Type="http://schemas.openxmlformats.org/officeDocument/2006/relationships/hyperlink" Target="https://doodstream.com/d/s4q3uud9ax97/" TargetMode="External"/><Relationship Id="rId4636" Type="http://schemas.openxmlformats.org/officeDocument/2006/relationships/hyperlink" Target="https://thumb.tapecontent.net/thumb/GpdVX1v2YVudk9/QPvJm6LokJcR6K.jpg" TargetMode="External"/><Relationship Id="rId299" Type="http://schemas.openxmlformats.org/officeDocument/2006/relationships/hyperlink" Target="https://doodstream.com/d/m89qnnivkqlx/" TargetMode="External"/><Relationship Id="rId2187" Type="http://schemas.openxmlformats.org/officeDocument/2006/relationships/hyperlink" Target="https://thumb.tapecontent.net/thumb/rb0mmmBx1MibvPL/1p0mzRb1B4Uea60.jpg" TargetMode="External"/><Relationship Id="rId2394" Type="http://schemas.openxmlformats.org/officeDocument/2006/relationships/hyperlink" Target="https://thumb.tapecontent.net/thumb/OoYmVwb1z1uZVZm/qMMwdkq939sz3D0.jpg" TargetMode="External"/><Relationship Id="rId3238" Type="http://schemas.openxmlformats.org/officeDocument/2006/relationships/hyperlink" Target="https://thumb.tapecontent.net/thumb/GQyPQLpYz9t1Dmb/Qd8OQK4Xamsgwm.jpg" TargetMode="External"/><Relationship Id="rId3445" Type="http://schemas.openxmlformats.org/officeDocument/2006/relationships/hyperlink" Target="https://lulustream.com/d/w7cirrj4bxse" TargetMode="External"/><Relationship Id="rId3652" Type="http://schemas.openxmlformats.org/officeDocument/2006/relationships/hyperlink" Target="https://lulustream.com/d/n6iirja91lm7" TargetMode="External"/><Relationship Id="rId4703" Type="http://schemas.openxmlformats.org/officeDocument/2006/relationships/hyperlink" Target="https://thumb.tapecontent.net/thumb/evQWejwDpQcO9e/apkLLapJo7S29G.jpg" TargetMode="External"/><Relationship Id="rId159" Type="http://schemas.openxmlformats.org/officeDocument/2006/relationships/hyperlink" Target="https://thumb.tapecontent.net/thumb/Wyx17v6K2KTb4VL/xZmy7POYjYskb4W.jpg" TargetMode="External"/><Relationship Id="rId366" Type="http://schemas.openxmlformats.org/officeDocument/2006/relationships/hyperlink" Target="https://streamtape.com/v/JXb9X2gxrzujK8P/Angela_White_-_13039747_-_Onlyfans_-_Rissa_May.mp4" TargetMode="External"/><Relationship Id="rId573" Type="http://schemas.openxmlformats.org/officeDocument/2006/relationships/hyperlink" Target="https://thumb.tapecontent.net/thumb/QAJGVXx7xlI9zj/WwwG7jgkjwspj8.jpg" TargetMode="External"/><Relationship Id="rId780" Type="http://schemas.openxmlformats.org/officeDocument/2006/relationships/hyperlink" Target="https://lulustream.com/e/y3uuzi5bonky" TargetMode="External"/><Relationship Id="rId2047" Type="http://schemas.openxmlformats.org/officeDocument/2006/relationships/hyperlink" Target="https://doodstream.com/d/iajkm5k5sron/" TargetMode="External"/><Relationship Id="rId2254" Type="http://schemas.openxmlformats.org/officeDocument/2006/relationships/hyperlink" Target="https://thumb.tapecontent.net/thumb/6pQXRxdvz8ueBz/MPGrk77vd3t0bQ.jpg" TargetMode="External"/><Relationship Id="rId2461" Type="http://schemas.openxmlformats.org/officeDocument/2006/relationships/hyperlink" Target="https://thumb.tapecontent.net/thumb/O1PQmpmA31SZ4YO/xkmrgkde44i0GY.jpg" TargetMode="External"/><Relationship Id="rId3305" Type="http://schemas.openxmlformats.org/officeDocument/2006/relationships/hyperlink" Target="https://lulustream.com/d/l7672o0xitke" TargetMode="External"/><Relationship Id="rId3512" Type="http://schemas.openxmlformats.org/officeDocument/2006/relationships/hyperlink" Target="https://lulustream.com/e/zp0myjax8z9z" TargetMode="External"/><Relationship Id="rId226" Type="http://schemas.openxmlformats.org/officeDocument/2006/relationships/hyperlink" Target="https://lulustream.com/d/zy347qwvxzuj" TargetMode="External"/><Relationship Id="rId433" Type="http://schemas.openxmlformats.org/officeDocument/2006/relationships/hyperlink" Target="https://thumb.tapecontent.net/thumb/M9gYjLlvO8Cm7DY/6bA7W7d46Rf91d2.jpg" TargetMode="External"/><Relationship Id="rId1063" Type="http://schemas.openxmlformats.org/officeDocument/2006/relationships/hyperlink" Target="https://lulustream.com/e/ehw51jt3pusj" TargetMode="External"/><Relationship Id="rId1270" Type="http://schemas.openxmlformats.org/officeDocument/2006/relationships/hyperlink" Target="https://lulustream.com/d/cjvq5yqvutoq" TargetMode="External"/><Relationship Id="rId2114" Type="http://schemas.openxmlformats.org/officeDocument/2006/relationships/hyperlink" Target="https://luluvdoo.com/d/sj9rk6z2qa0z" TargetMode="External"/><Relationship Id="rId640" Type="http://schemas.openxmlformats.org/officeDocument/2006/relationships/hyperlink" Target="https://lulustream.com/e/4kgomd5k7dy3" TargetMode="External"/><Relationship Id="rId2321" Type="http://schemas.openxmlformats.org/officeDocument/2006/relationships/hyperlink" Target="https://thumb.tapecontent.net/thumb/OVby94P3Bwf6K1/dgoAkqawWKIkOX2.jpg" TargetMode="External"/><Relationship Id="rId4079" Type="http://schemas.openxmlformats.org/officeDocument/2006/relationships/hyperlink" Target="https://luluvdoo.com/d/iv18kzd64ubg" TargetMode="External"/><Relationship Id="rId4286" Type="http://schemas.openxmlformats.org/officeDocument/2006/relationships/hyperlink" Target="https://thumb.tapecontent.net/thumb/wV746XAKqbIJM9L/v2GLq61Ll1IJg7.jpg" TargetMode="External"/><Relationship Id="rId500" Type="http://schemas.openxmlformats.org/officeDocument/2006/relationships/hyperlink" Target="https://doodstream.com/d/r79d7h7gxhut/" TargetMode="External"/><Relationship Id="rId1130" Type="http://schemas.openxmlformats.org/officeDocument/2006/relationships/hyperlink" Target="https://thumb.tapecontent.net/thumb/Yw17K8XxMpcvDyV/bGKwwLPY24IPVb0.jpg" TargetMode="External"/><Relationship Id="rId4493" Type="http://schemas.openxmlformats.org/officeDocument/2006/relationships/hyperlink" Target="https://thumb.tapecontent.net/thumb/GbZW3WvmGgS1kk3/MJr7Y2emwxUm79k.jpg" TargetMode="External"/><Relationship Id="rId1947" Type="http://schemas.openxmlformats.org/officeDocument/2006/relationships/hyperlink" Target="https://lulustream.com/e/c091xn2x67my" TargetMode="External"/><Relationship Id="rId3095" Type="http://schemas.openxmlformats.org/officeDocument/2006/relationships/hyperlink" Target="https://lulustream.com/e/mvu7kixamvm3" TargetMode="External"/><Relationship Id="rId4146" Type="http://schemas.openxmlformats.org/officeDocument/2006/relationships/hyperlink" Target="https://lulustream.com/e/w6f1hy2li6j1" TargetMode="External"/><Relationship Id="rId4353" Type="http://schemas.openxmlformats.org/officeDocument/2006/relationships/hyperlink" Target="https://lulustream.com/e/vrerd26g5sj2" TargetMode="External"/><Relationship Id="rId4560" Type="http://schemas.openxmlformats.org/officeDocument/2006/relationships/hyperlink" Target="https://lulustream.com/d/xzq07zze1e8d" TargetMode="External"/><Relationship Id="rId1807" Type="http://schemas.openxmlformats.org/officeDocument/2006/relationships/hyperlink" Target="https://doodstream.com/d/a4nxolalc0dw/" TargetMode="External"/><Relationship Id="rId3162" Type="http://schemas.openxmlformats.org/officeDocument/2006/relationships/hyperlink" Target="https://thumb.tapecontent.net/thumb/JprGZYoRwkSj48w/wO9PM6D6LZIJ0LL.jpg" TargetMode="External"/><Relationship Id="rId4006" Type="http://schemas.openxmlformats.org/officeDocument/2006/relationships/hyperlink" Target="https://lulustream.com/e/3o3cr08gdym6" TargetMode="External"/><Relationship Id="rId4213" Type="http://schemas.openxmlformats.org/officeDocument/2006/relationships/hyperlink" Target="https://doodstream.com/d/sv1tmbi95cui/" TargetMode="External"/><Relationship Id="rId4420" Type="http://schemas.openxmlformats.org/officeDocument/2006/relationships/hyperlink" Target="https://doodstream.com/d/09fansd4qe2i/" TargetMode="External"/><Relationship Id="rId290" Type="http://schemas.openxmlformats.org/officeDocument/2006/relationships/hyperlink" Target="https://luluvdoo.com/d/7podgnvtfnnv" TargetMode="External"/><Relationship Id="rId3022" Type="http://schemas.openxmlformats.org/officeDocument/2006/relationships/hyperlink" Target="https://doodstream.com/d/dc56meb5hj9v/" TargetMode="External"/><Relationship Id="rId150" Type="http://schemas.openxmlformats.org/officeDocument/2006/relationships/hyperlink" Target="https://thumb.tapecontent.net/thumb/bGRz6J63VxTJep/w6jBalrXgbsJbGx.jpg" TargetMode="External"/><Relationship Id="rId3979" Type="http://schemas.openxmlformats.org/officeDocument/2006/relationships/hyperlink" Target="https://thumb.tapecontent.net/thumb/RDb9jAgRmjHdOLg/AowemjYWwVUXlbB.jpg" TargetMode="External"/><Relationship Id="rId2788" Type="http://schemas.openxmlformats.org/officeDocument/2006/relationships/hyperlink" Target="https://lulustream.com/e/2z3ke5absxnm" TargetMode="External"/><Relationship Id="rId2995" Type="http://schemas.openxmlformats.org/officeDocument/2006/relationships/hyperlink" Target="https://lulustream.com/d/wuwnbiibozwd" TargetMode="External"/><Relationship Id="rId3839" Type="http://schemas.openxmlformats.org/officeDocument/2006/relationships/hyperlink" Target="https://lulustream.com/d/c63lv0spy9n2" TargetMode="External"/><Relationship Id="rId967" Type="http://schemas.openxmlformats.org/officeDocument/2006/relationships/hyperlink" Target="https://thumb.tapecontent.net/thumb/Jwp8Z8BR2mcoR9/lrMqawJzZ4C7XK4.jpg" TargetMode="External"/><Relationship Id="rId1597" Type="http://schemas.openxmlformats.org/officeDocument/2006/relationships/hyperlink" Target="https://doodstream.com/d/1yndlhi76gln/" TargetMode="External"/><Relationship Id="rId2648" Type="http://schemas.openxmlformats.org/officeDocument/2006/relationships/hyperlink" Target="https://lulustream.com/d/ck6mo086wufy" TargetMode="External"/><Relationship Id="rId2855" Type="http://schemas.openxmlformats.org/officeDocument/2006/relationships/hyperlink" Target="https://doodstream.com/d/hyq6v5j1m5qi/" TargetMode="External"/><Relationship Id="rId3906" Type="http://schemas.openxmlformats.org/officeDocument/2006/relationships/hyperlink" Target="https://thumb.tapecontent.net/thumb/9od1gjjaOkIagvA/RQYAarxR0kuJ91.jpg" TargetMode="External"/><Relationship Id="rId96" Type="http://schemas.openxmlformats.org/officeDocument/2006/relationships/hyperlink" Target="https://lulustream.com/e/ga7di1cb78vv" TargetMode="External"/><Relationship Id="rId827" Type="http://schemas.openxmlformats.org/officeDocument/2006/relationships/hyperlink" Target="https://lulustream.com/d/kd8v5rqvbiso" TargetMode="External"/><Relationship Id="rId1457" Type="http://schemas.openxmlformats.org/officeDocument/2006/relationships/hyperlink" Target="https://thumb.tapecontent.net/thumb/JKvLldkAzjfjLJ0/vQl2MGzxy4F4ddV.jpg" TargetMode="External"/><Relationship Id="rId1664" Type="http://schemas.openxmlformats.org/officeDocument/2006/relationships/hyperlink" Target="https://doodstream.com/d/vdmno181dfgg/" TargetMode="External"/><Relationship Id="rId1871" Type="http://schemas.openxmlformats.org/officeDocument/2006/relationships/hyperlink" Target="https://lulustream.com/e/4gakqi6dhqyo" TargetMode="External"/><Relationship Id="rId2508" Type="http://schemas.openxmlformats.org/officeDocument/2006/relationships/hyperlink" Target="https://thumb.tapecontent.net/thumb/0zdG4JpBqRCb7L2/4ykYqg6YMGIKAy8.jpg" TargetMode="External"/><Relationship Id="rId2715" Type="http://schemas.openxmlformats.org/officeDocument/2006/relationships/hyperlink" Target="https://thumb.tapecontent.net/thumb/6Kj13P41qOS92vD/K4PVVRAgj2C0MYg.jpg" TargetMode="External"/><Relationship Id="rId2922" Type="http://schemas.openxmlformats.org/officeDocument/2006/relationships/hyperlink" Target="https://doodstream.com/d/nvj9x0qislwk/" TargetMode="External"/><Relationship Id="rId4070" Type="http://schemas.openxmlformats.org/officeDocument/2006/relationships/hyperlink" Target="https://luluvdoo.com/d/swi79jussqr8" TargetMode="External"/><Relationship Id="rId1317" Type="http://schemas.openxmlformats.org/officeDocument/2006/relationships/hyperlink" Target="https://lulustream.com/d/u182c2pfblhb" TargetMode="External"/><Relationship Id="rId1524" Type="http://schemas.openxmlformats.org/officeDocument/2006/relationships/hyperlink" Target="https://doodstream.com/d/niu0bwcnzlno/" TargetMode="External"/><Relationship Id="rId1731" Type="http://schemas.openxmlformats.org/officeDocument/2006/relationships/hyperlink" Target="https://luluvdoo.com/d/eysjxvkchypq" TargetMode="External"/><Relationship Id="rId23" Type="http://schemas.openxmlformats.org/officeDocument/2006/relationships/hyperlink" Target="https://doodstream.com/d/z5rv7rlp8qpb/" TargetMode="External"/><Relationship Id="rId3489" Type="http://schemas.openxmlformats.org/officeDocument/2006/relationships/hyperlink" Target="https://lulustream.com/d/nc2vq0mtz9dj" TargetMode="External"/><Relationship Id="rId3696" Type="http://schemas.openxmlformats.org/officeDocument/2006/relationships/hyperlink" Target="https://lulustream.com/d/2qlfdeuzewg9" TargetMode="External"/><Relationship Id="rId4747" Type="http://schemas.openxmlformats.org/officeDocument/2006/relationships/hyperlink" Target="https://bunkr.cr/a/rLjdhdGN" TargetMode="External"/><Relationship Id="rId2298" Type="http://schemas.openxmlformats.org/officeDocument/2006/relationships/hyperlink" Target="https://thumb.tapecontent.net/thumb/g1OWOkBO1jiq1zm/06J84qg3QLhbqbL.jpg" TargetMode="External"/><Relationship Id="rId3349" Type="http://schemas.openxmlformats.org/officeDocument/2006/relationships/hyperlink" Target="https://thumb.tapecontent.net/thumb/Q3JxGaAWl1C0zDd/VPqqR2w74McKdap.jpg" TargetMode="External"/><Relationship Id="rId3556" Type="http://schemas.openxmlformats.org/officeDocument/2006/relationships/hyperlink" Target="https://thumb.tapecontent.net/thumb/DPJGAmrjZBskgeQ/QaA0ZXYW06uR6R.jpg" TargetMode="External"/><Relationship Id="rId477" Type="http://schemas.openxmlformats.org/officeDocument/2006/relationships/hyperlink" Target="https://doodstream.com/d/96f86larrcbv/" TargetMode="External"/><Relationship Id="rId684" Type="http://schemas.openxmlformats.org/officeDocument/2006/relationships/hyperlink" Target="https://lulustream.com/e/v9327vflhs1p" TargetMode="External"/><Relationship Id="rId2158" Type="http://schemas.openxmlformats.org/officeDocument/2006/relationships/hyperlink" Target="https://thumb.tapecontent.net/thumb/xlDdy7x9bvHDoL/7pVAkzOpzmFAz1G.jpg" TargetMode="External"/><Relationship Id="rId2365" Type="http://schemas.openxmlformats.org/officeDocument/2006/relationships/hyperlink" Target="https://thumb.tapecontent.net/thumb/VGmz6MoQAXHK1e3/QK3VeJJGO6u0XJK.jpg" TargetMode="External"/><Relationship Id="rId3209" Type="http://schemas.openxmlformats.org/officeDocument/2006/relationships/hyperlink" Target="https://doodstream.com/d/7jkz05a17gpr/" TargetMode="External"/><Relationship Id="rId3763" Type="http://schemas.openxmlformats.org/officeDocument/2006/relationships/hyperlink" Target="https://thumb.tapecontent.net/thumb/xZO3B2yOJdskWxm/eqDo9LWD0RFZzX.jpg" TargetMode="External"/><Relationship Id="rId3970" Type="http://schemas.openxmlformats.org/officeDocument/2006/relationships/hyperlink" Target="https://lulustream.com/d/3yqfx4s2wpsg" TargetMode="External"/><Relationship Id="rId4607" Type="http://schemas.openxmlformats.org/officeDocument/2006/relationships/hyperlink" Target="https://thumb.tapecontent.net/thumb/79ZVL0QRYeTxWr/26Lkkxd3pKuZ7OA.jpg" TargetMode="External"/><Relationship Id="rId337" Type="http://schemas.openxmlformats.org/officeDocument/2006/relationships/hyperlink" Target="https://thumb.tapecontent.net/thumb/okQ8vYP4AzsJkLJ/xv2VVjl6L9tkA1B.jpg" TargetMode="External"/><Relationship Id="rId891" Type="http://schemas.openxmlformats.org/officeDocument/2006/relationships/hyperlink" Target="https://thumb.tapecontent.net/thumb/2zDewyJyaQHxr3/Q3OADOraBgI0b7R.jpg" TargetMode="External"/><Relationship Id="rId2018" Type="http://schemas.openxmlformats.org/officeDocument/2006/relationships/hyperlink" Target="https://doodstream.com/d/tcyti6ez89ra/" TargetMode="External"/><Relationship Id="rId2572" Type="http://schemas.openxmlformats.org/officeDocument/2006/relationships/hyperlink" Target="https://thumb.tapecontent.net/thumb/Qyb9prvvazI0YPm/dZjlpJM670CkrAq.jpg" TargetMode="External"/><Relationship Id="rId3416" Type="http://schemas.openxmlformats.org/officeDocument/2006/relationships/hyperlink" Target="https://thumb.tapecontent.net/thumb/VObKW1PDrdhz4O/px6rX9aDgpTlmY.jpg" TargetMode="External"/><Relationship Id="rId3623" Type="http://schemas.openxmlformats.org/officeDocument/2006/relationships/hyperlink" Target="https://doodstream.com/d/lz1obslajrdc/" TargetMode="External"/><Relationship Id="rId3830" Type="http://schemas.openxmlformats.org/officeDocument/2006/relationships/hyperlink" Target="https://lulustream.com/d/juglfkamanow" TargetMode="External"/><Relationship Id="rId544" Type="http://schemas.openxmlformats.org/officeDocument/2006/relationships/hyperlink" Target="https://thumb.tapecontent.net/thumb/lqk0ORL6y7IOGq/WeR9wRkX6Ri0ky.jpg" TargetMode="External"/><Relationship Id="rId751" Type="http://schemas.openxmlformats.org/officeDocument/2006/relationships/hyperlink" Target="https://thumb.tapecontent.net/thumb/R41JRAooABsdbdA/Xj8rwWwkj8hDagY.jpg" TargetMode="External"/><Relationship Id="rId1174" Type="http://schemas.openxmlformats.org/officeDocument/2006/relationships/hyperlink" Target="https://lulustream.com/e/bpfgllsm38r1" TargetMode="External"/><Relationship Id="rId1381" Type="http://schemas.openxmlformats.org/officeDocument/2006/relationships/hyperlink" Target="https://thumb.tapecontent.net/thumb/KewJ9PDwPYc0xex/kw3bbPvyBGiOqjV.jpg" TargetMode="External"/><Relationship Id="rId2225" Type="http://schemas.openxmlformats.org/officeDocument/2006/relationships/hyperlink" Target="https://doodstream.com/d/ns8vasixddvq/" TargetMode="External"/><Relationship Id="rId2432" Type="http://schemas.openxmlformats.org/officeDocument/2006/relationships/hyperlink" Target="https://lulustream.com/d/akzdpjnuw9am" TargetMode="External"/><Relationship Id="rId404" Type="http://schemas.openxmlformats.org/officeDocument/2006/relationships/hyperlink" Target="https://thumb.tapecontent.net/thumb/OJXDMagvKjTZJ6L/7Glyo6dl2DcYzP.jpg" TargetMode="External"/><Relationship Id="rId611" Type="http://schemas.openxmlformats.org/officeDocument/2006/relationships/hyperlink" Target="https://lulustream.com/e/4zp20m1cexaq" TargetMode="External"/><Relationship Id="rId1034" Type="http://schemas.openxmlformats.org/officeDocument/2006/relationships/hyperlink" Target="https://thumb.tapecontent.net/thumb/pj3LQa1q1rsre7o/KqKMmA9mxWUDQK.jpg" TargetMode="External"/><Relationship Id="rId1241" Type="http://schemas.openxmlformats.org/officeDocument/2006/relationships/hyperlink" Target="https://thumb.tapecontent.net/thumb/7k7d1eP3exFMqe/9odg38oGXASDRG.jpg" TargetMode="External"/><Relationship Id="rId4397" Type="http://schemas.openxmlformats.org/officeDocument/2006/relationships/hyperlink" Target="https://doodstream.com/d/c77xubz3h5gb/" TargetMode="External"/><Relationship Id="rId1101" Type="http://schemas.openxmlformats.org/officeDocument/2006/relationships/hyperlink" Target="https://thumb.tapecontent.net/thumb/2BMO8vba6duZloY/aoJ9woyp02uQPB.jpg" TargetMode="External"/><Relationship Id="rId4257" Type="http://schemas.openxmlformats.org/officeDocument/2006/relationships/hyperlink" Target="https://thumb.tapecontent.net/thumb/b3goaryzQ9uP8XA/L2kpvgzBdeHR1LV.jpg" TargetMode="External"/><Relationship Id="rId4464" Type="http://schemas.openxmlformats.org/officeDocument/2006/relationships/hyperlink" Target="https://doodstream.com/d/yr83m3ntr92o/" TargetMode="External"/><Relationship Id="rId4671" Type="http://schemas.openxmlformats.org/officeDocument/2006/relationships/hyperlink" Target="https://doodstream.com/d/2a6iwow6htaa/" TargetMode="External"/><Relationship Id="rId3066" Type="http://schemas.openxmlformats.org/officeDocument/2006/relationships/hyperlink" Target="https://doodstream.com/d/7ae2jekew11j/" TargetMode="External"/><Relationship Id="rId3273" Type="http://schemas.openxmlformats.org/officeDocument/2006/relationships/hyperlink" Target="https://lulustream.com/e/4xdso617whcg" TargetMode="External"/><Relationship Id="rId3480" Type="http://schemas.openxmlformats.org/officeDocument/2006/relationships/hyperlink" Target="https://thumb.tapecontent.net/thumb/4d28Zw9jk6cKlWd/lDZZWB9kyzF7gZJ.jpg" TargetMode="External"/><Relationship Id="rId4117" Type="http://schemas.openxmlformats.org/officeDocument/2006/relationships/hyperlink" Target="https://thumb.tapecontent.net/thumb/qak80pqb3dIz8gx/Zq1MjGkDo1iqDxM.jpg" TargetMode="External"/><Relationship Id="rId4324" Type="http://schemas.openxmlformats.org/officeDocument/2006/relationships/hyperlink" Target="https://doodstream.com/d/jn2pf4t4djfn/" TargetMode="External"/><Relationship Id="rId4531" Type="http://schemas.openxmlformats.org/officeDocument/2006/relationships/hyperlink" Target="https://luluvdoo.com/d/i5efxqtgz5q6" TargetMode="External"/><Relationship Id="rId194" Type="http://schemas.openxmlformats.org/officeDocument/2006/relationships/hyperlink" Target="https://doodstream.com/d/1fdvfytvt9ej/" TargetMode="External"/><Relationship Id="rId1918" Type="http://schemas.openxmlformats.org/officeDocument/2006/relationships/hyperlink" Target="https://lulustream.com/d/gpg006kjdkqc" TargetMode="External"/><Relationship Id="rId2082" Type="http://schemas.openxmlformats.org/officeDocument/2006/relationships/hyperlink" Target="https://thumb.tapecontent.net/thumb/vwQeepvqrQSa7j/9yP37kmO8LCarOZ.jpg" TargetMode="External"/><Relationship Id="rId3133" Type="http://schemas.openxmlformats.org/officeDocument/2006/relationships/hyperlink" Target="https://thumb.tapecontent.net/thumb/Y8BM11LjM2Uv9xk/1DA24q7694CeR4a.jpg" TargetMode="External"/><Relationship Id="rId261" Type="http://schemas.openxmlformats.org/officeDocument/2006/relationships/hyperlink" Target="https://lulustream.com/e/h5snltgj7qye" TargetMode="External"/><Relationship Id="rId3340" Type="http://schemas.openxmlformats.org/officeDocument/2006/relationships/hyperlink" Target="https://thumb.tapecontent.net/thumb/OxvYMV78JvHZ2be/zGlkw6MvJWuGZO.jpg" TargetMode="External"/><Relationship Id="rId2899" Type="http://schemas.openxmlformats.org/officeDocument/2006/relationships/hyperlink" Target="https://thumb.tapecontent.net/thumb/81j8jOGwjaFogal/P6wMbwJ7KyI0KxQ.jpg" TargetMode="External"/><Relationship Id="rId3200" Type="http://schemas.openxmlformats.org/officeDocument/2006/relationships/hyperlink" Target="https://thumb.tapecontent.net/thumb/ogdZRQ8kZetJJKZ/29VOr47Z2LHZl91.jpg" TargetMode="External"/><Relationship Id="rId121" Type="http://schemas.openxmlformats.org/officeDocument/2006/relationships/hyperlink" Target="https://doodstream.com/d/warnpb1kn0d3/" TargetMode="External"/><Relationship Id="rId2759" Type="http://schemas.openxmlformats.org/officeDocument/2006/relationships/hyperlink" Target="https://thumb.tapecontent.net/thumb/OdJWZqpoPauZQxp/Y80AdgpLKvfvkp8.jpg" TargetMode="External"/><Relationship Id="rId2966" Type="http://schemas.openxmlformats.org/officeDocument/2006/relationships/hyperlink" Target="https://thumb.tapecontent.net/thumb/Qd8PeDK0eAiR7d/zX7K3qOa6DiYDG7.jpg" TargetMode="External"/><Relationship Id="rId938" Type="http://schemas.openxmlformats.org/officeDocument/2006/relationships/hyperlink" Target="https://lulustream.com/e/8ye92awl979r" TargetMode="External"/><Relationship Id="rId1568" Type="http://schemas.openxmlformats.org/officeDocument/2006/relationships/hyperlink" Target="https://lulustream.com/e/3ruhtvm8gsrf" TargetMode="External"/><Relationship Id="rId1775" Type="http://schemas.openxmlformats.org/officeDocument/2006/relationships/hyperlink" Target="https://lulustream.com/d/1ocs75mkkntx" TargetMode="External"/><Relationship Id="rId2619" Type="http://schemas.openxmlformats.org/officeDocument/2006/relationships/hyperlink" Target="https://thumb.tapecontent.net/thumb/o9BapAr9KKiJLdd/Kz3PrOrRMqu0MAD.jpg" TargetMode="External"/><Relationship Id="rId2826" Type="http://schemas.openxmlformats.org/officeDocument/2006/relationships/hyperlink" Target="https://lulustream.com/e/t0cqkmdqekdc" TargetMode="External"/><Relationship Id="rId4181" Type="http://schemas.openxmlformats.org/officeDocument/2006/relationships/hyperlink" Target="https://lulustream.com/d/fprxku3rmnoc" TargetMode="External"/><Relationship Id="rId67" Type="http://schemas.openxmlformats.org/officeDocument/2006/relationships/hyperlink" Target="https://thumb.tapecontent.net/thumb/JX7xbVjV1ysZ6r/JAyAM87bZ0FjBGO.jpg" TargetMode="External"/><Relationship Id="rId1428" Type="http://schemas.openxmlformats.org/officeDocument/2006/relationships/hyperlink" Target="http://ripnsfw.com/" TargetMode="External"/><Relationship Id="rId1635" Type="http://schemas.openxmlformats.org/officeDocument/2006/relationships/hyperlink" Target="https://doodstream.com/d/hh5by62vaqs3/" TargetMode="External"/><Relationship Id="rId1982" Type="http://schemas.openxmlformats.org/officeDocument/2006/relationships/hyperlink" Target="https://lulustream.com/e/25fzhdzqdl4k" TargetMode="External"/><Relationship Id="rId4041" Type="http://schemas.openxmlformats.org/officeDocument/2006/relationships/hyperlink" Target="https://thumb.tapecontent.net/thumb/1pko6WkwaMIegyR/8qAyydADbxi24G.jpg" TargetMode="External"/><Relationship Id="rId1842" Type="http://schemas.openxmlformats.org/officeDocument/2006/relationships/hyperlink" Target="https://thumb.tapecontent.net/thumb/R6oaaz0QvDFdQJm/g0wA01BjVGsqod4.jpg" TargetMode="External"/><Relationship Id="rId1702" Type="http://schemas.openxmlformats.org/officeDocument/2006/relationships/hyperlink" Target="https://luluvdoo.com/d/xfzpzxtj16c3" TargetMode="External"/><Relationship Id="rId3667" Type="http://schemas.openxmlformats.org/officeDocument/2006/relationships/hyperlink" Target="https://thumb.tapecontent.net/thumb/1qYVk9XVDXheWGJ/YqGQAoy4zZHvyYy.jpg" TargetMode="External"/><Relationship Id="rId3874" Type="http://schemas.openxmlformats.org/officeDocument/2006/relationships/hyperlink" Target="https://lulustream.com/d/q414qqdmiuek" TargetMode="External"/><Relationship Id="rId4718" Type="http://schemas.openxmlformats.org/officeDocument/2006/relationships/hyperlink" Target="https://lulustream.com/d/clg9u6rpsojn" TargetMode="External"/><Relationship Id="rId588" Type="http://schemas.openxmlformats.org/officeDocument/2006/relationships/hyperlink" Target="https://thumb.tapecontent.net/thumb/vr4KGomy8RF2LX/2PZDM8DYdaSZkRV.jpg" TargetMode="External"/><Relationship Id="rId795" Type="http://schemas.openxmlformats.org/officeDocument/2006/relationships/hyperlink" Target="https://lulustream.com/e/qx919q1q4wu3" TargetMode="External"/><Relationship Id="rId2269" Type="http://schemas.openxmlformats.org/officeDocument/2006/relationships/hyperlink" Target="https://doodstream.com/d/ndhdght17u82/" TargetMode="External"/><Relationship Id="rId2476" Type="http://schemas.openxmlformats.org/officeDocument/2006/relationships/hyperlink" Target="https://doodstream.com/d/ikl3tejoou2d/" TargetMode="External"/><Relationship Id="rId2683" Type="http://schemas.openxmlformats.org/officeDocument/2006/relationships/hyperlink" Target="https://thumb.tapecontent.net/thumb/koo7y9ZbxDseq2/GjdVk1gqBPh1Kjb.jpg" TargetMode="External"/><Relationship Id="rId2890" Type="http://schemas.openxmlformats.org/officeDocument/2006/relationships/hyperlink" Target="https://thumb.tapecontent.net/thumb/LDQx07O2zXhRoaX/YPORkD3G7BcLQo.jpg" TargetMode="External"/><Relationship Id="rId3527" Type="http://schemas.openxmlformats.org/officeDocument/2006/relationships/hyperlink" Target="https://thumb.tapecontent.net/thumb/Z2M3Ll29A3HMLB/bkdOy1eaRkSPzBw.jpg" TargetMode="External"/><Relationship Id="rId3734" Type="http://schemas.openxmlformats.org/officeDocument/2006/relationships/hyperlink" Target="https://lulustream.com/e/p2jm1o2gxx9b" TargetMode="External"/><Relationship Id="rId3941" Type="http://schemas.openxmlformats.org/officeDocument/2006/relationships/hyperlink" Target="https://lulustream.com/d/2dk4ejqwfd12" TargetMode="External"/><Relationship Id="rId448" Type="http://schemas.openxmlformats.org/officeDocument/2006/relationships/hyperlink" Target="https://doodstream.com/d/l5ny14fticbv/" TargetMode="External"/><Relationship Id="rId655" Type="http://schemas.openxmlformats.org/officeDocument/2006/relationships/hyperlink" Target="https://thumb.tapecontent.net/thumb/zQPy9QdoXXCYRYV/ggGyylKpmpF31b.jpg" TargetMode="External"/><Relationship Id="rId862" Type="http://schemas.openxmlformats.org/officeDocument/2006/relationships/hyperlink" Target="https://doodstream.com/d/jmvkf96mlnj8/" TargetMode="External"/><Relationship Id="rId1078" Type="http://schemas.openxmlformats.org/officeDocument/2006/relationships/hyperlink" Target="https://lulustream.com/d/ofjl3rqxyzh2" TargetMode="External"/><Relationship Id="rId1285" Type="http://schemas.openxmlformats.org/officeDocument/2006/relationships/hyperlink" Target="https://lulustream.com/d/nz8zg27p7cuo" TargetMode="External"/><Relationship Id="rId1492" Type="http://schemas.openxmlformats.org/officeDocument/2006/relationships/hyperlink" Target="https://lulustream.com/e/wt0eheu44roa" TargetMode="External"/><Relationship Id="rId2129" Type="http://schemas.openxmlformats.org/officeDocument/2006/relationships/hyperlink" Target="https://lulustream.com/e/nv2k4o1tc98e" TargetMode="External"/><Relationship Id="rId2336" Type="http://schemas.openxmlformats.org/officeDocument/2006/relationships/hyperlink" Target="https://doodstream.com/d/x2jt5xo886i0/" TargetMode="External"/><Relationship Id="rId2543" Type="http://schemas.openxmlformats.org/officeDocument/2006/relationships/hyperlink" Target="https://thumb.tapecontent.net/thumb/lqDLl8dkwLs7pgl/G6YdVvxwrDuox3.jpg" TargetMode="External"/><Relationship Id="rId2750" Type="http://schemas.openxmlformats.org/officeDocument/2006/relationships/hyperlink" Target="https://thumb.tapecontent.net/thumb/glQv4em9odcYRo/0eeJMle21Ocb7Ax.jpg" TargetMode="External"/><Relationship Id="rId3801" Type="http://schemas.openxmlformats.org/officeDocument/2006/relationships/hyperlink" Target="https://thumb.tapecontent.net/thumb/Kqm6MOb8pbt0MwK/4RXl8J7WjxCKqMK.jpg" TargetMode="External"/><Relationship Id="rId308" Type="http://schemas.openxmlformats.org/officeDocument/2006/relationships/hyperlink" Target="https://thumb.tapecontent.net/thumb/JYze8Wev7vTjjym/Mj21Mej9J9SBz1.jpg" TargetMode="External"/><Relationship Id="rId515" Type="http://schemas.openxmlformats.org/officeDocument/2006/relationships/hyperlink" Target="https://streamtape.com/v/wkOMmVYz0pFJM07/Angela_White_-_86507480_-_ripnsfw.com.mp4" TargetMode="External"/><Relationship Id="rId722" Type="http://schemas.openxmlformats.org/officeDocument/2006/relationships/hyperlink" Target="https://lulustream.com/e/bt8395vsob57" TargetMode="External"/><Relationship Id="rId1145" Type="http://schemas.openxmlformats.org/officeDocument/2006/relationships/hyperlink" Target="https://lulustream.com/e/zfuybhap64cj" TargetMode="External"/><Relationship Id="rId1352" Type="http://schemas.openxmlformats.org/officeDocument/2006/relationships/hyperlink" Target="https://thumb.tapecontent.net/thumb/W16VJ46AxMIbVZq/3V7xK1j1dXHdqee.jpg" TargetMode="External"/><Relationship Id="rId2403" Type="http://schemas.openxmlformats.org/officeDocument/2006/relationships/hyperlink" Target="https://thumb.tapecontent.net/thumb/y2r9YkwQZQS1qqK/oGwrMaQXXDFJQWp.jpg" TargetMode="External"/><Relationship Id="rId1005" Type="http://schemas.openxmlformats.org/officeDocument/2006/relationships/hyperlink" Target="https://doodstream.com/d/n7s5k3nsvb8k/" TargetMode="External"/><Relationship Id="rId1212" Type="http://schemas.openxmlformats.org/officeDocument/2006/relationships/hyperlink" Target="https://doodstream.com/d/yo7tqr4o5d28/" TargetMode="External"/><Relationship Id="rId2610" Type="http://schemas.openxmlformats.org/officeDocument/2006/relationships/hyperlink" Target="https://doodstream.com/d/v1sst3ecnr9h/" TargetMode="External"/><Relationship Id="rId4368" Type="http://schemas.openxmlformats.org/officeDocument/2006/relationships/hyperlink" Target="https://thumb.tapecontent.net/thumb/pgr0A717J1Cr3z4/1D4dQ3bxy4CeYpM.jpg" TargetMode="External"/><Relationship Id="rId4575" Type="http://schemas.openxmlformats.org/officeDocument/2006/relationships/hyperlink" Target="https://lulustream.com/d/z5u2da94cj2h" TargetMode="External"/><Relationship Id="rId3177" Type="http://schemas.openxmlformats.org/officeDocument/2006/relationships/hyperlink" Target="https://doodstream.com/d/j0tb39dsb32p/" TargetMode="External"/><Relationship Id="rId4228" Type="http://schemas.openxmlformats.org/officeDocument/2006/relationships/hyperlink" Target="https://thumb.tapecontent.net/thumb/R6b4V7qqpgHJ6K/8XqwL7zYWMTl6w.jpg" TargetMode="External"/><Relationship Id="rId3037" Type="http://schemas.openxmlformats.org/officeDocument/2006/relationships/hyperlink" Target="https://luluvdoo.com/d/sqei02qk2th4" TargetMode="External"/><Relationship Id="rId3384" Type="http://schemas.openxmlformats.org/officeDocument/2006/relationships/hyperlink" Target="https://thumb.tapecontent.net/thumb/YLG4YbzDmKcv0VJ/wPM09omD3qIVVX.jpg" TargetMode="External"/><Relationship Id="rId3591" Type="http://schemas.openxmlformats.org/officeDocument/2006/relationships/hyperlink" Target="https://thumb.tapecontent.net/thumb/OAOkygy6pYckd3/ab0lZJOA1LhQzQ.jpg" TargetMode="External"/><Relationship Id="rId4435" Type="http://schemas.openxmlformats.org/officeDocument/2006/relationships/hyperlink" Target="https://lulustream.com/d/pbuuaqeftp9c" TargetMode="External"/><Relationship Id="rId4642" Type="http://schemas.openxmlformats.org/officeDocument/2006/relationships/hyperlink" Target="https://lulustream.com/d/rttcxjsxbti9" TargetMode="External"/><Relationship Id="rId2193" Type="http://schemas.openxmlformats.org/officeDocument/2006/relationships/hyperlink" Target="https://doodstream.com/d/r7cg0mo6xnu7/" TargetMode="External"/><Relationship Id="rId3244" Type="http://schemas.openxmlformats.org/officeDocument/2006/relationships/hyperlink" Target="https://doodstream.com/d/kq8e6z2013d7/" TargetMode="External"/><Relationship Id="rId3451" Type="http://schemas.openxmlformats.org/officeDocument/2006/relationships/hyperlink" Target="https://lulustream.com/e/ot0m3tqv8bft" TargetMode="External"/><Relationship Id="rId4502" Type="http://schemas.openxmlformats.org/officeDocument/2006/relationships/hyperlink" Target="https://thumb.tapecontent.net/thumb/VBBLy3Qop1tKryx/1Rvwlqop7pixOV.jpg" TargetMode="External"/><Relationship Id="rId165" Type="http://schemas.openxmlformats.org/officeDocument/2006/relationships/hyperlink" Target="https://thumb.tapecontent.net/thumb/kgjzDqgYQrIOVag/VODBKRLrjAu33r.jpg" TargetMode="External"/><Relationship Id="rId372" Type="http://schemas.openxmlformats.org/officeDocument/2006/relationships/hyperlink" Target="https://luluvdoo.com/d/vpvrldl9a8v5" TargetMode="External"/><Relationship Id="rId2053" Type="http://schemas.openxmlformats.org/officeDocument/2006/relationships/hyperlink" Target="https://doodstream.com/d/luxrgnea8m4u/" TargetMode="External"/><Relationship Id="rId2260" Type="http://schemas.openxmlformats.org/officeDocument/2006/relationships/hyperlink" Target="https://thumb.tapecontent.net/thumb/P3DV4bk6vdfx73/M7o6j2j9ORum3WL.jpg" TargetMode="External"/><Relationship Id="rId3104" Type="http://schemas.openxmlformats.org/officeDocument/2006/relationships/hyperlink" Target="https://thumb.tapecontent.net/thumb/a4WYPDYrWPIxL0v/mY8qBz1o4ltbw3k.jpg" TargetMode="External"/><Relationship Id="rId3311" Type="http://schemas.openxmlformats.org/officeDocument/2006/relationships/hyperlink" Target="https://lulustream.com/d/xly1d09lnn1e" TargetMode="External"/><Relationship Id="rId232" Type="http://schemas.openxmlformats.org/officeDocument/2006/relationships/hyperlink" Target="https://thumb.tapecontent.net/thumb/bw71qXOVXeiP9XL/Zz93rezryyUq1G8.jpg" TargetMode="External"/><Relationship Id="rId2120" Type="http://schemas.openxmlformats.org/officeDocument/2006/relationships/hyperlink" Target="https://thumb.tapecontent.net/thumb/7daVdxoBZ0FAZj8/ZKoJ6Oy6XPhqGrJ.jpg" TargetMode="External"/><Relationship Id="rId1679" Type="http://schemas.openxmlformats.org/officeDocument/2006/relationships/hyperlink" Target="https://luluvdoo.com/d/tioetldcv4no" TargetMode="External"/><Relationship Id="rId4085" Type="http://schemas.openxmlformats.org/officeDocument/2006/relationships/hyperlink" Target="https://luluvdoo.com/d/62y8ez7zbj9p" TargetMode="External"/><Relationship Id="rId4292" Type="http://schemas.openxmlformats.org/officeDocument/2006/relationships/hyperlink" Target="https://thumb.tapecontent.net/thumb/JpqLoeq94AFj3DZ/qJDkMBWMWaUa2o.jpg" TargetMode="External"/><Relationship Id="rId1886" Type="http://schemas.openxmlformats.org/officeDocument/2006/relationships/hyperlink" Target="https://lulustream.com/e/8rutq4geh9mw" TargetMode="External"/><Relationship Id="rId2937" Type="http://schemas.openxmlformats.org/officeDocument/2006/relationships/hyperlink" Target="https://thumb.tapecontent.net/thumb/3w1eWOKgDXUa4R/YKqwzGAzmPTBWZ.jpg" TargetMode="External"/><Relationship Id="rId4152" Type="http://schemas.openxmlformats.org/officeDocument/2006/relationships/hyperlink" Target="https://lulustream.com/e/lue0qe7ittpr" TargetMode="External"/><Relationship Id="rId909" Type="http://schemas.openxmlformats.org/officeDocument/2006/relationships/hyperlink" Target="https://thumb.tapecontent.net/thumb/g9arLe4YQAiqwZV/vwGevlaRg8s4682.jpg" TargetMode="External"/><Relationship Id="rId1539" Type="http://schemas.openxmlformats.org/officeDocument/2006/relationships/hyperlink" Target="https://lulustream.com/e/xb2lg79fghvu" TargetMode="External"/><Relationship Id="rId1746" Type="http://schemas.openxmlformats.org/officeDocument/2006/relationships/hyperlink" Target="https://doodstream.com/d/h1ahx730f5y9/" TargetMode="External"/><Relationship Id="rId1953" Type="http://schemas.openxmlformats.org/officeDocument/2006/relationships/hyperlink" Target="https://lulustream.com/e/pbpjf0xcolyu" TargetMode="External"/><Relationship Id="rId38" Type="http://schemas.openxmlformats.org/officeDocument/2006/relationships/hyperlink" Target="https://thumb.tapecontent.net/thumb/GbZdrYRVbYH17zq/eYj8LQrY3dIY4l3.jpg" TargetMode="External"/><Relationship Id="rId1606" Type="http://schemas.openxmlformats.org/officeDocument/2006/relationships/hyperlink" Target="https://doodstream.com/d/ztx7jwf40h0h/" TargetMode="External"/><Relationship Id="rId1813" Type="http://schemas.openxmlformats.org/officeDocument/2006/relationships/hyperlink" Target="https://doodstream.com/d/0fwqcehjj1hk/" TargetMode="External"/><Relationship Id="rId4012" Type="http://schemas.openxmlformats.org/officeDocument/2006/relationships/hyperlink" Target="https://lulustream.com/d/xr8v1edqgn9q" TargetMode="External"/><Relationship Id="rId3778" Type="http://schemas.openxmlformats.org/officeDocument/2006/relationships/hyperlink" Target="https://thumb.tapecontent.net/thumb/rBD8p1VMbrIbbOW/Al1pJwXJmqiXPmX.jpg" TargetMode="External"/><Relationship Id="rId3985" Type="http://schemas.openxmlformats.org/officeDocument/2006/relationships/hyperlink" Target="https://lulustream.com/d/m3w4gbtb2tyg" TargetMode="External"/><Relationship Id="rId699" Type="http://schemas.openxmlformats.org/officeDocument/2006/relationships/hyperlink" Target="https://thumb.tapecontent.net/thumb/MrxboDblMGHmPP7/jqaAYjl9PLfD9w.jpg" TargetMode="External"/><Relationship Id="rId2587" Type="http://schemas.openxmlformats.org/officeDocument/2006/relationships/hyperlink" Target="https://lulustream.com/e/3c5u3xkuj7ub" TargetMode="External"/><Relationship Id="rId2794" Type="http://schemas.openxmlformats.org/officeDocument/2006/relationships/hyperlink" Target="https://thumb.tapecontent.net/thumb/JKoxAV7kgocjW8b/8zkOoPJVexTopwB.jpg" TargetMode="External"/><Relationship Id="rId3638" Type="http://schemas.openxmlformats.org/officeDocument/2006/relationships/hyperlink" Target="https://lulustream.com/e/31qq7ne3dqc6" TargetMode="External"/><Relationship Id="rId3845" Type="http://schemas.openxmlformats.org/officeDocument/2006/relationships/hyperlink" Target="https://lulustream.com/e/v4lea7ocsbzz" TargetMode="External"/><Relationship Id="rId559" Type="http://schemas.openxmlformats.org/officeDocument/2006/relationships/hyperlink" Target="https://doodstream.com/d/zbp813y2y2gq/" TargetMode="External"/><Relationship Id="rId766" Type="http://schemas.openxmlformats.org/officeDocument/2006/relationships/hyperlink" Target="https://lulustream.com/e/zr6zdsiw5ogn" TargetMode="External"/><Relationship Id="rId1189" Type="http://schemas.openxmlformats.org/officeDocument/2006/relationships/hyperlink" Target="https://lulustream.com/e/vu2pexu7nvhs" TargetMode="External"/><Relationship Id="rId1396" Type="http://schemas.openxmlformats.org/officeDocument/2006/relationships/hyperlink" Target="https://thumb.tapecontent.net/thumb/Mk3QQdboGmHBQD/jPwe7OoJRWFDme.jpg" TargetMode="External"/><Relationship Id="rId2447" Type="http://schemas.openxmlformats.org/officeDocument/2006/relationships/hyperlink" Target="https://thumb.tapecontent.net/thumb/Aq9yrZRW2qsmm1/ZPYxrPOMAJUqWJ4.jpg" TargetMode="External"/><Relationship Id="rId419" Type="http://schemas.openxmlformats.org/officeDocument/2006/relationships/hyperlink" Target="https://thumb.tapecontent.net/thumb/jkKyO91GmjS2Q1/6wLOwGJyGOH9B0l.jpg" TargetMode="External"/><Relationship Id="rId626" Type="http://schemas.openxmlformats.org/officeDocument/2006/relationships/hyperlink" Target="https://thumb.tapecontent.net/thumb/JK2AVmqy8mfjjvd/opBmaWX9LXS3Vo.jpg" TargetMode="External"/><Relationship Id="rId973" Type="http://schemas.openxmlformats.org/officeDocument/2006/relationships/hyperlink" Target="https://thumb.tapecontent.net/thumb/pdMm3zobBRUr3aD/kKJ1BVQwk1IPvR.jpg" TargetMode="External"/><Relationship Id="rId1049" Type="http://schemas.openxmlformats.org/officeDocument/2006/relationships/hyperlink" Target="https://lulustream.com/d/ak0tglveosl9" TargetMode="External"/><Relationship Id="rId1256" Type="http://schemas.openxmlformats.org/officeDocument/2006/relationships/hyperlink" Target="https://lulustream.com/e/fldkmlw8kf24" TargetMode="External"/><Relationship Id="rId2307" Type="http://schemas.openxmlformats.org/officeDocument/2006/relationships/hyperlink" Target="https://thumb.tapecontent.net/thumb/3DD1pppzxdhdgzR/VWkm2B1Y3xTxp6.jpg" TargetMode="External"/><Relationship Id="rId2654" Type="http://schemas.openxmlformats.org/officeDocument/2006/relationships/hyperlink" Target="https://lulustream.com/e/zm8w89xzu9ft" TargetMode="External"/><Relationship Id="rId2861" Type="http://schemas.openxmlformats.org/officeDocument/2006/relationships/hyperlink" Target="https://lulustream.com/d/84ezwewmseme" TargetMode="External"/><Relationship Id="rId3705" Type="http://schemas.openxmlformats.org/officeDocument/2006/relationships/hyperlink" Target="https://lulustream.com/e/kfadtjrl8xyy" TargetMode="External"/><Relationship Id="rId3912" Type="http://schemas.openxmlformats.org/officeDocument/2006/relationships/hyperlink" Target="https://thumb.tapecontent.net/thumb/VWq8QAaGAbtxmv/m6ABjargkaibWzg.jpg" TargetMode="External"/><Relationship Id="rId833" Type="http://schemas.openxmlformats.org/officeDocument/2006/relationships/hyperlink" Target="https://thumb.tapecontent.net/thumb/a0OZBB1483hzzg/qad2Kdzy2pizdrV.jpg" TargetMode="External"/><Relationship Id="rId1116" Type="http://schemas.openxmlformats.org/officeDocument/2006/relationships/hyperlink" Target="https://doodstream.com/d/3j2vigss2usf/" TargetMode="External"/><Relationship Id="rId1463" Type="http://schemas.openxmlformats.org/officeDocument/2006/relationships/hyperlink" Target="https://doodstream.com/d/vukauu2qlxs2/" TargetMode="External"/><Relationship Id="rId1670" Type="http://schemas.openxmlformats.org/officeDocument/2006/relationships/hyperlink" Target="https://doodstream.com/d/1tjkhhuil1il/" TargetMode="External"/><Relationship Id="rId2514" Type="http://schemas.openxmlformats.org/officeDocument/2006/relationships/hyperlink" Target="https://thumb.tapecontent.net/thumb/QD4RmYoPg9tJAO/AJMKWKyZRxhXpwZ.jpg" TargetMode="External"/><Relationship Id="rId2721" Type="http://schemas.openxmlformats.org/officeDocument/2006/relationships/hyperlink" Target="https://thumb.tapecontent.net/thumb/XyKxgDKBZqFWJ7/DlWR42Dr73UBLb.jpg" TargetMode="External"/><Relationship Id="rId900" Type="http://schemas.openxmlformats.org/officeDocument/2006/relationships/hyperlink" Target="https://thumb.tapecontent.net/thumb/wPL2GzZb8DHJ8wb/prO9GvK1zvsre9v.jpg" TargetMode="External"/><Relationship Id="rId1323" Type="http://schemas.openxmlformats.org/officeDocument/2006/relationships/hyperlink" Target="https://lulustream.com/e/dx0t07sdb2w4" TargetMode="External"/><Relationship Id="rId1530" Type="http://schemas.openxmlformats.org/officeDocument/2006/relationships/hyperlink" Target="https://doodstream.com/d/06mgw82vy32n/" TargetMode="External"/><Relationship Id="rId4479" Type="http://schemas.openxmlformats.org/officeDocument/2006/relationships/hyperlink" Target="https://doodstream.com/d/11qpayzdvr3d/" TargetMode="External"/><Relationship Id="rId4686" Type="http://schemas.openxmlformats.org/officeDocument/2006/relationships/hyperlink" Target="https://thumb.tapecontent.net/thumb/7P0b7jPqJgFAgxx/bq8g81MKvRuJvy.jpg" TargetMode="External"/><Relationship Id="rId3288" Type="http://schemas.openxmlformats.org/officeDocument/2006/relationships/hyperlink" Target="https://lulustream.com/e/ze530e5knbeq" TargetMode="External"/><Relationship Id="rId3495" Type="http://schemas.openxmlformats.org/officeDocument/2006/relationships/hyperlink" Target="https://lulustream.com/e/ddon6nvs224k" TargetMode="External"/><Relationship Id="rId4339" Type="http://schemas.openxmlformats.org/officeDocument/2006/relationships/hyperlink" Target="https://lulustream.com/d/b3i7yoales0m" TargetMode="External"/><Relationship Id="rId4546" Type="http://schemas.openxmlformats.org/officeDocument/2006/relationships/hyperlink" Target="https://thumb.tapecontent.net/thumb/ApB4LVe9aMIXqA4/jkQR7X03K6i4mj.jpg" TargetMode="External"/><Relationship Id="rId4753" Type="http://schemas.openxmlformats.org/officeDocument/2006/relationships/hyperlink" Target="https://bunkr.pk/f/gpTYjRJ4ptDSd" TargetMode="External"/><Relationship Id="rId2097" Type="http://schemas.openxmlformats.org/officeDocument/2006/relationships/hyperlink" Target="https://thumb.tapecontent.net/thumb/LYrl0Pm4LVhyJ8/qvm6Y01Re7tzV4d.jpg" TargetMode="External"/><Relationship Id="rId3148" Type="http://schemas.openxmlformats.org/officeDocument/2006/relationships/hyperlink" Target="https://thumb.tapecontent.net/thumb/BJKrq8yjDjuK80/goZ3MKj30rUqWLR.jpg" TargetMode="External"/><Relationship Id="rId3355" Type="http://schemas.openxmlformats.org/officeDocument/2006/relationships/hyperlink" Target="https://doodstream.com/d/850zsw0aziyz/" TargetMode="External"/><Relationship Id="rId3562" Type="http://schemas.openxmlformats.org/officeDocument/2006/relationships/hyperlink" Target="https://thumb.tapecontent.net/thumb/7DbepYz128sA1vX/o6r0mVqRZAHJVyL.jpg" TargetMode="External"/><Relationship Id="rId4406" Type="http://schemas.openxmlformats.org/officeDocument/2006/relationships/hyperlink" Target="https://lulustream.com/e/5dlpnidr6iic" TargetMode="External"/><Relationship Id="rId4613" Type="http://schemas.openxmlformats.org/officeDocument/2006/relationships/hyperlink" Target="https://thumb.tapecontent.net/thumb/g00dDr47evHqlp7/jWbxxKPrLefJJl.jpg" TargetMode="External"/><Relationship Id="rId276" Type="http://schemas.openxmlformats.org/officeDocument/2006/relationships/hyperlink" Target="https://thumb.tapecontent.net/thumb/M6rMVpbyXKfmqzY/xXjvW2BrlBfkajy.jpg" TargetMode="External"/><Relationship Id="rId483" Type="http://schemas.openxmlformats.org/officeDocument/2006/relationships/hyperlink" Target="https://streamtape.com/v/A1gZBoxDoQFX0mj/Angela_White_-_68398268_-_Onlyfans" TargetMode="External"/><Relationship Id="rId690" Type="http://schemas.openxmlformats.org/officeDocument/2006/relationships/hyperlink" Target="https://lulustream.com/d/dlcwmhyuxx5s" TargetMode="External"/><Relationship Id="rId2164" Type="http://schemas.openxmlformats.org/officeDocument/2006/relationships/hyperlink" Target="https://thumb.tapecontent.net/thumb/xmWJ8wrGYMckMYO/KQRovjBAmdT09q1.jpg" TargetMode="External"/><Relationship Id="rId2371" Type="http://schemas.openxmlformats.org/officeDocument/2006/relationships/hyperlink" Target="https://doodstream.com/d/2cpmrjno8vxn/" TargetMode="External"/><Relationship Id="rId3008" Type="http://schemas.openxmlformats.org/officeDocument/2006/relationships/hyperlink" Target="https://thumb.tapecontent.net/thumb/4xQowJjo7Ziyme/G9q40Mpx1LC1Gvq.jpg" TargetMode="External"/><Relationship Id="rId3215" Type="http://schemas.openxmlformats.org/officeDocument/2006/relationships/hyperlink" Target="https://lulustream.com/e/aa9rsnagn8ie" TargetMode="External"/><Relationship Id="rId3422" Type="http://schemas.openxmlformats.org/officeDocument/2006/relationships/hyperlink" Target="https://lulustream.com/e/yl5pk5gnllml" TargetMode="External"/><Relationship Id="rId136" Type="http://schemas.openxmlformats.org/officeDocument/2006/relationships/hyperlink" Target="https://thumb.tapecontent.net/thumb/39yZ9V1ARLIAXQ/3dagpQa8mMFddmx.jpg" TargetMode="External"/><Relationship Id="rId343" Type="http://schemas.openxmlformats.org/officeDocument/2006/relationships/hyperlink" Target="https://luluvdoo.com/d/w53khjycrwfd" TargetMode="External"/><Relationship Id="rId550" Type="http://schemas.openxmlformats.org/officeDocument/2006/relationships/hyperlink" Target="https://thumb.tapecontent.net/thumb/wJorJyKlpRtJ9M4/Dea07wBA4DsLQW.jpg" TargetMode="External"/><Relationship Id="rId1180" Type="http://schemas.openxmlformats.org/officeDocument/2006/relationships/hyperlink" Target="https://lulustream.com/e/0mkudbtn5hl5" TargetMode="External"/><Relationship Id="rId2024" Type="http://schemas.openxmlformats.org/officeDocument/2006/relationships/hyperlink" Target="https://doodstream.com/d/xks5bzsb4v69/" TargetMode="External"/><Relationship Id="rId2231" Type="http://schemas.openxmlformats.org/officeDocument/2006/relationships/hyperlink" Target="https://doodstream.com/d/c33zy6aev2bn/" TargetMode="External"/><Relationship Id="rId203" Type="http://schemas.openxmlformats.org/officeDocument/2006/relationships/hyperlink" Target="https://doodstream.com/d/3wdhd3j7wzfu/" TargetMode="External"/><Relationship Id="rId1040" Type="http://schemas.openxmlformats.org/officeDocument/2006/relationships/hyperlink" Target="https://thumb.tapecontent.net/thumb/1jX8BYYlpMceYaj/WeAVbBzabaf01g.jpg" TargetMode="External"/><Relationship Id="rId4196" Type="http://schemas.openxmlformats.org/officeDocument/2006/relationships/hyperlink" Target="https://thumb.tapecontent.net/thumb/LJpv217OVgI6mQ/B4z0mgAXa1fyooQ.jpg" TargetMode="External"/><Relationship Id="rId410" Type="http://schemas.openxmlformats.org/officeDocument/2006/relationships/hyperlink" Target="https://streamtape.com/v/8KLbylgjkVSJrv/Angela_White_-_27159838_-_Onlyfans_-_Rissa_May.mp4" TargetMode="External"/><Relationship Id="rId1997" Type="http://schemas.openxmlformats.org/officeDocument/2006/relationships/hyperlink" Target="https://thumb.tapecontent.net/thumb/KXjm2gwdzmc0q6j/ggqVPGA1vwsqeWr.jpg" TargetMode="External"/><Relationship Id="rId4056" Type="http://schemas.openxmlformats.org/officeDocument/2006/relationships/hyperlink" Target="https://thumb.tapecontent.net/thumb/AXop44mWjvfXyla/GvvJWDqPqmS1wPg.jpg" TargetMode="External"/><Relationship Id="rId1857" Type="http://schemas.openxmlformats.org/officeDocument/2006/relationships/hyperlink" Target="https://thumb.tapecontent.net/thumb/d82xqdWDbQskKb1/okjrXJ8m9DCJmzx.jpg" TargetMode="External"/><Relationship Id="rId2908" Type="http://schemas.openxmlformats.org/officeDocument/2006/relationships/hyperlink" Target="https://doodstream.com/d/2e3p0aidtj5m/" TargetMode="External"/><Relationship Id="rId4263" Type="http://schemas.openxmlformats.org/officeDocument/2006/relationships/hyperlink" Target="https://thumb.tapecontent.net/thumb/m66xYJoYDJFbKL4/ZX1Agl1YjxTqQrg.jpg" TargetMode="External"/><Relationship Id="rId4470" Type="http://schemas.openxmlformats.org/officeDocument/2006/relationships/hyperlink" Target="https://doodstream.com/d/55rb7ph0dhk2/" TargetMode="External"/><Relationship Id="rId1717" Type="http://schemas.openxmlformats.org/officeDocument/2006/relationships/hyperlink" Target="https://luluvdoo.com/d/tq09wtqjmi35" TargetMode="External"/><Relationship Id="rId1924" Type="http://schemas.openxmlformats.org/officeDocument/2006/relationships/hyperlink" Target="https://thumb.tapecontent.net/thumb/vgezg8goGbI4V6B/APpoPMgrzkTvZ7.jpg" TargetMode="External"/><Relationship Id="rId3072" Type="http://schemas.openxmlformats.org/officeDocument/2006/relationships/hyperlink" Target="https://lulustream.com/d/cm0udikm5btr" TargetMode="External"/><Relationship Id="rId4123" Type="http://schemas.openxmlformats.org/officeDocument/2006/relationships/hyperlink" Target="https://lulustream.com/e/fs2wxvsqj7l8" TargetMode="External"/><Relationship Id="rId4330" Type="http://schemas.openxmlformats.org/officeDocument/2006/relationships/hyperlink" Target="https://doodstream.com/d/khoodc0vvapo/" TargetMode="External"/><Relationship Id="rId3889" Type="http://schemas.openxmlformats.org/officeDocument/2006/relationships/hyperlink" Target="https://doodstream.com/d/32jfdktwe1u0/" TargetMode="External"/><Relationship Id="rId2698" Type="http://schemas.openxmlformats.org/officeDocument/2006/relationships/hyperlink" Target="https://lulustream.com/e/vp926m8xgb5o" TargetMode="External"/><Relationship Id="rId3749" Type="http://schemas.openxmlformats.org/officeDocument/2006/relationships/hyperlink" Target="https://doodstream.com/d/ejijlfn23thi/" TargetMode="External"/><Relationship Id="rId3956" Type="http://schemas.openxmlformats.org/officeDocument/2006/relationships/hyperlink" Target="https://doodstream.com/d/bjch5mlx7ys5/" TargetMode="External"/><Relationship Id="rId877" Type="http://schemas.openxmlformats.org/officeDocument/2006/relationships/hyperlink" Target="https://doodstream.com/d/pn3bbeomwn31/" TargetMode="External"/><Relationship Id="rId2558" Type="http://schemas.openxmlformats.org/officeDocument/2006/relationships/hyperlink" Target="https://thumb.tapecontent.net/thumb/493Jw8y1apIKwOd/apoV9PaWy3FWJY.jpg" TargetMode="External"/><Relationship Id="rId2765" Type="http://schemas.openxmlformats.org/officeDocument/2006/relationships/hyperlink" Target="https://lulustream.com/d/a0jde5pn0h4t" TargetMode="External"/><Relationship Id="rId2972" Type="http://schemas.openxmlformats.org/officeDocument/2006/relationships/hyperlink" Target="https://doodstream.com/d/0mwotdtwcgpx/" TargetMode="External"/><Relationship Id="rId3609" Type="http://schemas.openxmlformats.org/officeDocument/2006/relationships/hyperlink" Target="https://doodstream.com/d/ldsrdfw27b1d/" TargetMode="External"/><Relationship Id="rId3816" Type="http://schemas.openxmlformats.org/officeDocument/2006/relationships/hyperlink" Target="https://doodstream.com/d/i3cba5ert3vx/" TargetMode="External"/><Relationship Id="rId737" Type="http://schemas.openxmlformats.org/officeDocument/2006/relationships/hyperlink" Target="https://doodstream.com/d/hrj932r6g7cv/" TargetMode="External"/><Relationship Id="rId944" Type="http://schemas.openxmlformats.org/officeDocument/2006/relationships/hyperlink" Target="https://lulustream.com/e/zckcq83qyx52" TargetMode="External"/><Relationship Id="rId1367" Type="http://schemas.openxmlformats.org/officeDocument/2006/relationships/hyperlink" Target="https://lulustream.com/d/88rk4ati2m22" TargetMode="External"/><Relationship Id="rId1574" Type="http://schemas.openxmlformats.org/officeDocument/2006/relationships/hyperlink" Target="https://thumb.tapecontent.net/thumb/YVmzlAerBoCoy6/Oo9XvkO3BWTZ2wY.jpg" TargetMode="External"/><Relationship Id="rId1781" Type="http://schemas.openxmlformats.org/officeDocument/2006/relationships/hyperlink" Target="https://thumb.tapecontent.net/thumb/J92xjVd0vOTjWGR/78g6A90QzlSAAGL.jpg" TargetMode="External"/><Relationship Id="rId2418" Type="http://schemas.openxmlformats.org/officeDocument/2006/relationships/hyperlink" Target="https://doodstream.com/d/5yz3xwv9c3o6/" TargetMode="External"/><Relationship Id="rId2625" Type="http://schemas.openxmlformats.org/officeDocument/2006/relationships/hyperlink" Target="https://thumb.tapecontent.net/thumb/6mVe7x8W0ai92m8/9PZxrDPvW9iaevY.jpg" TargetMode="External"/><Relationship Id="rId2832" Type="http://schemas.openxmlformats.org/officeDocument/2006/relationships/hyperlink" Target="https://lulustream.com/e/ytx0keyiz4tc" TargetMode="External"/><Relationship Id="rId73" Type="http://schemas.openxmlformats.org/officeDocument/2006/relationships/hyperlink" Target="https://lulustream.com/d/6kinxp49ummh" TargetMode="External"/><Relationship Id="rId804" Type="http://schemas.openxmlformats.org/officeDocument/2006/relationships/hyperlink" Target="https://thumb.tapecontent.net/thumb/GjVjjgdablI1wOb/BJ8ll7MGekhyY1D.jpg" TargetMode="External"/><Relationship Id="rId1227" Type="http://schemas.openxmlformats.org/officeDocument/2006/relationships/hyperlink" Target="https://lulustream.com/e/1hl3ws4dxdka" TargetMode="External"/><Relationship Id="rId1434" Type="http://schemas.openxmlformats.org/officeDocument/2006/relationships/hyperlink" Target="https://thumb.tapecontent.net/thumb/qgkx3ZBvADizBoL/W3jdd9VwzDIbdXA.jpg" TargetMode="External"/><Relationship Id="rId1641" Type="http://schemas.openxmlformats.org/officeDocument/2006/relationships/hyperlink" Target="https://doodstream.com/d/5v2o1xm1tj94/" TargetMode="External"/><Relationship Id="rId1501" Type="http://schemas.openxmlformats.org/officeDocument/2006/relationships/hyperlink" Target="https://thumb.tapecontent.net/thumb/JK2WXvmj9bigGq/myzVQ3jVQ3IdKo.jpg" TargetMode="External"/><Relationship Id="rId3399" Type="http://schemas.openxmlformats.org/officeDocument/2006/relationships/hyperlink" Target="https://thumb.tapecontent.net/thumb/m6AmLZ7o63hb3le/YP1zRbXvXwtvk3D.jpg" TargetMode="External"/><Relationship Id="rId4657" Type="http://schemas.openxmlformats.org/officeDocument/2006/relationships/hyperlink" Target="https://thumb.tapecontent.net/thumb/dKw10jRyBpckRZ4/kwQWerK3RwsOjkX.jpg" TargetMode="External"/><Relationship Id="rId3259" Type="http://schemas.openxmlformats.org/officeDocument/2006/relationships/hyperlink" Target="https://thumb.tapecontent.net/thumb/Re1ydJl2BQcdbq3/8VqjqQ1v1XFo9XY.jpg" TargetMode="External"/><Relationship Id="rId3466" Type="http://schemas.openxmlformats.org/officeDocument/2006/relationships/hyperlink" Target="https://lulustream.com/e/dg93kso5a7j8" TargetMode="External"/><Relationship Id="rId4517" Type="http://schemas.openxmlformats.org/officeDocument/2006/relationships/hyperlink" Target="https://thumb.tapecontent.net/thumb/4BwROQ4VXkFKM9d/aPyvG6m01PhxjeA.jpg" TargetMode="External"/><Relationship Id="rId387" Type="http://schemas.openxmlformats.org/officeDocument/2006/relationships/hyperlink" Target="https://thumb.tapecontent.net/thumb/xrj84qrr7XTkAPb/P3aoPK81zvi02om.jpg" TargetMode="External"/><Relationship Id="rId594" Type="http://schemas.openxmlformats.org/officeDocument/2006/relationships/hyperlink" Target="https://thumb.tapecontent.net/thumb/G37D1BbOAXcmwA/XWr6d879LDcDvbp.jpg" TargetMode="External"/><Relationship Id="rId2068" Type="http://schemas.openxmlformats.org/officeDocument/2006/relationships/hyperlink" Target="https://doodstream.com/d/y9970uhpend9/" TargetMode="External"/><Relationship Id="rId2275" Type="http://schemas.openxmlformats.org/officeDocument/2006/relationships/hyperlink" Target="https://doodstream.com/d/6y89fdbb3au4/" TargetMode="External"/><Relationship Id="rId3119" Type="http://schemas.openxmlformats.org/officeDocument/2006/relationships/hyperlink" Target="https://thumb.tapecontent.net/thumb/VVX7Rbg6VKFKRzG/BGRAe4Xqg1Cm81.jpg" TargetMode="External"/><Relationship Id="rId3326" Type="http://schemas.openxmlformats.org/officeDocument/2006/relationships/hyperlink" Target="https://lulustream.com/e/ks0eymrdgh43" TargetMode="External"/><Relationship Id="rId3673" Type="http://schemas.openxmlformats.org/officeDocument/2006/relationships/hyperlink" Target="https://thumb.tapecontent.net/thumb/9oZ43Y4rpYFOLA/XqG1zOJYmQUD6qz.jpg" TargetMode="External"/><Relationship Id="rId3880" Type="http://schemas.openxmlformats.org/officeDocument/2006/relationships/hyperlink" Target="https://thumb.tapecontent.net/thumb/1pPqajoo7zHeOeB/qWwMGYQOPyhzVgX.jpg" TargetMode="External"/><Relationship Id="rId4724" Type="http://schemas.openxmlformats.org/officeDocument/2006/relationships/hyperlink" Target="https://lulustream.com/d/5kndrr1rl87o" TargetMode="External"/><Relationship Id="rId247" Type="http://schemas.openxmlformats.org/officeDocument/2006/relationships/hyperlink" Target="https://doodstream.com/d/0py6vqqjm9pb/" TargetMode="External"/><Relationship Id="rId1084" Type="http://schemas.openxmlformats.org/officeDocument/2006/relationships/hyperlink" Target="https://lulustream.com/e/r5nheiiyuybu" TargetMode="External"/><Relationship Id="rId2482" Type="http://schemas.openxmlformats.org/officeDocument/2006/relationships/hyperlink" Target="https://doodstream.com/d/vcf19fnhv1wb/" TargetMode="External"/><Relationship Id="rId3533" Type="http://schemas.openxmlformats.org/officeDocument/2006/relationships/hyperlink" Target="https://thumb.tapecontent.net/thumb/LMveWBykDvHRKvA/MjxoqJ3PM0teG9.jpg" TargetMode="External"/><Relationship Id="rId3740" Type="http://schemas.openxmlformats.org/officeDocument/2006/relationships/hyperlink" Target="https://doodstream.com/d/sh1rrxju1bfv/" TargetMode="External"/><Relationship Id="rId107" Type="http://schemas.openxmlformats.org/officeDocument/2006/relationships/hyperlink" Target="https://thumb.tapecontent.net/thumb/warzBvYPL8hJ8yz/V6YYKlbvP8IK2LA.jpg" TargetMode="External"/><Relationship Id="rId454" Type="http://schemas.openxmlformats.org/officeDocument/2006/relationships/hyperlink" Target="https://streamtape.com/v/d89Kq7Rq6rSZAd/Angela_White_-_57030955_-_Onlyfans" TargetMode="External"/><Relationship Id="rId661" Type="http://schemas.openxmlformats.org/officeDocument/2006/relationships/hyperlink" Target="https://thumb.tapecontent.net/thumb/y2wpoekWw2H1ZYl/beYVABywGVTP8D4.jpg" TargetMode="External"/><Relationship Id="rId1291" Type="http://schemas.openxmlformats.org/officeDocument/2006/relationships/hyperlink" Target="https://lulustream.com/d/8aqbq4pybibh" TargetMode="External"/><Relationship Id="rId2135" Type="http://schemas.openxmlformats.org/officeDocument/2006/relationships/hyperlink" Target="https://lulustream.com/e/v9ctz96ytk59" TargetMode="External"/><Relationship Id="rId2342" Type="http://schemas.openxmlformats.org/officeDocument/2006/relationships/hyperlink" Target="https://lulustream.com/e/igq1ia8qalyx" TargetMode="External"/><Relationship Id="rId3600" Type="http://schemas.openxmlformats.org/officeDocument/2006/relationships/hyperlink" Target="https://doodstream.com/d/d4pmyk5ilx99/" TargetMode="External"/><Relationship Id="rId314" Type="http://schemas.openxmlformats.org/officeDocument/2006/relationships/hyperlink" Target="https://luluvdoo.com/d/ub86j58ullix" TargetMode="External"/><Relationship Id="rId521" Type="http://schemas.openxmlformats.org/officeDocument/2006/relationships/hyperlink" Target="https://doodstream.com/d/ksji9m46to1g/" TargetMode="External"/><Relationship Id="rId1151" Type="http://schemas.openxmlformats.org/officeDocument/2006/relationships/hyperlink" Target="https://doodstream.com/d/fdpe7nkju0tz/" TargetMode="External"/><Relationship Id="rId2202" Type="http://schemas.openxmlformats.org/officeDocument/2006/relationships/hyperlink" Target="https://lulustream.com/d/0bmu9s51i4v5" TargetMode="External"/><Relationship Id="rId1011" Type="http://schemas.openxmlformats.org/officeDocument/2006/relationships/hyperlink" Target="https://luluvdoo.com/d/g60bok3v9jde" TargetMode="External"/><Relationship Id="rId1968" Type="http://schemas.openxmlformats.org/officeDocument/2006/relationships/hyperlink" Target="https://thumb.tapecontent.net/thumb/eV41wJW0lQIkQj/vQgZzk9LM6t4kXr.jpg" TargetMode="External"/><Relationship Id="rId4167" Type="http://schemas.openxmlformats.org/officeDocument/2006/relationships/hyperlink" Target="https://lulustream.com/d/ngr6hayw7xha" TargetMode="External"/><Relationship Id="rId4374" Type="http://schemas.openxmlformats.org/officeDocument/2006/relationships/hyperlink" Target="https://thumb.tapecontent.net/thumb/Kel6VKxJXLS0Qlm/KAD9GgdGgbUjG0.jpg" TargetMode="External"/><Relationship Id="rId4581" Type="http://schemas.openxmlformats.org/officeDocument/2006/relationships/hyperlink" Target="https://lulustream.com/d/1paksnry551o" TargetMode="External"/><Relationship Id="rId3183" Type="http://schemas.openxmlformats.org/officeDocument/2006/relationships/hyperlink" Target="https://lulustream.com/d/gwpdy2o82i9e" TargetMode="External"/><Relationship Id="rId3390" Type="http://schemas.openxmlformats.org/officeDocument/2006/relationships/hyperlink" Target="https://thumb.tapecontent.net/thumb/ekXYaW1yJVtYvxe/7GRqr62MoWS8Qa.jpg" TargetMode="External"/><Relationship Id="rId4027" Type="http://schemas.openxmlformats.org/officeDocument/2006/relationships/hyperlink" Target="https://thumb.tapecontent.net/thumb/0A9OzPGzJbSbGRQ/GjLbR32wwRImGV.jpg" TargetMode="External"/><Relationship Id="rId4234" Type="http://schemas.openxmlformats.org/officeDocument/2006/relationships/hyperlink" Target="https://thumb.tapecontent.net/thumb/PrxZ9BgMOGHA7G/MxV3GbJBaqCmaL3.jpg" TargetMode="External"/><Relationship Id="rId4441" Type="http://schemas.openxmlformats.org/officeDocument/2006/relationships/hyperlink" Target="https://thumb.tapecontent.net/thumb/Z2L1yM762kFqWJV/WeaagxYB34UQRp.jpg" TargetMode="External"/><Relationship Id="rId1828" Type="http://schemas.openxmlformats.org/officeDocument/2006/relationships/hyperlink" Target="https://doodstream.com/d/bj0ognqhtrzc/" TargetMode="External"/><Relationship Id="rId3043" Type="http://schemas.openxmlformats.org/officeDocument/2006/relationships/hyperlink" Target="https://luluvdoo.com/d/ebu8z6u9j04g" TargetMode="External"/><Relationship Id="rId3250" Type="http://schemas.openxmlformats.org/officeDocument/2006/relationships/hyperlink" Target="https://lulustream.com/e/9skc8d33vwsw" TargetMode="External"/><Relationship Id="rId171" Type="http://schemas.openxmlformats.org/officeDocument/2006/relationships/hyperlink" Target="https://thumb.tapecontent.net/thumb/P7Xaw9BMzwSABl/y7LY4P9R9RC11xb.jpg" TargetMode="External"/><Relationship Id="rId4301" Type="http://schemas.openxmlformats.org/officeDocument/2006/relationships/hyperlink" Target="https://thumb.tapecontent.net/thumb/9WOV0LQRPeIaryV/Bvl0V9YgdOtypd1.jpg" TargetMode="External"/><Relationship Id="rId3110" Type="http://schemas.openxmlformats.org/officeDocument/2006/relationships/hyperlink" Target="https://thumb.tapecontent.net/thumb/pbQQVDR0yMFraKA/Vd8RRz6BAqtKK4j.jpg" TargetMode="External"/><Relationship Id="rId988" Type="http://schemas.openxmlformats.org/officeDocument/2006/relationships/hyperlink" Target="https://thumb.tapecontent.net/thumb/eAga61Qa9KtJB7/92bXlJm7DRCa3ep.jpg" TargetMode="External"/><Relationship Id="rId2669" Type="http://schemas.openxmlformats.org/officeDocument/2006/relationships/hyperlink" Target="https://lulustream.com/d/ccg18omah7o7" TargetMode="External"/><Relationship Id="rId2876" Type="http://schemas.openxmlformats.org/officeDocument/2006/relationships/hyperlink" Target="https://thumb.tapecontent.net/thumb/6akd9d18g2HvkO/G6YY4mO2YJI1DyL.jpg" TargetMode="External"/><Relationship Id="rId3927" Type="http://schemas.openxmlformats.org/officeDocument/2006/relationships/hyperlink" Target="https://thumb.tapecontent.net/thumb/QyzvqpbPXlIyxL/jOG9yprg78Sz1Xl.jpg" TargetMode="External"/><Relationship Id="rId848" Type="http://schemas.openxmlformats.org/officeDocument/2006/relationships/hyperlink" Target="https://thumb.tapecontent.net/thumb/kkVbeymzlyHOxjg/2LG6zb0ex9sZwY2.jpg" TargetMode="External"/><Relationship Id="rId1478" Type="http://schemas.openxmlformats.org/officeDocument/2006/relationships/hyperlink" Target="https://lulustream.com/e/pqlf8eodkq8w" TargetMode="External"/><Relationship Id="rId1685" Type="http://schemas.openxmlformats.org/officeDocument/2006/relationships/hyperlink" Target="https://luluvdoo.com/d/wwnuymx8qjo2" TargetMode="External"/><Relationship Id="rId1892" Type="http://schemas.openxmlformats.org/officeDocument/2006/relationships/hyperlink" Target="https://thumb.tapecontent.net/thumb/RgPY4lQzL0f7p0/4omYyRy2AycKqe8.jpg" TargetMode="External"/><Relationship Id="rId2529" Type="http://schemas.openxmlformats.org/officeDocument/2006/relationships/hyperlink" Target="https://doodstream.com/d/ry2tb94edr5e/" TargetMode="External"/><Relationship Id="rId2736" Type="http://schemas.openxmlformats.org/officeDocument/2006/relationships/hyperlink" Target="https://thumb.tapecontent.net/thumb/GKOKGl6rJ4cA73/XyLzrgyvOrUDYzk.jpg" TargetMode="External"/><Relationship Id="rId4091" Type="http://schemas.openxmlformats.org/officeDocument/2006/relationships/hyperlink" Target="https://thumb.tapecontent.net/thumb/QkyyMkm43dF0m8A/O6L77pMRYmSZj08.jpg" TargetMode="External"/><Relationship Id="rId708" Type="http://schemas.openxmlformats.org/officeDocument/2006/relationships/hyperlink" Target="https://lulustream.com/d/fmcpdw5tmztf" TargetMode="External"/><Relationship Id="rId915" Type="http://schemas.openxmlformats.org/officeDocument/2006/relationships/hyperlink" Target="https://thumb.tapecontent.net/thumb/O4b7449KxQHW9z/7jlKP7pZgRUAAO1.jpg" TargetMode="External"/><Relationship Id="rId1338" Type="http://schemas.openxmlformats.org/officeDocument/2006/relationships/hyperlink" Target="https://doodstream.com/d/2suc1wxhv3ly/" TargetMode="External"/><Relationship Id="rId1545" Type="http://schemas.openxmlformats.org/officeDocument/2006/relationships/hyperlink" Target="https://lulustream.com/e/g7ugu29wyjab" TargetMode="External"/><Relationship Id="rId2943" Type="http://schemas.openxmlformats.org/officeDocument/2006/relationships/hyperlink" Target="https://lulustream.com/d/b7we97jbuu0s" TargetMode="External"/><Relationship Id="rId1405" Type="http://schemas.openxmlformats.org/officeDocument/2006/relationships/hyperlink" Target="https://doodstream.com/d/erzqumcg85h7/" TargetMode="External"/><Relationship Id="rId1752" Type="http://schemas.openxmlformats.org/officeDocument/2006/relationships/hyperlink" Target="https://doodstream.com/d/5umdukv7o3qs/" TargetMode="External"/><Relationship Id="rId2803" Type="http://schemas.openxmlformats.org/officeDocument/2006/relationships/hyperlink" Target="https://doodstream.com/d/ie4y20516d6i/" TargetMode="External"/><Relationship Id="rId44" Type="http://schemas.openxmlformats.org/officeDocument/2006/relationships/hyperlink" Target="https://thumb.tapecontent.net/thumb/3Gg2r6MJLMflOz/wdKwAAPWewFJXy7.jpg" TargetMode="External"/><Relationship Id="rId1612" Type="http://schemas.openxmlformats.org/officeDocument/2006/relationships/hyperlink" Target="https://doodstream.com/d/jcmhnf2598z7/" TargetMode="External"/><Relationship Id="rId4768" Type="http://schemas.openxmlformats.org/officeDocument/2006/relationships/hyperlink" Target="https://thumb.tapecontent.net/thumb/yxAA89B93yH1Gew/DoYg19YxbeH67B.jpg" TargetMode="External"/><Relationship Id="rId498" Type="http://schemas.openxmlformats.org/officeDocument/2006/relationships/hyperlink" Target="https://streamtape.com/v/Allmp6ZQ40HB6r/Angela_White_-_75043078_-_Onlyfans.mp4" TargetMode="External"/><Relationship Id="rId2179" Type="http://schemas.openxmlformats.org/officeDocument/2006/relationships/hyperlink" Target="https://thumb.tapecontent.net/thumb/z7obL3RK76CYAZX/Alq4eRqzM0uXylZ.jpg" TargetMode="External"/><Relationship Id="rId3577" Type="http://schemas.openxmlformats.org/officeDocument/2006/relationships/hyperlink" Target="https://thumb.tapecontent.net/thumb/W3P67o1G3OSb97G/Vr37loO943hK7Ro.jpg" TargetMode="External"/><Relationship Id="rId3784" Type="http://schemas.openxmlformats.org/officeDocument/2006/relationships/hyperlink" Target="https://luluvdoo.com/d/l51nxi84jtpj" TargetMode="External"/><Relationship Id="rId3991" Type="http://schemas.openxmlformats.org/officeDocument/2006/relationships/hyperlink" Target="https://lulustream.com/e/tetnzi4kkmh1" TargetMode="External"/><Relationship Id="rId4628" Type="http://schemas.openxmlformats.org/officeDocument/2006/relationships/hyperlink" Target="https://thumb.tapecontent.net/thumb/mqz0dBX47LCbwem/Y8breKq44khv8Va.jpg" TargetMode="External"/><Relationship Id="rId2386" Type="http://schemas.openxmlformats.org/officeDocument/2006/relationships/hyperlink" Target="https://lulustream.com/e/xrq6hxl7fft2" TargetMode="External"/><Relationship Id="rId2593" Type="http://schemas.openxmlformats.org/officeDocument/2006/relationships/hyperlink" Target="https://lulustream.com/e/04i9oe6mmsu6" TargetMode="External"/><Relationship Id="rId3437" Type="http://schemas.openxmlformats.org/officeDocument/2006/relationships/hyperlink" Target="https://lulustream.com/d/3smkn239k5ln" TargetMode="External"/><Relationship Id="rId3644" Type="http://schemas.openxmlformats.org/officeDocument/2006/relationships/hyperlink" Target="https://lulustream.com/e/iomu8jazis07" TargetMode="External"/><Relationship Id="rId3851" Type="http://schemas.openxmlformats.org/officeDocument/2006/relationships/hyperlink" Target="https://lulustream.com/e/rdmoqbhla1fm" TargetMode="External"/><Relationship Id="rId358" Type="http://schemas.openxmlformats.org/officeDocument/2006/relationships/hyperlink" Target="https://streamtape.com/v/ekJkpK7BrLfYgDx/Angela_White_-_12494438_-_Onlyfans_-_VIolet_Myers.mp4" TargetMode="External"/><Relationship Id="rId565" Type="http://schemas.openxmlformats.org/officeDocument/2006/relationships/hyperlink" Target="https://doodstream.com/d/od8u73atwqas/" TargetMode="External"/><Relationship Id="rId772" Type="http://schemas.openxmlformats.org/officeDocument/2006/relationships/hyperlink" Target="https://thumb.tapecontent.net/thumb/jO8BKQw90DsJJ6/RkAz3m2g2OuZW7.jpg" TargetMode="External"/><Relationship Id="rId1195" Type="http://schemas.openxmlformats.org/officeDocument/2006/relationships/hyperlink" Target="https://lulustream.com/e/dtluea2ik27d" TargetMode="External"/><Relationship Id="rId2039" Type="http://schemas.openxmlformats.org/officeDocument/2006/relationships/hyperlink" Target="https://lulustream.com/e/sq95lh7vln9f" TargetMode="External"/><Relationship Id="rId2246" Type="http://schemas.openxmlformats.org/officeDocument/2006/relationships/hyperlink" Target="https://doodstream.com/d/cq1udx9moc2k/" TargetMode="External"/><Relationship Id="rId2453" Type="http://schemas.openxmlformats.org/officeDocument/2006/relationships/hyperlink" Target="https://doodstream.com/d/hvln2fpes6j3/" TargetMode="External"/><Relationship Id="rId2660" Type="http://schemas.openxmlformats.org/officeDocument/2006/relationships/hyperlink" Target="https://thumb.tapecontent.net/thumb/yDq4PzzbxeI1prz/0pa8872JKwsbzYg.jpg" TargetMode="External"/><Relationship Id="rId3504" Type="http://schemas.openxmlformats.org/officeDocument/2006/relationships/hyperlink" Target="https://lulustream.com/e/21vhyrlu7u9m" TargetMode="External"/><Relationship Id="rId3711" Type="http://schemas.openxmlformats.org/officeDocument/2006/relationships/hyperlink" Target="https://lulustream.com/e/y3s72fv8c2q2" TargetMode="External"/><Relationship Id="rId218" Type="http://schemas.openxmlformats.org/officeDocument/2006/relationships/hyperlink" Target="https://lulustream.com/e/wezzttkgz0pp" TargetMode="External"/><Relationship Id="rId425" Type="http://schemas.openxmlformats.org/officeDocument/2006/relationships/hyperlink" Target="https://luluvdoo.com/d/9ojkh84iqyo3" TargetMode="External"/><Relationship Id="rId632" Type="http://schemas.openxmlformats.org/officeDocument/2006/relationships/hyperlink" Target="https://thumb.tapecontent.net/thumb/6P2WL33obgs9AAL/D4Bj4ZZprvukeRy.jpg" TargetMode="External"/><Relationship Id="rId1055" Type="http://schemas.openxmlformats.org/officeDocument/2006/relationships/hyperlink" Target="https://lulustream.com/e/2ldbajithi1w" TargetMode="External"/><Relationship Id="rId1262" Type="http://schemas.openxmlformats.org/officeDocument/2006/relationships/hyperlink" Target="https://lulustream.com/e/ee2lw8lv79ir" TargetMode="External"/><Relationship Id="rId2106" Type="http://schemas.openxmlformats.org/officeDocument/2006/relationships/hyperlink" Target="https://thumb.tapecontent.net/thumb/bkjr6D4VGqSPkML/KXp8y94GAaf0yGz.jpg" TargetMode="External"/><Relationship Id="rId2313" Type="http://schemas.openxmlformats.org/officeDocument/2006/relationships/hyperlink" Target="https://thumb.tapecontent.net/thumb/PrMqYV10Y2c04A6/VoZ4dq30q9UKW07.jpg" TargetMode="External"/><Relationship Id="rId2520" Type="http://schemas.openxmlformats.org/officeDocument/2006/relationships/hyperlink" Target="https://thumb.tapecontent.net/thumb/KZD12ymYYOi0GLB/4dj9A32V0wiKoG0.jpg" TargetMode="External"/><Relationship Id="rId1122" Type="http://schemas.openxmlformats.org/officeDocument/2006/relationships/hyperlink" Target="https://doodstream.com/d/x2y3g8aqlax3/" TargetMode="External"/><Relationship Id="rId4278" Type="http://schemas.openxmlformats.org/officeDocument/2006/relationships/hyperlink" Target="https://lulustream.com/e/rn83st7vxf0t" TargetMode="External"/><Relationship Id="rId4485" Type="http://schemas.openxmlformats.org/officeDocument/2006/relationships/hyperlink" Target="https://doodstream.com/d/f94lypdvrgx0/" TargetMode="External"/><Relationship Id="rId3087" Type="http://schemas.openxmlformats.org/officeDocument/2006/relationships/hyperlink" Target="https://thumb.tapecontent.net/thumb/OqAaKpgbQ1ig3G/OPPk9BMQvKcZjKe.jpg" TargetMode="External"/><Relationship Id="rId3294" Type="http://schemas.openxmlformats.org/officeDocument/2006/relationships/hyperlink" Target="https://thumb.tapecontent.net/thumb/jgp6BbwA14izWqr/lO2K8jGpwpTzWk.jpg" TargetMode="External"/><Relationship Id="rId4138" Type="http://schemas.openxmlformats.org/officeDocument/2006/relationships/hyperlink" Target="https://thumb.tapecontent.net/thumb/vlRYKeXAkvf41Dw/0p204YWKoysgGa.jpg" TargetMode="External"/><Relationship Id="rId4345" Type="http://schemas.openxmlformats.org/officeDocument/2006/relationships/hyperlink" Target="https://lulustream.com/e/ktko06xewvdf" TargetMode="External"/><Relationship Id="rId4692" Type="http://schemas.openxmlformats.org/officeDocument/2006/relationships/hyperlink" Target="https://thumb.tapecontent.net/thumb/ekqPXQ9P4Dfo4v/mQvrPkYLGmib1eA.jpg" TargetMode="External"/><Relationship Id="rId1939" Type="http://schemas.openxmlformats.org/officeDocument/2006/relationships/hyperlink" Target="https://thumb.tapecontent.net/thumb/OPjy3vgqJ0cevP/o6yyoqGojrIJrG7.jpg" TargetMode="External"/><Relationship Id="rId4552" Type="http://schemas.openxmlformats.org/officeDocument/2006/relationships/hyperlink" Target="https://thumb.tapecontent.net/thumb/eYXG9LzllRH9qo/JYwgX1mxbySjLVD.jpg" TargetMode="External"/><Relationship Id="rId3154" Type="http://schemas.openxmlformats.org/officeDocument/2006/relationships/hyperlink" Target="https://doodstream.com/d/npltriquecwo/" TargetMode="External"/><Relationship Id="rId3361" Type="http://schemas.openxmlformats.org/officeDocument/2006/relationships/hyperlink" Target="https://lulustream.com/d/k0ixr17x4a4n" TargetMode="External"/><Relationship Id="rId4205" Type="http://schemas.openxmlformats.org/officeDocument/2006/relationships/hyperlink" Target="https://lulustream.com/e/8hcso2zusg94" TargetMode="External"/><Relationship Id="rId4412" Type="http://schemas.openxmlformats.org/officeDocument/2006/relationships/hyperlink" Target="https://lulustream.com/e/n7h4f8grt3at" TargetMode="External"/><Relationship Id="rId282" Type="http://schemas.openxmlformats.org/officeDocument/2006/relationships/hyperlink" Target="https://thumb.tapecontent.net/thumb/o9WBgkabjmsJwL9/ogayrYLvw0UOzB.jpg" TargetMode="External"/><Relationship Id="rId2170" Type="http://schemas.openxmlformats.org/officeDocument/2006/relationships/hyperlink" Target="https://thumb.tapecontent.net/thumb/e36B3eL8OWsogp/doZbRz4lVWu9wm.jpg" TargetMode="External"/><Relationship Id="rId3014" Type="http://schemas.openxmlformats.org/officeDocument/2006/relationships/hyperlink" Target="https://thumb.tapecontent.net/thumb/wGXybV9z99SJbzP/1p6kDJ07jbFePMk.jpg" TargetMode="External"/><Relationship Id="rId3221" Type="http://schemas.openxmlformats.org/officeDocument/2006/relationships/hyperlink" Target="https://lulustream.com/d/tzhuodwm1hwo" TargetMode="External"/><Relationship Id="rId8" Type="http://schemas.openxmlformats.org/officeDocument/2006/relationships/hyperlink" Target="https://lulustream.com/e/kxhttf9kyu59" TargetMode="External"/><Relationship Id="rId142" Type="http://schemas.openxmlformats.org/officeDocument/2006/relationships/hyperlink" Target="https://doodstream.com/d/50toyr4fnwc1/" TargetMode="External"/><Relationship Id="rId2030" Type="http://schemas.openxmlformats.org/officeDocument/2006/relationships/hyperlink" Target="https://doodstream.com/d/y8cme36nhv7e/" TargetMode="External"/><Relationship Id="rId2987" Type="http://schemas.openxmlformats.org/officeDocument/2006/relationships/hyperlink" Target="https://doodstream.com/d/ri13pntqhkon/" TargetMode="External"/><Relationship Id="rId959" Type="http://schemas.openxmlformats.org/officeDocument/2006/relationships/hyperlink" Target="https://doodstream.com/d/jftpqxfn32zh/" TargetMode="External"/><Relationship Id="rId1589" Type="http://schemas.openxmlformats.org/officeDocument/2006/relationships/hyperlink" Target="https://lulustream.com/d/9beuvpkonepf" TargetMode="External"/><Relationship Id="rId1449" Type="http://schemas.openxmlformats.org/officeDocument/2006/relationships/hyperlink" Target="https://doodstream.com/d/2dm3ho0pptly/" TargetMode="External"/><Relationship Id="rId1796" Type="http://schemas.openxmlformats.org/officeDocument/2006/relationships/hyperlink" Target="https://lulustream.com/e/xvbame02h3qf" TargetMode="External"/><Relationship Id="rId2847" Type="http://schemas.openxmlformats.org/officeDocument/2006/relationships/hyperlink" Target="https://thumb.tapecontent.net/thumb/z13MYZ4V3YHG6J/GvmoeJrV09TdZP.jpg" TargetMode="External"/><Relationship Id="rId4062" Type="http://schemas.openxmlformats.org/officeDocument/2006/relationships/hyperlink" Target="https://thumb.tapecontent.net/thumb/R7VbgB0kD3fkpL/dLyX0XmR2kfkx0X.jpg" TargetMode="External"/><Relationship Id="rId88" Type="http://schemas.openxmlformats.org/officeDocument/2006/relationships/hyperlink" Target="https://lulustream.com/d/5vxzigynjn98" TargetMode="External"/><Relationship Id="rId819" Type="http://schemas.openxmlformats.org/officeDocument/2006/relationships/hyperlink" Target="https://luluvdoo.com/d/5cwsx2cxvr0w" TargetMode="External"/><Relationship Id="rId1656" Type="http://schemas.openxmlformats.org/officeDocument/2006/relationships/hyperlink" Target="https://luluvdoo.com/d/zzr5r4acrakr" TargetMode="External"/><Relationship Id="rId1863" Type="http://schemas.openxmlformats.org/officeDocument/2006/relationships/hyperlink" Target="https://thumb.tapecontent.net/thumb/JoDer4xpgWujxa9/m9D1mJkmdWub8b2.jpg" TargetMode="External"/><Relationship Id="rId2707" Type="http://schemas.openxmlformats.org/officeDocument/2006/relationships/hyperlink" Target="https://lulustream.com/d/uicl5f3k5co3" TargetMode="External"/><Relationship Id="rId2914" Type="http://schemas.openxmlformats.org/officeDocument/2006/relationships/hyperlink" Target="https://lulustream.com/e/apuqydathhdk" TargetMode="External"/><Relationship Id="rId1309" Type="http://schemas.openxmlformats.org/officeDocument/2006/relationships/hyperlink" Target="https://doodstream.com/d/eboor2ylswx2/" TargetMode="External"/><Relationship Id="rId1516" Type="http://schemas.openxmlformats.org/officeDocument/2006/relationships/hyperlink" Target="https://lulustream.com/e/znp0s1kpfi6o" TargetMode="External"/><Relationship Id="rId1723" Type="http://schemas.openxmlformats.org/officeDocument/2006/relationships/hyperlink" Target="https://luluvdoo.com/d/h5gnbuqw2i34" TargetMode="External"/><Relationship Id="rId1930" Type="http://schemas.openxmlformats.org/officeDocument/2006/relationships/hyperlink" Target="https://thumb.tapecontent.net/thumb/jkRp3Mkl43szOQz/pd9PQVGYDvhreBX.jpg" TargetMode="External"/><Relationship Id="rId15" Type="http://schemas.openxmlformats.org/officeDocument/2006/relationships/hyperlink" Target="https://doodstream.com/d/grn1adoy03ts/" TargetMode="External"/><Relationship Id="rId3688" Type="http://schemas.openxmlformats.org/officeDocument/2006/relationships/hyperlink" Target="https://doodstream.com/d/zgcnz99b20wx/" TargetMode="External"/><Relationship Id="rId3895" Type="http://schemas.openxmlformats.org/officeDocument/2006/relationships/hyperlink" Target="https://thumb.tapecontent.net/thumb/Z3Zmjda1zwIqv4G/Be9WPkWlrBsMxx.jpg" TargetMode="External"/><Relationship Id="rId4739" Type="http://schemas.openxmlformats.org/officeDocument/2006/relationships/hyperlink" Target="https://thumb.tapecontent.net/thumb/MXY42x00lOHm88v/y0W9RDGKr1u14PQ.jpg" TargetMode="External"/><Relationship Id="rId2497" Type="http://schemas.openxmlformats.org/officeDocument/2006/relationships/hyperlink" Target="https://doodstream.com/d/ozuzinwbc694/" TargetMode="External"/><Relationship Id="rId3548" Type="http://schemas.openxmlformats.org/officeDocument/2006/relationships/hyperlink" Target="https://doodstream.com/d/sa6ss0p9bu5g/" TargetMode="External"/><Relationship Id="rId3755" Type="http://schemas.openxmlformats.org/officeDocument/2006/relationships/hyperlink" Target="https://doodstream.com/d/5vodcd3ke1i2/" TargetMode="External"/><Relationship Id="rId469" Type="http://schemas.openxmlformats.org/officeDocument/2006/relationships/hyperlink" Target="https://thumb.tapecontent.net/thumb/k3mjaroXw7HOORM/P7zbB4VqVyI0PGZ.jpg" TargetMode="External"/><Relationship Id="rId676" Type="http://schemas.openxmlformats.org/officeDocument/2006/relationships/hyperlink" Target="https://doodstream.com/d/wiy5n0clgl1u/" TargetMode="External"/><Relationship Id="rId883" Type="http://schemas.openxmlformats.org/officeDocument/2006/relationships/hyperlink" Target="https://doodstream.com/d/2yadh2scvzad/" TargetMode="External"/><Relationship Id="rId1099" Type="http://schemas.openxmlformats.org/officeDocument/2006/relationships/hyperlink" Target="https://doodstream.com/d/7ji2jtn3e4if/" TargetMode="External"/><Relationship Id="rId2357" Type="http://schemas.openxmlformats.org/officeDocument/2006/relationships/hyperlink" Target="https://thumb.tapecontent.net/thumb/1bx1m6VPdYSekz6/6b4BevxbV9ulb3.jpg" TargetMode="External"/><Relationship Id="rId2564" Type="http://schemas.openxmlformats.org/officeDocument/2006/relationships/hyperlink" Target="https://thumb.tapecontent.net/thumb/MxrVwbRBPVHmK3p/XdZ8WROd6GhDa9M.jpg" TargetMode="External"/><Relationship Id="rId3408" Type="http://schemas.openxmlformats.org/officeDocument/2006/relationships/hyperlink" Target="https://doodstream.com/d/fpgis45eug2a/" TargetMode="External"/><Relationship Id="rId3615" Type="http://schemas.openxmlformats.org/officeDocument/2006/relationships/hyperlink" Target="https://lulustream.com/e/77d6lp1d3moq" TargetMode="External"/><Relationship Id="rId3962" Type="http://schemas.openxmlformats.org/officeDocument/2006/relationships/hyperlink" Target="https://thumb.tapecontent.net/thumb/94YJWQ2ZB0faXe4/0BzPl7Ze8MIeQw.jpg" TargetMode="External"/><Relationship Id="rId329" Type="http://schemas.openxmlformats.org/officeDocument/2006/relationships/hyperlink" Target="https://thumb.tapecontent.net/thumb/m3qVpgjR3LU2dM/KLrvwaeVXbU0xKx.jpg" TargetMode="External"/><Relationship Id="rId536" Type="http://schemas.openxmlformats.org/officeDocument/2006/relationships/hyperlink" Target="https://streamtape.com/v/p8RGPzZBppcrK09/Angela_White_-_95590990_-_ripnsfw.com" TargetMode="External"/><Relationship Id="rId1166" Type="http://schemas.openxmlformats.org/officeDocument/2006/relationships/hyperlink" Target="https://lulustream.com/d/3n0pwpbcel94" TargetMode="External"/><Relationship Id="rId1373" Type="http://schemas.openxmlformats.org/officeDocument/2006/relationships/hyperlink" Target="https://thumb.tapecontent.net/thumb/OdwJK80GWQCek7/Wg6DrlA3b9Ib77m.jpg" TargetMode="External"/><Relationship Id="rId2217" Type="http://schemas.openxmlformats.org/officeDocument/2006/relationships/hyperlink" Target="https://lulustream.com/e/2qhf7nr01wqg" TargetMode="External"/><Relationship Id="rId2771" Type="http://schemas.openxmlformats.org/officeDocument/2006/relationships/hyperlink" Target="https://thumb.tapecontent.net/thumb/wG9aADBM8OsJXmX/8Zdk3a0Q76Uo7PM.jpg" TargetMode="External"/><Relationship Id="rId3822" Type="http://schemas.openxmlformats.org/officeDocument/2006/relationships/hyperlink" Target="https://thumb.tapecontent.net/thumb/Vdq1gw2GeWhky9/08kolyBRyyFbRzw.jpg" TargetMode="External"/><Relationship Id="rId743" Type="http://schemas.openxmlformats.org/officeDocument/2006/relationships/hyperlink" Target="https://lulustream.com/d/vb3nmloo07gj" TargetMode="External"/><Relationship Id="rId950" Type="http://schemas.openxmlformats.org/officeDocument/2006/relationships/hyperlink" Target="https://lulustream.com/e/jg4s9pj0fl55" TargetMode="External"/><Relationship Id="rId1026" Type="http://schemas.openxmlformats.org/officeDocument/2006/relationships/hyperlink" Target="https://thumb.tapecontent.net/thumb/PWv3K3vBxmU07M7/Qyjm9jKVXVs0YDr.jpg" TargetMode="External"/><Relationship Id="rId1580" Type="http://schemas.openxmlformats.org/officeDocument/2006/relationships/hyperlink" Target="https://doodstream.com/d/n7ecpgm4cjql/" TargetMode="External"/><Relationship Id="rId2424" Type="http://schemas.openxmlformats.org/officeDocument/2006/relationships/hyperlink" Target="https://lulustream.com/d/9qvrdig0e66s" TargetMode="External"/><Relationship Id="rId2631" Type="http://schemas.openxmlformats.org/officeDocument/2006/relationships/hyperlink" Target="https://doodstream.com/d/zrwdfgm4sgcn/" TargetMode="External"/><Relationship Id="rId4389" Type="http://schemas.openxmlformats.org/officeDocument/2006/relationships/hyperlink" Target="https://doodstream.com/d/jee37s84sucd/" TargetMode="External"/><Relationship Id="rId603" Type="http://schemas.openxmlformats.org/officeDocument/2006/relationships/hyperlink" Target="https://lulustream.com/d/wxhinwmz3hgb" TargetMode="External"/><Relationship Id="rId810" Type="http://schemas.openxmlformats.org/officeDocument/2006/relationships/hyperlink" Target="https://thumb.tapecontent.net/thumb/WeOBoexZrgubPrx/y7akymrVy1f1peO.jpg" TargetMode="External"/><Relationship Id="rId1233" Type="http://schemas.openxmlformats.org/officeDocument/2006/relationships/hyperlink" Target="https://thumb.tapecontent.net/thumb/2V1MkVYlyMTZD4r/lO7197jlyahaZa.jpg" TargetMode="External"/><Relationship Id="rId1440" Type="http://schemas.openxmlformats.org/officeDocument/2006/relationships/hyperlink" Target="https://doodstream.com/d/swmglt9ygbgu/" TargetMode="External"/><Relationship Id="rId4596" Type="http://schemas.openxmlformats.org/officeDocument/2006/relationships/hyperlink" Target="https://thumb.tapecontent.net/thumb/WZ4ZZXd2DgcblRg/Bzw1gwK6ARCyXoy.jpg" TargetMode="External"/><Relationship Id="rId1300" Type="http://schemas.openxmlformats.org/officeDocument/2006/relationships/hyperlink" Target="https://lulustream.com/e/cg08vl3zx9lz" TargetMode="External"/><Relationship Id="rId3198" Type="http://schemas.openxmlformats.org/officeDocument/2006/relationships/hyperlink" Target="https://thumb.tapecontent.net/thumb/9vbyxA1X1qC6OJ/dADBP6e6R6fkmke.jpg" TargetMode="External"/><Relationship Id="rId4249" Type="http://schemas.openxmlformats.org/officeDocument/2006/relationships/hyperlink" Target="https://doodstream.com/d/izyh4kpa1ilo/" TargetMode="External"/><Relationship Id="rId4456" Type="http://schemas.openxmlformats.org/officeDocument/2006/relationships/hyperlink" Target="https://doodstream.com/d/w3aohckv9h08/" TargetMode="External"/><Relationship Id="rId4663" Type="http://schemas.openxmlformats.org/officeDocument/2006/relationships/hyperlink" Target="https://doodstream.com/d/rv6h6rjpyi1a/" TargetMode="External"/><Relationship Id="rId3058" Type="http://schemas.openxmlformats.org/officeDocument/2006/relationships/hyperlink" Target="https://lulustream.com/e/5gacj4ordbnq" TargetMode="External"/><Relationship Id="rId3265" Type="http://schemas.openxmlformats.org/officeDocument/2006/relationships/hyperlink" Target="https://thumb.tapecontent.net/thumb/Xqz0RPm94AFDaDJ/JAqeAOPpjWtJ0L.jpg" TargetMode="External"/><Relationship Id="rId3472" Type="http://schemas.openxmlformats.org/officeDocument/2006/relationships/hyperlink" Target="https://lulustream.com/e/79exirndbflo" TargetMode="External"/><Relationship Id="rId4109" Type="http://schemas.openxmlformats.org/officeDocument/2006/relationships/hyperlink" Target="https://thumb.tapecontent.net/thumb/ePdXA46qyrFYzpd/Y687qrmgBkTpo0.jpg" TargetMode="External"/><Relationship Id="rId4316" Type="http://schemas.openxmlformats.org/officeDocument/2006/relationships/hyperlink" Target="https://doodstream.com/d/bckbyiqqp3au/" TargetMode="External"/><Relationship Id="rId4523" Type="http://schemas.openxmlformats.org/officeDocument/2006/relationships/hyperlink" Target="https://thumb.tapecontent.net/thumb/m9qVv4xwrZIbJ6q/90dwjplP9Bsa4Wk.jpg" TargetMode="External"/><Relationship Id="rId4730" Type="http://schemas.openxmlformats.org/officeDocument/2006/relationships/hyperlink" Target="https://lulustream.com/d/03njdkszx9p9" TargetMode="External"/><Relationship Id="rId186" Type="http://schemas.openxmlformats.org/officeDocument/2006/relationships/hyperlink" Target="https://doodstream.com/d/dtfgzs7ft8j3/" TargetMode="External"/><Relationship Id="rId393" Type="http://schemas.openxmlformats.org/officeDocument/2006/relationships/hyperlink" Target="https://streamtape.com/v/Oar3WJQyzxs94d/Angela_White_-_21926159_-_ripnsfw.com_-_Violet_Myers_-_Lena_the_plug.mp4" TargetMode="External"/><Relationship Id="rId2074" Type="http://schemas.openxmlformats.org/officeDocument/2006/relationships/hyperlink" Target="https://doodstream.com/d/94tnfilouaxz/" TargetMode="External"/><Relationship Id="rId2281" Type="http://schemas.openxmlformats.org/officeDocument/2006/relationships/hyperlink" Target="https://doodstream.com/d/gva3kils6zlz/" TargetMode="External"/><Relationship Id="rId3125" Type="http://schemas.openxmlformats.org/officeDocument/2006/relationships/hyperlink" Target="https://thumb.tapecontent.net/thumb/LdeXOOZbOVfRzYj/JydWdoXWJgUjD66.jpg" TargetMode="External"/><Relationship Id="rId3332" Type="http://schemas.openxmlformats.org/officeDocument/2006/relationships/hyperlink" Target="https://doodstream.com/d/ocs5zir2k9ch/" TargetMode="External"/><Relationship Id="rId253" Type="http://schemas.openxmlformats.org/officeDocument/2006/relationships/hyperlink" Target="https://lulustream.com/d/xw3quvykntrz" TargetMode="External"/><Relationship Id="rId460" Type="http://schemas.openxmlformats.org/officeDocument/2006/relationships/hyperlink" Target="https://luluvdoo.com/d/qj5bakbdpd5d" TargetMode="External"/><Relationship Id="rId1090" Type="http://schemas.openxmlformats.org/officeDocument/2006/relationships/hyperlink" Target="https://thumb.tapecontent.net/thumb/jl0wmB6bYDuzjj3/vz0Ax2WA4ZU4mrv.jpg" TargetMode="External"/><Relationship Id="rId2141" Type="http://schemas.openxmlformats.org/officeDocument/2006/relationships/hyperlink" Target="https://thumb.tapecontent.net/thumb/M6XV7mkdPXFwy7/eGj3Vq9xbPtYagA.jpg" TargetMode="External"/><Relationship Id="rId113" Type="http://schemas.openxmlformats.org/officeDocument/2006/relationships/hyperlink" Target="https://lulustream.com/d/rj3sc527uqgq" TargetMode="External"/><Relationship Id="rId320" Type="http://schemas.openxmlformats.org/officeDocument/2006/relationships/hyperlink" Target="https://thumb.tapecontent.net/thumb/Z1Mp3PYdlJUPxV/LQPv9emVk9F7Pw.jpg" TargetMode="External"/><Relationship Id="rId2001" Type="http://schemas.openxmlformats.org/officeDocument/2006/relationships/hyperlink" Target="https://lulustream.com/e/e0r23alinyr6" TargetMode="External"/><Relationship Id="rId2958" Type="http://schemas.openxmlformats.org/officeDocument/2006/relationships/hyperlink" Target="https://thumb.tapecontent.net/thumb/o1G1xWYGYZiJell/kDBgOrxPqpHO442.jpg" TargetMode="External"/><Relationship Id="rId1767" Type="http://schemas.openxmlformats.org/officeDocument/2006/relationships/hyperlink" Target="https://thumb.tapecontent.net/thumb/mY1mZz7qxyUXlG/wz3yvpA8PvFJwz2.jpg" TargetMode="External"/><Relationship Id="rId1974" Type="http://schemas.openxmlformats.org/officeDocument/2006/relationships/hyperlink" Target="https://thumb.tapecontent.net/thumb/G9pjMv2pmDu1xPq/brpgmgp6KPiPXyY.jpg" TargetMode="External"/><Relationship Id="rId2818" Type="http://schemas.openxmlformats.org/officeDocument/2006/relationships/hyperlink" Target="https://thumb.tapecontent.net/thumb/BvaLjr8O3juVW0/jvydb3MKAMSqk2.jpg" TargetMode="External"/><Relationship Id="rId4173" Type="http://schemas.openxmlformats.org/officeDocument/2006/relationships/hyperlink" Target="https://doodstream.com/d/u8ozgh1sa14k/" TargetMode="External"/><Relationship Id="rId4380" Type="http://schemas.openxmlformats.org/officeDocument/2006/relationships/hyperlink" Target="https://thumb.tapecontent.net/thumb/KyKKZ8gOoyC08LZ/wkw70QdJ7buJ07J.jpg" TargetMode="External"/><Relationship Id="rId59" Type="http://schemas.openxmlformats.org/officeDocument/2006/relationships/hyperlink" Target="https://doodstream.com/d/25o4hpmqzo7z/" TargetMode="External"/><Relationship Id="rId1627" Type="http://schemas.openxmlformats.org/officeDocument/2006/relationships/hyperlink" Target="https://lulustream.com/e/u6pph05yxdet" TargetMode="External"/><Relationship Id="rId1834" Type="http://schemas.openxmlformats.org/officeDocument/2006/relationships/hyperlink" Target="https://doodstream.com/d/1hirojpo3zl2/" TargetMode="External"/><Relationship Id="rId4033" Type="http://schemas.openxmlformats.org/officeDocument/2006/relationships/hyperlink" Target="https://thumb.tapecontent.net/thumb/rkdVYkQQ8ziGGY/9Rb3K4vrYLialak.jpg" TargetMode="External"/><Relationship Id="rId4240" Type="http://schemas.openxmlformats.org/officeDocument/2006/relationships/hyperlink" Target="https://thumb.tapecontent.net/thumb/g0JO7XVAZptq0w4/rbQem7advOFbJDb.jpg" TargetMode="External"/><Relationship Id="rId3799" Type="http://schemas.openxmlformats.org/officeDocument/2006/relationships/hyperlink" Target="https://doodstream.com/d/a9hbe9w292mn/" TargetMode="External"/><Relationship Id="rId4100" Type="http://schemas.openxmlformats.org/officeDocument/2006/relationships/hyperlink" Target="https://doodstream.com/d/jv081wsrx28f/" TargetMode="External"/><Relationship Id="rId1901" Type="http://schemas.openxmlformats.org/officeDocument/2006/relationships/hyperlink" Target="https://lulustream.com/e/yncwnjhu2zpt" TargetMode="External"/><Relationship Id="rId3659" Type="http://schemas.openxmlformats.org/officeDocument/2006/relationships/hyperlink" Target="https://thumb.tapecontent.net/thumb/lrdb1gbbvQI7pjR/PWKk6BY7e8h0qX2.jpg" TargetMode="External"/><Relationship Id="rId3866" Type="http://schemas.openxmlformats.org/officeDocument/2006/relationships/hyperlink" Target="https://lulustream.com/d/05289tqw1rr0" TargetMode="External"/><Relationship Id="rId787" Type="http://schemas.openxmlformats.org/officeDocument/2006/relationships/hyperlink" Target="https://lulustream.com/d/lahmfrnkmdap" TargetMode="External"/><Relationship Id="rId994" Type="http://schemas.openxmlformats.org/officeDocument/2006/relationships/hyperlink" Target="https://thumb.tapecontent.net/thumb/lkq6kWQ4LVivJp/VXbbj2jZb7uZMr.jpg" TargetMode="External"/><Relationship Id="rId2468" Type="http://schemas.openxmlformats.org/officeDocument/2006/relationships/hyperlink" Target="https://thumb.tapecontent.net/thumb/Vmel4AGzJruKlrP/yoArbZdla9I1RvY.jpg" TargetMode="External"/><Relationship Id="rId2675" Type="http://schemas.openxmlformats.org/officeDocument/2006/relationships/hyperlink" Target="https://lulustream.com/e/jkmwf0a9xd1q" TargetMode="External"/><Relationship Id="rId2882" Type="http://schemas.openxmlformats.org/officeDocument/2006/relationships/hyperlink" Target="https://thumb.tapecontent.net/thumb/WQjYVbOB7yUgo6/Xo0bO1rZy9UDqOw.jpg" TargetMode="External"/><Relationship Id="rId3519" Type="http://schemas.openxmlformats.org/officeDocument/2006/relationships/hyperlink" Target="https://doodstream.com/d/odxe6wmssn8c/" TargetMode="External"/><Relationship Id="rId3726" Type="http://schemas.openxmlformats.org/officeDocument/2006/relationships/hyperlink" Target="https://thumb.tapecontent.net/thumb/RkPxABa2kBUdvLz/D0mJBRMv4AcB3Z.jpg" TargetMode="External"/><Relationship Id="rId3933" Type="http://schemas.openxmlformats.org/officeDocument/2006/relationships/hyperlink" Target="https://lulustream.com/d/v2tr7kiwtv56" TargetMode="External"/><Relationship Id="rId647" Type="http://schemas.openxmlformats.org/officeDocument/2006/relationships/hyperlink" Target="https://lulustream.com/e/mmcusr73g01q" TargetMode="External"/><Relationship Id="rId854" Type="http://schemas.openxmlformats.org/officeDocument/2006/relationships/hyperlink" Target="https://thumb.tapecontent.net/thumb/ZjOkPjDwLkTqpoO/7m0Ya0MbrYhAjBx.jpg" TargetMode="External"/><Relationship Id="rId1277" Type="http://schemas.openxmlformats.org/officeDocument/2006/relationships/hyperlink" Target="https://lulustream.com/d/q5lb51rz45s1" TargetMode="External"/><Relationship Id="rId1484" Type="http://schemas.openxmlformats.org/officeDocument/2006/relationships/hyperlink" Target="https://lulustream.com/e/5youken3q9p6" TargetMode="External"/><Relationship Id="rId1691" Type="http://schemas.openxmlformats.org/officeDocument/2006/relationships/hyperlink" Target="https://luluvdoo.com/d/nteyxmhbrf2l" TargetMode="External"/><Relationship Id="rId2328" Type="http://schemas.openxmlformats.org/officeDocument/2006/relationships/hyperlink" Target="https://doodstream.com/d/fca9d9n926cz/" TargetMode="External"/><Relationship Id="rId2535" Type="http://schemas.openxmlformats.org/officeDocument/2006/relationships/hyperlink" Target="https://doodstream.com/d/4qjtx2h715gq/" TargetMode="External"/><Relationship Id="rId2742" Type="http://schemas.openxmlformats.org/officeDocument/2006/relationships/hyperlink" Target="https://lulustream.com/e/3spfqyycu49k" TargetMode="External"/><Relationship Id="rId507" Type="http://schemas.openxmlformats.org/officeDocument/2006/relationships/hyperlink" Target="https://luluvdoo.com/d/an5si89qnrot" TargetMode="External"/><Relationship Id="rId714" Type="http://schemas.openxmlformats.org/officeDocument/2006/relationships/hyperlink" Target="https://doodstream.com/d/byi8gz1t1cxl/" TargetMode="External"/><Relationship Id="rId921" Type="http://schemas.openxmlformats.org/officeDocument/2006/relationships/hyperlink" Target="https://thumb.tapecontent.net/thumb/D40OdX4BXKT6pL/O4ggzmzp7yUZPeX.jpg" TargetMode="External"/><Relationship Id="rId1137" Type="http://schemas.openxmlformats.org/officeDocument/2006/relationships/hyperlink" Target="https://lulustream.com/d/zu5blo9mcnoc" TargetMode="External"/><Relationship Id="rId1344" Type="http://schemas.openxmlformats.org/officeDocument/2006/relationships/hyperlink" Target="https://doodstream.com/d/q8jqcirivivl/" TargetMode="External"/><Relationship Id="rId1551" Type="http://schemas.openxmlformats.org/officeDocument/2006/relationships/hyperlink" Target="https://lulustream.com/e/u051aw0c0rbr" TargetMode="External"/><Relationship Id="rId2602" Type="http://schemas.openxmlformats.org/officeDocument/2006/relationships/hyperlink" Target="https://lulustream.com/d/wu91grwm4ec0" TargetMode="External"/><Relationship Id="rId50" Type="http://schemas.openxmlformats.org/officeDocument/2006/relationships/hyperlink" Target="https://thumb.tapecontent.net/thumb/mrm67xrV8oTbKpV/PJKqaQdowpUbDB.jpg" TargetMode="External"/><Relationship Id="rId1204" Type="http://schemas.openxmlformats.org/officeDocument/2006/relationships/hyperlink" Target="https://thumb.tapecontent.net/thumb/M6aXGYXkywHGe4/JDYYKAkJXoCVWp.jpg" TargetMode="External"/><Relationship Id="rId1411" Type="http://schemas.openxmlformats.org/officeDocument/2006/relationships/hyperlink" Target="https://lulustream.com/e/u07lsdqfr8eq" TargetMode="External"/><Relationship Id="rId4567" Type="http://schemas.openxmlformats.org/officeDocument/2006/relationships/hyperlink" Target="https://thumb.tapecontent.net/thumb/royqrxpgYXSbz13/0z8pVv3QXwIbJw6.jpg" TargetMode="External"/><Relationship Id="rId4774" Type="http://schemas.openxmlformats.org/officeDocument/2006/relationships/hyperlink" Target="https://thumb.tapecontent.net/thumb/1D230VxDzVCe4qL/7zG1xJ8ez1txaD.jpg" TargetMode="External"/><Relationship Id="rId3169" Type="http://schemas.openxmlformats.org/officeDocument/2006/relationships/hyperlink" Target="https://lulustream.com/d/hkx64jdzffeg" TargetMode="External"/><Relationship Id="rId3376" Type="http://schemas.openxmlformats.org/officeDocument/2006/relationships/hyperlink" Target="https://doodstream.com/d/p60gm4ajspbo/" TargetMode="External"/><Relationship Id="rId3583" Type="http://schemas.openxmlformats.org/officeDocument/2006/relationships/hyperlink" Target="https://thumb.tapecontent.net/thumb/7YrQKgX2O6CAz4Z/rxGmP27Aaotbry7.jpg" TargetMode="External"/><Relationship Id="rId4427" Type="http://schemas.openxmlformats.org/officeDocument/2006/relationships/hyperlink" Target="https://lulustream.com/e/lt7ovqfwdoia" TargetMode="External"/><Relationship Id="rId297" Type="http://schemas.openxmlformats.org/officeDocument/2006/relationships/hyperlink" Target="https://luluvdoo.com/d/istxec71o6w0" TargetMode="External"/><Relationship Id="rId2185" Type="http://schemas.openxmlformats.org/officeDocument/2006/relationships/hyperlink" Target="https://thumb.tapecontent.net/thumb/JYJV3zbJJbSj04z/1WeoKdLLdrce4VL.jpg" TargetMode="External"/><Relationship Id="rId2392" Type="http://schemas.openxmlformats.org/officeDocument/2006/relationships/hyperlink" Target="https://thumb.tapecontent.net/thumb/17ZvXzjdLpHeAkD/3kwjZ13PZDidqzO.jpg" TargetMode="External"/><Relationship Id="rId3029" Type="http://schemas.openxmlformats.org/officeDocument/2006/relationships/hyperlink" Target="https://luluvdoo.com/d/pw7trcvapqcl" TargetMode="External"/><Relationship Id="rId3236" Type="http://schemas.openxmlformats.org/officeDocument/2006/relationships/hyperlink" Target="https://doodstream.com/d/1ai4quoywkkz/" TargetMode="External"/><Relationship Id="rId3790" Type="http://schemas.openxmlformats.org/officeDocument/2006/relationships/hyperlink" Target="https://thumb.tapecontent.net/thumb/aYAkwKGyvRFxKpq/1jYOrOJJdGTez4V.jpg" TargetMode="External"/><Relationship Id="rId4634" Type="http://schemas.openxmlformats.org/officeDocument/2006/relationships/hyperlink" Target="https://doodstream.com/d/6lpc86h2ai7x/" TargetMode="External"/><Relationship Id="rId157" Type="http://schemas.openxmlformats.org/officeDocument/2006/relationships/hyperlink" Target="https://doodstream.com/d/4kxkcljof0gr/" TargetMode="External"/><Relationship Id="rId364" Type="http://schemas.openxmlformats.org/officeDocument/2006/relationships/hyperlink" Target="https://doodstream.com/d/ydpi49551chk/" TargetMode="External"/><Relationship Id="rId2045" Type="http://schemas.openxmlformats.org/officeDocument/2006/relationships/hyperlink" Target="https://lulustream.com/e/a6l0bm4j4omv" TargetMode="External"/><Relationship Id="rId3443" Type="http://schemas.openxmlformats.org/officeDocument/2006/relationships/hyperlink" Target="https://lulustream.com/e/efyxnml91vmj" TargetMode="External"/><Relationship Id="rId3650" Type="http://schemas.openxmlformats.org/officeDocument/2006/relationships/hyperlink" Target="https://lulustream.com/e/e6073c2nwtn8" TargetMode="External"/><Relationship Id="rId4701" Type="http://schemas.openxmlformats.org/officeDocument/2006/relationships/hyperlink" Target="https://thumb.tapecontent.net/thumb/4DJlZO9glxHKqMk/yBPdKgR3V7skQe.jpg" TargetMode="External"/><Relationship Id="rId571" Type="http://schemas.openxmlformats.org/officeDocument/2006/relationships/hyperlink" Target="https://doodstream.com/d/rq2aohyawvsw/" TargetMode="External"/><Relationship Id="rId2252" Type="http://schemas.openxmlformats.org/officeDocument/2006/relationships/hyperlink" Target="https://doodstream.com/d/mnxijrxaz7pz/" TargetMode="External"/><Relationship Id="rId3303" Type="http://schemas.openxmlformats.org/officeDocument/2006/relationships/hyperlink" Target="https://lulustream.com/d/32b0rfhg5qo7" TargetMode="External"/><Relationship Id="rId3510" Type="http://schemas.openxmlformats.org/officeDocument/2006/relationships/hyperlink" Target="https://lulustream.com/e/0yzxtv892j44" TargetMode="External"/><Relationship Id="rId224" Type="http://schemas.openxmlformats.org/officeDocument/2006/relationships/hyperlink" Target="https://lulustream.com/e/ixtmb8to5hhw" TargetMode="External"/><Relationship Id="rId431" Type="http://schemas.openxmlformats.org/officeDocument/2006/relationships/hyperlink" Target="https://luluvdoo.com/d/dhe033bsc1t2" TargetMode="External"/><Relationship Id="rId1061" Type="http://schemas.openxmlformats.org/officeDocument/2006/relationships/hyperlink" Target="https://thumb.tapecontent.net/thumb/P7GOq7jBMKIGdM/gwGX9LvKwDsqWzx.jpg" TargetMode="External"/><Relationship Id="rId2112" Type="http://schemas.openxmlformats.org/officeDocument/2006/relationships/hyperlink" Target="https://thumb.tapecontent.net/thumb/gVwYQAg3A3uq07J/DQXYmOoMA1ik7oX.jpg" TargetMode="External"/><Relationship Id="rId1878" Type="http://schemas.openxmlformats.org/officeDocument/2006/relationships/hyperlink" Target="https://thumb.tapecontent.net/thumb/9BxRwD7Jq7UagxD/m7aBgodbmKubo0G.jpg" TargetMode="External"/><Relationship Id="rId2929" Type="http://schemas.openxmlformats.org/officeDocument/2006/relationships/hyperlink" Target="https://thumb.tapecontent.net/thumb/Jp3j7xwvBVfj12a/djpe0RylQjHkpBl.jpg" TargetMode="External"/><Relationship Id="rId4077" Type="http://schemas.openxmlformats.org/officeDocument/2006/relationships/hyperlink" Target="https://thumb.tapecontent.net/thumb/O4mQMmvw0WimOb/V8qKO6Jw9biKpqV.jpg" TargetMode="External"/><Relationship Id="rId4284" Type="http://schemas.openxmlformats.org/officeDocument/2006/relationships/hyperlink" Target="https://doodstream.com/d/eiv13rnbx71g/" TargetMode="External"/><Relationship Id="rId4491" Type="http://schemas.openxmlformats.org/officeDocument/2006/relationships/hyperlink" Target="https://doodstream.com/d/imu20unhxafb/" TargetMode="External"/><Relationship Id="rId1738" Type="http://schemas.openxmlformats.org/officeDocument/2006/relationships/hyperlink" Target="https://luluvdoo.com/d/cms0x2e2zni3" TargetMode="External"/><Relationship Id="rId3093" Type="http://schemas.openxmlformats.org/officeDocument/2006/relationships/hyperlink" Target="https://thumb.tapecontent.net/thumb/zM9zg8LeoLUyjJ/1AxJZ1qb0XteP26.jpg" TargetMode="External"/><Relationship Id="rId4144" Type="http://schemas.openxmlformats.org/officeDocument/2006/relationships/hyperlink" Target="https://thumb.tapecontent.net/thumb/VmB3lW1wKMFKWv3/6kZg2AAAvjhxdw.jpg" TargetMode="External"/><Relationship Id="rId4351" Type="http://schemas.openxmlformats.org/officeDocument/2006/relationships/hyperlink" Target="https://thumb.tapecontent.net/thumb/x1g0YorzDgUkKQ1/jrWxygOAkKTzpoW.jpg" TargetMode="External"/><Relationship Id="rId1945" Type="http://schemas.openxmlformats.org/officeDocument/2006/relationships/hyperlink" Target="https://thumb.tapecontent.net/thumb/klBYGqALrmuyBD/Z34D6dBaQouqv0w.jpg" TargetMode="External"/><Relationship Id="rId3160" Type="http://schemas.openxmlformats.org/officeDocument/2006/relationships/hyperlink" Target="https://doodstream.com/d/qwl2xcqakq2k/" TargetMode="External"/><Relationship Id="rId4004" Type="http://schemas.openxmlformats.org/officeDocument/2006/relationships/hyperlink" Target="https://thumb.tapecontent.net/thumb/PjmWQaG6g4h00wB/vzbKMg8o1zs49eW.jpg" TargetMode="External"/><Relationship Id="rId4211" Type="http://schemas.openxmlformats.org/officeDocument/2006/relationships/hyperlink" Target="https://lulustream.com/e/7q8x854enlt1" TargetMode="External"/><Relationship Id="rId1805" Type="http://schemas.openxmlformats.org/officeDocument/2006/relationships/hyperlink" Target="https://lulustream.com/d/fhx9wve2xz0e" TargetMode="External"/><Relationship Id="rId3020" Type="http://schemas.openxmlformats.org/officeDocument/2006/relationships/hyperlink" Target="https://luluvdoo.com/d/yy9x09w9z0m8" TargetMode="External"/><Relationship Id="rId3977" Type="http://schemas.openxmlformats.org/officeDocument/2006/relationships/hyperlink" Target="https://thumb.tapecontent.net/thumb/1B2R2qplB0Uej33/BOdzGQekZxSyJgA.jpg" TargetMode="External"/><Relationship Id="rId898" Type="http://schemas.openxmlformats.org/officeDocument/2006/relationships/hyperlink" Target="https://doodstream.com/d/19veq6ccsk7o/" TargetMode="External"/><Relationship Id="rId2579" Type="http://schemas.openxmlformats.org/officeDocument/2006/relationships/hyperlink" Target="https://lulustream.com/e/e8mwseludofe" TargetMode="External"/><Relationship Id="rId2786" Type="http://schemas.openxmlformats.org/officeDocument/2006/relationships/hyperlink" Target="https://thumb.tapecontent.net/thumb/9q0r97JWVwHae7r/032b1PKaWWibPg4.jpg" TargetMode="External"/><Relationship Id="rId2993" Type="http://schemas.openxmlformats.org/officeDocument/2006/relationships/hyperlink" Target="https://lulustream.com/e/5nn2euyjsuqz" TargetMode="External"/><Relationship Id="rId3837" Type="http://schemas.openxmlformats.org/officeDocument/2006/relationships/hyperlink" Target="https://lulustream.com/d/pc91jzcrg3m9" TargetMode="External"/><Relationship Id="rId758" Type="http://schemas.openxmlformats.org/officeDocument/2006/relationships/hyperlink" Target="https://thumb.tapecontent.net/thumb/886GlLryjZCoA4d/3akmvBbpvjIdeWy.jpg" TargetMode="External"/><Relationship Id="rId965" Type="http://schemas.openxmlformats.org/officeDocument/2006/relationships/hyperlink" Target="https://doodstream.com/d/47lfbiptkgd0/" TargetMode="External"/><Relationship Id="rId1388" Type="http://schemas.openxmlformats.org/officeDocument/2006/relationships/hyperlink" Target="https://doodstream.com/d/udg0tqdlb96s/" TargetMode="External"/><Relationship Id="rId1595" Type="http://schemas.openxmlformats.org/officeDocument/2006/relationships/hyperlink" Target="https://lulustream.com/e/4l8rfkl1jpj9" TargetMode="External"/><Relationship Id="rId2439" Type="http://schemas.openxmlformats.org/officeDocument/2006/relationships/hyperlink" Target="https://thumb.tapecontent.net/thumb/A1mZKZgLGJtXy3A/8qma0oovZqH6oB.jpg" TargetMode="External"/><Relationship Id="rId2646" Type="http://schemas.openxmlformats.org/officeDocument/2006/relationships/hyperlink" Target="https://lulustream.com/d/l1wttue2rx7l" TargetMode="External"/><Relationship Id="rId2853" Type="http://schemas.openxmlformats.org/officeDocument/2006/relationships/hyperlink" Target="https://lulustream.com/d/zj2wptrv6g51" TargetMode="External"/><Relationship Id="rId3904" Type="http://schemas.openxmlformats.org/officeDocument/2006/relationships/hyperlink" Target="https://thumb.tapecontent.net/thumb/K4kB2edx9QCzyb/PGM98xpDLGU0mqz.jpg" TargetMode="External"/><Relationship Id="rId94" Type="http://schemas.openxmlformats.org/officeDocument/2006/relationships/hyperlink" Target="https://thumb.tapecontent.net/thumb/e3Dva9KD1OTmwe/grYOky9DV7UGv6.jpg" TargetMode="External"/><Relationship Id="rId618" Type="http://schemas.openxmlformats.org/officeDocument/2006/relationships/hyperlink" Target="https://thumb.tapecontent.net/thumb/7zVJVzypMatR6Z/rKV7ApkM9BUejD.jpg" TargetMode="External"/><Relationship Id="rId825" Type="http://schemas.openxmlformats.org/officeDocument/2006/relationships/hyperlink" Target="https://thumb.tapecontent.net/thumb/ZrbrzOpmodi7Ge/opZwXKWR72TJrzw.jpg" TargetMode="External"/><Relationship Id="rId1248" Type="http://schemas.openxmlformats.org/officeDocument/2006/relationships/hyperlink" Target="https://thumb.tapecontent.net/thumb/z6p4kLZD8pTYal1/qJYRQdea41IzmAl.jpg" TargetMode="External"/><Relationship Id="rId1455" Type="http://schemas.openxmlformats.org/officeDocument/2006/relationships/hyperlink" Target="https://doodstream.com/d/6sl0typldk3m/" TargetMode="External"/><Relationship Id="rId1662" Type="http://schemas.openxmlformats.org/officeDocument/2006/relationships/hyperlink" Target="https://luluvdoo.com/d/gxmcx1fxz0i1" TargetMode="External"/><Relationship Id="rId2506" Type="http://schemas.openxmlformats.org/officeDocument/2006/relationships/hyperlink" Target="https://thumb.tapecontent.net/thumb/YVJ246A93XcLjG/R7grm1pyQLcx1V.jpg" TargetMode="External"/><Relationship Id="rId1108" Type="http://schemas.openxmlformats.org/officeDocument/2006/relationships/hyperlink" Target="https://lulustream.com/e/utmmxrolpdfv" TargetMode="External"/><Relationship Id="rId1315" Type="http://schemas.openxmlformats.org/officeDocument/2006/relationships/hyperlink" Target="https://lulustream.com/d/mak9ntf4ojgs" TargetMode="External"/><Relationship Id="rId2713" Type="http://schemas.openxmlformats.org/officeDocument/2006/relationships/hyperlink" Target="https://thumb.tapecontent.net/thumb/WeVomeamBdUbb2e/Pwpl9qDXXGfDov.jpg" TargetMode="External"/><Relationship Id="rId2920" Type="http://schemas.openxmlformats.org/officeDocument/2006/relationships/hyperlink" Target="https://lulustream.com/e/9jjckeggp6pb" TargetMode="External"/><Relationship Id="rId4678" Type="http://schemas.openxmlformats.org/officeDocument/2006/relationships/hyperlink" Target="https://lulustream.com/d/6jr4sapyl4yp" TargetMode="External"/><Relationship Id="rId1522" Type="http://schemas.openxmlformats.org/officeDocument/2006/relationships/hyperlink" Target="https://lulustream.com/e/vy6r5f8ch51a" TargetMode="External"/><Relationship Id="rId21" Type="http://schemas.openxmlformats.org/officeDocument/2006/relationships/hyperlink" Target="https://lulustream.com/d/10eqg0h4m2mj" TargetMode="External"/><Relationship Id="rId2089" Type="http://schemas.openxmlformats.org/officeDocument/2006/relationships/hyperlink" Target="https://doodstream.com/d/xt2hm0qau8uk/" TargetMode="External"/><Relationship Id="rId3487" Type="http://schemas.openxmlformats.org/officeDocument/2006/relationships/hyperlink" Target="https://lulustream.com/d/p73bki3wiioz" TargetMode="External"/><Relationship Id="rId3694" Type="http://schemas.openxmlformats.org/officeDocument/2006/relationships/hyperlink" Target="https://lulustream.com/e/mmwpv557n0d9" TargetMode="External"/><Relationship Id="rId4538" Type="http://schemas.openxmlformats.org/officeDocument/2006/relationships/hyperlink" Target="https://doodstream.com/d/j4xjw6plb6c2/" TargetMode="External"/><Relationship Id="rId4745" Type="http://schemas.openxmlformats.org/officeDocument/2006/relationships/hyperlink" Target="https://thumb.tapecontent.net/thumb/Dlb7rep9zMT6mO/VBAqO9XQjBuKvW2.jpg" TargetMode="External"/><Relationship Id="rId2296" Type="http://schemas.openxmlformats.org/officeDocument/2006/relationships/hyperlink" Target="https://doodstream.com/d/e3p386vhr02j/" TargetMode="External"/><Relationship Id="rId3347" Type="http://schemas.openxmlformats.org/officeDocument/2006/relationships/hyperlink" Target="https://doodstream.com/d/2yp8ivgsnbk3/" TargetMode="External"/><Relationship Id="rId3554" Type="http://schemas.openxmlformats.org/officeDocument/2006/relationships/hyperlink" Target="https://doodstream.com/d/e69su1thlvj6/" TargetMode="External"/><Relationship Id="rId3761" Type="http://schemas.openxmlformats.org/officeDocument/2006/relationships/hyperlink" Target="https://doodstream.com/d/8zf1lhdlhvwi/" TargetMode="External"/><Relationship Id="rId4605" Type="http://schemas.openxmlformats.org/officeDocument/2006/relationships/hyperlink" Target="https://doodstream.com/d/cnctkvc1xtg4/" TargetMode="External"/><Relationship Id="rId268" Type="http://schemas.openxmlformats.org/officeDocument/2006/relationships/hyperlink" Target="https://doodstream.com/d/xog56jebtp9d/" TargetMode="External"/><Relationship Id="rId475" Type="http://schemas.openxmlformats.org/officeDocument/2006/relationships/hyperlink" Target="https://streamtape.com/v/4PXaGXgKbXhKaoX/Angela_White_-_66371349_-_Onlyfans_-_Mia_Malkova_-_Riley_Reid.mp4" TargetMode="External"/><Relationship Id="rId682" Type="http://schemas.openxmlformats.org/officeDocument/2006/relationships/hyperlink" Target="https://thumb.tapecontent.net/thumb/9bOw39yV1BT14e/A47xD3gZLmIm1Z.jpg" TargetMode="External"/><Relationship Id="rId2156" Type="http://schemas.openxmlformats.org/officeDocument/2006/relationships/hyperlink" Target="https://doodstream.com/d/4ng8kg4pqkms/" TargetMode="External"/><Relationship Id="rId2363" Type="http://schemas.openxmlformats.org/officeDocument/2006/relationships/hyperlink" Target="https://doodstream.com/d/7vyk7tt1ws0p/" TargetMode="External"/><Relationship Id="rId2570" Type="http://schemas.openxmlformats.org/officeDocument/2006/relationships/hyperlink" Target="https://doodstream.com/d/qobcrtsysfhz/" TargetMode="External"/><Relationship Id="rId3207" Type="http://schemas.openxmlformats.org/officeDocument/2006/relationships/hyperlink" Target="https://lulustream.com/d/8r4ks5m384jq" TargetMode="External"/><Relationship Id="rId3414" Type="http://schemas.openxmlformats.org/officeDocument/2006/relationships/hyperlink" Target="https://doodstream.com/d/88ks6i9jkc7z/" TargetMode="External"/><Relationship Id="rId3621" Type="http://schemas.openxmlformats.org/officeDocument/2006/relationships/hyperlink" Target="https://lulustream.com/e/d9puh3145c3t" TargetMode="External"/><Relationship Id="rId128" Type="http://schemas.openxmlformats.org/officeDocument/2006/relationships/hyperlink" Target="https://thumb.tapecontent.net/thumb/wyOy6249ZRhJOkL/3GADzeR2q9HdvOD.jpg" TargetMode="External"/><Relationship Id="rId335" Type="http://schemas.openxmlformats.org/officeDocument/2006/relationships/hyperlink" Target="https://doodstream.com/d/bh7aaltpliqv/" TargetMode="External"/><Relationship Id="rId542" Type="http://schemas.openxmlformats.org/officeDocument/2006/relationships/hyperlink" Target="https://luluvdoo.com/d/p7oyxndqj59p" TargetMode="External"/><Relationship Id="rId1172" Type="http://schemas.openxmlformats.org/officeDocument/2006/relationships/hyperlink" Target="https://thumb.tapecontent.net/thumb/gPq7RPaQkZFqRbB/W6K6zWG4bOIb3L4.jpg" TargetMode="External"/><Relationship Id="rId2016" Type="http://schemas.openxmlformats.org/officeDocument/2006/relationships/hyperlink" Target="https://lulustream.com/e/2nnzbq7grc4x" TargetMode="External"/><Relationship Id="rId2223" Type="http://schemas.openxmlformats.org/officeDocument/2006/relationships/hyperlink" Target="https://lulustream.com/e/3ruyjh4s9grd" TargetMode="External"/><Relationship Id="rId2430" Type="http://schemas.openxmlformats.org/officeDocument/2006/relationships/hyperlink" Target="https://lulustream.com/e/2b9ufwo8xb7z" TargetMode="External"/><Relationship Id="rId402" Type="http://schemas.openxmlformats.org/officeDocument/2006/relationships/hyperlink" Target="https://luluvdoo.com/d/g6sxc9813kxn" TargetMode="External"/><Relationship Id="rId1032" Type="http://schemas.openxmlformats.org/officeDocument/2006/relationships/hyperlink" Target="https://thumb.tapecontent.net/thumb/6op0mXk9k0se39/27W3r7m3ZdHZlY3.jpg" TargetMode="External"/><Relationship Id="rId4188" Type="http://schemas.openxmlformats.org/officeDocument/2006/relationships/hyperlink" Target="https://doodstream.com/d/6qh83qqi3gb7/" TargetMode="External"/><Relationship Id="rId4395" Type="http://schemas.openxmlformats.org/officeDocument/2006/relationships/hyperlink" Target="https://lulustream.com/e/z0hm2fbqgs8p" TargetMode="External"/><Relationship Id="rId1989" Type="http://schemas.openxmlformats.org/officeDocument/2006/relationships/hyperlink" Target="https://thumb.tapecontent.net/thumb/XkDzaBjl4zUZPW/WPAg3pmDbwTbDd7.jpg" TargetMode="External"/><Relationship Id="rId4048" Type="http://schemas.openxmlformats.org/officeDocument/2006/relationships/hyperlink" Target="https://lulustream.com/e/9pxs4oshgmzf" TargetMode="External"/><Relationship Id="rId4255" Type="http://schemas.openxmlformats.org/officeDocument/2006/relationships/hyperlink" Target="https://doodstream.com/d/ynnlpptojoqs/" TargetMode="External"/><Relationship Id="rId1849" Type="http://schemas.openxmlformats.org/officeDocument/2006/relationships/hyperlink" Target="https://doodstream.com/d/qna0nwegkavm/" TargetMode="External"/><Relationship Id="rId3064" Type="http://schemas.openxmlformats.org/officeDocument/2006/relationships/hyperlink" Target="https://lulustream.com/e/nsjpvu46rj1l" TargetMode="External"/><Relationship Id="rId4462" Type="http://schemas.openxmlformats.org/officeDocument/2006/relationships/hyperlink" Target="https://luluvdoo.com/d/we5a67gu6h0t" TargetMode="External"/><Relationship Id="rId192" Type="http://schemas.openxmlformats.org/officeDocument/2006/relationships/hyperlink" Target="https://lulustream.com/e/uu38a8erwyan" TargetMode="External"/><Relationship Id="rId1709" Type="http://schemas.openxmlformats.org/officeDocument/2006/relationships/hyperlink" Target="https://doodstream.com/d/cukpofrtpknk/" TargetMode="External"/><Relationship Id="rId1916" Type="http://schemas.openxmlformats.org/officeDocument/2006/relationships/hyperlink" Target="https://lulustream.com/e/oio6q8sgzef5" TargetMode="External"/><Relationship Id="rId3271" Type="http://schemas.openxmlformats.org/officeDocument/2006/relationships/hyperlink" Target="https://thumb.tapecontent.net/thumb/p1xRK4qPBecr9vd/ll9yalmjWghvom.jpg" TargetMode="External"/><Relationship Id="rId4115" Type="http://schemas.openxmlformats.org/officeDocument/2006/relationships/hyperlink" Target="https://doodstream.com/d/rvi3ik1nubdm/" TargetMode="External"/><Relationship Id="rId4322" Type="http://schemas.openxmlformats.org/officeDocument/2006/relationships/hyperlink" Target="https://lulustream.com/d/w3oqs023oc6i" TargetMode="External"/><Relationship Id="rId2080" Type="http://schemas.openxmlformats.org/officeDocument/2006/relationships/hyperlink" Target="https://doodstream.com/d/gntvpuwt2n06/" TargetMode="External"/><Relationship Id="rId3131" Type="http://schemas.openxmlformats.org/officeDocument/2006/relationships/hyperlink" Target="https://thumb.tapecontent.net/thumb/o2zr94XKAjCJmkZ/9bG3pjpVqOiY0Z.jpg" TargetMode="External"/><Relationship Id="rId2897" Type="http://schemas.openxmlformats.org/officeDocument/2006/relationships/hyperlink" Target="https://thumb.tapecontent.net/thumb/zDk4LO6YJvsX0B/D22KAedG3rukP1y.jpg" TargetMode="External"/><Relationship Id="rId3948" Type="http://schemas.openxmlformats.org/officeDocument/2006/relationships/hyperlink" Target="https://thumb.tapecontent.net/thumb/xe9mbaVwGyUkJbR/GaYQyApgQxF1bmy.jpg" TargetMode="External"/><Relationship Id="rId869" Type="http://schemas.openxmlformats.org/officeDocument/2006/relationships/hyperlink" Target="https://lulustream.com/e/or54uyjamnqq" TargetMode="External"/><Relationship Id="rId1499" Type="http://schemas.openxmlformats.org/officeDocument/2006/relationships/hyperlink" Target="https://doodstream.com/d/kzpinwnp5mrc/" TargetMode="External"/><Relationship Id="rId729" Type="http://schemas.openxmlformats.org/officeDocument/2006/relationships/hyperlink" Target="https://thumb.tapecontent.net/thumb/ldVoXGxlkdComk/pLGjBmxJaMSr4lb.jpg" TargetMode="External"/><Relationship Id="rId1359" Type="http://schemas.openxmlformats.org/officeDocument/2006/relationships/hyperlink" Target="https://doodstream.com/d/20gk6gnkna5z/" TargetMode="External"/><Relationship Id="rId2757" Type="http://schemas.openxmlformats.org/officeDocument/2006/relationships/hyperlink" Target="https://thumb.tapecontent.net/thumb/aPMbQQR7ZlsbOz/Kq7QMVqWb0fowG.jpg" TargetMode="External"/><Relationship Id="rId2964" Type="http://schemas.openxmlformats.org/officeDocument/2006/relationships/hyperlink" Target="https://thumb.tapecontent.net/thumb/MXB11JQmx7Ima1l/PbZGK61ryvi0KDj.jpg" TargetMode="External"/><Relationship Id="rId3808" Type="http://schemas.openxmlformats.org/officeDocument/2006/relationships/hyperlink" Target="https://doodstream.com/d/dns1mnsi636k/" TargetMode="External"/><Relationship Id="rId936" Type="http://schemas.openxmlformats.org/officeDocument/2006/relationships/hyperlink" Target="https://thumb.tapecontent.net/thumb/6RXdzAGdB7t9Jqe/DjKRO9x8KXhkvm8.jpg" TargetMode="External"/><Relationship Id="rId1219" Type="http://schemas.openxmlformats.org/officeDocument/2006/relationships/hyperlink" Target="https://lulustream.com/e/bfh5r8zhmfh2" TargetMode="External"/><Relationship Id="rId1566" Type="http://schemas.openxmlformats.org/officeDocument/2006/relationships/hyperlink" Target="https://thumb.tapecontent.net/thumb/WX3pzRvp2dibabA/4X7gQWe9QoHKgLz.jpg" TargetMode="External"/><Relationship Id="rId1773" Type="http://schemas.openxmlformats.org/officeDocument/2006/relationships/hyperlink" Target="https://luluvdoo.com/d/ze98hoyhgsny" TargetMode="External"/><Relationship Id="rId1980" Type="http://schemas.openxmlformats.org/officeDocument/2006/relationships/hyperlink" Target="https://thumb.tapecontent.net/thumb/RgGvq0zgRpHdQ1z/qO0dyJZY7pfy7D.jpg" TargetMode="External"/><Relationship Id="rId2617" Type="http://schemas.openxmlformats.org/officeDocument/2006/relationships/hyperlink" Target="https://thumb.tapecontent.net/thumb/lP32w6el7Pi7XOD/pxgY8m3OxqsrZ3O.jpg" TargetMode="External"/><Relationship Id="rId2824" Type="http://schemas.openxmlformats.org/officeDocument/2006/relationships/hyperlink" Target="https://thumb.tapecontent.net/thumb/pl9vvo317LtBV7/Bzeyq0pajrTQjb.jpg" TargetMode="External"/><Relationship Id="rId65" Type="http://schemas.openxmlformats.org/officeDocument/2006/relationships/hyperlink" Target="https://doodstream.com/d/jmcjx10qnbrc/" TargetMode="External"/><Relationship Id="rId1426" Type="http://schemas.openxmlformats.org/officeDocument/2006/relationships/hyperlink" Target="https://lulustream.com/d/x2f1d5vvudle" TargetMode="External"/><Relationship Id="rId1633" Type="http://schemas.openxmlformats.org/officeDocument/2006/relationships/hyperlink" Target="https://lulustream.com/e/gvio1909wrru" TargetMode="External"/><Relationship Id="rId1840" Type="http://schemas.openxmlformats.org/officeDocument/2006/relationships/hyperlink" Target="https://doodstream.com/d/fz89c6vx68f1/" TargetMode="External"/><Relationship Id="rId1700" Type="http://schemas.openxmlformats.org/officeDocument/2006/relationships/hyperlink" Target="https://thumb.tapecontent.net/thumb/m9l6O8RJXeSG7B/rbQx1zJ9lvfb2Wb.jpg" TargetMode="External"/><Relationship Id="rId3598" Type="http://schemas.openxmlformats.org/officeDocument/2006/relationships/hyperlink" Target="https://lulustream.com/d/9u76l84goq4m" TargetMode="External"/><Relationship Id="rId4649" Type="http://schemas.openxmlformats.org/officeDocument/2006/relationships/hyperlink" Target="https://lulustream.com/d/7wtvmlsi7b05" TargetMode="External"/><Relationship Id="rId3458" Type="http://schemas.openxmlformats.org/officeDocument/2006/relationships/hyperlink" Target="https://lulustream.com/d/6oiu5os9kkr9" TargetMode="External"/><Relationship Id="rId3665" Type="http://schemas.openxmlformats.org/officeDocument/2006/relationships/hyperlink" Target="https://doodstream.com/d/ujdaknwfl13z/" TargetMode="External"/><Relationship Id="rId3872" Type="http://schemas.openxmlformats.org/officeDocument/2006/relationships/hyperlink" Target="https://lulustream.com/d/zcn8r49qbyy6" TargetMode="External"/><Relationship Id="rId4509" Type="http://schemas.openxmlformats.org/officeDocument/2006/relationships/hyperlink" Target="https://doodstream.com/d/k85z6j21iora/" TargetMode="External"/><Relationship Id="rId4716" Type="http://schemas.openxmlformats.org/officeDocument/2006/relationships/hyperlink" Target="https://lulustream.com/d/zeg9bpp14cg6" TargetMode="External"/><Relationship Id="rId379" Type="http://schemas.openxmlformats.org/officeDocument/2006/relationships/hyperlink" Target="https://luluvdoo.com/d/atgpgut2a8k5" TargetMode="External"/><Relationship Id="rId586" Type="http://schemas.openxmlformats.org/officeDocument/2006/relationships/hyperlink" Target="https://thumb.tapecontent.net/thumb/3DAlPpLOMPIdveW/vrv7m6dwaOf2xe.jpg" TargetMode="External"/><Relationship Id="rId793" Type="http://schemas.openxmlformats.org/officeDocument/2006/relationships/hyperlink" Target="https://thumb.tapecontent.net/thumb/Q2wq9bpDRbI0lwl/D9M6BAW4g3tkKJX.jpg" TargetMode="External"/><Relationship Id="rId2267" Type="http://schemas.openxmlformats.org/officeDocument/2006/relationships/hyperlink" Target="https://lulustream.com/d/vzqm0k0oklxx" TargetMode="External"/><Relationship Id="rId2474" Type="http://schemas.openxmlformats.org/officeDocument/2006/relationships/hyperlink" Target="https://lulustream.com/d/ufzy371qwgu5" TargetMode="External"/><Relationship Id="rId2681" Type="http://schemas.openxmlformats.org/officeDocument/2006/relationships/hyperlink" Target="https://thumb.tapecontent.net/thumb/LDq0oyabWQcb1o/lPJjYl01KqhZq4.jpg" TargetMode="External"/><Relationship Id="rId3318" Type="http://schemas.openxmlformats.org/officeDocument/2006/relationships/hyperlink" Target="https://thumb.tapecontent.net/thumb/17jg2eaR3OteRgj/2zkZdrLvybCZ9rj.jpg" TargetMode="External"/><Relationship Id="rId3525" Type="http://schemas.openxmlformats.org/officeDocument/2006/relationships/hyperlink" Target="https://doodstream.com/d/10p6yoevhgnr/" TargetMode="External"/><Relationship Id="rId239" Type="http://schemas.openxmlformats.org/officeDocument/2006/relationships/hyperlink" Target="https://thumb.tapecontent.net/thumb/gVw6R4Wbj3tzv3/e3D0xZDlzYIYVGz.jpg" TargetMode="External"/><Relationship Id="rId446" Type="http://schemas.openxmlformats.org/officeDocument/2006/relationships/hyperlink" Target="https://streamtape.com/v/ZJxwljXD6eSqJ09/Angela_White_-_44664461_-_Onlyfans_-_Violet_Myers.mp4" TargetMode="External"/><Relationship Id="rId653" Type="http://schemas.openxmlformats.org/officeDocument/2006/relationships/hyperlink" Target="https://doodstream.com/d/xdsfbfvbdmzi/" TargetMode="External"/><Relationship Id="rId1076" Type="http://schemas.openxmlformats.org/officeDocument/2006/relationships/hyperlink" Target="https://lulustream.com/d/zc6ahfmymiuw" TargetMode="External"/><Relationship Id="rId1283" Type="http://schemas.openxmlformats.org/officeDocument/2006/relationships/hyperlink" Target="https://lulustream.com/e/00art7ufnlyg" TargetMode="External"/><Relationship Id="rId1490" Type="http://schemas.openxmlformats.org/officeDocument/2006/relationships/hyperlink" Target="https://thumb.tapecontent.net/thumb/G3BMbKq2bPIlw8/meoRxMqo37sbAXp.jpg" TargetMode="External"/><Relationship Id="rId2127" Type="http://schemas.openxmlformats.org/officeDocument/2006/relationships/hyperlink" Target="https://thumb.tapecontent.net/thumb/OkJqvK2XoOHZRpW/wGjqy37B8YSJmvZ.jpg" TargetMode="External"/><Relationship Id="rId2334" Type="http://schemas.openxmlformats.org/officeDocument/2006/relationships/hyperlink" Target="https://lulustream.com/e/lwwsdqz2dkng" TargetMode="External"/><Relationship Id="rId3732" Type="http://schemas.openxmlformats.org/officeDocument/2006/relationships/hyperlink" Target="https://thumb.tapecontent.net/thumb/QDWR7g93roS0oXl/BeardXrvZzsyJjz.jpg" TargetMode="External"/><Relationship Id="rId306" Type="http://schemas.openxmlformats.org/officeDocument/2006/relationships/hyperlink" Target="https://doodstream.com/d/76wpd4z1xkmb/" TargetMode="External"/><Relationship Id="rId860" Type="http://schemas.openxmlformats.org/officeDocument/2006/relationships/hyperlink" Target="https://lulustream.com/d/11holk0hgcrw" TargetMode="External"/><Relationship Id="rId1143" Type="http://schemas.openxmlformats.org/officeDocument/2006/relationships/hyperlink" Target="https://thumb.tapecontent.net/thumb/lgP0Ae6pMjCz3L/ag2GZOrR2Ycx3xB.jpg" TargetMode="External"/><Relationship Id="rId2541" Type="http://schemas.openxmlformats.org/officeDocument/2006/relationships/hyperlink" Target="https://doodstream.com/d/xd6lljg5mkpn/" TargetMode="External"/><Relationship Id="rId4299" Type="http://schemas.openxmlformats.org/officeDocument/2006/relationships/hyperlink" Target="https://doodstream.com/d/hppwlwlygliv/" TargetMode="External"/><Relationship Id="rId513" Type="http://schemas.openxmlformats.org/officeDocument/2006/relationships/hyperlink" Target="https://thumb.tapecontent.net/thumb/gv7ymXmJaasqpew/bgVor0e22gCo1A.jpg" TargetMode="External"/><Relationship Id="rId720" Type="http://schemas.openxmlformats.org/officeDocument/2006/relationships/hyperlink" Target="https://thumb.tapecontent.net/thumb/yD0mDLG4yXf1WKJ/XymyQWqVp0TDj3B.jpg" TargetMode="External"/><Relationship Id="rId1350" Type="http://schemas.openxmlformats.org/officeDocument/2006/relationships/hyperlink" Target="https://doodstream.com/d/pwlyw8fyk5t0/" TargetMode="External"/><Relationship Id="rId2401" Type="http://schemas.openxmlformats.org/officeDocument/2006/relationships/hyperlink" Target="https://thumb.tapecontent.net/thumb/dKKjDK4GPDCZKq/0RLkKzBZr4UgXP.jpg" TargetMode="External"/><Relationship Id="rId4159" Type="http://schemas.openxmlformats.org/officeDocument/2006/relationships/hyperlink" Target="https://doodstream.com/d/f9dxtblqr730/" TargetMode="External"/><Relationship Id="rId1003" Type="http://schemas.openxmlformats.org/officeDocument/2006/relationships/hyperlink" Target="https://luluvdoo.com/d/d9ltv66cz28z" TargetMode="External"/><Relationship Id="rId1210" Type="http://schemas.openxmlformats.org/officeDocument/2006/relationships/hyperlink" Target="https://lulustream.com/d/ffr0wrkvv1nr" TargetMode="External"/><Relationship Id="rId4366" Type="http://schemas.openxmlformats.org/officeDocument/2006/relationships/hyperlink" Target="https://doodstream.com/d/ufgs65r35l60/" TargetMode="External"/><Relationship Id="rId4573" Type="http://schemas.openxmlformats.org/officeDocument/2006/relationships/hyperlink" Target="https://thumb.tapecontent.net/thumb/klBAxVRAWRtOO7e/6KlwMmVRgATvA3.jpg" TargetMode="External"/><Relationship Id="rId4780" Type="http://schemas.openxmlformats.org/officeDocument/2006/relationships/hyperlink" Target="https://thumb.tapecontent.net/thumb/4vGp2JRrqxCKobZ/yxmXyxvRJXuOBL.jpg" TargetMode="External"/><Relationship Id="rId3175" Type="http://schemas.openxmlformats.org/officeDocument/2006/relationships/hyperlink" Target="https://lulustream.com/e/v9s4godwhnon" TargetMode="External"/><Relationship Id="rId3382" Type="http://schemas.openxmlformats.org/officeDocument/2006/relationships/hyperlink" Target="https://doodstream.com/d/h00mji59e890/" TargetMode="External"/><Relationship Id="rId4019" Type="http://schemas.openxmlformats.org/officeDocument/2006/relationships/hyperlink" Target="https://doodstream.com/d/2062m5pfbxu3/" TargetMode="External"/><Relationship Id="rId4226" Type="http://schemas.openxmlformats.org/officeDocument/2006/relationships/hyperlink" Target="https://doodstream.com/d/st70yg8ybbht/" TargetMode="External"/><Relationship Id="rId4433" Type="http://schemas.openxmlformats.org/officeDocument/2006/relationships/hyperlink" Target="https://thumb.tapecontent.net/thumb/pMy82jgyQzhW6e/Aq3OQblj91CW6Q.jpg" TargetMode="External"/><Relationship Id="rId4640" Type="http://schemas.openxmlformats.org/officeDocument/2006/relationships/hyperlink" Target="https://lulustream.com/e/rnk8zu4tsxzh" TargetMode="External"/><Relationship Id="rId2191" Type="http://schemas.openxmlformats.org/officeDocument/2006/relationships/hyperlink" Target="https://lulustream.com/d/3f7jsybr3k1t" TargetMode="External"/><Relationship Id="rId3035" Type="http://schemas.openxmlformats.org/officeDocument/2006/relationships/hyperlink" Target="https://thumb.tapecontent.net/thumb/GWKRpxwXlrI1p9v/WQOow7xl23tbvvo.jpg" TargetMode="External"/><Relationship Id="rId3242" Type="http://schemas.openxmlformats.org/officeDocument/2006/relationships/hyperlink" Target="https://lulustream.com/d/ljthr300jho2" TargetMode="External"/><Relationship Id="rId4500" Type="http://schemas.openxmlformats.org/officeDocument/2006/relationships/hyperlink" Target="https://doodstream.com/d/zzz5haaoyo2n/" TargetMode="External"/><Relationship Id="rId163" Type="http://schemas.openxmlformats.org/officeDocument/2006/relationships/hyperlink" Target="https://doodstream.com/d/mo7qik9m0qus/" TargetMode="External"/><Relationship Id="rId370" Type="http://schemas.openxmlformats.org/officeDocument/2006/relationships/hyperlink" Target="https://streamtape.com/v/JXdA7B83mmcjXaw/Angela_White_-_13108503_-_Onlyfans_-_Violet_Myers.mp4" TargetMode="External"/><Relationship Id="rId2051" Type="http://schemas.openxmlformats.org/officeDocument/2006/relationships/hyperlink" Target="https://lulustream.com/e/2qo53k7cmjkj" TargetMode="External"/><Relationship Id="rId3102" Type="http://schemas.openxmlformats.org/officeDocument/2006/relationships/hyperlink" Target="https://doodstream.com/d/eqgaant86968/" TargetMode="External"/><Relationship Id="rId230" Type="http://schemas.openxmlformats.org/officeDocument/2006/relationships/hyperlink" Target="https://doodstream.com/d/76mhuy830lni/" TargetMode="External"/><Relationship Id="rId2868" Type="http://schemas.openxmlformats.org/officeDocument/2006/relationships/hyperlink" Target="https://doodstream.com/d/1gaj652batg4/" TargetMode="External"/><Relationship Id="rId3919" Type="http://schemas.openxmlformats.org/officeDocument/2006/relationships/hyperlink" Target="https://lulustream.com/e/4im2r3qlsvlb" TargetMode="External"/><Relationship Id="rId4083" Type="http://schemas.openxmlformats.org/officeDocument/2006/relationships/hyperlink" Target="https://thumb.tapecontent.net/thumb/39KzAxrYBeHroj/lAg3bJzXD4u7rvw.jpg" TargetMode="External"/><Relationship Id="rId1677" Type="http://schemas.openxmlformats.org/officeDocument/2006/relationships/hyperlink" Target="https://luluvdoo.com/d/spw3kdyzs3rk" TargetMode="External"/><Relationship Id="rId1884" Type="http://schemas.openxmlformats.org/officeDocument/2006/relationships/hyperlink" Target="https://thumb.tapecontent.net/thumb/jlRp3eo1opFGXJ/akKDk4Qv0Oi01O.jpg" TargetMode="External"/><Relationship Id="rId2728" Type="http://schemas.openxmlformats.org/officeDocument/2006/relationships/hyperlink" Target="https://doodstream.com/d/1g78j3vkijdh/" TargetMode="External"/><Relationship Id="rId2935" Type="http://schemas.openxmlformats.org/officeDocument/2006/relationships/hyperlink" Target="https://doodstream.com/d/nixcsk2rry22/" TargetMode="External"/><Relationship Id="rId4290" Type="http://schemas.openxmlformats.org/officeDocument/2006/relationships/hyperlink" Target="https://doodstream.com/d/om1cjy4i3fve/" TargetMode="External"/><Relationship Id="rId907" Type="http://schemas.openxmlformats.org/officeDocument/2006/relationships/hyperlink" Target="https://doodstream.com/d/8199t6r1fxa1/" TargetMode="External"/><Relationship Id="rId1537" Type="http://schemas.openxmlformats.org/officeDocument/2006/relationships/hyperlink" Target="https://thumb.tapecontent.net/thumb/9XAdmxvrqehawbm/J9B62jPa0euGpZ.jpg" TargetMode="External"/><Relationship Id="rId1744" Type="http://schemas.openxmlformats.org/officeDocument/2006/relationships/hyperlink" Target="https://luluvdoo.com/d/gjqrgtjyz6xa" TargetMode="External"/><Relationship Id="rId1951" Type="http://schemas.openxmlformats.org/officeDocument/2006/relationships/hyperlink" Target="https://thumb.tapecontent.net/thumb/zlGal1ybdytY3xk/Qw09QwjxLLc8MJ.jpg" TargetMode="External"/><Relationship Id="rId4150" Type="http://schemas.openxmlformats.org/officeDocument/2006/relationships/hyperlink" Target="https://thumb.tapecontent.net/thumb/YWAR23J7dGHv4L9/17pkYex0GmseqZg.jpg" TargetMode="External"/><Relationship Id="rId36" Type="http://schemas.openxmlformats.org/officeDocument/2006/relationships/hyperlink" Target="https://thumb.tapecontent.net/thumb/0dWRBVbB2JFbxa3/AkBRyDODRXcXqQ1.jpg" TargetMode="External"/><Relationship Id="rId1604" Type="http://schemas.openxmlformats.org/officeDocument/2006/relationships/hyperlink" Target="https://lulustream.com/e/xt0r7gsqqmkp" TargetMode="External"/><Relationship Id="rId4010" Type="http://schemas.openxmlformats.org/officeDocument/2006/relationships/hyperlink" Target="https://lulustream.com/d/5tor4pwpcvcq" TargetMode="External"/><Relationship Id="rId1811" Type="http://schemas.openxmlformats.org/officeDocument/2006/relationships/hyperlink" Target="https://lulustream.com/e/shzyno64gqlq" TargetMode="External"/><Relationship Id="rId3569" Type="http://schemas.openxmlformats.org/officeDocument/2006/relationships/hyperlink" Target="https://doodstream.com/d/gz193cnkdqr2/" TargetMode="External"/><Relationship Id="rId697" Type="http://schemas.openxmlformats.org/officeDocument/2006/relationships/hyperlink" Target="https://doodstream.com/d/atan28ke5acy/" TargetMode="External"/><Relationship Id="rId2378" Type="http://schemas.openxmlformats.org/officeDocument/2006/relationships/hyperlink" Target="https://lulustream.com/e/1kq07wbunprl" TargetMode="External"/><Relationship Id="rId3429" Type="http://schemas.openxmlformats.org/officeDocument/2006/relationships/hyperlink" Target="https://lulustream.com/d/ocggy3dfjn7g" TargetMode="External"/><Relationship Id="rId3776" Type="http://schemas.openxmlformats.org/officeDocument/2006/relationships/hyperlink" Target="https://doodstream.com/d/t8vbcv0y05fe/" TargetMode="External"/><Relationship Id="rId3983" Type="http://schemas.openxmlformats.org/officeDocument/2006/relationships/hyperlink" Target="https://thumb.tapecontent.net/thumb/3GgP1aYMOkc2Ga/bzJ6ll8bX3SQ3M.jpg" TargetMode="External"/><Relationship Id="rId1187" Type="http://schemas.openxmlformats.org/officeDocument/2006/relationships/hyperlink" Target="https://thumb.tapecontent.net/thumb/1boLRRVbwGsekm3/jj0XlR4X2pSz3WG.jpg" TargetMode="External"/><Relationship Id="rId2585" Type="http://schemas.openxmlformats.org/officeDocument/2006/relationships/hyperlink" Target="https://thumb.tapecontent.net/thumb/k9WjOylqD2sOxGk/2r6KaGAPQdtZw38.jpg" TargetMode="External"/><Relationship Id="rId2792" Type="http://schemas.openxmlformats.org/officeDocument/2006/relationships/hyperlink" Target="https://thumb.tapecontent.net/thumb/Zj48DAym0ecqABz/mqleYz4Gersb1ML.jpg" TargetMode="External"/><Relationship Id="rId3636" Type="http://schemas.openxmlformats.org/officeDocument/2006/relationships/hyperlink" Target="https://thumb.tapecontent.net/thumb/Mye62PBvX0tm724/My616KgabQimvWq.jpg" TargetMode="External"/><Relationship Id="rId3843" Type="http://schemas.openxmlformats.org/officeDocument/2006/relationships/hyperlink" Target="https://thumb.tapecontent.net/thumb/JexpVz28ZosZyJ/12Z339GwM4teKe7.jpg" TargetMode="External"/><Relationship Id="rId557" Type="http://schemas.openxmlformats.org/officeDocument/2006/relationships/hyperlink" Target="https://lulustream.com/d/ontww07y4ugc" TargetMode="External"/><Relationship Id="rId764" Type="http://schemas.openxmlformats.org/officeDocument/2006/relationships/hyperlink" Target="https://thumb.tapecontent.net/thumb/pd0wPweo83UGGz/vrYg2Qa8yMf4XLB.jpg" TargetMode="External"/><Relationship Id="rId971" Type="http://schemas.openxmlformats.org/officeDocument/2006/relationships/hyperlink" Target="https://doodstream.com/d/njolyoxyy61b/" TargetMode="External"/><Relationship Id="rId1394" Type="http://schemas.openxmlformats.org/officeDocument/2006/relationships/hyperlink" Target="https://doodstream.com/d/n5zrcve4pkg7/" TargetMode="External"/><Relationship Id="rId2238" Type="http://schemas.openxmlformats.org/officeDocument/2006/relationships/hyperlink" Target="https://lulustream.com/d/ig1y9agczz9f" TargetMode="External"/><Relationship Id="rId2445" Type="http://schemas.openxmlformats.org/officeDocument/2006/relationships/hyperlink" Target="https://doodstream.com/d/1hcchzv94df9/" TargetMode="External"/><Relationship Id="rId2652" Type="http://schemas.openxmlformats.org/officeDocument/2006/relationships/hyperlink" Target="https://thumb.tapecontent.net/thumb/3o6pGBx27aUaBy/92QWl9Ov6PIaeA3.jpg" TargetMode="External"/><Relationship Id="rId3703" Type="http://schemas.openxmlformats.org/officeDocument/2006/relationships/hyperlink" Target="https://thumb.tapecontent.net/thumb/jkzbZxVXeRF29b/9RJy2JMjk3c9kb.jpg" TargetMode="External"/><Relationship Id="rId3910" Type="http://schemas.openxmlformats.org/officeDocument/2006/relationships/hyperlink" Target="https://thumb.tapecontent.net/thumb/2bo7BmB37pUZbgD/1P9QebRZg6CeKAG.jpg" TargetMode="External"/><Relationship Id="rId417" Type="http://schemas.openxmlformats.org/officeDocument/2006/relationships/hyperlink" Target="https://luluvdoo.com/d/x9r8otqqdryy" TargetMode="External"/><Relationship Id="rId624" Type="http://schemas.openxmlformats.org/officeDocument/2006/relationships/hyperlink" Target="https://thumb.tapecontent.net/thumb/Bq3eAYWRD1CyL61/Og14XxkJYvFZjY3.jpg" TargetMode="External"/><Relationship Id="rId831" Type="http://schemas.openxmlformats.org/officeDocument/2006/relationships/hyperlink" Target="https://doodstream.com/d/lyqgwai8xsce/" TargetMode="External"/><Relationship Id="rId1047" Type="http://schemas.openxmlformats.org/officeDocument/2006/relationships/hyperlink" Target="https://luluvdoo.com/d/hsmgjgqg39ay" TargetMode="External"/><Relationship Id="rId1254" Type="http://schemas.openxmlformats.org/officeDocument/2006/relationships/hyperlink" Target="https://thumb.tapecontent.net/thumb/mrY8g3Qa0PCbL0e/qgA6ObPvvGhzJdO.jpg" TargetMode="External"/><Relationship Id="rId1461" Type="http://schemas.openxmlformats.org/officeDocument/2006/relationships/hyperlink" Target="https://lulustream.com/e/mgf3rg7wqy9a" TargetMode="External"/><Relationship Id="rId2305" Type="http://schemas.openxmlformats.org/officeDocument/2006/relationships/hyperlink" Target="https://doodstream.com/d/x61mp7gmx6p7/" TargetMode="External"/><Relationship Id="rId2512" Type="http://schemas.openxmlformats.org/officeDocument/2006/relationships/hyperlink" Target="https://doodstream.com/d/u68sjwmvpmhy/" TargetMode="External"/><Relationship Id="rId1114" Type="http://schemas.openxmlformats.org/officeDocument/2006/relationships/hyperlink" Target="https://lulustream.com/e/pixxv5izqsoc" TargetMode="External"/><Relationship Id="rId1321" Type="http://schemas.openxmlformats.org/officeDocument/2006/relationships/hyperlink" Target="https://thumb.tapecontent.net/thumb/49YzvL4e6QtKYoj/jbB7Adx77DHzZlQ.jpg" TargetMode="External"/><Relationship Id="rId4477" Type="http://schemas.openxmlformats.org/officeDocument/2006/relationships/hyperlink" Target="https://luluvdoo.com/d/ozlbc94q4eu2" TargetMode="External"/><Relationship Id="rId4684" Type="http://schemas.openxmlformats.org/officeDocument/2006/relationships/hyperlink" Target="https://thumb.tapecontent.net/thumb/LDA44W8VpZTR2Yv/OAD6eJWxw7CZy4Y.jpg" TargetMode="External"/><Relationship Id="rId3079" Type="http://schemas.openxmlformats.org/officeDocument/2006/relationships/hyperlink" Target="https://lulustream.com/d/hbbedc5ckluh" TargetMode="External"/><Relationship Id="rId3286" Type="http://schemas.openxmlformats.org/officeDocument/2006/relationships/hyperlink" Target="https://thumb.tapecontent.net/thumb/e2pLmj9dK9IoOe/gw9by88MwGs9Ro.jpg" TargetMode="External"/><Relationship Id="rId3493" Type="http://schemas.openxmlformats.org/officeDocument/2006/relationships/hyperlink" Target="https://thumb.tapecontent.net/thumb/Da47A4eYaLTkpPO/j4gvVDym3JszlRp.jpg" TargetMode="External"/><Relationship Id="rId4337" Type="http://schemas.openxmlformats.org/officeDocument/2006/relationships/hyperlink" Target="https://lulustream.com/d/sr8ooxyd8y7k" TargetMode="External"/><Relationship Id="rId4544" Type="http://schemas.openxmlformats.org/officeDocument/2006/relationships/hyperlink" Target="https://doodstream.com/d/27vvx5df98pv/" TargetMode="External"/><Relationship Id="rId2095" Type="http://schemas.openxmlformats.org/officeDocument/2006/relationships/hyperlink" Target="https://doodstream.com/d/tf3deflt8iaf/" TargetMode="External"/><Relationship Id="rId3146" Type="http://schemas.openxmlformats.org/officeDocument/2006/relationships/hyperlink" Target="https://doodstream.com/d/5yp8f4hflbew/" TargetMode="External"/><Relationship Id="rId3353" Type="http://schemas.openxmlformats.org/officeDocument/2006/relationships/hyperlink" Target="https://lulustream.com/d/971500ljm0wa" TargetMode="External"/><Relationship Id="rId4751" Type="http://schemas.openxmlformats.org/officeDocument/2006/relationships/hyperlink" Target="https://thumb.tapecontent.net/thumb/ygRRxAPGm8i1MmD/wZz4QgAG94uVZX.jpg" TargetMode="External"/><Relationship Id="rId274" Type="http://schemas.openxmlformats.org/officeDocument/2006/relationships/hyperlink" Target="https://doodstream.com/d/fsbzsjs5p1g1/" TargetMode="External"/><Relationship Id="rId481" Type="http://schemas.openxmlformats.org/officeDocument/2006/relationships/hyperlink" Target="https://doodstream.com/d/kjbuin47yk73/" TargetMode="External"/><Relationship Id="rId2162" Type="http://schemas.openxmlformats.org/officeDocument/2006/relationships/hyperlink" Target="https://doodstream.com/d/5t9qe26uqd22/" TargetMode="External"/><Relationship Id="rId3006" Type="http://schemas.openxmlformats.org/officeDocument/2006/relationships/hyperlink" Target="https://doodstream.com/d/dzjkywizqjad/" TargetMode="External"/><Relationship Id="rId3560" Type="http://schemas.openxmlformats.org/officeDocument/2006/relationships/hyperlink" Target="https://doodstream.com/d/lml3ydmzqb3l/" TargetMode="External"/><Relationship Id="rId4404" Type="http://schemas.openxmlformats.org/officeDocument/2006/relationships/hyperlink" Target="https://thumb.tapecontent.net/thumb/Q2B9mOPr1di06Dp/1pA1bwDz8puemPl.jpg" TargetMode="External"/><Relationship Id="rId4611" Type="http://schemas.openxmlformats.org/officeDocument/2006/relationships/hyperlink" Target="https://doodstream.com/d/fns4tu6wn1jm/" TargetMode="External"/><Relationship Id="rId134" Type="http://schemas.openxmlformats.org/officeDocument/2006/relationships/hyperlink" Target="https://thumb.tapecontent.net/thumb/O66WL4RL6wfZyqy/OkvkJ1GYlecZdBa.jpg" TargetMode="External"/><Relationship Id="rId3213" Type="http://schemas.openxmlformats.org/officeDocument/2006/relationships/hyperlink" Target="https://thumb.tapecontent.net/thumb/W8BxDe0aj6cbOJQ/DjA0ao0gYecxBv.jpg" TargetMode="External"/><Relationship Id="rId3420" Type="http://schemas.openxmlformats.org/officeDocument/2006/relationships/hyperlink" Target="https://thumb.tapecontent.net/thumb/YVl6YwveVgIvxV8/j7gvA6LZppHzwXM.jpg" TargetMode="External"/><Relationship Id="rId341" Type="http://schemas.openxmlformats.org/officeDocument/2006/relationships/hyperlink" Target="https://luluvdoo.com/d/irf7bg9h9pns" TargetMode="External"/><Relationship Id="rId2022" Type="http://schemas.openxmlformats.org/officeDocument/2006/relationships/hyperlink" Target="https://lulustream.com/e/atb073tp5tbl" TargetMode="External"/><Relationship Id="rId2979" Type="http://schemas.openxmlformats.org/officeDocument/2006/relationships/hyperlink" Target="https://doodstream.com/d/lmgj4sziwv55/" TargetMode="External"/><Relationship Id="rId201" Type="http://schemas.openxmlformats.org/officeDocument/2006/relationships/hyperlink" Target="https://lulustream.com/e/4v36v7ghh09u" TargetMode="External"/><Relationship Id="rId1788" Type="http://schemas.openxmlformats.org/officeDocument/2006/relationships/hyperlink" Target="https://thumb.tapecontent.net/thumb/VdkOo3bjgltKRLA/ZrpwXlaDDBsqzD8.jpg" TargetMode="External"/><Relationship Id="rId1995" Type="http://schemas.openxmlformats.org/officeDocument/2006/relationships/hyperlink" Target="https://thumb.tapecontent.net/thumb/wg6J0gjPVbhJJVp/JXJWok3PvBijjAX.jpg" TargetMode="External"/><Relationship Id="rId2839" Type="http://schemas.openxmlformats.org/officeDocument/2006/relationships/hyperlink" Target="https://lulustream.com/e/5wdzehgsiofi" TargetMode="External"/><Relationship Id="rId4194" Type="http://schemas.openxmlformats.org/officeDocument/2006/relationships/hyperlink" Target="https://doodstream.com/d/bznh9myepbde/" TargetMode="External"/><Relationship Id="rId1648" Type="http://schemas.openxmlformats.org/officeDocument/2006/relationships/hyperlink" Target="https://luluvdoo.com/d/tfvrnmfl8s38" TargetMode="External"/><Relationship Id="rId4054" Type="http://schemas.openxmlformats.org/officeDocument/2006/relationships/hyperlink" Target="https://doodstream.com/d/0w059bgd2zc6/" TargetMode="External"/><Relationship Id="rId4261" Type="http://schemas.openxmlformats.org/officeDocument/2006/relationships/hyperlink" Target="https://doodstream.com/d/dqt12h3dmytn/" TargetMode="External"/><Relationship Id="rId1508" Type="http://schemas.openxmlformats.org/officeDocument/2006/relationships/hyperlink" Target="https://thumb.tapecontent.net/thumb/W8r26gbZ2Rubwm6/ZaKY3BBRM6FqamM.jpg" TargetMode="External"/><Relationship Id="rId1855" Type="http://schemas.openxmlformats.org/officeDocument/2006/relationships/hyperlink" Target="https://doodstream.com/d/h8o4n5vguva0/" TargetMode="External"/><Relationship Id="rId2906" Type="http://schemas.openxmlformats.org/officeDocument/2006/relationships/hyperlink" Target="https://lulustream.com/d/gek3vp15apdx" TargetMode="External"/><Relationship Id="rId3070" Type="http://schemas.openxmlformats.org/officeDocument/2006/relationships/hyperlink" Target="https://lulustream.com/e/9o4bpulrnxg8" TargetMode="External"/><Relationship Id="rId4121" Type="http://schemas.openxmlformats.org/officeDocument/2006/relationships/hyperlink" Target="https://thumb.tapecontent.net/thumb/A0GP6dQ43wiXK7A/LJmkWZGYoAcRQdM.jpg" TargetMode="External"/><Relationship Id="rId1715" Type="http://schemas.openxmlformats.org/officeDocument/2006/relationships/hyperlink" Target="https://luluvdoo.com/d/jfioomjzb5mb" TargetMode="External"/><Relationship Id="rId1922" Type="http://schemas.openxmlformats.org/officeDocument/2006/relationships/hyperlink" Target="https://doodstream.com/d/rkmoiv4r5kkk/" TargetMode="External"/><Relationship Id="rId3887" Type="http://schemas.openxmlformats.org/officeDocument/2006/relationships/hyperlink" Target="https://lulustream.com/e/9rihpi4xmu1c" TargetMode="External"/><Relationship Id="rId2489" Type="http://schemas.openxmlformats.org/officeDocument/2006/relationships/hyperlink" Target="https://doodstream.com/d/cvai1xs1l6aa/" TargetMode="External"/><Relationship Id="rId2696" Type="http://schemas.openxmlformats.org/officeDocument/2006/relationships/hyperlink" Target="https://thumb.tapecontent.net/thumb/xPJg9mL01qfDJ1/mkxolPywX3ibZwl.jpg" TargetMode="External"/><Relationship Id="rId3747" Type="http://schemas.openxmlformats.org/officeDocument/2006/relationships/hyperlink" Target="https://luluvdoo.com/d/ohfgqdv0gy55" TargetMode="External"/><Relationship Id="rId3954" Type="http://schemas.openxmlformats.org/officeDocument/2006/relationships/hyperlink" Target="https://lulustream.com/d/a1s5s45detq9" TargetMode="External"/><Relationship Id="rId668" Type="http://schemas.openxmlformats.org/officeDocument/2006/relationships/hyperlink" Target="https://lulustream.com/d/vnbj4y14cex7" TargetMode="External"/><Relationship Id="rId875" Type="http://schemas.openxmlformats.org/officeDocument/2006/relationships/hyperlink" Target="https://lulustream.com/e/xb42mbfniyrk" TargetMode="External"/><Relationship Id="rId1298" Type="http://schemas.openxmlformats.org/officeDocument/2006/relationships/hyperlink" Target="https://thumb.tapecontent.net/thumb/3dP0r3xwx6fdVqb/e3Dq9PW9pgiY0KV.jpg" TargetMode="External"/><Relationship Id="rId2349" Type="http://schemas.openxmlformats.org/officeDocument/2006/relationships/hyperlink" Target="https://doodstream.com/d/7d1a66vxlquo/" TargetMode="External"/><Relationship Id="rId2556" Type="http://schemas.openxmlformats.org/officeDocument/2006/relationships/hyperlink" Target="https://thumb.tapecontent.net/thumb/WeqrBb31xaibxRv/KQxkm8GWM8U0yPb.jpg" TargetMode="External"/><Relationship Id="rId2763" Type="http://schemas.openxmlformats.org/officeDocument/2006/relationships/hyperlink" Target="https://lulustream.com/e/h2ukvzlf9rc8" TargetMode="External"/><Relationship Id="rId2970" Type="http://schemas.openxmlformats.org/officeDocument/2006/relationships/hyperlink" Target="https://lulustream.com/d/ubg3m9mzp2r3" TargetMode="External"/><Relationship Id="rId3607" Type="http://schemas.openxmlformats.org/officeDocument/2006/relationships/hyperlink" Target="https://lulustream.com/e/5sjzwvhpmk7m" TargetMode="External"/><Relationship Id="rId3814" Type="http://schemas.openxmlformats.org/officeDocument/2006/relationships/hyperlink" Target="https://lulustream.com/e/67yqrlqoh60p" TargetMode="External"/><Relationship Id="rId528" Type="http://schemas.openxmlformats.org/officeDocument/2006/relationships/hyperlink" Target="https://luluvdoo.com/d/htao4vby9vt7" TargetMode="External"/><Relationship Id="rId735" Type="http://schemas.openxmlformats.org/officeDocument/2006/relationships/hyperlink" Target="https://lulustream.com/d/6dv91pfoqz0u" TargetMode="External"/><Relationship Id="rId942" Type="http://schemas.openxmlformats.org/officeDocument/2006/relationships/hyperlink" Target="https://thumb.tapecontent.net/thumb/pDmWm2qDp7hWZW/aq6JwG4AXPfx6we.jpg" TargetMode="External"/><Relationship Id="rId1158" Type="http://schemas.openxmlformats.org/officeDocument/2006/relationships/hyperlink" Target="https://thumb.tapecontent.net/thumb/PZg3GkvBd8hDQ4/M6o7wZllDGCmmKa.jpg" TargetMode="External"/><Relationship Id="rId1365" Type="http://schemas.openxmlformats.org/officeDocument/2006/relationships/hyperlink" Target="https://lulustream.com/d/j0bfmbcprs0x" TargetMode="External"/><Relationship Id="rId1572" Type="http://schemas.openxmlformats.org/officeDocument/2006/relationships/hyperlink" Target="https://doodstream.com/d/qnvbkphfu4r8/" TargetMode="External"/><Relationship Id="rId2209" Type="http://schemas.openxmlformats.org/officeDocument/2006/relationships/hyperlink" Target="https://thumb.tapecontent.net/thumb/wgxa1OMA0BIJOlW/6wX4dJdKozsl2d.jpg" TargetMode="External"/><Relationship Id="rId2416" Type="http://schemas.openxmlformats.org/officeDocument/2006/relationships/hyperlink" Target="https://lulustream.com/e/6uba5bez22ht" TargetMode="External"/><Relationship Id="rId2623" Type="http://schemas.openxmlformats.org/officeDocument/2006/relationships/hyperlink" Target="https://thumb.tapecontent.net/thumb/Ogxr3jDYRlcZv8p/oWXV639xmOsJzbQ.jpg" TargetMode="External"/><Relationship Id="rId1018" Type="http://schemas.openxmlformats.org/officeDocument/2006/relationships/hyperlink" Target="https://doodstream.com/d/q2iop0enxaqt/" TargetMode="External"/><Relationship Id="rId1225" Type="http://schemas.openxmlformats.org/officeDocument/2006/relationships/hyperlink" Target="https://thumb.tapecontent.net/thumb/4W3d3DRQGmHKRqB/7KjZW3baqLTA1Rk.jpg" TargetMode="External"/><Relationship Id="rId1432" Type="http://schemas.openxmlformats.org/officeDocument/2006/relationships/hyperlink" Target="https://thumb.tapecontent.net/thumb/KQw83glv3KU0Q94/168Z9dwOR8S66m.jpg" TargetMode="External"/><Relationship Id="rId2830" Type="http://schemas.openxmlformats.org/officeDocument/2006/relationships/hyperlink" Target="https://thumb.tapecontent.net/thumb/vl7jBQlAlei4kBO/4zw22AjGZOHGeQ.jpg" TargetMode="External"/><Relationship Id="rId4588" Type="http://schemas.openxmlformats.org/officeDocument/2006/relationships/hyperlink" Target="https://doodstream.com/d/t2jaoxdkkn6t/" TargetMode="External"/><Relationship Id="rId71" Type="http://schemas.openxmlformats.org/officeDocument/2006/relationships/hyperlink" Target="https://lulustream.com/d/nd8bgmvefkyv" TargetMode="External"/><Relationship Id="rId802" Type="http://schemas.openxmlformats.org/officeDocument/2006/relationships/hyperlink" Target="https://doodstream.com/d/mi3re9hzs1nj/" TargetMode="External"/><Relationship Id="rId3397" Type="http://schemas.openxmlformats.org/officeDocument/2006/relationships/hyperlink" Target="https://doodstream.com/d/tgkeqz50u3zf/" TargetMode="External"/><Relationship Id="rId4448" Type="http://schemas.openxmlformats.org/officeDocument/2006/relationships/hyperlink" Target="https://luluvdoo.com/d/dezfkcm0ci1w" TargetMode="External"/><Relationship Id="rId4655" Type="http://schemas.openxmlformats.org/officeDocument/2006/relationships/hyperlink" Target="https://thumb.tapecontent.net/thumb/Qg8KDXbXZWCJ9K/xyPbW7pDAysq4a.jpg" TargetMode="External"/><Relationship Id="rId178" Type="http://schemas.openxmlformats.org/officeDocument/2006/relationships/hyperlink" Target="https://lulustream.com/d/b73sgo0j3vpk" TargetMode="External"/><Relationship Id="rId3257" Type="http://schemas.openxmlformats.org/officeDocument/2006/relationships/hyperlink" Target="https://doodstream.com/d/ovssk7h7io32/" TargetMode="External"/><Relationship Id="rId3464" Type="http://schemas.openxmlformats.org/officeDocument/2006/relationships/hyperlink" Target="https://thumb.tapecontent.net/thumb/ZwdQZelmGXtMg4/6BRQKZlM3BSLje.jpg" TargetMode="External"/><Relationship Id="rId3671" Type="http://schemas.openxmlformats.org/officeDocument/2006/relationships/hyperlink" Target="https://thumb.tapecontent.net/thumb/kwr8eKa4p7uOOQQ/APXRQL1b9gCXOaD.jpg" TargetMode="External"/><Relationship Id="rId4308" Type="http://schemas.openxmlformats.org/officeDocument/2006/relationships/hyperlink" Target="https://lulustream.com/e/ly18xxphau8x" TargetMode="External"/><Relationship Id="rId4515" Type="http://schemas.openxmlformats.org/officeDocument/2006/relationships/hyperlink" Target="https://doodstream.com/d/xqv8ncrci03o/" TargetMode="External"/><Relationship Id="rId4722" Type="http://schemas.openxmlformats.org/officeDocument/2006/relationships/hyperlink" Target="https://lulustream.com/d/ozolotc03e3p" TargetMode="External"/><Relationship Id="rId385" Type="http://schemas.openxmlformats.org/officeDocument/2006/relationships/hyperlink" Target="https://luluvdoo.com/d/dynbcnyjcbzg" TargetMode="External"/><Relationship Id="rId592" Type="http://schemas.openxmlformats.org/officeDocument/2006/relationships/hyperlink" Target="https://thumb.tapecontent.net/thumb/1WYRDpw0XMheoBD/YZGjkVA72pFo38.jpg" TargetMode="External"/><Relationship Id="rId2066" Type="http://schemas.openxmlformats.org/officeDocument/2006/relationships/hyperlink" Target="https://lulustream.com/e/3pyzkyzbrg1y" TargetMode="External"/><Relationship Id="rId2273" Type="http://schemas.openxmlformats.org/officeDocument/2006/relationships/hyperlink" Target="https://lulustream.com/d/py2ohol5uowk" TargetMode="External"/><Relationship Id="rId2480" Type="http://schemas.openxmlformats.org/officeDocument/2006/relationships/hyperlink" Target="https://lulustream.com/e/14qglm82goif" TargetMode="External"/><Relationship Id="rId3117" Type="http://schemas.openxmlformats.org/officeDocument/2006/relationships/hyperlink" Target="https://doodstream.com/d/c37uidbupzl8/" TargetMode="External"/><Relationship Id="rId3324" Type="http://schemas.openxmlformats.org/officeDocument/2006/relationships/hyperlink" Target="https://thumb.tapecontent.net/thumb/r4lagjLr6YFbBMg/pkp3l2j2eVFGoV.jpg" TargetMode="External"/><Relationship Id="rId3531" Type="http://schemas.openxmlformats.org/officeDocument/2006/relationships/hyperlink" Target="https://doodstream.com/d/2qlv9mdjzl2z/" TargetMode="External"/><Relationship Id="rId245" Type="http://schemas.openxmlformats.org/officeDocument/2006/relationships/hyperlink" Target="https://lulustream.com/e/asp928psjle8" TargetMode="External"/><Relationship Id="rId452" Type="http://schemas.openxmlformats.org/officeDocument/2006/relationships/hyperlink" Target="https://doodstream.com/d/29fxsu9lwzfg/" TargetMode="External"/><Relationship Id="rId1082" Type="http://schemas.openxmlformats.org/officeDocument/2006/relationships/hyperlink" Target="https://thumb.tapecontent.net/thumb/R4Pqaoal2gudo2e/2rv4mZbqGxTZ4o3.jpg" TargetMode="External"/><Relationship Id="rId2133" Type="http://schemas.openxmlformats.org/officeDocument/2006/relationships/hyperlink" Target="https://thumb.tapecontent.net/thumb/pD2dZGOl9gSr3pD/Q1JM1ze1x0F0o82.jpg" TargetMode="External"/><Relationship Id="rId2340" Type="http://schemas.openxmlformats.org/officeDocument/2006/relationships/hyperlink" Target="https://thumb.tapecontent.net/thumb/K0XlAwjrOLS0QO2/AL8MezRjQaIGL3.jpg" TargetMode="External"/><Relationship Id="rId105" Type="http://schemas.openxmlformats.org/officeDocument/2006/relationships/hyperlink" Target="https://doodstream.com/d/l2vlihsizlsp/" TargetMode="External"/><Relationship Id="rId312" Type="http://schemas.openxmlformats.org/officeDocument/2006/relationships/hyperlink" Target="https://luluvdoo.com/d/yfbqpwlp4x7a" TargetMode="External"/><Relationship Id="rId2200" Type="http://schemas.openxmlformats.org/officeDocument/2006/relationships/hyperlink" Target="https://lulustream.com/d/ya8n440rb4jw" TargetMode="External"/><Relationship Id="rId4098" Type="http://schemas.openxmlformats.org/officeDocument/2006/relationships/hyperlink" Target="https://lulustream.com/e/jsuztvck0t99" TargetMode="External"/><Relationship Id="rId1899" Type="http://schemas.openxmlformats.org/officeDocument/2006/relationships/hyperlink" Target="https://thumb.tapecontent.net/thumb/88y8O28e0LhXPr/goQ77BL9jXFq1Xy.jpg" TargetMode="External"/><Relationship Id="rId4165" Type="http://schemas.openxmlformats.org/officeDocument/2006/relationships/hyperlink" Target="https://lulustream.com/d/nox7cvvqj4e4" TargetMode="External"/><Relationship Id="rId4372" Type="http://schemas.openxmlformats.org/officeDocument/2006/relationships/hyperlink" Target="https://doodstream.com/d/hsi8qfulb760/" TargetMode="External"/><Relationship Id="rId1759" Type="http://schemas.openxmlformats.org/officeDocument/2006/relationships/hyperlink" Target="https://doodstream.com/d/g89802dekkou/" TargetMode="External"/><Relationship Id="rId1966" Type="http://schemas.openxmlformats.org/officeDocument/2006/relationships/hyperlink" Target="https://thumb.tapecontent.net/thumb/z7QX7Y2ZqVTy3z/Q3e0BD428Vc0177.jpg" TargetMode="External"/><Relationship Id="rId3181" Type="http://schemas.openxmlformats.org/officeDocument/2006/relationships/hyperlink" Target="https://lulustream.com/d/t6tb7zpietl3" TargetMode="External"/><Relationship Id="rId4025" Type="http://schemas.openxmlformats.org/officeDocument/2006/relationships/hyperlink" Target="https://thumb.tapecontent.net/thumb/038kx9GAkGSbo0y/oLkrQpl4z3tJgy2.jpg" TargetMode="External"/><Relationship Id="rId1619" Type="http://schemas.openxmlformats.org/officeDocument/2006/relationships/hyperlink" Target="https://lulustream.com/e/1b2p3ms2voay" TargetMode="External"/><Relationship Id="rId1826" Type="http://schemas.openxmlformats.org/officeDocument/2006/relationships/hyperlink" Target="https://lulustream.com/e/4rk20zvw6fpt" TargetMode="External"/><Relationship Id="rId4232" Type="http://schemas.openxmlformats.org/officeDocument/2006/relationships/hyperlink" Target="https://doodstream.com/d/jdfj7u14f02b/" TargetMode="External"/><Relationship Id="rId3041" Type="http://schemas.openxmlformats.org/officeDocument/2006/relationships/hyperlink" Target="https://thumb.tapecontent.net/thumb/dvPOVjqwKLIkowL/6wqrOPoVG7tZMB.jpg" TargetMode="External"/><Relationship Id="rId3998" Type="http://schemas.openxmlformats.org/officeDocument/2006/relationships/hyperlink" Target="https://thumb.tapecontent.net/thumb/mQd1zwKOz2Hb3MK/g9G143jOwaI4M9.jpg" TargetMode="External"/><Relationship Id="rId3858" Type="http://schemas.openxmlformats.org/officeDocument/2006/relationships/hyperlink" Target="https://doodstream.com/d/66ibvziycx23/" TargetMode="External"/><Relationship Id="rId779" Type="http://schemas.openxmlformats.org/officeDocument/2006/relationships/hyperlink" Target="https://doodstream.com/d/sp7gaebqrm5n/" TargetMode="External"/><Relationship Id="rId986" Type="http://schemas.openxmlformats.org/officeDocument/2006/relationships/hyperlink" Target="https://doodstream.com/d/6binq34esltf/" TargetMode="External"/><Relationship Id="rId2667" Type="http://schemas.openxmlformats.org/officeDocument/2006/relationships/hyperlink" Target="https://lulustream.com/e/9mz873tk4hgz" TargetMode="External"/><Relationship Id="rId3718" Type="http://schemas.openxmlformats.org/officeDocument/2006/relationships/hyperlink" Target="https://thumb.tapecontent.net/thumb/Xy7jd63191uDrW8/brwrblzKwqhPAPw.jpg" TargetMode="External"/><Relationship Id="rId639" Type="http://schemas.openxmlformats.org/officeDocument/2006/relationships/hyperlink" Target="https://doodstream.com/d/dqszjf9lqj8c/" TargetMode="External"/><Relationship Id="rId1269" Type="http://schemas.openxmlformats.org/officeDocument/2006/relationships/hyperlink" Target="https://thumb.tapecontent.net/thumb/26RrdjrOO4SZ90o/PW9q3qeY24I0Z1Q.jpg" TargetMode="External"/><Relationship Id="rId1476" Type="http://schemas.openxmlformats.org/officeDocument/2006/relationships/hyperlink" Target="https://thumb.tapecontent.net/thumb/xyDBQmBeAeik3Qr/wdxrPPgKrVtJ2rB.jpg" TargetMode="External"/><Relationship Id="rId2874" Type="http://schemas.openxmlformats.org/officeDocument/2006/relationships/hyperlink" Target="https://thumb.tapecontent.net/thumb/egOmPOx4xXSZxl/Bqmmpm7D3rsyLYM.jpg" TargetMode="External"/><Relationship Id="rId3925" Type="http://schemas.openxmlformats.org/officeDocument/2006/relationships/hyperlink" Target="https://thumb.tapecontent.net/thumb/pjYXe73OA3ir8gw/XwyowR6Jv9CDb3r.jpg" TargetMode="External"/><Relationship Id="rId846" Type="http://schemas.openxmlformats.org/officeDocument/2006/relationships/hyperlink" Target="https://doodstream.com/d/clzz4bgdlji9/" TargetMode="External"/><Relationship Id="rId1129" Type="http://schemas.openxmlformats.org/officeDocument/2006/relationships/hyperlink" Target="https://lulustream.com/e/lznr10d5u5xw" TargetMode="External"/><Relationship Id="rId1683" Type="http://schemas.openxmlformats.org/officeDocument/2006/relationships/hyperlink" Target="https://luluvdoo.com/d/ngtb14qcr9a9" TargetMode="External"/><Relationship Id="rId1890" Type="http://schemas.openxmlformats.org/officeDocument/2006/relationships/hyperlink" Target="https://thumb.tapecontent.net/thumb/lQGKl6Gka7U7r10/R6KjboOO10IdWqO.jpg" TargetMode="External"/><Relationship Id="rId2527" Type="http://schemas.openxmlformats.org/officeDocument/2006/relationships/hyperlink" Target="https://lulustream.com/d/etss5d4caxgy" TargetMode="External"/><Relationship Id="rId2734" Type="http://schemas.openxmlformats.org/officeDocument/2006/relationships/hyperlink" Target="https://doodstream.com/d/rax86kyr80dw/" TargetMode="External"/><Relationship Id="rId2941" Type="http://schemas.openxmlformats.org/officeDocument/2006/relationships/hyperlink" Target="https://lulustream.com/e/372l2rfp5yky" TargetMode="External"/><Relationship Id="rId706" Type="http://schemas.openxmlformats.org/officeDocument/2006/relationships/hyperlink" Target="https://lulustream.com/d/foqoudl9vew1" TargetMode="External"/><Relationship Id="rId913" Type="http://schemas.openxmlformats.org/officeDocument/2006/relationships/hyperlink" Target="https://doodstream.com/d/fuxj7ux624k9/" TargetMode="External"/><Relationship Id="rId1336" Type="http://schemas.openxmlformats.org/officeDocument/2006/relationships/hyperlink" Target="https://lulustream.com/e/tjtexl7icoyc" TargetMode="External"/><Relationship Id="rId1543" Type="http://schemas.openxmlformats.org/officeDocument/2006/relationships/hyperlink" Target="https://thumb.tapecontent.net/thumb/wdmxGmYXZrhx17/96vjBOmQwlT6Y9.jpg" TargetMode="External"/><Relationship Id="rId1750" Type="http://schemas.openxmlformats.org/officeDocument/2006/relationships/hyperlink" Target="https://luluvdoo.com/d/p7izqtz29g1b" TargetMode="External"/><Relationship Id="rId2801" Type="http://schemas.openxmlformats.org/officeDocument/2006/relationships/hyperlink" Target="https://lulustream.com/d/k5sbbvghi3sx" TargetMode="External"/><Relationship Id="rId4699" Type="http://schemas.openxmlformats.org/officeDocument/2006/relationships/hyperlink" Target="https://thumb.tapecontent.net/thumb/d3MJlqo22QhgeQ/oAyzD6eXdlsJ0XO.jpg" TargetMode="External"/><Relationship Id="rId42" Type="http://schemas.openxmlformats.org/officeDocument/2006/relationships/hyperlink" Target="https://doodstream.com/d/u4x7onq939v2/" TargetMode="External"/><Relationship Id="rId1403" Type="http://schemas.openxmlformats.org/officeDocument/2006/relationships/hyperlink" Target="https://lulustream.com/e/iyl8osibj0pn" TargetMode="External"/><Relationship Id="rId1610" Type="http://schemas.openxmlformats.org/officeDocument/2006/relationships/hyperlink" Target="https://lulustream.com/e/u646thgu0fuf" TargetMode="External"/><Relationship Id="rId4559" Type="http://schemas.openxmlformats.org/officeDocument/2006/relationships/hyperlink" Target="https://doodstream.com/d/f4fvc52lu4yc/" TargetMode="External"/><Relationship Id="rId4766" Type="http://schemas.openxmlformats.org/officeDocument/2006/relationships/hyperlink" Target="https://lulustream.com/d/9u3dkj6lmilo" TargetMode="External"/><Relationship Id="rId3368" Type="http://schemas.openxmlformats.org/officeDocument/2006/relationships/hyperlink" Target="https://thumb.tapecontent.net/thumb/GGX3blL1rDC1zwy/x3QxRxGlZJfkg02.jpg" TargetMode="External"/><Relationship Id="rId3575" Type="http://schemas.openxmlformats.org/officeDocument/2006/relationships/hyperlink" Target="https://doodstream.com/d/9q94y05fbbh0/" TargetMode="External"/><Relationship Id="rId3782" Type="http://schemas.openxmlformats.org/officeDocument/2006/relationships/hyperlink" Target="https://luluvdoo.com/d/bn8pj1f7gi8z" TargetMode="External"/><Relationship Id="rId4419" Type="http://schemas.openxmlformats.org/officeDocument/2006/relationships/hyperlink" Target="https://thumb.tapecontent.net/thumb/m1dmDoKzoQhbbqQ/qM2bpA6rl6Czmoe.jpg" TargetMode="External"/><Relationship Id="rId4626" Type="http://schemas.openxmlformats.org/officeDocument/2006/relationships/hyperlink" Target="https://doodstream.com/d/jgcm9da2cdmr/" TargetMode="External"/><Relationship Id="rId289" Type="http://schemas.openxmlformats.org/officeDocument/2006/relationships/hyperlink" Target="https://doodstream.com/d/ssrwm78yf3gd/" TargetMode="External"/><Relationship Id="rId496" Type="http://schemas.openxmlformats.org/officeDocument/2006/relationships/hyperlink" Target="https://doodstream.com/d/2yopv9l48zer/" TargetMode="External"/><Relationship Id="rId2177" Type="http://schemas.openxmlformats.org/officeDocument/2006/relationships/hyperlink" Target="https://doodstream.com/d/st12kao7d5tr/" TargetMode="External"/><Relationship Id="rId2384" Type="http://schemas.openxmlformats.org/officeDocument/2006/relationships/hyperlink" Target="https://thumb.tapecontent.net/thumb/Qak29jxWoqf0D16/lPMmOmayKAtvlL.jpg" TargetMode="External"/><Relationship Id="rId2591" Type="http://schemas.openxmlformats.org/officeDocument/2006/relationships/hyperlink" Target="https://thumb.tapecontent.net/thumb/Y7MbKbZ9GXHBmx/4ykb7Jl1keCKj6m.jpg" TargetMode="External"/><Relationship Id="rId3228" Type="http://schemas.openxmlformats.org/officeDocument/2006/relationships/hyperlink" Target="https://thumb.tapecontent.net/thumb/kbDjkvGLM7fOXDo/8R6pbRjaLwsozrL.jpg" TargetMode="External"/><Relationship Id="rId3435" Type="http://schemas.openxmlformats.org/officeDocument/2006/relationships/hyperlink" Target="https://lulustream.com/e/3ih30nbkyws3" TargetMode="External"/><Relationship Id="rId3642" Type="http://schemas.openxmlformats.org/officeDocument/2006/relationships/hyperlink" Target="https://thumb.tapecontent.net/thumb/KA0DbBx7ejS026e/ZPzLK0RBMzIqqGY.jpg" TargetMode="External"/><Relationship Id="rId149" Type="http://schemas.openxmlformats.org/officeDocument/2006/relationships/hyperlink" Target="https://lulustream.com/d/ww8si6yh7rl2" TargetMode="External"/><Relationship Id="rId356" Type="http://schemas.openxmlformats.org/officeDocument/2006/relationships/hyperlink" Target="https://doodstream.com/d/z2bq2cpsogf9/" TargetMode="External"/><Relationship Id="rId563" Type="http://schemas.openxmlformats.org/officeDocument/2006/relationships/hyperlink" Target="https://lulustream.com/e/mvf66luox97q" TargetMode="External"/><Relationship Id="rId770" Type="http://schemas.openxmlformats.org/officeDocument/2006/relationships/hyperlink" Target="https://doodstream.com/d/r88zjgz4zzj8/" TargetMode="External"/><Relationship Id="rId1193" Type="http://schemas.openxmlformats.org/officeDocument/2006/relationships/hyperlink" Target="https://thumb.tapecontent.net/thumb/AA28D3KLokiXlO2/6RalP6PR07t984r.jpg" TargetMode="External"/><Relationship Id="rId2037" Type="http://schemas.openxmlformats.org/officeDocument/2006/relationships/hyperlink" Target="https://thumb.tapecontent.net/thumb/r4ozdklLM1CbjDJ/Y1G3gOlkxPFvAgG.jpg" TargetMode="External"/><Relationship Id="rId2244" Type="http://schemas.openxmlformats.org/officeDocument/2006/relationships/hyperlink" Target="https://lulustream.com/e/qefp33yb2o9x" TargetMode="External"/><Relationship Id="rId2451" Type="http://schemas.openxmlformats.org/officeDocument/2006/relationships/hyperlink" Target="https://lulustream.com/d/qmlumtlhky2k" TargetMode="External"/><Relationship Id="rId216" Type="http://schemas.openxmlformats.org/officeDocument/2006/relationships/hyperlink" Target="https://thumb.tapecontent.net/thumb/GbbXKDr1qQCAbr/kW3b2421qbhOOjM.jpg" TargetMode="External"/><Relationship Id="rId423" Type="http://schemas.openxmlformats.org/officeDocument/2006/relationships/hyperlink" Target="https://thumb.tapecontent.net/thumb/dpMAkmy8ROHkRJY/qZyAWLyY90TzeVq.jpg" TargetMode="External"/><Relationship Id="rId1053" Type="http://schemas.openxmlformats.org/officeDocument/2006/relationships/hyperlink" Target="https://thumb.tapecontent.net/thumb/GeLlxkL4alT1e3g/vKzWePJZXkCB8x.jpg" TargetMode="External"/><Relationship Id="rId1260" Type="http://schemas.openxmlformats.org/officeDocument/2006/relationships/hyperlink" Target="https://thumb.tapecontent.net/thumb/kPqJDx2lYrIOqW4/Q3RxY4MpXyT06Xg.jpg" TargetMode="External"/><Relationship Id="rId2104" Type="http://schemas.openxmlformats.org/officeDocument/2006/relationships/hyperlink" Target="https://doodstream.com/e/qiwhfj65idwd/" TargetMode="External"/><Relationship Id="rId3502" Type="http://schemas.openxmlformats.org/officeDocument/2006/relationships/hyperlink" Target="https://thumb.tapecontent.net/thumb/Zb0vlywzD8Sq9ZR/dRgVXAzXpDSkWJK.jpg" TargetMode="External"/><Relationship Id="rId630" Type="http://schemas.openxmlformats.org/officeDocument/2006/relationships/hyperlink" Target="https://thumb.tapecontent.net/thumb/WGAR199GywSbJ6L/gLwPja3RdYCBp6.jpg" TargetMode="External"/><Relationship Id="rId2311" Type="http://schemas.openxmlformats.org/officeDocument/2006/relationships/hyperlink" Target="https://doodstream.com/d/hsb7sx3q7zo1/" TargetMode="External"/><Relationship Id="rId4069" Type="http://schemas.openxmlformats.org/officeDocument/2006/relationships/hyperlink" Target="https://thumb.tapecontent.net/thumb/kK71RRwjzqUOXXm/waPoOpX4jmFeVx.jpg" TargetMode="External"/><Relationship Id="rId1120" Type="http://schemas.openxmlformats.org/officeDocument/2006/relationships/hyperlink" Target="https://lulustream.com/e/zzu2fnzlzmiq" TargetMode="External"/><Relationship Id="rId4276" Type="http://schemas.openxmlformats.org/officeDocument/2006/relationships/hyperlink" Target="https://thumb.tapecontent.net/thumb/jqxJVJkveYILzg/1x0jlRMr0YIeqWb.jpg" TargetMode="External"/><Relationship Id="rId4483" Type="http://schemas.openxmlformats.org/officeDocument/2006/relationships/hyperlink" Target="https://luluvdoo.com/d/x3w3kvpepoyc" TargetMode="External"/><Relationship Id="rId4690" Type="http://schemas.openxmlformats.org/officeDocument/2006/relationships/hyperlink" Target="https://doodstream.com/d/vp95a8ljqbgk/" TargetMode="External"/><Relationship Id="rId1937" Type="http://schemas.openxmlformats.org/officeDocument/2006/relationships/hyperlink" Target="https://thumb.tapecontent.net/thumb/djBY3vvyJdIkKGR/o9WZzzBvWoTJgRW.jpg" TargetMode="External"/><Relationship Id="rId3085" Type="http://schemas.openxmlformats.org/officeDocument/2006/relationships/hyperlink" Target="https://thumb.tapecontent.net/thumb/BvjVR1BaOrsVBV/ZDJYAemmeZUqJeg.jpg" TargetMode="External"/><Relationship Id="rId3292" Type="http://schemas.openxmlformats.org/officeDocument/2006/relationships/hyperlink" Target="https://doodstream.com/d/jomr5dxbylpo/" TargetMode="External"/><Relationship Id="rId4136" Type="http://schemas.openxmlformats.org/officeDocument/2006/relationships/hyperlink" Target="https://doodstream.com/d/0634svrp44tk/" TargetMode="External"/><Relationship Id="rId4343" Type="http://schemas.openxmlformats.org/officeDocument/2006/relationships/hyperlink" Target="https://thumb.tapecontent.net/thumb/lA36RReLBAS7q3M/8d36bBGzbdtMRV.jpg" TargetMode="External"/><Relationship Id="rId4550" Type="http://schemas.openxmlformats.org/officeDocument/2006/relationships/hyperlink" Target="https://doodstream.com/d/8i40uov6ufa3/" TargetMode="External"/><Relationship Id="rId3152" Type="http://schemas.openxmlformats.org/officeDocument/2006/relationships/hyperlink" Target="https://luluvdoo.com/d/ktk4j7iv7pkj" TargetMode="External"/><Relationship Id="rId4203" Type="http://schemas.openxmlformats.org/officeDocument/2006/relationships/hyperlink" Target="https://thumb.tapecontent.net/thumb/gozpy6Q7lVcv4G/jAaj6KGYX8tDDP.jpg" TargetMode="External"/><Relationship Id="rId4410" Type="http://schemas.openxmlformats.org/officeDocument/2006/relationships/hyperlink" Target="https://thumb.tapecontent.net/thumb/6k8AqDV9Lpu9B74/yl4OR1g16eF1DKW.jpg" TargetMode="External"/><Relationship Id="rId280" Type="http://schemas.openxmlformats.org/officeDocument/2006/relationships/hyperlink" Target="https://doodstream.com/d/w7sugeleoo01/" TargetMode="External"/><Relationship Id="rId3012" Type="http://schemas.openxmlformats.org/officeDocument/2006/relationships/hyperlink" Target="https://thumb.tapecontent.net/thumb/qKrZ46OpGvUzg8m/BAe33V0VBoTy4Zm.jpg" TargetMode="External"/><Relationship Id="rId140" Type="http://schemas.openxmlformats.org/officeDocument/2006/relationships/hyperlink" Target="https://lulustream.com/d/4rih20zzj9rp" TargetMode="External"/><Relationship Id="rId3969" Type="http://schemas.openxmlformats.org/officeDocument/2006/relationships/hyperlink" Target="https://thumb.tapecontent.net/thumb/k3ywYXawkzIOLK9/Wp7wbJe8RPtb4Mp.jpg" TargetMode="External"/><Relationship Id="rId6" Type="http://schemas.openxmlformats.org/officeDocument/2006/relationships/hyperlink" Target="https://thumb.tapecontent.net/thumb/vxMBoKwORPCJpO/2BRjoBbq3xFZgVp.jpg" TargetMode="External"/><Relationship Id="rId2778" Type="http://schemas.openxmlformats.org/officeDocument/2006/relationships/hyperlink" Target="https://thumb.tapecontent.net/thumb/olveAvd1mPsJ6qX/zbG1XjZMJbHY0gq.jpg" TargetMode="External"/><Relationship Id="rId2985" Type="http://schemas.openxmlformats.org/officeDocument/2006/relationships/hyperlink" Target="https://lulustream.com/e/ha5odfou3gw5" TargetMode="External"/><Relationship Id="rId3829" Type="http://schemas.openxmlformats.org/officeDocument/2006/relationships/hyperlink" Target="https://thumb.tapecontent.net/thumb/Yp2QGKpqwkFvWgr/W9Z9J3XpyLIbKWP.jpg" TargetMode="External"/><Relationship Id="rId957" Type="http://schemas.openxmlformats.org/officeDocument/2006/relationships/hyperlink" Target="https://lulustream.com/d/414r9mc1uhqn" TargetMode="External"/><Relationship Id="rId1587" Type="http://schemas.openxmlformats.org/officeDocument/2006/relationships/hyperlink" Target="https://lulustream.com/e/mb7uqypc4e8w" TargetMode="External"/><Relationship Id="rId1794" Type="http://schemas.openxmlformats.org/officeDocument/2006/relationships/hyperlink" Target="https://thumb.tapecontent.net/thumb/jpAYJeKvAmizK12/MJ9ldJapWXIGdG.jpg" TargetMode="External"/><Relationship Id="rId2638" Type="http://schemas.openxmlformats.org/officeDocument/2006/relationships/hyperlink" Target="https://lulustream.com/e/dauoykzezqdb" TargetMode="External"/><Relationship Id="rId2845" Type="http://schemas.openxmlformats.org/officeDocument/2006/relationships/hyperlink" Target="https://thumb.tapecontent.net/thumb/a404AGK78xsxLlj/09gkDJaeJvSb7RG.jpg" TargetMode="External"/><Relationship Id="rId86" Type="http://schemas.openxmlformats.org/officeDocument/2006/relationships/hyperlink" Target="https://lulustream.com/e/f7w5iqfwefo5" TargetMode="External"/><Relationship Id="rId817" Type="http://schemas.openxmlformats.org/officeDocument/2006/relationships/hyperlink" Target="https://luluvdoo.com/d/hltwpr4eetkr" TargetMode="External"/><Relationship Id="rId1447" Type="http://schemas.openxmlformats.org/officeDocument/2006/relationships/hyperlink" Target="https://lulustream.com/e/opn45upygy81" TargetMode="External"/><Relationship Id="rId1654" Type="http://schemas.openxmlformats.org/officeDocument/2006/relationships/hyperlink" Target="https://thumb.tapecontent.net/thumb/8Ovx63O4kJUX63/JKJvDyV1jKSjqVJ.jpg" TargetMode="External"/><Relationship Id="rId1861" Type="http://schemas.openxmlformats.org/officeDocument/2006/relationships/hyperlink" Target="https://doodstream.com/d/pev2r8wpjhpz/" TargetMode="External"/><Relationship Id="rId2705" Type="http://schemas.openxmlformats.org/officeDocument/2006/relationships/hyperlink" Target="https://lulustream.com/d/239zrm70b2sx" TargetMode="External"/><Relationship Id="rId2912" Type="http://schemas.openxmlformats.org/officeDocument/2006/relationships/hyperlink" Target="https://thumb.tapecontent.net/thumb/QA3w9WedM7sJ9b/6mL3RVL9KRIePM.jpg" TargetMode="External"/><Relationship Id="rId4060" Type="http://schemas.openxmlformats.org/officeDocument/2006/relationships/hyperlink" Target="https://doodstream.com/d/2ly4dnta1mh1/" TargetMode="External"/><Relationship Id="rId1307" Type="http://schemas.openxmlformats.org/officeDocument/2006/relationships/hyperlink" Target="https://lulustream.com/d/7e05wi4iu9o3" TargetMode="External"/><Relationship Id="rId1514" Type="http://schemas.openxmlformats.org/officeDocument/2006/relationships/hyperlink" Target="https://thumb.tapecontent.net/thumb/wlyBQbO7yqIJMy3/1jZKOx9R8BTeeKx.jpg" TargetMode="External"/><Relationship Id="rId1721" Type="http://schemas.openxmlformats.org/officeDocument/2006/relationships/hyperlink" Target="https://thumb.tapecontent.net/thumb/V8aVk9OBvDhKdm3/ao4pgjzoz2cxkbV.jpg" TargetMode="External"/><Relationship Id="rId13" Type="http://schemas.openxmlformats.org/officeDocument/2006/relationships/hyperlink" Target="https://lulustream.com/e/m4q76vm6vdz8" TargetMode="External"/><Relationship Id="rId3479" Type="http://schemas.openxmlformats.org/officeDocument/2006/relationships/hyperlink" Target="https://lulustream.com/d/5sbkpgb702h3" TargetMode="External"/><Relationship Id="rId3686" Type="http://schemas.openxmlformats.org/officeDocument/2006/relationships/hyperlink" Target="https://lulustream.com/e/a05piznf89ys" TargetMode="External"/><Relationship Id="rId2288" Type="http://schemas.openxmlformats.org/officeDocument/2006/relationships/hyperlink" Target="https://lulustream.com/e/d6ulih3epqjb" TargetMode="External"/><Relationship Id="rId2495" Type="http://schemas.openxmlformats.org/officeDocument/2006/relationships/hyperlink" Target="https://lulustream.com/d/f68adjt9ergr" TargetMode="External"/><Relationship Id="rId3339" Type="http://schemas.openxmlformats.org/officeDocument/2006/relationships/hyperlink" Target="https://lulustream.com/e/50wi2wnp7oyn" TargetMode="External"/><Relationship Id="rId3893" Type="http://schemas.openxmlformats.org/officeDocument/2006/relationships/hyperlink" Target="https://thumb.tapecontent.net/thumb/WgQzv01OrYtRwv/z6mQwX1vd9iQ8B.jpg" TargetMode="External"/><Relationship Id="rId4737" Type="http://schemas.openxmlformats.org/officeDocument/2006/relationships/hyperlink" Target="https://thumb.tapecontent.net/thumb/8v2aBKWmDWFompl/vWYJm8mVGGf4y6e.jpg" TargetMode="External"/><Relationship Id="rId467" Type="http://schemas.openxmlformats.org/officeDocument/2006/relationships/hyperlink" Target="https://luluvdoo.com/d/0dnfoxjoam4n" TargetMode="External"/><Relationship Id="rId1097" Type="http://schemas.openxmlformats.org/officeDocument/2006/relationships/hyperlink" Target="https://lulustream.com/e/cz8du1fy9310" TargetMode="External"/><Relationship Id="rId2148" Type="http://schemas.openxmlformats.org/officeDocument/2006/relationships/hyperlink" Target="https://lulustream.com/d/1rfrm84wxrkt" TargetMode="External"/><Relationship Id="rId3546" Type="http://schemas.openxmlformats.org/officeDocument/2006/relationships/hyperlink" Target="https://lulustream.com/d/49twtvt2z3ww" TargetMode="External"/><Relationship Id="rId3753" Type="http://schemas.openxmlformats.org/officeDocument/2006/relationships/hyperlink" Target="https://luluvdoo.com/d/dsdz5dxabs0u" TargetMode="External"/><Relationship Id="rId3960" Type="http://schemas.openxmlformats.org/officeDocument/2006/relationships/hyperlink" Target="https://thumb.tapecontent.net/thumb/op2eVLZbe8I34D/dLo7OwPYReckqRY.jpg" TargetMode="External"/><Relationship Id="rId674" Type="http://schemas.openxmlformats.org/officeDocument/2006/relationships/hyperlink" Target="https://lulustream.com/d/svyhpatvkjvm" TargetMode="External"/><Relationship Id="rId881" Type="http://schemas.openxmlformats.org/officeDocument/2006/relationships/hyperlink" Target="https://lulustream.com/e/jzmyboagw8mf" TargetMode="External"/><Relationship Id="rId2355" Type="http://schemas.openxmlformats.org/officeDocument/2006/relationships/hyperlink" Target="https://doodstream.com/d/e03yscuf9enj/" TargetMode="External"/><Relationship Id="rId2562" Type="http://schemas.openxmlformats.org/officeDocument/2006/relationships/hyperlink" Target="https://doodstream.com/d/mziyqhkmpcrv/" TargetMode="External"/><Relationship Id="rId3406" Type="http://schemas.openxmlformats.org/officeDocument/2006/relationships/hyperlink" Target="https://lulustream.com/d/iwpffprd4nna" TargetMode="External"/><Relationship Id="rId3613" Type="http://schemas.openxmlformats.org/officeDocument/2006/relationships/hyperlink" Target="https://thumb.tapecontent.net/thumb/ol4O1WmRpqtJXaM/J2AkwoOLZRCj3GB.jpg" TargetMode="External"/><Relationship Id="rId3820" Type="http://schemas.openxmlformats.org/officeDocument/2006/relationships/hyperlink" Target="https://thumb.tapecontent.net/thumb/KQB0Bwm12OS0ekJ/PjxqkAPv1pU0QgP.jpg" TargetMode="External"/><Relationship Id="rId327" Type="http://schemas.openxmlformats.org/officeDocument/2006/relationships/hyperlink" Target="https://thumb.tapecontent.net/thumb/PJKqdOgX9jC0zbe/r6wD2JwLobub1XR.jpg" TargetMode="External"/><Relationship Id="rId534" Type="http://schemas.openxmlformats.org/officeDocument/2006/relationships/hyperlink" Target="https://thumb.tapecontent.net/thumb/6jGwDzabWzf90go/vV83YmxMrxI4yqG.jpg" TargetMode="External"/><Relationship Id="rId741" Type="http://schemas.openxmlformats.org/officeDocument/2006/relationships/hyperlink" Target="https://lulustream.com/e/y2cxax53k1y5" TargetMode="External"/><Relationship Id="rId1164" Type="http://schemas.openxmlformats.org/officeDocument/2006/relationships/hyperlink" Target="https://lulustream.com/d/5wy5emvbfkal" TargetMode="External"/><Relationship Id="rId1371" Type="http://schemas.openxmlformats.org/officeDocument/2006/relationships/hyperlink" Target="https://doodstream.com/d/qi6zcsbps9rk/" TargetMode="External"/><Relationship Id="rId2008" Type="http://schemas.openxmlformats.org/officeDocument/2006/relationships/hyperlink" Target="https://thumb.tapecontent.net/thumb/eAo1rp4Pxlt22G/7jRz7wlvq9U4RR.jpg" TargetMode="External"/><Relationship Id="rId2215" Type="http://schemas.openxmlformats.org/officeDocument/2006/relationships/hyperlink" Target="https://thumb.tapecontent.net/thumb/mllggqPRPos6Mr/41L8m6YQxDSKYjW.jpg" TargetMode="External"/><Relationship Id="rId2422" Type="http://schemas.openxmlformats.org/officeDocument/2006/relationships/hyperlink" Target="https://lulustream.com/e/89jccszu9zr5" TargetMode="External"/><Relationship Id="rId601" Type="http://schemas.openxmlformats.org/officeDocument/2006/relationships/hyperlink" Target="https://lulustream.com/d/9gl7yerj6s3n" TargetMode="External"/><Relationship Id="rId1024" Type="http://schemas.openxmlformats.org/officeDocument/2006/relationships/hyperlink" Target="https://doodstream.com/d/srl6id3e6sve/" TargetMode="External"/><Relationship Id="rId1231" Type="http://schemas.openxmlformats.org/officeDocument/2006/relationships/hyperlink" Target="https://thumb.tapecontent.net/thumb/Yw91Dvo3Y6CvlRm/Pr8lGzMK2BT0v82.jpg" TargetMode="External"/><Relationship Id="rId4387" Type="http://schemas.openxmlformats.org/officeDocument/2006/relationships/hyperlink" Target="https://lulustream.com/e/bvoyfsee93q2" TargetMode="External"/><Relationship Id="rId4594" Type="http://schemas.openxmlformats.org/officeDocument/2006/relationships/hyperlink" Target="https://doodstream.com/d/5gb9lqi8azc6/" TargetMode="External"/><Relationship Id="rId3196" Type="http://schemas.openxmlformats.org/officeDocument/2006/relationships/hyperlink" Target="https://doodstream.com/d/h5rkupr5eiie/" TargetMode="External"/><Relationship Id="rId4247" Type="http://schemas.openxmlformats.org/officeDocument/2006/relationships/hyperlink" Target="https://lulustream.com/e/9i518lxy38qf" TargetMode="External"/><Relationship Id="rId4454" Type="http://schemas.openxmlformats.org/officeDocument/2006/relationships/hyperlink" Target="https://luluvdoo.com/d/1iuqalq63kj4" TargetMode="External"/><Relationship Id="rId4661" Type="http://schemas.openxmlformats.org/officeDocument/2006/relationships/hyperlink" Target="https://lulustream.com/d/35fk9sqbf3zk" TargetMode="External"/><Relationship Id="rId3056" Type="http://schemas.openxmlformats.org/officeDocument/2006/relationships/hyperlink" Target="https://thumb.tapecontent.net/thumb/eAm6yvkmjZcYzAR/6w2mVzoejLt9jQq.jpg" TargetMode="External"/><Relationship Id="rId3263" Type="http://schemas.openxmlformats.org/officeDocument/2006/relationships/hyperlink" Target="https://doodstream.com/d/51mxzz1joji8/" TargetMode="External"/><Relationship Id="rId3470" Type="http://schemas.openxmlformats.org/officeDocument/2006/relationships/hyperlink" Target="https://thumb.tapecontent.net/thumb/r9jB6ewjvLfY6p/o6bJP2eOdmubwV.jpg" TargetMode="External"/><Relationship Id="rId4107" Type="http://schemas.openxmlformats.org/officeDocument/2006/relationships/hyperlink" Target="https://thumb.tapecontent.net/thumb/R47WjLMyQrTdGxd/g2DPGJRWpBHqQ6l.jpg" TargetMode="External"/><Relationship Id="rId4314" Type="http://schemas.openxmlformats.org/officeDocument/2006/relationships/hyperlink" Target="https://lulustream.com/e/s5cddseui5kr" TargetMode="External"/><Relationship Id="rId184" Type="http://schemas.openxmlformats.org/officeDocument/2006/relationships/hyperlink" Target="https://lulustream.com/e/ncudry5gld17" TargetMode="External"/><Relationship Id="rId391" Type="http://schemas.openxmlformats.org/officeDocument/2006/relationships/hyperlink" Target="https://thumb.tapecontent.net/thumb/X2B6BO9zaWUDr7e/MebjMwzz8ztmjok.jpg" TargetMode="External"/><Relationship Id="rId1908" Type="http://schemas.openxmlformats.org/officeDocument/2006/relationships/hyperlink" Target="https://doodstream.com/d/oup0jk5e8opc/" TargetMode="External"/><Relationship Id="rId2072" Type="http://schemas.openxmlformats.org/officeDocument/2006/relationships/hyperlink" Target="https://lulustream.com/e/bjjn5qqgykw7" TargetMode="External"/><Relationship Id="rId3123" Type="http://schemas.openxmlformats.org/officeDocument/2006/relationships/hyperlink" Target="https://doodstream.com/d/r567rlxm5pib/" TargetMode="External"/><Relationship Id="rId4521" Type="http://schemas.openxmlformats.org/officeDocument/2006/relationships/hyperlink" Target="https://doodstream.com/d/0nnz9sggc6vk/" TargetMode="External"/><Relationship Id="rId251" Type="http://schemas.openxmlformats.org/officeDocument/2006/relationships/hyperlink" Target="https://lulustream.com/e/ielday2z6wym" TargetMode="External"/><Relationship Id="rId3330" Type="http://schemas.openxmlformats.org/officeDocument/2006/relationships/hyperlink" Target="https://lulustream.com/d/dnqbycju29ke" TargetMode="External"/><Relationship Id="rId2889" Type="http://schemas.openxmlformats.org/officeDocument/2006/relationships/hyperlink" Target="https://lulustream.com/d/2uux38n9r9p6" TargetMode="External"/><Relationship Id="rId111" Type="http://schemas.openxmlformats.org/officeDocument/2006/relationships/hyperlink" Target="https://lulustream.com/d/pud0bkebjtup" TargetMode="External"/><Relationship Id="rId1698" Type="http://schemas.openxmlformats.org/officeDocument/2006/relationships/hyperlink" Target="https://thumb.tapecontent.net/thumb/G9eXZ8lDPYiY77/RgOR14bO1DcdOje.jpg" TargetMode="External"/><Relationship Id="rId2749" Type="http://schemas.openxmlformats.org/officeDocument/2006/relationships/hyperlink" Target="https://lulustream.com/e/kvhj3yb9w8rd" TargetMode="External"/><Relationship Id="rId2956" Type="http://schemas.openxmlformats.org/officeDocument/2006/relationships/hyperlink" Target="https://doodstream.com/d/lz02l8oww3f3/" TargetMode="External"/><Relationship Id="rId928" Type="http://schemas.openxmlformats.org/officeDocument/2006/relationships/hyperlink" Target="https://doodstream.com/d/5ahlb1alma9e/" TargetMode="External"/><Relationship Id="rId1558" Type="http://schemas.openxmlformats.org/officeDocument/2006/relationships/hyperlink" Target="https://doodstream.com/d/py5k8z99xnet/" TargetMode="External"/><Relationship Id="rId1765" Type="http://schemas.openxmlformats.org/officeDocument/2006/relationships/hyperlink" Target="https://doodstream.com/d/auz1pld4ard7/" TargetMode="External"/><Relationship Id="rId2609" Type="http://schemas.openxmlformats.org/officeDocument/2006/relationships/hyperlink" Target="https://thumb.tapecontent.net/thumb/Pjjr9Kg6LatbYd/LqOYg9pZpKFWz3.jpg" TargetMode="External"/><Relationship Id="rId4171" Type="http://schemas.openxmlformats.org/officeDocument/2006/relationships/hyperlink" Target="https://lulustream.com/d/vcf1qsbyhg0f" TargetMode="External"/><Relationship Id="rId57" Type="http://schemas.openxmlformats.org/officeDocument/2006/relationships/hyperlink" Target="https://lulustream.com/d/o4mlp4evm3wy" TargetMode="External"/><Relationship Id="rId1418" Type="http://schemas.openxmlformats.org/officeDocument/2006/relationships/hyperlink" Target="https://lulustream.com/d/8z26rddc54pe" TargetMode="External"/><Relationship Id="rId1972" Type="http://schemas.openxmlformats.org/officeDocument/2006/relationships/hyperlink" Target="https://doodstream.com/d/3tv7rsf4pt8x/" TargetMode="External"/><Relationship Id="rId2816" Type="http://schemas.openxmlformats.org/officeDocument/2006/relationships/hyperlink" Target="https://doodstream.com/d/yvv8vnhho7zt/" TargetMode="External"/><Relationship Id="rId4031" Type="http://schemas.openxmlformats.org/officeDocument/2006/relationships/hyperlink" Target="https://thumb.tapecontent.net/thumb/PqX9koKyoGT04Wz/3DLVbvVkLbURpw.jpg" TargetMode="External"/><Relationship Id="rId1625" Type="http://schemas.openxmlformats.org/officeDocument/2006/relationships/hyperlink" Target="https://thumb.tapecontent.net/thumb/1xxyYbO3j6feoyY/XJ91l4DJPQfzR3.jpg" TargetMode="External"/><Relationship Id="rId1832" Type="http://schemas.openxmlformats.org/officeDocument/2006/relationships/hyperlink" Target="https://lulustream.com/e/31nozwo7ykgx" TargetMode="External"/><Relationship Id="rId3797" Type="http://schemas.openxmlformats.org/officeDocument/2006/relationships/hyperlink" Target="https://luluvdoo.com/d/xfilcz1bifnl" TargetMode="External"/><Relationship Id="rId2399" Type="http://schemas.openxmlformats.org/officeDocument/2006/relationships/hyperlink" Target="https://doodstream.com/d/yof0mtnzbrnl/" TargetMode="External"/><Relationship Id="rId3657" Type="http://schemas.openxmlformats.org/officeDocument/2006/relationships/hyperlink" Target="https://doodstream.com/d/6dan04v6dnb2/" TargetMode="External"/><Relationship Id="rId3864" Type="http://schemas.openxmlformats.org/officeDocument/2006/relationships/hyperlink" Target="https://lulustream.com/e/9op2s123g5l7" TargetMode="External"/><Relationship Id="rId4708" Type="http://schemas.openxmlformats.org/officeDocument/2006/relationships/hyperlink" Target="https://lulustream.com/d/u9hkyyat701p" TargetMode="External"/><Relationship Id="rId578" Type="http://schemas.openxmlformats.org/officeDocument/2006/relationships/hyperlink" Target="https://lulustream.com/e/bik7da2mi4mp" TargetMode="External"/><Relationship Id="rId785" Type="http://schemas.openxmlformats.org/officeDocument/2006/relationships/hyperlink" Target="https://lulustream.com/e/xcy82mkqhni0" TargetMode="External"/><Relationship Id="rId992" Type="http://schemas.openxmlformats.org/officeDocument/2006/relationships/hyperlink" Target="https://doodstream.com/d/vkskkm6z9eae/" TargetMode="External"/><Relationship Id="rId2259" Type="http://schemas.openxmlformats.org/officeDocument/2006/relationships/hyperlink" Target="https://lulustream.com/e/eb2eff3i7exd" TargetMode="External"/><Relationship Id="rId2466" Type="http://schemas.openxmlformats.org/officeDocument/2006/relationships/hyperlink" Target="https://thumb.tapecontent.net/thumb/46336o6jaRtKDXv/Zqgj6Lv16JTqXX3.jpg" TargetMode="External"/><Relationship Id="rId2673" Type="http://schemas.openxmlformats.org/officeDocument/2006/relationships/hyperlink" Target="https://thumb.tapecontent.net/thumb/beD3pVvr6QfP36G/b11lljDBAlUPbKy.jpg" TargetMode="External"/><Relationship Id="rId2880" Type="http://schemas.openxmlformats.org/officeDocument/2006/relationships/hyperlink" Target="https://doodstream.com/d/zwqej4hkfdu9/" TargetMode="External"/><Relationship Id="rId3517" Type="http://schemas.openxmlformats.org/officeDocument/2006/relationships/hyperlink" Target="https://lulustream.com/e/rptxuq1hun1o" TargetMode="External"/><Relationship Id="rId3724" Type="http://schemas.openxmlformats.org/officeDocument/2006/relationships/hyperlink" Target="https://thumb.tapecontent.net/thumb/A4ezwdGdRWTXrwM/vY6Wy8kRq3c4z6b.jpg" TargetMode="External"/><Relationship Id="rId3931" Type="http://schemas.openxmlformats.org/officeDocument/2006/relationships/hyperlink" Target="https://lulustream.com/e/90i4gvw9f3cb" TargetMode="External"/><Relationship Id="rId438" Type="http://schemas.openxmlformats.org/officeDocument/2006/relationships/hyperlink" Target="https://luluvdoo.com/d/9l2fbrv1tyqu" TargetMode="External"/><Relationship Id="rId645" Type="http://schemas.openxmlformats.org/officeDocument/2006/relationships/hyperlink" Target="https://thumb.tapecontent.net/thumb/vgbKeqkJy6H4OOL/ALRXXRKGxGCX3lB.jpg" TargetMode="External"/><Relationship Id="rId852" Type="http://schemas.openxmlformats.org/officeDocument/2006/relationships/hyperlink" Target="https://doodstream.com/d/fxbuajqxbp6q/" TargetMode="External"/><Relationship Id="rId1068" Type="http://schemas.openxmlformats.org/officeDocument/2006/relationships/hyperlink" Target="https://doodstream.com/d/hh9m7mu8mhmr/" TargetMode="External"/><Relationship Id="rId1275" Type="http://schemas.openxmlformats.org/officeDocument/2006/relationships/hyperlink" Target="https://lulustream.com/e/ubpyfc2pxdkq" TargetMode="External"/><Relationship Id="rId1482" Type="http://schemas.openxmlformats.org/officeDocument/2006/relationships/hyperlink" Target="https://thumb.tapecontent.net/thumb/7GGOJ3L9w2sAKvk/R4GmMA8A3xIdl3v.jpg" TargetMode="External"/><Relationship Id="rId2119" Type="http://schemas.openxmlformats.org/officeDocument/2006/relationships/hyperlink" Target="https://luluvdoo.com/d/qolyevomkv2x" TargetMode="External"/><Relationship Id="rId2326" Type="http://schemas.openxmlformats.org/officeDocument/2006/relationships/hyperlink" Target="https://lulustream.com/e/ewnh8cs3hw12" TargetMode="External"/><Relationship Id="rId2533" Type="http://schemas.openxmlformats.org/officeDocument/2006/relationships/hyperlink" Target="https://lulustream.com/e/2topeuz3uvpf" TargetMode="External"/><Relationship Id="rId2740" Type="http://schemas.openxmlformats.org/officeDocument/2006/relationships/hyperlink" Target="https://thumb.tapecontent.net/thumb/GkMzYaabbwF1pZL/BaA02dOPB0iyepz.jpg" TargetMode="External"/><Relationship Id="rId505" Type="http://schemas.openxmlformats.org/officeDocument/2006/relationships/hyperlink" Target="https://streamtape.com/v/X2BaPaxY6jcPLb/Angela_White_-_83137102_-_ripnsfw.com_-_Lena_the_plug.mp4" TargetMode="External"/><Relationship Id="rId712" Type="http://schemas.openxmlformats.org/officeDocument/2006/relationships/hyperlink" Target="https://lulustream.com/d/vt3h5h68re64" TargetMode="External"/><Relationship Id="rId1135" Type="http://schemas.openxmlformats.org/officeDocument/2006/relationships/hyperlink" Target="https://lulustream.com/e/v82g63k39nb6" TargetMode="External"/><Relationship Id="rId1342" Type="http://schemas.openxmlformats.org/officeDocument/2006/relationships/hyperlink" Target="https://lulustream.com/e/0t5g58mqckhw" TargetMode="External"/><Relationship Id="rId4498" Type="http://schemas.openxmlformats.org/officeDocument/2006/relationships/hyperlink" Target="https://luluvdoo.com/d/h6jigzrrz011" TargetMode="External"/><Relationship Id="rId1202" Type="http://schemas.openxmlformats.org/officeDocument/2006/relationships/hyperlink" Target="https://doodstream.com/d/p2sthnpnmv3x/" TargetMode="External"/><Relationship Id="rId2600" Type="http://schemas.openxmlformats.org/officeDocument/2006/relationships/hyperlink" Target="https://lulustream.com/e/xq5n3hahzap6" TargetMode="External"/><Relationship Id="rId4358" Type="http://schemas.openxmlformats.org/officeDocument/2006/relationships/hyperlink" Target="https://doodstream.com/d/k9x9velsp1cy/" TargetMode="External"/><Relationship Id="rId3167" Type="http://schemas.openxmlformats.org/officeDocument/2006/relationships/hyperlink" Target="https://lulustream.com/d/t42ilg635izg" TargetMode="External"/><Relationship Id="rId4565" Type="http://schemas.openxmlformats.org/officeDocument/2006/relationships/hyperlink" Target="https://doodstream.com/d/x5es1rhdd9g3/" TargetMode="External"/><Relationship Id="rId4772" Type="http://schemas.openxmlformats.org/officeDocument/2006/relationships/hyperlink" Target="https://lulustream.com/d/7whdeuiaxloh" TargetMode="External"/><Relationship Id="rId295" Type="http://schemas.openxmlformats.org/officeDocument/2006/relationships/hyperlink" Target="https://luluvdoo.com/d/991u2ptodagg" TargetMode="External"/><Relationship Id="rId3374" Type="http://schemas.openxmlformats.org/officeDocument/2006/relationships/hyperlink" Target="https://lulustream.com/d/oytjm1gd9yah" TargetMode="External"/><Relationship Id="rId3581" Type="http://schemas.openxmlformats.org/officeDocument/2006/relationships/hyperlink" Target="https://doodstream.com/d/cthugqntvh6l/" TargetMode="External"/><Relationship Id="rId4218" Type="http://schemas.openxmlformats.org/officeDocument/2006/relationships/hyperlink" Target="https://thumb.tapecontent.net/thumb/DomMrzz1v8uwde/vPvAyLzjkPibDd.jpg" TargetMode="External"/><Relationship Id="rId4425" Type="http://schemas.openxmlformats.org/officeDocument/2006/relationships/hyperlink" Target="https://thumb.tapecontent.net/thumb/gry6337z4ZTq8K8/AADv4AJwzGfXk97.jpg" TargetMode="External"/><Relationship Id="rId4632" Type="http://schemas.openxmlformats.org/officeDocument/2006/relationships/hyperlink" Target="https://lulustream.com/d/5meu70yjhetk" TargetMode="External"/><Relationship Id="rId2183" Type="http://schemas.openxmlformats.org/officeDocument/2006/relationships/hyperlink" Target="https://doodstream.com/d/hcsqpuljjftl/" TargetMode="External"/><Relationship Id="rId2390" Type="http://schemas.openxmlformats.org/officeDocument/2006/relationships/hyperlink" Target="https://thumb.tapecontent.net/thumb/9elV8MvBx2FaxBX/JWYjXVKKZlcGYw.jpg" TargetMode="External"/><Relationship Id="rId3027" Type="http://schemas.openxmlformats.org/officeDocument/2006/relationships/hyperlink" Target="https://thumb.tapecontent.net/thumb/4qB4AXK2aWHKbpX/ZrO48XWYYOTqJZ1.jpg" TargetMode="External"/><Relationship Id="rId3234" Type="http://schemas.openxmlformats.org/officeDocument/2006/relationships/hyperlink" Target="https://lulustream.com/e/ey6jh857e4te" TargetMode="External"/><Relationship Id="rId3441" Type="http://schemas.openxmlformats.org/officeDocument/2006/relationships/hyperlink" Target="https://thumb.tapecontent.net/thumb/3992ZjR8pPhAMG/QrmXkOx81jt0beK.jpg" TargetMode="External"/><Relationship Id="rId155" Type="http://schemas.openxmlformats.org/officeDocument/2006/relationships/hyperlink" Target="https://lulustream.com/e/z3xibzexseyf" TargetMode="External"/><Relationship Id="rId362" Type="http://schemas.openxmlformats.org/officeDocument/2006/relationships/hyperlink" Target="https://streamtape.com/v/wkz9Pd7LakFJ9Yz/Angela_White_-_12902427_-_Onlyfans.mp4" TargetMode="External"/><Relationship Id="rId2043" Type="http://schemas.openxmlformats.org/officeDocument/2006/relationships/hyperlink" Target="https://thumb.tapecontent.net/thumb/oAK73Pwrjrsbmq/pV6KjpRlA6srQL4.jpg" TargetMode="External"/><Relationship Id="rId2250" Type="http://schemas.openxmlformats.org/officeDocument/2006/relationships/hyperlink" Target="https://lulustream.com/e/zo1y3phcsnby" TargetMode="External"/><Relationship Id="rId3301" Type="http://schemas.openxmlformats.org/officeDocument/2006/relationships/hyperlink" Target="https://lulustream.com/d/rjcxay4vqwor" TargetMode="External"/><Relationship Id="rId222" Type="http://schemas.openxmlformats.org/officeDocument/2006/relationships/hyperlink" Target="https://thumb.tapecontent.net/thumb/AqbyWbwOgqFbK9/jgBD3p9l8yuz8bv.jpg" TargetMode="External"/><Relationship Id="rId2110" Type="http://schemas.openxmlformats.org/officeDocument/2006/relationships/hyperlink" Target="https://doodstream.com/d/l2rvikni8ujl/" TargetMode="External"/><Relationship Id="rId4075" Type="http://schemas.openxmlformats.org/officeDocument/2006/relationships/hyperlink" Target="https://doodstream.com/d/xf70p42aitp2/" TargetMode="External"/><Relationship Id="rId4282" Type="http://schemas.openxmlformats.org/officeDocument/2006/relationships/hyperlink" Target="https://lulustream.com/d/ki084q25kbej" TargetMode="External"/><Relationship Id="rId1669" Type="http://schemas.openxmlformats.org/officeDocument/2006/relationships/hyperlink" Target="https://thumb.tapecontent.net/thumb/DAzQP7g0akCkaae/A3WWzRLJyPTXOzk.jpg" TargetMode="External"/><Relationship Id="rId1876" Type="http://schemas.openxmlformats.org/officeDocument/2006/relationships/hyperlink" Target="https://doodstream.com/d/vrv33hd37hsb/" TargetMode="External"/><Relationship Id="rId2927" Type="http://schemas.openxmlformats.org/officeDocument/2006/relationships/hyperlink" Target="https://doodstream.com/d/i38go9px2hqt/" TargetMode="External"/><Relationship Id="rId3091" Type="http://schemas.openxmlformats.org/officeDocument/2006/relationships/hyperlink" Target="https://doodstream.com/d/duc0cd5ofl0t/" TargetMode="External"/><Relationship Id="rId4142" Type="http://schemas.openxmlformats.org/officeDocument/2006/relationships/hyperlink" Target="https://doodstream.com/d/1z2p6p0e0tmv/" TargetMode="External"/><Relationship Id="rId1529" Type="http://schemas.openxmlformats.org/officeDocument/2006/relationships/hyperlink" Target="https://thumb.tapecontent.net/thumb/27qG3JRw43UZ7Jz/4z1lQXzWK8Hyxx.jpg" TargetMode="External"/><Relationship Id="rId1736" Type="http://schemas.openxmlformats.org/officeDocument/2006/relationships/hyperlink" Target="https://luluvdoo.com/d/1ruv3qcts49n" TargetMode="External"/><Relationship Id="rId1943" Type="http://schemas.openxmlformats.org/officeDocument/2006/relationships/hyperlink" Target="https://doodstream.com/d/2i635cumsdwm/" TargetMode="External"/><Relationship Id="rId28" Type="http://schemas.openxmlformats.org/officeDocument/2006/relationships/hyperlink" Target="https://thumb.tapecontent.net/thumb/6XqxDbemVJiv1o/reoqlexm7jhMV4.jpg" TargetMode="External"/><Relationship Id="rId1803" Type="http://schemas.openxmlformats.org/officeDocument/2006/relationships/hyperlink" Target="https://lulustream.com/d/s9k2utxfh0al" TargetMode="External"/><Relationship Id="rId4002" Type="http://schemas.openxmlformats.org/officeDocument/2006/relationships/hyperlink" Target="https://doodstream.com/d/u49sv9jvrxwc/" TargetMode="External"/><Relationship Id="rId3768" Type="http://schemas.openxmlformats.org/officeDocument/2006/relationships/hyperlink" Target="https://thumb.tapecontent.net/thumb/bQVA7p03YXIo3Q/61QWzoBojZIZKw.jpg" TargetMode="External"/><Relationship Id="rId3975" Type="http://schemas.openxmlformats.org/officeDocument/2006/relationships/hyperlink" Target="https://thumb.tapecontent.net/thumb/qZv979A3ABCAzV/gdmxBdZmKrTqr03.jpg" TargetMode="External"/><Relationship Id="rId689" Type="http://schemas.openxmlformats.org/officeDocument/2006/relationships/hyperlink" Target="https://thumb.tapecontent.net/thumb/QPxXLrQoAxC0ZWk/9Wxe3Z3ZJ0uaaAz.jpg" TargetMode="External"/><Relationship Id="rId896" Type="http://schemas.openxmlformats.org/officeDocument/2006/relationships/hyperlink" Target="https://luluvdoo.com/d/w4f9vd5wf9hf" TargetMode="External"/><Relationship Id="rId2577" Type="http://schemas.openxmlformats.org/officeDocument/2006/relationships/hyperlink" Target="https://thumb.tapecontent.net/thumb/zG0A30Q0kGfYLGR/W63JPxew9MT018.jpg" TargetMode="External"/><Relationship Id="rId2784" Type="http://schemas.openxmlformats.org/officeDocument/2006/relationships/hyperlink" Target="https://doodstream.com/d/696aj6oi8uzb/" TargetMode="External"/><Relationship Id="rId3628" Type="http://schemas.openxmlformats.org/officeDocument/2006/relationships/hyperlink" Target="https://thumb.tapecontent.net/thumb/yV7Mrg4pzWI1llb/Jy8Leal4QxfjlWW.jpg" TargetMode="External"/><Relationship Id="rId549" Type="http://schemas.openxmlformats.org/officeDocument/2006/relationships/hyperlink" Target="https://lulustream.com/e/sn67abep0whn" TargetMode="External"/><Relationship Id="rId756" Type="http://schemas.openxmlformats.org/officeDocument/2006/relationships/hyperlink" Target="https://thumb.tapecontent.net/thumb/BQaBkxq0vdHyZRX/VBp3o9ROo0UKlX7.jpg" TargetMode="External"/><Relationship Id="rId1179" Type="http://schemas.openxmlformats.org/officeDocument/2006/relationships/hyperlink" Target="https://doodstream.com/e/qiwhfj65idwd/" TargetMode="External"/><Relationship Id="rId1386" Type="http://schemas.openxmlformats.org/officeDocument/2006/relationships/hyperlink" Target="https://lulustream.com/e/ajtfeutzrewg" TargetMode="External"/><Relationship Id="rId1593" Type="http://schemas.openxmlformats.org/officeDocument/2006/relationships/hyperlink" Target="https://thumb.tapecontent.net/thumb/oL0WAdaGqViJ8Re/jYLKx08KZJtzraJ.jpg" TargetMode="External"/><Relationship Id="rId2437" Type="http://schemas.openxmlformats.org/officeDocument/2006/relationships/hyperlink" Target="https://doodstream.com/d/7c5ezk4p1nzl/" TargetMode="External"/><Relationship Id="rId2991" Type="http://schemas.openxmlformats.org/officeDocument/2006/relationships/hyperlink" Target="https://thumb.tapecontent.net/thumb/bKorlmWRQXCPgpD/PybPa0WZ3Of07bj.jpg" TargetMode="External"/><Relationship Id="rId3835" Type="http://schemas.openxmlformats.org/officeDocument/2006/relationships/hyperlink" Target="https://lulustream.com/e/6w96yprnosgf" TargetMode="External"/><Relationship Id="rId409" Type="http://schemas.openxmlformats.org/officeDocument/2006/relationships/hyperlink" Target="https://luluvdoo.com/d/4t8s1jq5rw8t" TargetMode="External"/><Relationship Id="rId963" Type="http://schemas.openxmlformats.org/officeDocument/2006/relationships/hyperlink" Target="https://luluvdoo.com/d/hiuswiw6v1r1" TargetMode="External"/><Relationship Id="rId1039" Type="http://schemas.openxmlformats.org/officeDocument/2006/relationships/hyperlink" Target="https://luluvdoo.com/d/dy4ur5ue9zig" TargetMode="External"/><Relationship Id="rId1246" Type="http://schemas.openxmlformats.org/officeDocument/2006/relationships/hyperlink" Target="https://thumb.tapecontent.net/thumb/ezXVWb9lrJImK8/pgv3oV8gvMTr24r.jpg" TargetMode="External"/><Relationship Id="rId2644" Type="http://schemas.openxmlformats.org/officeDocument/2006/relationships/hyperlink" Target="https://lulustream.com/d/9jpcmtn2qbh5" TargetMode="External"/><Relationship Id="rId2851" Type="http://schemas.openxmlformats.org/officeDocument/2006/relationships/hyperlink" Target="https://lulustream.com/e/dvdl4zcb99vg" TargetMode="External"/><Relationship Id="rId3902" Type="http://schemas.openxmlformats.org/officeDocument/2006/relationships/hyperlink" Target="http://ripnsfw.com/" TargetMode="External"/><Relationship Id="rId92" Type="http://schemas.openxmlformats.org/officeDocument/2006/relationships/hyperlink" Target="https://doodstream.com/d/skr79wkziy0d/" TargetMode="External"/><Relationship Id="rId616" Type="http://schemas.openxmlformats.org/officeDocument/2006/relationships/hyperlink" Target="https://thumb.tapecontent.net/thumb/4RoBe20MGwfKKp7/1zk09bbyJpH0yp.jpg" TargetMode="External"/><Relationship Id="rId823" Type="http://schemas.openxmlformats.org/officeDocument/2006/relationships/hyperlink" Target="https://doodstream.com/d/2t5za8afzmq8/" TargetMode="External"/><Relationship Id="rId1453" Type="http://schemas.openxmlformats.org/officeDocument/2006/relationships/hyperlink" Target="https://lulustream.com/e/gf3iduwphzvc" TargetMode="External"/><Relationship Id="rId1660" Type="http://schemas.openxmlformats.org/officeDocument/2006/relationships/hyperlink" Target="https://thumb.tapecontent.net/thumb/1aVbWjzQLPf1z2/dqlJ14jr7JT9Oa.jpg" TargetMode="External"/><Relationship Id="rId2504" Type="http://schemas.openxmlformats.org/officeDocument/2006/relationships/hyperlink" Target="https://thumb.tapecontent.net/thumb/DGg2yyLWMAskk7Z/mwaDybGPz3ibrmm.jpg" TargetMode="External"/><Relationship Id="rId2711" Type="http://schemas.openxmlformats.org/officeDocument/2006/relationships/hyperlink" Target="https://thumb.tapecontent.net/thumb/XYBwAY4k92TDDr1/OoGQQv0QV9tZJ2y.jpg" TargetMode="External"/><Relationship Id="rId1106" Type="http://schemas.openxmlformats.org/officeDocument/2006/relationships/hyperlink" Target="https://thumb.tapecontent.net/thumb/R4KzLLkGypcdddY/w7KBABbOMgcJqLq.jpg" TargetMode="External"/><Relationship Id="rId1313" Type="http://schemas.openxmlformats.org/officeDocument/2006/relationships/hyperlink" Target="https://lulustream.com/e/kxhc39nrfwf5" TargetMode="External"/><Relationship Id="rId1520" Type="http://schemas.openxmlformats.org/officeDocument/2006/relationships/hyperlink" Target="https://thumb.tapecontent.net/thumb/V0azDJqM1McKAwY/2V80KQZKd0sZ3LG.jpg" TargetMode="External"/><Relationship Id="rId4469" Type="http://schemas.openxmlformats.org/officeDocument/2006/relationships/hyperlink" Target="https://thumb.tapecontent.net/thumb/LJ6kk9YWrgcWjY/2DM1LxWrpWIZOrm.jpg" TargetMode="External"/><Relationship Id="rId4676" Type="http://schemas.openxmlformats.org/officeDocument/2006/relationships/hyperlink" Target="https://lulustream.com/d/ux1fk1hm6ocu" TargetMode="External"/><Relationship Id="rId3278" Type="http://schemas.openxmlformats.org/officeDocument/2006/relationships/hyperlink" Target="https://thumb.tapecontent.net/thumb/mymzOqw83LFb9PX/Ry7KBO90egfj4W.jpg" TargetMode="External"/><Relationship Id="rId3485" Type="http://schemas.openxmlformats.org/officeDocument/2006/relationships/hyperlink" Target="https://thumb.tapecontent.net/thumb/oLmor3xmeeFJLWl/XY2MDBXMR9HDQRQ.jpg" TargetMode="External"/><Relationship Id="rId3692" Type="http://schemas.openxmlformats.org/officeDocument/2006/relationships/hyperlink" Target="https://thumb.tapecontent.net/thumb/wDKvAwO8Q4CJb3K/aPAplq0ODGSbQ1.jpg" TargetMode="External"/><Relationship Id="rId4329" Type="http://schemas.openxmlformats.org/officeDocument/2006/relationships/hyperlink" Target="https://thumb.tapecontent.net/thumb/Vz80ZadorgSPyk/jk4LlMgbvGHzjXZ.jpg" TargetMode="External"/><Relationship Id="rId4536" Type="http://schemas.openxmlformats.org/officeDocument/2006/relationships/hyperlink" Target="https://luluvdoo.com/d/royzcplgcg2j" TargetMode="External"/><Relationship Id="rId4743" Type="http://schemas.openxmlformats.org/officeDocument/2006/relationships/hyperlink" Target="https://thumb.tapecontent.net/thumb/RLjPWaMkzBcdz32/eqzDKb7gOwFmGG.jpg" TargetMode="External"/><Relationship Id="rId199" Type="http://schemas.openxmlformats.org/officeDocument/2006/relationships/hyperlink" Target="https://thumb.tapecontent.net/thumb/DqDW9l03r4UkrRK/7mQ7OJkORWhRKa.jpg" TargetMode="External"/><Relationship Id="rId2087" Type="http://schemas.openxmlformats.org/officeDocument/2006/relationships/hyperlink" Target="https://lulustream.com/e/kszu9la1jt02" TargetMode="External"/><Relationship Id="rId2294" Type="http://schemas.openxmlformats.org/officeDocument/2006/relationships/hyperlink" Target="https://lulustream.com/e/3h80vhtq1hpv" TargetMode="External"/><Relationship Id="rId3138" Type="http://schemas.openxmlformats.org/officeDocument/2006/relationships/hyperlink" Target="https://luluvdoo.com/d/5w4ojbysu7fy" TargetMode="External"/><Relationship Id="rId3345" Type="http://schemas.openxmlformats.org/officeDocument/2006/relationships/hyperlink" Target="https://lulustream.com/d/kwhnl2bii9vi" TargetMode="External"/><Relationship Id="rId3552" Type="http://schemas.openxmlformats.org/officeDocument/2006/relationships/hyperlink" Target="https://lulustream.com/e/ps66i21qq63x" TargetMode="External"/><Relationship Id="rId4603" Type="http://schemas.openxmlformats.org/officeDocument/2006/relationships/hyperlink" Target="https://lulustream.com/d/gzy7wian6751" TargetMode="External"/><Relationship Id="rId266" Type="http://schemas.openxmlformats.org/officeDocument/2006/relationships/hyperlink" Target="https://lulustream.com/d/99go5yqdygxn" TargetMode="External"/><Relationship Id="rId473" Type="http://schemas.openxmlformats.org/officeDocument/2006/relationships/hyperlink" Target="https://doodstream.com/d/npixfhibhnob/" TargetMode="External"/><Relationship Id="rId680" Type="http://schemas.openxmlformats.org/officeDocument/2006/relationships/hyperlink" Target="https://thumb.tapecontent.net/thumb/OJgzO7AQvMtZJwx/MXv6KodzyRFmvaV.jpg" TargetMode="External"/><Relationship Id="rId2154" Type="http://schemas.openxmlformats.org/officeDocument/2006/relationships/hyperlink" Target="https://lulustream.com/d/wkhzp78bwnjn" TargetMode="External"/><Relationship Id="rId2361" Type="http://schemas.openxmlformats.org/officeDocument/2006/relationships/hyperlink" Target="https://lulustream.com/e/g9cb1pppbc0a" TargetMode="External"/><Relationship Id="rId3205" Type="http://schemas.openxmlformats.org/officeDocument/2006/relationships/hyperlink" Target="https://lulustream.com/e/jw9uvyhwk167" TargetMode="External"/><Relationship Id="rId3412" Type="http://schemas.openxmlformats.org/officeDocument/2006/relationships/hyperlink" Target="https://lulustream.com/e/4gxfij3o9ujc" TargetMode="External"/><Relationship Id="rId126" Type="http://schemas.openxmlformats.org/officeDocument/2006/relationships/hyperlink" Target="https://thumb.tapecontent.net/thumb/GG3yA9OXKXH11pj/ewverM4XMyhZWK.jpg" TargetMode="External"/><Relationship Id="rId333" Type="http://schemas.openxmlformats.org/officeDocument/2006/relationships/hyperlink" Target="https://luluvdoo.com/d/xoz8j3ntbvmx" TargetMode="External"/><Relationship Id="rId540" Type="http://schemas.openxmlformats.org/officeDocument/2006/relationships/hyperlink" Target="https://thumb.tapecontent.net/thumb/ZxvGVp9LyQhqQxX/b7Vpd3vp1MFPbqR.jpg" TargetMode="External"/><Relationship Id="rId1170" Type="http://schemas.openxmlformats.org/officeDocument/2006/relationships/hyperlink" Target="https://doodstream.com/d/r9qadgshkyiq/" TargetMode="External"/><Relationship Id="rId2014" Type="http://schemas.openxmlformats.org/officeDocument/2006/relationships/hyperlink" Target="https://thumb.tapecontent.net/thumb/wG7Q73jBDLuJ9Vy/17y9jVboV8Feelk.jpg" TargetMode="External"/><Relationship Id="rId2221" Type="http://schemas.openxmlformats.org/officeDocument/2006/relationships/hyperlink" Target="https://thumb.tapecontent.net/thumb/WbBqma2Q7XCb3wx/pY9DRR8LJ9TWwQ.jpg" TargetMode="External"/><Relationship Id="rId1030" Type="http://schemas.openxmlformats.org/officeDocument/2006/relationships/hyperlink" Target="https://doodstream.com/d/yjk5c2lp0b26/" TargetMode="External"/><Relationship Id="rId4186" Type="http://schemas.openxmlformats.org/officeDocument/2006/relationships/hyperlink" Target="https://lulustream.com/d/cm7emcauexjy" TargetMode="External"/><Relationship Id="rId400" Type="http://schemas.openxmlformats.org/officeDocument/2006/relationships/hyperlink" Target="https://streamtape.com/v/4oqrBQg8GBUroo/Angela_White_-_25637668_-_Onlyfans_-_Angel_Youngs.mp4" TargetMode="External"/><Relationship Id="rId1987" Type="http://schemas.openxmlformats.org/officeDocument/2006/relationships/hyperlink" Target="https://doodstream.com/d/xvdw5lat4h0c/" TargetMode="External"/><Relationship Id="rId4393" Type="http://schemas.openxmlformats.org/officeDocument/2006/relationships/hyperlink" Target="https://thumb.tapecontent.net/thumb/DXZ0e4DkgmckaQB/q9ekv4ZVO3uKw0.jpg" TargetMode="External"/><Relationship Id="rId1847" Type="http://schemas.openxmlformats.org/officeDocument/2006/relationships/hyperlink" Target="https://lulustream.com/e/5wyiy7t7lxp7" TargetMode="External"/><Relationship Id="rId4046" Type="http://schemas.openxmlformats.org/officeDocument/2006/relationships/hyperlink" Target="https://thumb.tapecontent.net/thumb/z7dQRXB38yTYd4r/79Y1jbvvBoIAlbp.jpg" TargetMode="External"/><Relationship Id="rId4253" Type="http://schemas.openxmlformats.org/officeDocument/2006/relationships/hyperlink" Target="https://lulustream.com/d/zgxuldmxzbn9" TargetMode="External"/><Relationship Id="rId4460" Type="http://schemas.openxmlformats.org/officeDocument/2006/relationships/hyperlink" Target="https://thumb.tapecontent.net/thumb/J0X0gxV4xzCj3Vz/roaDrW4kgASbL1a.jpg" TargetMode="External"/><Relationship Id="rId1707" Type="http://schemas.openxmlformats.org/officeDocument/2006/relationships/hyperlink" Target="https://luluvdoo.com/d/3y1pwtdpb82g" TargetMode="External"/><Relationship Id="rId3062" Type="http://schemas.openxmlformats.org/officeDocument/2006/relationships/hyperlink" Target="https://thumb.tapecontent.net/thumb/4zPRWrG9ozFra1/MxQVka4BOkswJ7.jpg" TargetMode="External"/><Relationship Id="rId4113" Type="http://schemas.openxmlformats.org/officeDocument/2006/relationships/hyperlink" Target="https://lulustream.com/e/mwgdc6rx4uld" TargetMode="External"/><Relationship Id="rId4320" Type="http://schemas.openxmlformats.org/officeDocument/2006/relationships/hyperlink" Target="https://lulustream.com/e/5137p22w63kh" TargetMode="External"/><Relationship Id="rId190" Type="http://schemas.openxmlformats.org/officeDocument/2006/relationships/hyperlink" Target="https://thumb.tapecontent.net/thumb/vwPjz9xxe8i4rLz/xoe7k8lQJwIkaaY.jpg" TargetMode="External"/><Relationship Id="rId1914" Type="http://schemas.openxmlformats.org/officeDocument/2006/relationships/hyperlink" Target="https://thumb.tapecontent.net/thumb/4mx2v8KbdBSKj7m/RwW6bxvvopfXgp.jpg" TargetMode="External"/><Relationship Id="rId3879" Type="http://schemas.openxmlformats.org/officeDocument/2006/relationships/hyperlink" Target="https://lulustream.com/d/hfk55v0qqed8" TargetMode="External"/><Relationship Id="rId2688" Type="http://schemas.openxmlformats.org/officeDocument/2006/relationships/hyperlink" Target="https://thumb.tapecontent.net/thumb/JAMadBWPplcrpx/XPmQ7MAz7BcDOoG.jpg" TargetMode="External"/><Relationship Id="rId2895" Type="http://schemas.openxmlformats.org/officeDocument/2006/relationships/hyperlink" Target="https://doodstream.com/d/u0y83df6m8b1/" TargetMode="External"/><Relationship Id="rId3739" Type="http://schemas.openxmlformats.org/officeDocument/2006/relationships/hyperlink" Target="https://thumb.tapecontent.net/thumb/MJ8OejGmgqim72M/g184JvxvyVFqW6A.jpg" TargetMode="External"/><Relationship Id="rId3946" Type="http://schemas.openxmlformats.org/officeDocument/2006/relationships/hyperlink" Target="https://thumb.tapecontent.net/thumb/k3BqgG6Zrqcr7w/ZJvVgZRJd2uqLzb.jpg" TargetMode="External"/><Relationship Id="rId867" Type="http://schemas.openxmlformats.org/officeDocument/2006/relationships/hyperlink" Target="https://thumb.tapecontent.net/thumb/3xqKvYo8D0udwA7/1a1oR7r2zZcyOd.jpg" TargetMode="External"/><Relationship Id="rId1497" Type="http://schemas.openxmlformats.org/officeDocument/2006/relationships/hyperlink" Target="https://lulustream.com/e/cxmn1g457fxv" TargetMode="External"/><Relationship Id="rId2548" Type="http://schemas.openxmlformats.org/officeDocument/2006/relationships/hyperlink" Target="https://thumb.tapecontent.net/thumb/M9o4zVM1eDSmXLo/0D9d3VlKqGuKDA.jpg" TargetMode="External"/><Relationship Id="rId2755" Type="http://schemas.openxmlformats.org/officeDocument/2006/relationships/hyperlink" Target="https://thumb.tapecontent.net/thumb/4djQM6GXmRiK6rq/Zak9DrvDrGfqx4o.jpg" TargetMode="External"/><Relationship Id="rId2962" Type="http://schemas.openxmlformats.org/officeDocument/2006/relationships/hyperlink" Target="https://doodstream.com/d/yqgz0esgcm5p/" TargetMode="External"/><Relationship Id="rId3806" Type="http://schemas.openxmlformats.org/officeDocument/2006/relationships/hyperlink" Target="https://lulustream.com/e/g9k2p2002jek" TargetMode="External"/><Relationship Id="rId727" Type="http://schemas.openxmlformats.org/officeDocument/2006/relationships/hyperlink" Target="https://thumb.tapecontent.net/thumb/K9yrJrRJJ8H06Gd/Oo3wkmPLV9sgBM.jpg" TargetMode="External"/><Relationship Id="rId934" Type="http://schemas.openxmlformats.org/officeDocument/2006/relationships/hyperlink" Target="https://doodstream.com/d/3u6urfh9x2m8/" TargetMode="External"/><Relationship Id="rId1357" Type="http://schemas.openxmlformats.org/officeDocument/2006/relationships/hyperlink" Target="https://lulustream.com/e/uc58fqqzccup" TargetMode="External"/><Relationship Id="rId1564" Type="http://schemas.openxmlformats.org/officeDocument/2006/relationships/hyperlink" Target="https://doodstream.com/d/u4br5zhafxtm/" TargetMode="External"/><Relationship Id="rId1771" Type="http://schemas.openxmlformats.org/officeDocument/2006/relationships/hyperlink" Target="https://luluvdoo.com/d/3osv6yo6psi6" TargetMode="External"/><Relationship Id="rId2408" Type="http://schemas.openxmlformats.org/officeDocument/2006/relationships/hyperlink" Target="https://thumb.tapecontent.net/thumb/gLd2jXMjDaIJz9/Y64MmOk7DoCvDlr.jpg" TargetMode="External"/><Relationship Id="rId2615" Type="http://schemas.openxmlformats.org/officeDocument/2006/relationships/hyperlink" Target="https://doodstream.com/d/viofy070o04j/" TargetMode="External"/><Relationship Id="rId2822" Type="http://schemas.openxmlformats.org/officeDocument/2006/relationships/hyperlink" Target="https://doodstream.com/d/0slg4fywbhbh/" TargetMode="External"/><Relationship Id="rId63" Type="http://schemas.openxmlformats.org/officeDocument/2006/relationships/hyperlink" Target="https://lulustream.com/e/mrnyv6gmxp1f" TargetMode="External"/><Relationship Id="rId1217" Type="http://schemas.openxmlformats.org/officeDocument/2006/relationships/hyperlink" Target="https://thumb.tapecontent.net/thumb/R4LBJj31Z9sBGB/LVjZMZVvb1uvXe.jpg" TargetMode="External"/><Relationship Id="rId1424" Type="http://schemas.openxmlformats.org/officeDocument/2006/relationships/hyperlink" Target="https://lulustream.com/e/usdxx1stxqby" TargetMode="External"/><Relationship Id="rId1631" Type="http://schemas.openxmlformats.org/officeDocument/2006/relationships/hyperlink" Target="https://thumb.tapecontent.net/thumb/6jJrbowZ6VF9z7P/KXRdJmBM60h01O3.jpg" TargetMode="External"/><Relationship Id="rId3389" Type="http://schemas.openxmlformats.org/officeDocument/2006/relationships/hyperlink" Target="https://lulustream.com/e/xyt3hqvoqlzq" TargetMode="External"/><Relationship Id="rId3596" Type="http://schemas.openxmlformats.org/officeDocument/2006/relationships/hyperlink" Target="https://lulustream.com/e/8jihitil0z1p" TargetMode="External"/><Relationship Id="rId4647" Type="http://schemas.openxmlformats.org/officeDocument/2006/relationships/hyperlink" Target="https://lulustream.com/e/crt7140cusez" TargetMode="External"/><Relationship Id="rId2198" Type="http://schemas.openxmlformats.org/officeDocument/2006/relationships/hyperlink" Target="https://lulustream.com/d/nynr85ghcisf" TargetMode="External"/><Relationship Id="rId3249" Type="http://schemas.openxmlformats.org/officeDocument/2006/relationships/hyperlink" Target="https://doodstream.com/d/pgc7cbtifkam/" TargetMode="External"/><Relationship Id="rId3456" Type="http://schemas.openxmlformats.org/officeDocument/2006/relationships/hyperlink" Target="https://lulustream.com/e/z8ygel4k7ruz" TargetMode="External"/><Relationship Id="rId377" Type="http://schemas.openxmlformats.org/officeDocument/2006/relationships/hyperlink" Target="https://streamtape.com/v/jVeAY1LVMPfzeyd/Angela_White_-_17458052_-_Onlyfans" TargetMode="External"/><Relationship Id="rId584" Type="http://schemas.openxmlformats.org/officeDocument/2006/relationships/hyperlink" Target="https://thumb.tapecontent.net/thumb/23QepbZpKmFZOLR/xqozJpWpXjckgLx.jpg" TargetMode="External"/><Relationship Id="rId2058" Type="http://schemas.openxmlformats.org/officeDocument/2006/relationships/hyperlink" Target="https://thumb.tapecontent.net/thumb/klablQbOpkf6lo/o98MLZ6GY9fJryM.jpg" TargetMode="External"/><Relationship Id="rId2265" Type="http://schemas.openxmlformats.org/officeDocument/2006/relationships/hyperlink" Target="https://thumb.tapecontent.net/thumb/BB6Y2mOXPvSyB3O/voBP1YrRJvUaBo.jpg" TargetMode="External"/><Relationship Id="rId3109" Type="http://schemas.openxmlformats.org/officeDocument/2006/relationships/hyperlink" Target="https://luluvdoo.com/d/u1qxoddv5f2h" TargetMode="External"/><Relationship Id="rId3663" Type="http://schemas.openxmlformats.org/officeDocument/2006/relationships/hyperlink" Target="https://lulustream.com/e/5cgmy4pb4i0c" TargetMode="External"/><Relationship Id="rId3870" Type="http://schemas.openxmlformats.org/officeDocument/2006/relationships/hyperlink" Target="https://lulustream.com/d/m5mqlq4kurek" TargetMode="External"/><Relationship Id="rId4507" Type="http://schemas.openxmlformats.org/officeDocument/2006/relationships/hyperlink" Target="https://luluvdoo.com/d/pmpyuh6ang3l" TargetMode="External"/><Relationship Id="rId4714" Type="http://schemas.openxmlformats.org/officeDocument/2006/relationships/hyperlink" Target="https://lulustream.com/d/oc4zqno6esxi" TargetMode="External"/><Relationship Id="rId237" Type="http://schemas.openxmlformats.org/officeDocument/2006/relationships/hyperlink" Target="https://thumb.tapecontent.net/thumb/2k6pokg71OHZL3Q/ak9DZ9JpxmIxGXO.jpg" TargetMode="External"/><Relationship Id="rId791" Type="http://schemas.openxmlformats.org/officeDocument/2006/relationships/hyperlink" Target="https://doodstream.com/d/b7ep3940j1w4/" TargetMode="External"/><Relationship Id="rId1074" Type="http://schemas.openxmlformats.org/officeDocument/2006/relationships/hyperlink" Target="https://lulustream.com/d/pisxxxsrjmil" TargetMode="External"/><Relationship Id="rId2472" Type="http://schemas.openxmlformats.org/officeDocument/2006/relationships/hyperlink" Target="https://lulustream.com/d/obrlgzv2zd8w" TargetMode="External"/><Relationship Id="rId3316" Type="http://schemas.openxmlformats.org/officeDocument/2006/relationships/hyperlink" Target="https://thumb.tapecontent.net/thumb/abXrr9lApQUxRMW/o11Gq2mb6Wubg6.jpg" TargetMode="External"/><Relationship Id="rId3523" Type="http://schemas.openxmlformats.org/officeDocument/2006/relationships/hyperlink" Target="https://lulustream.com/e/28i5hv6uedf6" TargetMode="External"/><Relationship Id="rId3730" Type="http://schemas.openxmlformats.org/officeDocument/2006/relationships/hyperlink" Target="https://doodstream.com/d/3dytxwcdo4a0/" TargetMode="External"/><Relationship Id="rId444" Type="http://schemas.openxmlformats.org/officeDocument/2006/relationships/hyperlink" Target="https://doodstream.com/d/fei05kff6bko/" TargetMode="External"/><Relationship Id="rId651" Type="http://schemas.openxmlformats.org/officeDocument/2006/relationships/hyperlink" Target="https://lulustream.com/d/ro8gsgjn6ivs" TargetMode="External"/><Relationship Id="rId1281" Type="http://schemas.openxmlformats.org/officeDocument/2006/relationships/hyperlink" Target="https://thumb.tapecontent.net/thumb/gY1J4Wov06cBqr/1dXbgPQx2rFem1x.jpg" TargetMode="External"/><Relationship Id="rId2125" Type="http://schemas.openxmlformats.org/officeDocument/2006/relationships/hyperlink" Target="https://thumb.tapecontent.net/thumb/mY4yeZvO2PfbA70/4xrdqQL7vQur6W.jpg" TargetMode="External"/><Relationship Id="rId2332" Type="http://schemas.openxmlformats.org/officeDocument/2006/relationships/hyperlink" Target="https://thumb.tapecontent.net/thumb/VBV7Z1vKzWIOJx/RpPb70ld1WSdOvz.jpg" TargetMode="External"/><Relationship Id="rId304" Type="http://schemas.openxmlformats.org/officeDocument/2006/relationships/hyperlink" Target="https://luluvdoo.com/d/4pwir1blp7g3" TargetMode="External"/><Relationship Id="rId511" Type="http://schemas.openxmlformats.org/officeDocument/2006/relationships/hyperlink" Target="https://luluvdoo.com/d/r35cm85lj7z5" TargetMode="External"/><Relationship Id="rId1141" Type="http://schemas.openxmlformats.org/officeDocument/2006/relationships/hyperlink" Target="https://thumb.tapecontent.net/thumb/zVODAr3ryxtYlLK/wPQwDXbdO0iJOrA.jpg" TargetMode="External"/><Relationship Id="rId4297" Type="http://schemas.openxmlformats.org/officeDocument/2006/relationships/hyperlink" Target="https://lulustream.com/e/fxu0n1edhpou" TargetMode="External"/><Relationship Id="rId1001" Type="http://schemas.openxmlformats.org/officeDocument/2006/relationships/hyperlink" Target="https://luluvdoo.com/d/sykd1cn4abhp" TargetMode="External"/><Relationship Id="rId4157" Type="http://schemas.openxmlformats.org/officeDocument/2006/relationships/hyperlink" Target="https://lulustream.com/d/g7mbcbkta34a" TargetMode="External"/><Relationship Id="rId4364" Type="http://schemas.openxmlformats.org/officeDocument/2006/relationships/hyperlink" Target="https://lulustream.com/d/y61h47wekycw" TargetMode="External"/><Relationship Id="rId4571" Type="http://schemas.openxmlformats.org/officeDocument/2006/relationships/hyperlink" Target="https://doodstream.com/d/c4salq425zs0/" TargetMode="External"/><Relationship Id="rId1958" Type="http://schemas.openxmlformats.org/officeDocument/2006/relationships/hyperlink" Target="https://doodstream.com/d/9ups4h4fulih/" TargetMode="External"/><Relationship Id="rId3173" Type="http://schemas.openxmlformats.org/officeDocument/2006/relationships/hyperlink" Target="https://thumb.tapecontent.net/thumb/0rLKxeRqylHbGV4/oMmD3aM3OYTJaLw.jpg" TargetMode="External"/><Relationship Id="rId3380" Type="http://schemas.openxmlformats.org/officeDocument/2006/relationships/hyperlink" Target="https://lulustream.com/e/ohnd61yoirw7" TargetMode="External"/><Relationship Id="rId4017" Type="http://schemas.openxmlformats.org/officeDocument/2006/relationships/hyperlink" Target="https://lulustream.com/e/v6a5mbx2mt11" TargetMode="External"/><Relationship Id="rId4224" Type="http://schemas.openxmlformats.org/officeDocument/2006/relationships/hyperlink" Target="https://lulustream.com/d/ebxwj2aptfr0" TargetMode="External"/><Relationship Id="rId4431" Type="http://schemas.openxmlformats.org/officeDocument/2006/relationships/hyperlink" Target="https://thumb.tapecontent.net/thumb/RDDXDJ2LvMHdQXw/zKJZQ6Aegrhp94.jpg" TargetMode="External"/><Relationship Id="rId1818" Type="http://schemas.openxmlformats.org/officeDocument/2006/relationships/hyperlink" Target="https://thumb.tapecontent.net/thumb/belWQyqlY2sP3qx/4XMMwOjM8mFK0Od.jpg" TargetMode="External"/><Relationship Id="rId3033" Type="http://schemas.openxmlformats.org/officeDocument/2006/relationships/hyperlink" Target="https://thumb.tapecontent.net/thumb/MrkAXLpkdZimVYg/goPgavpAdoIgq2.jpg" TargetMode="External"/><Relationship Id="rId3240" Type="http://schemas.openxmlformats.org/officeDocument/2006/relationships/hyperlink" Target="https://lulustream.com/e/5qxveibtpwht" TargetMode="External"/><Relationship Id="rId161" Type="http://schemas.openxmlformats.org/officeDocument/2006/relationships/hyperlink" Target="https://lulustream.com/e/i0kl7fp3owuf" TargetMode="External"/><Relationship Id="rId2799" Type="http://schemas.openxmlformats.org/officeDocument/2006/relationships/hyperlink" Target="https://thumb.tapecontent.net/thumb/Vml7yveaWrFKM16/L1pMjj0r4lsb0b.jpg" TargetMode="External"/><Relationship Id="rId3100" Type="http://schemas.openxmlformats.org/officeDocument/2006/relationships/hyperlink" Target="https://luluvdoo.com/d/0tk3oo52duw8" TargetMode="External"/><Relationship Id="rId978" Type="http://schemas.openxmlformats.org/officeDocument/2006/relationships/hyperlink" Target="https://luluvdoo.com/d/b0xuul2nny50" TargetMode="External"/><Relationship Id="rId2659" Type="http://schemas.openxmlformats.org/officeDocument/2006/relationships/hyperlink" Target="https://lulustream.com/d/s1ylyok9bt6p" TargetMode="External"/><Relationship Id="rId2866" Type="http://schemas.openxmlformats.org/officeDocument/2006/relationships/hyperlink" Target="https://lulustream.com/d/foyheah6fq4x" TargetMode="External"/><Relationship Id="rId3917" Type="http://schemas.openxmlformats.org/officeDocument/2006/relationships/hyperlink" Target="https://thumb.tapecontent.net/thumb/8Vlz6zP3ObH6xO/bqBzOZXxjjtLB4.jpg" TargetMode="External"/><Relationship Id="rId838" Type="http://schemas.openxmlformats.org/officeDocument/2006/relationships/hyperlink" Target="https://doodstream.com/d/5kxr36h6r199/" TargetMode="External"/><Relationship Id="rId1468" Type="http://schemas.openxmlformats.org/officeDocument/2006/relationships/hyperlink" Target="https://thumb.tapecontent.net/thumb/qKA2QZK4eqtaL0/dPBXoxjBRPUGam.jpg" TargetMode="External"/><Relationship Id="rId1675" Type="http://schemas.openxmlformats.org/officeDocument/2006/relationships/hyperlink" Target="https://thumb.tapecontent.net/thumb/yxwZoxoBZeI11ad/BQlRVOq83otyLY6.jpg" TargetMode="External"/><Relationship Id="rId1882" Type="http://schemas.openxmlformats.org/officeDocument/2006/relationships/hyperlink" Target="https://doodstream.com/d/vzxe9bt3t9xj/" TargetMode="External"/><Relationship Id="rId2519" Type="http://schemas.openxmlformats.org/officeDocument/2006/relationships/hyperlink" Target="https://lulustream.com/e/gvn5qikl10vj" TargetMode="External"/><Relationship Id="rId2726" Type="http://schemas.openxmlformats.org/officeDocument/2006/relationships/hyperlink" Target="https://lulustream.com/e/etpcv5maze6h" TargetMode="External"/><Relationship Id="rId4081" Type="http://schemas.openxmlformats.org/officeDocument/2006/relationships/hyperlink" Target="https://doodstream.com/d/iwx3rh8ayfz5/" TargetMode="External"/><Relationship Id="rId1328" Type="http://schemas.openxmlformats.org/officeDocument/2006/relationships/hyperlink" Target="https://lulustream.com/d/sumj67ray696" TargetMode="External"/><Relationship Id="rId1535" Type="http://schemas.openxmlformats.org/officeDocument/2006/relationships/hyperlink" Target="https://thumb.tapecontent.net/thumb/lQ8L477zkjs7qqa/QdaZM2zlrDu00A4.jpg" TargetMode="External"/><Relationship Id="rId2933" Type="http://schemas.openxmlformats.org/officeDocument/2006/relationships/hyperlink" Target="https://lulustream.com/d/prqe7tfeao0e" TargetMode="External"/><Relationship Id="rId905" Type="http://schemas.openxmlformats.org/officeDocument/2006/relationships/hyperlink" Target="https://lulustream.com/e/zmdmomwvshfy" TargetMode="External"/><Relationship Id="rId1742" Type="http://schemas.openxmlformats.org/officeDocument/2006/relationships/hyperlink" Target="https://thumb.tapecontent.net/thumb/z3mO4WYq7MfYLMV/1zBK0YZAYKSejmw.jpg" TargetMode="External"/><Relationship Id="rId34" Type="http://schemas.openxmlformats.org/officeDocument/2006/relationships/hyperlink" Target="https://doodstream.com/d/rfcpsjxxrvei/" TargetMode="External"/><Relationship Id="rId1602" Type="http://schemas.openxmlformats.org/officeDocument/2006/relationships/hyperlink" Target="https://thumb.tapecontent.net/thumb/KkBPzKraXgs03gX/8d7JwolGv3ToP93.jpg" TargetMode="External"/><Relationship Id="rId4758" Type="http://schemas.openxmlformats.org/officeDocument/2006/relationships/hyperlink" Target="https://lulustream.com/d/ban6qd99gspv" TargetMode="External"/><Relationship Id="rId3567" Type="http://schemas.openxmlformats.org/officeDocument/2006/relationships/hyperlink" Target="https://lulustream.com/e/ykyod8roeu7u" TargetMode="External"/><Relationship Id="rId3774" Type="http://schemas.openxmlformats.org/officeDocument/2006/relationships/hyperlink" Target="https://luluvdoo.com/d/y8s7smcw4vud" TargetMode="External"/><Relationship Id="rId3981" Type="http://schemas.openxmlformats.org/officeDocument/2006/relationships/hyperlink" Target="https://thumb.tapecontent.net/thumb/LO3qb7m4dDC4Ja/j2DPw12l8kfzOp7.jpg" TargetMode="External"/><Relationship Id="rId4618" Type="http://schemas.openxmlformats.org/officeDocument/2006/relationships/hyperlink" Target="https://lulustream.com/d/l12h7m4ik63f" TargetMode="External"/><Relationship Id="rId488" Type="http://schemas.openxmlformats.org/officeDocument/2006/relationships/hyperlink" Target="https://thumb.tapecontent.net/thumb/qjBPVkPPo0Tzvyv/GK4qr9Ppm6U1D9q.jpg" TargetMode="External"/><Relationship Id="rId695" Type="http://schemas.openxmlformats.org/officeDocument/2006/relationships/hyperlink" Target="https://lulustream.com/e/aunt69k8pqfv" TargetMode="External"/><Relationship Id="rId2169" Type="http://schemas.openxmlformats.org/officeDocument/2006/relationships/hyperlink" Target="https://lulustream.com/e/oghlgvxly645" TargetMode="External"/><Relationship Id="rId2376" Type="http://schemas.openxmlformats.org/officeDocument/2006/relationships/hyperlink" Target="https://thumb.tapecontent.net/thumb/z696bWWWx8TYMP6/zkAbybxBQAtYA3x.jpg" TargetMode="External"/><Relationship Id="rId2583" Type="http://schemas.openxmlformats.org/officeDocument/2006/relationships/hyperlink" Target="https://doodstream.com/d/axjb74svwbwm/" TargetMode="External"/><Relationship Id="rId2790" Type="http://schemas.openxmlformats.org/officeDocument/2006/relationships/hyperlink" Target="https://doodstream.com/d/9swytzidt9z8/" TargetMode="External"/><Relationship Id="rId3427" Type="http://schemas.openxmlformats.org/officeDocument/2006/relationships/hyperlink" Target="https://lulustream.com/e/2zfdw1wzxryh" TargetMode="External"/><Relationship Id="rId3634" Type="http://schemas.openxmlformats.org/officeDocument/2006/relationships/hyperlink" Target="https://doodstream.com/d/xiiewy9qhd7h/" TargetMode="External"/><Relationship Id="rId3841" Type="http://schemas.openxmlformats.org/officeDocument/2006/relationships/hyperlink" Target="https://doodstream.com/d/misg63uxtqa1/" TargetMode="External"/><Relationship Id="rId348" Type="http://schemas.openxmlformats.org/officeDocument/2006/relationships/hyperlink" Target="https://luluvdoo.com/d/6avvn8f0wgt2" TargetMode="External"/><Relationship Id="rId555" Type="http://schemas.openxmlformats.org/officeDocument/2006/relationships/hyperlink" Target="https://thumb.tapecontent.net/thumb/VoxLAaa6PKUKmyL/23BlyZW9R3TZdQ7.jpg" TargetMode="External"/><Relationship Id="rId762" Type="http://schemas.openxmlformats.org/officeDocument/2006/relationships/hyperlink" Target="https://thumb.tapecontent.net/thumb/r219oBYev3HbjzP/gw7dRBQkz9fqRqe.jpg" TargetMode="External"/><Relationship Id="rId1185" Type="http://schemas.openxmlformats.org/officeDocument/2006/relationships/hyperlink" Target="https://doodstream.com/d/k6goa230hp6x/" TargetMode="External"/><Relationship Id="rId1392" Type="http://schemas.openxmlformats.org/officeDocument/2006/relationships/hyperlink" Target="https://lulustream.com/e/yw3xbw0n7mf4" TargetMode="External"/><Relationship Id="rId2029" Type="http://schemas.openxmlformats.org/officeDocument/2006/relationships/hyperlink" Target="https://thumb.tapecontent.net/thumb/xr2W8pak3kUkG9a/Ypqkepo9Bec6Jl.jpg" TargetMode="External"/><Relationship Id="rId2236" Type="http://schemas.openxmlformats.org/officeDocument/2006/relationships/hyperlink" Target="https://thumb.tapecontent.net/thumb/Qgbmm393aes0PgJ/bzZxzZxD7Bidjb.jpg" TargetMode="External"/><Relationship Id="rId2443" Type="http://schemas.openxmlformats.org/officeDocument/2006/relationships/hyperlink" Target="https://lulustream.com/d/7z28297k5omt" TargetMode="External"/><Relationship Id="rId2650" Type="http://schemas.openxmlformats.org/officeDocument/2006/relationships/hyperlink" Target="https://doodstream.com/d/y4sauszeayqc/" TargetMode="External"/><Relationship Id="rId3701" Type="http://schemas.openxmlformats.org/officeDocument/2006/relationships/hyperlink" Target="https://doodstream.com/d/c5oz4wjpvr9g/" TargetMode="External"/><Relationship Id="rId208" Type="http://schemas.openxmlformats.org/officeDocument/2006/relationships/hyperlink" Target="https://thumb.tapecontent.net/thumb/g9zyKga2OPtqrp2/qZPqVXyOblTzl8A.jpg" TargetMode="External"/><Relationship Id="rId415" Type="http://schemas.openxmlformats.org/officeDocument/2006/relationships/hyperlink" Target="https://thumb.tapecontent.net/thumb/dPvQ4DPBqdSkmxx/PwGymrlDxMH0z1x.jpg" TargetMode="External"/><Relationship Id="rId622" Type="http://schemas.openxmlformats.org/officeDocument/2006/relationships/hyperlink" Target="https://thumb.tapecontent.net/thumb/JWrYJmDpjDcj8DX/lAWkA0lokes7qDd.jpg" TargetMode="External"/><Relationship Id="rId1045" Type="http://schemas.openxmlformats.org/officeDocument/2006/relationships/hyperlink" Target="https://luluvdoo.com/d/ob7xprj9u9am" TargetMode="External"/><Relationship Id="rId1252" Type="http://schemas.openxmlformats.org/officeDocument/2006/relationships/hyperlink" Target="https://doodstream.com/d/d3779g7hywpj/" TargetMode="External"/><Relationship Id="rId2303" Type="http://schemas.openxmlformats.org/officeDocument/2006/relationships/hyperlink" Target="https://lulustream.com/e/f2d5gqraizbd" TargetMode="External"/><Relationship Id="rId2510" Type="http://schemas.openxmlformats.org/officeDocument/2006/relationships/hyperlink" Target="https://lulustream.com/e/jf7cp4dpyqy9" TargetMode="External"/><Relationship Id="rId1112" Type="http://schemas.openxmlformats.org/officeDocument/2006/relationships/hyperlink" Target="https://thumb.tapecontent.net/thumb/m3mxGor4X0fbmYj/xrXPXJGbdlhk2Yx.jpg" TargetMode="External"/><Relationship Id="rId4268" Type="http://schemas.openxmlformats.org/officeDocument/2006/relationships/hyperlink" Target="https://thumb.tapecontent.net/thumb/WP6oPLKLe0Hb323/YZo1aBOvD3upAP.jpg" TargetMode="External"/><Relationship Id="rId4475" Type="http://schemas.openxmlformats.org/officeDocument/2006/relationships/hyperlink" Target="https://thumb.tapecontent.net/thumb/OWMXJ63oWjHZ8Rm/7Ywv6KyBg0FAdk8.jpg" TargetMode="External"/><Relationship Id="rId3077" Type="http://schemas.openxmlformats.org/officeDocument/2006/relationships/hyperlink" Target="https://lulustream.com/d/dp5h5bqhl9kx" TargetMode="External"/><Relationship Id="rId3284" Type="http://schemas.openxmlformats.org/officeDocument/2006/relationships/hyperlink" Target="https://thumb.tapecontent.net/thumb/Yw8Q4b7zPJSvkyK/yl6GKKO3OgI1Zeo.jpg" TargetMode="External"/><Relationship Id="rId4128" Type="http://schemas.openxmlformats.org/officeDocument/2006/relationships/hyperlink" Target="https://lulustream.com/d/pfgij3xv4f97" TargetMode="External"/><Relationship Id="rId4682" Type="http://schemas.openxmlformats.org/officeDocument/2006/relationships/hyperlink" Target="https://doodstream.com/d/jn5y96nr9sll/" TargetMode="External"/><Relationship Id="rId1929" Type="http://schemas.openxmlformats.org/officeDocument/2006/relationships/hyperlink" Target="https://lulustream.com/e/uka32r1g1sa6" TargetMode="External"/><Relationship Id="rId2093" Type="http://schemas.openxmlformats.org/officeDocument/2006/relationships/hyperlink" Target="https://lulustream.com/e/4j6z4gujyoez" TargetMode="External"/><Relationship Id="rId3491" Type="http://schemas.openxmlformats.org/officeDocument/2006/relationships/hyperlink" Target="https://doodstream.com/d/n95jcugktrsk/" TargetMode="External"/><Relationship Id="rId4335" Type="http://schemas.openxmlformats.org/officeDocument/2006/relationships/hyperlink" Target="https://thumb.tapecontent.net/thumb/dpBg1bb6xGhkW7K/lWwaRWY2B7U7qDj.jpg" TargetMode="External"/><Relationship Id="rId4542" Type="http://schemas.openxmlformats.org/officeDocument/2006/relationships/hyperlink" Target="https://luluvdoo.com/d/njw2f4wtbuea" TargetMode="External"/><Relationship Id="rId3144" Type="http://schemas.openxmlformats.org/officeDocument/2006/relationships/hyperlink" Target="https://luluvdoo.com/d/0uqevlop4ja1" TargetMode="External"/><Relationship Id="rId3351" Type="http://schemas.openxmlformats.org/officeDocument/2006/relationships/hyperlink" Target="https://lulustream.com/d/r90o6mi16t36" TargetMode="External"/><Relationship Id="rId4402" Type="http://schemas.openxmlformats.org/officeDocument/2006/relationships/hyperlink" Target="https://doodstream.com/d/7emozhou77dq/" TargetMode="External"/><Relationship Id="rId272" Type="http://schemas.openxmlformats.org/officeDocument/2006/relationships/hyperlink" Target="https://lulustream.com/e/kj15uow8xth0" TargetMode="External"/><Relationship Id="rId2160" Type="http://schemas.openxmlformats.org/officeDocument/2006/relationships/hyperlink" Target="https://lulustream.com/e/cab3gdbdzo79" TargetMode="External"/><Relationship Id="rId3004" Type="http://schemas.openxmlformats.org/officeDocument/2006/relationships/hyperlink" Target="https://lulustream.com/d/zm8avh4d22wa" TargetMode="External"/><Relationship Id="rId3211" Type="http://schemas.openxmlformats.org/officeDocument/2006/relationships/hyperlink" Target="https://thumb.tapecontent.net/thumb/2DOyBxOgzruZZxP/ZwOpAZrXbBSq9o1.jpg" TargetMode="External"/><Relationship Id="rId132" Type="http://schemas.openxmlformats.org/officeDocument/2006/relationships/hyperlink" Target="https://thumb.tapecontent.net/thumb/6PVmoGxlb9C9rxx/PkzMMGOYdDs0Krb.jpg" TargetMode="External"/><Relationship Id="rId2020" Type="http://schemas.openxmlformats.org/officeDocument/2006/relationships/hyperlink" Target="https://thumb.tapecontent.net/thumb/DAY49grZ9kck1Mg/Mzllx26LJJSYJ0.jpg" TargetMode="External"/><Relationship Id="rId1579" Type="http://schemas.openxmlformats.org/officeDocument/2006/relationships/hyperlink" Target="https://thumb.tapecontent.net/thumb/DlbrxKOxr4ik70D/myxDPplMR6ibZYL.jpg" TargetMode="External"/><Relationship Id="rId2977" Type="http://schemas.openxmlformats.org/officeDocument/2006/relationships/hyperlink" Target="https://lulustream.com/d/n420o64q00kl" TargetMode="External"/><Relationship Id="rId4192" Type="http://schemas.openxmlformats.org/officeDocument/2006/relationships/hyperlink" Target="https://lulustream.com/e/pjvm8z3uilf7" TargetMode="External"/><Relationship Id="rId949" Type="http://schemas.openxmlformats.org/officeDocument/2006/relationships/hyperlink" Target="https://doodstream.com/d/lit5ooq2n9zg/" TargetMode="External"/><Relationship Id="rId1786" Type="http://schemas.openxmlformats.org/officeDocument/2006/relationships/hyperlink" Target="https://doodstream.com/d/4e4bng6xgko7/" TargetMode="External"/><Relationship Id="rId1993" Type="http://schemas.openxmlformats.org/officeDocument/2006/relationships/hyperlink" Target="https://doodstream.com/d/fwfp83yhcneu/" TargetMode="External"/><Relationship Id="rId2837" Type="http://schemas.openxmlformats.org/officeDocument/2006/relationships/hyperlink" Target="https://thumb.tapecontent.net/thumb/xevB1Q8lW1ikdwj/Zxkzvy3dYXSqzGk.jpg" TargetMode="External"/><Relationship Id="rId4052" Type="http://schemas.openxmlformats.org/officeDocument/2006/relationships/hyperlink" Target="https://lulustream.com/d/cyygbb4bpwh7" TargetMode="External"/><Relationship Id="rId78" Type="http://schemas.openxmlformats.org/officeDocument/2006/relationships/hyperlink" Target="http://ripnsfw.com/" TargetMode="External"/><Relationship Id="rId809" Type="http://schemas.openxmlformats.org/officeDocument/2006/relationships/hyperlink" Target="https://lulustream.com/e/rxyxbcu8c5d0" TargetMode="External"/><Relationship Id="rId1439" Type="http://schemas.openxmlformats.org/officeDocument/2006/relationships/hyperlink" Target="https://thumb.tapecontent.net/thumb/mk6Le8BKdMubmVA/KPv9VyqRPXs06Y7.jpg" TargetMode="External"/><Relationship Id="rId1646" Type="http://schemas.openxmlformats.org/officeDocument/2006/relationships/hyperlink" Target="https://thumb.tapecontent.net/thumb/KQwAezGlv2hgMv/0B0d9GGVGQSb31R.jpg" TargetMode="External"/><Relationship Id="rId1853" Type="http://schemas.openxmlformats.org/officeDocument/2006/relationships/hyperlink" Target="https://lulustream.com/e/2ahs9kiw8s00" TargetMode="External"/><Relationship Id="rId2904" Type="http://schemas.openxmlformats.org/officeDocument/2006/relationships/hyperlink" Target="https://lulustream.com/d/m0trvrmye187" TargetMode="External"/><Relationship Id="rId1506" Type="http://schemas.openxmlformats.org/officeDocument/2006/relationships/hyperlink" Target="https://doodstream.com/d/jgih9mcbd3ek/" TargetMode="External"/><Relationship Id="rId1713" Type="http://schemas.openxmlformats.org/officeDocument/2006/relationships/hyperlink" Target="https://luluvdoo.com/d/yk9guj60hh46" TargetMode="External"/><Relationship Id="rId1920" Type="http://schemas.openxmlformats.org/officeDocument/2006/relationships/hyperlink" Target="https://lulustream.com/d/1heq1rpzmor6" TargetMode="External"/><Relationship Id="rId3678" Type="http://schemas.openxmlformats.org/officeDocument/2006/relationships/hyperlink" Target="https://thumb.tapecontent.net/thumb/qOWDYZB7J8Fzqqm/r3PwXzqgJwCbb29.jpg" TargetMode="External"/><Relationship Id="rId3885" Type="http://schemas.openxmlformats.org/officeDocument/2006/relationships/hyperlink" Target="https://thumb.tapecontent.net/thumb/vV4QW9PpxQf4OBw/gVybQ2m9z9UqqGa.jpg" TargetMode="External"/><Relationship Id="rId4729" Type="http://schemas.openxmlformats.org/officeDocument/2006/relationships/hyperlink" Target="https://thumb.tapecontent.net/thumb/k2rmMBL2rkiO7La/ldGvWD244js7XyX.jpg" TargetMode="External"/><Relationship Id="rId599" Type="http://schemas.openxmlformats.org/officeDocument/2006/relationships/hyperlink" Target="https://lulustream.com/d/gxztp2o0ummy" TargetMode="External"/><Relationship Id="rId2487" Type="http://schemas.openxmlformats.org/officeDocument/2006/relationships/hyperlink" Target="https://lulustream.com/d/clt5277wmejx" TargetMode="External"/><Relationship Id="rId2694" Type="http://schemas.openxmlformats.org/officeDocument/2006/relationships/hyperlink" Target="https://doodstream.com/d/vvcptqf88skx/" TargetMode="External"/><Relationship Id="rId3538" Type="http://schemas.openxmlformats.org/officeDocument/2006/relationships/hyperlink" Target="https://lulustream.com/e/vtlrisyeb1xi" TargetMode="External"/><Relationship Id="rId3745" Type="http://schemas.openxmlformats.org/officeDocument/2006/relationships/hyperlink" Target="https://thumb.tapecontent.net/thumb/RjJmJvb7YwIXYd/1JQGvWB80WSeY1l.jpg" TargetMode="External"/><Relationship Id="rId459" Type="http://schemas.openxmlformats.org/officeDocument/2006/relationships/hyperlink" Target="https://thumb.tapecontent.net/thumb/vkWYR0B8WYI4yY0/rJkpDzqPqWfG23.jpg" TargetMode="External"/><Relationship Id="rId666" Type="http://schemas.openxmlformats.org/officeDocument/2006/relationships/hyperlink" Target="https://lulustream.com/e/jdu9ub0j62ny" TargetMode="External"/><Relationship Id="rId873" Type="http://schemas.openxmlformats.org/officeDocument/2006/relationships/hyperlink" Target="https://thumb.tapecontent.net/thumb/dvzwxbG7a8Hkmd4/jq1BWB0yPKhz8Yz.jpg" TargetMode="External"/><Relationship Id="rId1089" Type="http://schemas.openxmlformats.org/officeDocument/2006/relationships/hyperlink" Target="https://lulustream.com/d/r9rii0q5acpp" TargetMode="External"/><Relationship Id="rId1296" Type="http://schemas.openxmlformats.org/officeDocument/2006/relationships/hyperlink" Target="https://doodstream.com/d/ibrnyhgurqu8/" TargetMode="External"/><Relationship Id="rId2347" Type="http://schemas.openxmlformats.org/officeDocument/2006/relationships/hyperlink" Target="https://lulustream.com/d/qxqd8iec97g7" TargetMode="External"/><Relationship Id="rId2554" Type="http://schemas.openxmlformats.org/officeDocument/2006/relationships/hyperlink" Target="https://thumb.tapecontent.net/thumb/XWOjxbd4DZSDO2P/M0xWgaXX4KUmkGV.jpg" TargetMode="External"/><Relationship Id="rId3952" Type="http://schemas.openxmlformats.org/officeDocument/2006/relationships/hyperlink" Target="https://lulustream.com/e/e9li95kl2gvi" TargetMode="External"/><Relationship Id="rId319" Type="http://schemas.openxmlformats.org/officeDocument/2006/relationships/hyperlink" Target="https://luluvdoo.com/d/ige09y8zdhpx" TargetMode="External"/><Relationship Id="rId526" Type="http://schemas.openxmlformats.org/officeDocument/2006/relationships/hyperlink" Target="https://streamtape.com/v/YgrQa4OKvGHvXOP/Angela_White_-_93500544_-_ripnsfw.com.mp4" TargetMode="External"/><Relationship Id="rId1156" Type="http://schemas.openxmlformats.org/officeDocument/2006/relationships/hyperlink" Target="https://doodstream.com/d/n69ohnc0bfxg/" TargetMode="External"/><Relationship Id="rId1363" Type="http://schemas.openxmlformats.org/officeDocument/2006/relationships/hyperlink" Target="https://lulustream.com/e/40d6s4x26rlg" TargetMode="External"/><Relationship Id="rId2207" Type="http://schemas.openxmlformats.org/officeDocument/2006/relationships/hyperlink" Target="https://doodstream.com/d/zlgp8yyru8cl/" TargetMode="External"/><Relationship Id="rId2761" Type="http://schemas.openxmlformats.org/officeDocument/2006/relationships/hyperlink" Target="https://thumb.tapecontent.net/thumb/7Dyjw3pa9ziA3KX/17OWqQW6V6IeobG.jpg" TargetMode="External"/><Relationship Id="rId3605" Type="http://schemas.openxmlformats.org/officeDocument/2006/relationships/hyperlink" Target="https://thumb.tapecontent.net/thumb/oDj0P1JKv6sJg0k/plrbDYrK42Uro47.jpg" TargetMode="External"/><Relationship Id="rId3812" Type="http://schemas.openxmlformats.org/officeDocument/2006/relationships/hyperlink" Target="https://thumb.tapecontent.net/thumb/x1oeJ77ZLmHkd9v/kbppJxwZq2I6re.jpg" TargetMode="External"/><Relationship Id="rId733" Type="http://schemas.openxmlformats.org/officeDocument/2006/relationships/hyperlink" Target="https://lulustream.com/d/3vwv0xytpts8" TargetMode="External"/><Relationship Id="rId940" Type="http://schemas.openxmlformats.org/officeDocument/2006/relationships/hyperlink" Target="https://doodstream.com/d/hsgn3ebv9k95/" TargetMode="External"/><Relationship Id="rId1016" Type="http://schemas.openxmlformats.org/officeDocument/2006/relationships/hyperlink" Target="https://luluvdoo.com/d/83fgbp79890u" TargetMode="External"/><Relationship Id="rId1570" Type="http://schemas.openxmlformats.org/officeDocument/2006/relationships/hyperlink" Target="https://lulustream.com/d/xy9xdmmfqu97" TargetMode="External"/><Relationship Id="rId2414" Type="http://schemas.openxmlformats.org/officeDocument/2006/relationships/hyperlink" Target="https://thumb.tapecontent.net/thumb/94MAvqW08OiolX/wDW3D21Bblhlgq.jpg" TargetMode="External"/><Relationship Id="rId2621" Type="http://schemas.openxmlformats.org/officeDocument/2006/relationships/hyperlink" Target="https://thumb.tapecontent.net/thumb/2VZeM3pLreHZgYM/Xy7WRG4oLaUDO8W.jpg" TargetMode="External"/><Relationship Id="rId800" Type="http://schemas.openxmlformats.org/officeDocument/2006/relationships/hyperlink" Target="https://lulustream.com/d/l247i3c030e8" TargetMode="External"/><Relationship Id="rId1223" Type="http://schemas.openxmlformats.org/officeDocument/2006/relationships/hyperlink" Target="https://doodstream.com/d/kfaegrf72ulk/" TargetMode="External"/><Relationship Id="rId1430" Type="http://schemas.openxmlformats.org/officeDocument/2006/relationships/hyperlink" Target="https://thumb.tapecontent.net/thumb/0LvM42yk4WSb1kx/owQKbaXVXdfJ8yR.jpg" TargetMode="External"/><Relationship Id="rId4379" Type="http://schemas.openxmlformats.org/officeDocument/2006/relationships/hyperlink" Target="https://lulustream.com/e/urz42psjtaiw" TargetMode="External"/><Relationship Id="rId4586" Type="http://schemas.openxmlformats.org/officeDocument/2006/relationships/hyperlink" Target="https://lulustream.com/d/5ia8sh7dufrb" TargetMode="External"/><Relationship Id="rId3188" Type="http://schemas.openxmlformats.org/officeDocument/2006/relationships/hyperlink" Target="https://lulustream.com/d/ug1cp7fj1jnx" TargetMode="External"/><Relationship Id="rId3395" Type="http://schemas.openxmlformats.org/officeDocument/2006/relationships/hyperlink" Target="https://lulustream.com/e/ap4irg4tui4v" TargetMode="External"/><Relationship Id="rId4239" Type="http://schemas.openxmlformats.org/officeDocument/2006/relationships/hyperlink" Target="https://lulustream.com/e/oskcd78dflax" TargetMode="External"/><Relationship Id="rId4446" Type="http://schemas.openxmlformats.org/officeDocument/2006/relationships/hyperlink" Target="https://thumb.tapecontent.net/thumb/9oxgYWPRVDSagWA/YPGJrzWOyrcvgPJ.jpg" TargetMode="External"/><Relationship Id="rId4653" Type="http://schemas.openxmlformats.org/officeDocument/2006/relationships/hyperlink" Target="https://doodstream.com/d/5mvco2u5y62o/" TargetMode="External"/><Relationship Id="rId3048" Type="http://schemas.openxmlformats.org/officeDocument/2006/relationships/hyperlink" Target="http://ripnsfw.com/" TargetMode="External"/><Relationship Id="rId3255" Type="http://schemas.openxmlformats.org/officeDocument/2006/relationships/hyperlink" Target="https://lulustream.com/d/0rq2f3xdk9av" TargetMode="External"/><Relationship Id="rId3462" Type="http://schemas.openxmlformats.org/officeDocument/2006/relationships/hyperlink" Target="https://doodstream.com/d/igk47m8js41j/" TargetMode="External"/><Relationship Id="rId4306" Type="http://schemas.openxmlformats.org/officeDocument/2006/relationships/hyperlink" Target="https://thumb.tapecontent.net/thumb/qD9qa3X91aUzXpw/rDz9ZaXqK9f3xo.jpg" TargetMode="External"/><Relationship Id="rId4513" Type="http://schemas.openxmlformats.org/officeDocument/2006/relationships/hyperlink" Target="https://luluvdoo.com/d/m4rvepadrkr1" TargetMode="External"/><Relationship Id="rId4720" Type="http://schemas.openxmlformats.org/officeDocument/2006/relationships/hyperlink" Target="https://lulustream.com/d/g3nipxhbmgiz" TargetMode="External"/><Relationship Id="rId176" Type="http://schemas.openxmlformats.org/officeDocument/2006/relationships/hyperlink" Target="https://lulustream.com/e/6obkapj4wp5w" TargetMode="External"/><Relationship Id="rId383" Type="http://schemas.openxmlformats.org/officeDocument/2006/relationships/hyperlink" Target="https://streamtape.com/v/p7gPx78RMjHrQGG/Angela_White_-_19495197_-_ripnsfw.com" TargetMode="External"/><Relationship Id="rId590" Type="http://schemas.openxmlformats.org/officeDocument/2006/relationships/hyperlink" Target="https://thumb.tapecontent.net/thumb/8JOwLLV6ZOfoxZ9/mrZyVW7x8MiBLl.jpg" TargetMode="External"/><Relationship Id="rId2064" Type="http://schemas.openxmlformats.org/officeDocument/2006/relationships/hyperlink" Target="https://thumb.tapecontent.net/thumb/k2QkbPJPD1TOGlb/G21xdZrkp9I1D91.jpg" TargetMode="External"/><Relationship Id="rId2271" Type="http://schemas.openxmlformats.org/officeDocument/2006/relationships/hyperlink" Target="https://thumb.tapecontent.net/thumb/kWPaArjmZOUOdOm/X2rBQzM4lycDV1A.jpg" TargetMode="External"/><Relationship Id="rId3115" Type="http://schemas.openxmlformats.org/officeDocument/2006/relationships/hyperlink" Target="https://luluvdoo.com/d/g9kex0k248mg" TargetMode="External"/><Relationship Id="rId3322" Type="http://schemas.openxmlformats.org/officeDocument/2006/relationships/hyperlink" Target="https://doodstream.com/d/f9c6ckftqwjt/" TargetMode="External"/><Relationship Id="rId243" Type="http://schemas.openxmlformats.org/officeDocument/2006/relationships/hyperlink" Target="https://thumb.tapecontent.net/thumb/bZe0adGZqGUPjmQ/q9zGe3WJkLHyXq.jpg" TargetMode="External"/><Relationship Id="rId450" Type="http://schemas.openxmlformats.org/officeDocument/2006/relationships/hyperlink" Target="https://streamtape.com/v/VdJw42Ly47tK7vX/Angela_White_-_55230680_-_Onlyfans_-_ripnfw.com" TargetMode="External"/><Relationship Id="rId1080" Type="http://schemas.openxmlformats.org/officeDocument/2006/relationships/hyperlink" Target="https://doodstream.com/d/jb2zpm8qrsln/" TargetMode="External"/><Relationship Id="rId2131" Type="http://schemas.openxmlformats.org/officeDocument/2006/relationships/hyperlink" Target="https://doodstream.com/d/j52e7l55ir2l/" TargetMode="External"/><Relationship Id="rId103" Type="http://schemas.openxmlformats.org/officeDocument/2006/relationships/hyperlink" Target="https://lulustream.com/d/f5np0s394jla" TargetMode="External"/><Relationship Id="rId310" Type="http://schemas.openxmlformats.org/officeDocument/2006/relationships/hyperlink" Target="https://thumb.tapecontent.net/thumb/VPMG7XlzWgSYzr/XrVwPaO4ALIPgW.jpg" TargetMode="External"/><Relationship Id="rId4096" Type="http://schemas.openxmlformats.org/officeDocument/2006/relationships/hyperlink" Target="https://thumb.tapecontent.net/thumb/16MMJL0B30HezQW/eg7kaLOJxxfY6XV.jpg" TargetMode="External"/><Relationship Id="rId1897" Type="http://schemas.openxmlformats.org/officeDocument/2006/relationships/hyperlink" Target="https://thumb.tapecontent.net/thumb/dPwAQe6oDVF7eO/ZJ1vzjgdodUq9d7.jpg" TargetMode="External"/><Relationship Id="rId2948" Type="http://schemas.openxmlformats.org/officeDocument/2006/relationships/hyperlink" Target="https://doodstream.com/d/i7rfgn6a1xut/" TargetMode="External"/><Relationship Id="rId1757" Type="http://schemas.openxmlformats.org/officeDocument/2006/relationships/hyperlink" Target="https://luluvdoo.com/d/k7ng70l8c9ok" TargetMode="External"/><Relationship Id="rId1964" Type="http://schemas.openxmlformats.org/officeDocument/2006/relationships/hyperlink" Target="https://doodstream.com/d/196gowqkszp7/" TargetMode="External"/><Relationship Id="rId2808" Type="http://schemas.openxmlformats.org/officeDocument/2006/relationships/hyperlink" Target="https://doodstream.com/d/kroiaxqxxv7h/" TargetMode="External"/><Relationship Id="rId4163" Type="http://schemas.openxmlformats.org/officeDocument/2006/relationships/hyperlink" Target="https://lulustream.com/d/03kxksmf391z" TargetMode="External"/><Relationship Id="rId4370" Type="http://schemas.openxmlformats.org/officeDocument/2006/relationships/hyperlink" Target="https://lulustream.com/e/ewuyyv3ki13g" TargetMode="External"/><Relationship Id="rId49" Type="http://schemas.openxmlformats.org/officeDocument/2006/relationships/hyperlink" Target="https://lulustream.com/e/670hw3e5b3mo" TargetMode="External"/><Relationship Id="rId1617" Type="http://schemas.openxmlformats.org/officeDocument/2006/relationships/hyperlink" Target="https://thumb.tapecontent.net/thumb/JoPmYke6qOtjqwZ/Ok0j3lDWAmFZ3Jz.jpg" TargetMode="External"/><Relationship Id="rId1824" Type="http://schemas.openxmlformats.org/officeDocument/2006/relationships/hyperlink" Target="https://thumb.tapecontent.net/thumb/ZoazrbG7ODhq9R4/klerlqV1gpCOAbo.jpg" TargetMode="External"/><Relationship Id="rId4023" Type="http://schemas.openxmlformats.org/officeDocument/2006/relationships/hyperlink" Target="https://thumb.tapecontent.net/thumb/3kvVgr0GaeTdBaL/jjYpoK4ARRCzzRx.jpg" TargetMode="External"/><Relationship Id="rId4230" Type="http://schemas.openxmlformats.org/officeDocument/2006/relationships/hyperlink" Target="https://lulustream.com/d/il81k0isycz0" TargetMode="External"/><Relationship Id="rId3789" Type="http://schemas.openxmlformats.org/officeDocument/2006/relationships/hyperlink" Target="https://luluvdoo.com/d/449w20mslrug" TargetMode="External"/><Relationship Id="rId2598" Type="http://schemas.openxmlformats.org/officeDocument/2006/relationships/hyperlink" Target="https://thumb.tapecontent.net/thumb/zxzYqJvm3GSYa0v/zxYxBWwWqMcYzvo.jpg" TargetMode="External"/><Relationship Id="rId3996" Type="http://schemas.openxmlformats.org/officeDocument/2006/relationships/hyperlink" Target="https://doodstream.com/d/ixsbjhsl9boq/" TargetMode="External"/><Relationship Id="rId3649" Type="http://schemas.openxmlformats.org/officeDocument/2006/relationships/hyperlink" Target="https://doodstream.com/d/h4nmjyycqmo0/" TargetMode="External"/><Relationship Id="rId3856" Type="http://schemas.openxmlformats.org/officeDocument/2006/relationships/hyperlink" Target="https://lulustream.com/e/k79208hpzkmq" TargetMode="External"/><Relationship Id="rId777" Type="http://schemas.openxmlformats.org/officeDocument/2006/relationships/hyperlink" Target="https://lulustream.com/d/hxdvmyl1m0ds" TargetMode="External"/><Relationship Id="rId984" Type="http://schemas.openxmlformats.org/officeDocument/2006/relationships/hyperlink" Target="https://luluvdoo.com/d/l4k5woghsfqt" TargetMode="External"/><Relationship Id="rId2458" Type="http://schemas.openxmlformats.org/officeDocument/2006/relationships/hyperlink" Target="https://thumb.tapecontent.net/thumb/XW74pZObA7FD8rB/wOPXyOLDeKiJ0bR.jpg" TargetMode="External"/><Relationship Id="rId2665" Type="http://schemas.openxmlformats.org/officeDocument/2006/relationships/hyperlink" Target="https://thumb.tapecontent.net/thumb/g1olDOMYgQfqKR2/1pBjpzPbD7CelkJ.jpg" TargetMode="External"/><Relationship Id="rId2872" Type="http://schemas.openxmlformats.org/officeDocument/2006/relationships/hyperlink" Target="https://thumb.tapecontent.net/thumb/er4PblwaKZCYlX7/dLPQ4R27BzhkVz4.jpg" TargetMode="External"/><Relationship Id="rId3509" Type="http://schemas.openxmlformats.org/officeDocument/2006/relationships/hyperlink" Target="https://doodstream.com/d/32w0p06gqbdl/" TargetMode="External"/><Relationship Id="rId3716" Type="http://schemas.openxmlformats.org/officeDocument/2006/relationships/hyperlink" Target="https://doodstream.com/d/uau1grd3imgt/" TargetMode="External"/><Relationship Id="rId3923" Type="http://schemas.openxmlformats.org/officeDocument/2006/relationships/hyperlink" Target="https://thumb.tapecontent.net/thumb/JAAd4By082ijMb7/Z3PwP8bVYMIwmM.jpg" TargetMode="External"/><Relationship Id="rId637" Type="http://schemas.openxmlformats.org/officeDocument/2006/relationships/hyperlink" Target="https://lulustream.com/d/0m9um8fz3lcb" TargetMode="External"/><Relationship Id="rId844" Type="http://schemas.openxmlformats.org/officeDocument/2006/relationships/hyperlink" Target="https://lulustream.com/e/zuj8qtmuurmb" TargetMode="External"/><Relationship Id="rId1267" Type="http://schemas.openxmlformats.org/officeDocument/2006/relationships/hyperlink" Target="https://doodstream.com/d/9wwzk59c1vyj/" TargetMode="External"/><Relationship Id="rId1474" Type="http://schemas.openxmlformats.org/officeDocument/2006/relationships/hyperlink" Target="https://doodstream.com/d/3jfhsm9031wo/" TargetMode="External"/><Relationship Id="rId1681" Type="http://schemas.openxmlformats.org/officeDocument/2006/relationships/hyperlink" Target="https://luluvdoo.com/d/3zhjn9tfrtzw" TargetMode="External"/><Relationship Id="rId2318" Type="http://schemas.openxmlformats.org/officeDocument/2006/relationships/hyperlink" Target="https://lulustream.com/e/jpgouz8gojvt" TargetMode="External"/><Relationship Id="rId2525" Type="http://schemas.openxmlformats.org/officeDocument/2006/relationships/hyperlink" Target="https://lulustream.com/e/1lob685s69m2" TargetMode="External"/><Relationship Id="rId2732" Type="http://schemas.openxmlformats.org/officeDocument/2006/relationships/hyperlink" Target="https://lulustream.com/e/htdcwcgkudox" TargetMode="External"/><Relationship Id="rId704" Type="http://schemas.openxmlformats.org/officeDocument/2006/relationships/hyperlink" Target="https://lulustream.com/e/e6znklauliqr" TargetMode="External"/><Relationship Id="rId911" Type="http://schemas.openxmlformats.org/officeDocument/2006/relationships/hyperlink" Target="https://lulustream.com/e/69xgm9j57166" TargetMode="External"/><Relationship Id="rId1127" Type="http://schemas.openxmlformats.org/officeDocument/2006/relationships/hyperlink" Target="https://thumb.tapecontent.net/thumb/D0OGrrJDyRfkgjy/9q4mZjA79YHYA2.jpg" TargetMode="External"/><Relationship Id="rId1334" Type="http://schemas.openxmlformats.org/officeDocument/2006/relationships/hyperlink" Target="https://thumb.tapecontent.net/thumb/PZQVyL0zjjfRaz/QdLM3YPryQs049O.jpg" TargetMode="External"/><Relationship Id="rId1541" Type="http://schemas.openxmlformats.org/officeDocument/2006/relationships/hyperlink" Target="https://doodstream.com/d/r7oba1m9o1yg/" TargetMode="External"/><Relationship Id="rId4697" Type="http://schemas.openxmlformats.org/officeDocument/2006/relationships/hyperlink" Target="https://thumb.tapecontent.net/thumb/Oe0mm8lJ9DFZvdz/qJkZjXXddRfALj.jpg" TargetMode="External"/><Relationship Id="rId40" Type="http://schemas.openxmlformats.org/officeDocument/2006/relationships/hyperlink" Target="https://lulustream.com/e/akzepx724qwo" TargetMode="External"/><Relationship Id="rId1401" Type="http://schemas.openxmlformats.org/officeDocument/2006/relationships/hyperlink" Target="https://thumb.tapecontent.net/thumb/8BvzqzO6vLcMMr/B2VOd2VWxjiyJP7.jpg" TargetMode="External"/><Relationship Id="rId3299" Type="http://schemas.openxmlformats.org/officeDocument/2006/relationships/hyperlink" Target="https://lulustream.com/d/k4shlg9z0sm1" TargetMode="External"/><Relationship Id="rId4557" Type="http://schemas.openxmlformats.org/officeDocument/2006/relationships/hyperlink" Target="https://luluvdoo.com/d/1mor1untjidp" TargetMode="External"/><Relationship Id="rId4764" Type="http://schemas.openxmlformats.org/officeDocument/2006/relationships/hyperlink" Target="https://bunkr.pk/f/eDfXTiEJaD0cB" TargetMode="External"/><Relationship Id="rId3159" Type="http://schemas.openxmlformats.org/officeDocument/2006/relationships/hyperlink" Target="https://thumb.tapecontent.net/thumb/ZXwyA9ly24FqW37/7mQWdeem3WIAg72.jpg" TargetMode="External"/><Relationship Id="rId3366" Type="http://schemas.openxmlformats.org/officeDocument/2006/relationships/hyperlink" Target="https://thumb.tapecontent.net/thumb/3kvXrJOr6VsdBkj/w76KwklMyQcJXmM.jpg" TargetMode="External"/><Relationship Id="rId3573" Type="http://schemas.openxmlformats.org/officeDocument/2006/relationships/hyperlink" Target="https://lulustream.com/e/picwi2n0o1tt" TargetMode="External"/><Relationship Id="rId4417" Type="http://schemas.openxmlformats.org/officeDocument/2006/relationships/hyperlink" Target="https://doodstream.com/d/lbe1kzsgf1r1/" TargetMode="External"/><Relationship Id="rId287" Type="http://schemas.openxmlformats.org/officeDocument/2006/relationships/hyperlink" Target="https://lulustream.com/d/4a03rbumdav4" TargetMode="External"/><Relationship Id="rId494" Type="http://schemas.openxmlformats.org/officeDocument/2006/relationships/hyperlink" Target="https://streamtape.com/v/7bJbajZoalSRp9/Angela_White_-_74594738_-_Onlyfans" TargetMode="External"/><Relationship Id="rId2175" Type="http://schemas.openxmlformats.org/officeDocument/2006/relationships/hyperlink" Target="https://lulustream.com/e/c8vfnxkucccj" TargetMode="External"/><Relationship Id="rId2382" Type="http://schemas.openxmlformats.org/officeDocument/2006/relationships/hyperlink" Target="https://doodstream.com/d/b2ymeldspfiz/" TargetMode="External"/><Relationship Id="rId3019" Type="http://schemas.openxmlformats.org/officeDocument/2006/relationships/hyperlink" Target="https://doodstream.com/d/53iaalcpvf4b/" TargetMode="External"/><Relationship Id="rId3226" Type="http://schemas.openxmlformats.org/officeDocument/2006/relationships/hyperlink" Target="https://doodstream.com/d/u8rtyh2vzs7x/" TargetMode="External"/><Relationship Id="rId3780" Type="http://schemas.openxmlformats.org/officeDocument/2006/relationships/hyperlink" Target="https://thumb.tapecontent.net/thumb/41WKmgAezvSKYVl/qjBqXL9MMDCZze.jpg" TargetMode="External"/><Relationship Id="rId4624" Type="http://schemas.openxmlformats.org/officeDocument/2006/relationships/hyperlink" Target="https://lulustream.com/e/ibo8soj9yda3" TargetMode="External"/><Relationship Id="rId147" Type="http://schemas.openxmlformats.org/officeDocument/2006/relationships/hyperlink" Target="https://thumb.tapecontent.net/thumb/jVbjdr889QuzkMr/7dypXeJjgKiAOvK.jpg" TargetMode="External"/><Relationship Id="rId354" Type="http://schemas.openxmlformats.org/officeDocument/2006/relationships/hyperlink" Target="https://luluvdoo.com/d/3lzdke0dictk" TargetMode="External"/><Relationship Id="rId1191" Type="http://schemas.openxmlformats.org/officeDocument/2006/relationships/hyperlink" Target="https://doodstream.com/d/2q0oxfqd5yr7/" TargetMode="External"/><Relationship Id="rId2035" Type="http://schemas.openxmlformats.org/officeDocument/2006/relationships/hyperlink" Target="https://doodstream.com/d/rl5p2mmsfvbv/" TargetMode="External"/><Relationship Id="rId3433" Type="http://schemas.openxmlformats.org/officeDocument/2006/relationships/hyperlink" Target="https://thumb.tapecontent.net/thumb/jla4kMLL8jHQQd/zVedqZbDkWTYrrr.jpg" TargetMode="External"/><Relationship Id="rId3640" Type="http://schemas.openxmlformats.org/officeDocument/2006/relationships/hyperlink" Target="https://doodstream.com/d/8l4k8a9e0xv7/" TargetMode="External"/><Relationship Id="rId561" Type="http://schemas.openxmlformats.org/officeDocument/2006/relationships/hyperlink" Target="https://thumb.tapecontent.net/thumb/zVB8geOG3lIYPzd/3A9e2e1ewxiD4k.jpg" TargetMode="External"/><Relationship Id="rId2242" Type="http://schemas.openxmlformats.org/officeDocument/2006/relationships/hyperlink" Target="https://thumb.tapecontent.net/thumb/KyzbZ3GlWMs0xpk/wz44x4dajMUJyor.jpg" TargetMode="External"/><Relationship Id="rId3500" Type="http://schemas.openxmlformats.org/officeDocument/2006/relationships/hyperlink" Target="https://doodstream.com/d/pgfpmt63w71h/" TargetMode="External"/><Relationship Id="rId214" Type="http://schemas.openxmlformats.org/officeDocument/2006/relationships/hyperlink" Target="https://thumb.tapecontent.net/thumb/m749YwgRMoHbxyg/gv1Y4WlKbaIqbob.jpg" TargetMode="External"/><Relationship Id="rId421" Type="http://schemas.openxmlformats.org/officeDocument/2006/relationships/hyperlink" Target="https://luluvdoo.com/d/m6e8e5o21zfh" TargetMode="External"/><Relationship Id="rId1051" Type="http://schemas.openxmlformats.org/officeDocument/2006/relationships/hyperlink" Target="https://doodstream.com/d/vod7pm7zd9hd/" TargetMode="External"/><Relationship Id="rId2102" Type="http://schemas.openxmlformats.org/officeDocument/2006/relationships/hyperlink" Target="https://lulustream.com/e/wdnz8kcedvuk" TargetMode="External"/><Relationship Id="rId1868" Type="http://schemas.openxmlformats.org/officeDocument/2006/relationships/hyperlink" Target="https://lulustream.com/e/n674oubcbbei" TargetMode="External"/><Relationship Id="rId4067" Type="http://schemas.openxmlformats.org/officeDocument/2006/relationships/hyperlink" Target="https://thumb.tapecontent.net/thumb/gj8vkVmJQesqdaV/0LXA8ePZkDtbxyd.jpg" TargetMode="External"/><Relationship Id="rId4274" Type="http://schemas.openxmlformats.org/officeDocument/2006/relationships/hyperlink" Target="https://doodstream.com/d/05xa23ne8w8z/" TargetMode="External"/><Relationship Id="rId4481" Type="http://schemas.openxmlformats.org/officeDocument/2006/relationships/hyperlink" Target="https://thumb.tapecontent.net/thumb/8wlmkwljGGTogbo/1jBMJKqbxjtezx0.jpg" TargetMode="External"/><Relationship Id="rId2919" Type="http://schemas.openxmlformats.org/officeDocument/2006/relationships/hyperlink" Target="https://doodstream.com/d/xbzbo1h7u966/" TargetMode="External"/><Relationship Id="rId3083" Type="http://schemas.openxmlformats.org/officeDocument/2006/relationships/hyperlink" Target="https://doodstream.com/d/k3mw8zyqsclc/" TargetMode="External"/><Relationship Id="rId3290" Type="http://schemas.openxmlformats.org/officeDocument/2006/relationships/hyperlink" Target="https://lulustream.com/d/4ov1x45deshj" TargetMode="External"/><Relationship Id="rId4134" Type="http://schemas.openxmlformats.org/officeDocument/2006/relationships/hyperlink" Target="https://lulustream.com/e/hr0qhr5ipijh" TargetMode="External"/><Relationship Id="rId4341" Type="http://schemas.openxmlformats.org/officeDocument/2006/relationships/hyperlink" Target="https://doodstream.com/d/s8p7w16ar5qw/" TargetMode="External"/><Relationship Id="rId1728" Type="http://schemas.openxmlformats.org/officeDocument/2006/relationships/hyperlink" Target="https://luluvdoo.com/d/3vv8z0fvt7is" TargetMode="External"/><Relationship Id="rId1935" Type="http://schemas.openxmlformats.org/officeDocument/2006/relationships/hyperlink" Target="https://doodstream.com/d/et2q65iilut3/" TargetMode="External"/><Relationship Id="rId3150" Type="http://schemas.openxmlformats.org/officeDocument/2006/relationships/hyperlink" Target="https://thumb.tapecontent.net/thumb/Y7V6vAOo6Ltv4dm/XwgqWwVjk3UBYp.jpg" TargetMode="External"/><Relationship Id="rId4201" Type="http://schemas.openxmlformats.org/officeDocument/2006/relationships/hyperlink" Target="https://thumb.tapecontent.net/thumb/PLWrkQZMYZtb0k/MPg8o4v4kgFmbMM.jpg" TargetMode="External"/><Relationship Id="rId3010" Type="http://schemas.openxmlformats.org/officeDocument/2006/relationships/hyperlink" Target="https://thumb.tapecontent.net/thumb/0pDwMypRGdCb84e/QDBbWZlwOkI0OOv.jpg" TargetMode="External"/><Relationship Id="rId3967" Type="http://schemas.openxmlformats.org/officeDocument/2006/relationships/hyperlink" Target="https://thumb.tapecontent.net/thumb/OJ82gbLLe1tZP33/41eL6WWze3iK39X.jpg" TargetMode="External"/><Relationship Id="rId4" Type="http://schemas.openxmlformats.org/officeDocument/2006/relationships/hyperlink" Target="https://thumb.tapecontent.net/thumb/BJ3Gj7o3lkcyZb6/69oK4xX1LvF9wq3.jpg" TargetMode="External"/><Relationship Id="rId888" Type="http://schemas.openxmlformats.org/officeDocument/2006/relationships/hyperlink" Target="https://thumb.tapecontent.net/thumb/qywg1MzpKjFz3Z6/YVdwLk6PzDtvGXx.jpg" TargetMode="External"/><Relationship Id="rId2569" Type="http://schemas.openxmlformats.org/officeDocument/2006/relationships/hyperlink" Target="https://thumb.tapecontent.net/thumb/glLX62LbdBCq0Gk/M9J198MoK1F1ol.jpg" TargetMode="External"/><Relationship Id="rId2776" Type="http://schemas.openxmlformats.org/officeDocument/2006/relationships/hyperlink" Target="https://thumb.tapecontent.net/thumb/4PprXjX0VviVWL/3wRvXxVyxjtdqy0.jpg" TargetMode="External"/><Relationship Id="rId2983" Type="http://schemas.openxmlformats.org/officeDocument/2006/relationships/hyperlink" Target="https://thumb.tapecontent.net/thumb/aZR9jR28v9fxV1D/Yp3BAm4MOzFByd.jpg" TargetMode="External"/><Relationship Id="rId3827" Type="http://schemas.openxmlformats.org/officeDocument/2006/relationships/hyperlink" Target="https://doodstream.com/d/ta6ibje8nnew/" TargetMode="External"/><Relationship Id="rId748" Type="http://schemas.openxmlformats.org/officeDocument/2006/relationships/hyperlink" Target="https://lulustream.com/d/inyufpe2x7d7" TargetMode="External"/><Relationship Id="rId955" Type="http://schemas.openxmlformats.org/officeDocument/2006/relationships/hyperlink" Target="https://lulustream.com/e/08653a7b72oy" TargetMode="External"/><Relationship Id="rId1378" Type="http://schemas.openxmlformats.org/officeDocument/2006/relationships/hyperlink" Target="https://thumb.tapecontent.net/thumb/Xqgr6pydYdtZ8O/6KDDdO9mvat98Vd.jpg" TargetMode="External"/><Relationship Id="rId1585" Type="http://schemas.openxmlformats.org/officeDocument/2006/relationships/hyperlink" Target="https://thumb.tapecontent.net/thumb/pdVZKKXPQjIV80/Qg7rmRKOQKs0YQx.jpg" TargetMode="External"/><Relationship Id="rId1792" Type="http://schemas.openxmlformats.org/officeDocument/2006/relationships/hyperlink" Target="https://doodstream.com/d/3givzolyyxme/" TargetMode="External"/><Relationship Id="rId2429" Type="http://schemas.openxmlformats.org/officeDocument/2006/relationships/hyperlink" Target="https://doodstream.com/d/yo0d19762b02/" TargetMode="External"/><Relationship Id="rId2636" Type="http://schemas.openxmlformats.org/officeDocument/2006/relationships/hyperlink" Target="https://thumb.tapecontent.net/thumb/4m1Ap3MW28fKwQ2/gwZ0emg4OBuB3p.jpg" TargetMode="External"/><Relationship Id="rId2843" Type="http://schemas.openxmlformats.org/officeDocument/2006/relationships/hyperlink" Target="https://doodstream.com/d/novpnocrbfg9/" TargetMode="External"/><Relationship Id="rId84" Type="http://schemas.openxmlformats.org/officeDocument/2006/relationships/hyperlink" Target="https://thumb.tapecontent.net/thumb/Ww1m9vRPK1fqwK/WbWPqAZlW2Ub7bG.jpg" TargetMode="External"/><Relationship Id="rId608" Type="http://schemas.openxmlformats.org/officeDocument/2006/relationships/hyperlink" Target="https://lulustream.com/e/okuc2ryc4lqn" TargetMode="External"/><Relationship Id="rId815" Type="http://schemas.openxmlformats.org/officeDocument/2006/relationships/hyperlink" Target="https://thumb.tapecontent.net/thumb/eay4G9OrLxuY07a/eoy3Je4rpdhYrb0.jpg" TargetMode="External"/><Relationship Id="rId1238" Type="http://schemas.openxmlformats.org/officeDocument/2006/relationships/hyperlink" Target="https://thumb.tapecontent.net/thumb/09Oy1ZyBymfDZ1/69v7DZ0OqRf9XrM.jpg" TargetMode="External"/><Relationship Id="rId1445" Type="http://schemas.openxmlformats.org/officeDocument/2006/relationships/hyperlink" Target="https://thumb.tapecontent.net/thumb/brjWa4vRagSPjGY/qlad3qowR2SwkO.jpg" TargetMode="External"/><Relationship Id="rId1652" Type="http://schemas.openxmlformats.org/officeDocument/2006/relationships/hyperlink" Target="https://doodstream.com/d/zhwffdmdbgzz/" TargetMode="External"/><Relationship Id="rId1305" Type="http://schemas.openxmlformats.org/officeDocument/2006/relationships/hyperlink" Target="https://lulustream.com/d/ltnj59i4ntbd" TargetMode="External"/><Relationship Id="rId2703" Type="http://schemas.openxmlformats.org/officeDocument/2006/relationships/hyperlink" Target="https://lulustream.com/d/jqlxs3swdrte" TargetMode="External"/><Relationship Id="rId2910" Type="http://schemas.openxmlformats.org/officeDocument/2006/relationships/hyperlink" Target="https://thumb.tapecontent.net/thumb/kowyqKdelPTOqww/23G04YddDXsZwgg.jpg" TargetMode="External"/><Relationship Id="rId1512" Type="http://schemas.openxmlformats.org/officeDocument/2006/relationships/hyperlink" Target="https://doodstream.com/d/oco3z1uz9sbi/" TargetMode="External"/><Relationship Id="rId4668" Type="http://schemas.openxmlformats.org/officeDocument/2006/relationships/hyperlink" Target="https://thumb.tapecontent.net/thumb/QKdy96gB0gUyq7/DaDeMv2LJ7Tk1jA.jpg" TargetMode="External"/><Relationship Id="rId11" Type="http://schemas.openxmlformats.org/officeDocument/2006/relationships/hyperlink" Target="https://thumb.tapecontent.net/thumb/ZDyaom2V3mUqb6B/KG0MmJW2wBIaZJ.jpg" TargetMode="External"/><Relationship Id="rId398" Type="http://schemas.openxmlformats.org/officeDocument/2006/relationships/hyperlink" Target="https://doodstream.com/d/ly4wvue4rnjf/" TargetMode="External"/><Relationship Id="rId2079" Type="http://schemas.openxmlformats.org/officeDocument/2006/relationships/hyperlink" Target="https://thumb.tapecontent.net/thumb/PDpwWo1PQMiW9w/k2dPmwMyyWueyG.jpg" TargetMode="External"/><Relationship Id="rId3477" Type="http://schemas.openxmlformats.org/officeDocument/2006/relationships/hyperlink" Target="https://lulustream.com/d/krutf9htcdrv" TargetMode="External"/><Relationship Id="rId3684" Type="http://schemas.openxmlformats.org/officeDocument/2006/relationships/hyperlink" Target="https://thumb.tapecontent.net/thumb/74OorX16dOHAL6V/ajWQO42vgxsxyr1.jpg" TargetMode="External"/><Relationship Id="rId3891" Type="http://schemas.openxmlformats.org/officeDocument/2006/relationships/hyperlink" Target="https://thumb.tapecontent.net/thumb/QyRBLrqLm0t01eV/mrXllMWk4Ptdjq.jpg" TargetMode="External"/><Relationship Id="rId4528" Type="http://schemas.openxmlformats.org/officeDocument/2006/relationships/hyperlink" Target="https://luluvdoo.com/d/nah62mlejy8q" TargetMode="External"/><Relationship Id="rId4735" Type="http://schemas.openxmlformats.org/officeDocument/2006/relationships/hyperlink" Target="https://thumb.tapecontent.net/thumb/V6VjG7k9wRCKAev/prOKJ34W9ZurZ82.jpg" TargetMode="External"/><Relationship Id="rId2286" Type="http://schemas.openxmlformats.org/officeDocument/2006/relationships/hyperlink" Target="https://thumb.tapecontent.net/thumb/dpbaxqzQBlckkJD/3xWyQLK1M4ido4l.jpg" TargetMode="External"/><Relationship Id="rId2493" Type="http://schemas.openxmlformats.org/officeDocument/2006/relationships/hyperlink" Target="https://thumb.tapecontent.net/thumb/Y8OmGpmQrDHvQ0W/ybVQlJaeL7I3Bd.jpg" TargetMode="External"/><Relationship Id="rId3337" Type="http://schemas.openxmlformats.org/officeDocument/2006/relationships/hyperlink" Target="https://thumb.tapecontent.net/thumb/0Z9rgzqebZHb4bW/79gG37bvKrsAg6j.jpg" TargetMode="External"/><Relationship Id="rId3544" Type="http://schemas.openxmlformats.org/officeDocument/2006/relationships/hyperlink" Target="https://lulustream.com/e/mpexvppcga84" TargetMode="External"/><Relationship Id="rId3751" Type="http://schemas.openxmlformats.org/officeDocument/2006/relationships/hyperlink" Target="https://thumb.tapecontent.net/thumb/QKjealLG4qiJ8Q/qKaloeW2QBUzpY2.jpg" TargetMode="External"/><Relationship Id="rId258" Type="http://schemas.openxmlformats.org/officeDocument/2006/relationships/hyperlink" Target="https://lulustream.com/d/odfvou546p6r" TargetMode="External"/><Relationship Id="rId465" Type="http://schemas.openxmlformats.org/officeDocument/2006/relationships/hyperlink" Target="https://streamtape.com/v/q88lBOPgkyfzzG0/Angela_White_-_62235682_-_Onlyfans_-_Lucy_Lotus.mp4" TargetMode="External"/><Relationship Id="rId672" Type="http://schemas.openxmlformats.org/officeDocument/2006/relationships/hyperlink" Target="https://lulustream.com/d/7u322va0u360" TargetMode="External"/><Relationship Id="rId1095" Type="http://schemas.openxmlformats.org/officeDocument/2006/relationships/hyperlink" Target="https://thumb.tapecontent.net/thumb/VPVapxj6AwUKwQ6/kzb1AQ4lBkfOg9G.jpg" TargetMode="External"/><Relationship Id="rId2146" Type="http://schemas.openxmlformats.org/officeDocument/2006/relationships/hyperlink" Target="https://lulustream.com/e/aknjxpmi8zps" TargetMode="External"/><Relationship Id="rId2353" Type="http://schemas.openxmlformats.org/officeDocument/2006/relationships/hyperlink" Target="https://lulustream.com/e/ltnk08zjjcki" TargetMode="External"/><Relationship Id="rId2560" Type="http://schemas.openxmlformats.org/officeDocument/2006/relationships/hyperlink" Target="https://lulustream.com/e/8rqsvkg15dxn" TargetMode="External"/><Relationship Id="rId3404" Type="http://schemas.openxmlformats.org/officeDocument/2006/relationships/hyperlink" Target="https://lulustream.com/e/3ci67sc1vnk6" TargetMode="External"/><Relationship Id="rId3611" Type="http://schemas.openxmlformats.org/officeDocument/2006/relationships/hyperlink" Target="https://thumb.tapecontent.net/thumb/bG4WAV99rLUPgpL/D3vqkb1OY8cDmZ.jpg" TargetMode="External"/><Relationship Id="rId118" Type="http://schemas.openxmlformats.org/officeDocument/2006/relationships/hyperlink" Target="https://doodstream.com/d/943t8c0h0wlt/" TargetMode="External"/><Relationship Id="rId325" Type="http://schemas.openxmlformats.org/officeDocument/2006/relationships/hyperlink" Target="https://thumb.tapecontent.net/thumb/88orX2A29YToP30/abODMwwYJWCWXo.jpg" TargetMode="External"/><Relationship Id="rId532" Type="http://schemas.openxmlformats.org/officeDocument/2006/relationships/hyperlink" Target="https://luluvdoo.com/d/fig2r78nojie" TargetMode="External"/><Relationship Id="rId1162" Type="http://schemas.openxmlformats.org/officeDocument/2006/relationships/hyperlink" Target="https://lulustream.com/d/d7gy8w4q5vex" TargetMode="External"/><Relationship Id="rId2006" Type="http://schemas.openxmlformats.org/officeDocument/2006/relationships/hyperlink" Target="https://doodstream.com/d/iep2i9o0qka8/" TargetMode="External"/><Relationship Id="rId2213" Type="http://schemas.openxmlformats.org/officeDocument/2006/relationships/hyperlink" Target="https://doodstream.com/d/59ch98uwuped/" TargetMode="External"/><Relationship Id="rId2420" Type="http://schemas.openxmlformats.org/officeDocument/2006/relationships/hyperlink" Target="https://thumb.tapecontent.net/thumb/kbV0d0WQVySOgM7/voe7wWD42WI49zJ.jpg" TargetMode="External"/><Relationship Id="rId1022" Type="http://schemas.openxmlformats.org/officeDocument/2006/relationships/hyperlink" Target="https://luluvdoo.com/d/y2iv8zw2ww5t" TargetMode="External"/><Relationship Id="rId4178" Type="http://schemas.openxmlformats.org/officeDocument/2006/relationships/hyperlink" Target="https://doodstream.com/d/qv2zk9ciz2og/" TargetMode="External"/><Relationship Id="rId4385" Type="http://schemas.openxmlformats.org/officeDocument/2006/relationships/hyperlink" Target="https://thumb.tapecontent.net/thumb/29pmxKDmRmSZyx7/8Bg8ZdM7YpfoxwG.jpg" TargetMode="External"/><Relationship Id="rId4592" Type="http://schemas.openxmlformats.org/officeDocument/2006/relationships/hyperlink" Target="https://lulustream.com/d/sv78rod8s92b" TargetMode="External"/><Relationship Id="rId1979" Type="http://schemas.openxmlformats.org/officeDocument/2006/relationships/hyperlink" Target="https://lulustream.com/e/gmqlk2t85jrw" TargetMode="External"/><Relationship Id="rId3194" Type="http://schemas.openxmlformats.org/officeDocument/2006/relationships/hyperlink" Target="https://lulustream.com/e/3cgchvalb336" TargetMode="External"/><Relationship Id="rId4038" Type="http://schemas.openxmlformats.org/officeDocument/2006/relationships/hyperlink" Target="https://lulustream.com/d/15ms5oa5ian2" TargetMode="External"/><Relationship Id="rId4245" Type="http://schemas.openxmlformats.org/officeDocument/2006/relationships/hyperlink" Target="https://thumb.tapecontent.net/thumb/op4yqkKJKVfJ2mV/8J34A1Wvy3SlMB.jpg" TargetMode="External"/><Relationship Id="rId1839" Type="http://schemas.openxmlformats.org/officeDocument/2006/relationships/hyperlink" Target="https://thumb.tapecontent.net/thumb/7YWd8QvDb0FAkdb/X1DLWYd3bYS07q.jpg" TargetMode="External"/><Relationship Id="rId3054" Type="http://schemas.openxmlformats.org/officeDocument/2006/relationships/hyperlink" Target="https://doodstream.com/d/vnbecbxipr51/" TargetMode="External"/><Relationship Id="rId4452" Type="http://schemas.openxmlformats.org/officeDocument/2006/relationships/hyperlink" Target="https://thumb.tapecontent.net/thumb/YPyJL16exqSvYRr/d7DR0aDovGSkv4b.jpg" TargetMode="External"/><Relationship Id="rId182" Type="http://schemas.openxmlformats.org/officeDocument/2006/relationships/hyperlink" Target="https://thumb.tapecontent.net/thumb/1WOvrJ8qv7UeYqZ/v2KmQ9ZGM2F49Ga.jpg" TargetMode="External"/><Relationship Id="rId1906" Type="http://schemas.openxmlformats.org/officeDocument/2006/relationships/hyperlink" Target="https://lulustream.com/d/74f4n5gr0nbr" TargetMode="External"/><Relationship Id="rId3261" Type="http://schemas.openxmlformats.org/officeDocument/2006/relationships/hyperlink" Target="https://lulustream.com/e/qzh7ngvmjnvc" TargetMode="External"/><Relationship Id="rId4105" Type="http://schemas.openxmlformats.org/officeDocument/2006/relationships/hyperlink" Target="https://thumb.tapecontent.net/thumb/2rgY6P3Pr3HZXMZ/YLzjYwLy6xcvgPM.jpg" TargetMode="External"/><Relationship Id="rId4312" Type="http://schemas.openxmlformats.org/officeDocument/2006/relationships/hyperlink" Target="https://thumb.tapecontent.net/thumb/xe7aPKbL9ysjwP/08YoKLYqQXImoR.jpg" TargetMode="External"/><Relationship Id="rId2070" Type="http://schemas.openxmlformats.org/officeDocument/2006/relationships/hyperlink" Target="https://thumb.tapecontent.net/thumb/rkaYdl1Bb4ibQGB/RDYgVZJ7XGCZGw.jpg" TargetMode="External"/><Relationship Id="rId3121" Type="http://schemas.openxmlformats.org/officeDocument/2006/relationships/hyperlink" Target="https://luluvdoo.com/d/1m6x8n6nx4mm" TargetMode="External"/><Relationship Id="rId999" Type="http://schemas.openxmlformats.org/officeDocument/2006/relationships/hyperlink" Target="https://thumb.tapecontent.net/thumb/17Wd0BDwWYF1Qz/be02Jr8RWziPgex.jpg" TargetMode="External"/><Relationship Id="rId2887" Type="http://schemas.openxmlformats.org/officeDocument/2006/relationships/hyperlink" Target="https://lulustream.com/d/ug6dfdg12xv2" TargetMode="External"/><Relationship Id="rId859" Type="http://schemas.openxmlformats.org/officeDocument/2006/relationships/hyperlink" Target="https://thumb.tapecontent.net/thumb/9kexZxAgqPtazkq/rDgjZGw3XdSGwa.jpg" TargetMode="External"/><Relationship Id="rId1489" Type="http://schemas.openxmlformats.org/officeDocument/2006/relationships/hyperlink" Target="https://lulustream.com/d/ezyglgn6y0p2" TargetMode="External"/><Relationship Id="rId1696" Type="http://schemas.openxmlformats.org/officeDocument/2006/relationships/hyperlink" Target="https://doodstream.com/d/zci6iq5tzksj/" TargetMode="External"/><Relationship Id="rId3938" Type="http://schemas.openxmlformats.org/officeDocument/2006/relationships/hyperlink" Target="https://thumb.tapecontent.net/thumb/7zMWAD28e9HApme/ydl6DYdL9YieXD.jpg" TargetMode="External"/><Relationship Id="rId1349" Type="http://schemas.openxmlformats.org/officeDocument/2006/relationships/hyperlink" Target="https://thumb.tapecontent.net/thumb/rkjeD2MLarhbw4x/gqXe2YPVvMiq1zv.jpg" TargetMode="External"/><Relationship Id="rId2747" Type="http://schemas.openxmlformats.org/officeDocument/2006/relationships/hyperlink" Target="https://thumb.tapecontent.net/thumb/xPlgyvVDZ0Fl0X/mPq2By330DcbxoO.jpg" TargetMode="External"/><Relationship Id="rId2954" Type="http://schemas.openxmlformats.org/officeDocument/2006/relationships/hyperlink" Target="https://lulustream.com/e/l482m7exb0mj" TargetMode="External"/><Relationship Id="rId719" Type="http://schemas.openxmlformats.org/officeDocument/2006/relationships/hyperlink" Target="https://lulustream.com/d/eiw6j7z5hv2d" TargetMode="External"/><Relationship Id="rId926" Type="http://schemas.openxmlformats.org/officeDocument/2006/relationships/hyperlink" Target="https://lulustream.com/e/6e46fzcreagp" TargetMode="External"/><Relationship Id="rId1556" Type="http://schemas.openxmlformats.org/officeDocument/2006/relationships/hyperlink" Target="https://lulustream.com/d/bbiu3q080e32" TargetMode="External"/><Relationship Id="rId1763" Type="http://schemas.openxmlformats.org/officeDocument/2006/relationships/hyperlink" Target="https://luluvdoo.com/d/kh6h6kbgfr0b" TargetMode="External"/><Relationship Id="rId1970" Type="http://schemas.openxmlformats.org/officeDocument/2006/relationships/hyperlink" Target="https://lulustream.com/e/2h9jkp6ip2p1" TargetMode="External"/><Relationship Id="rId2607" Type="http://schemas.openxmlformats.org/officeDocument/2006/relationships/hyperlink" Target="https://doodstream.com/d/8iq9zjb8cj69/" TargetMode="External"/><Relationship Id="rId2814" Type="http://schemas.openxmlformats.org/officeDocument/2006/relationships/hyperlink" Target="https://lulustream.com/d/yhvx0ilpclz8" TargetMode="External"/><Relationship Id="rId55" Type="http://schemas.openxmlformats.org/officeDocument/2006/relationships/hyperlink" Target="https://lulustream.com/e/agigw3u8dcg1" TargetMode="External"/><Relationship Id="rId1209" Type="http://schemas.openxmlformats.org/officeDocument/2006/relationships/hyperlink" Target="https://thumb.tapecontent.net/thumb/3q7eqDYqgehdvjl/LYqpJzRMkQuZzx.jpg" TargetMode="External"/><Relationship Id="rId1416" Type="http://schemas.openxmlformats.org/officeDocument/2006/relationships/hyperlink" Target="https://lulustream.com/d/vg4kgdh4izs4" TargetMode="External"/><Relationship Id="rId1623" Type="http://schemas.openxmlformats.org/officeDocument/2006/relationships/hyperlink" Target="https://doodstream.com/d/yw1v81eqdmvo/" TargetMode="External"/><Relationship Id="rId1830" Type="http://schemas.openxmlformats.org/officeDocument/2006/relationships/hyperlink" Target="https://thumb.tapecontent.net/thumb/gwxgjZdYGvCqpR4/glmj6D39Wrcq7Mm.jpg" TargetMode="External"/><Relationship Id="rId4779" Type="http://schemas.openxmlformats.org/officeDocument/2006/relationships/hyperlink" Target="https://bunkr.pk/f/uaXEnql9olDwD" TargetMode="External"/><Relationship Id="rId3588" Type="http://schemas.openxmlformats.org/officeDocument/2006/relationships/hyperlink" Target="https://thumb.tapecontent.net/thumb/k2l8AoWAblcOK1Z/MJwRaVV3LdSmRZ2.jpg" TargetMode="External"/><Relationship Id="rId3795" Type="http://schemas.openxmlformats.org/officeDocument/2006/relationships/hyperlink" Target="https://thumb.tapecontent.net/thumb/LMdk4ZgaO4FRV2D/Z33wOlLDr4SqWeo.jpg" TargetMode="External"/><Relationship Id="rId4639" Type="http://schemas.openxmlformats.org/officeDocument/2006/relationships/hyperlink" Target="https://doodstream.com/d/9t1x90jftvk7/" TargetMode="External"/><Relationship Id="rId2397" Type="http://schemas.openxmlformats.org/officeDocument/2006/relationships/hyperlink" Target="https://lulustream.com/d/w4tbswq0mmhh" TargetMode="External"/><Relationship Id="rId3448" Type="http://schemas.openxmlformats.org/officeDocument/2006/relationships/hyperlink" Target="https://lulustream.com/e/1fo4c3cwqoa5" TargetMode="External"/><Relationship Id="rId3655" Type="http://schemas.openxmlformats.org/officeDocument/2006/relationships/hyperlink" Target="https://lulustream.com/e/0au6kr0yjo2o" TargetMode="External"/><Relationship Id="rId3862" Type="http://schemas.openxmlformats.org/officeDocument/2006/relationships/hyperlink" Target="https://thumb.tapecontent.net/thumb/RXwrOM2DPBTdRgK/3JBOD14XDPSdbog.jpg" TargetMode="External"/><Relationship Id="rId4706" Type="http://schemas.openxmlformats.org/officeDocument/2006/relationships/hyperlink" Target="https://lulustream.com/d/i3bhatrz455b" TargetMode="External"/><Relationship Id="rId369" Type="http://schemas.openxmlformats.org/officeDocument/2006/relationships/hyperlink" Target="https://luluvdoo.com/d/okxum71y30q8" TargetMode="External"/><Relationship Id="rId576" Type="http://schemas.openxmlformats.org/officeDocument/2006/relationships/hyperlink" Target="https://thumb.tapecontent.net/thumb/7YwozrbMmXsA6ya/WwAkgvRqzPcbBQv.jpg" TargetMode="External"/><Relationship Id="rId783" Type="http://schemas.openxmlformats.org/officeDocument/2006/relationships/hyperlink" Target="https://thumb.tapecontent.net/thumb/YLDZYL1Gk1SvVew/xyKegz48yvUkOzA.jpg" TargetMode="External"/><Relationship Id="rId990" Type="http://schemas.openxmlformats.org/officeDocument/2006/relationships/hyperlink" Target="https://luluvdoo.com/d/dyf6n41ia2i8" TargetMode="External"/><Relationship Id="rId2257" Type="http://schemas.openxmlformats.org/officeDocument/2006/relationships/hyperlink" Target="https://thumb.tapecontent.net/thumb/LXzbmOdwY8faaW/Z2XaW0AQ1muqLQK.jpg" TargetMode="External"/><Relationship Id="rId2464" Type="http://schemas.openxmlformats.org/officeDocument/2006/relationships/hyperlink" Target="https://thumb.tapecontent.net/thumb/9eB191rGwrUaXrp/Mej9VBK2JOfmxMw.jpg" TargetMode="External"/><Relationship Id="rId2671" Type="http://schemas.openxmlformats.org/officeDocument/2006/relationships/hyperlink" Target="https://doodstream.com/d/vfqpth0ottje/" TargetMode="External"/><Relationship Id="rId3308" Type="http://schemas.openxmlformats.org/officeDocument/2006/relationships/hyperlink" Target="https://thumb.tapecontent.net/thumb/d8zpRVPB7VFk6AA/2PrPld6Yg8SZM22.jpg" TargetMode="External"/><Relationship Id="rId3515" Type="http://schemas.openxmlformats.org/officeDocument/2006/relationships/hyperlink" Target="https://thumb.tapecontent.net/thumb/17A2L4d4vgI628/VaQaWkrKVRHKrk7.jpg" TargetMode="External"/><Relationship Id="rId229" Type="http://schemas.openxmlformats.org/officeDocument/2006/relationships/hyperlink" Target="https://thumb.tapecontent.net/thumb/VV6ZxdRJr1iKMPq/AL3x3AxwVwHXlXW.jpg" TargetMode="External"/><Relationship Id="rId436" Type="http://schemas.openxmlformats.org/officeDocument/2006/relationships/hyperlink" Target="https://streamtape.com/v/2OZ9qZwb8zuZOKP/Angela_White_-_42471317_-_Onlyfans" TargetMode="External"/><Relationship Id="rId643" Type="http://schemas.openxmlformats.org/officeDocument/2006/relationships/hyperlink" Target="https://thumb.tapecontent.net/thumb/wgDaAqKv8WTeyq/0LWm0eDVLPTbzp8.jpg" TargetMode="External"/><Relationship Id="rId1066" Type="http://schemas.openxmlformats.org/officeDocument/2006/relationships/hyperlink" Target="https://lulustream.com/e/uav84pjl0pdm" TargetMode="External"/><Relationship Id="rId1273" Type="http://schemas.openxmlformats.org/officeDocument/2006/relationships/hyperlink" Target="https://thumb.tapecontent.net/thumb/JX9DYgrDeQfj1vo/wVW478qKg6sJmQm.jpg" TargetMode="External"/><Relationship Id="rId1480" Type="http://schemas.openxmlformats.org/officeDocument/2006/relationships/hyperlink" Target="https://doodstream.com/d/vho0ibpaue8k/" TargetMode="External"/><Relationship Id="rId2117" Type="http://schemas.openxmlformats.org/officeDocument/2006/relationships/hyperlink" Target="https://thumb.tapecontent.net/thumb/Gp36w1qMwZhYQM/yjXZqZZoPMswAz.jpg" TargetMode="External"/><Relationship Id="rId2324" Type="http://schemas.openxmlformats.org/officeDocument/2006/relationships/hyperlink" Target="https://thumb.tapecontent.net/thumb/4vvRlgoPQPFKPRW/Lv86gVLzMwfRBl4.jpg" TargetMode="External"/><Relationship Id="rId3722" Type="http://schemas.openxmlformats.org/officeDocument/2006/relationships/hyperlink" Target="https://doodstream.com/d/0w025blyon8r/" TargetMode="External"/><Relationship Id="rId850" Type="http://schemas.openxmlformats.org/officeDocument/2006/relationships/hyperlink" Target="https://lulustream.com/e/lm4qcl9umlng" TargetMode="External"/><Relationship Id="rId1133" Type="http://schemas.openxmlformats.org/officeDocument/2006/relationships/hyperlink" Target="https://thumb.tapecontent.net/thumb/vPzblYxBKWH4mJr/dvXBzWdmdxskrQ8.jpg" TargetMode="External"/><Relationship Id="rId2531" Type="http://schemas.openxmlformats.org/officeDocument/2006/relationships/hyperlink" Target="https://thumb.tapecontent.net/thumb/Ba61BM4eVPSyoVA/PJ2O1LjbWaf0X6w.jpg" TargetMode="External"/><Relationship Id="rId4289" Type="http://schemas.openxmlformats.org/officeDocument/2006/relationships/hyperlink" Target="https://thumb.tapecontent.net/thumb/0RjA88PmvATm7O/R9WVlooGvxHXAg.jpg" TargetMode="External"/><Relationship Id="rId503" Type="http://schemas.openxmlformats.org/officeDocument/2006/relationships/hyperlink" Target="https://thumb.tapecontent.net/thumb/6kPozQRPVvH9AMp/wDaBjJVwP6cJZpw.jpg" TargetMode="External"/><Relationship Id="rId710" Type="http://schemas.openxmlformats.org/officeDocument/2006/relationships/hyperlink" Target="https://lulustream.com/d/9ear7xjmlvnv" TargetMode="External"/><Relationship Id="rId1340" Type="http://schemas.openxmlformats.org/officeDocument/2006/relationships/hyperlink" Target="https://thumb.tapecontent.net/thumb/DPAD3r87xYFkgv3/oLwOqQ826ZfJrrj.jpg" TargetMode="External"/><Relationship Id="rId3098" Type="http://schemas.openxmlformats.org/officeDocument/2006/relationships/hyperlink" Target="https://thumb.tapecontent.net/thumb/Mj9L2AzRJkTmJyX/2gevJLopPmFZ3w1.jpg" TargetMode="External"/><Relationship Id="rId4496" Type="http://schemas.openxmlformats.org/officeDocument/2006/relationships/hyperlink" Target="https://thumb.tapecontent.net/thumb/LMdG3v6kgZhbZj/7km0d0gRGRuo76.jpg" TargetMode="External"/><Relationship Id="rId1200" Type="http://schemas.openxmlformats.org/officeDocument/2006/relationships/hyperlink" Target="https://lulustream.com/d/qkqix9lreik7" TargetMode="External"/><Relationship Id="rId4149" Type="http://schemas.openxmlformats.org/officeDocument/2006/relationships/hyperlink" Target="https://lulustream.com/e/w0hfrvvf5dpj" TargetMode="External"/><Relationship Id="rId4356" Type="http://schemas.openxmlformats.org/officeDocument/2006/relationships/hyperlink" Target="https://lulustream.com/e/9qbm68pc6btj" TargetMode="External"/><Relationship Id="rId4563" Type="http://schemas.openxmlformats.org/officeDocument/2006/relationships/hyperlink" Target="https://lulustream.com/d/0fd64nsat136" TargetMode="External"/><Relationship Id="rId4770" Type="http://schemas.openxmlformats.org/officeDocument/2006/relationships/hyperlink" Target="https://bunkr.pk/f/YR2sxgX1lgi1l" TargetMode="External"/><Relationship Id="rId3165" Type="http://schemas.openxmlformats.org/officeDocument/2006/relationships/hyperlink" Target="https://lulustream.com/d/cjcp0ka2hxd3" TargetMode="External"/><Relationship Id="rId3372" Type="http://schemas.openxmlformats.org/officeDocument/2006/relationships/hyperlink" Target="https://lulustream.com/d/7wsirv36u5sr" TargetMode="External"/><Relationship Id="rId4009" Type="http://schemas.openxmlformats.org/officeDocument/2006/relationships/hyperlink" Target="https://thumb.tapecontent.net/thumb/39w3GKzK0etdmbx/ZxAajRdJ0ofqarz.jpg" TargetMode="External"/><Relationship Id="rId4216" Type="http://schemas.openxmlformats.org/officeDocument/2006/relationships/hyperlink" Target="https://doodstream.com/d/65cpszihavha/" TargetMode="External"/><Relationship Id="rId4423" Type="http://schemas.openxmlformats.org/officeDocument/2006/relationships/hyperlink" Target="https://doodstream.com/d/c6a7xivn8iph/" TargetMode="External"/><Relationship Id="rId4630" Type="http://schemas.openxmlformats.org/officeDocument/2006/relationships/hyperlink" Target="https://lulustream.com/e/074f4yzskpc8" TargetMode="External"/><Relationship Id="rId293" Type="http://schemas.openxmlformats.org/officeDocument/2006/relationships/hyperlink" Target="https://luluvdoo.com/d/0sohg9whc8il" TargetMode="External"/><Relationship Id="rId2181" Type="http://schemas.openxmlformats.org/officeDocument/2006/relationships/hyperlink" Target="https://lulustream.com/e/mhji5azrlxk4" TargetMode="External"/><Relationship Id="rId3025" Type="http://schemas.openxmlformats.org/officeDocument/2006/relationships/hyperlink" Target="https://doodstream.com/d/4rulwkdwgg81/" TargetMode="External"/><Relationship Id="rId3232" Type="http://schemas.openxmlformats.org/officeDocument/2006/relationships/hyperlink" Target="https://thumb.tapecontent.net/thumb/Z2PB77G7zriM66/2KYJxaoe46tQpw.jpg" TargetMode="External"/><Relationship Id="rId153" Type="http://schemas.openxmlformats.org/officeDocument/2006/relationships/hyperlink" Target="https://thumb.tapecontent.net/thumb/k39OdRb6drS9vX/X2kKpMwwvztDDDm.jpg" TargetMode="External"/><Relationship Id="rId360" Type="http://schemas.openxmlformats.org/officeDocument/2006/relationships/hyperlink" Target="https://doodstream.com/d/cpqwcyv6i8l4/" TargetMode="External"/><Relationship Id="rId2041" Type="http://schemas.openxmlformats.org/officeDocument/2006/relationships/hyperlink" Target="https://doodstream.com/d/cs42jvgvz0wc/" TargetMode="External"/><Relationship Id="rId220" Type="http://schemas.openxmlformats.org/officeDocument/2006/relationships/hyperlink" Target="https://doodstream.com/d/882vg8ccq1wr/" TargetMode="External"/><Relationship Id="rId2998" Type="http://schemas.openxmlformats.org/officeDocument/2006/relationships/hyperlink" Target="https://thumb.tapecontent.net/thumb/Voa98bPKroUKlyl/M7o9dY6qoyTdLa.jpg" TargetMode="External"/><Relationship Id="rId2858" Type="http://schemas.openxmlformats.org/officeDocument/2006/relationships/hyperlink" Target="https://doodstream.com/d/g35ytbhpec2h/" TargetMode="External"/><Relationship Id="rId3909" Type="http://schemas.openxmlformats.org/officeDocument/2006/relationships/hyperlink" Target="https://lulustream.com/d/1jjog133orzl" TargetMode="External"/><Relationship Id="rId4073" Type="http://schemas.openxmlformats.org/officeDocument/2006/relationships/hyperlink" Target="https://luluvdoo.com/d/724rnucunny5" TargetMode="External"/><Relationship Id="rId99" Type="http://schemas.openxmlformats.org/officeDocument/2006/relationships/hyperlink" Target="https://thumb.tapecontent.net/thumb/xowdjrVJGKfkb1A/l2LmwJD111i7xOV.jpg" TargetMode="External"/><Relationship Id="rId1667" Type="http://schemas.openxmlformats.org/officeDocument/2006/relationships/hyperlink" Target="https://doodstream.com/d/43whru2mf3sr/" TargetMode="External"/><Relationship Id="rId1874" Type="http://schemas.openxmlformats.org/officeDocument/2006/relationships/hyperlink" Target="https://lulustream.com/e/qillhorwyj5s" TargetMode="External"/><Relationship Id="rId2718" Type="http://schemas.openxmlformats.org/officeDocument/2006/relationships/hyperlink" Target="https://thumb.tapecontent.net/thumb/RAdD3qOe7Kcdb43/z1yB4MpRdPCYwyb.jpg" TargetMode="External"/><Relationship Id="rId2925" Type="http://schemas.openxmlformats.org/officeDocument/2006/relationships/hyperlink" Target="https://lulustream.com/d/nftfm5r3s6ra" TargetMode="External"/><Relationship Id="rId4280" Type="http://schemas.openxmlformats.org/officeDocument/2006/relationships/hyperlink" Target="https://lulustream.com/d/ue7nib90071z" TargetMode="External"/><Relationship Id="rId1527" Type="http://schemas.openxmlformats.org/officeDocument/2006/relationships/hyperlink" Target="https://doodstream.com/d/8drphra49pet/" TargetMode="External"/><Relationship Id="rId1734" Type="http://schemas.openxmlformats.org/officeDocument/2006/relationships/hyperlink" Target="https://luluvdoo.com/d/2lj42119yahk" TargetMode="External"/><Relationship Id="rId1941" Type="http://schemas.openxmlformats.org/officeDocument/2006/relationships/hyperlink" Target="https://lulustream.com/d/lu8zdzp6owqa" TargetMode="External"/><Relationship Id="rId4140" Type="http://schemas.openxmlformats.org/officeDocument/2006/relationships/hyperlink" Target="https://lulustream.com/e/hd71fy9a8fia" TargetMode="External"/><Relationship Id="rId26" Type="http://schemas.openxmlformats.org/officeDocument/2006/relationships/hyperlink" Target="https://doodstream.com/d/4890kzdzvprn/" TargetMode="External"/><Relationship Id="rId3699" Type="http://schemas.openxmlformats.org/officeDocument/2006/relationships/hyperlink" Target="https://lulustream.com/e/ro76yshhqpvj" TargetMode="External"/><Relationship Id="rId4000" Type="http://schemas.openxmlformats.org/officeDocument/2006/relationships/hyperlink" Target="https://lulustream.com/e/cnmg1vda81zh" TargetMode="External"/><Relationship Id="rId1801" Type="http://schemas.openxmlformats.org/officeDocument/2006/relationships/hyperlink" Target="https://lulustream.com/d/ap1fzc9vjuu3" TargetMode="External"/><Relationship Id="rId3559" Type="http://schemas.openxmlformats.org/officeDocument/2006/relationships/hyperlink" Target="https://thumb.tapecontent.net/thumb/RWB4YLJamesdemY/zDLJM0AYyZUYRKr.jpg" TargetMode="External"/><Relationship Id="rId687" Type="http://schemas.openxmlformats.org/officeDocument/2006/relationships/hyperlink" Target="https://thumb.tapecontent.net/thumb/Aq4zAWkyZKIvbR/zPKoYBr6gauGZq.jpg" TargetMode="External"/><Relationship Id="rId2368" Type="http://schemas.openxmlformats.org/officeDocument/2006/relationships/hyperlink" Target="https://doodstream.com/d/fdo0vkfrmpp5/" TargetMode="External"/><Relationship Id="rId3766" Type="http://schemas.openxmlformats.org/officeDocument/2006/relationships/hyperlink" Target="https://thumb.tapecontent.net/thumb/k0YrllQgp3uOjva/7Y7okPYZmeIA1ZP.jpg" TargetMode="External"/><Relationship Id="rId3973" Type="http://schemas.openxmlformats.org/officeDocument/2006/relationships/hyperlink" Target="https://thumb.tapecontent.net/thumb/17LAZrAQBQUeo7r/RDRdvLJpOQid18D.jpg" TargetMode="External"/><Relationship Id="rId894" Type="http://schemas.openxmlformats.org/officeDocument/2006/relationships/hyperlink" Target="https://thumb.tapecontent.net/thumb/WwolrmdO1oUpbe/VGb64rbgWmiKeQm.jpg" TargetMode="External"/><Relationship Id="rId1177" Type="http://schemas.openxmlformats.org/officeDocument/2006/relationships/hyperlink" Target="https://lulustream.com/e/sd4ei0ivpt8m" TargetMode="External"/><Relationship Id="rId2575" Type="http://schemas.openxmlformats.org/officeDocument/2006/relationships/hyperlink" Target="https://thumb.tapecontent.net/thumb/OW184ZRlGkSZAy0/J2OxWe8qaLsjvXK.jpg" TargetMode="External"/><Relationship Id="rId2782" Type="http://schemas.openxmlformats.org/officeDocument/2006/relationships/hyperlink" Target="https://lulustream.com/e/22cn60rlb3mc" TargetMode="External"/><Relationship Id="rId3419" Type="http://schemas.openxmlformats.org/officeDocument/2006/relationships/hyperlink" Target="https://lulustream.com/d/67zjs3t495s9" TargetMode="External"/><Relationship Id="rId3626" Type="http://schemas.openxmlformats.org/officeDocument/2006/relationships/hyperlink" Target="https://doodstream.com/d/0rfd1lvyb0dl/" TargetMode="External"/><Relationship Id="rId3833" Type="http://schemas.openxmlformats.org/officeDocument/2006/relationships/hyperlink" Target="https://thumb.tapecontent.net/thumb/xPyJobgjP2TkBr4/jrAPaOyvDeSzrea.jpg" TargetMode="External"/><Relationship Id="rId547" Type="http://schemas.openxmlformats.org/officeDocument/2006/relationships/hyperlink" Target="https://thumb.tapecontent.net/thumb/6XrPAB194YH9J8D/V02d0G28orcK1r1.jpg" TargetMode="External"/><Relationship Id="rId754" Type="http://schemas.openxmlformats.org/officeDocument/2006/relationships/hyperlink" Target="https://doodstream.com/d/uzxucxui0ff7/" TargetMode="External"/><Relationship Id="rId961" Type="http://schemas.openxmlformats.org/officeDocument/2006/relationships/hyperlink" Target="https://thumb.tapecontent.net/thumb/4DgB4YzLlKhKe86/yB1KJMRqMxheeX.jpg" TargetMode="External"/><Relationship Id="rId1384" Type="http://schemas.openxmlformats.org/officeDocument/2006/relationships/hyperlink" Target="https://thumb.tapecontent.net/thumb/vzDrz41bOLf41j3/k0bR3yDdv1hO7BV.jpg" TargetMode="External"/><Relationship Id="rId1591" Type="http://schemas.openxmlformats.org/officeDocument/2006/relationships/hyperlink" Target="https://doodstream.com/d/k9wunouuq7wh/" TargetMode="External"/><Relationship Id="rId2228" Type="http://schemas.openxmlformats.org/officeDocument/2006/relationships/hyperlink" Target="https://doodstream.com/d/09piocc6sxqz/" TargetMode="External"/><Relationship Id="rId2435" Type="http://schemas.openxmlformats.org/officeDocument/2006/relationships/hyperlink" Target="https://lulustream.com/e/8a959zc4bxm1" TargetMode="External"/><Relationship Id="rId2642" Type="http://schemas.openxmlformats.org/officeDocument/2006/relationships/hyperlink" Target="https://lulustream.com/d/k6krfgcbpvwq" TargetMode="External"/><Relationship Id="rId3900" Type="http://schemas.openxmlformats.org/officeDocument/2006/relationships/hyperlink" Target="https://lulustream.com/d/2d3r2zregdwz" TargetMode="External"/><Relationship Id="rId90" Type="http://schemas.openxmlformats.org/officeDocument/2006/relationships/hyperlink" Target="https://lulustream.com/d/repjq78qcmaw" TargetMode="External"/><Relationship Id="rId407" Type="http://schemas.openxmlformats.org/officeDocument/2006/relationships/hyperlink" Target="https://streamtape.com/v/6mByvJ3MxxC9r2p/Angela_White_-_26849040_-_Onlyfans.mp4" TargetMode="External"/><Relationship Id="rId614" Type="http://schemas.openxmlformats.org/officeDocument/2006/relationships/hyperlink" Target="https://thumb.tapecontent.net/thumb/ZwDoVg9MKYTq9ym/vV6z2vpJgBt4rOz.jpg" TargetMode="External"/><Relationship Id="rId821" Type="http://schemas.openxmlformats.org/officeDocument/2006/relationships/hyperlink" Target="https://luluvdoo.com/d/78xskba6lb9m" TargetMode="External"/><Relationship Id="rId1037" Type="http://schemas.openxmlformats.org/officeDocument/2006/relationships/hyperlink" Target="https://thumb.tapecontent.net/thumb/eKRRyG3QMaCYllr/qjpl8jb9djUz3PK.jpg" TargetMode="External"/><Relationship Id="rId1244" Type="http://schemas.openxmlformats.org/officeDocument/2006/relationships/hyperlink" Target="https://thumb.tapecontent.net/thumb/KZAaVgmzebi0d1j/G6VwobAA96Cdbj.jpg" TargetMode="External"/><Relationship Id="rId1451" Type="http://schemas.openxmlformats.org/officeDocument/2006/relationships/hyperlink" Target="https://thumb.tapecontent.net/thumb/bvG77ezLXMTP0LL/WZdgJZ2Y1ZUQRv.jpg" TargetMode="External"/><Relationship Id="rId2502" Type="http://schemas.openxmlformats.org/officeDocument/2006/relationships/hyperlink" Target="https://thumb.tapecontent.net/thumb/23OoJjXMeXTzB6/mPgK8apW60sXWk.jpg" TargetMode="External"/><Relationship Id="rId1104" Type="http://schemas.openxmlformats.org/officeDocument/2006/relationships/hyperlink" Target="https://thumb.tapecontent.net/thumb/VXaYO0g0KLSKKmB/brLDGJjDjxsPy3l.jpg" TargetMode="External"/><Relationship Id="rId1311" Type="http://schemas.openxmlformats.org/officeDocument/2006/relationships/hyperlink" Target="https://thumb.tapecontent.net/thumb/9pbR9XomK6tyVq/J0JO6Krxp4hjBYd.jpg" TargetMode="External"/><Relationship Id="rId4467" Type="http://schemas.openxmlformats.org/officeDocument/2006/relationships/hyperlink" Target="https://doodstream.com/d/llbbnyhxcksr/" TargetMode="External"/><Relationship Id="rId4674" Type="http://schemas.openxmlformats.org/officeDocument/2006/relationships/hyperlink" Target="https://lulustream.com/d/vbo8hqnpz6ex" TargetMode="External"/><Relationship Id="rId3069" Type="http://schemas.openxmlformats.org/officeDocument/2006/relationships/hyperlink" Target="https://doodstream.com/d/xvzc3ntle4zs/" TargetMode="External"/><Relationship Id="rId3276" Type="http://schemas.openxmlformats.org/officeDocument/2006/relationships/hyperlink" Target="https://thumb.tapecontent.net/thumb/R4p24A3aoPudrPo/DAJ07GgJMPFkZqR.jpg" TargetMode="External"/><Relationship Id="rId3483" Type="http://schemas.openxmlformats.org/officeDocument/2006/relationships/hyperlink" Target="https://doodstream.com/d/l8hfr09xzp9l/" TargetMode="External"/><Relationship Id="rId3690" Type="http://schemas.openxmlformats.org/officeDocument/2006/relationships/hyperlink" Target="https://thumb.tapecontent.net/thumb/ZDplW2mGgXcBDK/bRjybjpLkjUPydW.jpg" TargetMode="External"/><Relationship Id="rId4327" Type="http://schemas.openxmlformats.org/officeDocument/2006/relationships/hyperlink" Target="https://doodstream.com/d/mvvpk3565cl3/" TargetMode="External"/><Relationship Id="rId4534" Type="http://schemas.openxmlformats.org/officeDocument/2006/relationships/hyperlink" Target="https://luluvdoo.com/d/m586yxybf4ig" TargetMode="External"/><Relationship Id="rId197" Type="http://schemas.openxmlformats.org/officeDocument/2006/relationships/hyperlink" Target="https://doodstream.com/d/0zp30eoep2hw/" TargetMode="External"/><Relationship Id="rId2085" Type="http://schemas.openxmlformats.org/officeDocument/2006/relationships/hyperlink" Target="https://thumb.tapecontent.net/thumb/pbM6L06aZoHrMOK/gYRpbWQbJ4Fqq0z.jpg" TargetMode="External"/><Relationship Id="rId2292" Type="http://schemas.openxmlformats.org/officeDocument/2006/relationships/hyperlink" Target="https://thumb.tapecontent.net/thumb/DlXKLGW81JSkkm3/qx1ZvZYvJGCzpbd.jpg" TargetMode="External"/><Relationship Id="rId3136" Type="http://schemas.openxmlformats.org/officeDocument/2006/relationships/hyperlink" Target="https://thumb.tapecontent.net/thumb/aoAevexXZDtzM9/6wZr7YPd18t9GxR.jpg" TargetMode="External"/><Relationship Id="rId3343" Type="http://schemas.openxmlformats.org/officeDocument/2006/relationships/hyperlink" Target="https://lulustream.com/d/46elh2oo4cok" TargetMode="External"/><Relationship Id="rId4741" Type="http://schemas.openxmlformats.org/officeDocument/2006/relationships/hyperlink" Target="https://thumb.tapecontent.net/thumb/AKBO9zY9jpTwqY/qDrOG9e6A0FzVyx.jpg" TargetMode="External"/><Relationship Id="rId264" Type="http://schemas.openxmlformats.org/officeDocument/2006/relationships/hyperlink" Target="https://lulustream.com/e/23qh6bn9wluq" TargetMode="External"/><Relationship Id="rId471" Type="http://schemas.openxmlformats.org/officeDocument/2006/relationships/hyperlink" Target="https://streamtape.com/v/6QoxK9Bqv3U9Mvl/Angela_White_-_65701953_-_ripnsfw.com_-_Violet_Myers.mp4" TargetMode="External"/><Relationship Id="rId2152" Type="http://schemas.openxmlformats.org/officeDocument/2006/relationships/hyperlink" Target="https://lulustream.com/d/f3675gknh77p" TargetMode="External"/><Relationship Id="rId3550" Type="http://schemas.openxmlformats.org/officeDocument/2006/relationships/hyperlink" Target="https://thumb.tapecontent.net/thumb/re3DqAqYXWtb0Wo/BO8ZZozjDoH2Y0.jpg" TargetMode="External"/><Relationship Id="rId4601" Type="http://schemas.openxmlformats.org/officeDocument/2006/relationships/hyperlink" Target="https://lulustream.com/d/fe8cqreduxgl" TargetMode="External"/><Relationship Id="rId124" Type="http://schemas.openxmlformats.org/officeDocument/2006/relationships/hyperlink" Target="https://doodstream.com/d/t1bvn6pj7bcl/" TargetMode="External"/><Relationship Id="rId3203" Type="http://schemas.openxmlformats.org/officeDocument/2006/relationships/hyperlink" Target="https://thumb.tapecontent.net/thumb/q6kYXQJkMoIzpbP/wGVeq0rmLGSJ2WW.jpg" TargetMode="External"/><Relationship Id="rId3410" Type="http://schemas.openxmlformats.org/officeDocument/2006/relationships/hyperlink" Target="https://thumb.tapecontent.net/thumb/xqa0kb26wKckp3d/WqGgjlaQbeibaKX.jpg" TargetMode="External"/><Relationship Id="rId331" Type="http://schemas.openxmlformats.org/officeDocument/2006/relationships/hyperlink" Target="https://luluvdoo.com/d/ecudn55al30p" TargetMode="External"/><Relationship Id="rId2012" Type="http://schemas.openxmlformats.org/officeDocument/2006/relationships/hyperlink" Target="https://doodstream.com/d/hngxsfs8qywz/" TargetMode="External"/><Relationship Id="rId2969" Type="http://schemas.openxmlformats.org/officeDocument/2006/relationships/hyperlink" Target="https://thumb.tapecontent.net/thumb/3WBoJyA32zhdQaL/BzKwlK9je2tydvK.jpg" TargetMode="External"/><Relationship Id="rId1778" Type="http://schemas.openxmlformats.org/officeDocument/2006/relationships/hyperlink" Target="https://lulustream.com/d/v9mtf31yr37c" TargetMode="External"/><Relationship Id="rId1985" Type="http://schemas.openxmlformats.org/officeDocument/2006/relationships/hyperlink" Target="https://lulustream.com/e/p3ryb6imde4l" TargetMode="External"/><Relationship Id="rId2829" Type="http://schemas.openxmlformats.org/officeDocument/2006/relationships/hyperlink" Target="https://lulustream.com/e/0kz2q1j0mewm" TargetMode="External"/><Relationship Id="rId4184" Type="http://schemas.openxmlformats.org/officeDocument/2006/relationships/hyperlink" Target="https://lulustream.com/e/a4nhqwtvfhqi" TargetMode="External"/><Relationship Id="rId4391" Type="http://schemas.openxmlformats.org/officeDocument/2006/relationships/hyperlink" Target="https://thumb.tapecontent.net/thumb/wP7Pa2oeApHJ7Al/BjBw7b2726uyLzV.jpg" TargetMode="External"/><Relationship Id="rId1638" Type="http://schemas.openxmlformats.org/officeDocument/2006/relationships/hyperlink" Target="https://doodstream.com/d/n1imyfx0rke8/" TargetMode="External"/><Relationship Id="rId4044" Type="http://schemas.openxmlformats.org/officeDocument/2006/relationships/hyperlink" Target="https://doodstream.com/d/9gru2kx02e46/" TargetMode="External"/><Relationship Id="rId4251" Type="http://schemas.openxmlformats.org/officeDocument/2006/relationships/hyperlink" Target="https://thumb.tapecontent.net/thumb/4dx8B791wPFKgMB/9b7ZxRLzd8I9lL.jpg" TargetMode="External"/><Relationship Id="rId1845" Type="http://schemas.openxmlformats.org/officeDocument/2006/relationships/hyperlink" Target="https://thumb.tapecontent.net/thumb/7pe99dOqvYiByD/ydVW3V3MDAS1VMX.jpg" TargetMode="External"/><Relationship Id="rId3060" Type="http://schemas.openxmlformats.org/officeDocument/2006/relationships/hyperlink" Target="https://doodstream.com/d/f2sbpfgftmr2/" TargetMode="External"/><Relationship Id="rId4111" Type="http://schemas.openxmlformats.org/officeDocument/2006/relationships/hyperlink" Target="https://thumb.tapecontent.net/thumb/vWDwOW90lXcwLx/0Lypx8JklKHb8qM.jpg" TargetMode="External"/><Relationship Id="rId1705" Type="http://schemas.openxmlformats.org/officeDocument/2006/relationships/hyperlink" Target="https://thumb.tapecontent.net/thumb/MyY0YaXdxeIeXL/KzAVoW6AMqt0Rqk.jpg" TargetMode="External"/><Relationship Id="rId1912" Type="http://schemas.openxmlformats.org/officeDocument/2006/relationships/hyperlink" Target="https://thumb.tapecontent.net/thumb/1W11qWZVGwCpmA/KyB8mbrj0eT0mKp.jpg" TargetMode="External"/><Relationship Id="rId3877" Type="http://schemas.openxmlformats.org/officeDocument/2006/relationships/hyperlink" Target="https://lulustream.com/e/7vxbje5tg2l2" TargetMode="External"/><Relationship Id="rId798" Type="http://schemas.openxmlformats.org/officeDocument/2006/relationships/hyperlink" Target="https://lulustream.com/e/cyc3wbdvw7pi" TargetMode="External"/><Relationship Id="rId2479" Type="http://schemas.openxmlformats.org/officeDocument/2006/relationships/hyperlink" Target="https://doodstream.com/d/wz2jjirgdg02/" TargetMode="External"/><Relationship Id="rId2686" Type="http://schemas.openxmlformats.org/officeDocument/2006/relationships/hyperlink" Target="https://doodstream.com/d/62gdphooydhl/" TargetMode="External"/><Relationship Id="rId2893" Type="http://schemas.openxmlformats.org/officeDocument/2006/relationships/hyperlink" Target="https://lulustream.com/d/2w7lf82l7yi1" TargetMode="External"/><Relationship Id="rId3737" Type="http://schemas.openxmlformats.org/officeDocument/2006/relationships/hyperlink" Target="https://thumb.tapecontent.net/thumb/ZKAQgjZ7qwsqp8R/gwv8wx1aJdIq1Gx.jpg" TargetMode="External"/><Relationship Id="rId3944" Type="http://schemas.openxmlformats.org/officeDocument/2006/relationships/hyperlink" Target="https://thumb.tapecontent.net/thumb/88y9VJj11gSoRyW/M0xwg1ZZokTmZmx.jpg" TargetMode="External"/><Relationship Id="rId658" Type="http://schemas.openxmlformats.org/officeDocument/2006/relationships/hyperlink" Target="https://lulustream.com/d/aaox3p4iyz70" TargetMode="External"/><Relationship Id="rId865" Type="http://schemas.openxmlformats.org/officeDocument/2006/relationships/hyperlink" Target="https://doodstream.com/d/4rq7zohqjtym/" TargetMode="External"/><Relationship Id="rId1288" Type="http://schemas.openxmlformats.org/officeDocument/2006/relationships/hyperlink" Target="https://thumb.tapecontent.net/thumb/ja4vKopvGRizK7a/rl2PvrpLRPIbJjg.jpg" TargetMode="External"/><Relationship Id="rId1495" Type="http://schemas.openxmlformats.org/officeDocument/2006/relationships/hyperlink" Target="https://thumb.tapecontent.net/thumb/1ADqGzXAQ2UeYDB/zb70DXvM8zFYrpW.jpg" TargetMode="External"/><Relationship Id="rId2339" Type="http://schemas.openxmlformats.org/officeDocument/2006/relationships/hyperlink" Target="https://lulustream.com/d/k040tue07ld1" TargetMode="External"/><Relationship Id="rId2546" Type="http://schemas.openxmlformats.org/officeDocument/2006/relationships/hyperlink" Target="https://thumb.tapecontent.net/thumb/lAqeVVBWa7u71e9/4oBjQBoOXLSK37q.jpg" TargetMode="External"/><Relationship Id="rId2753" Type="http://schemas.openxmlformats.org/officeDocument/2006/relationships/hyperlink" Target="https://thumb.tapecontent.net/thumb/aYXmgDzw3muQKZ/z67BQLp084cQDV.jpg" TargetMode="External"/><Relationship Id="rId2960" Type="http://schemas.openxmlformats.org/officeDocument/2006/relationships/hyperlink" Target="https://lulustream.com/e/puekgfug9zso" TargetMode="External"/><Relationship Id="rId3804" Type="http://schemas.openxmlformats.org/officeDocument/2006/relationships/hyperlink" Target="https://thumb.tapecontent.net/thumb/jpAqQwRvM7Cz1mO/6QOa8rW29gC90R0.jpg" TargetMode="External"/><Relationship Id="rId518" Type="http://schemas.openxmlformats.org/officeDocument/2006/relationships/hyperlink" Target="https://luluvdoo.com/d/i64o31yhdvhp" TargetMode="External"/><Relationship Id="rId725" Type="http://schemas.openxmlformats.org/officeDocument/2006/relationships/hyperlink" Target="https://thumb.tapecontent.net/thumb/ygQOQv4rAji1VJD/jYDKllAo0zt2em.jpg" TargetMode="External"/><Relationship Id="rId932" Type="http://schemas.openxmlformats.org/officeDocument/2006/relationships/hyperlink" Target="https://lulustream.com/e/mek72didoojk" TargetMode="External"/><Relationship Id="rId1148" Type="http://schemas.openxmlformats.org/officeDocument/2006/relationships/hyperlink" Target="https://thumb.tapecontent.net/thumb/oGQWKlyDxMsJ1Zl/wGoppOwKPJcxVB.jpg" TargetMode="External"/><Relationship Id="rId1355" Type="http://schemas.openxmlformats.org/officeDocument/2006/relationships/hyperlink" Target="https://thumb.tapecontent.net/thumb/zx8xR36DOMspJ3/06Yl7bzD7PIb7qm.jpg" TargetMode="External"/><Relationship Id="rId1562" Type="http://schemas.openxmlformats.org/officeDocument/2006/relationships/hyperlink" Target="https://lulustream.com/e/nt480k7qf3yb" TargetMode="External"/><Relationship Id="rId2406" Type="http://schemas.openxmlformats.org/officeDocument/2006/relationships/hyperlink" Target="https://doodstream.com/d/zghf038gvssr/" TargetMode="External"/><Relationship Id="rId2613" Type="http://schemas.openxmlformats.org/officeDocument/2006/relationships/hyperlink" Target="https://lulustream.com/d/g9lk6qb7g1l3" TargetMode="External"/><Relationship Id="rId1008" Type="http://schemas.openxmlformats.org/officeDocument/2006/relationships/hyperlink" Target="https://doodstream.com/d/y002iau4vhey/" TargetMode="External"/><Relationship Id="rId1215" Type="http://schemas.openxmlformats.org/officeDocument/2006/relationships/hyperlink" Target="https://doodstream.com/d/vaq6qcd2h1vl/" TargetMode="External"/><Relationship Id="rId1422" Type="http://schemas.openxmlformats.org/officeDocument/2006/relationships/hyperlink" Target="https://thumb.tapecontent.net/thumb/2BM2xq3bmasZJGM/jqJaebejdaszwrr.jpg" TargetMode="External"/><Relationship Id="rId2820" Type="http://schemas.openxmlformats.org/officeDocument/2006/relationships/hyperlink" Target="https://lulustream.com/e/ktcu2hlwgab2" TargetMode="External"/><Relationship Id="rId4578" Type="http://schemas.openxmlformats.org/officeDocument/2006/relationships/hyperlink" Target="https://lulustream.com/d/1w3niws7wxzc" TargetMode="External"/><Relationship Id="rId61" Type="http://schemas.openxmlformats.org/officeDocument/2006/relationships/hyperlink" Target="https://thumb.tapecontent.net/thumb/XgRG33lLAZsgpv/oQrqAmlO8kUJVAk.jpg" TargetMode="External"/><Relationship Id="rId3387" Type="http://schemas.openxmlformats.org/officeDocument/2006/relationships/hyperlink" Target="https://thumb.tapecontent.net/thumb/bVre4vpOyDSPjbv/gojJlyLPBeiqD8Q.jpg" TargetMode="External"/><Relationship Id="rId2196" Type="http://schemas.openxmlformats.org/officeDocument/2006/relationships/hyperlink" Target="https://lulustream.com/d/mq8j2sho12uz" TargetMode="External"/><Relationship Id="rId3594" Type="http://schemas.openxmlformats.org/officeDocument/2006/relationships/hyperlink" Target="https://thumb.tapecontent.net/thumb/W1ggd4zpwgTbwvr/bebyJlWOmvtPjAJ.jpg" TargetMode="External"/><Relationship Id="rId4438" Type="http://schemas.openxmlformats.org/officeDocument/2006/relationships/hyperlink" Target="https://luluvdoo.com/d/k1nvryv3t1f2" TargetMode="External"/><Relationship Id="rId4645" Type="http://schemas.openxmlformats.org/officeDocument/2006/relationships/hyperlink" Target="https://thumb.tapecontent.net/thumb/dqKlp9DG71hkKD4/PLG7KvvaPatgo4.jpg" TargetMode="External"/><Relationship Id="rId168" Type="http://schemas.openxmlformats.org/officeDocument/2006/relationships/hyperlink" Target="https://thumb.tapecontent.net/thumb/JXz6KAB90ehZMg/9yed3RrxqlU9XJ.jpg" TargetMode="External"/><Relationship Id="rId3247" Type="http://schemas.openxmlformats.org/officeDocument/2006/relationships/hyperlink" Target="https://lulustream.com/d/98orjiynqydm" TargetMode="External"/><Relationship Id="rId3454" Type="http://schemas.openxmlformats.org/officeDocument/2006/relationships/hyperlink" Target="https://thumb.tapecontent.net/thumb/adBep8Qe7yCx3A7/xeLRL6RMwYFqzv.jpg" TargetMode="External"/><Relationship Id="rId3661" Type="http://schemas.openxmlformats.org/officeDocument/2006/relationships/hyperlink" Target="https://thumb.tapecontent.net/thumb/eVXz8PZrDaFYvbO/4qGJ7QDv1mUKX3m.jpg" TargetMode="External"/><Relationship Id="rId4505" Type="http://schemas.openxmlformats.org/officeDocument/2006/relationships/hyperlink" Target="https://thumb.tapecontent.net/thumb/MXqzP9Yz1mcmg1J/DqLzqZROOYckMo2.jpg" TargetMode="External"/><Relationship Id="rId4712" Type="http://schemas.openxmlformats.org/officeDocument/2006/relationships/hyperlink" Target="https://lulustream.com/d/5phe9e2ee347" TargetMode="External"/><Relationship Id="rId375" Type="http://schemas.openxmlformats.org/officeDocument/2006/relationships/hyperlink" Target="https://doodstream.com/d/l9bz9jfj0tpu/" TargetMode="External"/><Relationship Id="rId582" Type="http://schemas.openxmlformats.org/officeDocument/2006/relationships/hyperlink" Target="https://doodstream.com/d/adva9gsex0ti/" TargetMode="External"/><Relationship Id="rId2056" Type="http://schemas.openxmlformats.org/officeDocument/2006/relationships/hyperlink" Target="https://doodstream.com/d/6feu0fkgq71i/" TargetMode="External"/><Relationship Id="rId2263" Type="http://schemas.openxmlformats.org/officeDocument/2006/relationships/hyperlink" Target="https://thumb.tapecontent.net/thumb/R7vAmVodxdUdvGD/3WWKdjdDgRtdgbW.jpg" TargetMode="External"/><Relationship Id="rId2470" Type="http://schemas.openxmlformats.org/officeDocument/2006/relationships/hyperlink" Target="https://lulustream.com/e/uozcitoor2k5" TargetMode="External"/><Relationship Id="rId3107" Type="http://schemas.openxmlformats.org/officeDocument/2006/relationships/hyperlink" Target="https://thumb.tapecontent.net/thumb/GAbl9Y13MRh1rpy/Y8Y6bQeKlpTL7m.jpg" TargetMode="External"/><Relationship Id="rId3314" Type="http://schemas.openxmlformats.org/officeDocument/2006/relationships/hyperlink" Target="https://thumb.tapecontent.net/thumb/QJVwWaZze9UwrA/adXoo8ALpYIxwDV.jpg" TargetMode="External"/><Relationship Id="rId3521" Type="http://schemas.openxmlformats.org/officeDocument/2006/relationships/hyperlink" Target="https://thumb.tapecontent.net/thumb/X29qW7kq8wSD7k2/aYPlPzKZg0ibmk.jpg" TargetMode="External"/><Relationship Id="rId235" Type="http://schemas.openxmlformats.org/officeDocument/2006/relationships/hyperlink" Target="https://doodstream.com/d/1h5e2prejd6a/" TargetMode="External"/><Relationship Id="rId442" Type="http://schemas.openxmlformats.org/officeDocument/2006/relationships/hyperlink" Target="https://streamtape.com/v/RXVPoXekpoFkox/Angela_White_-_43768388_-_ripnsfw.com.mp4" TargetMode="External"/><Relationship Id="rId1072" Type="http://schemas.openxmlformats.org/officeDocument/2006/relationships/hyperlink" Target="https://lulustream.com/e/oya66nwviqw8" TargetMode="External"/><Relationship Id="rId2123" Type="http://schemas.openxmlformats.org/officeDocument/2006/relationships/hyperlink" Target="https://thumb.tapecontent.net/thumb/wZjxY0vagWuJdMa/3G2yl8wPYZHdK0R.jpg" TargetMode="External"/><Relationship Id="rId2330" Type="http://schemas.openxmlformats.org/officeDocument/2006/relationships/hyperlink" Target="https://thumb.tapecontent.net/thumb/wGabXjep0rtVk0/v96w1A84z0TL0p.jpg" TargetMode="External"/><Relationship Id="rId302" Type="http://schemas.openxmlformats.org/officeDocument/2006/relationships/hyperlink" Target="https://luluvdoo.com/d/si92qo64blfc" TargetMode="External"/><Relationship Id="rId4088" Type="http://schemas.openxmlformats.org/officeDocument/2006/relationships/hyperlink" Target="https://luluvdoo.com/d/g05jdksjeme8" TargetMode="External"/><Relationship Id="rId4295" Type="http://schemas.openxmlformats.org/officeDocument/2006/relationships/hyperlink" Target="https://thumb.tapecontent.net/thumb/1PRYJ047XoFeadw/bgPKAozYrvuPw1x.jpg" TargetMode="External"/><Relationship Id="rId1889" Type="http://schemas.openxmlformats.org/officeDocument/2006/relationships/hyperlink" Target="https://lulustream.com/e/bts1ytp9te3q" TargetMode="External"/><Relationship Id="rId4155" Type="http://schemas.openxmlformats.org/officeDocument/2006/relationships/hyperlink" Target="https://lulustream.com/e/2kle2vxrvrse" TargetMode="External"/><Relationship Id="rId4362" Type="http://schemas.openxmlformats.org/officeDocument/2006/relationships/hyperlink" Target="https://thumb.tapecontent.net/thumb/WZly8ex0A7FbzPP/pbVrW9ZmgYfrQyK.jpg" TargetMode="External"/><Relationship Id="rId1749" Type="http://schemas.openxmlformats.org/officeDocument/2006/relationships/hyperlink" Target="https://doodstream.com/d/8q65kx7192gy/" TargetMode="External"/><Relationship Id="rId1956" Type="http://schemas.openxmlformats.org/officeDocument/2006/relationships/hyperlink" Target="https://lulustream.com/e/vxlswrveda3u" TargetMode="External"/><Relationship Id="rId3171" Type="http://schemas.openxmlformats.org/officeDocument/2006/relationships/hyperlink" Target="https://doodstream.com/d/1a4vl4aefx8p/" TargetMode="External"/><Relationship Id="rId4015" Type="http://schemas.openxmlformats.org/officeDocument/2006/relationships/hyperlink" Target="https://thumb.tapecontent.net/thumb/LJR6p0wkmkSvM0/yrvg6yMWVjt1pyb.jpg" TargetMode="External"/><Relationship Id="rId1609" Type="http://schemas.openxmlformats.org/officeDocument/2006/relationships/hyperlink" Target="https://doodstream.com/d/ymj69bdsbolb/" TargetMode="External"/><Relationship Id="rId1816" Type="http://schemas.openxmlformats.org/officeDocument/2006/relationships/hyperlink" Target="https://doodstream.com/d/mh7t663eu3ps/" TargetMode="External"/><Relationship Id="rId4222" Type="http://schemas.openxmlformats.org/officeDocument/2006/relationships/hyperlink" Target="https://lulustream.com/d/4etrcr0vurfd" TargetMode="External"/><Relationship Id="rId3031" Type="http://schemas.openxmlformats.org/officeDocument/2006/relationships/hyperlink" Target="https://doodstream.com/d/pp90m82ap5ez/" TargetMode="External"/><Relationship Id="rId3988" Type="http://schemas.openxmlformats.org/officeDocument/2006/relationships/hyperlink" Target="https://lulustream.com/d/3c51gzl9a8mx" TargetMode="External"/><Relationship Id="rId2797" Type="http://schemas.openxmlformats.org/officeDocument/2006/relationships/hyperlink" Target="https://doodstream.com/d/wwh3xyc6rlrx/" TargetMode="External"/><Relationship Id="rId3848" Type="http://schemas.openxmlformats.org/officeDocument/2006/relationships/hyperlink" Target="https://lulustream.com/e/7bph90kdte9k" TargetMode="External"/><Relationship Id="rId769" Type="http://schemas.openxmlformats.org/officeDocument/2006/relationships/hyperlink" Target="https://thumb.tapecontent.net/thumb/7qJMDD649ahBX7/PkogAkXyQXH06O8.jpg" TargetMode="External"/><Relationship Id="rId976" Type="http://schemas.openxmlformats.org/officeDocument/2006/relationships/hyperlink" Target="https://thumb.tapecontent.net/thumb/zM11mv7X9PUYZWV/ylKAvZvokrh1GXb.jpg" TargetMode="External"/><Relationship Id="rId1399" Type="http://schemas.openxmlformats.org/officeDocument/2006/relationships/hyperlink" Target="https://thumb.tapecontent.net/thumb/O1ymAv4RMWHkkR/YZ8xWxelYbHv87a.jpg" TargetMode="External"/><Relationship Id="rId2657" Type="http://schemas.openxmlformats.org/officeDocument/2006/relationships/hyperlink" Target="https://lulustream.com/e/huv3v4ochw1z" TargetMode="External"/><Relationship Id="rId629" Type="http://schemas.openxmlformats.org/officeDocument/2006/relationships/hyperlink" Target="https://lulustream.com/d/m5t0ytubw2d1" TargetMode="External"/><Relationship Id="rId1259" Type="http://schemas.openxmlformats.org/officeDocument/2006/relationships/hyperlink" Target="https://lulustream.com/e/q2uqwg22nf68" TargetMode="External"/><Relationship Id="rId1466" Type="http://schemas.openxmlformats.org/officeDocument/2006/relationships/hyperlink" Target="https://doodstream.com/d/re25df5cy7gk/" TargetMode="External"/><Relationship Id="rId2864" Type="http://schemas.openxmlformats.org/officeDocument/2006/relationships/hyperlink" Target="https://lulustream.com/e/re00y23psatx" TargetMode="External"/><Relationship Id="rId3708" Type="http://schemas.openxmlformats.org/officeDocument/2006/relationships/hyperlink" Target="https://lulustream.com/e/xjua5v58fvja" TargetMode="External"/><Relationship Id="rId3915" Type="http://schemas.openxmlformats.org/officeDocument/2006/relationships/hyperlink" Target="https://thumb.tapecontent.net/thumb/BPLrYxXMewsyOOX/O4DjWQz2p8hZ2Jv.jpg" TargetMode="External"/><Relationship Id="rId836" Type="http://schemas.openxmlformats.org/officeDocument/2006/relationships/hyperlink" Target="https://lulustream.com/d/6zaixpre83t9" TargetMode="External"/><Relationship Id="rId1119" Type="http://schemas.openxmlformats.org/officeDocument/2006/relationships/hyperlink" Target="https://doodstream.com/d/q8sd0ulyq584/" TargetMode="External"/><Relationship Id="rId1673" Type="http://schemas.openxmlformats.org/officeDocument/2006/relationships/hyperlink" Target="https://doodstream.com/d/sxs971lzeyjm/" TargetMode="External"/><Relationship Id="rId1880" Type="http://schemas.openxmlformats.org/officeDocument/2006/relationships/hyperlink" Target="https://lulustream.com/e/g7cl0jd63ukr" TargetMode="External"/><Relationship Id="rId2517" Type="http://schemas.openxmlformats.org/officeDocument/2006/relationships/hyperlink" Target="https://thumb.tapecontent.net/thumb/pjBQGpP6RJUryzJ/wPMvxgBzMYCJ7BG.jpg" TargetMode="External"/><Relationship Id="rId2724" Type="http://schemas.openxmlformats.org/officeDocument/2006/relationships/hyperlink" Target="https://thumb.tapecontent.net/thumb/QezAxzo3vDH07X3/ZxmZgb7x3rUqxz2.jpg" TargetMode="External"/><Relationship Id="rId2931" Type="http://schemas.openxmlformats.org/officeDocument/2006/relationships/hyperlink" Target="https://lulustream.com/d/nfahj9voadgy" TargetMode="External"/><Relationship Id="rId903" Type="http://schemas.openxmlformats.org/officeDocument/2006/relationships/hyperlink" Target="https://thumb.tapecontent.net/thumb/zV7BxqWxozFYAo3/DalDpwMrY0Tkk7a.jpg" TargetMode="External"/><Relationship Id="rId1326" Type="http://schemas.openxmlformats.org/officeDocument/2006/relationships/hyperlink" Target="https://lulustream.com/e/xwnlu2939bg1" TargetMode="External"/><Relationship Id="rId1533" Type="http://schemas.openxmlformats.org/officeDocument/2006/relationships/hyperlink" Target="https://doodstream.com/d/pog3ruilex4y/" TargetMode="External"/><Relationship Id="rId1740" Type="http://schemas.openxmlformats.org/officeDocument/2006/relationships/hyperlink" Target="https://doodstream.com/d/k1kygi8eihmw/" TargetMode="External"/><Relationship Id="rId4689" Type="http://schemas.openxmlformats.org/officeDocument/2006/relationships/hyperlink" Target="https://thumb.tapecontent.net/thumb/vLMRworRj0I40ex/rK0LVdmD8yi3oq.jpg" TargetMode="External"/><Relationship Id="rId32" Type="http://schemas.openxmlformats.org/officeDocument/2006/relationships/hyperlink" Target="https://lulustream.com/d/34biz1fgg2q9" TargetMode="External"/><Relationship Id="rId1600" Type="http://schemas.openxmlformats.org/officeDocument/2006/relationships/hyperlink" Target="https://doodstream.com/d/9snjpl9h4gwt/" TargetMode="External"/><Relationship Id="rId3498" Type="http://schemas.openxmlformats.org/officeDocument/2006/relationships/hyperlink" Target="https://lulustream.com/e/i3btk7sh3lm0" TargetMode="External"/><Relationship Id="rId4549" Type="http://schemas.openxmlformats.org/officeDocument/2006/relationships/hyperlink" Target="https://thumb.tapecontent.net/thumb/GW8mb0KZ6bS1Rey/JYmPM4AVYJijMWa.jpg" TargetMode="External"/><Relationship Id="rId4756" Type="http://schemas.openxmlformats.org/officeDocument/2006/relationships/hyperlink" Target="https://bunkr.pk/f/NEWjF0TEEHlQt" TargetMode="External"/><Relationship Id="rId3358" Type="http://schemas.openxmlformats.org/officeDocument/2006/relationships/hyperlink" Target="https://doodstream.com/d/3bvofhcqbguk/" TargetMode="External"/><Relationship Id="rId3565" Type="http://schemas.openxmlformats.org/officeDocument/2006/relationships/hyperlink" Target="https://thumb.tapecontent.net/thumb/xXYv4BZ0ORiop0/0pLYKaGoLbHK6R.jpg" TargetMode="External"/><Relationship Id="rId3772" Type="http://schemas.openxmlformats.org/officeDocument/2006/relationships/hyperlink" Target="https://luluvdoo.com/d/q85jp9oa6mkz" TargetMode="External"/><Relationship Id="rId4409" Type="http://schemas.openxmlformats.org/officeDocument/2006/relationships/hyperlink" Target="https://lulustream.com/e/hzc1a4v8zrcj" TargetMode="External"/><Relationship Id="rId4616" Type="http://schemas.openxmlformats.org/officeDocument/2006/relationships/hyperlink" Target="https://thumb.tapecontent.net/thumb/ZVwqb2ZOv1TyAj/Q1dkZ16dqdFwYy.jpg" TargetMode="External"/><Relationship Id="rId279" Type="http://schemas.openxmlformats.org/officeDocument/2006/relationships/hyperlink" Target="https://thumb.tapecontent.net/thumb/ZV8VWMkO1YFqVo7/qJWm4BjVOYczbKO.jpg" TargetMode="External"/><Relationship Id="rId486" Type="http://schemas.openxmlformats.org/officeDocument/2006/relationships/hyperlink" Target="https://luluvdoo.com/d/7s6ms050wykm" TargetMode="External"/><Relationship Id="rId693" Type="http://schemas.openxmlformats.org/officeDocument/2006/relationships/hyperlink" Target="https://thumb.tapecontent.net/thumb/rgOoozv2KQIbmlK/m6AXaJlOkjtb3XP.jpg" TargetMode="External"/><Relationship Id="rId2167" Type="http://schemas.openxmlformats.org/officeDocument/2006/relationships/hyperlink" Target="https://thumb.tapecontent.net/thumb/1WrxMGJ6BOIezLO/mlZyLpZ9rPtBlx.jpg" TargetMode="External"/><Relationship Id="rId2374" Type="http://schemas.openxmlformats.org/officeDocument/2006/relationships/hyperlink" Target="https://doodstream.com/d/o7f8z3nfzyt0/" TargetMode="External"/><Relationship Id="rId2581" Type="http://schemas.openxmlformats.org/officeDocument/2006/relationships/hyperlink" Target="https://lulustream.com/d/tlxq4gr7p42t" TargetMode="External"/><Relationship Id="rId3218" Type="http://schemas.openxmlformats.org/officeDocument/2006/relationships/hyperlink" Target="https://lulustream.com/e/3q0ovw4pq8xu" TargetMode="External"/><Relationship Id="rId3425" Type="http://schemas.openxmlformats.org/officeDocument/2006/relationships/hyperlink" Target="https://thumb.tapecontent.net/thumb/qrYL0BbwDocadz/6wdD3Wa4axU93wk.jpg" TargetMode="External"/><Relationship Id="rId3632" Type="http://schemas.openxmlformats.org/officeDocument/2006/relationships/hyperlink" Target="https://lulustream.com/d/qg1yzk58dbv0" TargetMode="External"/><Relationship Id="rId139" Type="http://schemas.openxmlformats.org/officeDocument/2006/relationships/hyperlink" Target="https://thumb.tapecontent.net/thumb/0Jo4q3lRQ6hD7w/Z1rL2r3x06hy4L.jpg" TargetMode="External"/><Relationship Id="rId346" Type="http://schemas.openxmlformats.org/officeDocument/2006/relationships/hyperlink" Target="https://thumb.tapecontent.net/thumb/qMj0pdaRwOTYV7/4ybm9gG8oGCKeWk.jpg" TargetMode="External"/><Relationship Id="rId553" Type="http://schemas.openxmlformats.org/officeDocument/2006/relationships/hyperlink" Target="https://thumb.tapecontent.net/thumb/q6gX2xZojjuzVJx/XqLwDgbvmmSDlGR.jpg" TargetMode="External"/><Relationship Id="rId760" Type="http://schemas.openxmlformats.org/officeDocument/2006/relationships/hyperlink" Target="https://thumb.tapecontent.net/thumb/wVOlKwMjWmhJ7gx/eLmp1R0KR4Skz2.jpg" TargetMode="External"/><Relationship Id="rId1183" Type="http://schemas.openxmlformats.org/officeDocument/2006/relationships/hyperlink" Target="https://lulustream.com/e/1ls7im9klq01" TargetMode="External"/><Relationship Id="rId1390" Type="http://schemas.openxmlformats.org/officeDocument/2006/relationships/hyperlink" Target="https://thumb.tapecontent.net/thumb/1WgwWwdj1BUxL6/MxY8jdyx8PImgZq.jpg" TargetMode="External"/><Relationship Id="rId2027" Type="http://schemas.openxmlformats.org/officeDocument/2006/relationships/hyperlink" Target="https://doodstream.com/d/uosaea2clt7w/" TargetMode="External"/><Relationship Id="rId2234" Type="http://schemas.openxmlformats.org/officeDocument/2006/relationships/hyperlink" Target="https://doodstream.com/d/7il96nm6t6zf/" TargetMode="External"/><Relationship Id="rId2441" Type="http://schemas.openxmlformats.org/officeDocument/2006/relationships/hyperlink" Target="https://lulustream.com/e/xzmh6516kp1j" TargetMode="External"/><Relationship Id="rId206" Type="http://schemas.openxmlformats.org/officeDocument/2006/relationships/hyperlink" Target="https://doodstream.com/d/qw68x0lpd67h/" TargetMode="External"/><Relationship Id="rId413" Type="http://schemas.openxmlformats.org/officeDocument/2006/relationships/hyperlink" Target="https://luluvdoo.com/d/myiyz69332fs" TargetMode="External"/><Relationship Id="rId1043" Type="http://schemas.openxmlformats.org/officeDocument/2006/relationships/hyperlink" Target="https://thumb.tapecontent.net/thumb/re8jZZ0z4LtbvYo/qMYdAwPQZdfzlrj.jpg" TargetMode="External"/><Relationship Id="rId4199" Type="http://schemas.openxmlformats.org/officeDocument/2006/relationships/hyperlink" Target="https://doodstream.com/d/ev86i34dsdem/" TargetMode="External"/><Relationship Id="rId620" Type="http://schemas.openxmlformats.org/officeDocument/2006/relationships/hyperlink" Target="https://thumb.tapecontent.net/thumb/q3AzpG0XmqhRX6/90ykkgpWP6faa8a.jpg" TargetMode="External"/><Relationship Id="rId1250" Type="http://schemas.openxmlformats.org/officeDocument/2006/relationships/hyperlink" Target="https://lulustream.com/e/6dl1f7xhoss2" TargetMode="External"/><Relationship Id="rId2301" Type="http://schemas.openxmlformats.org/officeDocument/2006/relationships/hyperlink" Target="https://thumb.tapecontent.net/thumb/vW18Dj7beBF411d/pYq3zpGZK9SB1v.jpg" TargetMode="External"/><Relationship Id="rId4059" Type="http://schemas.openxmlformats.org/officeDocument/2006/relationships/hyperlink" Target="https://thumb.tapecontent.net/thumb/0Dvjp7b7r2iDXD/zDBy1aJprwTYYxp.jpg" TargetMode="External"/><Relationship Id="rId1110" Type="http://schemas.openxmlformats.org/officeDocument/2006/relationships/hyperlink" Target="https://doodstream.com/d/tdhaz0hzmul3/" TargetMode="External"/><Relationship Id="rId4266" Type="http://schemas.openxmlformats.org/officeDocument/2006/relationships/hyperlink" Target="https://doodstream.com/d/fdhf741s03lz/" TargetMode="External"/><Relationship Id="rId4473" Type="http://schemas.openxmlformats.org/officeDocument/2006/relationships/hyperlink" Target="https://doodstream.com/d/8yhyxweo2j8l/" TargetMode="External"/><Relationship Id="rId4680" Type="http://schemas.openxmlformats.org/officeDocument/2006/relationships/hyperlink" Target="https://lulustream.com/d/3jy3zsscurn3" TargetMode="External"/><Relationship Id="rId1927" Type="http://schemas.openxmlformats.org/officeDocument/2006/relationships/hyperlink" Target="https://thumb.tapecontent.net/thumb/yB3Mb4M8Ozc11Dp/8q20ov1V6gco9ar.jpg" TargetMode="External"/><Relationship Id="rId3075" Type="http://schemas.openxmlformats.org/officeDocument/2006/relationships/hyperlink" Target="https://lulustream.com/e/s3hjoa1qcxbt" TargetMode="External"/><Relationship Id="rId3282" Type="http://schemas.openxmlformats.org/officeDocument/2006/relationships/hyperlink" Target="https://doodstream.com/d/o7iiodu153ck/" TargetMode="External"/><Relationship Id="rId4126" Type="http://schemas.openxmlformats.org/officeDocument/2006/relationships/hyperlink" Target="https://lulustream.com/e/5a326nx6yyps" TargetMode="External"/><Relationship Id="rId4333" Type="http://schemas.openxmlformats.org/officeDocument/2006/relationships/hyperlink" Target="https://doodstream.com/d/z1q0hxpl4iri/" TargetMode="External"/><Relationship Id="rId4540" Type="http://schemas.openxmlformats.org/officeDocument/2006/relationships/hyperlink" Target="https://thumb.tapecontent.net/thumb/k0QmDPlYQGHOKXo/7q7b1qdrJzfA7Pl.jpg" TargetMode="External"/><Relationship Id="rId2091" Type="http://schemas.openxmlformats.org/officeDocument/2006/relationships/hyperlink" Target="https://thumb.tapecontent.net/thumb/AXe3Gzm27OsX7LZ/0pR2XzKq99sb9mz.jpg" TargetMode="External"/><Relationship Id="rId3142" Type="http://schemas.openxmlformats.org/officeDocument/2006/relationships/hyperlink" Target="https://thumb.tapecontent.net/thumb/9pQY7ymO8dIaxJD/VGPYKX6aLdiKM86.jpg" TargetMode="External"/><Relationship Id="rId4400" Type="http://schemas.openxmlformats.org/officeDocument/2006/relationships/hyperlink" Target="https://lulustream.com/d/rm7rq061h5cl" TargetMode="External"/><Relationship Id="rId270" Type="http://schemas.openxmlformats.org/officeDocument/2006/relationships/hyperlink" Target="https://thumb.tapecontent.net/thumb/MqD1A2Adw1sm4dZ/be89mwrKxVHPvkx.jpg" TargetMode="External"/><Relationship Id="rId3002" Type="http://schemas.openxmlformats.org/officeDocument/2006/relationships/hyperlink" Target="https://lulustream.com/e/qsr2i9lgtrs8" TargetMode="External"/><Relationship Id="rId130" Type="http://schemas.openxmlformats.org/officeDocument/2006/relationships/hyperlink" Target="https://thumb.tapecontent.net/thumb/7BXjdjWoJ9UAalX/9pxBmJpLv3hOQY.jpg" TargetMode="External"/><Relationship Id="rId3959" Type="http://schemas.openxmlformats.org/officeDocument/2006/relationships/hyperlink" Target="https://lulustream.com/d/2fjfx4p2fprq" TargetMode="External"/><Relationship Id="rId2768" Type="http://schemas.openxmlformats.org/officeDocument/2006/relationships/hyperlink" Target="https://lulustream.com/e/iili9x6podqj" TargetMode="External"/><Relationship Id="rId2975" Type="http://schemas.openxmlformats.org/officeDocument/2006/relationships/hyperlink" Target="https://lulustream.com/d/dd00hm3trppv" TargetMode="External"/><Relationship Id="rId3819" Type="http://schemas.openxmlformats.org/officeDocument/2006/relationships/hyperlink" Target="https://lulustream.com/d/28y9jyctugzc" TargetMode="External"/><Relationship Id="rId947" Type="http://schemas.openxmlformats.org/officeDocument/2006/relationships/hyperlink" Target="https://lulustream.com/e/op3nve2yw999" TargetMode="External"/><Relationship Id="rId1577" Type="http://schemas.openxmlformats.org/officeDocument/2006/relationships/hyperlink" Target="https://thumb.tapecontent.net/thumb/p434m8YX17TrmAd/LOzzR6W4qkhRR9j.jpg" TargetMode="External"/><Relationship Id="rId1784" Type="http://schemas.openxmlformats.org/officeDocument/2006/relationships/hyperlink" Target="https://lulustream.com/d/cn1v8juwzvtb" TargetMode="External"/><Relationship Id="rId1991" Type="http://schemas.openxmlformats.org/officeDocument/2006/relationships/hyperlink" Target="https://lulustream.com/d/lhlfecf6y4hk" TargetMode="External"/><Relationship Id="rId2628" Type="http://schemas.openxmlformats.org/officeDocument/2006/relationships/hyperlink" Target="https://thumb.tapecontent.net/thumb/3dw94KbwQdcdkoj/O6pl0Or280TZ2W0.jpg" TargetMode="External"/><Relationship Id="rId2835" Type="http://schemas.openxmlformats.org/officeDocument/2006/relationships/hyperlink" Target="https://thumb.tapecontent.net/thumb/YgGe3OOlYofvxAy/74MgMow7zGS8kl.jpg" TargetMode="External"/><Relationship Id="rId4190" Type="http://schemas.openxmlformats.org/officeDocument/2006/relationships/hyperlink" Target="https://thumb.tapecontent.net/thumb/9Bp6KwbJOxSY6w/G6Q74xbl0JF1rgL.jpg" TargetMode="External"/><Relationship Id="rId76" Type="http://schemas.openxmlformats.org/officeDocument/2006/relationships/hyperlink" Target="https://lulustream.com/e/hq2ek4yamn5m" TargetMode="External"/><Relationship Id="rId807" Type="http://schemas.openxmlformats.org/officeDocument/2006/relationships/hyperlink" Target="https://thumb.tapecontent.net/thumb/KLwdGWw3bWTzqb/8vqlY2qaaGtoPvk.jpg" TargetMode="External"/><Relationship Id="rId1437" Type="http://schemas.openxmlformats.org/officeDocument/2006/relationships/hyperlink" Target="https://doodstream.com/d/ssw6vgs49clz/" TargetMode="External"/><Relationship Id="rId1644" Type="http://schemas.openxmlformats.org/officeDocument/2006/relationships/hyperlink" Target="https://doodstream.com/d/7x4liel1jfxp/" TargetMode="External"/><Relationship Id="rId1851" Type="http://schemas.openxmlformats.org/officeDocument/2006/relationships/hyperlink" Target="https://thumb.tapecontent.net/thumb/o97gmyJ024FJLX0/Prwd8qXWqWux74.jpg" TargetMode="External"/><Relationship Id="rId2902" Type="http://schemas.openxmlformats.org/officeDocument/2006/relationships/hyperlink" Target="https://lulustream.com/d/fh9pivuncijh" TargetMode="External"/><Relationship Id="rId4050" Type="http://schemas.openxmlformats.org/officeDocument/2006/relationships/hyperlink" Target="https://lulustream.com/d/q11lbxy8t5su" TargetMode="External"/><Relationship Id="rId1504" Type="http://schemas.openxmlformats.org/officeDocument/2006/relationships/hyperlink" Target="https://lulustream.com/d/pf2imnd5yve8" TargetMode="External"/><Relationship Id="rId1711" Type="http://schemas.openxmlformats.org/officeDocument/2006/relationships/hyperlink" Target="https://thumb.tapecontent.net/thumb/yd2ZY0vp18UojW/J98lxZm77ZcjxQA.jpg" TargetMode="External"/><Relationship Id="rId3469" Type="http://schemas.openxmlformats.org/officeDocument/2006/relationships/hyperlink" Target="https://lulustream.com/e/ntdkffso4g1c" TargetMode="External"/><Relationship Id="rId3676" Type="http://schemas.openxmlformats.org/officeDocument/2006/relationships/hyperlink" Target="https://thumb.tapecontent.net/thumb/xkZkbxj7xxSDRM/djWVo7DvDrckpap.jpg" TargetMode="External"/><Relationship Id="rId597" Type="http://schemas.openxmlformats.org/officeDocument/2006/relationships/hyperlink" Target="https://lulustream.com/d/cb1asrq2k8wu" TargetMode="External"/><Relationship Id="rId2278" Type="http://schemas.openxmlformats.org/officeDocument/2006/relationships/hyperlink" Target="https://doodstream.com/d/tur0mckezxc9/" TargetMode="External"/><Relationship Id="rId2485" Type="http://schemas.openxmlformats.org/officeDocument/2006/relationships/hyperlink" Target="https://lulustream.com/d/0x23z09n89h4" TargetMode="External"/><Relationship Id="rId3329" Type="http://schemas.openxmlformats.org/officeDocument/2006/relationships/hyperlink" Target="https://thumb.tapecontent.net/thumb/xr270Ge9yLIkgxz/vxOWvPZ60rFwMe.jpg" TargetMode="External"/><Relationship Id="rId3883" Type="http://schemas.openxmlformats.org/officeDocument/2006/relationships/hyperlink" Target="https://doodstream.com/d/ecsykjle6t7x/" TargetMode="External"/><Relationship Id="rId4727" Type="http://schemas.openxmlformats.org/officeDocument/2006/relationships/hyperlink" Target="https://thumb.tapecontent.net/thumb/wr14QV00MySJvKr/pd6QeOe6yphrd49.jpg" TargetMode="External"/><Relationship Id="rId457" Type="http://schemas.openxmlformats.org/officeDocument/2006/relationships/hyperlink" Target="https://luluvdoo.com/d/akadjdas813c" TargetMode="External"/><Relationship Id="rId1087" Type="http://schemas.openxmlformats.org/officeDocument/2006/relationships/hyperlink" Target="https://lulustream.com/e/nfdi9dazw1h6" TargetMode="External"/><Relationship Id="rId1294" Type="http://schemas.openxmlformats.org/officeDocument/2006/relationships/hyperlink" Target="https://lulustream.com/e/2c9dccb3d849" TargetMode="External"/><Relationship Id="rId2138" Type="http://schemas.openxmlformats.org/officeDocument/2006/relationships/hyperlink" Target="https://thumb.tapecontent.net/thumb/GwjQdqpaWWs9aQ/0pPly3Jvb8HbRPA.jpg" TargetMode="External"/><Relationship Id="rId2692" Type="http://schemas.openxmlformats.org/officeDocument/2006/relationships/hyperlink" Target="https://lulustream.com/d/lxpa3wy489e3" TargetMode="External"/><Relationship Id="rId3536" Type="http://schemas.openxmlformats.org/officeDocument/2006/relationships/hyperlink" Target="https://thumb.tapecontent.net/thumb/3a6yp46ZK7Hdwpg/DAgAGB8RZOTkPZb.jpg" TargetMode="External"/><Relationship Id="rId3743" Type="http://schemas.openxmlformats.org/officeDocument/2006/relationships/hyperlink" Target="https://doodstream.com/d/5t6yjm437rkg/" TargetMode="External"/><Relationship Id="rId3950" Type="http://schemas.openxmlformats.org/officeDocument/2006/relationships/hyperlink" Target="https://thumb.tapecontent.net/thumb/4xRjO6mAY4i2OY/lwjPZM6xP2HBx8.jpg" TargetMode="External"/><Relationship Id="rId664" Type="http://schemas.openxmlformats.org/officeDocument/2006/relationships/hyperlink" Target="https://thumb.tapecontent.net/thumb/12PKGpRkj3c6jp/gQDlkGjpppiq0bz.jpg" TargetMode="External"/><Relationship Id="rId871" Type="http://schemas.openxmlformats.org/officeDocument/2006/relationships/hyperlink" Target="https://doodstream.com/d/bnzygkkj5g47/" TargetMode="External"/><Relationship Id="rId2345" Type="http://schemas.openxmlformats.org/officeDocument/2006/relationships/hyperlink" Target="https://lulustream.com/e/j7h8a6gx4pss" TargetMode="External"/><Relationship Id="rId2552" Type="http://schemas.openxmlformats.org/officeDocument/2006/relationships/hyperlink" Target="https://thumb.tapecontent.net/thumb/A6130WApKMSD2M/zxyPM3zZyZHvqZ.jpg" TargetMode="External"/><Relationship Id="rId3603" Type="http://schemas.openxmlformats.org/officeDocument/2006/relationships/hyperlink" Target="https://doodstream.com/d/aejye6rt8kgi/" TargetMode="External"/><Relationship Id="rId3810" Type="http://schemas.openxmlformats.org/officeDocument/2006/relationships/hyperlink" Target="https://thumb.tapecontent.net/thumb/KXyol1pzYPiAwx/MkV1QVVz8rS0jQ.jpg" TargetMode="External"/><Relationship Id="rId317" Type="http://schemas.openxmlformats.org/officeDocument/2006/relationships/hyperlink" Target="https://thumb.tapecontent.net/thumb/6m9JkoGeo6U9288/meGlBRw3zBub9lM.jpg" TargetMode="External"/><Relationship Id="rId524" Type="http://schemas.openxmlformats.org/officeDocument/2006/relationships/hyperlink" Target="https://thumb.tapecontent.net/thumb/RQZpBBGOVoUd48W/larVbgpm89SOzQ.jpg" TargetMode="External"/><Relationship Id="rId731" Type="http://schemas.openxmlformats.org/officeDocument/2006/relationships/hyperlink" Target="https://lulustream.com/e/d7gzwvzt9xhb" TargetMode="External"/><Relationship Id="rId1154" Type="http://schemas.openxmlformats.org/officeDocument/2006/relationships/hyperlink" Target="https://lulustream.com/d/ta9dv9rckmk0" TargetMode="External"/><Relationship Id="rId1361" Type="http://schemas.openxmlformats.org/officeDocument/2006/relationships/hyperlink" Target="https://thumb.tapecontent.net/thumb/B7expjPD2QtyyJD/xmGjWQm31buQ97.jpg" TargetMode="External"/><Relationship Id="rId2205" Type="http://schemas.openxmlformats.org/officeDocument/2006/relationships/hyperlink" Target="https://lulustream.com/e/losqdpug1d6l" TargetMode="External"/><Relationship Id="rId2412" Type="http://schemas.openxmlformats.org/officeDocument/2006/relationships/hyperlink" Target="https://doodstream.com/d/ltjo7hng9v3b/" TargetMode="External"/><Relationship Id="rId1014" Type="http://schemas.openxmlformats.org/officeDocument/2006/relationships/hyperlink" Target="https://thumb.tapecontent.net/thumb/XdR2w8oozdfDlVp/6a2MXz4bL0i9r1Q.jpg" TargetMode="External"/><Relationship Id="rId1221" Type="http://schemas.openxmlformats.org/officeDocument/2006/relationships/hyperlink" Target="https://lulustream.com/d/le63ce74zs8r" TargetMode="External"/><Relationship Id="rId4377" Type="http://schemas.openxmlformats.org/officeDocument/2006/relationships/hyperlink" Target="https://thumb.tapecontent.net/thumb/Y8dRAzr6w0c2dy/QPAqOB4LrjU00dv.jpg" TargetMode="External"/><Relationship Id="rId4584" Type="http://schemas.openxmlformats.org/officeDocument/2006/relationships/hyperlink" Target="https://thumb.tapecontent.net/thumb/m7q4DzrwdXTbxJ9/ydyj7BXmJBSelW.jpg" TargetMode="External"/><Relationship Id="rId3186" Type="http://schemas.openxmlformats.org/officeDocument/2006/relationships/hyperlink" Target="https://thumb.tapecontent.net/thumb/dLbJbgqKaYCbml/dZkwMP41e0fkpDe.jpg" TargetMode="External"/><Relationship Id="rId3393" Type="http://schemas.openxmlformats.org/officeDocument/2006/relationships/hyperlink" Target="https://thumb.tapecontent.net/thumb/Wo1j7ylom1sgQw/yVV9rYD1PJH3M9.jpg" TargetMode="External"/><Relationship Id="rId4237" Type="http://schemas.openxmlformats.org/officeDocument/2006/relationships/hyperlink" Target="https://thumb.tapecontent.net/thumb/d3AxKW2rx9hkK2j/LpMdRbRbX0FR1v7.jpg" TargetMode="External"/><Relationship Id="rId4444" Type="http://schemas.openxmlformats.org/officeDocument/2006/relationships/hyperlink" Target="https://doodstream.com/d/gigvulgw69wj/" TargetMode="External"/><Relationship Id="rId4651" Type="http://schemas.openxmlformats.org/officeDocument/2006/relationships/hyperlink" Target="https://lulustream.com/e/wakcrirpcm87" TargetMode="External"/><Relationship Id="rId3046" Type="http://schemas.openxmlformats.org/officeDocument/2006/relationships/hyperlink" Target="https://luluvdoo.com/d/4iovuc0mcg07" TargetMode="External"/><Relationship Id="rId3253" Type="http://schemas.openxmlformats.org/officeDocument/2006/relationships/hyperlink" Target="https://thumb.tapecontent.net/thumb/7jb9YGyRBqiVB9/BXW96xr6xWUQXY.jpg" TargetMode="External"/><Relationship Id="rId3460" Type="http://schemas.openxmlformats.org/officeDocument/2006/relationships/hyperlink" Target="https://lulustream.com/d/3eomqxggbtf1" TargetMode="External"/><Relationship Id="rId4304" Type="http://schemas.openxmlformats.org/officeDocument/2006/relationships/hyperlink" Target="https://thumb.tapecontent.net/thumb/xrdey7bqdZiQR2/P6OXAmaoD6h06kR.jpg" TargetMode="External"/><Relationship Id="rId174" Type="http://schemas.openxmlformats.org/officeDocument/2006/relationships/hyperlink" Target="https://thumb.tapecontent.net/thumb/RwWAqa4MyAIZKe/3rbXmvW3wJh3dO.jpg" TargetMode="External"/><Relationship Id="rId381" Type="http://schemas.openxmlformats.org/officeDocument/2006/relationships/hyperlink" Target="https://thumb.tapecontent.net/thumb/R6ygo12dZgfLdM/e0qPrXgZx3sOaD.jpg" TargetMode="External"/><Relationship Id="rId2062" Type="http://schemas.openxmlformats.org/officeDocument/2006/relationships/hyperlink" Target="https://doodstream.com/d/ls08fniogi62/" TargetMode="External"/><Relationship Id="rId3113" Type="http://schemas.openxmlformats.org/officeDocument/2006/relationships/hyperlink" Target="https://thumb.tapecontent.net/thumb/y7202Jy4zwim8y/dvQzGjaW6XHkWZR.jpg" TargetMode="External"/><Relationship Id="rId4511" Type="http://schemas.openxmlformats.org/officeDocument/2006/relationships/hyperlink" Target="https://thumb.tapecontent.net/thumb/ybMPR4mvaVH1Vv1/1LQ6rQk2XMFeYar.jpg" TargetMode="External"/><Relationship Id="rId241" Type="http://schemas.openxmlformats.org/officeDocument/2006/relationships/hyperlink" Target="https://thumb.tapecontent.net/thumb/4oAGrDvKg9idYB/zpYrmA8AwWFYZvO.jpg" TargetMode="External"/><Relationship Id="rId3320" Type="http://schemas.openxmlformats.org/officeDocument/2006/relationships/hyperlink" Target="https://lulustream.com/e/c4ipap00vboc" TargetMode="External"/><Relationship Id="rId2879" Type="http://schemas.openxmlformats.org/officeDocument/2006/relationships/hyperlink" Target="https://thumb.tapecontent.net/thumb/7kww2LgDA1f4Ad/vVJJ2p3Zy3sDjQ.jpg" TargetMode="External"/><Relationship Id="rId101" Type="http://schemas.openxmlformats.org/officeDocument/2006/relationships/hyperlink" Target="https://lulustream.com/e/n44rz82hlsvm" TargetMode="External"/><Relationship Id="rId1688" Type="http://schemas.openxmlformats.org/officeDocument/2006/relationships/hyperlink" Target="https://luluvdoo.com/d/cpbyq3edv9pl" TargetMode="External"/><Relationship Id="rId1895" Type="http://schemas.openxmlformats.org/officeDocument/2006/relationships/hyperlink" Target="https://thumb.tapecontent.net/thumb/DelXLPLrzbckPaP/vy8XXM8BzzTwLR.jpg" TargetMode="External"/><Relationship Id="rId2739" Type="http://schemas.openxmlformats.org/officeDocument/2006/relationships/hyperlink" Target="https://lulustream.com/d/nouxuapd245u" TargetMode="External"/><Relationship Id="rId2946" Type="http://schemas.openxmlformats.org/officeDocument/2006/relationships/hyperlink" Target="https://lulustream.com/e/94f4ebqm8h0a" TargetMode="External"/><Relationship Id="rId4094" Type="http://schemas.openxmlformats.org/officeDocument/2006/relationships/hyperlink" Target="https://doodstream.com/d/noi4py0qaz3b/" TargetMode="External"/><Relationship Id="rId918" Type="http://schemas.openxmlformats.org/officeDocument/2006/relationships/hyperlink" Target="https://thumb.tapecontent.net/thumb/rJe9XrP969ubqG7/ygvAxAkB79hoaQ.jpg" TargetMode="External"/><Relationship Id="rId1548" Type="http://schemas.openxmlformats.org/officeDocument/2006/relationships/hyperlink" Target="https://lulustream.com/d/ax46xforlo05" TargetMode="External"/><Relationship Id="rId1755" Type="http://schemas.openxmlformats.org/officeDocument/2006/relationships/hyperlink" Target="https://luluvdoo.com/d/l7l4ofoj04yq" TargetMode="External"/><Relationship Id="rId4161" Type="http://schemas.openxmlformats.org/officeDocument/2006/relationships/hyperlink" Target="https://thumb.tapecontent.net/thumb/xbgGKWx2J6SkJMw/jO2OYWyQlYFzey6.jpg" TargetMode="External"/><Relationship Id="rId1408" Type="http://schemas.openxmlformats.org/officeDocument/2006/relationships/hyperlink" Target="https://lulustream.com/d/cy07egzl424a" TargetMode="External"/><Relationship Id="rId1962" Type="http://schemas.openxmlformats.org/officeDocument/2006/relationships/hyperlink" Target="https://lulustream.com/e/l07pt4skgpzp" TargetMode="External"/><Relationship Id="rId2806" Type="http://schemas.openxmlformats.org/officeDocument/2006/relationships/hyperlink" Target="https://lulustream.com/d/5te5big4r1y0" TargetMode="External"/><Relationship Id="rId4021" Type="http://schemas.openxmlformats.org/officeDocument/2006/relationships/hyperlink" Target="https://thumb.tapecontent.net/thumb/4ywp1Mab1QhKPRr/9BDpZgJKYWSazGO.jpg" TargetMode="External"/><Relationship Id="rId47" Type="http://schemas.openxmlformats.org/officeDocument/2006/relationships/hyperlink" Target="https://thumb.tapecontent.net/thumb/KeZoqGMBWxt0kkb/Rk0KGb79q9cdVRK.jpg" TargetMode="External"/><Relationship Id="rId1615" Type="http://schemas.openxmlformats.org/officeDocument/2006/relationships/hyperlink" Target="https://doodstream.com/d/ybmksr3kfcsw/" TargetMode="External"/><Relationship Id="rId1822" Type="http://schemas.openxmlformats.org/officeDocument/2006/relationships/hyperlink" Target="https://doodstream.com/d/j381e5wcdy0k/" TargetMode="External"/><Relationship Id="rId3787" Type="http://schemas.openxmlformats.org/officeDocument/2006/relationships/hyperlink" Target="https://thumb.tapecontent.net/thumb/k9od4pylqyuOLJD/egkQ6R6VrRsmax.jpg" TargetMode="External"/><Relationship Id="rId3994" Type="http://schemas.openxmlformats.org/officeDocument/2006/relationships/hyperlink" Target="https://lulustream.com/e/laa7bemj9874" TargetMode="External"/><Relationship Id="rId2389" Type="http://schemas.openxmlformats.org/officeDocument/2006/relationships/hyperlink" Target="https://lulustream.com/e/dgs8iftkyarn" TargetMode="External"/><Relationship Id="rId2596" Type="http://schemas.openxmlformats.org/officeDocument/2006/relationships/hyperlink" Target="https://thumb.tapecontent.net/thumb/wGDR1RWqB1SJyZl/KGy9mkdYljh0keG.jpg" TargetMode="External"/><Relationship Id="rId3647" Type="http://schemas.openxmlformats.org/officeDocument/2006/relationships/hyperlink" Target="https://lulustream.com/e/l5jntbvewdkl" TargetMode="External"/><Relationship Id="rId3854" Type="http://schemas.openxmlformats.org/officeDocument/2006/relationships/hyperlink" Target="https://thumb.tapecontent.net/thumb/01grrJdJ7lTbdYJ/ggDG0RAr36TqW1A.jpg" TargetMode="External"/><Relationship Id="rId568" Type="http://schemas.openxmlformats.org/officeDocument/2006/relationships/hyperlink" Target="https://doodstream.com/d/fsr4j1nhl90i/" TargetMode="External"/><Relationship Id="rId775" Type="http://schemas.openxmlformats.org/officeDocument/2006/relationships/hyperlink" Target="https://lulustream.com/d/7lowvt2etn2e" TargetMode="External"/><Relationship Id="rId982" Type="http://schemas.openxmlformats.org/officeDocument/2006/relationships/hyperlink" Target="https://thumb.tapecontent.net/thumb/olplmRdG3xuJz64/kZWV1OdBMkUOLYK.jpg" TargetMode="External"/><Relationship Id="rId1198" Type="http://schemas.openxmlformats.org/officeDocument/2006/relationships/hyperlink" Target="https://lulustream.com/e/hxyp7j0170in" TargetMode="External"/><Relationship Id="rId2249" Type="http://schemas.openxmlformats.org/officeDocument/2006/relationships/hyperlink" Target="https://doodstream.com/d/91qin3l7c1kj/" TargetMode="External"/><Relationship Id="rId2456" Type="http://schemas.openxmlformats.org/officeDocument/2006/relationships/hyperlink" Target="https://doodstream.com/d/315cluyoefa4/" TargetMode="External"/><Relationship Id="rId2663" Type="http://schemas.openxmlformats.org/officeDocument/2006/relationships/hyperlink" Target="https://doodstream.com/d/rcu1gjmzfra1/" TargetMode="External"/><Relationship Id="rId2870" Type="http://schemas.openxmlformats.org/officeDocument/2006/relationships/hyperlink" Target="https://thumb.tapecontent.net/thumb/Bq0gAjeMgkiye7L/yPXeekRYYVi1bq2.jpg" TargetMode="External"/><Relationship Id="rId3507" Type="http://schemas.openxmlformats.org/officeDocument/2006/relationships/hyperlink" Target="https://lulustream.com/e/z9nr9w72na10" TargetMode="External"/><Relationship Id="rId3714" Type="http://schemas.openxmlformats.org/officeDocument/2006/relationships/hyperlink" Target="https://lulustream.com/e/gv4mfh2n4bsf" TargetMode="External"/><Relationship Id="rId3921" Type="http://schemas.openxmlformats.org/officeDocument/2006/relationships/hyperlink" Target="https://doodstream.com/d/f3xqg7py1p9r/" TargetMode="External"/><Relationship Id="rId428" Type="http://schemas.openxmlformats.org/officeDocument/2006/relationships/hyperlink" Target="https://luluvdoo.com/d/huem0c4wktlp" TargetMode="External"/><Relationship Id="rId635" Type="http://schemas.openxmlformats.org/officeDocument/2006/relationships/hyperlink" Target="https://lulustream.com/d/5xcwhu3wrn9v" TargetMode="External"/><Relationship Id="rId842" Type="http://schemas.openxmlformats.org/officeDocument/2006/relationships/hyperlink" Target="https://thumb.tapecontent.net/thumb/7PjeR1KqBJsRyq/8VpzP4D6KvUogD0.jpg" TargetMode="External"/><Relationship Id="rId1058" Type="http://schemas.openxmlformats.org/officeDocument/2006/relationships/hyperlink" Target="https://lulustream.com/e/7bybkabcybzq" TargetMode="External"/><Relationship Id="rId1265" Type="http://schemas.openxmlformats.org/officeDocument/2006/relationships/hyperlink" Target="https://lulustream.com/e/iiw1uf0jdkcr" TargetMode="External"/><Relationship Id="rId1472" Type="http://schemas.openxmlformats.org/officeDocument/2006/relationships/hyperlink" Target="https://lulustream.com/e/59myho71hh1j" TargetMode="External"/><Relationship Id="rId2109" Type="http://schemas.openxmlformats.org/officeDocument/2006/relationships/hyperlink" Target="https://thumb.tapecontent.net/thumb/OdrORGKPAls7b6/GJzQZAJ43pimYL.jpg" TargetMode="External"/><Relationship Id="rId2316" Type="http://schemas.openxmlformats.org/officeDocument/2006/relationships/hyperlink" Target="https://thumb.tapecontent.net/thumb/gr1A08jojBUYlr/0zjbg7lvp3sbdp3.jpg" TargetMode="External"/><Relationship Id="rId2523" Type="http://schemas.openxmlformats.org/officeDocument/2006/relationships/hyperlink" Target="https://thumb.tapecontent.net/thumb/ajDe3xaoAjtxD4R/qaVMkLbKMxTz3Dg.jpg" TargetMode="External"/><Relationship Id="rId2730" Type="http://schemas.openxmlformats.org/officeDocument/2006/relationships/hyperlink" Target="https://thumb.tapecontent.net/thumb/mPQAprJKXDcbxob/29P1dZjrdgSZv8W.jpg" TargetMode="External"/><Relationship Id="rId702" Type="http://schemas.openxmlformats.org/officeDocument/2006/relationships/hyperlink" Target="https://thumb.tapecontent.net/thumb/0LgXqB619JIb7vA/vz69b4aPjet4XaR.jpg" TargetMode="External"/><Relationship Id="rId1125" Type="http://schemas.openxmlformats.org/officeDocument/2006/relationships/hyperlink" Target="https://doodstream.com/d/l0aps3gvcv6e/" TargetMode="External"/><Relationship Id="rId1332" Type="http://schemas.openxmlformats.org/officeDocument/2006/relationships/hyperlink" Target="https://thumb.tapecontent.net/thumb/Vk4MGk894eTKmrq/zKJ9oBrPgkfYj0Z.jpg" TargetMode="External"/><Relationship Id="rId4488" Type="http://schemas.openxmlformats.org/officeDocument/2006/relationships/hyperlink" Target="https://doodstream.com/d/r3xdz6kzy6r3/" TargetMode="External"/><Relationship Id="rId4695" Type="http://schemas.openxmlformats.org/officeDocument/2006/relationships/hyperlink" Target="https://thumb.tapecontent.net/thumb/wDJ4VLapARtJJjq/Al1JQLGxrPIXpZl.jpg" TargetMode="External"/><Relationship Id="rId3297" Type="http://schemas.openxmlformats.org/officeDocument/2006/relationships/hyperlink" Target="https://lulustream.com/d/lqgdlkvnamcl" TargetMode="External"/><Relationship Id="rId4348" Type="http://schemas.openxmlformats.org/officeDocument/2006/relationships/hyperlink" Target="https://lulustream.com/e/u4sndoe6uzvt" TargetMode="External"/><Relationship Id="rId3157" Type="http://schemas.openxmlformats.org/officeDocument/2006/relationships/hyperlink" Target="https://doodstream.com/d/qtyin6yfq2md/" TargetMode="External"/><Relationship Id="rId4555" Type="http://schemas.openxmlformats.org/officeDocument/2006/relationships/hyperlink" Target="https://thumb.tapecontent.net/thumb/zKMmoYbMpLTYYee/4RGMx991eYFK01B.jpg" TargetMode="External"/><Relationship Id="rId4762" Type="http://schemas.openxmlformats.org/officeDocument/2006/relationships/hyperlink" Target="https://thumb.tapecontent.net/thumb/DPlxVbewAXTkrlz/Zr10oObKwguKdR.jpg" TargetMode="External"/><Relationship Id="rId285" Type="http://schemas.openxmlformats.org/officeDocument/2006/relationships/hyperlink" Target="https://lulustream.com/d/st2h37a2sjlo" TargetMode="External"/><Relationship Id="rId3364" Type="http://schemas.openxmlformats.org/officeDocument/2006/relationships/hyperlink" Target="https://thumb.tapecontent.net/thumb/L1LkQdegagtRrr4/0de90r07BQsbyv2.jpg" TargetMode="External"/><Relationship Id="rId3571" Type="http://schemas.openxmlformats.org/officeDocument/2006/relationships/hyperlink" Target="https://thumb.tapecontent.net/thumb/j76k12g6y3czjWK/p1yaQXlgW9TrpM2.jpg" TargetMode="External"/><Relationship Id="rId4208" Type="http://schemas.openxmlformats.org/officeDocument/2006/relationships/hyperlink" Target="https://lulustream.com/e/fsku1czuv41y" TargetMode="External"/><Relationship Id="rId4415" Type="http://schemas.openxmlformats.org/officeDocument/2006/relationships/hyperlink" Target="https://lulustream.com/e/el9obmlv96rj" TargetMode="External"/><Relationship Id="rId4622" Type="http://schemas.openxmlformats.org/officeDocument/2006/relationships/hyperlink" Target="https://thumb.tapecontent.net/thumb/ZJX2rJYMW1TqAaM/AKZ89OxVXbIw0g.jpg" TargetMode="External"/><Relationship Id="rId492" Type="http://schemas.openxmlformats.org/officeDocument/2006/relationships/hyperlink" Target="https://doodstream.com/d/0z8aai2lc39i/" TargetMode="External"/><Relationship Id="rId2173" Type="http://schemas.openxmlformats.org/officeDocument/2006/relationships/hyperlink" Target="https://thumb.tapecontent.net/thumb/2BaOvD8OariZY6y/bZ9xOpgXzkUPaz7.jpg" TargetMode="External"/><Relationship Id="rId2380" Type="http://schemas.openxmlformats.org/officeDocument/2006/relationships/hyperlink" Target="https://lulustream.com/d/pr5ynbprs1w5" TargetMode="External"/><Relationship Id="rId3017" Type="http://schemas.openxmlformats.org/officeDocument/2006/relationships/hyperlink" Target="https://lulustream.com/d/3v1ahggxw1s7" TargetMode="External"/><Relationship Id="rId3224" Type="http://schemas.openxmlformats.org/officeDocument/2006/relationships/hyperlink" Target="https://lulustream.com/e/mnwhnzombcag" TargetMode="External"/><Relationship Id="rId3431" Type="http://schemas.openxmlformats.org/officeDocument/2006/relationships/hyperlink" Target="https://doodstream.com/d/426nz4vmjvjv/" TargetMode="External"/><Relationship Id="rId145" Type="http://schemas.openxmlformats.org/officeDocument/2006/relationships/hyperlink" Target="https://doodstream.com/d/vj95tselm4dy/" TargetMode="External"/><Relationship Id="rId352" Type="http://schemas.openxmlformats.org/officeDocument/2006/relationships/hyperlink" Target="https://thumb.tapecontent.net/thumb/DPWr8zAaP2tkOgL/A44bglRQy6tX0Mj.jpg" TargetMode="External"/><Relationship Id="rId2033" Type="http://schemas.openxmlformats.org/officeDocument/2006/relationships/hyperlink" Target="https://lulustream.com/d/qwfsnfh985ei" TargetMode="External"/><Relationship Id="rId2240" Type="http://schemas.openxmlformats.org/officeDocument/2006/relationships/hyperlink" Target="https://doodstream.com/d/2f5x3v903w4s/" TargetMode="External"/><Relationship Id="rId212" Type="http://schemas.openxmlformats.org/officeDocument/2006/relationships/hyperlink" Target="https://doodstream.com/d/v7hwqbirikl7/" TargetMode="External"/><Relationship Id="rId1799" Type="http://schemas.openxmlformats.org/officeDocument/2006/relationships/hyperlink" Target="https://lulustream.com/e/ez4douahop3s" TargetMode="External"/><Relationship Id="rId2100" Type="http://schemas.openxmlformats.org/officeDocument/2006/relationships/hyperlink" Target="https://thumb.tapecontent.net/thumb/dRyyw9jZ29ikq2x/vp0ddrQYxrI4vLr.jpg" TargetMode="External"/><Relationship Id="rId4065" Type="http://schemas.openxmlformats.org/officeDocument/2006/relationships/hyperlink" Target="https://doodstream.com/d/rvhuljnwst3x/" TargetMode="External"/><Relationship Id="rId4272" Type="http://schemas.openxmlformats.org/officeDocument/2006/relationships/hyperlink" Target="https://lulustream.com/d/j53tzbh8ea02" TargetMode="External"/><Relationship Id="rId1659" Type="http://schemas.openxmlformats.org/officeDocument/2006/relationships/hyperlink" Target="https://luluvdoo.com/d/yjiayhyotstg" TargetMode="External"/><Relationship Id="rId1866" Type="http://schemas.openxmlformats.org/officeDocument/2006/relationships/hyperlink" Target="https://thumb.tapecontent.net/thumb/x1x1jJlQGOTkYlR/P3XJdKkzXri0dqP.jpg" TargetMode="External"/><Relationship Id="rId2917" Type="http://schemas.openxmlformats.org/officeDocument/2006/relationships/hyperlink" Target="https://lulustream.com/e/z68j13ji3uj6" TargetMode="External"/><Relationship Id="rId3081" Type="http://schemas.openxmlformats.org/officeDocument/2006/relationships/hyperlink" Target="https://lulustream.com/d/zko8l0tg2fa8" TargetMode="External"/><Relationship Id="rId4132" Type="http://schemas.openxmlformats.org/officeDocument/2006/relationships/hyperlink" Target="https://thumb.tapecontent.net/thumb/eo0YA4XBRXCYqzY/OqjQWMAwvOtZl3g.jpg" TargetMode="External"/><Relationship Id="rId1519" Type="http://schemas.openxmlformats.org/officeDocument/2006/relationships/hyperlink" Target="https://lulustream.com/e/6yjhypqa2u6j" TargetMode="External"/><Relationship Id="rId1726" Type="http://schemas.openxmlformats.org/officeDocument/2006/relationships/hyperlink" Target="https://thumb.tapecontent.net/thumb/Mr3RA4Q2mzimV2o/bRy6gOVY4pUL6A.jpg" TargetMode="External"/><Relationship Id="rId1933" Type="http://schemas.openxmlformats.org/officeDocument/2006/relationships/hyperlink" Target="https://lulustream.com/d/4lzph7xejtt9" TargetMode="External"/><Relationship Id="rId18" Type="http://schemas.openxmlformats.org/officeDocument/2006/relationships/hyperlink" Target="https://doodstream.com/d/asxvhhf5pzc0/" TargetMode="External"/><Relationship Id="rId3898" Type="http://schemas.openxmlformats.org/officeDocument/2006/relationships/hyperlink" Target="https://lulustream.com/d/kosdc06ich3i" TargetMode="External"/><Relationship Id="rId3758" Type="http://schemas.openxmlformats.org/officeDocument/2006/relationships/hyperlink" Target="https://doodstream.com/d/ujga9z7s133e/" TargetMode="External"/><Relationship Id="rId3965" Type="http://schemas.openxmlformats.org/officeDocument/2006/relationships/hyperlink" Target="https://doodstream.com/d/u16renvw6eht/" TargetMode="External"/><Relationship Id="rId679" Type="http://schemas.openxmlformats.org/officeDocument/2006/relationships/hyperlink" Target="https://lulustream.com/d/8lnjtfv3y7ue" TargetMode="External"/><Relationship Id="rId886" Type="http://schemas.openxmlformats.org/officeDocument/2006/relationships/hyperlink" Target="https://doodstream.com/d/9ltnzu00efrq/" TargetMode="External"/><Relationship Id="rId2567" Type="http://schemas.openxmlformats.org/officeDocument/2006/relationships/hyperlink" Target="https://doodstream.com/d/f022tu51enlz/" TargetMode="External"/><Relationship Id="rId2774" Type="http://schemas.openxmlformats.org/officeDocument/2006/relationships/hyperlink" Target="https://doodstream.com/d/63ekfaec6835/" TargetMode="External"/><Relationship Id="rId3618" Type="http://schemas.openxmlformats.org/officeDocument/2006/relationships/hyperlink" Target="https://lulustream.com/e/68q5ro9kig8o" TargetMode="External"/><Relationship Id="rId2" Type="http://schemas.openxmlformats.org/officeDocument/2006/relationships/hyperlink" Target="https://thumb.tapecontent.net/thumb/yPdwROL8ZwH3Qa/LaR0Vrr7jzsRqPA.jpg" TargetMode="External"/><Relationship Id="rId539" Type="http://schemas.openxmlformats.org/officeDocument/2006/relationships/hyperlink" Target="https://streamtape.com/v/ZxvGVp9LyQhqQxX/Angela_White_-_98417632_-_ripnsfw.com" TargetMode="External"/><Relationship Id="rId746" Type="http://schemas.openxmlformats.org/officeDocument/2006/relationships/hyperlink" Target="https://lulustream.com/e/lgr6wpjqb6ty" TargetMode="External"/><Relationship Id="rId1169" Type="http://schemas.openxmlformats.org/officeDocument/2006/relationships/hyperlink" Target="https://thumb.tapecontent.net/thumb/9OMgaemyqYC9pM/LkML206Zp8f4xy.jpg" TargetMode="External"/><Relationship Id="rId1376" Type="http://schemas.openxmlformats.org/officeDocument/2006/relationships/hyperlink" Target="https://doodstream.com/d/uvgafi7tpdb3/" TargetMode="External"/><Relationship Id="rId1583" Type="http://schemas.openxmlformats.org/officeDocument/2006/relationships/hyperlink" Target="https://doodstream.com/d/tmo90jstwyzz/" TargetMode="External"/><Relationship Id="rId2427" Type="http://schemas.openxmlformats.org/officeDocument/2006/relationships/hyperlink" Target="https://lulustream.com/e/s57zhaz6ud7p" TargetMode="External"/><Relationship Id="rId2981" Type="http://schemas.openxmlformats.org/officeDocument/2006/relationships/hyperlink" Target="https://thumb.tapecontent.net/thumb/R6Poy6k2l6Cd4vj/BXGYxMArd6uyaMg.jpg" TargetMode="External"/><Relationship Id="rId3825" Type="http://schemas.openxmlformats.org/officeDocument/2006/relationships/hyperlink" Target="https://lulustream.com/d/6yqtwiqrhsz2" TargetMode="External"/><Relationship Id="rId953" Type="http://schemas.openxmlformats.org/officeDocument/2006/relationships/hyperlink" Target="https://thumb.tapecontent.net/thumb/dpjgoqgOpAtZbv/ggMqXZwQ9Zcqeb6.jpg" TargetMode="External"/><Relationship Id="rId1029" Type="http://schemas.openxmlformats.org/officeDocument/2006/relationships/hyperlink" Target="https://thumb.tapecontent.net/thumb/ZKRKYbPrdOs7zl/Ga1aO29Yk6f1gjb.jpg" TargetMode="External"/><Relationship Id="rId1236" Type="http://schemas.openxmlformats.org/officeDocument/2006/relationships/hyperlink" Target="https://doodstream.com/d/tpibplzwmdaz/" TargetMode="External"/><Relationship Id="rId1790" Type="http://schemas.openxmlformats.org/officeDocument/2006/relationships/hyperlink" Target="https://lulustream.com/e/8puc0fn099c8" TargetMode="External"/><Relationship Id="rId2634" Type="http://schemas.openxmlformats.org/officeDocument/2006/relationships/hyperlink" Target="https://doodstream.com/d/1sf8ufgc7g2r/" TargetMode="External"/><Relationship Id="rId2841" Type="http://schemas.openxmlformats.org/officeDocument/2006/relationships/hyperlink" Target="https://lulustream.com/d/vsrder36bdfa" TargetMode="External"/><Relationship Id="rId82" Type="http://schemas.openxmlformats.org/officeDocument/2006/relationships/hyperlink" Target="https://thumb.tapecontent.net/thumb/XzXKqJlK3oSDqle/bqJdl1meVysRww.jpg" TargetMode="External"/><Relationship Id="rId606" Type="http://schemas.openxmlformats.org/officeDocument/2006/relationships/hyperlink" Target="https://thumb.tapecontent.net/thumb/l49GYZPL4PH7XvL/KZMRvRd06Vs0Mwq.jpg" TargetMode="External"/><Relationship Id="rId813" Type="http://schemas.openxmlformats.org/officeDocument/2006/relationships/hyperlink" Target="https://doodstream.com/d/m3jojgpc7mex/" TargetMode="External"/><Relationship Id="rId1443" Type="http://schemas.openxmlformats.org/officeDocument/2006/relationships/hyperlink" Target="https://doodstream.com/d/igc6hvyyzzdy/" TargetMode="External"/><Relationship Id="rId1650" Type="http://schemas.openxmlformats.org/officeDocument/2006/relationships/hyperlink" Target="https://luluvdoo.com/d/cgh7l6v22b62" TargetMode="External"/><Relationship Id="rId2701" Type="http://schemas.openxmlformats.org/officeDocument/2006/relationships/hyperlink" Target="https://lulustream.com/e/qm7pr27sptut" TargetMode="External"/><Relationship Id="rId4599" Type="http://schemas.openxmlformats.org/officeDocument/2006/relationships/hyperlink" Target="https://thumb.tapecontent.net/thumb/RXlOVpGl4ztX7d/owXek9yRqeSOl4.jpg" TargetMode="External"/><Relationship Id="rId1303" Type="http://schemas.openxmlformats.org/officeDocument/2006/relationships/hyperlink" Target="https://lulustream.com/e/vo19vjfr5m55" TargetMode="External"/><Relationship Id="rId1510" Type="http://schemas.openxmlformats.org/officeDocument/2006/relationships/hyperlink" Target="https://lulustream.com/e/e5zzescu1ei1" TargetMode="External"/><Relationship Id="rId4459" Type="http://schemas.openxmlformats.org/officeDocument/2006/relationships/hyperlink" Target="https://luluvdoo.com/d/060ppfv5328u" TargetMode="External"/><Relationship Id="rId4666" Type="http://schemas.openxmlformats.org/officeDocument/2006/relationships/hyperlink" Target="https://doodstream.com/d/xxyk9eci3w8t/" TargetMode="External"/><Relationship Id="rId3268" Type="http://schemas.openxmlformats.org/officeDocument/2006/relationships/hyperlink" Target="https://thumb.tapecontent.net/thumb/RmRW7X2wLXtd3vA/1dDXzvAl6oseAOQ.jpg" TargetMode="External"/><Relationship Id="rId3475" Type="http://schemas.openxmlformats.org/officeDocument/2006/relationships/hyperlink" Target="https://lulustream.com/e/k2bfmqsealu7" TargetMode="External"/><Relationship Id="rId3682" Type="http://schemas.openxmlformats.org/officeDocument/2006/relationships/hyperlink" Target="https://doodstream.com/d/a20owmgm42g4/" TargetMode="External"/><Relationship Id="rId4319" Type="http://schemas.openxmlformats.org/officeDocument/2006/relationships/hyperlink" Target="https://doodstream.com/d/k85nucgmv6s1/" TargetMode="External"/><Relationship Id="rId4526" Type="http://schemas.openxmlformats.org/officeDocument/2006/relationships/hyperlink" Target="https://thumb.tapecontent.net/thumb/O74Q2BkG3ZTZBag/JeM1J4VlKGuj4vl.jpg" TargetMode="External"/><Relationship Id="rId4733" Type="http://schemas.openxmlformats.org/officeDocument/2006/relationships/hyperlink" Target="https://thumb.tapecontent.net/thumb/pMa9r0bQAZcrvWP/WQYxmrZvyLH0BQ.jpg" TargetMode="External"/><Relationship Id="rId189" Type="http://schemas.openxmlformats.org/officeDocument/2006/relationships/hyperlink" Target="https://lulustream.com/d/sn83issjo5ld" TargetMode="External"/><Relationship Id="rId396" Type="http://schemas.openxmlformats.org/officeDocument/2006/relationships/hyperlink" Target="https://streamtape.com/v/G21vRyAx3Bcayv/Angela_White_-_23967656_-_ripnsfw.com_-_Rissa_May.mp4" TargetMode="External"/><Relationship Id="rId2077" Type="http://schemas.openxmlformats.org/officeDocument/2006/relationships/hyperlink" Target="https://doodstream.com/d/rsdax3sre2ue/" TargetMode="External"/><Relationship Id="rId2284" Type="http://schemas.openxmlformats.org/officeDocument/2006/relationships/hyperlink" Target="https://doodstream.com/d/eoqpma24365o/" TargetMode="External"/><Relationship Id="rId2491" Type="http://schemas.openxmlformats.org/officeDocument/2006/relationships/hyperlink" Target="https://thumb.tapecontent.net/thumb/pbwd3Rex1Lir9x8/L20w3qlyyqtRqvB.jpg" TargetMode="External"/><Relationship Id="rId3128" Type="http://schemas.openxmlformats.org/officeDocument/2006/relationships/hyperlink" Target="https://thumb.tapecontent.net/thumb/RyPvzbJ3K3Ud376/x96m9wK37lCkrPe.jpg" TargetMode="External"/><Relationship Id="rId3335" Type="http://schemas.openxmlformats.org/officeDocument/2006/relationships/hyperlink" Target="https://doodstream.com/d/c9nyebnbl5ks/" TargetMode="External"/><Relationship Id="rId3542" Type="http://schemas.openxmlformats.org/officeDocument/2006/relationships/hyperlink" Target="https://thumb.tapecontent.net/thumb/VxQ6WdqZpACK7lM/Jq6DK3vWyMsj3Zv.jpg" TargetMode="External"/><Relationship Id="rId256" Type="http://schemas.openxmlformats.org/officeDocument/2006/relationships/hyperlink" Target="https://lulustream.com/e/8rviiecnvzxq" TargetMode="External"/><Relationship Id="rId463" Type="http://schemas.openxmlformats.org/officeDocument/2006/relationships/hyperlink" Target="https://doodstream.com/d/ij07rgr8p3og/" TargetMode="External"/><Relationship Id="rId670" Type="http://schemas.openxmlformats.org/officeDocument/2006/relationships/hyperlink" Target="https://lulustream.com/d/69zytf35azi8" TargetMode="External"/><Relationship Id="rId1093" Type="http://schemas.openxmlformats.org/officeDocument/2006/relationships/hyperlink" Target="https://doodstream.com/d/mi5v5zzxbhrt/" TargetMode="External"/><Relationship Id="rId2144" Type="http://schemas.openxmlformats.org/officeDocument/2006/relationships/hyperlink" Target="https://thumb.tapecontent.net/thumb/d3XJ76em1AI1xZ/vyjxVqZDLOh4gRV.jpg" TargetMode="External"/><Relationship Id="rId2351" Type="http://schemas.openxmlformats.org/officeDocument/2006/relationships/hyperlink" Target="https://thumb.tapecontent.net/thumb/9ve3wl9bJySawAy/AAAW0BbmB1IXMPJ.jpg" TargetMode="External"/><Relationship Id="rId3402" Type="http://schemas.openxmlformats.org/officeDocument/2006/relationships/hyperlink" Target="https://thumb.tapecontent.net/thumb/06aMggvoP3FbRoZ/b7elYAQx24sPa8A.jpg" TargetMode="External"/><Relationship Id="rId116" Type="http://schemas.openxmlformats.org/officeDocument/2006/relationships/hyperlink" Target="https://lulustream.com/e/hjj6wbwncvnm" TargetMode="External"/><Relationship Id="rId323" Type="http://schemas.openxmlformats.org/officeDocument/2006/relationships/hyperlink" Target="https://thumb.tapecontent.net/thumb/W8wWbO1M7MIbz3g/zPMAYADlrjtYV8R.jpg" TargetMode="External"/><Relationship Id="rId530" Type="http://schemas.openxmlformats.org/officeDocument/2006/relationships/hyperlink" Target="https://thumb.tapecontent.net/thumb/3aAO16eMyyhdJGA/y23Yxgvob7S1M1b.jpg" TargetMode="External"/><Relationship Id="rId1160" Type="http://schemas.openxmlformats.org/officeDocument/2006/relationships/hyperlink" Target="https://lulustream.com/e/h5huijo5gx3f" TargetMode="External"/><Relationship Id="rId2004" Type="http://schemas.openxmlformats.org/officeDocument/2006/relationships/hyperlink" Target="https://lulustream.com/e/960aqdpv9cee" TargetMode="External"/><Relationship Id="rId2211" Type="http://schemas.openxmlformats.org/officeDocument/2006/relationships/hyperlink" Target="https://lulustream.com/e/enku4im9cizy" TargetMode="External"/><Relationship Id="rId4176" Type="http://schemas.openxmlformats.org/officeDocument/2006/relationships/hyperlink" Target="https://lulustream.com/d/c7fcxhru9huu" TargetMode="External"/><Relationship Id="rId1020" Type="http://schemas.openxmlformats.org/officeDocument/2006/relationships/hyperlink" Target="https://thumb.tapecontent.net/thumb/XyzVlPmW32iDydv/bQqa31eLdBcP94y.jpg" TargetMode="External"/><Relationship Id="rId1977" Type="http://schemas.openxmlformats.org/officeDocument/2006/relationships/hyperlink" Target="https://thumb.tapecontent.net/thumb/begQ8vDVMaHo9Y/L22ZJwde2BIRrkj.jpg" TargetMode="External"/><Relationship Id="rId4383" Type="http://schemas.openxmlformats.org/officeDocument/2006/relationships/hyperlink" Target="https://thumb.tapecontent.net/thumb/7jGOPamBMptJj3/VazWGVAjR3CKwXq.jpg" TargetMode="External"/><Relationship Id="rId4590" Type="http://schemas.openxmlformats.org/officeDocument/2006/relationships/hyperlink" Target="https://thumb.tapecontent.net/thumb/V048ryQzXQhKwev/kpVD84qMWKuyYe.jpg" TargetMode="External"/><Relationship Id="rId1837" Type="http://schemas.openxmlformats.org/officeDocument/2006/relationships/hyperlink" Target="https://doodstream.com/d/l3txkd08lny6/" TargetMode="External"/><Relationship Id="rId3192" Type="http://schemas.openxmlformats.org/officeDocument/2006/relationships/hyperlink" Target="https://thumb.tapecontent.net/thumb/xv27x9YPdoskpYe/8Z4PzD4D73Iodvm.jpg" TargetMode="External"/><Relationship Id="rId4036" Type="http://schemas.openxmlformats.org/officeDocument/2006/relationships/hyperlink" Target="https://lulustream.com/d/6fnaumskqtfi" TargetMode="External"/><Relationship Id="rId4243" Type="http://schemas.openxmlformats.org/officeDocument/2006/relationships/hyperlink" Target="https://doodstream.com/d/ndxayogzkfnc/" TargetMode="External"/><Relationship Id="rId4450" Type="http://schemas.openxmlformats.org/officeDocument/2006/relationships/hyperlink" Target="https://doodstream.com/d/uzauou5x0u4e/" TargetMode="External"/><Relationship Id="rId3052" Type="http://schemas.openxmlformats.org/officeDocument/2006/relationships/hyperlink" Target="https://luluvdoo.com/d/vyv38tveubte" TargetMode="External"/><Relationship Id="rId4103" Type="http://schemas.openxmlformats.org/officeDocument/2006/relationships/hyperlink" Target="https://doodstream.com/d/y2oso3vcs8tp/" TargetMode="External"/><Relationship Id="rId4310" Type="http://schemas.openxmlformats.org/officeDocument/2006/relationships/hyperlink" Target="https://doodstream.com/d/okpx79z1khky/" TargetMode="External"/><Relationship Id="rId180" Type="http://schemas.openxmlformats.org/officeDocument/2006/relationships/hyperlink" Target="https://doodstream.com/d/cwrwhdzz1334/" TargetMode="External"/><Relationship Id="rId1904" Type="http://schemas.openxmlformats.org/officeDocument/2006/relationships/hyperlink" Target="https://lulustream.com/d/c5ya6z04lu24" TargetMode="External"/><Relationship Id="rId3869" Type="http://schemas.openxmlformats.org/officeDocument/2006/relationships/hyperlink" Target="https://thumb.tapecontent.net/thumb/6qeB4jkDvMCpdq/Mqxjbj42Y4ummmr.jpg" TargetMode="External"/><Relationship Id="rId997" Type="http://schemas.openxmlformats.org/officeDocument/2006/relationships/hyperlink" Target="https://thumb.tapecontent.net/thumb/oQxWGJO7yluKAd/qKVOMeey0pHzJAK.jpg" TargetMode="External"/><Relationship Id="rId2678" Type="http://schemas.openxmlformats.org/officeDocument/2006/relationships/hyperlink" Target="https://lulustream.com/e/yn9yteacmj55" TargetMode="External"/><Relationship Id="rId2885" Type="http://schemas.openxmlformats.org/officeDocument/2006/relationships/hyperlink" Target="https://lulustream.com/d/433396slyt07" TargetMode="External"/><Relationship Id="rId3729" Type="http://schemas.openxmlformats.org/officeDocument/2006/relationships/hyperlink" Target="https://thumb.tapecontent.net/thumb/Kwdmq3y2X0T0eK1/G9xbyeavVeio8b.jpg" TargetMode="External"/><Relationship Id="rId3936" Type="http://schemas.openxmlformats.org/officeDocument/2006/relationships/hyperlink" Target="https://thumb.tapecontent.net/thumb/OaBRaR3VO4IZBxJ/BGVwJ97zLLIWPb.jpg" TargetMode="External"/><Relationship Id="rId857" Type="http://schemas.openxmlformats.org/officeDocument/2006/relationships/hyperlink" Target="https://doodstream.com/d/5yls4j7tl1a6/" TargetMode="External"/><Relationship Id="rId1487" Type="http://schemas.openxmlformats.org/officeDocument/2006/relationships/hyperlink" Target="https://lulustream.com/e/5rw3474yvd0k" TargetMode="External"/><Relationship Id="rId1694" Type="http://schemas.openxmlformats.org/officeDocument/2006/relationships/hyperlink" Target="https://luluvdoo.com/d/sukd2b2j3c7v" TargetMode="External"/><Relationship Id="rId2538" Type="http://schemas.openxmlformats.org/officeDocument/2006/relationships/hyperlink" Target="https://doodstream.com/d/31r4pk8hj9yf/" TargetMode="External"/><Relationship Id="rId2745" Type="http://schemas.openxmlformats.org/officeDocument/2006/relationships/hyperlink" Target="https://thumb.tapecontent.net/thumb/Zo6b1y4YlWhqlAZ/DlvKkbmgdAFkljL.jpg" TargetMode="External"/><Relationship Id="rId2952" Type="http://schemas.openxmlformats.org/officeDocument/2006/relationships/hyperlink" Target="https://thumb.tapecontent.net/thumb/RA06BypKALTdWDx/ZV8ZaOKX68TMOv.jpg" TargetMode="External"/><Relationship Id="rId717" Type="http://schemas.openxmlformats.org/officeDocument/2006/relationships/hyperlink" Target="https://lulustream.com/d/9clpjo1po1uf" TargetMode="External"/><Relationship Id="rId924" Type="http://schemas.openxmlformats.org/officeDocument/2006/relationships/hyperlink" Target="https://thumb.tapecontent.net/thumb/0LKK8pVQ16T6VQ/vlQKXk6WOpSDmm.jpg" TargetMode="External"/><Relationship Id="rId1347" Type="http://schemas.openxmlformats.org/officeDocument/2006/relationships/hyperlink" Target="https://doodstream.com/d/5pyhvalp7kb2/" TargetMode="External"/><Relationship Id="rId1554" Type="http://schemas.openxmlformats.org/officeDocument/2006/relationships/hyperlink" Target="https://lulustream.com/e/ofej9owvx5j9" TargetMode="External"/><Relationship Id="rId1761" Type="http://schemas.openxmlformats.org/officeDocument/2006/relationships/hyperlink" Target="https://thumb.tapecontent.net/thumb/GbdOzoAPg2slXb/k29ymK4lPRi8J4.jpg" TargetMode="External"/><Relationship Id="rId2605" Type="http://schemas.openxmlformats.org/officeDocument/2006/relationships/hyperlink" Target="https://lulustream.com/e/8xkyd6urcvqa" TargetMode="External"/><Relationship Id="rId2812" Type="http://schemas.openxmlformats.org/officeDocument/2006/relationships/hyperlink" Target="https://lulustream.com/e/xxfwlkpy5lvl" TargetMode="External"/><Relationship Id="rId53" Type="http://schemas.openxmlformats.org/officeDocument/2006/relationships/hyperlink" Target="https://thumb.tapecontent.net/thumb/92x72B1oVpT6AY/meo1A4eaMduk48.jpg" TargetMode="External"/><Relationship Id="rId1207" Type="http://schemas.openxmlformats.org/officeDocument/2006/relationships/hyperlink" Target="https://doodstream.com/d/pu88amkb9myx/" TargetMode="External"/><Relationship Id="rId1414" Type="http://schemas.openxmlformats.org/officeDocument/2006/relationships/hyperlink" Target="https://lulustream.com/e/jqqxlsy13lgm" TargetMode="External"/><Relationship Id="rId1621" Type="http://schemas.openxmlformats.org/officeDocument/2006/relationships/hyperlink" Target="https://lulustream.com/d/e4wfj9oayedz" TargetMode="External"/><Relationship Id="rId4777" Type="http://schemas.openxmlformats.org/officeDocument/2006/relationships/hyperlink" Target="https://thumb.tapecontent.net/thumb/VmjOjWG1lXCyw6/OJVj7ovp6OUZBkA.jpg" TargetMode="External"/><Relationship Id="rId3379" Type="http://schemas.openxmlformats.org/officeDocument/2006/relationships/hyperlink" Target="https://doodstream.com/d/gli557aakkag/" TargetMode="External"/><Relationship Id="rId3586" Type="http://schemas.openxmlformats.org/officeDocument/2006/relationships/hyperlink" Target="https://doodstream.com/d/as5pte4we0i0/" TargetMode="External"/><Relationship Id="rId3793" Type="http://schemas.openxmlformats.org/officeDocument/2006/relationships/hyperlink" Target="https://thumb.tapecontent.net/thumb/PDPdBvJxQ4I0QkD/4DJW0ADgaqiVjw.jpg" TargetMode="External"/><Relationship Id="rId4637" Type="http://schemas.openxmlformats.org/officeDocument/2006/relationships/hyperlink" Target="https://lulustream.com/d/3z3mm60onm64" TargetMode="External"/><Relationship Id="rId2188" Type="http://schemas.openxmlformats.org/officeDocument/2006/relationships/hyperlink" Target="https://lulustream.com/d/eeeqfdymnnea" TargetMode="External"/><Relationship Id="rId2395" Type="http://schemas.openxmlformats.org/officeDocument/2006/relationships/hyperlink" Target="https://lulustream.com/d/0h6kea9ag1yd" TargetMode="External"/><Relationship Id="rId3239" Type="http://schemas.openxmlformats.org/officeDocument/2006/relationships/hyperlink" Target="https://doodstream.com/d/4ojaxoykxobr/" TargetMode="External"/><Relationship Id="rId3446" Type="http://schemas.openxmlformats.org/officeDocument/2006/relationships/hyperlink" Target="https://thumb.tapecontent.net/thumb/r0MG6bjKG3Ub0JK/gaRoRXe34Buv0e.jpg" TargetMode="External"/><Relationship Id="rId367" Type="http://schemas.openxmlformats.org/officeDocument/2006/relationships/hyperlink" Target="https://thumb.tapecontent.net/thumb/KzPapGkwwzt0099/ap43ALdl16FxDxm.jpg" TargetMode="External"/><Relationship Id="rId574" Type="http://schemas.openxmlformats.org/officeDocument/2006/relationships/hyperlink" Target="https://doodstream.com/d/46jz4szfzlsi/" TargetMode="External"/><Relationship Id="rId2048" Type="http://schemas.openxmlformats.org/officeDocument/2006/relationships/hyperlink" Target="https://lulustream.com/d/83m8de2jsa4k" TargetMode="External"/><Relationship Id="rId2255" Type="http://schemas.openxmlformats.org/officeDocument/2006/relationships/hyperlink" Target="https://doodstream.com/d/eqgdg6savno9/" TargetMode="External"/><Relationship Id="rId3653" Type="http://schemas.openxmlformats.org/officeDocument/2006/relationships/hyperlink" Target="https://thumb.tapecontent.net/thumb/zPQld8wxkdFYL4e/GQM00vlMjQC1zqb.jpg" TargetMode="External"/><Relationship Id="rId3860" Type="http://schemas.openxmlformats.org/officeDocument/2006/relationships/hyperlink" Target="https://thumb.tapecontent.net/thumb/7YVxZVv3wMTAlMW/vxZ4wp6lzoC4mmp.jpg" TargetMode="External"/><Relationship Id="rId4704" Type="http://schemas.openxmlformats.org/officeDocument/2006/relationships/hyperlink" Target="https://lulustream.com/d/szfbofb9p2tx" TargetMode="External"/><Relationship Id="rId227" Type="http://schemas.openxmlformats.org/officeDocument/2006/relationships/hyperlink" Target="https://thumb.tapecontent.net/thumb/Bqj1G6ReyxUVmL/aj9yxrK4dJixjDJ.jpg" TargetMode="External"/><Relationship Id="rId781" Type="http://schemas.openxmlformats.org/officeDocument/2006/relationships/hyperlink" Target="https://thumb.tapecontent.net/thumb/1xOZ3KJqX6UeZGy/WqB7XpbBZPTb914.jpg" TargetMode="External"/><Relationship Id="rId2462" Type="http://schemas.openxmlformats.org/officeDocument/2006/relationships/hyperlink" Target="https://doodstream.com/d/x0cfbqvyxh4u/" TargetMode="External"/><Relationship Id="rId3306" Type="http://schemas.openxmlformats.org/officeDocument/2006/relationships/hyperlink" Target="https://thumb.tapecontent.net/thumb/ygKk7DqpRkI1b66/1bOwkeg7k9SegxG.jpg" TargetMode="External"/><Relationship Id="rId3513" Type="http://schemas.openxmlformats.org/officeDocument/2006/relationships/hyperlink" Target="https://thumb.tapecontent.net/thumb/oL19Z4Z8RWUJ28Q/WeA6r3lvPlC0j9.jpg" TargetMode="External"/><Relationship Id="rId3720" Type="http://schemas.openxmlformats.org/officeDocument/2006/relationships/hyperlink" Target="https://lulustream.com/e/qymyniuneesr" TargetMode="External"/><Relationship Id="rId434" Type="http://schemas.openxmlformats.org/officeDocument/2006/relationships/hyperlink" Target="https://doodstream.com/d/jkup9ro3bct1/" TargetMode="External"/><Relationship Id="rId641" Type="http://schemas.openxmlformats.org/officeDocument/2006/relationships/hyperlink" Target="https://thumb.tapecontent.net/thumb/LMpGAPx2OZuRzOy/8qYodWBK1Rho7Y6.jpg" TargetMode="External"/><Relationship Id="rId1064" Type="http://schemas.openxmlformats.org/officeDocument/2006/relationships/hyperlink" Target="https://thumb.tapecontent.net/thumb/Z3y2p0JvoJIqz4G/y0rQKgV81pT1Ddz.jpg" TargetMode="External"/><Relationship Id="rId1271" Type="http://schemas.openxmlformats.org/officeDocument/2006/relationships/hyperlink" Target="https://thumb.tapecontent.net/thumb/Qb9O7oVoq6CRpo/XdLBrw91AmuDb1a.jpg" TargetMode="External"/><Relationship Id="rId2115" Type="http://schemas.openxmlformats.org/officeDocument/2006/relationships/hyperlink" Target="https://thumb.tapecontent.net/thumb/BkXe6v2BG1I97v/dRL9xq803kikvgM.jpg" TargetMode="External"/><Relationship Id="rId2322" Type="http://schemas.openxmlformats.org/officeDocument/2006/relationships/hyperlink" Target="https://doodstream.com/d/n792ri8g9v8u/" TargetMode="External"/><Relationship Id="rId501" Type="http://schemas.openxmlformats.org/officeDocument/2006/relationships/hyperlink" Target="https://luluvdoo.com/d/ydkeqawu5wze" TargetMode="External"/><Relationship Id="rId1131" Type="http://schemas.openxmlformats.org/officeDocument/2006/relationships/hyperlink" Target="https://doodstream.com/d/t2d4ecddttp7/" TargetMode="External"/><Relationship Id="rId4287" Type="http://schemas.openxmlformats.org/officeDocument/2006/relationships/hyperlink" Target="https://doodstream.com/d/9yjdadw5v99b/" TargetMode="External"/><Relationship Id="rId4494" Type="http://schemas.openxmlformats.org/officeDocument/2006/relationships/hyperlink" Target="https://doodstream.com/d/bbudh4ssbcfa/" TargetMode="External"/><Relationship Id="rId3096" Type="http://schemas.openxmlformats.org/officeDocument/2006/relationships/hyperlink" Target="https://thumb.tapecontent.net/thumb/m3gRYPGeqRU634/KGgJKld62RIovM.jpg" TargetMode="External"/><Relationship Id="rId4147" Type="http://schemas.openxmlformats.org/officeDocument/2006/relationships/hyperlink" Target="https://thumb.tapecontent.net/thumb/AppLmxwWoDIXLRD/OdAea4p6DyHZZwJ.jpg" TargetMode="External"/><Relationship Id="rId4354" Type="http://schemas.openxmlformats.org/officeDocument/2006/relationships/hyperlink" Target="https://thumb.tapecontent.net/thumb/eYda3WZeA3UmW2/yGZQygJeo8FmP8.jpg" TargetMode="External"/><Relationship Id="rId4561" Type="http://schemas.openxmlformats.org/officeDocument/2006/relationships/hyperlink" Target="https://thumb.tapecontent.net/thumb/y2MqwpXy1jC1zGp/M7GXWWgJrpcmJL0.jpg" TargetMode="External"/><Relationship Id="rId1948" Type="http://schemas.openxmlformats.org/officeDocument/2006/relationships/hyperlink" Target="https://thumb.tapecontent.net/thumb/M9387jpZP6i0aw/yPJOgwoO66t18Q6.jpg" TargetMode="External"/><Relationship Id="rId3163" Type="http://schemas.openxmlformats.org/officeDocument/2006/relationships/hyperlink" Target="https://lulustream.com/d/auhbfy73yb9p" TargetMode="External"/><Relationship Id="rId3370" Type="http://schemas.openxmlformats.org/officeDocument/2006/relationships/hyperlink" Target="https://lulustream.com/e/ucci8l4q1n2v" TargetMode="External"/><Relationship Id="rId4007" Type="http://schemas.openxmlformats.org/officeDocument/2006/relationships/hyperlink" Target="https://thumb.tapecontent.net/thumb/xgpwydmB0XUkGQD/ePz07bl4kXiJQ0.jpg" TargetMode="External"/><Relationship Id="rId4214" Type="http://schemas.openxmlformats.org/officeDocument/2006/relationships/hyperlink" Target="https://lulustream.com/e/70bdvdoht5pg" TargetMode="External"/><Relationship Id="rId4421" Type="http://schemas.openxmlformats.org/officeDocument/2006/relationships/hyperlink" Target="https://lulustream.com/e/rpxbegz71ilg" TargetMode="External"/><Relationship Id="rId291" Type="http://schemas.openxmlformats.org/officeDocument/2006/relationships/hyperlink" Target="https://thumb.tapecontent.net/thumb/a7aDqJ7rJKI2ez/pjdGp7lZX9Hro6l.jpg" TargetMode="External"/><Relationship Id="rId1808" Type="http://schemas.openxmlformats.org/officeDocument/2006/relationships/hyperlink" Target="https://lulustream.com/e/amgnrharavg3" TargetMode="External"/><Relationship Id="rId3023" Type="http://schemas.openxmlformats.org/officeDocument/2006/relationships/hyperlink" Target="https://luluvdoo.com/d/iey51kgptzqa" TargetMode="External"/><Relationship Id="rId151" Type="http://schemas.openxmlformats.org/officeDocument/2006/relationships/hyperlink" Target="https://doodstream.com/d/704t2eoglcr4/" TargetMode="External"/><Relationship Id="rId3230" Type="http://schemas.openxmlformats.org/officeDocument/2006/relationships/hyperlink" Target="https://thumb.tapecontent.net/thumb/QwbZo7WP0gt0l80/KJQq3KO4ReSoeJ.jpg" TargetMode="External"/><Relationship Id="rId2789" Type="http://schemas.openxmlformats.org/officeDocument/2006/relationships/hyperlink" Target="https://thumb.tapecontent.net/thumb/q31M7o3Aolizz60/m1dQ3q9GojIbKBJ.jpg" TargetMode="External"/><Relationship Id="rId2996" Type="http://schemas.openxmlformats.org/officeDocument/2006/relationships/hyperlink" Target="https://thumb.tapecontent.net/thumb/zrR17qYyYAip7A/XJgZ2eR37diD7Mp.jpg" TargetMode="External"/><Relationship Id="rId968" Type="http://schemas.openxmlformats.org/officeDocument/2006/relationships/hyperlink" Target="https://doodstream.com/d/n05xf46wxp3b/" TargetMode="External"/><Relationship Id="rId1598" Type="http://schemas.openxmlformats.org/officeDocument/2006/relationships/hyperlink" Target="https://lulustream.com/e/32fhlt6nuv7r" TargetMode="External"/><Relationship Id="rId2649" Type="http://schemas.openxmlformats.org/officeDocument/2006/relationships/hyperlink" Target="https://thumb.tapecontent.net/thumb/jkOpgQAOl0CJO3/4w83OweMkxTKMRm.jpg" TargetMode="External"/><Relationship Id="rId2856" Type="http://schemas.openxmlformats.org/officeDocument/2006/relationships/hyperlink" Target="https://lulustream.com/d/fxpbkaggqjxw" TargetMode="External"/><Relationship Id="rId3907" Type="http://schemas.openxmlformats.org/officeDocument/2006/relationships/hyperlink" Target="https://lulustream.com/d/t6jfku3p7hr0" TargetMode="External"/><Relationship Id="rId97" Type="http://schemas.openxmlformats.org/officeDocument/2006/relationships/hyperlink" Target="https://thumb.tapecontent.net/thumb/PLxK7p2l9JS0QvK/XoR2BOm6vZuDjqw.jpg" TargetMode="External"/><Relationship Id="rId828" Type="http://schemas.openxmlformats.org/officeDocument/2006/relationships/hyperlink" Target="https://thumb.tapecontent.net/thumb/8127kbAaQaCoB84/MaOPde3z19SmW32.jpg" TargetMode="External"/><Relationship Id="rId1458" Type="http://schemas.openxmlformats.org/officeDocument/2006/relationships/hyperlink" Target="https://lulustream.com/d/691j68b8osa4" TargetMode="External"/><Relationship Id="rId1665" Type="http://schemas.openxmlformats.org/officeDocument/2006/relationships/hyperlink" Target="https://luluvdoo.com/d/rhj7uq6844bf" TargetMode="External"/><Relationship Id="rId1872" Type="http://schemas.openxmlformats.org/officeDocument/2006/relationships/hyperlink" Target="https://thumb.tapecontent.net/thumb/mQ3Y6Gxjv1Sdv9/BYOrA7j0DRSyyzj.jpg" TargetMode="External"/><Relationship Id="rId2509" Type="http://schemas.openxmlformats.org/officeDocument/2006/relationships/hyperlink" Target="https://doodstream.com/d/72x8zdgie2oj/" TargetMode="External"/><Relationship Id="rId2716" Type="http://schemas.openxmlformats.org/officeDocument/2006/relationships/hyperlink" Target="https://doodstream.com/d/kl4zfgh5lnmc/" TargetMode="External"/><Relationship Id="rId4071" Type="http://schemas.openxmlformats.org/officeDocument/2006/relationships/hyperlink" Target="https://thumb.tapecontent.net/thumb/JKeLy949mWF66G/9oex2kmr9WTax4b.jpg" TargetMode="External"/><Relationship Id="rId1318" Type="http://schemas.openxmlformats.org/officeDocument/2006/relationships/hyperlink" Target="https://thumb.tapecontent.net/thumb/KAdBvY7GD1h0ReQ/96zReDYq9LfB0Z.jpg" TargetMode="External"/><Relationship Id="rId1525" Type="http://schemas.openxmlformats.org/officeDocument/2006/relationships/hyperlink" Target="https://lulustream.com/e/1jsv8tfs2b4t" TargetMode="External"/><Relationship Id="rId2923" Type="http://schemas.openxmlformats.org/officeDocument/2006/relationships/hyperlink" Target="https://lulustream.com/e/nasaq9nvwiu7" TargetMode="External"/><Relationship Id="rId1732" Type="http://schemas.openxmlformats.org/officeDocument/2006/relationships/hyperlink" Target="https://thumb.tapecontent.net/thumb/4vZVRQboy6IKDxQ/8KgPwGoQypfoolZ.jpg" TargetMode="External"/><Relationship Id="rId24" Type="http://schemas.openxmlformats.org/officeDocument/2006/relationships/hyperlink" Target="https://lulustream.com/e/fsgom1xzeb29" TargetMode="External"/><Relationship Id="rId2299" Type="http://schemas.openxmlformats.org/officeDocument/2006/relationships/hyperlink" Target="https://doodstream.com/d/4l2rrmd2znk4/" TargetMode="External"/><Relationship Id="rId3697" Type="http://schemas.openxmlformats.org/officeDocument/2006/relationships/hyperlink" Target="https://thumb.tapecontent.net/thumb/pMJOo6qlqPSrya9/1q8j3BvBWotx1G.jpg" TargetMode="External"/><Relationship Id="rId4748" Type="http://schemas.openxmlformats.org/officeDocument/2006/relationships/hyperlink" Target="https://thumb.tapecontent.net/thumb/a2j9pgL9AkCx1g7/4AL8OyJ6kocKYMz.jpg" TargetMode="External"/><Relationship Id="rId3557" Type="http://schemas.openxmlformats.org/officeDocument/2006/relationships/hyperlink" Target="https://doodstream.com/d/rw6m3oz7hbbw/" TargetMode="External"/><Relationship Id="rId3764" Type="http://schemas.openxmlformats.org/officeDocument/2006/relationships/hyperlink" Target="https://doodstream.com/d/cdhpx1fkths4/" TargetMode="External"/><Relationship Id="rId3971" Type="http://schemas.openxmlformats.org/officeDocument/2006/relationships/hyperlink" Target="https://thumb.tapecontent.net/thumb/KqBqDqDdeLH0yLx/GwxyJ0yYkaC1g1Z.jpg" TargetMode="External"/><Relationship Id="rId4608" Type="http://schemas.openxmlformats.org/officeDocument/2006/relationships/hyperlink" Target="https://doodstream.com/d/q6aojmowapev/" TargetMode="External"/><Relationship Id="rId478" Type="http://schemas.openxmlformats.org/officeDocument/2006/relationships/hyperlink" Target="https://luluvdoo.com/d/zilhhrybkpvc" TargetMode="External"/><Relationship Id="rId685" Type="http://schemas.openxmlformats.org/officeDocument/2006/relationships/hyperlink" Target="https://thumb.tapecontent.net/thumb/zQgmzwOK9KIv6p/wxrZwd1pqJiJXGB.jpg" TargetMode="External"/><Relationship Id="rId892" Type="http://schemas.openxmlformats.org/officeDocument/2006/relationships/hyperlink" Target="https://doodstream.com/d/qy92a1w3xz0u/" TargetMode="External"/><Relationship Id="rId2159" Type="http://schemas.openxmlformats.org/officeDocument/2006/relationships/hyperlink" Target="https://doodstream.com/d/hvreyfahc9w5/" TargetMode="External"/><Relationship Id="rId2366" Type="http://schemas.openxmlformats.org/officeDocument/2006/relationships/hyperlink" Target="https://lulustream.com/d/twmygrnvi4zb" TargetMode="External"/><Relationship Id="rId2573" Type="http://schemas.openxmlformats.org/officeDocument/2006/relationships/hyperlink" Target="https://doodstream.com/d/01qf3ik9js82/" TargetMode="External"/><Relationship Id="rId2780" Type="http://schemas.openxmlformats.org/officeDocument/2006/relationships/hyperlink" Target="https://thumb.tapecontent.net/thumb/wxVbew74vetJrL1/2zJ48rM3ZXcZMlz.jpg" TargetMode="External"/><Relationship Id="rId3417" Type="http://schemas.openxmlformats.org/officeDocument/2006/relationships/hyperlink" Target="https://lulustream.com/d/6itzasfcvck3" TargetMode="External"/><Relationship Id="rId3624" Type="http://schemas.openxmlformats.org/officeDocument/2006/relationships/hyperlink" Target="https://lulustream.com/e/c76rgpi3fev7" TargetMode="External"/><Relationship Id="rId3831" Type="http://schemas.openxmlformats.org/officeDocument/2006/relationships/hyperlink" Target="https://thumb.tapecontent.net/thumb/erWWGqlwvOIYYx2/3ByY0vdB2MTdBLJ.jpg" TargetMode="External"/><Relationship Id="rId338" Type="http://schemas.openxmlformats.org/officeDocument/2006/relationships/hyperlink" Target="https://luluvdoo.com/d/aipb9v02sjaq" TargetMode="External"/><Relationship Id="rId545" Type="http://schemas.openxmlformats.org/officeDocument/2006/relationships/hyperlink" Target="https://doodstream.com/d/k39rd1z7rq64/" TargetMode="External"/><Relationship Id="rId752" Type="http://schemas.openxmlformats.org/officeDocument/2006/relationships/hyperlink" Target="https://lulustream.com/d/nch2iiko4ht6" TargetMode="External"/><Relationship Id="rId1175" Type="http://schemas.openxmlformats.org/officeDocument/2006/relationships/hyperlink" Target="https://thumb.tapecontent.net/thumb/kPrkarROomUOgA1/LLLgjZ1vqvu6rO.jpg" TargetMode="External"/><Relationship Id="rId1382" Type="http://schemas.openxmlformats.org/officeDocument/2006/relationships/hyperlink" Target="https://doodstream.com/d/zt62bnx2nmi8/" TargetMode="External"/><Relationship Id="rId2019" Type="http://schemas.openxmlformats.org/officeDocument/2006/relationships/hyperlink" Target="https://lulustream.com/e/6q7u0hpqzcxq" TargetMode="External"/><Relationship Id="rId2226" Type="http://schemas.openxmlformats.org/officeDocument/2006/relationships/hyperlink" Target="https://lulustream.com/d/ehfiysg0uk7j" TargetMode="External"/><Relationship Id="rId2433" Type="http://schemas.openxmlformats.org/officeDocument/2006/relationships/hyperlink" Target="https://thumb.tapecontent.net/thumb/lg8XQpYv1gU7klx/OPO7ABjARetZlar.jpg" TargetMode="External"/><Relationship Id="rId2640" Type="http://schemas.openxmlformats.org/officeDocument/2006/relationships/hyperlink" Target="https://lulustream.com/d/d6g5oqy9gd7l" TargetMode="External"/><Relationship Id="rId405" Type="http://schemas.openxmlformats.org/officeDocument/2006/relationships/hyperlink" Target="https://doodstream.com/d/pyq5njdz12de/" TargetMode="External"/><Relationship Id="rId612" Type="http://schemas.openxmlformats.org/officeDocument/2006/relationships/hyperlink" Target="https://thumb.tapecontent.net/thumb/9o0pZAZaPrIoAa/OgwpXvp19RCkby.jpg" TargetMode="External"/><Relationship Id="rId1035" Type="http://schemas.openxmlformats.org/officeDocument/2006/relationships/hyperlink" Target="https://doodstream.com/d/ah0g85d6mxrp/" TargetMode="External"/><Relationship Id="rId1242" Type="http://schemas.openxmlformats.org/officeDocument/2006/relationships/hyperlink" Target="https://doodstream.com/d/xxyhmq6a86c3/" TargetMode="External"/><Relationship Id="rId2500" Type="http://schemas.openxmlformats.org/officeDocument/2006/relationships/hyperlink" Target="https://doodstream.com/d/2szg4ypw5jak/" TargetMode="External"/><Relationship Id="rId4398" Type="http://schemas.openxmlformats.org/officeDocument/2006/relationships/hyperlink" Target="https://lulustream.com/e/4xa3y2htqi70" TargetMode="External"/><Relationship Id="rId1102" Type="http://schemas.openxmlformats.org/officeDocument/2006/relationships/hyperlink" Target="https://doodstream.com/d/b508bb9n1yji/" TargetMode="External"/><Relationship Id="rId4258" Type="http://schemas.openxmlformats.org/officeDocument/2006/relationships/hyperlink" Target="https://doodstream.com/d/8zzkazodoahl/" TargetMode="External"/><Relationship Id="rId4465" Type="http://schemas.openxmlformats.org/officeDocument/2006/relationships/hyperlink" Target="https://luluvdoo.com/d/d7a8h9d8rcaf" TargetMode="External"/><Relationship Id="rId3067" Type="http://schemas.openxmlformats.org/officeDocument/2006/relationships/hyperlink" Target="https://lulustream.com/e/0jmrvjewvf3p" TargetMode="External"/><Relationship Id="rId3274" Type="http://schemas.openxmlformats.org/officeDocument/2006/relationships/hyperlink" Target="https://thumb.tapecontent.net/thumb/bkDJJWerPZfPpx0/VWRwYJKyXQtY2e.jpg" TargetMode="External"/><Relationship Id="rId4118" Type="http://schemas.openxmlformats.org/officeDocument/2006/relationships/hyperlink" Target="https://lulustream.com/d/6x71rwv8jw9t" TargetMode="External"/><Relationship Id="rId4672" Type="http://schemas.openxmlformats.org/officeDocument/2006/relationships/hyperlink" Target="https://lulustream.com/e/2prwpdfo6h57" TargetMode="External"/><Relationship Id="rId195" Type="http://schemas.openxmlformats.org/officeDocument/2006/relationships/hyperlink" Target="https://lulustream.com/e/d0j1wlgwhotj" TargetMode="External"/><Relationship Id="rId1919" Type="http://schemas.openxmlformats.org/officeDocument/2006/relationships/hyperlink" Target="https://thumb.tapecontent.net/thumb/KL71ZqADlBs0XWb/OPjBQyB2LKsZyyk.jpg" TargetMode="External"/><Relationship Id="rId3481" Type="http://schemas.openxmlformats.org/officeDocument/2006/relationships/hyperlink" Target="https://lulustream.com/d/6xueo4uwny02" TargetMode="External"/><Relationship Id="rId4325" Type="http://schemas.openxmlformats.org/officeDocument/2006/relationships/hyperlink" Target="https://lulustream.com/d/c3pupgxh8lbm" TargetMode="External"/><Relationship Id="rId4532" Type="http://schemas.openxmlformats.org/officeDocument/2006/relationships/hyperlink" Target="https://thumb.tapecontent.net/thumb/lOY3mWXb9pT73Rq/kgejqXK8wGCOA1y.jpg" TargetMode="External"/><Relationship Id="rId2083" Type="http://schemas.openxmlformats.org/officeDocument/2006/relationships/hyperlink" Target="https://doodstream.com/d/klulovnudtln/" TargetMode="External"/><Relationship Id="rId2290" Type="http://schemas.openxmlformats.org/officeDocument/2006/relationships/hyperlink" Target="https://doodstream.com/d/nuzb3o7jfqab/" TargetMode="External"/><Relationship Id="rId3134" Type="http://schemas.openxmlformats.org/officeDocument/2006/relationships/hyperlink" Target="https://doodstream.com/d/gmmh8h6416d4/" TargetMode="External"/><Relationship Id="rId3341" Type="http://schemas.openxmlformats.org/officeDocument/2006/relationships/hyperlink" Target="https://lulustream.com/d/kjvynw8ic8wj" TargetMode="External"/><Relationship Id="rId262" Type="http://schemas.openxmlformats.org/officeDocument/2006/relationships/hyperlink" Target="https://thumb.tapecontent.net/thumb/BL79djK6Zeh6ja/4BRL2Y2RMXSKj0p.jpg" TargetMode="External"/><Relationship Id="rId2150" Type="http://schemas.openxmlformats.org/officeDocument/2006/relationships/hyperlink" Target="https://lulustream.com/d/7g7mysyw11dn" TargetMode="External"/><Relationship Id="rId3201" Type="http://schemas.openxmlformats.org/officeDocument/2006/relationships/hyperlink" Target="https://doodstream.com/d/ejsqhruqinta/" TargetMode="External"/><Relationship Id="rId122" Type="http://schemas.openxmlformats.org/officeDocument/2006/relationships/hyperlink" Target="https://lulustream.com/e/fcrm9u5aul6f" TargetMode="External"/><Relationship Id="rId2010" Type="http://schemas.openxmlformats.org/officeDocument/2006/relationships/hyperlink" Target="https://lulustream.com/e/95dwae81tt0b" TargetMode="External"/><Relationship Id="rId1569" Type="http://schemas.openxmlformats.org/officeDocument/2006/relationships/hyperlink" Target="https://thumb.tapecontent.net/thumb/Xg3o6oWVmJfDQXB/qOm3q8Lzoahz0O2.jpg" TargetMode="External"/><Relationship Id="rId2967" Type="http://schemas.openxmlformats.org/officeDocument/2006/relationships/hyperlink" Target="https://doodstream.com/d/jmval7j34m7y/" TargetMode="External"/><Relationship Id="rId4182" Type="http://schemas.openxmlformats.org/officeDocument/2006/relationships/hyperlink" Target="https://thumb.tapecontent.net/thumb/PLkjDD3bMDH0aB0/Prw1L8bzxzF04Xk.jpg" TargetMode="External"/><Relationship Id="rId939" Type="http://schemas.openxmlformats.org/officeDocument/2006/relationships/hyperlink" Target="https://thumb.tapecontent.net/thumb/2PKDAKL91ruVPv/qMWR8aPqlkSzVLg.jpg" TargetMode="External"/><Relationship Id="rId1776" Type="http://schemas.openxmlformats.org/officeDocument/2006/relationships/hyperlink" Target="https://thumb.tapecontent.net/thumb/DMoq7VzQWAHDJP/dRQazPOkdxhkml8.jpg" TargetMode="External"/><Relationship Id="rId1983" Type="http://schemas.openxmlformats.org/officeDocument/2006/relationships/hyperlink" Target="https://thumb.tapecontent.net/thumb/PrpXZaVVjDH0KYP/J3j0jgakLeUg3m.jpg" TargetMode="External"/><Relationship Id="rId2827" Type="http://schemas.openxmlformats.org/officeDocument/2006/relationships/hyperlink" Target="https://thumb.tapecontent.net/thumb/QbAXYDqlVls9pB/MZjG43wb01h6ZX.jpg" TargetMode="External"/><Relationship Id="rId4042" Type="http://schemas.openxmlformats.org/officeDocument/2006/relationships/hyperlink" Target="https://lulustream.com/d/7ofzqasne0rp" TargetMode="External"/><Relationship Id="rId68" Type="http://schemas.openxmlformats.org/officeDocument/2006/relationships/hyperlink" Target="https://doodstream.com/d/xxlwjgm20d7x/" TargetMode="External"/><Relationship Id="rId1429" Type="http://schemas.openxmlformats.org/officeDocument/2006/relationships/hyperlink" Target="https://lulustream.com/d/8b1mn9h18n76" TargetMode="External"/><Relationship Id="rId1636" Type="http://schemas.openxmlformats.org/officeDocument/2006/relationships/hyperlink" Target="https://lulustream.com/e/349p4kxoqbo0" TargetMode="External"/><Relationship Id="rId1843" Type="http://schemas.openxmlformats.org/officeDocument/2006/relationships/hyperlink" Target="https://doodstream.com/d/2j91ytn9v1k0/" TargetMode="External"/><Relationship Id="rId1703" Type="http://schemas.openxmlformats.org/officeDocument/2006/relationships/hyperlink" Target="https://thumb.tapecontent.net/thumb/wZWD29bOWqToAw/qKJq0yR4rlcz87v.jpg" TargetMode="External"/><Relationship Id="rId1910" Type="http://schemas.openxmlformats.org/officeDocument/2006/relationships/hyperlink" Target="https://thumb.tapecontent.net/thumb/3ka9BwGa47Cdyqe/xMM649AM2yi0ve.jpg" TargetMode="External"/><Relationship Id="rId3668" Type="http://schemas.openxmlformats.org/officeDocument/2006/relationships/hyperlink" Target="https://lulustream.com/d/1xi4inv3nczb" TargetMode="External"/><Relationship Id="rId3875" Type="http://schemas.openxmlformats.org/officeDocument/2006/relationships/hyperlink" Target="https://thumb.tapecontent.net/thumb/08eAyYDXoosbbVz/oD116x4XyqiJyrQ.jpg" TargetMode="External"/><Relationship Id="rId4719" Type="http://schemas.openxmlformats.org/officeDocument/2006/relationships/hyperlink" Target="https://thumb.tapecontent.net/thumb/A6q4BJbxZQuZZo/m3J8BDxXDYibADO.jpg" TargetMode="External"/><Relationship Id="rId589" Type="http://schemas.openxmlformats.org/officeDocument/2006/relationships/hyperlink" Target="https://lulustream.com/d/evi92gxydj5n" TargetMode="External"/><Relationship Id="rId796" Type="http://schemas.openxmlformats.org/officeDocument/2006/relationships/hyperlink" Target="https://thumb.tapecontent.net/thumb/vpJaXxXRVQCPQX/1Lem4KwB7lte3A1.jpg" TargetMode="External"/><Relationship Id="rId2477" Type="http://schemas.openxmlformats.org/officeDocument/2006/relationships/hyperlink" Target="https://lulustream.com/e/cpqan4ary7c6" TargetMode="External"/><Relationship Id="rId2684" Type="http://schemas.openxmlformats.org/officeDocument/2006/relationships/hyperlink" Target="https://lulustream.com/d/wjfar0371rx3" TargetMode="External"/><Relationship Id="rId3528" Type="http://schemas.openxmlformats.org/officeDocument/2006/relationships/hyperlink" Target="https://doodstream.com/d/jlqi4k6v1g1f/" TargetMode="External"/><Relationship Id="rId3735" Type="http://schemas.openxmlformats.org/officeDocument/2006/relationships/hyperlink" Target="https://thumb.tapecontent.net/thumb/zr9o0wprZoHYZKy/B4bGWxrBOkcmV8.jpg" TargetMode="External"/><Relationship Id="rId449" Type="http://schemas.openxmlformats.org/officeDocument/2006/relationships/hyperlink" Target="https://luluvdoo.com/d/pui2tgrkmt9u" TargetMode="External"/><Relationship Id="rId656" Type="http://schemas.openxmlformats.org/officeDocument/2006/relationships/hyperlink" Target="https://lulustream.com/d/a9m8xsfu49rv" TargetMode="External"/><Relationship Id="rId863" Type="http://schemas.openxmlformats.org/officeDocument/2006/relationships/hyperlink" Target="https://lulustream.com/e/zscx3v4jwwzl" TargetMode="External"/><Relationship Id="rId1079" Type="http://schemas.openxmlformats.org/officeDocument/2006/relationships/hyperlink" Target="https://thumb.tapecontent.net/thumb/d8DQWG0mA0U1zz/qKM8140mVeSzBRx.jpg" TargetMode="External"/><Relationship Id="rId1286" Type="http://schemas.openxmlformats.org/officeDocument/2006/relationships/hyperlink" Target="https://thumb.tapecontent.net/thumb/6kaDWkx8WVI9zgv/pVoGPOpaXPFV9A.jpg" TargetMode="External"/><Relationship Id="rId1493" Type="http://schemas.openxmlformats.org/officeDocument/2006/relationships/hyperlink" Target="https://thumb.tapecontent.net/thumb/WD3yjO2Zr7Sbvdj/3appzp3GpaSX1x.jpg" TargetMode="External"/><Relationship Id="rId2337" Type="http://schemas.openxmlformats.org/officeDocument/2006/relationships/hyperlink" Target="https://lulustream.com/e/4ca486qglbh8" TargetMode="External"/><Relationship Id="rId2544" Type="http://schemas.openxmlformats.org/officeDocument/2006/relationships/hyperlink" Target="https://doodstream.com/d/zzvruh3fq9yu/" TargetMode="External"/><Relationship Id="rId2891" Type="http://schemas.openxmlformats.org/officeDocument/2006/relationships/hyperlink" Target="https://lulustream.com/d/vvhc51aphy1j" TargetMode="External"/><Relationship Id="rId3942" Type="http://schemas.openxmlformats.org/officeDocument/2006/relationships/hyperlink" Target="https://thumb.tapecontent.net/thumb/Wr11e6WkgbfW7p/PrkwQoZ32ys0dRy.jpg" TargetMode="External"/><Relationship Id="rId309" Type="http://schemas.openxmlformats.org/officeDocument/2006/relationships/hyperlink" Target="https://luluvdoo.com/d/uxflgas98970" TargetMode="External"/><Relationship Id="rId516" Type="http://schemas.openxmlformats.org/officeDocument/2006/relationships/hyperlink" Target="https://thumb.tapecontent.net/thumb/LkkB3aPQXGcWBb/abZQvzMleYIxyqV.jpg" TargetMode="External"/><Relationship Id="rId1146" Type="http://schemas.openxmlformats.org/officeDocument/2006/relationships/hyperlink" Target="https://thumb.tapecontent.net/thumb/Wpv8Bd06ldtb3oL/DeVMBpDYb3FkpYB.jpg" TargetMode="External"/><Relationship Id="rId2751" Type="http://schemas.openxmlformats.org/officeDocument/2006/relationships/hyperlink" Target="https://doodstream.com/d/1yrqvk7dyu5k/" TargetMode="External"/><Relationship Id="rId3802" Type="http://schemas.openxmlformats.org/officeDocument/2006/relationships/hyperlink" Target="https://doodstream.com/d/4tsn47xq0bk7/" TargetMode="External"/><Relationship Id="rId723" Type="http://schemas.openxmlformats.org/officeDocument/2006/relationships/hyperlink" Target="https://thumb.tapecontent.net/thumb/w4jVLMA4e3uJbRx/vY91d1pgzLC4pKp.jpg" TargetMode="External"/><Relationship Id="rId930" Type="http://schemas.openxmlformats.org/officeDocument/2006/relationships/hyperlink" Target="https://thumb.tapecontent.net/thumb/qD0MZb1XqyiZrM/G3dg6aADX3I1xJL.jpg" TargetMode="External"/><Relationship Id="rId1006" Type="http://schemas.openxmlformats.org/officeDocument/2006/relationships/hyperlink" Target="https://luluvdoo.com/d/f9n15bbew3qd" TargetMode="External"/><Relationship Id="rId1353" Type="http://schemas.openxmlformats.org/officeDocument/2006/relationships/hyperlink" Target="https://doodstream.com/d/uys9zf9k9k7g/" TargetMode="External"/><Relationship Id="rId1560" Type="http://schemas.openxmlformats.org/officeDocument/2006/relationships/hyperlink" Target="https://thumb.tapecontent.net/thumb/mrryqbxA7rhbbaM/K9gRjMk3mGI0Qv6.jpg" TargetMode="External"/><Relationship Id="rId2404" Type="http://schemas.openxmlformats.org/officeDocument/2006/relationships/hyperlink" Target="https://lulustream.com/d/zjicly017rti" TargetMode="External"/><Relationship Id="rId2611" Type="http://schemas.openxmlformats.org/officeDocument/2006/relationships/hyperlink" Target="https://lulustream.com/e/qh3aamjw6yxb" TargetMode="External"/><Relationship Id="rId1213" Type="http://schemas.openxmlformats.org/officeDocument/2006/relationships/hyperlink" Target="https://lulustream.com/e/4r07zexgcq2w" TargetMode="External"/><Relationship Id="rId1420" Type="http://schemas.openxmlformats.org/officeDocument/2006/relationships/hyperlink" Target="https://doodstream.com/d/vfuz8xzmshr8/" TargetMode="External"/><Relationship Id="rId4369" Type="http://schemas.openxmlformats.org/officeDocument/2006/relationships/hyperlink" Target="https://doodstream.com/d/x0hvh9tohfh8/" TargetMode="External"/><Relationship Id="rId4576" Type="http://schemas.openxmlformats.org/officeDocument/2006/relationships/hyperlink" Target="https://thumb.tapecontent.net/thumb/d7p3Aay1zpik4jO/BeOJXaXdbrIyy7A.jpg" TargetMode="External"/><Relationship Id="rId3178" Type="http://schemas.openxmlformats.org/officeDocument/2006/relationships/hyperlink" Target="https://lulustream.com/e/2fozhgkn3c6f" TargetMode="External"/><Relationship Id="rId3385" Type="http://schemas.openxmlformats.org/officeDocument/2006/relationships/hyperlink" Target="https://doodstream.com/d/v8iwihxwdbrf/" TargetMode="External"/><Relationship Id="rId3592" Type="http://schemas.openxmlformats.org/officeDocument/2006/relationships/hyperlink" Target="https://doodstream.com/d/m4ahpimeq6a0/" TargetMode="External"/><Relationship Id="rId4229" Type="http://schemas.openxmlformats.org/officeDocument/2006/relationships/hyperlink" Target="https://doodstream.com/d/3skqimkf72uy/" TargetMode="External"/><Relationship Id="rId4436" Type="http://schemas.openxmlformats.org/officeDocument/2006/relationships/hyperlink" Target="https://thumb.tapecontent.net/thumb/QgYDPLoRRlf0OZ2/rkPbVwmbKBcbW9j.jpg" TargetMode="External"/><Relationship Id="rId4643" Type="http://schemas.openxmlformats.org/officeDocument/2006/relationships/hyperlink" Target="https://thumb.tapecontent.net/thumb/qKOe03D3vlfz0Jj/KXDBA8031mFJdx.jpg" TargetMode="External"/><Relationship Id="rId2194" Type="http://schemas.openxmlformats.org/officeDocument/2006/relationships/hyperlink" Target="https://lulustream.com/e/0ef9j5998k6w" TargetMode="External"/><Relationship Id="rId3038" Type="http://schemas.openxmlformats.org/officeDocument/2006/relationships/hyperlink" Target="https://thumb.tapecontent.net/thumb/PqvXDBlGPpt039d/llrzLZaZVdU7gDl.jpg" TargetMode="External"/><Relationship Id="rId3245" Type="http://schemas.openxmlformats.org/officeDocument/2006/relationships/hyperlink" Target="https://lulustream.com/e/galueit23gsu" TargetMode="External"/><Relationship Id="rId3452" Type="http://schemas.openxmlformats.org/officeDocument/2006/relationships/hyperlink" Target="https://thumb.tapecontent.net/thumb/RwzVPeJQo4hdPRg/g9y0D7dwkAFBYZ.jpg" TargetMode="External"/><Relationship Id="rId4503" Type="http://schemas.openxmlformats.org/officeDocument/2006/relationships/hyperlink" Target="https://doodstream.com/d/i2bk3let2vu7/" TargetMode="External"/><Relationship Id="rId4710" Type="http://schemas.openxmlformats.org/officeDocument/2006/relationships/hyperlink" Target="https://lulustream.com/d/2jmyok09qkcx" TargetMode="External"/><Relationship Id="rId166" Type="http://schemas.openxmlformats.org/officeDocument/2006/relationships/hyperlink" Target="https://doodstream.com/d/jvcsab28cbag/" TargetMode="External"/><Relationship Id="rId373" Type="http://schemas.openxmlformats.org/officeDocument/2006/relationships/hyperlink" Target="https://streamtape.com/v/xyeXrd6lzMcqL6/Angela_White_-_16510520_-_ripnsfw.com" TargetMode="External"/><Relationship Id="rId580" Type="http://schemas.openxmlformats.org/officeDocument/2006/relationships/hyperlink" Target="https://lulustream.com/d/trnv2c0t9seh" TargetMode="External"/><Relationship Id="rId2054" Type="http://schemas.openxmlformats.org/officeDocument/2006/relationships/hyperlink" Target="https://lulustream.com/e/x0i7044rmb26" TargetMode="External"/><Relationship Id="rId2261" Type="http://schemas.openxmlformats.org/officeDocument/2006/relationships/hyperlink" Target="https://doodstream.com/d/mqv380qaepvh/" TargetMode="External"/><Relationship Id="rId3105" Type="http://schemas.openxmlformats.org/officeDocument/2006/relationships/hyperlink" Target="https://doodstream.com/d/sw3hg6fev1ei/" TargetMode="External"/><Relationship Id="rId3312" Type="http://schemas.openxmlformats.org/officeDocument/2006/relationships/hyperlink" Target="https://thumb.tapecontent.net/thumb/vPWLz21AjdF4X0m/2qQqmQgm1rtxm3.jpg" TargetMode="External"/><Relationship Id="rId233" Type="http://schemas.openxmlformats.org/officeDocument/2006/relationships/hyperlink" Target="https://luluvdoo.com/d/ie592u4il31i" TargetMode="External"/><Relationship Id="rId440" Type="http://schemas.openxmlformats.org/officeDocument/2006/relationships/hyperlink" Target="https://thumb.tapecontent.net/thumb/eg82MGLVOjTYvYw/YLyvGX47LJFdyo.jpg" TargetMode="External"/><Relationship Id="rId1070" Type="http://schemas.openxmlformats.org/officeDocument/2006/relationships/hyperlink" Target="https://thumb.tapecontent.net/thumb/3waYYyqqK8f6gB/R99rv38PQOTd87Q.jpg" TargetMode="External"/><Relationship Id="rId2121" Type="http://schemas.openxmlformats.org/officeDocument/2006/relationships/hyperlink" Target="https://doodstream.com/d/j06qqm21ncjx/" TargetMode="External"/><Relationship Id="rId300" Type="http://schemas.openxmlformats.org/officeDocument/2006/relationships/hyperlink" Target="https://luluvdoo.com/d/u50pq22cc3p4" TargetMode="External"/><Relationship Id="rId4086" Type="http://schemas.openxmlformats.org/officeDocument/2006/relationships/hyperlink" Target="https://thumb.tapecontent.net/thumb/GP03zo7qWaH1GZV/dA8mJD2MArukmwD.jpg" TargetMode="External"/><Relationship Id="rId1887" Type="http://schemas.openxmlformats.org/officeDocument/2006/relationships/hyperlink" Target="https://thumb.tapecontent.net/thumb/k3zbJ63m4lIO7px/Rkv666yXJBidVBL.jpg" TargetMode="External"/><Relationship Id="rId2938" Type="http://schemas.openxmlformats.org/officeDocument/2006/relationships/hyperlink" Target="https://lulustream.com/d/o75kl08myy2d" TargetMode="External"/><Relationship Id="rId4293" Type="http://schemas.openxmlformats.org/officeDocument/2006/relationships/hyperlink" Target="https://doodstream.com/d/0l1k5givv8db/" TargetMode="External"/><Relationship Id="rId1747" Type="http://schemas.openxmlformats.org/officeDocument/2006/relationships/hyperlink" Target="https://luluvdoo.com/d/m8txeegx23tp" TargetMode="External"/><Relationship Id="rId1954" Type="http://schemas.openxmlformats.org/officeDocument/2006/relationships/hyperlink" Target="https://thumb.tapecontent.net/thumb/ao1p8ZA6a1sx7wV/41Zejk6MbYIKePQ.jpg" TargetMode="External"/><Relationship Id="rId4153" Type="http://schemas.openxmlformats.org/officeDocument/2006/relationships/hyperlink" Target="https://thumb.tapecontent.net/thumb/9XZrXXx0LOtyRJ/01Dgw4D9yeibbev.jpg" TargetMode="External"/><Relationship Id="rId4360" Type="http://schemas.openxmlformats.org/officeDocument/2006/relationships/hyperlink" Target="https://thumb.tapecontent.net/thumb/BeKegeRAZmFK4q/PrO73e71Wau02eX.jpg" TargetMode="External"/><Relationship Id="rId39" Type="http://schemas.openxmlformats.org/officeDocument/2006/relationships/hyperlink" Target="https://doodstream.com/d/vaflm6b6anmg/" TargetMode="External"/><Relationship Id="rId1607" Type="http://schemas.openxmlformats.org/officeDocument/2006/relationships/hyperlink" Target="https://lulustream.com/e/allaa5ytfnur" TargetMode="External"/><Relationship Id="rId1814" Type="http://schemas.openxmlformats.org/officeDocument/2006/relationships/hyperlink" Target="https://lulustream.com/e/4j2lk5jjmhhr" TargetMode="External"/><Relationship Id="rId4013" Type="http://schemas.openxmlformats.org/officeDocument/2006/relationships/hyperlink" Target="https://thumb.tapecontent.net/thumb/vwLlQZMdX8u4xvd/BLY6yzXRoVTGDZ.jpg" TargetMode="External"/><Relationship Id="rId4220" Type="http://schemas.openxmlformats.org/officeDocument/2006/relationships/hyperlink" Target="https://lulustream.com/e/wv28ai2dzitc" TargetMode="External"/><Relationship Id="rId3779" Type="http://schemas.openxmlformats.org/officeDocument/2006/relationships/hyperlink" Target="https://luluvdoo.com/d/aridgvjvo39y" TargetMode="External"/><Relationship Id="rId2588" Type="http://schemas.openxmlformats.org/officeDocument/2006/relationships/hyperlink" Target="https://thumb.tapecontent.net/thumb/KZQXRwzLLYU0O6k/d32Mlm4YJ2Uk68L.jpg" TargetMode="External"/><Relationship Id="rId3986" Type="http://schemas.openxmlformats.org/officeDocument/2006/relationships/hyperlink" Target="https://thumb.tapecontent.net/thumb/3P7GkV4j1WCdWym/Mo7vzRv3dmcm2Rw.jpg" TargetMode="External"/><Relationship Id="rId1397" Type="http://schemas.openxmlformats.org/officeDocument/2006/relationships/hyperlink" Target="https://doodstream.com/d/2iftivze2yxg/" TargetMode="External"/><Relationship Id="rId2795" Type="http://schemas.openxmlformats.org/officeDocument/2006/relationships/hyperlink" Target="https://lulustream.com/d/qysnzb75ym9m" TargetMode="External"/><Relationship Id="rId3639" Type="http://schemas.openxmlformats.org/officeDocument/2006/relationships/hyperlink" Target="https://thumb.tapecontent.net/thumb/RmyjpeybmVhd8mG/r24Q26xgWRtGXV.jpg" TargetMode="External"/><Relationship Id="rId3846" Type="http://schemas.openxmlformats.org/officeDocument/2006/relationships/hyperlink" Target="https://thumb.tapecontent.net/thumb/qKaeLG4kgPsyd9/9WOyq11vzdfaXlG.jpg" TargetMode="External"/><Relationship Id="rId767" Type="http://schemas.openxmlformats.org/officeDocument/2006/relationships/hyperlink" Target="https://thumb.tapecontent.net/thumb/vBpZ7Lgm1Qt4r8Y/z6Qw2bD6vLTGKK.jpg" TargetMode="External"/><Relationship Id="rId974" Type="http://schemas.openxmlformats.org/officeDocument/2006/relationships/hyperlink" Target="https://doodstream.com/d/6nwauq7tvbmu/" TargetMode="External"/><Relationship Id="rId2448" Type="http://schemas.openxmlformats.org/officeDocument/2006/relationships/hyperlink" Target="https://doodstream.com/d/tmxlhqp362zb/" TargetMode="External"/><Relationship Id="rId2655" Type="http://schemas.openxmlformats.org/officeDocument/2006/relationships/hyperlink" Target="https://thumb.tapecontent.net/thumb/VBd1Vwo2LaHK7jB/MJ1699GGQOfmZ4y.jpg" TargetMode="External"/><Relationship Id="rId2862" Type="http://schemas.openxmlformats.org/officeDocument/2006/relationships/hyperlink" Target="https://thumb.tapecontent.net/thumb/ervXzVw8YwfYPqV/vVlDypvKQqTbWV.jpg" TargetMode="External"/><Relationship Id="rId3706" Type="http://schemas.openxmlformats.org/officeDocument/2006/relationships/hyperlink" Target="https://thumb.tapecontent.net/thumb/787Yzv1MkqHAOqv/GPdRgb1xw9SA7b.jpg" TargetMode="External"/><Relationship Id="rId3913" Type="http://schemas.openxmlformats.org/officeDocument/2006/relationships/hyperlink" Target="https://doodstream.com/d/1y8hwuskzhbb/" TargetMode="External"/><Relationship Id="rId627" Type="http://schemas.openxmlformats.org/officeDocument/2006/relationships/hyperlink" Target="https://lulustream.com/d/9crdyjq3939u" TargetMode="External"/><Relationship Id="rId834" Type="http://schemas.openxmlformats.org/officeDocument/2006/relationships/hyperlink" Target="https://lulustream.com/d/99a5lp7dhjgx" TargetMode="External"/><Relationship Id="rId1257" Type="http://schemas.openxmlformats.org/officeDocument/2006/relationships/hyperlink" Target="https://thumb.tapecontent.net/thumb/LL00vADRbxsRRbv/GQ4jbgD00Ki1v0O.jpg" TargetMode="External"/><Relationship Id="rId1464" Type="http://schemas.openxmlformats.org/officeDocument/2006/relationships/hyperlink" Target="https://lulustream.com/e/sg3hx5w746a1" TargetMode="External"/><Relationship Id="rId1671" Type="http://schemas.openxmlformats.org/officeDocument/2006/relationships/hyperlink" Target="https://luluvdoo.com/d/ejm6gmyzdmat" TargetMode="External"/><Relationship Id="rId2308" Type="http://schemas.openxmlformats.org/officeDocument/2006/relationships/hyperlink" Target="https://doodstream.com/d/wystdx52ykr5/" TargetMode="External"/><Relationship Id="rId2515" Type="http://schemas.openxmlformats.org/officeDocument/2006/relationships/hyperlink" Target="https://doodstream.com/d/2rr9v7p2jxqf/" TargetMode="External"/><Relationship Id="rId2722" Type="http://schemas.openxmlformats.org/officeDocument/2006/relationships/hyperlink" Target="https://doodstream.com/d/g9fvxqcvlgc6/" TargetMode="External"/><Relationship Id="rId901" Type="http://schemas.openxmlformats.org/officeDocument/2006/relationships/hyperlink" Target="https://doodstream.com/d/7m8lihcwr7r8/" TargetMode="External"/><Relationship Id="rId1117" Type="http://schemas.openxmlformats.org/officeDocument/2006/relationships/hyperlink" Target="https://lulustream.com/e/amx0fxs36r1j" TargetMode="External"/><Relationship Id="rId1324" Type="http://schemas.openxmlformats.org/officeDocument/2006/relationships/hyperlink" Target="https://thumb.tapecontent.net/thumb/G6D30M0OK4s1KX3/09kv1jdd9vhbpdy.jpg" TargetMode="External"/><Relationship Id="rId1531" Type="http://schemas.openxmlformats.org/officeDocument/2006/relationships/hyperlink" Target="https://lulustream.com/e/64ivazarxl3x" TargetMode="External"/><Relationship Id="rId4687" Type="http://schemas.openxmlformats.org/officeDocument/2006/relationships/hyperlink" Target="https://doodstream.com/d/ht09ip6ybqwp/" TargetMode="External"/><Relationship Id="rId30" Type="http://schemas.openxmlformats.org/officeDocument/2006/relationships/hyperlink" Target="https://lulustream.com/e/2qov6vidlykk" TargetMode="External"/><Relationship Id="rId3289" Type="http://schemas.openxmlformats.org/officeDocument/2006/relationships/hyperlink" Target="https://thumb.tapecontent.net/thumb/eVq0lmOpKvUY0G7/dKR47rZy26FkKz2.jpg" TargetMode="External"/><Relationship Id="rId3496" Type="http://schemas.openxmlformats.org/officeDocument/2006/relationships/hyperlink" Target="https://thumb.tapecontent.net/thumb/wl7YGZxdpOIJzOR/391wLxVkvzidbkY.jpg" TargetMode="External"/><Relationship Id="rId4547" Type="http://schemas.openxmlformats.org/officeDocument/2006/relationships/hyperlink" Target="https://doodstream.com/d/82gwfj4apzfi/" TargetMode="External"/><Relationship Id="rId4754" Type="http://schemas.openxmlformats.org/officeDocument/2006/relationships/hyperlink" Target="https://thumb.tapecontent.net/thumb/pdVvG7XxR7FryQa/xg0JKkQkJMfkPZA.jpg" TargetMode="External"/><Relationship Id="rId2098" Type="http://schemas.openxmlformats.org/officeDocument/2006/relationships/hyperlink" Target="https://doodstream.com/d/ljhgklso13k4/" TargetMode="External"/><Relationship Id="rId3149" Type="http://schemas.openxmlformats.org/officeDocument/2006/relationships/hyperlink" Target="https://luluvdoo.com/d/q30u4og44rm1" TargetMode="External"/><Relationship Id="rId3356" Type="http://schemas.openxmlformats.org/officeDocument/2006/relationships/hyperlink" Target="https://lulustream.com/d/v8jq1ajqym4y" TargetMode="External"/><Relationship Id="rId3563" Type="http://schemas.openxmlformats.org/officeDocument/2006/relationships/hyperlink" Target="https://doodstream.com/d/jbs3koclf9no/" TargetMode="External"/><Relationship Id="rId4407" Type="http://schemas.openxmlformats.org/officeDocument/2006/relationships/hyperlink" Target="https://thumb.tapecontent.net/thumb/9O1vrQpJeKiBqw/GQmQ8xaV48U9m8.jpg" TargetMode="External"/><Relationship Id="rId277" Type="http://schemas.openxmlformats.org/officeDocument/2006/relationships/hyperlink" Target="https://doodstream.com/d/8wvvaigfci7z/" TargetMode="External"/><Relationship Id="rId484" Type="http://schemas.openxmlformats.org/officeDocument/2006/relationships/hyperlink" Target="https://thumb.tapecontent.net/thumb/A1gZBoxDoQFX0mj/VB06Z3OB8DcKlPV.jpg" TargetMode="External"/><Relationship Id="rId2165" Type="http://schemas.openxmlformats.org/officeDocument/2006/relationships/hyperlink" Target="https://doodstream.com/d/9gqqfmwde6le/" TargetMode="External"/><Relationship Id="rId3009" Type="http://schemas.openxmlformats.org/officeDocument/2006/relationships/hyperlink" Target="https://lulustream.com/d/i5wg7hqjfomq" TargetMode="External"/><Relationship Id="rId3216" Type="http://schemas.openxmlformats.org/officeDocument/2006/relationships/hyperlink" Target="https://thumb.tapecontent.net/thumb/QyA7eLzDadh04Bv/abvAJ3XWQbUx6b4.jpg" TargetMode="External"/><Relationship Id="rId3770" Type="http://schemas.openxmlformats.org/officeDocument/2006/relationships/hyperlink" Target="https://luluvdoo.com/d/lwadudojgpcr" TargetMode="External"/><Relationship Id="rId4614" Type="http://schemas.openxmlformats.org/officeDocument/2006/relationships/hyperlink" Target="https://doodstream.com/d/v5yp4xh38npg/" TargetMode="External"/><Relationship Id="rId137" Type="http://schemas.openxmlformats.org/officeDocument/2006/relationships/hyperlink" Target="https://doodstream.com/d/y87gyt76nzx0/" TargetMode="External"/><Relationship Id="rId344" Type="http://schemas.openxmlformats.org/officeDocument/2006/relationships/hyperlink" Target="https://thumb.tapecontent.net/thumb/LqVkQVyoymfRm3g/PjBQ2wA2l1t03O6.jpg" TargetMode="External"/><Relationship Id="rId691" Type="http://schemas.openxmlformats.org/officeDocument/2006/relationships/hyperlink" Target="https://thumb.tapecontent.net/thumb/l0GmgPZ29aI71rB/1Lerq2aaRPTewVq.jpg" TargetMode="External"/><Relationship Id="rId2025" Type="http://schemas.openxmlformats.org/officeDocument/2006/relationships/hyperlink" Target="https://lulustream.com/e/bpsqv9dy8a3b" TargetMode="External"/><Relationship Id="rId2372" Type="http://schemas.openxmlformats.org/officeDocument/2006/relationships/hyperlink" Target="https://lulustream.com/e/gxl01ifrordi" TargetMode="External"/><Relationship Id="rId3423" Type="http://schemas.openxmlformats.org/officeDocument/2006/relationships/hyperlink" Target="https://thumb.tapecontent.net/thumb/YwrvVZPPRmiv4b8/QPGxvB7mp8u0Z9l.jpg" TargetMode="External"/><Relationship Id="rId3630" Type="http://schemas.openxmlformats.org/officeDocument/2006/relationships/hyperlink" Target="https://lulustream.com/e/fyz8fxsyv9g1" TargetMode="External"/><Relationship Id="rId551" Type="http://schemas.openxmlformats.org/officeDocument/2006/relationships/hyperlink" Target="https://doodstream.com/d/74usbu7kzdiy/" TargetMode="External"/><Relationship Id="rId1181" Type="http://schemas.openxmlformats.org/officeDocument/2006/relationships/hyperlink" Target="https://thumb.tapecontent.net/thumb/PWV43mgA7aF0PXR/yVO1KPm2K6t1Raq.jpg" TargetMode="External"/><Relationship Id="rId2232" Type="http://schemas.openxmlformats.org/officeDocument/2006/relationships/hyperlink" Target="https://lulustream.com/d/2w9yid4ielh5" TargetMode="External"/><Relationship Id="rId204" Type="http://schemas.openxmlformats.org/officeDocument/2006/relationships/hyperlink" Target="https://lulustream.com/e/4fzm8gu5w4ax" TargetMode="External"/><Relationship Id="rId411" Type="http://schemas.openxmlformats.org/officeDocument/2006/relationships/hyperlink" Target="https://thumb.tapecontent.net/thumb/x2QyPePqVOhk4vP/r27ZyDdADRubZJ3.jpg" TargetMode="External"/><Relationship Id="rId1041" Type="http://schemas.openxmlformats.org/officeDocument/2006/relationships/hyperlink" Target="https://doodstream.com/d/3j7aplxcybaj/" TargetMode="External"/><Relationship Id="rId1998" Type="http://schemas.openxmlformats.org/officeDocument/2006/relationships/hyperlink" Target="https://lulustream.com/d/hbxdiqtassvi" TargetMode="External"/><Relationship Id="rId4197" Type="http://schemas.openxmlformats.org/officeDocument/2006/relationships/hyperlink" Target="https://lulustream.com/d/5nr8kcwy5hyc" TargetMode="External"/><Relationship Id="rId1858" Type="http://schemas.openxmlformats.org/officeDocument/2006/relationships/hyperlink" Target="https://doodstream.com/d/pwkc9ilps2of/" TargetMode="External"/><Relationship Id="rId4057" Type="http://schemas.openxmlformats.org/officeDocument/2006/relationships/hyperlink" Target="https://doodstream.com/d/u1rinepv55ix/" TargetMode="External"/><Relationship Id="rId4264" Type="http://schemas.openxmlformats.org/officeDocument/2006/relationships/hyperlink" Target="https://lulustream.com/d/m7lzj7foti8z" TargetMode="External"/><Relationship Id="rId4471" Type="http://schemas.openxmlformats.org/officeDocument/2006/relationships/hyperlink" Target="https://luluvdoo.com/d/8w6uckk30k2y" TargetMode="External"/><Relationship Id="rId2909" Type="http://schemas.openxmlformats.org/officeDocument/2006/relationships/hyperlink" Target="https://lulustream.com/e/q5m6p4bem1oz" TargetMode="External"/><Relationship Id="rId3073" Type="http://schemas.openxmlformats.org/officeDocument/2006/relationships/hyperlink" Target="https://thumb.tapecontent.net/thumb/k9eZzjDJ4gCO1Ar/Oxp082m1Kyi7ow.jpg" TargetMode="External"/><Relationship Id="rId3280" Type="http://schemas.openxmlformats.org/officeDocument/2006/relationships/hyperlink" Target="https://lulustream.com/e/o1bzgbjvvi5l" TargetMode="External"/><Relationship Id="rId4124" Type="http://schemas.openxmlformats.org/officeDocument/2006/relationships/hyperlink" Target="https://thumb.tapecontent.net/thumb/Y6l6189Q7jIvP43/BJL9p0JGlmIMyo.jpg" TargetMode="External"/><Relationship Id="rId4331" Type="http://schemas.openxmlformats.org/officeDocument/2006/relationships/hyperlink" Target="https://lulustream.com/e/wsqz5qqf7q9k" TargetMode="External"/><Relationship Id="rId1718" Type="http://schemas.openxmlformats.org/officeDocument/2006/relationships/hyperlink" Target="https://thumb.tapecontent.net/thumb/yg0xLM1Y9aT1lA9/7BGwbRoOwPIYp2.jpg" TargetMode="External"/><Relationship Id="rId1925" Type="http://schemas.openxmlformats.org/officeDocument/2006/relationships/hyperlink" Target="https://doodstream.com/d/w5498ezwys4r/" TargetMode="External"/><Relationship Id="rId3140" Type="http://schemas.openxmlformats.org/officeDocument/2006/relationships/hyperlink" Target="https://doodstream.com/d/e2n6wwncapje/" TargetMode="External"/><Relationship Id="rId2699" Type="http://schemas.openxmlformats.org/officeDocument/2006/relationships/hyperlink" Target="https://thumb.tapecontent.net/thumb/dP6YYvydp9UkWJp/e3xYGlwKO1sYlpv.jpg" TargetMode="External"/><Relationship Id="rId3000" Type="http://schemas.openxmlformats.org/officeDocument/2006/relationships/hyperlink" Target="https://thumb.tapecontent.net/thumb/LV4eooMVr2FRpZ3/Rqw9q4wO7eFdl2y.jpg" TargetMode="External"/><Relationship Id="rId3957" Type="http://schemas.openxmlformats.org/officeDocument/2006/relationships/hyperlink" Target="https://lulustream.com/d/h1mxcpfhpa02" TargetMode="External"/><Relationship Id="rId878" Type="http://schemas.openxmlformats.org/officeDocument/2006/relationships/hyperlink" Target="https://lulustream.com/e/l9o0zi3ixtph" TargetMode="External"/><Relationship Id="rId2559" Type="http://schemas.openxmlformats.org/officeDocument/2006/relationships/hyperlink" Target="https://doodstream.com/d/b2z9qxn6u0i3/" TargetMode="External"/><Relationship Id="rId2766" Type="http://schemas.openxmlformats.org/officeDocument/2006/relationships/hyperlink" Target="https://thumb.tapecontent.net/thumb/KWJxV1D2VjU01L7/re8d2DOxBqu3qX.jpg" TargetMode="External"/><Relationship Id="rId2973" Type="http://schemas.openxmlformats.org/officeDocument/2006/relationships/hyperlink" Target="https://lulustream.com/e/5trkyyf9gqlv" TargetMode="External"/><Relationship Id="rId3817" Type="http://schemas.openxmlformats.org/officeDocument/2006/relationships/hyperlink" Target="https://lulustream.com/e/2jxavlxprwpw" TargetMode="External"/><Relationship Id="rId738" Type="http://schemas.openxmlformats.org/officeDocument/2006/relationships/hyperlink" Target="https://lulustream.com/e/4487s2hmp8ka" TargetMode="External"/><Relationship Id="rId945" Type="http://schemas.openxmlformats.org/officeDocument/2006/relationships/hyperlink" Target="https://thumb.tapecontent.net/thumb/gg8jGqzVXzFqyee/KZPjdZA7g7tgV2.jpg" TargetMode="External"/><Relationship Id="rId1368" Type="http://schemas.openxmlformats.org/officeDocument/2006/relationships/hyperlink" Target="https://thumb.tapecontent.net/thumb/2De0629lZ3uZ8Wz/wZZgDWro1Yfxe7.jpg" TargetMode="External"/><Relationship Id="rId1575" Type="http://schemas.openxmlformats.org/officeDocument/2006/relationships/hyperlink" Target="https://doodstream.com/d/18fmzftg65ny/" TargetMode="External"/><Relationship Id="rId1782" Type="http://schemas.openxmlformats.org/officeDocument/2006/relationships/hyperlink" Target="https://lulustream.com/d/as9x6ryu2nbd" TargetMode="External"/><Relationship Id="rId2419" Type="http://schemas.openxmlformats.org/officeDocument/2006/relationships/hyperlink" Target="https://lulustream.com/d/e0eflh069aco" TargetMode="External"/><Relationship Id="rId2626" Type="http://schemas.openxmlformats.org/officeDocument/2006/relationships/hyperlink" Target="https://doodstream.com/d/583bsr9bm1o9/" TargetMode="External"/><Relationship Id="rId2833" Type="http://schemas.openxmlformats.org/officeDocument/2006/relationships/hyperlink" Target="https://thumb.tapecontent.net/thumb/Dqaw61kr3kcDvb/3dkZ4ZQ71RtdJaw.jpg" TargetMode="External"/><Relationship Id="rId74" Type="http://schemas.openxmlformats.org/officeDocument/2006/relationships/hyperlink" Target="https://thumb.tapecontent.net/thumb/oMbdogoq7PcJzVR/DAyxqw0ebXskjXd.jpg" TargetMode="External"/><Relationship Id="rId805" Type="http://schemas.openxmlformats.org/officeDocument/2006/relationships/hyperlink" Target="https://doodstream.com/d/jqflqnky0ds5/" TargetMode="External"/><Relationship Id="rId1228" Type="http://schemas.openxmlformats.org/officeDocument/2006/relationships/hyperlink" Target="https://thumb.tapecontent.net/thumb/3JRgXQ1gklcdBg0/qvwDg9yR1bfRQg.jpg" TargetMode="External"/><Relationship Id="rId1435" Type="http://schemas.openxmlformats.org/officeDocument/2006/relationships/hyperlink" Target="https://lulustream.com/d/524y3jrqytvq" TargetMode="External"/><Relationship Id="rId1642" Type="http://schemas.openxmlformats.org/officeDocument/2006/relationships/hyperlink" Target="https://lulustream.com/e/yprr9sdvzo2u" TargetMode="External"/><Relationship Id="rId2900" Type="http://schemas.openxmlformats.org/officeDocument/2006/relationships/hyperlink" Target="https://lulustream.com/d/2a197z6v0yal" TargetMode="External"/><Relationship Id="rId1502" Type="http://schemas.openxmlformats.org/officeDocument/2006/relationships/hyperlink" Target="https://lulustream.com/d/lc47c2sppgqx" TargetMode="External"/><Relationship Id="rId4658" Type="http://schemas.openxmlformats.org/officeDocument/2006/relationships/hyperlink" Target="https://doodstream.com/d/y25vp7ac0a36/" TargetMode="External"/><Relationship Id="rId388" Type="http://schemas.openxmlformats.org/officeDocument/2006/relationships/hyperlink" Target="https://doodstream.com/d/9nztl5vta0r0/" TargetMode="External"/><Relationship Id="rId2069" Type="http://schemas.openxmlformats.org/officeDocument/2006/relationships/hyperlink" Target="https://lulustream.com/e/60464yqizfdi" TargetMode="External"/><Relationship Id="rId3467" Type="http://schemas.openxmlformats.org/officeDocument/2006/relationships/hyperlink" Target="https://thumb.tapecontent.net/thumb/GW01aRZMWkUlY6/v2bRYXRz8ZUP11.jpg" TargetMode="External"/><Relationship Id="rId3674" Type="http://schemas.openxmlformats.org/officeDocument/2006/relationships/hyperlink" Target="https://doodstream.com/d/zivd27tgyta7/" TargetMode="External"/><Relationship Id="rId3881" Type="http://schemas.openxmlformats.org/officeDocument/2006/relationships/hyperlink" Target="https://lulustream.com/d/3cbyercbswdr" TargetMode="External"/><Relationship Id="rId4518" Type="http://schemas.openxmlformats.org/officeDocument/2006/relationships/hyperlink" Target="https://doodstream.com/d/fkleswtqlvx1/" TargetMode="External"/><Relationship Id="rId4725" Type="http://schemas.openxmlformats.org/officeDocument/2006/relationships/hyperlink" Target="https://thumb.tapecontent.net/thumb/pbjqZ2OKJxFr9Pk/VVzW1OvqVVFyZV.jpg" TargetMode="External"/><Relationship Id="rId595" Type="http://schemas.openxmlformats.org/officeDocument/2006/relationships/hyperlink" Target="https://lulustream.com/d/pbe1bcy58z0l" TargetMode="External"/><Relationship Id="rId2276" Type="http://schemas.openxmlformats.org/officeDocument/2006/relationships/hyperlink" Target="https://lulustream.com/e/onwmervp2zab" TargetMode="External"/><Relationship Id="rId2483" Type="http://schemas.openxmlformats.org/officeDocument/2006/relationships/hyperlink" Target="https://lulustream.com/e/1c1agb2gy7b1" TargetMode="External"/><Relationship Id="rId2690" Type="http://schemas.openxmlformats.org/officeDocument/2006/relationships/hyperlink" Target="https://lulustream.com/e/1d2yo27asb4o" TargetMode="External"/><Relationship Id="rId3327" Type="http://schemas.openxmlformats.org/officeDocument/2006/relationships/hyperlink" Target="https://thumb.tapecontent.net/thumb/6PGpBpYae2S9w4b/AKPMa8bQDbuX8Q3.jpg" TargetMode="External"/><Relationship Id="rId3534" Type="http://schemas.openxmlformats.org/officeDocument/2006/relationships/hyperlink" Target="https://doodstream.com/d/epg8unrpp3l8/" TargetMode="External"/><Relationship Id="rId3741" Type="http://schemas.openxmlformats.org/officeDocument/2006/relationships/hyperlink" Target="https://luluvdoo.com/d/kiwwapfhzguq" TargetMode="External"/><Relationship Id="rId248" Type="http://schemas.openxmlformats.org/officeDocument/2006/relationships/hyperlink" Target="https://lulustream.com/e/wc4cdpfbphfv" TargetMode="External"/><Relationship Id="rId455" Type="http://schemas.openxmlformats.org/officeDocument/2006/relationships/hyperlink" Target="https://thumb.tapecontent.net/thumb/d89Kq7Rq6rSZAd/lxv8DolOjYh78qW.jpg" TargetMode="External"/><Relationship Id="rId662" Type="http://schemas.openxmlformats.org/officeDocument/2006/relationships/hyperlink" Target="https://doodstream.com/d/0chb93nxcwun/" TargetMode="External"/><Relationship Id="rId1085" Type="http://schemas.openxmlformats.org/officeDocument/2006/relationships/hyperlink" Target="https://thumb.tapecontent.net/thumb/k3yzVapOjGuOvkz/6xKRax39XLCeAB.jpg" TargetMode="External"/><Relationship Id="rId1292" Type="http://schemas.openxmlformats.org/officeDocument/2006/relationships/hyperlink" Target="https://thumb.tapecontent.net/thumb/ZJLl1aV26BsqWx0/VYM8z8mAp3UK7aa.jpg" TargetMode="External"/><Relationship Id="rId2136" Type="http://schemas.openxmlformats.org/officeDocument/2006/relationships/hyperlink" Target="https://thumb.tapecontent.net/thumb/Q2KqJ0ve8vs0zKb/JW7Adqa6LaFeZ7.jpg" TargetMode="External"/><Relationship Id="rId2343" Type="http://schemas.openxmlformats.org/officeDocument/2006/relationships/hyperlink" Target="https://thumb.tapecontent.net/thumb/OkQgRa4DzJt132/mqlJpBKPJjcbK2j.jpg" TargetMode="External"/><Relationship Id="rId2550" Type="http://schemas.openxmlformats.org/officeDocument/2006/relationships/hyperlink" Target="https://thumb.tapecontent.net/thumb/4mLA0V1Og8cKvbV/7YmgRB2dVAUAgMM.jpg" TargetMode="External"/><Relationship Id="rId3601" Type="http://schemas.openxmlformats.org/officeDocument/2006/relationships/hyperlink" Target="https://lulustream.com/d/9ahpykb0j6i6" TargetMode="External"/><Relationship Id="rId108" Type="http://schemas.openxmlformats.org/officeDocument/2006/relationships/hyperlink" Target="https://lulustream.com/d/chd0o20sjqrm" TargetMode="External"/><Relationship Id="rId315" Type="http://schemas.openxmlformats.org/officeDocument/2006/relationships/hyperlink" Target="https://thumb.tapecontent.net/thumb/0LJPdYd6xkUg1D/G3oRWGoM4gF18vJ.jpg" TargetMode="External"/><Relationship Id="rId522" Type="http://schemas.openxmlformats.org/officeDocument/2006/relationships/hyperlink" Target="https://luluvdoo.com/d/rjsai52ft1u4" TargetMode="External"/><Relationship Id="rId1152" Type="http://schemas.openxmlformats.org/officeDocument/2006/relationships/hyperlink" Target="https://lulustream.com/e/q1yo4r0vv4t2" TargetMode="External"/><Relationship Id="rId2203" Type="http://schemas.openxmlformats.org/officeDocument/2006/relationships/hyperlink" Target="https://thumb.tapecontent.net/thumb/YqzrAVyGDVuvMom/wDQgXMOY3qcJzz8.jpg" TargetMode="External"/><Relationship Id="rId2410" Type="http://schemas.openxmlformats.org/officeDocument/2006/relationships/hyperlink" Target="https://lulustream.com/e/pwf99stubz0j" TargetMode="External"/><Relationship Id="rId1012" Type="http://schemas.openxmlformats.org/officeDocument/2006/relationships/hyperlink" Target="https://thumb.tapecontent.net/thumb/Kg3mjrVZx3C0QMj/zGbPjvdowKhy61.jpg" TargetMode="External"/><Relationship Id="rId4168" Type="http://schemas.openxmlformats.org/officeDocument/2006/relationships/hyperlink" Target="https://thumb.tapecontent.net/thumb/qWGWxvR71gFzV4j/qD2o8Pzv9BCzeA4.jpg" TargetMode="External"/><Relationship Id="rId4375" Type="http://schemas.openxmlformats.org/officeDocument/2006/relationships/hyperlink" Target="https://doodstream.com/d/cvepa15bjz17/" TargetMode="External"/><Relationship Id="rId1969" Type="http://schemas.openxmlformats.org/officeDocument/2006/relationships/hyperlink" Target="https://doodstream.com/d/0petmtcwhqd6/" TargetMode="External"/><Relationship Id="rId3184" Type="http://schemas.openxmlformats.org/officeDocument/2006/relationships/hyperlink" Target="https://thumb.tapecontent.net/thumb/WGggO7jWvwIg8l/gvMGbBLm62TqRpk.jpg" TargetMode="External"/><Relationship Id="rId4028" Type="http://schemas.openxmlformats.org/officeDocument/2006/relationships/hyperlink" Target="https://lulustream.com/d/re6bmw69xm1r" TargetMode="External"/><Relationship Id="rId4235" Type="http://schemas.openxmlformats.org/officeDocument/2006/relationships/hyperlink" Target="https://doodstream.com/d/gfo3ijhhepmq/" TargetMode="External"/><Relationship Id="rId4582" Type="http://schemas.openxmlformats.org/officeDocument/2006/relationships/hyperlink" Target="https://thumb.tapecontent.net/thumb/gam1G79ja7fqr2L/OxbloWmXvvuZ3qD.jpg" TargetMode="External"/><Relationship Id="rId1829" Type="http://schemas.openxmlformats.org/officeDocument/2006/relationships/hyperlink" Target="https://lulustream.com/e/o3400bth8koc" TargetMode="External"/><Relationship Id="rId3391" Type="http://schemas.openxmlformats.org/officeDocument/2006/relationships/hyperlink" Target="https://doodstream.com/d/pnewki3zzhw3/" TargetMode="External"/><Relationship Id="rId4442" Type="http://schemas.openxmlformats.org/officeDocument/2006/relationships/hyperlink" Target="https://luluvdoo.com/d/2cwswu3wdy5e" TargetMode="External"/><Relationship Id="rId3044" Type="http://schemas.openxmlformats.org/officeDocument/2006/relationships/hyperlink" Target="https://thumb.tapecontent.net/thumb/l4GoQ18PWduolY/k0mwd7RPR8COJV9.jpg" TargetMode="External"/><Relationship Id="rId3251" Type="http://schemas.openxmlformats.org/officeDocument/2006/relationships/hyperlink" Target="https://thumb.tapecontent.net/thumb/84vaaPbW8wIMl8/6jqL2ojozvs9yrB.jpg" TargetMode="External"/><Relationship Id="rId4302" Type="http://schemas.openxmlformats.org/officeDocument/2006/relationships/hyperlink" Target="https://doodstream.com/d/1ecko0rxs8yd/" TargetMode="External"/><Relationship Id="rId172" Type="http://schemas.openxmlformats.org/officeDocument/2006/relationships/hyperlink" Target="https://doodstream.com/d/d35ptsljxn02/" TargetMode="External"/><Relationship Id="rId2060" Type="http://schemas.openxmlformats.org/officeDocument/2006/relationships/hyperlink" Target="https://lulustream.com/e/99r6jv9nw70o" TargetMode="External"/><Relationship Id="rId3111" Type="http://schemas.openxmlformats.org/officeDocument/2006/relationships/hyperlink" Target="https://doodstream.com/d/ubgixx0t0tnw/" TargetMode="External"/><Relationship Id="rId989" Type="http://schemas.openxmlformats.org/officeDocument/2006/relationships/hyperlink" Target="https://doodstream.com/d/301vh8s17pbn/" TargetMode="External"/><Relationship Id="rId2877" Type="http://schemas.openxmlformats.org/officeDocument/2006/relationships/hyperlink" Target="https://doodstream.com/d/kkb3pj1ok0q4/" TargetMode="External"/><Relationship Id="rId849" Type="http://schemas.openxmlformats.org/officeDocument/2006/relationships/hyperlink" Target="https://doodstream.com/d/klq54s5plgfo/" TargetMode="External"/><Relationship Id="rId1479" Type="http://schemas.openxmlformats.org/officeDocument/2006/relationships/hyperlink" Target="https://thumb.tapecontent.net/thumb/OgqbQAJYwJcZjRb/pM0yQJ7gvptrZxW.jpg" TargetMode="External"/><Relationship Id="rId1686" Type="http://schemas.openxmlformats.org/officeDocument/2006/relationships/hyperlink" Target="https://thumb.tapecontent.net/thumb/kkW7YvmDPatOGgo/x278lapP9zuDGd.jpg" TargetMode="External"/><Relationship Id="rId3928" Type="http://schemas.openxmlformats.org/officeDocument/2006/relationships/hyperlink" Target="https://lulustream.com/d/5gu1gqc3qol5" TargetMode="External"/><Relationship Id="rId4092" Type="http://schemas.openxmlformats.org/officeDocument/2006/relationships/hyperlink" Target="https://lulustream.com/d/n6jtmf1i496d" TargetMode="External"/><Relationship Id="rId1339" Type="http://schemas.openxmlformats.org/officeDocument/2006/relationships/hyperlink" Target="https://lulustream.com/e/cqyoofvatlft" TargetMode="External"/><Relationship Id="rId1893" Type="http://schemas.openxmlformats.org/officeDocument/2006/relationships/hyperlink" Target="https://doodstream.com/d/bc204on1yckm/" TargetMode="External"/><Relationship Id="rId2737" Type="http://schemas.openxmlformats.org/officeDocument/2006/relationships/hyperlink" Target="https://lulustream.com/d/mc49w6laxdfc" TargetMode="External"/><Relationship Id="rId2944" Type="http://schemas.openxmlformats.org/officeDocument/2006/relationships/hyperlink" Target="https://thumb.tapecontent.net/thumb/PLRLmK34R6F0azB/wZjJV6geePtJbM7.jpg" TargetMode="External"/><Relationship Id="rId709" Type="http://schemas.openxmlformats.org/officeDocument/2006/relationships/hyperlink" Target="https://thumb.tapecontent.net/thumb/6R3g9jyRXYC97B0/m6aMwLdRzAHbA2M.jpg" TargetMode="External"/><Relationship Id="rId916" Type="http://schemas.openxmlformats.org/officeDocument/2006/relationships/hyperlink" Target="https://doodstream.com/d/iebcys5w4xbg/" TargetMode="External"/><Relationship Id="rId1546" Type="http://schemas.openxmlformats.org/officeDocument/2006/relationships/hyperlink" Target="https://thumb.tapecontent.net/thumb/goX0vQBvpjcJo6/L1KWZ6p8D7TR0RO.jpg" TargetMode="External"/><Relationship Id="rId1753" Type="http://schemas.openxmlformats.org/officeDocument/2006/relationships/hyperlink" Target="https://luluvdoo.com/d/3gjg6noectcr" TargetMode="External"/><Relationship Id="rId1960" Type="http://schemas.openxmlformats.org/officeDocument/2006/relationships/hyperlink" Target="https://thumb.tapecontent.net/thumb/er04ORx8yvijMv/AKOL4RR9jkcXP4M.jpg" TargetMode="External"/><Relationship Id="rId2804" Type="http://schemas.openxmlformats.org/officeDocument/2006/relationships/hyperlink" Target="https://lulustream.com/e/02v7d9i7dfn7" TargetMode="External"/><Relationship Id="rId45" Type="http://schemas.openxmlformats.org/officeDocument/2006/relationships/hyperlink" Target="https://doodstream.com/d/q3xj05tknxyh/" TargetMode="External"/><Relationship Id="rId1406" Type="http://schemas.openxmlformats.org/officeDocument/2006/relationships/hyperlink" Target="https://lulustream.com/e/h4dufhrge5fd" TargetMode="External"/><Relationship Id="rId1613" Type="http://schemas.openxmlformats.org/officeDocument/2006/relationships/hyperlink" Target="https://lulustream.com/e/22k4x4lg3lx7" TargetMode="External"/><Relationship Id="rId1820" Type="http://schemas.openxmlformats.org/officeDocument/2006/relationships/hyperlink" Target="https://lulustream.com/e/derlm8l8qgpg" TargetMode="External"/><Relationship Id="rId4769" Type="http://schemas.openxmlformats.org/officeDocument/2006/relationships/hyperlink" Target="https://lulustream.com/d/slxlkk9xzghy" TargetMode="External"/><Relationship Id="rId3578" Type="http://schemas.openxmlformats.org/officeDocument/2006/relationships/hyperlink" Target="https://doodstream.com/d/exz7nebytnw0/" TargetMode="External"/><Relationship Id="rId3785" Type="http://schemas.openxmlformats.org/officeDocument/2006/relationships/hyperlink" Target="https://thumb.tapecontent.net/thumb/bKMd3yoWl7HPem7/zGx8oKX3bGSYmMe.jpg" TargetMode="External"/><Relationship Id="rId3992" Type="http://schemas.openxmlformats.org/officeDocument/2006/relationships/hyperlink" Target="https://thumb.tapecontent.net/thumb/Jw08p277aPujlRV/p2POB2rLZVfrPzp.jpg" TargetMode="External"/><Relationship Id="rId4629" Type="http://schemas.openxmlformats.org/officeDocument/2006/relationships/hyperlink" Target="https://doodstream.com/d/tq05gs2smzfz/" TargetMode="External"/><Relationship Id="rId499" Type="http://schemas.openxmlformats.org/officeDocument/2006/relationships/hyperlink" Target="https://thumb.tapecontent.net/thumb/DGXVwP1oxWFLkr/kZo1ek4O9aFOMXD.jpg" TargetMode="External"/><Relationship Id="rId2387" Type="http://schemas.openxmlformats.org/officeDocument/2006/relationships/hyperlink" Target="https://thumb.tapecontent.net/thumb/oA7Vao2QDjIJyz9/Mx66OW43yQumJxv.jpg" TargetMode="External"/><Relationship Id="rId2594" Type="http://schemas.openxmlformats.org/officeDocument/2006/relationships/hyperlink" Target="https://thumb.tapecontent.net/thumb/brxya0mGe8TdGk/jrbpaP1pbDfzPK8.jpg" TargetMode="External"/><Relationship Id="rId3438" Type="http://schemas.openxmlformats.org/officeDocument/2006/relationships/hyperlink" Target="https://thumb.tapecontent.net/thumb/BvyAzG7d0AUW1L/prOXOyBg2acr8oW.jpg" TargetMode="External"/><Relationship Id="rId3645" Type="http://schemas.openxmlformats.org/officeDocument/2006/relationships/hyperlink" Target="https://thumb.tapecontent.net/thumb/xrGYjqDQrzujYj/OgrWg39l2zCZlAR.jpg" TargetMode="External"/><Relationship Id="rId3852" Type="http://schemas.openxmlformats.org/officeDocument/2006/relationships/hyperlink" Target="https://thumb.tapecontent.net/thumb/Xo2K0rbOmPuDlAq/3P0O8xl8RruaDy.jpg" TargetMode="External"/><Relationship Id="rId359" Type="http://schemas.openxmlformats.org/officeDocument/2006/relationships/hyperlink" Target="https://thumb.tapecontent.net/thumb/m7ggQ6OXRQTkA0/kb322WOoqGHYjA.jpg" TargetMode="External"/><Relationship Id="rId566" Type="http://schemas.openxmlformats.org/officeDocument/2006/relationships/hyperlink" Target="https://lulustream.com/e/fpyl2fij7e3a" TargetMode="External"/><Relationship Id="rId773" Type="http://schemas.openxmlformats.org/officeDocument/2006/relationships/hyperlink" Target="https://lulustream.com/d/ntcrgsasyylk" TargetMode="External"/><Relationship Id="rId1196" Type="http://schemas.openxmlformats.org/officeDocument/2006/relationships/hyperlink" Target="https://thumb.tapecontent.net/thumb/wrwAJ39kVjspxG/zDkD2BYXl4TYAL2.jpg" TargetMode="External"/><Relationship Id="rId2247" Type="http://schemas.openxmlformats.org/officeDocument/2006/relationships/hyperlink" Target="https://lulustream.com/e/n2yfnhk4a283" TargetMode="External"/><Relationship Id="rId2454" Type="http://schemas.openxmlformats.org/officeDocument/2006/relationships/hyperlink" Target="https://lulustream.com/e/4x3sqhyjbo7p" TargetMode="External"/><Relationship Id="rId3505" Type="http://schemas.openxmlformats.org/officeDocument/2006/relationships/hyperlink" Target="https://thumb.tapecontent.net/thumb/xmrbD6lO4PckeXR/rxJz3QxV0ktbzww.jpg" TargetMode="External"/><Relationship Id="rId219" Type="http://schemas.openxmlformats.org/officeDocument/2006/relationships/hyperlink" Target="https://thumb.tapecontent.net/thumb/dkGgPddp9yIk6PM/0D1VJqAqwbibdLB.jpg" TargetMode="External"/><Relationship Id="rId426" Type="http://schemas.openxmlformats.org/officeDocument/2006/relationships/hyperlink" Target="https://streamtape.com/v/w7OOgWYeBvHJqyM/Angela_White_-_36065019_-_Onlyfans" TargetMode="External"/><Relationship Id="rId633" Type="http://schemas.openxmlformats.org/officeDocument/2006/relationships/hyperlink" Target="https://lulustream.com/d/3qqdh12p24yf" TargetMode="External"/><Relationship Id="rId980" Type="http://schemas.openxmlformats.org/officeDocument/2006/relationships/hyperlink" Target="https://doodstream.com/d/nukci1ra28ug/" TargetMode="External"/><Relationship Id="rId1056" Type="http://schemas.openxmlformats.org/officeDocument/2006/relationships/hyperlink" Target="https://thumb.tapecontent.net/thumb/R6QeKeRY4JHde8K/LJ4GVZVB2ksZGY.jpg" TargetMode="External"/><Relationship Id="rId1263" Type="http://schemas.openxmlformats.org/officeDocument/2006/relationships/hyperlink" Target="https://thumb.tapecontent.net/thumb/Qk1ja1qjqVF0QDg/XyKaeDzPa3UD4VQ.jpg" TargetMode="External"/><Relationship Id="rId2107" Type="http://schemas.openxmlformats.org/officeDocument/2006/relationships/hyperlink" Target="https://doodstream.com/d/3r18oimpe194/" TargetMode="External"/><Relationship Id="rId2314" Type="http://schemas.openxmlformats.org/officeDocument/2006/relationships/hyperlink" Target="https://doodstream.com/d/gn38tg40ze79/" TargetMode="External"/><Relationship Id="rId2661" Type="http://schemas.openxmlformats.org/officeDocument/2006/relationships/hyperlink" Target="https://lulustream.com/d/012f785ltgw8" TargetMode="External"/><Relationship Id="rId3712" Type="http://schemas.openxmlformats.org/officeDocument/2006/relationships/hyperlink" Target="https://thumb.tapecontent.net/thumb/08aOMVx1Q7Tbqyv/Dj4ZOG009wukZm9.jpg" TargetMode="External"/><Relationship Id="rId840" Type="http://schemas.openxmlformats.org/officeDocument/2006/relationships/hyperlink" Target="https://thumb.tapecontent.net/thumb/1ADljy2GKWTeYRl/DlyABakbgGfAR1.jpg" TargetMode="External"/><Relationship Id="rId1470" Type="http://schemas.openxmlformats.org/officeDocument/2006/relationships/hyperlink" Target="https://thumb.tapecontent.net/thumb/XPeObBOKQjFDprl/aqLy1bMJ63uxRbv.jpg" TargetMode="External"/><Relationship Id="rId2521" Type="http://schemas.openxmlformats.org/officeDocument/2006/relationships/hyperlink" Target="https://doodstream.com/d/lctbx4f2jfy0/" TargetMode="External"/><Relationship Id="rId4279" Type="http://schemas.openxmlformats.org/officeDocument/2006/relationships/hyperlink" Target="https://thumb.tapecontent.net/thumb/oQAlQwW8OwHOp8/kgOv3KbaP3CDKA.jpg" TargetMode="External"/><Relationship Id="rId700" Type="http://schemas.openxmlformats.org/officeDocument/2006/relationships/hyperlink" Target="http://ripnsfw.com/" TargetMode="External"/><Relationship Id="rId1123" Type="http://schemas.openxmlformats.org/officeDocument/2006/relationships/hyperlink" Target="https://lulustream.com/e/apry7fhwdr0q" TargetMode="External"/><Relationship Id="rId1330" Type="http://schemas.openxmlformats.org/officeDocument/2006/relationships/hyperlink" Target="https://doodstream.com/d/ow06563fk7c7/" TargetMode="External"/><Relationship Id="rId3088" Type="http://schemas.openxmlformats.org/officeDocument/2006/relationships/hyperlink" Target="https://doodstream.com/d/rhfzvs3r7dl8/" TargetMode="External"/><Relationship Id="rId4486" Type="http://schemas.openxmlformats.org/officeDocument/2006/relationships/hyperlink" Target="https://luluvdoo.com/d/twxryvslupfk" TargetMode="External"/><Relationship Id="rId4693" Type="http://schemas.openxmlformats.org/officeDocument/2006/relationships/hyperlink" Target="https://doodstream.com/d/6m7k0d7i3xdp/" TargetMode="External"/><Relationship Id="rId3295" Type="http://schemas.openxmlformats.org/officeDocument/2006/relationships/hyperlink" Target="https://lulustream.com/d/oq0v5vw8k2jc" TargetMode="External"/><Relationship Id="rId4139" Type="http://schemas.openxmlformats.org/officeDocument/2006/relationships/hyperlink" Target="https://doodstream.com/d/ed1r5rhmjcqg/" TargetMode="External"/><Relationship Id="rId4346" Type="http://schemas.openxmlformats.org/officeDocument/2006/relationships/hyperlink" Target="https://thumb.tapecontent.net/thumb/wy13AR77ylUJ7P4/YqJdJwQ06LFvX7P.jpg" TargetMode="External"/><Relationship Id="rId4553" Type="http://schemas.openxmlformats.org/officeDocument/2006/relationships/hyperlink" Target="https://doodstream.com/d/j8d1igyrkhuy/" TargetMode="External"/><Relationship Id="rId4760" Type="http://schemas.openxmlformats.org/officeDocument/2006/relationships/hyperlink" Target="https://lulustream.com/d/4hslkyyzmtfp" TargetMode="External"/><Relationship Id="rId3155" Type="http://schemas.openxmlformats.org/officeDocument/2006/relationships/hyperlink" Target="https://luluvdoo.com/d/3uii4rxtrrxt" TargetMode="External"/><Relationship Id="rId3362" Type="http://schemas.openxmlformats.org/officeDocument/2006/relationships/hyperlink" Target="https://thumb.tapecontent.net/thumb/jWvkqLj7edczAlD/xr7zvqDzk8SkRkJ.jpg" TargetMode="External"/><Relationship Id="rId4206" Type="http://schemas.openxmlformats.org/officeDocument/2006/relationships/hyperlink" Target="https://thumb.tapecontent.net/thumb/LYBvzZ7JyDHRr6g/GP2qJOQrM6u1e4a.jpg" TargetMode="External"/><Relationship Id="rId4413" Type="http://schemas.openxmlformats.org/officeDocument/2006/relationships/hyperlink" Target="https://thumb.tapecontent.net/thumb/9kP18KDWDZh9R8/yj82eR8gj9cdpo.jpg" TargetMode="External"/><Relationship Id="rId4620" Type="http://schemas.openxmlformats.org/officeDocument/2006/relationships/hyperlink" Target="https://doodstream.com/d/j0mu5xt7gj2n/" TargetMode="External"/><Relationship Id="rId283" Type="http://schemas.openxmlformats.org/officeDocument/2006/relationships/hyperlink" Target="https://lulustream.com/d/l9e1quxem0ow" TargetMode="External"/><Relationship Id="rId490" Type="http://schemas.openxmlformats.org/officeDocument/2006/relationships/hyperlink" Target="https://streamtape.com/v/86JYeeoBkrFopzJ/Angela_White_-_70555106_-_ripnsfw.com_-_Violet_Myers_-_Angel_Youngs.mp4" TargetMode="External"/><Relationship Id="rId2171" Type="http://schemas.openxmlformats.org/officeDocument/2006/relationships/hyperlink" Target="https://doodstream.com/d/m9aoqidy3f6y/" TargetMode="External"/><Relationship Id="rId3015" Type="http://schemas.openxmlformats.org/officeDocument/2006/relationships/hyperlink" Target="https://lulustream.com/d/c5ige4t7kwoe" TargetMode="External"/><Relationship Id="rId3222" Type="http://schemas.openxmlformats.org/officeDocument/2006/relationships/hyperlink" Target="https://thumb.tapecontent.net/thumb/4v4Z2dzkxZurrq/o6YyezG1bxCJXO9.jpg" TargetMode="External"/><Relationship Id="rId143" Type="http://schemas.openxmlformats.org/officeDocument/2006/relationships/hyperlink" Target="https://lulustream.com/d/hm8mvhjahzlg" TargetMode="External"/><Relationship Id="rId350" Type="http://schemas.openxmlformats.org/officeDocument/2006/relationships/hyperlink" Target="https://doodstream.com/d/l3kum2tovuz6/" TargetMode="External"/><Relationship Id="rId2031" Type="http://schemas.openxmlformats.org/officeDocument/2006/relationships/hyperlink" Target="https://lulustream.com/e/u4eeviemm50d" TargetMode="External"/><Relationship Id="rId9" Type="http://schemas.openxmlformats.org/officeDocument/2006/relationships/hyperlink" Target="https://thumb.tapecontent.net/thumb/BqxkdYRDDbsyz2o/j6LxxemxeMSzZpJ.jpg" TargetMode="External"/><Relationship Id="rId210" Type="http://schemas.openxmlformats.org/officeDocument/2006/relationships/hyperlink" Target="https://lulustream.com/e/xeeq7exproly" TargetMode="External"/><Relationship Id="rId2988" Type="http://schemas.openxmlformats.org/officeDocument/2006/relationships/hyperlink" Target="https://lulustream.com/e/u83v3q6a484x" TargetMode="External"/><Relationship Id="rId1797" Type="http://schemas.openxmlformats.org/officeDocument/2006/relationships/hyperlink" Target="https://thumb.tapecontent.net/thumb/rlywjKGko6ibpPQ/klQAQGlzOlTPvy.jpg" TargetMode="External"/><Relationship Id="rId2848" Type="http://schemas.openxmlformats.org/officeDocument/2006/relationships/hyperlink" Target="https://lulustream.com/d/oq1u0yqr6w4m" TargetMode="External"/><Relationship Id="rId89" Type="http://schemas.openxmlformats.org/officeDocument/2006/relationships/hyperlink" Target="https://thumb.tapecontent.net/thumb/mgY1oyd4Ogsb3V3/ZoJ1yQQ4mXfwq8.jpg" TargetMode="External"/><Relationship Id="rId1657" Type="http://schemas.openxmlformats.org/officeDocument/2006/relationships/hyperlink" Target="https://thumb.tapecontent.net/thumb/MqD4zGMjvoiDy8/L3VMvkDrXQtRkBm.jpg" TargetMode="External"/><Relationship Id="rId1864" Type="http://schemas.openxmlformats.org/officeDocument/2006/relationships/hyperlink" Target="https://doodstream.com/d/n8fp7pab3i6x/" TargetMode="External"/><Relationship Id="rId2708" Type="http://schemas.openxmlformats.org/officeDocument/2006/relationships/hyperlink" Target="https://thumb.tapecontent.net/thumb/xg9PxgkZLoikdaz/OJ067bm71yHZrAO.jpg" TargetMode="External"/><Relationship Id="rId2915" Type="http://schemas.openxmlformats.org/officeDocument/2006/relationships/hyperlink" Target="https://thumb.tapecontent.net/thumb/1W3VylWlBYTeZAB/PvJg03RZVoi0KzD.jpg" TargetMode="External"/><Relationship Id="rId4063" Type="http://schemas.openxmlformats.org/officeDocument/2006/relationships/hyperlink" Target="https://luluvdoo.com/d/bb1gwg4uv661" TargetMode="External"/><Relationship Id="rId4270" Type="http://schemas.openxmlformats.org/officeDocument/2006/relationships/hyperlink" Target="https://lulustream.com/e/c09qgpzah36e" TargetMode="External"/><Relationship Id="rId1517" Type="http://schemas.openxmlformats.org/officeDocument/2006/relationships/hyperlink" Target="https://thumb.tapecontent.net/thumb/GQOgQRlg39h1K86/p9pPxoA62ATX18.jpg" TargetMode="External"/><Relationship Id="rId1724" Type="http://schemas.openxmlformats.org/officeDocument/2006/relationships/hyperlink" Target="https://thumb.tapecontent.net/thumb/KyyjvYvWBdF0qkZ/MyX0LGgJWvsmR2V.jpg" TargetMode="External"/><Relationship Id="rId4130" Type="http://schemas.openxmlformats.org/officeDocument/2006/relationships/hyperlink" Target="https://doodstream.com/d/mlght2lw7ym5/" TargetMode="External"/><Relationship Id="rId16" Type="http://schemas.openxmlformats.org/officeDocument/2006/relationships/hyperlink" Target="https://lulustream.com/e/ru8de3p9o4cs" TargetMode="External"/><Relationship Id="rId1931" Type="http://schemas.openxmlformats.org/officeDocument/2006/relationships/hyperlink" Target="https://lulustream.com/d/fdu863fjx118" TargetMode="External"/><Relationship Id="rId3689" Type="http://schemas.openxmlformats.org/officeDocument/2006/relationships/hyperlink" Target="https://lulustream.com/e/re0hkt15wnzx" TargetMode="External"/><Relationship Id="rId3896" Type="http://schemas.openxmlformats.org/officeDocument/2006/relationships/hyperlink" Target="https://lulustream.com/d/lmitk4e3w1kn" TargetMode="External"/><Relationship Id="rId2498" Type="http://schemas.openxmlformats.org/officeDocument/2006/relationships/hyperlink" Target="https://lulustream.com/e/367a89s9a1oz" TargetMode="External"/><Relationship Id="rId3549" Type="http://schemas.openxmlformats.org/officeDocument/2006/relationships/hyperlink" Target="https://lulustream.com/e/s6206vzfa42e" TargetMode="External"/><Relationship Id="rId677" Type="http://schemas.openxmlformats.org/officeDocument/2006/relationships/hyperlink" Target="https://lulustream.com/e/dza91b8aeasc" TargetMode="External"/><Relationship Id="rId2358" Type="http://schemas.openxmlformats.org/officeDocument/2006/relationships/hyperlink" Target="https://lulustream.com/d/wjamdwx11sbn" TargetMode="External"/><Relationship Id="rId3756" Type="http://schemas.openxmlformats.org/officeDocument/2006/relationships/hyperlink" Target="https://luluvdoo.com/d/k0s5eduh063x" TargetMode="External"/><Relationship Id="rId3963" Type="http://schemas.openxmlformats.org/officeDocument/2006/relationships/hyperlink" Target="https://lulustream.com/d/i4uf7ctwlgga" TargetMode="External"/><Relationship Id="rId884" Type="http://schemas.openxmlformats.org/officeDocument/2006/relationships/hyperlink" Target="https://lulustream.com/e/g3v6kzlqpsgi" TargetMode="External"/><Relationship Id="rId2565" Type="http://schemas.openxmlformats.org/officeDocument/2006/relationships/hyperlink" Target="https://lulustream.com/d/yn3jhvyijuh5" TargetMode="External"/><Relationship Id="rId2772" Type="http://schemas.openxmlformats.org/officeDocument/2006/relationships/hyperlink" Target="https://lulustream.com/d/xf1qypln5o9m" TargetMode="External"/><Relationship Id="rId3409" Type="http://schemas.openxmlformats.org/officeDocument/2006/relationships/hyperlink" Target="https://lulustream.com/e/28adfgga59yg" TargetMode="External"/><Relationship Id="rId3616" Type="http://schemas.openxmlformats.org/officeDocument/2006/relationships/hyperlink" Target="https://thumb.tapecontent.net/thumb/PvqprVx6bbsGaJ/BvrLV29x1GhyBqw.jpg" TargetMode="External"/><Relationship Id="rId3823" Type="http://schemas.openxmlformats.org/officeDocument/2006/relationships/hyperlink" Target="https://lulustream.com/d/dqxy6tsreps9" TargetMode="External"/><Relationship Id="rId537" Type="http://schemas.openxmlformats.org/officeDocument/2006/relationships/hyperlink" Target="https://thumb.tapecontent.net/thumb/p8RGPzZBppcrK09/AkRR8JYxG6sXdVk.jpg" TargetMode="External"/><Relationship Id="rId744" Type="http://schemas.openxmlformats.org/officeDocument/2006/relationships/hyperlink" Target="https://thumb.tapecontent.net/thumb/kLV2JzbBy7uOv68/9kxGZPyPXPcax7q.jpg" TargetMode="External"/><Relationship Id="rId951" Type="http://schemas.openxmlformats.org/officeDocument/2006/relationships/hyperlink" Target="https://thumb.tapecontent.net/thumb/AlVzDdjBQWsX6kX/6j13oomPVqFOYD.jpg" TargetMode="External"/><Relationship Id="rId1167" Type="http://schemas.openxmlformats.org/officeDocument/2006/relationships/hyperlink" Target="https://thumb.tapecontent.net/thumb/BXpRomyvpQUyd86/GXqX2eGBg2F1e98.jpg" TargetMode="External"/><Relationship Id="rId1374" Type="http://schemas.openxmlformats.org/officeDocument/2006/relationships/hyperlink" Target="https://lulustream.com/d/8fzq6iui4tax" TargetMode="External"/><Relationship Id="rId1581" Type="http://schemas.openxmlformats.org/officeDocument/2006/relationships/hyperlink" Target="https://lulustream.com/e/9ihrxzevvq6x" TargetMode="External"/><Relationship Id="rId2218" Type="http://schemas.openxmlformats.org/officeDocument/2006/relationships/hyperlink" Target="https://thumb.tapecontent.net/thumb/9XqZ86P4LbUaeY3/pbODJM4kagcrdY0.jpg" TargetMode="External"/><Relationship Id="rId2425" Type="http://schemas.openxmlformats.org/officeDocument/2006/relationships/hyperlink" Target="https://thumb.tapecontent.net/thumb/VW97aaBVzXCz0g/R7VbAJDwg4FdzKz.jpg" TargetMode="External"/><Relationship Id="rId2632" Type="http://schemas.openxmlformats.org/officeDocument/2006/relationships/hyperlink" Target="https://lulustream.com/e/o0xd83ye106j" TargetMode="External"/><Relationship Id="rId80" Type="http://schemas.openxmlformats.org/officeDocument/2006/relationships/hyperlink" Target="https://thumb.tapecontent.net/thumb/kDgmb2y6wasO2QL/lwk6LWKJoWiAaa.jpg" TargetMode="External"/><Relationship Id="rId604" Type="http://schemas.openxmlformats.org/officeDocument/2006/relationships/hyperlink" Target="https://thumb.tapecontent.net/thumb/Mq023AdBpGHmZwV/VmAmwZ8wXQFxYq.jpg" TargetMode="External"/><Relationship Id="rId811" Type="http://schemas.openxmlformats.org/officeDocument/2006/relationships/hyperlink" Target="https://lulustream.com/d/i6xeec5re7at" TargetMode="External"/><Relationship Id="rId1027" Type="http://schemas.openxmlformats.org/officeDocument/2006/relationships/hyperlink" Target="https://doodstream.com/d/ot58q2ptj0go/" TargetMode="External"/><Relationship Id="rId1234" Type="http://schemas.openxmlformats.org/officeDocument/2006/relationships/hyperlink" Target="https://lulustream.com/d/jcedg2y4ivd2" TargetMode="External"/><Relationship Id="rId1441" Type="http://schemas.openxmlformats.org/officeDocument/2006/relationships/hyperlink" Target="https://lulustream.com/e/m511agxw55tf" TargetMode="External"/><Relationship Id="rId4597" Type="http://schemas.openxmlformats.org/officeDocument/2006/relationships/hyperlink" Target="https://doodstream.com/d/ra8geunks1i3/" TargetMode="External"/><Relationship Id="rId1301" Type="http://schemas.openxmlformats.org/officeDocument/2006/relationships/hyperlink" Target="https://thumb.tapecontent.net/thumb/1A47ZaP7ydteepJ/XBPrLj172BsDqAy.jpg" TargetMode="External"/><Relationship Id="rId3199" Type="http://schemas.openxmlformats.org/officeDocument/2006/relationships/hyperlink" Target="https://lulustream.com/d/bf1jfi923tmx" TargetMode="External"/><Relationship Id="rId4457" Type="http://schemas.openxmlformats.org/officeDocument/2006/relationships/hyperlink" Target="https://luluvdoo.com/d/i3p3z4ajxz4y" TargetMode="External"/><Relationship Id="rId4664" Type="http://schemas.openxmlformats.org/officeDocument/2006/relationships/hyperlink" Target="https://lulustream.com/e/qt4osndwmvgu" TargetMode="External"/><Relationship Id="rId3059" Type="http://schemas.openxmlformats.org/officeDocument/2006/relationships/hyperlink" Target="https://thumb.tapecontent.net/thumb/mOyMb4Z6j4CdkW/wGx8GWb2VMtWwa.jpg" TargetMode="External"/><Relationship Id="rId3266" Type="http://schemas.openxmlformats.org/officeDocument/2006/relationships/hyperlink" Target="https://doodstream.com/d/u42tsi1ptcv8/" TargetMode="External"/><Relationship Id="rId3473" Type="http://schemas.openxmlformats.org/officeDocument/2006/relationships/hyperlink" Target="https://thumb.tapecontent.net/thumb/j7wabZrML1CzyqD/ajjBrajMj7SxgPv.jpg" TargetMode="External"/><Relationship Id="rId4317" Type="http://schemas.openxmlformats.org/officeDocument/2006/relationships/hyperlink" Target="https://lulustream.com/d/asban2muqd2k" TargetMode="External"/><Relationship Id="rId4524" Type="http://schemas.openxmlformats.org/officeDocument/2006/relationships/hyperlink" Target="https://doodstream.com/d/odtx0gbhqj2f/" TargetMode="External"/><Relationship Id="rId187" Type="http://schemas.openxmlformats.org/officeDocument/2006/relationships/hyperlink" Target="https://lulustream.com/e/t6fbdavbf70e" TargetMode="External"/><Relationship Id="rId394" Type="http://schemas.openxmlformats.org/officeDocument/2006/relationships/hyperlink" Target="https://thumb.tapecontent.net/thumb/lWo7d7QgwlI7Xvj/KyddxMr70gI00xj.jpg" TargetMode="External"/><Relationship Id="rId2075" Type="http://schemas.openxmlformats.org/officeDocument/2006/relationships/hyperlink" Target="https://lulustream.com/d/uvrf1lxwqpbg" TargetMode="External"/><Relationship Id="rId2282" Type="http://schemas.openxmlformats.org/officeDocument/2006/relationships/hyperlink" Target="https://lulustream.com/e/celbs46xbu9l" TargetMode="External"/><Relationship Id="rId3126" Type="http://schemas.openxmlformats.org/officeDocument/2006/relationships/hyperlink" Target="https://doodstream.com/d/64d8ambzmhi5/" TargetMode="External"/><Relationship Id="rId3680" Type="http://schemas.openxmlformats.org/officeDocument/2006/relationships/hyperlink" Target="https://lulustream.com/e/jliiw0d6duqn" TargetMode="External"/><Relationship Id="rId4731" Type="http://schemas.openxmlformats.org/officeDocument/2006/relationships/hyperlink" Target="https://thumb.tapecontent.net/thumb/K9bJRYLgpbc0xVq/JeX8bokD3VsjYOy.jpg" TargetMode="External"/><Relationship Id="rId254" Type="http://schemas.openxmlformats.org/officeDocument/2006/relationships/hyperlink" Target="https://thumb.tapecontent.net/thumb/Qe8O3JRBgaI8rQ/8PWrRDd63oHooLx.jpg" TargetMode="External"/><Relationship Id="rId1091" Type="http://schemas.openxmlformats.org/officeDocument/2006/relationships/hyperlink" Target="https://lulustream.com/d/bh3owo0s3t7w" TargetMode="External"/><Relationship Id="rId3333" Type="http://schemas.openxmlformats.org/officeDocument/2006/relationships/hyperlink" Target="https://lulustream.com/d/jxhtpkz1p5f9" TargetMode="External"/><Relationship Id="rId3540" Type="http://schemas.openxmlformats.org/officeDocument/2006/relationships/hyperlink" Target="https://doodstream.com/d/u0hfkr8yzd1x/" TargetMode="External"/><Relationship Id="rId114" Type="http://schemas.openxmlformats.org/officeDocument/2006/relationships/hyperlink" Target="https://thumb.tapecontent.net/thumb/7Po6mgVeJOtA084/6KA3aRVzWet9DBk.jpg" TargetMode="External"/><Relationship Id="rId461" Type="http://schemas.openxmlformats.org/officeDocument/2006/relationships/hyperlink" Target="https://streamtape.com/v/Zy9GdeMR0GiqLGB/Angela_White_-_61262797_-_ripnsfw.com" TargetMode="External"/><Relationship Id="rId2142" Type="http://schemas.openxmlformats.org/officeDocument/2006/relationships/hyperlink" Target="https://doodstream.com/d/h103alsng1vw/" TargetMode="External"/><Relationship Id="rId3400" Type="http://schemas.openxmlformats.org/officeDocument/2006/relationships/hyperlink" Target="https://doodstream.com/d/cls8jbkl17oj/" TargetMode="External"/><Relationship Id="rId321" Type="http://schemas.openxmlformats.org/officeDocument/2006/relationships/hyperlink" Target="https://doodstream.com/d/qrxa0x6t4i85/" TargetMode="External"/><Relationship Id="rId2002" Type="http://schemas.openxmlformats.org/officeDocument/2006/relationships/hyperlink" Target="https://thumb.tapecontent.net/thumb/p71KkabodmfraJX/q7xdWrwJr4CzJOB.jpg" TargetMode="External"/><Relationship Id="rId2959" Type="http://schemas.openxmlformats.org/officeDocument/2006/relationships/hyperlink" Target="https://doodstream.com/d/d9ue7865uo0l/" TargetMode="External"/><Relationship Id="rId1768" Type="http://schemas.openxmlformats.org/officeDocument/2006/relationships/hyperlink" Target="https://doodstream.com/d/0cm9ak7bfzra/" TargetMode="External"/><Relationship Id="rId2819" Type="http://schemas.openxmlformats.org/officeDocument/2006/relationships/hyperlink" Target="https://doodstream.com/d/avtlikmgxxfc/" TargetMode="External"/><Relationship Id="rId4174" Type="http://schemas.openxmlformats.org/officeDocument/2006/relationships/hyperlink" Target="https://lulustream.com/e/vl8a0z3i2fz5" TargetMode="External"/><Relationship Id="rId4381" Type="http://schemas.openxmlformats.org/officeDocument/2006/relationships/hyperlink" Target="https://doodstream.com/d/6w27p3t1lqgl/" TargetMode="External"/><Relationship Id="rId1628" Type="http://schemas.openxmlformats.org/officeDocument/2006/relationships/hyperlink" Target="https://thumb.tapecontent.net/thumb/8KRDlXO4j7Howjl/YO7YpVxDXrHv9P2.jpg" TargetMode="External"/><Relationship Id="rId1975" Type="http://schemas.openxmlformats.org/officeDocument/2006/relationships/hyperlink" Target="https://doodstream.com/d/bsnptrykx048/" TargetMode="External"/><Relationship Id="rId3190" Type="http://schemas.openxmlformats.org/officeDocument/2006/relationships/hyperlink" Target="https://doodstream.com/d/qkzpwznja4ws/" TargetMode="External"/><Relationship Id="rId4034" Type="http://schemas.openxmlformats.org/officeDocument/2006/relationships/hyperlink" Target="https://lulustream.com/d/57evcma5wp6a" TargetMode="External"/><Relationship Id="rId4241" Type="http://schemas.openxmlformats.org/officeDocument/2006/relationships/hyperlink" Target="https://lulustream.com/d/0of288be0ker" TargetMode="External"/><Relationship Id="rId1835" Type="http://schemas.openxmlformats.org/officeDocument/2006/relationships/hyperlink" Target="https://lulustream.com/e/s4mxuqnmpgpk" TargetMode="External"/><Relationship Id="rId3050" Type="http://schemas.openxmlformats.org/officeDocument/2006/relationships/hyperlink" Target="https://thumb.tapecontent.net/thumb/OxK128PJ39tZyoB/GkY2OGx4XXtovW.jpg" TargetMode="External"/><Relationship Id="rId4101" Type="http://schemas.openxmlformats.org/officeDocument/2006/relationships/hyperlink" Target="https://lulustream.com/e/gkylvh33pstw" TargetMode="External"/><Relationship Id="rId1902" Type="http://schemas.openxmlformats.org/officeDocument/2006/relationships/hyperlink" Target="https://thumb.tapecontent.net/thumb/PrkXLOloMpf01W3/gqyP8kjj0vTqWgr.jpg" TargetMode="External"/><Relationship Id="rId3867" Type="http://schemas.openxmlformats.org/officeDocument/2006/relationships/hyperlink" Target="https://thumb.tapecontent.net/thumb/VPPAJDW6MrSy60/QyZoB66w6VCAJx.jpg" TargetMode="External"/><Relationship Id="rId788" Type="http://schemas.openxmlformats.org/officeDocument/2006/relationships/hyperlink" Target="https://thumb.tapecontent.net/thumb/dVZeRywGXKSkvKk/Mx42wr71K1cm8p3.jpg" TargetMode="External"/><Relationship Id="rId995" Type="http://schemas.openxmlformats.org/officeDocument/2006/relationships/hyperlink" Target="https://doodstream.com/d/y7u09jf0qx1m/" TargetMode="External"/><Relationship Id="rId2469" Type="http://schemas.openxmlformats.org/officeDocument/2006/relationships/hyperlink" Target="https://doodstream.com/d/v5ht1sjpj9bd/" TargetMode="External"/><Relationship Id="rId2676" Type="http://schemas.openxmlformats.org/officeDocument/2006/relationships/hyperlink" Target="https://thumb.tapecontent.net/thumb/080pPGJWQwsbblV/1qLjZLrL3Ksekx3.jpg" TargetMode="External"/><Relationship Id="rId2883" Type="http://schemas.openxmlformats.org/officeDocument/2006/relationships/hyperlink" Target="https://lulustream.com/d/g7a2muj131ae" TargetMode="External"/><Relationship Id="rId3727" Type="http://schemas.openxmlformats.org/officeDocument/2006/relationships/hyperlink" Target="https://doodstream.com/d/0j0fyvp527yf/" TargetMode="External"/><Relationship Id="rId3934" Type="http://schemas.openxmlformats.org/officeDocument/2006/relationships/hyperlink" Target="https://thumb.tapecontent.net/thumb/KQ8dlWLZp7f0d19/QgRbaDRbe4FG4d.jpg" TargetMode="External"/><Relationship Id="rId648" Type="http://schemas.openxmlformats.org/officeDocument/2006/relationships/hyperlink" Target="https://thumb.tapecontent.net/thumb/4yQlYaXMVkfKYJW/QaQVkVk97Big7Z.jpg" TargetMode="External"/><Relationship Id="rId855" Type="http://schemas.openxmlformats.org/officeDocument/2006/relationships/hyperlink" Target="https://lulustream.com/d/iqxxod9xv36q" TargetMode="External"/><Relationship Id="rId1278" Type="http://schemas.openxmlformats.org/officeDocument/2006/relationships/hyperlink" Target="https://thumb.tapecontent.net/thumb/8z2a6jYq3RfoLAZ/vk48M30dVyCBoD.jpg" TargetMode="External"/><Relationship Id="rId1485" Type="http://schemas.openxmlformats.org/officeDocument/2006/relationships/hyperlink" Target="https://thumb.tapecontent.net/thumb/Q1y0bKQaZvi0Z3a/grKlbYj1jLSqbxj.jpg" TargetMode="External"/><Relationship Id="rId1692" Type="http://schemas.openxmlformats.org/officeDocument/2006/relationships/hyperlink" Target="https://thumb.tapecontent.net/thumb/41Px8qOaX8iKYxQ/ew6QAroqyaiY4lQ.jpg" TargetMode="External"/><Relationship Id="rId2329" Type="http://schemas.openxmlformats.org/officeDocument/2006/relationships/hyperlink" Target="https://lulustream.com/e/gt21c8hsil1d" TargetMode="External"/><Relationship Id="rId2536" Type="http://schemas.openxmlformats.org/officeDocument/2006/relationships/hyperlink" Target="https://lulustream.com/e/zhwbu0521mxc" TargetMode="External"/><Relationship Id="rId2743" Type="http://schemas.openxmlformats.org/officeDocument/2006/relationships/hyperlink" Target="https://thumb.tapecontent.net/thumb/1qd4BQgDJ6ueKol/Mk8dpbZeR0imZ2V.jpg" TargetMode="External"/><Relationship Id="rId508" Type="http://schemas.openxmlformats.org/officeDocument/2006/relationships/hyperlink" Target="https://streamtape.com/v/Akq61vXjxbsXR6V/Angela_White_-_83220983_-_ripnsfw.com.mp4" TargetMode="External"/><Relationship Id="rId715" Type="http://schemas.openxmlformats.org/officeDocument/2006/relationships/hyperlink" Target="https://lulustream.com/e/i6s4v8tygvi2" TargetMode="External"/><Relationship Id="rId922" Type="http://schemas.openxmlformats.org/officeDocument/2006/relationships/hyperlink" Target="https://doodstream.com/d/j5wxphwlxduj/" TargetMode="External"/><Relationship Id="rId1138" Type="http://schemas.openxmlformats.org/officeDocument/2006/relationships/hyperlink" Target="https://thumb.tapecontent.net/thumb/qg7PqyWjpmTzQx6/gly1Bx6KpVfvdp.jpg" TargetMode="External"/><Relationship Id="rId1345" Type="http://schemas.openxmlformats.org/officeDocument/2006/relationships/hyperlink" Target="https://lulustream.com/e/tkyiqd7pau1o" TargetMode="External"/><Relationship Id="rId1552" Type="http://schemas.openxmlformats.org/officeDocument/2006/relationships/hyperlink" Target="https://thumb.tapecontent.net/thumb/aYk16KXArdcx1b6/xXVO764gLJikMro.jpg" TargetMode="External"/><Relationship Id="rId2603" Type="http://schemas.openxmlformats.org/officeDocument/2006/relationships/hyperlink" Target="https://thumb.tapecontent.net/thumb/zK107avd9jTYBvP/MkJGrewk2AtGXy.jpg" TargetMode="External"/><Relationship Id="rId2950" Type="http://schemas.openxmlformats.org/officeDocument/2006/relationships/hyperlink" Target="https://thumb.tapecontent.net/thumb/Kw01LOl6PpS08eK/RDOa1Rm7XPtdwK7.jpg" TargetMode="External"/><Relationship Id="rId1205" Type="http://schemas.openxmlformats.org/officeDocument/2006/relationships/hyperlink" Target="https://lulustream.com/d/4s9yan8wgi8c" TargetMode="External"/><Relationship Id="rId2810" Type="http://schemas.openxmlformats.org/officeDocument/2006/relationships/hyperlink" Target="https://thumb.tapecontent.net/thumb/xmxMeGlJakukBQl/lPQKyVvAPYh7Qkq.jpg" TargetMode="External"/><Relationship Id="rId4568" Type="http://schemas.openxmlformats.org/officeDocument/2006/relationships/hyperlink" Target="https://doodstream.com/d/f0mbi0d1loak/" TargetMode="External"/><Relationship Id="rId51" Type="http://schemas.openxmlformats.org/officeDocument/2006/relationships/hyperlink" Target="https://doodstream.com/d/tsuzf5cud37n/" TargetMode="External"/><Relationship Id="rId1412" Type="http://schemas.openxmlformats.org/officeDocument/2006/relationships/hyperlink" Target="https://thumb.tapecontent.net/thumb/4Awe04dDOmFK4Mo/2kK447bJxMIWOJ.jpg" TargetMode="External"/><Relationship Id="rId3377" Type="http://schemas.openxmlformats.org/officeDocument/2006/relationships/hyperlink" Target="https://lulustream.com/e/1jrb9yqq7uek" TargetMode="External"/><Relationship Id="rId4775" Type="http://schemas.openxmlformats.org/officeDocument/2006/relationships/hyperlink" Target="https://lulustream.com/d/mxz0ouee6tb2" TargetMode="External"/><Relationship Id="rId298" Type="http://schemas.openxmlformats.org/officeDocument/2006/relationships/hyperlink" Target="https://thumb.tapecontent.net/thumb/O7KmKOd190fZO6b/YK1DkBk3OJCvYrd.jpg" TargetMode="External"/><Relationship Id="rId3584" Type="http://schemas.openxmlformats.org/officeDocument/2006/relationships/hyperlink" Target="https://lulustream.com/d/s86gmzjv129p" TargetMode="External"/><Relationship Id="rId3791" Type="http://schemas.openxmlformats.org/officeDocument/2006/relationships/hyperlink" Target="https://doodstream.com/d/yxoa43oblyyj/" TargetMode="External"/><Relationship Id="rId4428" Type="http://schemas.openxmlformats.org/officeDocument/2006/relationships/hyperlink" Target="https://thumb.tapecontent.net/thumb/g1pKlp04Q9IqRxj/3P8yLZ0WVasdmj2.jpg" TargetMode="External"/><Relationship Id="rId4635" Type="http://schemas.openxmlformats.org/officeDocument/2006/relationships/hyperlink" Target="https://lulustream.com/e/25j6wvyvayo4" TargetMode="External"/><Relationship Id="rId158" Type="http://schemas.openxmlformats.org/officeDocument/2006/relationships/hyperlink" Target="https://lulustream.com/e/4q5uk1gmojyz" TargetMode="External"/><Relationship Id="rId2186" Type="http://schemas.openxmlformats.org/officeDocument/2006/relationships/hyperlink" Target="https://lulustream.com/d/4hj59jf1nb7e" TargetMode="External"/><Relationship Id="rId2393" Type="http://schemas.openxmlformats.org/officeDocument/2006/relationships/hyperlink" Target="https://lulustream.com/d/ka3onfa1g1m6" TargetMode="External"/><Relationship Id="rId3237" Type="http://schemas.openxmlformats.org/officeDocument/2006/relationships/hyperlink" Target="https://lulustream.com/e/2bcobaa1diie" TargetMode="External"/><Relationship Id="rId3444" Type="http://schemas.openxmlformats.org/officeDocument/2006/relationships/hyperlink" Target="https://thumb.tapecontent.net/thumb/aG1xDRk8AxTxK2D/Q202arjwzjU0zRw.jpg" TargetMode="External"/><Relationship Id="rId3651" Type="http://schemas.openxmlformats.org/officeDocument/2006/relationships/hyperlink" Target="https://thumb.tapecontent.net/thumb/O78kMLQ8Gqfzoo/2VJV7AJyBMcZl2r.jpg" TargetMode="External"/><Relationship Id="rId4702" Type="http://schemas.openxmlformats.org/officeDocument/2006/relationships/hyperlink" Target="https://lulustream.com/d/k661x2wa5dy0" TargetMode="External"/><Relationship Id="rId365" Type="http://schemas.openxmlformats.org/officeDocument/2006/relationships/hyperlink" Target="https://luluvdoo.com/d/4hcb18eikve5" TargetMode="External"/><Relationship Id="rId572" Type="http://schemas.openxmlformats.org/officeDocument/2006/relationships/hyperlink" Target="https://lulustream.com/e/17oed5pv41is" TargetMode="External"/><Relationship Id="rId2046" Type="http://schemas.openxmlformats.org/officeDocument/2006/relationships/hyperlink" Target="https://thumb.tapecontent.net/thumb/q8yMX9qgzocLA2/2Vg3KweJllHZ3lr.jpg" TargetMode="External"/><Relationship Id="rId2253" Type="http://schemas.openxmlformats.org/officeDocument/2006/relationships/hyperlink" Target="https://lulustream.com/e/59j1remf74ej" TargetMode="External"/><Relationship Id="rId2460" Type="http://schemas.openxmlformats.org/officeDocument/2006/relationships/hyperlink" Target="https://lulustream.com/e/q6q19pni0pxp" TargetMode="External"/><Relationship Id="rId3304" Type="http://schemas.openxmlformats.org/officeDocument/2006/relationships/hyperlink" Target="https://thumb.tapecontent.net/thumb/rApDAM8mB9cbRKA/g3jGwwJZM0TBVz.jpg" TargetMode="External"/><Relationship Id="rId3511" Type="http://schemas.openxmlformats.org/officeDocument/2006/relationships/hyperlink" Target="https://thumb.tapecontent.net/thumb/JX7R0rVWzvhj329/MaQKJakAzouoBy.jpg" TargetMode="External"/><Relationship Id="rId225" Type="http://schemas.openxmlformats.org/officeDocument/2006/relationships/hyperlink" Target="https://thumb.tapecontent.net/thumb/jk7X9zP6Dpuq3V/PrBGZdOQRRF0w13.jpg" TargetMode="External"/><Relationship Id="rId432" Type="http://schemas.openxmlformats.org/officeDocument/2006/relationships/hyperlink" Target="https://streamtape.com/v/QJyRR4zybac0Mm3/Angela_White_-_39465727_-_ripnsfw.com_-_Amber_Bloom.mp4" TargetMode="External"/><Relationship Id="rId1062" Type="http://schemas.openxmlformats.org/officeDocument/2006/relationships/hyperlink" Target="https://doodstream.com/d/3y11nzyqb6z7/" TargetMode="External"/><Relationship Id="rId2113" Type="http://schemas.openxmlformats.org/officeDocument/2006/relationships/hyperlink" Target="https://doodstream.com/d/5395wxwmlk02/" TargetMode="External"/><Relationship Id="rId2320" Type="http://schemas.openxmlformats.org/officeDocument/2006/relationships/hyperlink" Target="https://lulustream.com/d/c5j2zl1cxmmw" TargetMode="External"/><Relationship Id="rId4078" Type="http://schemas.openxmlformats.org/officeDocument/2006/relationships/hyperlink" Target="https://doodstream.com/d/8qyqaoplk0ip/" TargetMode="External"/><Relationship Id="rId4285" Type="http://schemas.openxmlformats.org/officeDocument/2006/relationships/hyperlink" Target="https://lulustream.com/e/i6nr7x4814p9" TargetMode="External"/><Relationship Id="rId4492" Type="http://schemas.openxmlformats.org/officeDocument/2006/relationships/hyperlink" Target="https://luluvdoo.com/d/3btbwzexvkfb" TargetMode="External"/><Relationship Id="rId1879" Type="http://schemas.openxmlformats.org/officeDocument/2006/relationships/hyperlink" Target="https://doodstream.com/d/ai82j70tu3xf/" TargetMode="External"/><Relationship Id="rId3094" Type="http://schemas.openxmlformats.org/officeDocument/2006/relationships/hyperlink" Target="https://doodstream.com/d/wz2pocnou9xu/" TargetMode="External"/><Relationship Id="rId4145" Type="http://schemas.openxmlformats.org/officeDocument/2006/relationships/hyperlink" Target="https://doodstream.com/d/mcldvs09pi9h/" TargetMode="External"/><Relationship Id="rId1739" Type="http://schemas.openxmlformats.org/officeDocument/2006/relationships/hyperlink" Target="https://thumb.tapecontent.net/thumb/qrVoPddRPeUz9DJ/ZVrYKzJB30UBXb.jpg" TargetMode="External"/><Relationship Id="rId1946" Type="http://schemas.openxmlformats.org/officeDocument/2006/relationships/hyperlink" Target="https://doodstream.com/d/amt58rt8q694/" TargetMode="External"/><Relationship Id="rId4005" Type="http://schemas.openxmlformats.org/officeDocument/2006/relationships/hyperlink" Target="https://doodstream.com/d/ju98yk3k8qj9/" TargetMode="External"/><Relationship Id="rId4352" Type="http://schemas.openxmlformats.org/officeDocument/2006/relationships/hyperlink" Target="https://doodstream.com/d/39vr2icmue30/" TargetMode="External"/><Relationship Id="rId1806" Type="http://schemas.openxmlformats.org/officeDocument/2006/relationships/hyperlink" Target="https://thumb.tapecontent.net/thumb/1B0MQq8wwzfePYV/yB6RorgOLgc1bKm.jpg" TargetMode="External"/><Relationship Id="rId3161" Type="http://schemas.openxmlformats.org/officeDocument/2006/relationships/hyperlink" Target="https://lulustream.com/e/mcjtcfnurwa5" TargetMode="External"/><Relationship Id="rId4212" Type="http://schemas.openxmlformats.org/officeDocument/2006/relationships/hyperlink" Target="https://thumb.tapecontent.net/thumb/Wbr0Y3BV6kib8AX/Xyz22YPQXYSzrq.jpg" TargetMode="External"/><Relationship Id="rId3021" Type="http://schemas.openxmlformats.org/officeDocument/2006/relationships/hyperlink" Target="https://thumb.tapecontent.net/thumb/aqpYVopKRgIxLdP/J3AQWBRa6kSroO.jpg" TargetMode="External"/><Relationship Id="rId3978" Type="http://schemas.openxmlformats.org/officeDocument/2006/relationships/hyperlink" Target="https://lulustream.com/d/dn9xr7xwfsjb" TargetMode="External"/><Relationship Id="rId899" Type="http://schemas.openxmlformats.org/officeDocument/2006/relationships/hyperlink" Target="https://luluvdoo.com/d/9r8ae03ec8kf" TargetMode="External"/><Relationship Id="rId2787" Type="http://schemas.openxmlformats.org/officeDocument/2006/relationships/hyperlink" Target="https://doodstream.com/d/7x9wwze74u09/" TargetMode="External"/><Relationship Id="rId3838" Type="http://schemas.openxmlformats.org/officeDocument/2006/relationships/hyperlink" Target="https://thumb.tapecontent.net/thumb/1WGK6mj0dAheK9a/vlqew3J9q9f4XeA.jpg" TargetMode="External"/><Relationship Id="rId759" Type="http://schemas.openxmlformats.org/officeDocument/2006/relationships/hyperlink" Target="https://lulustream.com/d/hketa2nn6alc" TargetMode="External"/><Relationship Id="rId966" Type="http://schemas.openxmlformats.org/officeDocument/2006/relationships/hyperlink" Target="https://luluvdoo.com/d/s2bpijv960o3" TargetMode="External"/><Relationship Id="rId1389" Type="http://schemas.openxmlformats.org/officeDocument/2006/relationships/hyperlink" Target="https://lulustream.com/d/y4j2hpwror0a" TargetMode="External"/><Relationship Id="rId1596" Type="http://schemas.openxmlformats.org/officeDocument/2006/relationships/hyperlink" Target="https://thumb.tapecontent.net/thumb/yxKYZ31LLxcwjX/P8J71lvp9Bh06xj.jpg" TargetMode="External"/><Relationship Id="rId2647" Type="http://schemas.openxmlformats.org/officeDocument/2006/relationships/hyperlink" Target="https://thumb.tapecontent.net/thumb/WqvqDyrrMJCbvW9/lw9lbP4Zblc7k1x.jpg" TargetMode="External"/><Relationship Id="rId2994" Type="http://schemas.openxmlformats.org/officeDocument/2006/relationships/hyperlink" Target="https://thumb.tapecontent.net/thumb/yPL2OkdmrrTkZG/pYMV3OMoeDTr9vB.jpg" TargetMode="External"/><Relationship Id="rId619" Type="http://schemas.openxmlformats.org/officeDocument/2006/relationships/hyperlink" Target="https://lulustream.com/d/qepwl9pwxr33" TargetMode="External"/><Relationship Id="rId1249" Type="http://schemas.openxmlformats.org/officeDocument/2006/relationships/hyperlink" Target="https://doodstream.com/d/7sauzo2y9xq0/" TargetMode="External"/><Relationship Id="rId2854" Type="http://schemas.openxmlformats.org/officeDocument/2006/relationships/hyperlink" Target="https://thumb.tapecontent.net/thumb/LpxwvBKdBefbdg/0RQLM0DJBDib4M4.jpg" TargetMode="External"/><Relationship Id="rId3905" Type="http://schemas.openxmlformats.org/officeDocument/2006/relationships/hyperlink" Target="https://lulustream.com/d/y9onmiw165r7" TargetMode="External"/><Relationship Id="rId95" Type="http://schemas.openxmlformats.org/officeDocument/2006/relationships/hyperlink" Target="https://doodstream.com/d/wjk5xqxhiaxc/" TargetMode="External"/><Relationship Id="rId826" Type="http://schemas.openxmlformats.org/officeDocument/2006/relationships/hyperlink" Target="https://doodstream.com/d/dryl9ccoo94l/" TargetMode="External"/><Relationship Id="rId1109" Type="http://schemas.openxmlformats.org/officeDocument/2006/relationships/hyperlink" Target="https://thumb.tapecontent.net/thumb/KydkRw91ejFa4Q/eKorQpZ6Z2sYbkB.jpg" TargetMode="External"/><Relationship Id="rId1456" Type="http://schemas.openxmlformats.org/officeDocument/2006/relationships/hyperlink" Target="https://lulustream.com/e/u5jw2i8engq0" TargetMode="External"/><Relationship Id="rId1663" Type="http://schemas.openxmlformats.org/officeDocument/2006/relationships/hyperlink" Target="https://thumb.tapecontent.net/thumb/9eJYbBjplGFaerj/ApB18vjDY3UXYdv.jpg" TargetMode="External"/><Relationship Id="rId1870" Type="http://schemas.openxmlformats.org/officeDocument/2006/relationships/hyperlink" Target="https://doodstream.com/d/s0f4ydp8uigy/" TargetMode="External"/><Relationship Id="rId2507" Type="http://schemas.openxmlformats.org/officeDocument/2006/relationships/hyperlink" Target="https://lulustream.com/d/npyhdtawmaz5" TargetMode="External"/><Relationship Id="rId2714" Type="http://schemas.openxmlformats.org/officeDocument/2006/relationships/hyperlink" Target="https://lulustream.com/d/evgh1gvv9k89" TargetMode="External"/><Relationship Id="rId2921" Type="http://schemas.openxmlformats.org/officeDocument/2006/relationships/hyperlink" Target="https://thumb.tapecontent.net/thumb/A6jo748V12FDGm/gYzXGmR71PUqMOy.jpg" TargetMode="External"/><Relationship Id="rId1316" Type="http://schemas.openxmlformats.org/officeDocument/2006/relationships/hyperlink" Target="https://thumb.tapecontent.net/thumb/O1648eM0WRCZbK6/P6JRV24pBzsBPo.jpg" TargetMode="External"/><Relationship Id="rId1523" Type="http://schemas.openxmlformats.org/officeDocument/2006/relationships/hyperlink" Target="https://thumb.tapecontent.net/thumb/a2OeQK1qj6cxDky/0rYv1v3wjRHbdW9.jpg" TargetMode="External"/><Relationship Id="rId1730" Type="http://schemas.openxmlformats.org/officeDocument/2006/relationships/hyperlink" Target="https://doodstream.com/d/dpv41a4vkdnl/" TargetMode="External"/><Relationship Id="rId4679" Type="http://schemas.openxmlformats.org/officeDocument/2006/relationships/hyperlink" Target="https://thumb.tapecontent.net/thumb/ZbDxXrj6vxFRbw/vVkARAobGkf4RvO.jpg" TargetMode="External"/><Relationship Id="rId22" Type="http://schemas.openxmlformats.org/officeDocument/2006/relationships/hyperlink" Target="https://thumb.tapecontent.net/thumb/pY1k88evJpSWml/agQWmyXolkFx1g2.jpg" TargetMode="External"/><Relationship Id="rId3488" Type="http://schemas.openxmlformats.org/officeDocument/2006/relationships/hyperlink" Target="https://thumb.tapecontent.net/thumb/vrz0lXeoAQi4e84/2DZ41BX44lCZgyx.jpg" TargetMode="External"/><Relationship Id="rId3695" Type="http://schemas.openxmlformats.org/officeDocument/2006/relationships/hyperlink" Target="https://thumb.tapecontent.net/thumb/0eovZdWyBksb1lk/gjXYMAGARqFqW7V.jpg" TargetMode="External"/><Relationship Id="rId4539" Type="http://schemas.openxmlformats.org/officeDocument/2006/relationships/hyperlink" Target="https://luluvdoo.com/d/29rraopezcwp" TargetMode="External"/><Relationship Id="rId4746" Type="http://schemas.openxmlformats.org/officeDocument/2006/relationships/hyperlink" Target="https://lulustream.com/d/ievnfaseak1q" TargetMode="External"/><Relationship Id="rId2297" Type="http://schemas.openxmlformats.org/officeDocument/2006/relationships/hyperlink" Target="https://lulustream.com/d/kimozw1tpgcs" TargetMode="External"/><Relationship Id="rId3348" Type="http://schemas.openxmlformats.org/officeDocument/2006/relationships/hyperlink" Target="https://lulustream.com/e/q21inkr1yh12" TargetMode="External"/><Relationship Id="rId3555" Type="http://schemas.openxmlformats.org/officeDocument/2006/relationships/hyperlink" Target="https://lulustream.com/e/62bxb1q34bb6" TargetMode="External"/><Relationship Id="rId3762" Type="http://schemas.openxmlformats.org/officeDocument/2006/relationships/hyperlink" Target="https://luluvdoo.com/d/tjf818nrj4bx" TargetMode="External"/><Relationship Id="rId4606" Type="http://schemas.openxmlformats.org/officeDocument/2006/relationships/hyperlink" Target="https://lulustream.com/d/yeoi6r0sxx9i" TargetMode="External"/><Relationship Id="rId269" Type="http://schemas.openxmlformats.org/officeDocument/2006/relationships/hyperlink" Target="https://lulustream.com/e/buz49esw3qem" TargetMode="External"/><Relationship Id="rId476" Type="http://schemas.openxmlformats.org/officeDocument/2006/relationships/hyperlink" Target="https://thumb.tapecontent.net/thumb/BQ60ZVXjOJtVYX/61kZW6xx1vt9BZ4.jpg" TargetMode="External"/><Relationship Id="rId683" Type="http://schemas.openxmlformats.org/officeDocument/2006/relationships/hyperlink" Target="https://doodstream.com/d/lsmpbgkrifw4/" TargetMode="External"/><Relationship Id="rId890" Type="http://schemas.openxmlformats.org/officeDocument/2006/relationships/hyperlink" Target="https://lulustream.com/e/nux1a2mpa6cy" TargetMode="External"/><Relationship Id="rId2157" Type="http://schemas.openxmlformats.org/officeDocument/2006/relationships/hyperlink" Target="https://lulustream.com/e/sw0vc5lwtesy" TargetMode="External"/><Relationship Id="rId2364" Type="http://schemas.openxmlformats.org/officeDocument/2006/relationships/hyperlink" Target="https://lulustream.com/e/759td9jv8ygk" TargetMode="External"/><Relationship Id="rId2571" Type="http://schemas.openxmlformats.org/officeDocument/2006/relationships/hyperlink" Target="https://lulustream.com/e/cx2itdjo478m" TargetMode="External"/><Relationship Id="rId3208" Type="http://schemas.openxmlformats.org/officeDocument/2006/relationships/hyperlink" Target="https://thumb.tapecontent.net/thumb/AAX8rdAkY0tXL44/XxWVO6kkqaSAoP.jpg" TargetMode="External"/><Relationship Id="rId3415" Type="http://schemas.openxmlformats.org/officeDocument/2006/relationships/hyperlink" Target="https://lulustream.com/e/kxgeoripjmra" TargetMode="External"/><Relationship Id="rId129" Type="http://schemas.openxmlformats.org/officeDocument/2006/relationships/hyperlink" Target="https://lulustream.com/d/m7tm077lrbp0" TargetMode="External"/><Relationship Id="rId336" Type="http://schemas.openxmlformats.org/officeDocument/2006/relationships/hyperlink" Target="https://luluvdoo.com/d/t4irkhf872pu" TargetMode="External"/><Relationship Id="rId543" Type="http://schemas.openxmlformats.org/officeDocument/2006/relationships/hyperlink" Target="https://streamtape.com/v/gVM0z6Ra7lC9jl/Angela_White_-_99679909_-_Onlyfans_-_Lily_Starfire.mp4" TargetMode="External"/><Relationship Id="rId1173" Type="http://schemas.openxmlformats.org/officeDocument/2006/relationships/hyperlink" Target="https://doodstream.com/d/vhhvgniborwr/" TargetMode="External"/><Relationship Id="rId1380" Type="http://schemas.openxmlformats.org/officeDocument/2006/relationships/hyperlink" Target="https://lulustream.com/e/f35ikzq5o34q" TargetMode="External"/><Relationship Id="rId2017" Type="http://schemas.openxmlformats.org/officeDocument/2006/relationships/hyperlink" Target="https://thumb.tapecontent.net/thumb/YgwMpdQYqWFvAZA/9pB7X404aRCZMK.jpg" TargetMode="External"/><Relationship Id="rId2224" Type="http://schemas.openxmlformats.org/officeDocument/2006/relationships/hyperlink" Target="https://thumb.tapecontent.net/thumb/J06o1MZYa0CjWmb/74PPp1Y3PmIAKr1.jpg" TargetMode="External"/><Relationship Id="rId3622" Type="http://schemas.openxmlformats.org/officeDocument/2006/relationships/hyperlink" Target="https://thumb.tapecontent.net/thumb/lr1mjR0ervF7KbO/m6qQ620JX2Hbxz9.jpg" TargetMode="External"/><Relationship Id="rId403" Type="http://schemas.openxmlformats.org/officeDocument/2006/relationships/hyperlink" Target="https://streamtape.com/v/2PZPxzLJeMFZOeR/Angela_White_-_25752245_-_ripnsfw.com.mp4" TargetMode="External"/><Relationship Id="rId750" Type="http://schemas.openxmlformats.org/officeDocument/2006/relationships/hyperlink" Target="https://lulustream.com/d/oekuwoq8n92t" TargetMode="External"/><Relationship Id="rId1033" Type="http://schemas.openxmlformats.org/officeDocument/2006/relationships/hyperlink" Target="https://luluvdoo.com/d/llz6g3hvo265" TargetMode="External"/><Relationship Id="rId2431" Type="http://schemas.openxmlformats.org/officeDocument/2006/relationships/hyperlink" Target="https://thumb.tapecontent.net/thumb/dpxR2PP2OgckYaR/q6YMadWXwMizGk8.jpg" TargetMode="External"/><Relationship Id="rId4189" Type="http://schemas.openxmlformats.org/officeDocument/2006/relationships/hyperlink" Target="https://lulustream.com/e/qk2h33w8zuxr" TargetMode="External"/><Relationship Id="rId610" Type="http://schemas.openxmlformats.org/officeDocument/2006/relationships/hyperlink" Target="https://doodstream.com/d/62354t0614o4/" TargetMode="External"/><Relationship Id="rId1240" Type="http://schemas.openxmlformats.org/officeDocument/2006/relationships/hyperlink" Target="https://lulustream.com/e/tjxvok0oyasd" TargetMode="External"/><Relationship Id="rId4049" Type="http://schemas.openxmlformats.org/officeDocument/2006/relationships/hyperlink" Target="https://thumb.tapecontent.net/thumb/3WkvqW2Kq9sdZ8r/Okm3VRGjKmsZqBe.jpg" TargetMode="External"/><Relationship Id="rId4396" Type="http://schemas.openxmlformats.org/officeDocument/2006/relationships/hyperlink" Target="https://thumb.tapecontent.net/thumb/e2Xw1wP70GsYr9G/3q9x4PYXdjTdzk1.jpg" TargetMode="External"/><Relationship Id="rId1100" Type="http://schemas.openxmlformats.org/officeDocument/2006/relationships/hyperlink" Target="https://lulustream.com/e/j6il4dcvsnmh" TargetMode="External"/><Relationship Id="rId4256" Type="http://schemas.openxmlformats.org/officeDocument/2006/relationships/hyperlink" Target="https://lulustream.com/e/r5ejl2w5b76u" TargetMode="External"/><Relationship Id="rId4463" Type="http://schemas.openxmlformats.org/officeDocument/2006/relationships/hyperlink" Target="https://thumb.tapecontent.net/thumb/oegp3bxpX1sJwj2/8zxv4yXlb1somdj.jpg" TargetMode="External"/><Relationship Id="rId4670" Type="http://schemas.openxmlformats.org/officeDocument/2006/relationships/hyperlink" Target="https://thumb.tapecontent.net/thumb/RmPQ0adzWgcdbaV/qyGYOaa73ZtL2B.jpg" TargetMode="External"/><Relationship Id="rId1917" Type="http://schemas.openxmlformats.org/officeDocument/2006/relationships/hyperlink" Target="https://thumb.tapecontent.net/thumb/9RLMgeJXv1U91V/PWvVVv9dDafBeY.jpg" TargetMode="External"/><Relationship Id="rId3065" Type="http://schemas.openxmlformats.org/officeDocument/2006/relationships/hyperlink" Target="https://thumb.tapecontent.net/thumb/3wJKvGebqZUdedg/GwX02AK2JBc1RyQ.jpg" TargetMode="External"/><Relationship Id="rId3272" Type="http://schemas.openxmlformats.org/officeDocument/2006/relationships/hyperlink" Target="https://doodstream.com/d/xeuds0sc80z5/" TargetMode="External"/><Relationship Id="rId4116" Type="http://schemas.openxmlformats.org/officeDocument/2006/relationships/hyperlink" Target="https://lulustream.com/e/5qr1d682estt" TargetMode="External"/><Relationship Id="rId4323" Type="http://schemas.openxmlformats.org/officeDocument/2006/relationships/hyperlink" Target="https://thumb.tapecontent.net/thumb/k9gAArzxpyFO44M/WqKG22VDK8TQZV.jpg" TargetMode="External"/><Relationship Id="rId4530" Type="http://schemas.openxmlformats.org/officeDocument/2006/relationships/hyperlink" Target="https://doodstream.com/d/t7r8chlxh1mb/" TargetMode="External"/><Relationship Id="rId193" Type="http://schemas.openxmlformats.org/officeDocument/2006/relationships/hyperlink" Target="https://thumb.tapecontent.net/thumb/qWgPDkl9LdUz2v0/rgbjOawgO1TbLk0.jpg" TargetMode="External"/><Relationship Id="rId2081" Type="http://schemas.openxmlformats.org/officeDocument/2006/relationships/hyperlink" Target="https://lulustream.com/e/vbvt98hnpnpb" TargetMode="External"/><Relationship Id="rId3132" Type="http://schemas.openxmlformats.org/officeDocument/2006/relationships/hyperlink" Target="https://luluvdoo.com/d/0ems3op9a0kr" TargetMode="External"/><Relationship Id="rId260" Type="http://schemas.openxmlformats.org/officeDocument/2006/relationships/hyperlink" Target="https://doodstream.com/d/89zgz9rdddzu/" TargetMode="External"/><Relationship Id="rId120" Type="http://schemas.openxmlformats.org/officeDocument/2006/relationships/hyperlink" Target="https://thumb.tapecontent.net/thumb/yPm389gA39FKdg/yDg6YDV294h14MQ.jpg" TargetMode="External"/><Relationship Id="rId2898" Type="http://schemas.openxmlformats.org/officeDocument/2006/relationships/hyperlink" Target="https://lulustream.com/d/swcjioeh648y" TargetMode="External"/><Relationship Id="rId3949" Type="http://schemas.openxmlformats.org/officeDocument/2006/relationships/hyperlink" Target="https://lulustream.com/d/a78ju4m8gm2o" TargetMode="External"/><Relationship Id="rId2758" Type="http://schemas.openxmlformats.org/officeDocument/2006/relationships/hyperlink" Target="https://lulustream.com/d/qkhw9rvh37gw" TargetMode="External"/><Relationship Id="rId2965" Type="http://schemas.openxmlformats.org/officeDocument/2006/relationships/hyperlink" Target="https://lulustream.com/d/g9rfrjr8waet" TargetMode="External"/><Relationship Id="rId3809" Type="http://schemas.openxmlformats.org/officeDocument/2006/relationships/hyperlink" Target="https://lulustream.com/d/eqpaa65laf2h" TargetMode="External"/><Relationship Id="rId937" Type="http://schemas.openxmlformats.org/officeDocument/2006/relationships/hyperlink" Target="https://doodstream.com/d/didojw0jhgko/" TargetMode="External"/><Relationship Id="rId1567" Type="http://schemas.openxmlformats.org/officeDocument/2006/relationships/hyperlink" Target="https://doodstream.com/d/mpqj96g6knke/" TargetMode="External"/><Relationship Id="rId1774" Type="http://schemas.openxmlformats.org/officeDocument/2006/relationships/hyperlink" Target="https://thumb.tapecontent.net/thumb/9WaV6r6zPZsadR2/OYPOXeDyyZFZq1v.jpg" TargetMode="External"/><Relationship Id="rId1981" Type="http://schemas.openxmlformats.org/officeDocument/2006/relationships/hyperlink" Target="https://doodstream.com/d/f9r6azgkc90r/" TargetMode="External"/><Relationship Id="rId2618" Type="http://schemas.openxmlformats.org/officeDocument/2006/relationships/hyperlink" Target="https://lulustream.com/d/6npq1jx6c34i" TargetMode="External"/><Relationship Id="rId2825" Type="http://schemas.openxmlformats.org/officeDocument/2006/relationships/hyperlink" Target="https://doodstream.com/d/a6mgllygbbl6/" TargetMode="External"/><Relationship Id="rId4180" Type="http://schemas.openxmlformats.org/officeDocument/2006/relationships/hyperlink" Target="https://thumb.tapecontent.net/thumb/WoOKoPL1Rvcb7XD/KLpYXMBlbjCD6D.jpg" TargetMode="External"/><Relationship Id="rId66" Type="http://schemas.openxmlformats.org/officeDocument/2006/relationships/hyperlink" Target="https://lulustream.com/e/wz3eb9qspm5d" TargetMode="External"/><Relationship Id="rId1427" Type="http://schemas.openxmlformats.org/officeDocument/2006/relationships/hyperlink" Target="https://thumb.tapecontent.net/thumb/79GbJ1vBorfAe6b/g9YY1o2vWQIq2QW.jpg" TargetMode="External"/><Relationship Id="rId1634" Type="http://schemas.openxmlformats.org/officeDocument/2006/relationships/hyperlink" Target="https://thumb.tapecontent.net/thumb/8PQwRrzA7lC437/YLBykBaaJWcv98Z.jpg" TargetMode="External"/><Relationship Id="rId1841" Type="http://schemas.openxmlformats.org/officeDocument/2006/relationships/hyperlink" Target="https://lulustream.com/e/7aregyu4qcb8" TargetMode="External"/><Relationship Id="rId4040" Type="http://schemas.openxmlformats.org/officeDocument/2006/relationships/hyperlink" Target="https://lulustream.com/d/40dxyjkv28pv" TargetMode="External"/><Relationship Id="rId3599" Type="http://schemas.openxmlformats.org/officeDocument/2006/relationships/hyperlink" Target="https://thumb.tapecontent.net/thumb/MeJLmDxGYRTmmJe/7wqeOrBXPpsAeQw.jpg" TargetMode="External"/><Relationship Id="rId1701" Type="http://schemas.openxmlformats.org/officeDocument/2006/relationships/hyperlink" Target="https://doodstream.com/d/tq0kzz79tn45/" TargetMode="External"/><Relationship Id="rId3459" Type="http://schemas.openxmlformats.org/officeDocument/2006/relationships/hyperlink" Target="https://thumb.tapecontent.net/thumb/dQKzG86pJdSkmLm/z1bXV9BG3LHYADd.jpg" TargetMode="External"/><Relationship Id="rId3666" Type="http://schemas.openxmlformats.org/officeDocument/2006/relationships/hyperlink" Target="https://lulustream.com/e/ogemib7v2upu" TargetMode="External"/><Relationship Id="rId587" Type="http://schemas.openxmlformats.org/officeDocument/2006/relationships/hyperlink" Target="https://lulustream.com/d/hxuh7rjf4g1z" TargetMode="External"/><Relationship Id="rId2268" Type="http://schemas.openxmlformats.org/officeDocument/2006/relationships/hyperlink" Target="https://thumb.tapecontent.net/thumb/KPAY2GggjzH0O8W/bkDlxJk6PJIPP6j.jpg" TargetMode="External"/><Relationship Id="rId3319" Type="http://schemas.openxmlformats.org/officeDocument/2006/relationships/hyperlink" Target="https://doodstream.com/d/g7f1gnzj5nfz/" TargetMode="External"/><Relationship Id="rId3873" Type="http://schemas.openxmlformats.org/officeDocument/2006/relationships/hyperlink" Target="https://thumb.tapecontent.net/thumb/3AWAqPelzoCrkk/ywyXPOgVwvt1LJK.jpg" TargetMode="External"/><Relationship Id="rId4717" Type="http://schemas.openxmlformats.org/officeDocument/2006/relationships/hyperlink" Target="https://thumb.tapecontent.net/thumb/gdaa6lzomaTqqe3/Dj88OpMKRDTGV7.jpg" TargetMode="External"/><Relationship Id="rId447" Type="http://schemas.openxmlformats.org/officeDocument/2006/relationships/hyperlink" Target="https://thumb.tapecontent.net/thumb/lrdWPXw9kwf7XpV/Jokm8qPKrbu6RX.jpg" TargetMode="External"/><Relationship Id="rId794" Type="http://schemas.openxmlformats.org/officeDocument/2006/relationships/hyperlink" Target="https://doodstream.com/d/2ixe5z739xpc/" TargetMode="External"/><Relationship Id="rId1077" Type="http://schemas.openxmlformats.org/officeDocument/2006/relationships/hyperlink" Target="https://thumb.tapecontent.net/thumb/A1W8gdVY04sXle6/rJMJrd1JvMubpxd.jpg" TargetMode="External"/><Relationship Id="rId2128" Type="http://schemas.openxmlformats.org/officeDocument/2006/relationships/hyperlink" Target="https://doodstream.com/d/i2nzt7p3scx8/" TargetMode="External"/><Relationship Id="rId2475" Type="http://schemas.openxmlformats.org/officeDocument/2006/relationships/hyperlink" Target="https://thumb.tapecontent.net/thumb/R7VaLvAWbGcdAqK/Aw3PDMQQM9uX839.jpg" TargetMode="External"/><Relationship Id="rId2682" Type="http://schemas.openxmlformats.org/officeDocument/2006/relationships/hyperlink" Target="https://lulustream.com/d/i14oywiuftip" TargetMode="External"/><Relationship Id="rId3526" Type="http://schemas.openxmlformats.org/officeDocument/2006/relationships/hyperlink" Target="https://lulustream.com/e/d65sbu3ggw04" TargetMode="External"/><Relationship Id="rId3733" Type="http://schemas.openxmlformats.org/officeDocument/2006/relationships/hyperlink" Target="https://doodstream.com/d/bkyvx3z2omo9/" TargetMode="External"/><Relationship Id="rId3940" Type="http://schemas.openxmlformats.org/officeDocument/2006/relationships/hyperlink" Target="https://thumb.tapecontent.net/thumb/26LJxkv4DGTKkY/ZoJ9a8jr4DHPYj.jpg" TargetMode="External"/><Relationship Id="rId654" Type="http://schemas.openxmlformats.org/officeDocument/2006/relationships/hyperlink" Target="https://lulustream.com/e/zoaga4nodwgy" TargetMode="External"/><Relationship Id="rId861" Type="http://schemas.openxmlformats.org/officeDocument/2006/relationships/hyperlink" Target="https://thumb.tapecontent.net/thumb/bkAdmb7bw0FPYQO/XragobLg8xtDDZG.jpg" TargetMode="External"/><Relationship Id="rId1284" Type="http://schemas.openxmlformats.org/officeDocument/2006/relationships/hyperlink" Target="https://thumb.tapecontent.net/thumb/WZ7dPPqKydtbZ88/lWZvv0J1VXt7R3q.jpg" TargetMode="External"/><Relationship Id="rId1491" Type="http://schemas.openxmlformats.org/officeDocument/2006/relationships/hyperlink" Target="https://doodstream.com/d/jjtsru4kk4s3/" TargetMode="External"/><Relationship Id="rId2335" Type="http://schemas.openxmlformats.org/officeDocument/2006/relationships/hyperlink" Target="https://thumb.tapecontent.net/thumb/Y7PqdMz96pSpV0/ZkqYG6xw8XsgGo.jpg" TargetMode="External"/><Relationship Id="rId2542" Type="http://schemas.openxmlformats.org/officeDocument/2006/relationships/hyperlink" Target="https://lulustream.com/d/anpcytfrr3p3" TargetMode="External"/><Relationship Id="rId3800" Type="http://schemas.openxmlformats.org/officeDocument/2006/relationships/hyperlink" Target="https://luluvdoo.com/d/i49bcal6j4fj" TargetMode="External"/><Relationship Id="rId307" Type="http://schemas.openxmlformats.org/officeDocument/2006/relationships/hyperlink" Target="https://luluvdoo.com/d/c1ngxtsf4di4" TargetMode="External"/><Relationship Id="rId514" Type="http://schemas.openxmlformats.org/officeDocument/2006/relationships/hyperlink" Target="https://luluvdoo.com/d/83ivjcijoiu5" TargetMode="External"/><Relationship Id="rId721" Type="http://schemas.openxmlformats.org/officeDocument/2006/relationships/hyperlink" Target="https://doodstream.com/d/52j1b1z6r1sw/" TargetMode="External"/><Relationship Id="rId1144" Type="http://schemas.openxmlformats.org/officeDocument/2006/relationships/hyperlink" Target="https://doodstream.com/d/5jepz8xgymo8/" TargetMode="External"/><Relationship Id="rId1351" Type="http://schemas.openxmlformats.org/officeDocument/2006/relationships/hyperlink" Target="https://lulustream.com/e/vro4ll7zp94s" TargetMode="External"/><Relationship Id="rId2402" Type="http://schemas.openxmlformats.org/officeDocument/2006/relationships/hyperlink" Target="https://lulustream.com/d/npsol25wr1sc" TargetMode="External"/><Relationship Id="rId1004" Type="http://schemas.openxmlformats.org/officeDocument/2006/relationships/hyperlink" Target="https://thumb.tapecontent.net/thumb/JogAvLklyYCjp48/3OmAVLkxJmu3BQ.jpg" TargetMode="External"/><Relationship Id="rId1211" Type="http://schemas.openxmlformats.org/officeDocument/2006/relationships/hyperlink" Target="https://thumb.tapecontent.net/thumb/Bz8GWr43aRuy4a6/lDLXlgmpM0f7pWd.jpg" TargetMode="External"/><Relationship Id="rId4367" Type="http://schemas.openxmlformats.org/officeDocument/2006/relationships/hyperlink" Target="https://lulustream.com/e/snty3a9doxvy" TargetMode="External"/><Relationship Id="rId4574" Type="http://schemas.openxmlformats.org/officeDocument/2006/relationships/hyperlink" Target="https://doodstream.com/d/8u576wljfehj/" TargetMode="External"/><Relationship Id="rId4781" Type="http://schemas.openxmlformats.org/officeDocument/2006/relationships/drawing" Target="../drawings/drawing1.xml"/><Relationship Id="rId3176" Type="http://schemas.openxmlformats.org/officeDocument/2006/relationships/hyperlink" Target="https://thumb.tapecontent.net/thumb/b1kye3jp38sPgoB/QK4azbj19VFwpD.jpg" TargetMode="External"/><Relationship Id="rId3383" Type="http://schemas.openxmlformats.org/officeDocument/2006/relationships/hyperlink" Target="https://lulustream.com/e/aeozgpbrzuvg" TargetMode="External"/><Relationship Id="rId3590" Type="http://schemas.openxmlformats.org/officeDocument/2006/relationships/hyperlink" Target="https://lulustream.com/e/b8b1bces5mu0" TargetMode="External"/><Relationship Id="rId4227" Type="http://schemas.openxmlformats.org/officeDocument/2006/relationships/hyperlink" Target="https://lulustream.com/d/kexjnplli0pt" TargetMode="External"/><Relationship Id="rId4434" Type="http://schemas.openxmlformats.org/officeDocument/2006/relationships/hyperlink" Target="https://doodstream.com/d/2zrw66l28y5q/" TargetMode="External"/><Relationship Id="rId2192" Type="http://schemas.openxmlformats.org/officeDocument/2006/relationships/hyperlink" Target="https://thumb.tapecontent.net/thumb/ggOXOzVgKKfqDJO/pxkB89XrL9frO6X.jpg" TargetMode="External"/><Relationship Id="rId3036" Type="http://schemas.openxmlformats.org/officeDocument/2006/relationships/hyperlink" Target="https://doodstream.com/d/busnk0xrv0re/" TargetMode="External"/><Relationship Id="rId3243" Type="http://schemas.openxmlformats.org/officeDocument/2006/relationships/hyperlink" Target="https://thumb.tapecontent.net/thumb/kKryYXPpbXcQRG/7z0Yz9JmzlsJOY.jpg" TargetMode="External"/><Relationship Id="rId4641" Type="http://schemas.openxmlformats.org/officeDocument/2006/relationships/hyperlink" Target="https://thumb.tapecontent.net/thumb/QDZ03Bvqp0C000v/01p8rzrBzYUb3d6.jpg" TargetMode="External"/><Relationship Id="rId164" Type="http://schemas.openxmlformats.org/officeDocument/2006/relationships/hyperlink" Target="https://lulustream.com/e/quoip8rsm7ee" TargetMode="External"/><Relationship Id="rId371" Type="http://schemas.openxmlformats.org/officeDocument/2006/relationships/hyperlink" Target="https://thumb.tapecontent.net/thumb/01qeaz134zsbd0L/Kzde6GkRoGi0dWO.jpg" TargetMode="External"/><Relationship Id="rId2052" Type="http://schemas.openxmlformats.org/officeDocument/2006/relationships/hyperlink" Target="https://thumb.tapecontent.net/thumb/w4OV62mbVZFJZpJ/YqYAbB12qQivbe0.jpg" TargetMode="External"/><Relationship Id="rId3450" Type="http://schemas.openxmlformats.org/officeDocument/2006/relationships/hyperlink" Target="https://doodstream.com/d/j4tho068fivh/" TargetMode="External"/><Relationship Id="rId4501" Type="http://schemas.openxmlformats.org/officeDocument/2006/relationships/hyperlink" Target="https://luluvdoo.com/d/32m7ub6nwwu3" TargetMode="External"/><Relationship Id="rId3103" Type="http://schemas.openxmlformats.org/officeDocument/2006/relationships/hyperlink" Target="https://luluvdoo.com/d/6wo8gh05fhre" TargetMode="External"/><Relationship Id="rId3310" Type="http://schemas.openxmlformats.org/officeDocument/2006/relationships/hyperlink" Target="https://thumb.tapecontent.net/thumb/4odApALVgrUK6G1/DoYWgY3AWMIkOqB.jpg" TargetMode="External"/><Relationship Id="rId231" Type="http://schemas.openxmlformats.org/officeDocument/2006/relationships/hyperlink" Target="https://lulustream.com/d/d54ahtp2dhsg" TargetMode="External"/><Relationship Id="rId2869" Type="http://schemas.openxmlformats.org/officeDocument/2006/relationships/hyperlink" Target="https://lulustream.com/e/3xh1isl2h1w6" TargetMode="External"/><Relationship Id="rId1678" Type="http://schemas.openxmlformats.org/officeDocument/2006/relationships/hyperlink" Target="https://thumb.tapecontent.net/thumb/bKkbBxmAWwtPAx9/xOQw92LOyOHk2Qb.jpg" TargetMode="External"/><Relationship Id="rId1885" Type="http://schemas.openxmlformats.org/officeDocument/2006/relationships/hyperlink" Target="https://doodstream.com/d/kbabq9z01oey/" TargetMode="External"/><Relationship Id="rId2729" Type="http://schemas.openxmlformats.org/officeDocument/2006/relationships/hyperlink" Target="https://lulustream.com/e/fn3tpgeo9abf" TargetMode="External"/><Relationship Id="rId2936" Type="http://schemas.openxmlformats.org/officeDocument/2006/relationships/hyperlink" Target="https://lulustream.com/e/xka1ah5m76n2" TargetMode="External"/><Relationship Id="rId4084" Type="http://schemas.openxmlformats.org/officeDocument/2006/relationships/hyperlink" Target="https://doodstream.com/d/peifwp69ui0t/" TargetMode="External"/><Relationship Id="rId4291" Type="http://schemas.openxmlformats.org/officeDocument/2006/relationships/hyperlink" Target="https://lulustream.com/e/rv8ub73pxcgx" TargetMode="External"/><Relationship Id="rId908" Type="http://schemas.openxmlformats.org/officeDocument/2006/relationships/hyperlink" Target="https://lulustream.com/e/g6rltx4sqxig" TargetMode="External"/><Relationship Id="rId1538" Type="http://schemas.openxmlformats.org/officeDocument/2006/relationships/hyperlink" Target="https://doodstream.com/d/3bp7as255txr/" TargetMode="External"/><Relationship Id="rId4151" Type="http://schemas.openxmlformats.org/officeDocument/2006/relationships/hyperlink" Target="https://doodstream.com/d/cotqmp1wcalq/" TargetMode="External"/><Relationship Id="rId1745" Type="http://schemas.openxmlformats.org/officeDocument/2006/relationships/hyperlink" Target="https://thumb.tapecontent.net/thumb/r3KBLADgpMtbPRq/wYbaMp60kzHWae.jpg" TargetMode="External"/><Relationship Id="rId1952" Type="http://schemas.openxmlformats.org/officeDocument/2006/relationships/hyperlink" Target="https://doodstream.com/d/2ae8n76ll27q/" TargetMode="External"/><Relationship Id="rId4011" Type="http://schemas.openxmlformats.org/officeDocument/2006/relationships/hyperlink" Target="https://thumb.tapecontent.net/thumb/Xb88yzR2PdfzgW/VrOemMAeJJTkjp.jpg" TargetMode="External"/><Relationship Id="rId37" Type="http://schemas.openxmlformats.org/officeDocument/2006/relationships/hyperlink" Target="https://lulustream.com/d/6k39hcuucj6f" TargetMode="External"/><Relationship Id="rId1605" Type="http://schemas.openxmlformats.org/officeDocument/2006/relationships/hyperlink" Target="https://thumb.tapecontent.net/thumb/XqWQ7VbAm4TDV23/vYRWoQzZQgfJ9L.jpg" TargetMode="External"/><Relationship Id="rId1812" Type="http://schemas.openxmlformats.org/officeDocument/2006/relationships/hyperlink" Target="https://thumb.tapecontent.net/thumb/kLPa6PwVYpi8jr/1pzdj34XaKSeoax.jpg" TargetMode="External"/><Relationship Id="rId3777" Type="http://schemas.openxmlformats.org/officeDocument/2006/relationships/hyperlink" Target="https://luluvdoo.com/d/gzsd2u0r1fds" TargetMode="External"/><Relationship Id="rId3984" Type="http://schemas.openxmlformats.org/officeDocument/2006/relationships/hyperlink" Target="https://doodstream.com/d/r7pnuwyd9wra/" TargetMode="External"/><Relationship Id="rId698" Type="http://schemas.openxmlformats.org/officeDocument/2006/relationships/hyperlink" Target="https://lulustream.com/d/zvog9tzsdk5m" TargetMode="External"/><Relationship Id="rId2379" Type="http://schemas.openxmlformats.org/officeDocument/2006/relationships/hyperlink" Target="https://thumb.tapecontent.net/thumb/Wp0xevdQzYCpWP/bko4jyGml6HKjy.jpg" TargetMode="External"/><Relationship Id="rId2586" Type="http://schemas.openxmlformats.org/officeDocument/2006/relationships/hyperlink" Target="https://doodstream.com/d/zn0dsx6gez1a/" TargetMode="External"/><Relationship Id="rId2793" Type="http://schemas.openxmlformats.org/officeDocument/2006/relationships/hyperlink" Target="https://lulustream.com/d/g9p539vele5i" TargetMode="External"/><Relationship Id="rId3637" Type="http://schemas.openxmlformats.org/officeDocument/2006/relationships/hyperlink" Target="https://doodstream.com/d/kkr53863zpxy/" TargetMode="External"/><Relationship Id="rId3844" Type="http://schemas.openxmlformats.org/officeDocument/2006/relationships/hyperlink" Target="https://doodstream.com/d/xtmq0vy47abc/" TargetMode="External"/><Relationship Id="rId558" Type="http://schemas.openxmlformats.org/officeDocument/2006/relationships/hyperlink" Target="https://thumb.tapecontent.net/thumb/G2Wa6W6Z3Li1bXW/1L2gM2PVxXCez1X.jpg" TargetMode="External"/><Relationship Id="rId765" Type="http://schemas.openxmlformats.org/officeDocument/2006/relationships/hyperlink" Target="https://doodstream.com/d/ugdrdzefe7ol/" TargetMode="External"/><Relationship Id="rId972" Type="http://schemas.openxmlformats.org/officeDocument/2006/relationships/hyperlink" Target="https://luluvdoo.com/d/qgh8bpzc9pg9" TargetMode="External"/><Relationship Id="rId1188" Type="http://schemas.openxmlformats.org/officeDocument/2006/relationships/hyperlink" Target="https://doodstream.com/d/nlwcuw5kzb9g/" TargetMode="External"/><Relationship Id="rId1395" Type="http://schemas.openxmlformats.org/officeDocument/2006/relationships/hyperlink" Target="https://lulustream.com/e/v5730r4pi9dy" TargetMode="External"/><Relationship Id="rId2239" Type="http://schemas.openxmlformats.org/officeDocument/2006/relationships/hyperlink" Target="https://thumb.tapecontent.net/thumb/wZYXGDYgljIJ9g8/l4KY7wjAJRt78BX.jpg" TargetMode="External"/><Relationship Id="rId2446" Type="http://schemas.openxmlformats.org/officeDocument/2006/relationships/hyperlink" Target="https://lulustream.com/d/c08v66120ih4" TargetMode="External"/><Relationship Id="rId2653" Type="http://schemas.openxmlformats.org/officeDocument/2006/relationships/hyperlink" Target="https://doodstream.com/d/uqqemngqfkqx/" TargetMode="External"/><Relationship Id="rId2860" Type="http://schemas.openxmlformats.org/officeDocument/2006/relationships/hyperlink" Target="https://thumb.tapecontent.net/thumb/zka84MKvJ0HYRwX/e3XyvdR7xYtYr3W.jpg" TargetMode="External"/><Relationship Id="rId3704" Type="http://schemas.openxmlformats.org/officeDocument/2006/relationships/hyperlink" Target="https://doodstream.com/d/fd23dza3npq1/" TargetMode="External"/><Relationship Id="rId418" Type="http://schemas.openxmlformats.org/officeDocument/2006/relationships/hyperlink" Target="https://streamtape.com/v/jkKyO91GmjS2Q1/Angela_White_-_35508956_-_Onlyfans" TargetMode="External"/><Relationship Id="rId625" Type="http://schemas.openxmlformats.org/officeDocument/2006/relationships/hyperlink" Target="https://lulustream.com/d/19pnu26pxq8a" TargetMode="External"/><Relationship Id="rId832" Type="http://schemas.openxmlformats.org/officeDocument/2006/relationships/hyperlink" Target="https://lulustream.com/e/rkn4mp90kla5" TargetMode="External"/><Relationship Id="rId1048" Type="http://schemas.openxmlformats.org/officeDocument/2006/relationships/hyperlink" Target="https://thumb.tapecontent.net/thumb/MegMWjyZ1LTmgPZ/OXxy1amawRHG02.jpg" TargetMode="External"/><Relationship Id="rId1255" Type="http://schemas.openxmlformats.org/officeDocument/2006/relationships/hyperlink" Target="https://doodstream.com/d/rhm4knfau72r/" TargetMode="External"/><Relationship Id="rId1462" Type="http://schemas.openxmlformats.org/officeDocument/2006/relationships/hyperlink" Target="https://thumb.tapecontent.net/thumb/jW7RqlBd3kszyp2/1ReOolJ1q4tpJm.jpg" TargetMode="External"/><Relationship Id="rId2306" Type="http://schemas.openxmlformats.org/officeDocument/2006/relationships/hyperlink" Target="https://lulustream.com/e/6rarqk2niyj0" TargetMode="External"/><Relationship Id="rId2513" Type="http://schemas.openxmlformats.org/officeDocument/2006/relationships/hyperlink" Target="https://lulustream.com/e/vfmdejqsyw3a" TargetMode="External"/><Relationship Id="rId3911" Type="http://schemas.openxmlformats.org/officeDocument/2006/relationships/hyperlink" Target="https://lulustream.com/d/y4p7zjfpgz6h" TargetMode="External"/><Relationship Id="rId1115" Type="http://schemas.openxmlformats.org/officeDocument/2006/relationships/hyperlink" Target="https://thumb.tapecontent.net/thumb/goaxZWaw49Uq0lv/xvKgRK0egWFk20Q.jpg" TargetMode="External"/><Relationship Id="rId1322" Type="http://schemas.openxmlformats.org/officeDocument/2006/relationships/hyperlink" Target="https://doodstream.com/d/viwbqh5bjbqi/" TargetMode="External"/><Relationship Id="rId2720" Type="http://schemas.openxmlformats.org/officeDocument/2006/relationships/hyperlink" Target="https://lulustream.com/e/sdofevtmn6b2" TargetMode="External"/><Relationship Id="rId4478" Type="http://schemas.openxmlformats.org/officeDocument/2006/relationships/hyperlink" Target="https://thumb.tapecontent.net/thumb/W1Wxrl1ol6Ub9jB/DevdDb7Mr3Fk1Bk.jpg" TargetMode="External"/><Relationship Id="rId3287" Type="http://schemas.openxmlformats.org/officeDocument/2006/relationships/hyperlink" Target="https://doodstream.com/d/lz3hfcdv953t/" TargetMode="External"/><Relationship Id="rId4338" Type="http://schemas.openxmlformats.org/officeDocument/2006/relationships/hyperlink" Target="https://thumb.tapecontent.net/thumb/4BaLplJd0VTKPmj/VrdXrq6rKBuKpr4.jpg" TargetMode="External"/><Relationship Id="rId4685" Type="http://schemas.openxmlformats.org/officeDocument/2006/relationships/hyperlink" Target="https://lulustream.com/d/gkgxv7qvhv5o" TargetMode="External"/><Relationship Id="rId2096" Type="http://schemas.openxmlformats.org/officeDocument/2006/relationships/hyperlink" Target="https://lulustream.com/e/htc811zylvdx" TargetMode="External"/><Relationship Id="rId3494" Type="http://schemas.openxmlformats.org/officeDocument/2006/relationships/hyperlink" Target="https://doodstream.com/d/3t3o4xccv9tl/" TargetMode="External"/><Relationship Id="rId4545" Type="http://schemas.openxmlformats.org/officeDocument/2006/relationships/hyperlink" Target="https://luluvdoo.com/d/e9ufgv3j9sb4" TargetMode="External"/><Relationship Id="rId4752" Type="http://schemas.openxmlformats.org/officeDocument/2006/relationships/hyperlink" Target="https://lulustream.com/d/7hpxojxblf4f" TargetMode="External"/><Relationship Id="rId3147" Type="http://schemas.openxmlformats.org/officeDocument/2006/relationships/hyperlink" Target="https://luluvdoo.com/d/dc0xx485fwd2" TargetMode="External"/><Relationship Id="rId3354" Type="http://schemas.openxmlformats.org/officeDocument/2006/relationships/hyperlink" Target="https://thumb.tapecontent.net/thumb/VPD3G88PpXhKe2P/d7Qz7y4PP4CkodG.jpg" TargetMode="External"/><Relationship Id="rId3561" Type="http://schemas.openxmlformats.org/officeDocument/2006/relationships/hyperlink" Target="https://lulustream.com/e/64jcsra7pecs" TargetMode="External"/><Relationship Id="rId4405" Type="http://schemas.openxmlformats.org/officeDocument/2006/relationships/hyperlink" Target="https://doodstream.com/d/3d5593edffzg/" TargetMode="External"/><Relationship Id="rId4612" Type="http://schemas.openxmlformats.org/officeDocument/2006/relationships/hyperlink" Target="https://lulustream.com/d/q1cae03i65z0" TargetMode="External"/><Relationship Id="rId275" Type="http://schemas.openxmlformats.org/officeDocument/2006/relationships/hyperlink" Target="https://lulustream.com/e/43cgjx3bv8o5" TargetMode="External"/><Relationship Id="rId482" Type="http://schemas.openxmlformats.org/officeDocument/2006/relationships/hyperlink" Target="https://luluvdoo.com/d/pk1dp2q8ptq3" TargetMode="External"/><Relationship Id="rId2163" Type="http://schemas.openxmlformats.org/officeDocument/2006/relationships/hyperlink" Target="https://lulustream.com/e/i4p4mpwy37f5" TargetMode="External"/><Relationship Id="rId2370" Type="http://schemas.openxmlformats.org/officeDocument/2006/relationships/hyperlink" Target="https://thumb.tapecontent.net/thumb/k0Ro7MWD12IOwrM/k3VLkLmRRLcO7vl.jpg" TargetMode="External"/><Relationship Id="rId3007" Type="http://schemas.openxmlformats.org/officeDocument/2006/relationships/hyperlink" Target="https://lulustream.com/e/dhzac4cbevaj" TargetMode="External"/><Relationship Id="rId3214" Type="http://schemas.openxmlformats.org/officeDocument/2006/relationships/hyperlink" Target="https://doodstream.com/d/7sw6nx7eihmu/" TargetMode="External"/><Relationship Id="rId3421" Type="http://schemas.openxmlformats.org/officeDocument/2006/relationships/hyperlink" Target="https://doodstream.com/d/yyptxroj9x85/" TargetMode="External"/><Relationship Id="rId135" Type="http://schemas.openxmlformats.org/officeDocument/2006/relationships/hyperlink" Target="https://lulustream.com/d/npfjbb6e8a86" TargetMode="External"/><Relationship Id="rId342" Type="http://schemas.openxmlformats.org/officeDocument/2006/relationships/hyperlink" Target="https://thumb.tapecontent.net/thumb/4q42ZPajY4CKPXp/17o9kZbmrYFeqKl.jpg" TargetMode="External"/><Relationship Id="rId2023" Type="http://schemas.openxmlformats.org/officeDocument/2006/relationships/hyperlink" Target="https://thumb.tapecontent.net/thumb/y2J9GbKe70t1WO4/0rL3QeAKmmHb3qW.jpg" TargetMode="External"/><Relationship Id="rId2230" Type="http://schemas.openxmlformats.org/officeDocument/2006/relationships/hyperlink" Target="https://thumb.tapecontent.net/thumb/el9P7QdqRwimyX/pMYv9KQPWkSrkoo.jpg" TargetMode="External"/><Relationship Id="rId202" Type="http://schemas.openxmlformats.org/officeDocument/2006/relationships/hyperlink" Target="https://thumb.tapecontent.net/thumb/d7oVva7BkdUkJw0/pgOVZbJgLpIrK9a.jpg" TargetMode="External"/><Relationship Id="rId4195" Type="http://schemas.openxmlformats.org/officeDocument/2006/relationships/hyperlink" Target="https://lulustream.com/e/qz15lmn3jrby" TargetMode="External"/><Relationship Id="rId1789" Type="http://schemas.openxmlformats.org/officeDocument/2006/relationships/hyperlink" Target="https://doodstream.com/d/qirtjkov4qlt/" TargetMode="External"/><Relationship Id="rId1996" Type="http://schemas.openxmlformats.org/officeDocument/2006/relationships/hyperlink" Target="https://lulustream.com/d/7sk6sovpvuk3" TargetMode="External"/><Relationship Id="rId4055" Type="http://schemas.openxmlformats.org/officeDocument/2006/relationships/hyperlink" Target="https://luluvdoo.com/d/k716sgfc9fa3" TargetMode="External"/><Relationship Id="rId4262" Type="http://schemas.openxmlformats.org/officeDocument/2006/relationships/hyperlink" Target="https://lulustream.com/d/6g7brq3l9pq4" TargetMode="External"/><Relationship Id="rId1649" Type="http://schemas.openxmlformats.org/officeDocument/2006/relationships/hyperlink" Target="https://thumb.tapecontent.net/thumb/rgOZBbxrV6cbrML/3GVP6GRWqKtdQ4k.jpg" TargetMode="External"/><Relationship Id="rId1856" Type="http://schemas.openxmlformats.org/officeDocument/2006/relationships/hyperlink" Target="https://lulustream.com/e/e8wavs7kvtoo" TargetMode="External"/><Relationship Id="rId2907" Type="http://schemas.openxmlformats.org/officeDocument/2006/relationships/hyperlink" Target="https://thumb.tapecontent.net/thumb/jOolWryOmVFDG9/1x00pylq0mHrbe.jpg" TargetMode="External"/><Relationship Id="rId3071" Type="http://schemas.openxmlformats.org/officeDocument/2006/relationships/hyperlink" Target="https://thumb.tapecontent.net/thumb/DZg3olZXjeFDd7/ldmQ80yXols7LQM.jpg" TargetMode="External"/><Relationship Id="rId1509" Type="http://schemas.openxmlformats.org/officeDocument/2006/relationships/hyperlink" Target="https://doodstream.com/d/abcgk643fm3p/" TargetMode="External"/><Relationship Id="rId1716" Type="http://schemas.openxmlformats.org/officeDocument/2006/relationships/hyperlink" Target="https://thumb.tapecontent.net/thumb/o2YGdV0YlqfJLY7/rA0zZbb2mWCye6.jpg" TargetMode="External"/><Relationship Id="rId1923" Type="http://schemas.openxmlformats.org/officeDocument/2006/relationships/hyperlink" Target="https://lulustream.com/e/vcvta3ey6k4m" TargetMode="External"/><Relationship Id="rId4122" Type="http://schemas.openxmlformats.org/officeDocument/2006/relationships/hyperlink" Target="https://doodstream.com/d/9kgeiabs13b0/" TargetMode="External"/><Relationship Id="rId3888" Type="http://schemas.openxmlformats.org/officeDocument/2006/relationships/hyperlink" Target="https://thumb.tapecontent.net/thumb/er0ZOVYm2jiooo/yVKp0kq1Y9S1497.jpg" TargetMode="External"/><Relationship Id="rId2697" Type="http://schemas.openxmlformats.org/officeDocument/2006/relationships/hyperlink" Target="https://doodstream.com/d/i9jbsk4pz1w1/" TargetMode="External"/><Relationship Id="rId3748" Type="http://schemas.openxmlformats.org/officeDocument/2006/relationships/hyperlink" Target="https://thumb.tapecontent.net/thumb/Pwa8JjQ0M0hbl3/DAWYjAb4eYtBGJ.jpg" TargetMode="External"/><Relationship Id="rId669" Type="http://schemas.openxmlformats.org/officeDocument/2006/relationships/hyperlink" Target="https://thumb.tapecontent.net/thumb/OXkYyzgeY4uZV7B/V7Lldwm1jRtOyk.jpg" TargetMode="External"/><Relationship Id="rId876" Type="http://schemas.openxmlformats.org/officeDocument/2006/relationships/hyperlink" Target="https://thumb.tapecontent.net/thumb/DMA0BjXpmMsB7M/gvM2q76Pzkhqyod.jpg" TargetMode="External"/><Relationship Id="rId1299" Type="http://schemas.openxmlformats.org/officeDocument/2006/relationships/hyperlink" Target="https://doodstream.com/d/xh444pbric9p/" TargetMode="External"/><Relationship Id="rId2557" Type="http://schemas.openxmlformats.org/officeDocument/2006/relationships/hyperlink" Target="https://lulustream.com/d/jrfsmgwrphr5" TargetMode="External"/><Relationship Id="rId3608" Type="http://schemas.openxmlformats.org/officeDocument/2006/relationships/hyperlink" Target="https://thumb.tapecontent.net/thumb/g2vLrVo1v2hqWq7/QdlqKGWwqgS01kl.jpg" TargetMode="External"/><Relationship Id="rId3955" Type="http://schemas.openxmlformats.org/officeDocument/2006/relationships/hyperlink" Target="https://thumb.tapecontent.net/thumb/29YzMpX9gmUZXVK/1aGB1DAVQrtyzp.jpg" TargetMode="External"/><Relationship Id="rId529" Type="http://schemas.openxmlformats.org/officeDocument/2006/relationships/hyperlink" Target="https://streamtape.com/v/6ekPK4B974s91GG/Angela_White_-_94500060_-_ripnsfw.com.mp4" TargetMode="External"/><Relationship Id="rId736" Type="http://schemas.openxmlformats.org/officeDocument/2006/relationships/hyperlink" Target="https://thumb.tapecontent.net/thumb/28OrwKwX1ruZrYB/aVApKaGa7xTJzV.jpg" TargetMode="External"/><Relationship Id="rId1159" Type="http://schemas.openxmlformats.org/officeDocument/2006/relationships/hyperlink" Target="https://doodstream.com/d/7ay4s5cc4ea5/" TargetMode="External"/><Relationship Id="rId1366" Type="http://schemas.openxmlformats.org/officeDocument/2006/relationships/hyperlink" Target="https://thumb.tapecontent.net/thumb/VyOe6YmjlLIKD1L/LeGM27PJP3SWgL.jpg" TargetMode="External"/><Relationship Id="rId2417" Type="http://schemas.openxmlformats.org/officeDocument/2006/relationships/hyperlink" Target="https://thumb.tapecontent.net/thumb/YLlaap4Z9KsvMLg/4x4XMKm9KDUpW3.jpg" TargetMode="External"/><Relationship Id="rId2764" Type="http://schemas.openxmlformats.org/officeDocument/2006/relationships/hyperlink" Target="https://thumb.tapecontent.net/thumb/3dMx6vRPJ3s6DP/YZyQLO0x6ltvP0P.jpg" TargetMode="External"/><Relationship Id="rId2971" Type="http://schemas.openxmlformats.org/officeDocument/2006/relationships/hyperlink" Target="https://thumb.tapecontent.net/thumb/VVqaG3lLpehKJaM/dQKAlJvgwQHbq4.jpg" TargetMode="External"/><Relationship Id="rId3815" Type="http://schemas.openxmlformats.org/officeDocument/2006/relationships/hyperlink" Target="https://thumb.tapecontent.net/thumb/VWW6VpOB9ahKDvm/aGgmvkkd1DHxrKe.jpg" TargetMode="External"/><Relationship Id="rId943" Type="http://schemas.openxmlformats.org/officeDocument/2006/relationships/hyperlink" Target="https://doodstream.com/d/ciupneczxbnt/" TargetMode="External"/><Relationship Id="rId1019" Type="http://schemas.openxmlformats.org/officeDocument/2006/relationships/hyperlink" Target="https://luluvdoo.com/d/5ctxef542yli" TargetMode="External"/><Relationship Id="rId1573" Type="http://schemas.openxmlformats.org/officeDocument/2006/relationships/hyperlink" Target="https://lulustream.com/e/mbr21c5zctul" TargetMode="External"/><Relationship Id="rId1780" Type="http://schemas.openxmlformats.org/officeDocument/2006/relationships/hyperlink" Target="https://lulustream.com/d/eng4dbn3y3dk" TargetMode="External"/><Relationship Id="rId2624" Type="http://schemas.openxmlformats.org/officeDocument/2006/relationships/hyperlink" Target="https://lulustream.com/d/51lru033ipub" TargetMode="External"/><Relationship Id="rId2831" Type="http://schemas.openxmlformats.org/officeDocument/2006/relationships/hyperlink" Target="https://doodstream.com/d/4lbj22p1icqo/" TargetMode="External"/><Relationship Id="rId72" Type="http://schemas.openxmlformats.org/officeDocument/2006/relationships/hyperlink" Target="https://thumb.tapecontent.net/thumb/ykJapV24dRF1DBD/wrAOBrQOg0HJqrV.jpg" TargetMode="External"/><Relationship Id="rId803" Type="http://schemas.openxmlformats.org/officeDocument/2006/relationships/hyperlink" Target="https://lulustream.com/e/ep3153zbbh8w" TargetMode="External"/><Relationship Id="rId1226" Type="http://schemas.openxmlformats.org/officeDocument/2006/relationships/hyperlink" Target="https://doodstream.com/d/62l7qszs8cyw/" TargetMode="External"/><Relationship Id="rId1433" Type="http://schemas.openxmlformats.org/officeDocument/2006/relationships/hyperlink" Target="https://lulustream.com/d/jdcwuu715ho6" TargetMode="External"/><Relationship Id="rId1640" Type="http://schemas.openxmlformats.org/officeDocument/2006/relationships/hyperlink" Target="https://thumb.tapecontent.net/thumb/ZxY31epdgQFqDrp/dpMwde0Qb1CkXMp.jpg" TargetMode="External"/><Relationship Id="rId4589" Type="http://schemas.openxmlformats.org/officeDocument/2006/relationships/hyperlink" Target="https://lulustream.com/d/ee8is38pvgdf" TargetMode="External"/><Relationship Id="rId1500" Type="http://schemas.openxmlformats.org/officeDocument/2006/relationships/hyperlink" Target="https://lulustream.com/e/hnpwscdqerjn" TargetMode="External"/><Relationship Id="rId3398" Type="http://schemas.openxmlformats.org/officeDocument/2006/relationships/hyperlink" Target="https://lulustream.com/e/r68ks3m0gbqi" TargetMode="External"/><Relationship Id="rId4449" Type="http://schemas.openxmlformats.org/officeDocument/2006/relationships/hyperlink" Target="https://thumb.tapecontent.net/thumb/0z6dgA8LOjTbrlX/mrAMz8gP6bFBK1.jpg" TargetMode="External"/><Relationship Id="rId4656" Type="http://schemas.openxmlformats.org/officeDocument/2006/relationships/hyperlink" Target="https://lulustream.com/d/d2swwq2jwyil" TargetMode="External"/><Relationship Id="rId3258" Type="http://schemas.openxmlformats.org/officeDocument/2006/relationships/hyperlink" Target="https://lulustream.com/e/kjnci0ankrvs" TargetMode="External"/><Relationship Id="rId3465" Type="http://schemas.openxmlformats.org/officeDocument/2006/relationships/hyperlink" Target="https://doodstream.com/d/kjp0boqetce4/" TargetMode="External"/><Relationship Id="rId3672" Type="http://schemas.openxmlformats.org/officeDocument/2006/relationships/hyperlink" Target="https://lulustream.com/d/hjegqpes4v3s" TargetMode="External"/><Relationship Id="rId4309" Type="http://schemas.openxmlformats.org/officeDocument/2006/relationships/hyperlink" Target="https://thumb.tapecontent.net/thumb/k02q2Lalp1IOv3Q/6RpgRaqoMzC93Lq.jpg" TargetMode="External"/><Relationship Id="rId4516" Type="http://schemas.openxmlformats.org/officeDocument/2006/relationships/hyperlink" Target="https://luluvdoo.com/d/olgw2tv1by1x" TargetMode="External"/><Relationship Id="rId4723" Type="http://schemas.openxmlformats.org/officeDocument/2006/relationships/hyperlink" Target="https://thumb.tapecontent.net/thumb/ZyDmzWl1z2CqLrZ/PjyjWkyWzVS04A6.jpg" TargetMode="External"/><Relationship Id="rId179" Type="http://schemas.openxmlformats.org/officeDocument/2006/relationships/hyperlink" Target="https://thumb.tapecontent.net/thumb/RARgZZmJ4eHdyO6/lOX7xrywXlt7pR4.jpg" TargetMode="External"/><Relationship Id="rId386" Type="http://schemas.openxmlformats.org/officeDocument/2006/relationships/hyperlink" Target="https://streamtape.com/v/xrj84qrr7XTkAPb/Angela_White_-_20152147_-_ripnsfw.com" TargetMode="External"/><Relationship Id="rId593" Type="http://schemas.openxmlformats.org/officeDocument/2006/relationships/hyperlink" Target="https://lulustream.com/d/cwpkokk41lqr" TargetMode="External"/><Relationship Id="rId2067" Type="http://schemas.openxmlformats.org/officeDocument/2006/relationships/hyperlink" Target="https://thumb.tapecontent.net/thumb/e4pgKDpvObIkBe/Kk2Y9YD9vDi0e9w.jpg" TargetMode="External"/><Relationship Id="rId2274" Type="http://schemas.openxmlformats.org/officeDocument/2006/relationships/hyperlink" Target="https://thumb.tapecontent.net/thumb/kDZVYWe34BCOVvx/bqr1vmvRgAuQxG.jpg" TargetMode="External"/><Relationship Id="rId2481" Type="http://schemas.openxmlformats.org/officeDocument/2006/relationships/hyperlink" Target="https://thumb.tapecontent.net/thumb/6QaQP3Xby4I4xj/3kd0OOm78mhX7j.jpg" TargetMode="External"/><Relationship Id="rId3118" Type="http://schemas.openxmlformats.org/officeDocument/2006/relationships/hyperlink" Target="https://luluvdoo.com/d/pft0uesfnvnn" TargetMode="External"/><Relationship Id="rId3325" Type="http://schemas.openxmlformats.org/officeDocument/2006/relationships/hyperlink" Target="https://doodstream.com/d/punxtdtp0go5/" TargetMode="External"/><Relationship Id="rId3532" Type="http://schemas.openxmlformats.org/officeDocument/2006/relationships/hyperlink" Target="https://lulustream.com/e/670i1m7tavv2" TargetMode="External"/><Relationship Id="rId246" Type="http://schemas.openxmlformats.org/officeDocument/2006/relationships/hyperlink" Target="https://thumb.tapecontent.net/thumb/GPQqrQGGkrT1GXJ/6Pd4vk7mL0H93qP.jpg" TargetMode="External"/><Relationship Id="rId453" Type="http://schemas.openxmlformats.org/officeDocument/2006/relationships/hyperlink" Target="https://luluvdoo.com/d/zz0958fd9c4e" TargetMode="External"/><Relationship Id="rId660" Type="http://schemas.openxmlformats.org/officeDocument/2006/relationships/hyperlink" Target="https://lulustream.com/d/bsybs46r7514" TargetMode="External"/><Relationship Id="rId1083" Type="http://schemas.openxmlformats.org/officeDocument/2006/relationships/hyperlink" Target="https://doodstream.com/d/lpsajp6gp7zi/" TargetMode="External"/><Relationship Id="rId1290" Type="http://schemas.openxmlformats.org/officeDocument/2006/relationships/hyperlink" Target="https://thumb.tapecontent.net/thumb/0RQZxw0BMycbGbj/410amZbZJ2cKAQ9.jpg" TargetMode="External"/><Relationship Id="rId2134" Type="http://schemas.openxmlformats.org/officeDocument/2006/relationships/hyperlink" Target="https://doodstream.com/d/rg4zlg9q815d/" TargetMode="External"/><Relationship Id="rId2341" Type="http://schemas.openxmlformats.org/officeDocument/2006/relationships/hyperlink" Target="https://doodstream.com/d/dhvoj348w3fi/" TargetMode="External"/><Relationship Id="rId106" Type="http://schemas.openxmlformats.org/officeDocument/2006/relationships/hyperlink" Target="https://lulustream.com/e/6sutlqcipmaa" TargetMode="External"/><Relationship Id="rId313" Type="http://schemas.openxmlformats.org/officeDocument/2006/relationships/hyperlink" Target="https://thumb.tapecontent.net/thumb/Odll3oxVOAh9LQ/DoL9L2wy6Lfkpkk.jpg" TargetMode="External"/><Relationship Id="rId1150" Type="http://schemas.openxmlformats.org/officeDocument/2006/relationships/hyperlink" Target="https://thumb.tapecontent.net/thumb/vrW09AP1Ljs41ZW/DWQrWrd3rYsDYB.jpg" TargetMode="External"/><Relationship Id="rId4099" Type="http://schemas.openxmlformats.org/officeDocument/2006/relationships/hyperlink" Target="https://thumb.tapecontent.net/thumb/brXopj76rGiPj1r/3GerdPv17mTddjV.jpg" TargetMode="External"/><Relationship Id="rId520" Type="http://schemas.openxmlformats.org/officeDocument/2006/relationships/hyperlink" Target="https://thumb.tapecontent.net/thumb/Jp2jzjDX0Qujd4v/ygZrRK6arkU1A2M.jpg" TargetMode="External"/><Relationship Id="rId2201" Type="http://schemas.openxmlformats.org/officeDocument/2006/relationships/hyperlink" Target="https://thumb.tapecontent.net/thumb/yd0vrm4MMzs1zle/X1xZ8MvYoruD8Jv.jpg" TargetMode="External"/><Relationship Id="rId1010" Type="http://schemas.openxmlformats.org/officeDocument/2006/relationships/hyperlink" Target="https://thumb.tapecontent.net/thumb/VyeR4qLVvvIK6zB/B7eWd3dK2VFm2D.jpg" TargetMode="External"/><Relationship Id="rId1967" Type="http://schemas.openxmlformats.org/officeDocument/2006/relationships/hyperlink" Target="https://lulustream.com/d/kukte5t0etzx" TargetMode="External"/><Relationship Id="rId4166" Type="http://schemas.openxmlformats.org/officeDocument/2006/relationships/hyperlink" Target="https://thumb.tapecontent.net/thumb/28Jmprakq7fZORQ/2WMXQvG3yoCZJbx.jpg" TargetMode="External"/><Relationship Id="rId4373" Type="http://schemas.openxmlformats.org/officeDocument/2006/relationships/hyperlink" Target="https://lulustream.com/e/17osyv1mt1nl" TargetMode="External"/><Relationship Id="rId4580" Type="http://schemas.openxmlformats.org/officeDocument/2006/relationships/hyperlink" Target="https://doodstream.com/d/aj1i0c6qkb3d/" TargetMode="External"/><Relationship Id="rId4026" Type="http://schemas.openxmlformats.org/officeDocument/2006/relationships/hyperlink" Target="https://lulustream.com/d/3pqh500ne8y9" TargetMode="External"/><Relationship Id="rId4440" Type="http://schemas.openxmlformats.org/officeDocument/2006/relationships/hyperlink" Target="https://luluvdoo.com/d/o05webquflwa" TargetMode="External"/><Relationship Id="rId3042" Type="http://schemas.openxmlformats.org/officeDocument/2006/relationships/hyperlink" Target="https://doodstream.com/d/s0rhwcdx13ju/" TargetMode="External"/><Relationship Id="rId3859" Type="http://schemas.openxmlformats.org/officeDocument/2006/relationships/hyperlink" Target="https://lulustream.com/e/wx3lkim9l59k" TargetMode="External"/><Relationship Id="rId2875" Type="http://schemas.openxmlformats.org/officeDocument/2006/relationships/hyperlink" Target="https://lulustream.com/d/5po5z844oscs" TargetMode="External"/><Relationship Id="rId3926" Type="http://schemas.openxmlformats.org/officeDocument/2006/relationships/hyperlink" Target="https://lulustream.com/d/io5e1oj393pc" TargetMode="External"/><Relationship Id="rId847" Type="http://schemas.openxmlformats.org/officeDocument/2006/relationships/hyperlink" Target="https://lulustream.com/e/00hytrb4tysy" TargetMode="External"/><Relationship Id="rId1477" Type="http://schemas.openxmlformats.org/officeDocument/2006/relationships/hyperlink" Target="https://doodstream.com/d/8u51pvr2pz3t/" TargetMode="External"/><Relationship Id="rId1891" Type="http://schemas.openxmlformats.org/officeDocument/2006/relationships/hyperlink" Target="https://lulustream.com/d/yoopcx9m84f6" TargetMode="External"/><Relationship Id="rId2528" Type="http://schemas.openxmlformats.org/officeDocument/2006/relationships/hyperlink" Target="https://thumb.tapecontent.net/thumb/8Wq99vaJDzU6MG/qjWGg3ROVrhzrrp.jpg" TargetMode="External"/><Relationship Id="rId2942" Type="http://schemas.openxmlformats.org/officeDocument/2006/relationships/hyperlink" Target="https://thumb.tapecontent.net/thumb/8WPjW6m7A6SovKo/6blZW2mJPxc9088.jpg" TargetMode="External"/><Relationship Id="rId914" Type="http://schemas.openxmlformats.org/officeDocument/2006/relationships/hyperlink" Target="https://lulustream.com/e/xwgdggkhm8bs" TargetMode="External"/><Relationship Id="rId1544" Type="http://schemas.openxmlformats.org/officeDocument/2006/relationships/hyperlink" Target="https://doodstream.com/d/w9qe2qash5jo/" TargetMode="External"/><Relationship Id="rId1611" Type="http://schemas.openxmlformats.org/officeDocument/2006/relationships/hyperlink" Target="https://thumb.tapecontent.net/thumb/rxrJGWj1oktbvwm/gjjABbLeXJtq1lq.jpg" TargetMode="External"/><Relationship Id="rId4767" Type="http://schemas.openxmlformats.org/officeDocument/2006/relationships/hyperlink" Target="https://bunkr.pk/f/Ng56uvY56cR5g" TargetMode="External"/><Relationship Id="rId3369" Type="http://schemas.openxmlformats.org/officeDocument/2006/relationships/hyperlink" Target="https://doodstream.com/d/18yfuxiys74o/" TargetMode="External"/><Relationship Id="rId2385" Type="http://schemas.openxmlformats.org/officeDocument/2006/relationships/hyperlink" Target="https://doodstream.com/d/odslbwpxmv7h/" TargetMode="External"/><Relationship Id="rId3783" Type="http://schemas.openxmlformats.org/officeDocument/2006/relationships/hyperlink" Target="https://thumb.tapecontent.net/thumb/ewGW0PlR1eC9ZY/Zjkr3z7oWgUqX3Y.jpg" TargetMode="External"/><Relationship Id="rId357" Type="http://schemas.openxmlformats.org/officeDocument/2006/relationships/hyperlink" Target="https://luluvdoo.com/d/1qo5i2p23jsh" TargetMode="External"/><Relationship Id="rId2038" Type="http://schemas.openxmlformats.org/officeDocument/2006/relationships/hyperlink" Target="https://doodstream.com/d/p64gtgqkcjrq/" TargetMode="External"/><Relationship Id="rId3436" Type="http://schemas.openxmlformats.org/officeDocument/2006/relationships/hyperlink" Target="https://thumb.tapecontent.net/thumb/Va40Mm9YYWhKd7V/aZDJQ1YO0etOJz.jpg" TargetMode="External"/><Relationship Id="rId3850" Type="http://schemas.openxmlformats.org/officeDocument/2006/relationships/hyperlink" Target="https://doodstream.com/d/egw9m1h4prnq/" TargetMode="External"/><Relationship Id="rId771" Type="http://schemas.openxmlformats.org/officeDocument/2006/relationships/hyperlink" Target="https://lulustream.com/e/mm06ybeh40e7" TargetMode="External"/><Relationship Id="rId2452" Type="http://schemas.openxmlformats.org/officeDocument/2006/relationships/hyperlink" Target="https://thumb.tapecontent.net/thumb/1Oo3z7zXq3ieOJ6/7moJ83BjrDtAZqx.jpg" TargetMode="External"/><Relationship Id="rId3503" Type="http://schemas.openxmlformats.org/officeDocument/2006/relationships/hyperlink" Target="https://doodstream.com/d/szwma1glk4bs/" TargetMode="External"/><Relationship Id="rId424" Type="http://schemas.openxmlformats.org/officeDocument/2006/relationships/hyperlink" Target="https://doodstream.com/d/vkdxk8w1ssv9/" TargetMode="External"/><Relationship Id="rId1054" Type="http://schemas.openxmlformats.org/officeDocument/2006/relationships/hyperlink" Target="https://doodstream.com/d/r3pyp6uz3j1j/" TargetMode="External"/><Relationship Id="rId2105" Type="http://schemas.openxmlformats.org/officeDocument/2006/relationships/hyperlink" Target="https://lulustream.com/e/fvbprlazjetg" TargetMode="External"/><Relationship Id="rId1121" Type="http://schemas.openxmlformats.org/officeDocument/2006/relationships/hyperlink" Target="https://thumb.tapecontent.net/thumb/kkXZgJklDKUOxqp/vPJar6akb4T4gde.jpg" TargetMode="External"/><Relationship Id="rId4277" Type="http://schemas.openxmlformats.org/officeDocument/2006/relationships/hyperlink" Target="https://doodstream.com/d/xtewm7pxkfj8/" TargetMode="External"/><Relationship Id="rId4691" Type="http://schemas.openxmlformats.org/officeDocument/2006/relationships/hyperlink" Target="https://lulustream.com/e/lu88yaebpfhe" TargetMode="External"/><Relationship Id="rId3293" Type="http://schemas.openxmlformats.org/officeDocument/2006/relationships/hyperlink" Target="https://lulustream.com/d/yi0xbiqt0vu8" TargetMode="External"/><Relationship Id="rId4344" Type="http://schemas.openxmlformats.org/officeDocument/2006/relationships/hyperlink" Target="https://doodstream.com/d/ni3fx0wyqsli/" TargetMode="External"/><Relationship Id="rId1938" Type="http://schemas.openxmlformats.org/officeDocument/2006/relationships/hyperlink" Target="https://lulustream.com/d/4xyn6eoz2qjf" TargetMode="External"/><Relationship Id="rId3360" Type="http://schemas.openxmlformats.org/officeDocument/2006/relationships/hyperlink" Target="https://thumb.tapecontent.net/thumb/ZzjdZ7aeP6tq918/D94mr9V7mlCkzVz.jpg" TargetMode="External"/><Relationship Id="rId281" Type="http://schemas.openxmlformats.org/officeDocument/2006/relationships/hyperlink" Target="https://lulustream.com/e/r7qht116rvkd" TargetMode="External"/><Relationship Id="rId3013" Type="http://schemas.openxmlformats.org/officeDocument/2006/relationships/hyperlink" Target="https://lulustream.com/d/ca68bet1imhw" TargetMode="External"/><Relationship Id="rId4411" Type="http://schemas.openxmlformats.org/officeDocument/2006/relationships/hyperlink" Target="https://doodstream.com/d/o1nzikkpir53/" TargetMode="External"/><Relationship Id="rId2779" Type="http://schemas.openxmlformats.org/officeDocument/2006/relationships/hyperlink" Target="https://lulustream.com/d/rqryazwahpgf" TargetMode="External"/><Relationship Id="rId1795" Type="http://schemas.openxmlformats.org/officeDocument/2006/relationships/hyperlink" Target="https://doodstream.com/d/pttvmo2c1tqz/" TargetMode="External"/><Relationship Id="rId2846" Type="http://schemas.openxmlformats.org/officeDocument/2006/relationships/hyperlink" Target="https://lulustream.com/d/88xb0phcjn7u" TargetMode="External"/><Relationship Id="rId87" Type="http://schemas.openxmlformats.org/officeDocument/2006/relationships/hyperlink" Target="https://thumb.tapecontent.net/thumb/ZPopRlqxXbCoMB/Be9KQBrZvlHyxpq.jpg" TargetMode="External"/><Relationship Id="rId818" Type="http://schemas.openxmlformats.org/officeDocument/2006/relationships/hyperlink" Target="https://thumb.tapecontent.net/thumb/AKrmQp4x71UXL1M/1P7k1r49qjfeAyJ.jpg" TargetMode="External"/><Relationship Id="rId1448" Type="http://schemas.openxmlformats.org/officeDocument/2006/relationships/hyperlink" Target="https://thumb.tapecontent.net/thumb/OoMq26bd64hZ2QV/VrLP4bL69JhK8QP.jpg" TargetMode="External"/><Relationship Id="rId1862" Type="http://schemas.openxmlformats.org/officeDocument/2006/relationships/hyperlink" Target="https://lulustream.com/e/rrll9du2sqzt" TargetMode="External"/><Relationship Id="rId2913" Type="http://schemas.openxmlformats.org/officeDocument/2006/relationships/hyperlink" Target="https://doodstream.com/d/exdt9lhdn7h2/" TargetMode="External"/><Relationship Id="rId1515" Type="http://schemas.openxmlformats.org/officeDocument/2006/relationships/hyperlink" Target="https://doodstream.com/d/88noka66auhj/" TargetMode="External"/><Relationship Id="rId3687" Type="http://schemas.openxmlformats.org/officeDocument/2006/relationships/hyperlink" Target="https://thumb.tapecontent.net/thumb/6914eqq7GwT9Dxq/1x8lOajmykUbbG.jpg" TargetMode="External"/><Relationship Id="rId4738" Type="http://schemas.openxmlformats.org/officeDocument/2006/relationships/hyperlink" Target="https://lulustream.com/d/pamg9csuj4ef" TargetMode="External"/><Relationship Id="rId2289" Type="http://schemas.openxmlformats.org/officeDocument/2006/relationships/hyperlink" Target="https://thumb.tapecontent.net/thumb/rrjoAprGLPcbbRy/q3gKMQ4R7Khz8XO.jpg" TargetMode="External"/><Relationship Id="rId3754" Type="http://schemas.openxmlformats.org/officeDocument/2006/relationships/hyperlink" Target="https://thumb.tapecontent.net/thumb/WDL9ZXdZDjfbjYr/JYQrwKDw9Gsjkxm.jpg" TargetMode="External"/><Relationship Id="rId675" Type="http://schemas.openxmlformats.org/officeDocument/2006/relationships/hyperlink" Target="https://thumb.tapecontent.net/thumb/9OPrm3z1l8talde/L3ewz9yJXMSbVX.jpg" TargetMode="External"/><Relationship Id="rId2356" Type="http://schemas.openxmlformats.org/officeDocument/2006/relationships/hyperlink" Target="https://lulustream.com/e/xrkq08lqal2z" TargetMode="External"/><Relationship Id="rId2770" Type="http://schemas.openxmlformats.org/officeDocument/2006/relationships/hyperlink" Target="https://lulustream.com/d/5oeyvjzn7yty" TargetMode="External"/><Relationship Id="rId3407" Type="http://schemas.openxmlformats.org/officeDocument/2006/relationships/hyperlink" Target="https://thumb.tapecontent.net/thumb/01rQ6m2rgahbJyY/vQg4g6d7jMu4qRB.jpg" TargetMode="External"/><Relationship Id="rId3821" Type="http://schemas.openxmlformats.org/officeDocument/2006/relationships/hyperlink" Target="https://lulustream.com/d/adslfntrkwhh" TargetMode="External"/><Relationship Id="rId328" Type="http://schemas.openxmlformats.org/officeDocument/2006/relationships/hyperlink" Target="https://luluvdoo.com/d/pdv4psfv38tk" TargetMode="External"/><Relationship Id="rId742" Type="http://schemas.openxmlformats.org/officeDocument/2006/relationships/hyperlink" Target="https://thumb.tapecontent.net/thumb/GAy62qX6MDToGB/78PRYbYG7LSAjmx.jpg" TargetMode="External"/><Relationship Id="rId1372" Type="http://schemas.openxmlformats.org/officeDocument/2006/relationships/hyperlink" Target="https://lulustream.com/e/o1jiv959kjfm" TargetMode="External"/><Relationship Id="rId2009" Type="http://schemas.openxmlformats.org/officeDocument/2006/relationships/hyperlink" Target="https://doodstream.com/d/vjiih07ltmu4/" TargetMode="External"/><Relationship Id="rId2423" Type="http://schemas.openxmlformats.org/officeDocument/2006/relationships/hyperlink" Target="https://thumb.tapecontent.net/thumb/Q2ZPKMLbrghrXg/Bv8dyvRYVKCyO7R.jpg" TargetMode="External"/><Relationship Id="rId1025" Type="http://schemas.openxmlformats.org/officeDocument/2006/relationships/hyperlink" Target="https://luluvdoo.com/d/yy284lgr2dup" TargetMode="External"/><Relationship Id="rId4595" Type="http://schemas.openxmlformats.org/officeDocument/2006/relationships/hyperlink" Target="https://lulustream.com/d/6a1ng2acsyyg" TargetMode="External"/><Relationship Id="rId3197" Type="http://schemas.openxmlformats.org/officeDocument/2006/relationships/hyperlink" Target="https://lulustream.com/e/37eiu9nhtpxd" TargetMode="External"/><Relationship Id="rId4248" Type="http://schemas.openxmlformats.org/officeDocument/2006/relationships/hyperlink" Target="https://thumb.tapecontent.net/thumb/RpeLbpMMbdSJLR/wzYg4lvYJ9FJJv4.jpg" TargetMode="External"/><Relationship Id="rId4662" Type="http://schemas.openxmlformats.org/officeDocument/2006/relationships/hyperlink" Target="https://thumb.tapecontent.net/thumb/QgM17X13bdt0bqk/z33Ov9wmbJcYDrV.jpg" TargetMode="External"/><Relationship Id="rId185" Type="http://schemas.openxmlformats.org/officeDocument/2006/relationships/hyperlink" Target="https://thumb.tapecontent.net/thumb/roL1Qv72e9Ibwd9/WplVgkewobCb6wJ.jpg" TargetMode="External"/><Relationship Id="rId1909" Type="http://schemas.openxmlformats.org/officeDocument/2006/relationships/hyperlink" Target="https://lulustream.com/e/sqniqdotu28v" TargetMode="External"/><Relationship Id="rId3264" Type="http://schemas.openxmlformats.org/officeDocument/2006/relationships/hyperlink" Target="https://lulustream.com/d/5c8img791g2k" TargetMode="External"/><Relationship Id="rId4315" Type="http://schemas.openxmlformats.org/officeDocument/2006/relationships/hyperlink" Target="https://thumb.tapecontent.net/thumb/ml1vwDMA0bIbYYe/WyOJkjB7BgSR0O.jpg" TargetMode="External"/><Relationship Id="rId2280" Type="http://schemas.openxmlformats.org/officeDocument/2006/relationships/hyperlink" Target="https://thumb.tapecontent.net/thumb/koka77OqdwiOx4z/eoYvQvK7m3iYYGk.jpg" TargetMode="External"/><Relationship Id="rId3331" Type="http://schemas.openxmlformats.org/officeDocument/2006/relationships/hyperlink" Target="https://thumb.tapecontent.net/thumb/Me9GpbolWzumkkJ/1DYWKdwmxKIeA1O.jpg" TargetMode="External"/><Relationship Id="rId252" Type="http://schemas.openxmlformats.org/officeDocument/2006/relationships/hyperlink" Target="https://thumb.tapecontent.net/thumb/AAopzmpAoYiXyLr/Mrxdk70v2eIezW.jpg" TargetMode="External"/><Relationship Id="rId1699" Type="http://schemas.openxmlformats.org/officeDocument/2006/relationships/hyperlink" Target="https://luluvdoo.com/d/y9xfbv38j6t9" TargetMode="External"/><Relationship Id="rId2000" Type="http://schemas.openxmlformats.org/officeDocument/2006/relationships/hyperlink" Target="https://doodstream.com/d/kaa4h3gfjz59/" TargetMode="External"/><Relationship Id="rId4172" Type="http://schemas.openxmlformats.org/officeDocument/2006/relationships/hyperlink" Target="https://thumb.tapecontent.net/thumb/2Kyg833RqjFZwoY/1qd9JPB1dlhembA.jpg" TargetMode="External"/><Relationship Id="rId1766" Type="http://schemas.openxmlformats.org/officeDocument/2006/relationships/hyperlink" Target="https://luluvdoo.com/d/3m8en50r81oq" TargetMode="External"/><Relationship Id="rId2817" Type="http://schemas.openxmlformats.org/officeDocument/2006/relationships/hyperlink" Target="https://lulustream.com/e/jul1aw0v9a9r" TargetMode="External"/><Relationship Id="rId58" Type="http://schemas.openxmlformats.org/officeDocument/2006/relationships/hyperlink" Target="https://thumb.tapecontent.net/thumb/w7vRjBeyaZfJ88W/j7RqjJP3zPIzWKK.jpg" TargetMode="External"/><Relationship Id="rId1419" Type="http://schemas.openxmlformats.org/officeDocument/2006/relationships/hyperlink" Target="https://thumb.tapecontent.net/thumb/jgxw19JW7Rczzoz/YwPb6R07aAfv7YY.jpg" TargetMode="External"/><Relationship Id="rId1833" Type="http://schemas.openxmlformats.org/officeDocument/2006/relationships/hyperlink" Target="https://thumb.tapecontent.net/thumb/x1yd7kRPDzfkPVk/9p6bPZGKOkSZ4Z.jpg" TargetMode="External"/><Relationship Id="rId1900" Type="http://schemas.openxmlformats.org/officeDocument/2006/relationships/hyperlink" Target="https://doodstream.com/d/p5hhce2c1nbf/" TargetMode="External"/><Relationship Id="rId3658" Type="http://schemas.openxmlformats.org/officeDocument/2006/relationships/hyperlink" Target="https://lulustream.com/e/dp1a56p5y5ox" TargetMode="External"/><Relationship Id="rId4709" Type="http://schemas.openxmlformats.org/officeDocument/2006/relationships/hyperlink" Target="https://thumb.tapecontent.net/thumb/VWAABQjYXDcKvy8/YOQbPylO06Iv8PG.jpg" TargetMode="External"/><Relationship Id="rId579" Type="http://schemas.openxmlformats.org/officeDocument/2006/relationships/hyperlink" Target="https://thumb.tapecontent.net/thumb/28892oR096hxe7/aVBLDLK8vLSxv7z.jpg" TargetMode="External"/><Relationship Id="rId993" Type="http://schemas.openxmlformats.org/officeDocument/2006/relationships/hyperlink" Target="https://luluvdoo.com/d/9aas3tg5ovh6" TargetMode="External"/><Relationship Id="rId2674" Type="http://schemas.openxmlformats.org/officeDocument/2006/relationships/hyperlink" Target="https://doodstream.com/d/yse1n5sx58jl/" TargetMode="External"/><Relationship Id="rId646" Type="http://schemas.openxmlformats.org/officeDocument/2006/relationships/hyperlink" Target="https://doodstream.com/d/8qnldy8axpsg/" TargetMode="External"/><Relationship Id="rId1276" Type="http://schemas.openxmlformats.org/officeDocument/2006/relationships/hyperlink" Target="https://thumb.tapecontent.net/thumb/Vo4OAyaRxbikPA/Zqb7P3G0DWTqW4P.jpg" TargetMode="External"/><Relationship Id="rId2327" Type="http://schemas.openxmlformats.org/officeDocument/2006/relationships/hyperlink" Target="https://thumb.tapecontent.net/thumb/l26Bk1Wqd4H7Y3q/2KamAAB99QsZ91D.jpg" TargetMode="External"/><Relationship Id="rId3725" Type="http://schemas.openxmlformats.org/officeDocument/2006/relationships/hyperlink" Target="https://lulustream.com/d/pdkg1bkcpf2j" TargetMode="External"/><Relationship Id="rId1690" Type="http://schemas.openxmlformats.org/officeDocument/2006/relationships/hyperlink" Target="https://doodstream.com/d/wpqdrnirst36/" TargetMode="External"/><Relationship Id="rId2741" Type="http://schemas.openxmlformats.org/officeDocument/2006/relationships/hyperlink" Target="https://doodstream.com/d/23qmpr28qqld/" TargetMode="External"/><Relationship Id="rId713" Type="http://schemas.openxmlformats.org/officeDocument/2006/relationships/hyperlink" Target="https://thumb.tapecontent.net/thumb/w7ZRmYzak6FJ11Y/6e331AvOVMS90bD.jpg" TargetMode="External"/><Relationship Id="rId1343" Type="http://schemas.openxmlformats.org/officeDocument/2006/relationships/hyperlink" Target="https://thumb.tapecontent.net/thumb/8wpZxgDDZXuJ4g/6aoY4XvYbxtL1m.jpg" TargetMode="External"/><Relationship Id="rId4499" Type="http://schemas.openxmlformats.org/officeDocument/2006/relationships/hyperlink" Target="https://thumb.tapecontent.net/thumb/6Kb67bb0k6H90vb/qJyeJ7RZ8ZUzb4J.jpg" TargetMode="External"/><Relationship Id="rId1410" Type="http://schemas.openxmlformats.org/officeDocument/2006/relationships/hyperlink" Target="https://doodstream.com/d/7ju58i4hys5t/" TargetMode="External"/><Relationship Id="rId4566" Type="http://schemas.openxmlformats.org/officeDocument/2006/relationships/hyperlink" Target="https://lulustream.com/d/f8chqntzv4cy" TargetMode="External"/><Relationship Id="rId3168" Type="http://schemas.openxmlformats.org/officeDocument/2006/relationships/hyperlink" Target="https://thumb.tapecontent.net/thumb/02aRkK90losbrBY/1WQ1DyeevOsejVj.jpg" TargetMode="External"/><Relationship Id="rId3582" Type="http://schemas.openxmlformats.org/officeDocument/2006/relationships/hyperlink" Target="https://lulustream.com/e/jieisoy8qbkj" TargetMode="External"/><Relationship Id="rId4219" Type="http://schemas.openxmlformats.org/officeDocument/2006/relationships/hyperlink" Target="https://doodstream.com/d/wmoznhomuseg/" TargetMode="External"/><Relationship Id="rId4633" Type="http://schemas.openxmlformats.org/officeDocument/2006/relationships/hyperlink" Target="https://thumb.tapecontent.net/thumb/rexl2Q281yubb8y/dpk0OyXkW4HkJKX.jpg" TargetMode="External"/><Relationship Id="rId2184" Type="http://schemas.openxmlformats.org/officeDocument/2006/relationships/hyperlink" Target="https://lulustream.com/e/w6d4dq6sr1xk" TargetMode="External"/><Relationship Id="rId3235" Type="http://schemas.openxmlformats.org/officeDocument/2006/relationships/hyperlink" Target="https://thumb.tapecontent.net/thumb/GKG1mAl1BZU1Xw6/k3r1eQPRz6FOdAB.jpg" TargetMode="External"/><Relationship Id="rId156" Type="http://schemas.openxmlformats.org/officeDocument/2006/relationships/hyperlink" Target="https://thumb.tapecontent.net/thumb/ZXPYoQ9WezIqx1D/V84Q44zxK6tKKqJ.jpg" TargetMode="External"/><Relationship Id="rId570" Type="http://schemas.openxmlformats.org/officeDocument/2006/relationships/hyperlink" Target="https://thumb.tapecontent.net/thumb/8qpaP4DarLIoBMd/RXPAGWRbgQud8yo.jpg" TargetMode="External"/><Relationship Id="rId2251" Type="http://schemas.openxmlformats.org/officeDocument/2006/relationships/hyperlink" Target="https://thumb.tapecontent.net/thumb/GX9WgpZGmxT1egd/gl9a76DvMrTqMwA.jpg" TargetMode="External"/><Relationship Id="rId3302" Type="http://schemas.openxmlformats.org/officeDocument/2006/relationships/hyperlink" Target="https://thumb.tapecontent.net/thumb/9RPqkeGBk6io6D/jOgZXr6JpxHzzMX.jpg" TargetMode="External"/><Relationship Id="rId4700" Type="http://schemas.openxmlformats.org/officeDocument/2006/relationships/hyperlink" Target="https://lulustream.com/d/zobh67ng0akb" TargetMode="External"/><Relationship Id="rId223" Type="http://schemas.openxmlformats.org/officeDocument/2006/relationships/hyperlink" Target="https://doodstream.com/d/t4uymf3923e5/" TargetMode="External"/><Relationship Id="rId4076" Type="http://schemas.openxmlformats.org/officeDocument/2006/relationships/hyperlink" Target="https://luluvdoo.com/d/a50sz7e9662c" TargetMode="External"/><Relationship Id="rId4490" Type="http://schemas.openxmlformats.org/officeDocument/2006/relationships/hyperlink" Target="https://thumb.tapecontent.net/thumb/YGJ33ZaW3DtLBY/gVjGGKG38Quq7qD.jpg" TargetMode="External"/><Relationship Id="rId1737" Type="http://schemas.openxmlformats.org/officeDocument/2006/relationships/hyperlink" Target="https://thumb.tapecontent.net/thumb/8qZBV77oYWcoRk2/zXWB8mVPWeUY3dX.jpg" TargetMode="External"/><Relationship Id="rId3092" Type="http://schemas.openxmlformats.org/officeDocument/2006/relationships/hyperlink" Target="https://lulustream.com/e/68ui0wgr5mn3" TargetMode="External"/><Relationship Id="rId4143" Type="http://schemas.openxmlformats.org/officeDocument/2006/relationships/hyperlink" Target="https://lulustream.com/e/76vdozpt3xuo" TargetMode="External"/><Relationship Id="rId29" Type="http://schemas.openxmlformats.org/officeDocument/2006/relationships/hyperlink" Target="https://doodstream.com/d/ccfg6h6q5f0r/" TargetMode="External"/><Relationship Id="rId4210" Type="http://schemas.openxmlformats.org/officeDocument/2006/relationships/hyperlink" Target="https://doodstream.com/d/nwbfif6k4r9e/" TargetMode="External"/><Relationship Id="rId1804" Type="http://schemas.openxmlformats.org/officeDocument/2006/relationships/hyperlink" Target="https://thumb.tapecontent.net/thumb/akoGlKqv9RCOOg/3dvpKzYMZ9TLDG.jpg" TargetMode="External"/><Relationship Id="rId3976" Type="http://schemas.openxmlformats.org/officeDocument/2006/relationships/hyperlink" Target="https://lulustream.com/d/jrn8jh2vhgfk" TargetMode="External"/><Relationship Id="rId897" Type="http://schemas.openxmlformats.org/officeDocument/2006/relationships/hyperlink" Target="https://thumb.tapecontent.net/thumb/Y1z2zyjRYvU6gj/DjaRvKLBY1FkP3w.jpg" TargetMode="External"/><Relationship Id="rId2578" Type="http://schemas.openxmlformats.org/officeDocument/2006/relationships/hyperlink" Target="https://doodstream.com/d/cnpdpid5jzpf/" TargetMode="External"/><Relationship Id="rId2992" Type="http://schemas.openxmlformats.org/officeDocument/2006/relationships/hyperlink" Target="https://doodstream.com/d/xoqcwuguryty/" TargetMode="External"/><Relationship Id="rId3629" Type="http://schemas.openxmlformats.org/officeDocument/2006/relationships/hyperlink" Target="https://doodstream.com/d/fpk97vtk700t/" TargetMode="External"/><Relationship Id="rId964" Type="http://schemas.openxmlformats.org/officeDocument/2006/relationships/hyperlink" Target="https://thumb.tapecontent.net/thumb/jrqxbprkD8Tz0W3/Za3JXqMza0iq1D7.jpg" TargetMode="External"/><Relationship Id="rId1594" Type="http://schemas.openxmlformats.org/officeDocument/2006/relationships/hyperlink" Target="https://doodstream.com/d/9uf12glfj720/" TargetMode="External"/><Relationship Id="rId2645" Type="http://schemas.openxmlformats.org/officeDocument/2006/relationships/hyperlink" Target="https://thumb.tapecontent.net/thumb/DAl4Lw2vK6Ckood/9lRDZVP8Qwsar7M.jpg" TargetMode="External"/><Relationship Id="rId617" Type="http://schemas.openxmlformats.org/officeDocument/2006/relationships/hyperlink" Target="https://lulustream.com/d/xdorj7bqrlbq" TargetMode="External"/><Relationship Id="rId1247" Type="http://schemas.openxmlformats.org/officeDocument/2006/relationships/hyperlink" Target="https://lulustream.com/d/3jwfz6lq1mzw" TargetMode="External"/><Relationship Id="rId1661" Type="http://schemas.openxmlformats.org/officeDocument/2006/relationships/hyperlink" Target="https://doodstream.com/d/y0chen13nyxj/" TargetMode="External"/><Relationship Id="rId2712" Type="http://schemas.openxmlformats.org/officeDocument/2006/relationships/hyperlink" Target="https://lulustream.com/d/2pgmq1nws0fl" TargetMode="External"/><Relationship Id="rId1314" Type="http://schemas.openxmlformats.org/officeDocument/2006/relationships/hyperlink" Target="https://thumb.tapecontent.net/thumb/gj1jVO91kXiq0Rw/qlDGz0mXkphzXwx.jpg" TargetMode="External"/><Relationship Id="rId3486" Type="http://schemas.openxmlformats.org/officeDocument/2006/relationships/hyperlink" Target="https://doodstream.com/d/lq7ebgy99p5s/" TargetMode="External"/><Relationship Id="rId4537" Type="http://schemas.openxmlformats.org/officeDocument/2006/relationships/hyperlink" Target="https://thumb.tapecontent.net/thumb/vr8Q3z42zRI41kz/jkPWx7axekIz1q1.jpg" TargetMode="External"/><Relationship Id="rId20" Type="http://schemas.openxmlformats.org/officeDocument/2006/relationships/hyperlink" Target="https://thumb.tapecontent.net/thumb/pgbZd2DxRBsryWr/dQgqZOVw2rhkk0Q.jpg" TargetMode="External"/><Relationship Id="rId2088" Type="http://schemas.openxmlformats.org/officeDocument/2006/relationships/hyperlink" Target="https://thumb.tapecontent.net/thumb/8OLJZbwG6DioVAe/017z82RRyeIABW.jpg" TargetMode="External"/><Relationship Id="rId3139" Type="http://schemas.openxmlformats.org/officeDocument/2006/relationships/hyperlink" Target="https://thumb.tapecontent.net/thumb/wG7MrMRJqgHJyx8/OXpJmBwD77UZb22.jpg" TargetMode="External"/><Relationship Id="rId474" Type="http://schemas.openxmlformats.org/officeDocument/2006/relationships/hyperlink" Target="https://luluvdoo.com/d/t138hn497csr" TargetMode="External"/><Relationship Id="rId2155" Type="http://schemas.openxmlformats.org/officeDocument/2006/relationships/hyperlink" Target="https://thumb.tapecontent.net/thumb/1LxXJq6oMPSxpJ/8OBaZ04jLdTYXD.jpg" TargetMode="External"/><Relationship Id="rId3553" Type="http://schemas.openxmlformats.org/officeDocument/2006/relationships/hyperlink" Target="https://thumb.tapecontent.net/thumb/o684pqVeLaHJ4lY/dAgzAlMdLPikqOL.jpg" TargetMode="External"/><Relationship Id="rId4604" Type="http://schemas.openxmlformats.org/officeDocument/2006/relationships/hyperlink" Target="https://thumb.tapecontent.net/thumb/xgx9AwR2jgu9qV/9kp3yPP7PAfal3p.jpg" TargetMode="External"/><Relationship Id="rId127" Type="http://schemas.openxmlformats.org/officeDocument/2006/relationships/hyperlink" Target="https://lulustream.com/d/lg2ts518zzpi" TargetMode="External"/><Relationship Id="rId3206" Type="http://schemas.openxmlformats.org/officeDocument/2006/relationships/hyperlink" Target="https://thumb.tapecontent.net/thumb/qOLgjY4ekRizm7w/dV8VZXWb0xsZxW.jpg" TargetMode="External"/><Relationship Id="rId3620" Type="http://schemas.openxmlformats.org/officeDocument/2006/relationships/hyperlink" Target="https://doodstream.com/d/s6qavseb2mio/" TargetMode="External"/><Relationship Id="rId541" Type="http://schemas.openxmlformats.org/officeDocument/2006/relationships/hyperlink" Target="https://doodstream.com/d/s6efbrbghm28/" TargetMode="External"/><Relationship Id="rId1171" Type="http://schemas.openxmlformats.org/officeDocument/2006/relationships/hyperlink" Target="https://lulustream.com/e/zqbyp6nhkxqp" TargetMode="External"/><Relationship Id="rId2222" Type="http://schemas.openxmlformats.org/officeDocument/2006/relationships/hyperlink" Target="https://doodstream.com/d/wf2psnicdm8y/" TargetMode="External"/><Relationship Id="rId1988" Type="http://schemas.openxmlformats.org/officeDocument/2006/relationships/hyperlink" Target="https://lulustream.com/e/60zvt1kn15va" TargetMode="External"/><Relationship Id="rId4394" Type="http://schemas.openxmlformats.org/officeDocument/2006/relationships/hyperlink" Target="https://doodstream.com/d/xd4ol3z9h66j/" TargetMode="External"/><Relationship Id="rId4047" Type="http://schemas.openxmlformats.org/officeDocument/2006/relationships/hyperlink" Target="https://doodstream.com/d/pfh3znqhdrqr/" TargetMode="External"/><Relationship Id="rId4461" Type="http://schemas.openxmlformats.org/officeDocument/2006/relationships/hyperlink" Target="https://doodstream.com/d/m2ki90v2207j/" TargetMode="External"/><Relationship Id="rId3063" Type="http://schemas.openxmlformats.org/officeDocument/2006/relationships/hyperlink" Target="https://doodstream.com/d/eckkhtpcb0iq/" TargetMode="External"/><Relationship Id="rId4114" Type="http://schemas.openxmlformats.org/officeDocument/2006/relationships/hyperlink" Target="https://thumb.tapecontent.net/thumb/KwVDaQleyaI0d6e/233yxZ07wWUZyxk.jpg" TargetMode="External"/><Relationship Id="rId1708" Type="http://schemas.openxmlformats.org/officeDocument/2006/relationships/hyperlink" Target="https://thumb.tapecontent.net/thumb/m3ym9xkAALhVgl/kKzmDGR7r7sO1dR.jpg" TargetMode="External"/><Relationship Id="rId3130" Type="http://schemas.openxmlformats.org/officeDocument/2006/relationships/hyperlink" Target="https://luluvdoo.com/d/2aer9iefl3j9" TargetMode="External"/><Relationship Id="rId2896" Type="http://schemas.openxmlformats.org/officeDocument/2006/relationships/hyperlink" Target="https://lulustream.com/e/hiccwmsigyvq" TargetMode="External"/><Relationship Id="rId3947" Type="http://schemas.openxmlformats.org/officeDocument/2006/relationships/hyperlink" Target="https://lulustream.com/d/pc73yuvyyn7k" TargetMode="External"/><Relationship Id="rId868" Type="http://schemas.openxmlformats.org/officeDocument/2006/relationships/hyperlink" Target="https://doodstream.com/d/vhnkpcguy4u0/" TargetMode="External"/><Relationship Id="rId1498" Type="http://schemas.openxmlformats.org/officeDocument/2006/relationships/hyperlink" Target="https://thumb.tapecontent.net/thumb/pl0d931ZkMcr2ZO/ajYdp2R3b2uxXZP.jpg" TargetMode="External"/><Relationship Id="rId2549" Type="http://schemas.openxmlformats.org/officeDocument/2006/relationships/hyperlink" Target="https://lulustream.com/d/3bgzwf0nquro" TargetMode="External"/><Relationship Id="rId2963" Type="http://schemas.openxmlformats.org/officeDocument/2006/relationships/hyperlink" Target="https://lulustream.com/e/rwsh7ttqnl24" TargetMode="External"/><Relationship Id="rId935" Type="http://schemas.openxmlformats.org/officeDocument/2006/relationships/hyperlink" Target="https://lulustream.com/e/qw72xqr7s9gm" TargetMode="External"/><Relationship Id="rId1565" Type="http://schemas.openxmlformats.org/officeDocument/2006/relationships/hyperlink" Target="https://lulustream.com/e/y60pswyoeiig" TargetMode="External"/><Relationship Id="rId2616" Type="http://schemas.openxmlformats.org/officeDocument/2006/relationships/hyperlink" Target="https://lulustream.com/e/hglr8zj793ch" TargetMode="External"/><Relationship Id="rId1218" Type="http://schemas.openxmlformats.org/officeDocument/2006/relationships/hyperlink" Target="https://doodstream.com/d/lqr0djr2bzcz/" TargetMode="External"/><Relationship Id="rId1632" Type="http://schemas.openxmlformats.org/officeDocument/2006/relationships/hyperlink" Target="https://doodstream.com/d/un9f9k9ubcps/" TargetMode="External"/><Relationship Id="rId3457" Type="http://schemas.openxmlformats.org/officeDocument/2006/relationships/hyperlink" Target="https://thumb.tapecontent.net/thumb/yM69KJKQD7i1QVe/94bJJQ68PRtBZV.jpg" TargetMode="External"/><Relationship Id="rId3871" Type="http://schemas.openxmlformats.org/officeDocument/2006/relationships/hyperlink" Target="https://thumb.tapecontent.net/thumb/JWM8PbVOwXcjdMA/L3RKXqoQyeTRkQR.jpg" TargetMode="External"/><Relationship Id="rId4508" Type="http://schemas.openxmlformats.org/officeDocument/2006/relationships/hyperlink" Target="https://thumb.tapecontent.net/thumb/X1BvP70pgJhBde/349x3zodwKfdO8q.jpg" TargetMode="External"/><Relationship Id="rId378" Type="http://schemas.openxmlformats.org/officeDocument/2006/relationships/hyperlink" Target="https://thumb.tapecontent.net/thumb/jVeAY1LVMPfzeyd/Z1xOOByPLlUqWGa.jpg" TargetMode="External"/><Relationship Id="rId792" Type="http://schemas.openxmlformats.org/officeDocument/2006/relationships/hyperlink" Target="https://lulustream.com/e/b1ar36x2ou5n" TargetMode="External"/><Relationship Id="rId2059" Type="http://schemas.openxmlformats.org/officeDocument/2006/relationships/hyperlink" Target="https://doodstream.com/d/ynpqaeb2utwj/" TargetMode="External"/><Relationship Id="rId2473" Type="http://schemas.openxmlformats.org/officeDocument/2006/relationships/hyperlink" Target="https://thumb.tapecontent.net/thumb/AQjlQOaYj8F4Ll/P78JrKZKVvI0qp8.jpg" TargetMode="External"/><Relationship Id="rId3524" Type="http://schemas.openxmlformats.org/officeDocument/2006/relationships/hyperlink" Target="https://thumb.tapecontent.net/thumb/Vz6D4xlKB2h9aR/ll2LBLkrLki7Mj0.jpg" TargetMode="External"/><Relationship Id="rId445" Type="http://schemas.openxmlformats.org/officeDocument/2006/relationships/hyperlink" Target="https://luluvdoo.com/d/ejyp2hapw9zj" TargetMode="External"/><Relationship Id="rId1075" Type="http://schemas.openxmlformats.org/officeDocument/2006/relationships/hyperlink" Target="https://thumb.tapecontent.net/thumb/bRjkvBXeRacPkDW/br6mj2dXMktLMe.jpg" TargetMode="External"/><Relationship Id="rId2126" Type="http://schemas.openxmlformats.org/officeDocument/2006/relationships/hyperlink" Target="https://luluvdoo.com/d/qsz82p94rszv" TargetMode="External"/><Relationship Id="rId2540" Type="http://schemas.openxmlformats.org/officeDocument/2006/relationships/hyperlink" Target="https://thumb.tapecontent.net/thumb/wZebwzRQOpfJm8w/6q1eAYBQ7vh9J6p.jpg" TargetMode="External"/><Relationship Id="rId512" Type="http://schemas.openxmlformats.org/officeDocument/2006/relationships/hyperlink" Target="https://streamtape.com/v/gv7ymXmJaasqpew/Angela_White_-_84891613_-_Onlyfans" TargetMode="External"/><Relationship Id="rId1142" Type="http://schemas.openxmlformats.org/officeDocument/2006/relationships/hyperlink" Target="https://lulustream.com/d/m3sg8orqd73j" TargetMode="External"/><Relationship Id="rId4298" Type="http://schemas.openxmlformats.org/officeDocument/2006/relationships/hyperlink" Target="https://thumb.tapecontent.net/thumb/QJ9ypmv7b8C0DAQ/zDJYoK8ZwBhYa8k.jpg" TargetMode="External"/><Relationship Id="rId4365" Type="http://schemas.openxmlformats.org/officeDocument/2006/relationships/hyperlink" Target="https://thumb.tapecontent.net/thumb/bGz77XYXd2TP1Vq/dZkRAGaax4Ck8vW.jpg" TargetMode="External"/><Relationship Id="rId1959" Type="http://schemas.openxmlformats.org/officeDocument/2006/relationships/hyperlink" Target="https://lulustream.com/e/dpepq4ma5umj" TargetMode="External"/><Relationship Id="rId4018" Type="http://schemas.openxmlformats.org/officeDocument/2006/relationships/hyperlink" Target="https://thumb.tapecontent.net/thumb/MklQe2MJbYSmOek/kZYo2pAGdJSO1XL.jpg" TargetMode="External"/><Relationship Id="rId3381" Type="http://schemas.openxmlformats.org/officeDocument/2006/relationships/hyperlink" Target="https://thumb.tapecontent.net/thumb/KzbR7VepWPt0ZO8/Mk93gqywGySm41y.jpg" TargetMode="External"/><Relationship Id="rId4432" Type="http://schemas.openxmlformats.org/officeDocument/2006/relationships/hyperlink" Target="https://lulustream.com/d/vjvxzt4mpeuh" TargetMode="External"/><Relationship Id="rId3034" Type="http://schemas.openxmlformats.org/officeDocument/2006/relationships/hyperlink" Target="https://luluvdoo.com/d/ypsepkslsobp" TargetMode="External"/><Relationship Id="rId2050" Type="http://schemas.openxmlformats.org/officeDocument/2006/relationships/hyperlink" Target="https://doodstream.com/d/xuwbe9198wvx/" TargetMode="External"/><Relationship Id="rId3101" Type="http://schemas.openxmlformats.org/officeDocument/2006/relationships/hyperlink" Target="https://thumb.tapecontent.net/thumb/vgdL73Zj8PS49rq/zboA3d72wKCYYq9.jpg" TargetMode="External"/><Relationship Id="rId839" Type="http://schemas.openxmlformats.org/officeDocument/2006/relationships/hyperlink" Target="https://lulustream.com/e/n50xmv0i8d24" TargetMode="External"/><Relationship Id="rId1469" Type="http://schemas.openxmlformats.org/officeDocument/2006/relationships/hyperlink" Target="https://lulustream.com/d/n8fd1biuu59r" TargetMode="External"/><Relationship Id="rId2867" Type="http://schemas.openxmlformats.org/officeDocument/2006/relationships/hyperlink" Target="https://thumb.tapecontent.net/thumb/ZKPzygo46phqaOY/qKPjLAXOvXczQoP.jpg" TargetMode="External"/><Relationship Id="rId3918" Type="http://schemas.openxmlformats.org/officeDocument/2006/relationships/hyperlink" Target="https://doodstream.com/d/ogmj9kbdejov/" TargetMode="External"/><Relationship Id="rId1883" Type="http://schemas.openxmlformats.org/officeDocument/2006/relationships/hyperlink" Target="https://lulustream.com/e/mf91ypibcfyu" TargetMode="External"/><Relationship Id="rId2934" Type="http://schemas.openxmlformats.org/officeDocument/2006/relationships/hyperlink" Target="https://thumb.tapecontent.net/thumb/dOp3KqyQlQt7Ky/klyA1D82KaT66y.jpg" TargetMode="External"/><Relationship Id="rId906" Type="http://schemas.openxmlformats.org/officeDocument/2006/relationships/hyperlink" Target="https://thumb.tapecontent.net/thumb/V6D1jx7JGluY3m/r2Z7w0zeqYTb7Zy.jpg" TargetMode="External"/><Relationship Id="rId1536" Type="http://schemas.openxmlformats.org/officeDocument/2006/relationships/hyperlink" Target="https://lulustream.com/d/jllfgh853v37" TargetMode="External"/><Relationship Id="rId1950" Type="http://schemas.openxmlformats.org/officeDocument/2006/relationships/hyperlink" Target="https://lulustream.com/e/d8a17c1ib0md" TargetMode="External"/><Relationship Id="rId1603" Type="http://schemas.openxmlformats.org/officeDocument/2006/relationships/hyperlink" Target="https://doodstream.com/d/tjzfql4togf8/" TargetMode="External"/><Relationship Id="rId4759" Type="http://schemas.openxmlformats.org/officeDocument/2006/relationships/hyperlink" Target="https://thumb.tapecontent.net/thumb/3aR4OaPkQ8hdw33/djb9BabYMpUgwX.jpg" TargetMode="External"/><Relationship Id="rId3775" Type="http://schemas.openxmlformats.org/officeDocument/2006/relationships/hyperlink" Target="https://thumb.tapecontent.net/thumb/WqPQpOxw0gCbxbR/w4gjrvQY3mFjAj.jpg" TargetMode="External"/><Relationship Id="rId696" Type="http://schemas.openxmlformats.org/officeDocument/2006/relationships/hyperlink" Target="https://thumb.tapecontent.net/thumb/rAB9ooy3BjFb69Q/kqw86pDZMkF6b4.jpg" TargetMode="External"/><Relationship Id="rId2377" Type="http://schemas.openxmlformats.org/officeDocument/2006/relationships/hyperlink" Target="https://doodstream.com/d/l6e2aijp9dup/" TargetMode="External"/><Relationship Id="rId2791" Type="http://schemas.openxmlformats.org/officeDocument/2006/relationships/hyperlink" Target="https://lulustream.com/e/q6vwlgz1nalv" TargetMode="External"/><Relationship Id="rId3428" Type="http://schemas.openxmlformats.org/officeDocument/2006/relationships/hyperlink" Target="https://thumb.tapecontent.net/thumb/qyR21zKmR2I1KO/bejqPb60BQFQmA.jpg" TargetMode="External"/><Relationship Id="rId349" Type="http://schemas.openxmlformats.org/officeDocument/2006/relationships/hyperlink" Target="https://thumb.tapecontent.net/thumb/ldLaBdMgYOF7G1p/G6dX7GPYegc18L4.jpg" TargetMode="External"/><Relationship Id="rId763" Type="http://schemas.openxmlformats.org/officeDocument/2006/relationships/hyperlink" Target="https://lulustream.com/d/0bzhgwbfy0rb" TargetMode="External"/><Relationship Id="rId1393" Type="http://schemas.openxmlformats.org/officeDocument/2006/relationships/hyperlink" Target="https://thumb.tapecontent.net/thumb/RALpW4zzAoIdy0p/VawryL103YhyQ6.jpg" TargetMode="External"/><Relationship Id="rId2444" Type="http://schemas.openxmlformats.org/officeDocument/2006/relationships/hyperlink" Target="https://thumb.tapecontent.net/thumb/kLvJyQDDoZUOzlp/OVL44gAkwquZPXP.jpg" TargetMode="External"/><Relationship Id="rId3842" Type="http://schemas.openxmlformats.org/officeDocument/2006/relationships/hyperlink" Target="https://lulustream.com/e/btco9jpjccdy" TargetMode="External"/><Relationship Id="rId416" Type="http://schemas.openxmlformats.org/officeDocument/2006/relationships/hyperlink" Target="https://doodstream.com/d/lzgud9mz3q9l/" TargetMode="External"/><Relationship Id="rId1046" Type="http://schemas.openxmlformats.org/officeDocument/2006/relationships/hyperlink" Target="https://thumb.tapecontent.net/thumb/mD3PgJXxJDsb3j2/LMb4xQx0y0hbLG.jpg" TargetMode="External"/><Relationship Id="rId830" Type="http://schemas.openxmlformats.org/officeDocument/2006/relationships/hyperlink" Target="https://thumb.tapecontent.net/thumb/gVgAz3vVBjcqwpe/bKagQ6opgeHPzB4.jpg" TargetMode="External"/><Relationship Id="rId1460" Type="http://schemas.openxmlformats.org/officeDocument/2006/relationships/hyperlink" Target="https://doodstream.com/d/zdrnt4rk3nmy/" TargetMode="External"/><Relationship Id="rId2511" Type="http://schemas.openxmlformats.org/officeDocument/2006/relationships/hyperlink" Target="https://thumb.tapecontent.net/thumb/l7zX2AAdb2F7xem/BvVQY1q8M8hypOW.jpg" TargetMode="External"/><Relationship Id="rId1113" Type="http://schemas.openxmlformats.org/officeDocument/2006/relationships/hyperlink" Target="https://doodstream.com/d/uucpitkmed9f/" TargetMode="External"/><Relationship Id="rId4269" Type="http://schemas.openxmlformats.org/officeDocument/2006/relationships/hyperlink" Target="https://doodstream.com/d/2te074i1z541/" TargetMode="External"/><Relationship Id="rId4683" Type="http://schemas.openxmlformats.org/officeDocument/2006/relationships/hyperlink" Target="https://lulustream.com/e/1rmn06ii4y9w" TargetMode="External"/><Relationship Id="rId3285" Type="http://schemas.openxmlformats.org/officeDocument/2006/relationships/hyperlink" Target="https://lulustream.com/d/tb3pi6nq6ury" TargetMode="External"/><Relationship Id="rId4336" Type="http://schemas.openxmlformats.org/officeDocument/2006/relationships/hyperlink" Target="https://doodstream.com/d/iq2lokpu35ck/" TargetMode="External"/><Relationship Id="rId4750" Type="http://schemas.openxmlformats.org/officeDocument/2006/relationships/hyperlink" Target="https://bunkr.cr/a/OtqAay78" TargetMode="External"/><Relationship Id="rId3352" Type="http://schemas.openxmlformats.org/officeDocument/2006/relationships/hyperlink" Target="https://thumb.tapecontent.net/thumb/yV9YkLKaD7sB34/vgdJWrpdv8u4qxZ.jpg" TargetMode="External"/><Relationship Id="rId4403" Type="http://schemas.openxmlformats.org/officeDocument/2006/relationships/hyperlink" Target="https://lulustream.com/e/ev5o8hddll76" TargetMode="External"/><Relationship Id="rId273" Type="http://schemas.openxmlformats.org/officeDocument/2006/relationships/hyperlink" Target="https://thumb.tapecontent.net/thumb/MqyQyRr2wBUG9x/kW23p30ao0SO4rB.jpg" TargetMode="External"/><Relationship Id="rId3005" Type="http://schemas.openxmlformats.org/officeDocument/2006/relationships/hyperlink" Target="https://thumb.tapecontent.net/thumb/W8LGOR9zQrcb4aa/yAD1gARDzyCwPm.jpg" TargetMode="External"/><Relationship Id="rId340" Type="http://schemas.openxmlformats.org/officeDocument/2006/relationships/hyperlink" Target="https://doodstream.com/d/bufk5se9yw20/" TargetMode="External"/><Relationship Id="rId2021" Type="http://schemas.openxmlformats.org/officeDocument/2006/relationships/hyperlink" Target="https://doodstream.com/d/6a7ycx6yzg38/" TargetMode="External"/><Relationship Id="rId4193" Type="http://schemas.openxmlformats.org/officeDocument/2006/relationships/hyperlink" Target="https://thumb.tapecontent.net/thumb/RWkd6K6W8GCdljW/XbpZ1bLMZwsAqr.jpg" TargetMode="External"/><Relationship Id="rId1787" Type="http://schemas.openxmlformats.org/officeDocument/2006/relationships/hyperlink" Target="https://lulustream.com/e/7vv1zx7ubllx" TargetMode="External"/><Relationship Id="rId2838" Type="http://schemas.openxmlformats.org/officeDocument/2006/relationships/hyperlink" Target="https://doodstream.com/d/i1t1cb7dgalm/" TargetMode="External"/><Relationship Id="rId79" Type="http://schemas.openxmlformats.org/officeDocument/2006/relationships/hyperlink" Target="https://lulustream.com/d/7rmboytus18b" TargetMode="External"/><Relationship Id="rId1854" Type="http://schemas.openxmlformats.org/officeDocument/2006/relationships/hyperlink" Target="https://thumb.tapecontent.net/thumb/eVrLBgjApKUYV0x/bVypLxM9ABuPALm.jpg" TargetMode="External"/><Relationship Id="rId2905" Type="http://schemas.openxmlformats.org/officeDocument/2006/relationships/hyperlink" Target="https://thumb.tapecontent.net/thumb/a2qWWQlpdytxqpx/QeWQbRebGyc0j7R.jpg" TargetMode="External"/><Relationship Id="rId4260" Type="http://schemas.openxmlformats.org/officeDocument/2006/relationships/hyperlink" Target="https://thumb.tapecontent.net/thumb/2VwBJDzbDmiZ3ka/laKbrYw6k7fdb4.jpg" TargetMode="External"/><Relationship Id="rId1507" Type="http://schemas.openxmlformats.org/officeDocument/2006/relationships/hyperlink" Target="https://lulustream.com/e/i5gan13c4ttg" TargetMode="External"/><Relationship Id="rId1921" Type="http://schemas.openxmlformats.org/officeDocument/2006/relationships/hyperlink" Target="https://thumb.tapecontent.net/thumb/dgk0Lq3vevck4dY/MaKw4XrjrkUmZaa.jpg" TargetMode="External"/><Relationship Id="rId3679" Type="http://schemas.openxmlformats.org/officeDocument/2006/relationships/hyperlink" Target="https://doodstream.com/d/2jk5bdg8x6by/" TargetMode="External"/><Relationship Id="rId1297" Type="http://schemas.openxmlformats.org/officeDocument/2006/relationships/hyperlink" Target="https://lulustream.com/e/x06qkv28hhwf" TargetMode="External"/><Relationship Id="rId2695" Type="http://schemas.openxmlformats.org/officeDocument/2006/relationships/hyperlink" Target="https://lulustream.com/e/3gcc5t09s2em" TargetMode="External"/><Relationship Id="rId3746" Type="http://schemas.openxmlformats.org/officeDocument/2006/relationships/hyperlink" Target="https://doodstream.com/d/fdf78qzxv23m/" TargetMode="External"/><Relationship Id="rId667" Type="http://schemas.openxmlformats.org/officeDocument/2006/relationships/hyperlink" Target="https://thumb.tapecontent.net/thumb/aRW8Qp7xA1U0gG/OPMzO7MwM9uZqqQ.jpg" TargetMode="External"/><Relationship Id="rId2348" Type="http://schemas.openxmlformats.org/officeDocument/2006/relationships/hyperlink" Target="https://thumb.tapecontent.net/thumb/P9BDYWjXDKi04PD/4GZxly3RDYIKjLJ.jpg" TargetMode="External"/><Relationship Id="rId2762" Type="http://schemas.openxmlformats.org/officeDocument/2006/relationships/hyperlink" Target="https://doodstream.com/d/mltj2zet8kpk/" TargetMode="External"/><Relationship Id="rId3813" Type="http://schemas.openxmlformats.org/officeDocument/2006/relationships/hyperlink" Target="https://doodstream.com/d/0bkkc64o8u72/" TargetMode="External"/><Relationship Id="rId734" Type="http://schemas.openxmlformats.org/officeDocument/2006/relationships/hyperlink" Target="https://thumb.tapecontent.net/thumb/2WlQplAm7lSZOd6/zLlqgqprolsYPx2.jpg" TargetMode="External"/><Relationship Id="rId1364" Type="http://schemas.openxmlformats.org/officeDocument/2006/relationships/hyperlink" Target="https://thumb.tapecontent.net/thumb/4BxK1vDbVOiKYwl/W1W6eavVPPS0Op.jpg" TargetMode="External"/><Relationship Id="rId2415" Type="http://schemas.openxmlformats.org/officeDocument/2006/relationships/hyperlink" Target="https://doodstream.com/d/wyb34xpfp0ps/" TargetMode="External"/><Relationship Id="rId70" Type="http://schemas.openxmlformats.org/officeDocument/2006/relationships/hyperlink" Target="https://thumb.tapecontent.net/thumb/082qbZXgjAcb1Db/kv0KeD31rRHy1l.jpg" TargetMode="External"/><Relationship Id="rId801" Type="http://schemas.openxmlformats.org/officeDocument/2006/relationships/hyperlink" Target="https://thumb.tapecontent.net/thumb/M6pJ9KrWaaFweO/7dJrbolwpeUAqDo.jpg" TargetMode="External"/><Relationship Id="rId1017" Type="http://schemas.openxmlformats.org/officeDocument/2006/relationships/hyperlink" Target="https://thumb.tapecontent.net/thumb/eP08pxwlr1tYyPB/b1lz7z1yX2FKwO.jpg" TargetMode="External"/><Relationship Id="rId1431" Type="http://schemas.openxmlformats.org/officeDocument/2006/relationships/hyperlink" Target="https://lulustream.com/d/qp0z4bfbnm4d" TargetMode="External"/><Relationship Id="rId4587" Type="http://schemas.openxmlformats.org/officeDocument/2006/relationships/hyperlink" Target="https://thumb.tapecontent.net/thumb/G3DZJJygoOHA4D/bev3q16gZKSPbVm.jpg" TargetMode="External"/><Relationship Id="rId3189" Type="http://schemas.openxmlformats.org/officeDocument/2006/relationships/hyperlink" Target="https://thumb.tapecontent.net/thumb/Rj8dVakVJ8tdzv1/vWWLDZ4jv1u2Q1.jpg" TargetMode="External"/><Relationship Id="rId4654" Type="http://schemas.openxmlformats.org/officeDocument/2006/relationships/hyperlink" Target="https://lulustream.com/e/g6e9o28for03" TargetMode="External"/><Relationship Id="rId3256" Type="http://schemas.openxmlformats.org/officeDocument/2006/relationships/hyperlink" Target="https://thumb.tapecontent.net/thumb/Zk0jdreveZIqV23/RXKPWdX0VVIdV01.jpg" TargetMode="External"/><Relationship Id="rId4307" Type="http://schemas.openxmlformats.org/officeDocument/2006/relationships/hyperlink" Target="https://doodstream.com/d/8i7nvwr58v0t/" TargetMode="External"/><Relationship Id="rId177" Type="http://schemas.openxmlformats.org/officeDocument/2006/relationships/hyperlink" Target="https://thumb.tapecontent.net/thumb/jYMQBA0vJyFzrjo/0VYAjkreqMTbxX4.jpg" TargetMode="External"/><Relationship Id="rId591" Type="http://schemas.openxmlformats.org/officeDocument/2006/relationships/hyperlink" Target="https://lulustream.com/d/g4j2qg4mxpcb" TargetMode="External"/><Relationship Id="rId2272" Type="http://schemas.openxmlformats.org/officeDocument/2006/relationships/hyperlink" Target="https://doodstream.com/d/uz7oez73rade/" TargetMode="External"/><Relationship Id="rId3670" Type="http://schemas.openxmlformats.org/officeDocument/2006/relationships/hyperlink" Target="https://lulustream.com/d/i83iyfob0609" TargetMode="External"/><Relationship Id="rId4721" Type="http://schemas.openxmlformats.org/officeDocument/2006/relationships/hyperlink" Target="https://thumb.tapecontent.net/thumb/ZDkomXkwWRIqDBp/GelV8Pxx3MC1Xvq.jpg" TargetMode="External"/><Relationship Id="rId244" Type="http://schemas.openxmlformats.org/officeDocument/2006/relationships/hyperlink" Target="https://doodstream.com/d/8vtltznlolym/" TargetMode="External"/><Relationship Id="rId3323" Type="http://schemas.openxmlformats.org/officeDocument/2006/relationships/hyperlink" Target="https://lulustream.com/e/1ovq98ka03sl" TargetMode="External"/><Relationship Id="rId311" Type="http://schemas.openxmlformats.org/officeDocument/2006/relationships/hyperlink" Target="https://doodstream.com/d/shnje1ssxjor/" TargetMode="External"/><Relationship Id="rId4097" Type="http://schemas.openxmlformats.org/officeDocument/2006/relationships/hyperlink" Target="https://doodstream.com/d/wn8cmk1ckxxh/" TargetMode="External"/><Relationship Id="rId1758" Type="http://schemas.openxmlformats.org/officeDocument/2006/relationships/hyperlink" Target="https://thumb.tapecontent.net/thumb/0roDg3DVeatbzzy/ea9QWd30m0co1e.jpg" TargetMode="External"/><Relationship Id="rId2809" Type="http://schemas.openxmlformats.org/officeDocument/2006/relationships/hyperlink" Target="https://lulustream.com/e/w5otr12peo55" TargetMode="External"/><Relationship Id="rId4164" Type="http://schemas.openxmlformats.org/officeDocument/2006/relationships/hyperlink" Target="https://thumb.tapecontent.net/thumb/jVwlMRGvBeIz8Rp/4mW8mmJApZsdL9.jpg" TargetMode="External"/><Relationship Id="rId3180" Type="http://schemas.openxmlformats.org/officeDocument/2006/relationships/hyperlink" Target="https://doodstream.com/d/hn44gcrzycs2/" TargetMode="External"/><Relationship Id="rId4231" Type="http://schemas.openxmlformats.org/officeDocument/2006/relationships/hyperlink" Target="https://thumb.tapecontent.net/thumb/JWgPWar3qDIjLmB/J36LW6ejPGUjqJ7.jpg" TargetMode="External"/><Relationship Id="rId1825" Type="http://schemas.openxmlformats.org/officeDocument/2006/relationships/hyperlink" Target="https://doodstream.com/d/4xtgottvyez3/" TargetMode="External"/><Relationship Id="rId3997" Type="http://schemas.openxmlformats.org/officeDocument/2006/relationships/hyperlink" Target="https://lulustream.com/e/ruz1mw6yrvoz" TargetMode="External"/><Relationship Id="rId2599" Type="http://schemas.openxmlformats.org/officeDocument/2006/relationships/hyperlink" Target="https://doodstream.com/d/82w6cbad4qal/" TargetMode="External"/><Relationship Id="rId985" Type="http://schemas.openxmlformats.org/officeDocument/2006/relationships/hyperlink" Target="https://thumb.tapecontent.net/thumb/owgkAq6Vx3fJQQm/A33KV6qjpJsXple.jpg" TargetMode="External"/><Relationship Id="rId2666" Type="http://schemas.openxmlformats.org/officeDocument/2006/relationships/hyperlink" Target="https://doodstream.com/d/q8ctqib73tt5/" TargetMode="External"/><Relationship Id="rId3717" Type="http://schemas.openxmlformats.org/officeDocument/2006/relationships/hyperlink" Target="https://lulustream.com/e/yzlgdnptfsba" TargetMode="External"/><Relationship Id="rId638" Type="http://schemas.openxmlformats.org/officeDocument/2006/relationships/hyperlink" Target="https://thumb.tapecontent.net/thumb/4XlOZWPrJAuKb0y/2boRgrrYgWhZD2M.jpg" TargetMode="External"/><Relationship Id="rId1268" Type="http://schemas.openxmlformats.org/officeDocument/2006/relationships/hyperlink" Target="https://lulustream.com/e/psutvpfo0ybw" TargetMode="External"/><Relationship Id="rId1682" Type="http://schemas.openxmlformats.org/officeDocument/2006/relationships/hyperlink" Target="https://thumb.tapecontent.net/thumb/VmaZDLLRYpSzlG/WGD7DJ80okhbJva.jpg" TargetMode="External"/><Relationship Id="rId2319" Type="http://schemas.openxmlformats.org/officeDocument/2006/relationships/hyperlink" Target="https://thumb.tapecontent.net/thumb/PbdX0zBo8VI0KzX/A3l3JB7qxPImXM.jpg" TargetMode="External"/><Relationship Id="rId2733" Type="http://schemas.openxmlformats.org/officeDocument/2006/relationships/hyperlink" Target="https://thumb.tapecontent.net/thumb/k2gaY8BwKLsOKXz/KkGKOxlJZmsgdM.jpg" TargetMode="External"/><Relationship Id="rId705" Type="http://schemas.openxmlformats.org/officeDocument/2006/relationships/hyperlink" Target="https://thumb.tapecontent.net/thumb/kzJ6jw1eYMSOJlO/pD6dgy3q78Ury8x.jpg" TargetMode="External"/><Relationship Id="rId1335" Type="http://schemas.openxmlformats.org/officeDocument/2006/relationships/hyperlink" Target="https://doodstream.com/d/ki7ey4giaqmh/" TargetMode="External"/><Relationship Id="rId2800" Type="http://schemas.openxmlformats.org/officeDocument/2006/relationships/hyperlink" Target="https://doodstream.com/d/qqj01px5sn95/" TargetMode="External"/><Relationship Id="rId41" Type="http://schemas.openxmlformats.org/officeDocument/2006/relationships/hyperlink" Target="https://thumb.tapecontent.net/thumb/D02L1469leskeMZ/QWmv9ADy9Wh0Q7y.jpg" TargetMode="External"/><Relationship Id="rId1402" Type="http://schemas.openxmlformats.org/officeDocument/2006/relationships/hyperlink" Target="https://doodstream.com/d/xzynffzgi4s6/" TargetMode="External"/><Relationship Id="rId4558" Type="http://schemas.openxmlformats.org/officeDocument/2006/relationships/hyperlink" Target="https://thumb.tapecontent.net/thumb/ydd4rvm4RPHm6y/84Xr7gl3oWco91w.jpg" TargetMode="External"/><Relationship Id="rId3574" Type="http://schemas.openxmlformats.org/officeDocument/2006/relationships/hyperlink" Target="https://thumb.tapecontent.net/thumb/2rJpG3RK19hRx1/OWZD7Dzj89hZRkP.jpg" TargetMode="External"/><Relationship Id="rId4625" Type="http://schemas.openxmlformats.org/officeDocument/2006/relationships/hyperlink" Target="https://thumb.tapecontent.net/thumb/zQzYpD9va8iYDrW/BOmRWdeg4Yi96A.jpg" TargetMode="External"/><Relationship Id="rId495" Type="http://schemas.openxmlformats.org/officeDocument/2006/relationships/hyperlink" Target="https://thumb.tapecontent.net/thumb/7bJbajZoalSRp9/LLRxAZyW3eURYPL.jpg" TargetMode="External"/><Relationship Id="rId2176" Type="http://schemas.openxmlformats.org/officeDocument/2006/relationships/hyperlink" Target="https://thumb.tapecontent.net/thumb/DkrgOly36VhGba/bzwxyx17OxsPgvB.jpg" TargetMode="External"/><Relationship Id="rId2590" Type="http://schemas.openxmlformats.org/officeDocument/2006/relationships/hyperlink" Target="https://lulustream.com/e/rs5txgl4dcag" TargetMode="External"/><Relationship Id="rId3227" Type="http://schemas.openxmlformats.org/officeDocument/2006/relationships/hyperlink" Target="https://lulustream.com/e/260zvhweefxy" TargetMode="External"/><Relationship Id="rId3641" Type="http://schemas.openxmlformats.org/officeDocument/2006/relationships/hyperlink" Target="https://lulustream.com/e/glzn5llu043v" TargetMode="External"/><Relationship Id="rId148" Type="http://schemas.openxmlformats.org/officeDocument/2006/relationships/hyperlink" Target="https://doodstream.com/d/ppo6gc2uuh4p/" TargetMode="External"/><Relationship Id="rId562" Type="http://schemas.openxmlformats.org/officeDocument/2006/relationships/hyperlink" Target="https://doodstream.com/d/8sbw3a34hoa8/" TargetMode="External"/><Relationship Id="rId1192" Type="http://schemas.openxmlformats.org/officeDocument/2006/relationships/hyperlink" Target="https://lulustream.com/e/x14rpcdgb4c5" TargetMode="External"/><Relationship Id="rId2243" Type="http://schemas.openxmlformats.org/officeDocument/2006/relationships/hyperlink" Target="https://doodstream.com/d/axjeo2uno6mk/" TargetMode="External"/><Relationship Id="rId215" Type="http://schemas.openxmlformats.org/officeDocument/2006/relationships/hyperlink" Target="https://lulustream.com/d/xly2wwkhasaa" TargetMode="External"/><Relationship Id="rId2310" Type="http://schemas.openxmlformats.org/officeDocument/2006/relationships/hyperlink" Target="https://thumb.tapecontent.net/thumb/We3e9LrqGMSWA1/kKWOMkZRrqUOlWa.jpg" TargetMode="External"/><Relationship Id="rId4068" Type="http://schemas.openxmlformats.org/officeDocument/2006/relationships/hyperlink" Target="https://luluvdoo.com/d/xbi4wn6zd7fk" TargetMode="External"/><Relationship Id="rId4482" Type="http://schemas.openxmlformats.org/officeDocument/2006/relationships/hyperlink" Target="https://doodstream.com/d/hvaixvu0n9ac/" TargetMode="External"/><Relationship Id="rId3084" Type="http://schemas.openxmlformats.org/officeDocument/2006/relationships/hyperlink" Target="https://lulustream.com/e/xrlp5zokar9z" TargetMode="External"/><Relationship Id="rId4135" Type="http://schemas.openxmlformats.org/officeDocument/2006/relationships/hyperlink" Target="https://thumb.tapecontent.net/thumb/yPJjzajqaWh1LaA/GQdD0AYVPVt1zkR.jpg" TargetMode="External"/><Relationship Id="rId1729" Type="http://schemas.openxmlformats.org/officeDocument/2006/relationships/hyperlink" Target="https://thumb.tapecontent.net/thumb/qZeoeKBGjvsz2ga/zlrak4lMa7HYLrm.jpg" TargetMode="External"/><Relationship Id="rId3151" Type="http://schemas.openxmlformats.org/officeDocument/2006/relationships/hyperlink" Target="https://doodstream.com/d/j87p80qlgtdm/" TargetMode="External"/><Relationship Id="rId4202" Type="http://schemas.openxmlformats.org/officeDocument/2006/relationships/hyperlink" Target="https://lulustream.com/d/w4bt2dj52cg7" TargetMode="External"/><Relationship Id="rId3968" Type="http://schemas.openxmlformats.org/officeDocument/2006/relationships/hyperlink" Target="https://lulustream.com/d/ky7i6hioeu3u" TargetMode="External"/><Relationship Id="rId5" Type="http://schemas.openxmlformats.org/officeDocument/2006/relationships/hyperlink" Target="https://lulustream.com/d/blm3qsuunjcw" TargetMode="External"/><Relationship Id="rId889" Type="http://schemas.openxmlformats.org/officeDocument/2006/relationships/hyperlink" Target="https://doodstream.com/d/h071x3mastje/" TargetMode="External"/><Relationship Id="rId1586" Type="http://schemas.openxmlformats.org/officeDocument/2006/relationships/hyperlink" Target="https://doodstream.com/d/vs2i4fp8dz5f/" TargetMode="External"/><Relationship Id="rId2984" Type="http://schemas.openxmlformats.org/officeDocument/2006/relationships/hyperlink" Target="https://doodstream.com/d/o80x67gkjk4j/" TargetMode="External"/><Relationship Id="rId609" Type="http://schemas.openxmlformats.org/officeDocument/2006/relationships/hyperlink" Target="https://thumb.tapecontent.net/thumb/yVMaawgK2Pi1XAY/2rQaQAyeJ4TZZk7.jpg" TargetMode="External"/><Relationship Id="rId956" Type="http://schemas.openxmlformats.org/officeDocument/2006/relationships/hyperlink" Target="https://thumb.tapecontent.net/thumb/wGQAQjg3eJTJK9z/d7MROBL9Q9tBPa.jpg" TargetMode="External"/><Relationship Id="rId1239" Type="http://schemas.openxmlformats.org/officeDocument/2006/relationships/hyperlink" Target="https://doodstream.com/d/lpullw3jlad0/" TargetMode="External"/><Relationship Id="rId2637" Type="http://schemas.openxmlformats.org/officeDocument/2006/relationships/hyperlink" Target="https://doodstream.com/d/ihu6irp8wigs/" TargetMode="External"/><Relationship Id="rId1653" Type="http://schemas.openxmlformats.org/officeDocument/2006/relationships/hyperlink" Target="https://luluvdoo.com/d/5bz8tisyzja1" TargetMode="External"/><Relationship Id="rId2704" Type="http://schemas.openxmlformats.org/officeDocument/2006/relationships/hyperlink" Target="https://thumb.tapecontent.net/thumb/Yew13xea0Jsvlql/KQl7AXjmyBfbQW.jpg" TargetMode="External"/><Relationship Id="rId1306" Type="http://schemas.openxmlformats.org/officeDocument/2006/relationships/hyperlink" Target="https://thumb.tapecontent.net/thumb/wxrQOvl0g2iJ3wk/lxm0m89z6KtZmK.jpg" TargetMode="External"/><Relationship Id="rId1720" Type="http://schemas.openxmlformats.org/officeDocument/2006/relationships/hyperlink" Target="https://luluvdoo.com/d/mvphv8m0zdea" TargetMode="External"/><Relationship Id="rId12" Type="http://schemas.openxmlformats.org/officeDocument/2006/relationships/hyperlink" Target="https://doodstream.com/d/oynafg1m456b/" TargetMode="External"/><Relationship Id="rId3478" Type="http://schemas.openxmlformats.org/officeDocument/2006/relationships/hyperlink" Target="https://thumb.tapecontent.net/thumb/DoJ96DWxQYh6gR/KGlXgwWQ4pI01D3.jpg" TargetMode="External"/><Relationship Id="rId3892" Type="http://schemas.openxmlformats.org/officeDocument/2006/relationships/hyperlink" Target="https://lulustream.com/d/p05prs2m8595" TargetMode="External"/><Relationship Id="rId4529" Type="http://schemas.openxmlformats.org/officeDocument/2006/relationships/hyperlink" Target="https://thumb.tapecontent.net/thumb/2rlKObQ3z4cZXxW/3WKxrelXvYhARK.jpg" TargetMode="External"/><Relationship Id="rId399" Type="http://schemas.openxmlformats.org/officeDocument/2006/relationships/hyperlink" Target="https://luluvdoo.com/d/db942do72rsd" TargetMode="External"/><Relationship Id="rId2494" Type="http://schemas.openxmlformats.org/officeDocument/2006/relationships/hyperlink" Target="https://doodstream.com/d/knjamsymfr3z/" TargetMode="External"/><Relationship Id="rId3545" Type="http://schemas.openxmlformats.org/officeDocument/2006/relationships/hyperlink" Target="https://thumb.tapecontent.net/thumb/RQMd6WlMxlCJv8/BbA8OyW1QbfWDM.jpg" TargetMode="External"/><Relationship Id="rId466" Type="http://schemas.openxmlformats.org/officeDocument/2006/relationships/hyperlink" Target="https://thumb.tapecontent.net/thumb/8D0ArjZJdgcoPpg/BGxRzPxJzxtGpo.jpg" TargetMode="External"/><Relationship Id="rId880" Type="http://schemas.openxmlformats.org/officeDocument/2006/relationships/hyperlink" Target="https://doodstream.com/d/3pzx08ww07d8/" TargetMode="External"/><Relationship Id="rId1096" Type="http://schemas.openxmlformats.org/officeDocument/2006/relationships/hyperlink" Target="https://doodstream.com/d/fp3lru5wjosv/" TargetMode="External"/><Relationship Id="rId2147" Type="http://schemas.openxmlformats.org/officeDocument/2006/relationships/hyperlink" Target="https://thumb.tapecontent.net/thumb/wl8y4rv8V7TJ9Wk/wG9Yppmqz1TJK7G.jpg" TargetMode="External"/><Relationship Id="rId2561" Type="http://schemas.openxmlformats.org/officeDocument/2006/relationships/hyperlink" Target="https://thumb.tapecontent.net/thumb/2PzlR9bLW0cQ18/v947Bze8Dph4g6W.jpg" TargetMode="External"/><Relationship Id="rId119" Type="http://schemas.openxmlformats.org/officeDocument/2006/relationships/hyperlink" Target="https://lulustream.com/e/omd0xazrw4q7" TargetMode="External"/><Relationship Id="rId533" Type="http://schemas.openxmlformats.org/officeDocument/2006/relationships/hyperlink" Target="https://streamtape.com/v/6PprgekGMmC9kgm/Angela_White_-_95008111_-_Onlyfans_-_Violet_Myers.mp4" TargetMode="External"/><Relationship Id="rId1163" Type="http://schemas.openxmlformats.org/officeDocument/2006/relationships/hyperlink" Target="https://thumb.tapecontent.net/thumb/9qmObQpB0LfaMW1/pDlAXqjjGRir4Me.jpg" TargetMode="External"/><Relationship Id="rId2214" Type="http://schemas.openxmlformats.org/officeDocument/2006/relationships/hyperlink" Target="https://lulustream.com/d/5w7ribny22rn" TargetMode="External"/><Relationship Id="rId3612" Type="http://schemas.openxmlformats.org/officeDocument/2006/relationships/hyperlink" Target="https://lulustream.com/d/ir72ntjltipq" TargetMode="External"/><Relationship Id="rId600" Type="http://schemas.openxmlformats.org/officeDocument/2006/relationships/hyperlink" Target="https://thumb.tapecontent.net/thumb/YyrYa22eqXtvQKP/9yGoxLy8R3FBYk.jpg" TargetMode="External"/><Relationship Id="rId1230" Type="http://schemas.openxmlformats.org/officeDocument/2006/relationships/hyperlink" Target="https://lulustream.com/e/vw4wi7f5s848" TargetMode="External"/><Relationship Id="rId4386" Type="http://schemas.openxmlformats.org/officeDocument/2006/relationships/hyperlink" Target="https://doodstream.com/d/xztyhn0tflu8/" TargetMode="External"/><Relationship Id="rId4039" Type="http://schemas.openxmlformats.org/officeDocument/2006/relationships/hyperlink" Target="https://thumb.tapecontent.net/thumb/3AYG004o37tXWv/wkb2pzkGVmuJK8z.jpg" TargetMode="External"/><Relationship Id="rId4453" Type="http://schemas.openxmlformats.org/officeDocument/2006/relationships/hyperlink" Target="https://doodstream.com/d/jxxroafwfj6c/" TargetMode="External"/><Relationship Id="rId3055" Type="http://schemas.openxmlformats.org/officeDocument/2006/relationships/hyperlink" Target="https://lulustream.com/e/odv5jczmsubb" TargetMode="External"/><Relationship Id="rId4106" Type="http://schemas.openxmlformats.org/officeDocument/2006/relationships/hyperlink" Target="https://lulustream.com/d/069rmys0mfzk" TargetMode="External"/><Relationship Id="rId4520" Type="http://schemas.openxmlformats.org/officeDocument/2006/relationships/hyperlink" Target="https://thumb.tapecontent.net/thumb/XPQp8ZJ7j7iDyl3/1paVVPVobwtegKg.jpg" TargetMode="External"/><Relationship Id="rId390" Type="http://schemas.openxmlformats.org/officeDocument/2006/relationships/hyperlink" Target="https://streamtape.com/v/X2B6BO9zaWUDr7e/Angela_White_-_20460908_-_Onlyfans" TargetMode="External"/><Relationship Id="rId2071" Type="http://schemas.openxmlformats.org/officeDocument/2006/relationships/hyperlink" Target="https://doodstream.com/d/ug7lv4bj6e4k/" TargetMode="External"/><Relationship Id="rId3122" Type="http://schemas.openxmlformats.org/officeDocument/2006/relationships/hyperlink" Target="https://thumb.tapecontent.net/thumb/vDAm2BjrQMi4XDZ/xk1bG1LqDdfkRZJ.jpg" TargetMode="External"/><Relationship Id="rId110" Type="http://schemas.openxmlformats.org/officeDocument/2006/relationships/hyperlink" Target="https://doodstream.com/d/idgf7lxlmdwy/" TargetMode="External"/><Relationship Id="rId2888" Type="http://schemas.openxmlformats.org/officeDocument/2006/relationships/hyperlink" Target="https://thumb.tapecontent.net/thumb/6BKj82jlYvS99qz/pzPq1JM3mPsVZ2.jpg" TargetMode="External"/><Relationship Id="rId3939" Type="http://schemas.openxmlformats.org/officeDocument/2006/relationships/hyperlink" Target="https://lulustream.com/d/6hhaoglztc3g" TargetMode="External"/><Relationship Id="rId2955" Type="http://schemas.openxmlformats.org/officeDocument/2006/relationships/hyperlink" Target="https://thumb.tapecontent.net/thumb/V0kLoGAXGOcKdry/zGXBm9k9DrsYBGM.jpg" TargetMode="External"/><Relationship Id="rId927" Type="http://schemas.openxmlformats.org/officeDocument/2006/relationships/hyperlink" Target="https://thumb.tapecontent.net/thumb/2LLA1dLAwBtZX1g/agJexko9aaTxvJ3.jpg" TargetMode="External"/><Relationship Id="rId1557" Type="http://schemas.openxmlformats.org/officeDocument/2006/relationships/hyperlink" Target="https://thumb.tapecontent.net/thumb/6egr4a3JVohLrk/RLzKkB0dePtdRV6.jpg" TargetMode="External"/><Relationship Id="rId1971" Type="http://schemas.openxmlformats.org/officeDocument/2006/relationships/hyperlink" Target="https://thumb.tapecontent.net/thumb/xZYZpRJjKYTkd03/wyjjg0Wk1mhJ8zA.jpg" TargetMode="External"/><Relationship Id="rId2608" Type="http://schemas.openxmlformats.org/officeDocument/2006/relationships/hyperlink" Target="https://lulustream.com/e/ppdygwvgxwaf" TargetMode="External"/><Relationship Id="rId1624" Type="http://schemas.openxmlformats.org/officeDocument/2006/relationships/hyperlink" Target="https://lulustream.com/e/3jur9d9iveru" TargetMode="External"/><Relationship Id="rId4030" Type="http://schemas.openxmlformats.org/officeDocument/2006/relationships/hyperlink" Target="https://lulustream.com/d/al08eb7xhvqc" TargetMode="External"/><Relationship Id="rId3796" Type="http://schemas.openxmlformats.org/officeDocument/2006/relationships/hyperlink" Target="https://doodstream.com/d/m4nss4ojdpnd/" TargetMode="External"/><Relationship Id="rId2398" Type="http://schemas.openxmlformats.org/officeDocument/2006/relationships/hyperlink" Target="https://thumb.tapecontent.net/thumb/796JZ91mgRsxxr/ePGoYvrgqzUYRZw.jpg" TargetMode="External"/><Relationship Id="rId3449" Type="http://schemas.openxmlformats.org/officeDocument/2006/relationships/hyperlink" Target="https://thumb.tapecontent.net/thumb/kqeW6OJ6rQUOJr1/jPZrD0XQQ8SzjPR.jpg" TargetMode="External"/><Relationship Id="rId3863" Type="http://schemas.openxmlformats.org/officeDocument/2006/relationships/hyperlink" Target="https://doodstream.com/d/ikwp5q9rdi8e/" TargetMode="External"/><Relationship Id="rId784" Type="http://schemas.openxmlformats.org/officeDocument/2006/relationships/hyperlink" Target="https://doodstream.com/d/3hhy7x6b3a30/" TargetMode="External"/><Relationship Id="rId1067" Type="http://schemas.openxmlformats.org/officeDocument/2006/relationships/hyperlink" Target="https://thumb.tapecontent.net/thumb/K4LPeqWo6yt0kyx/xOQpYZp7wxikamZ.jpg" TargetMode="External"/><Relationship Id="rId2465" Type="http://schemas.openxmlformats.org/officeDocument/2006/relationships/hyperlink" Target="https://lulustream.com/d/in5ghjkfy0a7" TargetMode="External"/><Relationship Id="rId3516" Type="http://schemas.openxmlformats.org/officeDocument/2006/relationships/hyperlink" Target="https://doodstream.com/d/0lewfyzjjfuj/" TargetMode="External"/><Relationship Id="rId3930" Type="http://schemas.openxmlformats.org/officeDocument/2006/relationships/hyperlink" Target="https://doodstream.com/d/k04czohg76th/" TargetMode="External"/><Relationship Id="rId437" Type="http://schemas.openxmlformats.org/officeDocument/2006/relationships/hyperlink" Target="https://thumb.tapecontent.net/thumb/2OZ9qZwb8zuZOKP/D9R8O9gBXeTV4d.jpg" TargetMode="External"/><Relationship Id="rId851" Type="http://schemas.openxmlformats.org/officeDocument/2006/relationships/hyperlink" Target="https://thumb.tapecontent.net/thumb/AXxwKYyjOaTXpyy/pxraDMvwa1Hrao6.jpg" TargetMode="External"/><Relationship Id="rId1481" Type="http://schemas.openxmlformats.org/officeDocument/2006/relationships/hyperlink" Target="https://lulustream.com/e/kf59q4yamnxi" TargetMode="External"/><Relationship Id="rId2118" Type="http://schemas.openxmlformats.org/officeDocument/2006/relationships/hyperlink" Target="https://doodstream.com/d/39tmezrej4mb/" TargetMode="External"/><Relationship Id="rId2532" Type="http://schemas.openxmlformats.org/officeDocument/2006/relationships/hyperlink" Target="https://doodstream.com/d/obrop5v3v82t/" TargetMode="External"/><Relationship Id="rId504" Type="http://schemas.openxmlformats.org/officeDocument/2006/relationships/hyperlink" Target="https://luluvdoo.com/d/lwn9vtiqi30b" TargetMode="External"/><Relationship Id="rId1134" Type="http://schemas.openxmlformats.org/officeDocument/2006/relationships/hyperlink" Target="https://doodstream.com/d/ljmt3r9l3i1c/" TargetMode="External"/><Relationship Id="rId1201" Type="http://schemas.openxmlformats.org/officeDocument/2006/relationships/hyperlink" Target="https://thumb.tapecontent.net/thumb/e4d88yR0kLtYd4Z/zXZDK7Ak66fG2Y.jpg" TargetMode="External"/><Relationship Id="rId4357" Type="http://schemas.openxmlformats.org/officeDocument/2006/relationships/hyperlink" Target="https://thumb.tapecontent.net/thumb/Kz4ZqBJGo9C01dP/vKrJKxLj7Qc4XLg.jpg" TargetMode="External"/><Relationship Id="rId4771" Type="http://schemas.openxmlformats.org/officeDocument/2006/relationships/hyperlink" Target="https://thumb.tapecontent.net/thumb/OY08ZDDqBpU1BV/9BLGdD4XbMHa3Ja.jpg" TargetMode="External"/><Relationship Id="rId3373" Type="http://schemas.openxmlformats.org/officeDocument/2006/relationships/hyperlink" Target="https://thumb.tapecontent.net/thumb/VmlL04qjMZTOzR/b7Ame1r8PaHPjYb.jpg" TargetMode="External"/><Relationship Id="rId4424" Type="http://schemas.openxmlformats.org/officeDocument/2006/relationships/hyperlink" Target="https://lulustream.com/e/4r5vq5v0fydp" TargetMode="External"/><Relationship Id="rId294" Type="http://schemas.openxmlformats.org/officeDocument/2006/relationships/hyperlink" Target="https://thumb.tapecontent.net/thumb/904W9yAqPDHarK4/4WDG7bWXyjtKP2M.jpg" TargetMode="External"/><Relationship Id="rId3026" Type="http://schemas.openxmlformats.org/officeDocument/2006/relationships/hyperlink" Target="https://luluvdoo.com/d/n6zfj44eds0f" TargetMode="External"/><Relationship Id="rId361" Type="http://schemas.openxmlformats.org/officeDocument/2006/relationships/hyperlink" Target="https://luluvdoo.com/d/kgb3phwxt6rk" TargetMode="External"/><Relationship Id="rId2042" Type="http://schemas.openxmlformats.org/officeDocument/2006/relationships/hyperlink" Target="https://lulustream.com/e/r12a6fvunjfa" TargetMode="External"/><Relationship Id="rId3440" Type="http://schemas.openxmlformats.org/officeDocument/2006/relationships/hyperlink" Target="https://lulustream.com/e/fu45w0z9dkow" TargetMode="External"/><Relationship Id="rId2859" Type="http://schemas.openxmlformats.org/officeDocument/2006/relationships/hyperlink" Target="https://lulustream.com/d/7owe977syf00" TargetMode="External"/><Relationship Id="rId1875" Type="http://schemas.openxmlformats.org/officeDocument/2006/relationships/hyperlink" Target="https://thumb.tapecontent.net/thumb/0pzLDJ80jAcbdKJ/xqy7W4Z6QVHkgJ8.jpg" TargetMode="External"/><Relationship Id="rId4281" Type="http://schemas.openxmlformats.org/officeDocument/2006/relationships/hyperlink" Target="https://thumb.tapecontent.net/thumb/41x0PBPR3Qc2eg/GPbmMdkzVbi17Q0.jpg" TargetMode="External"/><Relationship Id="rId1528" Type="http://schemas.openxmlformats.org/officeDocument/2006/relationships/hyperlink" Target="https://lulustream.com/e/k4a8t6nml4tn" TargetMode="External"/><Relationship Id="rId2926" Type="http://schemas.openxmlformats.org/officeDocument/2006/relationships/hyperlink" Target="https://thumb.tapecontent.net/thumb/D93Pbwr9kWtkOjo/mP3rJ0O88YFdab.jpg" TargetMode="External"/><Relationship Id="rId1942" Type="http://schemas.openxmlformats.org/officeDocument/2006/relationships/hyperlink" Target="https://thumb.tapecontent.net/thumb/9PRLDg2Jpaca031/KqM6deQM0lI08PB.jpg" TargetMode="External"/><Relationship Id="rId4001" Type="http://schemas.openxmlformats.org/officeDocument/2006/relationships/hyperlink" Target="https://thumb.tapecontent.net/thumb/dr1Zp2GYPQTk4Gj/7m4YOowkdxsJRR.jpg" TargetMode="External"/><Relationship Id="rId3767" Type="http://schemas.openxmlformats.org/officeDocument/2006/relationships/hyperlink" Target="https://luluvdoo.com/d/xffglvcazg95" TargetMode="External"/><Relationship Id="rId688" Type="http://schemas.openxmlformats.org/officeDocument/2006/relationships/hyperlink" Target="https://lulustream.com/d/knrkv4mabic0" TargetMode="External"/><Relationship Id="rId2369" Type="http://schemas.openxmlformats.org/officeDocument/2006/relationships/hyperlink" Target="https://lulustream.com/e/auvdv44nurgu" TargetMode="External"/><Relationship Id="rId2783" Type="http://schemas.openxmlformats.org/officeDocument/2006/relationships/hyperlink" Target="https://thumb.tapecontent.net/thumb/jWrOr4RaKqczWjB/r4JkQYzlBzsbPwl.jpg" TargetMode="External"/><Relationship Id="rId3834" Type="http://schemas.openxmlformats.org/officeDocument/2006/relationships/hyperlink" Target="https://doodstream.com/d/q3mqebfw9j5s/" TargetMode="External"/><Relationship Id="rId755" Type="http://schemas.openxmlformats.org/officeDocument/2006/relationships/hyperlink" Target="https://lulustream.com/e/p6s4c24sm1a8" TargetMode="External"/><Relationship Id="rId1385" Type="http://schemas.openxmlformats.org/officeDocument/2006/relationships/hyperlink" Target="https://doodstream.com/d/gircumaplo1t/" TargetMode="External"/><Relationship Id="rId2436" Type="http://schemas.openxmlformats.org/officeDocument/2006/relationships/hyperlink" Target="https://thumb.tapecontent.net/thumb/p4YJeo84oxTW6y/mQzlbJYpwXHbj4g.jpg" TargetMode="External"/><Relationship Id="rId2850" Type="http://schemas.openxmlformats.org/officeDocument/2006/relationships/hyperlink" Target="https://doodstream.com/d/gqho4gpddykl/" TargetMode="External"/><Relationship Id="rId91" Type="http://schemas.openxmlformats.org/officeDocument/2006/relationships/hyperlink" Target="https://thumb.tapecontent.net/thumb/3ab30K1bWySDZD/GbAxAmP74DuYKl.jpg" TargetMode="External"/><Relationship Id="rId408" Type="http://schemas.openxmlformats.org/officeDocument/2006/relationships/hyperlink" Target="https://thumb.tapecontent.net/thumb/V0RdXrkm0GTKeQx/lxA4VW9m3GTBAg.jpg" TargetMode="External"/><Relationship Id="rId822" Type="http://schemas.openxmlformats.org/officeDocument/2006/relationships/hyperlink" Target="https://thumb.tapecontent.net/thumb/QPqpR0pxzGt0ak2/26BZR9b21mHZYAP.jpg" TargetMode="External"/><Relationship Id="rId1038" Type="http://schemas.openxmlformats.org/officeDocument/2006/relationships/hyperlink" Target="https://doodstream.com/d/810ggxk8hzb5/" TargetMode="External"/><Relationship Id="rId1452" Type="http://schemas.openxmlformats.org/officeDocument/2006/relationships/hyperlink" Target="https://doodstream.com/d/58bo0gs2q9pl/" TargetMode="External"/><Relationship Id="rId2503" Type="http://schemas.openxmlformats.org/officeDocument/2006/relationships/hyperlink" Target="https://lulustream.com/d/dnratt0jy4ss" TargetMode="External"/><Relationship Id="rId3901" Type="http://schemas.openxmlformats.org/officeDocument/2006/relationships/hyperlink" Target="https://thumb.tapecontent.net/thumb/8VQzld71OlfMwe/YyMJQlBgAkUOoV.jpg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humbcdn.com/splash/pc8ms34hzfaykt8e.jpg" TargetMode="External"/><Relationship Id="rId170" Type="http://schemas.openxmlformats.org/officeDocument/2006/relationships/hyperlink" Target="https://thumbcdn.com/splash/udy64l82axafodz5.jpg" TargetMode="External"/><Relationship Id="rId987" Type="http://schemas.openxmlformats.org/officeDocument/2006/relationships/hyperlink" Target="https://thumbcdn.com/splash/8a8q6llra9l21rp3.jpg" TargetMode="External"/><Relationship Id="rId847" Type="http://schemas.openxmlformats.org/officeDocument/2006/relationships/hyperlink" Target="https://thumbcdn.com/splash/khxy0gglnodk9r7n.jpg" TargetMode="External"/><Relationship Id="rId1477" Type="http://schemas.openxmlformats.org/officeDocument/2006/relationships/hyperlink" Target="https://thumbcdn.com/splash/ixg3mfcfzeebh81g.jpg" TargetMode="External"/><Relationship Id="rId1684" Type="http://schemas.openxmlformats.org/officeDocument/2006/relationships/hyperlink" Target="https://thumbcdn.com/splash/gqb7lnx3ivvi2v7m.jpg" TargetMode="External"/><Relationship Id="rId1891" Type="http://schemas.openxmlformats.org/officeDocument/2006/relationships/hyperlink" Target="https://thumbcdn.com/splash/5ug1iw000datipvj.jpg" TargetMode="External"/><Relationship Id="rId707" Type="http://schemas.openxmlformats.org/officeDocument/2006/relationships/hyperlink" Target="https://thumbcdn.com/splash/ky57feiayfjr585y.jpg" TargetMode="External"/><Relationship Id="rId914" Type="http://schemas.openxmlformats.org/officeDocument/2006/relationships/hyperlink" Target="https://thumbcdn.com/splash/ii4igicddz0c5bal.jpg" TargetMode="External"/><Relationship Id="rId1337" Type="http://schemas.openxmlformats.org/officeDocument/2006/relationships/hyperlink" Target="https://thumbcdn.com/splash/9eev365xoaecbpll.jpg" TargetMode="External"/><Relationship Id="rId1544" Type="http://schemas.openxmlformats.org/officeDocument/2006/relationships/hyperlink" Target="https://thumbcdn.com/splash/3ny66ar9z6p4kx26.jpg" TargetMode="External"/><Relationship Id="rId1751" Type="http://schemas.openxmlformats.org/officeDocument/2006/relationships/hyperlink" Target="https://thumbcdn.com/splash/wbcqsevayiqapdlx.jpg" TargetMode="External"/><Relationship Id="rId43" Type="http://schemas.openxmlformats.org/officeDocument/2006/relationships/hyperlink" Target="https://thumbcdn.com/splash/viz1u30d0y9hp73y.jpg" TargetMode="External"/><Relationship Id="rId1404" Type="http://schemas.openxmlformats.org/officeDocument/2006/relationships/hyperlink" Target="https://thumbcdn.com/splash/sds3wtl0weojpfop.jpg" TargetMode="External"/><Relationship Id="rId1611" Type="http://schemas.openxmlformats.org/officeDocument/2006/relationships/hyperlink" Target="https://thumbcdn.com/splash/l5cduvqo2p8opesp.jpg" TargetMode="External"/><Relationship Id="rId497" Type="http://schemas.openxmlformats.org/officeDocument/2006/relationships/hyperlink" Target="https://thumbcdn.com/splash/z4b9njkig9jj79xi.jpg" TargetMode="External"/><Relationship Id="rId2178" Type="http://schemas.openxmlformats.org/officeDocument/2006/relationships/hyperlink" Target="https://thumbcdn.com/splash/qv4pwcwzhm41mj3m.jpg" TargetMode="External"/><Relationship Id="rId357" Type="http://schemas.openxmlformats.org/officeDocument/2006/relationships/hyperlink" Target="https://thumbcdn.com/splash/4j6flmlk89wqcthj.jpg" TargetMode="External"/><Relationship Id="rId1194" Type="http://schemas.openxmlformats.org/officeDocument/2006/relationships/hyperlink" Target="https://thumbcdn.com/splash/pubtn8jbn8beb5tr.jpg" TargetMode="External"/><Relationship Id="rId2038" Type="http://schemas.openxmlformats.org/officeDocument/2006/relationships/hyperlink" Target="https://thumbcdn.com/splash/q5whi5gxbbb8o4ku.jpg" TargetMode="External"/><Relationship Id="rId217" Type="http://schemas.openxmlformats.org/officeDocument/2006/relationships/hyperlink" Target="https://thumbcdn.com/splash/pf1rmaxa6hqjbi4o.jpg" TargetMode="External"/><Relationship Id="rId564" Type="http://schemas.openxmlformats.org/officeDocument/2006/relationships/hyperlink" Target="https://thumbcdn.com/splash/wure0a6imdb9xmgf.jpg" TargetMode="External"/><Relationship Id="rId771" Type="http://schemas.openxmlformats.org/officeDocument/2006/relationships/hyperlink" Target="https://thumbcdn.com/splash/7uywntb8shp7me46.jpg" TargetMode="External"/><Relationship Id="rId2245" Type="http://schemas.openxmlformats.org/officeDocument/2006/relationships/hyperlink" Target="https://thumbcdn.com/splash/t5qlf04kh9mup0gw.jpg" TargetMode="External"/><Relationship Id="rId424" Type="http://schemas.openxmlformats.org/officeDocument/2006/relationships/hyperlink" Target="https://thumbcdn.com/splash/airkbtw9jpluxd5i.jpg" TargetMode="External"/><Relationship Id="rId631" Type="http://schemas.openxmlformats.org/officeDocument/2006/relationships/hyperlink" Target="https://thumbcdn.com/splash/ket4z0tn1fiy2u1z.jpg" TargetMode="External"/><Relationship Id="rId1054" Type="http://schemas.openxmlformats.org/officeDocument/2006/relationships/hyperlink" Target="https://thumbcdn.com/splash/psnagkg0xdc4fddj.jpg" TargetMode="External"/><Relationship Id="rId1261" Type="http://schemas.openxmlformats.org/officeDocument/2006/relationships/hyperlink" Target="https://thumbcdn.com/splash/wum1y5wnfhhh6nz8.jpg" TargetMode="External"/><Relationship Id="rId2105" Type="http://schemas.openxmlformats.org/officeDocument/2006/relationships/hyperlink" Target="https://thumbcdn.com/splash/blanfv3xn77f1n5f.jpg" TargetMode="External"/><Relationship Id="rId1121" Type="http://schemas.openxmlformats.org/officeDocument/2006/relationships/hyperlink" Target="https://thumbcdn.com/splash/64zh4j7s955053kf.jpg" TargetMode="External"/><Relationship Id="rId1938" Type="http://schemas.openxmlformats.org/officeDocument/2006/relationships/hyperlink" Target="https://thumbcdn.com/splash/id2a1c4gcts4naeb.jpg" TargetMode="External"/><Relationship Id="rId281" Type="http://schemas.openxmlformats.org/officeDocument/2006/relationships/hyperlink" Target="https://thumbcdn.com/splash/8w6op1udrj25btjg.jpg" TargetMode="External"/><Relationship Id="rId141" Type="http://schemas.openxmlformats.org/officeDocument/2006/relationships/hyperlink" Target="https://thumbcdn.com/splash/mpjshzok97fu2jfy.jpg" TargetMode="External"/><Relationship Id="rId7" Type="http://schemas.openxmlformats.org/officeDocument/2006/relationships/hyperlink" Target="https://thumbcdn.com/splash/zt9i0jjrmc4bm8j1.jpg" TargetMode="External"/><Relationship Id="rId958" Type="http://schemas.openxmlformats.org/officeDocument/2006/relationships/hyperlink" Target="https://thumbcdn.com/splash/0ybeniaxv17tlue3.jpg" TargetMode="External"/><Relationship Id="rId1588" Type="http://schemas.openxmlformats.org/officeDocument/2006/relationships/hyperlink" Target="https://thumbcdn.com/splash/tdykho1me9hgxbs4.jpg" TargetMode="External"/><Relationship Id="rId1795" Type="http://schemas.openxmlformats.org/officeDocument/2006/relationships/hyperlink" Target="https://thumbcdn.com/splash/nrkwkbsfg8b30v7c.jpg" TargetMode="External"/><Relationship Id="rId87" Type="http://schemas.openxmlformats.org/officeDocument/2006/relationships/hyperlink" Target="https://thumbcdn.com/splash/4fr90ak8qkyiobbe.jpg" TargetMode="External"/><Relationship Id="rId818" Type="http://schemas.openxmlformats.org/officeDocument/2006/relationships/hyperlink" Target="https://thumbcdn.com/splash/i1bn8ead36szn50h.jpg" TargetMode="External"/><Relationship Id="rId1448" Type="http://schemas.openxmlformats.org/officeDocument/2006/relationships/hyperlink" Target="https://thumbcdn.com/splash/emnpld47ewm90w8b.jpg" TargetMode="External"/><Relationship Id="rId1655" Type="http://schemas.openxmlformats.org/officeDocument/2006/relationships/hyperlink" Target="https://thumbcdn.com/splash/dnevz7r1by67ikdn.jpg" TargetMode="External"/><Relationship Id="rId1308" Type="http://schemas.openxmlformats.org/officeDocument/2006/relationships/hyperlink" Target="https://thumbcdn.com/splash/3w2sce81vc8xy4dm.jpg" TargetMode="External"/><Relationship Id="rId1862" Type="http://schemas.openxmlformats.org/officeDocument/2006/relationships/hyperlink" Target="https://thumbcdn.com/splash/iojnfde5q9jhu6jk.jpg" TargetMode="External"/><Relationship Id="rId1515" Type="http://schemas.openxmlformats.org/officeDocument/2006/relationships/hyperlink" Target="https://thumbcdn.com/splash/xfb08roas1l9b37n.jpg" TargetMode="External"/><Relationship Id="rId1722" Type="http://schemas.openxmlformats.org/officeDocument/2006/relationships/hyperlink" Target="https://thumbcdn.com/splash/4k7xyc5984vcodry.jpg" TargetMode="External"/><Relationship Id="rId14" Type="http://schemas.openxmlformats.org/officeDocument/2006/relationships/hyperlink" Target="https://thumbcdn.com/splash/1c0lsvl548i19fuh.jpg" TargetMode="External"/><Relationship Id="rId468" Type="http://schemas.openxmlformats.org/officeDocument/2006/relationships/hyperlink" Target="https://thumbcdn.com/splash/wdctfmbzukq9ul5u.jpg" TargetMode="External"/><Relationship Id="rId675" Type="http://schemas.openxmlformats.org/officeDocument/2006/relationships/hyperlink" Target="https://thumbcdn.com/splash/o12r88w9147f79w9.jpg" TargetMode="External"/><Relationship Id="rId882" Type="http://schemas.openxmlformats.org/officeDocument/2006/relationships/hyperlink" Target="https://thumbcdn.com/splash/sr44jf11f4y6blwu.jpg" TargetMode="External"/><Relationship Id="rId1098" Type="http://schemas.openxmlformats.org/officeDocument/2006/relationships/hyperlink" Target="https://thumbcdn.com/splash/t503y9kbt69wuw0m.jpg" TargetMode="External"/><Relationship Id="rId2149" Type="http://schemas.openxmlformats.org/officeDocument/2006/relationships/hyperlink" Target="https://thumbcdn.com/splash/fusfy3c3uhme382o.jpg" TargetMode="External"/><Relationship Id="rId328" Type="http://schemas.openxmlformats.org/officeDocument/2006/relationships/hyperlink" Target="https://thumbcdn.com/splash/22cc2en8ujyu6uq7.jpg" TargetMode="External"/><Relationship Id="rId535" Type="http://schemas.openxmlformats.org/officeDocument/2006/relationships/hyperlink" Target="https://thumbcdn.com/splash/1ir6geoxfwdtwlt9.jpg" TargetMode="External"/><Relationship Id="rId742" Type="http://schemas.openxmlformats.org/officeDocument/2006/relationships/hyperlink" Target="https://thumbcdn.com/splash/635vrxfupgzds3ad.jpg" TargetMode="External"/><Relationship Id="rId1165" Type="http://schemas.openxmlformats.org/officeDocument/2006/relationships/hyperlink" Target="https://thumbcdn.com/splash/nb25n2dtrql8f8bt.jpg" TargetMode="External"/><Relationship Id="rId1372" Type="http://schemas.openxmlformats.org/officeDocument/2006/relationships/hyperlink" Target="https://thumbcdn.com/splash/vyvjuyogwonzhgvp.jpg" TargetMode="External"/><Relationship Id="rId2009" Type="http://schemas.openxmlformats.org/officeDocument/2006/relationships/hyperlink" Target="https://thumbcdn.com/splash/jqim31261b1gk3su.jpg" TargetMode="External"/><Relationship Id="rId2216" Type="http://schemas.openxmlformats.org/officeDocument/2006/relationships/hyperlink" Target="https://thumbcdn.com/splash/u8lyhh11448yfcom.jpg" TargetMode="External"/><Relationship Id="rId602" Type="http://schemas.openxmlformats.org/officeDocument/2006/relationships/hyperlink" Target="https://thumbcdn.com/splash/looe1kz67qthyl8n.jpg" TargetMode="External"/><Relationship Id="rId1025" Type="http://schemas.openxmlformats.org/officeDocument/2006/relationships/hyperlink" Target="https://thumbcdn.com/splash/vqtevpns7g8lmrkt.jpg" TargetMode="External"/><Relationship Id="rId1232" Type="http://schemas.openxmlformats.org/officeDocument/2006/relationships/hyperlink" Target="https://thumbcdn.com/splash/3mh3j9hkhzv0yviw.jpg" TargetMode="External"/><Relationship Id="rId185" Type="http://schemas.openxmlformats.org/officeDocument/2006/relationships/hyperlink" Target="https://thumbcdn.com/splash/sdpo7aqz7biqqzer.jpg" TargetMode="External"/><Relationship Id="rId1909" Type="http://schemas.openxmlformats.org/officeDocument/2006/relationships/hyperlink" Target="https://thumbcdn.com/splash/3s3ndrhtcostunqu.jpg" TargetMode="External"/><Relationship Id="rId392" Type="http://schemas.openxmlformats.org/officeDocument/2006/relationships/hyperlink" Target="https://thumbcdn.com/splash/cdffijzxxesotrt7.jpg" TargetMode="External"/><Relationship Id="rId2073" Type="http://schemas.openxmlformats.org/officeDocument/2006/relationships/hyperlink" Target="https://thumbcdn.com/splash/1dzxn6i7bn9xhvjz.jpg" TargetMode="External"/><Relationship Id="rId2280" Type="http://schemas.openxmlformats.org/officeDocument/2006/relationships/hyperlink" Target="https://thumbcdn.com/splash/6snff75e7g8384v5.jpg" TargetMode="External"/><Relationship Id="rId252" Type="http://schemas.openxmlformats.org/officeDocument/2006/relationships/hyperlink" Target="https://thumbcdn.com/splash/kf58ck1qj5t8nuzs.jpg" TargetMode="External"/><Relationship Id="rId2140" Type="http://schemas.openxmlformats.org/officeDocument/2006/relationships/hyperlink" Target="https://thumbcdn.com/splash/eux6uc5pz8da4ura.jpg" TargetMode="External"/><Relationship Id="rId112" Type="http://schemas.openxmlformats.org/officeDocument/2006/relationships/hyperlink" Target="https://thumbcdn.com/splash/6vnb3zx8i1csvmkr.jpg" TargetMode="External"/><Relationship Id="rId1699" Type="http://schemas.openxmlformats.org/officeDocument/2006/relationships/hyperlink" Target="https://thumbcdn.com/splash/fo6293vgcz4l5bnr.jpg" TargetMode="External"/><Relationship Id="rId2000" Type="http://schemas.openxmlformats.org/officeDocument/2006/relationships/hyperlink" Target="https://thumbcdn.com/splash/9bqu2vx4112zdjcu.jpg" TargetMode="External"/><Relationship Id="rId929" Type="http://schemas.openxmlformats.org/officeDocument/2006/relationships/hyperlink" Target="https://thumbcdn.com/splash/lswjw3ldssn7pwoe.jpg" TargetMode="External"/><Relationship Id="rId1559" Type="http://schemas.openxmlformats.org/officeDocument/2006/relationships/hyperlink" Target="https://thumbcdn.com/splash/nw5rlsj8hikpuzpb.jpg" TargetMode="External"/><Relationship Id="rId1766" Type="http://schemas.openxmlformats.org/officeDocument/2006/relationships/hyperlink" Target="https://thumbcdn.com/splash/q8gzaz5cg8bcn98y.jpg" TargetMode="External"/><Relationship Id="rId1973" Type="http://schemas.openxmlformats.org/officeDocument/2006/relationships/hyperlink" Target="https://thumbcdn.com/splash/fxw76mpq6zzi3hr4.jpg" TargetMode="External"/><Relationship Id="rId58" Type="http://schemas.openxmlformats.org/officeDocument/2006/relationships/hyperlink" Target="https://thumbcdn.com/splash/uwkf2v5hdwr177fj.jpg" TargetMode="External"/><Relationship Id="rId1419" Type="http://schemas.openxmlformats.org/officeDocument/2006/relationships/hyperlink" Target="https://thumbcdn.com/splash/htvg831epaqgsysw.jpg" TargetMode="External"/><Relationship Id="rId1626" Type="http://schemas.openxmlformats.org/officeDocument/2006/relationships/hyperlink" Target="https://thumbcdn.com/splash/u087kkr97osdhlo8.jpg" TargetMode="External"/><Relationship Id="rId1833" Type="http://schemas.openxmlformats.org/officeDocument/2006/relationships/hyperlink" Target="https://thumbcdn.com/splash/6dgxcb6ybnnkozm6.jpg" TargetMode="External"/><Relationship Id="rId1900" Type="http://schemas.openxmlformats.org/officeDocument/2006/relationships/hyperlink" Target="https://thumbcdn.com/splash/yqwzxu2x716uta12.jpg" TargetMode="External"/><Relationship Id="rId579" Type="http://schemas.openxmlformats.org/officeDocument/2006/relationships/hyperlink" Target="https://thumbcdn.com/splash/3jyi016xb1xcqmzs.jpg" TargetMode="External"/><Relationship Id="rId786" Type="http://schemas.openxmlformats.org/officeDocument/2006/relationships/hyperlink" Target="https://thumbcdn.com/splash/t21a37utytmrlrn9.jpg" TargetMode="External"/><Relationship Id="rId993" Type="http://schemas.openxmlformats.org/officeDocument/2006/relationships/hyperlink" Target="https://thumbcdn.com/splash/jqzor7t3jna5bwcv.jpg" TargetMode="External"/><Relationship Id="rId439" Type="http://schemas.openxmlformats.org/officeDocument/2006/relationships/hyperlink" Target="https://thumbcdn.com/splash/rjf5plw3vk2ih992.jpg" TargetMode="External"/><Relationship Id="rId646" Type="http://schemas.openxmlformats.org/officeDocument/2006/relationships/hyperlink" Target="https://thumbcdn.com/splash/x6com11pe57sn1iz.jpg" TargetMode="External"/><Relationship Id="rId1069" Type="http://schemas.openxmlformats.org/officeDocument/2006/relationships/hyperlink" Target="https://thumbcdn.com/splash/fhxb5jamixr1jzpq.jpg" TargetMode="External"/><Relationship Id="rId1276" Type="http://schemas.openxmlformats.org/officeDocument/2006/relationships/hyperlink" Target="https://thumbcdn.com/splash/ts8vvp37s5z7n1li.jpg" TargetMode="External"/><Relationship Id="rId1483" Type="http://schemas.openxmlformats.org/officeDocument/2006/relationships/hyperlink" Target="https://thumbcdn.com/splash/8j5bq2w32sy8f1jp.jpg" TargetMode="External"/><Relationship Id="rId506" Type="http://schemas.openxmlformats.org/officeDocument/2006/relationships/hyperlink" Target="https://thumbcdn.com/splash/s162v56b2g9g36x7.jpg" TargetMode="External"/><Relationship Id="rId853" Type="http://schemas.openxmlformats.org/officeDocument/2006/relationships/hyperlink" Target="https://thumbcdn.com/splash/jzdpprvxvhgd94ax.jpg" TargetMode="External"/><Relationship Id="rId1136" Type="http://schemas.openxmlformats.org/officeDocument/2006/relationships/hyperlink" Target="https://thumbcdn.com/splash/vlbukbbm9ut8kmov.jpg" TargetMode="External"/><Relationship Id="rId1690" Type="http://schemas.openxmlformats.org/officeDocument/2006/relationships/hyperlink" Target="https://thumbcdn.com/splash/1wpq88edj2ynrbnb.jpg" TargetMode="External"/><Relationship Id="rId713" Type="http://schemas.openxmlformats.org/officeDocument/2006/relationships/hyperlink" Target="https://thumbcdn.com/splash/ynoer0gg8brbcx0i.jpg" TargetMode="External"/><Relationship Id="rId920" Type="http://schemas.openxmlformats.org/officeDocument/2006/relationships/hyperlink" Target="https://thumbcdn.com/splash/p6wh0cf7cky41n7r.jpg" TargetMode="External"/><Relationship Id="rId1343" Type="http://schemas.openxmlformats.org/officeDocument/2006/relationships/hyperlink" Target="https://thumbcdn.com/splash/hqjw7tmdaesr03ld.jpg" TargetMode="External"/><Relationship Id="rId1550" Type="http://schemas.openxmlformats.org/officeDocument/2006/relationships/hyperlink" Target="https://thumbcdn.com/splash/8r5kfml1gxgs5dyn.jpg" TargetMode="External"/><Relationship Id="rId1203" Type="http://schemas.openxmlformats.org/officeDocument/2006/relationships/hyperlink" Target="https://thumbcdn.com/splash/3bxvo938072ddv7g.jpg" TargetMode="External"/><Relationship Id="rId1410" Type="http://schemas.openxmlformats.org/officeDocument/2006/relationships/hyperlink" Target="https://thumbcdn.com/splash/emd9kc32tmryincb.jpg" TargetMode="External"/><Relationship Id="rId296" Type="http://schemas.openxmlformats.org/officeDocument/2006/relationships/hyperlink" Target="https://thumbcdn.com/splash/jkh6qodu0vb2wvlu.jpg" TargetMode="External"/><Relationship Id="rId2184" Type="http://schemas.openxmlformats.org/officeDocument/2006/relationships/hyperlink" Target="https://thumbcdn.com/splash/lsxvn3uq85bek2ls.jpg" TargetMode="External"/><Relationship Id="rId156" Type="http://schemas.openxmlformats.org/officeDocument/2006/relationships/hyperlink" Target="https://thumbcdn.com/splash/3dh4ekp5woyrg30d.jpg" TargetMode="External"/><Relationship Id="rId363" Type="http://schemas.openxmlformats.org/officeDocument/2006/relationships/hyperlink" Target="https://thumbcdn.com/splash/8yvhzy81k3rssiwr.jpg" TargetMode="External"/><Relationship Id="rId570" Type="http://schemas.openxmlformats.org/officeDocument/2006/relationships/hyperlink" Target="https://thumbcdn.com/splash/oizkj4eh7v6dtfwj.jpg" TargetMode="External"/><Relationship Id="rId2044" Type="http://schemas.openxmlformats.org/officeDocument/2006/relationships/hyperlink" Target="https://thumbcdn.com/splash/f78dzopxyjlhwla2.jpg" TargetMode="External"/><Relationship Id="rId2251" Type="http://schemas.openxmlformats.org/officeDocument/2006/relationships/hyperlink" Target="https://thumbcdn.com/splash/0w0wui41zxj7lsvv.jpg" TargetMode="External"/><Relationship Id="rId223" Type="http://schemas.openxmlformats.org/officeDocument/2006/relationships/hyperlink" Target="https://thumbcdn.com/splash/ejwlt1hpv1jxvqb7.jpg" TargetMode="External"/><Relationship Id="rId430" Type="http://schemas.openxmlformats.org/officeDocument/2006/relationships/hyperlink" Target="https://thumbcdn.com/splash/bw1fa59o8r7q2kjt.jpg" TargetMode="External"/><Relationship Id="rId1060" Type="http://schemas.openxmlformats.org/officeDocument/2006/relationships/hyperlink" Target="https://thumbcdn.com/splash/mu82p0nzbg8ur53y.jpg" TargetMode="External"/><Relationship Id="rId2111" Type="http://schemas.openxmlformats.org/officeDocument/2006/relationships/hyperlink" Target="https://thumbcdn.com/splash/odtnnl483rzn3eyv.jpg" TargetMode="External"/><Relationship Id="rId1877" Type="http://schemas.openxmlformats.org/officeDocument/2006/relationships/hyperlink" Target="https://thumbcdn.com/splash/5gwkn1qf9l3mbpzq.jpg" TargetMode="External"/><Relationship Id="rId1737" Type="http://schemas.openxmlformats.org/officeDocument/2006/relationships/hyperlink" Target="https://thumbcdn.com/splash/caxcbpsl0ip0aobz.jpg" TargetMode="External"/><Relationship Id="rId1944" Type="http://schemas.openxmlformats.org/officeDocument/2006/relationships/hyperlink" Target="https://thumbcdn.com/splash/6dpx429grzj9orqk.jpg" TargetMode="External"/><Relationship Id="rId29" Type="http://schemas.openxmlformats.org/officeDocument/2006/relationships/hyperlink" Target="https://thumbcdn.com/splash/bnggdihvxysua5ro.jpg" TargetMode="External"/><Relationship Id="rId1804" Type="http://schemas.openxmlformats.org/officeDocument/2006/relationships/hyperlink" Target="https://thumbcdn.com/splash/j97yeb5xowtmom72.jpg" TargetMode="External"/><Relationship Id="rId897" Type="http://schemas.openxmlformats.org/officeDocument/2006/relationships/hyperlink" Target="https://thumbcdn.com/splash/1cwsi17hca5kuiny.jpg" TargetMode="External"/><Relationship Id="rId757" Type="http://schemas.openxmlformats.org/officeDocument/2006/relationships/hyperlink" Target="https://thumbcdn.com/splash/kf58ck1qj5t8nuzs.jpg" TargetMode="External"/><Relationship Id="rId964" Type="http://schemas.openxmlformats.org/officeDocument/2006/relationships/hyperlink" Target="https://thumbcdn.com/splash/xf7zd9f8f67izzsh.jpg" TargetMode="External"/><Relationship Id="rId1387" Type="http://schemas.openxmlformats.org/officeDocument/2006/relationships/hyperlink" Target="https://thumbcdn.com/splash/njg0hcsg65mila2x.jpg" TargetMode="External"/><Relationship Id="rId1594" Type="http://schemas.openxmlformats.org/officeDocument/2006/relationships/hyperlink" Target="https://thumbcdn.com/splash/6ooreqqs0ib5eiq1.jpg" TargetMode="External"/><Relationship Id="rId93" Type="http://schemas.openxmlformats.org/officeDocument/2006/relationships/hyperlink" Target="https://thumbcdn.com/splash/yfattlhukc3uc7yt.jpg" TargetMode="External"/><Relationship Id="rId617" Type="http://schemas.openxmlformats.org/officeDocument/2006/relationships/hyperlink" Target="https://thumbcdn.com/splash/92t8gslazk5uutqr.jpg" TargetMode="External"/><Relationship Id="rId824" Type="http://schemas.openxmlformats.org/officeDocument/2006/relationships/hyperlink" Target="https://thumbcdn.com/splash/0wk5c4rr7mm3pjj8.jpg" TargetMode="External"/><Relationship Id="rId1247" Type="http://schemas.openxmlformats.org/officeDocument/2006/relationships/hyperlink" Target="https://thumbcdn.com/splash/vzqc9quey3ex1kfx.jpg" TargetMode="External"/><Relationship Id="rId1454" Type="http://schemas.openxmlformats.org/officeDocument/2006/relationships/hyperlink" Target="https://thumbcdn.com/splash/ceh6zgoavwi7moh5.jpg" TargetMode="External"/><Relationship Id="rId1661" Type="http://schemas.openxmlformats.org/officeDocument/2006/relationships/hyperlink" Target="https://thumbcdn.com/splash/hrqzhuq3i88j79jr.jpg" TargetMode="External"/><Relationship Id="rId1107" Type="http://schemas.openxmlformats.org/officeDocument/2006/relationships/hyperlink" Target="https://thumbcdn.com/splash/zuk6efe7xfthn3qk.jpg" TargetMode="External"/><Relationship Id="rId1314" Type="http://schemas.openxmlformats.org/officeDocument/2006/relationships/hyperlink" Target="https://thumbcdn.com/splash/7wnzs923mznfoi6f.jpg" TargetMode="External"/><Relationship Id="rId1521" Type="http://schemas.openxmlformats.org/officeDocument/2006/relationships/hyperlink" Target="https://thumbcdn.com/splash/uqgkukbrtb7awm3x.jpg" TargetMode="External"/><Relationship Id="rId20" Type="http://schemas.openxmlformats.org/officeDocument/2006/relationships/hyperlink" Target="https://thumbcdn.com/splash/9rs1zpf5n43xdwsq.jpg" TargetMode="External"/><Relationship Id="rId2088" Type="http://schemas.openxmlformats.org/officeDocument/2006/relationships/hyperlink" Target="https://thumbcdn.com/splash/l748hi04kb4w948y.jpg" TargetMode="External"/><Relationship Id="rId267" Type="http://schemas.openxmlformats.org/officeDocument/2006/relationships/hyperlink" Target="https://thumbcdn.com/splash/3r8oemjwnmv70z19.jpg" TargetMode="External"/><Relationship Id="rId474" Type="http://schemas.openxmlformats.org/officeDocument/2006/relationships/hyperlink" Target="https://thumbcdn.com/splash/kn3hyiqrhwt3hpgm.jpg" TargetMode="External"/><Relationship Id="rId2155" Type="http://schemas.openxmlformats.org/officeDocument/2006/relationships/hyperlink" Target="https://thumbcdn.com/splash/wa3v0k9m7jpuee9h.jpg" TargetMode="External"/><Relationship Id="rId127" Type="http://schemas.openxmlformats.org/officeDocument/2006/relationships/hyperlink" Target="https://thumbcdn.com/splash/12gdfu2yv72pvxg7.jpg" TargetMode="External"/><Relationship Id="rId681" Type="http://schemas.openxmlformats.org/officeDocument/2006/relationships/hyperlink" Target="https://thumbcdn.com/splash/rljy8avaeoxygi00.jpg" TargetMode="External"/><Relationship Id="rId779" Type="http://schemas.openxmlformats.org/officeDocument/2006/relationships/hyperlink" Target="https://thumbcdn.com/splash/qwz4b0wtk4uopi65.jpg" TargetMode="External"/><Relationship Id="rId986" Type="http://schemas.openxmlformats.org/officeDocument/2006/relationships/hyperlink" Target="https://thumbcdn.com/splash/j6w9vrsom3nl9o04.jpg" TargetMode="External"/><Relationship Id="rId334" Type="http://schemas.openxmlformats.org/officeDocument/2006/relationships/hyperlink" Target="https://thumbcdn.com/splash/9ey43gddxydhjrfo.jpg" TargetMode="External"/><Relationship Id="rId541" Type="http://schemas.openxmlformats.org/officeDocument/2006/relationships/hyperlink" Target="https://thumbcdn.com/splash/vbx7inadk7w59dpc.jpg" TargetMode="External"/><Relationship Id="rId639" Type="http://schemas.openxmlformats.org/officeDocument/2006/relationships/hyperlink" Target="https://thumbcdn.com/splash/l2n1b3yhb9quclj5.jpg" TargetMode="External"/><Relationship Id="rId1171" Type="http://schemas.openxmlformats.org/officeDocument/2006/relationships/hyperlink" Target="https://thumbcdn.com/splash/huwj83dxm27z59u8.jpg" TargetMode="External"/><Relationship Id="rId1269" Type="http://schemas.openxmlformats.org/officeDocument/2006/relationships/hyperlink" Target="https://thumbcdn.com/splash/621pd8zq9gu53za2.jpg" TargetMode="External"/><Relationship Id="rId1476" Type="http://schemas.openxmlformats.org/officeDocument/2006/relationships/hyperlink" Target="https://thumbcdn.com/splash/tcaz0u6gf9lnbugq.jpg" TargetMode="External"/><Relationship Id="rId2015" Type="http://schemas.openxmlformats.org/officeDocument/2006/relationships/hyperlink" Target="https://thumbcdn.com/splash/4w28qyhg0lc3o2ht.jpg" TargetMode="External"/><Relationship Id="rId2222" Type="http://schemas.openxmlformats.org/officeDocument/2006/relationships/hyperlink" Target="https://thumbcdn.com/splash/zgfy5xmhgp0h07em.jpg" TargetMode="External"/><Relationship Id="rId401" Type="http://schemas.openxmlformats.org/officeDocument/2006/relationships/hyperlink" Target="https://thumbcdn.com/splash/lsnb8142sopx0r8d.jpg" TargetMode="External"/><Relationship Id="rId846" Type="http://schemas.openxmlformats.org/officeDocument/2006/relationships/hyperlink" Target="https://thumbcdn.com/splash/bkgsfeip5nriz4o9.jpg" TargetMode="External"/><Relationship Id="rId1031" Type="http://schemas.openxmlformats.org/officeDocument/2006/relationships/hyperlink" Target="https://thumbcdn.com/splash/1m072lb7phu8sfcf.jpg" TargetMode="External"/><Relationship Id="rId1129" Type="http://schemas.openxmlformats.org/officeDocument/2006/relationships/hyperlink" Target="https://thumbcdn.com/splash/fuuu3k5kz6lqaey5.jpg" TargetMode="External"/><Relationship Id="rId1683" Type="http://schemas.openxmlformats.org/officeDocument/2006/relationships/hyperlink" Target="https://thumbcdn.com/splash/00y1hwuyw4x02jok.jpg" TargetMode="External"/><Relationship Id="rId1890" Type="http://schemas.openxmlformats.org/officeDocument/2006/relationships/hyperlink" Target="https://thumbcdn.com/splash/s81zx1jw2f4zttxt.jpg" TargetMode="External"/><Relationship Id="rId1988" Type="http://schemas.openxmlformats.org/officeDocument/2006/relationships/hyperlink" Target="https://thumbcdn.com/splash/bcwq3uy69j6ysm0j.jpg" TargetMode="External"/><Relationship Id="rId706" Type="http://schemas.openxmlformats.org/officeDocument/2006/relationships/hyperlink" Target="https://thumbcdn.com/splash/mi4hz9k9woix0n2g.jpg" TargetMode="External"/><Relationship Id="rId913" Type="http://schemas.openxmlformats.org/officeDocument/2006/relationships/hyperlink" Target="https://thumbcdn.com/splash/3o2fchh07rvke87g.jpg" TargetMode="External"/><Relationship Id="rId1336" Type="http://schemas.openxmlformats.org/officeDocument/2006/relationships/hyperlink" Target="https://thumbcdn.com/splash/drskmpnqucg4yios.jpg" TargetMode="External"/><Relationship Id="rId1543" Type="http://schemas.openxmlformats.org/officeDocument/2006/relationships/hyperlink" Target="https://thumbcdn.com/splash/qmzohui7mnreacu7.jpg" TargetMode="External"/><Relationship Id="rId1750" Type="http://schemas.openxmlformats.org/officeDocument/2006/relationships/hyperlink" Target="https://thumbcdn.com/splash/4b08dfpwjvrtbdi7.jpg" TargetMode="External"/><Relationship Id="rId42" Type="http://schemas.openxmlformats.org/officeDocument/2006/relationships/hyperlink" Target="https://thumbcdn.com/splash/tdu43qsmt9mjb2ga.jpg" TargetMode="External"/><Relationship Id="rId1403" Type="http://schemas.openxmlformats.org/officeDocument/2006/relationships/hyperlink" Target="https://thumbcdn.com/splash/0p864f4fkkv1h33g.jpg" TargetMode="External"/><Relationship Id="rId1610" Type="http://schemas.openxmlformats.org/officeDocument/2006/relationships/hyperlink" Target="https://thumbcdn.com/splash/j2h9dnxgl6fugehk.jpg" TargetMode="External"/><Relationship Id="rId1848" Type="http://schemas.openxmlformats.org/officeDocument/2006/relationships/hyperlink" Target="https://thumbcdn.com/splash/03qiw5cln4l5jbt6.jpg" TargetMode="External"/><Relationship Id="rId191" Type="http://schemas.openxmlformats.org/officeDocument/2006/relationships/hyperlink" Target="https://thumbcdn.com/splash/ceh5l7dzbqt8ft85.jpg" TargetMode="External"/><Relationship Id="rId1708" Type="http://schemas.openxmlformats.org/officeDocument/2006/relationships/hyperlink" Target="https://thumbcdn.com/splash/k9ro3y0h8szbm2ew.jpg" TargetMode="External"/><Relationship Id="rId1915" Type="http://schemas.openxmlformats.org/officeDocument/2006/relationships/hyperlink" Target="https://thumbcdn.com/splash/a21rh3pnlimtogwp.jpg" TargetMode="External"/><Relationship Id="rId289" Type="http://schemas.openxmlformats.org/officeDocument/2006/relationships/hyperlink" Target="https://thumbcdn.com/splash/48hnvr8i3pmgpw53.jpg" TargetMode="External"/><Relationship Id="rId496" Type="http://schemas.openxmlformats.org/officeDocument/2006/relationships/hyperlink" Target="https://thumbcdn.com/splash/g7cybym1bi44vbg3.jpg" TargetMode="External"/><Relationship Id="rId2177" Type="http://schemas.openxmlformats.org/officeDocument/2006/relationships/hyperlink" Target="https://thumbcdn.com/splash/ao9ww0m46fbqj8zi.jpg" TargetMode="External"/><Relationship Id="rId149" Type="http://schemas.openxmlformats.org/officeDocument/2006/relationships/hyperlink" Target="https://thumbcdn.com/splash/y73ziarlc5tkwky6.jpg" TargetMode="External"/><Relationship Id="rId356" Type="http://schemas.openxmlformats.org/officeDocument/2006/relationships/hyperlink" Target="https://thumbcdn.com/splash/fhxb5jamixr1jzpq.jpg" TargetMode="External"/><Relationship Id="rId563" Type="http://schemas.openxmlformats.org/officeDocument/2006/relationships/hyperlink" Target="https://thumbcdn.com/splash/sh3815tl1h6kwpky.jpg" TargetMode="External"/><Relationship Id="rId770" Type="http://schemas.openxmlformats.org/officeDocument/2006/relationships/hyperlink" Target="https://thumbcdn.com/splash/9o1y3f53q4jo7daw.jpg" TargetMode="External"/><Relationship Id="rId1193" Type="http://schemas.openxmlformats.org/officeDocument/2006/relationships/hyperlink" Target="https://thumbcdn.com/splash/e1w74r3nznqdhmzh.jpg" TargetMode="External"/><Relationship Id="rId2037" Type="http://schemas.openxmlformats.org/officeDocument/2006/relationships/hyperlink" Target="https://thumbcdn.com/splash/4m9fwqk8h4pfvp4t.jpg" TargetMode="External"/><Relationship Id="rId2244" Type="http://schemas.openxmlformats.org/officeDocument/2006/relationships/hyperlink" Target="https://thumbcdn.com/splash/tsnqov63t50jcdnf.jpg" TargetMode="External"/><Relationship Id="rId216" Type="http://schemas.openxmlformats.org/officeDocument/2006/relationships/hyperlink" Target="https://thumbcdn.com/splash/hd38khtb96ypycxt.jpg" TargetMode="External"/><Relationship Id="rId423" Type="http://schemas.openxmlformats.org/officeDocument/2006/relationships/hyperlink" Target="https://thumbcdn.com/splash/621pd8zq9gu53za2.jpg" TargetMode="External"/><Relationship Id="rId868" Type="http://schemas.openxmlformats.org/officeDocument/2006/relationships/hyperlink" Target="https://thumbcdn.com/splash/1gisdaijyw6bg7i0.jpg" TargetMode="External"/><Relationship Id="rId1053" Type="http://schemas.openxmlformats.org/officeDocument/2006/relationships/hyperlink" Target="https://thumbcdn.com/splash/rvjb1qp26mi81zee.jpg" TargetMode="External"/><Relationship Id="rId1260" Type="http://schemas.openxmlformats.org/officeDocument/2006/relationships/hyperlink" Target="https://thumbcdn.com/splash/9br6kc9nqy3y8gcz.jpg" TargetMode="External"/><Relationship Id="rId1498" Type="http://schemas.openxmlformats.org/officeDocument/2006/relationships/hyperlink" Target="https://thumbcdn.com/splash/wn8w3lnm6naag7vz.jpg" TargetMode="External"/><Relationship Id="rId2104" Type="http://schemas.openxmlformats.org/officeDocument/2006/relationships/hyperlink" Target="https://thumbcdn.com/splash/42ygeh78vtduxeaw.jpg" TargetMode="External"/><Relationship Id="rId630" Type="http://schemas.openxmlformats.org/officeDocument/2006/relationships/hyperlink" Target="https://thumbcdn.com/splash/aqwopyppfm59cjqb.jpg" TargetMode="External"/><Relationship Id="rId728" Type="http://schemas.openxmlformats.org/officeDocument/2006/relationships/hyperlink" Target="https://thumbcdn.com/splash/a16s423og5nf15fc.jpg" TargetMode="External"/><Relationship Id="rId935" Type="http://schemas.openxmlformats.org/officeDocument/2006/relationships/hyperlink" Target="https://thumbcdn.com/splash/j5k3rmahebqj69mz.jpg" TargetMode="External"/><Relationship Id="rId1358" Type="http://schemas.openxmlformats.org/officeDocument/2006/relationships/hyperlink" Target="https://thumbcdn.com/splash/4rk87it7din0ofn5.jpg" TargetMode="External"/><Relationship Id="rId1565" Type="http://schemas.openxmlformats.org/officeDocument/2006/relationships/hyperlink" Target="https://thumbcdn.com/splash/3v9wgfgmzqztpmkq.jpg" TargetMode="External"/><Relationship Id="rId1772" Type="http://schemas.openxmlformats.org/officeDocument/2006/relationships/hyperlink" Target="https://thumbcdn.com/splash/yjpw0nbm7lljq9q8.jpg" TargetMode="External"/><Relationship Id="rId64" Type="http://schemas.openxmlformats.org/officeDocument/2006/relationships/hyperlink" Target="https://thumbcdn.com/splash/3byfccyanyxacrm9.jpg" TargetMode="External"/><Relationship Id="rId1120" Type="http://schemas.openxmlformats.org/officeDocument/2006/relationships/hyperlink" Target="https://thumbcdn.com/splash/n22femnla4qgo1q4.jpg" TargetMode="External"/><Relationship Id="rId1218" Type="http://schemas.openxmlformats.org/officeDocument/2006/relationships/hyperlink" Target="https://thumbcdn.com/splash/g0hiqelt8e5ykemu.jpg" TargetMode="External"/><Relationship Id="rId1425" Type="http://schemas.openxmlformats.org/officeDocument/2006/relationships/hyperlink" Target="https://thumbcdn.com/splash/h0z27npo7056y16k.jpg" TargetMode="External"/><Relationship Id="rId1632" Type="http://schemas.openxmlformats.org/officeDocument/2006/relationships/hyperlink" Target="https://thumbcdn.com/splash/axe2n1pcwkqbiv7e.jpg" TargetMode="External"/><Relationship Id="rId1937" Type="http://schemas.openxmlformats.org/officeDocument/2006/relationships/hyperlink" Target="https://thumbcdn.com/splash/w2llx505v9a1he73.jpg" TargetMode="External"/><Relationship Id="rId2199" Type="http://schemas.openxmlformats.org/officeDocument/2006/relationships/hyperlink" Target="https://thumbcdn.com/splash/v3du4yex7onkfpp6.jpg" TargetMode="External"/><Relationship Id="rId280" Type="http://schemas.openxmlformats.org/officeDocument/2006/relationships/hyperlink" Target="https://thumbcdn.com/splash/pnrkjpimsa75rapt.jpg" TargetMode="External"/><Relationship Id="rId140" Type="http://schemas.openxmlformats.org/officeDocument/2006/relationships/hyperlink" Target="https://thumbcdn.com/splash/n6h40vgejo3q6myq.jpg" TargetMode="External"/><Relationship Id="rId378" Type="http://schemas.openxmlformats.org/officeDocument/2006/relationships/hyperlink" Target="https://thumbcdn.com/splash/a5ct51prezetcas4.jpg" TargetMode="External"/><Relationship Id="rId585" Type="http://schemas.openxmlformats.org/officeDocument/2006/relationships/hyperlink" Target="https://thumbcdn.com/splash/935fllawx5r33ll0.jpg" TargetMode="External"/><Relationship Id="rId792" Type="http://schemas.openxmlformats.org/officeDocument/2006/relationships/hyperlink" Target="https://thumbcdn.com/splash/34ncbvt77knt0pfq.jpg" TargetMode="External"/><Relationship Id="rId2059" Type="http://schemas.openxmlformats.org/officeDocument/2006/relationships/hyperlink" Target="https://thumbcdn.com/splash/5aacz26yte9jhv5o.jpg" TargetMode="External"/><Relationship Id="rId2266" Type="http://schemas.openxmlformats.org/officeDocument/2006/relationships/hyperlink" Target="https://thumbcdn.com/splash/jpjylyklofbi8efk.jpg" TargetMode="External"/><Relationship Id="rId6" Type="http://schemas.openxmlformats.org/officeDocument/2006/relationships/hyperlink" Target="https://thumbcdn.com/splash/0n7loh0bjp11jigp.jpg" TargetMode="External"/><Relationship Id="rId238" Type="http://schemas.openxmlformats.org/officeDocument/2006/relationships/hyperlink" Target="https://thumbcdn.com/splash/ynoer0gg8brbcx0i.jpg" TargetMode="External"/><Relationship Id="rId445" Type="http://schemas.openxmlformats.org/officeDocument/2006/relationships/hyperlink" Target="https://thumbcdn.com/splash/fdbrdu8uu2zerr30.jpg" TargetMode="External"/><Relationship Id="rId652" Type="http://schemas.openxmlformats.org/officeDocument/2006/relationships/hyperlink" Target="https://thumbcdn.com/splash/sqf3pcvv69tht6g8.jpg" TargetMode="External"/><Relationship Id="rId1075" Type="http://schemas.openxmlformats.org/officeDocument/2006/relationships/hyperlink" Target="https://thumbcdn.com/splash/t6f0mj8piozg2yaw.jpg" TargetMode="External"/><Relationship Id="rId1282" Type="http://schemas.openxmlformats.org/officeDocument/2006/relationships/hyperlink" Target="https://thumbcdn.com/splash/1fyevo6xoxi5hyue.jpg" TargetMode="External"/><Relationship Id="rId2126" Type="http://schemas.openxmlformats.org/officeDocument/2006/relationships/hyperlink" Target="https://thumbcdn.com/splash/7wnzs923mznfoi6f.jpg" TargetMode="External"/><Relationship Id="rId305" Type="http://schemas.openxmlformats.org/officeDocument/2006/relationships/hyperlink" Target="https://thumbcdn.com/splash/7e8932nvi3iu306z.jpg" TargetMode="External"/><Relationship Id="rId512" Type="http://schemas.openxmlformats.org/officeDocument/2006/relationships/hyperlink" Target="https://thumbcdn.com/splash/jqfzlieb5erge6os.jpg" TargetMode="External"/><Relationship Id="rId957" Type="http://schemas.openxmlformats.org/officeDocument/2006/relationships/hyperlink" Target="https://thumbcdn.com/splash/ymi3w5cq535lm0rf.jpg" TargetMode="External"/><Relationship Id="rId1142" Type="http://schemas.openxmlformats.org/officeDocument/2006/relationships/hyperlink" Target="https://thumbcdn.com/splash/21a0605v7yhjtcwj.jpg" TargetMode="External"/><Relationship Id="rId1587" Type="http://schemas.openxmlformats.org/officeDocument/2006/relationships/hyperlink" Target="https://thumbcdn.com/splash/2xymdrudcgixfhfp.jpg" TargetMode="External"/><Relationship Id="rId1794" Type="http://schemas.openxmlformats.org/officeDocument/2006/relationships/hyperlink" Target="https://thumbcdn.com/splash/tudr9e4iutdyla01.jpg" TargetMode="External"/><Relationship Id="rId86" Type="http://schemas.openxmlformats.org/officeDocument/2006/relationships/hyperlink" Target="https://thumbcdn.com/splash/7lcdbbq6koc4ljhf.jpg" TargetMode="External"/><Relationship Id="rId817" Type="http://schemas.openxmlformats.org/officeDocument/2006/relationships/hyperlink" Target="https://thumbcdn.com/splash/lvcrq8s21xqnni54.jpg" TargetMode="External"/><Relationship Id="rId1002" Type="http://schemas.openxmlformats.org/officeDocument/2006/relationships/hyperlink" Target="https://thumbcdn.com/splash/ueagxmiv7a8ldjny.jpg" TargetMode="External"/><Relationship Id="rId1447" Type="http://schemas.openxmlformats.org/officeDocument/2006/relationships/hyperlink" Target="https://thumbcdn.com/splash/k10azktmwf0irewg.jpg" TargetMode="External"/><Relationship Id="rId1654" Type="http://schemas.openxmlformats.org/officeDocument/2006/relationships/hyperlink" Target="https://thumbcdn.com/splash/7upv846jzl7s2sfv.jpg" TargetMode="External"/><Relationship Id="rId1861" Type="http://schemas.openxmlformats.org/officeDocument/2006/relationships/hyperlink" Target="https://thumbcdn.com/splash/akpovleubinrcs1l.jpg" TargetMode="External"/><Relationship Id="rId1307" Type="http://schemas.openxmlformats.org/officeDocument/2006/relationships/hyperlink" Target="https://thumbcdn.com/splash/z78jgvej4tx0ykc1.jpg" TargetMode="External"/><Relationship Id="rId1514" Type="http://schemas.openxmlformats.org/officeDocument/2006/relationships/hyperlink" Target="https://thumbcdn.com/splash/xlfcnrpge0470ouw.jpg" TargetMode="External"/><Relationship Id="rId1721" Type="http://schemas.openxmlformats.org/officeDocument/2006/relationships/hyperlink" Target="https://thumbcdn.com/splash/7n4rjtg6hwi0gb3j.jpg" TargetMode="External"/><Relationship Id="rId1959" Type="http://schemas.openxmlformats.org/officeDocument/2006/relationships/hyperlink" Target="https://thumbcdn.com/splash/0wa6r805nfjds2a2.jpg" TargetMode="External"/><Relationship Id="rId13" Type="http://schemas.openxmlformats.org/officeDocument/2006/relationships/hyperlink" Target="https://thumbcdn.com/splash/hh6btwx54i0ymciq.jpg" TargetMode="External"/><Relationship Id="rId1819" Type="http://schemas.openxmlformats.org/officeDocument/2006/relationships/hyperlink" Target="https://thumbcdn.com/splash/3oa7byqds6jsu1we.jpg" TargetMode="External"/><Relationship Id="rId2190" Type="http://schemas.openxmlformats.org/officeDocument/2006/relationships/hyperlink" Target="https://thumbcdn.com/splash/uju3yg600h1dgevu.jpg" TargetMode="External"/><Relationship Id="rId162" Type="http://schemas.openxmlformats.org/officeDocument/2006/relationships/hyperlink" Target="https://thumbcdn.com/splash/ar7ax6za4rw80jbh.jpg" TargetMode="External"/><Relationship Id="rId467" Type="http://schemas.openxmlformats.org/officeDocument/2006/relationships/hyperlink" Target="https://thumbcdn.com/splash/6pg90zhyrrm5ukok.jpg" TargetMode="External"/><Relationship Id="rId1097" Type="http://schemas.openxmlformats.org/officeDocument/2006/relationships/hyperlink" Target="https://thumbcdn.com/splash/m1lqt2b075ub2qvh.jpg" TargetMode="External"/><Relationship Id="rId2050" Type="http://schemas.openxmlformats.org/officeDocument/2006/relationships/hyperlink" Target="https://thumbcdn.com/splash/o7cjs92wwrgit9pw.jpg" TargetMode="External"/><Relationship Id="rId2148" Type="http://schemas.openxmlformats.org/officeDocument/2006/relationships/hyperlink" Target="https://thumbcdn.com/splash/hqjw7tmdaesr03ld.jpg" TargetMode="External"/><Relationship Id="rId674" Type="http://schemas.openxmlformats.org/officeDocument/2006/relationships/hyperlink" Target="https://thumbcdn.com/splash/ha9g6i1h24ui998w.jpg" TargetMode="External"/><Relationship Id="rId881" Type="http://schemas.openxmlformats.org/officeDocument/2006/relationships/hyperlink" Target="https://thumbcdn.com/splash/i6m74wrke7z1ldcn.jpg" TargetMode="External"/><Relationship Id="rId979" Type="http://schemas.openxmlformats.org/officeDocument/2006/relationships/hyperlink" Target="https://thumbcdn.com/splash/9q9cvo5ddfo63a50.jpg" TargetMode="External"/><Relationship Id="rId327" Type="http://schemas.openxmlformats.org/officeDocument/2006/relationships/hyperlink" Target="https://thumbcdn.com/splash/jec7d26cs9nm8whg.jpg" TargetMode="External"/><Relationship Id="rId534" Type="http://schemas.openxmlformats.org/officeDocument/2006/relationships/hyperlink" Target="https://thumbcdn.com/splash/g5o8vbv5gghx7cjv.jpg" TargetMode="External"/><Relationship Id="rId741" Type="http://schemas.openxmlformats.org/officeDocument/2006/relationships/hyperlink" Target="https://thumbcdn.com/splash/irqgxgqnyjwiudnp.jpg" TargetMode="External"/><Relationship Id="rId839" Type="http://schemas.openxmlformats.org/officeDocument/2006/relationships/hyperlink" Target="https://thumbcdn.com/splash/7s6zu1gltnqdecvp.jpg" TargetMode="External"/><Relationship Id="rId1164" Type="http://schemas.openxmlformats.org/officeDocument/2006/relationships/hyperlink" Target="https://thumbcdn.com/splash/xc0pjhxpnlna95fz.jpg" TargetMode="External"/><Relationship Id="rId1371" Type="http://schemas.openxmlformats.org/officeDocument/2006/relationships/hyperlink" Target="https://thumbcdn.com/splash/xsf3opf9xxd3m6r9.jpg" TargetMode="External"/><Relationship Id="rId1469" Type="http://schemas.openxmlformats.org/officeDocument/2006/relationships/hyperlink" Target="https://thumbcdn.com/splash/qwqebu7fz5coxng9.jpg" TargetMode="External"/><Relationship Id="rId2008" Type="http://schemas.openxmlformats.org/officeDocument/2006/relationships/hyperlink" Target="https://thumbcdn.com/splash/qv8b6ykbnypx10hr.jpg" TargetMode="External"/><Relationship Id="rId2215" Type="http://schemas.openxmlformats.org/officeDocument/2006/relationships/hyperlink" Target="https://thumbcdn.com/splash/ihmcb37c67chi2d0.jpg" TargetMode="External"/><Relationship Id="rId601" Type="http://schemas.openxmlformats.org/officeDocument/2006/relationships/hyperlink" Target="https://thumbcdn.com/splash/xov75zlm1xe4jmup.jpg" TargetMode="External"/><Relationship Id="rId1024" Type="http://schemas.openxmlformats.org/officeDocument/2006/relationships/hyperlink" Target="https://thumbcdn.com/splash/3s3ndrhtcostunqu.jpg" TargetMode="External"/><Relationship Id="rId1231" Type="http://schemas.openxmlformats.org/officeDocument/2006/relationships/hyperlink" Target="https://thumbcdn.com/splash/ehcppw649yr8stfx.jpg" TargetMode="External"/><Relationship Id="rId1676" Type="http://schemas.openxmlformats.org/officeDocument/2006/relationships/hyperlink" Target="https://thumbcdn.com/splash/ml4f8rhhdnbsefbf.jpg" TargetMode="External"/><Relationship Id="rId1883" Type="http://schemas.openxmlformats.org/officeDocument/2006/relationships/hyperlink" Target="https://thumbcdn.com/splash/hu7l5ajvt2dfsnz7.jpg" TargetMode="External"/><Relationship Id="rId906" Type="http://schemas.openxmlformats.org/officeDocument/2006/relationships/hyperlink" Target="https://thumbcdn.com/splash/k8w2x0bpeko7e1bm.jpg" TargetMode="External"/><Relationship Id="rId1329" Type="http://schemas.openxmlformats.org/officeDocument/2006/relationships/hyperlink" Target="https://thumbcdn.com/splash/tstfiqrw52kwp4bs.jpg" TargetMode="External"/><Relationship Id="rId1536" Type="http://schemas.openxmlformats.org/officeDocument/2006/relationships/hyperlink" Target="https://thumbcdn.com/splash/7gwmuwp221ev66yb.jpg" TargetMode="External"/><Relationship Id="rId1743" Type="http://schemas.openxmlformats.org/officeDocument/2006/relationships/hyperlink" Target="https://thumbcdn.com/splash/sa08hvqvb0u2agtx.jpg" TargetMode="External"/><Relationship Id="rId1950" Type="http://schemas.openxmlformats.org/officeDocument/2006/relationships/hyperlink" Target="https://thumbcdn.com/splash/8q29i84kcyjyzhmm.jpg" TargetMode="External"/><Relationship Id="rId35" Type="http://schemas.openxmlformats.org/officeDocument/2006/relationships/hyperlink" Target="https://thumbcdn.com/splash/uzkraixfx28fkn6x.jpg" TargetMode="External"/><Relationship Id="rId1603" Type="http://schemas.openxmlformats.org/officeDocument/2006/relationships/hyperlink" Target="https://thumbcdn.com/splash/ipfwshp3zbtobfxs.jpg" TargetMode="External"/><Relationship Id="rId1810" Type="http://schemas.openxmlformats.org/officeDocument/2006/relationships/hyperlink" Target="https://thumbcdn.com/splash/0hhab86aivu885t4.jpg" TargetMode="External"/><Relationship Id="rId184" Type="http://schemas.openxmlformats.org/officeDocument/2006/relationships/hyperlink" Target="https://thumbcdn.com/splash/j23glorvw2sewo1i.jpg" TargetMode="External"/><Relationship Id="rId391" Type="http://schemas.openxmlformats.org/officeDocument/2006/relationships/hyperlink" Target="https://thumbcdn.com/splash/o88gup3id9es0i1q.jpg" TargetMode="External"/><Relationship Id="rId1908" Type="http://schemas.openxmlformats.org/officeDocument/2006/relationships/hyperlink" Target="https://thumbcdn.com/splash/kxpni0z91q4bjv0s.jpg" TargetMode="External"/><Relationship Id="rId2072" Type="http://schemas.openxmlformats.org/officeDocument/2006/relationships/hyperlink" Target="https://thumbcdn.com/splash/um91ivuk7ofmw9hb.jpg" TargetMode="External"/><Relationship Id="rId251" Type="http://schemas.openxmlformats.org/officeDocument/2006/relationships/hyperlink" Target="https://thumbcdn.com/splash/tfodf7lm49rywlli.jpg" TargetMode="External"/><Relationship Id="rId489" Type="http://schemas.openxmlformats.org/officeDocument/2006/relationships/hyperlink" Target="https://thumbcdn.com/splash/um8iv4iz9ikfpiz2.jpg" TargetMode="External"/><Relationship Id="rId696" Type="http://schemas.openxmlformats.org/officeDocument/2006/relationships/hyperlink" Target="https://thumbcdn.com/splash/kkao4fq4e4e4gxa4.jpg" TargetMode="External"/><Relationship Id="rId349" Type="http://schemas.openxmlformats.org/officeDocument/2006/relationships/hyperlink" Target="https://thumbcdn.com/splash/frne91yyo69ac0x7.jpg" TargetMode="External"/><Relationship Id="rId556" Type="http://schemas.openxmlformats.org/officeDocument/2006/relationships/hyperlink" Target="https://thumbcdn.com/splash/wiioqq7zaaw34298.jpg" TargetMode="External"/><Relationship Id="rId763" Type="http://schemas.openxmlformats.org/officeDocument/2006/relationships/hyperlink" Target="https://thumbcdn.com/splash/s3ix0c51f4s0taiu.jpg" TargetMode="External"/><Relationship Id="rId1186" Type="http://schemas.openxmlformats.org/officeDocument/2006/relationships/hyperlink" Target="https://thumbcdn.com/splash/4nrollqlulh43dgb.jpg" TargetMode="External"/><Relationship Id="rId1393" Type="http://schemas.openxmlformats.org/officeDocument/2006/relationships/hyperlink" Target="https://thumbcdn.com/splash/ahu3glw6x4qo3k1q.jpg" TargetMode="External"/><Relationship Id="rId2237" Type="http://schemas.openxmlformats.org/officeDocument/2006/relationships/hyperlink" Target="https://thumbcdn.com/splash/grl4g2l8ac99l15s.jpg" TargetMode="External"/><Relationship Id="rId111" Type="http://schemas.openxmlformats.org/officeDocument/2006/relationships/hyperlink" Target="https://thumbcdn.com/splash/ixabflwrseb9eswg.jpg" TargetMode="External"/><Relationship Id="rId209" Type="http://schemas.openxmlformats.org/officeDocument/2006/relationships/hyperlink" Target="https://thumbcdn.com/splash/kmp5i56v25irz1qe.jpg" TargetMode="External"/><Relationship Id="rId416" Type="http://schemas.openxmlformats.org/officeDocument/2006/relationships/hyperlink" Target="https://thumbcdn.com/splash/2v7c9ns9x5xvnymt.jpg" TargetMode="External"/><Relationship Id="rId970" Type="http://schemas.openxmlformats.org/officeDocument/2006/relationships/hyperlink" Target="https://thumbcdn.com/splash/uf819or1ezzp7lgr.jpg" TargetMode="External"/><Relationship Id="rId1046" Type="http://schemas.openxmlformats.org/officeDocument/2006/relationships/hyperlink" Target="https://thumbcdn.com/splash/58zczzoyjlk3bpkw.jpg" TargetMode="External"/><Relationship Id="rId1253" Type="http://schemas.openxmlformats.org/officeDocument/2006/relationships/hyperlink" Target="https://thumbcdn.com/splash/5k6dk6bnu85vqzpb.jpg" TargetMode="External"/><Relationship Id="rId1698" Type="http://schemas.openxmlformats.org/officeDocument/2006/relationships/hyperlink" Target="https://thumbcdn.com/splash/8fk737jl4pxpi5qa.jpg" TargetMode="External"/><Relationship Id="rId623" Type="http://schemas.openxmlformats.org/officeDocument/2006/relationships/hyperlink" Target="https://thumbcdn.com/splash/sxkz110be8lhery4.jpg" TargetMode="External"/><Relationship Id="rId830" Type="http://schemas.openxmlformats.org/officeDocument/2006/relationships/hyperlink" Target="https://thumbcdn.com/splash/8h4421j85vqqz3o8.jpg" TargetMode="External"/><Relationship Id="rId928" Type="http://schemas.openxmlformats.org/officeDocument/2006/relationships/hyperlink" Target="https://thumbcdn.com/splash/woqc086g1r1cvhhy.jpg" TargetMode="External"/><Relationship Id="rId1460" Type="http://schemas.openxmlformats.org/officeDocument/2006/relationships/hyperlink" Target="https://thumbcdn.com/splash/l94ke6npczfmr8oj.jpg" TargetMode="External"/><Relationship Id="rId1558" Type="http://schemas.openxmlformats.org/officeDocument/2006/relationships/hyperlink" Target="https://thumbcdn.com/splash/wiioqq7zaaw34298.jpg" TargetMode="External"/><Relationship Id="rId1765" Type="http://schemas.openxmlformats.org/officeDocument/2006/relationships/hyperlink" Target="https://thumbcdn.com/splash/pdv5glxeuhram1er.jpg" TargetMode="External"/><Relationship Id="rId57" Type="http://schemas.openxmlformats.org/officeDocument/2006/relationships/hyperlink" Target="https://thumbcdn.com/splash/pby6fpkg6a14s1uc.jpg" TargetMode="External"/><Relationship Id="rId1113" Type="http://schemas.openxmlformats.org/officeDocument/2006/relationships/hyperlink" Target="https://thumbcdn.com/splash/c82u0xp5izmm75f1.jpg" TargetMode="External"/><Relationship Id="rId1320" Type="http://schemas.openxmlformats.org/officeDocument/2006/relationships/hyperlink" Target="https://thumbcdn.com/splash/t7e87o23cfep4ob5.jpg" TargetMode="External"/><Relationship Id="rId1418" Type="http://schemas.openxmlformats.org/officeDocument/2006/relationships/hyperlink" Target="https://thumbcdn.com/splash/4fplhpz4xkh2a309.jpg" TargetMode="External"/><Relationship Id="rId1972" Type="http://schemas.openxmlformats.org/officeDocument/2006/relationships/hyperlink" Target="https://thumbcdn.com/splash/l1olo1aa723hd9y3.jpg" TargetMode="External"/><Relationship Id="rId1625" Type="http://schemas.openxmlformats.org/officeDocument/2006/relationships/hyperlink" Target="https://thumbcdn.com/splash/x6com11pe57sn1iz.jpg" TargetMode="External"/><Relationship Id="rId1832" Type="http://schemas.openxmlformats.org/officeDocument/2006/relationships/hyperlink" Target="https://thumbcdn.com/splash/8bm4q1745e3ij9lt.jpg" TargetMode="External"/><Relationship Id="rId2094" Type="http://schemas.openxmlformats.org/officeDocument/2006/relationships/hyperlink" Target="https://thumbcdn.com/splash/4w5z2qdp95327v9x.jpg" TargetMode="External"/><Relationship Id="rId273" Type="http://schemas.openxmlformats.org/officeDocument/2006/relationships/hyperlink" Target="https://thumbcdn.com/splash/b9pseadi8ge0ejon.jpg" TargetMode="External"/><Relationship Id="rId480" Type="http://schemas.openxmlformats.org/officeDocument/2006/relationships/hyperlink" Target="https://thumbcdn.com/splash/8j6mxovmo70m00l1.jpg" TargetMode="External"/><Relationship Id="rId2161" Type="http://schemas.openxmlformats.org/officeDocument/2006/relationships/hyperlink" Target="https://thumbcdn.com/splash/ka4f5hvw8o10wnmj.jpg" TargetMode="External"/><Relationship Id="rId133" Type="http://schemas.openxmlformats.org/officeDocument/2006/relationships/hyperlink" Target="https://thumbcdn.com/splash/msjiuzzfd7wpmzv4.jpg" TargetMode="External"/><Relationship Id="rId340" Type="http://schemas.openxmlformats.org/officeDocument/2006/relationships/hyperlink" Target="https://thumbcdn.com/splash/2202e6q87pzza8s9.jpg" TargetMode="External"/><Relationship Id="rId578" Type="http://schemas.openxmlformats.org/officeDocument/2006/relationships/hyperlink" Target="https://thumbcdn.com/splash/gedxoxh5uuvoeuv2.jpg" TargetMode="External"/><Relationship Id="rId785" Type="http://schemas.openxmlformats.org/officeDocument/2006/relationships/hyperlink" Target="https://thumbcdn.com/splash/5fm6eieksre8pefh.jpg" TargetMode="External"/><Relationship Id="rId992" Type="http://schemas.openxmlformats.org/officeDocument/2006/relationships/hyperlink" Target="https://thumbcdn.com/splash/ornj44p5jdcpn8iy.jpg" TargetMode="External"/><Relationship Id="rId2021" Type="http://schemas.openxmlformats.org/officeDocument/2006/relationships/hyperlink" Target="https://thumbcdn.com/splash/d1t1uc8uwr8lzuxs.jpg" TargetMode="External"/><Relationship Id="rId2259" Type="http://schemas.openxmlformats.org/officeDocument/2006/relationships/hyperlink" Target="https://thumbcdn.com/splash/jmbq6ogq1ki20vj4.jpg" TargetMode="External"/><Relationship Id="rId200" Type="http://schemas.openxmlformats.org/officeDocument/2006/relationships/hyperlink" Target="https://thumbcdn.com/splash/xov75zlm1xe4jmup.jpg" TargetMode="External"/><Relationship Id="rId438" Type="http://schemas.openxmlformats.org/officeDocument/2006/relationships/hyperlink" Target="https://thumbcdn.com/splash/m79c2e5wxeg7bxdu.jpg" TargetMode="External"/><Relationship Id="rId645" Type="http://schemas.openxmlformats.org/officeDocument/2006/relationships/hyperlink" Target="https://thumbcdn.com/splash/50z7izc571i6jho2.jpg" TargetMode="External"/><Relationship Id="rId852" Type="http://schemas.openxmlformats.org/officeDocument/2006/relationships/hyperlink" Target="https://thumbcdn.com/splash/8q6s3tejr7wh0jl7.jpg" TargetMode="External"/><Relationship Id="rId1068" Type="http://schemas.openxmlformats.org/officeDocument/2006/relationships/hyperlink" Target="https://thumbcdn.com/splash/yyrs9yevekuht3ny.jpg" TargetMode="External"/><Relationship Id="rId1275" Type="http://schemas.openxmlformats.org/officeDocument/2006/relationships/hyperlink" Target="https://thumbcdn.com/splash/2smsr36td11u2ap8.jpg" TargetMode="External"/><Relationship Id="rId1482" Type="http://schemas.openxmlformats.org/officeDocument/2006/relationships/hyperlink" Target="https://thumbcdn.com/splash/iyivkzaeh0pg31g9.jpg" TargetMode="External"/><Relationship Id="rId2119" Type="http://schemas.openxmlformats.org/officeDocument/2006/relationships/hyperlink" Target="https://thumbcdn.com/splash/ftxxh36yfa0c5zi8.jpg" TargetMode="External"/><Relationship Id="rId505" Type="http://schemas.openxmlformats.org/officeDocument/2006/relationships/hyperlink" Target="https://thumbcdn.com/splash/f09fepcizhq3ltry.jpg" TargetMode="External"/><Relationship Id="rId712" Type="http://schemas.openxmlformats.org/officeDocument/2006/relationships/hyperlink" Target="https://thumbcdn.com/splash/zjgz27ur0a1p13ev.jpg" TargetMode="External"/><Relationship Id="rId1135" Type="http://schemas.openxmlformats.org/officeDocument/2006/relationships/hyperlink" Target="https://thumbcdn.com/splash/36pkp0omyyh1ugl0.jpg" TargetMode="External"/><Relationship Id="rId1342" Type="http://schemas.openxmlformats.org/officeDocument/2006/relationships/hyperlink" Target="https://thumbcdn.com/splash/fo6uqz2a0jknc2nf.jpg" TargetMode="External"/><Relationship Id="rId1787" Type="http://schemas.openxmlformats.org/officeDocument/2006/relationships/hyperlink" Target="https://thumbcdn.com/splash/hjxsgo5hprdsqu4n.jpg" TargetMode="External"/><Relationship Id="rId1994" Type="http://schemas.openxmlformats.org/officeDocument/2006/relationships/hyperlink" Target="https://thumbcdn.com/splash/88je6132rtiu94ii.jpg" TargetMode="External"/><Relationship Id="rId79" Type="http://schemas.openxmlformats.org/officeDocument/2006/relationships/hyperlink" Target="https://thumbcdn.com/splash/nhr78zdqew9xjg45.jpg" TargetMode="External"/><Relationship Id="rId1202" Type="http://schemas.openxmlformats.org/officeDocument/2006/relationships/hyperlink" Target="https://thumbcdn.com/splash/3g6g5ic52aizi9s7.jpg" TargetMode="External"/><Relationship Id="rId1647" Type="http://schemas.openxmlformats.org/officeDocument/2006/relationships/hyperlink" Target="https://thumbcdn.com/splash/o12r88w9147f79w9.jpg" TargetMode="External"/><Relationship Id="rId1854" Type="http://schemas.openxmlformats.org/officeDocument/2006/relationships/hyperlink" Target="https://thumbcdn.com/splash/6kayceuq5e14irrf.jpg" TargetMode="External"/><Relationship Id="rId1507" Type="http://schemas.openxmlformats.org/officeDocument/2006/relationships/hyperlink" Target="https://thumbcdn.com/splash/3yudjjyh0fq5x25r.jpg" TargetMode="External"/><Relationship Id="rId1714" Type="http://schemas.openxmlformats.org/officeDocument/2006/relationships/hyperlink" Target="https://thumbcdn.com/splash/mehil24tm54oo3qp.jpg" TargetMode="External"/><Relationship Id="rId295" Type="http://schemas.openxmlformats.org/officeDocument/2006/relationships/hyperlink" Target="https://thumbcdn.com/splash/eemxyeel28fyw3ax.jpg" TargetMode="External"/><Relationship Id="rId1921" Type="http://schemas.openxmlformats.org/officeDocument/2006/relationships/hyperlink" Target="https://thumbcdn.com/splash/clpi6ab7o163ib6k.jpg" TargetMode="External"/><Relationship Id="rId2183" Type="http://schemas.openxmlformats.org/officeDocument/2006/relationships/hyperlink" Target="https://thumbcdn.com/splash/nhqnov7n82joj541.jpg" TargetMode="External"/><Relationship Id="rId155" Type="http://schemas.openxmlformats.org/officeDocument/2006/relationships/hyperlink" Target="https://thumbcdn.com/splash/ccoify2z7qd9ivip.jpg" TargetMode="External"/><Relationship Id="rId362" Type="http://schemas.openxmlformats.org/officeDocument/2006/relationships/hyperlink" Target="https://thumbcdn.com/splash/ui1wsa4aroqm6gpk.jpg" TargetMode="External"/><Relationship Id="rId1297" Type="http://schemas.openxmlformats.org/officeDocument/2006/relationships/hyperlink" Target="https://thumbcdn.com/splash/ecxlhch7418oz5iu.jpg" TargetMode="External"/><Relationship Id="rId2043" Type="http://schemas.openxmlformats.org/officeDocument/2006/relationships/hyperlink" Target="https://thumbcdn.com/splash/3bxvo938072ddv7g.jpg" TargetMode="External"/><Relationship Id="rId2250" Type="http://schemas.openxmlformats.org/officeDocument/2006/relationships/hyperlink" Target="https://thumbcdn.com/splash/pve6hbs0ms7kvpqi.jpg" TargetMode="External"/><Relationship Id="rId222" Type="http://schemas.openxmlformats.org/officeDocument/2006/relationships/hyperlink" Target="https://thumbcdn.com/splash/ajlojk7490gwodfq.jpg" TargetMode="External"/><Relationship Id="rId667" Type="http://schemas.openxmlformats.org/officeDocument/2006/relationships/hyperlink" Target="https://thumbcdn.com/splash/g2t1xiqcn0glw6oz.jpg" TargetMode="External"/><Relationship Id="rId874" Type="http://schemas.openxmlformats.org/officeDocument/2006/relationships/hyperlink" Target="https://thumbcdn.com/splash/yjcb74xsr9ls26uy.jpg" TargetMode="External"/><Relationship Id="rId2110" Type="http://schemas.openxmlformats.org/officeDocument/2006/relationships/hyperlink" Target="https://thumbcdn.com/splash/q2e5dxbd4ydekbym.jpg" TargetMode="External"/><Relationship Id="rId527" Type="http://schemas.openxmlformats.org/officeDocument/2006/relationships/hyperlink" Target="https://thumbcdn.com/splash/7gwmuwp221ev66yb.jpg" TargetMode="External"/><Relationship Id="rId734" Type="http://schemas.openxmlformats.org/officeDocument/2006/relationships/hyperlink" Target="https://thumbcdn.com/splash/ectuslk7tqj3vzyf.jpg" TargetMode="External"/><Relationship Id="rId941" Type="http://schemas.openxmlformats.org/officeDocument/2006/relationships/hyperlink" Target="https://thumbcdn.com/splash/xjeec9y2mha4te94.jpg" TargetMode="External"/><Relationship Id="rId1157" Type="http://schemas.openxmlformats.org/officeDocument/2006/relationships/hyperlink" Target="https://thumbcdn.com/splash/0b1gv3ajimjraxys.jpg" TargetMode="External"/><Relationship Id="rId1364" Type="http://schemas.openxmlformats.org/officeDocument/2006/relationships/hyperlink" Target="https://thumbcdn.com/splash/vjagopnaktg8o82m.jpg" TargetMode="External"/><Relationship Id="rId1571" Type="http://schemas.openxmlformats.org/officeDocument/2006/relationships/hyperlink" Target="https://thumbcdn.com/splash/brp63q91an3w6iq1.jpg" TargetMode="External"/><Relationship Id="rId2208" Type="http://schemas.openxmlformats.org/officeDocument/2006/relationships/hyperlink" Target="https://thumbcdn.com/splash/hyak0jd89a234w0o.jpg" TargetMode="External"/><Relationship Id="rId70" Type="http://schemas.openxmlformats.org/officeDocument/2006/relationships/hyperlink" Target="https://thumbcdn.com/splash/kmp5i56v25irz1qe.jpg" TargetMode="External"/><Relationship Id="rId801" Type="http://schemas.openxmlformats.org/officeDocument/2006/relationships/hyperlink" Target="https://thumbcdn.com/splash/3r8oemjwnmv70z19.jpg" TargetMode="External"/><Relationship Id="rId1017" Type="http://schemas.openxmlformats.org/officeDocument/2006/relationships/hyperlink" Target="https://thumbcdn.com/splash/38l7pwzfxakqqa16.jpg" TargetMode="External"/><Relationship Id="rId1224" Type="http://schemas.openxmlformats.org/officeDocument/2006/relationships/hyperlink" Target="https://thumbcdn.com/splash/5aacz26yte9jhv5o.jpg" TargetMode="External"/><Relationship Id="rId1431" Type="http://schemas.openxmlformats.org/officeDocument/2006/relationships/hyperlink" Target="https://thumbcdn.com/splash/9eusu3gbs4sl4mbp.jpg" TargetMode="External"/><Relationship Id="rId1669" Type="http://schemas.openxmlformats.org/officeDocument/2006/relationships/hyperlink" Target="https://thumbcdn.com/splash/al5cyjvfvycoily4.jpg" TargetMode="External"/><Relationship Id="rId1876" Type="http://schemas.openxmlformats.org/officeDocument/2006/relationships/hyperlink" Target="https://thumbcdn.com/splash/100mujhg9xqv8or8.jpg" TargetMode="External"/><Relationship Id="rId1529" Type="http://schemas.openxmlformats.org/officeDocument/2006/relationships/hyperlink" Target="https://thumbcdn.com/splash/4xo0ah6useo2sy1f.jpg" TargetMode="External"/><Relationship Id="rId1736" Type="http://schemas.openxmlformats.org/officeDocument/2006/relationships/hyperlink" Target="https://thumbcdn.com/splash/jg86lkssvytg5c0w.jpg" TargetMode="External"/><Relationship Id="rId1943" Type="http://schemas.openxmlformats.org/officeDocument/2006/relationships/hyperlink" Target="https://thumbcdn.com/splash/e8y88mls7xhaio7u.jpg" TargetMode="External"/><Relationship Id="rId28" Type="http://schemas.openxmlformats.org/officeDocument/2006/relationships/hyperlink" Target="https://thumbcdn.com/splash/skcxf8vpx9h7fkfg.jpg" TargetMode="External"/><Relationship Id="rId1803" Type="http://schemas.openxmlformats.org/officeDocument/2006/relationships/hyperlink" Target="https://thumbcdn.com/splash/6r8klgrhybrtp30d.jpg" TargetMode="External"/><Relationship Id="rId177" Type="http://schemas.openxmlformats.org/officeDocument/2006/relationships/hyperlink" Target="https://thumbcdn.com/splash/y23zpbl44cchimc5.jpg" TargetMode="External"/><Relationship Id="rId384" Type="http://schemas.openxmlformats.org/officeDocument/2006/relationships/hyperlink" Target="https://thumbcdn.com/splash/mi58p1zgbk9upijz.jpg" TargetMode="External"/><Relationship Id="rId591" Type="http://schemas.openxmlformats.org/officeDocument/2006/relationships/hyperlink" Target="https://thumbcdn.com/splash/tvo833qbzttzfufm.jpg" TargetMode="External"/><Relationship Id="rId2065" Type="http://schemas.openxmlformats.org/officeDocument/2006/relationships/hyperlink" Target="https://thumbcdn.com/splash/3mh3j9hkhzv0yviw.jpg" TargetMode="External"/><Relationship Id="rId2272" Type="http://schemas.openxmlformats.org/officeDocument/2006/relationships/hyperlink" Target="https://thumbcdn.com/splash/cj5tdau6x95qjpsp.jpg" TargetMode="External"/><Relationship Id="rId244" Type="http://schemas.openxmlformats.org/officeDocument/2006/relationships/hyperlink" Target="https://thumbcdn.com/splash/t4wh45rpe7ovgmkl.jpg" TargetMode="External"/><Relationship Id="rId689" Type="http://schemas.openxmlformats.org/officeDocument/2006/relationships/hyperlink" Target="https://thumbcdn.com/splash/z67ag69h3z4quban.jpg" TargetMode="External"/><Relationship Id="rId896" Type="http://schemas.openxmlformats.org/officeDocument/2006/relationships/hyperlink" Target="https://thumbcdn.com/splash/28esjbvhmyczdnxt.jpg" TargetMode="External"/><Relationship Id="rId1081" Type="http://schemas.openxmlformats.org/officeDocument/2006/relationships/hyperlink" Target="https://thumbcdn.com/splash/onfeibcqgx55pzji.jpg" TargetMode="External"/><Relationship Id="rId451" Type="http://schemas.openxmlformats.org/officeDocument/2006/relationships/hyperlink" Target="https://thumbcdn.com/splash/zp02jh1flpsq549f.jpg" TargetMode="External"/><Relationship Id="rId549" Type="http://schemas.openxmlformats.org/officeDocument/2006/relationships/hyperlink" Target="https://thumbcdn.com/splash/ias8lsob7ugtqb6o.jpg" TargetMode="External"/><Relationship Id="rId756" Type="http://schemas.openxmlformats.org/officeDocument/2006/relationships/hyperlink" Target="https://thumbcdn.com/splash/k9ro3y0h8szbm2ew.jpg" TargetMode="External"/><Relationship Id="rId1179" Type="http://schemas.openxmlformats.org/officeDocument/2006/relationships/hyperlink" Target="https://thumbcdn.com/splash/5428fs8r6ewhxx6w.jpg" TargetMode="External"/><Relationship Id="rId1386" Type="http://schemas.openxmlformats.org/officeDocument/2006/relationships/hyperlink" Target="https://thumbcdn.com/splash/uypcrow1mo1yz7sf.jpg" TargetMode="External"/><Relationship Id="rId1593" Type="http://schemas.openxmlformats.org/officeDocument/2006/relationships/hyperlink" Target="https://thumbcdn.com/splash/aaaxu9pv478cnlcg.jpg" TargetMode="External"/><Relationship Id="rId2132" Type="http://schemas.openxmlformats.org/officeDocument/2006/relationships/hyperlink" Target="https://thumbcdn.com/splash/yg8p7gthzdef9gtx.jpg" TargetMode="External"/><Relationship Id="rId104" Type="http://schemas.openxmlformats.org/officeDocument/2006/relationships/hyperlink" Target="https://thumbcdn.com/splash/vytx6v2zv2vv3jh7.jpg" TargetMode="External"/><Relationship Id="rId311" Type="http://schemas.openxmlformats.org/officeDocument/2006/relationships/hyperlink" Target="https://thumbcdn.com/splash/ks1qju9zwlzo5hzn.jpg" TargetMode="External"/><Relationship Id="rId409" Type="http://schemas.openxmlformats.org/officeDocument/2006/relationships/hyperlink" Target="https://thumbcdn.com/splash/arozad4n0snccuwj.jpg" TargetMode="External"/><Relationship Id="rId963" Type="http://schemas.openxmlformats.org/officeDocument/2006/relationships/hyperlink" Target="https://thumbcdn.com/splash/m4jm9iuql041pbz3.jpg" TargetMode="External"/><Relationship Id="rId1039" Type="http://schemas.openxmlformats.org/officeDocument/2006/relationships/hyperlink" Target="https://thumbcdn.com/splash/pbj1pg7sm7bizzuh.jpg" TargetMode="External"/><Relationship Id="rId1246" Type="http://schemas.openxmlformats.org/officeDocument/2006/relationships/hyperlink" Target="https://thumbcdn.com/splash/wycd9cqlh2ntmjkx.jpg" TargetMode="External"/><Relationship Id="rId1898" Type="http://schemas.openxmlformats.org/officeDocument/2006/relationships/hyperlink" Target="https://thumbcdn.com/splash/enz87g1yhw60uan9.jpg" TargetMode="External"/><Relationship Id="rId92" Type="http://schemas.openxmlformats.org/officeDocument/2006/relationships/hyperlink" Target="https://thumbcdn.com/splash/6l33pr5w6o5f46yx.jpg" TargetMode="External"/><Relationship Id="rId616" Type="http://schemas.openxmlformats.org/officeDocument/2006/relationships/hyperlink" Target="https://thumbcdn.com/splash/ipfwshp3zbtobfxs.jpg" TargetMode="External"/><Relationship Id="rId823" Type="http://schemas.openxmlformats.org/officeDocument/2006/relationships/hyperlink" Target="https://thumbcdn.com/splash/nlkbf5qpordg40uz.jpg" TargetMode="External"/><Relationship Id="rId1453" Type="http://schemas.openxmlformats.org/officeDocument/2006/relationships/hyperlink" Target="https://thumbcdn.com/splash/yjlsedr0u9kke3nn.jpg" TargetMode="External"/><Relationship Id="rId1660" Type="http://schemas.openxmlformats.org/officeDocument/2006/relationships/hyperlink" Target="https://thumbcdn.com/splash/jpqlppf3kq4xkx7g.jpg" TargetMode="External"/><Relationship Id="rId1758" Type="http://schemas.openxmlformats.org/officeDocument/2006/relationships/hyperlink" Target="https://thumbcdn.com/splash/nlkbf5qpordg40uz.jpg" TargetMode="External"/><Relationship Id="rId1106" Type="http://schemas.openxmlformats.org/officeDocument/2006/relationships/hyperlink" Target="https://thumbcdn.com/splash/yk4lplajzuuezeuh.jpg" TargetMode="External"/><Relationship Id="rId1313" Type="http://schemas.openxmlformats.org/officeDocument/2006/relationships/hyperlink" Target="https://thumbcdn.com/splash/m79c2e5wxeg7bxdu.jpg" TargetMode="External"/><Relationship Id="rId1520" Type="http://schemas.openxmlformats.org/officeDocument/2006/relationships/hyperlink" Target="https://thumbcdn.com/splash/gdfgcsg9aa3014ue.jpg" TargetMode="External"/><Relationship Id="rId1965" Type="http://schemas.openxmlformats.org/officeDocument/2006/relationships/hyperlink" Target="https://thumbcdn.com/splash/a0u6kndno5d3ytwf.jpg" TargetMode="External"/><Relationship Id="rId1618" Type="http://schemas.openxmlformats.org/officeDocument/2006/relationships/hyperlink" Target="https://thumbcdn.com/splash/qi77hk67znmrsk3h.jpg" TargetMode="External"/><Relationship Id="rId1825" Type="http://schemas.openxmlformats.org/officeDocument/2006/relationships/hyperlink" Target="https://thumbcdn.com/splash/r73xcfda1rf2k1r0.jpg" TargetMode="External"/><Relationship Id="rId199" Type="http://schemas.openxmlformats.org/officeDocument/2006/relationships/hyperlink" Target="https://thumbcdn.com/splash/xfkrro4gme2ssrpr.jpg" TargetMode="External"/><Relationship Id="rId2087" Type="http://schemas.openxmlformats.org/officeDocument/2006/relationships/hyperlink" Target="https://thumbcdn.com/splash/xaoiw8sz08h7a6di.jpg" TargetMode="External"/><Relationship Id="rId266" Type="http://schemas.openxmlformats.org/officeDocument/2006/relationships/hyperlink" Target="https://thumbcdn.com/splash/mekscrs094uqje38.jpg" TargetMode="External"/><Relationship Id="rId473" Type="http://schemas.openxmlformats.org/officeDocument/2006/relationships/hyperlink" Target="https://thumbcdn.com/splash/ncuvdr7eb6022vol.jpg" TargetMode="External"/><Relationship Id="rId680" Type="http://schemas.openxmlformats.org/officeDocument/2006/relationships/hyperlink" Target="https://thumbcdn.com/splash/kcp05ouodwcv86la.jpg" TargetMode="External"/><Relationship Id="rId2154" Type="http://schemas.openxmlformats.org/officeDocument/2006/relationships/hyperlink" Target="https://thumbcdn.com/splash/pqvvfsfwfxbyhfpu.jpg" TargetMode="External"/><Relationship Id="rId126" Type="http://schemas.openxmlformats.org/officeDocument/2006/relationships/hyperlink" Target="https://thumbcdn.com/splash/8uvav6rnlrihj7hq.jpg" TargetMode="External"/><Relationship Id="rId333" Type="http://schemas.openxmlformats.org/officeDocument/2006/relationships/hyperlink" Target="https://thumbcdn.com/splash/ixabflwrseb9eswg.jpg" TargetMode="External"/><Relationship Id="rId540" Type="http://schemas.openxmlformats.org/officeDocument/2006/relationships/hyperlink" Target="https://thumbcdn.com/splash/2q990cs129j8n5pb.jpg" TargetMode="External"/><Relationship Id="rId778" Type="http://schemas.openxmlformats.org/officeDocument/2006/relationships/hyperlink" Target="https://thumbcdn.com/splash/zdj5zhsnq5v4h87i.jpg" TargetMode="External"/><Relationship Id="rId985" Type="http://schemas.openxmlformats.org/officeDocument/2006/relationships/hyperlink" Target="https://thumbcdn.com/splash/22cc2en8ujyu6uq7.jpg" TargetMode="External"/><Relationship Id="rId1170" Type="http://schemas.openxmlformats.org/officeDocument/2006/relationships/hyperlink" Target="https://thumbcdn.com/splash/lu12fjwulg7f2ij3.jpg" TargetMode="External"/><Relationship Id="rId2014" Type="http://schemas.openxmlformats.org/officeDocument/2006/relationships/hyperlink" Target="https://thumbcdn.com/splash/xc0pjhxpnlna95fz.jpg" TargetMode="External"/><Relationship Id="rId2221" Type="http://schemas.openxmlformats.org/officeDocument/2006/relationships/hyperlink" Target="https://thumbcdn.com/splash/72xj8o0943w3r2r6.jpg" TargetMode="External"/><Relationship Id="rId638" Type="http://schemas.openxmlformats.org/officeDocument/2006/relationships/hyperlink" Target="https://thumbcdn.com/splash/6irzfhcffgnjzzqh.jpg" TargetMode="External"/><Relationship Id="rId845" Type="http://schemas.openxmlformats.org/officeDocument/2006/relationships/hyperlink" Target="https://thumbcdn.com/splash/y08ccj4yisss716m.jpg" TargetMode="External"/><Relationship Id="rId1030" Type="http://schemas.openxmlformats.org/officeDocument/2006/relationships/hyperlink" Target="https://thumbcdn.com/splash/1kcgmwkz7jc3olel.jpg" TargetMode="External"/><Relationship Id="rId1268" Type="http://schemas.openxmlformats.org/officeDocument/2006/relationships/hyperlink" Target="https://thumbcdn.com/splash/2mtcljl7iyp1fxgt.jpg" TargetMode="External"/><Relationship Id="rId1475" Type="http://schemas.openxmlformats.org/officeDocument/2006/relationships/hyperlink" Target="https://thumbcdn.com/splash/804ifn0ggr20ah6a.jpg" TargetMode="External"/><Relationship Id="rId1682" Type="http://schemas.openxmlformats.org/officeDocument/2006/relationships/hyperlink" Target="https://thumbcdn.com/splash/7x6ini63oa90z4uq.jpg" TargetMode="External"/><Relationship Id="rId400" Type="http://schemas.openxmlformats.org/officeDocument/2006/relationships/hyperlink" Target="https://thumbcdn.com/splash/c01n8ywiyslrei6d.jpg" TargetMode="External"/><Relationship Id="rId705" Type="http://schemas.openxmlformats.org/officeDocument/2006/relationships/hyperlink" Target="https://thumbcdn.com/splash/6mfnfp7bohpd02w7.jpg" TargetMode="External"/><Relationship Id="rId1128" Type="http://schemas.openxmlformats.org/officeDocument/2006/relationships/hyperlink" Target="https://thumbcdn.com/splash/sg6azgb7o3a1h1ge.jpg" TargetMode="External"/><Relationship Id="rId1335" Type="http://schemas.openxmlformats.org/officeDocument/2006/relationships/hyperlink" Target="https://thumbcdn.com/splash/ei0otncxii1jbuiw.jpg" TargetMode="External"/><Relationship Id="rId1542" Type="http://schemas.openxmlformats.org/officeDocument/2006/relationships/hyperlink" Target="https://thumbcdn.com/splash/1ir6geoxfwdtwlt9.jpg" TargetMode="External"/><Relationship Id="rId1987" Type="http://schemas.openxmlformats.org/officeDocument/2006/relationships/hyperlink" Target="https://thumbcdn.com/splash/sg6azgb7o3a1h1ge.jpg" TargetMode="External"/><Relationship Id="rId912" Type="http://schemas.openxmlformats.org/officeDocument/2006/relationships/hyperlink" Target="https://thumbcdn.com/splash/r73xcfda1rf2k1r0.jpg" TargetMode="External"/><Relationship Id="rId1847" Type="http://schemas.openxmlformats.org/officeDocument/2006/relationships/hyperlink" Target="https://thumbcdn.com/splash/h3ryg05cgh2io66u.jpg" TargetMode="External"/><Relationship Id="rId41" Type="http://schemas.openxmlformats.org/officeDocument/2006/relationships/hyperlink" Target="https://thumbcdn.com/splash/1c0lsvl548i19fuh.jpg" TargetMode="External"/><Relationship Id="rId1402" Type="http://schemas.openxmlformats.org/officeDocument/2006/relationships/hyperlink" Target="https://thumbcdn.com/splash/mxfdb2qrnysc1n1c.jpg" TargetMode="External"/><Relationship Id="rId1707" Type="http://schemas.openxmlformats.org/officeDocument/2006/relationships/hyperlink" Target="https://thumbcdn.com/splash/jprhxs9x54pvdyjo.jpg" TargetMode="External"/><Relationship Id="rId190" Type="http://schemas.openxmlformats.org/officeDocument/2006/relationships/hyperlink" Target="https://thumbcdn.com/splash/lfrftd6w5vhbnr2y.jpg" TargetMode="External"/><Relationship Id="rId288" Type="http://schemas.openxmlformats.org/officeDocument/2006/relationships/hyperlink" Target="https://thumbcdn.com/splash/vqqt3nybzsmxwrwq.jpg" TargetMode="External"/><Relationship Id="rId1914" Type="http://schemas.openxmlformats.org/officeDocument/2006/relationships/hyperlink" Target="https://thumbcdn.com/splash/1m072lb7phu8sfcf.jpg" TargetMode="External"/><Relationship Id="rId495" Type="http://schemas.openxmlformats.org/officeDocument/2006/relationships/hyperlink" Target="https://thumbcdn.com/splash/7mtpn2vndzk71cs2.jpg" TargetMode="External"/><Relationship Id="rId2176" Type="http://schemas.openxmlformats.org/officeDocument/2006/relationships/hyperlink" Target="https://thumbcdn.com/splash/9bnxv5qps3ft2c6k.jpg" TargetMode="External"/><Relationship Id="rId148" Type="http://schemas.openxmlformats.org/officeDocument/2006/relationships/hyperlink" Target="https://thumbcdn.com/splash/fdbrdu8uu2zerr30.jpg" TargetMode="External"/><Relationship Id="rId355" Type="http://schemas.openxmlformats.org/officeDocument/2006/relationships/hyperlink" Target="https://thumbcdn.com/splash/7f96ese3398tjzib.jpg" TargetMode="External"/><Relationship Id="rId562" Type="http://schemas.openxmlformats.org/officeDocument/2006/relationships/hyperlink" Target="https://thumbcdn.com/splash/dyjur4a3krct4ygz.jpg" TargetMode="External"/><Relationship Id="rId1192" Type="http://schemas.openxmlformats.org/officeDocument/2006/relationships/hyperlink" Target="https://thumbcdn.com/splash/j3jv7n4hfw71ph6f.jpg" TargetMode="External"/><Relationship Id="rId2036" Type="http://schemas.openxmlformats.org/officeDocument/2006/relationships/hyperlink" Target="https://thumbcdn.com/splash/pubtn8jbn8beb5tr.jpg" TargetMode="External"/><Relationship Id="rId2243" Type="http://schemas.openxmlformats.org/officeDocument/2006/relationships/hyperlink" Target="https://thumbcdn.com/splash/csnuqgb70zz489iv.jpg" TargetMode="External"/><Relationship Id="rId215" Type="http://schemas.openxmlformats.org/officeDocument/2006/relationships/hyperlink" Target="https://thumbcdn.com/splash/50z7izc571i6jho2.jpg" TargetMode="External"/><Relationship Id="rId422" Type="http://schemas.openxmlformats.org/officeDocument/2006/relationships/hyperlink" Target="https://thumbcdn.com/splash/3q1r5dqpglxbz51f.jpg" TargetMode="External"/><Relationship Id="rId867" Type="http://schemas.openxmlformats.org/officeDocument/2006/relationships/hyperlink" Target="https://thumbcdn.com/splash/1e7pbyle2i5mpel0.jpg" TargetMode="External"/><Relationship Id="rId1052" Type="http://schemas.openxmlformats.org/officeDocument/2006/relationships/hyperlink" Target="https://thumbcdn.com/splash/9r1eypojjtbx8ri9.jpg" TargetMode="External"/><Relationship Id="rId1497" Type="http://schemas.openxmlformats.org/officeDocument/2006/relationships/hyperlink" Target="https://thumbcdn.com/splash/ubn8gdjbr671q28f.jpg" TargetMode="External"/><Relationship Id="rId2103" Type="http://schemas.openxmlformats.org/officeDocument/2006/relationships/hyperlink" Target="https://thumbcdn.com/splash/akg6p95f09y5g7re.jpg" TargetMode="External"/><Relationship Id="rId727" Type="http://schemas.openxmlformats.org/officeDocument/2006/relationships/hyperlink" Target="https://thumbcdn.com/splash/5g7tu3qz2fqoln6d.jpg" TargetMode="External"/><Relationship Id="rId934" Type="http://schemas.openxmlformats.org/officeDocument/2006/relationships/hyperlink" Target="https://thumbcdn.com/splash/u3zwtn14pxgix1dp.jpg" TargetMode="External"/><Relationship Id="rId1357" Type="http://schemas.openxmlformats.org/officeDocument/2006/relationships/hyperlink" Target="https://thumbcdn.com/splash/gupfu4iskqewws11.jpg" TargetMode="External"/><Relationship Id="rId1564" Type="http://schemas.openxmlformats.org/officeDocument/2006/relationships/hyperlink" Target="https://thumbcdn.com/splash/wure0a6imdb9xmgf.jpg" TargetMode="External"/><Relationship Id="rId1771" Type="http://schemas.openxmlformats.org/officeDocument/2006/relationships/hyperlink" Target="https://thumbcdn.com/splash/bjyxkehdatn9tgaw.jpg" TargetMode="External"/><Relationship Id="rId63" Type="http://schemas.openxmlformats.org/officeDocument/2006/relationships/hyperlink" Target="https://thumbcdn.com/splash/vd3694b5x9jgtma7.jpg" TargetMode="External"/><Relationship Id="rId1217" Type="http://schemas.openxmlformats.org/officeDocument/2006/relationships/hyperlink" Target="https://thumbcdn.com/splash/wrwcneddlwd202wd.jpg" TargetMode="External"/><Relationship Id="rId1424" Type="http://schemas.openxmlformats.org/officeDocument/2006/relationships/hyperlink" Target="https://thumbcdn.com/splash/s7etip2tjldzj7w0.jpg" TargetMode="External"/><Relationship Id="rId1631" Type="http://schemas.openxmlformats.org/officeDocument/2006/relationships/hyperlink" Target="https://thumbcdn.com/splash/masd493yym2yxhb3.jpg" TargetMode="External"/><Relationship Id="rId1869" Type="http://schemas.openxmlformats.org/officeDocument/2006/relationships/hyperlink" Target="https://thumbcdn.com/splash/jott6n0mjzkxxw13.jpg" TargetMode="External"/><Relationship Id="rId1729" Type="http://schemas.openxmlformats.org/officeDocument/2006/relationships/hyperlink" Target="https://thumbcdn.com/splash/cu5b9pp5mdbqyjyt.jpg" TargetMode="External"/><Relationship Id="rId1936" Type="http://schemas.openxmlformats.org/officeDocument/2006/relationships/hyperlink" Target="https://thumbcdn.com/splash/mu82p0nzbg8ur53y.jpg" TargetMode="External"/><Relationship Id="rId2198" Type="http://schemas.openxmlformats.org/officeDocument/2006/relationships/hyperlink" Target="https://thumbcdn.com/splash/emd9kc32tmryincb.jpg" TargetMode="External"/><Relationship Id="rId377" Type="http://schemas.openxmlformats.org/officeDocument/2006/relationships/hyperlink" Target="https://thumbcdn.com/splash/8uvav6rnlrihj7hq.jpg" TargetMode="External"/><Relationship Id="rId584" Type="http://schemas.openxmlformats.org/officeDocument/2006/relationships/hyperlink" Target="https://thumbcdn.com/splash/6taalshx6nhs7yvr.jpg" TargetMode="External"/><Relationship Id="rId2058" Type="http://schemas.openxmlformats.org/officeDocument/2006/relationships/hyperlink" Target="https://thumbcdn.com/splash/8t2chprzzw8pcfkm.jpg" TargetMode="External"/><Relationship Id="rId2265" Type="http://schemas.openxmlformats.org/officeDocument/2006/relationships/hyperlink" Target="https://thumbcdn.com/splash/byycq32k4n9n7vl6.jpg" TargetMode="External"/><Relationship Id="rId5" Type="http://schemas.openxmlformats.org/officeDocument/2006/relationships/hyperlink" Target="https://thumbcdn.com/splash/wkufiau460owcq76.jpg" TargetMode="External"/><Relationship Id="rId237" Type="http://schemas.openxmlformats.org/officeDocument/2006/relationships/hyperlink" Target="https://thumbcdn.com/splash/nhr78zdqew9xjg45.jpg" TargetMode="External"/><Relationship Id="rId791" Type="http://schemas.openxmlformats.org/officeDocument/2006/relationships/hyperlink" Target="https://thumbcdn.com/splash/aponqh6rflkunn8y.jpg" TargetMode="External"/><Relationship Id="rId889" Type="http://schemas.openxmlformats.org/officeDocument/2006/relationships/hyperlink" Target="https://thumbcdn.com/splash/jkh6qodu0vb2wvlu.jpg" TargetMode="External"/><Relationship Id="rId1074" Type="http://schemas.openxmlformats.org/officeDocument/2006/relationships/hyperlink" Target="https://thumbcdn.com/splash/yb97mpg6hcd0v4v3.jpg" TargetMode="External"/><Relationship Id="rId444" Type="http://schemas.openxmlformats.org/officeDocument/2006/relationships/hyperlink" Target="https://thumbcdn.com/splash/ie0zflxplln1v4yv.jpg" TargetMode="External"/><Relationship Id="rId651" Type="http://schemas.openxmlformats.org/officeDocument/2006/relationships/hyperlink" Target="https://thumbcdn.com/splash/vfdlrslw76pj78pv.jpg" TargetMode="External"/><Relationship Id="rId749" Type="http://schemas.openxmlformats.org/officeDocument/2006/relationships/hyperlink" Target="https://thumbcdn.com/splash/7e5x9vk4tgr9rg11.jpg" TargetMode="External"/><Relationship Id="rId1281" Type="http://schemas.openxmlformats.org/officeDocument/2006/relationships/hyperlink" Target="https://thumbcdn.com/splash/buywer62y1j9lm9m.jpg" TargetMode="External"/><Relationship Id="rId1379" Type="http://schemas.openxmlformats.org/officeDocument/2006/relationships/hyperlink" Target="https://thumbcdn.com/splash/bsive4ddj8ftei41.jpg" TargetMode="External"/><Relationship Id="rId1586" Type="http://schemas.openxmlformats.org/officeDocument/2006/relationships/hyperlink" Target="https://thumbcdn.com/splash/acfm49iwyqt7kqcn.jpg" TargetMode="External"/><Relationship Id="rId2125" Type="http://schemas.openxmlformats.org/officeDocument/2006/relationships/hyperlink" Target="https://thumbcdn.com/splash/2sksmr6g3hloug09.jpg" TargetMode="External"/><Relationship Id="rId304" Type="http://schemas.openxmlformats.org/officeDocument/2006/relationships/hyperlink" Target="https://thumbcdn.com/splash/3o2fchh07rvke87g.jpg" TargetMode="External"/><Relationship Id="rId511" Type="http://schemas.openxmlformats.org/officeDocument/2006/relationships/hyperlink" Target="https://thumbcdn.com/splash/9txnkt34ab00v14c.jpg" TargetMode="External"/><Relationship Id="rId609" Type="http://schemas.openxmlformats.org/officeDocument/2006/relationships/hyperlink" Target="https://thumbcdn.com/splash/hpnzfamp6m0uynyc.jpg" TargetMode="External"/><Relationship Id="rId956" Type="http://schemas.openxmlformats.org/officeDocument/2006/relationships/hyperlink" Target="https://thumbcdn.com/splash/rzhwl2a3vkxcemoe.jpg" TargetMode="External"/><Relationship Id="rId1141" Type="http://schemas.openxmlformats.org/officeDocument/2006/relationships/hyperlink" Target="https://thumbcdn.com/splash/qqmpzn5aq5cmkgmp.jpg" TargetMode="External"/><Relationship Id="rId1239" Type="http://schemas.openxmlformats.org/officeDocument/2006/relationships/hyperlink" Target="https://thumbcdn.com/splash/9o10nc169s16pk0d.jpg" TargetMode="External"/><Relationship Id="rId1793" Type="http://schemas.openxmlformats.org/officeDocument/2006/relationships/hyperlink" Target="https://thumbcdn.com/splash/2s7bd0d87tv6fwx8.jpg" TargetMode="External"/><Relationship Id="rId85" Type="http://schemas.openxmlformats.org/officeDocument/2006/relationships/hyperlink" Target="https://thumbcdn.com/splash/skcxf8vpx9h7fkfg.jpg" TargetMode="External"/><Relationship Id="rId816" Type="http://schemas.openxmlformats.org/officeDocument/2006/relationships/hyperlink" Target="https://thumbcdn.com/splash/qjzq72uqyu7r31r5.jpg" TargetMode="External"/><Relationship Id="rId1001" Type="http://schemas.openxmlformats.org/officeDocument/2006/relationships/hyperlink" Target="https://thumbcdn.com/splash/9ey43gddxydhjrfo.jpg" TargetMode="External"/><Relationship Id="rId1446" Type="http://schemas.openxmlformats.org/officeDocument/2006/relationships/hyperlink" Target="https://thumbcdn.com/splash/iv5kts0r91bvxi7j.jpg" TargetMode="External"/><Relationship Id="rId1653" Type="http://schemas.openxmlformats.org/officeDocument/2006/relationships/hyperlink" Target="https://thumbcdn.com/splash/5rhfuqfnhomgzbqi.jpg" TargetMode="External"/><Relationship Id="rId1860" Type="http://schemas.openxmlformats.org/officeDocument/2006/relationships/hyperlink" Target="https://thumbcdn.com/splash/a8odr2uhv3434yg4.jpg" TargetMode="External"/><Relationship Id="rId1306" Type="http://schemas.openxmlformats.org/officeDocument/2006/relationships/hyperlink" Target="https://thumbcdn.com/splash/476s5qxdburez3me.jpg" TargetMode="External"/><Relationship Id="rId1513" Type="http://schemas.openxmlformats.org/officeDocument/2006/relationships/hyperlink" Target="https://thumbcdn.com/splash/5vagppdk5i0l2e0t.jpg" TargetMode="External"/><Relationship Id="rId1720" Type="http://schemas.openxmlformats.org/officeDocument/2006/relationships/hyperlink" Target="https://thumbcdn.com/splash/cw5td57adgt2b38l.jpg" TargetMode="External"/><Relationship Id="rId1958" Type="http://schemas.openxmlformats.org/officeDocument/2006/relationships/hyperlink" Target="https://thumbcdn.com/splash/a378iwn5d5y3iahu.jpg" TargetMode="External"/><Relationship Id="rId12" Type="http://schemas.openxmlformats.org/officeDocument/2006/relationships/hyperlink" Target="https://thumbcdn.com/splash/tn6rrr096hjys7ue.jpg" TargetMode="External"/><Relationship Id="rId1818" Type="http://schemas.openxmlformats.org/officeDocument/2006/relationships/hyperlink" Target="https://thumbcdn.com/splash/ryclmzlmq0okqt3y.jpg" TargetMode="External"/><Relationship Id="rId161" Type="http://schemas.openxmlformats.org/officeDocument/2006/relationships/hyperlink" Target="https://thumbcdn.com/splash/ik1asxc31y9hfpwq.jpg" TargetMode="External"/><Relationship Id="rId399" Type="http://schemas.openxmlformats.org/officeDocument/2006/relationships/hyperlink" Target="https://thumbcdn.com/splash/ffrzlbyutq8pa4a5.jpg" TargetMode="External"/><Relationship Id="rId259" Type="http://schemas.openxmlformats.org/officeDocument/2006/relationships/hyperlink" Target="https://thumbcdn.com/splash/kvzyk2vm7opf70gj.jpg" TargetMode="External"/><Relationship Id="rId466" Type="http://schemas.openxmlformats.org/officeDocument/2006/relationships/hyperlink" Target="https://thumbcdn.com/splash/5fypc5mose24uzeu.jpg" TargetMode="External"/><Relationship Id="rId673" Type="http://schemas.openxmlformats.org/officeDocument/2006/relationships/hyperlink" Target="https://thumbcdn.com/splash/bxw43356cg7673c9.jpg" TargetMode="External"/><Relationship Id="rId880" Type="http://schemas.openxmlformats.org/officeDocument/2006/relationships/hyperlink" Target="https://thumbcdn.com/splash/z7o8ey83kvod4umg.jpg" TargetMode="External"/><Relationship Id="rId1096" Type="http://schemas.openxmlformats.org/officeDocument/2006/relationships/hyperlink" Target="https://thumbcdn.com/splash/5r4e6cwud5z5s58s.jpg" TargetMode="External"/><Relationship Id="rId2147" Type="http://schemas.openxmlformats.org/officeDocument/2006/relationships/hyperlink" Target="https://thumbcdn.com/splash/fo6uqz2a0jknc2nf.jpg" TargetMode="External"/><Relationship Id="rId119" Type="http://schemas.openxmlformats.org/officeDocument/2006/relationships/hyperlink" Target="https://thumbcdn.com/splash/4j6flmlk89wqcthj.jpg" TargetMode="External"/><Relationship Id="rId326" Type="http://schemas.openxmlformats.org/officeDocument/2006/relationships/hyperlink" Target="https://thumbcdn.com/splash/lftmgmhdsi115etb.jpg" TargetMode="External"/><Relationship Id="rId533" Type="http://schemas.openxmlformats.org/officeDocument/2006/relationships/hyperlink" Target="https://thumbcdn.com/splash/w4flufhphasp8w2y.jpg" TargetMode="External"/><Relationship Id="rId978" Type="http://schemas.openxmlformats.org/officeDocument/2006/relationships/hyperlink" Target="https://thumbcdn.com/splash/a3qi1sebygm2jt48.jpg" TargetMode="External"/><Relationship Id="rId1163" Type="http://schemas.openxmlformats.org/officeDocument/2006/relationships/hyperlink" Target="https://thumbcdn.com/splash/1y6ud00zhbdvdsvk.jpg" TargetMode="External"/><Relationship Id="rId1370" Type="http://schemas.openxmlformats.org/officeDocument/2006/relationships/hyperlink" Target="https://thumbcdn.com/splash/rtx23i5aj6ezx0hi.jpg" TargetMode="External"/><Relationship Id="rId2007" Type="http://schemas.openxmlformats.org/officeDocument/2006/relationships/hyperlink" Target="https://thumbcdn.com/splash/33mwqeenrj3vw1i7.jpg" TargetMode="External"/><Relationship Id="rId2214" Type="http://schemas.openxmlformats.org/officeDocument/2006/relationships/hyperlink" Target="https://thumbcdn.com/splash/9eusu3gbs4sl4mbp.jpg" TargetMode="External"/><Relationship Id="rId740" Type="http://schemas.openxmlformats.org/officeDocument/2006/relationships/hyperlink" Target="https://thumbcdn.com/splash/zw0kr7vtihzbkfco.jpg" TargetMode="External"/><Relationship Id="rId838" Type="http://schemas.openxmlformats.org/officeDocument/2006/relationships/hyperlink" Target="https://thumbcdn.com/splash/6u7vbms5qn50nk4d.jpg" TargetMode="External"/><Relationship Id="rId1023" Type="http://schemas.openxmlformats.org/officeDocument/2006/relationships/hyperlink" Target="https://thumbcdn.com/splash/kxpni0z91q4bjv0s.jpg" TargetMode="External"/><Relationship Id="rId1468" Type="http://schemas.openxmlformats.org/officeDocument/2006/relationships/hyperlink" Target="https://thumbcdn.com/splash/wozj1n06l2yy2mv5.jpg" TargetMode="External"/><Relationship Id="rId1675" Type="http://schemas.openxmlformats.org/officeDocument/2006/relationships/hyperlink" Target="https://thumbcdn.com/splash/zjgz27ur0a1p13ev.jpg" TargetMode="External"/><Relationship Id="rId1882" Type="http://schemas.openxmlformats.org/officeDocument/2006/relationships/hyperlink" Target="https://thumbcdn.com/splash/gwloh7m3pu560bpe.jpg" TargetMode="External"/><Relationship Id="rId600" Type="http://schemas.openxmlformats.org/officeDocument/2006/relationships/hyperlink" Target="https://thumbcdn.com/splash/9mhp4zibtpf6j6sf.jpg" TargetMode="External"/><Relationship Id="rId1230" Type="http://schemas.openxmlformats.org/officeDocument/2006/relationships/hyperlink" Target="https://thumbcdn.com/splash/ha17prny65ce7unr.jpg" TargetMode="External"/><Relationship Id="rId1328" Type="http://schemas.openxmlformats.org/officeDocument/2006/relationships/hyperlink" Target="https://thumbcdn.com/splash/ujthl8reeds1lqrn.jpg" TargetMode="External"/><Relationship Id="rId1535" Type="http://schemas.openxmlformats.org/officeDocument/2006/relationships/hyperlink" Target="https://thumbcdn.com/splash/x8kg284q78a9c5jy.jpg" TargetMode="External"/><Relationship Id="rId905" Type="http://schemas.openxmlformats.org/officeDocument/2006/relationships/hyperlink" Target="https://thumbcdn.com/splash/4dzrghvill6fah24.jpg" TargetMode="External"/><Relationship Id="rId1742" Type="http://schemas.openxmlformats.org/officeDocument/2006/relationships/hyperlink" Target="https://thumbcdn.com/splash/qwt5du09pk68a2ac.jpg" TargetMode="External"/><Relationship Id="rId34" Type="http://schemas.openxmlformats.org/officeDocument/2006/relationships/hyperlink" Target="https://thumbcdn.com/splash/99twg2cvfs812dui.jpg" TargetMode="External"/><Relationship Id="rId1602" Type="http://schemas.openxmlformats.org/officeDocument/2006/relationships/hyperlink" Target="https://thumbcdn.com/splash/evtxrrn4lbewfvbr.jpg" TargetMode="External"/><Relationship Id="rId183" Type="http://schemas.openxmlformats.org/officeDocument/2006/relationships/hyperlink" Target="https://thumbcdn.com/splash/ias8lsob7ugtqb6o.jpg" TargetMode="External"/><Relationship Id="rId390" Type="http://schemas.openxmlformats.org/officeDocument/2006/relationships/hyperlink" Target="https://thumbcdn.com/splash/oicm654iauca204p.jpg" TargetMode="External"/><Relationship Id="rId1907" Type="http://schemas.openxmlformats.org/officeDocument/2006/relationships/hyperlink" Target="https://thumbcdn.com/splash/ub5tbiuh9ojuk7xg.jpg" TargetMode="External"/><Relationship Id="rId2071" Type="http://schemas.openxmlformats.org/officeDocument/2006/relationships/hyperlink" Target="https://thumbcdn.com/splash/umw59aaq2ouxr1fc.jpg" TargetMode="External"/><Relationship Id="rId250" Type="http://schemas.openxmlformats.org/officeDocument/2006/relationships/hyperlink" Target="https://thumbcdn.com/splash/7e5x9vk4tgr9rg11.jpg" TargetMode="External"/><Relationship Id="rId488" Type="http://schemas.openxmlformats.org/officeDocument/2006/relationships/hyperlink" Target="https://thumbcdn.com/splash/muu8k24uq1ttv32w.jpg" TargetMode="External"/><Relationship Id="rId695" Type="http://schemas.openxmlformats.org/officeDocument/2006/relationships/hyperlink" Target="https://thumbcdn.com/splash/v41xdcj0l4utoxsp.jpg" TargetMode="External"/><Relationship Id="rId2169" Type="http://schemas.openxmlformats.org/officeDocument/2006/relationships/hyperlink" Target="https://thumbcdn.com/splash/xsf3opf9xxd3m6r9.jpg" TargetMode="External"/><Relationship Id="rId110" Type="http://schemas.openxmlformats.org/officeDocument/2006/relationships/hyperlink" Target="https://thumbcdn.com/splash/zb3rwjhbbnj55igw.jpg" TargetMode="External"/><Relationship Id="rId348" Type="http://schemas.openxmlformats.org/officeDocument/2006/relationships/hyperlink" Target="https://thumbcdn.com/splash/5s0rjv6uqw5pw9an.jpg" TargetMode="External"/><Relationship Id="rId555" Type="http://schemas.openxmlformats.org/officeDocument/2006/relationships/hyperlink" Target="https://thumbcdn.com/splash/8bdx7305vnt1xpt1.jpg" TargetMode="External"/><Relationship Id="rId762" Type="http://schemas.openxmlformats.org/officeDocument/2006/relationships/hyperlink" Target="https://thumbcdn.com/splash/iaqm5cxqh3m27hwr.jpg" TargetMode="External"/><Relationship Id="rId1185" Type="http://schemas.openxmlformats.org/officeDocument/2006/relationships/hyperlink" Target="https://thumbcdn.com/splash/kr7gb9ntjbtq00ds.jpg" TargetMode="External"/><Relationship Id="rId1392" Type="http://schemas.openxmlformats.org/officeDocument/2006/relationships/hyperlink" Target="https://thumbcdn.com/splash/5cw43sbpocmhcm72.jpg" TargetMode="External"/><Relationship Id="rId2029" Type="http://schemas.openxmlformats.org/officeDocument/2006/relationships/hyperlink" Target="https://thumbcdn.com/splash/480js0ibdl7ihfl8.jpg" TargetMode="External"/><Relationship Id="rId2236" Type="http://schemas.openxmlformats.org/officeDocument/2006/relationships/hyperlink" Target="https://thumbcdn.com/splash/l94ke6npczfmr8oj.jpg" TargetMode="External"/><Relationship Id="rId208" Type="http://schemas.openxmlformats.org/officeDocument/2006/relationships/hyperlink" Target="https://thumbcdn.com/splash/fhsp15znvo5pn2v8.jpg" TargetMode="External"/><Relationship Id="rId415" Type="http://schemas.openxmlformats.org/officeDocument/2006/relationships/hyperlink" Target="https://thumbcdn.com/splash/9rcli8r1ja58mnq9.jpg" TargetMode="External"/><Relationship Id="rId622" Type="http://schemas.openxmlformats.org/officeDocument/2006/relationships/hyperlink" Target="https://thumbcdn.com/splash/mvgp2gj6c3wpi1a1.jpg" TargetMode="External"/><Relationship Id="rId1045" Type="http://schemas.openxmlformats.org/officeDocument/2006/relationships/hyperlink" Target="https://thumbcdn.com/splash/5s0rjv6uqw5pw9an.jpg" TargetMode="External"/><Relationship Id="rId1252" Type="http://schemas.openxmlformats.org/officeDocument/2006/relationships/hyperlink" Target="https://thumbcdn.com/splash/eguytr25lsm3rwtd.jpg" TargetMode="External"/><Relationship Id="rId1697" Type="http://schemas.openxmlformats.org/officeDocument/2006/relationships/hyperlink" Target="https://thumbcdn.com/splash/635vrxfupgzds3ad.jpg" TargetMode="External"/><Relationship Id="rId927" Type="http://schemas.openxmlformats.org/officeDocument/2006/relationships/hyperlink" Target="https://thumbcdn.com/splash/i750hzve80rll8k6.jpg" TargetMode="External"/><Relationship Id="rId1112" Type="http://schemas.openxmlformats.org/officeDocument/2006/relationships/hyperlink" Target="https://thumbcdn.com/splash/xlnlj6hx9ha763nw.jpg" TargetMode="External"/><Relationship Id="rId1557" Type="http://schemas.openxmlformats.org/officeDocument/2006/relationships/hyperlink" Target="https://thumbcdn.com/splash/8bdx7305vnt1xpt1.jpg" TargetMode="External"/><Relationship Id="rId1764" Type="http://schemas.openxmlformats.org/officeDocument/2006/relationships/hyperlink" Target="https://thumbcdn.com/splash/ar1c43nm2as7krrr.jpg" TargetMode="External"/><Relationship Id="rId1971" Type="http://schemas.openxmlformats.org/officeDocument/2006/relationships/hyperlink" Target="https://thumbcdn.com/splash/zuk6efe7xfthn3qk.jpg" TargetMode="External"/><Relationship Id="rId56" Type="http://schemas.openxmlformats.org/officeDocument/2006/relationships/hyperlink" Target="https://thumbcdn.com/splash/1zhkrua1cttsmy62.jpg" TargetMode="External"/><Relationship Id="rId1417" Type="http://schemas.openxmlformats.org/officeDocument/2006/relationships/hyperlink" Target="https://thumbcdn.com/splash/950wye3h0plnyr8x.jpg" TargetMode="External"/><Relationship Id="rId1624" Type="http://schemas.openxmlformats.org/officeDocument/2006/relationships/hyperlink" Target="https://thumbcdn.com/splash/kcq9tifskvriy5sa.jpg" TargetMode="External"/><Relationship Id="rId1831" Type="http://schemas.openxmlformats.org/officeDocument/2006/relationships/hyperlink" Target="https://thumbcdn.com/splash/p6wh0cf7cky41n7r.jpg" TargetMode="External"/><Relationship Id="rId1929" Type="http://schemas.openxmlformats.org/officeDocument/2006/relationships/hyperlink" Target="https://thumbcdn.com/splash/aqvsl8820cybzz9i.jpg" TargetMode="External"/><Relationship Id="rId2093" Type="http://schemas.openxmlformats.org/officeDocument/2006/relationships/hyperlink" Target="https://thumbcdn.com/splash/cl2tzsd66x4yat8a.jpg" TargetMode="External"/><Relationship Id="rId272" Type="http://schemas.openxmlformats.org/officeDocument/2006/relationships/hyperlink" Target="https://thumbcdn.com/splash/lvcrq8s21xqnni54.jpg" TargetMode="External"/><Relationship Id="rId577" Type="http://schemas.openxmlformats.org/officeDocument/2006/relationships/hyperlink" Target="https://thumbcdn.com/splash/7sj6hn3hx7pprnk3.jpg" TargetMode="External"/><Relationship Id="rId2160" Type="http://schemas.openxmlformats.org/officeDocument/2006/relationships/hyperlink" Target="https://thumbcdn.com/splash/p9r9ha5yffe7cgl6.jpg" TargetMode="External"/><Relationship Id="rId2258" Type="http://schemas.openxmlformats.org/officeDocument/2006/relationships/hyperlink" Target="https://thumbcdn.com/splash/g2rcd36k692l49om.jpg" TargetMode="External"/><Relationship Id="rId132" Type="http://schemas.openxmlformats.org/officeDocument/2006/relationships/hyperlink" Target="https://thumbcdn.com/splash/suwoxziqd9atycx8.jpg" TargetMode="External"/><Relationship Id="rId784" Type="http://schemas.openxmlformats.org/officeDocument/2006/relationships/hyperlink" Target="https://thumbcdn.com/splash/cu5b9pp5mdbqyjyt.jpg" TargetMode="External"/><Relationship Id="rId991" Type="http://schemas.openxmlformats.org/officeDocument/2006/relationships/hyperlink" Target="https://thumbcdn.com/splash/n8bzrjy4a7plxgro.jpg" TargetMode="External"/><Relationship Id="rId1067" Type="http://schemas.openxmlformats.org/officeDocument/2006/relationships/hyperlink" Target="https://thumbcdn.com/splash/a6r0z9dxsxomeud8.jpg" TargetMode="External"/><Relationship Id="rId2020" Type="http://schemas.openxmlformats.org/officeDocument/2006/relationships/hyperlink" Target="https://thumbcdn.com/splash/nuy1ddo0442sivhg.jpg" TargetMode="External"/><Relationship Id="rId437" Type="http://schemas.openxmlformats.org/officeDocument/2006/relationships/hyperlink" Target="https://thumbcdn.com/splash/dy8kl7ro6f1v5jtj.jpg" TargetMode="External"/><Relationship Id="rId644" Type="http://schemas.openxmlformats.org/officeDocument/2006/relationships/hyperlink" Target="https://thumbcdn.com/splash/kcq9tifskvriy5sa.jpg" TargetMode="External"/><Relationship Id="rId851" Type="http://schemas.openxmlformats.org/officeDocument/2006/relationships/hyperlink" Target="https://thumbcdn.com/splash/vc4g6tud3ktwmm5o.jpg" TargetMode="External"/><Relationship Id="rId1274" Type="http://schemas.openxmlformats.org/officeDocument/2006/relationships/hyperlink" Target="https://thumbcdn.com/splash/z5maif3w2emsqdla.jpg" TargetMode="External"/><Relationship Id="rId1481" Type="http://schemas.openxmlformats.org/officeDocument/2006/relationships/hyperlink" Target="https://thumbcdn.com/splash/fbgcou5uz8ohak9a.jpg" TargetMode="External"/><Relationship Id="rId1579" Type="http://schemas.openxmlformats.org/officeDocument/2006/relationships/hyperlink" Target="https://thumbcdn.com/splash/6taalshx6nhs7yvr.jpg" TargetMode="External"/><Relationship Id="rId2118" Type="http://schemas.openxmlformats.org/officeDocument/2006/relationships/hyperlink" Target="https://thumbcdn.com/splash/3841mtz31jpuxlyl.jpg" TargetMode="External"/><Relationship Id="rId504" Type="http://schemas.openxmlformats.org/officeDocument/2006/relationships/hyperlink" Target="https://thumbcdn.com/splash/5vagppdk5i0l2e0t.jpg" TargetMode="External"/><Relationship Id="rId711" Type="http://schemas.openxmlformats.org/officeDocument/2006/relationships/hyperlink" Target="https://thumbcdn.com/splash/vct1aqp6cxb8g54e.jpg" TargetMode="External"/><Relationship Id="rId949" Type="http://schemas.openxmlformats.org/officeDocument/2006/relationships/hyperlink" Target="https://thumbcdn.com/splash/7o9vbd8j47vjj91y.jpg" TargetMode="External"/><Relationship Id="rId1134" Type="http://schemas.openxmlformats.org/officeDocument/2006/relationships/hyperlink" Target="https://thumbcdn.com/splash/fjqevtc58c357tdt.jpg" TargetMode="External"/><Relationship Id="rId1341" Type="http://schemas.openxmlformats.org/officeDocument/2006/relationships/hyperlink" Target="https://thumbcdn.com/splash/inohs75piu4zj1e9.jpg" TargetMode="External"/><Relationship Id="rId1786" Type="http://schemas.openxmlformats.org/officeDocument/2006/relationships/hyperlink" Target="https://thumbcdn.com/splash/jt12mgcq8i8dra9l.jpg" TargetMode="External"/><Relationship Id="rId1993" Type="http://schemas.openxmlformats.org/officeDocument/2006/relationships/hyperlink" Target="https://thumbcdn.com/splash/vlbukbbm9ut8kmov.jpg" TargetMode="External"/><Relationship Id="rId78" Type="http://schemas.openxmlformats.org/officeDocument/2006/relationships/hyperlink" Target="https://thumbcdn.com/splash/57056jca2rz1fx57.jpg" TargetMode="External"/><Relationship Id="rId809" Type="http://schemas.openxmlformats.org/officeDocument/2006/relationships/hyperlink" Target="https://thumbcdn.com/splash/mnt8nwfy3u9jawo4.jpg" TargetMode="External"/><Relationship Id="rId1201" Type="http://schemas.openxmlformats.org/officeDocument/2006/relationships/hyperlink" Target="https://thumbcdn.com/splash/c01n8ywiyslrei6d.jpg" TargetMode="External"/><Relationship Id="rId1439" Type="http://schemas.openxmlformats.org/officeDocument/2006/relationships/hyperlink" Target="https://thumbcdn.com/splash/ffepxzuw1oe0irgl.jpg" TargetMode="External"/><Relationship Id="rId1646" Type="http://schemas.openxmlformats.org/officeDocument/2006/relationships/hyperlink" Target="https://thumbcdn.com/splash/ha9g6i1h24ui998w.jpg" TargetMode="External"/><Relationship Id="rId1853" Type="http://schemas.openxmlformats.org/officeDocument/2006/relationships/hyperlink" Target="https://thumbcdn.com/splash/1c9193xd9rhtsz95.jpg" TargetMode="External"/><Relationship Id="rId1506" Type="http://schemas.openxmlformats.org/officeDocument/2006/relationships/hyperlink" Target="https://thumbcdn.com/splash/1cztm70f1jw9weau.jpg" TargetMode="External"/><Relationship Id="rId1713" Type="http://schemas.openxmlformats.org/officeDocument/2006/relationships/hyperlink" Target="https://thumbcdn.com/splash/s3ix0c51f4s0taiu.jpg" TargetMode="External"/><Relationship Id="rId1920" Type="http://schemas.openxmlformats.org/officeDocument/2006/relationships/hyperlink" Target="https://thumbcdn.com/splash/pbj1pg7sm7bizzuh.jpg" TargetMode="External"/><Relationship Id="rId294" Type="http://schemas.openxmlformats.org/officeDocument/2006/relationships/hyperlink" Target="https://thumbcdn.com/splash/i6m74wrke7z1ldcn.jpg" TargetMode="External"/><Relationship Id="rId2182" Type="http://schemas.openxmlformats.org/officeDocument/2006/relationships/hyperlink" Target="https://thumbcdn.com/splash/ct18we6wa9k9dbm6.jpg" TargetMode="External"/><Relationship Id="rId154" Type="http://schemas.openxmlformats.org/officeDocument/2006/relationships/hyperlink" Target="https://thumbcdn.com/splash/l5d6e44n0031dwu1.jpg" TargetMode="External"/><Relationship Id="rId361" Type="http://schemas.openxmlformats.org/officeDocument/2006/relationships/hyperlink" Target="https://thumbcdn.com/splash/cy3ews0n3bghzor6.jpg" TargetMode="External"/><Relationship Id="rId599" Type="http://schemas.openxmlformats.org/officeDocument/2006/relationships/hyperlink" Target="https://thumbcdn.com/splash/hjvxnyrlgsf0v868.jpg" TargetMode="External"/><Relationship Id="rId2042" Type="http://schemas.openxmlformats.org/officeDocument/2006/relationships/hyperlink" Target="https://thumbcdn.com/splash/3g6g5ic52aizi9s7.jpg" TargetMode="External"/><Relationship Id="rId459" Type="http://schemas.openxmlformats.org/officeDocument/2006/relationships/hyperlink" Target="https://thumbcdn.com/splash/6ccf5xh8j6kwn8ij.jpg" TargetMode="External"/><Relationship Id="rId666" Type="http://schemas.openxmlformats.org/officeDocument/2006/relationships/hyperlink" Target="https://thumbcdn.com/splash/y2s2li80v63kmjuw.jpg" TargetMode="External"/><Relationship Id="rId873" Type="http://schemas.openxmlformats.org/officeDocument/2006/relationships/hyperlink" Target="https://thumbcdn.com/splash/kuojiofrn87il0h5.jpg" TargetMode="External"/><Relationship Id="rId1089" Type="http://schemas.openxmlformats.org/officeDocument/2006/relationships/hyperlink" Target="https://thumbcdn.com/splash/8yvhzy81k3rssiwr.jpg" TargetMode="External"/><Relationship Id="rId1296" Type="http://schemas.openxmlformats.org/officeDocument/2006/relationships/hyperlink" Target="https://thumbcdn.com/splash/j9j05o74m2apdg5k.jpg" TargetMode="External"/><Relationship Id="rId221" Type="http://schemas.openxmlformats.org/officeDocument/2006/relationships/hyperlink" Target="https://thumbcdn.com/splash/9xvqh1bvqk7ywx23.jpg" TargetMode="External"/><Relationship Id="rId319" Type="http://schemas.openxmlformats.org/officeDocument/2006/relationships/hyperlink" Target="https://thumbcdn.com/splash/ymi3w5cq535lm0rf.jpg" TargetMode="External"/><Relationship Id="rId526" Type="http://schemas.openxmlformats.org/officeDocument/2006/relationships/hyperlink" Target="https://thumbcdn.com/splash/x8kg284q78a9c5jy.jpg" TargetMode="External"/><Relationship Id="rId1156" Type="http://schemas.openxmlformats.org/officeDocument/2006/relationships/hyperlink" Target="https://thumbcdn.com/splash/qv8b6ykbnypx10hr.jpg" TargetMode="External"/><Relationship Id="rId1363" Type="http://schemas.openxmlformats.org/officeDocument/2006/relationships/hyperlink" Target="https://thumbcdn.com/splash/osl0xqpaahwxn2ch.jpg" TargetMode="External"/><Relationship Id="rId2207" Type="http://schemas.openxmlformats.org/officeDocument/2006/relationships/hyperlink" Target="https://thumbcdn.com/splash/rca2jtd39l4f5j0x.jpg" TargetMode="External"/><Relationship Id="rId733" Type="http://schemas.openxmlformats.org/officeDocument/2006/relationships/hyperlink" Target="https://thumbcdn.com/splash/t4wh45rpe7ovgmkl.jpg" TargetMode="External"/><Relationship Id="rId940" Type="http://schemas.openxmlformats.org/officeDocument/2006/relationships/hyperlink" Target="https://thumbcdn.com/splash/l6wnu79i8rp38wr4.jpg" TargetMode="External"/><Relationship Id="rId1016" Type="http://schemas.openxmlformats.org/officeDocument/2006/relationships/hyperlink" Target="https://thumbcdn.com/splash/wfiohvitzvr56ho9.jpg" TargetMode="External"/><Relationship Id="rId1570" Type="http://schemas.openxmlformats.org/officeDocument/2006/relationships/hyperlink" Target="https://thumbcdn.com/splash/d1eoar2f9l45vj8n.jpg" TargetMode="External"/><Relationship Id="rId1668" Type="http://schemas.openxmlformats.org/officeDocument/2006/relationships/hyperlink" Target="https://thumbcdn.com/splash/8q32v6lvz6k1npjb.jpg" TargetMode="External"/><Relationship Id="rId1875" Type="http://schemas.openxmlformats.org/officeDocument/2006/relationships/hyperlink" Target="https://thumbcdn.com/splash/9q9cvo5ddfo63a50.jpg" TargetMode="External"/><Relationship Id="rId800" Type="http://schemas.openxmlformats.org/officeDocument/2006/relationships/hyperlink" Target="https://thumbcdn.com/splash/emhzt3lsoinjc7l3.jpg" TargetMode="External"/><Relationship Id="rId1223" Type="http://schemas.openxmlformats.org/officeDocument/2006/relationships/hyperlink" Target="https://thumbcdn.com/splash/8t2chprzzw8pcfkm.jpg" TargetMode="External"/><Relationship Id="rId1430" Type="http://schemas.openxmlformats.org/officeDocument/2006/relationships/hyperlink" Target="https://thumbcdn.com/splash/pto0ml9mfzubbqoj.jpg" TargetMode="External"/><Relationship Id="rId1528" Type="http://schemas.openxmlformats.org/officeDocument/2006/relationships/hyperlink" Target="https://thumbcdn.com/splash/kz9wx3xo6w39f4c9.jpg" TargetMode="External"/><Relationship Id="rId1735" Type="http://schemas.openxmlformats.org/officeDocument/2006/relationships/hyperlink" Target="https://thumbcdn.com/splash/34ncbvt77knt0pfq.jpg" TargetMode="External"/><Relationship Id="rId1942" Type="http://schemas.openxmlformats.org/officeDocument/2006/relationships/hyperlink" Target="https://thumbcdn.com/splash/yyrs9yevekuht3ny.jpg" TargetMode="External"/><Relationship Id="rId27" Type="http://schemas.openxmlformats.org/officeDocument/2006/relationships/hyperlink" Target="https://thumbcdn.com/splash/t0hywldsgdsrk74d.jpg" TargetMode="External"/><Relationship Id="rId1802" Type="http://schemas.openxmlformats.org/officeDocument/2006/relationships/hyperlink" Target="https://thumbcdn.com/splash/sr44jf11f4y6blwu.jpg" TargetMode="External"/><Relationship Id="rId176" Type="http://schemas.openxmlformats.org/officeDocument/2006/relationships/hyperlink" Target="https://thumbcdn.com/splash/fd9ib5m6dg33trkz.jpg" TargetMode="External"/><Relationship Id="rId383" Type="http://schemas.openxmlformats.org/officeDocument/2006/relationships/hyperlink" Target="https://thumbcdn.com/splash/p9udrgn069hezqmd.jpg" TargetMode="External"/><Relationship Id="rId590" Type="http://schemas.openxmlformats.org/officeDocument/2006/relationships/hyperlink" Target="https://thumbcdn.com/splash/7phi6xmkq65bs10y.jpg" TargetMode="External"/><Relationship Id="rId2064" Type="http://schemas.openxmlformats.org/officeDocument/2006/relationships/hyperlink" Target="https://thumbcdn.com/splash/ehcppw649yr8stfx.jpg" TargetMode="External"/><Relationship Id="rId2271" Type="http://schemas.openxmlformats.org/officeDocument/2006/relationships/hyperlink" Target="https://thumbcdn.com/splash/3yudjjyh0fq5x25r.jpg" TargetMode="External"/><Relationship Id="rId243" Type="http://schemas.openxmlformats.org/officeDocument/2006/relationships/hyperlink" Target="https://thumbcdn.com/splash/9hos7xu00t81mc60.jpg" TargetMode="External"/><Relationship Id="rId450" Type="http://schemas.openxmlformats.org/officeDocument/2006/relationships/hyperlink" Target="https://thumbcdn.com/splash/604fjxy44zwlpxiq.jpg" TargetMode="External"/><Relationship Id="rId688" Type="http://schemas.openxmlformats.org/officeDocument/2006/relationships/hyperlink" Target="https://thumbcdn.com/splash/sqa5qhec2xvcjlal.jpg" TargetMode="External"/><Relationship Id="rId895" Type="http://schemas.openxmlformats.org/officeDocument/2006/relationships/hyperlink" Target="https://thumbcdn.com/splash/o4ruj0lmxt5cpm2f.jpg" TargetMode="External"/><Relationship Id="rId1080" Type="http://schemas.openxmlformats.org/officeDocument/2006/relationships/hyperlink" Target="https://thumbcdn.com/splash/o5nj2vvyy6kebcm5.jpg" TargetMode="External"/><Relationship Id="rId2131" Type="http://schemas.openxmlformats.org/officeDocument/2006/relationships/hyperlink" Target="https://thumbcdn.com/splash/t7e87o23cfep4ob5.jpg" TargetMode="External"/><Relationship Id="rId103" Type="http://schemas.openxmlformats.org/officeDocument/2006/relationships/hyperlink" Target="https://thumbcdn.com/splash/utuss0vsednzmnfb.jpg" TargetMode="External"/><Relationship Id="rId310" Type="http://schemas.openxmlformats.org/officeDocument/2006/relationships/hyperlink" Target="https://thumbcdn.com/splash/lswjw3ldssn7pwoe.jpg" TargetMode="External"/><Relationship Id="rId548" Type="http://schemas.openxmlformats.org/officeDocument/2006/relationships/hyperlink" Target="https://thumbcdn.com/splash/q1r6c7n9a20la2g6.jpg" TargetMode="External"/><Relationship Id="rId755" Type="http://schemas.openxmlformats.org/officeDocument/2006/relationships/hyperlink" Target="https://thumbcdn.com/splash/jprhxs9x54pvdyjo.jpg" TargetMode="External"/><Relationship Id="rId962" Type="http://schemas.openxmlformats.org/officeDocument/2006/relationships/hyperlink" Target="https://thumbcdn.com/splash/iojnfde5q9jhu6jk.jpg" TargetMode="External"/><Relationship Id="rId1178" Type="http://schemas.openxmlformats.org/officeDocument/2006/relationships/hyperlink" Target="https://thumbcdn.com/splash/w7ntk0u169ow3bi9.jpg" TargetMode="External"/><Relationship Id="rId1385" Type="http://schemas.openxmlformats.org/officeDocument/2006/relationships/hyperlink" Target="https://thumbcdn.com/splash/iorubhqpb5futotc.jpg" TargetMode="External"/><Relationship Id="rId1592" Type="http://schemas.openxmlformats.org/officeDocument/2006/relationships/hyperlink" Target="https://thumbcdn.com/splash/looe1kz67qthyl8n.jpg" TargetMode="External"/><Relationship Id="rId2229" Type="http://schemas.openxmlformats.org/officeDocument/2006/relationships/hyperlink" Target="https://thumbcdn.com/splash/uk8nkrn8qu7ul5yq.jpg" TargetMode="External"/><Relationship Id="rId91" Type="http://schemas.openxmlformats.org/officeDocument/2006/relationships/hyperlink" Target="https://thumbcdn.com/splash/b9pseadi8ge0ejon.jpg" TargetMode="External"/><Relationship Id="rId408" Type="http://schemas.openxmlformats.org/officeDocument/2006/relationships/hyperlink" Target="https://thumbcdn.com/splash/p1ih2bddut5nea0a.jpg" TargetMode="External"/><Relationship Id="rId615" Type="http://schemas.openxmlformats.org/officeDocument/2006/relationships/hyperlink" Target="https://thumbcdn.com/splash/evtxrrn4lbewfvbr.jpg" TargetMode="External"/><Relationship Id="rId822" Type="http://schemas.openxmlformats.org/officeDocument/2006/relationships/hyperlink" Target="https://thumbcdn.com/splash/r21r2q0urglg27pf.jpg" TargetMode="External"/><Relationship Id="rId1038" Type="http://schemas.openxmlformats.org/officeDocument/2006/relationships/hyperlink" Target="https://thumbcdn.com/splash/mwja2i21znm8bb48.jpg" TargetMode="External"/><Relationship Id="rId1245" Type="http://schemas.openxmlformats.org/officeDocument/2006/relationships/hyperlink" Target="https://thumbcdn.com/splash/9rcli8r1ja58mnq9.jpg" TargetMode="External"/><Relationship Id="rId1452" Type="http://schemas.openxmlformats.org/officeDocument/2006/relationships/hyperlink" Target="https://thumbcdn.com/splash/5eamuq4uwf7lbark.jpg" TargetMode="External"/><Relationship Id="rId1897" Type="http://schemas.openxmlformats.org/officeDocument/2006/relationships/hyperlink" Target="https://thumbcdn.com/splash/pqojtvpwhxjket62.jpg" TargetMode="External"/><Relationship Id="rId1105" Type="http://schemas.openxmlformats.org/officeDocument/2006/relationships/hyperlink" Target="https://thumbcdn.com/splash/4n4matrh22axceo9.jpg" TargetMode="External"/><Relationship Id="rId1312" Type="http://schemas.openxmlformats.org/officeDocument/2006/relationships/hyperlink" Target="https://thumbcdn.com/splash/2sksmr6g3hloug09.jpg" TargetMode="External"/><Relationship Id="rId1757" Type="http://schemas.openxmlformats.org/officeDocument/2006/relationships/hyperlink" Target="https://thumbcdn.com/splash/r21r2q0urglg27pf.jpg" TargetMode="External"/><Relationship Id="rId1964" Type="http://schemas.openxmlformats.org/officeDocument/2006/relationships/hyperlink" Target="https://thumbcdn.com/splash/t503y9kbt69wuw0m.jpg" TargetMode="External"/><Relationship Id="rId49" Type="http://schemas.openxmlformats.org/officeDocument/2006/relationships/hyperlink" Target="https://thumbcdn.com/splash/clcooeuwlyl4pk6o.jpg" TargetMode="External"/><Relationship Id="rId1617" Type="http://schemas.openxmlformats.org/officeDocument/2006/relationships/hyperlink" Target="https://thumbcdn.com/splash/ydof2fe1hpmvcqpw.jpg" TargetMode="External"/><Relationship Id="rId1824" Type="http://schemas.openxmlformats.org/officeDocument/2006/relationships/hyperlink" Target="https://thumbcdn.com/splash/jihfsoa33ict4eza.jpg" TargetMode="External"/><Relationship Id="rId198" Type="http://schemas.openxmlformats.org/officeDocument/2006/relationships/hyperlink" Target="https://thumbcdn.com/splash/wjdt3fei3wo98kf1.jpg" TargetMode="External"/><Relationship Id="rId2086" Type="http://schemas.openxmlformats.org/officeDocument/2006/relationships/hyperlink" Target="https://thumbcdn.com/splash/9br6kc9nqy3y8gcz.jpg" TargetMode="External"/><Relationship Id="rId265" Type="http://schemas.openxmlformats.org/officeDocument/2006/relationships/hyperlink" Target="https://thumbcdn.com/splash/bp7xh3ve2kyf7ecl.jpg" TargetMode="External"/><Relationship Id="rId472" Type="http://schemas.openxmlformats.org/officeDocument/2006/relationships/hyperlink" Target="https://thumbcdn.com/splash/950wye3h0plnyr8x.jpg" TargetMode="External"/><Relationship Id="rId2153" Type="http://schemas.openxmlformats.org/officeDocument/2006/relationships/hyperlink" Target="https://thumbcdn.com/splash/yanouo9jl2fak5xp.jpg" TargetMode="External"/><Relationship Id="rId125" Type="http://schemas.openxmlformats.org/officeDocument/2006/relationships/hyperlink" Target="https://thumbcdn.com/splash/tdu43qsmt9mjb2ga.jpg" TargetMode="External"/><Relationship Id="rId332" Type="http://schemas.openxmlformats.org/officeDocument/2006/relationships/hyperlink" Target="https://thumbcdn.com/splash/lxm7co7mkd5mw10p.jpg" TargetMode="External"/><Relationship Id="rId777" Type="http://schemas.openxmlformats.org/officeDocument/2006/relationships/hyperlink" Target="https://thumbcdn.com/splash/kvzyk2vm7opf70gj.jpg" TargetMode="External"/><Relationship Id="rId984" Type="http://schemas.openxmlformats.org/officeDocument/2006/relationships/hyperlink" Target="https://thumbcdn.com/splash/29o7i53yzxm6da97.jpg" TargetMode="External"/><Relationship Id="rId2013" Type="http://schemas.openxmlformats.org/officeDocument/2006/relationships/hyperlink" Target="https://thumbcdn.com/splash/1y6ud00zhbdvdsvk.jpg" TargetMode="External"/><Relationship Id="rId2220" Type="http://schemas.openxmlformats.org/officeDocument/2006/relationships/hyperlink" Target="https://thumbcdn.com/splash/ffepxzuw1oe0irgl.jpg" TargetMode="External"/><Relationship Id="rId637" Type="http://schemas.openxmlformats.org/officeDocument/2006/relationships/hyperlink" Target="https://thumbcdn.com/splash/u3wjfifda26bp829.jpg" TargetMode="External"/><Relationship Id="rId844" Type="http://schemas.openxmlformats.org/officeDocument/2006/relationships/hyperlink" Target="https://thumbcdn.com/splash/2rea20f689y59lla.jpg" TargetMode="External"/><Relationship Id="rId1267" Type="http://schemas.openxmlformats.org/officeDocument/2006/relationships/hyperlink" Target="https://thumbcdn.com/splash/p5efr78x660plbjy.jpg" TargetMode="External"/><Relationship Id="rId1474" Type="http://schemas.openxmlformats.org/officeDocument/2006/relationships/hyperlink" Target="https://thumbcdn.com/splash/1o0azmclssebmnp9.jpg" TargetMode="External"/><Relationship Id="rId1681" Type="http://schemas.openxmlformats.org/officeDocument/2006/relationships/hyperlink" Target="https://thumbcdn.com/splash/7tt4huzf4065vncw.jpg" TargetMode="External"/><Relationship Id="rId704" Type="http://schemas.openxmlformats.org/officeDocument/2006/relationships/hyperlink" Target="https://thumbcdn.com/splash/al5cyjvfvycoily4.jpg" TargetMode="External"/><Relationship Id="rId911" Type="http://schemas.openxmlformats.org/officeDocument/2006/relationships/hyperlink" Target="https://thumbcdn.com/splash/jihfsoa33ict4eza.jpg" TargetMode="External"/><Relationship Id="rId1127" Type="http://schemas.openxmlformats.org/officeDocument/2006/relationships/hyperlink" Target="https://thumbcdn.com/splash/mwdrrj9iplvkyj5k.jpg" TargetMode="External"/><Relationship Id="rId1334" Type="http://schemas.openxmlformats.org/officeDocument/2006/relationships/hyperlink" Target="https://thumbcdn.com/splash/6t2qe0ri79vw6ncq.jpg" TargetMode="External"/><Relationship Id="rId1541" Type="http://schemas.openxmlformats.org/officeDocument/2006/relationships/hyperlink" Target="https://thumbcdn.com/splash/g5o8vbv5gghx7cjv.jpg" TargetMode="External"/><Relationship Id="rId1779" Type="http://schemas.openxmlformats.org/officeDocument/2006/relationships/hyperlink" Target="https://thumbcdn.com/splash/vc4g6tud3ktwmm5o.jpg" TargetMode="External"/><Relationship Id="rId1986" Type="http://schemas.openxmlformats.org/officeDocument/2006/relationships/hyperlink" Target="https://thumbcdn.com/splash/mwdrrj9iplvkyj5k.jpg" TargetMode="External"/><Relationship Id="rId40" Type="http://schemas.openxmlformats.org/officeDocument/2006/relationships/hyperlink" Target="https://thumbcdn.com/splash/ut2h6i6qyev32an7.jpg" TargetMode="External"/><Relationship Id="rId1401" Type="http://schemas.openxmlformats.org/officeDocument/2006/relationships/hyperlink" Target="https://thumbcdn.com/splash/6pg90zhyrrm5ukok.jpg" TargetMode="External"/><Relationship Id="rId1639" Type="http://schemas.openxmlformats.org/officeDocument/2006/relationships/hyperlink" Target="https://thumbcdn.com/splash/4ddse1m0u5rb5nru.jpg" TargetMode="External"/><Relationship Id="rId1846" Type="http://schemas.openxmlformats.org/officeDocument/2006/relationships/hyperlink" Target="https://thumbcdn.com/splash/l6wnu79i8rp38wr4.jpg" TargetMode="External"/><Relationship Id="rId1706" Type="http://schemas.openxmlformats.org/officeDocument/2006/relationships/hyperlink" Target="https://thumbcdn.com/splash/euv59qfdd21vnhpz.jpg" TargetMode="External"/><Relationship Id="rId1913" Type="http://schemas.openxmlformats.org/officeDocument/2006/relationships/hyperlink" Target="https://thumbcdn.com/splash/1kcgmwkz7jc3olel.jpg" TargetMode="External"/><Relationship Id="rId287" Type="http://schemas.openxmlformats.org/officeDocument/2006/relationships/hyperlink" Target="https://thumbcdn.com/splash/w8y1r93g2ipvpvdk.jpg" TargetMode="External"/><Relationship Id="rId494" Type="http://schemas.openxmlformats.org/officeDocument/2006/relationships/hyperlink" Target="https://thumbcdn.com/splash/fbgcou5uz8ohak9a.jpg" TargetMode="External"/><Relationship Id="rId2175" Type="http://schemas.openxmlformats.org/officeDocument/2006/relationships/hyperlink" Target="https://thumbcdn.com/splash/bsive4ddj8ftei41.jpg" TargetMode="External"/><Relationship Id="rId147" Type="http://schemas.openxmlformats.org/officeDocument/2006/relationships/hyperlink" Target="https://thumbcdn.com/splash/ykarz4vpya8cnywz.jpg" TargetMode="External"/><Relationship Id="rId354" Type="http://schemas.openxmlformats.org/officeDocument/2006/relationships/hyperlink" Target="https://thumbcdn.com/splash/7xft28dz6tqznkn8.jpg" TargetMode="External"/><Relationship Id="rId799" Type="http://schemas.openxmlformats.org/officeDocument/2006/relationships/hyperlink" Target="https://thumbcdn.com/splash/g8xdfj36orjzdvb6.jpg" TargetMode="External"/><Relationship Id="rId1191" Type="http://schemas.openxmlformats.org/officeDocument/2006/relationships/hyperlink" Target="https://thumbcdn.com/splash/erq0grjccc4wmh6s.jpg" TargetMode="External"/><Relationship Id="rId2035" Type="http://schemas.openxmlformats.org/officeDocument/2006/relationships/hyperlink" Target="https://thumbcdn.com/splash/j3jv7n4hfw71ph6f.jpg" TargetMode="External"/><Relationship Id="rId561" Type="http://schemas.openxmlformats.org/officeDocument/2006/relationships/hyperlink" Target="https://thumbcdn.com/splash/2i1licq67c5jqb9f.jpg" TargetMode="External"/><Relationship Id="rId659" Type="http://schemas.openxmlformats.org/officeDocument/2006/relationships/hyperlink" Target="https://thumbcdn.com/splash/zl1arepseenhhi3h.jpg" TargetMode="External"/><Relationship Id="rId866" Type="http://schemas.openxmlformats.org/officeDocument/2006/relationships/hyperlink" Target="https://thumbcdn.com/splash/c078h5vsvqzzpe93.jpg" TargetMode="External"/><Relationship Id="rId1289" Type="http://schemas.openxmlformats.org/officeDocument/2006/relationships/hyperlink" Target="https://thumbcdn.com/splash/bw1fa59o8r7q2kjt.jpg" TargetMode="External"/><Relationship Id="rId1496" Type="http://schemas.openxmlformats.org/officeDocument/2006/relationships/hyperlink" Target="https://thumbcdn.com/splash/nede3ob7fkqzcowe.jpg" TargetMode="External"/><Relationship Id="rId2242" Type="http://schemas.openxmlformats.org/officeDocument/2006/relationships/hyperlink" Target="https://thumbcdn.com/splash/wozj1n06l2yy2mv5.jpg" TargetMode="External"/><Relationship Id="rId214" Type="http://schemas.openxmlformats.org/officeDocument/2006/relationships/hyperlink" Target="https://thumbcdn.com/splash/kt5xjuzxr9fccj9b.jpg" TargetMode="External"/><Relationship Id="rId421" Type="http://schemas.openxmlformats.org/officeDocument/2006/relationships/hyperlink" Target="https://thumbcdn.com/splash/n6h40vgejo3q6myq.jpg" TargetMode="External"/><Relationship Id="rId519" Type="http://schemas.openxmlformats.org/officeDocument/2006/relationships/hyperlink" Target="https://thumbcdn.com/splash/b4jfshe4fxjqpqbx.jpg" TargetMode="External"/><Relationship Id="rId1051" Type="http://schemas.openxmlformats.org/officeDocument/2006/relationships/hyperlink" Target="https://thumbcdn.com/splash/aqvsl8820cybzz9i.jpg" TargetMode="External"/><Relationship Id="rId1149" Type="http://schemas.openxmlformats.org/officeDocument/2006/relationships/hyperlink" Target="https://thumbcdn.com/splash/p9udrgn069hezqmd.jpg" TargetMode="External"/><Relationship Id="rId1356" Type="http://schemas.openxmlformats.org/officeDocument/2006/relationships/hyperlink" Target="https://thumbcdn.com/splash/bx2l8w3sxl3vu3qb.jpg" TargetMode="External"/><Relationship Id="rId2102" Type="http://schemas.openxmlformats.org/officeDocument/2006/relationships/hyperlink" Target="https://thumbcdn.com/splash/1fyevo6xoxi5hyue.jpg" TargetMode="External"/><Relationship Id="rId726" Type="http://schemas.openxmlformats.org/officeDocument/2006/relationships/hyperlink" Target="https://thumbcdn.com/splash/cfdcmu4nh5qcm1rs.jpg" TargetMode="External"/><Relationship Id="rId933" Type="http://schemas.openxmlformats.org/officeDocument/2006/relationships/hyperlink" Target="https://thumbcdn.com/splash/ks1qju9zwlzo5hzn.jpg" TargetMode="External"/><Relationship Id="rId1009" Type="http://schemas.openxmlformats.org/officeDocument/2006/relationships/hyperlink" Target="https://thumbcdn.com/splash/x9yyskptozsh3ycf.jpg" TargetMode="External"/><Relationship Id="rId1563" Type="http://schemas.openxmlformats.org/officeDocument/2006/relationships/hyperlink" Target="https://thumbcdn.com/splash/sh3815tl1h6kwpky.jpg" TargetMode="External"/><Relationship Id="rId1770" Type="http://schemas.openxmlformats.org/officeDocument/2006/relationships/hyperlink" Target="https://thumbcdn.com/splash/7s6zu1gltnqdecvp.jpg" TargetMode="External"/><Relationship Id="rId1868" Type="http://schemas.openxmlformats.org/officeDocument/2006/relationships/hyperlink" Target="https://thumbcdn.com/splash/uf819or1ezzp7lgr.jpg" TargetMode="External"/><Relationship Id="rId62" Type="http://schemas.openxmlformats.org/officeDocument/2006/relationships/hyperlink" Target="https://thumbcdn.com/splash/sdpo7aqz7biqqzer.jpg" TargetMode="External"/><Relationship Id="rId1216" Type="http://schemas.openxmlformats.org/officeDocument/2006/relationships/hyperlink" Target="https://thumbcdn.com/splash/5oj830bmuhqjngnq.jpg" TargetMode="External"/><Relationship Id="rId1423" Type="http://schemas.openxmlformats.org/officeDocument/2006/relationships/hyperlink" Target="https://thumbcdn.com/splash/hyak0jd89a234w0o.jpg" TargetMode="External"/><Relationship Id="rId1630" Type="http://schemas.openxmlformats.org/officeDocument/2006/relationships/hyperlink" Target="https://thumbcdn.com/splash/sqf3pcvv69tht6g8.jpg" TargetMode="External"/><Relationship Id="rId1728" Type="http://schemas.openxmlformats.org/officeDocument/2006/relationships/hyperlink" Target="https://thumbcdn.com/splash/ayft1ybh8enpxsd7.jpg" TargetMode="External"/><Relationship Id="rId1935" Type="http://schemas.openxmlformats.org/officeDocument/2006/relationships/hyperlink" Target="https://thumbcdn.com/splash/l34u1j41dl2jdcc3.jpg" TargetMode="External"/><Relationship Id="rId2197" Type="http://schemas.openxmlformats.org/officeDocument/2006/relationships/hyperlink" Target="https://thumbcdn.com/splash/c8vskzx9ps698af2.jpg" TargetMode="External"/><Relationship Id="rId169" Type="http://schemas.openxmlformats.org/officeDocument/2006/relationships/hyperlink" Target="https://thumbcdn.com/splash/1zhkrua1cttsmy62.jpg" TargetMode="External"/><Relationship Id="rId376" Type="http://schemas.openxmlformats.org/officeDocument/2006/relationships/hyperlink" Target="https://thumbcdn.com/splash/fuuu3k5kz6lqaey5.jpg" TargetMode="External"/><Relationship Id="rId583" Type="http://schemas.openxmlformats.org/officeDocument/2006/relationships/hyperlink" Target="https://thumbcdn.com/splash/7u8g630hv9t2h4ra.jpg" TargetMode="External"/><Relationship Id="rId790" Type="http://schemas.openxmlformats.org/officeDocument/2006/relationships/hyperlink" Target="https://thumbcdn.com/splash/6v0txz8rx1roh9l0.jpg" TargetMode="External"/><Relationship Id="rId2057" Type="http://schemas.openxmlformats.org/officeDocument/2006/relationships/hyperlink" Target="https://thumbcdn.com/splash/1w8d08kglpqfpyrh.jpg" TargetMode="External"/><Relationship Id="rId2264" Type="http://schemas.openxmlformats.org/officeDocument/2006/relationships/hyperlink" Target="https://thumbcdn.com/splash/wn8w3lnm6naag7vz.jpg" TargetMode="External"/><Relationship Id="rId4" Type="http://schemas.openxmlformats.org/officeDocument/2006/relationships/hyperlink" Target="https://thumbcdn.com/splash/hh6btwx54i0ymciq.jpg" TargetMode="External"/><Relationship Id="rId236" Type="http://schemas.openxmlformats.org/officeDocument/2006/relationships/hyperlink" Target="https://thumbcdn.com/splash/qk7u4wmrfns0694k.jpg" TargetMode="External"/><Relationship Id="rId443" Type="http://schemas.openxmlformats.org/officeDocument/2006/relationships/hyperlink" Target="https://thumbcdn.com/splash/tstfiqrw52kwp4bs.jpg" TargetMode="External"/><Relationship Id="rId650" Type="http://schemas.openxmlformats.org/officeDocument/2006/relationships/hyperlink" Target="https://thumbcdn.com/splash/pesqdyhuupa64hy4.jpg" TargetMode="External"/><Relationship Id="rId888" Type="http://schemas.openxmlformats.org/officeDocument/2006/relationships/hyperlink" Target="https://thumbcdn.com/splash/ygv1u0i5s6kus24k.jpg" TargetMode="External"/><Relationship Id="rId1073" Type="http://schemas.openxmlformats.org/officeDocument/2006/relationships/hyperlink" Target="https://thumbcdn.com/splash/kytv8g5jdfwagjbs.jpg" TargetMode="External"/><Relationship Id="rId1280" Type="http://schemas.openxmlformats.org/officeDocument/2006/relationships/hyperlink" Target="https://thumbcdn.com/splash/o9t39glivox6h604.jpg" TargetMode="External"/><Relationship Id="rId2124" Type="http://schemas.openxmlformats.org/officeDocument/2006/relationships/hyperlink" Target="https://thumbcdn.com/splash/8v0ggfn655p9kr51.jpg" TargetMode="External"/><Relationship Id="rId303" Type="http://schemas.openxmlformats.org/officeDocument/2006/relationships/hyperlink" Target="https://thumbcdn.com/splash/gwq1t5jz1pb9k51s.jpg" TargetMode="External"/><Relationship Id="rId748" Type="http://schemas.openxmlformats.org/officeDocument/2006/relationships/hyperlink" Target="https://thumbcdn.com/splash/7s4ltule2cmzojor.jpg" TargetMode="External"/><Relationship Id="rId955" Type="http://schemas.openxmlformats.org/officeDocument/2006/relationships/hyperlink" Target="https://thumbcdn.com/splash/2rf166nvouyk2s27.jpg" TargetMode="External"/><Relationship Id="rId1140" Type="http://schemas.openxmlformats.org/officeDocument/2006/relationships/hyperlink" Target="https://thumbcdn.com/splash/zqhsxk5yc3pkxc62.jpg" TargetMode="External"/><Relationship Id="rId1378" Type="http://schemas.openxmlformats.org/officeDocument/2006/relationships/hyperlink" Target="https://thumbcdn.com/splash/fjvvntw2c06vzom7.jpg" TargetMode="External"/><Relationship Id="rId1585" Type="http://schemas.openxmlformats.org/officeDocument/2006/relationships/hyperlink" Target="https://thumbcdn.com/splash/7xdx7a7sohgvzyll.jpg" TargetMode="External"/><Relationship Id="rId1792" Type="http://schemas.openxmlformats.org/officeDocument/2006/relationships/hyperlink" Target="https://thumbcdn.com/splash/1gisdaijyw6bg7i0.jpg" TargetMode="External"/><Relationship Id="rId84" Type="http://schemas.openxmlformats.org/officeDocument/2006/relationships/hyperlink" Target="https://thumbcdn.com/splash/st5xhfgjh22vdpjr.jpg" TargetMode="External"/><Relationship Id="rId510" Type="http://schemas.openxmlformats.org/officeDocument/2006/relationships/hyperlink" Target="https://thumbcdn.com/splash/b9dywvzzrnr67i8b.jpg" TargetMode="External"/><Relationship Id="rId608" Type="http://schemas.openxmlformats.org/officeDocument/2006/relationships/hyperlink" Target="https://thumbcdn.com/splash/hxg9ic2u0fvi4nxc.jpg" TargetMode="External"/><Relationship Id="rId815" Type="http://schemas.openxmlformats.org/officeDocument/2006/relationships/hyperlink" Target="https://thumbcdn.com/splash/0cdoc4q7q98u7wf3.jpg" TargetMode="External"/><Relationship Id="rId1238" Type="http://schemas.openxmlformats.org/officeDocument/2006/relationships/hyperlink" Target="https://thumbcdn.com/splash/fzrnbe8hkzw6ehdr.jpg" TargetMode="External"/><Relationship Id="rId1445" Type="http://schemas.openxmlformats.org/officeDocument/2006/relationships/hyperlink" Target="https://thumbcdn.com/splash/z8012xxtt014huuu.jpg" TargetMode="External"/><Relationship Id="rId1652" Type="http://schemas.openxmlformats.org/officeDocument/2006/relationships/hyperlink" Target="https://thumbcdn.com/splash/8ma5hyvumtd93lmb.jpg" TargetMode="External"/><Relationship Id="rId1000" Type="http://schemas.openxmlformats.org/officeDocument/2006/relationships/hyperlink" Target="https://thumbcdn.com/splash/5ug1iw000datipvj.jpg" TargetMode="External"/><Relationship Id="rId1305" Type="http://schemas.openxmlformats.org/officeDocument/2006/relationships/hyperlink" Target="https://thumbcdn.com/splash/2k00ma092zq122bh.jpg" TargetMode="External"/><Relationship Id="rId1957" Type="http://schemas.openxmlformats.org/officeDocument/2006/relationships/hyperlink" Target="https://thumbcdn.com/splash/simialc1l773mkeo.jpg" TargetMode="External"/><Relationship Id="rId1512" Type="http://schemas.openxmlformats.org/officeDocument/2006/relationships/hyperlink" Target="https://thumbcdn.com/splash/hw3jrd1lfs2sgp6e.jpg" TargetMode="External"/><Relationship Id="rId1817" Type="http://schemas.openxmlformats.org/officeDocument/2006/relationships/hyperlink" Target="https://thumbcdn.com/splash/knn09brkd43zrf5n.jpg" TargetMode="External"/><Relationship Id="rId11" Type="http://schemas.openxmlformats.org/officeDocument/2006/relationships/hyperlink" Target="https://thumbcdn.com/splash/ulyf1nrhddqddcrh.jpg" TargetMode="External"/><Relationship Id="rId398" Type="http://schemas.openxmlformats.org/officeDocument/2006/relationships/hyperlink" Target="https://thumbcdn.com/splash/e1w74r3nznqdhmzh.jpg" TargetMode="External"/><Relationship Id="rId2079" Type="http://schemas.openxmlformats.org/officeDocument/2006/relationships/hyperlink" Target="https://thumbcdn.com/splash/rcnza2xvbh37uayw.jpg" TargetMode="External"/><Relationship Id="rId160" Type="http://schemas.openxmlformats.org/officeDocument/2006/relationships/hyperlink" Target="https://thumbcdn.com/splash/qci0rv1nly1s8pjy.jpg" TargetMode="External"/><Relationship Id="rId258" Type="http://schemas.openxmlformats.org/officeDocument/2006/relationships/hyperlink" Target="https://thumbcdn.com/splash/hz74kg4dxp5emymu.jpg" TargetMode="External"/><Relationship Id="rId465" Type="http://schemas.openxmlformats.org/officeDocument/2006/relationships/hyperlink" Target="https://thumbcdn.com/splash/ccoify2z7qd9ivip.jpg" TargetMode="External"/><Relationship Id="rId672" Type="http://schemas.openxmlformats.org/officeDocument/2006/relationships/hyperlink" Target="https://thumbcdn.com/splash/fkzpzwpwxbbb3h4n.jpg" TargetMode="External"/><Relationship Id="rId1095" Type="http://schemas.openxmlformats.org/officeDocument/2006/relationships/hyperlink" Target="https://thumbcdn.com/splash/s7aicwm4moe27ism.jpg" TargetMode="External"/><Relationship Id="rId2146" Type="http://schemas.openxmlformats.org/officeDocument/2006/relationships/hyperlink" Target="https://thumbcdn.com/splash/6mltmt9qg1pxefjh.jpg" TargetMode="External"/><Relationship Id="rId118" Type="http://schemas.openxmlformats.org/officeDocument/2006/relationships/hyperlink" Target="https://thumbcdn.com/splash/plplgrvgfbhjlxag.jpg" TargetMode="External"/><Relationship Id="rId325" Type="http://schemas.openxmlformats.org/officeDocument/2006/relationships/hyperlink" Target="https://thumbcdn.com/splash/14cxzrasoblnkk6j.jpg" TargetMode="External"/><Relationship Id="rId532" Type="http://schemas.openxmlformats.org/officeDocument/2006/relationships/hyperlink" Target="https://thumbcdn.com/splash/5nuvjrif0acni17q.jpg" TargetMode="External"/><Relationship Id="rId977" Type="http://schemas.openxmlformats.org/officeDocument/2006/relationships/hyperlink" Target="https://thumbcdn.com/splash/lftmgmhdsi115etb.jpg" TargetMode="External"/><Relationship Id="rId1162" Type="http://schemas.openxmlformats.org/officeDocument/2006/relationships/hyperlink" Target="https://thumbcdn.com/splash/k4bp4ynavw6jx7yy.jpg" TargetMode="External"/><Relationship Id="rId2006" Type="http://schemas.openxmlformats.org/officeDocument/2006/relationships/hyperlink" Target="https://thumbcdn.com/splash/0zchu7pxukohv2wt.jpg" TargetMode="External"/><Relationship Id="rId2213" Type="http://schemas.openxmlformats.org/officeDocument/2006/relationships/hyperlink" Target="https://thumbcdn.com/splash/pto0ml9mfzubbqoj.jpg" TargetMode="External"/><Relationship Id="rId837" Type="http://schemas.openxmlformats.org/officeDocument/2006/relationships/hyperlink" Target="https://thumbcdn.com/splash/92hmx0va27we0mw1.jpg" TargetMode="External"/><Relationship Id="rId1022" Type="http://schemas.openxmlformats.org/officeDocument/2006/relationships/hyperlink" Target="https://thumbcdn.com/splash/ub5tbiuh9ojuk7xg.jpg" TargetMode="External"/><Relationship Id="rId1467" Type="http://schemas.openxmlformats.org/officeDocument/2006/relationships/hyperlink" Target="https://thumbcdn.com/splash/icx4zmvv2iyq46sk.jpg" TargetMode="External"/><Relationship Id="rId1674" Type="http://schemas.openxmlformats.org/officeDocument/2006/relationships/hyperlink" Target="https://thumbcdn.com/splash/vct1aqp6cxb8g54e.jpg" TargetMode="External"/><Relationship Id="rId1881" Type="http://schemas.openxmlformats.org/officeDocument/2006/relationships/hyperlink" Target="https://thumbcdn.com/splash/8a8q6llra9l21rp3.jpg" TargetMode="External"/><Relationship Id="rId904" Type="http://schemas.openxmlformats.org/officeDocument/2006/relationships/hyperlink" Target="https://thumbcdn.com/splash/3oa7byqds6jsu1we.jpg" TargetMode="External"/><Relationship Id="rId1327" Type="http://schemas.openxmlformats.org/officeDocument/2006/relationships/hyperlink" Target="https://thumbcdn.com/splash/j50got99s11pi7bl.jpg" TargetMode="External"/><Relationship Id="rId1534" Type="http://schemas.openxmlformats.org/officeDocument/2006/relationships/hyperlink" Target="https://thumbcdn.com/splash/pqzisv0cpvt6mvat.jpg" TargetMode="External"/><Relationship Id="rId1741" Type="http://schemas.openxmlformats.org/officeDocument/2006/relationships/hyperlink" Target="https://thumbcdn.com/splash/emhzt3lsoinjc7l3.jpg" TargetMode="External"/><Relationship Id="rId1979" Type="http://schemas.openxmlformats.org/officeDocument/2006/relationships/hyperlink" Target="https://thumbcdn.com/splash/bdhciag26enzyq2s.jpg" TargetMode="External"/><Relationship Id="rId33" Type="http://schemas.openxmlformats.org/officeDocument/2006/relationships/hyperlink" Target="https://thumbcdn.com/splash/ulyf1nrhddqddcrh.jpg" TargetMode="External"/><Relationship Id="rId1601" Type="http://schemas.openxmlformats.org/officeDocument/2006/relationships/hyperlink" Target="https://thumbcdn.com/splash/bscts9blvmjiefr4.jpg" TargetMode="External"/><Relationship Id="rId1839" Type="http://schemas.openxmlformats.org/officeDocument/2006/relationships/hyperlink" Target="https://thumbcdn.com/splash/zel27x8t100cc6w5.jpg" TargetMode="External"/><Relationship Id="rId182" Type="http://schemas.openxmlformats.org/officeDocument/2006/relationships/hyperlink" Target="https://thumbcdn.com/splash/i8h2ngeuzpolld3n.jpg" TargetMode="External"/><Relationship Id="rId1906" Type="http://schemas.openxmlformats.org/officeDocument/2006/relationships/hyperlink" Target="https://thumbcdn.com/splash/zd9g7e9ofuemm7kd.jpg" TargetMode="External"/><Relationship Id="rId487" Type="http://schemas.openxmlformats.org/officeDocument/2006/relationships/hyperlink" Target="https://thumbcdn.com/splash/4yfjg7735fcyh9wg.jpg" TargetMode="External"/><Relationship Id="rId694" Type="http://schemas.openxmlformats.org/officeDocument/2006/relationships/hyperlink" Target="https://thumbcdn.com/splash/hrqzhuq3i88j79jr.jpg" TargetMode="External"/><Relationship Id="rId2070" Type="http://schemas.openxmlformats.org/officeDocument/2006/relationships/hyperlink" Target="https://thumbcdn.com/splash/9o10nc169s16pk0d.jpg" TargetMode="External"/><Relationship Id="rId2168" Type="http://schemas.openxmlformats.org/officeDocument/2006/relationships/hyperlink" Target="https://thumbcdn.com/splash/rtx23i5aj6ezx0hi.jpg" TargetMode="External"/><Relationship Id="rId347" Type="http://schemas.openxmlformats.org/officeDocument/2006/relationships/hyperlink" Target="https://thumbcdn.com/splash/6hri671wcccn8k8g.jpg" TargetMode="External"/><Relationship Id="rId999" Type="http://schemas.openxmlformats.org/officeDocument/2006/relationships/hyperlink" Target="https://thumbcdn.com/splash/s81zx1jw2f4zttxt.jpg" TargetMode="External"/><Relationship Id="rId1184" Type="http://schemas.openxmlformats.org/officeDocument/2006/relationships/hyperlink" Target="https://thumbcdn.com/splash/480js0ibdl7ihfl8.jpg" TargetMode="External"/><Relationship Id="rId2028" Type="http://schemas.openxmlformats.org/officeDocument/2006/relationships/hyperlink" Target="https://thumbcdn.com/splash/2evlmoubwab44lta.jpg" TargetMode="External"/><Relationship Id="rId554" Type="http://schemas.openxmlformats.org/officeDocument/2006/relationships/hyperlink" Target="https://thumbcdn.com/splash/zghgrbosg69u2c9r.jpg" TargetMode="External"/><Relationship Id="rId761" Type="http://schemas.openxmlformats.org/officeDocument/2006/relationships/hyperlink" Target="https://thumbcdn.com/splash/x5d7huqo7jayvt34.jpg" TargetMode="External"/><Relationship Id="rId859" Type="http://schemas.openxmlformats.org/officeDocument/2006/relationships/hyperlink" Target="https://thumbcdn.com/splash/rop8o5inzdyl4of4.jpg" TargetMode="External"/><Relationship Id="rId1391" Type="http://schemas.openxmlformats.org/officeDocument/2006/relationships/hyperlink" Target="https://thumbcdn.com/splash/lsxvn3uq85bek2ls.jpg" TargetMode="External"/><Relationship Id="rId1489" Type="http://schemas.openxmlformats.org/officeDocument/2006/relationships/hyperlink" Target="https://thumbcdn.com/splash/g7cybym1bi44vbg3.jpg" TargetMode="External"/><Relationship Id="rId1696" Type="http://schemas.openxmlformats.org/officeDocument/2006/relationships/hyperlink" Target="https://thumbcdn.com/splash/zw0kr7vtihzbkfco.jpg" TargetMode="External"/><Relationship Id="rId2235" Type="http://schemas.openxmlformats.org/officeDocument/2006/relationships/hyperlink" Target="https://thumbcdn.com/splash/drxepnpru24kh2x5.jpg" TargetMode="External"/><Relationship Id="rId207" Type="http://schemas.openxmlformats.org/officeDocument/2006/relationships/hyperlink" Target="https://thumbcdn.com/splash/u37lcsw07r6gfw25.jpg" TargetMode="External"/><Relationship Id="rId414" Type="http://schemas.openxmlformats.org/officeDocument/2006/relationships/hyperlink" Target="https://thumbcdn.com/splash/cotu9vlo0g00c0qo.jpg" TargetMode="External"/><Relationship Id="rId621" Type="http://schemas.openxmlformats.org/officeDocument/2006/relationships/hyperlink" Target="https://thumbcdn.com/splash/u37lcsw07r6gfw25.jpg" TargetMode="External"/><Relationship Id="rId1044" Type="http://schemas.openxmlformats.org/officeDocument/2006/relationships/hyperlink" Target="https://thumbcdn.com/splash/sf0n16nugluhvri9.jpg" TargetMode="External"/><Relationship Id="rId1251" Type="http://schemas.openxmlformats.org/officeDocument/2006/relationships/hyperlink" Target="https://thumbcdn.com/splash/rcnza2xvbh37uayw.jpg" TargetMode="External"/><Relationship Id="rId1349" Type="http://schemas.openxmlformats.org/officeDocument/2006/relationships/hyperlink" Target="https://thumbcdn.com/splash/604fjxy44zwlpxiq.jpg" TargetMode="External"/><Relationship Id="rId719" Type="http://schemas.openxmlformats.org/officeDocument/2006/relationships/hyperlink" Target="https://thumbcdn.com/splash/5hj8ybgbao7ugubo.jpg" TargetMode="External"/><Relationship Id="rId926" Type="http://schemas.openxmlformats.org/officeDocument/2006/relationships/hyperlink" Target="https://thumbcdn.com/splash/9vicz8nfilacc8ha.jpg" TargetMode="External"/><Relationship Id="rId1111" Type="http://schemas.openxmlformats.org/officeDocument/2006/relationships/hyperlink" Target="https://thumbcdn.com/splash/x28nzwvhjjuhx3gv.jpg" TargetMode="External"/><Relationship Id="rId1556" Type="http://schemas.openxmlformats.org/officeDocument/2006/relationships/hyperlink" Target="https://thumbcdn.com/splash/zghgrbosg69u2c9r.jpg" TargetMode="External"/><Relationship Id="rId1763" Type="http://schemas.openxmlformats.org/officeDocument/2006/relationships/hyperlink" Target="https://thumbcdn.com/splash/8h4421j85vqqz3o8.jpg" TargetMode="External"/><Relationship Id="rId1970" Type="http://schemas.openxmlformats.org/officeDocument/2006/relationships/hyperlink" Target="https://thumbcdn.com/splash/yk4lplajzuuezeuh.jpg" TargetMode="External"/><Relationship Id="rId55" Type="http://schemas.openxmlformats.org/officeDocument/2006/relationships/hyperlink" Target="https://thumbcdn.com/splash/k4p0ca0y5sv3wwm2.jpg" TargetMode="External"/><Relationship Id="rId1209" Type="http://schemas.openxmlformats.org/officeDocument/2006/relationships/hyperlink" Target="https://thumbcdn.com/splash/5x14s56wj6stkp6r.jpg" TargetMode="External"/><Relationship Id="rId1416" Type="http://schemas.openxmlformats.org/officeDocument/2006/relationships/hyperlink" Target="https://thumbcdn.com/splash/sw0risa5w4pk4tar.jpg" TargetMode="External"/><Relationship Id="rId1623" Type="http://schemas.openxmlformats.org/officeDocument/2006/relationships/hyperlink" Target="https://thumbcdn.com/splash/64kcu03z0o77514x.jpg" TargetMode="External"/><Relationship Id="rId1830" Type="http://schemas.openxmlformats.org/officeDocument/2006/relationships/hyperlink" Target="https://thumbcdn.com/splash/m3okvacbdi23eesh.jpg" TargetMode="External"/><Relationship Id="rId1928" Type="http://schemas.openxmlformats.org/officeDocument/2006/relationships/hyperlink" Target="https://thumbcdn.com/splash/cl3bzxp8ec2jwj55.jpg" TargetMode="External"/><Relationship Id="rId2092" Type="http://schemas.openxmlformats.org/officeDocument/2006/relationships/hyperlink" Target="https://thumbcdn.com/splash/2mtcljl7iyp1fxgt.jpg" TargetMode="External"/><Relationship Id="rId271" Type="http://schemas.openxmlformats.org/officeDocument/2006/relationships/hyperlink" Target="https://thumbcdn.com/splash/qygr09p6z3q7athp.jpg" TargetMode="External"/><Relationship Id="rId131" Type="http://schemas.openxmlformats.org/officeDocument/2006/relationships/hyperlink" Target="https://thumbcdn.com/splash/3sj6gimgmvse60qs.jpg" TargetMode="External"/><Relationship Id="rId369" Type="http://schemas.openxmlformats.org/officeDocument/2006/relationships/hyperlink" Target="https://thumbcdn.com/splash/hyq42qw1j2t31apj.jpg" TargetMode="External"/><Relationship Id="rId576" Type="http://schemas.openxmlformats.org/officeDocument/2006/relationships/hyperlink" Target="https://thumbcdn.com/splash/bitqspbde7qljsn1.jpg" TargetMode="External"/><Relationship Id="rId783" Type="http://schemas.openxmlformats.org/officeDocument/2006/relationships/hyperlink" Target="https://thumbcdn.com/splash/ayft1ybh8enpxsd7.jpg" TargetMode="External"/><Relationship Id="rId990" Type="http://schemas.openxmlformats.org/officeDocument/2006/relationships/hyperlink" Target="https://thumbcdn.com/splash/hu7l5ajvt2dfsnz7.jpg" TargetMode="External"/><Relationship Id="rId2257" Type="http://schemas.openxmlformats.org/officeDocument/2006/relationships/hyperlink" Target="https://thumbcdn.com/splash/8y64adf7w5zxbscu.jpg" TargetMode="External"/><Relationship Id="rId229" Type="http://schemas.openxmlformats.org/officeDocument/2006/relationships/hyperlink" Target="https://thumbcdn.com/splash/jufwwohl4j2hs1rp.jpg" TargetMode="External"/><Relationship Id="rId436" Type="http://schemas.openxmlformats.org/officeDocument/2006/relationships/hyperlink" Target="https://thumbcdn.com/splash/2b4t16qxkqwa6ewj.jpg" TargetMode="External"/><Relationship Id="rId643" Type="http://schemas.openxmlformats.org/officeDocument/2006/relationships/hyperlink" Target="https://thumbcdn.com/splash/64kcu03z0o77514x.jpg" TargetMode="External"/><Relationship Id="rId1066" Type="http://schemas.openxmlformats.org/officeDocument/2006/relationships/hyperlink" Target="https://thumbcdn.com/splash/vexcxkh310ro18pw.jpg" TargetMode="External"/><Relationship Id="rId1273" Type="http://schemas.openxmlformats.org/officeDocument/2006/relationships/hyperlink" Target="https://thumbcdn.com/splash/airkbtw9jpluxd5i.jpg" TargetMode="External"/><Relationship Id="rId1480" Type="http://schemas.openxmlformats.org/officeDocument/2006/relationships/hyperlink" Target="https://thumbcdn.com/splash/0w0wui41zxj7lsvv.jpg" TargetMode="External"/><Relationship Id="rId2117" Type="http://schemas.openxmlformats.org/officeDocument/2006/relationships/hyperlink" Target="https://thumbcdn.com/splash/8pwcjiprmkum5rga.jpg" TargetMode="External"/><Relationship Id="rId850" Type="http://schemas.openxmlformats.org/officeDocument/2006/relationships/hyperlink" Target="https://thumbcdn.com/splash/nx3ezxpkxx8ek61r.jpg" TargetMode="External"/><Relationship Id="rId948" Type="http://schemas.openxmlformats.org/officeDocument/2006/relationships/hyperlink" Target="https://thumbcdn.com/splash/3xuw95b0cv4oncsr.jpg" TargetMode="External"/><Relationship Id="rId1133" Type="http://schemas.openxmlformats.org/officeDocument/2006/relationships/hyperlink" Target="https://thumbcdn.com/splash/a5ct51prezetcas4.jpg" TargetMode="External"/><Relationship Id="rId1578" Type="http://schemas.openxmlformats.org/officeDocument/2006/relationships/hyperlink" Target="https://thumbcdn.com/splash/7u8g630hv9t2h4ra.jpg" TargetMode="External"/><Relationship Id="rId1785" Type="http://schemas.openxmlformats.org/officeDocument/2006/relationships/hyperlink" Target="https://thumbcdn.com/splash/rop8o5inzdyl4of4.jpg" TargetMode="External"/><Relationship Id="rId1992" Type="http://schemas.openxmlformats.org/officeDocument/2006/relationships/hyperlink" Target="https://thumbcdn.com/splash/36pkp0omyyh1ugl0.jpg" TargetMode="External"/><Relationship Id="rId77" Type="http://schemas.openxmlformats.org/officeDocument/2006/relationships/hyperlink" Target="https://thumbcdn.com/splash/1bzsk44ytuvuunaw.jpg" TargetMode="External"/><Relationship Id="rId503" Type="http://schemas.openxmlformats.org/officeDocument/2006/relationships/hyperlink" Target="https://thumbcdn.com/splash/ef2borkf6ykogby3.jpg" TargetMode="External"/><Relationship Id="rId710" Type="http://schemas.openxmlformats.org/officeDocument/2006/relationships/hyperlink" Target="https://thumbcdn.com/splash/04r4e1l67ivsresb.jpg" TargetMode="External"/><Relationship Id="rId808" Type="http://schemas.openxmlformats.org/officeDocument/2006/relationships/hyperlink" Target="https://thumbcdn.com/splash/x9xgwod0mcaimkag.jpg" TargetMode="External"/><Relationship Id="rId1340" Type="http://schemas.openxmlformats.org/officeDocument/2006/relationships/hyperlink" Target="https://thumbcdn.com/splash/6mltmt9qg1pxefjh.jpg" TargetMode="External"/><Relationship Id="rId1438" Type="http://schemas.openxmlformats.org/officeDocument/2006/relationships/hyperlink" Target="https://thumbcdn.com/splash/88b1s2s1bqdcmh6y.jpg" TargetMode="External"/><Relationship Id="rId1645" Type="http://schemas.openxmlformats.org/officeDocument/2006/relationships/hyperlink" Target="https://thumbcdn.com/splash/fkzpzwpwxbbb3h4n.jpg" TargetMode="External"/><Relationship Id="rId1200" Type="http://schemas.openxmlformats.org/officeDocument/2006/relationships/hyperlink" Target="https://thumbcdn.com/splash/ywykjnf6v87l6o8c.jpg" TargetMode="External"/><Relationship Id="rId1852" Type="http://schemas.openxmlformats.org/officeDocument/2006/relationships/hyperlink" Target="https://thumbcdn.com/splash/3xuw95b0cv4oncsr.jpg" TargetMode="External"/><Relationship Id="rId1505" Type="http://schemas.openxmlformats.org/officeDocument/2006/relationships/hyperlink" Target="https://thumbcdn.com/splash/rabtjqh3ys1jubj1.jpg" TargetMode="External"/><Relationship Id="rId1712" Type="http://schemas.openxmlformats.org/officeDocument/2006/relationships/hyperlink" Target="https://thumbcdn.com/splash/iaqm5cxqh3m27hwr.jpg" TargetMode="External"/><Relationship Id="rId293" Type="http://schemas.openxmlformats.org/officeDocument/2006/relationships/hyperlink" Target="https://thumbcdn.com/splash/t726cb1yg1v2ov1v.jpg" TargetMode="External"/><Relationship Id="rId2181" Type="http://schemas.openxmlformats.org/officeDocument/2006/relationships/hyperlink" Target="https://thumbcdn.com/splash/njg0hcsg65mila2x.jpg" TargetMode="External"/><Relationship Id="rId153" Type="http://schemas.openxmlformats.org/officeDocument/2006/relationships/hyperlink" Target="https://thumbcdn.com/splash/gk36g89dux0zbtt8.jpg" TargetMode="External"/><Relationship Id="rId360" Type="http://schemas.openxmlformats.org/officeDocument/2006/relationships/hyperlink" Target="https://thumbcdn.com/splash/onfeibcqgx55pzji.jpg" TargetMode="External"/><Relationship Id="rId598" Type="http://schemas.openxmlformats.org/officeDocument/2006/relationships/hyperlink" Target="https://thumbcdn.com/splash/vaz0359ifxesdppn.jpg" TargetMode="External"/><Relationship Id="rId2041" Type="http://schemas.openxmlformats.org/officeDocument/2006/relationships/hyperlink" Target="https://thumbcdn.com/splash/ywykjnf6v87l6o8c.jpg" TargetMode="External"/><Relationship Id="rId2279" Type="http://schemas.openxmlformats.org/officeDocument/2006/relationships/hyperlink" Target="https://thumbcdn.com/splash/lv0ph6vdcoz2pi18.jpg" TargetMode="External"/><Relationship Id="rId220" Type="http://schemas.openxmlformats.org/officeDocument/2006/relationships/hyperlink" Target="https://thumbcdn.com/splash/jvogjjjmc9uro6df.jpg" TargetMode="External"/><Relationship Id="rId458" Type="http://schemas.openxmlformats.org/officeDocument/2006/relationships/hyperlink" Target="https://thumbcdn.com/splash/jo4fkr8zxxdwo7bq.jpg" TargetMode="External"/><Relationship Id="rId665" Type="http://schemas.openxmlformats.org/officeDocument/2006/relationships/hyperlink" Target="https://thumbcdn.com/splash/ajlojk7490gwodfq.jpg" TargetMode="External"/><Relationship Id="rId872" Type="http://schemas.openxmlformats.org/officeDocument/2006/relationships/hyperlink" Target="https://thumbcdn.com/splash/nrkwkbsfg8b30v7c.jpg" TargetMode="External"/><Relationship Id="rId1088" Type="http://schemas.openxmlformats.org/officeDocument/2006/relationships/hyperlink" Target="https://thumbcdn.com/splash/simialc1l773mkeo.jpg" TargetMode="External"/><Relationship Id="rId1295" Type="http://schemas.openxmlformats.org/officeDocument/2006/relationships/hyperlink" Target="https://thumbcdn.com/splash/utmkunjl6sjvasgs.jpg" TargetMode="External"/><Relationship Id="rId2139" Type="http://schemas.openxmlformats.org/officeDocument/2006/relationships/hyperlink" Target="https://thumbcdn.com/splash/2g2x81uj4vpfkntr.jpg" TargetMode="External"/><Relationship Id="rId318" Type="http://schemas.openxmlformats.org/officeDocument/2006/relationships/hyperlink" Target="https://thumbcdn.com/splash/re4q6du2zwftizvo.jpg" TargetMode="External"/><Relationship Id="rId525" Type="http://schemas.openxmlformats.org/officeDocument/2006/relationships/hyperlink" Target="https://thumbcdn.com/splash/ha41dn34gz88ifu6.jpg" TargetMode="External"/><Relationship Id="rId732" Type="http://schemas.openxmlformats.org/officeDocument/2006/relationships/hyperlink" Target="https://thumbcdn.com/splash/1wpq88edj2ynrbnb.jpg" TargetMode="External"/><Relationship Id="rId1155" Type="http://schemas.openxmlformats.org/officeDocument/2006/relationships/hyperlink" Target="https://thumbcdn.com/splash/33mwqeenrj3vw1i7.jpg" TargetMode="External"/><Relationship Id="rId1362" Type="http://schemas.openxmlformats.org/officeDocument/2006/relationships/hyperlink" Target="https://thumbcdn.com/splash/20zshgia87s3e9mk.jpg" TargetMode="External"/><Relationship Id="rId2206" Type="http://schemas.openxmlformats.org/officeDocument/2006/relationships/hyperlink" Target="https://thumbcdn.com/splash/faoe8tx4xezvk0am.jpg" TargetMode="External"/><Relationship Id="rId99" Type="http://schemas.openxmlformats.org/officeDocument/2006/relationships/hyperlink" Target="https://thumbcdn.com/splash/db9d8827vw1pd87z.jpg" TargetMode="External"/><Relationship Id="rId1015" Type="http://schemas.openxmlformats.org/officeDocument/2006/relationships/hyperlink" Target="https://thumbcdn.com/splash/sezte60aagwoqzb7.jpg" TargetMode="External"/><Relationship Id="rId1222" Type="http://schemas.openxmlformats.org/officeDocument/2006/relationships/hyperlink" Target="https://thumbcdn.com/splash/1w8d08kglpqfpyrh.jpg" TargetMode="External"/><Relationship Id="rId1667" Type="http://schemas.openxmlformats.org/officeDocument/2006/relationships/hyperlink" Target="https://thumbcdn.com/splash/ktxt5basqiv570b5.jpg" TargetMode="External"/><Relationship Id="rId1874" Type="http://schemas.openxmlformats.org/officeDocument/2006/relationships/hyperlink" Target="https://thumbcdn.com/splash/a3qi1sebygm2jt48.jpg" TargetMode="External"/><Relationship Id="rId1527" Type="http://schemas.openxmlformats.org/officeDocument/2006/relationships/hyperlink" Target="https://thumbcdn.com/splash/oivk4dpqz8mmufzp.jpg" TargetMode="External"/><Relationship Id="rId1734" Type="http://schemas.openxmlformats.org/officeDocument/2006/relationships/hyperlink" Target="https://thumbcdn.com/splash/aponqh6rflkunn8y.jpg" TargetMode="External"/><Relationship Id="rId1941" Type="http://schemas.openxmlformats.org/officeDocument/2006/relationships/hyperlink" Target="https://thumbcdn.com/splash/a6r0z9dxsxomeud8.jpg" TargetMode="External"/><Relationship Id="rId26" Type="http://schemas.openxmlformats.org/officeDocument/2006/relationships/hyperlink" Target="https://thumbcdn.com/splash/1bzsk44ytuvuunaw.jpg" TargetMode="External"/><Relationship Id="rId175" Type="http://schemas.openxmlformats.org/officeDocument/2006/relationships/hyperlink" Target="https://thumbcdn.com/splash/ha41dn34gz88ifu6.jpg" TargetMode="External"/><Relationship Id="rId1801" Type="http://schemas.openxmlformats.org/officeDocument/2006/relationships/hyperlink" Target="https://thumbcdn.com/splash/z7o8ey83kvod4umg.jpg" TargetMode="External"/><Relationship Id="rId382" Type="http://schemas.openxmlformats.org/officeDocument/2006/relationships/hyperlink" Target="https://thumbcdn.com/splash/oqutvnqwuiz37uwe.jpg" TargetMode="External"/><Relationship Id="rId687" Type="http://schemas.openxmlformats.org/officeDocument/2006/relationships/hyperlink" Target="https://thumbcdn.com/splash/cgsg408ttn1id42v.jpg" TargetMode="External"/><Relationship Id="rId2063" Type="http://schemas.openxmlformats.org/officeDocument/2006/relationships/hyperlink" Target="https://thumbcdn.com/splash/ha17prny65ce7unr.jpg" TargetMode="External"/><Relationship Id="rId2270" Type="http://schemas.openxmlformats.org/officeDocument/2006/relationships/hyperlink" Target="https://thumbcdn.com/splash/1cztm70f1jw9weau.jpg" TargetMode="External"/><Relationship Id="rId242" Type="http://schemas.openxmlformats.org/officeDocument/2006/relationships/hyperlink" Target="https://thumbcdn.com/splash/xwm3tmr6b01szjuc.jpg" TargetMode="External"/><Relationship Id="rId894" Type="http://schemas.openxmlformats.org/officeDocument/2006/relationships/hyperlink" Target="https://thumbcdn.com/splash/ypa5zycjg9vxzudz.jpg" TargetMode="External"/><Relationship Id="rId1177" Type="http://schemas.openxmlformats.org/officeDocument/2006/relationships/hyperlink" Target="https://thumbcdn.com/splash/cdffijzxxesotrt7.jpg" TargetMode="External"/><Relationship Id="rId2130" Type="http://schemas.openxmlformats.org/officeDocument/2006/relationships/hyperlink" Target="https://thumbcdn.com/splash/dz7rm6bgnbmbi2hm.jpg" TargetMode="External"/><Relationship Id="rId102" Type="http://schemas.openxmlformats.org/officeDocument/2006/relationships/hyperlink" Target="https://thumbcdn.com/splash/7e8932nvi3iu306z.jpg" TargetMode="External"/><Relationship Id="rId547" Type="http://schemas.openxmlformats.org/officeDocument/2006/relationships/hyperlink" Target="https://thumbcdn.com/splash/jj7vs30qnrc554cy.jpg" TargetMode="External"/><Relationship Id="rId754" Type="http://schemas.openxmlformats.org/officeDocument/2006/relationships/hyperlink" Target="https://thumbcdn.com/splash/euv59qfdd21vnhpz.jpg" TargetMode="External"/><Relationship Id="rId961" Type="http://schemas.openxmlformats.org/officeDocument/2006/relationships/hyperlink" Target="https://thumbcdn.com/splash/m5apnwbdqeqacyev.jpg" TargetMode="External"/><Relationship Id="rId1384" Type="http://schemas.openxmlformats.org/officeDocument/2006/relationships/hyperlink" Target="https://thumbcdn.com/splash/e74ck54qydy0iims.jpg" TargetMode="External"/><Relationship Id="rId1591" Type="http://schemas.openxmlformats.org/officeDocument/2006/relationships/hyperlink" Target="https://thumbcdn.com/splash/9mhp4zibtpf6j6sf.jpg" TargetMode="External"/><Relationship Id="rId1689" Type="http://schemas.openxmlformats.org/officeDocument/2006/relationships/hyperlink" Target="https://thumbcdn.com/splash/39jd48bjzdfob2rq.jpg" TargetMode="External"/><Relationship Id="rId2228" Type="http://schemas.openxmlformats.org/officeDocument/2006/relationships/hyperlink" Target="https://thumbcdn.com/splash/5nrtll6scvtby4xo.jpg" TargetMode="External"/><Relationship Id="rId90" Type="http://schemas.openxmlformats.org/officeDocument/2006/relationships/hyperlink" Target="https://thumbcdn.com/splash/c7vror99hzdidkjq.jpg" TargetMode="External"/><Relationship Id="rId407" Type="http://schemas.openxmlformats.org/officeDocument/2006/relationships/hyperlink" Target="https://thumbcdn.com/splash/3l58k8ceze66dhoo.jpg" TargetMode="External"/><Relationship Id="rId614" Type="http://schemas.openxmlformats.org/officeDocument/2006/relationships/hyperlink" Target="https://thumbcdn.com/splash/bscts9blvmjiefr4.jpg" TargetMode="External"/><Relationship Id="rId821" Type="http://schemas.openxmlformats.org/officeDocument/2006/relationships/hyperlink" Target="https://thumbcdn.com/splash/l496hx1oocpandkh.jpg" TargetMode="External"/><Relationship Id="rId1037" Type="http://schemas.openxmlformats.org/officeDocument/2006/relationships/hyperlink" Target="https://thumbcdn.com/splash/29aef2y63wr26nh1.jpg" TargetMode="External"/><Relationship Id="rId1244" Type="http://schemas.openxmlformats.org/officeDocument/2006/relationships/hyperlink" Target="https://thumbcdn.com/splash/b4581hurz6bb1mkz.jpg" TargetMode="External"/><Relationship Id="rId1451" Type="http://schemas.openxmlformats.org/officeDocument/2006/relationships/hyperlink" Target="https://thumbcdn.com/splash/uk8nkrn8qu7ul5yq.jpg" TargetMode="External"/><Relationship Id="rId1896" Type="http://schemas.openxmlformats.org/officeDocument/2006/relationships/hyperlink" Target="https://thumbcdn.com/splash/lsnuhf3j0roxyhg3.jpg" TargetMode="External"/><Relationship Id="rId919" Type="http://schemas.openxmlformats.org/officeDocument/2006/relationships/hyperlink" Target="https://thumbcdn.com/splash/m3okvacbdi23eesh.jpg" TargetMode="External"/><Relationship Id="rId1104" Type="http://schemas.openxmlformats.org/officeDocument/2006/relationships/hyperlink" Target="https://thumbcdn.com/splash/4zqpk0uk0crvvq88.jpg" TargetMode="External"/><Relationship Id="rId1311" Type="http://schemas.openxmlformats.org/officeDocument/2006/relationships/hyperlink" Target="https://thumbcdn.com/splash/8v0ggfn655p9kr51.jpg" TargetMode="External"/><Relationship Id="rId1549" Type="http://schemas.openxmlformats.org/officeDocument/2006/relationships/hyperlink" Target="https://thumbcdn.com/splash/eetpmo5bbjgqpjcf.jpg" TargetMode="External"/><Relationship Id="rId1756" Type="http://schemas.openxmlformats.org/officeDocument/2006/relationships/hyperlink" Target="https://thumbcdn.com/splash/8vb8y50zukw1nu7g.jpg" TargetMode="External"/><Relationship Id="rId1963" Type="http://schemas.openxmlformats.org/officeDocument/2006/relationships/hyperlink" Target="https://thumbcdn.com/splash/5r4e6cwud5z5s58s.jpg" TargetMode="External"/><Relationship Id="rId48" Type="http://schemas.openxmlformats.org/officeDocument/2006/relationships/hyperlink" Target="https://thumbcdn.com/splash/jp6ycg2g9yhcq7vo.jpg" TargetMode="External"/><Relationship Id="rId1409" Type="http://schemas.openxmlformats.org/officeDocument/2006/relationships/hyperlink" Target="https://thumbcdn.com/splash/l0i20y1lwtqtoxs3.jpg" TargetMode="External"/><Relationship Id="rId1616" Type="http://schemas.openxmlformats.org/officeDocument/2006/relationships/hyperlink" Target="https://thumbcdn.com/splash/rld9tl5rvj63kj2x.jpg" TargetMode="External"/><Relationship Id="rId1823" Type="http://schemas.openxmlformats.org/officeDocument/2006/relationships/hyperlink" Target="https://thumbcdn.com/splash/a8fdnm9uhnma0478.jpg" TargetMode="External"/><Relationship Id="rId197" Type="http://schemas.openxmlformats.org/officeDocument/2006/relationships/hyperlink" Target="https://thumbcdn.com/splash/dlh9fwr7cu5k8wtu.jpg" TargetMode="External"/><Relationship Id="rId2085" Type="http://schemas.openxmlformats.org/officeDocument/2006/relationships/hyperlink" Target="https://thumbcdn.com/splash/n55hjynzqlmnkai2.jpg" TargetMode="External"/><Relationship Id="rId264" Type="http://schemas.openxmlformats.org/officeDocument/2006/relationships/hyperlink" Target="https://thumbcdn.com/splash/f9m3mdoe126x8xwo.jpg" TargetMode="External"/><Relationship Id="rId471" Type="http://schemas.openxmlformats.org/officeDocument/2006/relationships/hyperlink" Target="https://thumbcdn.com/splash/cjjlmxihkmfltppl.jpg" TargetMode="External"/><Relationship Id="rId2152" Type="http://schemas.openxmlformats.org/officeDocument/2006/relationships/hyperlink" Target="https://thumbcdn.com/splash/45hk7ver9k27s5r7.jpg" TargetMode="External"/><Relationship Id="rId124" Type="http://schemas.openxmlformats.org/officeDocument/2006/relationships/hyperlink" Target="https://thumbcdn.com/splash/vu6vxo2lt1420048.jpg" TargetMode="External"/><Relationship Id="rId569" Type="http://schemas.openxmlformats.org/officeDocument/2006/relationships/hyperlink" Target="https://thumbcdn.com/splash/lfrftd6w5vhbnr2y.jpg" TargetMode="External"/><Relationship Id="rId776" Type="http://schemas.openxmlformats.org/officeDocument/2006/relationships/hyperlink" Target="https://thumbcdn.com/splash/nvku8mm6bx44ne00.jpg" TargetMode="External"/><Relationship Id="rId983" Type="http://schemas.openxmlformats.org/officeDocument/2006/relationships/hyperlink" Target="https://thumbcdn.com/splash/3eiu06q5ihfgzuwy.jpg" TargetMode="External"/><Relationship Id="rId1199" Type="http://schemas.openxmlformats.org/officeDocument/2006/relationships/hyperlink" Target="https://thumbcdn.com/splash/6bo642v4aagvqpj0.jpg" TargetMode="External"/><Relationship Id="rId331" Type="http://schemas.openxmlformats.org/officeDocument/2006/relationships/hyperlink" Target="https://thumbcdn.com/splash/jqzor7t3jna5bwcv.jpg" TargetMode="External"/><Relationship Id="rId429" Type="http://schemas.openxmlformats.org/officeDocument/2006/relationships/hyperlink" Target="https://thumbcdn.com/splash/a0pq8lra3vha3q7w.jpg" TargetMode="External"/><Relationship Id="rId636" Type="http://schemas.openxmlformats.org/officeDocument/2006/relationships/hyperlink" Target="https://thumbcdn.com/splash/qi77hk67znmrsk3h.jpg" TargetMode="External"/><Relationship Id="rId1059" Type="http://schemas.openxmlformats.org/officeDocument/2006/relationships/hyperlink" Target="https://thumbcdn.com/splash/l34u1j41dl2jdcc3.jpg" TargetMode="External"/><Relationship Id="rId1266" Type="http://schemas.openxmlformats.org/officeDocument/2006/relationships/hyperlink" Target="https://thumbcdn.com/splash/ayziylf7t7fghxyn.jpg" TargetMode="External"/><Relationship Id="rId1473" Type="http://schemas.openxmlformats.org/officeDocument/2006/relationships/hyperlink" Target="https://thumbcdn.com/splash/18frbm0tc6of856i.jpg" TargetMode="External"/><Relationship Id="rId2012" Type="http://schemas.openxmlformats.org/officeDocument/2006/relationships/hyperlink" Target="https://thumbcdn.com/splash/k4bp4ynavw6jx7yy.jpg" TargetMode="External"/><Relationship Id="rId843" Type="http://schemas.openxmlformats.org/officeDocument/2006/relationships/hyperlink" Target="https://thumbcdn.com/splash/uhysm4xcvzfbf76z.jpg" TargetMode="External"/><Relationship Id="rId1126" Type="http://schemas.openxmlformats.org/officeDocument/2006/relationships/hyperlink" Target="https://thumbcdn.com/splash/m5ejl94sfzstd3ap.jpg" TargetMode="External"/><Relationship Id="rId1680" Type="http://schemas.openxmlformats.org/officeDocument/2006/relationships/hyperlink" Target="https://thumbcdn.com/splash/5hj8ybgbao7ugubo.jpg" TargetMode="External"/><Relationship Id="rId1778" Type="http://schemas.openxmlformats.org/officeDocument/2006/relationships/hyperlink" Target="https://thumbcdn.com/splash/nx3ezxpkxx8ek61r.jpg" TargetMode="External"/><Relationship Id="rId1985" Type="http://schemas.openxmlformats.org/officeDocument/2006/relationships/hyperlink" Target="https://thumbcdn.com/splash/m5ejl94sfzstd3ap.jpg" TargetMode="External"/><Relationship Id="rId703" Type="http://schemas.openxmlformats.org/officeDocument/2006/relationships/hyperlink" Target="https://thumbcdn.com/splash/8q32v6lvz6k1npjb.jpg" TargetMode="External"/><Relationship Id="rId910" Type="http://schemas.openxmlformats.org/officeDocument/2006/relationships/hyperlink" Target="https://thumbcdn.com/splash/a8fdnm9uhnma0478.jpg" TargetMode="External"/><Relationship Id="rId1333" Type="http://schemas.openxmlformats.org/officeDocument/2006/relationships/hyperlink" Target="https://thumbcdn.com/splash/ie0zflxplln1v4yv.jpg" TargetMode="External"/><Relationship Id="rId1540" Type="http://schemas.openxmlformats.org/officeDocument/2006/relationships/hyperlink" Target="https://thumbcdn.com/splash/5nuvjrif0acni17q.jpg" TargetMode="External"/><Relationship Id="rId1638" Type="http://schemas.openxmlformats.org/officeDocument/2006/relationships/hyperlink" Target="https://thumbcdn.com/splash/zua5joblnfz4w5tr.jpg" TargetMode="External"/><Relationship Id="rId1400" Type="http://schemas.openxmlformats.org/officeDocument/2006/relationships/hyperlink" Target="https://thumbcdn.com/splash/po6h7r2o3wb7uep2.jpg" TargetMode="External"/><Relationship Id="rId1845" Type="http://schemas.openxmlformats.org/officeDocument/2006/relationships/hyperlink" Target="https://thumbcdn.com/splash/s2mkhm2hbgo9zvsg.jpg" TargetMode="External"/><Relationship Id="rId1705" Type="http://schemas.openxmlformats.org/officeDocument/2006/relationships/hyperlink" Target="https://thumbcdn.com/splash/p8781flyqg8duat2.jpg" TargetMode="External"/><Relationship Id="rId1912" Type="http://schemas.openxmlformats.org/officeDocument/2006/relationships/hyperlink" Target="https://thumbcdn.com/splash/zvd4eqjwirgejs53.jpg" TargetMode="External"/><Relationship Id="rId286" Type="http://schemas.openxmlformats.org/officeDocument/2006/relationships/hyperlink" Target="https://thumbcdn.com/splash/4gohks36uscfuypq.jpg" TargetMode="External"/><Relationship Id="rId493" Type="http://schemas.openxmlformats.org/officeDocument/2006/relationships/hyperlink" Target="https://thumbcdn.com/splash/ob317aezw9yza9xz.jpg" TargetMode="External"/><Relationship Id="rId2174" Type="http://schemas.openxmlformats.org/officeDocument/2006/relationships/hyperlink" Target="https://thumbcdn.com/splash/fjvvntw2c06vzom7.jpg" TargetMode="External"/><Relationship Id="rId146" Type="http://schemas.openxmlformats.org/officeDocument/2006/relationships/hyperlink" Target="https://thumbcdn.com/splash/dy8kl7ro6f1v5jtj.jpg" TargetMode="External"/><Relationship Id="rId353" Type="http://schemas.openxmlformats.org/officeDocument/2006/relationships/hyperlink" Target="https://thumbcdn.com/splash/plplgrvgfbhjlxag.jpg" TargetMode="External"/><Relationship Id="rId560" Type="http://schemas.openxmlformats.org/officeDocument/2006/relationships/hyperlink" Target="https://thumbcdn.com/splash/kq2qk2u0nftr623j.jpg" TargetMode="External"/><Relationship Id="rId798" Type="http://schemas.openxmlformats.org/officeDocument/2006/relationships/hyperlink" Target="https://thumbcdn.com/splash/qi58sa4zrebfc1xf.jpg" TargetMode="External"/><Relationship Id="rId1190" Type="http://schemas.openxmlformats.org/officeDocument/2006/relationships/hyperlink" Target="https://thumbcdn.com/splash/8so4jhbfzvrjqa7i.jpg" TargetMode="External"/><Relationship Id="rId2034" Type="http://schemas.openxmlformats.org/officeDocument/2006/relationships/hyperlink" Target="https://thumbcdn.com/splash/erq0grjccc4wmh6s.jpg" TargetMode="External"/><Relationship Id="rId2241" Type="http://schemas.openxmlformats.org/officeDocument/2006/relationships/hyperlink" Target="https://thumbcdn.com/splash/icx4zmvv2iyq46sk.jpg" TargetMode="External"/><Relationship Id="rId213" Type="http://schemas.openxmlformats.org/officeDocument/2006/relationships/hyperlink" Target="https://thumbcdn.com/splash/asjvdy472gd3qjr3.jpg" TargetMode="External"/><Relationship Id="rId420" Type="http://schemas.openxmlformats.org/officeDocument/2006/relationships/hyperlink" Target="https://thumbcdn.com/splash/wum1y5wnfhhh6nz8.jpg" TargetMode="External"/><Relationship Id="rId658" Type="http://schemas.openxmlformats.org/officeDocument/2006/relationships/hyperlink" Target="https://thumbcdn.com/splash/iodaz0clknrxuhxu.jpg" TargetMode="External"/><Relationship Id="rId865" Type="http://schemas.openxmlformats.org/officeDocument/2006/relationships/hyperlink" Target="https://thumbcdn.com/splash/vqqt3nybzsmxwrwq.jpg" TargetMode="External"/><Relationship Id="rId1050" Type="http://schemas.openxmlformats.org/officeDocument/2006/relationships/hyperlink" Target="https://thumbcdn.com/splash/cl3bzxp8ec2jwj55.jpg" TargetMode="External"/><Relationship Id="rId1288" Type="http://schemas.openxmlformats.org/officeDocument/2006/relationships/hyperlink" Target="https://thumbcdn.com/splash/wmxs1ih9o95tze3n.jpg" TargetMode="External"/><Relationship Id="rId1495" Type="http://schemas.openxmlformats.org/officeDocument/2006/relationships/hyperlink" Target="https://thumbcdn.com/splash/lyi7aciyv03ru733.jpg" TargetMode="External"/><Relationship Id="rId2101" Type="http://schemas.openxmlformats.org/officeDocument/2006/relationships/hyperlink" Target="https://thumbcdn.com/splash/o9t39glivox6h604.jpg" TargetMode="External"/><Relationship Id="rId518" Type="http://schemas.openxmlformats.org/officeDocument/2006/relationships/hyperlink" Target="https://thumbcdn.com/splash/4xo0ah6useo2sy1f.jpg" TargetMode="External"/><Relationship Id="rId725" Type="http://schemas.openxmlformats.org/officeDocument/2006/relationships/hyperlink" Target="https://thumbcdn.com/splash/xwm3tmr6b01szjuc.jpg" TargetMode="External"/><Relationship Id="rId932" Type="http://schemas.openxmlformats.org/officeDocument/2006/relationships/hyperlink" Target="https://thumbcdn.com/splash/hxjnv6cmsd9bsk6t.jpg" TargetMode="External"/><Relationship Id="rId1148" Type="http://schemas.openxmlformats.org/officeDocument/2006/relationships/hyperlink" Target="https://thumbcdn.com/splash/vbboqleyflxoxcsg.jpg" TargetMode="External"/><Relationship Id="rId1355" Type="http://schemas.openxmlformats.org/officeDocument/2006/relationships/hyperlink" Target="https://thumbcdn.com/splash/18d5dmspvwr9eyoc.jpg" TargetMode="External"/><Relationship Id="rId1562" Type="http://schemas.openxmlformats.org/officeDocument/2006/relationships/hyperlink" Target="https://thumbcdn.com/splash/dyjur4a3krct4ygz.jpg" TargetMode="External"/><Relationship Id="rId1008" Type="http://schemas.openxmlformats.org/officeDocument/2006/relationships/hyperlink" Target="https://thumbcdn.com/splash/pqojtvpwhxjket62.jpg" TargetMode="External"/><Relationship Id="rId1215" Type="http://schemas.openxmlformats.org/officeDocument/2006/relationships/hyperlink" Target="https://thumbcdn.com/splash/c61fo2kt9ehsjja6.jpg" TargetMode="External"/><Relationship Id="rId1422" Type="http://schemas.openxmlformats.org/officeDocument/2006/relationships/hyperlink" Target="https://thumbcdn.com/splash/rca2jtd39l4f5j0x.jpg" TargetMode="External"/><Relationship Id="rId1867" Type="http://schemas.openxmlformats.org/officeDocument/2006/relationships/hyperlink" Target="https://thumbcdn.com/splash/smwq08m4p9n7lz78.jpg" TargetMode="External"/><Relationship Id="rId61" Type="http://schemas.openxmlformats.org/officeDocument/2006/relationships/hyperlink" Target="https://thumbcdn.com/splash/9rs1zpf5n43xdwsq.jpg" TargetMode="External"/><Relationship Id="rId1727" Type="http://schemas.openxmlformats.org/officeDocument/2006/relationships/hyperlink" Target="https://thumbcdn.com/splash/c6t5lpra2m2e53do.jpg" TargetMode="External"/><Relationship Id="rId1934" Type="http://schemas.openxmlformats.org/officeDocument/2006/relationships/hyperlink" Target="https://thumbcdn.com/splash/o4sa9bg8tks2nqpd.jpg" TargetMode="External"/><Relationship Id="rId19" Type="http://schemas.openxmlformats.org/officeDocument/2006/relationships/hyperlink" Target="https://thumbcdn.com/splash/pby6fpkg6a14s1uc.jpg" TargetMode="External"/><Relationship Id="rId2196" Type="http://schemas.openxmlformats.org/officeDocument/2006/relationships/hyperlink" Target="https://thumbcdn.com/splash/iw1coteqzbfj8chq.jpg" TargetMode="External"/><Relationship Id="rId168" Type="http://schemas.openxmlformats.org/officeDocument/2006/relationships/hyperlink" Target="https://thumbcdn.com/splash/f09fepcizhq3ltry.jpg" TargetMode="External"/><Relationship Id="rId375" Type="http://schemas.openxmlformats.org/officeDocument/2006/relationships/hyperlink" Target="https://thumbcdn.com/splash/lwpwdagvn32byqen.jpg" TargetMode="External"/><Relationship Id="rId582" Type="http://schemas.openxmlformats.org/officeDocument/2006/relationships/hyperlink" Target="https://thumbcdn.com/splash/gpf4gn7omczfbmt0.jpg" TargetMode="External"/><Relationship Id="rId2056" Type="http://schemas.openxmlformats.org/officeDocument/2006/relationships/hyperlink" Target="https://thumbcdn.com/splash/86lzd3cs9ewg8k94.jpg" TargetMode="External"/><Relationship Id="rId2263" Type="http://schemas.openxmlformats.org/officeDocument/2006/relationships/hyperlink" Target="https://thumbcdn.com/splash/nede3ob7fkqzcowe.jpg" TargetMode="External"/><Relationship Id="rId3" Type="http://schemas.openxmlformats.org/officeDocument/2006/relationships/hyperlink" Target="https://thumbcdn.com/splash/mstx7nv42qlvlddi.jpg" TargetMode="External"/><Relationship Id="rId235" Type="http://schemas.openxmlformats.org/officeDocument/2006/relationships/hyperlink" Target="https://thumbcdn.com/splash/6mfnfp7bohpd02w7.jpg" TargetMode="External"/><Relationship Id="rId442" Type="http://schemas.openxmlformats.org/officeDocument/2006/relationships/hyperlink" Target="https://thumbcdn.com/splash/d69t1ppp3hau2fvf.jpg" TargetMode="External"/><Relationship Id="rId887" Type="http://schemas.openxmlformats.org/officeDocument/2006/relationships/hyperlink" Target="https://thumbcdn.com/splash/v0763gkbntsw02b8.jpg" TargetMode="External"/><Relationship Id="rId1072" Type="http://schemas.openxmlformats.org/officeDocument/2006/relationships/hyperlink" Target="https://thumbcdn.com/splash/ttlgpjn4lx7kok28.jpg" TargetMode="External"/><Relationship Id="rId2123" Type="http://schemas.openxmlformats.org/officeDocument/2006/relationships/hyperlink" Target="https://thumbcdn.com/splash/8omkx4isrt8gqara.jpg" TargetMode="External"/><Relationship Id="rId302" Type="http://schemas.openxmlformats.org/officeDocument/2006/relationships/hyperlink" Target="https://thumbcdn.com/splash/4dzrghvill6fah24.jpg" TargetMode="External"/><Relationship Id="rId747" Type="http://schemas.openxmlformats.org/officeDocument/2006/relationships/hyperlink" Target="https://thumbcdn.com/splash/53l7h4em2avcjpcq.jpg" TargetMode="External"/><Relationship Id="rId954" Type="http://schemas.openxmlformats.org/officeDocument/2006/relationships/hyperlink" Target="https://thumbcdn.com/splash/yrq55873jz4r1fxr.jpg" TargetMode="External"/><Relationship Id="rId1377" Type="http://schemas.openxmlformats.org/officeDocument/2006/relationships/hyperlink" Target="https://thumbcdn.com/splash/6ccf5xh8j6kwn8ij.jpg" TargetMode="External"/><Relationship Id="rId1584" Type="http://schemas.openxmlformats.org/officeDocument/2006/relationships/hyperlink" Target="https://thumbcdn.com/splash/tvo833qbzttzfufm.jpg" TargetMode="External"/><Relationship Id="rId1791" Type="http://schemas.openxmlformats.org/officeDocument/2006/relationships/hyperlink" Target="https://thumbcdn.com/splash/1e7pbyle2i5mpel0.jpg" TargetMode="External"/><Relationship Id="rId83" Type="http://schemas.openxmlformats.org/officeDocument/2006/relationships/hyperlink" Target="https://thumbcdn.com/splash/sxmikwy1tqlwz7ib.jpg" TargetMode="External"/><Relationship Id="rId607" Type="http://schemas.openxmlformats.org/officeDocument/2006/relationships/hyperlink" Target="https://thumbcdn.com/splash/3hojtij5qvhvx6lg.jpg" TargetMode="External"/><Relationship Id="rId814" Type="http://schemas.openxmlformats.org/officeDocument/2006/relationships/hyperlink" Target="https://thumbcdn.com/splash/wbcqsevayiqapdlx.jpg" TargetMode="External"/><Relationship Id="rId1237" Type="http://schemas.openxmlformats.org/officeDocument/2006/relationships/hyperlink" Target="https://thumbcdn.com/splash/d9g4j51ct11k88ri.jpg" TargetMode="External"/><Relationship Id="rId1444" Type="http://schemas.openxmlformats.org/officeDocument/2006/relationships/hyperlink" Target="https://thumbcdn.com/splash/j60poub18bqv6w76.jpg" TargetMode="External"/><Relationship Id="rId1651" Type="http://schemas.openxmlformats.org/officeDocument/2006/relationships/hyperlink" Target="https://thumbcdn.com/splash/kcp05ouodwcv86la.jpg" TargetMode="External"/><Relationship Id="rId1889" Type="http://schemas.openxmlformats.org/officeDocument/2006/relationships/hyperlink" Target="https://thumbcdn.com/splash/7nln4np4nosdal0b.jpg" TargetMode="External"/><Relationship Id="rId1304" Type="http://schemas.openxmlformats.org/officeDocument/2006/relationships/hyperlink" Target="https://thumbcdn.com/splash/ftxxh36yfa0c5zi8.jpg" TargetMode="External"/><Relationship Id="rId1511" Type="http://schemas.openxmlformats.org/officeDocument/2006/relationships/hyperlink" Target="https://thumbcdn.com/splash/xtyl3sqbsv2vdqvk.jpg" TargetMode="External"/><Relationship Id="rId1749" Type="http://schemas.openxmlformats.org/officeDocument/2006/relationships/hyperlink" Target="https://thumbcdn.com/splash/2h7683rt1eaxc6q5.jpg" TargetMode="External"/><Relationship Id="rId1956" Type="http://schemas.openxmlformats.org/officeDocument/2006/relationships/hyperlink" Target="https://thumbcdn.com/splash/qacc20393vngmpkh.jpg" TargetMode="External"/><Relationship Id="rId1609" Type="http://schemas.openxmlformats.org/officeDocument/2006/relationships/hyperlink" Target="https://thumbcdn.com/splash/be98bqm2luv3ihcl.jpg" TargetMode="External"/><Relationship Id="rId1816" Type="http://schemas.openxmlformats.org/officeDocument/2006/relationships/hyperlink" Target="https://thumbcdn.com/splash/rc8fmu2truzswkk4.jpg" TargetMode="External"/><Relationship Id="rId10" Type="http://schemas.openxmlformats.org/officeDocument/2006/relationships/hyperlink" Target="https://thumbcdn.com/splash/bnggdihvxysua5ro.jpg" TargetMode="External"/><Relationship Id="rId397" Type="http://schemas.openxmlformats.org/officeDocument/2006/relationships/hyperlink" Target="https://thumbcdn.com/splash/suwoxziqd9atycx8.jpg" TargetMode="External"/><Relationship Id="rId2078" Type="http://schemas.openxmlformats.org/officeDocument/2006/relationships/hyperlink" Target="https://thumbcdn.com/splash/a3qc18oy447xay8z.jpg" TargetMode="External"/><Relationship Id="rId257" Type="http://schemas.openxmlformats.org/officeDocument/2006/relationships/hyperlink" Target="https://thumbcdn.com/splash/7lcdbbq6koc4ljhf.jpg" TargetMode="External"/><Relationship Id="rId464" Type="http://schemas.openxmlformats.org/officeDocument/2006/relationships/hyperlink" Target="https://thumbcdn.com/splash/ahu3glw6x4qo3k1q.jpg" TargetMode="External"/><Relationship Id="rId1094" Type="http://schemas.openxmlformats.org/officeDocument/2006/relationships/hyperlink" Target="https://thumbcdn.com/splash/z22t6di1wo7ygzp7.jpg" TargetMode="External"/><Relationship Id="rId2145" Type="http://schemas.openxmlformats.org/officeDocument/2006/relationships/hyperlink" Target="https://thumbcdn.com/splash/9tdc5yu0zdk4j49j.jpg" TargetMode="External"/><Relationship Id="rId117" Type="http://schemas.openxmlformats.org/officeDocument/2006/relationships/hyperlink" Target="https://thumbcdn.com/splash/xc75ybuqdjt93l3w.jpg" TargetMode="External"/><Relationship Id="rId671" Type="http://schemas.openxmlformats.org/officeDocument/2006/relationships/hyperlink" Target="https://thumbcdn.com/splash/m8844r1f8zk11a2f.jpg" TargetMode="External"/><Relationship Id="rId769" Type="http://schemas.openxmlformats.org/officeDocument/2006/relationships/hyperlink" Target="https://thumbcdn.com/splash/lop4zoluuf41d2ay.jpg" TargetMode="External"/><Relationship Id="rId976" Type="http://schemas.openxmlformats.org/officeDocument/2006/relationships/hyperlink" Target="https://thumbcdn.com/splash/hgh9sd0w92oymx13.jpg" TargetMode="External"/><Relationship Id="rId1399" Type="http://schemas.openxmlformats.org/officeDocument/2006/relationships/hyperlink" Target="https://thumbcdn.com/splash/uju3yg600h1dgevu.jpg" TargetMode="External"/><Relationship Id="rId324" Type="http://schemas.openxmlformats.org/officeDocument/2006/relationships/hyperlink" Target="https://thumbcdn.com/splash/7wub0lr46a92qpzk.jpg" TargetMode="External"/><Relationship Id="rId531" Type="http://schemas.openxmlformats.org/officeDocument/2006/relationships/hyperlink" Target="https://thumbcdn.com/splash/q94obvbveyamcnj3.jpg" TargetMode="External"/><Relationship Id="rId629" Type="http://schemas.openxmlformats.org/officeDocument/2006/relationships/hyperlink" Target="https://thumbcdn.com/splash/xa1yqcmp2rwfvg5s.jpg" TargetMode="External"/><Relationship Id="rId1161" Type="http://schemas.openxmlformats.org/officeDocument/2006/relationships/hyperlink" Target="https://thumbcdn.com/splash/k6f0y5g5j3jkraum.jpg" TargetMode="External"/><Relationship Id="rId1259" Type="http://schemas.openxmlformats.org/officeDocument/2006/relationships/hyperlink" Target="https://thumbcdn.com/splash/n55hjynzqlmnkai2.jpg" TargetMode="External"/><Relationship Id="rId1466" Type="http://schemas.openxmlformats.org/officeDocument/2006/relationships/hyperlink" Target="https://thumbcdn.com/splash/kkkbcrmlaxsvbxtu.jpg" TargetMode="External"/><Relationship Id="rId2005" Type="http://schemas.openxmlformats.org/officeDocument/2006/relationships/hyperlink" Target="https://thumbcdn.com/splash/4jnn6d7aejqpebfc.jpg" TargetMode="External"/><Relationship Id="rId2212" Type="http://schemas.openxmlformats.org/officeDocument/2006/relationships/hyperlink" Target="https://thumbcdn.com/splash/b1nwguzdrodgztry.jpg" TargetMode="External"/><Relationship Id="rId836" Type="http://schemas.openxmlformats.org/officeDocument/2006/relationships/hyperlink" Target="https://thumbcdn.com/splash/4zhh4f6dgj9gctxz.jpg" TargetMode="External"/><Relationship Id="rId1021" Type="http://schemas.openxmlformats.org/officeDocument/2006/relationships/hyperlink" Target="https://thumbcdn.com/splash/2202e6q87pzza8s9.jpg" TargetMode="External"/><Relationship Id="rId1119" Type="http://schemas.openxmlformats.org/officeDocument/2006/relationships/hyperlink" Target="https://thumbcdn.com/splash/op4ndn21tlxdjzqu.jpg" TargetMode="External"/><Relationship Id="rId1673" Type="http://schemas.openxmlformats.org/officeDocument/2006/relationships/hyperlink" Target="https://thumbcdn.com/splash/04r4e1l67ivsresb.jpg" TargetMode="External"/><Relationship Id="rId1880" Type="http://schemas.openxmlformats.org/officeDocument/2006/relationships/hyperlink" Target="https://thumbcdn.com/splash/j6w9vrsom3nl9o04.jpg" TargetMode="External"/><Relationship Id="rId1978" Type="http://schemas.openxmlformats.org/officeDocument/2006/relationships/hyperlink" Target="https://thumbcdn.com/splash/hrifimtmzi4pzc0v.jpg" TargetMode="External"/><Relationship Id="rId903" Type="http://schemas.openxmlformats.org/officeDocument/2006/relationships/hyperlink" Target="https://thumbcdn.com/splash/ryclmzlmq0okqt3y.jpg" TargetMode="External"/><Relationship Id="rId1326" Type="http://schemas.openxmlformats.org/officeDocument/2006/relationships/hyperlink" Target="https://thumbcdn.com/splash/jt9ndzmkxqrx729n.jpg" TargetMode="External"/><Relationship Id="rId1533" Type="http://schemas.openxmlformats.org/officeDocument/2006/relationships/hyperlink" Target="https://thumbcdn.com/splash/72h41g4xk6me5lqu.jpg" TargetMode="External"/><Relationship Id="rId1740" Type="http://schemas.openxmlformats.org/officeDocument/2006/relationships/hyperlink" Target="https://thumbcdn.com/splash/g8xdfj36orjzdvb6.jpg" TargetMode="External"/><Relationship Id="rId32" Type="http://schemas.openxmlformats.org/officeDocument/2006/relationships/hyperlink" Target="https://thumbcdn.com/splash/cy07nlvkadbeg6lh.jpg" TargetMode="External"/><Relationship Id="rId1600" Type="http://schemas.openxmlformats.org/officeDocument/2006/relationships/hyperlink" Target="https://thumbcdn.com/splash/ngbfyce2o4hrvrmi.jpg" TargetMode="External"/><Relationship Id="rId1838" Type="http://schemas.openxmlformats.org/officeDocument/2006/relationships/hyperlink" Target="https://thumbcdn.com/splash/ez5jlaa6sbzg4af8.jpg" TargetMode="External"/><Relationship Id="rId181" Type="http://schemas.openxmlformats.org/officeDocument/2006/relationships/hyperlink" Target="https://thumbcdn.com/splash/gewcza0o3ujd8gx3.jpg" TargetMode="External"/><Relationship Id="rId1905" Type="http://schemas.openxmlformats.org/officeDocument/2006/relationships/hyperlink" Target="https://thumbcdn.com/splash/zowtgvshu3n5n1io.jpg" TargetMode="External"/><Relationship Id="rId279" Type="http://schemas.openxmlformats.org/officeDocument/2006/relationships/hyperlink" Target="https://thumbcdn.com/splash/92hmx0va27we0mw1.jpg" TargetMode="External"/><Relationship Id="rId486" Type="http://schemas.openxmlformats.org/officeDocument/2006/relationships/hyperlink" Target="https://thumbcdn.com/splash/k3i9iok565r6x0fr.jpg" TargetMode="External"/><Relationship Id="rId693" Type="http://schemas.openxmlformats.org/officeDocument/2006/relationships/hyperlink" Target="https://thumbcdn.com/splash/5lefzngavzpd2p4n.jpg" TargetMode="External"/><Relationship Id="rId2167" Type="http://schemas.openxmlformats.org/officeDocument/2006/relationships/hyperlink" Target="https://thumbcdn.com/splash/5vo5icxj6p87r9ae.jpg" TargetMode="External"/><Relationship Id="rId139" Type="http://schemas.openxmlformats.org/officeDocument/2006/relationships/hyperlink" Target="https://thumbcdn.com/splash/fnit5bux2jffm9l9.jpg" TargetMode="External"/><Relationship Id="rId346" Type="http://schemas.openxmlformats.org/officeDocument/2006/relationships/hyperlink" Target="https://thumbcdn.com/splash/29aef2y63wr26nh1.jpg" TargetMode="External"/><Relationship Id="rId553" Type="http://schemas.openxmlformats.org/officeDocument/2006/relationships/hyperlink" Target="https://thumbcdn.com/splash/j23glorvw2sewo1i.jpg" TargetMode="External"/><Relationship Id="rId760" Type="http://schemas.openxmlformats.org/officeDocument/2006/relationships/hyperlink" Target="https://thumbcdn.com/splash/icr44ccpwqes057x.jpg" TargetMode="External"/><Relationship Id="rId998" Type="http://schemas.openxmlformats.org/officeDocument/2006/relationships/hyperlink" Target="https://thumbcdn.com/splash/7nln4np4nosdal0b.jpg" TargetMode="External"/><Relationship Id="rId1183" Type="http://schemas.openxmlformats.org/officeDocument/2006/relationships/hyperlink" Target="https://thumbcdn.com/splash/2evlmoubwab44lta.jpg" TargetMode="External"/><Relationship Id="rId1390" Type="http://schemas.openxmlformats.org/officeDocument/2006/relationships/hyperlink" Target="https://thumbcdn.com/splash/nhqnov7n82joj541.jpg" TargetMode="External"/><Relationship Id="rId2027" Type="http://schemas.openxmlformats.org/officeDocument/2006/relationships/hyperlink" Target="https://thumbcdn.com/splash/x33uc81jgukly3cm.jpg" TargetMode="External"/><Relationship Id="rId2234" Type="http://schemas.openxmlformats.org/officeDocument/2006/relationships/hyperlink" Target="https://thumbcdn.com/splash/b03s9jyiyf6v6kml.jpg" TargetMode="External"/><Relationship Id="rId206" Type="http://schemas.openxmlformats.org/officeDocument/2006/relationships/hyperlink" Target="https://thumbcdn.com/splash/92t8gslazk5uutqr.jpg" TargetMode="External"/><Relationship Id="rId413" Type="http://schemas.openxmlformats.org/officeDocument/2006/relationships/hyperlink" Target="https://thumbcdn.com/splash/i6t02q1xrvt6z3ul.jpg" TargetMode="External"/><Relationship Id="rId858" Type="http://schemas.openxmlformats.org/officeDocument/2006/relationships/hyperlink" Target="https://thumbcdn.com/splash/d3y30e4qi1libsxd.jpg" TargetMode="External"/><Relationship Id="rId1043" Type="http://schemas.openxmlformats.org/officeDocument/2006/relationships/hyperlink" Target="https://thumbcdn.com/splash/1da1hqff2onwumm0.jpg" TargetMode="External"/><Relationship Id="rId1488" Type="http://schemas.openxmlformats.org/officeDocument/2006/relationships/hyperlink" Target="https://thumbcdn.com/splash/8y64adf7w5zxbscu.jpg" TargetMode="External"/><Relationship Id="rId1695" Type="http://schemas.openxmlformats.org/officeDocument/2006/relationships/hyperlink" Target="https://thumbcdn.com/splash/7bpr0egesccbuxta.jpg" TargetMode="External"/><Relationship Id="rId620" Type="http://schemas.openxmlformats.org/officeDocument/2006/relationships/hyperlink" Target="https://thumbcdn.com/splash/waxj0hitbbpxkyt1.jpg" TargetMode="External"/><Relationship Id="rId718" Type="http://schemas.openxmlformats.org/officeDocument/2006/relationships/hyperlink" Target="https://thumbcdn.com/splash/u6n3l7bluwkjh4lz.jpg" TargetMode="External"/><Relationship Id="rId925" Type="http://schemas.openxmlformats.org/officeDocument/2006/relationships/hyperlink" Target="https://thumbcdn.com/splash/q9up5m0fy4hnlx03.jpg" TargetMode="External"/><Relationship Id="rId1250" Type="http://schemas.openxmlformats.org/officeDocument/2006/relationships/hyperlink" Target="https://thumbcdn.com/splash/a3qc18oy447xay8z.jpg" TargetMode="External"/><Relationship Id="rId1348" Type="http://schemas.openxmlformats.org/officeDocument/2006/relationships/hyperlink" Target="https://thumbcdn.com/splash/45hk7ver9k27s5r7.jpg" TargetMode="External"/><Relationship Id="rId1555" Type="http://schemas.openxmlformats.org/officeDocument/2006/relationships/hyperlink" Target="https://thumbcdn.com/splash/l4fz7avabmvle6of.jpg" TargetMode="External"/><Relationship Id="rId1762" Type="http://schemas.openxmlformats.org/officeDocument/2006/relationships/hyperlink" Target="https://thumbcdn.com/splash/xc2g3aa6aidy7alw.jpg" TargetMode="External"/><Relationship Id="rId1110" Type="http://schemas.openxmlformats.org/officeDocument/2006/relationships/hyperlink" Target="https://thumbcdn.com/splash/fxw76mpq6zzi3hr4.jpg" TargetMode="External"/><Relationship Id="rId1208" Type="http://schemas.openxmlformats.org/officeDocument/2006/relationships/hyperlink" Target="https://thumbcdn.com/splash/s4nnhrnyq9g3k8ty.jpg" TargetMode="External"/><Relationship Id="rId1415" Type="http://schemas.openxmlformats.org/officeDocument/2006/relationships/hyperlink" Target="https://thumbcdn.com/splash/0ubg0maxcjjqh0b7.jpg" TargetMode="External"/><Relationship Id="rId54" Type="http://schemas.openxmlformats.org/officeDocument/2006/relationships/hyperlink" Target="https://thumbcdn.com/splash/ik1asxc31y9hfpwq.jpg" TargetMode="External"/><Relationship Id="rId1622" Type="http://schemas.openxmlformats.org/officeDocument/2006/relationships/hyperlink" Target="https://thumbcdn.com/splash/1v152u6uq6j1ltlx.jpg" TargetMode="External"/><Relationship Id="rId1927" Type="http://schemas.openxmlformats.org/officeDocument/2006/relationships/hyperlink" Target="https://thumbcdn.com/splash/spuyr5g7wsu25afa.jpg" TargetMode="External"/><Relationship Id="rId2091" Type="http://schemas.openxmlformats.org/officeDocument/2006/relationships/hyperlink" Target="https://thumbcdn.com/splash/p5efr78x660plbjy.jpg" TargetMode="External"/><Relationship Id="rId2189" Type="http://schemas.openxmlformats.org/officeDocument/2006/relationships/hyperlink" Target="https://thumbcdn.com/splash/tu50x3bdtodwgpxw.jpg" TargetMode="External"/><Relationship Id="rId270" Type="http://schemas.openxmlformats.org/officeDocument/2006/relationships/hyperlink" Target="https://thumbcdn.com/splash/mnt8nwfy3u9jawo4.jpg" TargetMode="External"/><Relationship Id="rId130" Type="http://schemas.openxmlformats.org/officeDocument/2006/relationships/hyperlink" Target="https://thumbcdn.com/splash/au0if5vr0rsx0vqs.jpg" TargetMode="External"/><Relationship Id="rId368" Type="http://schemas.openxmlformats.org/officeDocument/2006/relationships/hyperlink" Target="https://thumbcdn.com/splash/4n4matrh22axceo9.jpg" TargetMode="External"/><Relationship Id="rId575" Type="http://schemas.openxmlformats.org/officeDocument/2006/relationships/hyperlink" Target="https://thumbcdn.com/splash/fnrwq1nds51oigeg.jpg" TargetMode="External"/><Relationship Id="rId782" Type="http://schemas.openxmlformats.org/officeDocument/2006/relationships/hyperlink" Target="https://thumbcdn.com/splash/c6t5lpra2m2e53do.jpg" TargetMode="External"/><Relationship Id="rId2049" Type="http://schemas.openxmlformats.org/officeDocument/2006/relationships/hyperlink" Target="https://thumbcdn.com/splash/p3s8ugzolyjfohfb.jpg" TargetMode="External"/><Relationship Id="rId2256" Type="http://schemas.openxmlformats.org/officeDocument/2006/relationships/hyperlink" Target="https://thumbcdn.com/splash/sdiyrkz6cfjaurel.jpg" TargetMode="External"/><Relationship Id="rId228" Type="http://schemas.openxmlformats.org/officeDocument/2006/relationships/hyperlink" Target="https://thumbcdn.com/splash/5ahrn8ykuicbue2s.jpg" TargetMode="External"/><Relationship Id="rId435" Type="http://schemas.openxmlformats.org/officeDocument/2006/relationships/hyperlink" Target="https://thumbcdn.com/splash/2k00ma092zq122bh.jpg" TargetMode="External"/><Relationship Id="rId642" Type="http://schemas.openxmlformats.org/officeDocument/2006/relationships/hyperlink" Target="https://thumbcdn.com/splash/1v152u6uq6j1ltlx.jpg" TargetMode="External"/><Relationship Id="rId1065" Type="http://schemas.openxmlformats.org/officeDocument/2006/relationships/hyperlink" Target="https://thumbcdn.com/splash/7f96ese3398tjzib.jpg" TargetMode="External"/><Relationship Id="rId1272" Type="http://schemas.openxmlformats.org/officeDocument/2006/relationships/hyperlink" Target="https://thumbcdn.com/splash/0ecgsoz8erbo6xes.jpg" TargetMode="External"/><Relationship Id="rId2116" Type="http://schemas.openxmlformats.org/officeDocument/2006/relationships/hyperlink" Target="https://thumbcdn.com/splash/ervccfkvdbzlrhd9.jpg" TargetMode="External"/><Relationship Id="rId502" Type="http://schemas.openxmlformats.org/officeDocument/2006/relationships/hyperlink" Target="https://thumbcdn.com/splash/rabtjqh3ys1jubj1.jpg" TargetMode="External"/><Relationship Id="rId947" Type="http://schemas.openxmlformats.org/officeDocument/2006/relationships/hyperlink" Target="https://thumbcdn.com/splash/q1q4o4x85471ihqo.jpg" TargetMode="External"/><Relationship Id="rId1132" Type="http://schemas.openxmlformats.org/officeDocument/2006/relationships/hyperlink" Target="https://thumbcdn.com/splash/099qaj2lolpvtjjd.jpg" TargetMode="External"/><Relationship Id="rId1577" Type="http://schemas.openxmlformats.org/officeDocument/2006/relationships/hyperlink" Target="https://thumbcdn.com/splash/gpf4gn7omczfbmt0.jpg" TargetMode="External"/><Relationship Id="rId1784" Type="http://schemas.openxmlformats.org/officeDocument/2006/relationships/hyperlink" Target="https://thumbcdn.com/splash/d3y30e4qi1libsxd.jpg" TargetMode="External"/><Relationship Id="rId1991" Type="http://schemas.openxmlformats.org/officeDocument/2006/relationships/hyperlink" Target="https://thumbcdn.com/splash/fjqevtc58c357tdt.jpg" TargetMode="External"/><Relationship Id="rId76" Type="http://schemas.openxmlformats.org/officeDocument/2006/relationships/hyperlink" Target="https://thumbcdn.com/splash/jufwwohl4j2hs1rp.jpg" TargetMode="External"/><Relationship Id="rId807" Type="http://schemas.openxmlformats.org/officeDocument/2006/relationships/hyperlink" Target="https://thumbcdn.com/splash/vwslp12m20ql2ty8.jpg" TargetMode="External"/><Relationship Id="rId1437" Type="http://schemas.openxmlformats.org/officeDocument/2006/relationships/hyperlink" Target="https://thumbcdn.com/splash/3qy7rsi5qqx232pg.jpg" TargetMode="External"/><Relationship Id="rId1644" Type="http://schemas.openxmlformats.org/officeDocument/2006/relationships/hyperlink" Target="https://thumbcdn.com/splash/m8844r1f8zk11a2f.jpg" TargetMode="External"/><Relationship Id="rId1851" Type="http://schemas.openxmlformats.org/officeDocument/2006/relationships/hyperlink" Target="https://thumbcdn.com/splash/q1q4o4x85471ihqo.jpg" TargetMode="External"/><Relationship Id="rId1504" Type="http://schemas.openxmlformats.org/officeDocument/2006/relationships/hyperlink" Target="https://thumbcdn.com/splash/tcxl1kfuxx9qo440.jpg" TargetMode="External"/><Relationship Id="rId1711" Type="http://schemas.openxmlformats.org/officeDocument/2006/relationships/hyperlink" Target="https://thumbcdn.com/splash/icr44ccpwqes057x.jpg" TargetMode="External"/><Relationship Id="rId1949" Type="http://schemas.openxmlformats.org/officeDocument/2006/relationships/hyperlink" Target="https://thumbcdn.com/splash/lwa3bu7h2qd1w150.jpg" TargetMode="External"/><Relationship Id="rId292" Type="http://schemas.openxmlformats.org/officeDocument/2006/relationships/hyperlink" Target="https://thumbcdn.com/splash/c52uuv771ipm7t4a.jpg" TargetMode="External"/><Relationship Id="rId1809" Type="http://schemas.openxmlformats.org/officeDocument/2006/relationships/hyperlink" Target="https://thumbcdn.com/splash/l3cy02dei55rt7cl.jpg" TargetMode="External"/><Relationship Id="rId597" Type="http://schemas.openxmlformats.org/officeDocument/2006/relationships/hyperlink" Target="https://thumbcdn.com/splash/xfkrro4gme2ssrpr.jpg" TargetMode="External"/><Relationship Id="rId2180" Type="http://schemas.openxmlformats.org/officeDocument/2006/relationships/hyperlink" Target="https://thumbcdn.com/splash/uypcrow1mo1yz7sf.jpg" TargetMode="External"/><Relationship Id="rId2278" Type="http://schemas.openxmlformats.org/officeDocument/2006/relationships/hyperlink" Target="https://thumbcdn.com/splash/b9ssyadbw1zc7fbw.jpg" TargetMode="External"/><Relationship Id="rId152" Type="http://schemas.openxmlformats.org/officeDocument/2006/relationships/hyperlink" Target="https://thumbcdn.com/splash/gsx7y08l2d1q4zkm.jpg" TargetMode="External"/><Relationship Id="rId457" Type="http://schemas.openxmlformats.org/officeDocument/2006/relationships/hyperlink" Target="https://thumbcdn.com/splash/gsx7y08l2d1q4zkm.jpg" TargetMode="External"/><Relationship Id="rId1087" Type="http://schemas.openxmlformats.org/officeDocument/2006/relationships/hyperlink" Target="https://thumbcdn.com/splash/qacc20393vngmpkh.jpg" TargetMode="External"/><Relationship Id="rId1294" Type="http://schemas.openxmlformats.org/officeDocument/2006/relationships/hyperlink" Target="https://thumbcdn.com/splash/odtnnl483rzn3eyv.jpg" TargetMode="External"/><Relationship Id="rId2040" Type="http://schemas.openxmlformats.org/officeDocument/2006/relationships/hyperlink" Target="https://thumbcdn.com/splash/6bo642v4aagvqpj0.jpg" TargetMode="External"/><Relationship Id="rId2138" Type="http://schemas.openxmlformats.org/officeDocument/2006/relationships/hyperlink" Target="https://thumbcdn.com/splash/3my2900v7ti0kdpx.jpg" TargetMode="External"/><Relationship Id="rId664" Type="http://schemas.openxmlformats.org/officeDocument/2006/relationships/hyperlink" Target="https://thumbcdn.com/splash/4ddse1m0u5rb5nru.jpg" TargetMode="External"/><Relationship Id="rId871" Type="http://schemas.openxmlformats.org/officeDocument/2006/relationships/hyperlink" Target="https://thumbcdn.com/splash/tudr9e4iutdyla01.jpg" TargetMode="External"/><Relationship Id="rId969" Type="http://schemas.openxmlformats.org/officeDocument/2006/relationships/hyperlink" Target="https://thumbcdn.com/splash/edo4oeydqmnrppc7.jpg" TargetMode="External"/><Relationship Id="rId1599" Type="http://schemas.openxmlformats.org/officeDocument/2006/relationships/hyperlink" Target="https://thumbcdn.com/splash/cmywn0t55s2ix58c.jpg" TargetMode="External"/><Relationship Id="rId317" Type="http://schemas.openxmlformats.org/officeDocument/2006/relationships/hyperlink" Target="https://thumbcdn.com/splash/ungzdigm0e5lezck.jpg" TargetMode="External"/><Relationship Id="rId524" Type="http://schemas.openxmlformats.org/officeDocument/2006/relationships/hyperlink" Target="https://thumbcdn.com/splash/pqzisv0cpvt6mvat.jpg" TargetMode="External"/><Relationship Id="rId731" Type="http://schemas.openxmlformats.org/officeDocument/2006/relationships/hyperlink" Target="https://thumbcdn.com/splash/39jd48bjzdfob2rq.jpg" TargetMode="External"/><Relationship Id="rId1154" Type="http://schemas.openxmlformats.org/officeDocument/2006/relationships/hyperlink" Target="https://thumbcdn.com/splash/0zchu7pxukohv2wt.jpg" TargetMode="External"/><Relationship Id="rId1361" Type="http://schemas.openxmlformats.org/officeDocument/2006/relationships/hyperlink" Target="https://thumbcdn.com/splash/h7o834i5h4lkdufv.jpg" TargetMode="External"/><Relationship Id="rId1459" Type="http://schemas.openxmlformats.org/officeDocument/2006/relationships/hyperlink" Target="https://thumbcdn.com/splash/drxepnpru24kh2x5.jpg" TargetMode="External"/><Relationship Id="rId2205" Type="http://schemas.openxmlformats.org/officeDocument/2006/relationships/hyperlink" Target="https://thumbcdn.com/splash/htvg831epaqgsysw.jpg" TargetMode="External"/><Relationship Id="rId98" Type="http://schemas.openxmlformats.org/officeDocument/2006/relationships/hyperlink" Target="https://thumbcdn.com/splash/t726cb1yg1v2ov1v.jpg" TargetMode="External"/><Relationship Id="rId829" Type="http://schemas.openxmlformats.org/officeDocument/2006/relationships/hyperlink" Target="https://thumbcdn.com/splash/4ffr6q76ez1s7g3k.jpg" TargetMode="External"/><Relationship Id="rId1014" Type="http://schemas.openxmlformats.org/officeDocument/2006/relationships/hyperlink" Target="https://thumbcdn.com/splash/vomlmttit8fmmu6v.jpg" TargetMode="External"/><Relationship Id="rId1221" Type="http://schemas.openxmlformats.org/officeDocument/2006/relationships/hyperlink" Target="https://thumbcdn.com/splash/3l58k8ceze66dhoo.jpg" TargetMode="External"/><Relationship Id="rId1666" Type="http://schemas.openxmlformats.org/officeDocument/2006/relationships/hyperlink" Target="https://thumbcdn.com/splash/wiotzhjdpa0f49r1.jpg" TargetMode="External"/><Relationship Id="rId1873" Type="http://schemas.openxmlformats.org/officeDocument/2006/relationships/hyperlink" Target="https://thumbcdn.com/splash/hgh9sd0w92oymx13.jpg" TargetMode="External"/><Relationship Id="rId1319" Type="http://schemas.openxmlformats.org/officeDocument/2006/relationships/hyperlink" Target="https://thumbcdn.com/splash/dz7rm6bgnbmbi2hm.jpg" TargetMode="External"/><Relationship Id="rId1526" Type="http://schemas.openxmlformats.org/officeDocument/2006/relationships/hyperlink" Target="https://thumbcdn.com/splash/ytjduv3hngjuqewg.jpg" TargetMode="External"/><Relationship Id="rId1733" Type="http://schemas.openxmlformats.org/officeDocument/2006/relationships/hyperlink" Target="https://thumbcdn.com/splash/6v0txz8rx1roh9l0.jpg" TargetMode="External"/><Relationship Id="rId1940" Type="http://schemas.openxmlformats.org/officeDocument/2006/relationships/hyperlink" Target="https://thumbcdn.com/splash/vexcxkh310ro18pw.jpg" TargetMode="External"/><Relationship Id="rId25" Type="http://schemas.openxmlformats.org/officeDocument/2006/relationships/hyperlink" Target="https://thumbcdn.com/splash/65k7ydc4sz0iagos.jpg" TargetMode="External"/><Relationship Id="rId1800" Type="http://schemas.openxmlformats.org/officeDocument/2006/relationships/hyperlink" Target="https://thumbcdn.com/splash/6t05o7k9m7a08n1l.jpg" TargetMode="External"/><Relationship Id="rId174" Type="http://schemas.openxmlformats.org/officeDocument/2006/relationships/hyperlink" Target="https://thumbcdn.com/splash/q4fawll5pellcvcj.jpg" TargetMode="External"/><Relationship Id="rId381" Type="http://schemas.openxmlformats.org/officeDocument/2006/relationships/hyperlink" Target="https://thumbcdn.com/splash/12gdfu2yv72pvxg7.jpg" TargetMode="External"/><Relationship Id="rId2062" Type="http://schemas.openxmlformats.org/officeDocument/2006/relationships/hyperlink" Target="https://thumbcdn.com/splash/v6lxokjipkrs1ybd.jpg" TargetMode="External"/><Relationship Id="rId241" Type="http://schemas.openxmlformats.org/officeDocument/2006/relationships/hyperlink" Target="https://thumbcdn.com/splash/txcngakwdhrw43d2.jpg" TargetMode="External"/><Relationship Id="rId479" Type="http://schemas.openxmlformats.org/officeDocument/2006/relationships/hyperlink" Target="https://thumbcdn.com/splash/3qy7rsi5qqx232pg.jpg" TargetMode="External"/><Relationship Id="rId686" Type="http://schemas.openxmlformats.org/officeDocument/2006/relationships/hyperlink" Target="https://thumbcdn.com/splash/dnevz7r1by67ikdn.jpg" TargetMode="External"/><Relationship Id="rId893" Type="http://schemas.openxmlformats.org/officeDocument/2006/relationships/hyperlink" Target="https://thumbcdn.com/splash/qfygaoocpp9qb2rs.jpg" TargetMode="External"/><Relationship Id="rId339" Type="http://schemas.openxmlformats.org/officeDocument/2006/relationships/hyperlink" Target="https://thumbcdn.com/splash/38l7pwzfxakqqa16.jpg" TargetMode="External"/><Relationship Id="rId546" Type="http://schemas.openxmlformats.org/officeDocument/2006/relationships/hyperlink" Target="https://thumbcdn.com/splash/8r5kfml1gxgs5dyn.jpg" TargetMode="External"/><Relationship Id="rId753" Type="http://schemas.openxmlformats.org/officeDocument/2006/relationships/hyperlink" Target="https://thumbcdn.com/splash/tfodf7lm49rywlli.jpg" TargetMode="External"/><Relationship Id="rId1176" Type="http://schemas.openxmlformats.org/officeDocument/2006/relationships/hyperlink" Target="https://thumbcdn.com/splash/oxlboqlsn6yd4h6w.jpg" TargetMode="External"/><Relationship Id="rId1383" Type="http://schemas.openxmlformats.org/officeDocument/2006/relationships/hyperlink" Target="https://thumbcdn.com/splash/qv4pwcwzhm41mj3m.jpg" TargetMode="External"/><Relationship Id="rId2227" Type="http://schemas.openxmlformats.org/officeDocument/2006/relationships/hyperlink" Target="https://thumbcdn.com/splash/emnpld47ewm90w8b.jpg" TargetMode="External"/><Relationship Id="rId101" Type="http://schemas.openxmlformats.org/officeDocument/2006/relationships/hyperlink" Target="https://thumbcdn.com/splash/99twg2cvfs812dui.jpg" TargetMode="External"/><Relationship Id="rId406" Type="http://schemas.openxmlformats.org/officeDocument/2006/relationships/hyperlink" Target="https://thumbcdn.com/splash/wrwcneddlwd202wd.jpg" TargetMode="External"/><Relationship Id="rId960" Type="http://schemas.openxmlformats.org/officeDocument/2006/relationships/hyperlink" Target="https://thumbcdn.com/splash/akpovleubinrcs1l.jpg" TargetMode="External"/><Relationship Id="rId1036" Type="http://schemas.openxmlformats.org/officeDocument/2006/relationships/hyperlink" Target="https://thumbcdn.com/splash/86odnvxsfbvk8z6x.jpg" TargetMode="External"/><Relationship Id="rId1243" Type="http://schemas.openxmlformats.org/officeDocument/2006/relationships/hyperlink" Target="https://thumbcdn.com/splash/1dzxn6i7bn9xhvjz.jpg" TargetMode="External"/><Relationship Id="rId1590" Type="http://schemas.openxmlformats.org/officeDocument/2006/relationships/hyperlink" Target="https://thumbcdn.com/splash/hjvxnyrlgsf0v868.jpg" TargetMode="External"/><Relationship Id="rId1688" Type="http://schemas.openxmlformats.org/officeDocument/2006/relationships/hyperlink" Target="https://thumbcdn.com/splash/3i6vcvuzh47b7q7z.jpg" TargetMode="External"/><Relationship Id="rId1895" Type="http://schemas.openxmlformats.org/officeDocument/2006/relationships/hyperlink" Target="https://thumbcdn.com/splash/yde1lhb271nxz93n.jpg" TargetMode="External"/><Relationship Id="rId613" Type="http://schemas.openxmlformats.org/officeDocument/2006/relationships/hyperlink" Target="https://thumbcdn.com/splash/dhxyl9jn86uv3wm1.jpg" TargetMode="External"/><Relationship Id="rId820" Type="http://schemas.openxmlformats.org/officeDocument/2006/relationships/hyperlink" Target="https://thumbcdn.com/splash/8vb8y50zukw1nu7g.jpg" TargetMode="External"/><Relationship Id="rId918" Type="http://schemas.openxmlformats.org/officeDocument/2006/relationships/hyperlink" Target="https://thumbcdn.com/splash/jrrkl2kuwb9b886q.jpg" TargetMode="External"/><Relationship Id="rId1450" Type="http://schemas.openxmlformats.org/officeDocument/2006/relationships/hyperlink" Target="https://thumbcdn.com/splash/5nrtll6scvtby4xo.jpg" TargetMode="External"/><Relationship Id="rId1548" Type="http://schemas.openxmlformats.org/officeDocument/2006/relationships/hyperlink" Target="https://thumbcdn.com/splash/r0vnhjukqh8qrrms.jpg" TargetMode="External"/><Relationship Id="rId1755" Type="http://schemas.openxmlformats.org/officeDocument/2006/relationships/hyperlink" Target="https://thumbcdn.com/splash/4hqjahkiujx3cbdx.jpg" TargetMode="External"/><Relationship Id="rId1103" Type="http://schemas.openxmlformats.org/officeDocument/2006/relationships/hyperlink" Target="https://thumbcdn.com/splash/2oxarvh93igsxovm.jpg" TargetMode="External"/><Relationship Id="rId1310" Type="http://schemas.openxmlformats.org/officeDocument/2006/relationships/hyperlink" Target="https://thumbcdn.com/splash/8omkx4isrt8gqara.jpg" TargetMode="External"/><Relationship Id="rId1408" Type="http://schemas.openxmlformats.org/officeDocument/2006/relationships/hyperlink" Target="https://thumbcdn.com/splash/c8vskzx9ps698af2.jpg" TargetMode="External"/><Relationship Id="rId1962" Type="http://schemas.openxmlformats.org/officeDocument/2006/relationships/hyperlink" Target="https://thumbcdn.com/splash/s7aicwm4moe27ism.jpg" TargetMode="External"/><Relationship Id="rId47" Type="http://schemas.openxmlformats.org/officeDocument/2006/relationships/hyperlink" Target="https://thumbcdn.com/splash/mpjshzok97fu2jfy.jpg" TargetMode="External"/><Relationship Id="rId1615" Type="http://schemas.openxmlformats.org/officeDocument/2006/relationships/hyperlink" Target="https://thumbcdn.com/splash/ccxty56e12hjtzie.jpg" TargetMode="External"/><Relationship Id="rId1822" Type="http://schemas.openxmlformats.org/officeDocument/2006/relationships/hyperlink" Target="https://thumbcdn.com/splash/e9u58c32kd9u62a7.jpg" TargetMode="External"/><Relationship Id="rId196" Type="http://schemas.openxmlformats.org/officeDocument/2006/relationships/hyperlink" Target="https://thumbcdn.com/splash/fyb22c9nbumlijud.jpg" TargetMode="External"/><Relationship Id="rId2084" Type="http://schemas.openxmlformats.org/officeDocument/2006/relationships/hyperlink" Target="https://thumbcdn.com/splash/20zj07m13v5xiqq5.jpg" TargetMode="External"/><Relationship Id="rId263" Type="http://schemas.openxmlformats.org/officeDocument/2006/relationships/hyperlink" Target="https://thumbcdn.com/splash/orxdwfuleaqhie7m.jpg" TargetMode="External"/><Relationship Id="rId470" Type="http://schemas.openxmlformats.org/officeDocument/2006/relationships/hyperlink" Target="https://thumbcdn.com/splash/l0i20y1lwtqtoxs3.jpg" TargetMode="External"/><Relationship Id="rId2151" Type="http://schemas.openxmlformats.org/officeDocument/2006/relationships/hyperlink" Target="https://thumbcdn.com/splash/2a5f4xd7dc316bnz.jpg" TargetMode="External"/><Relationship Id="rId123" Type="http://schemas.openxmlformats.org/officeDocument/2006/relationships/hyperlink" Target="https://thumbcdn.com/splash/hyq42qw1j2t31apj.jpg" TargetMode="External"/><Relationship Id="rId330" Type="http://schemas.openxmlformats.org/officeDocument/2006/relationships/hyperlink" Target="https://thumbcdn.com/splash/ch6z4eetpc3nj2pc.jpg" TargetMode="External"/><Relationship Id="rId568" Type="http://schemas.openxmlformats.org/officeDocument/2006/relationships/hyperlink" Target="https://thumbcdn.com/splash/enrk8vhpo4hy26pz.jpg" TargetMode="External"/><Relationship Id="rId775" Type="http://schemas.openxmlformats.org/officeDocument/2006/relationships/hyperlink" Target="https://thumbcdn.com/splash/4k7xyc5984vcodry.jpg" TargetMode="External"/><Relationship Id="rId982" Type="http://schemas.openxmlformats.org/officeDocument/2006/relationships/hyperlink" Target="https://thumbcdn.com/splash/5gwkn1qf9l3mbpzq.jpg" TargetMode="External"/><Relationship Id="rId1198" Type="http://schemas.openxmlformats.org/officeDocument/2006/relationships/hyperlink" Target="https://thumbcdn.com/splash/rqfkvx8lhs2jykzs.jpg" TargetMode="External"/><Relationship Id="rId2011" Type="http://schemas.openxmlformats.org/officeDocument/2006/relationships/hyperlink" Target="https://thumbcdn.com/splash/0dclwepe2onahwgx.jpg" TargetMode="External"/><Relationship Id="rId2249" Type="http://schemas.openxmlformats.org/officeDocument/2006/relationships/hyperlink" Target="https://thumbcdn.com/splash/dtyjcnctgltsxjyk.jpg" TargetMode="External"/><Relationship Id="rId428" Type="http://schemas.openxmlformats.org/officeDocument/2006/relationships/hyperlink" Target="https://thumbcdn.com/splash/4baxn8ri1z0q1iuf.jpg" TargetMode="External"/><Relationship Id="rId635" Type="http://schemas.openxmlformats.org/officeDocument/2006/relationships/hyperlink" Target="https://thumbcdn.com/splash/ydof2fe1hpmvcqpw.jpg" TargetMode="External"/><Relationship Id="rId842" Type="http://schemas.openxmlformats.org/officeDocument/2006/relationships/hyperlink" Target="https://thumbcdn.com/splash/yjpw0nbm7lljq9q8.jpg" TargetMode="External"/><Relationship Id="rId1058" Type="http://schemas.openxmlformats.org/officeDocument/2006/relationships/hyperlink" Target="https://thumbcdn.com/splash/o4sa9bg8tks2nqpd.jpg" TargetMode="External"/><Relationship Id="rId1265" Type="http://schemas.openxmlformats.org/officeDocument/2006/relationships/hyperlink" Target="https://thumbcdn.com/splash/3q1r5dqpglxbz51f.jpg" TargetMode="External"/><Relationship Id="rId1472" Type="http://schemas.openxmlformats.org/officeDocument/2006/relationships/hyperlink" Target="https://thumbcdn.com/splash/t5qlf04kh9mup0gw.jpg" TargetMode="External"/><Relationship Id="rId2109" Type="http://schemas.openxmlformats.org/officeDocument/2006/relationships/hyperlink" Target="https://thumbcdn.com/splash/rmnvrkgeh4vyh0fp.jpg" TargetMode="External"/><Relationship Id="rId702" Type="http://schemas.openxmlformats.org/officeDocument/2006/relationships/hyperlink" Target="https://thumbcdn.com/splash/ktxt5basqiv570b5.jpg" TargetMode="External"/><Relationship Id="rId1125" Type="http://schemas.openxmlformats.org/officeDocument/2006/relationships/hyperlink" Target="https://thumbcdn.com/splash/lwpwdagvn32byqen.jpg" TargetMode="External"/><Relationship Id="rId1332" Type="http://schemas.openxmlformats.org/officeDocument/2006/relationships/hyperlink" Target="https://thumbcdn.com/splash/eux6uc5pz8da4ura.jpg" TargetMode="External"/><Relationship Id="rId1777" Type="http://schemas.openxmlformats.org/officeDocument/2006/relationships/hyperlink" Target="https://thumbcdn.com/splash/31kf0wd6a3har2ad.jpg" TargetMode="External"/><Relationship Id="rId1984" Type="http://schemas.openxmlformats.org/officeDocument/2006/relationships/hyperlink" Target="https://thumbcdn.com/splash/c6t12s6v0muu9ptf.jpg" TargetMode="External"/><Relationship Id="rId69" Type="http://schemas.openxmlformats.org/officeDocument/2006/relationships/hyperlink" Target="https://thumbcdn.com/splash/tq5bah9vyi9c63em.jpg" TargetMode="External"/><Relationship Id="rId1637" Type="http://schemas.openxmlformats.org/officeDocument/2006/relationships/hyperlink" Target="https://thumbcdn.com/splash/6n5lbii6c54g4rpt.jpg" TargetMode="External"/><Relationship Id="rId1844" Type="http://schemas.openxmlformats.org/officeDocument/2006/relationships/hyperlink" Target="https://thumbcdn.com/splash/6hnclb33c4muovsu.jpg" TargetMode="External"/><Relationship Id="rId1704" Type="http://schemas.openxmlformats.org/officeDocument/2006/relationships/hyperlink" Target="https://thumbcdn.com/splash/exenyb99vmlapsgi.jpg" TargetMode="External"/><Relationship Id="rId285" Type="http://schemas.openxmlformats.org/officeDocument/2006/relationships/hyperlink" Target="https://thumbcdn.com/splash/2wos8pvxuf5vq6vf.jpg" TargetMode="External"/><Relationship Id="rId1911" Type="http://schemas.openxmlformats.org/officeDocument/2006/relationships/hyperlink" Target="https://thumbcdn.com/splash/ynw5vkbapnzzmzsk.jpg" TargetMode="External"/><Relationship Id="rId492" Type="http://schemas.openxmlformats.org/officeDocument/2006/relationships/hyperlink" Target="https://thumbcdn.com/splash/ixg3mfcfzeebh81g.jpg" TargetMode="External"/><Relationship Id="rId797" Type="http://schemas.openxmlformats.org/officeDocument/2006/relationships/hyperlink" Target="https://thumbcdn.com/splash/mekscrs094uqje38.jpg" TargetMode="External"/><Relationship Id="rId2173" Type="http://schemas.openxmlformats.org/officeDocument/2006/relationships/hyperlink" Target="https://thumbcdn.com/splash/f7oiv195yxqbzbnj.jpg" TargetMode="External"/><Relationship Id="rId145" Type="http://schemas.openxmlformats.org/officeDocument/2006/relationships/hyperlink" Target="https://thumbcdn.com/splash/jp6ycg2g9yhcq7vo.jpg" TargetMode="External"/><Relationship Id="rId352" Type="http://schemas.openxmlformats.org/officeDocument/2006/relationships/hyperlink" Target="https://thumbcdn.com/splash/3y3ram1gcgxy61qo.jpg" TargetMode="External"/><Relationship Id="rId1287" Type="http://schemas.openxmlformats.org/officeDocument/2006/relationships/hyperlink" Target="https://thumbcdn.com/splash/xo7jedqbyu30v9qh.jpg" TargetMode="External"/><Relationship Id="rId2033" Type="http://schemas.openxmlformats.org/officeDocument/2006/relationships/hyperlink" Target="https://thumbcdn.com/splash/8so4jhbfzvrjqa7i.jpg" TargetMode="External"/><Relationship Id="rId2240" Type="http://schemas.openxmlformats.org/officeDocument/2006/relationships/hyperlink" Target="https://thumbcdn.com/splash/kkkbcrmlaxsvbxtu.jpg" TargetMode="External"/><Relationship Id="rId212" Type="http://schemas.openxmlformats.org/officeDocument/2006/relationships/hyperlink" Target="https://thumbcdn.com/splash/u3wjfifda26bp829.jpg" TargetMode="External"/><Relationship Id="rId657" Type="http://schemas.openxmlformats.org/officeDocument/2006/relationships/hyperlink" Target="https://thumbcdn.com/splash/6ppcq75am11s8n30.jpg" TargetMode="External"/><Relationship Id="rId864" Type="http://schemas.openxmlformats.org/officeDocument/2006/relationships/hyperlink" Target="https://thumbcdn.com/splash/gwh1asv0ptwu02p0.jpg" TargetMode="External"/><Relationship Id="rId1494" Type="http://schemas.openxmlformats.org/officeDocument/2006/relationships/hyperlink" Target="https://thumbcdn.com/splash/b1l98o1tpsudb8g6.jpg" TargetMode="External"/><Relationship Id="rId1799" Type="http://schemas.openxmlformats.org/officeDocument/2006/relationships/hyperlink" Target="https://thumbcdn.com/splash/gty6zdpw3ouw5yri.jpg" TargetMode="External"/><Relationship Id="rId2100" Type="http://schemas.openxmlformats.org/officeDocument/2006/relationships/hyperlink" Target="https://thumbcdn.com/splash/kr79bkhjgtf1idxp.jpg" TargetMode="External"/><Relationship Id="rId517" Type="http://schemas.openxmlformats.org/officeDocument/2006/relationships/hyperlink" Target="https://thumbcdn.com/splash/99gzukhx6glftoys.jpg" TargetMode="External"/><Relationship Id="rId724" Type="http://schemas.openxmlformats.org/officeDocument/2006/relationships/hyperlink" Target="https://thumbcdn.com/splash/gqb7lnx3ivvi2v7m.jpg" TargetMode="External"/><Relationship Id="rId931" Type="http://schemas.openxmlformats.org/officeDocument/2006/relationships/hyperlink" Target="https://thumbcdn.com/splash/zel27x8t100cc6w5.jpg" TargetMode="External"/><Relationship Id="rId1147" Type="http://schemas.openxmlformats.org/officeDocument/2006/relationships/hyperlink" Target="https://thumbcdn.com/splash/z94922f8or0zazs9.jpg" TargetMode="External"/><Relationship Id="rId1354" Type="http://schemas.openxmlformats.org/officeDocument/2006/relationships/hyperlink" Target="https://thumbcdn.com/splash/knenqr50mwd6ixia.jpg" TargetMode="External"/><Relationship Id="rId1561" Type="http://schemas.openxmlformats.org/officeDocument/2006/relationships/hyperlink" Target="https://thumbcdn.com/splash/kq2qk2u0nftr623j.jpg" TargetMode="External"/><Relationship Id="rId60" Type="http://schemas.openxmlformats.org/officeDocument/2006/relationships/hyperlink" Target="https://thumbcdn.com/splash/gewcza0o3ujd8gx3.jpg" TargetMode="External"/><Relationship Id="rId1007" Type="http://schemas.openxmlformats.org/officeDocument/2006/relationships/hyperlink" Target="https://thumbcdn.com/splash/lsnuhf3j0roxyhg3.jpg" TargetMode="External"/><Relationship Id="rId1214" Type="http://schemas.openxmlformats.org/officeDocument/2006/relationships/hyperlink" Target="https://thumbcdn.com/splash/rshp5zcyfufq5sdt.jpg" TargetMode="External"/><Relationship Id="rId1421" Type="http://schemas.openxmlformats.org/officeDocument/2006/relationships/hyperlink" Target="https://thumbcdn.com/splash/kn3hyiqrhwt3hpgm.jpg" TargetMode="External"/><Relationship Id="rId1659" Type="http://schemas.openxmlformats.org/officeDocument/2006/relationships/hyperlink" Target="https://thumbcdn.com/splash/yhcerb3si7dog3op.jpg" TargetMode="External"/><Relationship Id="rId1866" Type="http://schemas.openxmlformats.org/officeDocument/2006/relationships/hyperlink" Target="https://thumbcdn.com/splash/q4rhux8s5d7o3ez7.jpg" TargetMode="External"/><Relationship Id="rId1519" Type="http://schemas.openxmlformats.org/officeDocument/2006/relationships/hyperlink" Target="https://thumbcdn.com/splash/6snff75e7g8384v5.jpg" TargetMode="External"/><Relationship Id="rId1726" Type="http://schemas.openxmlformats.org/officeDocument/2006/relationships/hyperlink" Target="https://thumbcdn.com/splash/bk4pkzewxiho8agk.jpg" TargetMode="External"/><Relationship Id="rId1933" Type="http://schemas.openxmlformats.org/officeDocument/2006/relationships/hyperlink" Target="https://thumbcdn.com/splash/75927ame0lw57f55.jpg" TargetMode="External"/><Relationship Id="rId18" Type="http://schemas.openxmlformats.org/officeDocument/2006/relationships/hyperlink" Target="https://thumbcdn.com/splash/u5qduc1xza2glddt.jpg" TargetMode="External"/><Relationship Id="rId2195" Type="http://schemas.openxmlformats.org/officeDocument/2006/relationships/hyperlink" Target="https://thumbcdn.com/splash/p0q925fro0vkpyka.jpg" TargetMode="External"/><Relationship Id="rId167" Type="http://schemas.openxmlformats.org/officeDocument/2006/relationships/hyperlink" Target="https://thumbcdn.com/splash/xj2k98uvho1gn4a9.jpg" TargetMode="External"/><Relationship Id="rId374" Type="http://schemas.openxmlformats.org/officeDocument/2006/relationships/hyperlink" Target="https://thumbcdn.com/splash/64zh4j7s955053kf.jpg" TargetMode="External"/><Relationship Id="rId581" Type="http://schemas.openxmlformats.org/officeDocument/2006/relationships/hyperlink" Target="https://thumbcdn.com/splash/vmingmdpr040jxs5.jpg" TargetMode="External"/><Relationship Id="rId2055" Type="http://schemas.openxmlformats.org/officeDocument/2006/relationships/hyperlink" Target="https://thumbcdn.com/splash/oifo7d30pd9lfxay.jpg" TargetMode="External"/><Relationship Id="rId2262" Type="http://schemas.openxmlformats.org/officeDocument/2006/relationships/hyperlink" Target="https://thumbcdn.com/splash/lyi7aciyv03ru733.jpg" TargetMode="External"/><Relationship Id="rId234" Type="http://schemas.openxmlformats.org/officeDocument/2006/relationships/hyperlink" Target="https://thumbcdn.com/splash/47203l3uh174drd2.jpg" TargetMode="External"/><Relationship Id="rId679" Type="http://schemas.openxmlformats.org/officeDocument/2006/relationships/hyperlink" Target="https://thumbcdn.com/splash/amk2hxd2ajq6jzn1.jpg" TargetMode="External"/><Relationship Id="rId886" Type="http://schemas.openxmlformats.org/officeDocument/2006/relationships/hyperlink" Target="https://thumbcdn.com/splash/52qcfizu6wu9cn8f.jpg" TargetMode="External"/><Relationship Id="rId2" Type="http://schemas.openxmlformats.org/officeDocument/2006/relationships/hyperlink" Target="https://thumbcdn.com/splash/wkufiau460owcq76.jpg" TargetMode="External"/><Relationship Id="rId441" Type="http://schemas.openxmlformats.org/officeDocument/2006/relationships/hyperlink" Target="https://thumbcdn.com/splash/ykarz4vpya8cnywz.jpg" TargetMode="External"/><Relationship Id="rId539" Type="http://schemas.openxmlformats.org/officeDocument/2006/relationships/hyperlink" Target="https://thumbcdn.com/splash/m06rn19ry6ypaoz7.jpg" TargetMode="External"/><Relationship Id="rId746" Type="http://schemas.openxmlformats.org/officeDocument/2006/relationships/hyperlink" Target="https://thumbcdn.com/splash/77mfjmve3nbou3p5.jpg" TargetMode="External"/><Relationship Id="rId1071" Type="http://schemas.openxmlformats.org/officeDocument/2006/relationships/hyperlink" Target="https://thumbcdn.com/splash/6dpx429grzj9orqk.jpg" TargetMode="External"/><Relationship Id="rId1169" Type="http://schemas.openxmlformats.org/officeDocument/2006/relationships/hyperlink" Target="https://thumbcdn.com/splash/oicm654iauca204p.jpg" TargetMode="External"/><Relationship Id="rId1376" Type="http://schemas.openxmlformats.org/officeDocument/2006/relationships/hyperlink" Target="https://thumbcdn.com/splash/f7oiv195yxqbzbnj.jpg" TargetMode="External"/><Relationship Id="rId1583" Type="http://schemas.openxmlformats.org/officeDocument/2006/relationships/hyperlink" Target="https://thumbcdn.com/splash/7phi6xmkq65bs10y.jpg" TargetMode="External"/><Relationship Id="rId2122" Type="http://schemas.openxmlformats.org/officeDocument/2006/relationships/hyperlink" Target="https://thumbcdn.com/splash/3w2sce81vc8xy4dm.jpg" TargetMode="External"/><Relationship Id="rId301" Type="http://schemas.openxmlformats.org/officeDocument/2006/relationships/hyperlink" Target="https://thumbcdn.com/splash/nqc8dqixeur4i3t6.jpg" TargetMode="External"/><Relationship Id="rId953" Type="http://schemas.openxmlformats.org/officeDocument/2006/relationships/hyperlink" Target="https://thumbcdn.com/splash/re4q6du2zwftizvo.jpg" TargetMode="External"/><Relationship Id="rId1029" Type="http://schemas.openxmlformats.org/officeDocument/2006/relationships/hyperlink" Target="https://thumbcdn.com/splash/69jk1eep1qfczjqy.jpg" TargetMode="External"/><Relationship Id="rId1236" Type="http://schemas.openxmlformats.org/officeDocument/2006/relationships/hyperlink" Target="https://thumbcdn.com/splash/j6c9n7sxdg5b3ana.jpg" TargetMode="External"/><Relationship Id="rId1790" Type="http://schemas.openxmlformats.org/officeDocument/2006/relationships/hyperlink" Target="https://thumbcdn.com/splash/c078h5vsvqzzpe93.jpg" TargetMode="External"/><Relationship Id="rId1888" Type="http://schemas.openxmlformats.org/officeDocument/2006/relationships/hyperlink" Target="https://thumbcdn.com/splash/iecbw11yny4dc9n0.jpg" TargetMode="External"/><Relationship Id="rId82" Type="http://schemas.openxmlformats.org/officeDocument/2006/relationships/hyperlink" Target="https://thumbcdn.com/splash/0h3oc1h9u3z7v3j0.jpg" TargetMode="External"/><Relationship Id="rId606" Type="http://schemas.openxmlformats.org/officeDocument/2006/relationships/hyperlink" Target="https://thumbcdn.com/splash/2gpjbuxisqt86fvl.jpg" TargetMode="External"/><Relationship Id="rId813" Type="http://schemas.openxmlformats.org/officeDocument/2006/relationships/hyperlink" Target="https://thumbcdn.com/splash/qygr09p6z3q7athp.jpg" TargetMode="External"/><Relationship Id="rId1443" Type="http://schemas.openxmlformats.org/officeDocument/2006/relationships/hyperlink" Target="https://thumbcdn.com/splash/sv2buu5d2nusjoou.jpg" TargetMode="External"/><Relationship Id="rId1650" Type="http://schemas.openxmlformats.org/officeDocument/2006/relationships/hyperlink" Target="https://thumbcdn.com/splash/amk2hxd2ajq6jzn1.jpg" TargetMode="External"/><Relationship Id="rId1748" Type="http://schemas.openxmlformats.org/officeDocument/2006/relationships/hyperlink" Target="https://thumbcdn.com/splash/f6rac1luj82pgijh.jpg" TargetMode="External"/><Relationship Id="rId1303" Type="http://schemas.openxmlformats.org/officeDocument/2006/relationships/hyperlink" Target="https://thumbcdn.com/splash/3841mtz31jpuxlyl.jpg" TargetMode="External"/><Relationship Id="rId1510" Type="http://schemas.openxmlformats.org/officeDocument/2006/relationships/hyperlink" Target="https://thumbcdn.com/splash/rc8wsef7mtb4g4l9.jpg" TargetMode="External"/><Relationship Id="rId1955" Type="http://schemas.openxmlformats.org/officeDocument/2006/relationships/hyperlink" Target="https://thumbcdn.com/splash/b08syigy5m763dmi.jpg" TargetMode="External"/><Relationship Id="rId1608" Type="http://schemas.openxmlformats.org/officeDocument/2006/relationships/hyperlink" Target="https://thumbcdn.com/splash/sxkz110be8lhery4.jpg" TargetMode="External"/><Relationship Id="rId1815" Type="http://schemas.openxmlformats.org/officeDocument/2006/relationships/hyperlink" Target="https://thumbcdn.com/splash/g7s6ywkt2xoqzp06.jpg" TargetMode="External"/><Relationship Id="rId189" Type="http://schemas.openxmlformats.org/officeDocument/2006/relationships/hyperlink" Target="https://thumbcdn.com/splash/vd3694b5x9jgtma7.jpg" TargetMode="External"/><Relationship Id="rId396" Type="http://schemas.openxmlformats.org/officeDocument/2006/relationships/hyperlink" Target="https://thumbcdn.com/splash/xzf4oiuhsjh0sx0c.jpg" TargetMode="External"/><Relationship Id="rId2077" Type="http://schemas.openxmlformats.org/officeDocument/2006/relationships/hyperlink" Target="https://thumbcdn.com/splash/mn9y5ghxugzrzogv.jpg" TargetMode="External"/><Relationship Id="rId256" Type="http://schemas.openxmlformats.org/officeDocument/2006/relationships/hyperlink" Target="https://thumbcdn.com/splash/lop4zoluuf41d2ay.jpg" TargetMode="External"/><Relationship Id="rId463" Type="http://schemas.openxmlformats.org/officeDocument/2006/relationships/hyperlink" Target="https://thumbcdn.com/splash/amrdbd74meco8hdp.jpg" TargetMode="External"/><Relationship Id="rId670" Type="http://schemas.openxmlformats.org/officeDocument/2006/relationships/hyperlink" Target="https://thumbcdn.com/splash/7t4mszywd8ssokbb.jpg" TargetMode="External"/><Relationship Id="rId1093" Type="http://schemas.openxmlformats.org/officeDocument/2006/relationships/hyperlink" Target="https://thumbcdn.com/splash/0fmhwf10sx0nvf9b.jpg" TargetMode="External"/><Relationship Id="rId2144" Type="http://schemas.openxmlformats.org/officeDocument/2006/relationships/hyperlink" Target="https://thumbcdn.com/splash/fw0nsu8j2ng0m8qy.jpg" TargetMode="External"/><Relationship Id="rId116" Type="http://schemas.openxmlformats.org/officeDocument/2006/relationships/hyperlink" Target="https://thumbcdn.com/splash/frne91yyo69ac0x7.jpg" TargetMode="External"/><Relationship Id="rId323" Type="http://schemas.openxmlformats.org/officeDocument/2006/relationships/hyperlink" Target="https://thumbcdn.com/splash/edo4oeydqmnrppc7.jpg" TargetMode="External"/><Relationship Id="rId530" Type="http://schemas.openxmlformats.org/officeDocument/2006/relationships/hyperlink" Target="https://thumbcdn.com/splash/bbqhzd0azjagxf6i.jpg" TargetMode="External"/><Relationship Id="rId768" Type="http://schemas.openxmlformats.org/officeDocument/2006/relationships/hyperlink" Target="https://thumbcdn.com/splash/8lpxjk4xtvi64sur.jpg" TargetMode="External"/><Relationship Id="rId975" Type="http://schemas.openxmlformats.org/officeDocument/2006/relationships/hyperlink" Target="https://thumbcdn.com/splash/eic5uj132eehb8bq.jpg" TargetMode="External"/><Relationship Id="rId1160" Type="http://schemas.openxmlformats.org/officeDocument/2006/relationships/hyperlink" Target="https://thumbcdn.com/splash/0dclwepe2onahwgx.jpg" TargetMode="External"/><Relationship Id="rId1398" Type="http://schemas.openxmlformats.org/officeDocument/2006/relationships/hyperlink" Target="https://thumbcdn.com/splash/tu50x3bdtodwgpxw.jpg" TargetMode="External"/><Relationship Id="rId2004" Type="http://schemas.openxmlformats.org/officeDocument/2006/relationships/hyperlink" Target="https://thumbcdn.com/splash/j9rx6na42umhnuwf.jpg" TargetMode="External"/><Relationship Id="rId2211" Type="http://schemas.openxmlformats.org/officeDocument/2006/relationships/hyperlink" Target="https://thumbcdn.com/splash/qgaiqpt9gx057o5u.jpg" TargetMode="External"/><Relationship Id="rId628" Type="http://schemas.openxmlformats.org/officeDocument/2006/relationships/hyperlink" Target="https://thumbcdn.com/splash/kbemvxb0c4leu9wm.jpg" TargetMode="External"/><Relationship Id="rId835" Type="http://schemas.openxmlformats.org/officeDocument/2006/relationships/hyperlink" Target="https://thumbcdn.com/splash/gfwgnjjfopt43bwi.jpg" TargetMode="External"/><Relationship Id="rId1258" Type="http://schemas.openxmlformats.org/officeDocument/2006/relationships/hyperlink" Target="https://thumbcdn.com/splash/20zj07m13v5xiqq5.jpg" TargetMode="External"/><Relationship Id="rId1465" Type="http://schemas.openxmlformats.org/officeDocument/2006/relationships/hyperlink" Target="https://thumbcdn.com/splash/muu8k24uq1ttv32w.jpg" TargetMode="External"/><Relationship Id="rId1672" Type="http://schemas.openxmlformats.org/officeDocument/2006/relationships/hyperlink" Target="https://thumbcdn.com/splash/85hj48wagdsrw9ne.jpg" TargetMode="External"/><Relationship Id="rId1020" Type="http://schemas.openxmlformats.org/officeDocument/2006/relationships/hyperlink" Target="https://thumbcdn.com/splash/zd9g7e9ofuemm7kd.jpg" TargetMode="External"/><Relationship Id="rId1118" Type="http://schemas.openxmlformats.org/officeDocument/2006/relationships/hyperlink" Target="https://thumbcdn.com/splash/bdhciag26enzyq2s.jpg" TargetMode="External"/><Relationship Id="rId1325" Type="http://schemas.openxmlformats.org/officeDocument/2006/relationships/hyperlink" Target="https://thumbcdn.com/splash/d69t1ppp3hau2fvf.jpg" TargetMode="External"/><Relationship Id="rId1532" Type="http://schemas.openxmlformats.org/officeDocument/2006/relationships/hyperlink" Target="https://thumbcdn.com/splash/0tssguatf27bmliq.jpg" TargetMode="External"/><Relationship Id="rId1977" Type="http://schemas.openxmlformats.org/officeDocument/2006/relationships/hyperlink" Target="https://thumbcdn.com/splash/oub9palqufu47s5h.jpg" TargetMode="External"/><Relationship Id="rId902" Type="http://schemas.openxmlformats.org/officeDocument/2006/relationships/hyperlink" Target="https://thumbcdn.com/splash/knn09brkd43zrf5n.jpg" TargetMode="External"/><Relationship Id="rId1837" Type="http://schemas.openxmlformats.org/officeDocument/2006/relationships/hyperlink" Target="https://thumbcdn.com/splash/woqc086g1r1cvhhy.jpg" TargetMode="External"/><Relationship Id="rId31" Type="http://schemas.openxmlformats.org/officeDocument/2006/relationships/hyperlink" Target="https://thumbcdn.com/splash/yfattlhukc3uc7yt.jpg" TargetMode="External"/><Relationship Id="rId2099" Type="http://schemas.openxmlformats.org/officeDocument/2006/relationships/hyperlink" Target="https://thumbcdn.com/splash/8p3su9vd14eea6ih.jpg" TargetMode="External"/><Relationship Id="rId180" Type="http://schemas.openxmlformats.org/officeDocument/2006/relationships/hyperlink" Target="https://thumbcdn.com/splash/vbx7inadk7w59dpc.jpg" TargetMode="External"/><Relationship Id="rId278" Type="http://schemas.openxmlformats.org/officeDocument/2006/relationships/hyperlink" Target="https://thumbcdn.com/splash/qa76a82j0wzjai4o.jpg" TargetMode="External"/><Relationship Id="rId1904" Type="http://schemas.openxmlformats.org/officeDocument/2006/relationships/hyperlink" Target="https://thumbcdn.com/splash/wp8qw80rer0dcw6o.jpg" TargetMode="External"/><Relationship Id="rId485" Type="http://schemas.openxmlformats.org/officeDocument/2006/relationships/hyperlink" Target="https://thumbcdn.com/splash/ar7ax6za4rw80jbh.jpg" TargetMode="External"/><Relationship Id="rId692" Type="http://schemas.openxmlformats.org/officeDocument/2006/relationships/hyperlink" Target="https://thumbcdn.com/splash/jpqlppf3kq4xkx7g.jpg" TargetMode="External"/><Relationship Id="rId2166" Type="http://schemas.openxmlformats.org/officeDocument/2006/relationships/hyperlink" Target="https://thumbcdn.com/splash/8i5v4yrzt0ddgvuy.jpg" TargetMode="External"/><Relationship Id="rId138" Type="http://schemas.openxmlformats.org/officeDocument/2006/relationships/hyperlink" Target="https://thumbcdn.com/splash/i6t02q1xrvt6z3ul.jpg" TargetMode="External"/><Relationship Id="rId345" Type="http://schemas.openxmlformats.org/officeDocument/2006/relationships/hyperlink" Target="https://thumbcdn.com/splash/u4lac9cjh4089hjd.jpg" TargetMode="External"/><Relationship Id="rId552" Type="http://schemas.openxmlformats.org/officeDocument/2006/relationships/hyperlink" Target="https://thumbcdn.com/splash/l4fz7avabmvle6of.jpg" TargetMode="External"/><Relationship Id="rId997" Type="http://schemas.openxmlformats.org/officeDocument/2006/relationships/hyperlink" Target="https://thumbcdn.com/splash/lxm7co7mkd5mw10p.jpg" TargetMode="External"/><Relationship Id="rId1182" Type="http://schemas.openxmlformats.org/officeDocument/2006/relationships/hyperlink" Target="https://thumbcdn.com/splash/x33uc81jgukly3cm.jpg" TargetMode="External"/><Relationship Id="rId2026" Type="http://schemas.openxmlformats.org/officeDocument/2006/relationships/hyperlink" Target="https://thumbcdn.com/splash/tcs4hpxef5sesme7.jpg" TargetMode="External"/><Relationship Id="rId2233" Type="http://schemas.openxmlformats.org/officeDocument/2006/relationships/hyperlink" Target="https://thumbcdn.com/splash/avvzh582jpuawosn.jpg" TargetMode="External"/><Relationship Id="rId205" Type="http://schemas.openxmlformats.org/officeDocument/2006/relationships/hyperlink" Target="https://thumbcdn.com/splash/4231wzo2uciqp3zj.jpg" TargetMode="External"/><Relationship Id="rId412" Type="http://schemas.openxmlformats.org/officeDocument/2006/relationships/hyperlink" Target="https://thumbcdn.com/splash/d9g4j51ct11k88ri.jpg" TargetMode="External"/><Relationship Id="rId857" Type="http://schemas.openxmlformats.org/officeDocument/2006/relationships/hyperlink" Target="https://thumbcdn.com/splash/4gohks36uscfuypq.jpg" TargetMode="External"/><Relationship Id="rId1042" Type="http://schemas.openxmlformats.org/officeDocument/2006/relationships/hyperlink" Target="https://thumbcdn.com/splash/uex3fb5nqqrnw6ah.jpg" TargetMode="External"/><Relationship Id="rId1487" Type="http://schemas.openxmlformats.org/officeDocument/2006/relationships/hyperlink" Target="https://thumbcdn.com/splash/sdiyrkz6cfjaurel.jpg" TargetMode="External"/><Relationship Id="rId1694" Type="http://schemas.openxmlformats.org/officeDocument/2006/relationships/hyperlink" Target="https://thumbcdn.com/splash/x1xms6il30a2p3oh.jpg" TargetMode="External"/><Relationship Id="rId717" Type="http://schemas.openxmlformats.org/officeDocument/2006/relationships/hyperlink" Target="https://thumbcdn.com/splash/9yt84rvpvogmsz4m.jpg" TargetMode="External"/><Relationship Id="rId924" Type="http://schemas.openxmlformats.org/officeDocument/2006/relationships/hyperlink" Target="https://thumbcdn.com/splash/mjyecthwrtwg4lty.jpg" TargetMode="External"/><Relationship Id="rId1347" Type="http://schemas.openxmlformats.org/officeDocument/2006/relationships/hyperlink" Target="https://thumbcdn.com/splash/2a5f4xd7dc316bnz.jpg" TargetMode="External"/><Relationship Id="rId1554" Type="http://schemas.openxmlformats.org/officeDocument/2006/relationships/hyperlink" Target="https://thumbcdn.com/splash/31e4dv8ry2tsndea.jpg" TargetMode="External"/><Relationship Id="rId1761" Type="http://schemas.openxmlformats.org/officeDocument/2006/relationships/hyperlink" Target="https://thumbcdn.com/splash/9k970iipb9tq8oci.jpg" TargetMode="External"/><Relationship Id="rId1999" Type="http://schemas.openxmlformats.org/officeDocument/2006/relationships/hyperlink" Target="https://thumbcdn.com/splash/6ykmdkoul8rvl1v3.jpg" TargetMode="External"/><Relationship Id="rId53" Type="http://schemas.openxmlformats.org/officeDocument/2006/relationships/hyperlink" Target="https://thumbcdn.com/splash/u5qduc1xza2glddt.jpg" TargetMode="External"/><Relationship Id="rId1207" Type="http://schemas.openxmlformats.org/officeDocument/2006/relationships/hyperlink" Target="https://thumbcdn.com/splash/f009dhacy8ruwbww.jpg" TargetMode="External"/><Relationship Id="rId1414" Type="http://schemas.openxmlformats.org/officeDocument/2006/relationships/hyperlink" Target="https://thumbcdn.com/splash/gpxsr9xv79ao7vz3.jpg" TargetMode="External"/><Relationship Id="rId1621" Type="http://schemas.openxmlformats.org/officeDocument/2006/relationships/hyperlink" Target="https://thumbcdn.com/splash/xbig7ize1igazc1v.jpg" TargetMode="External"/><Relationship Id="rId1859" Type="http://schemas.openxmlformats.org/officeDocument/2006/relationships/hyperlink" Target="https://thumbcdn.com/splash/0ybeniaxv17tlue3.jpg" TargetMode="External"/><Relationship Id="rId1719" Type="http://schemas.openxmlformats.org/officeDocument/2006/relationships/hyperlink" Target="https://thumbcdn.com/splash/7uywntb8shp7me46.jpg" TargetMode="External"/><Relationship Id="rId1926" Type="http://schemas.openxmlformats.org/officeDocument/2006/relationships/hyperlink" Target="https://thumbcdn.com/splash/y02097a3jdi1bsxb.jpg" TargetMode="External"/><Relationship Id="rId2090" Type="http://schemas.openxmlformats.org/officeDocument/2006/relationships/hyperlink" Target="https://thumbcdn.com/splash/ayziylf7t7fghxyn.jpg" TargetMode="External"/><Relationship Id="rId2188" Type="http://schemas.openxmlformats.org/officeDocument/2006/relationships/hyperlink" Target="https://thumbcdn.com/splash/gciv94tk2hkscsxu.jpg" TargetMode="External"/><Relationship Id="rId367" Type="http://schemas.openxmlformats.org/officeDocument/2006/relationships/hyperlink" Target="https://thumbcdn.com/splash/97brcig60g86kc71.jpg" TargetMode="External"/><Relationship Id="rId574" Type="http://schemas.openxmlformats.org/officeDocument/2006/relationships/hyperlink" Target="https://thumbcdn.com/splash/brp63q91an3w6iq1.jpg" TargetMode="External"/><Relationship Id="rId2048" Type="http://schemas.openxmlformats.org/officeDocument/2006/relationships/hyperlink" Target="https://thumbcdn.com/splash/b7mrs88ngm1ambrr.jpg" TargetMode="External"/><Relationship Id="rId2255" Type="http://schemas.openxmlformats.org/officeDocument/2006/relationships/hyperlink" Target="https://thumbcdn.com/splash/mxmrzxefpndmo7uf.jpg" TargetMode="External"/><Relationship Id="rId227" Type="http://schemas.openxmlformats.org/officeDocument/2006/relationships/hyperlink" Target="https://thumbcdn.com/splash/rljy8avaeoxygi00.jpg" TargetMode="External"/><Relationship Id="rId781" Type="http://schemas.openxmlformats.org/officeDocument/2006/relationships/hyperlink" Target="https://thumbcdn.com/splash/uemypfnbhq0ymykc.jpg" TargetMode="External"/><Relationship Id="rId879" Type="http://schemas.openxmlformats.org/officeDocument/2006/relationships/hyperlink" Target="https://thumbcdn.com/splash/6t05o7k9m7a08n1l.jpg" TargetMode="External"/><Relationship Id="rId434" Type="http://schemas.openxmlformats.org/officeDocument/2006/relationships/hyperlink" Target="https://thumbcdn.com/splash/ic4x6epg8xrwqohx.jpg" TargetMode="External"/><Relationship Id="rId641" Type="http://schemas.openxmlformats.org/officeDocument/2006/relationships/hyperlink" Target="https://thumbcdn.com/splash/kt5xjuzxr9fccj9b.jpg" TargetMode="External"/><Relationship Id="rId739" Type="http://schemas.openxmlformats.org/officeDocument/2006/relationships/hyperlink" Target="https://thumbcdn.com/splash/7bpr0egesccbuxta.jpg" TargetMode="External"/><Relationship Id="rId1064" Type="http://schemas.openxmlformats.org/officeDocument/2006/relationships/hyperlink" Target="https://thumbcdn.com/splash/5xe8ygc2t3dhiwl2.jpg" TargetMode="External"/><Relationship Id="rId1271" Type="http://schemas.openxmlformats.org/officeDocument/2006/relationships/hyperlink" Target="https://thumbcdn.com/splash/4w5z2qdp95327v9x.jpg" TargetMode="External"/><Relationship Id="rId1369" Type="http://schemas.openxmlformats.org/officeDocument/2006/relationships/hyperlink" Target="https://thumbcdn.com/splash/5626ly3h2gky46kz.jpg" TargetMode="External"/><Relationship Id="rId1576" Type="http://schemas.openxmlformats.org/officeDocument/2006/relationships/hyperlink" Target="https://thumbcdn.com/splash/1cpzycvdwszuyfa7.jpg" TargetMode="External"/><Relationship Id="rId2115" Type="http://schemas.openxmlformats.org/officeDocument/2006/relationships/hyperlink" Target="https://thumbcdn.com/splash/wxadn18msjj51f4p.jpg" TargetMode="External"/><Relationship Id="rId501" Type="http://schemas.openxmlformats.org/officeDocument/2006/relationships/hyperlink" Target="https://thumbcdn.com/splash/xj2k98uvho1gn4a9.jpg" TargetMode="External"/><Relationship Id="rId946" Type="http://schemas.openxmlformats.org/officeDocument/2006/relationships/hyperlink" Target="https://thumbcdn.com/splash/2zxpmz4lgr9hgo2d.jpg" TargetMode="External"/><Relationship Id="rId1131" Type="http://schemas.openxmlformats.org/officeDocument/2006/relationships/hyperlink" Target="https://thumbcdn.com/splash/7zweszko5yrnrnds.jpg" TargetMode="External"/><Relationship Id="rId1229" Type="http://schemas.openxmlformats.org/officeDocument/2006/relationships/hyperlink" Target="https://thumbcdn.com/splash/whtj94rcpno09yoq.jpg" TargetMode="External"/><Relationship Id="rId1783" Type="http://schemas.openxmlformats.org/officeDocument/2006/relationships/hyperlink" Target="https://thumbcdn.com/splash/5ucwtw74hmoud8o0.jpg" TargetMode="External"/><Relationship Id="rId1990" Type="http://schemas.openxmlformats.org/officeDocument/2006/relationships/hyperlink" Target="https://thumbcdn.com/splash/099qaj2lolpvtjjd.jpg" TargetMode="External"/><Relationship Id="rId75" Type="http://schemas.openxmlformats.org/officeDocument/2006/relationships/hyperlink" Target="https://thumbcdn.com/splash/2j7juglp195jkvzg.jpg" TargetMode="External"/><Relationship Id="rId806" Type="http://schemas.openxmlformats.org/officeDocument/2006/relationships/hyperlink" Target="https://thumbcdn.com/splash/zk1c73qpujgjw9u5.jpg" TargetMode="External"/><Relationship Id="rId1436" Type="http://schemas.openxmlformats.org/officeDocument/2006/relationships/hyperlink" Target="https://thumbcdn.com/splash/2tbjr6xp98a3epm0.jpg" TargetMode="External"/><Relationship Id="rId1643" Type="http://schemas.openxmlformats.org/officeDocument/2006/relationships/hyperlink" Target="https://thumbcdn.com/splash/7t4mszywd8ssokbb.jpg" TargetMode="External"/><Relationship Id="rId1850" Type="http://schemas.openxmlformats.org/officeDocument/2006/relationships/hyperlink" Target="https://thumbcdn.com/splash/2zxpmz4lgr9hgo2d.jpg" TargetMode="External"/><Relationship Id="rId1503" Type="http://schemas.openxmlformats.org/officeDocument/2006/relationships/hyperlink" Target="https://thumbcdn.com/splash/pkzuxrn8svwnt9or.jpg" TargetMode="External"/><Relationship Id="rId1710" Type="http://schemas.openxmlformats.org/officeDocument/2006/relationships/hyperlink" Target="https://thumbcdn.com/splash/p98riojc7yzlgh9n.jpg" TargetMode="External"/><Relationship Id="rId1948" Type="http://schemas.openxmlformats.org/officeDocument/2006/relationships/hyperlink" Target="https://thumbcdn.com/splash/yshxsjpdg0tjfd9p.jpg" TargetMode="External"/><Relationship Id="rId291" Type="http://schemas.openxmlformats.org/officeDocument/2006/relationships/hyperlink" Target="https://thumbcdn.com/splash/kuojiofrn87il0h5.jpg" TargetMode="External"/><Relationship Id="rId1808" Type="http://schemas.openxmlformats.org/officeDocument/2006/relationships/hyperlink" Target="https://thumbcdn.com/splash/halgw4rw1u9x7cdz.jpg" TargetMode="External"/><Relationship Id="rId151" Type="http://schemas.openxmlformats.org/officeDocument/2006/relationships/hyperlink" Target="https://thumbcdn.com/splash/rgeam8jl0h2wdewl.jpg" TargetMode="External"/><Relationship Id="rId389" Type="http://schemas.openxmlformats.org/officeDocument/2006/relationships/hyperlink" Target="https://thumbcdn.com/splash/au0if5vr0rsx0vqs.jpg" TargetMode="External"/><Relationship Id="rId596" Type="http://schemas.openxmlformats.org/officeDocument/2006/relationships/hyperlink" Target="https://thumbcdn.com/splash/tdykho1me9hgxbs4.jpg" TargetMode="External"/><Relationship Id="rId2277" Type="http://schemas.openxmlformats.org/officeDocument/2006/relationships/hyperlink" Target="https://thumbcdn.com/splash/xfb08roas1l9b37n.jpg" TargetMode="External"/><Relationship Id="rId249" Type="http://schemas.openxmlformats.org/officeDocument/2006/relationships/hyperlink" Target="https://thumbcdn.com/splash/sxmikwy1tqlwz7ib.jpg" TargetMode="External"/><Relationship Id="rId456" Type="http://schemas.openxmlformats.org/officeDocument/2006/relationships/hyperlink" Target="https://thumbcdn.com/splash/5626ly3h2gky46kz.jpg" TargetMode="External"/><Relationship Id="rId663" Type="http://schemas.openxmlformats.org/officeDocument/2006/relationships/hyperlink" Target="https://thumbcdn.com/splash/zua5joblnfz4w5tr.jpg" TargetMode="External"/><Relationship Id="rId870" Type="http://schemas.openxmlformats.org/officeDocument/2006/relationships/hyperlink" Target="https://thumbcdn.com/splash/2s7bd0d87tv6fwx8.jpg" TargetMode="External"/><Relationship Id="rId1086" Type="http://schemas.openxmlformats.org/officeDocument/2006/relationships/hyperlink" Target="https://thumbcdn.com/splash/b08syigy5m763dmi.jpg" TargetMode="External"/><Relationship Id="rId1293" Type="http://schemas.openxmlformats.org/officeDocument/2006/relationships/hyperlink" Target="https://thumbcdn.com/splash/sjte2iu1uhwlgyoi.jpg" TargetMode="External"/><Relationship Id="rId2137" Type="http://schemas.openxmlformats.org/officeDocument/2006/relationships/hyperlink" Target="https://thumbcdn.com/splash/ujthl8reeds1lqrn.jpg" TargetMode="External"/><Relationship Id="rId109" Type="http://schemas.openxmlformats.org/officeDocument/2006/relationships/hyperlink" Target="https://thumbcdn.com/splash/tp6ipgucn0iacboh.jpg" TargetMode="External"/><Relationship Id="rId316" Type="http://schemas.openxmlformats.org/officeDocument/2006/relationships/hyperlink" Target="https://thumbcdn.com/splash/7o9vbd8j47vjj91y.jpg" TargetMode="External"/><Relationship Id="rId523" Type="http://schemas.openxmlformats.org/officeDocument/2006/relationships/hyperlink" Target="https://thumbcdn.com/splash/72h41g4xk6me5lqu.jpg" TargetMode="External"/><Relationship Id="rId968" Type="http://schemas.openxmlformats.org/officeDocument/2006/relationships/hyperlink" Target="https://thumbcdn.com/splash/smwq08m4p9n7lz78.jpg" TargetMode="External"/><Relationship Id="rId1153" Type="http://schemas.openxmlformats.org/officeDocument/2006/relationships/hyperlink" Target="https://thumbcdn.com/splash/mi58p1zgbk9upijz.jpg" TargetMode="External"/><Relationship Id="rId1598" Type="http://schemas.openxmlformats.org/officeDocument/2006/relationships/hyperlink" Target="https://thumbcdn.com/splash/bvapl7gj73dot7mj.jpg" TargetMode="External"/><Relationship Id="rId2204" Type="http://schemas.openxmlformats.org/officeDocument/2006/relationships/hyperlink" Target="https://thumbcdn.com/splash/4fplhpz4xkh2a309.jpg" TargetMode="External"/><Relationship Id="rId97" Type="http://schemas.openxmlformats.org/officeDocument/2006/relationships/hyperlink" Target="https://thumbcdn.com/splash/cy07nlvkadbeg6lh.jpg" TargetMode="External"/><Relationship Id="rId730" Type="http://schemas.openxmlformats.org/officeDocument/2006/relationships/hyperlink" Target="https://thumbcdn.com/splash/3i6vcvuzh47b7q7z.jpg" TargetMode="External"/><Relationship Id="rId828" Type="http://schemas.openxmlformats.org/officeDocument/2006/relationships/hyperlink" Target="https://thumbcdn.com/splash/xc2g3aa6aidy7alw.jpg" TargetMode="External"/><Relationship Id="rId1013" Type="http://schemas.openxmlformats.org/officeDocument/2006/relationships/hyperlink" Target="https://thumbcdn.com/splash/zasuo82j5rapbd37.jpg" TargetMode="External"/><Relationship Id="rId1360" Type="http://schemas.openxmlformats.org/officeDocument/2006/relationships/hyperlink" Target="https://thumbcdn.com/splash/ka4f5hvw8o10wnmj.jpg" TargetMode="External"/><Relationship Id="rId1458" Type="http://schemas.openxmlformats.org/officeDocument/2006/relationships/hyperlink" Target="https://thumbcdn.com/splash/b03s9jyiyf6v6kml.jpg" TargetMode="External"/><Relationship Id="rId1665" Type="http://schemas.openxmlformats.org/officeDocument/2006/relationships/hyperlink" Target="https://thumbcdn.com/splash/04iivseyq8wnsvi9.jpg" TargetMode="External"/><Relationship Id="rId1872" Type="http://schemas.openxmlformats.org/officeDocument/2006/relationships/hyperlink" Target="https://thumbcdn.com/splash/eic5uj132eehb8bq.jpg" TargetMode="External"/><Relationship Id="rId1220" Type="http://schemas.openxmlformats.org/officeDocument/2006/relationships/hyperlink" Target="https://thumbcdn.com/splash/86lzd3cs9ewg8k94.jpg" TargetMode="External"/><Relationship Id="rId1318" Type="http://schemas.openxmlformats.org/officeDocument/2006/relationships/hyperlink" Target="https://thumbcdn.com/splash/muijz82mhptmytd1.jpg" TargetMode="External"/><Relationship Id="rId1525" Type="http://schemas.openxmlformats.org/officeDocument/2006/relationships/hyperlink" Target="https://thumbcdn.com/splash/jqfzlieb5erge6os.jpg" TargetMode="External"/><Relationship Id="rId1732" Type="http://schemas.openxmlformats.org/officeDocument/2006/relationships/hyperlink" Target="https://thumbcdn.com/splash/h7v30ns892ef55up.jpg" TargetMode="External"/><Relationship Id="rId24" Type="http://schemas.openxmlformats.org/officeDocument/2006/relationships/hyperlink" Target="https://thumbcdn.com/splash/vzem54fyhdljwa2c.jpg" TargetMode="External"/><Relationship Id="rId173" Type="http://schemas.openxmlformats.org/officeDocument/2006/relationships/hyperlink" Target="https://thumbcdn.com/splash/uwkf2v5hdwr177fj.jpg" TargetMode="External"/><Relationship Id="rId380" Type="http://schemas.openxmlformats.org/officeDocument/2006/relationships/hyperlink" Target="https://thumbcdn.com/splash/qqmpzn5aq5cmkgmp.jpg" TargetMode="External"/><Relationship Id="rId2061" Type="http://schemas.openxmlformats.org/officeDocument/2006/relationships/hyperlink" Target="https://thumbcdn.com/splash/dww715lr3wi1cbpd.jpg" TargetMode="External"/><Relationship Id="rId240" Type="http://schemas.openxmlformats.org/officeDocument/2006/relationships/hyperlink" Target="https://thumbcdn.com/splash/auv2e68r2f1bzibc.jpg" TargetMode="External"/><Relationship Id="rId478" Type="http://schemas.openxmlformats.org/officeDocument/2006/relationships/hyperlink" Target="https://thumbcdn.com/splash/ciu8v9rtktewmpal.jpg" TargetMode="External"/><Relationship Id="rId685" Type="http://schemas.openxmlformats.org/officeDocument/2006/relationships/hyperlink" Target="https://thumbcdn.com/splash/5ahrn8ykuicbue2s.jpg" TargetMode="External"/><Relationship Id="rId892" Type="http://schemas.openxmlformats.org/officeDocument/2006/relationships/hyperlink" Target="https://thumbcdn.com/splash/0hhab86aivu885t4.jpg" TargetMode="External"/><Relationship Id="rId2159" Type="http://schemas.openxmlformats.org/officeDocument/2006/relationships/hyperlink" Target="https://thumbcdn.com/splash/4rk87it7din0ofn5.jpg" TargetMode="External"/><Relationship Id="rId100" Type="http://schemas.openxmlformats.org/officeDocument/2006/relationships/hyperlink" Target="https://thumbcdn.com/splash/nqc8dqixeur4i3t6.jpg" TargetMode="External"/><Relationship Id="rId338" Type="http://schemas.openxmlformats.org/officeDocument/2006/relationships/hyperlink" Target="https://thumbcdn.com/splash/zasuo82j5rapbd37.jpg" TargetMode="External"/><Relationship Id="rId545" Type="http://schemas.openxmlformats.org/officeDocument/2006/relationships/hyperlink" Target="https://thumbcdn.com/splash/i8h2ngeuzpolld3n.jpg" TargetMode="External"/><Relationship Id="rId752" Type="http://schemas.openxmlformats.org/officeDocument/2006/relationships/hyperlink" Target="https://thumbcdn.com/splash/p8781flyqg8duat2.jpg" TargetMode="External"/><Relationship Id="rId1175" Type="http://schemas.openxmlformats.org/officeDocument/2006/relationships/hyperlink" Target="https://thumbcdn.com/splash/eup4wym3jtc60uhy.jpg" TargetMode="External"/><Relationship Id="rId1382" Type="http://schemas.openxmlformats.org/officeDocument/2006/relationships/hyperlink" Target="https://thumbcdn.com/splash/ao9ww0m46fbqj8zi.jpg" TargetMode="External"/><Relationship Id="rId2019" Type="http://schemas.openxmlformats.org/officeDocument/2006/relationships/hyperlink" Target="https://thumbcdn.com/splash/huwj83dxm27z59u8.jpg" TargetMode="External"/><Relationship Id="rId2226" Type="http://schemas.openxmlformats.org/officeDocument/2006/relationships/hyperlink" Target="https://thumbcdn.com/splash/k10azktmwf0irewg.jpg" TargetMode="External"/><Relationship Id="rId405" Type="http://schemas.openxmlformats.org/officeDocument/2006/relationships/hyperlink" Target="https://thumbcdn.com/splash/w0p3izo715rpkn6k.jpg" TargetMode="External"/><Relationship Id="rId612" Type="http://schemas.openxmlformats.org/officeDocument/2006/relationships/hyperlink" Target="https://thumbcdn.com/splash/ngbfyce2o4hrvrmi.jpg" TargetMode="External"/><Relationship Id="rId1035" Type="http://schemas.openxmlformats.org/officeDocument/2006/relationships/hyperlink" Target="https://thumbcdn.com/splash/o02mrmz05m021chj.jpg" TargetMode="External"/><Relationship Id="rId1242" Type="http://schemas.openxmlformats.org/officeDocument/2006/relationships/hyperlink" Target="https://thumbcdn.com/splash/um91ivuk7ofmw9hb.jpg" TargetMode="External"/><Relationship Id="rId1687" Type="http://schemas.openxmlformats.org/officeDocument/2006/relationships/hyperlink" Target="https://thumbcdn.com/splash/a16s423og5nf15fc.jpg" TargetMode="External"/><Relationship Id="rId1894" Type="http://schemas.openxmlformats.org/officeDocument/2006/relationships/hyperlink" Target="https://thumbcdn.com/splash/hcif0bas65ohbd0u.jpg" TargetMode="External"/><Relationship Id="rId917" Type="http://schemas.openxmlformats.org/officeDocument/2006/relationships/hyperlink" Target="https://thumbcdn.com/splash/1nsaqvu5t2t2w53b.jpg" TargetMode="External"/><Relationship Id="rId1102" Type="http://schemas.openxmlformats.org/officeDocument/2006/relationships/hyperlink" Target="https://thumbcdn.com/splash/fdkouvmsfpnf7d46.jpg" TargetMode="External"/><Relationship Id="rId1547" Type="http://schemas.openxmlformats.org/officeDocument/2006/relationships/hyperlink" Target="https://thumbcdn.com/splash/20kcdq65w4r84gxg.jpg" TargetMode="External"/><Relationship Id="rId1754" Type="http://schemas.openxmlformats.org/officeDocument/2006/relationships/hyperlink" Target="https://thumbcdn.com/splash/i1bn8ead36szn50h.jpg" TargetMode="External"/><Relationship Id="rId1961" Type="http://schemas.openxmlformats.org/officeDocument/2006/relationships/hyperlink" Target="https://thumbcdn.com/splash/z22t6di1wo7ygzp7.jpg" TargetMode="External"/><Relationship Id="rId46" Type="http://schemas.openxmlformats.org/officeDocument/2006/relationships/hyperlink" Target="https://thumbcdn.com/splash/q49x8r4777m6qzoy.jpg" TargetMode="External"/><Relationship Id="rId1407" Type="http://schemas.openxmlformats.org/officeDocument/2006/relationships/hyperlink" Target="https://thumbcdn.com/splash/iw1coteqzbfj8chq.jpg" TargetMode="External"/><Relationship Id="rId1614" Type="http://schemas.openxmlformats.org/officeDocument/2006/relationships/hyperlink" Target="https://thumbcdn.com/splash/ket4z0tn1fiy2u1z.jpg" TargetMode="External"/><Relationship Id="rId1821" Type="http://schemas.openxmlformats.org/officeDocument/2006/relationships/hyperlink" Target="https://thumbcdn.com/splash/ran88zsqtuhzaunc.jpg" TargetMode="External"/><Relationship Id="rId195" Type="http://schemas.openxmlformats.org/officeDocument/2006/relationships/hyperlink" Target="https://thumbcdn.com/splash/935fllawx5r33ll0.jpg" TargetMode="External"/><Relationship Id="rId1919" Type="http://schemas.openxmlformats.org/officeDocument/2006/relationships/hyperlink" Target="https://thumbcdn.com/splash/mwja2i21znm8bb48.jpg" TargetMode="External"/><Relationship Id="rId2083" Type="http://schemas.openxmlformats.org/officeDocument/2006/relationships/hyperlink" Target="https://thumbcdn.com/splash/fm7puqkys4i39six.jpg" TargetMode="External"/><Relationship Id="rId262" Type="http://schemas.openxmlformats.org/officeDocument/2006/relationships/hyperlink" Target="https://thumbcdn.com/splash/5fm6eieksre8pefh.jpg" TargetMode="External"/><Relationship Id="rId567" Type="http://schemas.openxmlformats.org/officeDocument/2006/relationships/hyperlink" Target="https://thumbcdn.com/splash/88tz487b81lhj5tu.jpg" TargetMode="External"/><Relationship Id="rId1197" Type="http://schemas.openxmlformats.org/officeDocument/2006/relationships/hyperlink" Target="https://thumbcdn.com/splash/ffrzlbyutq8pa4a5.jpg" TargetMode="External"/><Relationship Id="rId2150" Type="http://schemas.openxmlformats.org/officeDocument/2006/relationships/hyperlink" Target="https://thumbcdn.com/splash/ac9e94312tzwgyxy.jpg" TargetMode="External"/><Relationship Id="rId2248" Type="http://schemas.openxmlformats.org/officeDocument/2006/relationships/hyperlink" Target="https://thumbcdn.com/splash/tcaz0u6gf9lnbugq.jpg" TargetMode="External"/><Relationship Id="rId122" Type="http://schemas.openxmlformats.org/officeDocument/2006/relationships/hyperlink" Target="https://thumbcdn.com/splash/hih40lpz3p6amu2n.jpg" TargetMode="External"/><Relationship Id="rId774" Type="http://schemas.openxmlformats.org/officeDocument/2006/relationships/hyperlink" Target="https://thumbcdn.com/splash/7n4rjtg6hwi0gb3j.jpg" TargetMode="External"/><Relationship Id="rId981" Type="http://schemas.openxmlformats.org/officeDocument/2006/relationships/hyperlink" Target="https://thumbcdn.com/splash/jec7d26cs9nm8whg.jpg" TargetMode="External"/><Relationship Id="rId1057" Type="http://schemas.openxmlformats.org/officeDocument/2006/relationships/hyperlink" Target="https://thumbcdn.com/splash/3y3ram1gcgxy61qo.jpg" TargetMode="External"/><Relationship Id="rId2010" Type="http://schemas.openxmlformats.org/officeDocument/2006/relationships/hyperlink" Target="https://thumbcdn.com/splash/0gepoxt15lfx2dwg.jpg" TargetMode="External"/><Relationship Id="rId427" Type="http://schemas.openxmlformats.org/officeDocument/2006/relationships/hyperlink" Target="https://thumbcdn.com/splash/buywer62y1j9lm9m.jpg" TargetMode="External"/><Relationship Id="rId634" Type="http://schemas.openxmlformats.org/officeDocument/2006/relationships/hyperlink" Target="https://thumbcdn.com/splash/rld9tl5rvj63kj2x.jpg" TargetMode="External"/><Relationship Id="rId841" Type="http://schemas.openxmlformats.org/officeDocument/2006/relationships/hyperlink" Target="https://thumbcdn.com/splash/pnrkjpimsa75rapt.jpg" TargetMode="External"/><Relationship Id="rId1264" Type="http://schemas.openxmlformats.org/officeDocument/2006/relationships/hyperlink" Target="https://thumbcdn.com/splash/4jfhzput62znuvzr.jpg" TargetMode="External"/><Relationship Id="rId1471" Type="http://schemas.openxmlformats.org/officeDocument/2006/relationships/hyperlink" Target="https://thumbcdn.com/splash/tsnqov63t50jcdnf.jpg" TargetMode="External"/><Relationship Id="rId1569" Type="http://schemas.openxmlformats.org/officeDocument/2006/relationships/hyperlink" Target="https://thumbcdn.com/splash/xg6x4fgfubkpervi.jpg" TargetMode="External"/><Relationship Id="rId2108" Type="http://schemas.openxmlformats.org/officeDocument/2006/relationships/hyperlink" Target="https://thumbcdn.com/splash/abdq02b8temlz1tm.jpg" TargetMode="External"/><Relationship Id="rId701" Type="http://schemas.openxmlformats.org/officeDocument/2006/relationships/hyperlink" Target="https://thumbcdn.com/splash/47203l3uh174drd2.jpg" TargetMode="External"/><Relationship Id="rId939" Type="http://schemas.openxmlformats.org/officeDocument/2006/relationships/hyperlink" Target="https://thumbcdn.com/splash/s2mkhm2hbgo9zvsg.jpg" TargetMode="External"/><Relationship Id="rId1124" Type="http://schemas.openxmlformats.org/officeDocument/2006/relationships/hyperlink" Target="https://thumbcdn.com/splash/c6t12s6v0muu9ptf.jpg" TargetMode="External"/><Relationship Id="rId1331" Type="http://schemas.openxmlformats.org/officeDocument/2006/relationships/hyperlink" Target="https://thumbcdn.com/splash/2g2x81uj4vpfkntr.jpg" TargetMode="External"/><Relationship Id="rId1776" Type="http://schemas.openxmlformats.org/officeDocument/2006/relationships/hyperlink" Target="https://thumbcdn.com/splash/khxy0gglnodk9r7n.jpg" TargetMode="External"/><Relationship Id="rId1983" Type="http://schemas.openxmlformats.org/officeDocument/2006/relationships/hyperlink" Target="https://thumbcdn.com/splash/b80q2n6zxmy154it.jpg" TargetMode="External"/><Relationship Id="rId68" Type="http://schemas.openxmlformats.org/officeDocument/2006/relationships/hyperlink" Target="https://thumbcdn.com/splash/4231wzo2uciqp3zj.jpg" TargetMode="External"/><Relationship Id="rId1429" Type="http://schemas.openxmlformats.org/officeDocument/2006/relationships/hyperlink" Target="https://thumbcdn.com/splash/4qzo13xf9b09osga.jpg" TargetMode="External"/><Relationship Id="rId1636" Type="http://schemas.openxmlformats.org/officeDocument/2006/relationships/hyperlink" Target="https://thumbcdn.com/splash/juj8mg25dezdwdly.jpg" TargetMode="External"/><Relationship Id="rId1843" Type="http://schemas.openxmlformats.org/officeDocument/2006/relationships/hyperlink" Target="https://thumbcdn.com/splash/iwbytrinqpn21s4b.jpg" TargetMode="External"/><Relationship Id="rId1703" Type="http://schemas.openxmlformats.org/officeDocument/2006/relationships/hyperlink" Target="https://thumbcdn.com/splash/7ido45fh44ztu72s.jpg" TargetMode="External"/><Relationship Id="rId1910" Type="http://schemas.openxmlformats.org/officeDocument/2006/relationships/hyperlink" Target="https://thumbcdn.com/splash/0w4ua9y22iyxx4ty.jpg" TargetMode="External"/><Relationship Id="rId284" Type="http://schemas.openxmlformats.org/officeDocument/2006/relationships/hyperlink" Target="https://thumbcdn.com/splash/jzdpprvxvhgd94ax.jpg" TargetMode="External"/><Relationship Id="rId491" Type="http://schemas.openxmlformats.org/officeDocument/2006/relationships/hyperlink" Target="https://thumbcdn.com/splash/18frbm0tc6of856i.jpg" TargetMode="External"/><Relationship Id="rId2172" Type="http://schemas.openxmlformats.org/officeDocument/2006/relationships/hyperlink" Target="https://thumbcdn.com/splash/bf1xgilu6iqfwbut.jpg" TargetMode="External"/><Relationship Id="rId144" Type="http://schemas.openxmlformats.org/officeDocument/2006/relationships/hyperlink" Target="https://thumbcdn.com/splash/ym3vpcimblxk5joj.jpg" TargetMode="External"/><Relationship Id="rId589" Type="http://schemas.openxmlformats.org/officeDocument/2006/relationships/hyperlink" Target="https://thumbcdn.com/splash/fyb22c9nbumlijud.jpg" TargetMode="External"/><Relationship Id="rId796" Type="http://schemas.openxmlformats.org/officeDocument/2006/relationships/hyperlink" Target="https://thumbcdn.com/splash/3l9e4qem2wbofriu.jpg" TargetMode="External"/><Relationship Id="rId351" Type="http://schemas.openxmlformats.org/officeDocument/2006/relationships/hyperlink" Target="https://thumbcdn.com/splash/rvjb1qp26mi81zee.jpg" TargetMode="External"/><Relationship Id="rId449" Type="http://schemas.openxmlformats.org/officeDocument/2006/relationships/hyperlink" Target="https://thumbcdn.com/splash/ig6jetty48i5dd6x.jpg" TargetMode="External"/><Relationship Id="rId656" Type="http://schemas.openxmlformats.org/officeDocument/2006/relationships/hyperlink" Target="https://thumbcdn.com/splash/wr000prtpn1fx9uc.jpg" TargetMode="External"/><Relationship Id="rId863" Type="http://schemas.openxmlformats.org/officeDocument/2006/relationships/hyperlink" Target="https://thumbcdn.com/splash/gt9n06v32flj8fps.jpg" TargetMode="External"/><Relationship Id="rId1079" Type="http://schemas.openxmlformats.org/officeDocument/2006/relationships/hyperlink" Target="https://thumbcdn.com/splash/8q29i84kcyjyzhmm.jpg" TargetMode="External"/><Relationship Id="rId1286" Type="http://schemas.openxmlformats.org/officeDocument/2006/relationships/hyperlink" Target="https://thumbcdn.com/splash/blanfv3xn77f1n5f.jpg" TargetMode="External"/><Relationship Id="rId1493" Type="http://schemas.openxmlformats.org/officeDocument/2006/relationships/hyperlink" Target="https://thumbcdn.com/splash/na2vgtpchqthjml6.jpg" TargetMode="External"/><Relationship Id="rId2032" Type="http://schemas.openxmlformats.org/officeDocument/2006/relationships/hyperlink" Target="https://thumbcdn.com/splash/3x95uf3r6wzh7rwd.jpg" TargetMode="External"/><Relationship Id="rId211" Type="http://schemas.openxmlformats.org/officeDocument/2006/relationships/hyperlink" Target="https://thumbcdn.com/splash/z5q3xgyylku6y0vo.jpg" TargetMode="External"/><Relationship Id="rId309" Type="http://schemas.openxmlformats.org/officeDocument/2006/relationships/hyperlink" Target="https://thumbcdn.com/splash/utuss0vsednzmnfb.jpg" TargetMode="External"/><Relationship Id="rId516" Type="http://schemas.openxmlformats.org/officeDocument/2006/relationships/hyperlink" Target="https://thumbcdn.com/splash/kz9wx3xo6w39f4c9.jpg" TargetMode="External"/><Relationship Id="rId1146" Type="http://schemas.openxmlformats.org/officeDocument/2006/relationships/hyperlink" Target="https://thumbcdn.com/splash/9bqu2vx4112zdjcu.jpg" TargetMode="External"/><Relationship Id="rId1798" Type="http://schemas.openxmlformats.org/officeDocument/2006/relationships/hyperlink" Target="https://thumbcdn.com/splash/0gx9ewn7lw6aw6ga.jpg" TargetMode="External"/><Relationship Id="rId723" Type="http://schemas.openxmlformats.org/officeDocument/2006/relationships/hyperlink" Target="https://thumbcdn.com/splash/00y1hwuyw4x02jok.jpg" TargetMode="External"/><Relationship Id="rId930" Type="http://schemas.openxmlformats.org/officeDocument/2006/relationships/hyperlink" Target="https://thumbcdn.com/splash/ez5jlaa6sbzg4af8.jpg" TargetMode="External"/><Relationship Id="rId1006" Type="http://schemas.openxmlformats.org/officeDocument/2006/relationships/hyperlink" Target="https://thumbcdn.com/splash/yde1lhb271nxz93n.jpg" TargetMode="External"/><Relationship Id="rId1353" Type="http://schemas.openxmlformats.org/officeDocument/2006/relationships/hyperlink" Target="https://thumbcdn.com/splash/zp02jh1flpsq549f.jpg" TargetMode="External"/><Relationship Id="rId1560" Type="http://schemas.openxmlformats.org/officeDocument/2006/relationships/hyperlink" Target="https://thumbcdn.com/splash/yrxzeysbfwwtvvny.jpg" TargetMode="External"/><Relationship Id="rId1658" Type="http://schemas.openxmlformats.org/officeDocument/2006/relationships/hyperlink" Target="https://thumbcdn.com/splash/91gg8yyr05a66iad.jpg" TargetMode="External"/><Relationship Id="rId1865" Type="http://schemas.openxmlformats.org/officeDocument/2006/relationships/hyperlink" Target="https://thumbcdn.com/splash/viea47lkcp7gp7az.jpg" TargetMode="External"/><Relationship Id="rId1213" Type="http://schemas.openxmlformats.org/officeDocument/2006/relationships/hyperlink" Target="https://thumbcdn.com/splash/jn1mzj61v9zpngck.jpg" TargetMode="External"/><Relationship Id="rId1420" Type="http://schemas.openxmlformats.org/officeDocument/2006/relationships/hyperlink" Target="https://thumbcdn.com/splash/faoe8tx4xezvk0am.jpg" TargetMode="External"/><Relationship Id="rId1518" Type="http://schemas.openxmlformats.org/officeDocument/2006/relationships/hyperlink" Target="https://thumbcdn.com/splash/lv0ph6vdcoz2pi18.jpg" TargetMode="External"/><Relationship Id="rId1725" Type="http://schemas.openxmlformats.org/officeDocument/2006/relationships/hyperlink" Target="https://thumbcdn.com/splash/qwz4b0wtk4uopi65.jpg" TargetMode="External"/><Relationship Id="rId1932" Type="http://schemas.openxmlformats.org/officeDocument/2006/relationships/hyperlink" Target="https://thumbcdn.com/splash/dp6h7o4wto4wrcsv.jpg" TargetMode="External"/><Relationship Id="rId17" Type="http://schemas.openxmlformats.org/officeDocument/2006/relationships/hyperlink" Target="https://thumbcdn.com/splash/0n7loh0bjp11jigp.jpg" TargetMode="External"/><Relationship Id="rId2194" Type="http://schemas.openxmlformats.org/officeDocument/2006/relationships/hyperlink" Target="https://thumbcdn.com/splash/sds3wtl0weojpfop.jpg" TargetMode="External"/><Relationship Id="rId166" Type="http://schemas.openxmlformats.org/officeDocument/2006/relationships/hyperlink" Target="https://thumbcdn.com/splash/z4b9njkig9jj79xi.jpg" TargetMode="External"/><Relationship Id="rId373" Type="http://schemas.openxmlformats.org/officeDocument/2006/relationships/hyperlink" Target="https://thumbcdn.com/splash/vu6vxo2lt1420048.jpg" TargetMode="External"/><Relationship Id="rId580" Type="http://schemas.openxmlformats.org/officeDocument/2006/relationships/hyperlink" Target="https://thumbcdn.com/splash/1cpzycvdwszuyfa7.jpg" TargetMode="External"/><Relationship Id="rId2054" Type="http://schemas.openxmlformats.org/officeDocument/2006/relationships/hyperlink" Target="https://thumbcdn.com/splash/g0hiqelt8e5ykemu.jpg" TargetMode="External"/><Relationship Id="rId2261" Type="http://schemas.openxmlformats.org/officeDocument/2006/relationships/hyperlink" Target="https://thumbcdn.com/splash/b1l98o1tpsudb8g6.jpg" TargetMode="External"/><Relationship Id="rId1" Type="http://schemas.openxmlformats.org/officeDocument/2006/relationships/hyperlink" Target="https://thumbcdn.com/splash/nu5qur8og9tqb50k.jpg" TargetMode="External"/><Relationship Id="rId233" Type="http://schemas.openxmlformats.org/officeDocument/2006/relationships/hyperlink" Target="https://thumbcdn.com/splash/57056jca2rz1fx57.jpg" TargetMode="External"/><Relationship Id="rId440" Type="http://schemas.openxmlformats.org/officeDocument/2006/relationships/hyperlink" Target="https://thumbcdn.com/splash/4quf4esw2b32w9z8.jpg" TargetMode="External"/><Relationship Id="rId678" Type="http://schemas.openxmlformats.org/officeDocument/2006/relationships/hyperlink" Target="https://thumbcdn.com/splash/zn6aqfye73lu7yo5.jpg" TargetMode="External"/><Relationship Id="rId885" Type="http://schemas.openxmlformats.org/officeDocument/2006/relationships/hyperlink" Target="https://thumbcdn.com/splash/eemxyeel28fyw3ax.jpg" TargetMode="External"/><Relationship Id="rId1070" Type="http://schemas.openxmlformats.org/officeDocument/2006/relationships/hyperlink" Target="https://thumbcdn.com/splash/e8y88mls7xhaio7u.jpg" TargetMode="External"/><Relationship Id="rId2121" Type="http://schemas.openxmlformats.org/officeDocument/2006/relationships/hyperlink" Target="https://thumbcdn.com/splash/z78jgvej4tx0ykc1.jpg" TargetMode="External"/><Relationship Id="rId300" Type="http://schemas.openxmlformats.org/officeDocument/2006/relationships/hyperlink" Target="https://thumbcdn.com/splash/9srjkue77a83ky3t.jpg" TargetMode="External"/><Relationship Id="rId538" Type="http://schemas.openxmlformats.org/officeDocument/2006/relationships/hyperlink" Target="https://thumbcdn.com/splash/3ny66ar9z6p4kx26.jpg" TargetMode="External"/><Relationship Id="rId745" Type="http://schemas.openxmlformats.org/officeDocument/2006/relationships/hyperlink" Target="https://thumbcdn.com/splash/a0ea8meofrvg6yie.jpg" TargetMode="External"/><Relationship Id="rId952" Type="http://schemas.openxmlformats.org/officeDocument/2006/relationships/hyperlink" Target="https://thumbcdn.com/splash/thd6n65hvnhp982g.jpg" TargetMode="External"/><Relationship Id="rId1168" Type="http://schemas.openxmlformats.org/officeDocument/2006/relationships/hyperlink" Target="https://thumbcdn.com/splash/afrtvsdfbdhq6mpw.jpg" TargetMode="External"/><Relationship Id="rId1375" Type="http://schemas.openxmlformats.org/officeDocument/2006/relationships/hyperlink" Target="https://thumbcdn.com/splash/bf1xgilu6iqfwbut.jpg" TargetMode="External"/><Relationship Id="rId1582" Type="http://schemas.openxmlformats.org/officeDocument/2006/relationships/hyperlink" Target="https://thumbcdn.com/splash/pab4fz0t3q9qaeyl.jpg" TargetMode="External"/><Relationship Id="rId2219" Type="http://schemas.openxmlformats.org/officeDocument/2006/relationships/hyperlink" Target="https://thumbcdn.com/splash/88b1s2s1bqdcmh6y.jpg" TargetMode="External"/><Relationship Id="rId81" Type="http://schemas.openxmlformats.org/officeDocument/2006/relationships/hyperlink" Target="https://thumbcdn.com/splash/t0hywldsgdsrk74d.jpg" TargetMode="External"/><Relationship Id="rId605" Type="http://schemas.openxmlformats.org/officeDocument/2006/relationships/hyperlink" Target="https://thumbcdn.com/splash/it3xafz8h45ug7al.jpg" TargetMode="External"/><Relationship Id="rId812" Type="http://schemas.openxmlformats.org/officeDocument/2006/relationships/hyperlink" Target="https://thumbcdn.com/splash/4b08dfpwjvrtbdi7.jpg" TargetMode="External"/><Relationship Id="rId1028" Type="http://schemas.openxmlformats.org/officeDocument/2006/relationships/hyperlink" Target="https://thumbcdn.com/splash/zvd4eqjwirgejs53.jpg" TargetMode="External"/><Relationship Id="rId1235" Type="http://schemas.openxmlformats.org/officeDocument/2006/relationships/hyperlink" Target="https://thumbcdn.com/splash/q68lsgjeosoe8om2.jpg" TargetMode="External"/><Relationship Id="rId1442" Type="http://schemas.openxmlformats.org/officeDocument/2006/relationships/hyperlink" Target="https://thumbcdn.com/splash/zgfy5xmhgp0h07em.jpg" TargetMode="External"/><Relationship Id="rId1887" Type="http://schemas.openxmlformats.org/officeDocument/2006/relationships/hyperlink" Target="https://thumbcdn.com/splash/0z8cehuslka2ofjc.jpg" TargetMode="External"/><Relationship Id="rId1302" Type="http://schemas.openxmlformats.org/officeDocument/2006/relationships/hyperlink" Target="https://thumbcdn.com/splash/8pwcjiprmkum5rga.jpg" TargetMode="External"/><Relationship Id="rId1747" Type="http://schemas.openxmlformats.org/officeDocument/2006/relationships/hyperlink" Target="https://thumbcdn.com/splash/x9xgwod0mcaimkag.jpg" TargetMode="External"/><Relationship Id="rId1954" Type="http://schemas.openxmlformats.org/officeDocument/2006/relationships/hyperlink" Target="https://thumbcdn.com/splash/h5xuyfymzcbymmgn.jpg" TargetMode="External"/><Relationship Id="rId39" Type="http://schemas.openxmlformats.org/officeDocument/2006/relationships/hyperlink" Target="https://thumbcdn.com/splash/xc75ybuqdjt93l3w.jpg" TargetMode="External"/><Relationship Id="rId1607" Type="http://schemas.openxmlformats.org/officeDocument/2006/relationships/hyperlink" Target="https://thumbcdn.com/splash/mvgp2gj6c3wpi1a1.jpg" TargetMode="External"/><Relationship Id="rId1814" Type="http://schemas.openxmlformats.org/officeDocument/2006/relationships/hyperlink" Target="https://thumbcdn.com/splash/7nr4f6hdhtkhigux.jpg" TargetMode="External"/><Relationship Id="rId188" Type="http://schemas.openxmlformats.org/officeDocument/2006/relationships/hyperlink" Target="https://thumbcdn.com/splash/c1wf376137r297ok.jpg" TargetMode="External"/><Relationship Id="rId395" Type="http://schemas.openxmlformats.org/officeDocument/2006/relationships/hyperlink" Target="https://thumbcdn.com/splash/kr7gb9ntjbtq00ds.jpg" TargetMode="External"/><Relationship Id="rId2076" Type="http://schemas.openxmlformats.org/officeDocument/2006/relationships/hyperlink" Target="https://thumbcdn.com/splash/vzqc9quey3ex1kfx.jpg" TargetMode="External"/><Relationship Id="rId255" Type="http://schemas.openxmlformats.org/officeDocument/2006/relationships/hyperlink" Target="https://thumbcdn.com/splash/eacquqs0mfbpl1me.jpg" TargetMode="External"/><Relationship Id="rId462" Type="http://schemas.openxmlformats.org/officeDocument/2006/relationships/hyperlink" Target="https://thumbcdn.com/splash/iorubhqpb5futotc.jpg" TargetMode="External"/><Relationship Id="rId1092" Type="http://schemas.openxmlformats.org/officeDocument/2006/relationships/hyperlink" Target="https://thumbcdn.com/splash/3pzlp6rgwsuojarg.jpg" TargetMode="External"/><Relationship Id="rId1397" Type="http://schemas.openxmlformats.org/officeDocument/2006/relationships/hyperlink" Target="https://thumbcdn.com/splash/5fypc5mose24uzeu.jpg" TargetMode="External"/><Relationship Id="rId2143" Type="http://schemas.openxmlformats.org/officeDocument/2006/relationships/hyperlink" Target="https://thumbcdn.com/splash/drskmpnqucg4yios.jpg" TargetMode="External"/><Relationship Id="rId115" Type="http://schemas.openxmlformats.org/officeDocument/2006/relationships/hyperlink" Target="https://thumbcdn.com/splash/u4lac9cjh4089hjd.jpg" TargetMode="External"/><Relationship Id="rId322" Type="http://schemas.openxmlformats.org/officeDocument/2006/relationships/hyperlink" Target="https://thumbcdn.com/splash/ef2d2di9fbo2y8e8.jpg" TargetMode="External"/><Relationship Id="rId767" Type="http://schemas.openxmlformats.org/officeDocument/2006/relationships/hyperlink" Target="https://thumbcdn.com/splash/rxhjtg4w3gkp0x13.jpg" TargetMode="External"/><Relationship Id="rId974" Type="http://schemas.openxmlformats.org/officeDocument/2006/relationships/hyperlink" Target="https://thumbcdn.com/splash/cjswckk32oqxvi8d.jpg" TargetMode="External"/><Relationship Id="rId2003" Type="http://schemas.openxmlformats.org/officeDocument/2006/relationships/hyperlink" Target="https://thumbcdn.com/splash/mclqb9v4ovv3qvlb.jpg" TargetMode="External"/><Relationship Id="rId2210" Type="http://schemas.openxmlformats.org/officeDocument/2006/relationships/hyperlink" Target="https://thumbcdn.com/splash/i8mkubb7nulydcii.jpg" TargetMode="External"/><Relationship Id="rId627" Type="http://schemas.openxmlformats.org/officeDocument/2006/relationships/hyperlink" Target="https://thumbcdn.com/splash/l5cduvqo2p8opesp.jpg" TargetMode="External"/><Relationship Id="rId834" Type="http://schemas.openxmlformats.org/officeDocument/2006/relationships/hyperlink" Target="https://thumbcdn.com/splash/q8gzaz5cg8bcn98y.jpg" TargetMode="External"/><Relationship Id="rId1257" Type="http://schemas.openxmlformats.org/officeDocument/2006/relationships/hyperlink" Target="https://thumbcdn.com/splash/6x1k9a93arplq5wt.jpg" TargetMode="External"/><Relationship Id="rId1464" Type="http://schemas.openxmlformats.org/officeDocument/2006/relationships/hyperlink" Target="https://thumbcdn.com/splash/o58xl88ykfiobwv0.jpg" TargetMode="External"/><Relationship Id="rId1671" Type="http://schemas.openxmlformats.org/officeDocument/2006/relationships/hyperlink" Target="https://thumbcdn.com/splash/ky57feiayfjr585y.jpg" TargetMode="External"/><Relationship Id="rId901" Type="http://schemas.openxmlformats.org/officeDocument/2006/relationships/hyperlink" Target="https://thumbcdn.com/splash/9srjkue77a83ky3t.jpg" TargetMode="External"/><Relationship Id="rId1117" Type="http://schemas.openxmlformats.org/officeDocument/2006/relationships/hyperlink" Target="https://thumbcdn.com/splash/66wo5m4xu2y2t5wz.jpg" TargetMode="External"/><Relationship Id="rId1324" Type="http://schemas.openxmlformats.org/officeDocument/2006/relationships/hyperlink" Target="https://thumbcdn.com/splash/ptrz2lbke5ahp6qn.jpg" TargetMode="External"/><Relationship Id="rId1531" Type="http://schemas.openxmlformats.org/officeDocument/2006/relationships/hyperlink" Target="https://thumbcdn.com/splash/4h4877vs9lfaj0d9.jpg" TargetMode="External"/><Relationship Id="rId1769" Type="http://schemas.openxmlformats.org/officeDocument/2006/relationships/hyperlink" Target="https://thumbcdn.com/splash/6u7vbms5qn50nk4d.jpg" TargetMode="External"/><Relationship Id="rId1976" Type="http://schemas.openxmlformats.org/officeDocument/2006/relationships/hyperlink" Target="https://thumbcdn.com/splash/cwuqhqrka8ssz2vs.jpg" TargetMode="External"/><Relationship Id="rId30" Type="http://schemas.openxmlformats.org/officeDocument/2006/relationships/hyperlink" Target="https://thumbcdn.com/splash/zq7d8ljoubv4nd16.jpg" TargetMode="External"/><Relationship Id="rId1629" Type="http://schemas.openxmlformats.org/officeDocument/2006/relationships/hyperlink" Target="https://thumbcdn.com/splash/vfdlrslw76pj78pv.jpg" TargetMode="External"/><Relationship Id="rId1836" Type="http://schemas.openxmlformats.org/officeDocument/2006/relationships/hyperlink" Target="https://thumbcdn.com/splash/i750hzve80rll8k6.jpg" TargetMode="External"/><Relationship Id="rId1903" Type="http://schemas.openxmlformats.org/officeDocument/2006/relationships/hyperlink" Target="https://thumbcdn.com/splash/wfiohvitzvr56ho9.jpg" TargetMode="External"/><Relationship Id="rId2098" Type="http://schemas.openxmlformats.org/officeDocument/2006/relationships/hyperlink" Target="https://thumbcdn.com/splash/ts8vvp37s5z7n1li.jpg" TargetMode="External"/><Relationship Id="rId277" Type="http://schemas.openxmlformats.org/officeDocument/2006/relationships/hyperlink" Target="https://thumbcdn.com/splash/6l33pr5w6o5f46yx.jpg" TargetMode="External"/><Relationship Id="rId484" Type="http://schemas.openxmlformats.org/officeDocument/2006/relationships/hyperlink" Target="https://thumbcdn.com/splash/yjlsedr0u9kke3nn.jpg" TargetMode="External"/><Relationship Id="rId2165" Type="http://schemas.openxmlformats.org/officeDocument/2006/relationships/hyperlink" Target="https://thumbcdn.com/splash/5afw0eq5kt49mlsk.jpg" TargetMode="External"/><Relationship Id="rId137" Type="http://schemas.openxmlformats.org/officeDocument/2006/relationships/hyperlink" Target="https://thumbcdn.com/splash/q49x8r4777m6qzoy.jpg" TargetMode="External"/><Relationship Id="rId344" Type="http://schemas.openxmlformats.org/officeDocument/2006/relationships/hyperlink" Target="https://thumbcdn.com/splash/l5nyhd2yeefb8n0z.jpg" TargetMode="External"/><Relationship Id="rId691" Type="http://schemas.openxmlformats.org/officeDocument/2006/relationships/hyperlink" Target="https://thumbcdn.com/splash/yhcerb3si7dog3op.jpg" TargetMode="External"/><Relationship Id="rId789" Type="http://schemas.openxmlformats.org/officeDocument/2006/relationships/hyperlink" Target="https://thumbcdn.com/splash/orxdwfuleaqhie7m.jpg" TargetMode="External"/><Relationship Id="rId996" Type="http://schemas.openxmlformats.org/officeDocument/2006/relationships/hyperlink" Target="https://thumbcdn.com/splash/iecbw11yny4dc9n0.jpg" TargetMode="External"/><Relationship Id="rId2025" Type="http://schemas.openxmlformats.org/officeDocument/2006/relationships/hyperlink" Target="https://thumbcdn.com/splash/5428fs8r6ewhxx6w.jpg" TargetMode="External"/><Relationship Id="rId551" Type="http://schemas.openxmlformats.org/officeDocument/2006/relationships/hyperlink" Target="https://thumbcdn.com/splash/31e4dv8ry2tsndea.jpg" TargetMode="External"/><Relationship Id="rId649" Type="http://schemas.openxmlformats.org/officeDocument/2006/relationships/hyperlink" Target="https://thumbcdn.com/splash/hd38khtb96ypycxt.jpg" TargetMode="External"/><Relationship Id="rId856" Type="http://schemas.openxmlformats.org/officeDocument/2006/relationships/hyperlink" Target="https://thumbcdn.com/splash/5ucwtw74hmoud8o0.jpg" TargetMode="External"/><Relationship Id="rId1181" Type="http://schemas.openxmlformats.org/officeDocument/2006/relationships/hyperlink" Target="https://thumbcdn.com/splash/stz5prk8n00txn2x.jpg" TargetMode="External"/><Relationship Id="rId1279" Type="http://schemas.openxmlformats.org/officeDocument/2006/relationships/hyperlink" Target="https://thumbcdn.com/splash/kr79bkhjgtf1idxp.jpg" TargetMode="External"/><Relationship Id="rId1486" Type="http://schemas.openxmlformats.org/officeDocument/2006/relationships/hyperlink" Target="https://thumbcdn.com/splash/mxmrzxefpndmo7uf.jpg" TargetMode="External"/><Relationship Id="rId2232" Type="http://schemas.openxmlformats.org/officeDocument/2006/relationships/hyperlink" Target="https://thumbcdn.com/splash/bbqel3qlcipbgtyi.jpg" TargetMode="External"/><Relationship Id="rId204" Type="http://schemas.openxmlformats.org/officeDocument/2006/relationships/hyperlink" Target="https://thumbcdn.com/splash/dhxyl9jn86uv3wm1.jpg" TargetMode="External"/><Relationship Id="rId411" Type="http://schemas.openxmlformats.org/officeDocument/2006/relationships/hyperlink" Target="https://thumbcdn.com/splash/pnfq3adozpm6eyt0.jpg" TargetMode="External"/><Relationship Id="rId509" Type="http://schemas.openxmlformats.org/officeDocument/2006/relationships/hyperlink" Target="https://thumbcdn.com/splash/udy64l82axafodz5.jpg" TargetMode="External"/><Relationship Id="rId1041" Type="http://schemas.openxmlformats.org/officeDocument/2006/relationships/hyperlink" Target="https://thumbcdn.com/splash/6hri671wcccn8k8g.jpg" TargetMode="External"/><Relationship Id="rId1139" Type="http://schemas.openxmlformats.org/officeDocument/2006/relationships/hyperlink" Target="https://thumbcdn.com/splash/qrids3zfcnv9nd8h.jpg" TargetMode="External"/><Relationship Id="rId1346" Type="http://schemas.openxmlformats.org/officeDocument/2006/relationships/hyperlink" Target="https://thumbcdn.com/splash/ac9e94312tzwgyxy.jpg" TargetMode="External"/><Relationship Id="rId1693" Type="http://schemas.openxmlformats.org/officeDocument/2006/relationships/hyperlink" Target="https://thumbcdn.com/splash/tpefsajkf7bem4kw.jpg" TargetMode="External"/><Relationship Id="rId1998" Type="http://schemas.openxmlformats.org/officeDocument/2006/relationships/hyperlink" Target="https://thumbcdn.com/splash/47dzx3oxmx1xawev.jpg" TargetMode="External"/><Relationship Id="rId716" Type="http://schemas.openxmlformats.org/officeDocument/2006/relationships/hyperlink" Target="https://thumbcdn.com/splash/lrfzfjuf9btrlpoz.jpg" TargetMode="External"/><Relationship Id="rId923" Type="http://schemas.openxmlformats.org/officeDocument/2006/relationships/hyperlink" Target="https://thumbcdn.com/splash/6dgxcb6ybnnkozm6.jpg" TargetMode="External"/><Relationship Id="rId1553" Type="http://schemas.openxmlformats.org/officeDocument/2006/relationships/hyperlink" Target="https://thumbcdn.com/splash/n5yryih23c7zsutm.jpg" TargetMode="External"/><Relationship Id="rId1760" Type="http://schemas.openxmlformats.org/officeDocument/2006/relationships/hyperlink" Target="https://thumbcdn.com/splash/vhj4dqsowu0xz78w.jpg" TargetMode="External"/><Relationship Id="rId1858" Type="http://schemas.openxmlformats.org/officeDocument/2006/relationships/hyperlink" Target="https://thumbcdn.com/splash/rzhwl2a3vkxcemoe.jpg" TargetMode="External"/><Relationship Id="rId52" Type="http://schemas.openxmlformats.org/officeDocument/2006/relationships/hyperlink" Target="https://thumbcdn.com/splash/hch2w5ks8h2koyji.jpg" TargetMode="External"/><Relationship Id="rId1206" Type="http://schemas.openxmlformats.org/officeDocument/2006/relationships/hyperlink" Target="https://thumbcdn.com/splash/opag4rfj78we3mk7.jpg" TargetMode="External"/><Relationship Id="rId1413" Type="http://schemas.openxmlformats.org/officeDocument/2006/relationships/hyperlink" Target="https://thumbcdn.com/splash/cjjlmxihkmfltppl.jpg" TargetMode="External"/><Relationship Id="rId1620" Type="http://schemas.openxmlformats.org/officeDocument/2006/relationships/hyperlink" Target="https://thumbcdn.com/splash/l2n1b3yhb9quclj5.jpg" TargetMode="External"/><Relationship Id="rId1718" Type="http://schemas.openxmlformats.org/officeDocument/2006/relationships/hyperlink" Target="https://thumbcdn.com/splash/9o1y3f53q4jo7daw.jpg" TargetMode="External"/><Relationship Id="rId1925" Type="http://schemas.openxmlformats.org/officeDocument/2006/relationships/hyperlink" Target="https://thumbcdn.com/splash/58zczzoyjlk3bpkw.jpg" TargetMode="External"/><Relationship Id="rId299" Type="http://schemas.openxmlformats.org/officeDocument/2006/relationships/hyperlink" Target="https://thumbcdn.com/splash/1cwsi17hca5kuiny.jpg" TargetMode="External"/><Relationship Id="rId2187" Type="http://schemas.openxmlformats.org/officeDocument/2006/relationships/hyperlink" Target="https://thumbcdn.com/splash/xrvdu22efltkbo9g.jpg" TargetMode="External"/><Relationship Id="rId159" Type="http://schemas.openxmlformats.org/officeDocument/2006/relationships/hyperlink" Target="https://thumbcdn.com/splash/vb4z98j0pzz38231.jpg" TargetMode="External"/><Relationship Id="rId366" Type="http://schemas.openxmlformats.org/officeDocument/2006/relationships/hyperlink" Target="https://thumbcdn.com/splash/m1lqt2b075ub2qvh.jpg" TargetMode="External"/><Relationship Id="rId573" Type="http://schemas.openxmlformats.org/officeDocument/2006/relationships/hyperlink" Target="https://thumbcdn.com/splash/ceh5l7dzbqt8ft85.jpg" TargetMode="External"/><Relationship Id="rId780" Type="http://schemas.openxmlformats.org/officeDocument/2006/relationships/hyperlink" Target="https://thumbcdn.com/splash/bk4pkzewxiho8agk.jpg" TargetMode="External"/><Relationship Id="rId2047" Type="http://schemas.openxmlformats.org/officeDocument/2006/relationships/hyperlink" Target="https://thumbcdn.com/splash/s4nnhrnyq9g3k8ty.jpg" TargetMode="External"/><Relationship Id="rId2254" Type="http://schemas.openxmlformats.org/officeDocument/2006/relationships/hyperlink" Target="https://thumbcdn.com/splash/ibvlbfvr6iwdxvwd.jpg" TargetMode="External"/><Relationship Id="rId226" Type="http://schemas.openxmlformats.org/officeDocument/2006/relationships/hyperlink" Target="https://thumbcdn.com/splash/vgpzbpbbx6z994k3.jpg" TargetMode="External"/><Relationship Id="rId433" Type="http://schemas.openxmlformats.org/officeDocument/2006/relationships/hyperlink" Target="https://thumbcdn.com/splash/ym3vpcimblxk5joj.jpg" TargetMode="External"/><Relationship Id="rId878" Type="http://schemas.openxmlformats.org/officeDocument/2006/relationships/hyperlink" Target="https://thumbcdn.com/splash/gty6zdpw3ouw5yri.jpg" TargetMode="External"/><Relationship Id="rId1063" Type="http://schemas.openxmlformats.org/officeDocument/2006/relationships/hyperlink" Target="https://thumbcdn.com/splash/id2a1c4gcts4naeb.jpg" TargetMode="External"/><Relationship Id="rId1270" Type="http://schemas.openxmlformats.org/officeDocument/2006/relationships/hyperlink" Target="https://thumbcdn.com/splash/cl2tzsd66x4yat8a.jpg" TargetMode="External"/><Relationship Id="rId2114" Type="http://schemas.openxmlformats.org/officeDocument/2006/relationships/hyperlink" Target="https://thumbcdn.com/splash/6yhjb521dv0tju4i.jpg" TargetMode="External"/><Relationship Id="rId640" Type="http://schemas.openxmlformats.org/officeDocument/2006/relationships/hyperlink" Target="https://thumbcdn.com/splash/xbig7ize1igazc1v.jpg" TargetMode="External"/><Relationship Id="rId738" Type="http://schemas.openxmlformats.org/officeDocument/2006/relationships/hyperlink" Target="https://thumbcdn.com/splash/x1xms6il30a2p3oh.jpg" TargetMode="External"/><Relationship Id="rId945" Type="http://schemas.openxmlformats.org/officeDocument/2006/relationships/hyperlink" Target="https://thumbcdn.com/splash/31tmdvumfk74v9lu.jpg" TargetMode="External"/><Relationship Id="rId1368" Type="http://schemas.openxmlformats.org/officeDocument/2006/relationships/hyperlink" Target="https://thumbcdn.com/splash/5vo5icxj6p87r9ae.jpg" TargetMode="External"/><Relationship Id="rId1575" Type="http://schemas.openxmlformats.org/officeDocument/2006/relationships/hyperlink" Target="https://thumbcdn.com/splash/3jyi016xb1xcqmzs.jpg" TargetMode="External"/><Relationship Id="rId1782" Type="http://schemas.openxmlformats.org/officeDocument/2006/relationships/hyperlink" Target="https://thumbcdn.com/splash/ov18zggjmif6eges.jpg" TargetMode="External"/><Relationship Id="rId74" Type="http://schemas.openxmlformats.org/officeDocument/2006/relationships/hyperlink" Target="https://thumbcdn.com/splash/9xvqh1bvqk7ywx23.jpg" TargetMode="External"/><Relationship Id="rId500" Type="http://schemas.openxmlformats.org/officeDocument/2006/relationships/hyperlink" Target="https://thumbcdn.com/splash/wtt319yoy0okeisg.jpg" TargetMode="External"/><Relationship Id="rId805" Type="http://schemas.openxmlformats.org/officeDocument/2006/relationships/hyperlink" Target="https://thumbcdn.com/splash/4p55fyzrgu7u4dz3.jpg" TargetMode="External"/><Relationship Id="rId1130" Type="http://schemas.openxmlformats.org/officeDocument/2006/relationships/hyperlink" Target="https://thumbcdn.com/splash/bcwq3uy69j6ysm0j.jpg" TargetMode="External"/><Relationship Id="rId1228" Type="http://schemas.openxmlformats.org/officeDocument/2006/relationships/hyperlink" Target="https://thumbcdn.com/splash/v6lxokjipkrs1ybd.jpg" TargetMode="External"/><Relationship Id="rId1435" Type="http://schemas.openxmlformats.org/officeDocument/2006/relationships/hyperlink" Target="https://thumbcdn.com/splash/024y7juh5o5tue1h.jpg" TargetMode="External"/><Relationship Id="rId1642" Type="http://schemas.openxmlformats.org/officeDocument/2006/relationships/hyperlink" Target="https://thumbcdn.com/splash/emevavoqq97987g8.jpg" TargetMode="External"/><Relationship Id="rId1947" Type="http://schemas.openxmlformats.org/officeDocument/2006/relationships/hyperlink" Target="https://thumbcdn.com/splash/t6f0mj8piozg2yaw.jpg" TargetMode="External"/><Relationship Id="rId1502" Type="http://schemas.openxmlformats.org/officeDocument/2006/relationships/hyperlink" Target="https://thumbcdn.com/splash/65hfq4yzuneuxo7z.jpg" TargetMode="External"/><Relationship Id="rId1807" Type="http://schemas.openxmlformats.org/officeDocument/2006/relationships/hyperlink" Target="https://thumbcdn.com/splash/ygv1u0i5s6kus24k.jpg" TargetMode="External"/><Relationship Id="rId290" Type="http://schemas.openxmlformats.org/officeDocument/2006/relationships/hyperlink" Target="https://thumbcdn.com/splash/6dqlpjci7uqwuor9.jpg" TargetMode="External"/><Relationship Id="rId388" Type="http://schemas.openxmlformats.org/officeDocument/2006/relationships/hyperlink" Target="https://thumbcdn.com/splash/nb25n2dtrql8f8bt.jpg" TargetMode="External"/><Relationship Id="rId2069" Type="http://schemas.openxmlformats.org/officeDocument/2006/relationships/hyperlink" Target="https://thumbcdn.com/splash/fzrnbe8hkzw6ehdr.jpg" TargetMode="External"/><Relationship Id="rId150" Type="http://schemas.openxmlformats.org/officeDocument/2006/relationships/hyperlink" Target="https://thumbcdn.com/splash/ig6jetty48i5dd6x.jpg" TargetMode="External"/><Relationship Id="rId595" Type="http://schemas.openxmlformats.org/officeDocument/2006/relationships/hyperlink" Target="https://thumbcdn.com/splash/2xymdrudcgixfhfp.jpg" TargetMode="External"/><Relationship Id="rId2276" Type="http://schemas.openxmlformats.org/officeDocument/2006/relationships/hyperlink" Target="https://thumbcdn.com/splash/xlfcnrpge0470ouw.jpg" TargetMode="External"/><Relationship Id="rId248" Type="http://schemas.openxmlformats.org/officeDocument/2006/relationships/hyperlink" Target="https://thumbcdn.com/splash/a0ea8meofrvg6yie.jpg" TargetMode="External"/><Relationship Id="rId455" Type="http://schemas.openxmlformats.org/officeDocument/2006/relationships/hyperlink" Target="https://thumbcdn.com/splash/1n2yd0g35pto2osw.jpg" TargetMode="External"/><Relationship Id="rId662" Type="http://schemas.openxmlformats.org/officeDocument/2006/relationships/hyperlink" Target="https://thumbcdn.com/splash/6n5lbii6c54g4rpt.jpg" TargetMode="External"/><Relationship Id="rId1085" Type="http://schemas.openxmlformats.org/officeDocument/2006/relationships/hyperlink" Target="https://thumbcdn.com/splash/ui1wsa4aroqm6gpk.jpg" TargetMode="External"/><Relationship Id="rId1292" Type="http://schemas.openxmlformats.org/officeDocument/2006/relationships/hyperlink" Target="https://thumbcdn.com/splash/q2e5dxbd4ydekbym.jpg" TargetMode="External"/><Relationship Id="rId2136" Type="http://schemas.openxmlformats.org/officeDocument/2006/relationships/hyperlink" Target="https://thumbcdn.com/splash/j50got99s11pi7bl.jpg" TargetMode="External"/><Relationship Id="rId108" Type="http://schemas.openxmlformats.org/officeDocument/2006/relationships/hyperlink" Target="https://thumbcdn.com/splash/14cxzrasoblnkk6j.jpg" TargetMode="External"/><Relationship Id="rId315" Type="http://schemas.openxmlformats.org/officeDocument/2006/relationships/hyperlink" Target="https://thumbcdn.com/splash/31tmdvumfk74v9lu.jpg" TargetMode="External"/><Relationship Id="rId522" Type="http://schemas.openxmlformats.org/officeDocument/2006/relationships/hyperlink" Target="https://thumbcdn.com/splash/0tssguatf27bmliq.jpg" TargetMode="External"/><Relationship Id="rId967" Type="http://schemas.openxmlformats.org/officeDocument/2006/relationships/hyperlink" Target="https://thumbcdn.com/splash/q4rhux8s5d7o3ez7.jpg" TargetMode="External"/><Relationship Id="rId1152" Type="http://schemas.openxmlformats.org/officeDocument/2006/relationships/hyperlink" Target="https://thumbcdn.com/splash/4jnn6d7aejqpebfc.jpg" TargetMode="External"/><Relationship Id="rId1597" Type="http://schemas.openxmlformats.org/officeDocument/2006/relationships/hyperlink" Target="https://thumbcdn.com/splash/hxg9ic2u0fvi4nxc.jpg" TargetMode="External"/><Relationship Id="rId2203" Type="http://schemas.openxmlformats.org/officeDocument/2006/relationships/hyperlink" Target="https://thumbcdn.com/splash/sw0risa5w4pk4tar.jpg" TargetMode="External"/><Relationship Id="rId96" Type="http://schemas.openxmlformats.org/officeDocument/2006/relationships/hyperlink" Target="https://thumbcdn.com/splash/48hnvr8i3pmgpw53.jpg" TargetMode="External"/><Relationship Id="rId827" Type="http://schemas.openxmlformats.org/officeDocument/2006/relationships/hyperlink" Target="https://thumbcdn.com/splash/9k970iipb9tq8oci.jpg" TargetMode="External"/><Relationship Id="rId1012" Type="http://schemas.openxmlformats.org/officeDocument/2006/relationships/hyperlink" Target="https://thumbcdn.com/splash/yqwzxu2x716uta12.jpg" TargetMode="External"/><Relationship Id="rId1457" Type="http://schemas.openxmlformats.org/officeDocument/2006/relationships/hyperlink" Target="https://thumbcdn.com/splash/k3i9iok565r6x0fr.jpg" TargetMode="External"/><Relationship Id="rId1664" Type="http://schemas.openxmlformats.org/officeDocument/2006/relationships/hyperlink" Target="https://thumbcdn.com/splash/qprtotneqibvoiow.jpg" TargetMode="External"/><Relationship Id="rId1871" Type="http://schemas.openxmlformats.org/officeDocument/2006/relationships/hyperlink" Target="https://thumbcdn.com/splash/cjswckk32oqxvi8d.jpg" TargetMode="External"/><Relationship Id="rId1317" Type="http://schemas.openxmlformats.org/officeDocument/2006/relationships/hyperlink" Target="https://thumbcdn.com/splash/rjf5plw3vk2ih992.jpg" TargetMode="External"/><Relationship Id="rId1524" Type="http://schemas.openxmlformats.org/officeDocument/2006/relationships/hyperlink" Target="https://thumbcdn.com/splash/9txnkt34ab00v14c.jpg" TargetMode="External"/><Relationship Id="rId1731" Type="http://schemas.openxmlformats.org/officeDocument/2006/relationships/hyperlink" Target="https://thumbcdn.com/splash/pzo1wf7uelxtzlk0.jpg" TargetMode="External"/><Relationship Id="rId1969" Type="http://schemas.openxmlformats.org/officeDocument/2006/relationships/hyperlink" Target="https://thumbcdn.com/splash/4zqpk0uk0crvvq88.jpg" TargetMode="External"/><Relationship Id="rId23" Type="http://schemas.openxmlformats.org/officeDocument/2006/relationships/hyperlink" Target="https://thumbcdn.com/splash/tq5bah9vyi9c63em.jpg" TargetMode="External"/><Relationship Id="rId1829" Type="http://schemas.openxmlformats.org/officeDocument/2006/relationships/hyperlink" Target="https://thumbcdn.com/splash/jrrkl2kuwb9b886q.jpg" TargetMode="External"/><Relationship Id="rId172" Type="http://schemas.openxmlformats.org/officeDocument/2006/relationships/hyperlink" Target="https://thumbcdn.com/splash/99gzukhx6glftoys.jpg" TargetMode="External"/><Relationship Id="rId477" Type="http://schemas.openxmlformats.org/officeDocument/2006/relationships/hyperlink" Target="https://thumbcdn.com/splash/vb4z98j0pzz38231.jpg" TargetMode="External"/><Relationship Id="rId684" Type="http://schemas.openxmlformats.org/officeDocument/2006/relationships/hyperlink" Target="https://thumbcdn.com/splash/7upv846jzl7s2sfv.jpg" TargetMode="External"/><Relationship Id="rId2060" Type="http://schemas.openxmlformats.org/officeDocument/2006/relationships/hyperlink" Target="https://thumbcdn.com/splash/qlqeaaylix03i0ww.jpg" TargetMode="External"/><Relationship Id="rId2158" Type="http://schemas.openxmlformats.org/officeDocument/2006/relationships/hyperlink" Target="https://thumbcdn.com/splash/bx2l8w3sxl3vu3qb.jpg" TargetMode="External"/><Relationship Id="rId337" Type="http://schemas.openxmlformats.org/officeDocument/2006/relationships/hyperlink" Target="https://thumbcdn.com/splash/6vnb3zx8i1csvmkr.jpg" TargetMode="External"/><Relationship Id="rId891" Type="http://schemas.openxmlformats.org/officeDocument/2006/relationships/hyperlink" Target="https://thumbcdn.com/splash/l3cy02dei55rt7cl.jpg" TargetMode="External"/><Relationship Id="rId989" Type="http://schemas.openxmlformats.org/officeDocument/2006/relationships/hyperlink" Target="https://thumbcdn.com/splash/ch6z4eetpc3nj2pc.jpg" TargetMode="External"/><Relationship Id="rId2018" Type="http://schemas.openxmlformats.org/officeDocument/2006/relationships/hyperlink" Target="https://thumbcdn.com/splash/lu12fjwulg7f2ij3.jpg" TargetMode="External"/><Relationship Id="rId544" Type="http://schemas.openxmlformats.org/officeDocument/2006/relationships/hyperlink" Target="https://thumbcdn.com/splash/eetpmo5bbjgqpjcf.jpg" TargetMode="External"/><Relationship Id="rId751" Type="http://schemas.openxmlformats.org/officeDocument/2006/relationships/hyperlink" Target="https://thumbcdn.com/splash/exenyb99vmlapsgi.jpg" TargetMode="External"/><Relationship Id="rId849" Type="http://schemas.openxmlformats.org/officeDocument/2006/relationships/hyperlink" Target="https://thumbcdn.com/splash/yvf4t1s49afkw1xl.jpg" TargetMode="External"/><Relationship Id="rId1174" Type="http://schemas.openxmlformats.org/officeDocument/2006/relationships/hyperlink" Target="https://thumbcdn.com/splash/d1t1uc8uwr8lzuxs.jpg" TargetMode="External"/><Relationship Id="rId1381" Type="http://schemas.openxmlformats.org/officeDocument/2006/relationships/hyperlink" Target="https://thumbcdn.com/splash/pkg1ko9l3sob4b91.jpg" TargetMode="External"/><Relationship Id="rId1479" Type="http://schemas.openxmlformats.org/officeDocument/2006/relationships/hyperlink" Target="https://thumbcdn.com/splash/pve6hbs0ms7kvpqi.jpg" TargetMode="External"/><Relationship Id="rId1686" Type="http://schemas.openxmlformats.org/officeDocument/2006/relationships/hyperlink" Target="https://thumbcdn.com/splash/5g7tu3qz2fqoln6d.jpg" TargetMode="External"/><Relationship Id="rId2225" Type="http://schemas.openxmlformats.org/officeDocument/2006/relationships/hyperlink" Target="https://thumbcdn.com/splash/iv5kts0r91bvxi7j.jpg" TargetMode="External"/><Relationship Id="rId404" Type="http://schemas.openxmlformats.org/officeDocument/2006/relationships/hyperlink" Target="https://thumbcdn.com/splash/jn1mzj61v9zpngck.jpg" TargetMode="External"/><Relationship Id="rId611" Type="http://schemas.openxmlformats.org/officeDocument/2006/relationships/hyperlink" Target="https://thumbcdn.com/splash/cmywn0t55s2ix58c.jpg" TargetMode="External"/><Relationship Id="rId1034" Type="http://schemas.openxmlformats.org/officeDocument/2006/relationships/hyperlink" Target="https://thumbcdn.com/splash/kgsn2alxh70kuyec.jpg" TargetMode="External"/><Relationship Id="rId1241" Type="http://schemas.openxmlformats.org/officeDocument/2006/relationships/hyperlink" Target="https://thumbcdn.com/splash/cotu9vlo0g00c0qo.jpg" TargetMode="External"/><Relationship Id="rId1339" Type="http://schemas.openxmlformats.org/officeDocument/2006/relationships/hyperlink" Target="https://thumbcdn.com/splash/9tdc5yu0zdk4j49j.jpg" TargetMode="External"/><Relationship Id="rId1893" Type="http://schemas.openxmlformats.org/officeDocument/2006/relationships/hyperlink" Target="https://thumbcdn.com/splash/u8q5qmnhngsxs4hx.jpg" TargetMode="External"/><Relationship Id="rId709" Type="http://schemas.openxmlformats.org/officeDocument/2006/relationships/hyperlink" Target="https://thumbcdn.com/splash/qk7u4wmrfns0694k.jpg" TargetMode="External"/><Relationship Id="rId916" Type="http://schemas.openxmlformats.org/officeDocument/2006/relationships/hyperlink" Target="https://thumbcdn.com/splash/sqb0ytihf3ex0dj6.jpg" TargetMode="External"/><Relationship Id="rId1101" Type="http://schemas.openxmlformats.org/officeDocument/2006/relationships/hyperlink" Target="https://thumbcdn.com/splash/97brcig60g86kc71.jpg" TargetMode="External"/><Relationship Id="rId1546" Type="http://schemas.openxmlformats.org/officeDocument/2006/relationships/hyperlink" Target="https://thumbcdn.com/splash/2q990cs129j8n5pb.jpg" TargetMode="External"/><Relationship Id="rId1753" Type="http://schemas.openxmlformats.org/officeDocument/2006/relationships/hyperlink" Target="https://thumbcdn.com/splash/qjzq72uqyu7r31r5.jpg" TargetMode="External"/><Relationship Id="rId1960" Type="http://schemas.openxmlformats.org/officeDocument/2006/relationships/hyperlink" Target="https://thumbcdn.com/splash/3pzlp6rgwsuojarg.jpg" TargetMode="External"/><Relationship Id="rId45" Type="http://schemas.openxmlformats.org/officeDocument/2006/relationships/hyperlink" Target="https://thumbcdn.com/splash/2s7omctmqzr2jy2z.jpg" TargetMode="External"/><Relationship Id="rId1406" Type="http://schemas.openxmlformats.org/officeDocument/2006/relationships/hyperlink" Target="https://thumbcdn.com/splash/p0q925fro0vkpyka.jpg" TargetMode="External"/><Relationship Id="rId1613" Type="http://schemas.openxmlformats.org/officeDocument/2006/relationships/hyperlink" Target="https://thumbcdn.com/splash/aqwopyppfm59cjqb.jpg" TargetMode="External"/><Relationship Id="rId1820" Type="http://schemas.openxmlformats.org/officeDocument/2006/relationships/hyperlink" Target="https://thumbcdn.com/splash/k8w2x0bpeko7e1bm.jpg" TargetMode="External"/><Relationship Id="rId194" Type="http://schemas.openxmlformats.org/officeDocument/2006/relationships/hyperlink" Target="https://thumbcdn.com/splash/vmingmdpr040jxs5.jpg" TargetMode="External"/><Relationship Id="rId1918" Type="http://schemas.openxmlformats.org/officeDocument/2006/relationships/hyperlink" Target="https://thumbcdn.com/splash/86odnvxsfbvk8z6x.jpg" TargetMode="External"/><Relationship Id="rId2082" Type="http://schemas.openxmlformats.org/officeDocument/2006/relationships/hyperlink" Target="https://thumbcdn.com/splash/d1bujusd0kspfabo.jpg" TargetMode="External"/><Relationship Id="rId261" Type="http://schemas.openxmlformats.org/officeDocument/2006/relationships/hyperlink" Target="https://thumbcdn.com/splash/4fr90ak8qkyiobbe.jpg" TargetMode="External"/><Relationship Id="rId499" Type="http://schemas.openxmlformats.org/officeDocument/2006/relationships/hyperlink" Target="https://thumbcdn.com/splash/ubn8gdjbr671q28f.jpg" TargetMode="External"/><Relationship Id="rId359" Type="http://schemas.openxmlformats.org/officeDocument/2006/relationships/hyperlink" Target="https://thumbcdn.com/splash/3wt31nr2b8jx4c13.jpg" TargetMode="External"/><Relationship Id="rId566" Type="http://schemas.openxmlformats.org/officeDocument/2006/relationships/hyperlink" Target="https://thumbcdn.com/splash/3v9wgfgmzqztpmkq.jpg" TargetMode="External"/><Relationship Id="rId773" Type="http://schemas.openxmlformats.org/officeDocument/2006/relationships/hyperlink" Target="https://thumbcdn.com/splash/hz74kg4dxp5emymu.jpg" TargetMode="External"/><Relationship Id="rId1196" Type="http://schemas.openxmlformats.org/officeDocument/2006/relationships/hyperlink" Target="https://thumbcdn.com/splash/q5whi5gxbbb8o4ku.jpg" TargetMode="External"/><Relationship Id="rId2247" Type="http://schemas.openxmlformats.org/officeDocument/2006/relationships/hyperlink" Target="https://thumbcdn.com/splash/804ifn0ggr20ah6a.jpg" TargetMode="External"/><Relationship Id="rId121" Type="http://schemas.openxmlformats.org/officeDocument/2006/relationships/hyperlink" Target="https://thumbcdn.com/splash/ut2h6i6qyev32an7.jpg" TargetMode="External"/><Relationship Id="rId219" Type="http://schemas.openxmlformats.org/officeDocument/2006/relationships/hyperlink" Target="https://thumbcdn.com/splash/6ppcq75am11s8n30.jpg" TargetMode="External"/><Relationship Id="rId426" Type="http://schemas.openxmlformats.org/officeDocument/2006/relationships/hyperlink" Target="https://thumbcdn.com/splash/g93slaem6vuqyk69.jpg" TargetMode="External"/><Relationship Id="rId633" Type="http://schemas.openxmlformats.org/officeDocument/2006/relationships/hyperlink" Target="https://thumbcdn.com/splash/z5q3xgyylku6y0vo.jpg" TargetMode="External"/><Relationship Id="rId980" Type="http://schemas.openxmlformats.org/officeDocument/2006/relationships/hyperlink" Target="https://thumbcdn.com/splash/100mujhg9xqv8or8.jpg" TargetMode="External"/><Relationship Id="rId1056" Type="http://schemas.openxmlformats.org/officeDocument/2006/relationships/hyperlink" Target="https://thumbcdn.com/splash/75927ame0lw57f55.jpg" TargetMode="External"/><Relationship Id="rId1263" Type="http://schemas.openxmlformats.org/officeDocument/2006/relationships/hyperlink" Target="https://thumbcdn.com/splash/l748hi04kb4w948y.jpg" TargetMode="External"/><Relationship Id="rId2107" Type="http://schemas.openxmlformats.org/officeDocument/2006/relationships/hyperlink" Target="https://thumbcdn.com/splash/wmxs1ih9o95tze3n.jpg" TargetMode="External"/><Relationship Id="rId840" Type="http://schemas.openxmlformats.org/officeDocument/2006/relationships/hyperlink" Target="https://thumbcdn.com/splash/bjyxkehdatn9tgaw.jpg" TargetMode="External"/><Relationship Id="rId938" Type="http://schemas.openxmlformats.org/officeDocument/2006/relationships/hyperlink" Target="https://thumbcdn.com/splash/6hnclb33c4muovsu.jpg" TargetMode="External"/><Relationship Id="rId1470" Type="http://schemas.openxmlformats.org/officeDocument/2006/relationships/hyperlink" Target="https://thumbcdn.com/splash/csnuqgb70zz489iv.jpg" TargetMode="External"/><Relationship Id="rId1568" Type="http://schemas.openxmlformats.org/officeDocument/2006/relationships/hyperlink" Target="https://thumbcdn.com/splash/oizkj4eh7v6dtfwj.jpg" TargetMode="External"/><Relationship Id="rId1775" Type="http://schemas.openxmlformats.org/officeDocument/2006/relationships/hyperlink" Target="https://thumbcdn.com/splash/bkgsfeip5nriz4o9.jpg" TargetMode="External"/><Relationship Id="rId67" Type="http://schemas.openxmlformats.org/officeDocument/2006/relationships/hyperlink" Target="https://thumbcdn.com/splash/joxom1j0vnbdlps0.jpg" TargetMode="External"/><Relationship Id="rId700" Type="http://schemas.openxmlformats.org/officeDocument/2006/relationships/hyperlink" Target="https://thumbcdn.com/splash/wiotzhjdpa0f49r1.jpg" TargetMode="External"/><Relationship Id="rId1123" Type="http://schemas.openxmlformats.org/officeDocument/2006/relationships/hyperlink" Target="https://thumbcdn.com/splash/b80q2n6zxmy154it.jpg" TargetMode="External"/><Relationship Id="rId1330" Type="http://schemas.openxmlformats.org/officeDocument/2006/relationships/hyperlink" Target="https://thumbcdn.com/splash/3my2900v7ti0kdpx.jpg" TargetMode="External"/><Relationship Id="rId1428" Type="http://schemas.openxmlformats.org/officeDocument/2006/relationships/hyperlink" Target="https://thumbcdn.com/splash/b1nwguzdrodgztry.jpg" TargetMode="External"/><Relationship Id="rId1635" Type="http://schemas.openxmlformats.org/officeDocument/2006/relationships/hyperlink" Target="https://thumbcdn.com/splash/zl1arepseenhhi3h.jpg" TargetMode="External"/><Relationship Id="rId1982" Type="http://schemas.openxmlformats.org/officeDocument/2006/relationships/hyperlink" Target="https://thumbcdn.com/splash/u6kcu0o3008t1ygb.jpg" TargetMode="External"/><Relationship Id="rId1842" Type="http://schemas.openxmlformats.org/officeDocument/2006/relationships/hyperlink" Target="https://thumbcdn.com/splash/j5k3rmahebqj69mz.jpg" TargetMode="External"/><Relationship Id="rId1702" Type="http://schemas.openxmlformats.org/officeDocument/2006/relationships/hyperlink" Target="https://thumbcdn.com/splash/7s4ltule2cmzojor.jpg" TargetMode="External"/><Relationship Id="rId283" Type="http://schemas.openxmlformats.org/officeDocument/2006/relationships/hyperlink" Target="https://thumbcdn.com/splash/yvf4t1s49afkw1xl.jpg" TargetMode="External"/><Relationship Id="rId490" Type="http://schemas.openxmlformats.org/officeDocument/2006/relationships/hyperlink" Target="https://thumbcdn.com/splash/qwqebu7fz5coxng9.jpg" TargetMode="External"/><Relationship Id="rId2171" Type="http://schemas.openxmlformats.org/officeDocument/2006/relationships/hyperlink" Target="https://thumbcdn.com/splash/gkwdtkzeuxq3ivvm.jpg" TargetMode="External"/><Relationship Id="rId143" Type="http://schemas.openxmlformats.org/officeDocument/2006/relationships/hyperlink" Target="https://thumbcdn.com/splash/a0pq8lra3vha3q7w.jpg" TargetMode="External"/><Relationship Id="rId350" Type="http://schemas.openxmlformats.org/officeDocument/2006/relationships/hyperlink" Target="https://thumbcdn.com/splash/ya77bdjidx288fa0.jpg" TargetMode="External"/><Relationship Id="rId588" Type="http://schemas.openxmlformats.org/officeDocument/2006/relationships/hyperlink" Target="https://thumbcdn.com/splash/pab4fz0t3q9qaeyl.jpg" TargetMode="External"/><Relationship Id="rId795" Type="http://schemas.openxmlformats.org/officeDocument/2006/relationships/hyperlink" Target="https://thumbcdn.com/splash/caxcbpsl0ip0aobz.jpg" TargetMode="External"/><Relationship Id="rId2031" Type="http://schemas.openxmlformats.org/officeDocument/2006/relationships/hyperlink" Target="https://thumbcdn.com/splash/m4t2z9a71ewd9cl3.jpg" TargetMode="External"/><Relationship Id="rId2269" Type="http://schemas.openxmlformats.org/officeDocument/2006/relationships/hyperlink" Target="https://thumbcdn.com/splash/tcxl1kfuxx9qo440.jpg" TargetMode="External"/><Relationship Id="rId9" Type="http://schemas.openxmlformats.org/officeDocument/2006/relationships/hyperlink" Target="https://thumbcdn.com/splash/mstx7nv42qlvlddi.jpg" TargetMode="External"/><Relationship Id="rId210" Type="http://schemas.openxmlformats.org/officeDocument/2006/relationships/hyperlink" Target="https://thumbcdn.com/splash/xa1yqcmp2rwfvg5s.jpg" TargetMode="External"/><Relationship Id="rId448" Type="http://schemas.openxmlformats.org/officeDocument/2006/relationships/hyperlink" Target="https://thumbcdn.com/splash/ruxh4hhzqtsv1j05.jpg" TargetMode="External"/><Relationship Id="rId655" Type="http://schemas.openxmlformats.org/officeDocument/2006/relationships/hyperlink" Target="https://thumbcdn.com/splash/axe2n1pcwkqbiv7e.jpg" TargetMode="External"/><Relationship Id="rId862" Type="http://schemas.openxmlformats.org/officeDocument/2006/relationships/hyperlink" Target="https://thumbcdn.com/splash/hjxsgo5hprdsqu4n.jpg" TargetMode="External"/><Relationship Id="rId1078" Type="http://schemas.openxmlformats.org/officeDocument/2006/relationships/hyperlink" Target="https://thumbcdn.com/splash/lwa3bu7h2qd1w150.jpg" TargetMode="External"/><Relationship Id="rId1285" Type="http://schemas.openxmlformats.org/officeDocument/2006/relationships/hyperlink" Target="https://thumbcdn.com/splash/4baxn8ri1z0q1iuf.jpg" TargetMode="External"/><Relationship Id="rId1492" Type="http://schemas.openxmlformats.org/officeDocument/2006/relationships/hyperlink" Target="https://thumbcdn.com/splash/go1eywmddq9tm4vz.jpg" TargetMode="External"/><Relationship Id="rId2129" Type="http://schemas.openxmlformats.org/officeDocument/2006/relationships/hyperlink" Target="https://thumbcdn.com/splash/muijz82mhptmytd1.jpg" TargetMode="External"/><Relationship Id="rId308" Type="http://schemas.openxmlformats.org/officeDocument/2006/relationships/hyperlink" Target="https://thumbcdn.com/splash/q9up5m0fy4hnlx03.jpg" TargetMode="External"/><Relationship Id="rId515" Type="http://schemas.openxmlformats.org/officeDocument/2006/relationships/hyperlink" Target="https://thumbcdn.com/splash/oivk4dpqz8mmufzp.jpg" TargetMode="External"/><Relationship Id="rId722" Type="http://schemas.openxmlformats.org/officeDocument/2006/relationships/hyperlink" Target="https://thumbcdn.com/splash/7x6ini63oa90z4uq.jpg" TargetMode="External"/><Relationship Id="rId1145" Type="http://schemas.openxmlformats.org/officeDocument/2006/relationships/hyperlink" Target="https://thumbcdn.com/splash/oqutvnqwuiz37uwe.jpg" TargetMode="External"/><Relationship Id="rId1352" Type="http://schemas.openxmlformats.org/officeDocument/2006/relationships/hyperlink" Target="https://thumbcdn.com/splash/wa3v0k9m7jpuee9h.jpg" TargetMode="External"/><Relationship Id="rId1797" Type="http://schemas.openxmlformats.org/officeDocument/2006/relationships/hyperlink" Target="https://thumbcdn.com/splash/tezn82fhzpol4olr.jpg" TargetMode="External"/><Relationship Id="rId89" Type="http://schemas.openxmlformats.org/officeDocument/2006/relationships/hyperlink" Target="https://thumbcdn.com/splash/zq7d8ljoubv4nd16.jpg" TargetMode="External"/><Relationship Id="rId1005" Type="http://schemas.openxmlformats.org/officeDocument/2006/relationships/hyperlink" Target="https://thumbcdn.com/splash/cij9rsjwnj75gjxy.jpg" TargetMode="External"/><Relationship Id="rId1212" Type="http://schemas.openxmlformats.org/officeDocument/2006/relationships/hyperlink" Target="https://thumbcdn.com/splash/o7cjs92wwrgit9pw.jpg" TargetMode="External"/><Relationship Id="rId1657" Type="http://schemas.openxmlformats.org/officeDocument/2006/relationships/hyperlink" Target="https://thumbcdn.com/splash/sqa5qhec2xvcjlal.jpg" TargetMode="External"/><Relationship Id="rId1864" Type="http://schemas.openxmlformats.org/officeDocument/2006/relationships/hyperlink" Target="https://thumbcdn.com/splash/xf7zd9f8f67izzsh.jpg" TargetMode="External"/><Relationship Id="rId1517" Type="http://schemas.openxmlformats.org/officeDocument/2006/relationships/hyperlink" Target="https://thumbcdn.com/splash/s162v56b2g9g36x7.jpg" TargetMode="External"/><Relationship Id="rId1724" Type="http://schemas.openxmlformats.org/officeDocument/2006/relationships/hyperlink" Target="https://thumbcdn.com/splash/zdj5zhsnq5v4h87i.jpg" TargetMode="External"/><Relationship Id="rId16" Type="http://schemas.openxmlformats.org/officeDocument/2006/relationships/hyperlink" Target="https://thumbcdn.com/splash/clcooeuwlyl4pk6o.jpg" TargetMode="External"/><Relationship Id="rId1931" Type="http://schemas.openxmlformats.org/officeDocument/2006/relationships/hyperlink" Target="https://thumbcdn.com/splash/psnagkg0xdc4fddj.jpg" TargetMode="External"/><Relationship Id="rId2193" Type="http://schemas.openxmlformats.org/officeDocument/2006/relationships/hyperlink" Target="https://thumbcdn.com/splash/0p864f4fkkv1h33g.jpg" TargetMode="External"/><Relationship Id="rId165" Type="http://schemas.openxmlformats.org/officeDocument/2006/relationships/hyperlink" Target="https://thumbcdn.com/splash/k4p0ca0y5sv3wwm2.jpg" TargetMode="External"/><Relationship Id="rId372" Type="http://schemas.openxmlformats.org/officeDocument/2006/relationships/hyperlink" Target="https://thumbcdn.com/splash/66wo5m4xu2y2t5wz.jpg" TargetMode="External"/><Relationship Id="rId677" Type="http://schemas.openxmlformats.org/officeDocument/2006/relationships/hyperlink" Target="https://thumbcdn.com/splash/vgpzbpbbx6z994k3.jpg" TargetMode="External"/><Relationship Id="rId2053" Type="http://schemas.openxmlformats.org/officeDocument/2006/relationships/hyperlink" Target="https://thumbcdn.com/splash/5oj830bmuhqjngnq.jpg" TargetMode="External"/><Relationship Id="rId2260" Type="http://schemas.openxmlformats.org/officeDocument/2006/relationships/hyperlink" Target="https://thumbcdn.com/splash/go1eywmddq9tm4vz.jpg" TargetMode="External"/><Relationship Id="rId232" Type="http://schemas.openxmlformats.org/officeDocument/2006/relationships/hyperlink" Target="https://thumbcdn.com/splash/ne4w3wadw2kz5rbc.jpg" TargetMode="External"/><Relationship Id="rId884" Type="http://schemas.openxmlformats.org/officeDocument/2006/relationships/hyperlink" Target="https://thumbcdn.com/splash/j97yeb5xowtmom72.jpg" TargetMode="External"/><Relationship Id="rId2120" Type="http://schemas.openxmlformats.org/officeDocument/2006/relationships/hyperlink" Target="https://thumbcdn.com/splash/476s5qxdburez3me.jpg" TargetMode="External"/><Relationship Id="rId537" Type="http://schemas.openxmlformats.org/officeDocument/2006/relationships/hyperlink" Target="https://thumbcdn.com/splash/l0cl5o657maw88v6.jpg" TargetMode="External"/><Relationship Id="rId744" Type="http://schemas.openxmlformats.org/officeDocument/2006/relationships/hyperlink" Target="https://thumbcdn.com/splash/fo6293vgcz4l5bnr.jpg" TargetMode="External"/><Relationship Id="rId951" Type="http://schemas.openxmlformats.org/officeDocument/2006/relationships/hyperlink" Target="https://thumbcdn.com/splash/6kayceuq5e14irrf.jpg" TargetMode="External"/><Relationship Id="rId1167" Type="http://schemas.openxmlformats.org/officeDocument/2006/relationships/hyperlink" Target="https://thumbcdn.com/splash/5qbvmo0qvhf8x6b7.jpg" TargetMode="External"/><Relationship Id="rId1374" Type="http://schemas.openxmlformats.org/officeDocument/2006/relationships/hyperlink" Target="https://thumbcdn.com/splash/gkwdtkzeuxq3ivvm.jpg" TargetMode="External"/><Relationship Id="rId1581" Type="http://schemas.openxmlformats.org/officeDocument/2006/relationships/hyperlink" Target="https://thumbcdn.com/splash/89rgqbtqlsdn2rix.jpg" TargetMode="External"/><Relationship Id="rId1679" Type="http://schemas.openxmlformats.org/officeDocument/2006/relationships/hyperlink" Target="https://thumbcdn.com/splash/u6n3l7bluwkjh4lz.jpg" TargetMode="External"/><Relationship Id="rId2218" Type="http://schemas.openxmlformats.org/officeDocument/2006/relationships/hyperlink" Target="https://thumbcdn.com/splash/2tbjr6xp98a3epm0.jpg" TargetMode="External"/><Relationship Id="rId80" Type="http://schemas.openxmlformats.org/officeDocument/2006/relationships/hyperlink" Target="https://thumbcdn.com/splash/txcngakwdhrw43d2.jpg" TargetMode="External"/><Relationship Id="rId604" Type="http://schemas.openxmlformats.org/officeDocument/2006/relationships/hyperlink" Target="https://thumbcdn.com/splash/6ooreqqs0ib5eiq1.jpg" TargetMode="External"/><Relationship Id="rId811" Type="http://schemas.openxmlformats.org/officeDocument/2006/relationships/hyperlink" Target="https://thumbcdn.com/splash/2h7683rt1eaxc6q5.jpg" TargetMode="External"/><Relationship Id="rId1027" Type="http://schemas.openxmlformats.org/officeDocument/2006/relationships/hyperlink" Target="https://thumbcdn.com/splash/ynw5vkbapnzzmzsk.jpg" TargetMode="External"/><Relationship Id="rId1234" Type="http://schemas.openxmlformats.org/officeDocument/2006/relationships/hyperlink" Target="https://thumbcdn.com/splash/rx1jc2ptwdhm0b81.jpg" TargetMode="External"/><Relationship Id="rId1441" Type="http://schemas.openxmlformats.org/officeDocument/2006/relationships/hyperlink" Target="https://thumbcdn.com/splash/8j6mxovmo70m00l1.jpg" TargetMode="External"/><Relationship Id="rId1886" Type="http://schemas.openxmlformats.org/officeDocument/2006/relationships/hyperlink" Target="https://thumbcdn.com/splash/8e20vykiuad9apyu.jpg" TargetMode="External"/><Relationship Id="rId909" Type="http://schemas.openxmlformats.org/officeDocument/2006/relationships/hyperlink" Target="https://thumbcdn.com/splash/gwq1t5jz1pb9k51s.jpg" TargetMode="External"/><Relationship Id="rId1301" Type="http://schemas.openxmlformats.org/officeDocument/2006/relationships/hyperlink" Target="https://thumbcdn.com/splash/ic4x6epg8xrwqohx.jpg" TargetMode="External"/><Relationship Id="rId1539" Type="http://schemas.openxmlformats.org/officeDocument/2006/relationships/hyperlink" Target="https://thumbcdn.com/splash/q94obvbveyamcnj3.jpg" TargetMode="External"/><Relationship Id="rId1746" Type="http://schemas.openxmlformats.org/officeDocument/2006/relationships/hyperlink" Target="https://thumbcdn.com/splash/vwslp12m20ql2ty8.jpg" TargetMode="External"/><Relationship Id="rId1953" Type="http://schemas.openxmlformats.org/officeDocument/2006/relationships/hyperlink" Target="https://thumbcdn.com/splash/jaeqzmdyutq87bnm.jpg" TargetMode="External"/><Relationship Id="rId38" Type="http://schemas.openxmlformats.org/officeDocument/2006/relationships/hyperlink" Target="https://thumbcdn.com/splash/37ua8rlvso92b5ct.jpg" TargetMode="External"/><Relationship Id="rId1606" Type="http://schemas.openxmlformats.org/officeDocument/2006/relationships/hyperlink" Target="https://thumbcdn.com/splash/waxj0hitbbpxkyt1.jpg" TargetMode="External"/><Relationship Id="rId1813" Type="http://schemas.openxmlformats.org/officeDocument/2006/relationships/hyperlink" Target="https://thumbcdn.com/splash/28esjbvhmyczdnxt.jpg" TargetMode="External"/><Relationship Id="rId187" Type="http://schemas.openxmlformats.org/officeDocument/2006/relationships/hyperlink" Target="https://thumbcdn.com/splash/2i1licq67c5jqb9f.jpg" TargetMode="External"/><Relationship Id="rId394" Type="http://schemas.openxmlformats.org/officeDocument/2006/relationships/hyperlink" Target="https://thumbcdn.com/splash/stz5prk8n00txn2x.jpg" TargetMode="External"/><Relationship Id="rId2075" Type="http://schemas.openxmlformats.org/officeDocument/2006/relationships/hyperlink" Target="https://thumbcdn.com/splash/wycd9cqlh2ntmjkx.jpg" TargetMode="External"/><Relationship Id="rId254" Type="http://schemas.openxmlformats.org/officeDocument/2006/relationships/hyperlink" Target="https://thumbcdn.com/splash/x5d7huqo7jayvt34.jpg" TargetMode="External"/><Relationship Id="rId699" Type="http://schemas.openxmlformats.org/officeDocument/2006/relationships/hyperlink" Target="https://thumbcdn.com/splash/04iivseyq8wnsvi9.jpg" TargetMode="External"/><Relationship Id="rId1091" Type="http://schemas.openxmlformats.org/officeDocument/2006/relationships/hyperlink" Target="https://thumbcdn.com/splash/0wa6r805nfjds2a2.jpg" TargetMode="External"/><Relationship Id="rId114" Type="http://schemas.openxmlformats.org/officeDocument/2006/relationships/hyperlink" Target="https://thumbcdn.com/splash/a2cdm3h4x98dljvd.jpg" TargetMode="External"/><Relationship Id="rId461" Type="http://schemas.openxmlformats.org/officeDocument/2006/relationships/hyperlink" Target="https://thumbcdn.com/splash/l5d6e44n0031dwu1.jpg" TargetMode="External"/><Relationship Id="rId559" Type="http://schemas.openxmlformats.org/officeDocument/2006/relationships/hyperlink" Target="https://thumbcdn.com/splash/yrxzeysbfwwtvvny.jpg" TargetMode="External"/><Relationship Id="rId766" Type="http://schemas.openxmlformats.org/officeDocument/2006/relationships/hyperlink" Target="https://thumbcdn.com/splash/ya25fc71pfpy89iy.jpg" TargetMode="External"/><Relationship Id="rId1189" Type="http://schemas.openxmlformats.org/officeDocument/2006/relationships/hyperlink" Target="https://thumbcdn.com/splash/xzf4oiuhsjh0sx0c.jpg" TargetMode="External"/><Relationship Id="rId1396" Type="http://schemas.openxmlformats.org/officeDocument/2006/relationships/hyperlink" Target="https://thumbcdn.com/splash/gciv94tk2hkscsxu.jpg" TargetMode="External"/><Relationship Id="rId2142" Type="http://schemas.openxmlformats.org/officeDocument/2006/relationships/hyperlink" Target="https://thumbcdn.com/splash/ei0otncxii1jbuiw.jpg" TargetMode="External"/><Relationship Id="rId321" Type="http://schemas.openxmlformats.org/officeDocument/2006/relationships/hyperlink" Target="https://thumbcdn.com/splash/xu9409plgzngovvn.jpg" TargetMode="External"/><Relationship Id="rId419" Type="http://schemas.openxmlformats.org/officeDocument/2006/relationships/hyperlink" Target="https://thumbcdn.com/splash/6x1k9a93arplq5wt.jpg" TargetMode="External"/><Relationship Id="rId626" Type="http://schemas.openxmlformats.org/officeDocument/2006/relationships/hyperlink" Target="https://thumbcdn.com/splash/j2h9dnxgl6fugehk.jpg" TargetMode="External"/><Relationship Id="rId973" Type="http://schemas.openxmlformats.org/officeDocument/2006/relationships/hyperlink" Target="https://thumbcdn.com/splash/7wub0lr46a92qpzk.jpg" TargetMode="External"/><Relationship Id="rId1049" Type="http://schemas.openxmlformats.org/officeDocument/2006/relationships/hyperlink" Target="https://thumbcdn.com/splash/ya77bdjidx288fa0.jpg" TargetMode="External"/><Relationship Id="rId1256" Type="http://schemas.openxmlformats.org/officeDocument/2006/relationships/hyperlink" Target="https://thumbcdn.com/splash/fm7puqkys4i39six.jpg" TargetMode="External"/><Relationship Id="rId2002" Type="http://schemas.openxmlformats.org/officeDocument/2006/relationships/hyperlink" Target="https://thumbcdn.com/splash/vbboqleyflxoxcsg.jpg" TargetMode="External"/><Relationship Id="rId833" Type="http://schemas.openxmlformats.org/officeDocument/2006/relationships/hyperlink" Target="https://thumbcdn.com/splash/qa76a82j0wzjai4o.jpg" TargetMode="External"/><Relationship Id="rId1116" Type="http://schemas.openxmlformats.org/officeDocument/2006/relationships/hyperlink" Target="https://thumbcdn.com/splash/hrifimtmzi4pzc0v.jpg" TargetMode="External"/><Relationship Id="rId1463" Type="http://schemas.openxmlformats.org/officeDocument/2006/relationships/hyperlink" Target="https://thumbcdn.com/splash/5v0cvc8uzuhr5c4f.jpg" TargetMode="External"/><Relationship Id="rId1670" Type="http://schemas.openxmlformats.org/officeDocument/2006/relationships/hyperlink" Target="https://thumbcdn.com/splash/mi4hz9k9woix0n2g.jpg" TargetMode="External"/><Relationship Id="rId1768" Type="http://schemas.openxmlformats.org/officeDocument/2006/relationships/hyperlink" Target="https://thumbcdn.com/splash/4zhh4f6dgj9gctxz.jpg" TargetMode="External"/><Relationship Id="rId900" Type="http://schemas.openxmlformats.org/officeDocument/2006/relationships/hyperlink" Target="https://thumbcdn.com/splash/rc8fmu2truzswkk4.jpg" TargetMode="External"/><Relationship Id="rId1323" Type="http://schemas.openxmlformats.org/officeDocument/2006/relationships/hyperlink" Target="https://thumbcdn.com/splash/dssv3oxkajjpzl8v.jpg" TargetMode="External"/><Relationship Id="rId1530" Type="http://schemas.openxmlformats.org/officeDocument/2006/relationships/hyperlink" Target="https://thumbcdn.com/splash/b4jfshe4fxjqpqbx.jpg" TargetMode="External"/><Relationship Id="rId1628" Type="http://schemas.openxmlformats.org/officeDocument/2006/relationships/hyperlink" Target="https://thumbcdn.com/splash/pesqdyhuupa64hy4.jpg" TargetMode="External"/><Relationship Id="rId1975" Type="http://schemas.openxmlformats.org/officeDocument/2006/relationships/hyperlink" Target="https://thumbcdn.com/splash/xlnlj6hx9ha763nw.jpg" TargetMode="External"/><Relationship Id="rId1835" Type="http://schemas.openxmlformats.org/officeDocument/2006/relationships/hyperlink" Target="https://thumbcdn.com/splash/9vicz8nfilacc8ha.jpg" TargetMode="External"/><Relationship Id="rId1902" Type="http://schemas.openxmlformats.org/officeDocument/2006/relationships/hyperlink" Target="https://thumbcdn.com/splash/sezte60aagwoqzb7.jpg" TargetMode="External"/><Relationship Id="rId2097" Type="http://schemas.openxmlformats.org/officeDocument/2006/relationships/hyperlink" Target="https://thumbcdn.com/splash/2smsr36td11u2ap8.jpg" TargetMode="External"/><Relationship Id="rId276" Type="http://schemas.openxmlformats.org/officeDocument/2006/relationships/hyperlink" Target="https://thumbcdn.com/splash/4ffr6q76ez1s7g3k.jpg" TargetMode="External"/><Relationship Id="rId483" Type="http://schemas.openxmlformats.org/officeDocument/2006/relationships/hyperlink" Target="https://thumbcdn.com/splash/we2zx97ek05gv45o.jpg" TargetMode="External"/><Relationship Id="rId690" Type="http://schemas.openxmlformats.org/officeDocument/2006/relationships/hyperlink" Target="https://thumbcdn.com/splash/91gg8yyr05a66iad.jpg" TargetMode="External"/><Relationship Id="rId2164" Type="http://schemas.openxmlformats.org/officeDocument/2006/relationships/hyperlink" Target="https://thumbcdn.com/splash/vjagopnaktg8o82m.jpg" TargetMode="External"/><Relationship Id="rId136" Type="http://schemas.openxmlformats.org/officeDocument/2006/relationships/hyperlink" Target="https://thumbcdn.com/splash/arozad4n0snccuwj.jpg" TargetMode="External"/><Relationship Id="rId343" Type="http://schemas.openxmlformats.org/officeDocument/2006/relationships/hyperlink" Target="https://thumbcdn.com/splash/69jk1eep1qfczjqy.jpg" TargetMode="External"/><Relationship Id="rId550" Type="http://schemas.openxmlformats.org/officeDocument/2006/relationships/hyperlink" Target="https://thumbcdn.com/splash/n5yryih23c7zsutm.jpg" TargetMode="External"/><Relationship Id="rId788" Type="http://schemas.openxmlformats.org/officeDocument/2006/relationships/hyperlink" Target="https://thumbcdn.com/splash/h7v30ns892ef55up.jpg" TargetMode="External"/><Relationship Id="rId995" Type="http://schemas.openxmlformats.org/officeDocument/2006/relationships/hyperlink" Target="https://thumbcdn.com/splash/0z8cehuslka2ofjc.jpg" TargetMode="External"/><Relationship Id="rId1180" Type="http://schemas.openxmlformats.org/officeDocument/2006/relationships/hyperlink" Target="https://thumbcdn.com/splash/tcs4hpxef5sesme7.jpg" TargetMode="External"/><Relationship Id="rId2024" Type="http://schemas.openxmlformats.org/officeDocument/2006/relationships/hyperlink" Target="https://thumbcdn.com/splash/w7ntk0u169ow3bi9.jpg" TargetMode="External"/><Relationship Id="rId2231" Type="http://schemas.openxmlformats.org/officeDocument/2006/relationships/hyperlink" Target="https://thumbcdn.com/splash/ceh6zgoavwi7moh5.jpg" TargetMode="External"/><Relationship Id="rId203" Type="http://schemas.openxmlformats.org/officeDocument/2006/relationships/hyperlink" Target="https://thumbcdn.com/splash/hpnzfamp6m0uynyc.jpg" TargetMode="External"/><Relationship Id="rId648" Type="http://schemas.openxmlformats.org/officeDocument/2006/relationships/hyperlink" Target="https://thumbcdn.com/splash/bxa03d1wx37b0b4n.jpg" TargetMode="External"/><Relationship Id="rId855" Type="http://schemas.openxmlformats.org/officeDocument/2006/relationships/hyperlink" Target="https://thumbcdn.com/splash/ov18zggjmif6eges.jpg" TargetMode="External"/><Relationship Id="rId1040" Type="http://schemas.openxmlformats.org/officeDocument/2006/relationships/hyperlink" Target="https://thumbcdn.com/splash/clpi6ab7o163ib6k.jpg" TargetMode="External"/><Relationship Id="rId1278" Type="http://schemas.openxmlformats.org/officeDocument/2006/relationships/hyperlink" Target="https://thumbcdn.com/splash/8p3su9vd14eea6ih.jpg" TargetMode="External"/><Relationship Id="rId1485" Type="http://schemas.openxmlformats.org/officeDocument/2006/relationships/hyperlink" Target="https://thumbcdn.com/splash/7mtpn2vndzk71cs2.jpg" TargetMode="External"/><Relationship Id="rId1692" Type="http://schemas.openxmlformats.org/officeDocument/2006/relationships/hyperlink" Target="https://thumbcdn.com/splash/h2kz4ncr5e0k6mav.jpg" TargetMode="External"/><Relationship Id="rId410" Type="http://schemas.openxmlformats.org/officeDocument/2006/relationships/hyperlink" Target="https://thumbcdn.com/splash/whtj94rcpno09yoq.jpg" TargetMode="External"/><Relationship Id="rId508" Type="http://schemas.openxmlformats.org/officeDocument/2006/relationships/hyperlink" Target="https://thumbcdn.com/splash/58tjsp550sg892i8.jpg" TargetMode="External"/><Relationship Id="rId715" Type="http://schemas.openxmlformats.org/officeDocument/2006/relationships/hyperlink" Target="https://thumbcdn.com/splash/scq4lrz5pd0athkm.jpg" TargetMode="External"/><Relationship Id="rId922" Type="http://schemas.openxmlformats.org/officeDocument/2006/relationships/hyperlink" Target="https://thumbcdn.com/splash/8bm4q1745e3ij9lt.jpg" TargetMode="External"/><Relationship Id="rId1138" Type="http://schemas.openxmlformats.org/officeDocument/2006/relationships/hyperlink" Target="https://thumbcdn.com/splash/88je6132rtiu94ii.jpg" TargetMode="External"/><Relationship Id="rId1345" Type="http://schemas.openxmlformats.org/officeDocument/2006/relationships/hyperlink" Target="https://thumbcdn.com/splash/ruxh4hhzqtsv1j05.jpg" TargetMode="External"/><Relationship Id="rId1552" Type="http://schemas.openxmlformats.org/officeDocument/2006/relationships/hyperlink" Target="https://thumbcdn.com/splash/q1r6c7n9a20la2g6.jpg" TargetMode="External"/><Relationship Id="rId1997" Type="http://schemas.openxmlformats.org/officeDocument/2006/relationships/hyperlink" Target="https://thumbcdn.com/splash/21a0605v7yhjtcwj.jpg" TargetMode="External"/><Relationship Id="rId1205" Type="http://schemas.openxmlformats.org/officeDocument/2006/relationships/hyperlink" Target="https://thumbcdn.com/splash/pe59vgc9hrbxspdt.jpg" TargetMode="External"/><Relationship Id="rId1857" Type="http://schemas.openxmlformats.org/officeDocument/2006/relationships/hyperlink" Target="https://thumbcdn.com/splash/2rf166nvouyk2s27.jpg" TargetMode="External"/><Relationship Id="rId51" Type="http://schemas.openxmlformats.org/officeDocument/2006/relationships/hyperlink" Target="https://thumbcdn.com/splash/gk36g89dux0zbtt8.jpg" TargetMode="External"/><Relationship Id="rId1412" Type="http://schemas.openxmlformats.org/officeDocument/2006/relationships/hyperlink" Target="https://thumbcdn.com/splash/mvhosheu00u8o2w9.jpg" TargetMode="External"/><Relationship Id="rId1717" Type="http://schemas.openxmlformats.org/officeDocument/2006/relationships/hyperlink" Target="https://thumbcdn.com/splash/8lpxjk4xtvi64sur.jpg" TargetMode="External"/><Relationship Id="rId1924" Type="http://schemas.openxmlformats.org/officeDocument/2006/relationships/hyperlink" Target="https://thumbcdn.com/splash/sf0n16nugluhvri9.jpg" TargetMode="External"/><Relationship Id="rId298" Type="http://schemas.openxmlformats.org/officeDocument/2006/relationships/hyperlink" Target="https://thumbcdn.com/splash/qfygaoocpp9qb2rs.jpg" TargetMode="External"/><Relationship Id="rId158" Type="http://schemas.openxmlformats.org/officeDocument/2006/relationships/hyperlink" Target="https://thumbcdn.com/splash/ncuvdr7eb6022vol.jpg" TargetMode="External"/><Relationship Id="rId2186" Type="http://schemas.openxmlformats.org/officeDocument/2006/relationships/hyperlink" Target="https://thumbcdn.com/splash/vox3khkhbr82lqpg.jpg" TargetMode="External"/><Relationship Id="rId365" Type="http://schemas.openxmlformats.org/officeDocument/2006/relationships/hyperlink" Target="https://thumbcdn.com/splash/hih40lpz3p6amu2n.jpg" TargetMode="External"/><Relationship Id="rId572" Type="http://schemas.openxmlformats.org/officeDocument/2006/relationships/hyperlink" Target="https://thumbcdn.com/splash/d1eoar2f9l45vj8n.jpg" TargetMode="External"/><Relationship Id="rId2046" Type="http://schemas.openxmlformats.org/officeDocument/2006/relationships/hyperlink" Target="https://thumbcdn.com/splash/f009dhacy8ruwbww.jpg" TargetMode="External"/><Relationship Id="rId2253" Type="http://schemas.openxmlformats.org/officeDocument/2006/relationships/hyperlink" Target="https://thumbcdn.com/splash/8j5bq2w32sy8f1jp.jpg" TargetMode="External"/><Relationship Id="rId225" Type="http://schemas.openxmlformats.org/officeDocument/2006/relationships/hyperlink" Target="https://thumbcdn.com/splash/2j7juglp195jkvzg.jpg" TargetMode="External"/><Relationship Id="rId432" Type="http://schemas.openxmlformats.org/officeDocument/2006/relationships/hyperlink" Target="https://thumbcdn.com/splash/ecxlhch7418oz5iu.jpg" TargetMode="External"/><Relationship Id="rId877" Type="http://schemas.openxmlformats.org/officeDocument/2006/relationships/hyperlink" Target="https://thumbcdn.com/splash/c52uuv771ipm7t4a.jpg" TargetMode="External"/><Relationship Id="rId1062" Type="http://schemas.openxmlformats.org/officeDocument/2006/relationships/hyperlink" Target="https://thumbcdn.com/splash/w2llx505v9a1he73.jpg" TargetMode="External"/><Relationship Id="rId2113" Type="http://schemas.openxmlformats.org/officeDocument/2006/relationships/hyperlink" Target="https://thumbcdn.com/splash/j9j05o74m2apdg5k.jpg" TargetMode="External"/><Relationship Id="rId737" Type="http://schemas.openxmlformats.org/officeDocument/2006/relationships/hyperlink" Target="https://thumbcdn.com/splash/91i27m8fjbekr3mr.jpg" TargetMode="External"/><Relationship Id="rId944" Type="http://schemas.openxmlformats.org/officeDocument/2006/relationships/hyperlink" Target="https://thumbcdn.com/splash/paoizlmqv3zh1ofm.jpg" TargetMode="External"/><Relationship Id="rId1367" Type="http://schemas.openxmlformats.org/officeDocument/2006/relationships/hyperlink" Target="https://thumbcdn.com/splash/8i5v4yrzt0ddgvuy.jpg" TargetMode="External"/><Relationship Id="rId1574" Type="http://schemas.openxmlformats.org/officeDocument/2006/relationships/hyperlink" Target="https://thumbcdn.com/splash/gedxoxh5uuvoeuv2.jpg" TargetMode="External"/><Relationship Id="rId1781" Type="http://schemas.openxmlformats.org/officeDocument/2006/relationships/hyperlink" Target="https://thumbcdn.com/splash/1vxwji36gz9k7ca7.jpg" TargetMode="External"/><Relationship Id="rId73" Type="http://schemas.openxmlformats.org/officeDocument/2006/relationships/hyperlink" Target="https://thumbcdn.com/splash/vzem54fyhdljwa2c.jpg" TargetMode="External"/><Relationship Id="rId804" Type="http://schemas.openxmlformats.org/officeDocument/2006/relationships/hyperlink" Target="https://thumbcdn.com/splash/cxpj5rx29lep2gm1.jpg" TargetMode="External"/><Relationship Id="rId1227" Type="http://schemas.openxmlformats.org/officeDocument/2006/relationships/hyperlink" Target="https://thumbcdn.com/splash/dww715lr3wi1cbpd.jpg" TargetMode="External"/><Relationship Id="rId1434" Type="http://schemas.openxmlformats.org/officeDocument/2006/relationships/hyperlink" Target="https://thumbcdn.com/splash/u8lyhh11448yfcom.jpg" TargetMode="External"/><Relationship Id="rId1641" Type="http://schemas.openxmlformats.org/officeDocument/2006/relationships/hyperlink" Target="https://thumbcdn.com/splash/g2t1xiqcn0glw6oz.jpg" TargetMode="External"/><Relationship Id="rId1879" Type="http://schemas.openxmlformats.org/officeDocument/2006/relationships/hyperlink" Target="https://thumbcdn.com/splash/29o7i53yzxm6da97.jpg" TargetMode="External"/><Relationship Id="rId1501" Type="http://schemas.openxmlformats.org/officeDocument/2006/relationships/hyperlink" Target="https://thumbcdn.com/splash/wtt319yoy0okeisg.jpg" TargetMode="External"/><Relationship Id="rId1739" Type="http://schemas.openxmlformats.org/officeDocument/2006/relationships/hyperlink" Target="https://thumbcdn.com/splash/qi58sa4zrebfc1xf.jpg" TargetMode="External"/><Relationship Id="rId1946" Type="http://schemas.openxmlformats.org/officeDocument/2006/relationships/hyperlink" Target="https://thumbcdn.com/splash/yb97mpg6hcd0v4v3.jpg" TargetMode="External"/><Relationship Id="rId1806" Type="http://schemas.openxmlformats.org/officeDocument/2006/relationships/hyperlink" Target="https://thumbcdn.com/splash/v0763gkbntsw02b8.jpg" TargetMode="External"/><Relationship Id="rId387" Type="http://schemas.openxmlformats.org/officeDocument/2006/relationships/hyperlink" Target="https://thumbcdn.com/splash/k6f0y5g5j3jkraum.jpg" TargetMode="External"/><Relationship Id="rId594" Type="http://schemas.openxmlformats.org/officeDocument/2006/relationships/hyperlink" Target="https://thumbcdn.com/splash/acfm49iwyqt7kqcn.jpg" TargetMode="External"/><Relationship Id="rId2068" Type="http://schemas.openxmlformats.org/officeDocument/2006/relationships/hyperlink" Target="https://thumbcdn.com/splash/j6c9n7sxdg5b3ana.jpg" TargetMode="External"/><Relationship Id="rId2275" Type="http://schemas.openxmlformats.org/officeDocument/2006/relationships/hyperlink" Target="https://thumbcdn.com/splash/hw3jrd1lfs2sgp6e.jpg" TargetMode="External"/><Relationship Id="rId247" Type="http://schemas.openxmlformats.org/officeDocument/2006/relationships/hyperlink" Target="https://thumbcdn.com/splash/irqgxgqnyjwiudnp.jpg" TargetMode="External"/><Relationship Id="rId899" Type="http://schemas.openxmlformats.org/officeDocument/2006/relationships/hyperlink" Target="https://thumbcdn.com/splash/g7s6ywkt2xoqzp06.jpg" TargetMode="External"/><Relationship Id="rId1084" Type="http://schemas.openxmlformats.org/officeDocument/2006/relationships/hyperlink" Target="https://thumbcdn.com/splash/h5xuyfymzcbymmgn.jpg" TargetMode="External"/><Relationship Id="rId107" Type="http://schemas.openxmlformats.org/officeDocument/2006/relationships/hyperlink" Target="https://thumbcdn.com/splash/xu9409plgzngovvn.jpg" TargetMode="External"/><Relationship Id="rId454" Type="http://schemas.openxmlformats.org/officeDocument/2006/relationships/hyperlink" Target="https://thumbcdn.com/splash/h7o834i5h4lkdufv.jpg" TargetMode="External"/><Relationship Id="rId661" Type="http://schemas.openxmlformats.org/officeDocument/2006/relationships/hyperlink" Target="https://thumbcdn.com/splash/jvogjjjmc9uro6df.jpg" TargetMode="External"/><Relationship Id="rId759" Type="http://schemas.openxmlformats.org/officeDocument/2006/relationships/hyperlink" Target="https://thumbcdn.com/splash/p98riojc7yzlgh9n.jpg" TargetMode="External"/><Relationship Id="rId966" Type="http://schemas.openxmlformats.org/officeDocument/2006/relationships/hyperlink" Target="https://thumbcdn.com/splash/viea47lkcp7gp7az.jpg" TargetMode="External"/><Relationship Id="rId1291" Type="http://schemas.openxmlformats.org/officeDocument/2006/relationships/hyperlink" Target="https://thumbcdn.com/splash/rmnvrkgeh4vyh0fp.jpg" TargetMode="External"/><Relationship Id="rId1389" Type="http://schemas.openxmlformats.org/officeDocument/2006/relationships/hyperlink" Target="https://thumbcdn.com/splash/amrdbd74meco8hdp.jpg" TargetMode="External"/><Relationship Id="rId1596" Type="http://schemas.openxmlformats.org/officeDocument/2006/relationships/hyperlink" Target="https://thumbcdn.com/splash/3hojtij5qvhvx6lg.jpg" TargetMode="External"/><Relationship Id="rId2135" Type="http://schemas.openxmlformats.org/officeDocument/2006/relationships/hyperlink" Target="https://thumbcdn.com/splash/jt9ndzmkxqrx729n.jpg" TargetMode="External"/><Relationship Id="rId314" Type="http://schemas.openxmlformats.org/officeDocument/2006/relationships/hyperlink" Target="https://thumbcdn.com/splash/xjeec9y2mha4te94.jpg" TargetMode="External"/><Relationship Id="rId521" Type="http://schemas.openxmlformats.org/officeDocument/2006/relationships/hyperlink" Target="https://thumbcdn.com/splash/q4fawll5pellcvcj.jpg" TargetMode="External"/><Relationship Id="rId619" Type="http://schemas.openxmlformats.org/officeDocument/2006/relationships/hyperlink" Target="https://thumbcdn.com/splash/z6rm146r9yl9yhce.jpg" TargetMode="External"/><Relationship Id="rId1151" Type="http://schemas.openxmlformats.org/officeDocument/2006/relationships/hyperlink" Target="https://thumbcdn.com/splash/j9rx6na42umhnuwf.jpg" TargetMode="External"/><Relationship Id="rId1249" Type="http://schemas.openxmlformats.org/officeDocument/2006/relationships/hyperlink" Target="https://thumbcdn.com/splash/2v7c9ns9x5xvnymt.jpg" TargetMode="External"/><Relationship Id="rId2202" Type="http://schemas.openxmlformats.org/officeDocument/2006/relationships/hyperlink" Target="https://thumbcdn.com/splash/0ubg0maxcjjqh0b7.jpg" TargetMode="External"/><Relationship Id="rId95" Type="http://schemas.openxmlformats.org/officeDocument/2006/relationships/hyperlink" Target="https://thumbcdn.com/splash/2wos8pvxuf5vq6vf.jpg" TargetMode="External"/><Relationship Id="rId826" Type="http://schemas.openxmlformats.org/officeDocument/2006/relationships/hyperlink" Target="https://thumbcdn.com/splash/vhj4dqsowu0xz78w.jpg" TargetMode="External"/><Relationship Id="rId1011" Type="http://schemas.openxmlformats.org/officeDocument/2006/relationships/hyperlink" Target="https://thumbcdn.com/splash/9bvwqdxliuo712a8.jpg" TargetMode="External"/><Relationship Id="rId1109" Type="http://schemas.openxmlformats.org/officeDocument/2006/relationships/hyperlink" Target="https://thumbcdn.com/splash/yzp561ujztgrrv76.jpg" TargetMode="External"/><Relationship Id="rId1456" Type="http://schemas.openxmlformats.org/officeDocument/2006/relationships/hyperlink" Target="https://thumbcdn.com/splash/avvzh582jpuawosn.jpg" TargetMode="External"/><Relationship Id="rId1663" Type="http://schemas.openxmlformats.org/officeDocument/2006/relationships/hyperlink" Target="https://thumbcdn.com/splash/kkao4fq4e4e4gxa4.jpg" TargetMode="External"/><Relationship Id="rId1870" Type="http://schemas.openxmlformats.org/officeDocument/2006/relationships/hyperlink" Target="https://thumbcdn.com/splash/7a7ee8qofhfzksst.jpg" TargetMode="External"/><Relationship Id="rId1968" Type="http://schemas.openxmlformats.org/officeDocument/2006/relationships/hyperlink" Target="https://thumbcdn.com/splash/2oxarvh93igsxovm.jpg" TargetMode="External"/><Relationship Id="rId1316" Type="http://schemas.openxmlformats.org/officeDocument/2006/relationships/hyperlink" Target="https://thumbcdn.com/splash/p1txqrj3188hl8en.jpg" TargetMode="External"/><Relationship Id="rId1523" Type="http://schemas.openxmlformats.org/officeDocument/2006/relationships/hyperlink" Target="https://thumbcdn.com/splash/b9dywvzzrnr67i8b.jpg" TargetMode="External"/><Relationship Id="rId1730" Type="http://schemas.openxmlformats.org/officeDocument/2006/relationships/hyperlink" Target="https://thumbcdn.com/splash/t21a37utytmrlrn9.jpg" TargetMode="External"/><Relationship Id="rId22" Type="http://schemas.openxmlformats.org/officeDocument/2006/relationships/hyperlink" Target="https://thumbcdn.com/splash/cclwkkefdggqr6gq.jpg" TargetMode="External"/><Relationship Id="rId1828" Type="http://schemas.openxmlformats.org/officeDocument/2006/relationships/hyperlink" Target="https://thumbcdn.com/splash/sqb0ytihf3ex0dj6.jpg" TargetMode="External"/><Relationship Id="rId171" Type="http://schemas.openxmlformats.org/officeDocument/2006/relationships/hyperlink" Target="https://thumbcdn.com/splash/6rchnnkzndwl3ays.jpg" TargetMode="External"/><Relationship Id="rId269" Type="http://schemas.openxmlformats.org/officeDocument/2006/relationships/hyperlink" Target="https://thumbcdn.com/splash/c7vror99hzdidkjq.jpg" TargetMode="External"/><Relationship Id="rId476" Type="http://schemas.openxmlformats.org/officeDocument/2006/relationships/hyperlink" Target="https://thumbcdn.com/splash/4qzo13xf9b09osga.jpg" TargetMode="External"/><Relationship Id="rId683" Type="http://schemas.openxmlformats.org/officeDocument/2006/relationships/hyperlink" Target="https://thumbcdn.com/splash/5rhfuqfnhomgzbqi.jpg" TargetMode="External"/><Relationship Id="rId890" Type="http://schemas.openxmlformats.org/officeDocument/2006/relationships/hyperlink" Target="https://thumbcdn.com/splash/halgw4rw1u9x7cdz.jpg" TargetMode="External"/><Relationship Id="rId2157" Type="http://schemas.openxmlformats.org/officeDocument/2006/relationships/hyperlink" Target="https://thumbcdn.com/splash/18d5dmspvwr9eyoc.jpg" TargetMode="External"/><Relationship Id="rId129" Type="http://schemas.openxmlformats.org/officeDocument/2006/relationships/hyperlink" Target="https://thumbcdn.com/splash/viz1u30d0y9hp73y.jpg" TargetMode="External"/><Relationship Id="rId336" Type="http://schemas.openxmlformats.org/officeDocument/2006/relationships/hyperlink" Target="https://thumbcdn.com/splash/x9yyskptozsh3ycf.jpg" TargetMode="External"/><Relationship Id="rId543" Type="http://schemas.openxmlformats.org/officeDocument/2006/relationships/hyperlink" Target="https://thumbcdn.com/splash/r0vnhjukqh8qrrms.jpg" TargetMode="External"/><Relationship Id="rId988" Type="http://schemas.openxmlformats.org/officeDocument/2006/relationships/hyperlink" Target="https://thumbcdn.com/splash/gwloh7m3pu560bpe.jpg" TargetMode="External"/><Relationship Id="rId1173" Type="http://schemas.openxmlformats.org/officeDocument/2006/relationships/hyperlink" Target="https://thumbcdn.com/splash/o88gup3id9es0i1q.jpg" TargetMode="External"/><Relationship Id="rId1380" Type="http://schemas.openxmlformats.org/officeDocument/2006/relationships/hyperlink" Target="https://thumbcdn.com/splash/9bnxv5qps3ft2c6k.jpg" TargetMode="External"/><Relationship Id="rId2017" Type="http://schemas.openxmlformats.org/officeDocument/2006/relationships/hyperlink" Target="https://thumbcdn.com/splash/afrtvsdfbdhq6mpw.jpg" TargetMode="External"/><Relationship Id="rId2224" Type="http://schemas.openxmlformats.org/officeDocument/2006/relationships/hyperlink" Target="https://thumbcdn.com/splash/j60poub18bqv6w76.jpg" TargetMode="External"/><Relationship Id="rId403" Type="http://schemas.openxmlformats.org/officeDocument/2006/relationships/hyperlink" Target="https://thumbcdn.com/splash/5x14s56wj6stkp6r.jpg" TargetMode="External"/><Relationship Id="rId750" Type="http://schemas.openxmlformats.org/officeDocument/2006/relationships/hyperlink" Target="https://thumbcdn.com/splash/7ido45fh44ztu72s.jpg" TargetMode="External"/><Relationship Id="rId848" Type="http://schemas.openxmlformats.org/officeDocument/2006/relationships/hyperlink" Target="https://thumbcdn.com/splash/31kf0wd6a3har2ad.jpg" TargetMode="External"/><Relationship Id="rId1033" Type="http://schemas.openxmlformats.org/officeDocument/2006/relationships/hyperlink" Target="https://thumbcdn.com/splash/l5nyhd2yeefb8n0z.jpg" TargetMode="External"/><Relationship Id="rId1478" Type="http://schemas.openxmlformats.org/officeDocument/2006/relationships/hyperlink" Target="https://thumbcdn.com/splash/dtyjcnctgltsxjyk.jpg" TargetMode="External"/><Relationship Id="rId1685" Type="http://schemas.openxmlformats.org/officeDocument/2006/relationships/hyperlink" Target="https://thumbcdn.com/splash/cfdcmu4nh5qcm1rs.jpg" TargetMode="External"/><Relationship Id="rId1892" Type="http://schemas.openxmlformats.org/officeDocument/2006/relationships/hyperlink" Target="https://thumbcdn.com/splash/ueagxmiv7a8ldjny.jpg" TargetMode="External"/><Relationship Id="rId610" Type="http://schemas.openxmlformats.org/officeDocument/2006/relationships/hyperlink" Target="https://thumbcdn.com/splash/bvapl7gj73dot7mj.jpg" TargetMode="External"/><Relationship Id="rId708" Type="http://schemas.openxmlformats.org/officeDocument/2006/relationships/hyperlink" Target="https://thumbcdn.com/splash/85hj48wagdsrw9ne.jpg" TargetMode="External"/><Relationship Id="rId915" Type="http://schemas.openxmlformats.org/officeDocument/2006/relationships/hyperlink" Target="https://thumbcdn.com/splash/pc8ms34hzfaykt8e.jpg" TargetMode="External"/><Relationship Id="rId1240" Type="http://schemas.openxmlformats.org/officeDocument/2006/relationships/hyperlink" Target="https://thumbcdn.com/splash/umw59aaq2ouxr1fc.jpg" TargetMode="External"/><Relationship Id="rId1338" Type="http://schemas.openxmlformats.org/officeDocument/2006/relationships/hyperlink" Target="https://thumbcdn.com/splash/fw0nsu8j2ng0m8qy.jpg" TargetMode="External"/><Relationship Id="rId1545" Type="http://schemas.openxmlformats.org/officeDocument/2006/relationships/hyperlink" Target="https://thumbcdn.com/splash/m06rn19ry6ypaoz7.jpg" TargetMode="External"/><Relationship Id="rId1100" Type="http://schemas.openxmlformats.org/officeDocument/2006/relationships/hyperlink" Target="https://thumbcdn.com/splash/tr4yhcpstjdd6lwf.jpg" TargetMode="External"/><Relationship Id="rId1405" Type="http://schemas.openxmlformats.org/officeDocument/2006/relationships/hyperlink" Target="https://thumbcdn.com/splash/wdctfmbzukq9ul5u.jpg" TargetMode="External"/><Relationship Id="rId1752" Type="http://schemas.openxmlformats.org/officeDocument/2006/relationships/hyperlink" Target="https://thumbcdn.com/splash/0cdoc4q7q98u7wf3.jpg" TargetMode="External"/><Relationship Id="rId44" Type="http://schemas.openxmlformats.org/officeDocument/2006/relationships/hyperlink" Target="https://thumbcdn.com/splash/msjiuzzfd7wpmzv4.jpg" TargetMode="External"/><Relationship Id="rId1612" Type="http://schemas.openxmlformats.org/officeDocument/2006/relationships/hyperlink" Target="https://thumbcdn.com/splash/kbemvxb0c4leu9wm.jpg" TargetMode="External"/><Relationship Id="rId1917" Type="http://schemas.openxmlformats.org/officeDocument/2006/relationships/hyperlink" Target="https://thumbcdn.com/splash/o02mrmz05m021chj.jpg" TargetMode="External"/><Relationship Id="rId193" Type="http://schemas.openxmlformats.org/officeDocument/2006/relationships/hyperlink" Target="https://thumbcdn.com/splash/3byfccyanyxacrm9.jpg" TargetMode="External"/><Relationship Id="rId498" Type="http://schemas.openxmlformats.org/officeDocument/2006/relationships/hyperlink" Target="https://thumbcdn.com/splash/na2vgtpchqthjml6.jpg" TargetMode="External"/><Relationship Id="rId2081" Type="http://schemas.openxmlformats.org/officeDocument/2006/relationships/hyperlink" Target="https://thumbcdn.com/splash/c9u328sndvhxdyj9.jpg" TargetMode="External"/><Relationship Id="rId2179" Type="http://schemas.openxmlformats.org/officeDocument/2006/relationships/hyperlink" Target="https://thumbcdn.com/splash/e74ck54qydy0iims.jpg" TargetMode="External"/><Relationship Id="rId260" Type="http://schemas.openxmlformats.org/officeDocument/2006/relationships/hyperlink" Target="https://thumbcdn.com/splash/uemypfnbhq0ymykc.jpg" TargetMode="External"/><Relationship Id="rId120" Type="http://schemas.openxmlformats.org/officeDocument/2006/relationships/hyperlink" Target="https://thumbcdn.com/splash/cy3ews0n3bghzor6.jpg" TargetMode="External"/><Relationship Id="rId358" Type="http://schemas.openxmlformats.org/officeDocument/2006/relationships/hyperlink" Target="https://thumbcdn.com/splash/kytv8g5jdfwagjbs.jpg" TargetMode="External"/><Relationship Id="rId565" Type="http://schemas.openxmlformats.org/officeDocument/2006/relationships/hyperlink" Target="https://thumbcdn.com/splash/c1wf376137r297ok.jpg" TargetMode="External"/><Relationship Id="rId772" Type="http://schemas.openxmlformats.org/officeDocument/2006/relationships/hyperlink" Target="https://thumbcdn.com/splash/cw5td57adgt2b38l.jpg" TargetMode="External"/><Relationship Id="rId1195" Type="http://schemas.openxmlformats.org/officeDocument/2006/relationships/hyperlink" Target="https://thumbcdn.com/splash/4m9fwqk8h4pfvp4t.jpg" TargetMode="External"/><Relationship Id="rId2039" Type="http://schemas.openxmlformats.org/officeDocument/2006/relationships/hyperlink" Target="https://thumbcdn.com/splash/rqfkvx8lhs2jykzs.jpg" TargetMode="External"/><Relationship Id="rId2246" Type="http://schemas.openxmlformats.org/officeDocument/2006/relationships/hyperlink" Target="https://thumbcdn.com/splash/1o0azmclssebmnp9.jpg" TargetMode="External"/><Relationship Id="rId218" Type="http://schemas.openxmlformats.org/officeDocument/2006/relationships/hyperlink" Target="https://thumbcdn.com/splash/hhhvz7q3n2x3tc22.jpg" TargetMode="External"/><Relationship Id="rId425" Type="http://schemas.openxmlformats.org/officeDocument/2006/relationships/hyperlink" Target="https://thumbcdn.com/splash/0que4tuqipv0z88q.jpg" TargetMode="External"/><Relationship Id="rId632" Type="http://schemas.openxmlformats.org/officeDocument/2006/relationships/hyperlink" Target="https://thumbcdn.com/splash/ccxty56e12hjtzie.jpg" TargetMode="External"/><Relationship Id="rId1055" Type="http://schemas.openxmlformats.org/officeDocument/2006/relationships/hyperlink" Target="https://thumbcdn.com/splash/dp6h7o4wto4wrcsv.jpg" TargetMode="External"/><Relationship Id="rId1262" Type="http://schemas.openxmlformats.org/officeDocument/2006/relationships/hyperlink" Target="https://thumbcdn.com/splash/xaoiw8sz08h7a6di.jpg" TargetMode="External"/><Relationship Id="rId2106" Type="http://schemas.openxmlformats.org/officeDocument/2006/relationships/hyperlink" Target="https://thumbcdn.com/splash/xo7jedqbyu30v9qh.jpg" TargetMode="External"/><Relationship Id="rId937" Type="http://schemas.openxmlformats.org/officeDocument/2006/relationships/hyperlink" Target="https://thumbcdn.com/splash/7tq4y6a505esqqu8.jpg" TargetMode="External"/><Relationship Id="rId1122" Type="http://schemas.openxmlformats.org/officeDocument/2006/relationships/hyperlink" Target="https://thumbcdn.com/splash/u6kcu0o3008t1ygb.jpg" TargetMode="External"/><Relationship Id="rId1567" Type="http://schemas.openxmlformats.org/officeDocument/2006/relationships/hyperlink" Target="https://thumbcdn.com/splash/enrk8vhpo4hy26pz.jpg" TargetMode="External"/><Relationship Id="rId1774" Type="http://schemas.openxmlformats.org/officeDocument/2006/relationships/hyperlink" Target="https://thumbcdn.com/splash/2rea20f689y59lla.jpg" TargetMode="External"/><Relationship Id="rId1981" Type="http://schemas.openxmlformats.org/officeDocument/2006/relationships/hyperlink" Target="https://thumbcdn.com/splash/n22femnla4qgo1q4.jpg" TargetMode="External"/><Relationship Id="rId66" Type="http://schemas.openxmlformats.org/officeDocument/2006/relationships/hyperlink" Target="https://thumbcdn.com/splash/dlh9fwr7cu5k8wtu.jpg" TargetMode="External"/><Relationship Id="rId1427" Type="http://schemas.openxmlformats.org/officeDocument/2006/relationships/hyperlink" Target="https://thumbcdn.com/splash/qgaiqpt9gx057o5u.jpg" TargetMode="External"/><Relationship Id="rId1634" Type="http://schemas.openxmlformats.org/officeDocument/2006/relationships/hyperlink" Target="https://thumbcdn.com/splash/iodaz0clknrxuhxu.jpg" TargetMode="External"/><Relationship Id="rId1841" Type="http://schemas.openxmlformats.org/officeDocument/2006/relationships/hyperlink" Target="https://thumbcdn.com/splash/u3zwtn14pxgix1dp.jpg" TargetMode="External"/><Relationship Id="rId1939" Type="http://schemas.openxmlformats.org/officeDocument/2006/relationships/hyperlink" Target="https://thumbcdn.com/splash/5xe8ygc2t3dhiwl2.jpg" TargetMode="External"/><Relationship Id="rId1701" Type="http://schemas.openxmlformats.org/officeDocument/2006/relationships/hyperlink" Target="https://thumbcdn.com/splash/53l7h4em2avcjpcq.jpg" TargetMode="External"/><Relationship Id="rId282" Type="http://schemas.openxmlformats.org/officeDocument/2006/relationships/hyperlink" Target="https://thumbcdn.com/splash/y08ccj4yisss716m.jpg" TargetMode="External"/><Relationship Id="rId587" Type="http://schemas.openxmlformats.org/officeDocument/2006/relationships/hyperlink" Target="https://thumbcdn.com/splash/89rgqbtqlsdn2rix.jpg" TargetMode="External"/><Relationship Id="rId2170" Type="http://schemas.openxmlformats.org/officeDocument/2006/relationships/hyperlink" Target="https://thumbcdn.com/splash/vyvjuyogwonzhgvp.jpg" TargetMode="External"/><Relationship Id="rId2268" Type="http://schemas.openxmlformats.org/officeDocument/2006/relationships/hyperlink" Target="https://thumbcdn.com/splash/pkzuxrn8svwnt9or.jpg" TargetMode="External"/><Relationship Id="rId8" Type="http://schemas.openxmlformats.org/officeDocument/2006/relationships/hyperlink" Target="https://thumbcdn.com/splash/65k7ydc4sz0iagos.jpg" TargetMode="External"/><Relationship Id="rId142" Type="http://schemas.openxmlformats.org/officeDocument/2006/relationships/hyperlink" Target="https://thumbcdn.com/splash/0que4tuqipv0z88q.jpg" TargetMode="External"/><Relationship Id="rId447" Type="http://schemas.openxmlformats.org/officeDocument/2006/relationships/hyperlink" Target="https://thumbcdn.com/splash/inohs75piu4zj1e9.jpg" TargetMode="External"/><Relationship Id="rId794" Type="http://schemas.openxmlformats.org/officeDocument/2006/relationships/hyperlink" Target="https://thumbcdn.com/splash/jg86lkssvytg5c0w.jpg" TargetMode="External"/><Relationship Id="rId1077" Type="http://schemas.openxmlformats.org/officeDocument/2006/relationships/hyperlink" Target="https://thumbcdn.com/splash/3wt31nr2b8jx4c13.jpg" TargetMode="External"/><Relationship Id="rId2030" Type="http://schemas.openxmlformats.org/officeDocument/2006/relationships/hyperlink" Target="https://thumbcdn.com/splash/4nrollqlulh43dgb.jpg" TargetMode="External"/><Relationship Id="rId2128" Type="http://schemas.openxmlformats.org/officeDocument/2006/relationships/hyperlink" Target="https://thumbcdn.com/splash/p1txqrj3188hl8en.jpg" TargetMode="External"/><Relationship Id="rId654" Type="http://schemas.openxmlformats.org/officeDocument/2006/relationships/hyperlink" Target="https://thumbcdn.com/splash/masd493yym2yxhb3.jpg" TargetMode="External"/><Relationship Id="rId861" Type="http://schemas.openxmlformats.org/officeDocument/2006/relationships/hyperlink" Target="https://thumbcdn.com/splash/w8y1r93g2ipvpvdk.jpg" TargetMode="External"/><Relationship Id="rId959" Type="http://schemas.openxmlformats.org/officeDocument/2006/relationships/hyperlink" Target="https://thumbcdn.com/splash/a8odr2uhv3434yg4.jpg" TargetMode="External"/><Relationship Id="rId1284" Type="http://schemas.openxmlformats.org/officeDocument/2006/relationships/hyperlink" Target="https://thumbcdn.com/splash/42ygeh78vtduxeaw.jpg" TargetMode="External"/><Relationship Id="rId1491" Type="http://schemas.openxmlformats.org/officeDocument/2006/relationships/hyperlink" Target="https://thumbcdn.com/splash/jmbq6ogq1ki20vj4.jpg" TargetMode="External"/><Relationship Id="rId1589" Type="http://schemas.openxmlformats.org/officeDocument/2006/relationships/hyperlink" Target="https://thumbcdn.com/splash/vaz0359ifxesdppn.jpg" TargetMode="External"/><Relationship Id="rId307" Type="http://schemas.openxmlformats.org/officeDocument/2006/relationships/hyperlink" Target="https://thumbcdn.com/splash/5alrj6wpbmcosrgq.jpg" TargetMode="External"/><Relationship Id="rId514" Type="http://schemas.openxmlformats.org/officeDocument/2006/relationships/hyperlink" Target="https://thumbcdn.com/splash/ytjduv3hngjuqewg.jpg" TargetMode="External"/><Relationship Id="rId721" Type="http://schemas.openxmlformats.org/officeDocument/2006/relationships/hyperlink" Target="https://thumbcdn.com/splash/auv2e68r2f1bzibc.jpg" TargetMode="External"/><Relationship Id="rId1144" Type="http://schemas.openxmlformats.org/officeDocument/2006/relationships/hyperlink" Target="https://thumbcdn.com/splash/6ykmdkoul8rvl1v3.jpg" TargetMode="External"/><Relationship Id="rId1351" Type="http://schemas.openxmlformats.org/officeDocument/2006/relationships/hyperlink" Target="https://thumbcdn.com/splash/pqvvfsfwfxbyhfpu.jpg" TargetMode="External"/><Relationship Id="rId1449" Type="http://schemas.openxmlformats.org/officeDocument/2006/relationships/hyperlink" Target="https://thumbcdn.com/splash/we2zx97ek05gv45o.jpg" TargetMode="External"/><Relationship Id="rId1796" Type="http://schemas.openxmlformats.org/officeDocument/2006/relationships/hyperlink" Target="https://thumbcdn.com/splash/yjcb74xsr9ls26uy.jpg" TargetMode="External"/><Relationship Id="rId88" Type="http://schemas.openxmlformats.org/officeDocument/2006/relationships/hyperlink" Target="https://thumbcdn.com/splash/bp7xh3ve2kyf7ecl.jpg" TargetMode="External"/><Relationship Id="rId819" Type="http://schemas.openxmlformats.org/officeDocument/2006/relationships/hyperlink" Target="https://thumbcdn.com/splash/4hqjahkiujx3cbdx.jpg" TargetMode="External"/><Relationship Id="rId1004" Type="http://schemas.openxmlformats.org/officeDocument/2006/relationships/hyperlink" Target="https://thumbcdn.com/splash/hcif0bas65ohbd0u.jpg" TargetMode="External"/><Relationship Id="rId1211" Type="http://schemas.openxmlformats.org/officeDocument/2006/relationships/hyperlink" Target="https://thumbcdn.com/splash/p3s8ugzolyjfohfb.jpg" TargetMode="External"/><Relationship Id="rId1656" Type="http://schemas.openxmlformats.org/officeDocument/2006/relationships/hyperlink" Target="https://thumbcdn.com/splash/cgsg408ttn1id42v.jpg" TargetMode="External"/><Relationship Id="rId1863" Type="http://schemas.openxmlformats.org/officeDocument/2006/relationships/hyperlink" Target="https://thumbcdn.com/splash/m4jm9iuql041pbz3.jpg" TargetMode="External"/><Relationship Id="rId1309" Type="http://schemas.openxmlformats.org/officeDocument/2006/relationships/hyperlink" Target="https://thumbcdn.com/splash/2b4t16qxkqwa6ewj.jpg" TargetMode="External"/><Relationship Id="rId1516" Type="http://schemas.openxmlformats.org/officeDocument/2006/relationships/hyperlink" Target="https://thumbcdn.com/splash/b9ssyadbw1zc7fbw.jpg" TargetMode="External"/><Relationship Id="rId1723" Type="http://schemas.openxmlformats.org/officeDocument/2006/relationships/hyperlink" Target="https://thumbcdn.com/splash/nvku8mm6bx44ne00.jpg" TargetMode="External"/><Relationship Id="rId1930" Type="http://schemas.openxmlformats.org/officeDocument/2006/relationships/hyperlink" Target="https://thumbcdn.com/splash/9r1eypojjtbx8ri9.jpg" TargetMode="External"/><Relationship Id="rId15" Type="http://schemas.openxmlformats.org/officeDocument/2006/relationships/hyperlink" Target="https://thumbcdn.com/splash/2s7omctmqzr2jy2z.jpg" TargetMode="External"/><Relationship Id="rId2192" Type="http://schemas.openxmlformats.org/officeDocument/2006/relationships/hyperlink" Target="https://thumbcdn.com/splash/mxfdb2qrnysc1n1c.jpg" TargetMode="External"/><Relationship Id="rId164" Type="http://schemas.openxmlformats.org/officeDocument/2006/relationships/hyperlink" Target="https://thumbcdn.com/splash/ob317aezw9yza9xz.jpg" TargetMode="External"/><Relationship Id="rId371" Type="http://schemas.openxmlformats.org/officeDocument/2006/relationships/hyperlink" Target="https://thumbcdn.com/splash/c82u0xp5izmm75f1.jpg" TargetMode="External"/><Relationship Id="rId2052" Type="http://schemas.openxmlformats.org/officeDocument/2006/relationships/hyperlink" Target="https://thumbcdn.com/splash/c61fo2kt9ehsjja6.jpg" TargetMode="External"/><Relationship Id="rId469" Type="http://schemas.openxmlformats.org/officeDocument/2006/relationships/hyperlink" Target="https://thumbcdn.com/splash/3dh4ekp5woyrg30d.jpg" TargetMode="External"/><Relationship Id="rId676" Type="http://schemas.openxmlformats.org/officeDocument/2006/relationships/hyperlink" Target="https://thumbcdn.com/splash/cp19124jmpmb7qip.jpg" TargetMode="External"/><Relationship Id="rId883" Type="http://schemas.openxmlformats.org/officeDocument/2006/relationships/hyperlink" Target="https://thumbcdn.com/splash/6r8klgrhybrtp30d.jpg" TargetMode="External"/><Relationship Id="rId1099" Type="http://schemas.openxmlformats.org/officeDocument/2006/relationships/hyperlink" Target="https://thumbcdn.com/splash/a0u6kndno5d3ytwf.jpg" TargetMode="External"/><Relationship Id="rId231" Type="http://schemas.openxmlformats.org/officeDocument/2006/relationships/hyperlink" Target="https://thumbcdn.com/splash/5lefzngavzpd2p4n.jpg" TargetMode="External"/><Relationship Id="rId329" Type="http://schemas.openxmlformats.org/officeDocument/2006/relationships/hyperlink" Target="https://thumbcdn.com/splash/zb3rwjhbbnj55igw.jpg" TargetMode="External"/><Relationship Id="rId536" Type="http://schemas.openxmlformats.org/officeDocument/2006/relationships/hyperlink" Target="https://thumbcdn.com/splash/qmzohui7mnreacu7.jpg" TargetMode="External"/><Relationship Id="rId1166" Type="http://schemas.openxmlformats.org/officeDocument/2006/relationships/hyperlink" Target="https://thumbcdn.com/splash/4w28qyhg0lc3o2ht.jpg" TargetMode="External"/><Relationship Id="rId1373" Type="http://schemas.openxmlformats.org/officeDocument/2006/relationships/hyperlink" Target="https://thumbcdn.com/splash/jo4fkr8zxxdwo7bq.jpg" TargetMode="External"/><Relationship Id="rId2217" Type="http://schemas.openxmlformats.org/officeDocument/2006/relationships/hyperlink" Target="https://thumbcdn.com/splash/024y7juh5o5tue1h.jpg" TargetMode="External"/><Relationship Id="rId743" Type="http://schemas.openxmlformats.org/officeDocument/2006/relationships/hyperlink" Target="https://thumbcdn.com/splash/8fk737jl4pxpi5qa.jpg" TargetMode="External"/><Relationship Id="rId950" Type="http://schemas.openxmlformats.org/officeDocument/2006/relationships/hyperlink" Target="https://thumbcdn.com/splash/1c9193xd9rhtsz95.jpg" TargetMode="External"/><Relationship Id="rId1026" Type="http://schemas.openxmlformats.org/officeDocument/2006/relationships/hyperlink" Target="https://thumbcdn.com/splash/0w4ua9y22iyxx4ty.jpg" TargetMode="External"/><Relationship Id="rId1580" Type="http://schemas.openxmlformats.org/officeDocument/2006/relationships/hyperlink" Target="https://thumbcdn.com/splash/qvzcaz13fax7wws9.jpg" TargetMode="External"/><Relationship Id="rId1678" Type="http://schemas.openxmlformats.org/officeDocument/2006/relationships/hyperlink" Target="https://thumbcdn.com/splash/lrfzfjuf9btrlpoz.jpg" TargetMode="External"/><Relationship Id="rId1885" Type="http://schemas.openxmlformats.org/officeDocument/2006/relationships/hyperlink" Target="https://thumbcdn.com/splash/ornj44p5jdcpn8iy.jpg" TargetMode="External"/><Relationship Id="rId603" Type="http://schemas.openxmlformats.org/officeDocument/2006/relationships/hyperlink" Target="https://thumbcdn.com/splash/aaaxu9pv478cnlcg.jpg" TargetMode="External"/><Relationship Id="rId810" Type="http://schemas.openxmlformats.org/officeDocument/2006/relationships/hyperlink" Target="https://thumbcdn.com/splash/f6rac1luj82pgijh.jpg" TargetMode="External"/><Relationship Id="rId908" Type="http://schemas.openxmlformats.org/officeDocument/2006/relationships/hyperlink" Target="https://thumbcdn.com/splash/e9u58c32kd9u62a7.jpg" TargetMode="External"/><Relationship Id="rId1233" Type="http://schemas.openxmlformats.org/officeDocument/2006/relationships/hyperlink" Target="https://thumbcdn.com/splash/pnfq3adozpm6eyt0.jpg" TargetMode="External"/><Relationship Id="rId1440" Type="http://schemas.openxmlformats.org/officeDocument/2006/relationships/hyperlink" Target="https://thumbcdn.com/splash/72xj8o0943w3r2r6.jpg" TargetMode="External"/><Relationship Id="rId1538" Type="http://schemas.openxmlformats.org/officeDocument/2006/relationships/hyperlink" Target="https://thumbcdn.com/splash/bbqhzd0azjagxf6i.jpg" TargetMode="External"/><Relationship Id="rId1300" Type="http://schemas.openxmlformats.org/officeDocument/2006/relationships/hyperlink" Target="https://thumbcdn.com/splash/ervccfkvdbzlrhd9.jpg" TargetMode="External"/><Relationship Id="rId1745" Type="http://schemas.openxmlformats.org/officeDocument/2006/relationships/hyperlink" Target="https://thumbcdn.com/splash/zk1c73qpujgjw9u5.jpg" TargetMode="External"/><Relationship Id="rId1952" Type="http://schemas.openxmlformats.org/officeDocument/2006/relationships/hyperlink" Target="https://thumbcdn.com/splash/vuazx1zx79mr92ft.jpg" TargetMode="External"/><Relationship Id="rId37" Type="http://schemas.openxmlformats.org/officeDocument/2006/relationships/hyperlink" Target="https://thumbcdn.com/splash/tn6rrr096hjys7ue.jpg" TargetMode="External"/><Relationship Id="rId1605" Type="http://schemas.openxmlformats.org/officeDocument/2006/relationships/hyperlink" Target="https://thumbcdn.com/splash/z6rm146r9yl9yhce.jpg" TargetMode="External"/><Relationship Id="rId1812" Type="http://schemas.openxmlformats.org/officeDocument/2006/relationships/hyperlink" Target="https://thumbcdn.com/splash/o4ruj0lmxt5cpm2f.jpg" TargetMode="External"/><Relationship Id="rId186" Type="http://schemas.openxmlformats.org/officeDocument/2006/relationships/hyperlink" Target="https://thumbcdn.com/splash/91ilqppwlq0cv4hz.jpg" TargetMode="External"/><Relationship Id="rId393" Type="http://schemas.openxmlformats.org/officeDocument/2006/relationships/hyperlink" Target="https://thumbcdn.com/splash/3sj6gimgmvse60qs.jpg" TargetMode="External"/><Relationship Id="rId2074" Type="http://schemas.openxmlformats.org/officeDocument/2006/relationships/hyperlink" Target="https://thumbcdn.com/splash/b4581hurz6bb1mkz.jpg" TargetMode="External"/><Relationship Id="rId2281" Type="http://schemas.openxmlformats.org/officeDocument/2006/relationships/hyperlink" Target="https://thumbcdn.com/splash/gdfgcsg9aa3014ue.jpg" TargetMode="External"/><Relationship Id="rId253" Type="http://schemas.openxmlformats.org/officeDocument/2006/relationships/hyperlink" Target="https://thumbcdn.com/splash/st5xhfgjh22vdpjr.jpg" TargetMode="External"/><Relationship Id="rId460" Type="http://schemas.openxmlformats.org/officeDocument/2006/relationships/hyperlink" Target="https://thumbcdn.com/splash/pkg1ko9l3sob4b91.jpg" TargetMode="External"/><Relationship Id="rId698" Type="http://schemas.openxmlformats.org/officeDocument/2006/relationships/hyperlink" Target="https://thumbcdn.com/splash/qprtotneqibvoiow.jpg" TargetMode="External"/><Relationship Id="rId1090" Type="http://schemas.openxmlformats.org/officeDocument/2006/relationships/hyperlink" Target="https://thumbcdn.com/splash/a378iwn5d5y3iahu.jpg" TargetMode="External"/><Relationship Id="rId2141" Type="http://schemas.openxmlformats.org/officeDocument/2006/relationships/hyperlink" Target="https://thumbcdn.com/splash/6t2qe0ri79vw6ncq.jpg" TargetMode="External"/><Relationship Id="rId113" Type="http://schemas.openxmlformats.org/officeDocument/2006/relationships/hyperlink" Target="https://thumbcdn.com/splash/37ua8rlvso92b5ct.jpg" TargetMode="External"/><Relationship Id="rId320" Type="http://schemas.openxmlformats.org/officeDocument/2006/relationships/hyperlink" Target="https://thumbcdn.com/splash/m5apnwbdqeqacyev.jpg" TargetMode="External"/><Relationship Id="rId558" Type="http://schemas.openxmlformats.org/officeDocument/2006/relationships/hyperlink" Target="https://thumbcdn.com/splash/nw5rlsj8hikpuzpb.jpg" TargetMode="External"/><Relationship Id="rId765" Type="http://schemas.openxmlformats.org/officeDocument/2006/relationships/hyperlink" Target="https://thumbcdn.com/splash/eacquqs0mfbpl1me.jpg" TargetMode="External"/><Relationship Id="rId972" Type="http://schemas.openxmlformats.org/officeDocument/2006/relationships/hyperlink" Target="https://thumbcdn.com/splash/7a7ee8qofhfzksst.jpg" TargetMode="External"/><Relationship Id="rId1188" Type="http://schemas.openxmlformats.org/officeDocument/2006/relationships/hyperlink" Target="https://thumbcdn.com/splash/3x95uf3r6wzh7rwd.jpg" TargetMode="External"/><Relationship Id="rId1395" Type="http://schemas.openxmlformats.org/officeDocument/2006/relationships/hyperlink" Target="https://thumbcdn.com/splash/xrvdu22efltkbo9g.jpg" TargetMode="External"/><Relationship Id="rId2001" Type="http://schemas.openxmlformats.org/officeDocument/2006/relationships/hyperlink" Target="https://thumbcdn.com/splash/z94922f8or0zazs9.jpg" TargetMode="External"/><Relationship Id="rId2239" Type="http://schemas.openxmlformats.org/officeDocument/2006/relationships/hyperlink" Target="https://thumbcdn.com/splash/o58xl88ykfiobwv0.jpg" TargetMode="External"/><Relationship Id="rId418" Type="http://schemas.openxmlformats.org/officeDocument/2006/relationships/hyperlink" Target="https://thumbcdn.com/splash/5k6dk6bnu85vqzpb.jpg" TargetMode="External"/><Relationship Id="rId625" Type="http://schemas.openxmlformats.org/officeDocument/2006/relationships/hyperlink" Target="https://thumbcdn.com/splash/fhsp15znvo5pn2v8.jpg" TargetMode="External"/><Relationship Id="rId832" Type="http://schemas.openxmlformats.org/officeDocument/2006/relationships/hyperlink" Target="https://thumbcdn.com/splash/pdv5glxeuhram1er.jpg" TargetMode="External"/><Relationship Id="rId1048" Type="http://schemas.openxmlformats.org/officeDocument/2006/relationships/hyperlink" Target="https://thumbcdn.com/splash/spuyr5g7wsu25afa.jpg" TargetMode="External"/><Relationship Id="rId1255" Type="http://schemas.openxmlformats.org/officeDocument/2006/relationships/hyperlink" Target="https://thumbcdn.com/splash/d1bujusd0kspfabo.jpg" TargetMode="External"/><Relationship Id="rId1462" Type="http://schemas.openxmlformats.org/officeDocument/2006/relationships/hyperlink" Target="https://thumbcdn.com/splash/grl4g2l8ac99l15s.jpg" TargetMode="External"/><Relationship Id="rId1115" Type="http://schemas.openxmlformats.org/officeDocument/2006/relationships/hyperlink" Target="https://thumbcdn.com/splash/oub9palqufu47s5h.jpg" TargetMode="External"/><Relationship Id="rId1322" Type="http://schemas.openxmlformats.org/officeDocument/2006/relationships/hyperlink" Target="https://thumbcdn.com/splash/yg8p7gthzdef9gtx.jpg" TargetMode="External"/><Relationship Id="rId1767" Type="http://schemas.openxmlformats.org/officeDocument/2006/relationships/hyperlink" Target="https://thumbcdn.com/splash/gfwgnjjfopt43bwi.jpg" TargetMode="External"/><Relationship Id="rId1974" Type="http://schemas.openxmlformats.org/officeDocument/2006/relationships/hyperlink" Target="https://thumbcdn.com/splash/x28nzwvhjjuhx3gv.jpg" TargetMode="External"/><Relationship Id="rId59" Type="http://schemas.openxmlformats.org/officeDocument/2006/relationships/hyperlink" Target="https://thumbcdn.com/splash/y23zpbl44cchimc5.jpg" TargetMode="External"/><Relationship Id="rId1627" Type="http://schemas.openxmlformats.org/officeDocument/2006/relationships/hyperlink" Target="https://thumbcdn.com/splash/bxa03d1wx37b0b4n.jpg" TargetMode="External"/><Relationship Id="rId1834" Type="http://schemas.openxmlformats.org/officeDocument/2006/relationships/hyperlink" Target="https://thumbcdn.com/splash/mjyecthwrtwg4lty.jpg" TargetMode="External"/><Relationship Id="rId2096" Type="http://schemas.openxmlformats.org/officeDocument/2006/relationships/hyperlink" Target="https://thumbcdn.com/splash/z5maif3w2emsqdla.jpg" TargetMode="External"/><Relationship Id="rId1901" Type="http://schemas.openxmlformats.org/officeDocument/2006/relationships/hyperlink" Target="https://thumbcdn.com/splash/vomlmttit8fmmu6v.jpg" TargetMode="External"/><Relationship Id="rId275" Type="http://schemas.openxmlformats.org/officeDocument/2006/relationships/hyperlink" Target="https://thumbcdn.com/splash/zzz0np2s4tz1vece.jpg" TargetMode="External"/><Relationship Id="rId482" Type="http://schemas.openxmlformats.org/officeDocument/2006/relationships/hyperlink" Target="https://thumbcdn.com/splash/z8012xxtt014huuu.jpg" TargetMode="External"/><Relationship Id="rId2163" Type="http://schemas.openxmlformats.org/officeDocument/2006/relationships/hyperlink" Target="https://thumbcdn.com/splash/osl0xqpaahwxn2ch.jpg" TargetMode="External"/><Relationship Id="rId135" Type="http://schemas.openxmlformats.org/officeDocument/2006/relationships/hyperlink" Target="https://thumbcdn.com/splash/w0p3izo715rpkn6k.jpg" TargetMode="External"/><Relationship Id="rId342" Type="http://schemas.openxmlformats.org/officeDocument/2006/relationships/hyperlink" Target="https://thumbcdn.com/splash/vqtevpns7g8lmrkt.jpg" TargetMode="External"/><Relationship Id="rId787" Type="http://schemas.openxmlformats.org/officeDocument/2006/relationships/hyperlink" Target="https://thumbcdn.com/splash/pzo1wf7uelxtzlk0.jpg" TargetMode="External"/><Relationship Id="rId994" Type="http://schemas.openxmlformats.org/officeDocument/2006/relationships/hyperlink" Target="https://thumbcdn.com/splash/8e20vykiuad9apyu.jpg" TargetMode="External"/><Relationship Id="rId2023" Type="http://schemas.openxmlformats.org/officeDocument/2006/relationships/hyperlink" Target="https://thumbcdn.com/splash/oxlboqlsn6yd4h6w.jpg" TargetMode="External"/><Relationship Id="rId2230" Type="http://schemas.openxmlformats.org/officeDocument/2006/relationships/hyperlink" Target="https://thumbcdn.com/splash/5eamuq4uwf7lbark.jpg" TargetMode="External"/><Relationship Id="rId202" Type="http://schemas.openxmlformats.org/officeDocument/2006/relationships/hyperlink" Target="https://thumbcdn.com/splash/it3xafz8h45ug7al.jpg" TargetMode="External"/><Relationship Id="rId647" Type="http://schemas.openxmlformats.org/officeDocument/2006/relationships/hyperlink" Target="https://thumbcdn.com/splash/u087kkr97osdhlo8.jpg" TargetMode="External"/><Relationship Id="rId854" Type="http://schemas.openxmlformats.org/officeDocument/2006/relationships/hyperlink" Target="https://thumbcdn.com/splash/1vxwji36gz9k7ca7.jpg" TargetMode="External"/><Relationship Id="rId1277" Type="http://schemas.openxmlformats.org/officeDocument/2006/relationships/hyperlink" Target="https://thumbcdn.com/splash/g93slaem6vuqyk69.jpg" TargetMode="External"/><Relationship Id="rId1484" Type="http://schemas.openxmlformats.org/officeDocument/2006/relationships/hyperlink" Target="https://thumbcdn.com/splash/ibvlbfvr6iwdxvwd.jpg" TargetMode="External"/><Relationship Id="rId1691" Type="http://schemas.openxmlformats.org/officeDocument/2006/relationships/hyperlink" Target="https://thumbcdn.com/splash/ectuslk7tqj3vzyf.jpg" TargetMode="External"/><Relationship Id="rId507" Type="http://schemas.openxmlformats.org/officeDocument/2006/relationships/hyperlink" Target="https://thumbcdn.com/splash/uqgkukbrtb7awm3x.jpg" TargetMode="External"/><Relationship Id="rId714" Type="http://schemas.openxmlformats.org/officeDocument/2006/relationships/hyperlink" Target="https://thumbcdn.com/splash/ml4f8rhhdnbsefbf.jpg" TargetMode="External"/><Relationship Id="rId921" Type="http://schemas.openxmlformats.org/officeDocument/2006/relationships/hyperlink" Target="https://thumbcdn.com/splash/5alrj6wpbmcosrgq.jpg" TargetMode="External"/><Relationship Id="rId1137" Type="http://schemas.openxmlformats.org/officeDocument/2006/relationships/hyperlink" Target="https://thumbcdn.com/splash/1gvvwc9ewe143j29.jpg" TargetMode="External"/><Relationship Id="rId1344" Type="http://schemas.openxmlformats.org/officeDocument/2006/relationships/hyperlink" Target="https://thumbcdn.com/splash/fusfy3c3uhme382o.jpg" TargetMode="External"/><Relationship Id="rId1551" Type="http://schemas.openxmlformats.org/officeDocument/2006/relationships/hyperlink" Target="https://thumbcdn.com/splash/jj7vs30qnrc554cy.jpg" TargetMode="External"/><Relationship Id="rId1789" Type="http://schemas.openxmlformats.org/officeDocument/2006/relationships/hyperlink" Target="https://thumbcdn.com/splash/gwh1asv0ptwu02p0.jpg" TargetMode="External"/><Relationship Id="rId1996" Type="http://schemas.openxmlformats.org/officeDocument/2006/relationships/hyperlink" Target="https://thumbcdn.com/splash/zqhsxk5yc3pkxc62.jpg" TargetMode="External"/><Relationship Id="rId50" Type="http://schemas.openxmlformats.org/officeDocument/2006/relationships/hyperlink" Target="https://thumbcdn.com/splash/y73ziarlc5tkwky6.jpg" TargetMode="External"/><Relationship Id="rId1204" Type="http://schemas.openxmlformats.org/officeDocument/2006/relationships/hyperlink" Target="https://thumbcdn.com/splash/f78dzopxyjlhwla2.jpg" TargetMode="External"/><Relationship Id="rId1411" Type="http://schemas.openxmlformats.org/officeDocument/2006/relationships/hyperlink" Target="https://thumbcdn.com/splash/v3du4yex7onkfpp6.jpg" TargetMode="External"/><Relationship Id="rId1649" Type="http://schemas.openxmlformats.org/officeDocument/2006/relationships/hyperlink" Target="https://thumbcdn.com/splash/zn6aqfye73lu7yo5.jpg" TargetMode="External"/><Relationship Id="rId1856" Type="http://schemas.openxmlformats.org/officeDocument/2006/relationships/hyperlink" Target="https://thumbcdn.com/splash/yrq55873jz4r1fxr.jpg" TargetMode="External"/><Relationship Id="rId1509" Type="http://schemas.openxmlformats.org/officeDocument/2006/relationships/hyperlink" Target="https://thumbcdn.com/splash/ef2borkf6ykogby3.jpg" TargetMode="External"/><Relationship Id="rId1716" Type="http://schemas.openxmlformats.org/officeDocument/2006/relationships/hyperlink" Target="https://thumbcdn.com/splash/rxhjtg4w3gkp0x13.jpg" TargetMode="External"/><Relationship Id="rId1923" Type="http://schemas.openxmlformats.org/officeDocument/2006/relationships/hyperlink" Target="https://thumbcdn.com/splash/1da1hqff2onwumm0.jpg" TargetMode="External"/><Relationship Id="rId297" Type="http://schemas.openxmlformats.org/officeDocument/2006/relationships/hyperlink" Target="https://thumbcdn.com/splash/db9d8827vw1pd87z.jpg" TargetMode="External"/><Relationship Id="rId2185" Type="http://schemas.openxmlformats.org/officeDocument/2006/relationships/hyperlink" Target="https://thumbcdn.com/splash/5cw43sbpocmhcm72.jpg" TargetMode="External"/><Relationship Id="rId157" Type="http://schemas.openxmlformats.org/officeDocument/2006/relationships/hyperlink" Target="https://thumbcdn.com/splash/hch2w5ks8h2koyji.jpg" TargetMode="External"/><Relationship Id="rId364" Type="http://schemas.openxmlformats.org/officeDocument/2006/relationships/hyperlink" Target="https://thumbcdn.com/splash/0fmhwf10sx0nvf9b.jpg" TargetMode="External"/><Relationship Id="rId2045" Type="http://schemas.openxmlformats.org/officeDocument/2006/relationships/hyperlink" Target="https://thumbcdn.com/splash/opag4rfj78we3mk7.jpg" TargetMode="External"/><Relationship Id="rId571" Type="http://schemas.openxmlformats.org/officeDocument/2006/relationships/hyperlink" Target="https://thumbcdn.com/splash/xg6x4fgfubkpervi.jpg" TargetMode="External"/><Relationship Id="rId669" Type="http://schemas.openxmlformats.org/officeDocument/2006/relationships/hyperlink" Target="https://thumbcdn.com/splash/ejwlt1hpv1jxvqb7.jpg" TargetMode="External"/><Relationship Id="rId876" Type="http://schemas.openxmlformats.org/officeDocument/2006/relationships/hyperlink" Target="https://thumbcdn.com/splash/0gx9ewn7lw6aw6ga.jpg" TargetMode="External"/><Relationship Id="rId1299" Type="http://schemas.openxmlformats.org/officeDocument/2006/relationships/hyperlink" Target="https://thumbcdn.com/splash/wxadn18msjj51f4p.jpg" TargetMode="External"/><Relationship Id="rId2252" Type="http://schemas.openxmlformats.org/officeDocument/2006/relationships/hyperlink" Target="https://thumbcdn.com/splash/iyivkzaeh0pg31g9.jpg" TargetMode="External"/><Relationship Id="rId224" Type="http://schemas.openxmlformats.org/officeDocument/2006/relationships/hyperlink" Target="https://thumbcdn.com/splash/bxw43356cg7673c9.jpg" TargetMode="External"/><Relationship Id="rId431" Type="http://schemas.openxmlformats.org/officeDocument/2006/relationships/hyperlink" Target="https://thumbcdn.com/splash/sjte2iu1uhwlgyoi.jpg" TargetMode="External"/><Relationship Id="rId529" Type="http://schemas.openxmlformats.org/officeDocument/2006/relationships/hyperlink" Target="https://thumbcdn.com/splash/fd9ib5m6dg33trkz.jpg" TargetMode="External"/><Relationship Id="rId736" Type="http://schemas.openxmlformats.org/officeDocument/2006/relationships/hyperlink" Target="https://thumbcdn.com/splash/tpefsajkf7bem4kw.jpg" TargetMode="External"/><Relationship Id="rId1061" Type="http://schemas.openxmlformats.org/officeDocument/2006/relationships/hyperlink" Target="https://thumbcdn.com/splash/7xft28dz6tqznkn8.jpg" TargetMode="External"/><Relationship Id="rId1159" Type="http://schemas.openxmlformats.org/officeDocument/2006/relationships/hyperlink" Target="https://thumbcdn.com/splash/0gepoxt15lfx2dwg.jpg" TargetMode="External"/><Relationship Id="rId1366" Type="http://schemas.openxmlformats.org/officeDocument/2006/relationships/hyperlink" Target="https://thumbcdn.com/splash/5afw0eq5kt49mlsk.jpg" TargetMode="External"/><Relationship Id="rId2112" Type="http://schemas.openxmlformats.org/officeDocument/2006/relationships/hyperlink" Target="https://thumbcdn.com/splash/utmkunjl6sjvasgs.jpg" TargetMode="External"/><Relationship Id="rId943" Type="http://schemas.openxmlformats.org/officeDocument/2006/relationships/hyperlink" Target="https://thumbcdn.com/splash/03qiw5cln4l5jbt6.jpg" TargetMode="External"/><Relationship Id="rId1019" Type="http://schemas.openxmlformats.org/officeDocument/2006/relationships/hyperlink" Target="https://thumbcdn.com/splash/zowtgvshu3n5n1io.jpg" TargetMode="External"/><Relationship Id="rId1573" Type="http://schemas.openxmlformats.org/officeDocument/2006/relationships/hyperlink" Target="https://thumbcdn.com/splash/bitqspbde7qljsn1.jpg" TargetMode="External"/><Relationship Id="rId1780" Type="http://schemas.openxmlformats.org/officeDocument/2006/relationships/hyperlink" Target="https://thumbcdn.com/splash/8q6s3tejr7wh0jl7.jpg" TargetMode="External"/><Relationship Id="rId1878" Type="http://schemas.openxmlformats.org/officeDocument/2006/relationships/hyperlink" Target="https://thumbcdn.com/splash/3eiu06q5ihfgzuwy.jpg" TargetMode="External"/><Relationship Id="rId72" Type="http://schemas.openxmlformats.org/officeDocument/2006/relationships/hyperlink" Target="https://thumbcdn.com/splash/pf1rmaxa6hqjbi4o.jpg" TargetMode="External"/><Relationship Id="rId803" Type="http://schemas.openxmlformats.org/officeDocument/2006/relationships/hyperlink" Target="https://thumbcdn.com/splash/sa08hvqvb0u2agtx.jpg" TargetMode="External"/><Relationship Id="rId1226" Type="http://schemas.openxmlformats.org/officeDocument/2006/relationships/hyperlink" Target="https://thumbcdn.com/splash/qlqeaaylix03i0ww.jpg" TargetMode="External"/><Relationship Id="rId1433" Type="http://schemas.openxmlformats.org/officeDocument/2006/relationships/hyperlink" Target="https://thumbcdn.com/splash/ciu8v9rtktewmpal.jpg" TargetMode="External"/><Relationship Id="rId1640" Type="http://schemas.openxmlformats.org/officeDocument/2006/relationships/hyperlink" Target="https://thumbcdn.com/splash/y2s2li80v63kmjuw.jpg" TargetMode="External"/><Relationship Id="rId1738" Type="http://schemas.openxmlformats.org/officeDocument/2006/relationships/hyperlink" Target="https://thumbcdn.com/splash/3l9e4qem2wbofriu.jpg" TargetMode="External"/><Relationship Id="rId1500" Type="http://schemas.openxmlformats.org/officeDocument/2006/relationships/hyperlink" Target="https://thumbcdn.com/splash/jpjylyklofbi8efk.jpg" TargetMode="External"/><Relationship Id="rId1945" Type="http://schemas.openxmlformats.org/officeDocument/2006/relationships/hyperlink" Target="https://thumbcdn.com/splash/ttlgpjn4lx7kok28.jpg" TargetMode="External"/><Relationship Id="rId1805" Type="http://schemas.openxmlformats.org/officeDocument/2006/relationships/hyperlink" Target="https://thumbcdn.com/splash/52qcfizu6wu9cn8f.jpg" TargetMode="External"/><Relationship Id="rId179" Type="http://schemas.openxmlformats.org/officeDocument/2006/relationships/hyperlink" Target="https://thumbcdn.com/splash/l0cl5o657maw88v6.jpg" TargetMode="External"/><Relationship Id="rId386" Type="http://schemas.openxmlformats.org/officeDocument/2006/relationships/hyperlink" Target="https://thumbcdn.com/splash/0b1gv3ajimjraxys.jpg" TargetMode="External"/><Relationship Id="rId593" Type="http://schemas.openxmlformats.org/officeDocument/2006/relationships/hyperlink" Target="https://thumbcdn.com/splash/wjdt3fei3wo98kf1.jpg" TargetMode="External"/><Relationship Id="rId2067" Type="http://schemas.openxmlformats.org/officeDocument/2006/relationships/hyperlink" Target="https://thumbcdn.com/splash/q68lsgjeosoe8om2.jpg" TargetMode="External"/><Relationship Id="rId2274" Type="http://schemas.openxmlformats.org/officeDocument/2006/relationships/hyperlink" Target="https://thumbcdn.com/splash/xtyl3sqbsv2vdqvk.jpg" TargetMode="External"/><Relationship Id="rId246" Type="http://schemas.openxmlformats.org/officeDocument/2006/relationships/hyperlink" Target="https://thumbcdn.com/splash/91i27m8fjbekr3mr.jpg" TargetMode="External"/><Relationship Id="rId453" Type="http://schemas.openxmlformats.org/officeDocument/2006/relationships/hyperlink" Target="https://thumbcdn.com/splash/rgeam8jl0h2wdewl.jpg" TargetMode="External"/><Relationship Id="rId660" Type="http://schemas.openxmlformats.org/officeDocument/2006/relationships/hyperlink" Target="https://thumbcdn.com/splash/juj8mg25dezdwdly.jpg" TargetMode="External"/><Relationship Id="rId898" Type="http://schemas.openxmlformats.org/officeDocument/2006/relationships/hyperlink" Target="https://thumbcdn.com/splash/7nr4f6hdhtkhigux.jpg" TargetMode="External"/><Relationship Id="rId1083" Type="http://schemas.openxmlformats.org/officeDocument/2006/relationships/hyperlink" Target="https://thumbcdn.com/splash/jaeqzmdyutq87bnm.jpg" TargetMode="External"/><Relationship Id="rId1290" Type="http://schemas.openxmlformats.org/officeDocument/2006/relationships/hyperlink" Target="https://thumbcdn.com/splash/abdq02b8temlz1tm.jpg" TargetMode="External"/><Relationship Id="rId2134" Type="http://schemas.openxmlformats.org/officeDocument/2006/relationships/hyperlink" Target="https://thumbcdn.com/splash/ptrz2lbke5ahp6qn.jpg" TargetMode="External"/><Relationship Id="rId106" Type="http://schemas.openxmlformats.org/officeDocument/2006/relationships/hyperlink" Target="https://thumbcdn.com/splash/ungzdigm0e5lezck.jpg" TargetMode="External"/><Relationship Id="rId313" Type="http://schemas.openxmlformats.org/officeDocument/2006/relationships/hyperlink" Target="https://thumbcdn.com/splash/vytx6v2zv2vv3jh7.jpg" TargetMode="External"/><Relationship Id="rId758" Type="http://schemas.openxmlformats.org/officeDocument/2006/relationships/hyperlink" Target="https://thumbcdn.com/splash/sq7sy54vhz8w7wkh.jpg" TargetMode="External"/><Relationship Id="rId965" Type="http://schemas.openxmlformats.org/officeDocument/2006/relationships/hyperlink" Target="https://thumbcdn.com/splash/ef2d2di9fbo2y8e8.jpg" TargetMode="External"/><Relationship Id="rId1150" Type="http://schemas.openxmlformats.org/officeDocument/2006/relationships/hyperlink" Target="https://thumbcdn.com/splash/mclqb9v4ovv3qvlb.jpg" TargetMode="External"/><Relationship Id="rId1388" Type="http://schemas.openxmlformats.org/officeDocument/2006/relationships/hyperlink" Target="https://thumbcdn.com/splash/ct18we6wa9k9dbm6.jpg" TargetMode="External"/><Relationship Id="rId1595" Type="http://schemas.openxmlformats.org/officeDocument/2006/relationships/hyperlink" Target="https://thumbcdn.com/splash/2gpjbuxisqt86fvl.jpg" TargetMode="External"/><Relationship Id="rId94" Type="http://schemas.openxmlformats.org/officeDocument/2006/relationships/hyperlink" Target="https://thumbcdn.com/splash/8w6op1udrj25btjg.jpg" TargetMode="External"/><Relationship Id="rId520" Type="http://schemas.openxmlformats.org/officeDocument/2006/relationships/hyperlink" Target="https://thumbcdn.com/splash/4h4877vs9lfaj0d9.jpg" TargetMode="External"/><Relationship Id="rId618" Type="http://schemas.openxmlformats.org/officeDocument/2006/relationships/hyperlink" Target="https://thumbcdn.com/splash/6sv2x8a1ov1j6jcd.jpg" TargetMode="External"/><Relationship Id="rId825" Type="http://schemas.openxmlformats.org/officeDocument/2006/relationships/hyperlink" Target="https://thumbcdn.com/splash/zzz0np2s4tz1vece.jpg" TargetMode="External"/><Relationship Id="rId1248" Type="http://schemas.openxmlformats.org/officeDocument/2006/relationships/hyperlink" Target="https://thumbcdn.com/splash/mn9y5ghxugzrzogv.jpg" TargetMode="External"/><Relationship Id="rId1455" Type="http://schemas.openxmlformats.org/officeDocument/2006/relationships/hyperlink" Target="https://thumbcdn.com/splash/bbqel3qlcipbgtyi.jpg" TargetMode="External"/><Relationship Id="rId1662" Type="http://schemas.openxmlformats.org/officeDocument/2006/relationships/hyperlink" Target="https://thumbcdn.com/splash/v41xdcj0l4utoxsp.jpg" TargetMode="External"/><Relationship Id="rId2201" Type="http://schemas.openxmlformats.org/officeDocument/2006/relationships/hyperlink" Target="https://thumbcdn.com/splash/gpxsr9xv79ao7vz3.jpg" TargetMode="External"/><Relationship Id="rId1010" Type="http://schemas.openxmlformats.org/officeDocument/2006/relationships/hyperlink" Target="https://thumbcdn.com/splash/enz87g1yhw60uan9.jpg" TargetMode="External"/><Relationship Id="rId1108" Type="http://schemas.openxmlformats.org/officeDocument/2006/relationships/hyperlink" Target="https://thumbcdn.com/splash/l1olo1aa723hd9y3.jpg" TargetMode="External"/><Relationship Id="rId1315" Type="http://schemas.openxmlformats.org/officeDocument/2006/relationships/hyperlink" Target="https://thumbcdn.com/splash/med9lwydglx1ylk0.jpg" TargetMode="External"/><Relationship Id="rId1967" Type="http://schemas.openxmlformats.org/officeDocument/2006/relationships/hyperlink" Target="https://thumbcdn.com/splash/fdkouvmsfpnf7d46.jpg" TargetMode="External"/><Relationship Id="rId1522" Type="http://schemas.openxmlformats.org/officeDocument/2006/relationships/hyperlink" Target="https://thumbcdn.com/splash/58tjsp550sg892i8.jpg" TargetMode="External"/><Relationship Id="rId21" Type="http://schemas.openxmlformats.org/officeDocument/2006/relationships/hyperlink" Target="https://thumbcdn.com/splash/zt9i0jjrmc4bm8j1.jpg" TargetMode="External"/><Relationship Id="rId2089" Type="http://schemas.openxmlformats.org/officeDocument/2006/relationships/hyperlink" Target="https://thumbcdn.com/splash/4jfhzput62znuvzr.jpg" TargetMode="External"/><Relationship Id="rId268" Type="http://schemas.openxmlformats.org/officeDocument/2006/relationships/hyperlink" Target="https://thumbcdn.com/splash/4p55fyzrgu7u4dz3.jpg" TargetMode="External"/><Relationship Id="rId475" Type="http://schemas.openxmlformats.org/officeDocument/2006/relationships/hyperlink" Target="https://thumbcdn.com/splash/h0z27npo7056y16k.jpg" TargetMode="External"/><Relationship Id="rId682" Type="http://schemas.openxmlformats.org/officeDocument/2006/relationships/hyperlink" Target="https://thumbcdn.com/splash/8ma5hyvumtd93lmb.jpg" TargetMode="External"/><Relationship Id="rId2156" Type="http://schemas.openxmlformats.org/officeDocument/2006/relationships/hyperlink" Target="https://thumbcdn.com/splash/knenqr50mwd6ixia.jpg" TargetMode="External"/><Relationship Id="rId128" Type="http://schemas.openxmlformats.org/officeDocument/2006/relationships/hyperlink" Target="https://thumbcdn.com/splash/3ssh0y98168b4bhx.jpg" TargetMode="External"/><Relationship Id="rId335" Type="http://schemas.openxmlformats.org/officeDocument/2006/relationships/hyperlink" Target="https://thumbcdn.com/splash/cij9rsjwnj75gjxy.jpg" TargetMode="External"/><Relationship Id="rId542" Type="http://schemas.openxmlformats.org/officeDocument/2006/relationships/hyperlink" Target="https://thumbcdn.com/splash/20kcdq65w4r84gxg.jpg" TargetMode="External"/><Relationship Id="rId1172" Type="http://schemas.openxmlformats.org/officeDocument/2006/relationships/hyperlink" Target="https://thumbcdn.com/splash/nuy1ddo0442sivhg.jpg" TargetMode="External"/><Relationship Id="rId2016" Type="http://schemas.openxmlformats.org/officeDocument/2006/relationships/hyperlink" Target="https://thumbcdn.com/splash/5qbvmo0qvhf8x6b7.jpg" TargetMode="External"/><Relationship Id="rId2223" Type="http://schemas.openxmlformats.org/officeDocument/2006/relationships/hyperlink" Target="https://thumbcdn.com/splash/sv2buu5d2nusjoou.jpg" TargetMode="External"/><Relationship Id="rId402" Type="http://schemas.openxmlformats.org/officeDocument/2006/relationships/hyperlink" Target="https://thumbcdn.com/splash/pe59vgc9hrbxspdt.jpg" TargetMode="External"/><Relationship Id="rId1032" Type="http://schemas.openxmlformats.org/officeDocument/2006/relationships/hyperlink" Target="https://thumbcdn.com/splash/a21rh3pnlimtogwp.jpg" TargetMode="External"/><Relationship Id="rId1989" Type="http://schemas.openxmlformats.org/officeDocument/2006/relationships/hyperlink" Target="https://thumbcdn.com/splash/7zweszko5yrnrnds.jpg" TargetMode="External"/><Relationship Id="rId1849" Type="http://schemas.openxmlformats.org/officeDocument/2006/relationships/hyperlink" Target="https://thumbcdn.com/splash/paoizlmqv3zh1ofm.jpg" TargetMode="External"/><Relationship Id="rId192" Type="http://schemas.openxmlformats.org/officeDocument/2006/relationships/hyperlink" Target="https://thumbcdn.com/splash/7sj6hn3hx7pprnk3.jpg" TargetMode="External"/><Relationship Id="rId1709" Type="http://schemas.openxmlformats.org/officeDocument/2006/relationships/hyperlink" Target="https://thumbcdn.com/splash/sq7sy54vhz8w7wkh.jpg" TargetMode="External"/><Relationship Id="rId1916" Type="http://schemas.openxmlformats.org/officeDocument/2006/relationships/hyperlink" Target="https://thumbcdn.com/splash/kgsn2alxh70kuyec.jpg" TargetMode="External"/><Relationship Id="rId2080" Type="http://schemas.openxmlformats.org/officeDocument/2006/relationships/hyperlink" Target="https://thumbcdn.com/splash/eguytr25lsm3rwtd.jpg" TargetMode="External"/><Relationship Id="rId869" Type="http://schemas.openxmlformats.org/officeDocument/2006/relationships/hyperlink" Target="https://thumbcdn.com/splash/6dqlpjci7uqwuor9.jpg" TargetMode="External"/><Relationship Id="rId1499" Type="http://schemas.openxmlformats.org/officeDocument/2006/relationships/hyperlink" Target="https://thumbcdn.com/splash/byycq32k4n9n7vl6.jpg" TargetMode="External"/><Relationship Id="rId729" Type="http://schemas.openxmlformats.org/officeDocument/2006/relationships/hyperlink" Target="https://thumbcdn.com/splash/9hos7xu00t81mc60.jpg" TargetMode="External"/><Relationship Id="rId1359" Type="http://schemas.openxmlformats.org/officeDocument/2006/relationships/hyperlink" Target="https://thumbcdn.com/splash/p9r9ha5yffe7cgl6.jpg" TargetMode="External"/><Relationship Id="rId936" Type="http://schemas.openxmlformats.org/officeDocument/2006/relationships/hyperlink" Target="https://thumbcdn.com/splash/iwbytrinqpn21s4b.jpg" TargetMode="External"/><Relationship Id="rId1219" Type="http://schemas.openxmlformats.org/officeDocument/2006/relationships/hyperlink" Target="https://thumbcdn.com/splash/oifo7d30pd9lfxay.jpg" TargetMode="External"/><Relationship Id="rId1566" Type="http://schemas.openxmlformats.org/officeDocument/2006/relationships/hyperlink" Target="https://thumbcdn.com/splash/88tz487b81lhj5tu.jpg" TargetMode="External"/><Relationship Id="rId1773" Type="http://schemas.openxmlformats.org/officeDocument/2006/relationships/hyperlink" Target="https://thumbcdn.com/splash/uhysm4xcvzfbf76z.jpg" TargetMode="External"/><Relationship Id="rId1980" Type="http://schemas.openxmlformats.org/officeDocument/2006/relationships/hyperlink" Target="https://thumbcdn.com/splash/op4ndn21tlxdjzqu.jpg" TargetMode="External"/><Relationship Id="rId65" Type="http://schemas.openxmlformats.org/officeDocument/2006/relationships/hyperlink" Target="https://thumbcdn.com/splash/cclwkkefdggqr6gq.jpg" TargetMode="External"/><Relationship Id="rId1426" Type="http://schemas.openxmlformats.org/officeDocument/2006/relationships/hyperlink" Target="https://thumbcdn.com/splash/i8mkubb7nulydcii.jpg" TargetMode="External"/><Relationship Id="rId1633" Type="http://schemas.openxmlformats.org/officeDocument/2006/relationships/hyperlink" Target="https://thumbcdn.com/splash/wr000prtpn1fx9uc.jpg" TargetMode="External"/><Relationship Id="rId1840" Type="http://schemas.openxmlformats.org/officeDocument/2006/relationships/hyperlink" Target="https://thumbcdn.com/splash/hxjnv6cmsd9bsk6t.jpg" TargetMode="External"/><Relationship Id="rId1700" Type="http://schemas.openxmlformats.org/officeDocument/2006/relationships/hyperlink" Target="https://thumbcdn.com/splash/77mfjmve3nbou3p5.jpg" TargetMode="External"/><Relationship Id="rId379" Type="http://schemas.openxmlformats.org/officeDocument/2006/relationships/hyperlink" Target="https://thumbcdn.com/splash/1gvvwc9ewe143j29.jpg" TargetMode="External"/><Relationship Id="rId586" Type="http://schemas.openxmlformats.org/officeDocument/2006/relationships/hyperlink" Target="https://thumbcdn.com/splash/qvzcaz13fax7wws9.jpg" TargetMode="External"/><Relationship Id="rId793" Type="http://schemas.openxmlformats.org/officeDocument/2006/relationships/hyperlink" Target="https://thumbcdn.com/splash/f9m3mdoe126x8xwo.jpg" TargetMode="External"/><Relationship Id="rId2267" Type="http://schemas.openxmlformats.org/officeDocument/2006/relationships/hyperlink" Target="https://thumbcdn.com/splash/65hfq4yzuneuxo7z.jpg" TargetMode="External"/><Relationship Id="rId239" Type="http://schemas.openxmlformats.org/officeDocument/2006/relationships/hyperlink" Target="https://thumbcdn.com/splash/9yt84rvpvogmsz4m.jpg" TargetMode="External"/><Relationship Id="rId446" Type="http://schemas.openxmlformats.org/officeDocument/2006/relationships/hyperlink" Target="https://thumbcdn.com/splash/9eev365xoaecbpll.jpg" TargetMode="External"/><Relationship Id="rId653" Type="http://schemas.openxmlformats.org/officeDocument/2006/relationships/hyperlink" Target="https://thumbcdn.com/splash/hhhvz7q3n2x3tc22.jpg" TargetMode="External"/><Relationship Id="rId1076" Type="http://schemas.openxmlformats.org/officeDocument/2006/relationships/hyperlink" Target="https://thumbcdn.com/splash/yshxsjpdg0tjfd9p.jpg" TargetMode="External"/><Relationship Id="rId1283" Type="http://schemas.openxmlformats.org/officeDocument/2006/relationships/hyperlink" Target="https://thumbcdn.com/splash/akg6p95f09y5g7re.jpg" TargetMode="External"/><Relationship Id="rId1490" Type="http://schemas.openxmlformats.org/officeDocument/2006/relationships/hyperlink" Target="https://thumbcdn.com/splash/g2rcd36k692l49om.jpg" TargetMode="External"/><Relationship Id="rId2127" Type="http://schemas.openxmlformats.org/officeDocument/2006/relationships/hyperlink" Target="https://thumbcdn.com/splash/med9lwydglx1ylk0.jpg" TargetMode="External"/><Relationship Id="rId306" Type="http://schemas.openxmlformats.org/officeDocument/2006/relationships/hyperlink" Target="https://thumbcdn.com/splash/1nsaqvu5t2t2w53b.jpg" TargetMode="External"/><Relationship Id="rId860" Type="http://schemas.openxmlformats.org/officeDocument/2006/relationships/hyperlink" Target="https://thumbcdn.com/splash/jt12mgcq8i8dra9l.jpg" TargetMode="External"/><Relationship Id="rId1143" Type="http://schemas.openxmlformats.org/officeDocument/2006/relationships/hyperlink" Target="https://thumbcdn.com/splash/47dzx3oxmx1xawev.jpg" TargetMode="External"/><Relationship Id="rId513" Type="http://schemas.openxmlformats.org/officeDocument/2006/relationships/hyperlink" Target="https://thumbcdn.com/splash/6rchnnkzndwl3ays.jpg" TargetMode="External"/><Relationship Id="rId720" Type="http://schemas.openxmlformats.org/officeDocument/2006/relationships/hyperlink" Target="https://thumbcdn.com/splash/7tt4huzf4065vncw.jpg" TargetMode="External"/><Relationship Id="rId1350" Type="http://schemas.openxmlformats.org/officeDocument/2006/relationships/hyperlink" Target="https://thumbcdn.com/splash/yanouo9jl2fak5xp.jpg" TargetMode="External"/><Relationship Id="rId1003" Type="http://schemas.openxmlformats.org/officeDocument/2006/relationships/hyperlink" Target="https://thumbcdn.com/splash/u8q5qmnhngsxs4hx.jpg" TargetMode="External"/><Relationship Id="rId1210" Type="http://schemas.openxmlformats.org/officeDocument/2006/relationships/hyperlink" Target="https://thumbcdn.com/splash/b7mrs88ngm1ambrr.jpg" TargetMode="External"/><Relationship Id="rId2191" Type="http://schemas.openxmlformats.org/officeDocument/2006/relationships/hyperlink" Target="https://thumbcdn.com/splash/po6h7r2o3wb7uep2.jpg" TargetMode="External"/><Relationship Id="rId163" Type="http://schemas.openxmlformats.org/officeDocument/2006/relationships/hyperlink" Target="https://thumbcdn.com/splash/um8iv4iz9ikfpiz2.jpg" TargetMode="External"/><Relationship Id="rId370" Type="http://schemas.openxmlformats.org/officeDocument/2006/relationships/hyperlink" Target="https://thumbcdn.com/splash/yzp561ujztgrrv76.jpg" TargetMode="External"/><Relationship Id="rId2051" Type="http://schemas.openxmlformats.org/officeDocument/2006/relationships/hyperlink" Target="https://thumbcdn.com/splash/rshp5zcyfufq5sdt.jpg" TargetMode="External"/><Relationship Id="rId230" Type="http://schemas.openxmlformats.org/officeDocument/2006/relationships/hyperlink" Target="https://thumbcdn.com/splash/z67ag69h3z4quban.jpg" TargetMode="External"/><Relationship Id="rId1677" Type="http://schemas.openxmlformats.org/officeDocument/2006/relationships/hyperlink" Target="https://thumbcdn.com/splash/scq4lrz5pd0athkm.jpg" TargetMode="External"/><Relationship Id="rId1884" Type="http://schemas.openxmlformats.org/officeDocument/2006/relationships/hyperlink" Target="https://thumbcdn.com/splash/n8bzrjy4a7plxgro.jpg" TargetMode="External"/><Relationship Id="rId907" Type="http://schemas.openxmlformats.org/officeDocument/2006/relationships/hyperlink" Target="https://thumbcdn.com/splash/ran88zsqtuhzaunc.jpg" TargetMode="External"/><Relationship Id="rId1537" Type="http://schemas.openxmlformats.org/officeDocument/2006/relationships/hyperlink" Target="https://thumbcdn.com/splash/f0gwuc66qh4vcdt1.jpg" TargetMode="External"/><Relationship Id="rId1744" Type="http://schemas.openxmlformats.org/officeDocument/2006/relationships/hyperlink" Target="https://thumbcdn.com/splash/cxpj5rx29lep2gm1.jpg" TargetMode="External"/><Relationship Id="rId1951" Type="http://schemas.openxmlformats.org/officeDocument/2006/relationships/hyperlink" Target="https://thumbcdn.com/splash/o5nj2vvyy6kebcm5.jpg" TargetMode="External"/><Relationship Id="rId36" Type="http://schemas.openxmlformats.org/officeDocument/2006/relationships/hyperlink" Target="https://thumbcdn.com/splash/tp6ipgucn0iacboh.jpg" TargetMode="External"/><Relationship Id="rId1604" Type="http://schemas.openxmlformats.org/officeDocument/2006/relationships/hyperlink" Target="https://thumbcdn.com/splash/6sv2x8a1ov1j6jcd.jpg" TargetMode="External"/><Relationship Id="rId1811" Type="http://schemas.openxmlformats.org/officeDocument/2006/relationships/hyperlink" Target="https://thumbcdn.com/splash/ypa5zycjg9vxzudz.jpg" TargetMode="External"/><Relationship Id="rId697" Type="http://schemas.openxmlformats.org/officeDocument/2006/relationships/hyperlink" Target="https://thumbcdn.com/splash/ne4w3wadw2kz5rbc.jpg" TargetMode="External"/><Relationship Id="rId1187" Type="http://schemas.openxmlformats.org/officeDocument/2006/relationships/hyperlink" Target="https://thumbcdn.com/splash/m4t2z9a71ewd9cl3.jpg" TargetMode="External"/><Relationship Id="rId557" Type="http://schemas.openxmlformats.org/officeDocument/2006/relationships/hyperlink" Target="https://thumbcdn.com/splash/91ilqppwlq0cv4hz.jpg" TargetMode="External"/><Relationship Id="rId764" Type="http://schemas.openxmlformats.org/officeDocument/2006/relationships/hyperlink" Target="https://thumbcdn.com/splash/mehil24tm54oo3qp.jpg" TargetMode="External"/><Relationship Id="rId971" Type="http://schemas.openxmlformats.org/officeDocument/2006/relationships/hyperlink" Target="https://thumbcdn.com/splash/jott6n0mjzkxxw13.jpg" TargetMode="External"/><Relationship Id="rId1394" Type="http://schemas.openxmlformats.org/officeDocument/2006/relationships/hyperlink" Target="https://thumbcdn.com/splash/vox3khkhbr82lqpg.jpg" TargetMode="External"/><Relationship Id="rId2238" Type="http://schemas.openxmlformats.org/officeDocument/2006/relationships/hyperlink" Target="https://thumbcdn.com/splash/5v0cvc8uzuhr5c4f.jpg" TargetMode="External"/><Relationship Id="rId417" Type="http://schemas.openxmlformats.org/officeDocument/2006/relationships/hyperlink" Target="https://thumbcdn.com/splash/fnit5bux2jffm9l9.jpg" TargetMode="External"/><Relationship Id="rId624" Type="http://schemas.openxmlformats.org/officeDocument/2006/relationships/hyperlink" Target="https://thumbcdn.com/splash/be98bqm2luv3ihcl.jpg" TargetMode="External"/><Relationship Id="rId831" Type="http://schemas.openxmlformats.org/officeDocument/2006/relationships/hyperlink" Target="https://thumbcdn.com/splash/ar1c43nm2as7krrr.jpg" TargetMode="External"/><Relationship Id="rId1047" Type="http://schemas.openxmlformats.org/officeDocument/2006/relationships/hyperlink" Target="https://thumbcdn.com/splash/y02097a3jdi1bsxb.jpg" TargetMode="External"/><Relationship Id="rId1254" Type="http://schemas.openxmlformats.org/officeDocument/2006/relationships/hyperlink" Target="https://thumbcdn.com/splash/c9u328sndvhxdyj9.jpg" TargetMode="External"/><Relationship Id="rId1461" Type="http://schemas.openxmlformats.org/officeDocument/2006/relationships/hyperlink" Target="https://thumbcdn.com/splash/4yfjg7735fcyh9wg.jpg" TargetMode="External"/><Relationship Id="rId1114" Type="http://schemas.openxmlformats.org/officeDocument/2006/relationships/hyperlink" Target="https://thumbcdn.com/splash/cwuqhqrka8ssz2vs.jpg" TargetMode="External"/><Relationship Id="rId1321" Type="http://schemas.openxmlformats.org/officeDocument/2006/relationships/hyperlink" Target="https://thumbcdn.com/splash/4quf4esw2b32w9z8.jpg" TargetMode="External"/><Relationship Id="rId2095" Type="http://schemas.openxmlformats.org/officeDocument/2006/relationships/hyperlink" Target="https://thumbcdn.com/splash/0ecgsoz8erbo6xes.jpg" TargetMode="External"/><Relationship Id="rId274" Type="http://schemas.openxmlformats.org/officeDocument/2006/relationships/hyperlink" Target="https://thumbcdn.com/splash/l496hx1oocpandkh.jpg" TargetMode="External"/><Relationship Id="rId481" Type="http://schemas.openxmlformats.org/officeDocument/2006/relationships/hyperlink" Target="https://thumbcdn.com/splash/qci0rv1nly1s8pjy.jpg" TargetMode="External"/><Relationship Id="rId2162" Type="http://schemas.openxmlformats.org/officeDocument/2006/relationships/hyperlink" Target="https://thumbcdn.com/splash/20zshgia87s3e9mk.jpg" TargetMode="External"/><Relationship Id="rId134" Type="http://schemas.openxmlformats.org/officeDocument/2006/relationships/hyperlink" Target="https://thumbcdn.com/splash/lsnb8142sopx0r8d.jpg" TargetMode="External"/><Relationship Id="rId341" Type="http://schemas.openxmlformats.org/officeDocument/2006/relationships/hyperlink" Target="https://thumbcdn.com/splash/a2cdm3h4x98dljvd.jpg" TargetMode="External"/><Relationship Id="rId2022" Type="http://schemas.openxmlformats.org/officeDocument/2006/relationships/hyperlink" Target="https://thumbcdn.com/splash/eup4wym3jtc60uhy.jpg" TargetMode="External"/><Relationship Id="rId201" Type="http://schemas.openxmlformats.org/officeDocument/2006/relationships/hyperlink" Target="https://thumbcdn.com/splash/joxom1j0vnbdlps0.jpg" TargetMode="External"/><Relationship Id="rId1788" Type="http://schemas.openxmlformats.org/officeDocument/2006/relationships/hyperlink" Target="https://thumbcdn.com/splash/gt9n06v32flj8fps.jpg" TargetMode="External"/><Relationship Id="rId1995" Type="http://schemas.openxmlformats.org/officeDocument/2006/relationships/hyperlink" Target="https://thumbcdn.com/splash/qrids3zfcnv9nd8h.jpg" TargetMode="External"/><Relationship Id="rId1648" Type="http://schemas.openxmlformats.org/officeDocument/2006/relationships/hyperlink" Target="https://thumbcdn.com/splash/cp19124jmpmb7qip.jpg" TargetMode="External"/><Relationship Id="rId1508" Type="http://schemas.openxmlformats.org/officeDocument/2006/relationships/hyperlink" Target="https://thumbcdn.com/splash/cj5tdau6x95qjpsp.jpg" TargetMode="External"/><Relationship Id="rId1855" Type="http://schemas.openxmlformats.org/officeDocument/2006/relationships/hyperlink" Target="https://thumbcdn.com/splash/thd6n65hvnhp982g.jpg" TargetMode="External"/><Relationship Id="rId1715" Type="http://schemas.openxmlformats.org/officeDocument/2006/relationships/hyperlink" Target="https://thumbcdn.com/splash/ya25fc71pfpy89iy.jpg" TargetMode="External"/><Relationship Id="rId1922" Type="http://schemas.openxmlformats.org/officeDocument/2006/relationships/hyperlink" Target="https://thumbcdn.com/splash/uex3fb5nqqrnw6ah.jpg" TargetMode="External"/><Relationship Id="rId668" Type="http://schemas.openxmlformats.org/officeDocument/2006/relationships/hyperlink" Target="https://thumbcdn.com/splash/emevavoqq97987g8.jpg" TargetMode="External"/><Relationship Id="rId875" Type="http://schemas.openxmlformats.org/officeDocument/2006/relationships/hyperlink" Target="https://thumbcdn.com/splash/tezn82fhzpol4olr.jpg" TargetMode="External"/><Relationship Id="rId1298" Type="http://schemas.openxmlformats.org/officeDocument/2006/relationships/hyperlink" Target="https://thumbcdn.com/splash/6yhjb521dv0tju4i.jpg" TargetMode="External"/><Relationship Id="rId528" Type="http://schemas.openxmlformats.org/officeDocument/2006/relationships/hyperlink" Target="https://thumbcdn.com/splash/f0gwuc66qh4vcdt1.jpg" TargetMode="External"/><Relationship Id="rId735" Type="http://schemas.openxmlformats.org/officeDocument/2006/relationships/hyperlink" Target="https://thumbcdn.com/splash/h2kz4ncr5e0k6mav.jpg" TargetMode="External"/><Relationship Id="rId942" Type="http://schemas.openxmlformats.org/officeDocument/2006/relationships/hyperlink" Target="https://thumbcdn.com/splash/h3ryg05cgh2io66u.jpg" TargetMode="External"/><Relationship Id="rId1158" Type="http://schemas.openxmlformats.org/officeDocument/2006/relationships/hyperlink" Target="https://thumbcdn.com/splash/jqim31261b1gk3su.jpg" TargetMode="External"/><Relationship Id="rId1365" Type="http://schemas.openxmlformats.org/officeDocument/2006/relationships/hyperlink" Target="https://thumbcdn.com/splash/1n2yd0g35pto2osw.jpg" TargetMode="External"/><Relationship Id="rId1572" Type="http://schemas.openxmlformats.org/officeDocument/2006/relationships/hyperlink" Target="https://thumbcdn.com/splash/fnrwq1nds51oigeg.jpg" TargetMode="External"/><Relationship Id="rId2209" Type="http://schemas.openxmlformats.org/officeDocument/2006/relationships/hyperlink" Target="https://thumbcdn.com/splash/s7etip2tjldzj7w0.jpg" TargetMode="External"/><Relationship Id="rId1018" Type="http://schemas.openxmlformats.org/officeDocument/2006/relationships/hyperlink" Target="https://thumbcdn.com/splash/wp8qw80rer0dcw6o.jpg" TargetMode="External"/><Relationship Id="rId1225" Type="http://schemas.openxmlformats.org/officeDocument/2006/relationships/hyperlink" Target="https://thumbcdn.com/splash/p1ih2bddut5nea0a.jpg" TargetMode="External"/><Relationship Id="rId1432" Type="http://schemas.openxmlformats.org/officeDocument/2006/relationships/hyperlink" Target="https://thumbcdn.com/splash/ihmcb37c67chi2d0.jpg" TargetMode="External"/><Relationship Id="rId71" Type="http://schemas.openxmlformats.org/officeDocument/2006/relationships/hyperlink" Target="https://thumbcdn.com/splash/asjvdy472gd3qjr3.jpg" TargetMode="External"/><Relationship Id="rId802" Type="http://schemas.openxmlformats.org/officeDocument/2006/relationships/hyperlink" Target="https://thumbcdn.com/splash/qwt5du09pk68a2ac.jpg" TargetMode="External"/><Relationship Id="rId178" Type="http://schemas.openxmlformats.org/officeDocument/2006/relationships/hyperlink" Target="https://thumbcdn.com/splash/w4flufhphasp8w2y.jpg" TargetMode="External"/><Relationship Id="rId385" Type="http://schemas.openxmlformats.org/officeDocument/2006/relationships/hyperlink" Target="https://thumbcdn.com/splash/3ssh0y98168b4bhx.jpg" TargetMode="External"/><Relationship Id="rId592" Type="http://schemas.openxmlformats.org/officeDocument/2006/relationships/hyperlink" Target="https://thumbcdn.com/splash/7xdx7a7sohgvzyll.jpg" TargetMode="External"/><Relationship Id="rId2066" Type="http://schemas.openxmlformats.org/officeDocument/2006/relationships/hyperlink" Target="https://thumbcdn.com/splash/rx1jc2ptwdhm0b81.jpg" TargetMode="External"/><Relationship Id="rId2273" Type="http://schemas.openxmlformats.org/officeDocument/2006/relationships/hyperlink" Target="https://thumbcdn.com/splash/rc8wsef7mtb4g4l9.jpg" TargetMode="External"/><Relationship Id="rId245" Type="http://schemas.openxmlformats.org/officeDocument/2006/relationships/hyperlink" Target="https://thumbcdn.com/splash/0h3oc1h9u3z7v3j0.jpg" TargetMode="External"/><Relationship Id="rId452" Type="http://schemas.openxmlformats.org/officeDocument/2006/relationships/hyperlink" Target="https://thumbcdn.com/splash/gupfu4iskqewws11.jpg" TargetMode="External"/><Relationship Id="rId1082" Type="http://schemas.openxmlformats.org/officeDocument/2006/relationships/hyperlink" Target="https://thumbcdn.com/splash/vuazx1zx79mr92ft.jpg" TargetMode="External"/><Relationship Id="rId2133" Type="http://schemas.openxmlformats.org/officeDocument/2006/relationships/hyperlink" Target="https://thumbcdn.com/splash/dssv3oxkajjpzl8v.jpg" TargetMode="External"/><Relationship Id="rId105" Type="http://schemas.openxmlformats.org/officeDocument/2006/relationships/hyperlink" Target="https://thumbcdn.com/splash/uzkraixfx28fkn6x.jpg" TargetMode="External"/><Relationship Id="rId312" Type="http://schemas.openxmlformats.org/officeDocument/2006/relationships/hyperlink" Target="https://thumbcdn.com/splash/7tq4y6a505esqqu8.jpg" TargetMode="External"/><Relationship Id="rId2200" Type="http://schemas.openxmlformats.org/officeDocument/2006/relationships/hyperlink" Target="https://thumbcdn.com/splash/mvhosheu00u8o2w9.jpg" TargetMode="External"/><Relationship Id="rId1899" Type="http://schemas.openxmlformats.org/officeDocument/2006/relationships/hyperlink" Target="https://thumbcdn.com/splash/9bvwqdxliuo712a8.jpg" TargetMode="External"/><Relationship Id="rId1759" Type="http://schemas.openxmlformats.org/officeDocument/2006/relationships/hyperlink" Target="https://thumbcdn.com/splash/0wk5c4rr7mm3pjj8.jpg" TargetMode="External"/><Relationship Id="rId1966" Type="http://schemas.openxmlformats.org/officeDocument/2006/relationships/hyperlink" Target="https://thumbcdn.com/splash/tr4yhcpstjdd6lwf.jpg" TargetMode="External"/><Relationship Id="rId1619" Type="http://schemas.openxmlformats.org/officeDocument/2006/relationships/hyperlink" Target="https://thumbcdn.com/splash/6irzfhcffgnjzzqh.jpg" TargetMode="External"/><Relationship Id="rId1826" Type="http://schemas.openxmlformats.org/officeDocument/2006/relationships/hyperlink" Target="https://thumbcdn.com/splash/ii4igicddz0c5bal.jp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otionmuse.ai/r/nq0ktt1q" TargetMode="External"/><Relationship Id="rId3" Type="http://schemas.openxmlformats.org/officeDocument/2006/relationships/hyperlink" Target="https://pornmaker.ai/?ref=50oE0m5g" TargetMode="External"/><Relationship Id="rId7" Type="http://schemas.openxmlformats.org/officeDocument/2006/relationships/hyperlink" Target="https://unlucid.ai/r/xqqwzrs2" TargetMode="External"/><Relationship Id="rId2" Type="http://schemas.openxmlformats.org/officeDocument/2006/relationships/hyperlink" Target="https://unlucid.ai/r/bcdj8n1l" TargetMode="External"/><Relationship Id="rId1" Type="http://schemas.openxmlformats.org/officeDocument/2006/relationships/hyperlink" Target="https://motionmuse.ai/r/hk8cwj2" TargetMode="External"/><Relationship Id="rId6" Type="http://schemas.openxmlformats.org/officeDocument/2006/relationships/hyperlink" Target="https://www.playbox.com/?ref=EOQEOQEOQ" TargetMode="External"/><Relationship Id="rId5" Type="http://schemas.openxmlformats.org/officeDocument/2006/relationships/hyperlink" Target="https://grok.com/imagine" TargetMode="External"/><Relationship Id="rId4" Type="http://schemas.openxmlformats.org/officeDocument/2006/relationships/hyperlink" Target="https://dpnode.top/r/1eca0bf270f4" TargetMode="External"/><Relationship Id="rId9" Type="http://schemas.openxmlformats.org/officeDocument/2006/relationships/hyperlink" Target="https://opengoon.com/?invite=cljxvu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165"/>
  <sheetViews>
    <sheetView tabSelected="1" workbookViewId="0">
      <pane ySplit="1" topLeftCell="A1809" activePane="bottomLeft" state="frozen"/>
      <selection pane="bottomLeft" activeCell="A1820" sqref="A1820:XFD1820"/>
    </sheetView>
  </sheetViews>
  <sheetFormatPr defaultColWidth="12.5703125" defaultRowHeight="15.75" customHeight="1"/>
  <cols>
    <col min="1" max="1" width="9.7109375" customWidth="1"/>
    <col min="2" max="2" width="5.42578125" customWidth="1"/>
    <col min="3" max="3" width="9.42578125" customWidth="1"/>
    <col min="4" max="5" width="8.42578125" customWidth="1"/>
    <col min="6" max="6" width="9.140625" customWidth="1"/>
    <col min="7" max="7" width="8.28515625" customWidth="1"/>
    <col min="8" max="8" width="9.42578125" customWidth="1"/>
    <col min="9" max="9" width="7.5703125" customWidth="1"/>
    <col min="10" max="10" width="7.42578125" customWidth="1"/>
    <col min="11" max="11" width="8.5703125" customWidth="1"/>
    <col min="12" max="12" width="10.5703125" customWidth="1"/>
    <col min="13" max="14" width="8.28515625" customWidth="1"/>
    <col min="17" max="17" width="12.5703125" hidden="1"/>
    <col min="19" max="19" width="12.5703125" hidden="1"/>
    <col min="21" max="21" width="16.85546875" customWidth="1"/>
    <col min="22" max="22" width="12.5703125" hidden="1"/>
  </cols>
  <sheetData>
    <row r="1" spans="1:27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/>
      <c r="O1" s="3" t="s">
        <v>11</v>
      </c>
      <c r="P1" s="4" t="s">
        <v>12</v>
      </c>
      <c r="R1" s="5"/>
    </row>
    <row r="2" spans="1:27" ht="12.75">
      <c r="A2" s="6" t="s">
        <v>13</v>
      </c>
      <c r="B2" s="6" t="s">
        <v>14</v>
      </c>
      <c r="C2" s="7" t="str">
        <f t="shared" ref="C2:C256" si="0">LEFT(A2,FIND("-",A2)-1)</f>
        <v xml:space="preserve">Abbie Sykes </v>
      </c>
      <c r="D2" s="6" t="s">
        <v>15</v>
      </c>
      <c r="E2" s="8" t="s">
        <v>16</v>
      </c>
      <c r="F2" s="9" t="str">
        <f ca="1">IFERROR(__xludf.DUMMYFUNCTION("""https://streamtape.com/v/""&amp;
REGEXEXTRACT(O2,""/thumb/([^/]+)/"")&amp;
""/""&amp;K2"),"https://streamtape.com/v/yPdwROL8ZwH3Qa/99599676")</f>
        <v>https://streamtape.com/v/yPdwROL8ZwH3Qa/99599676</v>
      </c>
      <c r="G2" s="10" t="e">
        <f t="shared" ref="G2:G256" ca="1" si="1">_xludf.CONCAT(D2,K2)</f>
        <v>#NAME?</v>
      </c>
      <c r="H2" s="11" t="str">
        <f ca="1">IFERROR(__xludf.DUMMYFUNCTION("IFERROR(SUBSTITUTE(SUBSTITUTE(REGEXEXTRACT(A2, ""[^-]+- [^-]+- [^-]+ - (.+?)\.jpg""), "".jpg"", """"), ""-"", "", ""), """")"),"")</f>
        <v/>
      </c>
      <c r="I2" s="6"/>
      <c r="J2" s="7" t="str">
        <f t="shared" ref="J2:J256" ca="1" si="2">IF(B2="{New}", "(" &amp; YEAR(TODAY()) &amp; ")", "")</f>
        <v>(2026)</v>
      </c>
      <c r="K2" s="7" t="str">
        <f t="shared" ref="K2:K256" si="3">MID(A2,FIND("-",A2)+2,8)</f>
        <v>99599676</v>
      </c>
      <c r="L2" s="12" t="s">
        <v>17</v>
      </c>
      <c r="M2" s="13" t="str">
        <f ca="1">IFERROR(__xludf.DUMMYFUNCTION("TRIM(
  REGEXREPLACE(
    TEXTJOIN("" "",
      TRUE,
      B2,
      C2,
      embaralharLinks(E2,F2,G2),
      H2,
      """",
      J2,
      N2,
      ""#RIPNSFW""
    ),
  "",\s*"", "" "")
)"),"{New} Abbie Sykes https://lulustream.com/d/tkl7lny2e6ta https://streamtape.com/v/yPdwROL8ZwH3Qa/99599676 https://doodstream.com/d/iwq3xu4r8tsg/99599676 (2026) #Hardcore #Threesome #Bigass #Teen #RIPNSFW")</f>
        <v>{New} Abbie Sykes https://lulustream.com/d/tkl7lny2e6ta https://streamtape.com/v/yPdwROL8ZwH3Qa/99599676 https://doodstream.com/d/iwq3xu4r8tsg/99599676 (2026) #Hardcore #Threesome #Bigass #Teen #RIPNSFW</v>
      </c>
      <c r="N2" s="14" t="s">
        <v>18</v>
      </c>
      <c r="O2" s="15" t="s">
        <v>19</v>
      </c>
      <c r="P2" s="14"/>
      <c r="Q2" s="6"/>
      <c r="R2" s="11"/>
      <c r="S2" s="6"/>
      <c r="T2" s="6"/>
      <c r="U2" s="6"/>
      <c r="V2" s="6"/>
      <c r="W2" s="6"/>
      <c r="X2" s="6"/>
      <c r="Y2" s="6"/>
      <c r="Z2" s="6"/>
      <c r="AA2" s="6"/>
    </row>
    <row r="3" spans="1:27" ht="12.75">
      <c r="A3" s="6" t="s">
        <v>20</v>
      </c>
      <c r="B3" s="6" t="s">
        <v>14</v>
      </c>
      <c r="C3" s="7" t="str">
        <f t="shared" si="0"/>
        <v xml:space="preserve">Abigaiil Morris </v>
      </c>
      <c r="D3" s="6" t="s">
        <v>21</v>
      </c>
      <c r="E3" s="8" t="s">
        <v>22</v>
      </c>
      <c r="F3" s="9" t="str">
        <f ca="1">IFERROR(__xludf.DUMMYFUNCTION("""https://streamtape.com/v/""&amp;
REGEXEXTRACT(O3,""/thumb/([^/]+)/"")&amp;
""/""&amp;K3"),"https://streamtape.com/v/BJ3Gj7o3lkcyZb6/33943707")</f>
        <v>https://streamtape.com/v/BJ3Gj7o3lkcyZb6/33943707</v>
      </c>
      <c r="G3" s="10" t="e">
        <f t="shared" ca="1" si="1"/>
        <v>#NAME?</v>
      </c>
      <c r="H3" s="11" t="str">
        <f ca="1">IFERROR(__xludf.DUMMYFUNCTION("IFERROR(SUBSTITUTE(SUBSTITUTE(REGEXEXTRACT(A3, ""[^-]+- [^-]+- [^-]+ - (.+?)\.jpg""), "".jpg"", """"), ""-"", "", ""), """")"),"")</f>
        <v/>
      </c>
      <c r="I3" s="6"/>
      <c r="J3" s="7" t="str">
        <f t="shared" ca="1" si="2"/>
        <v>(2026)</v>
      </c>
      <c r="K3" s="7" t="str">
        <f t="shared" si="3"/>
        <v>33943707</v>
      </c>
      <c r="L3" s="12" t="s">
        <v>23</v>
      </c>
      <c r="M3" s="13" t="str">
        <f ca="1">IFERROR(__xludf.DUMMYFUNCTION("TRIM(
  REGEXREPLACE(
    TEXTJOIN("" "",
      TRUE,
      B3,
      C3,
      embaralharLinks(E3,F3,G3),
      H3,
      """",
      J3,
      N3,
      ""#RIPNSFW""
    ),
  "",\s*"", "" "")
)"),"{New} Abigaiil Morris https://doodstream.com/d/s5upwfgb0e1n/33943707 https://lulustream.com/d/hodrrnuyu917 https://streamtape.com/v/BJ3Gj7o3lkcyZb6/33943707 (2026) #BigTits #Creampie #Hardcore #Bigass #Teen #Blowjob #RIPNSFW")</f>
        <v>{New} Abigaiil Morris https://doodstream.com/d/s5upwfgb0e1n/33943707 https://lulustream.com/d/hodrrnuyu917 https://streamtape.com/v/BJ3Gj7o3lkcyZb6/33943707 (2026) #BigTits #Creampie #Hardcore #Bigass #Teen #Blowjob #RIPNSFW</v>
      </c>
      <c r="N3" s="14" t="s">
        <v>24</v>
      </c>
      <c r="O3" s="15" t="s">
        <v>25</v>
      </c>
      <c r="P3" s="14"/>
      <c r="Q3" s="6"/>
      <c r="R3" s="11"/>
      <c r="S3" s="6"/>
      <c r="T3" s="6"/>
      <c r="U3" s="6"/>
      <c r="V3" s="6"/>
      <c r="W3" s="6"/>
      <c r="X3" s="6"/>
      <c r="Y3" s="6"/>
      <c r="Z3" s="6"/>
      <c r="AA3" s="6"/>
    </row>
    <row r="4" spans="1:27" ht="12.75">
      <c r="A4" s="6" t="s">
        <v>26</v>
      </c>
      <c r="B4" s="6" t="s">
        <v>14</v>
      </c>
      <c r="C4" s="7" t="str">
        <f t="shared" si="0"/>
        <v xml:space="preserve">Abigaiil Morris </v>
      </c>
      <c r="D4" s="6" t="s">
        <v>27</v>
      </c>
      <c r="E4" s="8" t="s">
        <v>28</v>
      </c>
      <c r="F4" s="9" t="str">
        <f ca="1">IFERROR(__xludf.DUMMYFUNCTION("""https://streamtape.com/v/""&amp;
REGEXEXTRACT(O4,""/thumb/([^/]+)/"")&amp;
""/""&amp;K4"),"https://streamtape.com/v/vxMBoKwORPCJpO/91692587")</f>
        <v>https://streamtape.com/v/vxMBoKwORPCJpO/91692587</v>
      </c>
      <c r="G4" s="10" t="e">
        <f t="shared" ca="1" si="1"/>
        <v>#NAME?</v>
      </c>
      <c r="H4" s="11" t="str">
        <f ca="1">IFERROR(__xludf.DUMMYFUNCTION("IFERROR(SUBSTITUTE(SUBSTITUTE(REGEXEXTRACT(A4, ""[^-]+- [^-]+- [^-]+ - (.+?)\.jpg""), "".jpg"", """"), ""-"", "", ""), """")"),"")</f>
        <v/>
      </c>
      <c r="I4" s="6"/>
      <c r="J4" s="7" t="str">
        <f t="shared" ca="1" si="2"/>
        <v>(2026)</v>
      </c>
      <c r="K4" s="7" t="str">
        <f t="shared" si="3"/>
        <v>91692587</v>
      </c>
      <c r="L4" s="12" t="s">
        <v>29</v>
      </c>
      <c r="M4" s="13" t="str">
        <f ca="1">IFERROR(__xludf.DUMMYFUNCTION("TRIM(
  REGEXREPLACE(
    TEXTJOIN("" "",
      TRUE,
      B4,
      C4,
      embaralharLinks(E4,F4,G4),
      H4,
      """",
      J4,
      N4,
      ""#RIPNSFW""
    ),
  "",\s*"", "" "")
)"),"{New} Abigaiil Morris https://streamtape.com/v/vxMBoKwORPCJpO/91692587 https://lulustream.com/d/blm3qsuunjcw https://doodstream.com/d/b3z64gcsi3ef/91692587 (2026) #BigTits #Black #Interracial #Bigass #Teen #Blowjob #RIPNSFW")</f>
        <v>{New} Abigaiil Morris https://streamtape.com/v/vxMBoKwORPCJpO/91692587 https://lulustream.com/d/blm3qsuunjcw https://doodstream.com/d/b3z64gcsi3ef/91692587 (2026) #BigTits #Black #Interracial #Bigass #Teen #Blowjob #RIPNSFW</v>
      </c>
      <c r="N4" s="14" t="s">
        <v>30</v>
      </c>
      <c r="O4" s="15" t="s">
        <v>31</v>
      </c>
      <c r="P4" s="14"/>
      <c r="Q4" s="6"/>
      <c r="R4" s="11"/>
      <c r="S4" s="6"/>
      <c r="T4" s="6"/>
      <c r="U4" s="6"/>
      <c r="V4" s="6"/>
      <c r="W4" s="6"/>
      <c r="X4" s="6"/>
      <c r="Y4" s="6"/>
      <c r="Z4" s="6"/>
      <c r="AA4" s="6"/>
    </row>
    <row r="5" spans="1:27" ht="12.75">
      <c r="A5" s="16" t="s">
        <v>32</v>
      </c>
      <c r="B5" s="11" t="s">
        <v>14</v>
      </c>
      <c r="C5" s="13" t="str">
        <f t="shared" si="0"/>
        <v xml:space="preserve">Addison Vodka </v>
      </c>
      <c r="D5" s="17" t="s">
        <v>33</v>
      </c>
      <c r="E5" s="18" t="s">
        <v>34</v>
      </c>
      <c r="F5" s="9" t="str">
        <f ca="1">IFERROR(__xludf.DUMMYFUNCTION("""https://streamtape.com/v/""&amp;
REGEXEXTRACT(O5,""/thumb/([^/]+)/"")&amp;
""/""&amp;K5"),"https://streamtape.com/v/BqxkdYRDDbsyz2o/47359261")</f>
        <v>https://streamtape.com/v/BqxkdYRDDbsyz2o/47359261</v>
      </c>
      <c r="G5" s="19" t="e">
        <f t="shared" ca="1" si="1"/>
        <v>#NAME?</v>
      </c>
      <c r="H5" s="11" t="str">
        <f ca="1">IFERROR(__xludf.DUMMYFUNCTION("IFERROR(SUBSTITUTE(SUBSTITUTE(REGEXEXTRACT(A5, ""[^-]+- [^-]+- [^-]+ - (.+?)\.jpg""), "".jpg"", """"), ""-"", "", ""), """")"),"")</f>
        <v/>
      </c>
      <c r="I5" s="11"/>
      <c r="J5" s="13" t="str">
        <f t="shared" ca="1" si="2"/>
        <v>(2026)</v>
      </c>
      <c r="K5" s="13" t="str">
        <f t="shared" si="3"/>
        <v>47359261</v>
      </c>
      <c r="L5" s="16" t="s">
        <v>35</v>
      </c>
      <c r="M5" s="13" t="str">
        <f ca="1">IFERROR(__xludf.DUMMYFUNCTION("TRIM(
  REGEXREPLACE(
    TEXTJOIN("" "",
      TRUE,
      B5,
      C5,
      embaralharLinks(E5,F5,G5),
      H5,
      """",
      J5,
      N5,
      ""#RIPNSFW""
    ),
  "",\s*"", "" "")
)"),"{New} Addison Vodka https://streamtape.com/v/BqxkdYRDDbsyz2o/47359261 https://lulustream.com/d/kxhttf9kyu59 https://doodstream.com/d/4a8gvzx3zlsj/47359261 (2026) #Hardcore #Piss #Teen #Blowjob #RIPNSFW")</f>
        <v>{New} Addison Vodka https://streamtape.com/v/BqxkdYRDDbsyz2o/47359261 https://lulustream.com/d/kxhttf9kyu59 https://doodstream.com/d/4a8gvzx3zlsj/47359261 (2026) #Hardcore #Piss #Teen #Blowjob #RIPNSFW</v>
      </c>
      <c r="N5" s="20" t="s">
        <v>36</v>
      </c>
      <c r="O5" s="21" t="s">
        <v>37</v>
      </c>
      <c r="P5" s="22"/>
      <c r="Q5" s="16"/>
      <c r="R5" s="23"/>
      <c r="S5" s="16"/>
      <c r="T5" s="16"/>
      <c r="U5" s="16"/>
      <c r="V5" s="16"/>
      <c r="W5" s="16"/>
      <c r="X5" s="16"/>
      <c r="Y5" s="16"/>
      <c r="Z5" s="16"/>
      <c r="AA5" s="16"/>
    </row>
    <row r="6" spans="1:27" ht="12.75">
      <c r="A6" s="6" t="s">
        <v>38</v>
      </c>
      <c r="B6" s="6" t="s">
        <v>14</v>
      </c>
      <c r="C6" s="7" t="str">
        <f t="shared" si="0"/>
        <v xml:space="preserve">Adriana Chechik </v>
      </c>
      <c r="D6" s="6" t="s">
        <v>39</v>
      </c>
      <c r="E6" s="8" t="s">
        <v>40</v>
      </c>
      <c r="F6" s="9" t="str">
        <f ca="1">IFERROR(__xludf.DUMMYFUNCTION("""https://streamtape.com/v/""&amp;
REGEXEXTRACT(O6,""/thumb/([^/]+)/"")&amp;
""/""&amp;K6"),"https://streamtape.com/v/ZDyaom2V3mUqb6B/30957968")</f>
        <v>https://streamtape.com/v/ZDyaom2V3mUqb6B/30957968</v>
      </c>
      <c r="G6" s="10" t="e">
        <f t="shared" ca="1" si="1"/>
        <v>#NAME?</v>
      </c>
      <c r="H6" s="11" t="str">
        <f ca="1">IFERROR(__xludf.DUMMYFUNCTION("IFERROR(SUBSTITUTE(SUBSTITUTE(REGEXEXTRACT(A6, ""[^-]+- [^-]+- [^-]+ - (.+?)\.jpg""), "".jpg"", """"), ""-"", "", ""), """")"),"")</f>
        <v/>
      </c>
      <c r="I6" s="6"/>
      <c r="J6" s="7" t="str">
        <f t="shared" ca="1" si="2"/>
        <v>(2026)</v>
      </c>
      <c r="K6" s="7" t="str">
        <f t="shared" si="3"/>
        <v>30957968</v>
      </c>
      <c r="L6" s="12" t="s">
        <v>41</v>
      </c>
      <c r="M6" s="13" t="str">
        <f ca="1">IFERROR(__xludf.DUMMYFUNCTION("TRIM(
  REGEXREPLACE(
    TEXTJOIN("" "",
      TRUE,
      B6,
      C6,
      embaralharLinks(E6,F6,G6),
      H6,
      """",
      J6,
      N6,
      ""#RIPNSFW""
    ),
  "",\s*"", "" "")
)"),"{New} Adriana Chechik https://streamtape.com/v/ZDyaom2V3mUqb6B/30957968 https://doodstream.com/d/iw4qvl4tyiu4/30957968 https://lulustream.com/d/qplmyjy6230d (2026) #MILF #Hardcore #Porn #Teen #Blowjob #Deepthroat #RIPNSFW")</f>
        <v>{New} Adriana Chechik https://streamtape.com/v/ZDyaom2V3mUqb6B/30957968 https://doodstream.com/d/iw4qvl4tyiu4/30957968 https://lulustream.com/d/qplmyjy6230d (2026) #MILF #Hardcore #Porn #Teen #Blowjob #Deepthroat #RIPNSFW</v>
      </c>
      <c r="N6" s="14" t="s">
        <v>42</v>
      </c>
      <c r="O6" s="15" t="s">
        <v>43</v>
      </c>
      <c r="P6" s="14"/>
      <c r="Q6" s="6"/>
      <c r="R6" s="11"/>
      <c r="S6" s="6"/>
      <c r="T6" s="6"/>
      <c r="U6" s="6"/>
      <c r="V6" s="6"/>
      <c r="W6" s="6"/>
      <c r="X6" s="6"/>
      <c r="Y6" s="6"/>
      <c r="Z6" s="6"/>
      <c r="AA6" s="6"/>
    </row>
    <row r="7" spans="1:27" ht="12.75">
      <c r="A7" s="12" t="s">
        <v>44</v>
      </c>
      <c r="B7" s="6" t="s">
        <v>14</v>
      </c>
      <c r="C7" s="7" t="str">
        <f t="shared" si="0"/>
        <v xml:space="preserve">Adriana Chechik </v>
      </c>
      <c r="D7" s="24" t="s">
        <v>45</v>
      </c>
      <c r="E7" s="25" t="s">
        <v>46</v>
      </c>
      <c r="F7" s="9" t="str">
        <f ca="1">IFERROR(__xludf.DUMMYFUNCTION("""https://streamtape.com/v/""&amp;
REGEXEXTRACT(O7,""/thumb/([^/]+)/"")&amp;
""/""&amp;K7"),"https://streamtape.com/v/4XpOdzjQ9DUKRDX/34528255")</f>
        <v>https://streamtape.com/v/4XpOdzjQ9DUKRDX/34528255</v>
      </c>
      <c r="G7" s="10" t="e">
        <f t="shared" ca="1" si="1"/>
        <v>#NAME?</v>
      </c>
      <c r="H7" s="11" t="str">
        <f ca="1">IFERROR(__xludf.DUMMYFUNCTION("IFERROR(SUBSTITUTE(SUBSTITUTE(REGEXEXTRACT(A7, ""[^-]+- [^-]+- [^-]+ - (.+?)\.jpg""), "".jpg"", """"), ""-"", "", ""), """")"),"Kimmy Granger")</f>
        <v>Kimmy Granger</v>
      </c>
      <c r="I7" s="6"/>
      <c r="J7" s="7" t="str">
        <f t="shared" ca="1" si="2"/>
        <v>(2026)</v>
      </c>
      <c r="K7" s="7" t="str">
        <f t="shared" si="3"/>
        <v>34528255</v>
      </c>
      <c r="L7" s="12" t="s">
        <v>47</v>
      </c>
      <c r="M7" s="13" t="str">
        <f ca="1">IFERROR(__xludf.DUMMYFUNCTION("TRIM(
  REGEXREPLACE(
    TEXTJOIN("" "",
      TRUE,
      B7,
      C7,
      embaralharLinks(E7,F7,G7),
      H7,
      """",
      J7,
      N7,
      ""#RIPNSFW""
    ),
  "",\s*"", "" "")
)"),"{New} Adriana Chechik https://streamtape.com/v/4XpOdzjQ9DUKRDX/34528255 https://lulustream.com/d/m4q76vm6vdz8 https://doodstream.com/d/oynafg1m456b/34528255 Kimmy Granger (2026) #MILF #BigTits #Hardcore #Threesome #RIPNSFW")</f>
        <v>{New} Adriana Chechik https://streamtape.com/v/4XpOdzjQ9DUKRDX/34528255 https://lulustream.com/d/m4q76vm6vdz8 https://doodstream.com/d/oynafg1m456b/34528255 Kimmy Granger (2026) #MILF #BigTits #Hardcore #Threesome #RIPNSFW</v>
      </c>
      <c r="N7" s="2" t="s">
        <v>48</v>
      </c>
      <c r="O7" s="21" t="s">
        <v>49</v>
      </c>
      <c r="P7" s="26"/>
      <c r="R7" s="23"/>
      <c r="T7" s="6"/>
      <c r="U7" s="7"/>
      <c r="Z7" s="12"/>
      <c r="AA7" s="12"/>
    </row>
    <row r="8" spans="1:27" ht="12.75">
      <c r="A8" s="12" t="s">
        <v>50</v>
      </c>
      <c r="B8" s="6" t="s">
        <v>14</v>
      </c>
      <c r="C8" s="7" t="str">
        <f t="shared" si="0"/>
        <v xml:space="preserve">Adriana Chechik </v>
      </c>
      <c r="D8" s="27" t="s">
        <v>51</v>
      </c>
      <c r="E8" s="28" t="s">
        <v>52</v>
      </c>
      <c r="F8" s="9" t="str">
        <f ca="1">IFERROR(__xludf.DUMMYFUNCTION("""https://streamtape.com/v/""&amp;
REGEXEXTRACT(O8,""/thumb/([^/]+)/"")&amp;
""/""&amp;K8"),"https://streamtape.com/v/ykK684mJqei1Akw/51420656")</f>
        <v>https://streamtape.com/v/ykK684mJqei1Akw/51420656</v>
      </c>
      <c r="G8" s="10" t="e">
        <f t="shared" ca="1" si="1"/>
        <v>#NAME?</v>
      </c>
      <c r="H8" s="11" t="str">
        <f ca="1">IFERROR(__xludf.DUMMYFUNCTION("IFERROR(SUBSTITUTE(SUBSTITUTE(REGEXEXTRACT(A8, ""[^-]+- [^-]+- [^-]+ - (.+?)\.jpg""), "".jpg"", """"), ""-"", "", ""), """")"),"")</f>
        <v/>
      </c>
      <c r="I8" s="6"/>
      <c r="J8" s="7" t="str">
        <f t="shared" ca="1" si="2"/>
        <v>(2026)</v>
      </c>
      <c r="K8" s="7" t="str">
        <f t="shared" si="3"/>
        <v>51420656</v>
      </c>
      <c r="L8" s="12" t="s">
        <v>53</v>
      </c>
      <c r="M8" s="13" t="str">
        <f ca="1">IFERROR(__xludf.DUMMYFUNCTION("TRIM(
  REGEXREPLACE(
    TEXTJOIN("" "",
      TRUE,
      B8,
      C8,
      embaralharLinks(E8,F8,G8),
      H8,
      """",
      J8,
      N8,
      ""#RIPNSFW""
    ),
  "",\s*"", "" "")
)"),"{New} Adriana Chechik https://lulustream.com/d/ru8de3p9o4cs https://streamtape.com/v/ykK684mJqei1Akw/51420656 https://doodstream.com/d/grn1adoy03ts/51420656 (2026) #MILF #Blowjob #Amateur #Hotwife #RIPNSFW")</f>
        <v>{New} Adriana Chechik https://lulustream.com/d/ru8de3p9o4cs https://streamtape.com/v/ykK684mJqei1Akw/51420656 https://doodstream.com/d/grn1adoy03ts/51420656 (2026) #MILF #Blowjob #Amateur #Hotwife #RIPNSFW</v>
      </c>
      <c r="N8" s="2" t="s">
        <v>54</v>
      </c>
      <c r="O8" s="21" t="s">
        <v>55</v>
      </c>
      <c r="P8" s="26"/>
      <c r="R8" s="23"/>
    </row>
    <row r="9" spans="1:27" ht="12.75">
      <c r="A9" s="6" t="s">
        <v>56</v>
      </c>
      <c r="B9" s="6" t="s">
        <v>14</v>
      </c>
      <c r="C9" s="7" t="str">
        <f t="shared" si="0"/>
        <v xml:space="preserve">Adriana Chechik </v>
      </c>
      <c r="D9" s="29" t="s">
        <v>57</v>
      </c>
      <c r="E9" s="28" t="s">
        <v>58</v>
      </c>
      <c r="F9" s="9" t="str">
        <f ca="1">IFERROR(__xludf.DUMMYFUNCTION("""https://streamtape.com/v/""&amp;
REGEXEXTRACT(O9,""/thumb/([^/]+)/"")&amp;
""/""&amp;K9"),"https://streamtape.com/v/pgbZd2DxRBsryWr/59972113")</f>
        <v>https://streamtape.com/v/pgbZd2DxRBsryWr/59972113</v>
      </c>
      <c r="G9" s="10" t="e">
        <f t="shared" ca="1" si="1"/>
        <v>#NAME?</v>
      </c>
      <c r="H9" s="11" t="str">
        <f ca="1">IFERROR(__xludf.DUMMYFUNCTION("IFERROR(SUBSTITUTE(SUBSTITUTE(REGEXEXTRACT(A9, ""[^-]+- [^-]+- [^-]+ - (.+?)\.jpg""), "".jpg"", """"), ""-"", "", ""), """")"),"")</f>
        <v/>
      </c>
      <c r="I9" s="6"/>
      <c r="J9" s="7" t="str">
        <f t="shared" ca="1" si="2"/>
        <v>(2026)</v>
      </c>
      <c r="K9" s="7" t="str">
        <f t="shared" si="3"/>
        <v>59972113</v>
      </c>
      <c r="L9" s="12" t="s">
        <v>59</v>
      </c>
      <c r="M9" s="13" t="str">
        <f ca="1">IFERROR(__xludf.DUMMYFUNCTION("TRIM(
  REGEXREPLACE(
    TEXTJOIN("" "",
      TRUE,
      B9,
      C9,
      embaralharLinks(E9,F9,G9),
      H9,
      """",
      J9,
      N9,
      ""#RIPNSFW""
    ),
  "",\s*"", "" "")
)"),"{New} Adriana Chechik https://doodstream.com/d/asxvhhf5pzc0/59972113 https://streamtape.com/v/pgbZd2DxRBsryWr/59972113 https://lulustream.com/d/yddqas6660uo (2026) #Anal #MILF #Hardcore #Porn #Blowjob #RIPNSFW")</f>
        <v>{New} Adriana Chechik https://doodstream.com/d/asxvhhf5pzc0/59972113 https://streamtape.com/v/pgbZd2DxRBsryWr/59972113 https://lulustream.com/d/yddqas6660uo (2026) #Anal #MILF #Hardcore #Porn #Blowjob #RIPNSFW</v>
      </c>
      <c r="N9" s="14" t="s">
        <v>60</v>
      </c>
      <c r="O9" s="15" t="s">
        <v>61</v>
      </c>
      <c r="P9" s="14"/>
      <c r="Q9" s="6"/>
      <c r="R9" s="11"/>
      <c r="S9" s="6"/>
      <c r="T9" s="6"/>
      <c r="U9" s="6"/>
      <c r="V9" s="6"/>
      <c r="W9" s="6"/>
      <c r="X9" s="6"/>
      <c r="Y9" s="6"/>
      <c r="Z9" s="6"/>
      <c r="AA9" s="6"/>
    </row>
    <row r="10" spans="1:27" ht="12.75">
      <c r="A10" s="6" t="s">
        <v>62</v>
      </c>
      <c r="B10" s="6" t="s">
        <v>14</v>
      </c>
      <c r="C10" s="7" t="str">
        <f t="shared" si="0"/>
        <v xml:space="preserve">Adriana Chechik </v>
      </c>
      <c r="D10" s="6" t="s">
        <v>63</v>
      </c>
      <c r="E10" s="8" t="s">
        <v>64</v>
      </c>
      <c r="F10" s="9" t="str">
        <f ca="1">IFERROR(__xludf.DUMMYFUNCTION("""https://streamtape.com/v/""&amp;
REGEXEXTRACT(O10,""/thumb/([^/]+)/"")&amp;
""/""&amp;K10"),"https://streamtape.com/v/pY1k88evJpSWml/60434496")</f>
        <v>https://streamtape.com/v/pY1k88evJpSWml/60434496</v>
      </c>
      <c r="G10" s="10" t="e">
        <f t="shared" ca="1" si="1"/>
        <v>#NAME?</v>
      </c>
      <c r="H10" s="11" t="str">
        <f ca="1">IFERROR(__xludf.DUMMYFUNCTION("IFERROR(SUBSTITUTE(SUBSTITUTE(REGEXEXTRACT(A10, ""[^-]+- [^-]+- [^-]+ - (.+?)\.jpg""), "".jpg"", """"), ""-"", "", ""), """")"),"Lena the plug")</f>
        <v>Lena the plug</v>
      </c>
      <c r="I10" s="6"/>
      <c r="J10" s="7" t="str">
        <f t="shared" ca="1" si="2"/>
        <v>(2026)</v>
      </c>
      <c r="K10" s="7" t="str">
        <f t="shared" si="3"/>
        <v>60434496</v>
      </c>
      <c r="L10" s="12" t="s">
        <v>65</v>
      </c>
      <c r="M10" s="13" t="str">
        <f ca="1">IFERROR(__xludf.DUMMYFUNCTION("TRIM(
  REGEXREPLACE(
    TEXTJOIN("" "",
      TRUE,
      B10,
      C10,
      embaralharLinks(E10,F10,G10),
      H10,
      """",
      J10,
      N10,
      ""#RIPNSFW""
    ),
  "",\s*"", "" "")
)"),"{New} Adriana Chechik https://doodstream.com/d/6nkhfsi7h1rn/60434496 https://lulustream.com/d/10eqg0h4m2mj https://streamtape.com/v/pY1k88evJpSWml/60434496 Lena the plug (2026) #MILF #BigTits #Hardcore #Threesome #Bigass #Blowjob #Amateur #Facial #RIPNSFW")</f>
        <v>{New} Adriana Chechik https://doodstream.com/d/6nkhfsi7h1rn/60434496 https://lulustream.com/d/10eqg0h4m2mj https://streamtape.com/v/pY1k88evJpSWml/60434496 Lena the plug (2026) #MILF #BigTits #Hardcore #Threesome #Bigass #Blowjob #Amateur #Facial #RIPNSFW</v>
      </c>
      <c r="N10" s="14" t="s">
        <v>66</v>
      </c>
      <c r="O10" s="15" t="s">
        <v>67</v>
      </c>
      <c r="P10" s="14"/>
      <c r="Q10" s="6"/>
      <c r="R10" s="11"/>
      <c r="S10" s="6"/>
      <c r="T10" s="6"/>
      <c r="U10" s="6"/>
      <c r="V10" s="6"/>
      <c r="W10" s="6"/>
      <c r="X10" s="6"/>
      <c r="Y10" s="6"/>
      <c r="Z10" s="6"/>
      <c r="AA10" s="6"/>
    </row>
    <row r="11" spans="1:27" ht="12.75">
      <c r="A11" s="12" t="s">
        <v>68</v>
      </c>
      <c r="B11" s="6" t="s">
        <v>14</v>
      </c>
      <c r="C11" s="7" t="str">
        <f t="shared" si="0"/>
        <v xml:space="preserve">Adriana Chechik </v>
      </c>
      <c r="D11" s="24" t="s">
        <v>69</v>
      </c>
      <c r="E11" s="25" t="s">
        <v>70</v>
      </c>
      <c r="F11" s="9" t="str">
        <f ca="1">IFERROR(__xludf.DUMMYFUNCTION("""https://streamtape.com/v/""&amp;
REGEXEXTRACT(O11,""/thumb/([^/]+)/"")&amp;
""/""&amp;K11"),"https://streamtape.com/v/Qe7Rr1aepztrOa/69701197")</f>
        <v>https://streamtape.com/v/Qe7Rr1aepztrOa/69701197</v>
      </c>
      <c r="G11" s="10" t="e">
        <f t="shared" ca="1" si="1"/>
        <v>#NAME?</v>
      </c>
      <c r="H11" s="11" t="str">
        <f ca="1">IFERROR(__xludf.DUMMYFUNCTION("IFERROR(SUBSTITUTE(SUBSTITUTE(REGEXEXTRACT(A11, ""[^-]+- [^-]+- [^-]+ - (.+?)\.jpg""), "".jpg"", """"), ""-"", "", ""), """")"),"")</f>
        <v/>
      </c>
      <c r="I11" s="6"/>
      <c r="J11" s="7" t="str">
        <f t="shared" ca="1" si="2"/>
        <v>(2026)</v>
      </c>
      <c r="K11" s="7" t="str">
        <f t="shared" si="3"/>
        <v>69701197</v>
      </c>
      <c r="L11" s="12" t="s">
        <v>71</v>
      </c>
      <c r="M11" s="13" t="str">
        <f ca="1">IFERROR(__xludf.DUMMYFUNCTION("TRIM(
  REGEXREPLACE(
    TEXTJOIN("" "",
      TRUE,
      B11,
      C11,
      embaralharLinks(E11,F11,G11),
      H11,
      """",
      J11,
      N11,
      ""#RIPNSFW""
    ),
  "",\s*"", "" "")
)"),"{New} Adriana Chechik https://doodstream.com/d/z5rv7rlp8qpb/69701197 https://streamtape.com/v/Qe7Rr1aepztrOa/69701197 https://lulustream.com/d/fsgom1xzeb29 (2026) #Anal #MILF #BigTits #Hardcore #RIPNSFW")</f>
        <v>{New} Adriana Chechik https://doodstream.com/d/z5rv7rlp8qpb/69701197 https://streamtape.com/v/Qe7Rr1aepztrOa/69701197 https://lulustream.com/d/fsgom1xzeb29 (2026) #Anal #MILF #BigTits #Hardcore #RIPNSFW</v>
      </c>
      <c r="N11" s="2" t="s">
        <v>72</v>
      </c>
      <c r="O11" s="21" t="s">
        <v>73</v>
      </c>
      <c r="P11" s="26"/>
      <c r="R11" s="23"/>
    </row>
    <row r="12" spans="1:27" ht="12.75">
      <c r="A12" s="12" t="s">
        <v>74</v>
      </c>
      <c r="B12" s="6" t="s">
        <v>14</v>
      </c>
      <c r="C12" s="7" t="str">
        <f t="shared" si="0"/>
        <v xml:space="preserve">Adriana Chechik </v>
      </c>
      <c r="D12" s="24" t="s">
        <v>75</v>
      </c>
      <c r="E12" s="25" t="s">
        <v>76</v>
      </c>
      <c r="F12" s="9" t="str">
        <f ca="1">IFERROR(__xludf.DUMMYFUNCTION("""https://streamtape.com/v/""&amp;
REGEXEXTRACT(O12,""/thumb/([^/]+)/"")&amp;
""/""&amp;K12"),"https://streamtape.com/v/6XqxDbemVJiv1o/78872640")</f>
        <v>https://streamtape.com/v/6XqxDbemVJiv1o/78872640</v>
      </c>
      <c r="G12" s="10" t="e">
        <f t="shared" ca="1" si="1"/>
        <v>#NAME?</v>
      </c>
      <c r="H12" s="11" t="str">
        <f ca="1">IFERROR(__xludf.DUMMYFUNCTION("IFERROR(SUBSTITUTE(SUBSTITUTE(REGEXEXTRACT(A12, ""[^-]+- [^-]+- [^-]+ - (.+?)\.jpg""), "".jpg"", """"), ""-"", "", ""), """")"),"")</f>
        <v/>
      </c>
      <c r="I12" s="6"/>
      <c r="J12" s="7" t="str">
        <f t="shared" ca="1" si="2"/>
        <v>(2026)</v>
      </c>
      <c r="K12" s="7" t="str">
        <f t="shared" si="3"/>
        <v>78872640</v>
      </c>
      <c r="L12" s="12" t="s">
        <v>71</v>
      </c>
      <c r="M12" s="13" t="str">
        <f ca="1">IFERROR(__xludf.DUMMYFUNCTION("TRIM(
  REGEXREPLACE(
    TEXTJOIN("" "",
      TRUE,
      B12,
      C12,
      embaralharLinks(E12,F12,G12),
      H12,
      """",
      J12,
      N12,
      ""#RIPNSFW""
    ),
  "",\s*"", "" "")
)"),"{New} Adriana Chechik https://lulustream.com/d/p5yx1cweyqbf https://doodstream.com/d/4890kzdzvprn/78872640 https://streamtape.com/v/6XqxDbemVJiv1o/78872640 (2026) #Anal #MILF #BigTits #Hardcore #RIPNSFW")</f>
        <v>{New} Adriana Chechik https://lulustream.com/d/p5yx1cweyqbf https://doodstream.com/d/4890kzdzvprn/78872640 https://streamtape.com/v/6XqxDbemVJiv1o/78872640 (2026) #Anal #MILF #BigTits #Hardcore #RIPNSFW</v>
      </c>
      <c r="N12" s="2" t="s">
        <v>72</v>
      </c>
      <c r="O12" s="21" t="s">
        <v>77</v>
      </c>
      <c r="P12" s="26"/>
      <c r="R12" s="23"/>
    </row>
    <row r="13" spans="1:27" ht="12.75">
      <c r="A13" s="12" t="s">
        <v>78</v>
      </c>
      <c r="B13" s="6" t="s">
        <v>14</v>
      </c>
      <c r="C13" s="7" t="str">
        <f t="shared" si="0"/>
        <v xml:space="preserve">Alanna Pow </v>
      </c>
      <c r="D13" s="24" t="s">
        <v>79</v>
      </c>
      <c r="E13" s="25" t="s">
        <v>80</v>
      </c>
      <c r="F13" s="9" t="str">
        <f ca="1">IFERROR(__xludf.DUMMYFUNCTION("""https://streamtape.com/v/""&amp;
REGEXEXTRACT(O13,""/thumb/([^/]+)/"")&amp;
""/""&amp;K13"),"https://streamtape.com/v/Xya4vBeZkmUXy1/15841633")</f>
        <v>https://streamtape.com/v/Xya4vBeZkmUXy1/15841633</v>
      </c>
      <c r="G13" s="10" t="e">
        <f t="shared" ca="1" si="1"/>
        <v>#NAME?</v>
      </c>
      <c r="H13" s="11" t="str">
        <f ca="1">IFERROR(__xludf.DUMMYFUNCTION("IFERROR(SUBSTITUTE(SUBSTITUTE(REGEXEXTRACT(A13, ""[^-]+- [^-]+- [^-]+ - (.+?)\.jpg""), "".jpg"", """"), ""-"", "", ""), """")"),"")</f>
        <v/>
      </c>
      <c r="I13" s="6"/>
      <c r="J13" s="7" t="str">
        <f t="shared" ca="1" si="2"/>
        <v>(2026)</v>
      </c>
      <c r="K13" s="7" t="str">
        <f t="shared" si="3"/>
        <v>15841633</v>
      </c>
      <c r="L13" s="12" t="s">
        <v>81</v>
      </c>
      <c r="M13" s="13" t="str">
        <f ca="1">IFERROR(__xludf.DUMMYFUNCTION("TRIM(
  REGEXREPLACE(
    TEXTJOIN("" "",
      TRUE,
      B13,
      C13,
      embaralharLinks(E13,F13,G13),
      H13,
      """",
      J13,
      N13,
      ""#RIPNSFW""
    ),
  "",\s*"", "" "")
)"),"{New} Alanna Pow https://streamtape.com/v/Xya4vBeZkmUXy1/15841633 https://doodstream.com/d/ccfg6h6q5f0r/15841633 https://lulustream.com/d/2qov6vidlykk (2026) #BigTits #Bigass #Teen #Blowjob #RIPNSFW")</f>
        <v>{New} Alanna Pow https://streamtape.com/v/Xya4vBeZkmUXy1/15841633 https://doodstream.com/d/ccfg6h6q5f0r/15841633 https://lulustream.com/d/2qov6vidlykk (2026) #BigTits #Bigass #Teen #Blowjob #RIPNSFW</v>
      </c>
      <c r="N13" s="2" t="s">
        <v>82</v>
      </c>
      <c r="O13" s="21" t="s">
        <v>83</v>
      </c>
      <c r="P13" s="26"/>
      <c r="R13" s="23"/>
    </row>
    <row r="14" spans="1:27" ht="12.75">
      <c r="A14" s="6" t="s">
        <v>84</v>
      </c>
      <c r="B14" s="6" t="s">
        <v>14</v>
      </c>
      <c r="C14" s="7" t="str">
        <f t="shared" si="0"/>
        <v xml:space="preserve">Alanna Pow </v>
      </c>
      <c r="D14" s="6" t="s">
        <v>85</v>
      </c>
      <c r="E14" s="8" t="s">
        <v>86</v>
      </c>
      <c r="F14" s="9" t="str">
        <f ca="1">IFERROR(__xludf.DUMMYFUNCTION("""https://streamtape.com/v/""&amp;
REGEXEXTRACT(O14,""/thumb/([^/]+)/"")&amp;
""/""&amp;K14"),"https://streamtape.com/v/GXeoyO3391C9lP/17406382")</f>
        <v>https://streamtape.com/v/GXeoyO3391C9lP/17406382</v>
      </c>
      <c r="G14" s="10" t="e">
        <f t="shared" ca="1" si="1"/>
        <v>#NAME?</v>
      </c>
      <c r="H14" s="11" t="str">
        <f ca="1">IFERROR(__xludf.DUMMYFUNCTION("IFERROR(SUBSTITUTE(SUBSTITUTE(REGEXEXTRACT(A14, ""[^-]+- [^-]+- [^-]+ - (.+?)\.jpg""), "".jpg"", """"), ""-"", "", ""), """")"),"")</f>
        <v/>
      </c>
      <c r="I14" s="6"/>
      <c r="J14" s="7" t="str">
        <f t="shared" ca="1" si="2"/>
        <v>(2026)</v>
      </c>
      <c r="K14" s="7" t="str">
        <f t="shared" si="3"/>
        <v>17406382</v>
      </c>
      <c r="L14" s="12" t="s">
        <v>87</v>
      </c>
      <c r="M14" s="13" t="str">
        <f ca="1">IFERROR(__xludf.DUMMYFUNCTION("TRIM(
  REGEXREPLACE(
    TEXTJOIN("" "",
      TRUE,
      B14,
      C14,
      embaralharLinks(E14,F14,G14),
      H14,
      """",
      J14,
      N14,
      ""#RIPNSFW""
    ),
  "",\s*"", "" "")
)"),"{New} Alanna Pow https://doodstream.com/d/rp7w5wlhyopr/17406382 https://lulustream.com/d/34biz1fgg2q9 https://streamtape.com/v/GXeoyO3391C9lP/17406382 (2026) #BigTits #Creampie #Hardcore #Bigass #Teen #RIPNSFW")</f>
        <v>{New} Alanna Pow https://doodstream.com/d/rp7w5wlhyopr/17406382 https://lulustream.com/d/34biz1fgg2q9 https://streamtape.com/v/GXeoyO3391C9lP/17406382 (2026) #BigTits #Creampie #Hardcore #Bigass #Teen #RIPNSFW</v>
      </c>
      <c r="N14" s="14" t="s">
        <v>88</v>
      </c>
      <c r="O14" s="15" t="s">
        <v>89</v>
      </c>
      <c r="P14" s="14"/>
      <c r="Q14" s="6"/>
      <c r="R14" s="11"/>
      <c r="S14" s="6"/>
      <c r="T14" s="6"/>
      <c r="U14" s="6"/>
      <c r="V14" s="6"/>
      <c r="W14" s="6"/>
      <c r="X14" s="6"/>
      <c r="Y14" s="6"/>
      <c r="Z14" s="6"/>
      <c r="AA14" s="6"/>
    </row>
    <row r="15" spans="1:27" ht="12.75">
      <c r="A15" s="12" t="s">
        <v>90</v>
      </c>
      <c r="B15" s="6" t="s">
        <v>14</v>
      </c>
      <c r="C15" s="7" t="str">
        <f t="shared" si="0"/>
        <v xml:space="preserve">Alanna Pow </v>
      </c>
      <c r="D15" s="24" t="s">
        <v>91</v>
      </c>
      <c r="E15" s="25" t="s">
        <v>92</v>
      </c>
      <c r="F15" s="9" t="str">
        <f ca="1">IFERROR(__xludf.DUMMYFUNCTION("""https://streamtape.com/v/""&amp;
REGEXEXTRACT(O15,""/thumb/([^/]+)/"")&amp;
""/""&amp;K15"),"https://streamtape.com/v/0dWRBVbB2JFbxa3/17563322")</f>
        <v>https://streamtape.com/v/0dWRBVbB2JFbxa3/17563322</v>
      </c>
      <c r="G15" s="10" t="e">
        <f t="shared" ca="1" si="1"/>
        <v>#NAME?</v>
      </c>
      <c r="H15" s="11" t="str">
        <f ca="1">IFERROR(__xludf.DUMMYFUNCTION("IFERROR(SUBSTITUTE(SUBSTITUTE(REGEXEXTRACT(A15, ""[^-]+- [^-]+- [^-]+ - (.+?)\.jpg""), "".jpg"", """"), ""-"", "", ""), """")"),"")</f>
        <v/>
      </c>
      <c r="I15" s="6"/>
      <c r="J15" s="7" t="str">
        <f t="shared" ca="1" si="2"/>
        <v>(2026)</v>
      </c>
      <c r="K15" s="7" t="str">
        <f t="shared" si="3"/>
        <v>17563322</v>
      </c>
      <c r="L15" s="12" t="s">
        <v>81</v>
      </c>
      <c r="M15" s="13" t="str">
        <f ca="1">IFERROR(__xludf.DUMMYFUNCTION("TRIM(
  REGEXREPLACE(
    TEXTJOIN("" "",
      TRUE,
      B15,
      C15,
      embaralharLinks(E15,F15,G15),
      H15,
      """",
      J15,
      N15,
      ""#RIPNSFW""
    ),
  "",\s*"", "" "")
)"),"{New} Alanna Pow https://lulustream.com/d/jgnj29xlndop https://doodstream.com/d/rfcpsjxxrvei/17563322 https://streamtape.com/v/0dWRBVbB2JFbxa3/17563322 (2026) #BigTits #Bigass #Teen #Blowjob #RIPNSFW")</f>
        <v>{New} Alanna Pow https://lulustream.com/d/jgnj29xlndop https://doodstream.com/d/rfcpsjxxrvei/17563322 https://streamtape.com/v/0dWRBVbB2JFbxa3/17563322 (2026) #BigTits #Bigass #Teen #Blowjob #RIPNSFW</v>
      </c>
      <c r="N15" s="2" t="s">
        <v>82</v>
      </c>
      <c r="O15" s="30" t="s">
        <v>93</v>
      </c>
      <c r="P15" s="26"/>
      <c r="R15" s="23"/>
    </row>
    <row r="16" spans="1:27" ht="12.75">
      <c r="A16" s="6" t="s">
        <v>94</v>
      </c>
      <c r="B16" s="6" t="s">
        <v>14</v>
      </c>
      <c r="C16" s="7" t="str">
        <f t="shared" si="0"/>
        <v xml:space="preserve">Alanna Pow </v>
      </c>
      <c r="D16" s="6" t="s">
        <v>95</v>
      </c>
      <c r="E16" s="8" t="s">
        <v>96</v>
      </c>
      <c r="F16" s="9" t="str">
        <f ca="1">IFERROR(__xludf.DUMMYFUNCTION("""https://streamtape.com/v/""&amp;
REGEXEXTRACT(O16,""/thumb/([^/]+)/"")&amp;
""/""&amp;K16"),"https://streamtape.com/v/GbZdrYRVbYH17zq/18308184")</f>
        <v>https://streamtape.com/v/GbZdrYRVbYH17zq/18308184</v>
      </c>
      <c r="G16" s="10" t="e">
        <f t="shared" ca="1" si="1"/>
        <v>#NAME?</v>
      </c>
      <c r="H16" s="11" t="str">
        <f ca="1">IFERROR(__xludf.DUMMYFUNCTION("IFERROR(SUBSTITUTE(SUBSTITUTE(REGEXEXTRACT(A16, ""[^-]+- [^-]+- [^-]+ - (.+?)\.jpg""), "".jpg"", """"), ""-"", "", ""), """")"),"")</f>
        <v/>
      </c>
      <c r="I16" s="6"/>
      <c r="J16" s="7" t="str">
        <f t="shared" ca="1" si="2"/>
        <v>(2026)</v>
      </c>
      <c r="K16" s="7" t="str">
        <f t="shared" si="3"/>
        <v>18308184</v>
      </c>
      <c r="L16" s="6" t="s">
        <v>97</v>
      </c>
      <c r="M16" s="13" t="str">
        <f ca="1">IFERROR(__xludf.DUMMYFUNCTION("TRIM(
  REGEXREPLACE(
    TEXTJOIN("" "",
      TRUE,
      B16,
      C16,
      embaralharLinks(E16,F16,G16),
      H16,
      """",
      J16,
      N16,
      ""#RIPNSFW""
    ),
  "",\s*"", "" "")
)"),"{New} Alanna Pow https://streamtape.com/v/GbZdrYRVbYH17zq/18308184 https://lulustream.com/d/6k39hcuucj6f https://doodstream.com/d/s14c1x3qpqjj/18308184 (2026) #BigTits #Bigass #Teen #Blowjob #Amateur #Facial #Blonde #Deepthroat #RIPNSFW")</f>
        <v>{New} Alanna Pow https://streamtape.com/v/GbZdrYRVbYH17zq/18308184 https://lulustream.com/d/6k39hcuucj6f https://doodstream.com/d/s14c1x3qpqjj/18308184 (2026) #BigTits #Bigass #Teen #Blowjob #Amateur #Facial #Blonde #Deepthroat #RIPNSFW</v>
      </c>
      <c r="N16" s="6" t="s">
        <v>98</v>
      </c>
      <c r="O16" s="21" t="s">
        <v>99</v>
      </c>
      <c r="P16" s="14"/>
      <c r="Q16" s="6"/>
      <c r="R16" s="11"/>
      <c r="S16" s="6"/>
      <c r="T16" s="6"/>
      <c r="U16" s="6"/>
      <c r="V16" s="6"/>
      <c r="W16" s="6"/>
      <c r="X16" s="6"/>
      <c r="Y16" s="6"/>
      <c r="Z16" s="6"/>
      <c r="AA16" s="6"/>
    </row>
    <row r="17" spans="1:27" ht="12.75">
      <c r="A17" s="12" t="s">
        <v>100</v>
      </c>
      <c r="B17" s="6" t="s">
        <v>14</v>
      </c>
      <c r="C17" s="7" t="str">
        <f t="shared" si="0"/>
        <v xml:space="preserve">Alanna Pow </v>
      </c>
      <c r="D17" s="24" t="s">
        <v>101</v>
      </c>
      <c r="E17" s="25" t="s">
        <v>102</v>
      </c>
      <c r="F17" s="9" t="str">
        <f ca="1">IFERROR(__xludf.DUMMYFUNCTION("""https://streamtape.com/v/""&amp;
REGEXEXTRACT(O17,""/thumb/([^/]+)/"")&amp;
""/""&amp;K17"),"https://streamtape.com/v/D02L1469leskeMZ/19034023")</f>
        <v>https://streamtape.com/v/D02L1469leskeMZ/19034023</v>
      </c>
      <c r="G17" s="10" t="e">
        <f t="shared" ca="1" si="1"/>
        <v>#NAME?</v>
      </c>
      <c r="H17" s="11" t="str">
        <f ca="1">IFERROR(__xludf.DUMMYFUNCTION("IFERROR(SUBSTITUTE(SUBSTITUTE(REGEXEXTRACT(A17, ""[^-]+- [^-]+- [^-]+ - (.+?)\.jpg""), "".jpg"", """"), ""-"", "", ""), """")"),"")</f>
        <v/>
      </c>
      <c r="I17" s="6"/>
      <c r="J17" s="7" t="str">
        <f t="shared" ca="1" si="2"/>
        <v>(2026)</v>
      </c>
      <c r="K17" s="7" t="str">
        <f t="shared" si="3"/>
        <v>19034023</v>
      </c>
      <c r="L17" s="12" t="s">
        <v>81</v>
      </c>
      <c r="M17" s="13" t="str">
        <f ca="1">IFERROR(__xludf.DUMMYFUNCTION("TRIM(
  REGEXREPLACE(
    TEXTJOIN("" "",
      TRUE,
      B17,
      C17,
      embaralharLinks(E17,F17,G17),
      H17,
      """",
      J17,
      N17,
      ""#RIPNSFW""
    ),
  "",\s*"", "" "")
)"),"#ERROR!")</f>
        <v>#ERROR!</v>
      </c>
      <c r="N17" s="2" t="s">
        <v>82</v>
      </c>
      <c r="O17" s="21" t="s">
        <v>103</v>
      </c>
      <c r="P17" s="26"/>
      <c r="R17" s="23"/>
    </row>
    <row r="18" spans="1:27" ht="12.75">
      <c r="A18" s="12" t="s">
        <v>104</v>
      </c>
      <c r="B18" s="6" t="s">
        <v>14</v>
      </c>
      <c r="C18" s="7" t="str">
        <f t="shared" si="0"/>
        <v xml:space="preserve">Alanna Pow </v>
      </c>
      <c r="D18" s="27" t="s">
        <v>105</v>
      </c>
      <c r="E18" s="28" t="s">
        <v>106</v>
      </c>
      <c r="F18" s="9" t="str">
        <f ca="1">IFERROR(__xludf.DUMMYFUNCTION("""https://streamtape.com/v/""&amp;
REGEXEXTRACT(O18,""/thumb/([^/]+)/"")&amp;
""/""&amp;K18"),"https://streamtape.com/v/3Gg2r6MJLMflOz/22226111")</f>
        <v>https://streamtape.com/v/3Gg2r6MJLMflOz/22226111</v>
      </c>
      <c r="G18" s="10" t="e">
        <f t="shared" ca="1" si="1"/>
        <v>#NAME?</v>
      </c>
      <c r="H18" s="11" t="str">
        <f ca="1">IFERROR(__xludf.DUMMYFUNCTION("IFERROR(SUBSTITUTE(SUBSTITUTE(REGEXEXTRACT(A18, ""[^-]+- [^-]+- [^-]+ - (.+?)\.jpg""), "".jpg"", """"), ""-"", "", ""), """")"),"")</f>
        <v/>
      </c>
      <c r="I18" s="6"/>
      <c r="J18" s="7" t="str">
        <f t="shared" ca="1" si="2"/>
        <v>(2026)</v>
      </c>
      <c r="K18" s="7" t="str">
        <f t="shared" si="3"/>
        <v>22226111</v>
      </c>
      <c r="L18" s="12" t="s">
        <v>107</v>
      </c>
      <c r="M18" s="13" t="str">
        <f ca="1">IFERROR(__xludf.DUMMYFUNCTION("TRIM(
  REGEXREPLACE(
    TEXTJOIN("" "",
      TRUE,
      B18,
      C18,
      embaralharLinks(E18,F18,G18),
      H18,
      """",
      J18,
      N18,
      ""#RIPNSFW""
    ),
  "",\s*"", "" "")
)"),"{New} Alanna Pow https://lulustream.com/d/9g5xi6j2k5ss https://doodstream.com/d/u4x7onq939v2/22226111 https://streamtape.com/v/3Gg2r6MJLMflOz/22226111 (2026) #BigTits #Creampie #Hardcore #Bigass #RIPNSFW")</f>
        <v>{New} Alanna Pow https://lulustream.com/d/9g5xi6j2k5ss https://doodstream.com/d/u4x7onq939v2/22226111 https://streamtape.com/v/3Gg2r6MJLMflOz/22226111 (2026) #BigTits #Creampie #Hardcore #Bigass #RIPNSFW</v>
      </c>
      <c r="N18" s="2" t="s">
        <v>108</v>
      </c>
      <c r="O18" s="30" t="s">
        <v>109</v>
      </c>
      <c r="P18" s="26"/>
      <c r="R18" s="23"/>
    </row>
    <row r="19" spans="1:27" ht="12.75">
      <c r="A19" s="6" t="s">
        <v>110</v>
      </c>
      <c r="B19" s="6" t="s">
        <v>14</v>
      </c>
      <c r="C19" s="7" t="str">
        <f t="shared" si="0"/>
        <v xml:space="preserve">Alanna Pow </v>
      </c>
      <c r="D19" s="24" t="s">
        <v>111</v>
      </c>
      <c r="E19" s="25" t="s">
        <v>112</v>
      </c>
      <c r="F19" s="9" t="str">
        <f ca="1">IFERROR(__xludf.DUMMYFUNCTION("""https://streamtape.com/v/""&amp;
REGEXEXTRACT(O19,""/thumb/([^/]+)/"")&amp;
""/""&amp;K19"),"https://streamtape.com/v/KeZoqGMBWxt0kkb/25567227")</f>
        <v>https://streamtape.com/v/KeZoqGMBWxt0kkb/25567227</v>
      </c>
      <c r="G19" s="10" t="e">
        <f t="shared" ca="1" si="1"/>
        <v>#NAME?</v>
      </c>
      <c r="H19" s="11" t="str">
        <f ca="1">IFERROR(__xludf.DUMMYFUNCTION("IFERROR(SUBSTITUTE(SUBSTITUTE(REGEXEXTRACT(A19, ""[^-]+- [^-]+- [^-]+ - (.+?)\.jpg""), "".jpg"", """"), ""-"", "", ""), """")"),"")</f>
        <v/>
      </c>
      <c r="I19" s="6"/>
      <c r="J19" s="7" t="str">
        <f t="shared" ca="1" si="2"/>
        <v>(2026)</v>
      </c>
      <c r="K19" s="7" t="str">
        <f t="shared" si="3"/>
        <v>25567227</v>
      </c>
      <c r="L19" s="12" t="s">
        <v>81</v>
      </c>
      <c r="M19" s="13" t="str">
        <f ca="1">IFERROR(__xludf.DUMMYFUNCTION("TRIM(
  REGEXREPLACE(
    TEXTJOIN("" "",
      TRUE,
      B19,
      C19,
      embaralharLinks(E19,F19,G19),
      H19,
      """",
      J19,
      N19,
      ""#RIPNSFW""
    ),
  "",\s*"", "" "")
)"),"{New} Alanna Pow https://streamtape.com/v/KeZoqGMBWxt0kkb/25567227 https://doodstream.com/d/q3xj05tknxyh/25567227 https://lulustream.com/d/3dajng3aeqm0 (2026) #BigTits #Bigass #Teen #Blowjob #RIPNSFW")</f>
        <v>{New} Alanna Pow https://streamtape.com/v/KeZoqGMBWxt0kkb/25567227 https://doodstream.com/d/q3xj05tknxyh/25567227 https://lulustream.com/d/3dajng3aeqm0 (2026) #BigTits #Bigass #Teen #Blowjob #RIPNSFW</v>
      </c>
      <c r="N19" s="31" t="s">
        <v>82</v>
      </c>
      <c r="O19" s="32" t="s">
        <v>113</v>
      </c>
      <c r="P19" s="26"/>
      <c r="Q19" s="6"/>
      <c r="R19" s="11"/>
      <c r="S19" s="6"/>
      <c r="T19" s="6"/>
      <c r="U19" s="6"/>
      <c r="V19" s="6"/>
      <c r="W19" s="6"/>
      <c r="X19" s="6"/>
      <c r="Y19" s="6"/>
      <c r="Z19" s="6"/>
      <c r="AA19" s="6"/>
    </row>
    <row r="20" spans="1:27" ht="12.75">
      <c r="A20" s="12" t="s">
        <v>114</v>
      </c>
      <c r="B20" s="6" t="s">
        <v>14</v>
      </c>
      <c r="C20" s="7" t="str">
        <f t="shared" si="0"/>
        <v xml:space="preserve">Alanna Pow </v>
      </c>
      <c r="D20" s="27" t="s">
        <v>115</v>
      </c>
      <c r="E20" s="28" t="s">
        <v>116</v>
      </c>
      <c r="F20" s="9" t="str">
        <f ca="1">IFERROR(__xludf.DUMMYFUNCTION("""https://streamtape.com/v/""&amp;
REGEXEXTRACT(O20,""/thumb/([^/]+)/"")&amp;
""/""&amp;K20"),"https://streamtape.com/v/mrm67xrV8oTbKpV/26155010")</f>
        <v>https://streamtape.com/v/mrm67xrV8oTbKpV/26155010</v>
      </c>
      <c r="G20" s="10" t="e">
        <f t="shared" ca="1" si="1"/>
        <v>#NAME?</v>
      </c>
      <c r="H20" s="11" t="str">
        <f ca="1">IFERROR(__xludf.DUMMYFUNCTION("IFERROR(SUBSTITUTE(SUBSTITUTE(REGEXEXTRACT(A20, ""[^-]+- [^-]+- [^-]+ - (.+?)\.jpg""), "".jpg"", """"), ""-"", "", ""), """")"),"")</f>
        <v/>
      </c>
      <c r="I20" s="6"/>
      <c r="J20" s="7" t="str">
        <f t="shared" ca="1" si="2"/>
        <v>(2026)</v>
      </c>
      <c r="K20" s="7" t="str">
        <f t="shared" si="3"/>
        <v>26155010</v>
      </c>
      <c r="L20" s="12" t="s">
        <v>117</v>
      </c>
      <c r="M20" s="13" t="str">
        <f ca="1">IFERROR(__xludf.DUMMYFUNCTION("TRIM(
  REGEXREPLACE(
    TEXTJOIN("" "",
      TRUE,
      B20,
      C20,
      embaralharLinks(E20,F20,G20),
      H20,
      """",
      J20,
      N20,
      ""#RIPNSFW""
    ),
  "",\s*"", "" "")
)"),"{New} Alanna Pow https://doodstream.com/d/ztvzkgn3o0cf/26155010 https://streamtape.com/v/mrm67xrV8oTbKpV/26155010 https://lulustream.com/d/670hw3e5b3mo (2026) #BigTits #MILF #Hardcore #Bigass #RIPNSFW")</f>
        <v>{New} Alanna Pow https://doodstream.com/d/ztvzkgn3o0cf/26155010 https://streamtape.com/v/mrm67xrV8oTbKpV/26155010 https://lulustream.com/d/670hw3e5b3mo (2026) #BigTits #MILF #Hardcore #Bigass #RIPNSFW</v>
      </c>
      <c r="N20" s="2" t="s">
        <v>118</v>
      </c>
      <c r="O20" s="30" t="s">
        <v>119</v>
      </c>
      <c r="P20" s="26"/>
      <c r="R20" s="23"/>
    </row>
    <row r="21" spans="1:27" ht="12.75">
      <c r="A21" s="6" t="s">
        <v>120</v>
      </c>
      <c r="B21" s="6" t="s">
        <v>14</v>
      </c>
      <c r="C21" s="7" t="str">
        <f t="shared" si="0"/>
        <v xml:space="preserve">Alanna Pow </v>
      </c>
      <c r="D21" s="24" t="s">
        <v>121</v>
      </c>
      <c r="E21" s="25" t="s">
        <v>122</v>
      </c>
      <c r="F21" s="9" t="str">
        <f ca="1">IFERROR(__xludf.DUMMYFUNCTION("""https://streamtape.com/v/""&amp;
REGEXEXTRACT(O21,""/thumb/([^/]+)/"")&amp;
""/""&amp;K21"),"https://streamtape.com/v/92x72B1oVpT6AY/27269863")</f>
        <v>https://streamtape.com/v/92x72B1oVpT6AY/27269863</v>
      </c>
      <c r="G21" s="10" t="e">
        <f t="shared" ca="1" si="1"/>
        <v>#NAME?</v>
      </c>
      <c r="H21" s="11" t="str">
        <f ca="1">IFERROR(__xludf.DUMMYFUNCTION("IFERROR(SUBSTITUTE(SUBSTITUTE(REGEXEXTRACT(A21, ""[^-]+- [^-]+- [^-]+ - (.+?)\.jpg""), "".jpg"", """"), ""-"", "", ""), """")"),"")</f>
        <v/>
      </c>
      <c r="I21" s="6"/>
      <c r="J21" s="7" t="str">
        <f t="shared" ca="1" si="2"/>
        <v>(2026)</v>
      </c>
      <c r="K21" s="7" t="str">
        <f t="shared" si="3"/>
        <v>27269863</v>
      </c>
      <c r="L21" s="12" t="s">
        <v>81</v>
      </c>
      <c r="M21" s="13" t="str">
        <f ca="1">IFERROR(__xludf.DUMMYFUNCTION("TRIM(
  REGEXREPLACE(
    TEXTJOIN("" "",
      TRUE,
      B21,
      C21,
      embaralharLinks(E21,F21,G21),
      H21,
      """",
      J21,
      N21,
      ""#RIPNSFW""
    ),
  "",\s*"", "" "")
)"),"{New} Alanna Pow https://lulustream.com/d/k1yvixzldcw8 https://doodstream.com/d/tsuzf5cud37n/27269863 https://streamtape.com/v/92x72B1oVpT6AY/27269863 (2026) #BigTits #Bigass #Teen #Blowjob #RIPNSFW")</f>
        <v>{New} Alanna Pow https://lulustream.com/d/k1yvixzldcw8 https://doodstream.com/d/tsuzf5cud37n/27269863 https://streamtape.com/v/92x72B1oVpT6AY/27269863 (2026) #BigTits #Bigass #Teen #Blowjob #RIPNSFW</v>
      </c>
      <c r="N21" s="31" t="s">
        <v>82</v>
      </c>
      <c r="O21" s="15" t="s">
        <v>123</v>
      </c>
      <c r="P21" s="26"/>
      <c r="Q21" s="6"/>
      <c r="R21" s="11"/>
      <c r="S21" s="6"/>
      <c r="T21" s="6"/>
      <c r="U21" s="6"/>
      <c r="V21" s="6"/>
      <c r="W21" s="6"/>
      <c r="X21" s="6"/>
      <c r="Y21" s="6"/>
      <c r="Z21" s="6"/>
      <c r="AA21" s="6"/>
    </row>
    <row r="22" spans="1:27" ht="12.75">
      <c r="A22" s="12" t="s">
        <v>124</v>
      </c>
      <c r="B22" s="6" t="s">
        <v>14</v>
      </c>
      <c r="C22" s="7" t="str">
        <f t="shared" si="0"/>
        <v xml:space="preserve">Alanna Pow </v>
      </c>
      <c r="D22" s="27" t="s">
        <v>125</v>
      </c>
      <c r="E22" s="28" t="s">
        <v>126</v>
      </c>
      <c r="F22" s="9" t="str">
        <f ca="1">IFERROR(__xludf.DUMMYFUNCTION("""https://streamtape.com/v/""&amp;
REGEXEXTRACT(O22,""/thumb/([^/]+)/"")&amp;
""/""&amp;K22"),"https://streamtape.com/v/aYzDX643xqhx1Z9/37317864")</f>
        <v>https://streamtape.com/v/aYzDX643xqhx1Z9/37317864</v>
      </c>
      <c r="G22" s="10" t="e">
        <f t="shared" ca="1" si="1"/>
        <v>#NAME?</v>
      </c>
      <c r="H22" s="11" t="str">
        <f ca="1">IFERROR(__xludf.DUMMYFUNCTION("IFERROR(SUBSTITUTE(SUBSTITUTE(REGEXEXTRACT(A22, ""[^-]+- [^-]+- [^-]+ - (.+?)\.jpg""), "".jpg"", """"), ""-"", "", ""), """")"),"")</f>
        <v/>
      </c>
      <c r="I22" s="6"/>
      <c r="J22" s="7" t="str">
        <f t="shared" ca="1" si="2"/>
        <v>(2026)</v>
      </c>
      <c r="K22" s="7" t="str">
        <f t="shared" si="3"/>
        <v>37317864</v>
      </c>
      <c r="L22" s="12" t="s">
        <v>127</v>
      </c>
      <c r="M22" s="13" t="str">
        <f ca="1">IFERROR(__xludf.DUMMYFUNCTION("TRIM(
  REGEXREPLACE(
    TEXTJOIN("" "",
      TRUE,
      B22,
      C22,
      embaralharLinks(E22,F22,G22),
      H22,
      """",
      J22,
      N22,
      ""#RIPNSFW""
    ),
  "",\s*"", "" "")
)"),"{New} Alanna Pow https://doodstream.com/d/90kstdunkxjq/37317864 https://streamtape.com/v/aYzDX643xqhx1Z9/37317864 https://lulustream.com/d/agigw3u8dcg1 (2026) #MILF #BigTits #Hardcore #Bigass #RIPNSFW")</f>
        <v>{New} Alanna Pow https://doodstream.com/d/90kstdunkxjq/37317864 https://streamtape.com/v/aYzDX643xqhx1Z9/37317864 https://lulustream.com/d/agigw3u8dcg1 (2026) #MILF #BigTits #Hardcore #Bigass #RIPNSFW</v>
      </c>
      <c r="N22" s="2" t="s">
        <v>128</v>
      </c>
      <c r="O22" s="21" t="s">
        <v>129</v>
      </c>
      <c r="P22" s="26"/>
      <c r="R22" s="23"/>
    </row>
    <row r="23" spans="1:27" ht="12.75">
      <c r="A23" s="6" t="s">
        <v>130</v>
      </c>
      <c r="B23" s="6" t="s">
        <v>14</v>
      </c>
      <c r="C23" s="7" t="str">
        <f t="shared" si="0"/>
        <v xml:space="preserve">Alanna Pow </v>
      </c>
      <c r="D23" s="6" t="s">
        <v>131</v>
      </c>
      <c r="E23" s="8" t="s">
        <v>132</v>
      </c>
      <c r="F23" s="9" t="str">
        <f ca="1">IFERROR(__xludf.DUMMYFUNCTION("""https://streamtape.com/v/""&amp;
REGEXEXTRACT(O23,""/thumb/([^/]+)/"")&amp;
""/""&amp;K23"),"https://streamtape.com/v/w7vRjBeyaZfJ88W/37925673")</f>
        <v>https://streamtape.com/v/w7vRjBeyaZfJ88W/37925673</v>
      </c>
      <c r="G23" s="10" t="e">
        <f t="shared" ca="1" si="1"/>
        <v>#NAME?</v>
      </c>
      <c r="H23" s="11" t="str">
        <f ca="1">IFERROR(__xludf.DUMMYFUNCTION("IFERROR(SUBSTITUTE(SUBSTITUTE(REGEXEXTRACT(A23, ""[^-]+- [^-]+- [^-]+ - (.+?)\.jpg""), "".jpg"", """"), ""-"", "", ""), """")"),"")</f>
        <v/>
      </c>
      <c r="I23" s="6"/>
      <c r="J23" s="7" t="str">
        <f t="shared" ca="1" si="2"/>
        <v>(2026)</v>
      </c>
      <c r="K23" s="7" t="str">
        <f t="shared" si="3"/>
        <v>37925673</v>
      </c>
      <c r="L23" s="12" t="s">
        <v>133</v>
      </c>
      <c r="M23" s="13" t="str">
        <f ca="1">IFERROR(__xludf.DUMMYFUNCTION("TRIM(
  REGEXREPLACE(
    TEXTJOIN("" "",
      TRUE,
      B23,
      C23,
      embaralharLinks(E23,F23,G23),
      H23,
      """",
      J23,
      N23,
      ""#RIPNSFW""
    ),
  "",\s*"", "" "")
)"),"{New} Alanna Pow https://streamtape.com/v/w7vRjBeyaZfJ88W/37925673 https://doodstream.com/d/ipv0wku6p57d/37925673 https://lulustream.com/d/o4mlp4evm3wy (2026) #MILF #BigTits #Hardcore #Black #Interracial #Bigass #Teen #Blowjob #Amateur #RIPNSFW")</f>
        <v>{New} Alanna Pow https://streamtape.com/v/w7vRjBeyaZfJ88W/37925673 https://doodstream.com/d/ipv0wku6p57d/37925673 https://lulustream.com/d/o4mlp4evm3wy (2026) #MILF #BigTits #Hardcore #Black #Interracial #Bigass #Teen #Blowjob #Amateur #RIPNSFW</v>
      </c>
      <c r="N23" s="14" t="s">
        <v>134</v>
      </c>
      <c r="O23" s="33" t="s">
        <v>135</v>
      </c>
      <c r="P23" s="14"/>
      <c r="Q23" s="6"/>
      <c r="R23" s="11"/>
      <c r="S23" s="6"/>
      <c r="T23" s="6"/>
      <c r="U23" s="6"/>
      <c r="V23" s="6"/>
      <c r="W23" s="6"/>
      <c r="X23" s="6"/>
      <c r="Y23" s="6"/>
      <c r="Z23" s="6"/>
      <c r="AA23" s="6"/>
    </row>
    <row r="24" spans="1:27" ht="12.75">
      <c r="A24" s="12" t="s">
        <v>136</v>
      </c>
      <c r="B24" s="6" t="s">
        <v>14</v>
      </c>
      <c r="C24" s="7" t="str">
        <f t="shared" si="0"/>
        <v xml:space="preserve">Alanna Pow </v>
      </c>
      <c r="D24" s="24" t="s">
        <v>137</v>
      </c>
      <c r="E24" s="25" t="s">
        <v>138</v>
      </c>
      <c r="F24" s="9" t="str">
        <f ca="1">IFERROR(__xludf.DUMMYFUNCTION("""https://streamtape.com/v/""&amp;
REGEXEXTRACT(O24,""/thumb/([^/]+)/"")&amp;
""/""&amp;K24"),"https://streamtape.com/v/XgRG33lLAZsgpv/38181644")</f>
        <v>https://streamtape.com/v/XgRG33lLAZsgpv/38181644</v>
      </c>
      <c r="G24" s="10" t="e">
        <f t="shared" ca="1" si="1"/>
        <v>#NAME?</v>
      </c>
      <c r="H24" s="11" t="str">
        <f ca="1">IFERROR(__xludf.DUMMYFUNCTION("IFERROR(SUBSTITUTE(SUBSTITUTE(REGEXEXTRACT(A24, ""[^-]+- [^-]+- [^-]+ - (.+?)\.jpg""), "".jpg"", """"), ""-"", "", ""), """")"),"")</f>
        <v/>
      </c>
      <c r="I24" s="6"/>
      <c r="J24" s="7" t="str">
        <f t="shared" ca="1" si="2"/>
        <v>(2026)</v>
      </c>
      <c r="K24" s="7" t="str">
        <f t="shared" si="3"/>
        <v>38181644</v>
      </c>
      <c r="L24" s="12" t="s">
        <v>81</v>
      </c>
      <c r="M24" s="13" t="str">
        <f ca="1">IFERROR(__xludf.DUMMYFUNCTION("TRIM(
  REGEXREPLACE(
    TEXTJOIN("" "",
      TRUE,
      B24,
      C24,
      embaralharLinks(E24,F24,G24),
      H24,
      """",
      J24,
      N24,
      ""#RIPNSFW""
    ),
  "",\s*"", "" "")
)"),"{New} Alanna Pow https://doodstream.com/d/25o4hpmqzo7z/38181644 https://streamtape.com/v/XgRG33lLAZsgpv/38181644 https://lulustream.com/d/0heg056665vg (2026) #BigTits #Bigass #Teen #Blowjob #RIPNSFW")</f>
        <v>{New} Alanna Pow https://doodstream.com/d/25o4hpmqzo7z/38181644 https://streamtape.com/v/XgRG33lLAZsgpv/38181644 https://lulustream.com/d/0heg056665vg (2026) #BigTits #Bigass #Teen #Blowjob #RIPNSFW</v>
      </c>
      <c r="N24" s="2" t="s">
        <v>82</v>
      </c>
      <c r="O24" s="21" t="s">
        <v>139</v>
      </c>
      <c r="P24" s="26"/>
      <c r="R24" s="23"/>
      <c r="T24" s="6"/>
      <c r="U24" s="7"/>
    </row>
    <row r="25" spans="1:27" ht="12.75">
      <c r="A25" s="12" t="s">
        <v>140</v>
      </c>
      <c r="B25" s="6" t="s">
        <v>14</v>
      </c>
      <c r="C25" s="7" t="str">
        <f t="shared" si="0"/>
        <v xml:space="preserve">Alanna Pow </v>
      </c>
      <c r="D25" s="24" t="s">
        <v>141</v>
      </c>
      <c r="E25" s="25" t="s">
        <v>142</v>
      </c>
      <c r="F25" s="9" t="str">
        <f ca="1">IFERROR(__xludf.DUMMYFUNCTION("""https://streamtape.com/v/""&amp;
REGEXEXTRACT(O25,""/thumb/([^/]+)/"")&amp;
""/""&amp;K25"),"https://streamtape.com/v/yAwVJpaXxzI1W4A/38679952")</f>
        <v>https://streamtape.com/v/yAwVJpaXxzI1W4A/38679952</v>
      </c>
      <c r="G25" s="10" t="e">
        <f t="shared" ca="1" si="1"/>
        <v>#NAME?</v>
      </c>
      <c r="H25" s="11" t="str">
        <f ca="1">IFERROR(__xludf.DUMMYFUNCTION("IFERROR(SUBSTITUTE(SUBSTITUTE(REGEXEXTRACT(A25, ""[^-]+- [^-]+- [^-]+ - (.+?)\.jpg""), "".jpg"", """"), ""-"", "", ""), """")"),"")</f>
        <v/>
      </c>
      <c r="I25" s="6"/>
      <c r="J25" s="7" t="str">
        <f t="shared" ca="1" si="2"/>
        <v>(2026)</v>
      </c>
      <c r="K25" s="7" t="str">
        <f t="shared" si="3"/>
        <v>38679952</v>
      </c>
      <c r="L25" s="12" t="s">
        <v>81</v>
      </c>
      <c r="M25" s="13" t="str">
        <f ca="1">IFERROR(__xludf.DUMMYFUNCTION("TRIM(
  REGEXREPLACE(
    TEXTJOIN("" "",
      TRUE,
      B25,
      C25,
      embaralharLinks(E25,F25,G25),
      H25,
      """",
      J25,
      N25,
      ""#RIPNSFW""
    ),
  "",\s*"", "" "")
)"),"{New} Alanna Pow https://lulustream.com/d/mrnyv6gmxp1f https://doodstream.com/d/0it670gat4vl/38679952 https://streamtape.com/v/yAwVJpaXxzI1W4A/38679952 (2026) #BigTits #Bigass #Teen #Blowjob #RIPNSFW")</f>
        <v>{New} Alanna Pow https://lulustream.com/d/mrnyv6gmxp1f https://doodstream.com/d/0it670gat4vl/38679952 https://streamtape.com/v/yAwVJpaXxzI1W4A/38679952 (2026) #BigTits #Bigass #Teen #Blowjob #RIPNSFW</v>
      </c>
      <c r="N25" s="2" t="s">
        <v>82</v>
      </c>
      <c r="O25" s="21" t="s">
        <v>143</v>
      </c>
      <c r="P25" s="26"/>
      <c r="R25" s="23"/>
      <c r="T25" s="6"/>
      <c r="U25" s="7"/>
    </row>
    <row r="26" spans="1:27" ht="12.75">
      <c r="A26" s="12" t="s">
        <v>144</v>
      </c>
      <c r="B26" s="6" t="s">
        <v>14</v>
      </c>
      <c r="C26" s="7" t="str">
        <f t="shared" si="0"/>
        <v xml:space="preserve">Alanna Pow </v>
      </c>
      <c r="D26" s="24" t="s">
        <v>145</v>
      </c>
      <c r="E26" s="25" t="s">
        <v>146</v>
      </c>
      <c r="F26" s="9" t="str">
        <f ca="1">IFERROR(__xludf.DUMMYFUNCTION("""https://streamtape.com/v/""&amp;
REGEXEXTRACT(O26,""/thumb/([^/]+)/"")&amp;
""/""&amp;K26"),"https://streamtape.com/v/JX7xbVjV1ysZ6r/54503023")</f>
        <v>https://streamtape.com/v/JX7xbVjV1ysZ6r/54503023</v>
      </c>
      <c r="G26" s="10" t="e">
        <f t="shared" ca="1" si="1"/>
        <v>#NAME?</v>
      </c>
      <c r="H26" s="11" t="str">
        <f ca="1">IFERROR(__xludf.DUMMYFUNCTION("IFERROR(SUBSTITUTE(SUBSTITUTE(REGEXEXTRACT(A26, ""[^-]+- [^-]+- [^-]+ - (.+?)\.jpg""), "".jpg"", """"), ""-"", "", ""), """")"),"")</f>
        <v/>
      </c>
      <c r="I26" s="6"/>
      <c r="J26" s="7" t="str">
        <f t="shared" ca="1" si="2"/>
        <v>(2026)</v>
      </c>
      <c r="K26" s="7" t="str">
        <f t="shared" si="3"/>
        <v>54503023</v>
      </c>
      <c r="L26" s="12" t="s">
        <v>81</v>
      </c>
      <c r="M26" s="13" t="str">
        <f ca="1">IFERROR(__xludf.DUMMYFUNCTION("TRIM(
  REGEXREPLACE(
    TEXTJOIN("" "",
      TRUE,
      B26,
      C26,
      embaralharLinks(E26,F26,G26),
      H26,
      """",
      J26,
      N26,
      ""#RIPNSFW""
    ),
  "",\s*"", "" "")
)"),"{New} Alanna Pow https://doodstream.com/d/jmcjx10qnbrc/54503023 https://lulustream.com/d/wz3eb9qspm5d https://streamtape.com/v/JX7xbVjV1ysZ6r/54503023 (2026) #BigTits #Bigass #Teen #Blowjob #RIPNSFW")</f>
        <v>{New} Alanna Pow https://doodstream.com/d/jmcjx10qnbrc/54503023 https://lulustream.com/d/wz3eb9qspm5d https://streamtape.com/v/JX7xbVjV1ysZ6r/54503023 (2026) #BigTits #Bigass #Teen #Blowjob #RIPNSFW</v>
      </c>
      <c r="N26" s="2" t="s">
        <v>82</v>
      </c>
      <c r="O26" s="21" t="s">
        <v>147</v>
      </c>
      <c r="P26" s="26"/>
      <c r="R26" s="23"/>
    </row>
    <row r="27" spans="1:27" ht="12.75">
      <c r="A27" s="12" t="s">
        <v>148</v>
      </c>
      <c r="B27" s="6" t="s">
        <v>14</v>
      </c>
      <c r="C27" s="7" t="str">
        <f t="shared" si="0"/>
        <v xml:space="preserve">Alanna Pow </v>
      </c>
      <c r="D27" s="24" t="s">
        <v>149</v>
      </c>
      <c r="E27" s="25" t="s">
        <v>150</v>
      </c>
      <c r="F27" s="9" t="str">
        <f ca="1">IFERROR(__xludf.DUMMYFUNCTION("""https://streamtape.com/v/""&amp;
REGEXEXTRACT(O27,""/thumb/([^/]+)/"")&amp;
""/""&amp;K27"),"https://streamtape.com/v/082qbZXgjAcb1Db/54606458")</f>
        <v>https://streamtape.com/v/082qbZXgjAcb1Db/54606458</v>
      </c>
      <c r="G27" s="10" t="e">
        <f t="shared" ca="1" si="1"/>
        <v>#NAME?</v>
      </c>
      <c r="H27" s="11" t="str">
        <f ca="1">IFERROR(__xludf.DUMMYFUNCTION("IFERROR(SUBSTITUTE(SUBSTITUTE(REGEXEXTRACT(A27, ""[^-]+- [^-]+- [^-]+ - (.+?)\.jpg""), "".jpg"", """"), ""-"", "", ""), """")"),"")</f>
        <v/>
      </c>
      <c r="I27" s="6"/>
      <c r="J27" s="7" t="str">
        <f t="shared" ca="1" si="2"/>
        <v>(2026)</v>
      </c>
      <c r="K27" s="7" t="str">
        <f t="shared" si="3"/>
        <v>54606458</v>
      </c>
      <c r="L27" s="12" t="s">
        <v>81</v>
      </c>
      <c r="M27" s="13" t="str">
        <f ca="1">IFERROR(__xludf.DUMMYFUNCTION("TRIM(
  REGEXREPLACE(
    TEXTJOIN("" "",
      TRUE,
      B27,
      C27,
      embaralharLinks(E27,F27,G27),
      H27,
      """",
      J27,
      N27,
      ""#RIPNSFW""
    ),
  "",\s*"", "" "")
)"),"{New} Alanna Pow https://doodstream.com/d/xxlwjgm20d7x/54606458 https://lulustream.com/d/qnootfyydx1n https://streamtape.com/v/082qbZXgjAcb1Db/54606458 (2026) #BigTits #Bigass #Teen #Blowjob #RIPNSFW")</f>
        <v>{New} Alanna Pow https://doodstream.com/d/xxlwjgm20d7x/54606458 https://lulustream.com/d/qnootfyydx1n https://streamtape.com/v/082qbZXgjAcb1Db/54606458 (2026) #BigTits #Bigass #Teen #Blowjob #RIPNSFW</v>
      </c>
      <c r="N27" s="2" t="s">
        <v>82</v>
      </c>
      <c r="O27" s="21" t="s">
        <v>151</v>
      </c>
      <c r="P27" s="26"/>
      <c r="R27" s="23"/>
    </row>
    <row r="28" spans="1:27" ht="12.75">
      <c r="A28" s="6" t="s">
        <v>152</v>
      </c>
      <c r="B28" s="6" t="s">
        <v>14</v>
      </c>
      <c r="C28" s="7" t="str">
        <f t="shared" si="0"/>
        <v xml:space="preserve">Alanna Pow </v>
      </c>
      <c r="D28" s="6" t="s">
        <v>153</v>
      </c>
      <c r="E28" s="25" t="s">
        <v>154</v>
      </c>
      <c r="F28" s="9" t="str">
        <f ca="1">IFERROR(__xludf.DUMMYFUNCTION("""https://streamtape.com/v/""&amp;
REGEXEXTRACT(O28,""/thumb/([^/]+)/"")&amp;
""/""&amp;K28"),"https://streamtape.com/v/ykJapV24dRF1DBD/61011031")</f>
        <v>https://streamtape.com/v/ykJapV24dRF1DBD/61011031</v>
      </c>
      <c r="G28" s="10" t="e">
        <f t="shared" ca="1" si="1"/>
        <v>#NAME?</v>
      </c>
      <c r="H28" s="11" t="str">
        <f ca="1">IFERROR(__xludf.DUMMYFUNCTION("IFERROR(SUBSTITUTE(SUBSTITUTE(REGEXEXTRACT(A28, ""[^-]+- [^-]+- [^-]+ - (.+?)\.jpg""), "".jpg"", """"), ""-"", "", ""), """")"),"Lena the plug")</f>
        <v>Lena the plug</v>
      </c>
      <c r="I28" s="6"/>
      <c r="J28" s="7" t="str">
        <f t="shared" ca="1" si="2"/>
        <v>(2026)</v>
      </c>
      <c r="K28" s="7" t="str">
        <f t="shared" si="3"/>
        <v>61011031</v>
      </c>
      <c r="L28" s="12" t="s">
        <v>155</v>
      </c>
      <c r="M28" s="13" t="str">
        <f ca="1">IFERROR(__xludf.DUMMYFUNCTION("TRIM(
  REGEXREPLACE(
    TEXTJOIN("" "",
      TRUE,
      B28,
      C28,
      embaralharLinks(E28,F28,G28),
      H28,
      """",
      J28,
      N28,
      ""#RIPNSFW""
    ),
  "",\s*"", "" "")
)"),"{New} Alanna Pow https://streamtape.com/v/ykJapV24dRF1DBD/61011031 https://doodstream.com/d/t4cw7igq24kl/61011031 https://lulustream.com/d/nd8bgmvefkyv Lena the plug (2026) #MILF #BigTits #Hardcore #Threesome #Bigass #Teen #Blowjob #RIPNSFW")</f>
        <v>{New} Alanna Pow https://streamtape.com/v/ykJapV24dRF1DBD/61011031 https://doodstream.com/d/t4cw7igq24kl/61011031 https://lulustream.com/d/nd8bgmvefkyv Lena the plug (2026) #MILF #BigTits #Hardcore #Threesome #Bigass #Teen #Blowjob #RIPNSFW</v>
      </c>
      <c r="N28" s="14" t="s">
        <v>156</v>
      </c>
      <c r="O28" s="15" t="s">
        <v>157</v>
      </c>
      <c r="P28" s="14"/>
      <c r="Q28" s="6"/>
      <c r="R28" s="11"/>
      <c r="S28" s="6"/>
      <c r="T28" s="6"/>
      <c r="U28" s="6"/>
      <c r="V28" s="6"/>
      <c r="W28" s="6"/>
      <c r="X28" s="6"/>
      <c r="Y28" s="6"/>
      <c r="Z28" s="6"/>
      <c r="AA28" s="6"/>
    </row>
    <row r="29" spans="1:27" ht="12.75">
      <c r="A29" s="6" t="s">
        <v>158</v>
      </c>
      <c r="B29" s="6" t="s">
        <v>14</v>
      </c>
      <c r="C29" s="7" t="str">
        <f t="shared" si="0"/>
        <v xml:space="preserve">Alanna Pow </v>
      </c>
      <c r="D29" s="6" t="s">
        <v>159</v>
      </c>
      <c r="E29" s="8" t="s">
        <v>160</v>
      </c>
      <c r="F29" s="9" t="str">
        <f ca="1">IFERROR(__xludf.DUMMYFUNCTION("""https://streamtape.com/v/""&amp;
REGEXEXTRACT(O29,""/thumb/([^/]+)/"")&amp;
""/""&amp;K29"),"https://streamtape.com/v/oMbdogoq7PcJzVR/62436241")</f>
        <v>https://streamtape.com/v/oMbdogoq7PcJzVR/62436241</v>
      </c>
      <c r="G29" s="10" t="e">
        <f t="shared" ca="1" si="1"/>
        <v>#NAME?</v>
      </c>
      <c r="H29" s="11" t="str">
        <f ca="1">IFERROR(__xludf.DUMMYFUNCTION("IFERROR(SUBSTITUTE(SUBSTITUTE(REGEXEXTRACT(A29, ""[^-]+- [^-]+- [^-]+ - (.+?)\.jpg""), "".jpg"", """"), ""-"", "", ""), """")"),"")</f>
        <v/>
      </c>
      <c r="I29" s="6"/>
      <c r="J29" s="7" t="str">
        <f t="shared" ca="1" si="2"/>
        <v>(2026)</v>
      </c>
      <c r="K29" s="7" t="str">
        <f t="shared" si="3"/>
        <v>62436241</v>
      </c>
      <c r="L29" s="12" t="s">
        <v>161</v>
      </c>
      <c r="M29" s="13" t="str">
        <f ca="1">IFERROR(__xludf.DUMMYFUNCTION("TRIM(
  REGEXREPLACE(
    TEXTJOIN("" "",
      TRUE,
      B29,
      C29,
      embaralharLinks(E29,F29,G29),
      H29,
      """",
      J29,
      N29,
      ""#RIPNSFW""
    ),
  "",\s*"", "" "")
)"),"{New} Alanna Pow https://lulustream.com/d/6kinxp49ummh https://streamtape.com/v/oMbdogoq7PcJzVR/62436241 https://doodstream.com/d/pgk741qzghdi/62436241 (2026) #BigTits #Hardcore #Bigass #Teen #Blowjob #RIPNSFW")</f>
        <v>{New} Alanna Pow https://lulustream.com/d/6kinxp49ummh https://streamtape.com/v/oMbdogoq7PcJzVR/62436241 https://doodstream.com/d/pgk741qzghdi/62436241 (2026) #BigTits #Hardcore #Bigass #Teen #Blowjob #RIPNSFW</v>
      </c>
      <c r="N29" s="14" t="s">
        <v>162</v>
      </c>
      <c r="O29" s="15" t="s">
        <v>163</v>
      </c>
      <c r="P29" s="14"/>
      <c r="Q29" s="6"/>
      <c r="R29" s="11"/>
      <c r="S29" s="6"/>
      <c r="T29" s="6"/>
      <c r="U29" s="6"/>
      <c r="V29" s="6"/>
      <c r="W29" s="6"/>
      <c r="X29" s="6"/>
      <c r="Y29" s="6"/>
      <c r="Z29" s="6"/>
      <c r="AA29" s="6"/>
    </row>
    <row r="30" spans="1:27" ht="12.75">
      <c r="A30" s="12" t="s">
        <v>164</v>
      </c>
      <c r="B30" s="6" t="s">
        <v>14</v>
      </c>
      <c r="C30" s="7" t="str">
        <f t="shared" si="0"/>
        <v xml:space="preserve">Alanna Pow </v>
      </c>
      <c r="D30" s="24" t="s">
        <v>165</v>
      </c>
      <c r="E30" s="25" t="s">
        <v>166</v>
      </c>
      <c r="F30" s="9" t="str">
        <f ca="1">IFERROR(__xludf.DUMMYFUNCTION("""https://streamtape.com/v/""&amp;
REGEXEXTRACT(O30,""/thumb/([^/]+)/"")&amp;
""/""&amp;K30"),"https://streamtape.com/v/lxyd9VjLZxu7pMQ/62968616")</f>
        <v>https://streamtape.com/v/lxyd9VjLZxu7pMQ/62968616</v>
      </c>
      <c r="G30" s="10" t="e">
        <f t="shared" ca="1" si="1"/>
        <v>#NAME?</v>
      </c>
      <c r="H30" s="11" t="str">
        <f ca="1">IFERROR(__xludf.DUMMYFUNCTION("IFERROR(SUBSTITUTE(SUBSTITUTE(REGEXEXTRACT(A30, ""[^-]+- [^-]+- [^-]+ - (.+?)\.jpg""), "".jpg"", """"), ""-"", "", ""), """")"),"")</f>
        <v/>
      </c>
      <c r="I30" s="6"/>
      <c r="J30" s="7" t="str">
        <f t="shared" ca="1" si="2"/>
        <v>(2026)</v>
      </c>
      <c r="K30" s="7" t="str">
        <f t="shared" si="3"/>
        <v>62968616</v>
      </c>
      <c r="L30" s="12" t="s">
        <v>81</v>
      </c>
      <c r="M30" s="13" t="str">
        <f ca="1">IFERROR(__xludf.DUMMYFUNCTION("TRIM(
  REGEXREPLACE(
    TEXTJOIN("" "",
      TRUE,
      B30,
      C30,
      embaralharLinks(E30,F30,G30),
      H30,
      """",
      J30,
      N30,
      ""#RIPNSFW""
    ),
  "",\s*"", "" "")
)"),"{New} Alanna Pow https://doodstream.com/d/wg30ws65tlsl/62968616 https://streamtape.com/v/lxyd9VjLZxu7pMQ/62968616 https://lulustream.com/d/hq2ek4yamn5m (2026) #BigTits #Bigass #Teen #Blowjob #RIPNSFW")</f>
        <v>{New} Alanna Pow https://doodstream.com/d/wg30ws65tlsl/62968616 https://streamtape.com/v/lxyd9VjLZxu7pMQ/62968616 https://lulustream.com/d/hq2ek4yamn5m (2026) #BigTits #Bigass #Teen #Blowjob #RIPNSFW</v>
      </c>
      <c r="N30" s="2" t="s">
        <v>82</v>
      </c>
      <c r="O30" s="21" t="s">
        <v>167</v>
      </c>
      <c r="P30" s="26"/>
      <c r="R30" s="23"/>
      <c r="T30" s="6"/>
      <c r="U30" s="7"/>
    </row>
    <row r="31" spans="1:27" ht="12.75">
      <c r="A31" s="8" t="s">
        <v>168</v>
      </c>
      <c r="B31" s="6" t="s">
        <v>14</v>
      </c>
      <c r="C31" s="7" t="str">
        <f t="shared" si="0"/>
        <v xml:space="preserve">Alanna Pow </v>
      </c>
      <c r="D31" s="6" t="s">
        <v>169</v>
      </c>
      <c r="E31" s="8" t="s">
        <v>170</v>
      </c>
      <c r="F31" s="9" t="str">
        <f ca="1">IFERROR(__xludf.DUMMYFUNCTION("""https://streamtape.com/v/""&amp;
REGEXEXTRACT(O31,""/thumb/([^/]+)/"")&amp;
""/""&amp;K31"),"https://streamtape.com/v/kDgmb2y6wasO2QL/63393477")</f>
        <v>https://streamtape.com/v/kDgmb2y6wasO2QL/63393477</v>
      </c>
      <c r="G31" s="10" t="e">
        <f t="shared" ca="1" si="1"/>
        <v>#NAME?</v>
      </c>
      <c r="H31" s="11" t="str">
        <f ca="1">IFERROR(__xludf.DUMMYFUNCTION("IFERROR(SUBSTITUTE(SUBSTITUTE(REGEXEXTRACT(A31, ""[^-]+- [^-]+- [^-]+ - (.+?)\.jpg""), "".jpg"", """"), ""-"", "", ""), """")"),"")</f>
        <v/>
      </c>
      <c r="I31" s="6"/>
      <c r="J31" s="7" t="str">
        <f t="shared" ca="1" si="2"/>
        <v>(2026)</v>
      </c>
      <c r="K31" s="7" t="str">
        <f t="shared" si="3"/>
        <v>63393477</v>
      </c>
      <c r="L31" s="12" t="s">
        <v>171</v>
      </c>
      <c r="M31" s="13" t="str">
        <f ca="1">IFERROR(__xludf.DUMMYFUNCTION("TRIM(
  REGEXREPLACE(
    TEXTJOIN("" "",
      TRUE,
      B31,
      C31,
      embaralharLinks(E31,F31,G31),
      H31,
      """",
      J31,
      N31,
      ""#RIPNSFW""
    ),
  "",\s*"", "" "")
)"),"{New} Alanna Pow https://doodstream.com/d/5k393rfh3ehj/63393477 https://lulustream.com/d/7rmboytus18b https://streamtape.com/v/kDgmb2y6wasO2QL/63393477 (2026) #BigTits #Hardcore #Bigass #Teen #Artporn #RIPNSFW")</f>
        <v>{New} Alanna Pow https://doodstream.com/d/5k393rfh3ehj/63393477 https://lulustream.com/d/7rmboytus18b https://streamtape.com/v/kDgmb2y6wasO2QL/63393477 (2026) #BigTits #Hardcore #Bigass #Teen #Artporn #RIPNSFW</v>
      </c>
      <c r="N31" s="14" t="s">
        <v>172</v>
      </c>
      <c r="O31" s="15" t="s">
        <v>173</v>
      </c>
      <c r="P31" s="14"/>
      <c r="Q31" s="6"/>
      <c r="R31" s="11"/>
      <c r="S31" s="6"/>
      <c r="T31" s="6"/>
      <c r="U31" s="6"/>
      <c r="V31" s="6"/>
      <c r="W31" s="6"/>
      <c r="X31" s="6"/>
      <c r="Y31" s="6"/>
      <c r="Z31" s="6"/>
      <c r="AA31" s="6"/>
    </row>
    <row r="32" spans="1:27" ht="12.75">
      <c r="A32" s="6" t="s">
        <v>174</v>
      </c>
      <c r="B32" s="6" t="s">
        <v>14</v>
      </c>
      <c r="C32" s="7" t="str">
        <f t="shared" si="0"/>
        <v xml:space="preserve">Alanna Pow </v>
      </c>
      <c r="D32" s="6" t="s">
        <v>175</v>
      </c>
      <c r="E32" s="8" t="s">
        <v>176</v>
      </c>
      <c r="F32" s="9" t="str">
        <f ca="1">IFERROR(__xludf.DUMMYFUNCTION("""https://streamtape.com/v/""&amp;
REGEXEXTRACT(O32,""/thumb/([^/]+)/"")&amp;
""/""&amp;K32"),"https://streamtape.com/v/XzXKqJlK3oSDqle/65492185")</f>
        <v>https://streamtape.com/v/XzXKqJlK3oSDqle/65492185</v>
      </c>
      <c r="G32" s="10" t="e">
        <f t="shared" ca="1" si="1"/>
        <v>#NAME?</v>
      </c>
      <c r="H32" s="11" t="str">
        <f ca="1">IFERROR(__xludf.DUMMYFUNCTION("IFERROR(SUBSTITUTE(SUBSTITUTE(REGEXEXTRACT(A32, ""[^-]+- [^-]+- [^-]+ - (.+?)\.jpg""), "".jpg"", """"), ""-"", "", ""), """")"),"")</f>
        <v/>
      </c>
      <c r="I32" s="6"/>
      <c r="J32" s="7" t="str">
        <f t="shared" ca="1" si="2"/>
        <v>(2026)</v>
      </c>
      <c r="K32" s="7" t="str">
        <f t="shared" si="3"/>
        <v>65492185</v>
      </c>
      <c r="L32" s="12" t="s">
        <v>177</v>
      </c>
      <c r="M32" s="13" t="str">
        <f ca="1">IFERROR(__xludf.DUMMYFUNCTION("TRIM(
  REGEXREPLACE(
    TEXTJOIN("" "",
      TRUE,
      B32,
      C32,
      embaralharLinks(E32,F32,G32),
      H32,
      """",
      J32,
      N32,
      ""#RIPNSFW""
    ),
  "",\s*"", "" "")
)"),"{New} Alanna Pow https://doodstream.com/d/ccukxnfsif65/65492185 https://lulustream.com/d/eez691u865ep https://streamtape.com/v/XzXKqJlK3oSDqle/65492185 (2026) #BigTits #Hardcore #Bigass #Teen #Blowjob #Amateur #Facial #RIPNSFW")</f>
        <v>{New} Alanna Pow https://doodstream.com/d/ccukxnfsif65/65492185 https://lulustream.com/d/eez691u865ep https://streamtape.com/v/XzXKqJlK3oSDqle/65492185 (2026) #BigTits #Hardcore #Bigass #Teen #Blowjob #Amateur #Facial #RIPNSFW</v>
      </c>
      <c r="N32" s="14" t="s">
        <v>178</v>
      </c>
      <c r="O32" s="15" t="s">
        <v>179</v>
      </c>
      <c r="P32" s="14"/>
      <c r="Q32" s="6"/>
      <c r="R32" s="11"/>
      <c r="S32" s="6"/>
      <c r="T32" s="6"/>
      <c r="U32" s="6"/>
      <c r="V32" s="6"/>
      <c r="W32" s="6"/>
      <c r="X32" s="6"/>
      <c r="Y32" s="6"/>
      <c r="Z32" s="6"/>
      <c r="AA32" s="6"/>
    </row>
    <row r="33" spans="1:27" ht="12.75">
      <c r="A33" s="6" t="s">
        <v>180</v>
      </c>
      <c r="B33" s="6" t="s">
        <v>14</v>
      </c>
      <c r="C33" s="7" t="str">
        <f t="shared" si="0"/>
        <v xml:space="preserve">Alanna Pow </v>
      </c>
      <c r="D33" s="6" t="s">
        <v>181</v>
      </c>
      <c r="E33" s="8" t="s">
        <v>182</v>
      </c>
      <c r="F33" s="9" t="str">
        <f ca="1">IFERROR(__xludf.DUMMYFUNCTION("""https://streamtape.com/v/""&amp;
REGEXEXTRACT(O33,""/thumb/([^/]+)/"")&amp;
""/""&amp;K33"),"https://streamtape.com/v/Ww1m9vRPK1fqwK/67907097")</f>
        <v>https://streamtape.com/v/Ww1m9vRPK1fqwK/67907097</v>
      </c>
      <c r="G33" s="10" t="e">
        <f t="shared" ca="1" si="1"/>
        <v>#NAME?</v>
      </c>
      <c r="H33" s="11" t="str">
        <f ca="1">IFERROR(__xludf.DUMMYFUNCTION("IFERROR(SUBSTITUTE(SUBSTITUTE(REGEXEXTRACT(A33, ""[^-]+- [^-]+- [^-]+ - (.+?)\.jpg""), "".jpg"", """"), ""-"", "", ""), """")"),"")</f>
        <v/>
      </c>
      <c r="I33" s="6"/>
      <c r="J33" s="7" t="str">
        <f t="shared" ca="1" si="2"/>
        <v>(2026)</v>
      </c>
      <c r="K33" s="7" t="str">
        <f t="shared" si="3"/>
        <v>67907097</v>
      </c>
      <c r="L33" s="12" t="s">
        <v>183</v>
      </c>
      <c r="M33" s="13" t="str">
        <f ca="1">IFERROR(__xludf.DUMMYFUNCTION("TRIM(
  REGEXREPLACE(
    TEXTJOIN("" "",
      TRUE,
      B33,
      C33,
      embaralharLinks(E33,F33,G33),
      H33,
      """",
      J33,
      N33,
      ""#RIPNSFW""
    ),
  "",\s*"", "" "")
)"),"{New} Alanna Pow https://streamtape.com/v/Ww1m9vRPK1fqwK/67907097 https://lulustream.com/d/dat15ogft72x https://doodstream.com/d/vr4cu9g6r3bp/67907097 (2026) #BigTits #Creampie #Hardcore #Bigass #Teen #Blowjob #RIPNSFW")</f>
        <v>{New} Alanna Pow https://streamtape.com/v/Ww1m9vRPK1fqwK/67907097 https://lulustream.com/d/dat15ogft72x https://doodstream.com/d/vr4cu9g6r3bp/67907097 (2026) #BigTits #Creampie #Hardcore #Bigass #Teen #Blowjob #RIPNSFW</v>
      </c>
      <c r="N33" s="14" t="s">
        <v>24</v>
      </c>
      <c r="O33" s="15" t="s">
        <v>184</v>
      </c>
      <c r="P33" s="14"/>
      <c r="Q33" s="6"/>
      <c r="R33" s="11"/>
      <c r="S33" s="6"/>
      <c r="T33" s="6"/>
      <c r="U33" s="6"/>
      <c r="V33" s="6"/>
      <c r="W33" s="6"/>
      <c r="X33" s="6"/>
      <c r="Y33" s="6"/>
      <c r="Z33" s="6"/>
      <c r="AA33" s="6"/>
    </row>
    <row r="34" spans="1:27" ht="12.75">
      <c r="A34" s="12" t="s">
        <v>185</v>
      </c>
      <c r="B34" s="6" t="s">
        <v>14</v>
      </c>
      <c r="C34" s="7" t="str">
        <f t="shared" si="0"/>
        <v xml:space="preserve">Alanna Pow </v>
      </c>
      <c r="D34" s="24" t="s">
        <v>186</v>
      </c>
      <c r="E34" s="25" t="s">
        <v>187</v>
      </c>
      <c r="F34" s="9" t="str">
        <f ca="1">IFERROR(__xludf.DUMMYFUNCTION("""https://streamtape.com/v/""&amp;
REGEXEXTRACT(O34,""/thumb/([^/]+)/"")&amp;
""/""&amp;K34"),"https://streamtape.com/v/ZPopRlqxXbCoMB/69979470")</f>
        <v>https://streamtape.com/v/ZPopRlqxXbCoMB/69979470</v>
      </c>
      <c r="G34" s="10" t="e">
        <f t="shared" ca="1" si="1"/>
        <v>#NAME?</v>
      </c>
      <c r="H34" s="11" t="str">
        <f ca="1">IFERROR(__xludf.DUMMYFUNCTION("IFERROR(SUBSTITUTE(SUBSTITUTE(REGEXEXTRACT(A34, ""[^-]+- [^-]+- [^-]+ - (.+?)\.jpg""), "".jpg"", """"), ""-"", "", ""), """")"),"")</f>
        <v/>
      </c>
      <c r="I34" s="6"/>
      <c r="J34" s="7" t="str">
        <f t="shared" ca="1" si="2"/>
        <v>(2026)</v>
      </c>
      <c r="K34" s="7" t="str">
        <f t="shared" si="3"/>
        <v>69979470</v>
      </c>
      <c r="L34" s="12" t="s">
        <v>81</v>
      </c>
      <c r="M34" s="13" t="str">
        <f ca="1">IFERROR(__xludf.DUMMYFUNCTION("TRIM(
  REGEXREPLACE(
    TEXTJOIN("" "",
      TRUE,
      B34,
      C34,
      embaralharLinks(E34,F34,G34),
      H34,
      """",
      J34,
      N34,
      ""#RIPNSFW""
    ),
  "",\s*"", "" "")
)"),"{New} Alanna Pow https://doodstream.com/d/60ve1m8rumvx/69979470 https://lulustream.com/d/f7w5iqfwefo5 https://streamtape.com/v/ZPopRlqxXbCoMB/69979470 (2026) #BigTits #Bigass #Teen #Blowjob #RIPNSFW")</f>
        <v>{New} Alanna Pow https://doodstream.com/d/60ve1m8rumvx/69979470 https://lulustream.com/d/f7w5iqfwefo5 https://streamtape.com/v/ZPopRlqxXbCoMB/69979470 (2026) #BigTits #Bigass #Teen #Blowjob #RIPNSFW</v>
      </c>
      <c r="N34" s="2" t="s">
        <v>82</v>
      </c>
      <c r="O34" s="30" t="s">
        <v>188</v>
      </c>
      <c r="P34" s="26"/>
      <c r="R34" s="23"/>
    </row>
    <row r="35" spans="1:27" ht="12.75">
      <c r="A35" s="6" t="s">
        <v>189</v>
      </c>
      <c r="B35" s="6" t="s">
        <v>14</v>
      </c>
      <c r="C35" s="7" t="str">
        <f t="shared" si="0"/>
        <v xml:space="preserve">Alanna Pow </v>
      </c>
      <c r="D35" s="6" t="s">
        <v>190</v>
      </c>
      <c r="E35" s="8" t="s">
        <v>191</v>
      </c>
      <c r="F35" s="9" t="str">
        <f ca="1">IFERROR(__xludf.DUMMYFUNCTION("""https://streamtape.com/v/""&amp;
REGEXEXTRACT(O35,""/thumb/([^/]+)/"")&amp;
""/""&amp;K35"),"https://streamtape.com/v/mgY1oyd4Ogsb3V3/71566037")</f>
        <v>https://streamtape.com/v/mgY1oyd4Ogsb3V3/71566037</v>
      </c>
      <c r="G35" s="10" t="e">
        <f t="shared" ca="1" si="1"/>
        <v>#NAME?</v>
      </c>
      <c r="H35" s="11" t="str">
        <f ca="1">IFERROR(__xludf.DUMMYFUNCTION("IFERROR(SUBSTITUTE(SUBSTITUTE(REGEXEXTRACT(A35, ""[^-]+- [^-]+- [^-]+ - (.+?)\.jpg""), "".jpg"", """"), ""-"", "", ""), """")"),"")</f>
        <v/>
      </c>
      <c r="I35" s="6"/>
      <c r="J35" s="7" t="str">
        <f t="shared" ca="1" si="2"/>
        <v>(2026)</v>
      </c>
      <c r="K35" s="7" t="str">
        <f t="shared" si="3"/>
        <v>71566037</v>
      </c>
      <c r="L35" s="12" t="s">
        <v>192</v>
      </c>
      <c r="M35" s="13" t="str">
        <f ca="1">IFERROR(__xludf.DUMMYFUNCTION("TRIM(
  REGEXREPLACE(
    TEXTJOIN("" "",
      TRUE,
      B35,
      C35,
      embaralharLinks(E35,F35,G35),
      H35,
      """",
      J35,
      N35,
      ""#RIPNSFW""
    ),
  "",\s*"", "" "")
)"),"{New} Alanna Pow https://doodstream.com/d/jp88l39qrrxj/71566037 https://lulustream.com/d/5vxzigynjn98 https://streamtape.com/v/mgY1oyd4Ogsb3V3/71566037 (2026) #BigTits #Hardcore #Bigass #Teen #Blowjob #Amateur #RIPNSFW")</f>
        <v>{New} Alanna Pow https://doodstream.com/d/jp88l39qrrxj/71566037 https://lulustream.com/d/5vxzigynjn98 https://streamtape.com/v/mgY1oyd4Ogsb3V3/71566037 (2026) #BigTits #Hardcore #Bigass #Teen #Blowjob #Amateur #RIPNSFW</v>
      </c>
      <c r="N35" s="14" t="s">
        <v>193</v>
      </c>
      <c r="O35" s="15" t="s">
        <v>194</v>
      </c>
      <c r="P35" s="14"/>
      <c r="Q35" s="6"/>
      <c r="R35" s="11"/>
      <c r="S35" s="6"/>
      <c r="T35" s="6"/>
      <c r="U35" s="6"/>
      <c r="V35" s="6"/>
      <c r="W35" s="6"/>
      <c r="X35" s="6"/>
      <c r="Y35" s="6"/>
      <c r="Z35" s="6"/>
      <c r="AA35" s="6"/>
    </row>
    <row r="36" spans="1:27" ht="12.75">
      <c r="A36" s="6" t="s">
        <v>195</v>
      </c>
      <c r="B36" s="6" t="s">
        <v>14</v>
      </c>
      <c r="C36" s="7" t="str">
        <f t="shared" si="0"/>
        <v xml:space="preserve">Alanna Pow </v>
      </c>
      <c r="D36" s="6" t="s">
        <v>196</v>
      </c>
      <c r="E36" s="8" t="s">
        <v>197</v>
      </c>
      <c r="F36" s="9" t="str">
        <f ca="1">IFERROR(__xludf.DUMMYFUNCTION("""https://streamtape.com/v/""&amp;
REGEXEXTRACT(O36,""/thumb/([^/]+)/"")&amp;
""/""&amp;K36"),"https://streamtape.com/v/3ab30K1bWySDZD/72639064")</f>
        <v>https://streamtape.com/v/3ab30K1bWySDZD/72639064</v>
      </c>
      <c r="G36" s="10" t="e">
        <f t="shared" ca="1" si="1"/>
        <v>#NAME?</v>
      </c>
      <c r="H36" s="11" t="str">
        <f ca="1">IFERROR(__xludf.DUMMYFUNCTION("IFERROR(SUBSTITUTE(SUBSTITUTE(REGEXEXTRACT(A36, ""[^-]+- [^-]+- [^-]+ - (.+?)\.jpg""), "".jpg"", """"), ""-"", "", ""), """")"),"")</f>
        <v/>
      </c>
      <c r="I36" s="6"/>
      <c r="J36" s="7" t="str">
        <f t="shared" ca="1" si="2"/>
        <v>(2026)</v>
      </c>
      <c r="K36" s="7" t="str">
        <f t="shared" si="3"/>
        <v>72639064</v>
      </c>
      <c r="L36" s="12" t="s">
        <v>198</v>
      </c>
      <c r="M36" s="13" t="str">
        <f ca="1">IFERROR(__xludf.DUMMYFUNCTION("TRIM(
  REGEXREPLACE(
    TEXTJOIN("" "",
      TRUE,
      B36,
      C36,
      embaralharLinks(E36,F36,G36),
      H36,
      """",
      J36,
      N36,
      ""#RIPNSFW""
    ),
  "",\s*"", "" "")
)"),"{New} Alanna Pow https://streamtape.com/v/3ab30K1bWySDZD/72639064 https://lulustream.com/d/repjq78qcmaw https://doodstream.com/d/fks6fq0j3ayc/72639064 (2026) #BigTits #Hardcore #Bigass #Teen #Blowjob #RIPNSFW")</f>
        <v>{New} Alanna Pow https://streamtape.com/v/3ab30K1bWySDZD/72639064 https://lulustream.com/d/repjq78qcmaw https://doodstream.com/d/fks6fq0j3ayc/72639064 (2026) #BigTits #Hardcore #Bigass #Teen #Blowjob #RIPNSFW</v>
      </c>
      <c r="N36" s="14" t="s">
        <v>162</v>
      </c>
      <c r="O36" s="15" t="s">
        <v>199</v>
      </c>
      <c r="P36" s="14"/>
      <c r="Q36" s="6"/>
      <c r="R36" s="11"/>
      <c r="S36" s="6"/>
      <c r="T36" s="6"/>
      <c r="U36" s="6"/>
      <c r="V36" s="6"/>
      <c r="W36" s="6"/>
      <c r="X36" s="6"/>
      <c r="Y36" s="6"/>
      <c r="Z36" s="6"/>
      <c r="AA36" s="6"/>
    </row>
    <row r="37" spans="1:27" ht="12.75">
      <c r="A37" s="6" t="s">
        <v>200</v>
      </c>
      <c r="B37" s="6" t="s">
        <v>14</v>
      </c>
      <c r="C37" s="7" t="str">
        <f t="shared" si="0"/>
        <v xml:space="preserve">Alanna Pow </v>
      </c>
      <c r="D37" s="24" t="s">
        <v>201</v>
      </c>
      <c r="E37" s="25" t="s">
        <v>202</v>
      </c>
      <c r="F37" s="9" t="str">
        <f ca="1">IFERROR(__xludf.DUMMYFUNCTION("""https://streamtape.com/v/""&amp;
REGEXEXTRACT(O37,""/thumb/([^/]+)/"")&amp;
""/""&amp;K37"),"https://streamtape.com/v/e3Dva9KD1OTmwe/72645909")</f>
        <v>https://streamtape.com/v/e3Dva9KD1OTmwe/72645909</v>
      </c>
      <c r="G37" s="10" t="e">
        <f t="shared" ca="1" si="1"/>
        <v>#NAME?</v>
      </c>
      <c r="H37" s="11" t="str">
        <f ca="1">IFERROR(__xludf.DUMMYFUNCTION("IFERROR(SUBSTITUTE(SUBSTITUTE(REGEXEXTRACT(A37, ""[^-]+- [^-]+- [^-]+ - (.+?)\.jpg""), "".jpg"", """"), ""-"", "", ""), """")"),"")</f>
        <v/>
      </c>
      <c r="I37" s="6"/>
      <c r="J37" s="7" t="str">
        <f t="shared" ca="1" si="2"/>
        <v>(2026)</v>
      </c>
      <c r="K37" s="7" t="str">
        <f t="shared" si="3"/>
        <v>72645909</v>
      </c>
      <c r="L37" s="12" t="s">
        <v>81</v>
      </c>
      <c r="M37" s="13" t="str">
        <f ca="1">IFERROR(__xludf.DUMMYFUNCTION("TRIM(
  REGEXREPLACE(
    TEXTJOIN("" "",
      TRUE,
      B37,
      C37,
      embaralharLinks(E37,F37,G37),
      H37,
      """",
      J37,
      N37,
      ""#RIPNSFW""
    ),
  "",\s*"", "" "")
)"),"{New} Alanna Pow https://lulustream.com/d/5gyjbuhx4h2c https://streamtape.com/v/e3Dva9KD1OTmwe/72645909 https://doodstream.com/d/skr79wkziy0d/72645909 (2026) #BigTits #Bigass #Teen #Blowjob #RIPNSFW")</f>
        <v>{New} Alanna Pow https://lulustream.com/d/5gyjbuhx4h2c https://streamtape.com/v/e3Dva9KD1OTmwe/72645909 https://doodstream.com/d/skr79wkziy0d/72645909 (2026) #BigTits #Bigass #Teen #Blowjob #RIPNSFW</v>
      </c>
      <c r="N37" s="31" t="s">
        <v>82</v>
      </c>
      <c r="O37" s="32" t="s">
        <v>203</v>
      </c>
      <c r="P37" s="26"/>
      <c r="Q37" s="6"/>
      <c r="R37" s="11"/>
      <c r="S37" s="6"/>
      <c r="T37" s="6"/>
      <c r="U37" s="6"/>
      <c r="V37" s="6"/>
      <c r="W37" s="6"/>
      <c r="X37" s="6"/>
      <c r="Y37" s="6"/>
      <c r="Z37" s="6"/>
      <c r="AA37" s="6"/>
    </row>
    <row r="38" spans="1:27" ht="12.75">
      <c r="A38" s="12" t="s">
        <v>204</v>
      </c>
      <c r="B38" s="6" t="s">
        <v>14</v>
      </c>
      <c r="C38" s="7" t="str">
        <f t="shared" si="0"/>
        <v xml:space="preserve">Alanna Pow </v>
      </c>
      <c r="D38" s="27" t="s">
        <v>205</v>
      </c>
      <c r="E38" s="28" t="s">
        <v>206</v>
      </c>
      <c r="F38" s="9" t="str">
        <f ca="1">IFERROR(__xludf.DUMMYFUNCTION("""https://streamtape.com/v/""&amp;
REGEXEXTRACT(O38,""/thumb/([^/]+)/"")&amp;
""/""&amp;K38"),"https://streamtape.com/v/PLxK7p2l9JS0QvK/73449975")</f>
        <v>https://streamtape.com/v/PLxK7p2l9JS0QvK/73449975</v>
      </c>
      <c r="G38" s="10" t="e">
        <f t="shared" ca="1" si="1"/>
        <v>#NAME?</v>
      </c>
      <c r="H38" s="11" t="str">
        <f ca="1">IFERROR(__xludf.DUMMYFUNCTION("IFERROR(SUBSTITUTE(SUBSTITUTE(REGEXEXTRACT(A38, ""[^-]+- [^-]+- [^-]+ - (.+?)\.jpg""), "".jpg"", """"), ""-"", "", ""), """")"),"")</f>
        <v/>
      </c>
      <c r="I38" s="6"/>
      <c r="J38" s="7" t="str">
        <f t="shared" ca="1" si="2"/>
        <v>(2026)</v>
      </c>
      <c r="K38" s="7" t="str">
        <f t="shared" si="3"/>
        <v>73449975</v>
      </c>
      <c r="L38" s="12" t="s">
        <v>207</v>
      </c>
      <c r="M38" s="13" t="str">
        <f ca="1">IFERROR(__xludf.DUMMYFUNCTION("TRIM(
  REGEXREPLACE(
    TEXTJOIN("" "",
      TRUE,
      B38,
      C38,
      embaralharLinks(E38,F38,G38),
      H38,
      """",
      J38,
      N38,
      ""#RIPNSFW""
    ),
  "",\s*"", "" "")
)"),"{New} Alanna Pow https://doodstream.com/d/wjk5xqxhiaxc/73449975 https://streamtape.com/v/PLxK7p2l9JS0QvK/73449975 https://lulustream.com/d/ga7di1cb78vv (2026) #BigTits #Hardcore #Bigass #Teen #RIPNSFW")</f>
        <v>{New} Alanna Pow https://doodstream.com/d/wjk5xqxhiaxc/73449975 https://streamtape.com/v/PLxK7p2l9JS0QvK/73449975 https://lulustream.com/d/ga7di1cb78vv (2026) #BigTits #Hardcore #Bigass #Teen #RIPNSFW</v>
      </c>
      <c r="N38" s="2" t="s">
        <v>208</v>
      </c>
      <c r="O38" s="30" t="s">
        <v>209</v>
      </c>
      <c r="P38" s="26"/>
      <c r="R38" s="23"/>
    </row>
    <row r="39" spans="1:27" ht="12.75">
      <c r="A39" s="6" t="s">
        <v>210</v>
      </c>
      <c r="B39" s="6" t="s">
        <v>14</v>
      </c>
      <c r="C39" s="7" t="str">
        <f t="shared" si="0"/>
        <v xml:space="preserve">Alanna Pow </v>
      </c>
      <c r="D39" s="6" t="s">
        <v>211</v>
      </c>
      <c r="E39" s="8" t="s">
        <v>212</v>
      </c>
      <c r="F39" s="9" t="str">
        <f ca="1">IFERROR(__xludf.DUMMYFUNCTION("""https://streamtape.com/v/""&amp;
REGEXEXTRACT(O39,""/thumb/([^/]+)/"")&amp;
""/""&amp;K39"),"https://streamtape.com/v/xowdjrVJGKfkb1A/77110509")</f>
        <v>https://streamtape.com/v/xowdjrVJGKfkb1A/77110509</v>
      </c>
      <c r="G39" s="10" t="e">
        <f t="shared" ca="1" si="1"/>
        <v>#NAME?</v>
      </c>
      <c r="H39" s="11" t="str">
        <f ca="1">IFERROR(__xludf.DUMMYFUNCTION("IFERROR(SUBSTITUTE(SUBSTITUTE(REGEXEXTRACT(A39, ""[^-]+- [^-]+- [^-]+ - (.+?)\.jpg""), "".jpg"", """"), ""-"", "", ""), """")"),"")</f>
        <v/>
      </c>
      <c r="I39" s="6"/>
      <c r="J39" s="7" t="str">
        <f t="shared" ca="1" si="2"/>
        <v>(2026)</v>
      </c>
      <c r="K39" s="7" t="str">
        <f t="shared" si="3"/>
        <v>77110509</v>
      </c>
      <c r="L39" s="12" t="s">
        <v>183</v>
      </c>
      <c r="M39" s="13" t="str">
        <f ca="1">IFERROR(__xludf.DUMMYFUNCTION("TRIM(
  REGEXREPLACE(
    TEXTJOIN("" "",
      TRUE,
      B39,
      C39,
      embaralharLinks(E39,F39,G39),
      H39,
      """",
      J39,
      N39,
      ""#RIPNSFW""
    ),
  "",\s*"", "" "")
)"),"{New} Alanna Pow https://streamtape.com/v/xowdjrVJGKfkb1A/77110509 https://lulustream.com/d/h3ip8zl4hjvi https://doodstream.com/d/lo75arpa05jl/77110509 (2026) #BigTits #Creampie #Hardcore #Bigass #Teen #Blowjob #Amateur #RIPNSFW")</f>
        <v>{New} Alanna Pow https://streamtape.com/v/xowdjrVJGKfkb1A/77110509 https://lulustream.com/d/h3ip8zl4hjvi https://doodstream.com/d/lo75arpa05jl/77110509 (2026) #BigTits #Creampie #Hardcore #Bigass #Teen #Blowjob #Amateur #RIPNSFW</v>
      </c>
      <c r="N39" s="14" t="s">
        <v>213</v>
      </c>
      <c r="O39" s="15" t="s">
        <v>214</v>
      </c>
      <c r="P39" s="14"/>
      <c r="Q39" s="6"/>
      <c r="R39" s="11"/>
      <c r="S39" s="6"/>
      <c r="T39" s="6"/>
      <c r="U39" s="6"/>
      <c r="V39" s="6"/>
      <c r="W39" s="6"/>
      <c r="X39" s="6"/>
      <c r="Y39" s="6"/>
      <c r="Z39" s="6"/>
      <c r="AA39" s="6"/>
    </row>
    <row r="40" spans="1:27" ht="12.75">
      <c r="A40" s="12" t="s">
        <v>215</v>
      </c>
      <c r="B40" s="6" t="s">
        <v>14</v>
      </c>
      <c r="C40" s="7" t="str">
        <f t="shared" si="0"/>
        <v xml:space="preserve">Alanna Pow </v>
      </c>
      <c r="D40" s="24" t="s">
        <v>216</v>
      </c>
      <c r="E40" s="25" t="s">
        <v>217</v>
      </c>
      <c r="F40" s="9" t="str">
        <f ca="1">IFERROR(__xludf.DUMMYFUNCTION("""https://streamtape.com/v/""&amp;
REGEXEXTRACT(O40,""/thumb/([^/]+)/"")&amp;
""/""&amp;K40"),"https://streamtape.com/v/1Amr9mdOkoIewrA/77255491")</f>
        <v>https://streamtape.com/v/1Amr9mdOkoIewrA/77255491</v>
      </c>
      <c r="G40" s="10" t="e">
        <f t="shared" ca="1" si="1"/>
        <v>#NAME?</v>
      </c>
      <c r="H40" s="11" t="str">
        <f ca="1">IFERROR(__xludf.DUMMYFUNCTION("IFERROR(SUBSTITUTE(SUBSTITUTE(REGEXEXTRACT(A40, ""[^-]+- [^-]+- [^-]+ - (.+?)\.jpg""), "".jpg"", """"), ""-"", "", ""), """")"),"")</f>
        <v/>
      </c>
      <c r="I40" s="6"/>
      <c r="J40" s="7" t="str">
        <f t="shared" ca="1" si="2"/>
        <v>(2026)</v>
      </c>
      <c r="K40" s="7" t="str">
        <f t="shared" si="3"/>
        <v>77255491</v>
      </c>
      <c r="L40" s="12" t="s">
        <v>81</v>
      </c>
      <c r="M40" s="13" t="str">
        <f ca="1">IFERROR(__xludf.DUMMYFUNCTION("TRIM(
  REGEXREPLACE(
    TEXTJOIN("" "",
      TRUE,
      B40,
      C40,
      embaralharLinks(E40,F40,G40),
      H40,
      """",
      J40,
      N40,
      ""#RIPNSFW""
    ),
  "",\s*"", "" "")
)"),"{New} Alanna Pow https://doodstream.com/d/n3cnt005y6co/77255491 https://lulustream.com/d/n44rz82hlsvm https://streamtape.com/v/1Amr9mdOkoIewrA/77255491 (2026) #BigTits #Bigass #Teen #Blowjob #RIPNSFW")</f>
        <v>{New} Alanna Pow https://doodstream.com/d/n3cnt005y6co/77255491 https://lulustream.com/d/n44rz82hlsvm https://streamtape.com/v/1Amr9mdOkoIewrA/77255491 (2026) #BigTits #Bigass #Teen #Blowjob #RIPNSFW</v>
      </c>
      <c r="N40" s="2" t="s">
        <v>82</v>
      </c>
      <c r="O40" s="30" t="s">
        <v>218</v>
      </c>
      <c r="P40" s="26"/>
      <c r="R40" s="23"/>
      <c r="T40" s="6"/>
      <c r="U40" s="7"/>
    </row>
    <row r="41" spans="1:27" ht="12.75">
      <c r="A41" s="6" t="s">
        <v>219</v>
      </c>
      <c r="B41" s="6" t="s">
        <v>14</v>
      </c>
      <c r="C41" s="7" t="str">
        <f t="shared" si="0"/>
        <v xml:space="preserve">Alanna Pow </v>
      </c>
      <c r="D41" s="6" t="s">
        <v>220</v>
      </c>
      <c r="E41" s="8" t="s">
        <v>221</v>
      </c>
      <c r="F41" s="9" t="str">
        <f ca="1">IFERROR(__xludf.DUMMYFUNCTION("""https://streamtape.com/v/""&amp;
REGEXEXTRACT(O41,""/thumb/([^/]+)/"")&amp;
""/""&amp;K41"),"https://streamtape.com/v/we1GLVXzg2SVoO/77572365")</f>
        <v>https://streamtape.com/v/we1GLVXzg2SVoO/77572365</v>
      </c>
      <c r="G41" s="10" t="e">
        <f t="shared" ca="1" si="1"/>
        <v>#NAME?</v>
      </c>
      <c r="H41" s="11" t="str">
        <f ca="1">IFERROR(__xludf.DUMMYFUNCTION("IFERROR(SUBSTITUTE(SUBSTITUTE(REGEXEXTRACT(A41, ""[^-]+- [^-]+- [^-]+ - (.+?)\.jpg""), "".jpg"", """"), ""-"", "", ""), """")"),"")</f>
        <v/>
      </c>
      <c r="I41" s="6"/>
      <c r="J41" s="7" t="str">
        <f t="shared" ca="1" si="2"/>
        <v>(2026)</v>
      </c>
      <c r="K41" s="7" t="str">
        <f t="shared" si="3"/>
        <v>77572365</v>
      </c>
      <c r="L41" s="12" t="s">
        <v>161</v>
      </c>
      <c r="M41" s="13" t="str">
        <f ca="1">IFERROR(__xludf.DUMMYFUNCTION("TRIM(
  REGEXREPLACE(
    TEXTJOIN("" "",
      TRUE,
      B41,
      C41,
      embaralharLinks(E41,F41,G41),
      H41,
      """",
      J41,
      N41,
      ""#RIPNSFW""
    ),
  "",\s*"", "" "")
)"),"{New} Alanna Pow https://doodstream.com/d/bva6j26echa2/77572365 https://lulustream.com/d/f5np0s394jla https://streamtape.com/v/we1GLVXzg2SVoO/77572365 (2026) #BigTits #Hardcore #Bigass #Teen #Blowjob #Amateur #Deepthroat #RIPNSFW")</f>
        <v>{New} Alanna Pow https://doodstream.com/d/bva6j26echa2/77572365 https://lulustream.com/d/f5np0s394jla https://streamtape.com/v/we1GLVXzg2SVoO/77572365 (2026) #BigTits #Hardcore #Bigass #Teen #Blowjob #Amateur #Deepthroat #RIPNSFW</v>
      </c>
      <c r="N41" s="14" t="s">
        <v>222</v>
      </c>
      <c r="O41" s="15" t="s">
        <v>223</v>
      </c>
      <c r="P41" s="14"/>
      <c r="Q41" s="6"/>
      <c r="R41" s="11"/>
      <c r="S41" s="6"/>
      <c r="T41" s="6"/>
      <c r="U41" s="6"/>
      <c r="V41" s="6"/>
      <c r="W41" s="6"/>
      <c r="X41" s="6"/>
      <c r="Y41" s="6"/>
      <c r="Z41" s="6"/>
      <c r="AA41" s="6"/>
    </row>
    <row r="42" spans="1:27" ht="12.75">
      <c r="A42" s="12" t="s">
        <v>224</v>
      </c>
      <c r="B42" s="6" t="s">
        <v>14</v>
      </c>
      <c r="C42" s="7" t="str">
        <f t="shared" si="0"/>
        <v xml:space="preserve">Alanna Pow </v>
      </c>
      <c r="D42" s="24" t="s">
        <v>225</v>
      </c>
      <c r="E42" s="25" t="s">
        <v>226</v>
      </c>
      <c r="F42" s="9" t="str">
        <f ca="1">IFERROR(__xludf.DUMMYFUNCTION("""https://streamtape.com/v/""&amp;
REGEXEXTRACT(O42,""/thumb/([^/]+)/"")&amp;
""/""&amp;K42"),"https://streamtape.com/v/warzBvYPL8hJ8yz/78660470")</f>
        <v>https://streamtape.com/v/warzBvYPL8hJ8yz/78660470</v>
      </c>
      <c r="G42" s="10" t="e">
        <f t="shared" ca="1" si="1"/>
        <v>#NAME?</v>
      </c>
      <c r="H42" s="11" t="str">
        <f ca="1">IFERROR(__xludf.DUMMYFUNCTION("IFERROR(SUBSTITUTE(SUBSTITUTE(REGEXEXTRACT(A42, ""[^-]+- [^-]+- [^-]+ - (.+?)\.jpg""), "".jpg"", """"), ""-"", "", ""), """")"),"")</f>
        <v/>
      </c>
      <c r="I42" s="6"/>
      <c r="J42" s="7" t="str">
        <f t="shared" ca="1" si="2"/>
        <v>(2026)</v>
      </c>
      <c r="K42" s="7" t="str">
        <f t="shared" si="3"/>
        <v>78660470</v>
      </c>
      <c r="L42" s="12" t="s">
        <v>81</v>
      </c>
      <c r="M42" s="13" t="str">
        <f ca="1">IFERROR(__xludf.DUMMYFUNCTION("TRIM(
  REGEXREPLACE(
    TEXTJOIN("" "",
      TRUE,
      B42,
      C42,
      embaralharLinks(E42,F42,G42),
      H42,
      """",
      J42,
      N42,
      ""#RIPNSFW""
    ),
  "",\s*"", "" "")
)"),"{New} Alanna Pow https://streamtape.com/v/warzBvYPL8hJ8yz/78660470 https://lulustream.com/d/6sutlqcipmaa https://doodstream.com/d/l2vlihsizlsp/78660470 (2026) #BigTits #Bigass #Teen #Blowjob #RIPNSFW")</f>
        <v>{New} Alanna Pow https://streamtape.com/v/warzBvYPL8hJ8yz/78660470 https://lulustream.com/d/6sutlqcipmaa https://doodstream.com/d/l2vlihsizlsp/78660470 (2026) #BigTits #Bigass #Teen #Blowjob #RIPNSFW</v>
      </c>
      <c r="N42" s="2" t="s">
        <v>82</v>
      </c>
      <c r="O42" s="30" t="s">
        <v>227</v>
      </c>
      <c r="P42" s="26"/>
      <c r="R42" s="23"/>
    </row>
    <row r="43" spans="1:27" ht="12.75">
      <c r="A43" s="6" t="s">
        <v>228</v>
      </c>
      <c r="B43" s="6" t="s">
        <v>14</v>
      </c>
      <c r="C43" s="7" t="str">
        <f t="shared" si="0"/>
        <v xml:space="preserve">Alanna Pow </v>
      </c>
      <c r="D43" s="6" t="s">
        <v>229</v>
      </c>
      <c r="E43" s="8" t="s">
        <v>230</v>
      </c>
      <c r="F43" s="9" t="str">
        <f ca="1">IFERROR(__xludf.DUMMYFUNCTION("""https://streamtape.com/v/""&amp;
REGEXEXTRACT(O43,""/thumb/([^/]+)/"")&amp;
""/""&amp;K43"),"https://streamtape.com/v/MAeAV7PBxwFmb0Z/80920208")</f>
        <v>https://streamtape.com/v/MAeAV7PBxwFmb0Z/80920208</v>
      </c>
      <c r="G43" s="10" t="e">
        <f t="shared" ca="1" si="1"/>
        <v>#NAME?</v>
      </c>
      <c r="H43" s="11" t="str">
        <f ca="1">IFERROR(__xludf.DUMMYFUNCTION("IFERROR(SUBSTITUTE(SUBSTITUTE(REGEXEXTRACT(A43, ""[^-]+- [^-]+- [^-]+ - (.+?)\.jpg""), "".jpg"", """"), ""-"", "", ""), """")"),"")</f>
        <v/>
      </c>
      <c r="I43" s="6"/>
      <c r="J43" s="7" t="str">
        <f t="shared" ca="1" si="2"/>
        <v>(2026)</v>
      </c>
      <c r="K43" s="7" t="str">
        <f t="shared" si="3"/>
        <v>80920208</v>
      </c>
      <c r="L43" s="12" t="s">
        <v>231</v>
      </c>
      <c r="M43" s="13" t="str">
        <f ca="1">IFERROR(__xludf.DUMMYFUNCTION("TRIM(
  REGEXREPLACE(
    TEXTJOIN("" "",
      TRUE,
      B43,
      C43,
      embaralharLinks(E43,F43,G43),
      H43,
      """",
      J43,
      N43,
      ""#RIPNSFW""
    ),
  "",\s*"", "" "")
)"),"{New} Alanna Pow https://streamtape.com/v/MAeAV7PBxwFmb0Z/80920208 https://doodstream.com/d/ii13qj2g8fuz/80920208 https://lulustream.com/d/chd0o20sjqrm (2026) #BigTits #Hardcore #Black #Interracial #Bigass #Teen #Blowjob #Amateur #RIPNSFW")</f>
        <v>{New} Alanna Pow https://streamtape.com/v/MAeAV7PBxwFmb0Z/80920208 https://doodstream.com/d/ii13qj2g8fuz/80920208 https://lulustream.com/d/chd0o20sjqrm (2026) #BigTits #Hardcore #Black #Interracial #Bigass #Teen #Blowjob #Amateur #RIPNSFW</v>
      </c>
      <c r="N43" s="14" t="s">
        <v>232</v>
      </c>
      <c r="O43" s="15" t="s">
        <v>233</v>
      </c>
      <c r="P43" s="14"/>
      <c r="Q43" s="6"/>
      <c r="R43" s="11"/>
      <c r="S43" s="6"/>
      <c r="T43" s="6"/>
      <c r="U43" s="6"/>
      <c r="V43" s="6"/>
      <c r="W43" s="6"/>
      <c r="X43" s="6"/>
      <c r="Y43" s="6"/>
      <c r="Z43" s="6"/>
      <c r="AA43" s="6"/>
    </row>
    <row r="44" spans="1:27" ht="12.75">
      <c r="A44" s="6" t="s">
        <v>234</v>
      </c>
      <c r="B44" s="6" t="s">
        <v>14</v>
      </c>
      <c r="C44" s="7" t="str">
        <f t="shared" si="0"/>
        <v xml:space="preserve">Alanna Pow </v>
      </c>
      <c r="D44" s="29" t="s">
        <v>235</v>
      </c>
      <c r="E44" s="8" t="s">
        <v>236</v>
      </c>
      <c r="F44" s="9" t="str">
        <f ca="1">IFERROR(__xludf.DUMMYFUNCTION("""https://streamtape.com/v/""&amp;
REGEXEXTRACT(O44,""/thumb/([^/]+)/"")&amp;
""/""&amp;K44"),"https://streamtape.com/v/Z3jZOylr2xtqqjm/81325680")</f>
        <v>https://streamtape.com/v/Z3jZOylr2xtqqjm/81325680</v>
      </c>
      <c r="G44" s="10" t="e">
        <f t="shared" ca="1" si="1"/>
        <v>#NAME?</v>
      </c>
      <c r="H44" s="11" t="str">
        <f ca="1">IFERROR(__xludf.DUMMYFUNCTION("IFERROR(SUBSTITUTE(SUBSTITUTE(REGEXEXTRACT(A44, ""[^-]+- [^-]+- [^-]+ - (.+?)\.jpg""), "".jpg"", """"), ""-"", "", ""), """")"),"")</f>
        <v/>
      </c>
      <c r="I44" s="6"/>
      <c r="J44" s="7" t="str">
        <f t="shared" ca="1" si="2"/>
        <v>(2026)</v>
      </c>
      <c r="K44" s="7" t="str">
        <f t="shared" si="3"/>
        <v>81325680</v>
      </c>
      <c r="L44" s="12" t="s">
        <v>237</v>
      </c>
      <c r="M44" s="13" t="str">
        <f ca="1">IFERROR(__xludf.DUMMYFUNCTION("TRIM(
  REGEXREPLACE(
    TEXTJOIN("" "",
      TRUE,
      B44,
      C44,
      embaralharLinks(E44,F44,G44),
      H44,
      """",
      J44,
      N44,
      ""#RIPNSFW""
    ),
  "",\s*"", "" "")
)"),"{New} Alanna Pow https://lulustream.com/d/pud0bkebjtup https://streamtape.com/v/Z3jZOylr2xtqqjm/81325680 https://doodstream.com/d/idgf7lxlmdwy/81325680 (2026) #BigTits #Hardcore #Black #Interracial #Bigass #Teen #Blowjob #Amateur #Deepthroat #Blonde #RIPN"&amp;"SFW")</f>
        <v>{New} Alanna Pow https://lulustream.com/d/pud0bkebjtup https://streamtape.com/v/Z3jZOylr2xtqqjm/81325680 https://doodstream.com/d/idgf7lxlmdwy/81325680 (2026) #BigTits #Hardcore #Black #Interracial #Bigass #Teen #Blowjob #Amateur #Deepthroat #Blonde #RIPNSFW</v>
      </c>
      <c r="N44" s="14" t="s">
        <v>238</v>
      </c>
      <c r="O44" s="32" t="s">
        <v>239</v>
      </c>
      <c r="P44" s="14"/>
      <c r="Q44" s="6"/>
      <c r="R44" s="11"/>
      <c r="S44" s="6"/>
      <c r="T44" s="6"/>
      <c r="U44" s="6"/>
      <c r="V44" s="6"/>
      <c r="W44" s="6"/>
      <c r="X44" s="6"/>
      <c r="Y44" s="6"/>
      <c r="Z44" s="6"/>
      <c r="AA44" s="6"/>
    </row>
    <row r="45" spans="1:27" ht="12.75">
      <c r="A45" s="6" t="s">
        <v>240</v>
      </c>
      <c r="B45" s="6" t="s">
        <v>14</v>
      </c>
      <c r="C45" s="7" t="str">
        <f t="shared" si="0"/>
        <v xml:space="preserve">Alanna Pow </v>
      </c>
      <c r="D45" s="6" t="s">
        <v>241</v>
      </c>
      <c r="E45" s="8" t="s">
        <v>242</v>
      </c>
      <c r="F45" s="9" t="str">
        <f ca="1">IFERROR(__xludf.DUMMYFUNCTION("""https://streamtape.com/v/""&amp;
REGEXEXTRACT(O45,""/thumb/([^/]+)/"")&amp;
""/""&amp;K45"),"https://streamtape.com/v/7Po6mgVeJOtA084/84063058")</f>
        <v>https://streamtape.com/v/7Po6mgVeJOtA084/84063058</v>
      </c>
      <c r="G45" s="10" t="e">
        <f t="shared" ca="1" si="1"/>
        <v>#NAME?</v>
      </c>
      <c r="H45" s="11" t="str">
        <f ca="1">IFERROR(__xludf.DUMMYFUNCTION("IFERROR(SUBSTITUTE(SUBSTITUTE(REGEXEXTRACT(A45, ""[^-]+- [^-]+- [^-]+ - (.+?)\.jpg""), "".jpg"", """"), ""-"", "", ""), """")"),"")</f>
        <v/>
      </c>
      <c r="I45" s="6"/>
      <c r="J45" s="7" t="str">
        <f t="shared" ca="1" si="2"/>
        <v>(2026)</v>
      </c>
      <c r="K45" s="7" t="str">
        <f t="shared" si="3"/>
        <v>84063058</v>
      </c>
      <c r="L45" s="12" t="s">
        <v>243</v>
      </c>
      <c r="M45" s="13" t="str">
        <f ca="1">IFERROR(__xludf.DUMMYFUNCTION("TRIM(
  REGEXREPLACE(
    TEXTJOIN("" "",
      TRUE,
      B45,
      C45,
      embaralharLinks(E45,F45,G45),
      H45,
      """",
      J45,
      N45,
      ""#RIPNSFW""
    ),
  "",\s*"", "" "")
)"),"{New} Alanna Pow https://lulustream.com/d/rj3sc527uqgq https://streamtape.com/v/7Po6mgVeJOtA084/84063058 https://doodstream.com/d/ukhh38ydoxtu/84063058 (2026) #BigTits #Hardcore #Black #Interracial #Bigass #Teen #Blowjob #Amateur #RIPNSFW")</f>
        <v>{New} Alanna Pow https://lulustream.com/d/rj3sc527uqgq https://streamtape.com/v/7Po6mgVeJOtA084/84063058 https://doodstream.com/d/ukhh38ydoxtu/84063058 (2026) #BigTits #Hardcore #Black #Interracial #Bigass #Teen #Blowjob #Amateur #RIPNSFW</v>
      </c>
      <c r="N45" s="14" t="s">
        <v>232</v>
      </c>
      <c r="O45" s="15" t="s">
        <v>244</v>
      </c>
      <c r="P45" s="14"/>
      <c r="Q45" s="6"/>
      <c r="R45" s="11"/>
      <c r="S45" s="6"/>
      <c r="T45" s="6"/>
      <c r="U45" s="6"/>
      <c r="V45" s="6"/>
      <c r="W45" s="6"/>
      <c r="X45" s="6"/>
      <c r="Y45" s="6"/>
      <c r="Z45" s="6"/>
      <c r="AA45" s="6"/>
    </row>
    <row r="46" spans="1:27" ht="12.75">
      <c r="A46" s="12" t="s">
        <v>245</v>
      </c>
      <c r="B46" s="6" t="s">
        <v>14</v>
      </c>
      <c r="C46" s="7" t="str">
        <f t="shared" si="0"/>
        <v xml:space="preserve">Alanna Pow </v>
      </c>
      <c r="D46" s="24" t="s">
        <v>246</v>
      </c>
      <c r="E46" s="25" t="s">
        <v>247</v>
      </c>
      <c r="F46" s="9" t="str">
        <f ca="1">IFERROR(__xludf.DUMMYFUNCTION("""https://streamtape.com/v/""&amp;
REGEXEXTRACT(O46,""/thumb/([^/]+)/"")&amp;
""/""&amp;K46"),"https://streamtape.com/v/ZD426161a2CqJDX/84414746")</f>
        <v>https://streamtape.com/v/ZD426161a2CqJDX/84414746</v>
      </c>
      <c r="G46" s="10" t="e">
        <f t="shared" ca="1" si="1"/>
        <v>#NAME?</v>
      </c>
      <c r="H46" s="11" t="str">
        <f ca="1">IFERROR(__xludf.DUMMYFUNCTION("IFERROR(SUBSTITUTE(SUBSTITUTE(REGEXEXTRACT(A46, ""[^-]+- [^-]+- [^-]+ - (.+?)\.jpg""), "".jpg"", """"), ""-"", "", ""), """")"),"")</f>
        <v/>
      </c>
      <c r="I46" s="6"/>
      <c r="J46" s="7" t="str">
        <f t="shared" ca="1" si="2"/>
        <v>(2026)</v>
      </c>
      <c r="K46" s="7" t="str">
        <f t="shared" si="3"/>
        <v>84414746</v>
      </c>
      <c r="L46" s="12" t="s">
        <v>81</v>
      </c>
      <c r="M46" s="13" t="str">
        <f ca="1">IFERROR(__xludf.DUMMYFUNCTION("TRIM(
  REGEXREPLACE(
    TEXTJOIN("" "",
      TRUE,
      B46,
      C46,
      embaralharLinks(E46,F46,G46),
      H46,
      """",
      J46,
      N46,
      ""#RIPNSFW""
    ),
  "",\s*"", "" "")
)"),"{New} Alanna Pow https://doodstream.com/d/5agd24f6vzee/84414746 https://lulustream.com/d/hjj6wbwncvnm https://streamtape.com/v/ZD426161a2CqJDX/84414746 (2026) #BigTits #Bigass #Teen #Blowjob #RIPNSFW")</f>
        <v>{New} Alanna Pow https://doodstream.com/d/5agd24f6vzee/84414746 https://lulustream.com/d/hjj6wbwncvnm https://streamtape.com/v/ZD426161a2CqJDX/84414746 (2026) #BigTits #Bigass #Teen #Blowjob #RIPNSFW</v>
      </c>
      <c r="N46" s="2" t="s">
        <v>82</v>
      </c>
      <c r="O46" s="30" t="s">
        <v>248</v>
      </c>
      <c r="P46" s="26"/>
      <c r="R46" s="23"/>
    </row>
    <row r="47" spans="1:27" ht="12.75">
      <c r="A47" s="6" t="s">
        <v>249</v>
      </c>
      <c r="B47" s="6" t="s">
        <v>14</v>
      </c>
      <c r="C47" s="7" t="str">
        <f t="shared" si="0"/>
        <v xml:space="preserve">Alanna Pow </v>
      </c>
      <c r="D47" s="29" t="s">
        <v>250</v>
      </c>
      <c r="E47" s="8" t="s">
        <v>251</v>
      </c>
      <c r="F47" s="9" t="str">
        <f ca="1">IFERROR(__xludf.DUMMYFUNCTION("""https://streamtape.com/v/""&amp;
REGEXEXTRACT(O47,""/thumb/([^/]+)/"")&amp;
""/""&amp;K47"),"https://streamtape.com/v/yPm389gA39FKdg/86395221")</f>
        <v>https://streamtape.com/v/yPm389gA39FKdg/86395221</v>
      </c>
      <c r="G47" s="10" t="e">
        <f t="shared" ca="1" si="1"/>
        <v>#NAME?</v>
      </c>
      <c r="H47" s="11" t="str">
        <f ca="1">IFERROR(__xludf.DUMMYFUNCTION("IFERROR(SUBSTITUTE(SUBSTITUTE(REGEXEXTRACT(A47, ""[^-]+- [^-]+- [^-]+ - (.+?)\.jpg""), "".jpg"", """"), ""-"", "", ""), """")"),"")</f>
        <v/>
      </c>
      <c r="I47" s="6"/>
      <c r="J47" s="7" t="str">
        <f t="shared" ca="1" si="2"/>
        <v>(2026)</v>
      </c>
      <c r="K47" s="7" t="str">
        <f t="shared" si="3"/>
        <v>86395221</v>
      </c>
      <c r="L47" s="12" t="s">
        <v>252</v>
      </c>
      <c r="M47" s="13" t="str">
        <f ca="1">IFERROR(__xludf.DUMMYFUNCTION("TRIM(
  REGEXREPLACE(
    TEXTJOIN("" "",
      TRUE,
      B47,
      C47,
      embaralharLinks(E47,F47,G47),
      H47,
      """",
      J47,
      N47,
      ""#RIPNSFW""
    ),
  "",\s*"", "" "")
)"),"{New} Alanna Pow https://doodstream.com/d/943t8c0h0wlt/86395221 https://streamtape.com/v/yPm389gA39FKdg/86395221 https://lulustream.com/d/omd0xazrw4q7 (2026) #BigTits #Creampie #Hardcore #Bigass #Teen #Artporn #RIPNSFW")</f>
        <v>{New} Alanna Pow https://doodstream.com/d/943t8c0h0wlt/86395221 https://streamtape.com/v/yPm389gA39FKdg/86395221 https://lulustream.com/d/omd0xazrw4q7 (2026) #BigTits #Creampie #Hardcore #Bigass #Teen #Artporn #RIPNSFW</v>
      </c>
      <c r="N47" s="14" t="s">
        <v>253</v>
      </c>
      <c r="O47" s="32" t="s">
        <v>254</v>
      </c>
      <c r="P47" s="14"/>
      <c r="Q47" s="6"/>
      <c r="R47" s="11"/>
      <c r="S47" s="6"/>
      <c r="T47" s="6"/>
      <c r="U47" s="6"/>
      <c r="V47" s="6"/>
      <c r="W47" s="6"/>
      <c r="X47" s="6"/>
      <c r="Y47" s="6"/>
      <c r="Z47" s="6"/>
      <c r="AA47" s="6"/>
    </row>
    <row r="48" spans="1:27" ht="12.75">
      <c r="A48" s="12" t="s">
        <v>255</v>
      </c>
      <c r="B48" s="6" t="s">
        <v>14</v>
      </c>
      <c r="C48" s="7" t="str">
        <f t="shared" si="0"/>
        <v xml:space="preserve">Alanna Pow </v>
      </c>
      <c r="D48" s="27" t="s">
        <v>256</v>
      </c>
      <c r="E48" s="28" t="s">
        <v>257</v>
      </c>
      <c r="F48" s="9" t="str">
        <f ca="1">IFERROR(__xludf.DUMMYFUNCTION("""https://streamtape.com/v/""&amp;
REGEXEXTRACT(O48,""/thumb/([^/]+)/"")&amp;
""/""&amp;K48"),"https://streamtape.com/v/eV7yAgdakDCom8/87263949")</f>
        <v>https://streamtape.com/v/eV7yAgdakDCom8/87263949</v>
      </c>
      <c r="G48" s="10" t="e">
        <f t="shared" ca="1" si="1"/>
        <v>#NAME?</v>
      </c>
      <c r="H48" s="11" t="str">
        <f ca="1">IFERROR(__xludf.DUMMYFUNCTION("IFERROR(SUBSTITUTE(SUBSTITUTE(REGEXEXTRACT(A48, ""[^-]+- [^-]+- [^-]+ - (.+?)\.jpg""), "".jpg"", """"), ""-"", "", ""), """")"),"")</f>
        <v/>
      </c>
      <c r="I48" s="6"/>
      <c r="J48" s="7" t="str">
        <f t="shared" ca="1" si="2"/>
        <v>(2026)</v>
      </c>
      <c r="K48" s="7" t="str">
        <f t="shared" si="3"/>
        <v>87263949</v>
      </c>
      <c r="L48" s="12" t="s">
        <v>207</v>
      </c>
      <c r="M48" s="13" t="str">
        <f ca="1">IFERROR(__xludf.DUMMYFUNCTION("TRIM(
  REGEXREPLACE(
    TEXTJOIN("" "",
      TRUE,
      B48,
      C48,
      embaralharLinks(E48,F48,G48),
      H48,
      """",
      J48,
      N48,
      ""#RIPNSFW""
    ),
  "",\s*"", "" "")
)"),"{New} Alanna Pow https://doodstream.com/d/warnpb1kn0d3/87263949 https://lulustream.com/d/fcrm9u5aul6f https://streamtape.com/v/eV7yAgdakDCom8/87263949 (2026) #BigTits #Hardcore #Bigass #Teen #RIPNSFW")</f>
        <v>{New} Alanna Pow https://doodstream.com/d/warnpb1kn0d3/87263949 https://lulustream.com/d/fcrm9u5aul6f https://streamtape.com/v/eV7yAgdakDCom8/87263949 (2026) #BigTits #Hardcore #Bigass #Teen #RIPNSFW</v>
      </c>
      <c r="N48" s="2" t="s">
        <v>208</v>
      </c>
      <c r="O48" s="30" t="s">
        <v>258</v>
      </c>
      <c r="P48" s="26"/>
      <c r="R48" s="23"/>
    </row>
    <row r="49" spans="1:27" ht="12.75">
      <c r="A49" s="12" t="s">
        <v>259</v>
      </c>
      <c r="B49" s="6" t="s">
        <v>14</v>
      </c>
      <c r="C49" s="7" t="str">
        <f t="shared" si="0"/>
        <v xml:space="preserve">Alanna Pow </v>
      </c>
      <c r="D49" s="24" t="s">
        <v>260</v>
      </c>
      <c r="E49" s="25" t="s">
        <v>261</v>
      </c>
      <c r="F49" s="9" t="str">
        <f ca="1">IFERROR(__xludf.DUMMYFUNCTION("""https://streamtape.com/v/""&amp;
REGEXEXTRACT(O49,""/thumb/([^/]+)/"")&amp;
""/""&amp;K49"),"https://streamtape.com/v/GG3yA9OXKXH11pj/93326301")</f>
        <v>https://streamtape.com/v/GG3yA9OXKXH11pj/93326301</v>
      </c>
      <c r="G49" s="10" t="e">
        <f t="shared" ca="1" si="1"/>
        <v>#NAME?</v>
      </c>
      <c r="H49" s="11" t="str">
        <f ca="1">IFERROR(__xludf.DUMMYFUNCTION("IFERROR(SUBSTITUTE(SUBSTITUTE(REGEXEXTRACT(A49, ""[^-]+- [^-]+- [^-]+ - (.+?)\.jpg""), "".jpg"", """"), ""-"", "", ""), """")"),"")</f>
        <v/>
      </c>
      <c r="I49" s="6"/>
      <c r="J49" s="7" t="str">
        <f t="shared" ca="1" si="2"/>
        <v>(2026)</v>
      </c>
      <c r="K49" s="7" t="str">
        <f t="shared" si="3"/>
        <v>93326301</v>
      </c>
      <c r="L49" s="12" t="s">
        <v>81</v>
      </c>
      <c r="M49" s="13" t="str">
        <f ca="1">IFERROR(__xludf.DUMMYFUNCTION("TRIM(
  REGEXREPLACE(
    TEXTJOIN("" "",
      TRUE,
      B49,
      C49,
      embaralharLinks(E49,F49,G49),
      H49,
      """",
      J49,
      N49,
      ""#RIPNSFW""
    ),
  "",\s*"", "" "")
)"),"{New} Alanna Pow https://streamtape.com/v/GG3yA9OXKXH11pj/93326301 https://doodstream.com/d/t1bvn6pj7bcl/93326301 https://lulustream.com/d/6qcb09xoe02o (2026) #BigTits #Bigass #Teen #Blowjob #RIPNSFW")</f>
        <v>{New} Alanna Pow https://streamtape.com/v/GG3yA9OXKXH11pj/93326301 https://doodstream.com/d/t1bvn6pj7bcl/93326301 https://lulustream.com/d/6qcb09xoe02o (2026) #BigTits #Bigass #Teen #Blowjob #RIPNSFW</v>
      </c>
      <c r="N49" s="2" t="s">
        <v>82</v>
      </c>
      <c r="O49" s="30" t="s">
        <v>262</v>
      </c>
      <c r="P49" s="26"/>
      <c r="R49" s="23"/>
    </row>
    <row r="50" spans="1:27" ht="12.75">
      <c r="A50" s="6" t="s">
        <v>263</v>
      </c>
      <c r="B50" s="6" t="s">
        <v>14</v>
      </c>
      <c r="C50" s="7" t="str">
        <f t="shared" si="0"/>
        <v xml:space="preserve">Alexa Pearl </v>
      </c>
      <c r="D50" s="6" t="s">
        <v>264</v>
      </c>
      <c r="E50" s="8" t="s">
        <v>265</v>
      </c>
      <c r="F50" s="9" t="str">
        <f ca="1">IFERROR(__xludf.DUMMYFUNCTION("""https://streamtape.com/v/""&amp;
REGEXEXTRACT(O50,""/thumb/([^/]+)/"")&amp;
""/""&amp;K50"),"https://streamtape.com/v/wyOy6249ZRhJOkL/14477911")</f>
        <v>https://streamtape.com/v/wyOy6249ZRhJOkL/14477911</v>
      </c>
      <c r="G50" s="10" t="e">
        <f t="shared" ca="1" si="1"/>
        <v>#NAME?</v>
      </c>
      <c r="H50" s="11"/>
      <c r="I50" s="6"/>
      <c r="J50" s="7" t="str">
        <f t="shared" ca="1" si="2"/>
        <v>(2026)</v>
      </c>
      <c r="K50" s="7" t="str">
        <f t="shared" si="3"/>
        <v>14477911</v>
      </c>
      <c r="L50" s="12" t="s">
        <v>266</v>
      </c>
      <c r="M50" s="13" t="str">
        <f ca="1">IFERROR(__xludf.DUMMYFUNCTION("TRIM(
  REGEXREPLACE(
    TEXTJOIN("" "",
      TRUE,
      B50,
      C50,
      embaralharLinks(E50,F50,G50),
      H50,
      """",
      J50,
      N50,
      ""#RIPNSFW""
    ),
  "",\s*"", "" "")
)"),"{New} Alexa Pearl https://streamtape.com/v/wyOy6249ZRhJOkL/14477911 https://doodstream.com/d/cw2l8wn9o7oj/14477911 https://lulustream.com/d/lg2ts518zzpi (2026) #MILF #BigTits #Blowjob #Amateur #RIPNSFW")</f>
        <v>{New} Alexa Pearl https://streamtape.com/v/wyOy6249ZRhJOkL/14477911 https://doodstream.com/d/cw2l8wn9o7oj/14477911 https://lulustream.com/d/lg2ts518zzpi (2026) #MILF #BigTits #Blowjob #Amateur #RIPNSFW</v>
      </c>
      <c r="N50" s="14" t="s">
        <v>267</v>
      </c>
      <c r="O50" s="15" t="s">
        <v>268</v>
      </c>
      <c r="P50" s="14"/>
      <c r="Q50" s="6"/>
      <c r="R50" s="11"/>
      <c r="S50" s="6"/>
      <c r="T50" s="6"/>
      <c r="U50" s="6"/>
      <c r="V50" s="6"/>
      <c r="W50" s="6"/>
      <c r="X50" s="6"/>
      <c r="Y50" s="6"/>
      <c r="Z50" s="6"/>
      <c r="AA50" s="6"/>
    </row>
    <row r="51" spans="1:27" ht="12.75">
      <c r="A51" s="6" t="s">
        <v>269</v>
      </c>
      <c r="B51" s="6" t="s">
        <v>14</v>
      </c>
      <c r="C51" s="7" t="str">
        <f t="shared" si="0"/>
        <v xml:space="preserve">Alexa Pearl </v>
      </c>
      <c r="D51" s="6" t="s">
        <v>270</v>
      </c>
      <c r="E51" s="8" t="s">
        <v>271</v>
      </c>
      <c r="F51" s="9" t="str">
        <f ca="1">IFERROR(__xludf.DUMMYFUNCTION("""https://streamtape.com/v/""&amp;
REGEXEXTRACT(O51,""/thumb/([^/]+)/"")&amp;
""/""&amp;K51"),"https://streamtape.com/v/7BXjdjWoJ9UAalX/16686970")</f>
        <v>https://streamtape.com/v/7BXjdjWoJ9UAalX/16686970</v>
      </c>
      <c r="G51" s="10" t="e">
        <f t="shared" ca="1" si="1"/>
        <v>#NAME?</v>
      </c>
      <c r="H51" s="11"/>
      <c r="I51" s="6"/>
      <c r="J51" s="7" t="str">
        <f t="shared" ca="1" si="2"/>
        <v>(2026)</v>
      </c>
      <c r="K51" s="7" t="str">
        <f t="shared" si="3"/>
        <v>16686970</v>
      </c>
      <c r="L51" s="12" t="s">
        <v>272</v>
      </c>
      <c r="M51" s="13" t="str">
        <f ca="1">IFERROR(__xludf.DUMMYFUNCTION("TRIM(
  REGEXREPLACE(
    TEXTJOIN("" "",
      TRUE,
      B51,
      C51,
      embaralharLinks(E51,F51,G51),
      H51,
      """",
      J51,
      N51,
      ""#RIPNSFW""
    ),
  "",\s*"", "" "")
)"),"{New} Alexa Pearl https://streamtape.com/v/7BXjdjWoJ9UAalX/16686970 https://doodstream.com/d/5nrr1up8wwzv/16686970 https://lulustream.com/d/m7tm077lrbp0 (2026) #MILF #BigTits #Hardcore #Bigass #Blowjob #Amateur #Hotwife #Deepthroat #Facial #RIPNSFW")</f>
        <v>{New} Alexa Pearl https://streamtape.com/v/7BXjdjWoJ9UAalX/16686970 https://doodstream.com/d/5nrr1up8wwzv/16686970 https://lulustream.com/d/m7tm077lrbp0 (2026) #MILF #BigTits #Hardcore #Bigass #Blowjob #Amateur #Hotwife #Deepthroat #Facial #RIPNSFW</v>
      </c>
      <c r="N51" s="14" t="s">
        <v>273</v>
      </c>
      <c r="O51" s="15" t="s">
        <v>274</v>
      </c>
      <c r="P51" s="14"/>
      <c r="Q51" s="6"/>
      <c r="R51" s="11"/>
      <c r="S51" s="6"/>
      <c r="T51" s="6"/>
      <c r="U51" s="6"/>
      <c r="V51" s="6"/>
      <c r="W51" s="6"/>
      <c r="X51" s="6"/>
      <c r="Y51" s="6"/>
      <c r="Z51" s="6"/>
      <c r="AA51" s="6"/>
    </row>
    <row r="52" spans="1:27" ht="12.75">
      <c r="A52" s="6" t="s">
        <v>275</v>
      </c>
      <c r="B52" s="6" t="s">
        <v>14</v>
      </c>
      <c r="C52" s="7" t="str">
        <f t="shared" si="0"/>
        <v xml:space="preserve">Alexa Pearl </v>
      </c>
      <c r="D52" s="6" t="s">
        <v>276</v>
      </c>
      <c r="E52" s="8" t="s">
        <v>277</v>
      </c>
      <c r="F52" s="9" t="str">
        <f ca="1">IFERROR(__xludf.DUMMYFUNCTION("""https://streamtape.com/v/""&amp;
REGEXEXTRACT(O52,""/thumb/([^/]+)/"")&amp;
""/""&amp;K52"),"https://streamtape.com/v/6PVmoGxlb9C9rxx/28778788")</f>
        <v>https://streamtape.com/v/6PVmoGxlb9C9rxx/28778788</v>
      </c>
      <c r="G52" s="10" t="e">
        <f t="shared" ca="1" si="1"/>
        <v>#NAME?</v>
      </c>
      <c r="H52" s="11"/>
      <c r="I52" s="6"/>
      <c r="J52" s="7" t="str">
        <f t="shared" ca="1" si="2"/>
        <v>(2026)</v>
      </c>
      <c r="K52" s="7" t="str">
        <f t="shared" si="3"/>
        <v>28778788</v>
      </c>
      <c r="L52" s="12" t="s">
        <v>278</v>
      </c>
      <c r="M52" s="13" t="str">
        <f ca="1">IFERROR(__xludf.DUMMYFUNCTION("TRIM(
  REGEXREPLACE(
    TEXTJOIN("" "",
      TRUE,
      B52,
      C52,
      embaralharLinks(E52,F52,G52),
      H52,
      """",
      J52,
      N52,
      ""#RIPNSFW""
    ),
  "",\s*"", "" "")
)"),"{New} Alexa Pearl https://streamtape.com/v/6PVmoGxlb9C9rxx/28778788 https://doodstream.com/d/ytekooxy04u9/28778788 https://lulustream.com/d/086tzp1hm5qe (2026) #MILF #BigTits #Creampie #Hardcore #Amateur #RIPNSFW")</f>
        <v>{New} Alexa Pearl https://streamtape.com/v/6PVmoGxlb9C9rxx/28778788 https://doodstream.com/d/ytekooxy04u9/28778788 https://lulustream.com/d/086tzp1hm5qe (2026) #MILF #BigTits #Creampie #Hardcore #Amateur #RIPNSFW</v>
      </c>
      <c r="N52" s="14" t="s">
        <v>279</v>
      </c>
      <c r="O52" s="15" t="s">
        <v>280</v>
      </c>
      <c r="P52" s="14"/>
      <c r="Q52" s="6"/>
      <c r="R52" s="11"/>
      <c r="S52" s="6"/>
      <c r="T52" s="6"/>
      <c r="U52" s="6"/>
      <c r="V52" s="6"/>
      <c r="W52" s="6"/>
      <c r="X52" s="6"/>
      <c r="Y52" s="6"/>
      <c r="Z52" s="6"/>
      <c r="AA52" s="6"/>
    </row>
    <row r="53" spans="1:27" ht="12.75">
      <c r="A53" s="6" t="s">
        <v>281</v>
      </c>
      <c r="B53" s="6" t="s">
        <v>14</v>
      </c>
      <c r="C53" s="7" t="str">
        <f t="shared" si="0"/>
        <v xml:space="preserve">Alexa Pearl </v>
      </c>
      <c r="D53" s="6" t="s">
        <v>282</v>
      </c>
      <c r="E53" s="8" t="s">
        <v>283</v>
      </c>
      <c r="F53" s="9" t="str">
        <f ca="1">IFERROR(__xludf.DUMMYFUNCTION("""https://streamtape.com/v/""&amp;
REGEXEXTRACT(O53,""/thumb/([^/]+)/"")&amp;
""/""&amp;K53"),"https://streamtape.com/v/O66WL4RL6wfZyqy/80325730")</f>
        <v>https://streamtape.com/v/O66WL4RL6wfZyqy/80325730</v>
      </c>
      <c r="G53" s="10" t="e">
        <f t="shared" ca="1" si="1"/>
        <v>#NAME?</v>
      </c>
      <c r="H53" s="11"/>
      <c r="I53" s="6"/>
      <c r="J53" s="7" t="str">
        <f t="shared" ca="1" si="2"/>
        <v>(2026)</v>
      </c>
      <c r="K53" s="7" t="str">
        <f t="shared" si="3"/>
        <v>80325730</v>
      </c>
      <c r="L53" s="12" t="s">
        <v>284</v>
      </c>
      <c r="M53" s="13" t="str">
        <f ca="1">IFERROR(__xludf.DUMMYFUNCTION("TRIM(
  REGEXREPLACE(
    TEXTJOIN("" "",
      TRUE,
      B53,
      C53,
      embaralharLinks(E53,F53,G53),
      H53,
      """",
      J53,
      N53,
      ""#RIPNSFW""
    ),
  "",\s*"", "" "")
)"),"{New} Alexa Pearl https://streamtape.com/v/O66WL4RL6wfZyqy/80325730 https://lulustream.com/d/7odeb2yjvzzm https://doodstream.com/d/a1is4c7ebkv8/80325730 (2026) #MILF #BigTits #Roleplay #Solo #RIPNSFW")</f>
        <v>{New} Alexa Pearl https://streamtape.com/v/O66WL4RL6wfZyqy/80325730 https://lulustream.com/d/7odeb2yjvzzm https://doodstream.com/d/a1is4c7ebkv8/80325730 (2026) #MILF #BigTits #Roleplay #Solo #RIPNSFW</v>
      </c>
      <c r="N53" s="14" t="s">
        <v>285</v>
      </c>
      <c r="O53" s="15" t="s">
        <v>286</v>
      </c>
      <c r="P53" s="14"/>
      <c r="Q53" s="6"/>
      <c r="R53" s="11"/>
      <c r="S53" s="6"/>
      <c r="T53" s="6"/>
      <c r="U53" s="6"/>
      <c r="V53" s="6"/>
      <c r="W53" s="6"/>
      <c r="X53" s="6"/>
      <c r="Y53" s="6"/>
      <c r="Z53" s="6"/>
      <c r="AA53" s="6"/>
    </row>
    <row r="54" spans="1:27" ht="12.75">
      <c r="A54" s="6" t="s">
        <v>287</v>
      </c>
      <c r="B54" s="6" t="s">
        <v>14</v>
      </c>
      <c r="C54" s="7" t="str">
        <f t="shared" si="0"/>
        <v xml:space="preserve">Alexa Pearl </v>
      </c>
      <c r="D54" s="6" t="s">
        <v>288</v>
      </c>
      <c r="E54" s="8" t="s">
        <v>289</v>
      </c>
      <c r="F54" s="9" t="str">
        <f ca="1">IFERROR(__xludf.DUMMYFUNCTION("""https://streamtape.com/v/""&amp;
REGEXEXTRACT(O54,""/thumb/([^/]+)/"")&amp;
""/""&amp;K54"),"https://streamtape.com/v/39yZ9V1ARLIAXQ/96147684")</f>
        <v>https://streamtape.com/v/39yZ9V1ARLIAXQ/96147684</v>
      </c>
      <c r="G54" s="10" t="e">
        <f t="shared" ca="1" si="1"/>
        <v>#NAME?</v>
      </c>
      <c r="H54" s="11"/>
      <c r="I54" s="6"/>
      <c r="J54" s="7" t="str">
        <f t="shared" ca="1" si="2"/>
        <v>(2026)</v>
      </c>
      <c r="K54" s="7" t="str">
        <f t="shared" si="3"/>
        <v>96147684</v>
      </c>
      <c r="L54" s="12" t="s">
        <v>290</v>
      </c>
      <c r="M54" s="13" t="str">
        <f ca="1">IFERROR(__xludf.DUMMYFUNCTION("TRIM(
  REGEXREPLACE(
    TEXTJOIN("" "",
      TRUE,
      B54,
      C54,
      embaralharLinks(E54,F54,G54),
      H54,
      """",
      J54,
      N54,
      ""#RIPNSFW""
    ),
  "",\s*"", "" "")
)"),"{New} Alexa Pearl https://lulustream.com/d/npfjbb6e8a86 https://doodstream.com/d/ryn4ydg0uoc3/96147684 https://streamtape.com/v/39yZ9V1ARLIAXQ/96147684 (2026) #MILF #BigTits #Stepmom #Blowjob #RIPNSFW")</f>
        <v>{New} Alexa Pearl https://lulustream.com/d/npfjbb6e8a86 https://doodstream.com/d/ryn4ydg0uoc3/96147684 https://streamtape.com/v/39yZ9V1ARLIAXQ/96147684 (2026) #MILF #BigTits #Stepmom #Blowjob #RIPNSFW</v>
      </c>
      <c r="N54" s="14" t="s">
        <v>291</v>
      </c>
      <c r="O54" s="15" t="s">
        <v>292</v>
      </c>
      <c r="P54" s="14"/>
      <c r="Q54" s="6"/>
      <c r="R54" s="11"/>
      <c r="S54" s="6"/>
      <c r="T54" s="6"/>
      <c r="U54" s="6"/>
      <c r="V54" s="6"/>
      <c r="W54" s="6"/>
      <c r="X54" s="6"/>
      <c r="Y54" s="6"/>
      <c r="Z54" s="6"/>
      <c r="AA54" s="6"/>
    </row>
    <row r="55" spans="1:27" ht="12.75">
      <c r="A55" s="12" t="s">
        <v>293</v>
      </c>
      <c r="B55" s="6" t="s">
        <v>14</v>
      </c>
      <c r="C55" s="7" t="str">
        <f t="shared" si="0"/>
        <v xml:space="preserve">Alexa Pearl </v>
      </c>
      <c r="D55" s="24" t="s">
        <v>294</v>
      </c>
      <c r="E55" s="25" t="s">
        <v>295</v>
      </c>
      <c r="F55" s="9" t="str">
        <f ca="1">IFERROR(__xludf.DUMMYFUNCTION("""https://streamtape.com/v/""&amp;
REGEXEXTRACT(O55,""/thumb/([^/]+)/"")&amp;
""/""&amp;K55"),"https://streamtape.com/v/0Jo4q3lRQ6hD7w/98658557")</f>
        <v>https://streamtape.com/v/0Jo4q3lRQ6hD7w/98658557</v>
      </c>
      <c r="G55" s="10" t="e">
        <f t="shared" ca="1" si="1"/>
        <v>#NAME?</v>
      </c>
      <c r="H55" s="11"/>
      <c r="I55" s="6"/>
      <c r="J55" s="7" t="str">
        <f t="shared" ca="1" si="2"/>
        <v>(2026)</v>
      </c>
      <c r="K55" s="7" t="str">
        <f t="shared" si="3"/>
        <v>98658557</v>
      </c>
      <c r="L55" s="12" t="s">
        <v>296</v>
      </c>
      <c r="M55" s="13" t="str">
        <f ca="1">IFERROR(__xludf.DUMMYFUNCTION("TRIM(
  REGEXREPLACE(
    TEXTJOIN("" "",
      TRUE,
      B55,
      C55,
      embaralharLinks(E55,F55,G55),
      H55,
      """",
      J55,
      N55,
      ""#RIPNSFW""
    ),
  "",\s*"", "" "")
)"),"{New} Alexa Pearl https://streamtape.com/v/0Jo4q3lRQ6hD7w/98658557 https://lulustream.com/d/fcsuilxwk1qo https://doodstream.com/d/y87gyt76nzx0/98658557 (2026) #MILF #BigTits #Roleplay #Stepmom #RIPNSFW")</f>
        <v>{New} Alexa Pearl https://streamtape.com/v/0Jo4q3lRQ6hD7w/98658557 https://lulustream.com/d/fcsuilxwk1qo https://doodstream.com/d/y87gyt76nzx0/98658557 (2026) #MILF #BigTits #Roleplay #Stepmom #RIPNSFW</v>
      </c>
      <c r="N55" s="2" t="s">
        <v>297</v>
      </c>
      <c r="O55" s="30" t="s">
        <v>298</v>
      </c>
      <c r="P55" s="26"/>
      <c r="R55" s="23"/>
      <c r="T55" s="6"/>
      <c r="U55" s="7"/>
    </row>
    <row r="56" spans="1:27" ht="12.75">
      <c r="A56" s="6" t="s">
        <v>299</v>
      </c>
      <c r="B56" s="6" t="s">
        <v>14</v>
      </c>
      <c r="C56" s="7" t="str">
        <f t="shared" si="0"/>
        <v xml:space="preserve">Alexis Fawx </v>
      </c>
      <c r="D56" s="6" t="s">
        <v>300</v>
      </c>
      <c r="E56" s="25" t="s">
        <v>301</v>
      </c>
      <c r="F56" s="9" t="str">
        <f ca="1">IFERROR(__xludf.DUMMYFUNCTION("""https://streamtape.com/v/""&amp;
REGEXEXTRACT(O56,""/thumb/([^/]+)/"")&amp;
""/""&amp;K56"),"https://streamtape.com/v/yxAW293KgAFyZB/14749711")</f>
        <v>https://streamtape.com/v/yxAW293KgAFyZB/14749711</v>
      </c>
      <c r="G56" s="10" t="e">
        <f t="shared" ca="1" si="1"/>
        <v>#NAME?</v>
      </c>
      <c r="H56" s="11" t="str">
        <f ca="1">IFERROR(__xludf.DUMMYFUNCTION("IFERROR(SUBSTITUTE(SUBSTITUTE(REGEXEXTRACT(A56, ""[^-]+- [^-]+- [^-]+ - (.+?)\.jpg""), "".jpg"", """"), ""-"", "", ""), """")"),"")</f>
        <v/>
      </c>
      <c r="I56" s="6"/>
      <c r="J56" s="7" t="str">
        <f t="shared" ca="1" si="2"/>
        <v>(2026)</v>
      </c>
      <c r="K56" s="7" t="str">
        <f t="shared" si="3"/>
        <v>14749711</v>
      </c>
      <c r="L56" s="12" t="s">
        <v>302</v>
      </c>
      <c r="M56" s="13" t="str">
        <f ca="1">IFERROR(__xludf.DUMMYFUNCTION("TRIM(
  REGEXREPLACE(
    TEXTJOIN("" "",
      TRUE,
      B56,
      C56,
      embaralharLinks(E56,F56,G56),
      H56,
      """",
      J56,
      N56,
      ""#RIPNSFW""
    ),
  "",\s*"", "" "")
)"),"{New} Alexis Fawx https://doodstream.com/d/qh7ef1ea1nlp/14749711 https://streamtape.com/v/yxAW293KgAFyZB/14749711 https://lulustream.com/d/4rih20zzj9rp (2026) #Anal #MILF #BigTits #Hardcore #Bigass #Blowjob #RIPNSFW")</f>
        <v>{New} Alexis Fawx https://doodstream.com/d/qh7ef1ea1nlp/14749711 https://streamtape.com/v/yxAW293KgAFyZB/14749711 https://lulustream.com/d/4rih20zzj9rp (2026) #Anal #MILF #BigTits #Hardcore #Bigass #Blowjob #RIPNSFW</v>
      </c>
      <c r="N56" s="14" t="s">
        <v>303</v>
      </c>
      <c r="O56" s="15" t="s">
        <v>304</v>
      </c>
      <c r="P56" s="14"/>
      <c r="Q56" s="6"/>
      <c r="R56" s="11"/>
      <c r="S56" s="6"/>
      <c r="T56" s="6"/>
      <c r="U56" s="6"/>
      <c r="V56" s="6"/>
      <c r="W56" s="6"/>
      <c r="X56" s="6"/>
      <c r="Y56" s="6"/>
      <c r="Z56" s="6"/>
      <c r="AA56" s="6"/>
    </row>
    <row r="57" spans="1:27" ht="12.75">
      <c r="A57" s="12" t="s">
        <v>305</v>
      </c>
      <c r="B57" s="6" t="s">
        <v>14</v>
      </c>
      <c r="C57" s="7" t="str">
        <f t="shared" si="0"/>
        <v xml:space="preserve">Alexis Fawx </v>
      </c>
      <c r="D57" s="27" t="s">
        <v>306</v>
      </c>
      <c r="E57" s="28" t="s">
        <v>307</v>
      </c>
      <c r="F57" s="9" t="str">
        <f ca="1">IFERROR(__xludf.DUMMYFUNCTION("""https://streamtape.com/v/""&amp;
REGEXEXTRACT(O57,""/thumb/([^/]+)/"")&amp;
""/""&amp;K57"),"https://streamtape.com/v/Q1Ya4ORQovh0bZG/76454201")</f>
        <v>https://streamtape.com/v/Q1Ya4ORQovh0bZG/76454201</v>
      </c>
      <c r="G57" s="10" t="e">
        <f t="shared" ca="1" si="1"/>
        <v>#NAME?</v>
      </c>
      <c r="H57" s="11" t="str">
        <f ca="1">IFERROR(__xludf.DUMMYFUNCTION("IFERROR(SUBSTITUTE(SUBSTITUTE(REGEXEXTRACT(A57, ""[^-]+- [^-]+- [^-]+ - (.+?)\.jpg""), "".jpg"", """"), ""-"", "", ""), """")"),"")</f>
        <v/>
      </c>
      <c r="I57" s="6"/>
      <c r="J57" s="7" t="str">
        <f t="shared" ca="1" si="2"/>
        <v>(2026)</v>
      </c>
      <c r="K57" s="7" t="str">
        <f t="shared" si="3"/>
        <v>76454201</v>
      </c>
      <c r="L57" s="12" t="s">
        <v>127</v>
      </c>
      <c r="M57" s="13" t="str">
        <f ca="1">IFERROR(__xludf.DUMMYFUNCTION("TRIM(
  REGEXREPLACE(
    TEXTJOIN("" "",
      TRUE,
      B57,
      C57,
      embaralharLinks(E57,F57,G57),
      H57,
      """",
      J57,
      N57,
      ""#RIPNSFW""
    ),
  "",\s*"", "" "")
)"),"{New} Alexis Fawx https://lulustream.com/d/hm8mvhjahzlg https://streamtape.com/v/Q1Ya4ORQovh0bZG/76454201 https://doodstream.com/d/50toyr4fnwc1/76454201 (2026) #MILF #BigTits #Hardcore #Bigass #RIPNSFW")</f>
        <v>{New} Alexis Fawx https://lulustream.com/d/hm8mvhjahzlg https://streamtape.com/v/Q1Ya4ORQovh0bZG/76454201 https://doodstream.com/d/50toyr4fnwc1/76454201 (2026) #MILF #BigTits #Hardcore #Bigass #RIPNSFW</v>
      </c>
      <c r="N57" s="2" t="s">
        <v>128</v>
      </c>
      <c r="O57" s="30" t="s">
        <v>308</v>
      </c>
      <c r="P57" s="26"/>
      <c r="R57" s="23"/>
    </row>
    <row r="58" spans="1:27" ht="12.75">
      <c r="A58" s="12" t="s">
        <v>309</v>
      </c>
      <c r="B58" s="6" t="s">
        <v>14</v>
      </c>
      <c r="C58" s="7" t="str">
        <f t="shared" si="0"/>
        <v xml:space="preserve">Alexis Fawx </v>
      </c>
      <c r="D58" s="27" t="s">
        <v>310</v>
      </c>
      <c r="E58" s="28" t="s">
        <v>311</v>
      </c>
      <c r="F58" s="9" t="str">
        <f ca="1">IFERROR(__xludf.DUMMYFUNCTION("""https://streamtape.com/v/""&amp;
REGEXEXTRACT(O58,""/thumb/([^/]+)/"")&amp;
""/""&amp;K58"),"https://streamtape.com/v/jVbjdr889QuzkMr/78579747")</f>
        <v>https://streamtape.com/v/jVbjdr889QuzkMr/78579747</v>
      </c>
      <c r="G58" s="10" t="e">
        <f t="shared" ca="1" si="1"/>
        <v>#NAME?</v>
      </c>
      <c r="H58" s="11" t="str">
        <f ca="1">IFERROR(__xludf.DUMMYFUNCTION("IFERROR(SUBSTITUTE(SUBSTITUTE(REGEXEXTRACT(A58, ""[^-]+- [^-]+- [^-]+ - (.+?)\.jpg""), "".jpg"", """"), ""-"", "", ""), """")"),"")</f>
        <v/>
      </c>
      <c r="I58" s="6"/>
      <c r="J58" s="7" t="str">
        <f t="shared" ca="1" si="2"/>
        <v>(2026)</v>
      </c>
      <c r="K58" s="7" t="str">
        <f t="shared" si="3"/>
        <v>78579747</v>
      </c>
      <c r="L58" s="12" t="s">
        <v>47</v>
      </c>
      <c r="M58" s="13" t="str">
        <f ca="1">IFERROR(__xludf.DUMMYFUNCTION("TRIM(
  REGEXREPLACE(
    TEXTJOIN("" "",
      TRUE,
      B58,
      C58,
      embaralharLinks(E58,F58,G58),
      H58,
      """",
      J58,
      N58,
      ""#RIPNSFW""
    ),
  "",\s*"", "" "")
)"),"{New} Alexis Fawx https://lulustream.com/d/bxieej7woryy https://doodstream.com/d/vj95tselm4dy/78579747 https://streamtape.com/v/jVbjdr889QuzkMr/78579747 (2026) #MILF #BigTits #Hardcore #Threesome #RIPNSFW")</f>
        <v>{New} Alexis Fawx https://lulustream.com/d/bxieej7woryy https://doodstream.com/d/vj95tselm4dy/78579747 https://streamtape.com/v/jVbjdr889QuzkMr/78579747 (2026) #MILF #BigTits #Hardcore #Threesome #RIPNSFW</v>
      </c>
      <c r="N58" s="2" t="s">
        <v>48</v>
      </c>
      <c r="O58" s="30" t="s">
        <v>312</v>
      </c>
      <c r="P58" s="26"/>
      <c r="R58" s="23"/>
    </row>
    <row r="59" spans="1:27" ht="12.75">
      <c r="A59" s="6" t="s">
        <v>313</v>
      </c>
      <c r="B59" s="6" t="s">
        <v>14</v>
      </c>
      <c r="C59" s="7" t="str">
        <f t="shared" si="0"/>
        <v xml:space="preserve">Alexis Fawx </v>
      </c>
      <c r="D59" s="29" t="s">
        <v>314</v>
      </c>
      <c r="E59" s="28" t="s">
        <v>315</v>
      </c>
      <c r="F59" s="9" t="str">
        <f ca="1">IFERROR(__xludf.DUMMYFUNCTION("""https://streamtape.com/v/""&amp;
REGEXEXTRACT(O59,""/thumb/([^/]+)/"")&amp;
""/""&amp;K59"),"https://streamtape.com/v/bGRz6J63VxTJep/87280451")</f>
        <v>https://streamtape.com/v/bGRz6J63VxTJep/87280451</v>
      </c>
      <c r="G59" s="10" t="e">
        <f t="shared" ca="1" si="1"/>
        <v>#NAME?</v>
      </c>
      <c r="H59" s="11" t="str">
        <f ca="1">IFERROR(__xludf.DUMMYFUNCTION("IFERROR(SUBSTITUTE(SUBSTITUTE(REGEXEXTRACT(A59, ""[^-]+- [^-]+- [^-]+ - (.+?)\.jpg""), "".jpg"", """"), ""-"", "", ""), """")"),"")</f>
        <v/>
      </c>
      <c r="I59" s="6"/>
      <c r="J59" s="7" t="str">
        <f t="shared" ca="1" si="2"/>
        <v>(2026)</v>
      </c>
      <c r="K59" s="7" t="str">
        <f t="shared" si="3"/>
        <v>87280451</v>
      </c>
      <c r="L59" s="12" t="s">
        <v>316</v>
      </c>
      <c r="M59" s="13" t="str">
        <f ca="1">IFERROR(__xludf.DUMMYFUNCTION("TRIM(
  REGEXREPLACE(
    TEXTJOIN("" "",
      TRUE,
      B59,
      C59,
      embaralharLinks(E59,F59,G59),
      H59,
      """",
      J59,
      N59,
      ""#RIPNSFW""
    ),
  "",\s*"", "" "")
)"),"{New} Alexis Fawx https://doodstream.com/d/ppo6gc2uuh4p/87280451 https://streamtape.com/v/bGRz6J63VxTJep/87280451 https://lulustream.com/d/ww8si6yh7rl2 (2026) #MILF #BigTits #Hardcore #Bigass #Stepmom #Blowjob #Amateur #RIPNSFW")</f>
        <v>{New} Alexis Fawx https://doodstream.com/d/ppo6gc2uuh4p/87280451 https://streamtape.com/v/bGRz6J63VxTJep/87280451 https://lulustream.com/d/ww8si6yh7rl2 (2026) #MILF #BigTits #Hardcore #Bigass #Stepmom #Blowjob #Amateur #RIPNSFW</v>
      </c>
      <c r="N59" s="14" t="s">
        <v>317</v>
      </c>
      <c r="O59" s="32" t="s">
        <v>318</v>
      </c>
      <c r="P59" s="14"/>
      <c r="Q59" s="6"/>
      <c r="R59" s="11"/>
      <c r="S59" s="6"/>
      <c r="T59" s="6"/>
      <c r="U59" s="6"/>
      <c r="V59" s="6"/>
      <c r="W59" s="6"/>
      <c r="X59" s="6"/>
      <c r="Y59" s="6"/>
      <c r="Z59" s="6"/>
      <c r="AA59" s="6"/>
    </row>
    <row r="60" spans="1:27" ht="12.75">
      <c r="A60" s="12" t="s">
        <v>319</v>
      </c>
      <c r="B60" s="6" t="s">
        <v>14</v>
      </c>
      <c r="C60" s="7" t="str">
        <f t="shared" si="0"/>
        <v xml:space="preserve">Alexis Texas </v>
      </c>
      <c r="D60" s="24" t="s">
        <v>320</v>
      </c>
      <c r="E60" s="25" t="s">
        <v>321</v>
      </c>
      <c r="F60" s="9" t="str">
        <f ca="1">IFERROR(__xludf.DUMMYFUNCTION("""https://streamtape.com/v/""&amp;
REGEXEXTRACT(O60,""/thumb/([^/]+)/"")&amp;
""/""&amp;K60"),"https://streamtape.com/v/k39OdRb6drS9vX/55946865")</f>
        <v>https://streamtape.com/v/k39OdRb6drS9vX/55946865</v>
      </c>
      <c r="G60" s="10" t="e">
        <f t="shared" ca="1" si="1"/>
        <v>#NAME?</v>
      </c>
      <c r="H60" s="11" t="str">
        <f ca="1">IFERROR(__xludf.DUMMYFUNCTION("IFERROR(SUBSTITUTE(SUBSTITUTE(REGEXEXTRACT(A60, ""[^-]+- [^-]+- [^-]+ - (.+?)\.jpg""), "".jpg"", """"), ""-"", "", ""), """")"),"")</f>
        <v/>
      </c>
      <c r="I60" s="6"/>
      <c r="J60" s="7" t="str">
        <f t="shared" ca="1" si="2"/>
        <v>(2026)</v>
      </c>
      <c r="K60" s="7" t="str">
        <f t="shared" si="3"/>
        <v>55946865</v>
      </c>
      <c r="L60" s="12" t="s">
        <v>322</v>
      </c>
      <c r="M60" s="13" t="str">
        <f ca="1">IFERROR(__xludf.DUMMYFUNCTION("TRIM(
  REGEXREPLACE(
    TEXTJOIN("" "",
      TRUE,
      B60,
      C60,
      embaralharLinks(E60,F60,G60),
      H60,
      """",
      J60,
      N60,
      ""#RIPNSFW""
    ),
  "",\s*"", "" "")
)"),"{New} Alexis Texas https://streamtape.com/v/k39OdRb6drS9vX/55946865 https://lulustream.com/d/x274yedco4b4 https://doodstream.com/d/704t2eoglcr4/55946865 (2026) #MILF #Hardcore #Interracial #Bigass #RIPNSFW")</f>
        <v>{New} Alexis Texas https://streamtape.com/v/k39OdRb6drS9vX/55946865 https://lulustream.com/d/x274yedco4b4 https://doodstream.com/d/704t2eoglcr4/55946865 (2026) #MILF #Hardcore #Interracial #Bigass #RIPNSFW</v>
      </c>
      <c r="N60" s="2" t="s">
        <v>323</v>
      </c>
      <c r="O60" s="30" t="s">
        <v>324</v>
      </c>
      <c r="P60" s="26"/>
      <c r="R60" s="23"/>
    </row>
    <row r="61" spans="1:27" ht="12.75">
      <c r="A61" s="6" t="s">
        <v>325</v>
      </c>
      <c r="B61" s="6" t="s">
        <v>14</v>
      </c>
      <c r="C61" s="7" t="str">
        <f t="shared" si="0"/>
        <v xml:space="preserve">Alexis Texas </v>
      </c>
      <c r="D61" s="24" t="s">
        <v>326</v>
      </c>
      <c r="E61" s="25" t="s">
        <v>327</v>
      </c>
      <c r="F61" s="9" t="str">
        <f ca="1">IFERROR(__xludf.DUMMYFUNCTION("""https://streamtape.com/v/""&amp;
REGEXEXTRACT(O61,""/thumb/([^/]+)/"")&amp;
""/""&amp;K61"),"https://streamtape.com/v/ZXPYoQ9WezIqx1D/58344561")</f>
        <v>https://streamtape.com/v/ZXPYoQ9WezIqx1D/58344561</v>
      </c>
      <c r="G61" s="10" t="e">
        <f t="shared" ca="1" si="1"/>
        <v>#NAME?</v>
      </c>
      <c r="H61" s="11" t="str">
        <f ca="1">IFERROR(__xludf.DUMMYFUNCTION("IFERROR(SUBSTITUTE(SUBSTITUTE(REGEXEXTRACT(A61, ""[^-]+- [^-]+- [^-]+ - (.+?)\.jpg""), "".jpg"", """"), ""-"", "", ""), """")"),"")</f>
        <v/>
      </c>
      <c r="I61" s="6"/>
      <c r="J61" s="7" t="str">
        <f t="shared" ca="1" si="2"/>
        <v>(2026)</v>
      </c>
      <c r="K61" s="7" t="str">
        <f t="shared" si="3"/>
        <v>58344561</v>
      </c>
      <c r="L61" s="12" t="s">
        <v>328</v>
      </c>
      <c r="M61" s="13" t="str">
        <f ca="1">IFERROR(__xludf.DUMMYFUNCTION("TRIM(
  REGEXREPLACE(
    TEXTJOIN("" "",
      TRUE,
      B61,
      C61,
      embaralharLinks(E61,F61,G61),
      H61,
      """",
      J61,
      N61,
      ""#RIPNSFW""
    ),
  "",\s*"", "" "")
)"),"{New} Alexis Texas https://streamtape.com/v/ZXPYoQ9WezIqx1D/58344561 https://lulustream.com/d/z3xibzexseyf https://doodstream.com/d/ah9ka7xplo99/58344561 (2026) #MILF #Bigass #Blowjob #Blonde #RIPNSFW")</f>
        <v>{New} Alexis Texas https://streamtape.com/v/ZXPYoQ9WezIqx1D/58344561 https://lulustream.com/d/z3xibzexseyf https://doodstream.com/d/ah9ka7xplo99/58344561 (2026) #MILF #Bigass #Blowjob #Blonde #RIPNSFW</v>
      </c>
      <c r="N61" s="31" t="s">
        <v>329</v>
      </c>
      <c r="O61" s="32" t="s">
        <v>330</v>
      </c>
      <c r="P61" s="26"/>
      <c r="Q61" s="6"/>
      <c r="R61" s="23"/>
      <c r="S61" s="6"/>
      <c r="T61" s="6"/>
      <c r="U61" s="7"/>
      <c r="V61" s="6"/>
      <c r="X61" s="6"/>
      <c r="Y61" s="6"/>
      <c r="Z61" s="6"/>
      <c r="AA61" s="6"/>
    </row>
    <row r="62" spans="1:27" ht="12.75">
      <c r="A62" s="6" t="s">
        <v>331</v>
      </c>
      <c r="B62" s="6" t="s">
        <v>14</v>
      </c>
      <c r="C62" s="7" t="str">
        <f t="shared" si="0"/>
        <v xml:space="preserve">Alexis Texas </v>
      </c>
      <c r="D62" s="29" t="s">
        <v>332</v>
      </c>
      <c r="E62" s="8" t="s">
        <v>333</v>
      </c>
      <c r="F62" s="9" t="str">
        <f ca="1">IFERROR(__xludf.DUMMYFUNCTION("""https://streamtape.com/v/""&amp;
REGEXEXTRACT(O62,""/thumb/([^/]+)/"")&amp;
""/""&amp;K62"),"https://streamtape.com/v/Wyx17v6K2KTb4VL/78334326")</f>
        <v>https://streamtape.com/v/Wyx17v6K2KTb4VL/78334326</v>
      </c>
      <c r="G62" s="10" t="e">
        <f t="shared" ca="1" si="1"/>
        <v>#NAME?</v>
      </c>
      <c r="H62" s="11" t="str">
        <f ca="1">IFERROR(__xludf.DUMMYFUNCTION("IFERROR(SUBSTITUTE(SUBSTITUTE(REGEXEXTRACT(A62, ""[^-]+- [^-]+- [^-]+ - (.+?)\.jpg""), "".jpg"", """"), ""-"", "", ""), """")"),"Nikki Benz")</f>
        <v>Nikki Benz</v>
      </c>
      <c r="I62" s="6"/>
      <c r="J62" s="7" t="str">
        <f t="shared" ca="1" si="2"/>
        <v>(2026)</v>
      </c>
      <c r="K62" s="7" t="str">
        <f t="shared" si="3"/>
        <v>78334326</v>
      </c>
      <c r="L62" s="12" t="s">
        <v>334</v>
      </c>
      <c r="M62" s="13" t="str">
        <f ca="1">IFERROR(__xludf.DUMMYFUNCTION("TRIM(
  REGEXREPLACE(
    TEXTJOIN("" "",
      TRUE,
      B62,
      C62,
      embaralharLinks(E62,F62,G62),
      H62,
      """",
      J62,
      N62,
      ""#RIPNSFW""
    ),
  "",\s*"", "" "")
)"),"{New} Alexis Texas https://doodstream.com/d/4kxkcljof0gr/78334326 https://streamtape.com/v/Wyx17v6K2KTb4VL/78334326 https://lulustream.com/d/4q5uk1gmojyz Nikki Benz (2026) #MILF #BigTits #Threesome #Bigass #Stepmom #RIPNSFW")</f>
        <v>{New} Alexis Texas https://doodstream.com/d/4kxkcljof0gr/78334326 https://streamtape.com/v/Wyx17v6K2KTb4VL/78334326 https://lulustream.com/d/4q5uk1gmojyz Nikki Benz (2026) #MILF #BigTits #Threesome #Bigass #Stepmom #RIPNSFW</v>
      </c>
      <c r="N62" s="14" t="s">
        <v>335</v>
      </c>
      <c r="O62" s="32" t="s">
        <v>336</v>
      </c>
      <c r="P62" s="14"/>
      <c r="Q62" s="6"/>
      <c r="R62" s="11"/>
      <c r="S62" s="6"/>
      <c r="T62" s="6"/>
      <c r="U62" s="6"/>
      <c r="V62" s="6"/>
      <c r="W62" s="6"/>
      <c r="X62" s="6"/>
      <c r="Y62" s="6"/>
      <c r="Z62" s="6"/>
      <c r="AA62" s="6"/>
    </row>
    <row r="63" spans="1:27" ht="12.75">
      <c r="A63" s="12" t="s">
        <v>337</v>
      </c>
      <c r="B63" s="6" t="s">
        <v>14</v>
      </c>
      <c r="C63" s="7" t="str">
        <f t="shared" si="0"/>
        <v xml:space="preserve">Alexis Texas </v>
      </c>
      <c r="D63" s="24" t="s">
        <v>338</v>
      </c>
      <c r="E63" s="25" t="s">
        <v>339</v>
      </c>
      <c r="F63" s="9" t="str">
        <f ca="1">IFERROR(__xludf.DUMMYFUNCTION("""https://streamtape.com/v/""&amp;
REGEXEXTRACT(O63,""/thumb/([^/]+)/"")&amp;
""/""&amp;K63"),"https://streamtape.com/v/rApbMGvL32hgxx/85557282")</f>
        <v>https://streamtape.com/v/rApbMGvL32hgxx/85557282</v>
      </c>
      <c r="G63" s="10" t="e">
        <f t="shared" ca="1" si="1"/>
        <v>#NAME?</v>
      </c>
      <c r="H63" s="11" t="str">
        <f ca="1">IFERROR(__xludf.DUMMYFUNCTION("IFERROR(SUBSTITUTE(SUBSTITUTE(REGEXEXTRACT(A63, ""[^-]+- [^-]+- [^-]+ - (.+?)\.jpg""), "".jpg"", """"), ""-"", "", ""), """")"),"")</f>
        <v/>
      </c>
      <c r="I63" s="6"/>
      <c r="J63" s="7" t="str">
        <f t="shared" ca="1" si="2"/>
        <v>(2026)</v>
      </c>
      <c r="K63" s="7" t="str">
        <f t="shared" si="3"/>
        <v>85557282</v>
      </c>
      <c r="L63" s="12" t="s">
        <v>340</v>
      </c>
      <c r="M63" s="13" t="str">
        <f ca="1">IFERROR(__xludf.DUMMYFUNCTION("TRIM(
  REGEXREPLACE(
    TEXTJOIN("" "",
      TRUE,
      B63,
      C63,
      embaralharLinks(E63,F63,G63),
      H63,
      """",
      J63,
      N63,
      ""#RIPNSFW""
    ),
  "",\s*"", "" "")
)"),"{New} Alexis Texas https://streamtape.com/v/rApbMGvL32hgxx/85557282 https://lulustream.com/d/i0kl7fp3owuf https://doodstream.com/d/37fkj3b8lw1m/85557282 (2026) #MILF #Interracial #Bigass #Blowjob #RIPNSFW")</f>
        <v>{New} Alexis Texas https://streamtape.com/v/rApbMGvL32hgxx/85557282 https://lulustream.com/d/i0kl7fp3owuf https://doodstream.com/d/37fkj3b8lw1m/85557282 (2026) #MILF #Interracial #Bigass #Blowjob #RIPNSFW</v>
      </c>
      <c r="N63" s="2" t="s">
        <v>341</v>
      </c>
      <c r="O63" s="21" t="s">
        <v>342</v>
      </c>
      <c r="P63" s="26"/>
      <c r="R63" s="23"/>
    </row>
    <row r="64" spans="1:27" ht="12.75">
      <c r="A64" s="12" t="s">
        <v>343</v>
      </c>
      <c r="B64" s="6" t="s">
        <v>14</v>
      </c>
      <c r="C64" s="7" t="str">
        <f t="shared" si="0"/>
        <v xml:space="preserve">Alice Bong </v>
      </c>
      <c r="D64" s="27" t="s">
        <v>344</v>
      </c>
      <c r="E64" s="28" t="s">
        <v>345</v>
      </c>
      <c r="F64" s="9" t="str">
        <f ca="1">IFERROR(__xludf.DUMMYFUNCTION("""https://streamtape.com/v/""&amp;
REGEXEXTRACT(O64,""/thumb/([^/]+)/"")&amp;
""/""&amp;K64"),"https://streamtape.com/v/kgjzDqgYQrIOVag/80520139")</f>
        <v>https://streamtape.com/v/kgjzDqgYQrIOVag/80520139</v>
      </c>
      <c r="G64" s="10" t="e">
        <f t="shared" ca="1" si="1"/>
        <v>#NAME?</v>
      </c>
      <c r="H64" s="11" t="str">
        <f ca="1">IFERROR(__xludf.DUMMYFUNCTION("IFERROR(SUBSTITUTE(SUBSTITUTE(REGEXEXTRACT(A64, ""[^-]+- [^-]+- [^-]+ - (.+?)\.jpg""), "".jpg"", """"), ""-"", "", ""), """")"),"")</f>
        <v/>
      </c>
      <c r="I64" s="6"/>
      <c r="J64" s="7" t="str">
        <f t="shared" ca="1" si="2"/>
        <v>(2026)</v>
      </c>
      <c r="K64" s="7" t="str">
        <f t="shared" si="3"/>
        <v>80520139</v>
      </c>
      <c r="L64" s="12" t="s">
        <v>346</v>
      </c>
      <c r="M64" s="13" t="str">
        <f ca="1">IFERROR(__xludf.DUMMYFUNCTION("TRIM(
  REGEXREPLACE(
    TEXTJOIN("" "",
      TRUE,
      B64,
      C64,
      embaralharLinks(E64,F64,G64),
      H64,
      """",
      J64,
      N64,
      ""#RIPNSFW""
    ),
  "",\s*"", "" "")
)"),"{New} Alice Bong https://lulustream.com/d/quoip8rsm7ee https://doodstream.com/d/mo7qik9m0qus/80520139 https://streamtape.com/v/kgjzDqgYQrIOVag/80520139 (2026) #Anal #BigTits #Hardcore #Bigass #RIPNSFW")</f>
        <v>{New} Alice Bong https://lulustream.com/d/quoip8rsm7ee https://doodstream.com/d/mo7qik9m0qus/80520139 https://streamtape.com/v/kgjzDqgYQrIOVag/80520139 (2026) #Anal #BigTits #Hardcore #Bigass #RIPNSFW</v>
      </c>
      <c r="N64" s="2" t="s">
        <v>347</v>
      </c>
      <c r="O64" s="30" t="s">
        <v>348</v>
      </c>
      <c r="P64" s="26"/>
      <c r="R64" s="23"/>
    </row>
    <row r="65" spans="1:27" ht="12.75">
      <c r="A65" s="12" t="s">
        <v>349</v>
      </c>
      <c r="B65" s="6" t="s">
        <v>14</v>
      </c>
      <c r="C65" s="7" t="str">
        <f t="shared" si="0"/>
        <v xml:space="preserve">Alice Bong </v>
      </c>
      <c r="D65" s="27" t="s">
        <v>350</v>
      </c>
      <c r="E65" s="28" t="s">
        <v>351</v>
      </c>
      <c r="F65" s="9" t="str">
        <f ca="1">IFERROR(__xludf.DUMMYFUNCTION("""https://streamtape.com/v/""&amp;
REGEXEXTRACT(O65,""/thumb/([^/]+)/"")&amp;
""/""&amp;K65"),"https://streamtape.com/v/JXz6KAB90ehZMg/93984122")</f>
        <v>https://streamtape.com/v/JXz6KAB90ehZMg/93984122</v>
      </c>
      <c r="G65" s="10" t="e">
        <f t="shared" ca="1" si="1"/>
        <v>#NAME?</v>
      </c>
      <c r="H65" s="11" t="str">
        <f ca="1">IFERROR(__xludf.DUMMYFUNCTION("IFERROR(SUBSTITUTE(SUBSTITUTE(REGEXEXTRACT(A65, ""[^-]+- [^-]+- [^-]+ - (.+?)\.jpg""), "".jpg"", """"), ""-"", "", ""), """")"),"")</f>
        <v/>
      </c>
      <c r="I65" s="6"/>
      <c r="J65" s="7" t="str">
        <f t="shared" ca="1" si="2"/>
        <v>(2026)</v>
      </c>
      <c r="K65" s="7" t="str">
        <f t="shared" si="3"/>
        <v>93984122</v>
      </c>
      <c r="L65" s="12" t="s">
        <v>346</v>
      </c>
      <c r="M65" s="13" t="str">
        <f ca="1">IFERROR(__xludf.DUMMYFUNCTION("TRIM(
  REGEXREPLACE(
    TEXTJOIN("" "",
      TRUE,
      B65,
      C65,
      embaralharLinks(E65,F65,G65),
      H65,
      """",
      J65,
      N65,
      ""#RIPNSFW""
    ),
  "",\s*"", "" "")
)"),"{New} Alice Bong https://streamtape.com/v/JXz6KAB90ehZMg/93984122 https://doodstream.com/d/jvcsab28cbag/93984122 https://lulustream.com/d/kp8gbsfe5gcn (2026) #Anal #BigTits #Hardcore #Bigass #RIPNSFW")</f>
        <v>{New} Alice Bong https://streamtape.com/v/JXz6KAB90ehZMg/93984122 https://doodstream.com/d/jvcsab28cbag/93984122 https://lulustream.com/d/kp8gbsfe5gcn (2026) #Anal #BigTits #Hardcore #Bigass #RIPNSFW</v>
      </c>
      <c r="N65" s="2" t="s">
        <v>347</v>
      </c>
      <c r="O65" s="30" t="s">
        <v>352</v>
      </c>
      <c r="P65" s="26"/>
      <c r="R65" s="23"/>
    </row>
    <row r="66" spans="1:27" ht="12.75">
      <c r="A66" s="12" t="s">
        <v>353</v>
      </c>
      <c r="B66" s="6" t="s">
        <v>14</v>
      </c>
      <c r="C66" s="7" t="str">
        <f t="shared" si="0"/>
        <v xml:space="preserve">AlicexMaia </v>
      </c>
      <c r="D66" s="27" t="s">
        <v>354</v>
      </c>
      <c r="E66" s="28" t="s">
        <v>355</v>
      </c>
      <c r="F66" s="9" t="str">
        <f ca="1">IFERROR(__xludf.DUMMYFUNCTION("""https://streamtape.com/v/""&amp;
REGEXEXTRACT(O66,""/thumb/([^/]+)/"")&amp;
""/""&amp;K66"),"https://streamtape.com/v/P7Xaw9BMzwSABl/10721850")</f>
        <v>https://streamtape.com/v/P7Xaw9BMzwSABl/10721850</v>
      </c>
      <c r="G66" s="10" t="e">
        <f t="shared" ca="1" si="1"/>
        <v>#NAME?</v>
      </c>
      <c r="H66" s="11" t="str">
        <f ca="1">IFERROR(__xludf.DUMMYFUNCTION("IFERROR(SUBSTITUTE(SUBSTITUTE(REGEXEXTRACT(A66, ""[^-]+- [^-]+- [^-]+ - (.+?)\.jpg""), "".jpg"", """"), ""-"", "", ""), """")"),"")</f>
        <v/>
      </c>
      <c r="I66" s="6"/>
      <c r="J66" s="7" t="str">
        <f t="shared" ca="1" si="2"/>
        <v>(2026)</v>
      </c>
      <c r="K66" s="7" t="str">
        <f t="shared" si="3"/>
        <v>10721850</v>
      </c>
      <c r="L66" s="12" t="s">
        <v>356</v>
      </c>
      <c r="M66" s="13" t="str">
        <f ca="1">IFERROR(__xludf.DUMMYFUNCTION("TRIM(
  REGEXREPLACE(
    TEXTJOIN("" "",
      TRUE,
      B66,
      C66,
      embaralharLinks(E66,F66,G66),
      H66,
      """",
      J66,
      N66,
      ""#RIPNSFW""
    ),
  "",\s*"", "" "")
)"),"{New} AlicexMaia https://lulustream.com/d/12zt5hk8bl0u https://streamtape.com/v/P7Xaw9BMzwSABl/10721850 https://doodstream.com/d/8lcxrn4sfnrn/10721850 (2026) #BigTits #Bigass #Teen #Solo #RIPNSFW")</f>
        <v>{New} AlicexMaia https://lulustream.com/d/12zt5hk8bl0u https://streamtape.com/v/P7Xaw9BMzwSABl/10721850 https://doodstream.com/d/8lcxrn4sfnrn/10721850 (2026) #BigTits #Bigass #Teen #Solo #RIPNSFW</v>
      </c>
      <c r="N66" s="2" t="s">
        <v>357</v>
      </c>
      <c r="O66" s="30" t="s">
        <v>358</v>
      </c>
      <c r="P66" s="26"/>
      <c r="R66" s="23"/>
    </row>
    <row r="67" spans="1:27" ht="12.75">
      <c r="A67" s="12" t="s">
        <v>359</v>
      </c>
      <c r="B67" s="6" t="s">
        <v>14</v>
      </c>
      <c r="C67" s="7" t="str">
        <f t="shared" si="0"/>
        <v xml:space="preserve">AlicexMaia </v>
      </c>
      <c r="D67" s="24" t="s">
        <v>360</v>
      </c>
      <c r="E67" s="25" t="s">
        <v>361</v>
      </c>
      <c r="F67" s="9" t="str">
        <f ca="1">IFERROR(__xludf.DUMMYFUNCTION("""https://streamtape.com/v/""&amp;
REGEXEXTRACT(O67,""/thumb/([^/]+)/"")&amp;
""/""&amp;K67"),"https://streamtape.com/v/RwWAqa4MyAIZKe/12079108")</f>
        <v>https://streamtape.com/v/RwWAqa4MyAIZKe/12079108</v>
      </c>
      <c r="G67" s="10" t="e">
        <f t="shared" ca="1" si="1"/>
        <v>#NAME?</v>
      </c>
      <c r="H67" s="11" t="str">
        <f ca="1">IFERROR(__xludf.DUMMYFUNCTION("IFERROR(SUBSTITUTE(SUBSTITUTE(REGEXEXTRACT(A67, ""[^-]+- [^-]+- [^-]+ - (.+?)\.jpg""), "".jpg"", """"), ""-"", "", ""), """")"),"")</f>
        <v/>
      </c>
      <c r="I67" s="6"/>
      <c r="J67" s="7" t="str">
        <f t="shared" ca="1" si="2"/>
        <v>(2026)</v>
      </c>
      <c r="K67" s="7" t="str">
        <f t="shared" si="3"/>
        <v>12079108</v>
      </c>
      <c r="L67" s="12" t="s">
        <v>356</v>
      </c>
      <c r="M67" s="13" t="str">
        <f ca="1">IFERROR(__xludf.DUMMYFUNCTION("TRIM(
  REGEXREPLACE(
    TEXTJOIN("" "",
      TRUE,
      B67,
      C67,
      embaralharLinks(E67,F67,G67),
      H67,
      """",
      J67,
      N67,
      ""#RIPNSFW""
    ),
  "",\s*"", "" "")
)"),"{New} AlicexMaia https://doodstream.com/d/d35ptsljxn02/12079108 https://streamtape.com/v/RwWAqa4MyAIZKe/12079108 https://lulustream.com/d/m7nz83q70ffz (2026) #BigTits #Bigass #Teen #Solo #RIPNSFW")</f>
        <v>{New} AlicexMaia https://doodstream.com/d/d35ptsljxn02/12079108 https://streamtape.com/v/RwWAqa4MyAIZKe/12079108 https://lulustream.com/d/m7nz83q70ffz (2026) #BigTits #Bigass #Teen #Solo #RIPNSFW</v>
      </c>
      <c r="N67" s="2" t="s">
        <v>357</v>
      </c>
      <c r="O67" s="30" t="s">
        <v>362</v>
      </c>
      <c r="P67" s="26"/>
      <c r="R67" s="23"/>
    </row>
    <row r="68" spans="1:27" ht="12.75">
      <c r="A68" s="16" t="s">
        <v>363</v>
      </c>
      <c r="B68" s="11" t="s">
        <v>14</v>
      </c>
      <c r="C68" s="13" t="str">
        <f t="shared" si="0"/>
        <v xml:space="preserve">AlicexMaia </v>
      </c>
      <c r="D68" s="34" t="s">
        <v>364</v>
      </c>
      <c r="E68" s="18" t="s">
        <v>365</v>
      </c>
      <c r="F68" s="9" t="str">
        <f ca="1">IFERROR(__xludf.DUMMYFUNCTION("""https://streamtape.com/v/""&amp;
REGEXEXTRACT(O68,""/thumb/([^/]+)/"")&amp;
""/""&amp;K68"),"https://streamtape.com/v/jYMQBA0vJyFzrjo/14731619")</f>
        <v>https://streamtape.com/v/jYMQBA0vJyFzrjo/14731619</v>
      </c>
      <c r="G68" s="10" t="e">
        <f t="shared" ca="1" si="1"/>
        <v>#NAME?</v>
      </c>
      <c r="H68" s="11" t="str">
        <f ca="1">IFERROR(__xludf.DUMMYFUNCTION("IFERROR(SUBSTITUTE(SUBSTITUTE(REGEXEXTRACT(A68, ""[^-]+- [^-]+- [^-]+ - (.+?)\.jpg""), "".jpg"", """"), ""-"", "", ""), """")"),"")</f>
        <v/>
      </c>
      <c r="I68" s="11"/>
      <c r="J68" s="13" t="str">
        <f t="shared" ca="1" si="2"/>
        <v>(2026)</v>
      </c>
      <c r="K68" s="13" t="str">
        <f t="shared" si="3"/>
        <v>14731619</v>
      </c>
      <c r="L68" s="12" t="s">
        <v>356</v>
      </c>
      <c r="M68" s="13" t="str">
        <f ca="1">IFERROR(__xludf.DUMMYFUNCTION("TRIM(
  REGEXREPLACE(
    TEXTJOIN("" "",
      TRUE,
      B68,
      C68,
      embaralharLinks(E68,F68,G68),
      H68,
      """",
      J68,
      N68,
      ""#RIPNSFW""
    ),
  "",\s*"", "" "")
)"),"{New} AlicexMaia https://lulustream.com/d/6obkapj4wp5w https://streamtape.com/v/jYMQBA0vJyFzrjo/14731619 https://doodstream.com/d/ej1ldt170tkx/14731619 (2026) #BigTits #Bigass #Teen #Solo #RIPNSFW")</f>
        <v>{New} AlicexMaia https://lulustream.com/d/6obkapj4wp5w https://streamtape.com/v/jYMQBA0vJyFzrjo/14731619 https://doodstream.com/d/ej1ldt170tkx/14731619 (2026) #BigTits #Bigass #Teen #Solo #RIPNSFW</v>
      </c>
      <c r="N68" s="20" t="s">
        <v>357</v>
      </c>
      <c r="O68" s="30" t="s">
        <v>366</v>
      </c>
      <c r="P68" s="26"/>
      <c r="Q68" s="16"/>
      <c r="R68" s="23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75">
      <c r="A69" s="6" t="s">
        <v>367</v>
      </c>
      <c r="B69" s="6" t="s">
        <v>14</v>
      </c>
      <c r="C69" s="7" t="str">
        <f t="shared" si="0"/>
        <v xml:space="preserve">AlicexMaia </v>
      </c>
      <c r="D69" s="6" t="s">
        <v>368</v>
      </c>
      <c r="E69" s="8" t="s">
        <v>369</v>
      </c>
      <c r="F69" s="9" t="str">
        <f ca="1">IFERROR(__xludf.DUMMYFUNCTION("""https://streamtape.com/v/""&amp;
REGEXEXTRACT(O69,""/thumb/([^/]+)/"")&amp;
""/""&amp;K69"),"https://streamtape.com/v/RARgZZmJ4eHdyO6/15248364")</f>
        <v>https://streamtape.com/v/RARgZZmJ4eHdyO6/15248364</v>
      </c>
      <c r="G69" s="10" t="e">
        <f t="shared" ca="1" si="1"/>
        <v>#NAME?</v>
      </c>
      <c r="H69" s="11" t="str">
        <f ca="1">IFERROR(__xludf.DUMMYFUNCTION("IFERROR(SUBSTITUTE(SUBSTITUTE(REGEXEXTRACT(A69, ""[^-]+- [^-]+- [^-]+ - (.+?)\.jpg""), "".jpg"", """"), ""-"", "", ""), """")"),"")</f>
        <v/>
      </c>
      <c r="I69" s="6"/>
      <c r="J69" s="7" t="str">
        <f t="shared" ca="1" si="2"/>
        <v>(2026)</v>
      </c>
      <c r="K69" s="7" t="str">
        <f t="shared" si="3"/>
        <v>15248364</v>
      </c>
      <c r="L69" s="12" t="s">
        <v>370</v>
      </c>
      <c r="M69" s="13" t="str">
        <f ca="1">IFERROR(__xludf.DUMMYFUNCTION("TRIM(
  REGEXREPLACE(
    TEXTJOIN("" "",
      TRUE,
      B69,
      C69,
      embaralharLinks(E69,F69,G69),
      H69,
      """",
      J69,
      N69,
      ""#RIPNSFW""
    ),
  "",\s*"", "" "")
)"),"{New} AlicexMaia https://doodstream.com/d/mn96wpk770fa/15248364 https://lulustream.com/d/b73sgo0j3vpk https://streamtape.com/v/RARgZZmJ4eHdyO6/15248364 (2026) #BigTits #Teen #Solo #Blonde #RIPNSFW")</f>
        <v>{New} AlicexMaia https://doodstream.com/d/mn96wpk770fa/15248364 https://lulustream.com/d/b73sgo0j3vpk https://streamtape.com/v/RARgZZmJ4eHdyO6/15248364 (2026) #BigTits #Teen #Solo #Blonde #RIPNSFW</v>
      </c>
      <c r="N69" s="14" t="s">
        <v>371</v>
      </c>
      <c r="O69" s="15" t="s">
        <v>372</v>
      </c>
      <c r="P69" s="14"/>
      <c r="Q69" s="6"/>
      <c r="R69" s="11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>
      <c r="A70" s="12" t="s">
        <v>373</v>
      </c>
      <c r="B70" s="6" t="s">
        <v>14</v>
      </c>
      <c r="C70" s="7" t="str">
        <f t="shared" si="0"/>
        <v xml:space="preserve">AlicexMaia </v>
      </c>
      <c r="D70" s="27" t="s">
        <v>374</v>
      </c>
      <c r="E70" s="28" t="s">
        <v>375</v>
      </c>
      <c r="F70" s="9" t="str">
        <f ca="1">IFERROR(__xludf.DUMMYFUNCTION("""https://streamtape.com/v/""&amp;
REGEXEXTRACT(O70,""/thumb/([^/]+)/"")&amp;
""/""&amp;K70"),"https://streamtape.com/v/1WOvrJ8qv7UeYqZ/17531294")</f>
        <v>https://streamtape.com/v/1WOvrJ8qv7UeYqZ/17531294</v>
      </c>
      <c r="G70" s="10" t="e">
        <f t="shared" ca="1" si="1"/>
        <v>#NAME?</v>
      </c>
      <c r="H70" s="11" t="str">
        <f ca="1">IFERROR(__xludf.DUMMYFUNCTION("IFERROR(SUBSTITUTE(SUBSTITUTE(REGEXEXTRACT(A70, ""[^-]+- [^-]+- [^-]+ - (.+?)\.jpg""), "".jpg"", """"), ""-"", "", ""), """")"),"")</f>
        <v/>
      </c>
      <c r="I70" s="6"/>
      <c r="J70" s="7" t="str">
        <f t="shared" ca="1" si="2"/>
        <v>(2026)</v>
      </c>
      <c r="K70" s="7" t="str">
        <f t="shared" si="3"/>
        <v>17531294</v>
      </c>
      <c r="L70" s="12" t="s">
        <v>376</v>
      </c>
      <c r="M70" s="13" t="str">
        <f ca="1">IFERROR(__xludf.DUMMYFUNCTION("TRIM(
  REGEXREPLACE(
    TEXTJOIN("" "",
      TRUE,
      B70,
      C70,
      embaralharLinks(E70,F70,G70),
      H70,
      """",
      J70,
      N70,
      ""#RIPNSFW""
    ),
  "",\s*"", "" "")
)"),"{New} AlicexMaia https://doodstream.com/d/cwrwhdzz1334/17531294 https://streamtape.com/v/1WOvrJ8qv7UeYqZ/17531294 https://lulustream.com/d/32c64pwy5uzf (2026) #Anal #BigTits #Bigass #Teen #RIPNSFW")</f>
        <v>{New} AlicexMaia https://doodstream.com/d/cwrwhdzz1334/17531294 https://streamtape.com/v/1WOvrJ8qv7UeYqZ/17531294 https://lulustream.com/d/32c64pwy5uzf (2026) #Anal #BigTits #Bigass #Teen #RIPNSFW</v>
      </c>
      <c r="N70" s="2" t="s">
        <v>377</v>
      </c>
      <c r="O70" s="30" t="s">
        <v>378</v>
      </c>
      <c r="P70" s="26"/>
      <c r="R70" s="23"/>
    </row>
    <row r="71" spans="1:27" ht="12.75">
      <c r="A71" s="12" t="s">
        <v>379</v>
      </c>
      <c r="B71" s="6" t="s">
        <v>14</v>
      </c>
      <c r="C71" s="7" t="str">
        <f t="shared" si="0"/>
        <v xml:space="preserve">AlicexMaia </v>
      </c>
      <c r="D71" s="24" t="s">
        <v>380</v>
      </c>
      <c r="E71" s="25" t="s">
        <v>381</v>
      </c>
      <c r="F71" s="9" t="str">
        <f ca="1">IFERROR(__xludf.DUMMYFUNCTION("""https://streamtape.com/v/""&amp;
REGEXEXTRACT(O71,""/thumb/([^/]+)/"")&amp;
""/""&amp;K71"),"https://streamtape.com/v/roL1Qv72e9Ibwd9/19457440")</f>
        <v>https://streamtape.com/v/roL1Qv72e9Ibwd9/19457440</v>
      </c>
      <c r="G71" s="10" t="e">
        <f t="shared" ca="1" si="1"/>
        <v>#NAME?</v>
      </c>
      <c r="H71" s="11" t="str">
        <f ca="1">IFERROR(__xludf.DUMMYFUNCTION("IFERROR(SUBSTITUTE(SUBSTITUTE(REGEXEXTRACT(A71, ""[^-]+- [^-]+- [^-]+ - (.+?)\.jpg""), "".jpg"", """"), ""-"", "", ""), """")"),"")</f>
        <v/>
      </c>
      <c r="I71" s="6"/>
      <c r="J71" s="7" t="str">
        <f t="shared" ca="1" si="2"/>
        <v>(2026)</v>
      </c>
      <c r="K71" s="7" t="str">
        <f t="shared" si="3"/>
        <v>19457440</v>
      </c>
      <c r="L71" s="12" t="s">
        <v>356</v>
      </c>
      <c r="M71" s="13" t="str">
        <f ca="1">IFERROR(__xludf.DUMMYFUNCTION("TRIM(
  REGEXREPLACE(
    TEXTJOIN("" "",
      TRUE,
      B71,
      C71,
      embaralharLinks(E71,F71,G71),
      H71,
      """",
      J71,
      N71,
      ""#RIPNSFW""
    ),
  "",\s*"", "" "")
)"),"{New} AlicexMaia https://doodstream.com/d/n3t0xiknnm7y/19457440 https://lulustream.com/d/ncudry5gld17 https://streamtape.com/v/roL1Qv72e9Ibwd9/19457440 (2026) #BigTits #Bigass #Teen #Solo #RIPNSFW")</f>
        <v>{New} AlicexMaia https://doodstream.com/d/n3t0xiknnm7y/19457440 https://lulustream.com/d/ncudry5gld17 https://streamtape.com/v/roL1Qv72e9Ibwd9/19457440 (2026) #BigTits #Bigass #Teen #Solo #RIPNSFW</v>
      </c>
      <c r="N71" s="2" t="s">
        <v>357</v>
      </c>
      <c r="O71" s="21" t="s">
        <v>382</v>
      </c>
      <c r="P71" s="26"/>
      <c r="R71" s="23"/>
    </row>
    <row r="72" spans="1:27" ht="12.75">
      <c r="A72" s="6" t="s">
        <v>383</v>
      </c>
      <c r="B72" s="6" t="s">
        <v>14</v>
      </c>
      <c r="C72" s="7" t="str">
        <f t="shared" si="0"/>
        <v xml:space="preserve">AlicexMaia </v>
      </c>
      <c r="D72" s="29" t="s">
        <v>384</v>
      </c>
      <c r="E72" s="8" t="s">
        <v>385</v>
      </c>
      <c r="F72" s="9" t="str">
        <f ca="1">IFERROR(__xludf.DUMMYFUNCTION("""https://streamtape.com/v/""&amp;
REGEXEXTRACT(O72,""/thumb/([^/]+)/"")&amp;
""/""&amp;K72"),"https://streamtape.com/v/qxlwO8epdWTzxvQ/19553158")</f>
        <v>https://streamtape.com/v/qxlwO8epdWTzxvQ/19553158</v>
      </c>
      <c r="G72" s="10" t="e">
        <f t="shared" ca="1" si="1"/>
        <v>#NAME?</v>
      </c>
      <c r="H72" s="11" t="str">
        <f ca="1">IFERROR(__xludf.DUMMYFUNCTION("IFERROR(SUBSTITUTE(SUBSTITUTE(REGEXEXTRACT(A72, ""[^-]+- [^-]+- [^-]+ - (.+?)\.jpg""), "".jpg"", """"), ""-"", "", ""), """")"),"")</f>
        <v/>
      </c>
      <c r="I72" s="6"/>
      <c r="J72" s="7" t="str">
        <f t="shared" ca="1" si="2"/>
        <v>(2026)</v>
      </c>
      <c r="K72" s="7" t="str">
        <f t="shared" si="3"/>
        <v>19553158</v>
      </c>
      <c r="L72" s="12" t="s">
        <v>386</v>
      </c>
      <c r="M72" s="13" t="str">
        <f ca="1">IFERROR(__xludf.DUMMYFUNCTION("TRIM(
  REGEXREPLACE(
    TEXTJOIN("" "",
      TRUE,
      B72,
      C72,
      embaralharLinks(E72,F72,G72),
      H72,
      """",
      J72,
      N72,
      ""#RIPNSFW""
    ),
  "",\s*"", "" "")
)"),"{New} AlicexMaia https://lulustream.com/d/t6fbdavbf70e https://doodstream.com/d/dtfgzs7ft8j3/19553158 https://streamtape.com/v/qxlwO8epdWTzxvQ/19553158 (2026) #BigTits #Bigass #Teen #Solo #RIPNSFW")</f>
        <v>{New} AlicexMaia https://lulustream.com/d/t6fbdavbf70e https://doodstream.com/d/dtfgzs7ft8j3/19553158 https://streamtape.com/v/qxlwO8epdWTzxvQ/19553158 (2026) #BigTits #Bigass #Teen #Solo #RIPNSFW</v>
      </c>
      <c r="N72" s="14" t="s">
        <v>357</v>
      </c>
      <c r="O72" s="32" t="s">
        <v>387</v>
      </c>
      <c r="P72" s="14"/>
      <c r="Q72" s="6"/>
      <c r="R72" s="11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>
      <c r="A73" s="6" t="s">
        <v>388</v>
      </c>
      <c r="B73" s="6" t="s">
        <v>14</v>
      </c>
      <c r="C73" s="7" t="str">
        <f t="shared" si="0"/>
        <v xml:space="preserve">AlicexMaia </v>
      </c>
      <c r="D73" s="6" t="s">
        <v>389</v>
      </c>
      <c r="E73" s="8" t="s">
        <v>390</v>
      </c>
      <c r="F73" s="9" t="str">
        <f ca="1">IFERROR(__xludf.DUMMYFUNCTION("""https://streamtape.com/v/""&amp;
REGEXEXTRACT(O73,""/thumb/([^/]+)/"")&amp;
""/""&amp;K73"),"https://streamtape.com/v/vwPjz9xxe8i4rLz/23808780")</f>
        <v>https://streamtape.com/v/vwPjz9xxe8i4rLz/23808780</v>
      </c>
      <c r="G73" s="10" t="e">
        <f t="shared" ca="1" si="1"/>
        <v>#NAME?</v>
      </c>
      <c r="H73" s="11" t="str">
        <f ca="1">IFERROR(__xludf.DUMMYFUNCTION("IFERROR(SUBSTITUTE(SUBSTITUTE(REGEXEXTRACT(A73, ""[^-]+- [^-]+- [^-]+ - (.+?)\.jpg""), "".jpg"", """"), ""-"", "", ""), """")"),"")</f>
        <v/>
      </c>
      <c r="I73" s="6"/>
      <c r="J73" s="7" t="str">
        <f t="shared" ca="1" si="2"/>
        <v>(2026)</v>
      </c>
      <c r="K73" s="7" t="str">
        <f t="shared" si="3"/>
        <v>23808780</v>
      </c>
      <c r="L73" s="12" t="s">
        <v>370</v>
      </c>
      <c r="M73" s="13" t="str">
        <f ca="1">IFERROR(__xludf.DUMMYFUNCTION("TRIM(
  REGEXREPLACE(
    TEXTJOIN("" "",
      TRUE,
      B73,
      C73,
      embaralharLinks(E73,F73,G73),
      H73,
      """",
      J73,
      N73,
      ""#RIPNSFW""
    ),
  "",\s*"", "" "")
)"),"{New} AlicexMaia https://doodstream.com/d/dsvif0c82xj2/23808780 https://streamtape.com/v/vwPjz9xxe8i4rLz/23808780 https://lulustream.com/d/sn83issjo5ld (2026) #BigTits #Teen #Solo #Blonde #RIPNSFW")</f>
        <v>{New} AlicexMaia https://doodstream.com/d/dsvif0c82xj2/23808780 https://streamtape.com/v/vwPjz9xxe8i4rLz/23808780 https://lulustream.com/d/sn83issjo5ld (2026) #BigTits #Teen #Solo #Blonde #RIPNSFW</v>
      </c>
      <c r="N73" s="14" t="s">
        <v>371</v>
      </c>
      <c r="O73" s="15" t="s">
        <v>391</v>
      </c>
      <c r="P73" s="14"/>
      <c r="Q73" s="6"/>
      <c r="R73" s="11"/>
      <c r="S73" s="6"/>
      <c r="T73" s="6"/>
      <c r="U73" s="6"/>
      <c r="V73" s="6"/>
      <c r="W73" s="6"/>
      <c r="X73" s="6"/>
      <c r="Y73" s="6"/>
      <c r="Z73" s="6"/>
      <c r="AA73" s="6"/>
    </row>
    <row r="74" spans="1:27" ht="12.75">
      <c r="A74" s="6" t="s">
        <v>392</v>
      </c>
      <c r="B74" s="6" t="s">
        <v>14</v>
      </c>
      <c r="C74" s="7" t="str">
        <f t="shared" si="0"/>
        <v xml:space="preserve">AlicexMaia </v>
      </c>
      <c r="D74" s="29" t="s">
        <v>393</v>
      </c>
      <c r="E74" s="8" t="s">
        <v>394</v>
      </c>
      <c r="F74" s="9" t="str">
        <f ca="1">IFERROR(__xludf.DUMMYFUNCTION("""https://streamtape.com/v/""&amp;
REGEXEXTRACT(O74,""/thumb/([^/]+)/"")&amp;
""/""&amp;K74"),"https://streamtape.com/v/qWgPDkl9LdUz2v0/29448765")</f>
        <v>https://streamtape.com/v/qWgPDkl9LdUz2v0/29448765</v>
      </c>
      <c r="G74" s="10" t="e">
        <f t="shared" ca="1" si="1"/>
        <v>#NAME?</v>
      </c>
      <c r="H74" s="11" t="str">
        <f ca="1">IFERROR(__xludf.DUMMYFUNCTION("IFERROR(SUBSTITUTE(SUBSTITUTE(REGEXEXTRACT(A74, ""[^-]+- [^-]+- [^-]+ - (.+?)\.jpg""), "".jpg"", """"), ""-"", "", ""), """")"),"")</f>
        <v/>
      </c>
      <c r="I74" s="6"/>
      <c r="J74" s="7" t="str">
        <f t="shared" ca="1" si="2"/>
        <v>(2026)</v>
      </c>
      <c r="K74" s="7" t="str">
        <f t="shared" si="3"/>
        <v>29448765</v>
      </c>
      <c r="L74" s="12" t="s">
        <v>356</v>
      </c>
      <c r="M74" s="13" t="str">
        <f ca="1">IFERROR(__xludf.DUMMYFUNCTION("TRIM(
  REGEXREPLACE(
    TEXTJOIN("" "",
      TRUE,
      B74,
      C74,
      embaralharLinks(E74,F74,G74),
      H74,
      """",
      J74,
      N74,
      ""#RIPNSFW""
    ),
  "",\s*"", "" "")
)"),"{New} AlicexMaia https://lulustream.com/d/uu38a8erwyan https://streamtape.com/v/qWgPDkl9LdUz2v0/29448765 https://doodstream.com/d/odevd4u50df9/29448765 (2026) #BigTits #Bigass #Teen #Solo #RIPNSFW")</f>
        <v>{New} AlicexMaia https://lulustream.com/d/uu38a8erwyan https://streamtape.com/v/qWgPDkl9LdUz2v0/29448765 https://doodstream.com/d/odevd4u50df9/29448765 (2026) #BigTits #Bigass #Teen #Solo #RIPNSFW</v>
      </c>
      <c r="N74" s="14" t="s">
        <v>357</v>
      </c>
      <c r="O74" s="32" t="s">
        <v>395</v>
      </c>
      <c r="P74" s="14"/>
      <c r="Q74" s="6"/>
      <c r="R74" s="11"/>
      <c r="S74" s="6"/>
      <c r="T74" s="6"/>
      <c r="U74" s="6"/>
      <c r="V74" s="6"/>
      <c r="W74" s="6"/>
      <c r="X74" s="6"/>
      <c r="Y74" s="6"/>
      <c r="Z74" s="6"/>
      <c r="AA74" s="6"/>
    </row>
    <row r="75" spans="1:27" ht="12.75">
      <c r="A75" s="12" t="s">
        <v>396</v>
      </c>
      <c r="B75" s="6" t="s">
        <v>14</v>
      </c>
      <c r="C75" s="7" t="str">
        <f t="shared" si="0"/>
        <v xml:space="preserve">AlicexMaia </v>
      </c>
      <c r="D75" s="24" t="s">
        <v>397</v>
      </c>
      <c r="E75" s="25" t="s">
        <v>398</v>
      </c>
      <c r="F75" s="9" t="str">
        <f ca="1">IFERROR(__xludf.DUMMYFUNCTION("""https://streamtape.com/v/""&amp;
REGEXEXTRACT(O75,""/thumb/([^/]+)/"")&amp;
""/""&amp;K75"),"https://streamtape.com/v/V6el2r11QlCKrao/42662611")</f>
        <v>https://streamtape.com/v/V6el2r11QlCKrao/42662611</v>
      </c>
      <c r="G75" s="10" t="e">
        <f t="shared" ca="1" si="1"/>
        <v>#NAME?</v>
      </c>
      <c r="H75" s="11" t="str">
        <f ca="1">IFERROR(__xludf.DUMMYFUNCTION("IFERROR(SUBSTITUTE(SUBSTITUTE(REGEXEXTRACT(A75, ""[^-]+- [^-]+- [^-]+ - (.+?)\.jpg""), "".jpg"", """"), ""-"", "", ""), """")"),"")</f>
        <v/>
      </c>
      <c r="I75" s="6"/>
      <c r="J75" s="7" t="str">
        <f t="shared" ca="1" si="2"/>
        <v>(2026)</v>
      </c>
      <c r="K75" s="7" t="str">
        <f t="shared" si="3"/>
        <v>42662611</v>
      </c>
      <c r="L75" s="12" t="s">
        <v>356</v>
      </c>
      <c r="M75" s="13" t="str">
        <f ca="1">IFERROR(__xludf.DUMMYFUNCTION("TRIM(
  REGEXREPLACE(
    TEXTJOIN("" "",
      TRUE,
      B75,
      C75,
      embaralharLinks(E75,F75,G75),
      H75,
      """",
      J75,
      N75,
      ""#RIPNSFW""
    ),
  "",\s*"", "" "")
)"),"{New} AlicexMaia https://lulustream.com/d/d0j1wlgwhotj https://streamtape.com/v/V6el2r11QlCKrao/42662611 https://doodstream.com/d/1fdvfytvt9ej/42662611 (2026) #BigTits #Bigass #Teen #Solo #RIPNSFW")</f>
        <v>{New} AlicexMaia https://lulustream.com/d/d0j1wlgwhotj https://streamtape.com/v/V6el2r11QlCKrao/42662611 https://doodstream.com/d/1fdvfytvt9ej/42662611 (2026) #BigTits #Bigass #Teen #Solo #RIPNSFW</v>
      </c>
      <c r="N75" s="2" t="s">
        <v>357</v>
      </c>
      <c r="O75" s="30" t="s">
        <v>399</v>
      </c>
      <c r="P75" s="26"/>
      <c r="R75" s="23"/>
    </row>
    <row r="76" spans="1:27" ht="12.75">
      <c r="A76" s="12" t="s">
        <v>400</v>
      </c>
      <c r="B76" s="6" t="s">
        <v>14</v>
      </c>
      <c r="C76" s="7" t="str">
        <f t="shared" si="0"/>
        <v xml:space="preserve">AlicexMaia </v>
      </c>
      <c r="D76" s="24" t="s">
        <v>401</v>
      </c>
      <c r="E76" s="25" t="s">
        <v>402</v>
      </c>
      <c r="F76" s="9" t="str">
        <f ca="1">IFERROR(__xludf.DUMMYFUNCTION("""https://streamtape.com/v/""&amp;
REGEXEXTRACT(O76,""/thumb/([^/]+)/"")&amp;
""/""&amp;K76"),"https://streamtape.com/v/DqDW9l03r4UkrRK/45305787")</f>
        <v>https://streamtape.com/v/DqDW9l03r4UkrRK/45305787</v>
      </c>
      <c r="G76" s="10" t="e">
        <f t="shared" ca="1" si="1"/>
        <v>#NAME?</v>
      </c>
      <c r="H76" s="11" t="str">
        <f ca="1">IFERROR(__xludf.DUMMYFUNCTION("IFERROR(SUBSTITUTE(SUBSTITUTE(REGEXEXTRACT(A76, ""[^-]+- [^-]+- [^-]+ - (.+?)\.jpg""), "".jpg"", """"), ""-"", "", ""), """")"),"")</f>
        <v/>
      </c>
      <c r="I76" s="6"/>
      <c r="J76" s="7" t="str">
        <f t="shared" ca="1" si="2"/>
        <v>(2026)</v>
      </c>
      <c r="K76" s="7" t="str">
        <f t="shared" si="3"/>
        <v>45305787</v>
      </c>
      <c r="L76" s="12" t="s">
        <v>356</v>
      </c>
      <c r="M76" s="13" t="str">
        <f ca="1">IFERROR(__xludf.DUMMYFUNCTION("TRIM(
  REGEXREPLACE(
    TEXTJOIN("" "",
      TRUE,
      B76,
      C76,
      embaralharLinks(E76,F76,G76),
      H76,
      """",
      J76,
      N76,
      ""#RIPNSFW""
    ),
  "",\s*"", "" "")
)"),"{New} AlicexMaia https://lulustream.com/d/5ep5erjdhp2h https://streamtape.com/v/DqDW9l03r4UkrRK/45305787 https://doodstream.com/d/0zp30eoep2hw/45305787 (2026) #BigTits #Bigass #Teen #Solo #RIPNSFW")</f>
        <v>{New} AlicexMaia https://lulustream.com/d/5ep5erjdhp2h https://streamtape.com/v/DqDW9l03r4UkrRK/45305787 https://doodstream.com/d/0zp30eoep2hw/45305787 (2026) #BigTits #Bigass #Teen #Solo #RIPNSFW</v>
      </c>
      <c r="N76" s="2" t="s">
        <v>357</v>
      </c>
      <c r="O76" s="30" t="s">
        <v>403</v>
      </c>
      <c r="P76" s="26"/>
      <c r="R76" s="23"/>
    </row>
    <row r="77" spans="1:27" ht="12.75">
      <c r="A77" s="12" t="s">
        <v>404</v>
      </c>
      <c r="B77" s="6" t="s">
        <v>14</v>
      </c>
      <c r="C77" s="7" t="str">
        <f t="shared" si="0"/>
        <v xml:space="preserve">AlicexMaia </v>
      </c>
      <c r="D77" s="24" t="s">
        <v>405</v>
      </c>
      <c r="E77" s="25" t="s">
        <v>406</v>
      </c>
      <c r="F77" s="9" t="str">
        <f ca="1">IFERROR(__xludf.DUMMYFUNCTION("""https://streamtape.com/v/""&amp;
REGEXEXTRACT(O77,""/thumb/([^/]+)/"")&amp;
""/""&amp;K77"),"https://streamtape.com/v/d7oVva7BkdUkJw0/49296667")</f>
        <v>https://streamtape.com/v/d7oVva7BkdUkJw0/49296667</v>
      </c>
      <c r="G77" s="10" t="e">
        <f t="shared" ca="1" si="1"/>
        <v>#NAME?</v>
      </c>
      <c r="H77" s="11" t="str">
        <f ca="1">IFERROR(__xludf.DUMMYFUNCTION("IFERROR(SUBSTITUTE(SUBSTITUTE(REGEXEXTRACT(A77, ""[^-]+- [^-]+- [^-]+ - (.+?)\.jpg""), "".jpg"", """"), ""-"", "", ""), """")"),"")</f>
        <v/>
      </c>
      <c r="I77" s="6"/>
      <c r="J77" s="7" t="str">
        <f t="shared" ca="1" si="2"/>
        <v>(2026)</v>
      </c>
      <c r="K77" s="7" t="str">
        <f t="shared" si="3"/>
        <v>49296667</v>
      </c>
      <c r="L77" s="12" t="s">
        <v>356</v>
      </c>
      <c r="M77" s="13" t="str">
        <f ca="1">IFERROR(__xludf.DUMMYFUNCTION("TRIM(
  REGEXREPLACE(
    TEXTJOIN("" "",
      TRUE,
      B77,
      C77,
      embaralharLinks(E77,F77,G77),
      H77,
      """",
      J77,
      N77,
      ""#RIPNSFW""
    ),
  "",\s*"", "" "")
)"),"{New} AlicexMaia https://doodstream.com/d/qctghddt78k0/49296667 https://streamtape.com/v/d7oVva7BkdUkJw0/49296667 https://lulustream.com/d/4v36v7ghh09u (2026) #BigTits #Bigass #Teen #Solo #RIPNSFW")</f>
        <v>{New} AlicexMaia https://doodstream.com/d/qctghddt78k0/49296667 https://streamtape.com/v/d7oVva7BkdUkJw0/49296667 https://lulustream.com/d/4v36v7ghh09u (2026) #BigTits #Bigass #Teen #Solo #RIPNSFW</v>
      </c>
      <c r="N77" s="2" t="s">
        <v>357</v>
      </c>
      <c r="O77" s="30" t="s">
        <v>407</v>
      </c>
      <c r="P77" s="26"/>
      <c r="R77" s="23"/>
      <c r="T77" s="6"/>
      <c r="U77" s="7"/>
    </row>
    <row r="78" spans="1:27" ht="12.75">
      <c r="A78" s="12" t="s">
        <v>408</v>
      </c>
      <c r="B78" s="6" t="s">
        <v>14</v>
      </c>
      <c r="C78" s="7" t="str">
        <f t="shared" si="0"/>
        <v xml:space="preserve">AlicexMaia </v>
      </c>
      <c r="D78" s="24" t="s">
        <v>409</v>
      </c>
      <c r="E78" s="25" t="s">
        <v>410</v>
      </c>
      <c r="F78" s="9" t="str">
        <f ca="1">IFERROR(__xludf.DUMMYFUNCTION("""https://streamtape.com/v/""&amp;
REGEXEXTRACT(O78,""/thumb/([^/]+)/"")&amp;
""/""&amp;K78"),"https://streamtape.com/v/xyZr1WAPZGskAXX/63578233")</f>
        <v>https://streamtape.com/v/xyZr1WAPZGskAXX/63578233</v>
      </c>
      <c r="G78" s="10" t="e">
        <f t="shared" ca="1" si="1"/>
        <v>#NAME?</v>
      </c>
      <c r="H78" s="11" t="str">
        <f ca="1">IFERROR(__xludf.DUMMYFUNCTION("IFERROR(SUBSTITUTE(SUBSTITUTE(REGEXEXTRACT(A78, ""[^-]+- [^-]+- [^-]+ - (.+?)\.jpg""), "".jpg"", """"), ""-"", "", ""), """")"),"")</f>
        <v/>
      </c>
      <c r="I78" s="6"/>
      <c r="J78" s="7" t="str">
        <f t="shared" ca="1" si="2"/>
        <v>(2026)</v>
      </c>
      <c r="K78" s="7" t="str">
        <f t="shared" si="3"/>
        <v>63578233</v>
      </c>
      <c r="L78" s="12" t="s">
        <v>356</v>
      </c>
      <c r="M78" s="13" t="str">
        <f ca="1">IFERROR(__xludf.DUMMYFUNCTION("TRIM(
  REGEXREPLACE(
    TEXTJOIN("" "",
      TRUE,
      B78,
      C78,
      embaralharLinks(E78,F78,G78),
      H78,
      """",
      J78,
      N78,
      ""#RIPNSFW""
    ),
  "",\s*"", "" "")
)"),"{New} AlicexMaia https://lulustream.com/d/4fzm8gu5w4ax https://streamtape.com/v/xyZr1WAPZGskAXX/63578233 https://doodstream.com/d/3wdhd3j7wzfu/63578233 (2026) #BigTits #Bigass #Teen #Solo #RIPNSFW")</f>
        <v>{New} AlicexMaia https://lulustream.com/d/4fzm8gu5w4ax https://streamtape.com/v/xyZr1WAPZGskAXX/63578233 https://doodstream.com/d/3wdhd3j7wzfu/63578233 (2026) #BigTits #Bigass #Teen #Solo #RIPNSFW</v>
      </c>
      <c r="N78" s="2" t="s">
        <v>357</v>
      </c>
      <c r="O78" s="30" t="s">
        <v>411</v>
      </c>
      <c r="P78" s="26"/>
      <c r="R78" s="23"/>
    </row>
    <row r="79" spans="1:27" ht="12.75">
      <c r="A79" s="12" t="s">
        <v>412</v>
      </c>
      <c r="B79" s="6" t="s">
        <v>14</v>
      </c>
      <c r="C79" s="7" t="str">
        <f t="shared" si="0"/>
        <v xml:space="preserve">AlicexMaia </v>
      </c>
      <c r="D79" s="27" t="s">
        <v>413</v>
      </c>
      <c r="E79" s="28" t="s">
        <v>414</v>
      </c>
      <c r="F79" s="9" t="str">
        <f ca="1">IFERROR(__xludf.DUMMYFUNCTION("""https://streamtape.com/v/""&amp;
REGEXEXTRACT(O79,""/thumb/([^/]+)/"")&amp;
""/""&amp;K79"),"https://streamtape.com/v/g9zyKga2OPtqrp2/67191993")</f>
        <v>https://streamtape.com/v/g9zyKga2OPtqrp2/67191993</v>
      </c>
      <c r="G79" s="10" t="e">
        <f t="shared" ca="1" si="1"/>
        <v>#NAME?</v>
      </c>
      <c r="H79" s="11" t="str">
        <f ca="1">IFERROR(__xludf.DUMMYFUNCTION("IFERROR(SUBSTITUTE(SUBSTITUTE(REGEXEXTRACT(A79, ""[^-]+- [^-]+- [^-]+ - (.+?)\.jpg""), "".jpg"", """"), ""-"", "", ""), """")"),"")</f>
        <v/>
      </c>
      <c r="I79" s="6"/>
      <c r="J79" s="7" t="str">
        <f t="shared" ca="1" si="2"/>
        <v>(2026)</v>
      </c>
      <c r="K79" s="7" t="str">
        <f t="shared" si="3"/>
        <v>67191993</v>
      </c>
      <c r="L79" s="12" t="s">
        <v>356</v>
      </c>
      <c r="M79" s="13" t="str">
        <f ca="1">IFERROR(__xludf.DUMMYFUNCTION("TRIM(
  REGEXREPLACE(
    TEXTJOIN("" "",
      TRUE,
      B79,
      C79,
      embaralharLinks(E79,F79,G79),
      H79,
      """",
      J79,
      N79,
      ""#RIPNSFW""
    ),
  "",\s*"", "" "")
)"),"{New} AlicexMaia https://streamtape.com/v/g9zyKga2OPtqrp2/67191993 https://lulustream.com/d/vrwc80obzmll https://doodstream.com/d/qw68x0lpd67h/67191993 (2026) #BigTits #Bigass #Teen #Solo #RIPNSFW")</f>
        <v>{New} AlicexMaia https://streamtape.com/v/g9zyKga2OPtqrp2/67191993 https://lulustream.com/d/vrwc80obzmll https://doodstream.com/d/qw68x0lpd67h/67191993 (2026) #BigTits #Bigass #Teen #Solo #RIPNSFW</v>
      </c>
      <c r="N79" s="2" t="s">
        <v>357</v>
      </c>
      <c r="O79" s="30" t="s">
        <v>415</v>
      </c>
      <c r="P79" s="26"/>
      <c r="R79" s="23"/>
    </row>
    <row r="80" spans="1:27" ht="12.75">
      <c r="A80" s="12" t="s">
        <v>416</v>
      </c>
      <c r="B80" s="6" t="s">
        <v>14</v>
      </c>
      <c r="C80" s="7" t="str">
        <f t="shared" si="0"/>
        <v xml:space="preserve">AlicexMaia </v>
      </c>
      <c r="D80" s="24" t="s">
        <v>417</v>
      </c>
      <c r="E80" s="25" t="s">
        <v>418</v>
      </c>
      <c r="F80" s="9" t="str">
        <f ca="1">IFERROR(__xludf.DUMMYFUNCTION("""https://streamtape.com/v/""&amp;
REGEXEXTRACT(O80,""/thumb/([^/]+)/"")&amp;
""/""&amp;K80"),"https://streamtape.com/v/zp1zq3X0LdFYBVP/75717227")</f>
        <v>https://streamtape.com/v/zp1zq3X0LdFYBVP/75717227</v>
      </c>
      <c r="G80" s="10" t="e">
        <f t="shared" ca="1" si="1"/>
        <v>#NAME?</v>
      </c>
      <c r="H80" s="11" t="str">
        <f ca="1">IFERROR(__xludf.DUMMYFUNCTION("IFERROR(SUBSTITUTE(SUBSTITUTE(REGEXEXTRACT(A80, ""[^-]+- [^-]+- [^-]+ - (.+?)\.jpg""), "".jpg"", """"), ""-"", "", ""), """")"),"")</f>
        <v/>
      </c>
      <c r="I80" s="6"/>
      <c r="J80" s="7" t="str">
        <f t="shared" ca="1" si="2"/>
        <v>(2026)</v>
      </c>
      <c r="K80" s="7" t="str">
        <f t="shared" si="3"/>
        <v>75717227</v>
      </c>
      <c r="L80" s="12" t="s">
        <v>356</v>
      </c>
      <c r="M80" s="13" t="str">
        <f ca="1">IFERROR(__xludf.DUMMYFUNCTION("TRIM(
  REGEXREPLACE(
    TEXTJOIN("" "",
      TRUE,
      B80,
      C80,
      embaralharLinks(E80,F80,G80),
      H80,
      """",
      J80,
      N80,
      ""#RIPNSFW""
    ),
  "",\s*"", "" "")
)"),"{New} AlicexMaia https://lulustream.com/d/xeeq7exproly https://streamtape.com/v/zp1zq3X0LdFYBVP/75717227 https://doodstream.com/d/cbfd40bocvz4/75717227 (2026) #BigTits #Bigass #Teen #Solo #RIPNSFW")</f>
        <v>{New} AlicexMaia https://lulustream.com/d/xeeq7exproly https://streamtape.com/v/zp1zq3X0LdFYBVP/75717227 https://doodstream.com/d/cbfd40bocvz4/75717227 (2026) #BigTits #Bigass #Teen #Solo #RIPNSFW</v>
      </c>
      <c r="N80" s="2" t="s">
        <v>357</v>
      </c>
      <c r="O80" s="30" t="s">
        <v>419</v>
      </c>
      <c r="P80" s="26"/>
      <c r="R80" s="23"/>
    </row>
    <row r="81" spans="1:27" ht="12.75">
      <c r="A81" s="12" t="s">
        <v>420</v>
      </c>
      <c r="B81" s="6" t="s">
        <v>14</v>
      </c>
      <c r="C81" s="7" t="str">
        <f t="shared" si="0"/>
        <v xml:space="preserve">AlicexMaia </v>
      </c>
      <c r="D81" s="24" t="s">
        <v>421</v>
      </c>
      <c r="E81" s="25" t="s">
        <v>422</v>
      </c>
      <c r="F81" s="9" t="str">
        <f ca="1">IFERROR(__xludf.DUMMYFUNCTION("""https://streamtape.com/v/""&amp;
REGEXEXTRACT(O81,""/thumb/([^/]+)/"")&amp;
""/""&amp;K81"),"https://streamtape.com/v/m749YwgRMoHbxyg/78662402")</f>
        <v>https://streamtape.com/v/m749YwgRMoHbxyg/78662402</v>
      </c>
      <c r="G81" s="10" t="e">
        <f t="shared" ca="1" si="1"/>
        <v>#NAME?</v>
      </c>
      <c r="H81" s="11" t="str">
        <f ca="1">IFERROR(__xludf.DUMMYFUNCTION("IFERROR(SUBSTITUTE(SUBSTITUTE(REGEXEXTRACT(A81, ""[^-]+- [^-]+- [^-]+ - (.+?)\.jpg""), "".jpg"", """"), ""-"", "", ""), """")"),"")</f>
        <v/>
      </c>
      <c r="I81" s="6"/>
      <c r="J81" s="7" t="str">
        <f t="shared" ca="1" si="2"/>
        <v>(2026)</v>
      </c>
      <c r="K81" s="7" t="str">
        <f t="shared" si="3"/>
        <v>78662402</v>
      </c>
      <c r="L81" s="12" t="s">
        <v>356</v>
      </c>
      <c r="M81" s="13" t="str">
        <f ca="1">IFERROR(__xludf.DUMMYFUNCTION("TRIM(
  REGEXREPLACE(
    TEXTJOIN("" "",
      TRUE,
      B81,
      C81,
      embaralharLinks(E81,F81,G81),
      H81,
      """",
      J81,
      N81,
      ""#RIPNSFW""
    ),
  "",\s*"", "" "")
)"),"{New} AlicexMaia https://streamtape.com/v/m749YwgRMoHbxyg/78662402 https://lulustream.com/d/bqia1oswt0ti https://doodstream.com/d/v7hwqbirikl7/78662402 (2026) #BigTits #Bigass #Teen #Solo #RIPNSFW")</f>
        <v>{New} AlicexMaia https://streamtape.com/v/m749YwgRMoHbxyg/78662402 https://lulustream.com/d/bqia1oswt0ti https://doodstream.com/d/v7hwqbirikl7/78662402 (2026) #BigTits #Bigass #Teen #Solo #RIPNSFW</v>
      </c>
      <c r="N81" s="2" t="s">
        <v>357</v>
      </c>
      <c r="O81" s="30" t="s">
        <v>423</v>
      </c>
      <c r="P81" s="26"/>
      <c r="R81" s="23"/>
    </row>
    <row r="82" spans="1:27" ht="12.75">
      <c r="A82" s="6" t="s">
        <v>424</v>
      </c>
      <c r="B82" s="6" t="s">
        <v>14</v>
      </c>
      <c r="C82" s="7" t="str">
        <f t="shared" si="0"/>
        <v xml:space="preserve">AlicexMaia </v>
      </c>
      <c r="D82" s="6" t="s">
        <v>425</v>
      </c>
      <c r="E82" s="8" t="s">
        <v>426</v>
      </c>
      <c r="F82" s="9" t="str">
        <f ca="1">IFERROR(__xludf.DUMMYFUNCTION("""https://streamtape.com/v/""&amp;
REGEXEXTRACT(O82,""/thumb/([^/]+)/"")&amp;
""/""&amp;K82"),"https://streamtape.com/v/GbbXKDr1qQCAbr/81610323")</f>
        <v>https://streamtape.com/v/GbbXKDr1qQCAbr/81610323</v>
      </c>
      <c r="G82" s="10" t="e">
        <f t="shared" ca="1" si="1"/>
        <v>#NAME?</v>
      </c>
      <c r="H82" s="11" t="str">
        <f ca="1">IFERROR(__xludf.DUMMYFUNCTION("IFERROR(SUBSTITUTE(SUBSTITUTE(REGEXEXTRACT(A82, ""[^-]+- [^-]+- [^-]+ - (.+?)\.jpg""), "".jpg"", """"), ""-"", "", ""), """")"),"")</f>
        <v/>
      </c>
      <c r="I82" s="6"/>
      <c r="J82" s="7" t="str">
        <f t="shared" ca="1" si="2"/>
        <v>(2026)</v>
      </c>
      <c r="K82" s="7" t="str">
        <f t="shared" si="3"/>
        <v>81610323</v>
      </c>
      <c r="L82" s="12" t="s">
        <v>386</v>
      </c>
      <c r="M82" s="13" t="str">
        <f ca="1">IFERROR(__xludf.DUMMYFUNCTION("TRIM(
  REGEXREPLACE(
    TEXTJOIN("" "",
      TRUE,
      B82,
      C82,
      embaralharLinks(E82,F82,G82),
      H82,
      """",
      J82,
      N82,
      ""#RIPNSFW""
    ),
  "",\s*"", "" "")
)"),"{New} AlicexMaia https://doodstream.com/d/y23cnjdmq68s/81610323 https://streamtape.com/v/GbbXKDr1qQCAbr/81610323 https://lulustream.com/d/xly2wwkhasaa (2026) #BigTits #Bigass #Teen #Solo #RIPNSFW")</f>
        <v>{New} AlicexMaia https://doodstream.com/d/y23cnjdmq68s/81610323 https://streamtape.com/v/GbbXKDr1qQCAbr/81610323 https://lulustream.com/d/xly2wwkhasaa (2026) #BigTits #Bigass #Teen #Solo #RIPNSFW</v>
      </c>
      <c r="N82" s="14" t="s">
        <v>357</v>
      </c>
      <c r="O82" s="15" t="s">
        <v>427</v>
      </c>
      <c r="P82" s="14"/>
      <c r="Q82" s="6"/>
      <c r="R82" s="11"/>
      <c r="S82" s="6"/>
      <c r="T82" s="6"/>
      <c r="U82" s="6"/>
      <c r="V82" s="6"/>
      <c r="W82" s="6"/>
      <c r="X82" s="6"/>
      <c r="Y82" s="6"/>
      <c r="Z82" s="6"/>
      <c r="AA82" s="6"/>
    </row>
    <row r="83" spans="1:27" ht="12.75">
      <c r="A83" s="6" t="s">
        <v>428</v>
      </c>
      <c r="B83" s="6" t="s">
        <v>14</v>
      </c>
      <c r="C83" s="7" t="str">
        <f t="shared" si="0"/>
        <v xml:space="preserve">AlicexMaia </v>
      </c>
      <c r="D83" s="29" t="s">
        <v>429</v>
      </c>
      <c r="E83" s="8" t="s">
        <v>430</v>
      </c>
      <c r="F83" s="9" t="str">
        <f ca="1">IFERROR(__xludf.DUMMYFUNCTION("""https://streamtape.com/v/""&amp;
REGEXEXTRACT(O83,""/thumb/([^/]+)/"")&amp;
""/""&amp;K83"),"https://streamtape.com/v/dkGgPddp9yIk6PM/84776312")</f>
        <v>https://streamtape.com/v/dkGgPddp9yIk6PM/84776312</v>
      </c>
      <c r="G83" s="10" t="e">
        <f t="shared" ca="1" si="1"/>
        <v>#NAME?</v>
      </c>
      <c r="H83" s="11" t="str">
        <f ca="1">IFERROR(__xludf.DUMMYFUNCTION("IFERROR(SUBSTITUTE(SUBSTITUTE(REGEXEXTRACT(A83, ""[^-]+- [^-]+- [^-]+ - (.+?)\.jpg""), "".jpg"", """"), ""-"", "", ""), """")"),"")</f>
        <v/>
      </c>
      <c r="I83" s="6"/>
      <c r="J83" s="7" t="str">
        <f t="shared" ca="1" si="2"/>
        <v>(2026)</v>
      </c>
      <c r="K83" s="7" t="str">
        <f t="shared" si="3"/>
        <v>84776312</v>
      </c>
      <c r="L83" s="12" t="s">
        <v>431</v>
      </c>
      <c r="M83" s="13" t="str">
        <f ca="1">IFERROR(__xludf.DUMMYFUNCTION("TRIM(
  REGEXREPLACE(
    TEXTJOIN("" "",
      TRUE,
      B83,
      C83,
      embaralharLinks(E83,F83,G83),
      H83,
      """",
      J83,
      N83,
      ""#RIPNSFW""
    ),
  "",\s*"", "" "")
)"),"{New} AlicexMaia https://streamtape.com/v/dkGgPddp9yIk6PM/84776312 https://doodstream.com/d/seto06rwf7bj/84776312 https://lulustream.com/d/wezzttkgz0pp (2026) #BigTits #Bigass #Teen #Roleplay #Solo #RIPNSFW")</f>
        <v>{New} AlicexMaia https://streamtape.com/v/dkGgPddp9yIk6PM/84776312 https://doodstream.com/d/seto06rwf7bj/84776312 https://lulustream.com/d/wezzttkgz0pp (2026) #BigTits #Bigass #Teen #Roleplay #Solo #RIPNSFW</v>
      </c>
      <c r="N83" s="14" t="s">
        <v>432</v>
      </c>
      <c r="O83" s="32" t="s">
        <v>433</v>
      </c>
      <c r="P83" s="14"/>
      <c r="Q83" s="6"/>
      <c r="R83" s="11"/>
      <c r="S83" s="6"/>
      <c r="T83" s="6"/>
      <c r="U83" s="6"/>
      <c r="V83" s="6"/>
      <c r="W83" s="6"/>
      <c r="X83" s="6"/>
      <c r="Y83" s="6"/>
      <c r="Z83" s="6"/>
      <c r="AA83" s="6"/>
    </row>
    <row r="84" spans="1:27" ht="12.75">
      <c r="A84" s="6" t="s">
        <v>434</v>
      </c>
      <c r="B84" s="6" t="s">
        <v>14</v>
      </c>
      <c r="C84" s="7" t="str">
        <f t="shared" si="0"/>
        <v xml:space="preserve">AlicexMaia </v>
      </c>
      <c r="D84" s="29" t="s">
        <v>435</v>
      </c>
      <c r="E84" s="8" t="s">
        <v>436</v>
      </c>
      <c r="F84" s="9" t="str">
        <f ca="1">IFERROR(__xludf.DUMMYFUNCTION("""https://streamtape.com/v/""&amp;
REGEXEXTRACT(O84,""/thumb/([^/]+)/"")&amp;
""/""&amp;K84"),"https://streamtape.com/v/AqbyWbwOgqFbK9/88450355")</f>
        <v>https://streamtape.com/v/AqbyWbwOgqFbK9/88450355</v>
      </c>
      <c r="G84" s="10" t="e">
        <f t="shared" ca="1" si="1"/>
        <v>#NAME?</v>
      </c>
      <c r="H84" s="11" t="str">
        <f ca="1">IFERROR(__xludf.DUMMYFUNCTION("IFERROR(SUBSTITUTE(SUBSTITUTE(REGEXEXTRACT(A84, ""[^-]+- [^-]+- [^-]+ - (.+?)\.jpg""), "".jpg"", """"), ""-"", "", ""), """")"),"")</f>
        <v/>
      </c>
      <c r="I84" s="6"/>
      <c r="J84" s="7" t="str">
        <f t="shared" ca="1" si="2"/>
        <v>(2026)</v>
      </c>
      <c r="K84" s="7" t="str">
        <f t="shared" si="3"/>
        <v>88450355</v>
      </c>
      <c r="L84" s="12" t="s">
        <v>386</v>
      </c>
      <c r="M84" s="13" t="str">
        <f ca="1">IFERROR(__xludf.DUMMYFUNCTION("TRIM(
  REGEXREPLACE(
    TEXTJOIN("" "",
      TRUE,
      B84,
      C84,
      embaralharLinks(E84,F84,G84),
      H84,
      """",
      J84,
      N84,
      ""#RIPNSFW""
    ),
  "",\s*"", "" "")
)"),"{New} AlicexMaia https://streamtape.com/v/AqbyWbwOgqFbK9/88450355 https://doodstream.com/d/882vg8ccq1wr/88450355 https://lulustream.com/d/j90puo079yhl (2026) #BigTits #Bigass #Teen #Solo #RIPNSFW")</f>
        <v>{New} AlicexMaia https://streamtape.com/v/AqbyWbwOgqFbK9/88450355 https://doodstream.com/d/882vg8ccq1wr/88450355 https://lulustream.com/d/j90puo079yhl (2026) #BigTits #Bigass #Teen #Solo #RIPNSFW</v>
      </c>
      <c r="N84" s="14" t="s">
        <v>357</v>
      </c>
      <c r="O84" s="32" t="s">
        <v>437</v>
      </c>
      <c r="P84" s="14"/>
      <c r="Q84" s="6"/>
      <c r="R84" s="11"/>
      <c r="S84" s="6"/>
      <c r="T84" s="6"/>
      <c r="U84" s="6"/>
      <c r="V84" s="6"/>
      <c r="W84" s="6"/>
      <c r="X84" s="6"/>
      <c r="Y84" s="6"/>
      <c r="Z84" s="6"/>
      <c r="AA84" s="6"/>
    </row>
    <row r="85" spans="1:27" ht="12.75">
      <c r="A85" s="12" t="s">
        <v>438</v>
      </c>
      <c r="B85" s="6" t="s">
        <v>14</v>
      </c>
      <c r="C85" s="7" t="str">
        <f t="shared" si="0"/>
        <v xml:space="preserve">AlicexMaia </v>
      </c>
      <c r="D85" s="27" t="s">
        <v>439</v>
      </c>
      <c r="E85" s="28" t="s">
        <v>440</v>
      </c>
      <c r="F85" s="9" t="str">
        <f ca="1">IFERROR(__xludf.DUMMYFUNCTION("""https://streamtape.com/v/""&amp;
REGEXEXTRACT(O85,""/thumb/([^/]+)/"")&amp;
""/""&amp;K85"),"https://streamtape.com/v/jk7X9zP6Dpuq3V/91745439")</f>
        <v>https://streamtape.com/v/jk7X9zP6Dpuq3V/91745439</v>
      </c>
      <c r="G85" s="10" t="e">
        <f t="shared" ca="1" si="1"/>
        <v>#NAME?</v>
      </c>
      <c r="H85" s="11" t="str">
        <f ca="1">IFERROR(__xludf.DUMMYFUNCTION("IFERROR(SUBSTITUTE(SUBSTITUTE(REGEXEXTRACT(A85, ""[^-]+- [^-]+- [^-]+ - (.+?)\.jpg""), "".jpg"", """"), ""-"", "", ""), """")"),"")</f>
        <v/>
      </c>
      <c r="I85" s="6"/>
      <c r="J85" s="7" t="str">
        <f t="shared" ca="1" si="2"/>
        <v>(2026)</v>
      </c>
      <c r="K85" s="7" t="str">
        <f t="shared" si="3"/>
        <v>91745439</v>
      </c>
      <c r="L85" s="12" t="s">
        <v>356</v>
      </c>
      <c r="M85" s="13" t="str">
        <f ca="1">IFERROR(__xludf.DUMMYFUNCTION("TRIM(
  REGEXREPLACE(
    TEXTJOIN("" "",
      TRUE,
      B85,
      C85,
      embaralharLinks(E85,F85,G85),
      H85,
      """",
      J85,
      N85,
      ""#RIPNSFW""
    ),
  "",\s*"", "" "")
)"),"{New} AlicexMaia https://streamtape.com/v/jk7X9zP6Dpuq3V/91745439 https://lulustream.com/d/ixtmb8to5hhw https://doodstream.com/d/t4uymf3923e5/91745439 (2026) #BigTits #Bigass #Teen #Solo #RIPNSFW")</f>
        <v>{New} AlicexMaia https://streamtape.com/v/jk7X9zP6Dpuq3V/91745439 https://lulustream.com/d/ixtmb8to5hhw https://doodstream.com/d/t4uymf3923e5/91745439 (2026) #BigTits #Bigass #Teen #Solo #RIPNSFW</v>
      </c>
      <c r="N85" s="2" t="s">
        <v>357</v>
      </c>
      <c r="O85" s="30" t="s">
        <v>441</v>
      </c>
      <c r="P85" s="26"/>
      <c r="R85" s="23"/>
    </row>
    <row r="86" spans="1:27" ht="12.75">
      <c r="A86" s="6" t="s">
        <v>442</v>
      </c>
      <c r="B86" s="6" t="s">
        <v>14</v>
      </c>
      <c r="C86" s="7" t="str">
        <f t="shared" si="0"/>
        <v xml:space="preserve">AlicexMaia </v>
      </c>
      <c r="D86" s="6" t="s">
        <v>443</v>
      </c>
      <c r="E86" s="8" t="s">
        <v>444</v>
      </c>
      <c r="F86" s="9" t="str">
        <f ca="1">IFERROR(__xludf.DUMMYFUNCTION("""https://streamtape.com/v/""&amp;
REGEXEXTRACT(O86,""/thumb/([^/]+)/"")&amp;
""/""&amp;K86"),"https://streamtape.com/v/Bqj1G6ReyxUVmL/92921847")</f>
        <v>https://streamtape.com/v/Bqj1G6ReyxUVmL/92921847</v>
      </c>
      <c r="G86" s="10" t="e">
        <f t="shared" ca="1" si="1"/>
        <v>#NAME?</v>
      </c>
      <c r="H86" s="11" t="str">
        <f ca="1">IFERROR(__xludf.DUMMYFUNCTION("IFERROR(SUBSTITUTE(SUBSTITUTE(REGEXEXTRACT(A86, ""[^-]+- [^-]+- [^-]+ - (.+?)\.jpg""), "".jpg"", """"), ""-"", "", ""), """")"),"")</f>
        <v/>
      </c>
      <c r="I86" s="6"/>
      <c r="J86" s="7" t="str">
        <f t="shared" ca="1" si="2"/>
        <v>(2026)</v>
      </c>
      <c r="K86" s="7" t="str">
        <f t="shared" si="3"/>
        <v>92921847</v>
      </c>
      <c r="L86" s="12" t="s">
        <v>386</v>
      </c>
      <c r="M86" s="13" t="str">
        <f ca="1">IFERROR(__xludf.DUMMYFUNCTION("TRIM(
  REGEXREPLACE(
    TEXTJOIN("" "",
      TRUE,
      B86,
      C86,
      embaralharLinks(E86,F86,G86),
      H86,
      """",
      J86,
      N86,
      ""#RIPNSFW""
    ),
  "",\s*"", "" "")
)"),"{New} AlicexMaia https://doodstream.com/d/rjzdtgrbxxgy/92921847 https://lulustream.com/d/zy347qwvxzuj https://streamtape.com/v/Bqj1G6ReyxUVmL/92921847 (2026) #BigTits #Bigass #Teen #Solo #RIPNSFW")</f>
        <v>{New} AlicexMaia https://doodstream.com/d/rjzdtgrbxxgy/92921847 https://lulustream.com/d/zy347qwvxzuj https://streamtape.com/v/Bqj1G6ReyxUVmL/92921847 (2026) #BigTits #Bigass #Teen #Solo #RIPNSFW</v>
      </c>
      <c r="N86" s="14" t="s">
        <v>357</v>
      </c>
      <c r="O86" s="15" t="s">
        <v>445</v>
      </c>
      <c r="P86" s="14"/>
      <c r="Q86" s="6"/>
      <c r="R86" s="11"/>
      <c r="S86" s="6"/>
      <c r="T86" s="6"/>
      <c r="U86" s="6"/>
      <c r="V86" s="6"/>
      <c r="W86" s="6"/>
      <c r="X86" s="6"/>
      <c r="Y86" s="6"/>
      <c r="Z86" s="6"/>
      <c r="AA86" s="6"/>
    </row>
    <row r="87" spans="1:27" ht="12.75">
      <c r="A87" s="6" t="s">
        <v>446</v>
      </c>
      <c r="B87" s="6" t="s">
        <v>14</v>
      </c>
      <c r="C87" s="7" t="str">
        <f t="shared" si="0"/>
        <v xml:space="preserve">AlicexMaia </v>
      </c>
      <c r="D87" s="6" t="s">
        <v>447</v>
      </c>
      <c r="E87" s="8" t="s">
        <v>448</v>
      </c>
      <c r="F87" s="9" t="str">
        <f ca="1">IFERROR(__xludf.DUMMYFUNCTION("""https://streamtape.com/v/""&amp;
REGEXEXTRACT(O87,""/thumb/([^/]+)/"")&amp;
""/""&amp;K87"),"https://streamtape.com/v/VV6ZxdRJr1iKMPq/96466194")</f>
        <v>https://streamtape.com/v/VV6ZxdRJr1iKMPq/96466194</v>
      </c>
      <c r="G87" s="10" t="e">
        <f t="shared" ca="1" si="1"/>
        <v>#NAME?</v>
      </c>
      <c r="H87" s="11" t="str">
        <f ca="1">IFERROR(__xludf.DUMMYFUNCTION("IFERROR(SUBSTITUTE(SUBSTITUTE(REGEXEXTRACT(A87, ""[^-]+- [^-]+- [^-]+ - (.+?)\.jpg""), "".jpg"", """"), ""-"", "", ""), """")"),"")</f>
        <v/>
      </c>
      <c r="I87" s="6"/>
      <c r="J87" s="7" t="str">
        <f t="shared" ca="1" si="2"/>
        <v>(2026)</v>
      </c>
      <c r="K87" s="7" t="str">
        <f t="shared" si="3"/>
        <v>96466194</v>
      </c>
      <c r="L87" s="12" t="s">
        <v>449</v>
      </c>
      <c r="M87" s="13" t="str">
        <f ca="1">IFERROR(__xludf.DUMMYFUNCTION("TRIM(
  REGEXREPLACE(
    TEXTJOIN("" "",
      TRUE,
      B87,
      C87,
      embaralharLinks(E87,F87,G87),
      H87,
      """",
      J87,
      N87,
      ""#RIPNSFW""
    ),
  "",\s*"", "" "")
)"),"{New} AlicexMaia https://streamtape.com/v/VV6ZxdRJr1iKMPq/96466194 https://lulustream.com/d/wh5thhzlaitd https://doodstream.com/d/f724p3271ljt/96466194 (2026) #Anal #BigTits #Teen #Solo #Blonde #RIPNSFW")</f>
        <v>{New} AlicexMaia https://streamtape.com/v/VV6ZxdRJr1iKMPq/96466194 https://lulustream.com/d/wh5thhzlaitd https://doodstream.com/d/f724p3271ljt/96466194 (2026) #Anal #BigTits #Teen #Solo #Blonde #RIPNSFW</v>
      </c>
      <c r="N87" s="14" t="s">
        <v>450</v>
      </c>
      <c r="O87" s="15" t="s">
        <v>451</v>
      </c>
      <c r="P87" s="14"/>
      <c r="Q87" s="6"/>
      <c r="R87" s="11"/>
      <c r="S87" s="6"/>
      <c r="T87" s="6"/>
      <c r="U87" s="6"/>
      <c r="V87" s="6"/>
      <c r="W87" s="6"/>
      <c r="X87" s="6"/>
      <c r="Y87" s="6"/>
      <c r="Z87" s="6"/>
      <c r="AA87" s="6"/>
    </row>
    <row r="88" spans="1:27" ht="12.75">
      <c r="A88" s="6" t="s">
        <v>452</v>
      </c>
      <c r="B88" s="6" t="s">
        <v>14</v>
      </c>
      <c r="C88" s="7" t="str">
        <f t="shared" si="0"/>
        <v xml:space="preserve">Alina </v>
      </c>
      <c r="D88" s="24" t="s">
        <v>453</v>
      </c>
      <c r="E88" s="8" t="s">
        <v>454</v>
      </c>
      <c r="F88" s="9" t="str">
        <f ca="1">IFERROR(__xludf.DUMMYFUNCTION("""https://streamtape.com/v/""&amp;
REGEXEXTRACT(O88,""/thumb/([^/]+)/"")&amp;
""/""&amp;K88"),"https://streamtape.com/v/bw71qXOVXeiP9XL/93433724")</f>
        <v>https://streamtape.com/v/bw71qXOVXeiP9XL/93433724</v>
      </c>
      <c r="G88" s="10" t="e">
        <f t="shared" ca="1" si="1"/>
        <v>#NAME?</v>
      </c>
      <c r="H88" s="11" t="str">
        <f ca="1">IFERROR(__xludf.DUMMYFUNCTION("IFERROR(SUBSTITUTE(SUBSTITUTE(REGEXEXTRACT(A88, ""[^-]+- [^-]+- [^-]+ - (.+?)\.jpg""), "".jpg"", """"), ""-"", "", ""), """")"),"")</f>
        <v/>
      </c>
      <c r="I88" s="6"/>
      <c r="J88" s="7" t="str">
        <f t="shared" ca="1" si="2"/>
        <v>(2026)</v>
      </c>
      <c r="K88" s="7" t="str">
        <f t="shared" si="3"/>
        <v>93433724</v>
      </c>
      <c r="L88" s="12" t="s">
        <v>455</v>
      </c>
      <c r="M88" s="13" t="str">
        <f ca="1">IFERROR(__xludf.DUMMYFUNCTION("TRIM(
  REGEXREPLACE(
    TEXTJOIN("" "",
      TRUE,
      B88,
      C88,
      embaralharLinks(E88,F88,G88),
      H88,
      """",
      J88,
      N88,
      ""#RIPNSFW""
    ),
  "",\s*"", "" "")
)"),"{New} Alina https://lulustream.com/d/d54ahtp2dhsg https://streamtape.com/v/bw71qXOVXeiP9XL/93433724 https://doodstream.com/d/76mhuy830lni/93433724 (2026) #Anal #Casting #Creampie #Hardcore #RIPNSFW")</f>
        <v>{New} Alina https://lulustream.com/d/d54ahtp2dhsg https://streamtape.com/v/bw71qXOVXeiP9XL/93433724 https://doodstream.com/d/76mhuy830lni/93433724 (2026) #Anal #Casting #Creampie #Hardcore #RIPNSFW</v>
      </c>
      <c r="N88" s="31" t="s">
        <v>456</v>
      </c>
      <c r="O88" s="32" t="s">
        <v>457</v>
      </c>
      <c r="P88" s="26"/>
      <c r="Q88" s="6"/>
      <c r="R88" s="11"/>
      <c r="S88" s="6"/>
      <c r="T88" s="6"/>
      <c r="U88" s="6"/>
      <c r="V88" s="6"/>
      <c r="W88" s="6"/>
      <c r="X88" s="6"/>
      <c r="Y88" s="6"/>
      <c r="Z88" s="6"/>
      <c r="AA88" s="6"/>
    </row>
    <row r="89" spans="1:27" ht="12.75">
      <c r="A89" s="6" t="s">
        <v>458</v>
      </c>
      <c r="B89" s="6" t="s">
        <v>14</v>
      </c>
      <c r="C89" s="7" t="str">
        <f t="shared" si="0"/>
        <v xml:space="preserve">Alina Lopez </v>
      </c>
      <c r="D89" s="6" t="s">
        <v>459</v>
      </c>
      <c r="E89" s="8" t="s">
        <v>460</v>
      </c>
      <c r="F89" s="9" t="str">
        <f ca="1">IFERROR(__xludf.DUMMYFUNCTION("""https://streamtape.com/v/""&amp;
REGEXEXTRACT(O89,""/thumb/([^/]+)/"")&amp;
""/""&amp;K89"),"https://streamtape.com/v/ZVrypKK4mQTqJ0Q/10005852")</f>
        <v>https://streamtape.com/v/ZVrypKK4mQTqJ0Q/10005852</v>
      </c>
      <c r="G89" s="10" t="e">
        <f t="shared" ca="1" si="1"/>
        <v>#NAME?</v>
      </c>
      <c r="H89" s="11" t="str">
        <f ca="1">IFERROR(__xludf.DUMMYFUNCTION("IFERROR(SUBSTITUTE(SUBSTITUTE(REGEXEXTRACT(A89, ""[^-]+- [^-]+- [^-]+ - (.+?)\.jpg""), "".jpg"", """"), ""-"", "", ""), """")"),"Vanna Bardot")</f>
        <v>Vanna Bardot</v>
      </c>
      <c r="I89" s="6"/>
      <c r="J89" s="7" t="str">
        <f t="shared" ca="1" si="2"/>
        <v>(2026)</v>
      </c>
      <c r="K89" s="7" t="str">
        <f t="shared" si="3"/>
        <v>10005852</v>
      </c>
      <c r="L89" s="12" t="s">
        <v>461</v>
      </c>
      <c r="M89" s="13" t="str">
        <f ca="1">IFERROR(__xludf.DUMMYFUNCTION("TRIM(
  REGEXREPLACE(
    TEXTJOIN("" "",
      TRUE,
      B89,
      C89,
      embaralharLinks(E89,F89,G89),
      H89,
      """",
      J89,
      N89,
      ""#RIPNSFW""
    ),
  "",\s*"", "" "")
)"),"{New} Alina Lopez https://doodstream.com/d/gtspkov3pxoz/10005852 https://lulustream.com/d/ie592u4il31i https://streamtape.com/v/ZVrypKK4mQTqJ0Q/10005852 Vanna Bardot (2026) #BigTits #Hardcore #Creampie #Bigass #Blowjob #RIPNSFW")</f>
        <v>{New} Alina Lopez https://doodstream.com/d/gtspkov3pxoz/10005852 https://lulustream.com/d/ie592u4il31i https://streamtape.com/v/ZVrypKK4mQTqJ0Q/10005852 Vanna Bardot (2026) #BigTits #Hardcore #Creampie #Bigass #Blowjob #RIPNSFW</v>
      </c>
      <c r="N89" s="14" t="s">
        <v>462</v>
      </c>
      <c r="O89" s="15" t="s">
        <v>463</v>
      </c>
      <c r="P89" s="14"/>
      <c r="Q89" s="6"/>
      <c r="R89" s="11"/>
      <c r="S89" s="6"/>
      <c r="T89" s="6"/>
      <c r="U89" s="6"/>
      <c r="V89" s="6"/>
      <c r="W89" s="6"/>
      <c r="X89" s="6"/>
      <c r="Y89" s="6"/>
      <c r="Z89" s="6"/>
      <c r="AA89" s="6"/>
    </row>
    <row r="90" spans="1:27" ht="12.75">
      <c r="A90" s="6" t="s">
        <v>464</v>
      </c>
      <c r="B90" s="6" t="s">
        <v>14</v>
      </c>
      <c r="C90" s="7" t="str">
        <f t="shared" si="0"/>
        <v xml:space="preserve">Alina Lopez </v>
      </c>
      <c r="D90" s="29" t="s">
        <v>465</v>
      </c>
      <c r="E90" s="8" t="s">
        <v>466</v>
      </c>
      <c r="F90" s="9" t="str">
        <f ca="1">IFERROR(__xludf.DUMMYFUNCTION("""https://streamtape.com/v/""&amp;
REGEXEXTRACT(O90,""/thumb/([^/]+)/"")&amp;
""/""&amp;K90"),"https://streamtape.com/v/2k6pokg71OHZL3Q/39625651")</f>
        <v>https://streamtape.com/v/2k6pokg71OHZL3Q/39625651</v>
      </c>
      <c r="G90" s="10" t="e">
        <f t="shared" ca="1" si="1"/>
        <v>#NAME?</v>
      </c>
      <c r="H90" s="11" t="str">
        <f ca="1">IFERROR(__xludf.DUMMYFUNCTION("IFERROR(SUBSTITUTE(SUBSTITUTE(REGEXEXTRACT(A90, ""[^-]+- [^-]+- [^-]+ - (.+?)\.jpg""), "".jpg"", """"), ""-"", "", ""), """")"),"Gizelle Blanco")</f>
        <v>Gizelle Blanco</v>
      </c>
      <c r="I90" s="6"/>
      <c r="J90" s="7" t="str">
        <f t="shared" ca="1" si="2"/>
        <v>(2026)</v>
      </c>
      <c r="K90" s="7" t="str">
        <f t="shared" si="3"/>
        <v>39625651</v>
      </c>
      <c r="L90" s="12" t="s">
        <v>467</v>
      </c>
      <c r="M90" s="13" t="str">
        <f ca="1">IFERROR(__xludf.DUMMYFUNCTION("TRIM(
  REGEXREPLACE(
    TEXTJOIN("" "",
      TRUE,
      B90,
      C90,
      embaralharLinks(E90,F90,G90),
      H90,
      """",
      J90,
      N90,
      ""#RIPNSFW""
    ),
  "",\s*"", "" "")
)"),"{New} Alina Lopez https://doodstream.com/d/1h5e2prejd6a/39625651 https://streamtape.com/v/2k6pokg71OHZL3Q/39625651 https://lulustream.com/d/plfx4sce1tfa Gizelle Blanco (2026) #BigTits #Hardcore #Threesome #Teen #Latina #RIPNSFW")</f>
        <v>{New} Alina Lopez https://doodstream.com/d/1h5e2prejd6a/39625651 https://streamtape.com/v/2k6pokg71OHZL3Q/39625651 https://lulustream.com/d/plfx4sce1tfa Gizelle Blanco (2026) #BigTits #Hardcore #Threesome #Teen #Latina #RIPNSFW</v>
      </c>
      <c r="N90" s="14" t="s">
        <v>468</v>
      </c>
      <c r="O90" s="32" t="s">
        <v>469</v>
      </c>
      <c r="P90" s="14"/>
      <c r="Q90" s="6"/>
      <c r="R90" s="11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>
      <c r="A91" s="6" t="s">
        <v>470</v>
      </c>
      <c r="B91" s="6" t="s">
        <v>14</v>
      </c>
      <c r="C91" s="7" t="str">
        <f t="shared" si="0"/>
        <v xml:space="preserve">Alina Lopez </v>
      </c>
      <c r="D91" s="6" t="s">
        <v>471</v>
      </c>
      <c r="E91" s="8" t="s">
        <v>472</v>
      </c>
      <c r="F91" s="9" t="str">
        <f ca="1">IFERROR(__xludf.DUMMYFUNCTION("""https://streamtape.com/v/""&amp;
REGEXEXTRACT(O91,""/thumb/([^/]+)/"")&amp;
""/""&amp;K91"),"https://streamtape.com/v/gVw6R4Wbj3tzv3/71148658")</f>
        <v>https://streamtape.com/v/gVw6R4Wbj3tzv3/71148658</v>
      </c>
      <c r="G91" s="10" t="e">
        <f t="shared" ca="1" si="1"/>
        <v>#NAME?</v>
      </c>
      <c r="H91" s="11" t="str">
        <f ca="1">IFERROR(__xludf.DUMMYFUNCTION("IFERROR(SUBSTITUTE(SUBSTITUTE(REGEXEXTRACT(A91, ""[^-]+- [^-]+- [^-]+ - (.+?)\.jpg""), "".jpg"", """"), ""-"", "", ""), """")"),"")</f>
        <v/>
      </c>
      <c r="I91" s="6"/>
      <c r="J91" s="7" t="str">
        <f t="shared" ca="1" si="2"/>
        <v>(2026)</v>
      </c>
      <c r="K91" s="7" t="str">
        <f t="shared" si="3"/>
        <v>71148658</v>
      </c>
      <c r="L91" s="12" t="s">
        <v>473</v>
      </c>
      <c r="M91" s="13" t="str">
        <f ca="1">IFERROR(__xludf.DUMMYFUNCTION("TRIM(
  REGEXREPLACE(
    TEXTJOIN("" "",
      TRUE,
      B91,
      C91,
      embaralharLinks(E91,F91,G91),
      H91,
      """",
      J91,
      N91,
      ""#RIPNSFW""
    ),
  "",\s*"", "" "")
)"),"{New} Alina Lopez https://doodstream.com/d/reie84klo3bs/71148658 https://streamtape.com/v/gVw6R4Wbj3tzv3/71148658 https://lulustream.com/d/ren1veqq9y0f (2026) #MILF #BigTits #Creampie #Hardcore #RIPNSFW")</f>
        <v>{New} Alina Lopez https://doodstream.com/d/reie84klo3bs/71148658 https://streamtape.com/v/gVw6R4Wbj3tzv3/71148658 https://lulustream.com/d/ren1veqq9y0f (2026) #MILF #BigTits #Creampie #Hardcore #RIPNSFW</v>
      </c>
      <c r="N91" s="14" t="s">
        <v>474</v>
      </c>
      <c r="O91" s="15" t="s">
        <v>475</v>
      </c>
      <c r="P91" s="14"/>
      <c r="Q91" s="6"/>
      <c r="R91" s="11"/>
      <c r="S91" s="6"/>
      <c r="T91" s="6"/>
      <c r="U91" s="6"/>
      <c r="V91" s="6"/>
      <c r="W91" s="6"/>
      <c r="X91" s="6"/>
      <c r="Y91" s="6"/>
      <c r="Z91" s="6"/>
      <c r="AA91" s="6"/>
    </row>
    <row r="92" spans="1:27" ht="12.75">
      <c r="A92" s="6" t="s">
        <v>476</v>
      </c>
      <c r="B92" s="6" t="s">
        <v>14</v>
      </c>
      <c r="C92" s="7" t="str">
        <f t="shared" si="0"/>
        <v xml:space="preserve">Alina Lopez </v>
      </c>
      <c r="D92" s="6" t="s">
        <v>477</v>
      </c>
      <c r="E92" s="8" t="s">
        <v>478</v>
      </c>
      <c r="F92" s="9" t="str">
        <f ca="1">IFERROR(__xludf.DUMMYFUNCTION("""https://streamtape.com/v/""&amp;
REGEXEXTRACT(O92,""/thumb/([^/]+)/"")&amp;
""/""&amp;K92"),"https://streamtape.com/v/4oAGrDvKg9idYB/74635123")</f>
        <v>https://streamtape.com/v/4oAGrDvKg9idYB/74635123</v>
      </c>
      <c r="G92" s="10" t="e">
        <f t="shared" ca="1" si="1"/>
        <v>#NAME?</v>
      </c>
      <c r="H92" s="11" t="str">
        <f ca="1">IFERROR(__xludf.DUMMYFUNCTION("IFERROR(SUBSTITUTE(SUBSTITUTE(REGEXEXTRACT(A92, ""[^-]+- [^-]+- [^-]+ - (.+?)\.jpg""), "".jpg"", """"), ""-"", "", ""), """")"),"Ava Amira")</f>
        <v>Ava Amira</v>
      </c>
      <c r="I92" s="6"/>
      <c r="J92" s="7" t="str">
        <f t="shared" ca="1" si="2"/>
        <v>(2026)</v>
      </c>
      <c r="K92" s="7" t="str">
        <f t="shared" si="3"/>
        <v>74635123</v>
      </c>
      <c r="L92" s="12" t="s">
        <v>479</v>
      </c>
      <c r="M92" s="13" t="str">
        <f ca="1">IFERROR(__xludf.DUMMYFUNCTION("TRIM(
  REGEXREPLACE(
    TEXTJOIN("" "",
      TRUE,
      B92,
      C92,
      embaralharLinks(E92,F92,G92),
      H92,
      """",
      J92,
      N92,
      ""#RIPNSFW""
    ),
  "",\s*"", "" "")
)"),"{New} Alina Lopez https://lulustream.com/d/9kq2lmrbpuni https://doodstream.com/d/hxwx1647nlm7/74635123 https://streamtape.com/v/4oAGrDvKg9idYB/74635123 Ava Amira (2026) #BigTits #Hardcore #Threesome #Teen #Blowjob #RIPNSFW")</f>
        <v>{New} Alina Lopez https://lulustream.com/d/9kq2lmrbpuni https://doodstream.com/d/hxwx1647nlm7/74635123 https://streamtape.com/v/4oAGrDvKg9idYB/74635123 Ava Amira (2026) #BigTits #Hardcore #Threesome #Teen #Blowjob #RIPNSFW</v>
      </c>
      <c r="N92" s="14" t="s">
        <v>480</v>
      </c>
      <c r="O92" s="15" t="s">
        <v>481</v>
      </c>
      <c r="P92" s="14"/>
      <c r="Q92" s="6"/>
      <c r="R92" s="11"/>
      <c r="S92" s="6"/>
      <c r="T92" s="6"/>
      <c r="U92" s="6"/>
      <c r="V92" s="6"/>
      <c r="W92" s="6"/>
      <c r="X92" s="6"/>
      <c r="Y92" s="6"/>
      <c r="Z92" s="6"/>
      <c r="AA92" s="6"/>
    </row>
    <row r="93" spans="1:27" ht="12.75">
      <c r="A93" s="6" t="s">
        <v>482</v>
      </c>
      <c r="B93" s="6" t="s">
        <v>14</v>
      </c>
      <c r="C93" s="7" t="str">
        <f t="shared" si="0"/>
        <v xml:space="preserve">Alyx Star </v>
      </c>
      <c r="D93" s="6" t="s">
        <v>483</v>
      </c>
      <c r="E93" s="8" t="s">
        <v>484</v>
      </c>
      <c r="F93" s="9" t="str">
        <f ca="1">IFERROR(__xludf.DUMMYFUNCTION("""https://streamtape.com/v/""&amp;
REGEXEXTRACT(O93,""/thumb/([^/]+)/"")&amp;
""/""&amp;K93"),"https://streamtape.com/v/bZe0adGZqGUPjmQ/90529176")</f>
        <v>https://streamtape.com/v/bZe0adGZqGUPjmQ/90529176</v>
      </c>
      <c r="G93" s="10" t="e">
        <f t="shared" ca="1" si="1"/>
        <v>#NAME?</v>
      </c>
      <c r="H93" s="11" t="str">
        <f ca="1">IFERROR(__xludf.DUMMYFUNCTION("IFERROR(SUBSTITUTE(SUBSTITUTE(REGEXEXTRACT(A93, ""[^-]+- [^-]+- [^-]+ - (.+?)\.jpg""), "".jpg"", """"), ""-"", "", ""), """")"),"")</f>
        <v/>
      </c>
      <c r="I93" s="6"/>
      <c r="J93" s="7" t="str">
        <f t="shared" ca="1" si="2"/>
        <v>(2026)</v>
      </c>
      <c r="K93" s="7" t="str">
        <f t="shared" si="3"/>
        <v>90529176</v>
      </c>
      <c r="L93" s="12" t="s">
        <v>485</v>
      </c>
      <c r="M93" s="13" t="str">
        <f ca="1">IFERROR(__xludf.DUMMYFUNCTION("TRIM(
  REGEXREPLACE(
    TEXTJOIN("" "",
      TRUE,
      B93,
      C93,
      embaralharLinks(E93,F93,G93),
      H93,
      """",
      J93,
      N93,
      ""#RIPNSFW""
    ),
  "",\s*"", "" "")
)"),"{New} Alyx Star https://streamtape.com/v/bZe0adGZqGUPjmQ/90529176 https://lulustream.com/d/pzkqog7r5e3n https://doodstream.com/d/91jhkeqlup2t/90529176 (2026) #BigTits #Hardcore #Bigass #Porn #Teen #Blowjob #RIPNSFW")</f>
        <v>{New} Alyx Star https://streamtape.com/v/bZe0adGZqGUPjmQ/90529176 https://lulustream.com/d/pzkqog7r5e3n https://doodstream.com/d/91jhkeqlup2t/90529176 (2026) #BigTits #Hardcore #Bigass #Porn #Teen #Blowjob #RIPNSFW</v>
      </c>
      <c r="N93" s="14" t="s">
        <v>486</v>
      </c>
      <c r="O93" s="15" t="s">
        <v>487</v>
      </c>
      <c r="P93" s="14"/>
      <c r="Q93" s="6"/>
      <c r="R93" s="11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>
      <c r="A94" s="6" t="s">
        <v>488</v>
      </c>
      <c r="B94" s="6" t="s">
        <v>14</v>
      </c>
      <c r="C94" s="7" t="str">
        <f t="shared" si="0"/>
        <v xml:space="preserve">Amy Rose </v>
      </c>
      <c r="D94" s="29" t="s">
        <v>489</v>
      </c>
      <c r="E94" s="8" t="s">
        <v>490</v>
      </c>
      <c r="F94" s="9" t="str">
        <f ca="1">IFERROR(__xludf.DUMMYFUNCTION("""https://streamtape.com/v/""&amp;
REGEXEXTRACT(O94,""/thumb/([^/]+)/"")&amp;
""/""&amp;K94"),"https://streamtape.com/v/GPQqrQGGkrT1GXJ/11992120")</f>
        <v>https://streamtape.com/v/GPQqrQGGkrT1GXJ/11992120</v>
      </c>
      <c r="G94" s="10" t="e">
        <f t="shared" ca="1" si="1"/>
        <v>#NAME?</v>
      </c>
      <c r="H94" s="11" t="str">
        <f ca="1">IFERROR(__xludf.DUMMYFUNCTION("IFERROR(SUBSTITUTE(SUBSTITUTE(REGEXEXTRACT(A94, ""[^-]+- [^-]+- [^-]+ - (.+?)\.jpg""), "".jpg"", """"), ""-"", "", ""), """")"),"")</f>
        <v/>
      </c>
      <c r="I94" s="6"/>
      <c r="J94" s="7" t="str">
        <f t="shared" ca="1" si="2"/>
        <v>(2026)</v>
      </c>
      <c r="K94" s="7" t="str">
        <f t="shared" si="3"/>
        <v>11992120</v>
      </c>
      <c r="L94" s="12" t="s">
        <v>491</v>
      </c>
      <c r="M94" s="13" t="str">
        <f ca="1">IFERROR(__xludf.DUMMYFUNCTION("TRIM(
  REGEXREPLACE(
    TEXTJOIN("" "",
      TRUE,
      B94,
      C94,
      embaralharLinks(E94,F94,G94),
      H94,
      """",
      J94,
      N94,
      ""#RIPNSFW""
    ),
  "",\s*"", "" "")
)"),"{New} Amy Rose https://streamtape.com/v/GPQqrQGGkrT1GXJ/11992120 https://doodstream.com/d/8vtltznlolym/11992120 https://lulustream.com/d/asp928psjle8 (2026) #BigTits #Bigass #Teen #Teens #Blowjob #Amateur #RIPNSFW")</f>
        <v>{New} Amy Rose https://streamtape.com/v/GPQqrQGGkrT1GXJ/11992120 https://doodstream.com/d/8vtltznlolym/11992120 https://lulustream.com/d/asp928psjle8 (2026) #BigTits #Bigass #Teen #Teens #Blowjob #Amateur #RIPNSFW</v>
      </c>
      <c r="N94" s="14" t="s">
        <v>492</v>
      </c>
      <c r="O94" s="32" t="s">
        <v>493</v>
      </c>
      <c r="P94" s="14"/>
      <c r="Q94" s="6"/>
      <c r="R94" s="11"/>
      <c r="S94" s="6"/>
      <c r="T94" s="6"/>
      <c r="U94" s="6"/>
      <c r="V94" s="6"/>
      <c r="W94" s="6"/>
      <c r="X94" s="6"/>
      <c r="Y94" s="6"/>
      <c r="Z94" s="6"/>
      <c r="AA94" s="6"/>
    </row>
    <row r="95" spans="1:27" ht="12.75">
      <c r="A95" s="6" t="s">
        <v>494</v>
      </c>
      <c r="B95" s="6" t="s">
        <v>14</v>
      </c>
      <c r="C95" s="7" t="str">
        <f t="shared" si="0"/>
        <v xml:space="preserve">Amy Rose </v>
      </c>
      <c r="D95" s="29" t="s">
        <v>495</v>
      </c>
      <c r="E95" s="8" t="s">
        <v>496</v>
      </c>
      <c r="F95" s="9" t="str">
        <f ca="1">IFERROR(__xludf.DUMMYFUNCTION("""https://streamtape.com/v/""&amp;
REGEXEXTRACT(O95,""/thumb/([^/]+)/"")&amp;
""/""&amp;K95"),"https://streamtape.com/v/LpAxXPx1QlT64y/15675021")</f>
        <v>https://streamtape.com/v/LpAxXPx1QlT64y/15675021</v>
      </c>
      <c r="G95" s="10" t="e">
        <f t="shared" ca="1" si="1"/>
        <v>#NAME?</v>
      </c>
      <c r="H95" s="11" t="str">
        <f ca="1">IFERROR(__xludf.DUMMYFUNCTION("IFERROR(SUBSTITUTE(SUBSTITUTE(REGEXEXTRACT(A95, ""[^-]+- [^-]+- [^-]+ - (.+?)\.jpg""), "".jpg"", """"), ""-"", "", ""), """")"),"")</f>
        <v/>
      </c>
      <c r="I95" s="6"/>
      <c r="J95" s="7" t="str">
        <f t="shared" ca="1" si="2"/>
        <v>(2026)</v>
      </c>
      <c r="K95" s="7" t="str">
        <f t="shared" si="3"/>
        <v>15675021</v>
      </c>
      <c r="L95" s="12" t="s">
        <v>497</v>
      </c>
      <c r="M95" s="13" t="str">
        <f ca="1">IFERROR(__xludf.DUMMYFUNCTION("TRIM(
  REGEXREPLACE(
    TEXTJOIN("" "",
      TRUE,
      B95,
      C95,
      embaralharLinks(E95,F95,G95),
      H95,
      """",
      J95,
      N95,
      ""#RIPNSFW""
    ),
  "",\s*"", "" "")
)"),"{New} Amy Rose https://streamtape.com/v/LpAxXPx1QlT64y/15675021 https://doodstream.com/d/0py6vqqjm9pb/15675021 https://lulustream.com/d/wc4cdpfbphfv (2026) #BigTits #Hardcore #Bigass #Teen #Artporn #Teens #Blowjob #Amateur #RIPNSFW")</f>
        <v>{New} Amy Rose https://streamtape.com/v/LpAxXPx1QlT64y/15675021 https://doodstream.com/d/0py6vqqjm9pb/15675021 https://lulustream.com/d/wc4cdpfbphfv (2026) #BigTits #Hardcore #Bigass #Teen #Artporn #Teens #Blowjob #Amateur #RIPNSFW</v>
      </c>
      <c r="N95" s="14" t="s">
        <v>498</v>
      </c>
      <c r="O95" s="32" t="s">
        <v>499</v>
      </c>
      <c r="P95" s="14"/>
      <c r="Q95" s="6"/>
      <c r="R95" s="11"/>
      <c r="S95" s="6"/>
      <c r="T95" s="6"/>
      <c r="U95" s="6"/>
      <c r="V95" s="6"/>
      <c r="W95" s="6"/>
      <c r="X95" s="6"/>
      <c r="Y95" s="6"/>
      <c r="Z95" s="6"/>
      <c r="AA95" s="6"/>
    </row>
    <row r="96" spans="1:27" ht="12.75">
      <c r="A96" s="12" t="s">
        <v>500</v>
      </c>
      <c r="B96" s="6" t="s">
        <v>14</v>
      </c>
      <c r="C96" s="7" t="str">
        <f t="shared" si="0"/>
        <v xml:space="preserve">Amy Rose </v>
      </c>
      <c r="D96" s="24" t="s">
        <v>501</v>
      </c>
      <c r="E96" s="25" t="s">
        <v>502</v>
      </c>
      <c r="F96" s="9" t="str">
        <f ca="1">IFERROR(__xludf.DUMMYFUNCTION("""https://streamtape.com/v/""&amp;
REGEXEXTRACT(O96,""/thumb/([^/]+)/"")&amp;
""/""&amp;K96"),"https://streamtape.com/v/AAopzmpAoYiXyLr/31711047")</f>
        <v>https://streamtape.com/v/AAopzmpAoYiXyLr/31711047</v>
      </c>
      <c r="G96" s="10" t="e">
        <f t="shared" ca="1" si="1"/>
        <v>#NAME?</v>
      </c>
      <c r="H96" s="11" t="str">
        <f ca="1">IFERROR(__xludf.DUMMYFUNCTION("IFERROR(SUBSTITUTE(SUBSTITUTE(REGEXEXTRACT(A96, ""[^-]+- [^-]+- [^-]+ - (.+?)\.jpg""), "".jpg"", """"), ""-"", "", ""), """")"),"")</f>
        <v/>
      </c>
      <c r="I96" s="6"/>
      <c r="J96" s="7" t="str">
        <f t="shared" ca="1" si="2"/>
        <v>(2026)</v>
      </c>
      <c r="K96" s="7" t="str">
        <f t="shared" si="3"/>
        <v>31711047</v>
      </c>
      <c r="L96" s="12" t="s">
        <v>207</v>
      </c>
      <c r="M96" s="13" t="str">
        <f ca="1">IFERROR(__xludf.DUMMYFUNCTION("TRIM(
  REGEXREPLACE(
    TEXTJOIN("" "",
      TRUE,
      B96,
      C96,
      embaralharLinks(E96,F96,G96),
      H96,
      """",
      J96,
      N96,
      ""#RIPNSFW""
    ),
  "",\s*"", "" "")
)"),"{New} Amy Rose https://streamtape.com/v/AAopzmpAoYiXyLr/31711047 https://lulustream.com/d/ielday2z6wym https://doodstream.com/d/y473vrt32bk8/31711047 (2026) #BigTits #Hardcore #Bigass #Teen #RIPNSFW")</f>
        <v>{New} Amy Rose https://streamtape.com/v/AAopzmpAoYiXyLr/31711047 https://lulustream.com/d/ielday2z6wym https://doodstream.com/d/y473vrt32bk8/31711047 (2026) #BigTits #Hardcore #Bigass #Teen #RIPNSFW</v>
      </c>
      <c r="N96" s="2" t="s">
        <v>208</v>
      </c>
      <c r="O96" s="30" t="s">
        <v>503</v>
      </c>
      <c r="P96" s="26"/>
      <c r="R96" s="23"/>
      <c r="T96" s="6"/>
      <c r="U96" s="7"/>
    </row>
    <row r="97" spans="1:27" ht="12.75">
      <c r="A97" s="6" t="s">
        <v>504</v>
      </c>
      <c r="B97" s="6" t="s">
        <v>14</v>
      </c>
      <c r="C97" s="7" t="str">
        <f t="shared" si="0"/>
        <v xml:space="preserve">Amy Rose </v>
      </c>
      <c r="D97" s="6" t="s">
        <v>505</v>
      </c>
      <c r="E97" s="8" t="s">
        <v>506</v>
      </c>
      <c r="F97" s="9" t="str">
        <f ca="1">IFERROR(__xludf.DUMMYFUNCTION("""https://streamtape.com/v/""&amp;
REGEXEXTRACT(O97,""/thumb/([^/]+)/"")&amp;
""/""&amp;K97"),"https://streamtape.com/v/Qe8O3JRBgaI8rQ/32868523")</f>
        <v>https://streamtape.com/v/Qe8O3JRBgaI8rQ/32868523</v>
      </c>
      <c r="G97" s="10" t="e">
        <f t="shared" ca="1" si="1"/>
        <v>#NAME?</v>
      </c>
      <c r="H97" s="11" t="str">
        <f ca="1">IFERROR(__xludf.DUMMYFUNCTION("IFERROR(SUBSTITUTE(SUBSTITUTE(REGEXEXTRACT(A97, ""[^-]+- [^-]+- [^-]+ - (.+?)\.jpg""), "".jpg"", """"), ""-"", "", ""), """")"),"")</f>
        <v/>
      </c>
      <c r="I97" s="6"/>
      <c r="J97" s="7" t="str">
        <f t="shared" ca="1" si="2"/>
        <v>(2026)</v>
      </c>
      <c r="K97" s="7" t="str">
        <f t="shared" si="3"/>
        <v>32868523</v>
      </c>
      <c r="L97" s="12" t="s">
        <v>507</v>
      </c>
      <c r="M97" s="13" t="str">
        <f ca="1">IFERROR(__xludf.DUMMYFUNCTION("TRIM(
  REGEXREPLACE(
    TEXTJOIN("" "",
      TRUE,
      B97,
      C97,
      embaralharLinks(E97,F97,G97),
      H97,
      """",
      J97,
      N97,
      ""#RIPNSFW""
    ),
  "",\s*"", "" "")
)"),"{New} Amy Rose https://lulustream.com/d/xw3quvykntrz https://streamtape.com/v/Qe8O3JRBgaI8rQ/32868523 https://doodstream.com/d/wqgkspl5273t/32868523 (2026) #BigTits #Hardcore #Creampie #Bigass #RIPNSFW")</f>
        <v>{New} Amy Rose https://lulustream.com/d/xw3quvykntrz https://streamtape.com/v/Qe8O3JRBgaI8rQ/32868523 https://doodstream.com/d/wqgkspl5273t/32868523 (2026) #BigTits #Hardcore #Creampie #Bigass #RIPNSFW</v>
      </c>
      <c r="N97" s="14" t="s">
        <v>508</v>
      </c>
      <c r="O97" s="15" t="s">
        <v>509</v>
      </c>
      <c r="P97" s="14"/>
      <c r="Q97" s="6"/>
      <c r="R97" s="11"/>
      <c r="S97" s="6"/>
      <c r="T97" s="6"/>
      <c r="U97" s="6"/>
      <c r="V97" s="6"/>
      <c r="W97" s="6"/>
      <c r="X97" s="6"/>
      <c r="Y97" s="6"/>
      <c r="Z97" s="6"/>
      <c r="AA97" s="6"/>
    </row>
    <row r="98" spans="1:27" ht="12.75">
      <c r="A98" s="12" t="s">
        <v>510</v>
      </c>
      <c r="B98" s="6" t="s">
        <v>14</v>
      </c>
      <c r="C98" s="7" t="str">
        <f t="shared" si="0"/>
        <v xml:space="preserve">Amy Rose </v>
      </c>
      <c r="D98" s="24" t="s">
        <v>511</v>
      </c>
      <c r="E98" s="25" t="s">
        <v>512</v>
      </c>
      <c r="F98" s="9" t="str">
        <f ca="1">IFERROR(__xludf.DUMMYFUNCTION("""https://streamtape.com/v/""&amp;
REGEXEXTRACT(O98,""/thumb/([^/]+)/"")&amp;
""/""&amp;K98"),"https://streamtape.com/v/r8X4JwOV27fb7Jy/34061424")</f>
        <v>https://streamtape.com/v/r8X4JwOV27fb7Jy/34061424</v>
      </c>
      <c r="G98" s="10" t="e">
        <f t="shared" ca="1" si="1"/>
        <v>#NAME?</v>
      </c>
      <c r="H98" s="11" t="str">
        <f ca="1">IFERROR(__xludf.DUMMYFUNCTION("IFERROR(SUBSTITUTE(SUBSTITUTE(REGEXEXTRACT(A98, ""[^-]+- [^-]+- [^-]+ - (.+?)\.jpg""), "".jpg"", """"), ""-"", "", ""), """")"),"")</f>
        <v/>
      </c>
      <c r="I98" s="6"/>
      <c r="J98" s="7" t="str">
        <f t="shared" ca="1" si="2"/>
        <v>(2026)</v>
      </c>
      <c r="K98" s="7" t="str">
        <f t="shared" si="3"/>
        <v>34061424</v>
      </c>
      <c r="L98" s="12" t="s">
        <v>81</v>
      </c>
      <c r="M98" s="13" t="str">
        <f ca="1">IFERROR(__xludf.DUMMYFUNCTION("TRIM(
  REGEXREPLACE(
    TEXTJOIN("" "",
      TRUE,
      B98,
      C98,
      embaralharLinks(E98,F98,G98),
      H98,
      """",
      J98,
      N98,
      ""#RIPNSFW""
    ),
  "",\s*"", "" "")
)"),"{New} Amy Rose https://lulustream.com/d/8rviiecnvzxq https://streamtape.com/v/r8X4JwOV27fb7Jy/34061424 https://doodstream.com/d/hv64hzj45lu5/34061424 (2026) #BigTits #Bigass #Teen #Blowjob #RIPNSFW")</f>
        <v>{New} Amy Rose https://lulustream.com/d/8rviiecnvzxq https://streamtape.com/v/r8X4JwOV27fb7Jy/34061424 https://doodstream.com/d/hv64hzj45lu5/34061424 (2026) #BigTits #Bigass #Teen #Blowjob #RIPNSFW</v>
      </c>
      <c r="N98" s="2" t="s">
        <v>82</v>
      </c>
      <c r="O98" s="30" t="s">
        <v>513</v>
      </c>
      <c r="P98" s="26"/>
      <c r="R98" s="23"/>
    </row>
    <row r="99" spans="1:27" ht="12.75">
      <c r="A99" s="6" t="s">
        <v>514</v>
      </c>
      <c r="B99" s="6" t="s">
        <v>14</v>
      </c>
      <c r="C99" s="7" t="str">
        <f t="shared" si="0"/>
        <v xml:space="preserve">Amy Rose </v>
      </c>
      <c r="D99" s="6" t="s">
        <v>515</v>
      </c>
      <c r="E99" s="8" t="s">
        <v>516</v>
      </c>
      <c r="F99" s="9" t="str">
        <f ca="1">IFERROR(__xludf.DUMMYFUNCTION("""https://streamtape.com/v/""&amp;
REGEXEXTRACT(O99,""/thumb/([^/]+)/"")&amp;
""/""&amp;K99"),"https://streamtape.com/v/mwb710VDzKIbxb9/42163415")</f>
        <v>https://streamtape.com/v/mwb710VDzKIbxb9/42163415</v>
      </c>
      <c r="G99" s="10" t="e">
        <f t="shared" ca="1" si="1"/>
        <v>#NAME?</v>
      </c>
      <c r="H99" s="11" t="str">
        <f ca="1">IFERROR(__xludf.DUMMYFUNCTION("IFERROR(SUBSTITUTE(SUBSTITUTE(REGEXEXTRACT(A99, ""[^-]+- [^-]+- [^-]+ - (.+?)\.jpg""), "".jpg"", """"), ""-"", "", ""), """")"),"")</f>
        <v/>
      </c>
      <c r="I99" s="6"/>
      <c r="J99" s="7" t="str">
        <f t="shared" ca="1" si="2"/>
        <v>(2026)</v>
      </c>
      <c r="K99" s="7" t="str">
        <f t="shared" si="3"/>
        <v>42163415</v>
      </c>
      <c r="L99" s="12" t="s">
        <v>517</v>
      </c>
      <c r="M99" s="13" t="str">
        <f ca="1">IFERROR(__xludf.DUMMYFUNCTION("TRIM(
  REGEXREPLACE(
    TEXTJOIN("" "",
      TRUE,
      B99,
      C99,
      embaralharLinks(E99,F99,G99),
      H99,
      """",
      J99,
      N99,
      ""#RIPNSFW""
    ),
  "",\s*"", "" "")
)"),"{New} Amy Rose https://streamtape.com/v/mwb710VDzKIbxb9/42163415 https://doodstream.com/d/1iqt7c9qt6ep/42163415 https://lulustream.com/d/odfvou546p6r (2026) #BigTits #Hardcore #Bigass #Teen #Roleplay #Teens #Amateur #Blowjob #Deepthroat #RIPNSFW")</f>
        <v>{New} Amy Rose https://streamtape.com/v/mwb710VDzKIbxb9/42163415 https://doodstream.com/d/1iqt7c9qt6ep/42163415 https://lulustream.com/d/odfvou546p6r (2026) #BigTits #Hardcore #Bigass #Teen #Roleplay #Teens #Amateur #Blowjob #Deepthroat #RIPNSFW</v>
      </c>
      <c r="N99" s="14" t="s">
        <v>518</v>
      </c>
      <c r="O99" s="15" t="s">
        <v>519</v>
      </c>
      <c r="P99" s="14"/>
      <c r="Q99" s="6"/>
      <c r="R99" s="11"/>
      <c r="S99" s="6"/>
      <c r="T99" s="6"/>
      <c r="U99" s="6"/>
      <c r="V99" s="6"/>
      <c r="W99" s="6"/>
      <c r="X99" s="6"/>
      <c r="Y99" s="6"/>
      <c r="Z99" s="6"/>
      <c r="AA99" s="6"/>
    </row>
    <row r="100" spans="1:27" ht="12.75">
      <c r="A100" s="12" t="s">
        <v>520</v>
      </c>
      <c r="B100" s="6" t="s">
        <v>14</v>
      </c>
      <c r="C100" s="7" t="str">
        <f t="shared" si="0"/>
        <v xml:space="preserve">Amy Rose </v>
      </c>
      <c r="D100" s="27" t="s">
        <v>521</v>
      </c>
      <c r="E100" s="28" t="s">
        <v>522</v>
      </c>
      <c r="F100" s="9" t="str">
        <f ca="1">IFERROR(__xludf.DUMMYFUNCTION("""https://streamtape.com/v/""&amp;
REGEXEXTRACT(O100,""/thumb/([^/]+)/"")&amp;
""/""&amp;K100"),"https://streamtape.com/v/BL79djK6Zeh6ja/46469035")</f>
        <v>https://streamtape.com/v/BL79djK6Zeh6ja/46469035</v>
      </c>
      <c r="G100" s="10" t="e">
        <f t="shared" ca="1" si="1"/>
        <v>#NAME?</v>
      </c>
      <c r="H100" s="11" t="str">
        <f ca="1">IFERROR(__xludf.DUMMYFUNCTION("IFERROR(SUBSTITUTE(SUBSTITUTE(REGEXEXTRACT(A100, ""[^-]+- [^-]+- [^-]+ - (.+?)\.jpg""), "".jpg"", """"), ""-"", "", ""), """")"),"")</f>
        <v/>
      </c>
      <c r="I100" s="6"/>
      <c r="J100" s="7" t="str">
        <f t="shared" ca="1" si="2"/>
        <v>(2026)</v>
      </c>
      <c r="K100" s="7" t="str">
        <f t="shared" si="3"/>
        <v>46469035</v>
      </c>
      <c r="L100" s="12" t="s">
        <v>207</v>
      </c>
      <c r="M100" s="13" t="str">
        <f ca="1">IFERROR(__xludf.DUMMYFUNCTION("TRIM(
  REGEXREPLACE(
    TEXTJOIN("" "",
      TRUE,
      B100,
      C100,
      embaralharLinks(E100,F100,G100),
      H100,
      """",
      J100,
      N100,
      ""#RIPNSFW""
    ),
  "",\s*"", "" "")
)"),"{New} Amy Rose https://doodstream.com/d/89zgz9rdddzu/46469035 https://lulustream.com/d/h5snltgj7qye https://streamtape.com/v/BL79djK6Zeh6ja/46469035 (2026) #BigTits #Hardcore #Bigass #Teen #RIPNSFW")</f>
        <v>{New} Amy Rose https://doodstream.com/d/89zgz9rdddzu/46469035 https://lulustream.com/d/h5snltgj7qye https://streamtape.com/v/BL79djK6Zeh6ja/46469035 (2026) #BigTits #Hardcore #Bigass #Teen #RIPNSFW</v>
      </c>
      <c r="N100" s="2" t="s">
        <v>208</v>
      </c>
      <c r="O100" s="30" t="s">
        <v>523</v>
      </c>
      <c r="P100" s="26"/>
      <c r="R100" s="23"/>
    </row>
    <row r="101" spans="1:27" ht="12.75">
      <c r="A101" s="6" t="s">
        <v>524</v>
      </c>
      <c r="B101" s="6" t="s">
        <v>14</v>
      </c>
      <c r="C101" s="7" t="str">
        <f t="shared" si="0"/>
        <v xml:space="preserve">Amy Rose </v>
      </c>
      <c r="D101" s="29" t="s">
        <v>525</v>
      </c>
      <c r="E101" s="8" t="s">
        <v>526</v>
      </c>
      <c r="F101" s="9" t="str">
        <f ca="1">IFERROR(__xludf.DUMMYFUNCTION("""https://streamtape.com/v/""&amp;
REGEXEXTRACT(O101,""/thumb/([^/]+)/"")&amp;
""/""&amp;K101"),"https://streamtape.com/v/pbO1o6AvaJtlKz/51937780")</f>
        <v>https://streamtape.com/v/pbO1o6AvaJtlKz/51937780</v>
      </c>
      <c r="G101" s="10" t="e">
        <f t="shared" ca="1" si="1"/>
        <v>#NAME?</v>
      </c>
      <c r="H101" s="11" t="str">
        <f ca="1">IFERROR(__xludf.DUMMYFUNCTION("IFERROR(SUBSTITUTE(SUBSTITUTE(REGEXEXTRACT(A101, ""[^-]+- [^-]+- [^-]+ - (.+?)\.jpg""), "".jpg"", """"), ""-"", "", ""), """")"),"")</f>
        <v/>
      </c>
      <c r="I101" s="6"/>
      <c r="J101" s="7" t="str">
        <f t="shared" ca="1" si="2"/>
        <v>(2026)</v>
      </c>
      <c r="K101" s="7" t="str">
        <f t="shared" si="3"/>
        <v>51937780</v>
      </c>
      <c r="L101" s="12" t="s">
        <v>527</v>
      </c>
      <c r="M101" s="13" t="str">
        <f ca="1">IFERROR(__xludf.DUMMYFUNCTION("TRIM(
  REGEXREPLACE(
    TEXTJOIN("" "",
      TRUE,
      B101,
      C101,
      embaralharLinks(E101,F101,G101),
      H101,
      """",
      J101,
      N101,
      ""#RIPNSFW""
    ),
  "",\s*"", "" "")
)"),"{New} Amy Rose https://streamtape.com/v/pbO1o6AvaJtlKz/51937780 https://doodstream.com/d/z1tgvotmg421/51937780 https://lulustream.com/d/23qh6bn9wluq (2026) #BigTits #Hardcore #Bigass #Teen #Artporn #Blowjob #Amateur #Deepthroat #RIPNSFW")</f>
        <v>{New} Amy Rose https://streamtape.com/v/pbO1o6AvaJtlKz/51937780 https://doodstream.com/d/z1tgvotmg421/51937780 https://lulustream.com/d/23qh6bn9wluq (2026) #BigTits #Hardcore #Bigass #Teen #Artporn #Blowjob #Amateur #Deepthroat #RIPNSFW</v>
      </c>
      <c r="N101" s="14" t="s">
        <v>528</v>
      </c>
      <c r="O101" s="32" t="s">
        <v>529</v>
      </c>
      <c r="P101" s="14"/>
      <c r="Q101" s="6"/>
      <c r="R101" s="11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75">
      <c r="A102" s="6" t="s">
        <v>530</v>
      </c>
      <c r="B102" s="6" t="s">
        <v>14</v>
      </c>
      <c r="C102" s="7" t="str">
        <f t="shared" si="0"/>
        <v xml:space="preserve">Amy Rose </v>
      </c>
      <c r="D102" s="6" t="s">
        <v>531</v>
      </c>
      <c r="E102" s="8" t="s">
        <v>532</v>
      </c>
      <c r="F102" s="9" t="str">
        <f ca="1">IFERROR(__xludf.DUMMYFUNCTION("""https://streamtape.com/v/""&amp;
REGEXEXTRACT(O102,""/thumb/([^/]+)/"")&amp;
""/""&amp;K102"),"https://streamtape.com/v/1Rxj4wvzRWIekzQ/54424774")</f>
        <v>https://streamtape.com/v/1Rxj4wvzRWIekzQ/54424774</v>
      </c>
      <c r="G102" s="10" t="e">
        <f t="shared" ca="1" si="1"/>
        <v>#NAME?</v>
      </c>
      <c r="H102" s="11" t="str">
        <f ca="1">IFERROR(__xludf.DUMMYFUNCTION("IFERROR(SUBSTITUTE(SUBSTITUTE(REGEXEXTRACT(A102, ""[^-]+- [^-]+- [^-]+ - (.+?)\.jpg""), "".jpg"", """"), ""-"", "", ""), """")"),"")</f>
        <v/>
      </c>
      <c r="I102" s="6"/>
      <c r="J102" s="7" t="str">
        <f t="shared" ca="1" si="2"/>
        <v>(2026)</v>
      </c>
      <c r="K102" s="7" t="str">
        <f t="shared" si="3"/>
        <v>54424774</v>
      </c>
      <c r="L102" s="12" t="s">
        <v>533</v>
      </c>
      <c r="M102" s="13" t="str">
        <f ca="1">IFERROR(__xludf.DUMMYFUNCTION("TRIM(
  REGEXREPLACE(
    TEXTJOIN("" "",
      TRUE,
      B102,
      C102,
      embaralharLinks(E102,F102,G102),
      H102,
      """",
      J102,
      N102,
      ""#RIPNSFW""
    ),
  "",\s*"", "" "")
)"),"{New} Amy Rose https://streamtape.com/v/1Rxj4wvzRWIekzQ/54424774 https://lulustream.com/d/99go5yqdygxn https://doodstream.com/d/n5yh7xsmosge/54424774 (2026) #BigTits #Bigass #Teen #Blowjob #Roleplay #Solo #RIPNSFW")</f>
        <v>{New} Amy Rose https://streamtape.com/v/1Rxj4wvzRWIekzQ/54424774 https://lulustream.com/d/99go5yqdygxn https://doodstream.com/d/n5yh7xsmosge/54424774 (2026) #BigTits #Bigass #Teen #Blowjob #Roleplay #Solo #RIPNSFW</v>
      </c>
      <c r="N102" s="14" t="s">
        <v>534</v>
      </c>
      <c r="O102" s="15" t="s">
        <v>535</v>
      </c>
      <c r="P102" s="14"/>
      <c r="Q102" s="6"/>
      <c r="R102" s="11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75">
      <c r="A103" s="12" t="s">
        <v>536</v>
      </c>
      <c r="B103" s="6" t="s">
        <v>14</v>
      </c>
      <c r="C103" s="7" t="str">
        <f t="shared" si="0"/>
        <v xml:space="preserve">Amy Rose </v>
      </c>
      <c r="D103" s="24" t="s">
        <v>537</v>
      </c>
      <c r="E103" s="25" t="s">
        <v>538</v>
      </c>
      <c r="F103" s="9" t="str">
        <f ca="1">IFERROR(__xludf.DUMMYFUNCTION("""https://streamtape.com/v/""&amp;
REGEXEXTRACT(O103,""/thumb/([^/]+)/"")&amp;
""/""&amp;K103"),"https://streamtape.com/v/MqD1A2Adw1sm4dZ/61578433")</f>
        <v>https://streamtape.com/v/MqD1A2Adw1sm4dZ/61578433</v>
      </c>
      <c r="G103" s="10" t="e">
        <f t="shared" ca="1" si="1"/>
        <v>#NAME?</v>
      </c>
      <c r="H103" s="11" t="str">
        <f ca="1">IFERROR(__xludf.DUMMYFUNCTION("IFERROR(SUBSTITUTE(SUBSTITUTE(REGEXEXTRACT(A103, ""[^-]+- [^-]+- [^-]+ - (.+?)\.jpg""), "".jpg"", """"), ""-"", "", ""), """")"),"")</f>
        <v/>
      </c>
      <c r="I103" s="6"/>
      <c r="J103" s="7" t="str">
        <f t="shared" ca="1" si="2"/>
        <v>(2026)</v>
      </c>
      <c r="K103" s="7" t="str">
        <f t="shared" si="3"/>
        <v>61578433</v>
      </c>
      <c r="L103" s="12" t="s">
        <v>207</v>
      </c>
      <c r="M103" s="13" t="str">
        <f ca="1">IFERROR(__xludf.DUMMYFUNCTION("TRIM(
  REGEXREPLACE(
    TEXTJOIN("" "",
      TRUE,
      B103,
      C103,
      embaralharLinks(E103,F103,G103),
      H103,
      """",
      J103,
      N103,
      ""#RIPNSFW""
    ),
  "",\s*"", "" "")
)"),"{New} Amy Rose https://lulustream.com/d/buz49esw3qem https://streamtape.com/v/MqD1A2Adw1sm4dZ/61578433 https://doodstream.com/d/xog56jebtp9d/61578433 (2026) #BigTits #Hardcore #Bigass #Teen #RIPNSFW")</f>
        <v>{New} Amy Rose https://lulustream.com/d/buz49esw3qem https://streamtape.com/v/MqD1A2Adw1sm4dZ/61578433 https://doodstream.com/d/xog56jebtp9d/61578433 (2026) #BigTits #Hardcore #Bigass #Teen #RIPNSFW</v>
      </c>
      <c r="N103" s="2" t="s">
        <v>208</v>
      </c>
      <c r="O103" s="30" t="s">
        <v>539</v>
      </c>
      <c r="P103" s="26"/>
      <c r="R103" s="23"/>
    </row>
    <row r="104" spans="1:27" ht="12.75">
      <c r="A104" s="12" t="s">
        <v>540</v>
      </c>
      <c r="B104" s="6" t="s">
        <v>14</v>
      </c>
      <c r="C104" s="7" t="str">
        <f t="shared" si="0"/>
        <v xml:space="preserve">Amy Rose </v>
      </c>
      <c r="D104" s="27" t="s">
        <v>541</v>
      </c>
      <c r="E104" s="28" t="s">
        <v>542</v>
      </c>
      <c r="F104" s="9" t="str">
        <f ca="1">IFERROR(__xludf.DUMMYFUNCTION("""https://streamtape.com/v/""&amp;
REGEXEXTRACT(O104,""/thumb/([^/]+)/"")&amp;
""/""&amp;K104"),"https://streamtape.com/v/MqyQyRr2wBUG9x/61767415")</f>
        <v>https://streamtape.com/v/MqyQyRr2wBUG9x/61767415</v>
      </c>
      <c r="G104" s="10" t="e">
        <f t="shared" ca="1" si="1"/>
        <v>#NAME?</v>
      </c>
      <c r="H104" s="11" t="str">
        <f ca="1">IFERROR(__xludf.DUMMYFUNCTION("IFERROR(SUBSTITUTE(SUBSTITUTE(REGEXEXTRACT(A104, ""[^-]+- [^-]+- [^-]+ - (.+?)\.jpg""), "".jpg"", """"), ""-"", "", ""), """")"),"")</f>
        <v/>
      </c>
      <c r="I104" s="6"/>
      <c r="J104" s="7" t="str">
        <f t="shared" ca="1" si="2"/>
        <v>(2026)</v>
      </c>
      <c r="K104" s="7" t="str">
        <f t="shared" si="3"/>
        <v>61767415</v>
      </c>
      <c r="L104" s="12" t="s">
        <v>81</v>
      </c>
      <c r="M104" s="13" t="str">
        <f ca="1">IFERROR(__xludf.DUMMYFUNCTION("TRIM(
  REGEXREPLACE(
    TEXTJOIN("" "",
      TRUE,
      B104,
      C104,
      embaralharLinks(E104,F104,G104),
      H104,
      """",
      J104,
      N104,
      ""#RIPNSFW""
    ),
  "",\s*"", "" "")
)"),"{New} Amy Rose https://doodstream.com/d/op3zz670prkc/61767415 https://lulustream.com/d/kj15uow8xth0 https://streamtape.com/v/MqyQyRr2wBUG9x/61767415 (2026) #BigTits #Bigass #Teen #Blowjob #RIPNSFW")</f>
        <v>{New} Amy Rose https://doodstream.com/d/op3zz670prkc/61767415 https://lulustream.com/d/kj15uow8xth0 https://streamtape.com/v/MqyQyRr2wBUG9x/61767415 (2026) #BigTits #Bigass #Teen #Blowjob #RIPNSFW</v>
      </c>
      <c r="N104" s="2" t="s">
        <v>82</v>
      </c>
      <c r="O104" s="30" t="s">
        <v>543</v>
      </c>
      <c r="P104" s="26"/>
      <c r="R104" s="23"/>
    </row>
    <row r="105" spans="1:27" ht="12.75">
      <c r="A105" s="12" t="s">
        <v>544</v>
      </c>
      <c r="B105" s="6" t="s">
        <v>14</v>
      </c>
      <c r="C105" s="7" t="str">
        <f t="shared" si="0"/>
        <v xml:space="preserve">Amy Rose </v>
      </c>
      <c r="D105" s="24" t="s">
        <v>545</v>
      </c>
      <c r="E105" s="25" t="s">
        <v>546</v>
      </c>
      <c r="F105" s="9" t="str">
        <f ca="1">IFERROR(__xludf.DUMMYFUNCTION("""https://streamtape.com/v/""&amp;
REGEXEXTRACT(O105,""/thumb/([^/]+)/"")&amp;
""/""&amp;K105"),"https://streamtape.com/v/M6rMVpbyXKfmqzY/67576256")</f>
        <v>https://streamtape.com/v/M6rMVpbyXKfmqzY/67576256</v>
      </c>
      <c r="G105" s="10" t="e">
        <f t="shared" ca="1" si="1"/>
        <v>#NAME?</v>
      </c>
      <c r="H105" s="11" t="str">
        <f ca="1">IFERROR(__xludf.DUMMYFUNCTION("IFERROR(SUBSTITUTE(SUBSTITUTE(REGEXEXTRACT(A105, ""[^-]+- [^-]+- [^-]+ - (.+?)\.jpg""), "".jpg"", """"), ""-"", "", ""), """")"),"")</f>
        <v/>
      </c>
      <c r="I105" s="6"/>
      <c r="J105" s="7" t="str">
        <f t="shared" ca="1" si="2"/>
        <v>(2026)</v>
      </c>
      <c r="K105" s="7" t="str">
        <f t="shared" si="3"/>
        <v>67576256</v>
      </c>
      <c r="L105" s="12" t="s">
        <v>207</v>
      </c>
      <c r="M105" s="13" t="str">
        <f ca="1">IFERROR(__xludf.DUMMYFUNCTION("TRIM(
  REGEXREPLACE(
    TEXTJOIN("" "",
      TRUE,
      B105,
      C105,
      embaralharLinks(E105,F105,G105),
      H105,
      """",
      J105,
      N105,
      ""#RIPNSFW""
    ),
  "",\s*"", "" "")
)"),"{New} Amy Rose https://streamtape.com/v/M6rMVpbyXKfmqzY/67576256 https://lulustream.com/d/43cgjx3bv8o5 https://doodstream.com/d/fsbzsjs5p1g1/67576256 (2026) #BigTits #Hardcore #Bigass #Teen #RIPNSFW")</f>
        <v>{New} Amy Rose https://streamtape.com/v/M6rMVpbyXKfmqzY/67576256 https://lulustream.com/d/43cgjx3bv8o5 https://doodstream.com/d/fsbzsjs5p1g1/67576256 (2026) #BigTits #Hardcore #Bigass #Teen #RIPNSFW</v>
      </c>
      <c r="N105" s="2" t="s">
        <v>208</v>
      </c>
      <c r="O105" s="30" t="s">
        <v>547</v>
      </c>
      <c r="P105" s="26"/>
      <c r="R105" s="23"/>
    </row>
    <row r="106" spans="1:27" ht="12.75">
      <c r="A106" s="12" t="s">
        <v>548</v>
      </c>
      <c r="B106" s="6" t="s">
        <v>14</v>
      </c>
      <c r="C106" s="7" t="str">
        <f t="shared" si="0"/>
        <v xml:space="preserve">Amy Rose </v>
      </c>
      <c r="D106" s="27" t="s">
        <v>549</v>
      </c>
      <c r="E106" s="28" t="s">
        <v>550</v>
      </c>
      <c r="F106" s="9" t="str">
        <f ca="1">IFERROR(__xludf.DUMMYFUNCTION("""https://streamtape.com/v/""&amp;
REGEXEXTRACT(O106,""/thumb/([^/]+)/"")&amp;
""/""&amp;K106"),"https://streamtape.com/v/ZV8VWMkO1YFqVo7/76271177")</f>
        <v>https://streamtape.com/v/ZV8VWMkO1YFqVo7/76271177</v>
      </c>
      <c r="G106" s="10" t="e">
        <f t="shared" ca="1" si="1"/>
        <v>#NAME?</v>
      </c>
      <c r="H106" s="11" t="str">
        <f ca="1">IFERROR(__xludf.DUMMYFUNCTION("IFERROR(SUBSTITUTE(SUBSTITUTE(REGEXEXTRACT(A106, ""[^-]+- [^-]+- [^-]+ - (.+?)\.jpg""), "".jpg"", """"), ""-"", "", ""), """")"),"")</f>
        <v/>
      </c>
      <c r="I106" s="6"/>
      <c r="J106" s="7" t="str">
        <f t="shared" ca="1" si="2"/>
        <v>(2026)</v>
      </c>
      <c r="K106" s="7" t="str">
        <f t="shared" si="3"/>
        <v>76271177</v>
      </c>
      <c r="L106" s="12" t="s">
        <v>81</v>
      </c>
      <c r="M106" s="13" t="str">
        <f ca="1">IFERROR(__xludf.DUMMYFUNCTION("TRIM(
  REGEXREPLACE(
    TEXTJOIN("" "",
      TRUE,
      B106,
      C106,
      embaralharLinks(E106,F106,G106),
      H106,
      """",
      J106,
      N106,
      ""#RIPNSFW""
    ),
  "",\s*"", "" "")
)"),"{New} Amy Rose https://streamtape.com/v/ZV8VWMkO1YFqVo7/76271177 https://lulustream.com/d/oe7gx43gbbbb https://doodstream.com/d/8wvvaigfci7z/76271177 (2026) #BigTits #Bigass #Teen #Blowjob #RIPNSFW")</f>
        <v>{New} Amy Rose https://streamtape.com/v/ZV8VWMkO1YFqVo7/76271177 https://lulustream.com/d/oe7gx43gbbbb https://doodstream.com/d/8wvvaigfci7z/76271177 (2026) #BigTits #Bigass #Teen #Blowjob #RIPNSFW</v>
      </c>
      <c r="N106" s="2" t="s">
        <v>82</v>
      </c>
      <c r="O106" s="30" t="s">
        <v>551</v>
      </c>
      <c r="P106" s="26"/>
      <c r="R106" s="23"/>
    </row>
    <row r="107" spans="1:27" ht="12.75">
      <c r="A107" s="6" t="s">
        <v>552</v>
      </c>
      <c r="B107" s="6" t="s">
        <v>14</v>
      </c>
      <c r="C107" s="7" t="str">
        <f t="shared" si="0"/>
        <v xml:space="preserve">Amy Rose </v>
      </c>
      <c r="D107" s="29" t="s">
        <v>553</v>
      </c>
      <c r="E107" s="8" t="s">
        <v>554</v>
      </c>
      <c r="F107" s="9" t="str">
        <f ca="1">IFERROR(__xludf.DUMMYFUNCTION("""https://streamtape.com/v/""&amp;
REGEXEXTRACT(O107,""/thumb/([^/]+)/"")&amp;
""/""&amp;K107"),"https://streamtape.com/v/o9WBgkabjmsJwL9/93974731")</f>
        <v>https://streamtape.com/v/o9WBgkabjmsJwL9/93974731</v>
      </c>
      <c r="G107" s="10" t="e">
        <f t="shared" ca="1" si="1"/>
        <v>#NAME?</v>
      </c>
      <c r="H107" s="11" t="str">
        <f ca="1">IFERROR(__xludf.DUMMYFUNCTION("IFERROR(SUBSTITUTE(SUBSTITUTE(REGEXEXTRACT(A107, ""[^-]+- [^-]+- [^-]+ - (.+?)\.jpg""), "".jpg"", """"), ""-"", "", ""), """")"),"")</f>
        <v/>
      </c>
      <c r="I107" s="6"/>
      <c r="J107" s="7" t="str">
        <f t="shared" ca="1" si="2"/>
        <v>(2026)</v>
      </c>
      <c r="K107" s="7" t="str">
        <f t="shared" si="3"/>
        <v>93974731</v>
      </c>
      <c r="L107" s="12" t="s">
        <v>555</v>
      </c>
      <c r="M107" s="13" t="str">
        <f ca="1">IFERROR(__xludf.DUMMYFUNCTION("TRIM(
  REGEXREPLACE(
    TEXTJOIN("" "",
      TRUE,
      B107,
      C107,
      embaralharLinks(E107,F107,G107),
      H107,
      """",
      J107,
      N107,
      ""#RIPNSFW""
    ),
  "",\s*"", "" "")
)"),"{New} Amy Rose https://streamtape.com/v/o9WBgkabjmsJwL9/93974731 https://lulustream.com/d/r7qht116rvkd https://doodstream.com/d/w7sugeleoo01/93974731 (2026) #BigTits #Bigass #Teen #Artporn #Teens #RIPNSFW")</f>
        <v>{New} Amy Rose https://streamtape.com/v/o9WBgkabjmsJwL9/93974731 https://lulustream.com/d/r7qht116rvkd https://doodstream.com/d/w7sugeleoo01/93974731 (2026) #BigTits #Bigass #Teen #Artporn #Teens #RIPNSFW</v>
      </c>
      <c r="N107" s="14" t="s">
        <v>556</v>
      </c>
      <c r="O107" s="32" t="s">
        <v>557</v>
      </c>
      <c r="P107" s="14"/>
      <c r="Q107" s="6"/>
      <c r="R107" s="11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75">
      <c r="A108" s="6" t="s">
        <v>558</v>
      </c>
      <c r="B108" s="6" t="s">
        <v>14</v>
      </c>
      <c r="C108" s="7" t="str">
        <f t="shared" si="0"/>
        <v xml:space="preserve">Angel Polikarpova </v>
      </c>
      <c r="D108" s="6" t="s">
        <v>559</v>
      </c>
      <c r="E108" s="8" t="s">
        <v>560</v>
      </c>
      <c r="F108" s="9" t="str">
        <f ca="1">IFERROR(__xludf.DUMMYFUNCTION("""https://streamtape.com/v/""&amp;
REGEXEXTRACT(O108,""/thumb/([^/]+)/"")&amp;
""/""&amp;K108"),"https://streamtape.com/v/6eare7rZXzT99Dv/25715402")</f>
        <v>https://streamtape.com/v/6eare7rZXzT99Dv/25715402</v>
      </c>
      <c r="G108" s="10" t="e">
        <f t="shared" ca="1" si="1"/>
        <v>#NAME?</v>
      </c>
      <c r="H108" s="11" t="str">
        <f ca="1">IFERROR(__xludf.DUMMYFUNCTION("IFERROR(SUBSTITUTE(SUBSTITUTE(REGEXEXTRACT(A108, ""[^-]+- [^-]+- [^-]+ - (.+?)\.jpg""), "".jpg"", """"), ""-"", "", ""), """")"),"")</f>
        <v/>
      </c>
      <c r="I108" s="6"/>
      <c r="J108" s="7" t="str">
        <f t="shared" ca="1" si="2"/>
        <v>(2026)</v>
      </c>
      <c r="K108" s="7" t="str">
        <f t="shared" si="3"/>
        <v>25715402</v>
      </c>
      <c r="L108" s="12" t="s">
        <v>561</v>
      </c>
      <c r="M108" s="13" t="str">
        <f ca="1">IFERROR(__xludf.DUMMYFUNCTION("TRIM(
  REGEXREPLACE(
    TEXTJOIN("" "",
      TRUE,
      B108,
      C108,
      embaralharLinks(E108,F108,G108),
      H108,
      """",
      J108,
      N108,
      ""#RIPNSFW""
    ),
  "",\s*"", "" "")
)"),"{New} Angel Polikarpova https://lulustream.com/d/l9e1quxem0ow https://streamtape.com/v/6eare7rZXzT99Dv/25715402 https://doodstream.com/d/gomwn1gcelmx/25715402 (2026) #Teen #Teens #Amateur #Blonde #Facial #Blowjob #RIPNSFW")</f>
        <v>{New} Angel Polikarpova https://lulustream.com/d/l9e1quxem0ow https://streamtape.com/v/6eare7rZXzT99Dv/25715402 https://doodstream.com/d/gomwn1gcelmx/25715402 (2026) #Teen #Teens #Amateur #Blonde #Facial #Blowjob #RIPNSFW</v>
      </c>
      <c r="N108" s="14" t="s">
        <v>562</v>
      </c>
      <c r="O108" s="15" t="s">
        <v>563</v>
      </c>
      <c r="P108" s="14"/>
      <c r="Q108" s="6"/>
      <c r="R108" s="11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75">
      <c r="A109" s="6" t="s">
        <v>564</v>
      </c>
      <c r="B109" s="6" t="s">
        <v>14</v>
      </c>
      <c r="C109" s="7" t="str">
        <f t="shared" si="0"/>
        <v xml:space="preserve">Angel Polikarpova </v>
      </c>
      <c r="D109" s="6" t="s">
        <v>565</v>
      </c>
      <c r="E109" s="8" t="s">
        <v>566</v>
      </c>
      <c r="F109" s="9" t="str">
        <f ca="1">IFERROR(__xludf.DUMMYFUNCTION("""https://streamtape.com/v/""&amp;
REGEXEXTRACT(O109,""/thumb/([^/]+)/"")&amp;
""/""&amp;K109"),"https://streamtape.com/v/dKLW73yOB9SkOpy/43758104")</f>
        <v>https://streamtape.com/v/dKLW73yOB9SkOpy/43758104</v>
      </c>
      <c r="G109" s="10" t="e">
        <f t="shared" ca="1" si="1"/>
        <v>#NAME?</v>
      </c>
      <c r="H109" s="11" t="str">
        <f ca="1">IFERROR(__xludf.DUMMYFUNCTION("IFERROR(SUBSTITUTE(SUBSTITUTE(REGEXEXTRACT(A109, ""[^-]+- [^-]+- [^-]+ - (.+?)\.jpg""), "".jpg"", """"), ""-"", "", ""), """")"),"")</f>
        <v/>
      </c>
      <c r="I109" s="6"/>
      <c r="J109" s="7" t="str">
        <f t="shared" ca="1" si="2"/>
        <v>(2026)</v>
      </c>
      <c r="K109" s="7" t="str">
        <f t="shared" si="3"/>
        <v>43758104</v>
      </c>
      <c r="L109" s="12" t="s">
        <v>567</v>
      </c>
      <c r="M109" s="13" t="str">
        <f ca="1">IFERROR(__xludf.DUMMYFUNCTION("TRIM(
  REGEXREPLACE(
    TEXTJOIN("" "",
      TRUE,
      B109,
      C109,
      embaralharLinks(E109,F109,G109),
      H109,
      """",
      J109,
      N109,
      ""#RIPNSFW""
    ),
  "",\s*"", "" "")
)"),"{New} Angel Polikarpova https://doodstream.com/d/t30ehp9xmsq7/43758104 https://lulustream.com/d/st2h37a2sjlo https://streamtape.com/v/dKLW73yOB9SkOpy/43758104 (2026) #Hardcore #Teen #Artporn #Teens #Blowjob #Amateur #Blonde #Footjob #RIPNSFW")</f>
        <v>{New} Angel Polikarpova https://doodstream.com/d/t30ehp9xmsq7/43758104 https://lulustream.com/d/st2h37a2sjlo https://streamtape.com/v/dKLW73yOB9SkOpy/43758104 (2026) #Hardcore #Teen #Artporn #Teens #Blowjob #Amateur #Blonde #Footjob #RIPNSFW</v>
      </c>
      <c r="N109" s="14" t="s">
        <v>568</v>
      </c>
      <c r="O109" s="15" t="s">
        <v>569</v>
      </c>
      <c r="P109" s="14"/>
      <c r="Q109" s="6"/>
      <c r="R109" s="11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75">
      <c r="A110" s="6" t="s">
        <v>570</v>
      </c>
      <c r="B110" s="6" t="s">
        <v>14</v>
      </c>
      <c r="C110" s="7" t="str">
        <f t="shared" si="0"/>
        <v xml:space="preserve">Angel Polikarpova </v>
      </c>
      <c r="D110" s="6" t="s">
        <v>571</v>
      </c>
      <c r="E110" s="8" t="s">
        <v>572</v>
      </c>
      <c r="F110" s="9" t="str">
        <f ca="1">IFERROR(__xludf.DUMMYFUNCTION("""https://streamtape.com/v/""&amp;
REGEXEXTRACT(O110,""/thumb/([^/]+)/"")&amp;
""/""&amp;K110"),"https://streamtape.com/v/Gb8pGe7ZV3f1rMw/51911298")</f>
        <v>https://streamtape.com/v/Gb8pGe7ZV3f1rMw/51911298</v>
      </c>
      <c r="G110" s="10" t="e">
        <f t="shared" ca="1" si="1"/>
        <v>#NAME?</v>
      </c>
      <c r="H110" s="11" t="str">
        <f ca="1">IFERROR(__xludf.DUMMYFUNCTION("IFERROR(SUBSTITUTE(SUBSTITUTE(REGEXEXTRACT(A110, ""[^-]+- [^-]+- [^-]+ - (.+?)\.jpg""), "".jpg"", """"), ""-"", "", ""), """")"),"")</f>
        <v/>
      </c>
      <c r="I110" s="6"/>
      <c r="J110" s="7" t="str">
        <f t="shared" ca="1" si="2"/>
        <v>(2026)</v>
      </c>
      <c r="K110" s="7" t="str">
        <f t="shared" si="3"/>
        <v>51911298</v>
      </c>
      <c r="L110" s="12" t="s">
        <v>573</v>
      </c>
      <c r="M110" s="13" t="str">
        <f ca="1">IFERROR(__xludf.DUMMYFUNCTION("TRIM(
  REGEXREPLACE(
    TEXTJOIN("" "",
      TRUE,
      B110,
      C110,
      embaralharLinks(E110,F110,G110),
      H110,
      """",
      J110,
      N110,
      ""#RIPNSFW""
    ),
  "",\s*"", "" "")
)"),"{New} Angel Polikarpova https://streamtape.com/v/Gb8pGe7ZV3f1rMw/51911298 https://doodstream.com/d/smdj5kzgz9u7/51911298 https://lulustream.com/d/4a03rbumdav4 (2026) #Hardcore #Teen #Teens #Artporn #RIPNSFW")</f>
        <v>{New} Angel Polikarpova https://streamtape.com/v/Gb8pGe7ZV3f1rMw/51911298 https://doodstream.com/d/smdj5kzgz9u7/51911298 https://lulustream.com/d/4a03rbumdav4 (2026) #Hardcore #Teen #Teens #Artporn #RIPNSFW</v>
      </c>
      <c r="N110" s="14" t="s">
        <v>574</v>
      </c>
      <c r="O110" s="15" t="s">
        <v>575</v>
      </c>
      <c r="P110" s="14"/>
      <c r="Q110" s="6"/>
      <c r="R110" s="11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75">
      <c r="A111" s="12" t="s">
        <v>576</v>
      </c>
      <c r="B111" s="6" t="s">
        <v>14</v>
      </c>
      <c r="C111" s="7" t="str">
        <f t="shared" si="0"/>
        <v xml:space="preserve">Angel Youngs </v>
      </c>
      <c r="D111" s="24" t="s">
        <v>577</v>
      </c>
      <c r="E111" s="25" t="s">
        <v>578</v>
      </c>
      <c r="F111" s="9" t="str">
        <f ca="1">IFERROR(__xludf.DUMMYFUNCTION("""https://streamtape.com/v/""&amp;
REGEXEXTRACT(O111,""/thumb/([^/]+)/"")&amp;
""/""&amp;K111"),"https://streamtape.com/v/a7aDqJ7rJKI2ez/10017287")</f>
        <v>https://streamtape.com/v/a7aDqJ7rJKI2ez/10017287</v>
      </c>
      <c r="G111" s="10" t="e">
        <f t="shared" ca="1" si="1"/>
        <v>#NAME?</v>
      </c>
      <c r="H111" s="11" t="str">
        <f ca="1">IFERROR(__xludf.DUMMYFUNCTION("IFERROR(SUBSTITUTE(SUBSTITUTE(REGEXEXTRACT(A111, ""[^-]+- [^-]+- [^-]+ - (.+?)\.jpg""), "".jpg"", """"), ""-"", "", ""), """")"),"Gabby Stone")</f>
        <v>Gabby Stone</v>
      </c>
      <c r="I111" s="6"/>
      <c r="J111" s="7" t="str">
        <f t="shared" ca="1" si="2"/>
        <v>(2026)</v>
      </c>
      <c r="K111" s="7" t="str">
        <f t="shared" si="3"/>
        <v>10017287</v>
      </c>
      <c r="L111" s="12" t="s">
        <v>579</v>
      </c>
      <c r="M111" s="13" t="str">
        <f ca="1">IFERROR(__xludf.DUMMYFUNCTION("TRIM(
  REGEXREPLACE(
    TEXTJOIN("" "",
      TRUE,
      B111,
      C111,
      embaralharLinks(E111,F111,G111),
      H111,
      """",
      J111,
      N111,
      ""#RIPNSFW""
    ),
  "",\s*"", "" "")
)"),"{New} Angel Youngs https://doodstream.com/d/ssrwm78yf3gd/10017287 https://streamtape.com/v/a7aDqJ7rJKI2ez/10017287 https://lulustream.com/d/7podgnvtfnnv Gabby Stone (2026) #BigTits #Hardcore #Threesome #Teen #RIPNSFW")</f>
        <v>{New} Angel Youngs https://doodstream.com/d/ssrwm78yf3gd/10017287 https://streamtape.com/v/a7aDqJ7rJKI2ez/10017287 https://lulustream.com/d/7podgnvtfnnv Gabby Stone (2026) #BigTits #Hardcore #Threesome #Teen #RIPNSFW</v>
      </c>
      <c r="N111" s="2" t="s">
        <v>580</v>
      </c>
      <c r="O111" s="30" t="s">
        <v>581</v>
      </c>
      <c r="P111" s="26"/>
      <c r="R111" s="23"/>
      <c r="T111" s="6"/>
      <c r="U111" s="7"/>
    </row>
    <row r="112" spans="1:27" ht="12.75">
      <c r="A112" s="12" t="s">
        <v>582</v>
      </c>
      <c r="B112" s="6" t="s">
        <v>14</v>
      </c>
      <c r="C112" s="7" t="str">
        <f t="shared" si="0"/>
        <v xml:space="preserve">Angel Youngs </v>
      </c>
      <c r="D112" s="24" t="s">
        <v>583</v>
      </c>
      <c r="E112" s="25" t="s">
        <v>584</v>
      </c>
      <c r="F112" s="9" t="str">
        <f ca="1">IFERROR(__xludf.DUMMYFUNCTION("""https://streamtape.com/v/""&amp;
REGEXEXTRACT(O112,""/thumb/([^/]+)/"")&amp;
""/""&amp;K112"),"https://streamtape.com/v/904W9yAqPDHarK4/14830070")</f>
        <v>https://streamtape.com/v/904W9yAqPDHarK4/14830070</v>
      </c>
      <c r="G112" s="10" t="e">
        <f t="shared" ca="1" si="1"/>
        <v>#NAME?</v>
      </c>
      <c r="H112" s="11" t="str">
        <f ca="1">IFERROR(__xludf.DUMMYFUNCTION("IFERROR(SUBSTITUTE(SUBSTITUTE(REGEXEXTRACT(A112, ""[^-]+- [^-]+- [^-]+ - (.+?)\.jpg""), "".jpg"", """"), ""-"", "", ""), """")"),"")</f>
        <v/>
      </c>
      <c r="I112" s="6"/>
      <c r="J112" s="7" t="str">
        <f t="shared" ca="1" si="2"/>
        <v>(2026)</v>
      </c>
      <c r="K112" s="7" t="str">
        <f t="shared" si="3"/>
        <v>14830070</v>
      </c>
      <c r="L112" s="12" t="s">
        <v>585</v>
      </c>
      <c r="M112" s="13" t="str">
        <f ca="1">IFERROR(__xludf.DUMMYFUNCTION("TRIM(
  REGEXREPLACE(
    TEXTJOIN("" "",
      TRUE,
      B112,
      C112,
      embaralharLinks(E112,F112,G112),
      H112,
      """",
      J112,
      N112,
      ""#RIPNSFW""
    ),
  "",\s*"", "" "")
)"),"{New} Angel Youngs https://doodstream.com/d/k7u0wd503ww1/14830070 https://lulustream.com/d/0sohg9whc8il https://streamtape.com/v/904W9yAqPDHarK4/14830070 (2026) #BigTits #Hardcore #Interracial #Teen #RIPNSFW")</f>
        <v>{New} Angel Youngs https://doodstream.com/d/k7u0wd503ww1/14830070 https://lulustream.com/d/0sohg9whc8il https://streamtape.com/v/904W9yAqPDHarK4/14830070 (2026) #BigTits #Hardcore #Interracial #Teen #RIPNSFW</v>
      </c>
      <c r="N112" s="2" t="s">
        <v>586</v>
      </c>
      <c r="O112" s="30" t="s">
        <v>587</v>
      </c>
      <c r="P112" s="26"/>
      <c r="R112" s="23"/>
      <c r="T112" s="6"/>
      <c r="U112" s="7"/>
    </row>
    <row r="113" spans="1:27" ht="12.75">
      <c r="A113" s="6" t="s">
        <v>588</v>
      </c>
      <c r="B113" s="6" t="s">
        <v>14</v>
      </c>
      <c r="C113" s="7" t="str">
        <f t="shared" si="0"/>
        <v xml:space="preserve">Angel Youngs </v>
      </c>
      <c r="D113" s="6" t="s">
        <v>589</v>
      </c>
      <c r="E113" s="8" t="s">
        <v>590</v>
      </c>
      <c r="F113" s="9" t="str">
        <f ca="1">IFERROR(__xludf.DUMMYFUNCTION("""https://streamtape.com/v/""&amp;
REGEXEXTRACT(O113,""/thumb/([^/]+)/"")&amp;
""/""&amp;K113"),"https://streamtape.com/v/029P2qMpywI0Gb/16899051")</f>
        <v>https://streamtape.com/v/029P2qMpywI0Gb/16899051</v>
      </c>
      <c r="G113" s="10" t="e">
        <f t="shared" ca="1" si="1"/>
        <v>#NAME?</v>
      </c>
      <c r="H113" s="11" t="str">
        <f ca="1">IFERROR(__xludf.DUMMYFUNCTION("IFERROR(SUBSTITUTE(SUBSTITUTE(REGEXEXTRACT(A113, ""[^-]+- [^-]+- [^-]+ - (.+?)\.jpg""), "".jpg"", """"), ""-"", "", ""), """")"),"")</f>
        <v/>
      </c>
      <c r="I113" s="6"/>
      <c r="J113" s="7" t="str">
        <f t="shared" ca="1" si="2"/>
        <v>(2026)</v>
      </c>
      <c r="K113" s="7" t="str">
        <f t="shared" si="3"/>
        <v>16899051</v>
      </c>
      <c r="L113" s="12" t="s">
        <v>591</v>
      </c>
      <c r="M113" s="13" t="str">
        <f ca="1">IFERROR(__xludf.DUMMYFUNCTION("TRIM(
  REGEXREPLACE(
    TEXTJOIN("" "",
      TRUE,
      B113,
      C113,
      embaralharLinks(E113,F113,G113),
      H113,
      """",
      J113,
      N113,
      ""#RIPNSFW""
    ),
  "",\s*"", "" "")
)"),"{New} Angel Youngs https://lulustream.com/d/991u2ptodagg https://streamtape.com/v/029P2qMpywI0Gb/16899051 https://doodstream.com/d/01q2ndl5lmah/16899051 (2026) #BigTits #Hardcore #Teen #Blowjob #Amateur #Deepthroat #Blonde #RIPNSFW")</f>
        <v>{New} Angel Youngs https://lulustream.com/d/991u2ptodagg https://streamtape.com/v/029P2qMpywI0Gb/16899051 https://doodstream.com/d/01q2ndl5lmah/16899051 (2026) #BigTits #Hardcore #Teen #Blowjob #Amateur #Deepthroat #Blonde #RIPNSFW</v>
      </c>
      <c r="N113" s="14" t="s">
        <v>592</v>
      </c>
      <c r="O113" s="15" t="s">
        <v>593</v>
      </c>
      <c r="P113" s="14"/>
      <c r="Q113" s="6"/>
      <c r="R113" s="11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75">
      <c r="A114" s="6" t="s">
        <v>594</v>
      </c>
      <c r="B114" s="6" t="s">
        <v>14</v>
      </c>
      <c r="C114" s="7" t="str">
        <f t="shared" si="0"/>
        <v xml:space="preserve">Angel Youngs </v>
      </c>
      <c r="D114" s="6" t="s">
        <v>595</v>
      </c>
      <c r="E114" s="8" t="s">
        <v>596</v>
      </c>
      <c r="F114" s="9" t="str">
        <f ca="1">IFERROR(__xludf.DUMMYFUNCTION("""https://streamtape.com/v/""&amp;
REGEXEXTRACT(O114,""/thumb/([^/]+)/"")&amp;
""/""&amp;K114"),"https://streamtape.com/v/O7KmKOd190fZO6b/17971848")</f>
        <v>https://streamtape.com/v/O7KmKOd190fZO6b/17971848</v>
      </c>
      <c r="G114" s="10" t="e">
        <f t="shared" ca="1" si="1"/>
        <v>#NAME?</v>
      </c>
      <c r="H114" s="11" t="str">
        <f ca="1">IFERROR(__xludf.DUMMYFUNCTION("IFERROR(SUBSTITUTE(SUBSTITUTE(REGEXEXTRACT(A114, ""[^-]+- [^-]+- [^-]+ - (.+?)\.jpg""), "".jpg"", """"), ""-"", "", ""), """")"),"")</f>
        <v/>
      </c>
      <c r="I114" s="6"/>
      <c r="J114" s="7" t="str">
        <f t="shared" ca="1" si="2"/>
        <v>(2026)</v>
      </c>
      <c r="K114" s="7" t="str">
        <f t="shared" si="3"/>
        <v>17971848</v>
      </c>
      <c r="L114" s="12" t="s">
        <v>161</v>
      </c>
      <c r="M114" s="13" t="str">
        <f ca="1">IFERROR(__xludf.DUMMYFUNCTION("TRIM(
  REGEXREPLACE(
    TEXTJOIN("" "",
      TRUE,
      B114,
      C114,
      embaralharLinks(E114,F114,G114),
      H114,
      """",
      J114,
      N114,
      ""#RIPNSFW""
    ),
  "",\s*"", "" "")
)"),"{New} Angel Youngs https://doodstream.com/d/vd1fvsogu5sh/17971848 https://streamtape.com/v/O7KmKOd190fZO6b/17971848 https://lulustream.com/d/istxec71o6w0 (2026) #BigTits #Hardcore #Bigass #Teen #Blowjob #RIPNSFW")</f>
        <v>{New} Angel Youngs https://doodstream.com/d/vd1fvsogu5sh/17971848 https://streamtape.com/v/O7KmKOd190fZO6b/17971848 https://lulustream.com/d/istxec71o6w0 (2026) #BigTits #Hardcore #Bigass #Teen #Blowjob #RIPNSFW</v>
      </c>
      <c r="N114" s="14" t="s">
        <v>162</v>
      </c>
      <c r="O114" s="15" t="s">
        <v>597</v>
      </c>
      <c r="P114" s="14"/>
      <c r="Q114" s="6"/>
      <c r="R114" s="11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75">
      <c r="A115" s="12" t="s">
        <v>598</v>
      </c>
      <c r="B115" s="6" t="s">
        <v>14</v>
      </c>
      <c r="C115" s="7" t="str">
        <f t="shared" si="0"/>
        <v xml:space="preserve">Angel Youngs </v>
      </c>
      <c r="D115" s="24" t="s">
        <v>599</v>
      </c>
      <c r="E115" s="25" t="s">
        <v>600</v>
      </c>
      <c r="F115" s="9" t="str">
        <f ca="1">IFERROR(__xludf.DUMMYFUNCTION("""https://streamtape.com/v/""&amp;
REGEXEXTRACT(O115,""/thumb/([^/]+)/"")&amp;
""/""&amp;K115"),"https://streamtape.com/v/K9abBWRqk1S0mBg/19396508")</f>
        <v>https://streamtape.com/v/K9abBWRqk1S0mBg/19396508</v>
      </c>
      <c r="G115" s="10" t="e">
        <f t="shared" ca="1" si="1"/>
        <v>#NAME?</v>
      </c>
      <c r="H115" s="11" t="str">
        <f ca="1">IFERROR(__xludf.DUMMYFUNCTION("IFERROR(SUBSTITUTE(SUBSTITUTE(REGEXEXTRACT(A115, ""[^-]+- [^-]+- [^-]+ - (.+?)\.jpg""), "".jpg"", """"), ""-"", "", ""), """")"),"Victoria Peach")</f>
        <v>Victoria Peach</v>
      </c>
      <c r="I115" s="6"/>
      <c r="J115" s="7" t="str">
        <f t="shared" ca="1" si="2"/>
        <v>(2026)</v>
      </c>
      <c r="K115" s="7" t="str">
        <f t="shared" si="3"/>
        <v>19396508</v>
      </c>
      <c r="L115" s="12" t="s">
        <v>47</v>
      </c>
      <c r="M115" s="13" t="str">
        <f ca="1">IFERROR(__xludf.DUMMYFUNCTION("TRIM(
  REGEXREPLACE(
    TEXTJOIN("" "",
      TRUE,
      B115,
      C115,
      embaralharLinks(E115,F115,G115),
      H115,
      """",
      J115,
      N115,
      ""#RIPNSFW""
    ),
  "",\s*"", "" "")
)"),"{New} Angel Youngs https://doodstream.com/d/m89qnnivkqlx/19396508 https://streamtape.com/v/K9abBWRqk1S0mBg/19396508 https://lulustream.com/d/u50pq22cc3p4 Victoria Peach (2026) #MILF #BigTits #Hardcore #Threesome #RIPNSFW")</f>
        <v>{New} Angel Youngs https://doodstream.com/d/m89qnnivkqlx/19396508 https://streamtape.com/v/K9abBWRqk1S0mBg/19396508 https://lulustream.com/d/u50pq22cc3p4 Victoria Peach (2026) #MILF #BigTits #Hardcore #Threesome #RIPNSFW</v>
      </c>
      <c r="N115" s="2" t="s">
        <v>48</v>
      </c>
      <c r="O115" s="30" t="s">
        <v>601</v>
      </c>
      <c r="P115" s="26"/>
      <c r="R115" s="23"/>
    </row>
    <row r="116" spans="1:27" ht="12.75">
      <c r="A116" s="6" t="s">
        <v>602</v>
      </c>
      <c r="B116" s="6" t="s">
        <v>14</v>
      </c>
      <c r="C116" s="7" t="str">
        <f t="shared" si="0"/>
        <v xml:space="preserve">Angel Youngs </v>
      </c>
      <c r="D116" s="6" t="s">
        <v>603</v>
      </c>
      <c r="E116" s="8" t="s">
        <v>604</v>
      </c>
      <c r="F116" s="9" t="str">
        <f ca="1">IFERROR(__xludf.DUMMYFUNCTION("""https://streamtape.com/v/""&amp;
REGEXEXTRACT(O116,""/thumb/([^/]+)/"")&amp;
""/""&amp;K116"),"https://streamtape.com/v/Rq7Ao8J2Kdsxj6/22368558")</f>
        <v>https://streamtape.com/v/Rq7Ao8J2Kdsxj6/22368558</v>
      </c>
      <c r="G116" s="10" t="e">
        <f t="shared" ca="1" si="1"/>
        <v>#NAME?</v>
      </c>
      <c r="H116" s="11" t="str">
        <f ca="1">IFERROR(__xludf.DUMMYFUNCTION("IFERROR(SUBSTITUTE(SUBSTITUTE(REGEXEXTRACT(A116, ""[^-]+- [^-]+- [^-]+ - (.+?)\.jpg""), "".jpg"", """"), ""-"", "", ""), """")"),"")</f>
        <v/>
      </c>
      <c r="I116" s="6"/>
      <c r="J116" s="7" t="str">
        <f t="shared" ca="1" si="2"/>
        <v>(2026)</v>
      </c>
      <c r="K116" s="7" t="str">
        <f t="shared" si="3"/>
        <v>22368558</v>
      </c>
      <c r="L116" s="12" t="s">
        <v>605</v>
      </c>
      <c r="M116" s="13" t="str">
        <f ca="1">IFERROR(__xludf.DUMMYFUNCTION("TRIM(
  REGEXREPLACE(
    TEXTJOIN("" "",
      TRUE,
      B116,
      C116,
      embaralharLinks(E116,F116,G116),
      H116,
      """",
      J116,
      N116,
      ""#RIPNSFW""
    ),
  "",\s*"", "" "")
)"),"{New} Angel Youngs https://streamtape.com/v/Rq7Ao8J2Kdsxj6/22368558 https://lulustream.com/d/si92qo64blfc https://doodstream.com/d/lqhpa2gyvyhb/22368558 (2026) #BigTits #Hardcore #Bigass #Porn #RIPNSFW")</f>
        <v>{New} Angel Youngs https://streamtape.com/v/Rq7Ao8J2Kdsxj6/22368558 https://lulustream.com/d/si92qo64blfc https://doodstream.com/d/lqhpa2gyvyhb/22368558 (2026) #BigTits #Hardcore #Bigass #Porn #RIPNSFW</v>
      </c>
      <c r="N116" s="14" t="s">
        <v>606</v>
      </c>
      <c r="O116" s="15" t="s">
        <v>607</v>
      </c>
      <c r="P116" s="14"/>
      <c r="Q116" s="6"/>
      <c r="R116" s="11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75">
      <c r="A117" s="6" t="s">
        <v>608</v>
      </c>
      <c r="B117" s="6" t="s">
        <v>14</v>
      </c>
      <c r="C117" s="7" t="str">
        <f t="shared" si="0"/>
        <v xml:space="preserve">Angel Youngs </v>
      </c>
      <c r="D117" s="6" t="s">
        <v>609</v>
      </c>
      <c r="E117" s="8" t="s">
        <v>610</v>
      </c>
      <c r="F117" s="9" t="str">
        <f ca="1">IFERROR(__xludf.DUMMYFUNCTION("""https://streamtape.com/v/""&amp;
REGEXEXTRACT(O117,""/thumb/([^/]+)/"")&amp;
""/""&amp;K117"),"https://streamtape.com/v/zxV8mKa0LbtYRzK/23483375")</f>
        <v>https://streamtape.com/v/zxV8mKa0LbtYRzK/23483375</v>
      </c>
      <c r="G117" s="10" t="e">
        <f t="shared" ca="1" si="1"/>
        <v>#NAME?</v>
      </c>
      <c r="H117" s="11" t="str">
        <f ca="1">IFERROR(__xludf.DUMMYFUNCTION("IFERROR(SUBSTITUTE(SUBSTITUTE(REGEXEXTRACT(A117, ""[^-]+- [^-]+- [^-]+ - (.+?)\.jpg""), "".jpg"", """"), ""-"", "", ""), """")"),"")</f>
        <v/>
      </c>
      <c r="I117" s="6"/>
      <c r="J117" s="7" t="str">
        <f t="shared" ca="1" si="2"/>
        <v>(2026)</v>
      </c>
      <c r="K117" s="7" t="str">
        <f t="shared" si="3"/>
        <v>23483375</v>
      </c>
      <c r="L117" s="12" t="s">
        <v>611</v>
      </c>
      <c r="M117" s="13" t="str">
        <f ca="1">IFERROR(__xludf.DUMMYFUNCTION("TRIM(
  REGEXREPLACE(
    TEXTJOIN("" "",
      TRUE,
      B117,
      C117,
      embaralharLinks(E117,F117,G117),
      H117,
      """",
      J117,
      N117,
      ""#RIPNSFW""
    ),
  "",\s*"", "" "")
)"),"{New} Angel Youngs https://lulustream.com/d/4pwir1blp7g3 https://streamtape.com/v/zxV8mKa0LbtYRzK/23483375 https://doodstream.com/d/v5pityv0k9fy/23483375 (2026) #BigTits #Hardcore #Porn #Teen #Blowjob #RIPNSFW")</f>
        <v>{New} Angel Youngs https://lulustream.com/d/4pwir1blp7g3 https://streamtape.com/v/zxV8mKa0LbtYRzK/23483375 https://doodstream.com/d/v5pityv0k9fy/23483375 (2026) #BigTits #Hardcore #Porn #Teen #Blowjob #RIPNSFW</v>
      </c>
      <c r="N117" s="14" t="s">
        <v>612</v>
      </c>
      <c r="O117" s="15" t="s">
        <v>613</v>
      </c>
      <c r="P117" s="14"/>
      <c r="Q117" s="6"/>
      <c r="R117" s="11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75">
      <c r="A118" s="12" t="s">
        <v>614</v>
      </c>
      <c r="B118" s="6" t="s">
        <v>14</v>
      </c>
      <c r="C118" s="7" t="str">
        <f t="shared" si="0"/>
        <v xml:space="preserve">Angel Youngs </v>
      </c>
      <c r="D118" s="27" t="s">
        <v>615</v>
      </c>
      <c r="E118" s="28" t="s">
        <v>616</v>
      </c>
      <c r="F118" s="9" t="str">
        <f ca="1">IFERROR(__xludf.DUMMYFUNCTION("""https://streamtape.com/v/""&amp;
REGEXEXTRACT(O118,""/thumb/([^/]+)/"")&amp;
""/""&amp;K118"),"https://streamtape.com/v/JYze8Wev7vTjjym/24858157")</f>
        <v>https://streamtape.com/v/JYze8Wev7vTjjym/24858157</v>
      </c>
      <c r="G118" s="10" t="e">
        <f t="shared" ca="1" si="1"/>
        <v>#NAME?</v>
      </c>
      <c r="H118" s="11" t="str">
        <f ca="1">IFERROR(__xludf.DUMMYFUNCTION("IFERROR(SUBSTITUTE(SUBSTITUTE(REGEXEXTRACT(A118, ""[^-]+- [^-]+- [^-]+ - (.+?)\.jpg""), "".jpg"", """"), ""-"", "", ""), """")"),"")</f>
        <v/>
      </c>
      <c r="I118" s="6"/>
      <c r="J118" s="7" t="str">
        <f t="shared" ca="1" si="2"/>
        <v>(2026)</v>
      </c>
      <c r="K118" s="7" t="str">
        <f t="shared" si="3"/>
        <v>24858157</v>
      </c>
      <c r="L118" s="12" t="s">
        <v>585</v>
      </c>
      <c r="M118" s="13" t="str">
        <f ca="1">IFERROR(__xludf.DUMMYFUNCTION("TRIM(
  REGEXREPLACE(
    TEXTJOIN("" "",
      TRUE,
      B118,
      C118,
      embaralharLinks(E118,F118,G118),
      H118,
      """",
      J118,
      N118,
      ""#RIPNSFW""
    ),
  "",\s*"", "" "")
)"),"{New} Angel Youngs https://streamtape.com/v/JYze8Wev7vTjjym/24858157 https://doodstream.com/d/76wpd4z1xkmb/24858157 https://lulustream.com/d/c1ngxtsf4di4 (2026) #BigTits #Hardcore #Interracial #Teen #RIPNSFW")</f>
        <v>{New} Angel Youngs https://streamtape.com/v/JYze8Wev7vTjjym/24858157 https://doodstream.com/d/76wpd4z1xkmb/24858157 https://lulustream.com/d/c1ngxtsf4di4 (2026) #BigTits #Hardcore #Interracial #Teen #RIPNSFW</v>
      </c>
      <c r="N118" s="2" t="s">
        <v>586</v>
      </c>
      <c r="O118" s="30" t="s">
        <v>617</v>
      </c>
      <c r="P118" s="26"/>
      <c r="R118" s="23"/>
    </row>
    <row r="119" spans="1:27" ht="12.75">
      <c r="A119" s="6" t="s">
        <v>618</v>
      </c>
      <c r="B119" s="6" t="s">
        <v>14</v>
      </c>
      <c r="C119" s="7" t="str">
        <f t="shared" si="0"/>
        <v xml:space="preserve">Angel Youngs </v>
      </c>
      <c r="D119" s="6" t="s">
        <v>619</v>
      </c>
      <c r="E119" s="8" t="s">
        <v>620</v>
      </c>
      <c r="F119" s="9" t="str">
        <f ca="1">IFERROR(__xludf.DUMMYFUNCTION("""https://streamtape.com/v/""&amp;
REGEXEXTRACT(O119,""/thumb/([^/]+)/"")&amp;
""/""&amp;K119"),"https://streamtape.com/v/VPMG7XlzWgSYzr/33789471")</f>
        <v>https://streamtape.com/v/VPMG7XlzWgSYzr/33789471</v>
      </c>
      <c r="G119" s="10" t="e">
        <f t="shared" ca="1" si="1"/>
        <v>#NAME?</v>
      </c>
      <c r="H119" s="11" t="str">
        <f ca="1">IFERROR(__xludf.DUMMYFUNCTION("IFERROR(SUBSTITUTE(SUBSTITUTE(REGEXEXTRACT(A119, ""[^-]+- [^-]+- [^-]+ - (.+?)\.jpg""), "".jpg"", """"), ""-"", "", ""), """")"),"Kayley Gunner")</f>
        <v>Kayley Gunner</v>
      </c>
      <c r="I119" s="6"/>
      <c r="J119" s="7" t="str">
        <f t="shared" ca="1" si="2"/>
        <v>(2026)</v>
      </c>
      <c r="K119" s="7" t="str">
        <f t="shared" si="3"/>
        <v>33789471</v>
      </c>
      <c r="L119" s="12" t="s">
        <v>621</v>
      </c>
      <c r="M119" s="13" t="str">
        <f ca="1">IFERROR(__xludf.DUMMYFUNCTION("TRIM(
  REGEXREPLACE(
    TEXTJOIN("" "",
      TRUE,
      B119,
      C119,
      embaralharLinks(E119,F119,G119),
      H119,
      """",
      J119,
      N119,
      ""#RIPNSFW""
    ),
  "",\s*"", "" "")
)"),"{New} Angel Youngs https://doodstream.com/d/d5hzpj8oxvff/33789471 https://lulustream.com/d/uxflgas98970 https://streamtape.com/v/VPMG7XlzWgSYzr/33789471 Kayley Gunner (2026) #BigTits #Lesbian #Bigass #Amateur #Blonde #RIPNSFW")</f>
        <v>{New} Angel Youngs https://doodstream.com/d/d5hzpj8oxvff/33789471 https://lulustream.com/d/uxflgas98970 https://streamtape.com/v/VPMG7XlzWgSYzr/33789471 Kayley Gunner (2026) #BigTits #Lesbian #Bigass #Amateur #Blonde #RIPNSFW</v>
      </c>
      <c r="N119" s="14" t="s">
        <v>622</v>
      </c>
      <c r="O119" s="15" t="s">
        <v>623</v>
      </c>
      <c r="P119" s="14"/>
      <c r="Q119" s="6"/>
      <c r="R119" s="11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>
      <c r="A120" s="12" t="s">
        <v>624</v>
      </c>
      <c r="B120" s="6" t="s">
        <v>14</v>
      </c>
      <c r="C120" s="7" t="str">
        <f t="shared" si="0"/>
        <v xml:space="preserve">Angel Youngs </v>
      </c>
      <c r="D120" s="24" t="s">
        <v>625</v>
      </c>
      <c r="E120" s="25" t="s">
        <v>626</v>
      </c>
      <c r="F120" s="9" t="str">
        <f ca="1">IFERROR(__xludf.DUMMYFUNCTION("""https://streamtape.com/v/""&amp;
REGEXEXTRACT(O120,""/thumb/([^/]+)/"")&amp;
""/""&amp;K120"),"https://streamtape.com/v/Odll3oxVOAh9LQ/35043183")</f>
        <v>https://streamtape.com/v/Odll3oxVOAh9LQ/35043183</v>
      </c>
      <c r="G120" s="10" t="e">
        <f t="shared" ca="1" si="1"/>
        <v>#NAME?</v>
      </c>
      <c r="H120" s="11" t="str">
        <f ca="1">IFERROR(__xludf.DUMMYFUNCTION("IFERROR(SUBSTITUTE(SUBSTITUTE(REGEXEXTRACT(A120, ""[^-]+- [^-]+- [^-]+ - (.+?)\.jpg""), "".jpg"", """"), ""-"", "", ""), """")"),"")</f>
        <v/>
      </c>
      <c r="I120" s="6"/>
      <c r="J120" s="7" t="str">
        <f t="shared" ca="1" si="2"/>
        <v>(2026)</v>
      </c>
      <c r="K120" s="7" t="str">
        <f t="shared" si="3"/>
        <v>35043183</v>
      </c>
      <c r="L120" s="12" t="s">
        <v>627</v>
      </c>
      <c r="M120" s="13" t="str">
        <f ca="1">IFERROR(__xludf.DUMMYFUNCTION("TRIM(
  REGEXREPLACE(
    TEXTJOIN("" "",
      TRUE,
      B120,
      C120,
      embaralharLinks(E120,F120,G120),
      H120,
      """",
      J120,
      N120,
      ""#RIPNSFW""
    ),
  "",\s*"", "" "")
)"),"{New} Angel Youngs https://lulustream.com/d/yfbqpwlp4x7a https://streamtape.com/v/Odll3oxVOAh9LQ/35043183 https://doodstream.com/d/shnje1ssxjor/35043183 (2026) #BigTits #Hardcore #Teen #Artporn #RIPNSFW")</f>
        <v>{New} Angel Youngs https://lulustream.com/d/yfbqpwlp4x7a https://streamtape.com/v/Odll3oxVOAh9LQ/35043183 https://doodstream.com/d/shnje1ssxjor/35043183 (2026) #BigTits #Hardcore #Teen #Artporn #RIPNSFW</v>
      </c>
      <c r="N120" s="2" t="s">
        <v>628</v>
      </c>
      <c r="O120" s="30" t="s">
        <v>629</v>
      </c>
      <c r="P120" s="26"/>
      <c r="R120" s="23"/>
      <c r="T120" s="6"/>
      <c r="U120" s="7"/>
    </row>
    <row r="121" spans="1:27" ht="12.75">
      <c r="A121" s="6" t="s">
        <v>630</v>
      </c>
      <c r="B121" s="6" t="s">
        <v>14</v>
      </c>
      <c r="C121" s="7" t="str">
        <f t="shared" si="0"/>
        <v xml:space="preserve">Angel Youngs </v>
      </c>
      <c r="D121" s="6" t="s">
        <v>631</v>
      </c>
      <c r="E121" s="8" t="s">
        <v>632</v>
      </c>
      <c r="F121" s="9" t="str">
        <f ca="1">IFERROR(__xludf.DUMMYFUNCTION("""https://streamtape.com/v/""&amp;
REGEXEXTRACT(O121,""/thumb/([^/]+)/"")&amp;
""/""&amp;K121"),"https://streamtape.com/v/0LJPdYd6xkUg1D/38556377")</f>
        <v>https://streamtape.com/v/0LJPdYd6xkUg1D/38556377</v>
      </c>
      <c r="G121" s="10" t="e">
        <f t="shared" ca="1" si="1"/>
        <v>#NAME?</v>
      </c>
      <c r="H121" s="11" t="str">
        <f ca="1">IFERROR(__xludf.DUMMYFUNCTION("IFERROR(SUBSTITUTE(SUBSTITUTE(REGEXEXTRACT(A121, ""[^-]+- [^-]+- [^-]+ - (.+?)\.jpg""), "".jpg"", """"), ""-"", "", ""), """")"),"")</f>
        <v/>
      </c>
      <c r="I121" s="6"/>
      <c r="J121" s="7" t="str">
        <f t="shared" ca="1" si="2"/>
        <v>(2026)</v>
      </c>
      <c r="K121" s="7" t="str">
        <f t="shared" si="3"/>
        <v>38556377</v>
      </c>
      <c r="L121" s="12" t="s">
        <v>633</v>
      </c>
      <c r="M121" s="13" t="str">
        <f ca="1">IFERROR(__xludf.DUMMYFUNCTION("TRIM(
  REGEXREPLACE(
    TEXTJOIN("" "",
      TRUE,
      B121,
      C121,
      embaralharLinks(E121,F121,G121),
      H121,
      """",
      J121,
      N121,
      ""#RIPNSFW""
    ),
  "",\s*"", "" "")
)"),"{New} Angel Youngs https://streamtape.com/v/0LJPdYd6xkUg1D/38556377 https://doodstream.com/d/grd5ra7twakt/38556377 https://lulustream.com/d/ub86j58ullix (2026) #BigTits #Hardcore #Threesome #Teen #Bigass #Porn #Teens #Artporn #RIPNSFW")</f>
        <v>{New} Angel Youngs https://streamtape.com/v/0LJPdYd6xkUg1D/38556377 https://doodstream.com/d/grd5ra7twakt/38556377 https://lulustream.com/d/ub86j58ullix (2026) #BigTits #Hardcore #Threesome #Teen #Bigass #Porn #Teens #Artporn #RIPNSFW</v>
      </c>
      <c r="N121" s="14" t="s">
        <v>634</v>
      </c>
      <c r="O121" s="15" t="s">
        <v>635</v>
      </c>
      <c r="P121" s="14"/>
      <c r="Q121" s="6"/>
      <c r="R121" s="11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75">
      <c r="A122" s="6" t="s">
        <v>636</v>
      </c>
      <c r="B122" s="6" t="s">
        <v>14</v>
      </c>
      <c r="C122" s="7" t="str">
        <f t="shared" si="0"/>
        <v xml:space="preserve">Angel Youngs </v>
      </c>
      <c r="D122" s="6" t="s">
        <v>637</v>
      </c>
      <c r="E122" s="8" t="s">
        <v>638</v>
      </c>
      <c r="F122" s="9" t="str">
        <f ca="1">IFERROR(__xludf.DUMMYFUNCTION("""https://streamtape.com/v/""&amp;
REGEXEXTRACT(O122,""/thumb/([^/]+)/"")&amp;
""/""&amp;K122"),"https://streamtape.com/v/6m9JkoGeo6U9288/38723706")</f>
        <v>https://streamtape.com/v/6m9JkoGeo6U9288/38723706</v>
      </c>
      <c r="G122" s="10" t="e">
        <f t="shared" ca="1" si="1"/>
        <v>#NAME?</v>
      </c>
      <c r="H122" s="11" t="str">
        <f ca="1">IFERROR(__xludf.DUMMYFUNCTION("IFERROR(SUBSTITUTE(SUBSTITUTE(REGEXEXTRACT(A122, ""[^-]+- [^-]+- [^-]+ - (.+?)\.jpg""), "".jpg"", """"), ""-"", "", ""), """")"),"TheDanDangler")</f>
        <v>TheDanDangler</v>
      </c>
      <c r="I122" s="6"/>
      <c r="J122" s="7" t="str">
        <f t="shared" ca="1" si="2"/>
        <v>(2026)</v>
      </c>
      <c r="K122" s="7" t="str">
        <f t="shared" si="3"/>
        <v>38723706</v>
      </c>
      <c r="L122" s="12" t="s">
        <v>639</v>
      </c>
      <c r="M122" s="13" t="str">
        <f ca="1">IFERROR(__xludf.DUMMYFUNCTION("TRIM(
  REGEXREPLACE(
    TEXTJOIN("" "",
      TRUE,
      B122,
      C122,
      embaralharLinks(E122,F122,G122),
      H122,
      """",
      J122,
      N122,
      ""#RIPNSFW""
    ),
  "",\s*"", "" "")
)"),"{New} Angel Youngs https://doodstream.com/d/hnbcnhpsyowt/38723706 https://streamtape.com/v/6m9JkoGeo6U9288/38723706 https://lulustream.com/d/52qdxwi8zlcz TheDanDangler (2026) #BigTits #Hardcore #Black #Threesome #RIPNSFW")</f>
        <v>{New} Angel Youngs https://doodstream.com/d/hnbcnhpsyowt/38723706 https://streamtape.com/v/6m9JkoGeo6U9288/38723706 https://lulustream.com/d/52qdxwi8zlcz TheDanDangler (2026) #BigTits #Hardcore #Black #Threesome #RIPNSFW</v>
      </c>
      <c r="N122" s="14" t="s">
        <v>640</v>
      </c>
      <c r="O122" s="15" t="s">
        <v>641</v>
      </c>
      <c r="P122" s="14"/>
      <c r="Q122" s="6"/>
      <c r="R122" s="11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75">
      <c r="A123" s="12" t="s">
        <v>642</v>
      </c>
      <c r="B123" s="6" t="s">
        <v>14</v>
      </c>
      <c r="C123" s="7" t="str">
        <f t="shared" si="0"/>
        <v xml:space="preserve">Angel Youngs </v>
      </c>
      <c r="D123" s="24" t="s">
        <v>643</v>
      </c>
      <c r="E123" s="25" t="s">
        <v>644</v>
      </c>
      <c r="F123" s="9" t="str">
        <f ca="1">IFERROR(__xludf.DUMMYFUNCTION("""https://streamtape.com/v/""&amp;
REGEXEXTRACT(O123,""/thumb/([^/]+)/"")&amp;
""/""&amp;K123"),"https://streamtape.com/v/Z1Mp3PYdlJUPxV/42346078")</f>
        <v>https://streamtape.com/v/Z1Mp3PYdlJUPxV/42346078</v>
      </c>
      <c r="G123" s="10" t="e">
        <f t="shared" ca="1" si="1"/>
        <v>#NAME?</v>
      </c>
      <c r="H123" s="11" t="str">
        <f ca="1">IFERROR(__xludf.DUMMYFUNCTION("IFERROR(SUBSTITUTE(SUBSTITUTE(REGEXEXTRACT(A123, ""[^-]+- [^-]+- [^-]+ - (.+?)\.jpg""), "".jpg"", """"), ""-"", "", ""), """")"),"")</f>
        <v/>
      </c>
      <c r="I123" s="6"/>
      <c r="J123" s="7" t="str">
        <f t="shared" ca="1" si="2"/>
        <v>(2026)</v>
      </c>
      <c r="K123" s="7" t="str">
        <f t="shared" si="3"/>
        <v>42346078</v>
      </c>
      <c r="L123" s="12" t="s">
        <v>645</v>
      </c>
      <c r="M123" s="13" t="str">
        <f ca="1">IFERROR(__xludf.DUMMYFUNCTION("TRIM(
  REGEXREPLACE(
    TEXTJOIN("" "",
      TRUE,
      B123,
      C123,
      embaralharLinks(E123,F123,G123),
      H123,
      """",
      J123,
      N123,
      ""#RIPNSFW""
    ),
  "",\s*"", "" "")
)"),"{New} Angel Youngs https://lulustream.com/d/ige09y8zdhpx https://streamtape.com/v/Z1Mp3PYdlJUPxV/42346078 https://doodstream.com/d/1qcgjhcjhnr0/42346078 (2026) #BigTits #Hardcore #Black #Interracial #RIPNSFW")</f>
        <v>{New} Angel Youngs https://lulustream.com/d/ige09y8zdhpx https://streamtape.com/v/Z1Mp3PYdlJUPxV/42346078 https://doodstream.com/d/1qcgjhcjhnr0/42346078 (2026) #BigTits #Hardcore #Black #Interracial #RIPNSFW</v>
      </c>
      <c r="N123" s="2" t="s">
        <v>646</v>
      </c>
      <c r="O123" s="30" t="s">
        <v>647</v>
      </c>
      <c r="P123" s="26"/>
      <c r="R123" s="23"/>
      <c r="T123" s="6"/>
      <c r="U123" s="7"/>
    </row>
    <row r="124" spans="1:27" ht="12.75">
      <c r="A124" s="12" t="s">
        <v>648</v>
      </c>
      <c r="B124" s="6" t="s">
        <v>14</v>
      </c>
      <c r="C124" s="7" t="str">
        <f t="shared" si="0"/>
        <v xml:space="preserve">Angel Youngs </v>
      </c>
      <c r="D124" s="24" t="s">
        <v>649</v>
      </c>
      <c r="E124" s="25" t="s">
        <v>650</v>
      </c>
      <c r="F124" s="9" t="str">
        <f ca="1">IFERROR(__xludf.DUMMYFUNCTION("""https://streamtape.com/v/""&amp;
REGEXEXTRACT(O124,""/thumb/([^/]+)/"")&amp;
""/""&amp;K124"),"https://streamtape.com/v/W8wWbO1M7MIbz3g/43443695")</f>
        <v>https://streamtape.com/v/W8wWbO1M7MIbz3g/43443695</v>
      </c>
      <c r="G124" s="10" t="e">
        <f t="shared" ca="1" si="1"/>
        <v>#NAME?</v>
      </c>
      <c r="H124" s="11" t="str">
        <f ca="1">IFERROR(__xludf.DUMMYFUNCTION("IFERROR(SUBSTITUTE(SUBSTITUTE(REGEXEXTRACT(A124, ""[^-]+- [^-]+- [^-]+ - (.+?)\.jpg""), "".jpg"", """"), ""-"", "", ""), """")"),"Katrina Colt")</f>
        <v>Katrina Colt</v>
      </c>
      <c r="I124" s="6"/>
      <c r="J124" s="7" t="str">
        <f t="shared" ca="1" si="2"/>
        <v>(2026)</v>
      </c>
      <c r="K124" s="7" t="str">
        <f t="shared" si="3"/>
        <v>43443695</v>
      </c>
      <c r="L124" s="12" t="s">
        <v>651</v>
      </c>
      <c r="M124" s="13" t="str">
        <f ca="1">IFERROR(__xludf.DUMMYFUNCTION("TRIM(
  REGEXREPLACE(
    TEXTJOIN("" "",
      TRUE,
      B124,
      C124,
      embaralharLinks(E124,F124,G124),
      H124,
      """",
      J124,
      N124,
      ""#RIPNSFW""
    ),
  "",\s*"", "" "")
)"),"{New} Angel Youngs https://streamtape.com/v/W8wWbO1M7MIbz3g/43443695 https://lulustream.com/d/lj0ojevkoz9p https://doodstream.com/d/qrxa0x6t4i85/43443695 Katrina Colt (2026) #BigTits #Hardcore #Black #Threesome #RIPNSFW")</f>
        <v>{New} Angel Youngs https://streamtape.com/v/W8wWbO1M7MIbz3g/43443695 https://lulustream.com/d/lj0ojevkoz9p https://doodstream.com/d/qrxa0x6t4i85/43443695 Katrina Colt (2026) #BigTits #Hardcore #Black #Threesome #RIPNSFW</v>
      </c>
      <c r="N124" s="2" t="s">
        <v>640</v>
      </c>
      <c r="O124" s="30" t="s">
        <v>652</v>
      </c>
      <c r="P124" s="26"/>
      <c r="R124" s="23"/>
      <c r="T124" s="6"/>
      <c r="U124" s="7"/>
    </row>
    <row r="125" spans="1:27" ht="12.75">
      <c r="A125" s="6" t="s">
        <v>653</v>
      </c>
      <c r="B125" s="6" t="s">
        <v>14</v>
      </c>
      <c r="C125" s="7" t="str">
        <f t="shared" si="0"/>
        <v xml:space="preserve">Angel Youngs </v>
      </c>
      <c r="D125" s="6" t="s">
        <v>654</v>
      </c>
      <c r="E125" s="8" t="s">
        <v>655</v>
      </c>
      <c r="F125" s="9" t="str">
        <f ca="1">IFERROR(__xludf.DUMMYFUNCTION("""https://streamtape.com/v/""&amp;
REGEXEXTRACT(O125,""/thumb/([^/]+)/"")&amp;
""/""&amp;K125"),"https://streamtape.com/v/88orX2A29YToP30/45727650")</f>
        <v>https://streamtape.com/v/88orX2A29YToP30/45727650</v>
      </c>
      <c r="G125" s="10" t="e">
        <f t="shared" ca="1" si="1"/>
        <v>#NAME?</v>
      </c>
      <c r="H125" s="11" t="str">
        <f ca="1">IFERROR(__xludf.DUMMYFUNCTION("IFERROR(SUBSTITUTE(SUBSTITUTE(REGEXEXTRACT(A125, ""[^-]+- [^-]+- [^-]+ - (.+?)\.jpg""), "".jpg"", """"), ""-"", "", ""), """")"),"")</f>
        <v/>
      </c>
      <c r="I125" s="6"/>
      <c r="J125" s="7" t="str">
        <f t="shared" ca="1" si="2"/>
        <v>(2026)</v>
      </c>
      <c r="K125" s="7" t="str">
        <f t="shared" si="3"/>
        <v>45727650</v>
      </c>
      <c r="L125" s="12" t="s">
        <v>656</v>
      </c>
      <c r="M125" s="13" t="str">
        <f ca="1">IFERROR(__xludf.DUMMYFUNCTION("TRIM(
  REGEXREPLACE(
    TEXTJOIN("" "",
      TRUE,
      B125,
      C125,
      embaralharLinks(E125,F125,G125),
      H125,
      """",
      J125,
      N125,
      ""#RIPNSFW""
    ),
  "",\s*"", "" "")
)"),"{New} Angel Youngs https://doodstream.com/d/pdponckq9arl/45727650 https://streamtape.com/v/88orX2A29YToP30/45727650 https://lulustream.com/d/kp1tzsu4j7ng (2026) #BigTits #Hardcore #Creampie #Bigass #Teen #Teens #Blowjob #Amateur #RIPNSFW")</f>
        <v>{New} Angel Youngs https://doodstream.com/d/pdponckq9arl/45727650 https://streamtape.com/v/88orX2A29YToP30/45727650 https://lulustream.com/d/kp1tzsu4j7ng (2026) #BigTits #Hardcore #Creampie #Bigass #Teen #Teens #Blowjob #Amateur #RIPNSFW</v>
      </c>
      <c r="N125" s="14" t="s">
        <v>657</v>
      </c>
      <c r="O125" s="15" t="s">
        <v>658</v>
      </c>
      <c r="P125" s="14"/>
      <c r="Q125" s="6"/>
      <c r="R125" s="11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75">
      <c r="A126" s="6" t="s">
        <v>659</v>
      </c>
      <c r="B126" s="6" t="s">
        <v>14</v>
      </c>
      <c r="C126" s="7" t="str">
        <f t="shared" si="0"/>
        <v xml:space="preserve">Angel Youngs </v>
      </c>
      <c r="D126" s="6" t="s">
        <v>660</v>
      </c>
      <c r="E126" s="8" t="s">
        <v>661</v>
      </c>
      <c r="F126" s="9" t="str">
        <f ca="1">IFERROR(__xludf.DUMMYFUNCTION("""https://streamtape.com/v/""&amp;
REGEXEXTRACT(O126,""/thumb/([^/]+)/"")&amp;
""/""&amp;K126"),"https://streamtape.com/v/PJKqdOgX9jC0zbe/46788072")</f>
        <v>https://streamtape.com/v/PJKqdOgX9jC0zbe/46788072</v>
      </c>
      <c r="G126" s="10" t="e">
        <f t="shared" ca="1" si="1"/>
        <v>#NAME?</v>
      </c>
      <c r="H126" s="11" t="str">
        <f ca="1">IFERROR(__xludf.DUMMYFUNCTION("IFERROR(SUBSTITUTE(SUBSTITUTE(REGEXEXTRACT(A126, ""[^-]+- [^-]+- [^-]+ - (.+?)\.jpg""), "".jpg"", """"), ""-"", "", ""), """")"),"")</f>
        <v/>
      </c>
      <c r="I126" s="6"/>
      <c r="J126" s="7" t="str">
        <f t="shared" ca="1" si="2"/>
        <v>(2026)</v>
      </c>
      <c r="K126" s="7" t="str">
        <f t="shared" si="3"/>
        <v>46788072</v>
      </c>
      <c r="L126" s="12" t="s">
        <v>237</v>
      </c>
      <c r="M126" s="13" t="str">
        <f ca="1">IFERROR(__xludf.DUMMYFUNCTION("TRIM(
  REGEXREPLACE(
    TEXTJOIN("" "",
      TRUE,
      B126,
      C126,
      embaralharLinks(E126,F126,G126),
      H126,
      """",
      J126,
      N126,
      ""#RIPNSFW""
    ),
  "",\s*"", "" "")
)"),"{New} Angel Youngs https://lulustream.com/d/gjk174gr3czb https://streamtape.com/v/PJKqdOgX9jC0zbe/46788072 https://doodstream.com/d/uiubehou4lkl/46788072 (2026) #BigTits #Hardcore #Black #Interracial #Bigass #Teen #Blowjob #Amateur #RIPNSFW")</f>
        <v>{New} Angel Youngs https://lulustream.com/d/gjk174gr3czb https://streamtape.com/v/PJKqdOgX9jC0zbe/46788072 https://doodstream.com/d/uiubehou4lkl/46788072 (2026) #BigTits #Hardcore #Black #Interracial #Bigass #Teen #Blowjob #Amateur #RIPNSFW</v>
      </c>
      <c r="N126" s="14" t="s">
        <v>232</v>
      </c>
      <c r="O126" s="15" t="s">
        <v>662</v>
      </c>
      <c r="P126" s="14"/>
      <c r="Q126" s="6"/>
      <c r="R126" s="11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75">
      <c r="A127" s="6" t="s">
        <v>663</v>
      </c>
      <c r="B127" s="6" t="s">
        <v>14</v>
      </c>
      <c r="C127" s="7" t="str">
        <f t="shared" si="0"/>
        <v xml:space="preserve">Angel Youngs </v>
      </c>
      <c r="D127" s="6" t="s">
        <v>664</v>
      </c>
      <c r="E127" s="8" t="s">
        <v>665</v>
      </c>
      <c r="F127" s="9" t="str">
        <f ca="1">IFERROR(__xludf.DUMMYFUNCTION("""https://streamtape.com/v/""&amp;
REGEXEXTRACT(O127,""/thumb/([^/]+)/"")&amp;
""/""&amp;K127"),"https://streamtape.com/v/m3qVpgjR3LU2dM/52422947")</f>
        <v>https://streamtape.com/v/m3qVpgjR3LU2dM/52422947</v>
      </c>
      <c r="G127" s="10" t="e">
        <f t="shared" ca="1" si="1"/>
        <v>#NAME?</v>
      </c>
      <c r="H127" s="11" t="str">
        <f ca="1">IFERROR(__xludf.DUMMYFUNCTION("IFERROR(SUBSTITUTE(SUBSTITUTE(REGEXEXTRACT(A127, ""[^-]+- [^-]+- [^-]+ - (.+?)\.jpg""), "".jpg"", """"), ""-"", "", ""), """")"),"")</f>
        <v/>
      </c>
      <c r="I127" s="6"/>
      <c r="J127" s="7" t="str">
        <f t="shared" ca="1" si="2"/>
        <v>(2026)</v>
      </c>
      <c r="K127" s="7" t="str">
        <f t="shared" si="3"/>
        <v>52422947</v>
      </c>
      <c r="L127" s="12" t="s">
        <v>161</v>
      </c>
      <c r="M127" s="13" t="str">
        <f ca="1">IFERROR(__xludf.DUMMYFUNCTION("TRIM(
  REGEXREPLACE(
    TEXTJOIN("" "",
      TRUE,
      B127,
      C127,
      embaralharLinks(E127,F127,G127),
      H127,
      """",
      J127,
      N127,
      ""#RIPNSFW""
    ),
  "",\s*"", "" "")
)"),"{New} Angel Youngs https://streamtape.com/v/m3qVpgjR3LU2dM/52422947 https://lulustream.com/d/pdv4psfv38tk https://doodstream.com/d/x4p9nk0ua3b9/52422947 (2026) #BigTits #Hardcore #Bigass #Teen #RIPNSFW")</f>
        <v>{New} Angel Youngs https://streamtape.com/v/m3qVpgjR3LU2dM/52422947 https://lulustream.com/d/pdv4psfv38tk https://doodstream.com/d/x4p9nk0ua3b9/52422947 (2026) #BigTits #Hardcore #Bigass #Teen #RIPNSFW</v>
      </c>
      <c r="N127" s="14" t="s">
        <v>208</v>
      </c>
      <c r="O127" s="15" t="s">
        <v>666</v>
      </c>
      <c r="P127" s="14"/>
      <c r="Q127" s="6"/>
      <c r="R127" s="11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75">
      <c r="A128" s="12" t="s">
        <v>667</v>
      </c>
      <c r="B128" s="6" t="s">
        <v>14</v>
      </c>
      <c r="C128" s="7" t="str">
        <f t="shared" si="0"/>
        <v xml:space="preserve">Angel Youngs </v>
      </c>
      <c r="D128" s="24" t="s">
        <v>668</v>
      </c>
      <c r="E128" s="25" t="s">
        <v>669</v>
      </c>
      <c r="F128" s="9" t="str">
        <f ca="1">IFERROR(__xludf.DUMMYFUNCTION("""https://streamtape.com/v/""&amp;
REGEXEXTRACT(O128,""/thumb/([^/]+)/"")&amp;
""/""&amp;K128"),"https://streamtape.com/v/oW20bQvLVGFJy9x/54216002")</f>
        <v>https://streamtape.com/v/oW20bQvLVGFJy9x/54216002</v>
      </c>
      <c r="G128" s="10" t="e">
        <f t="shared" ca="1" si="1"/>
        <v>#NAME?</v>
      </c>
      <c r="H128" s="11" t="str">
        <f ca="1">IFERROR(__xludf.DUMMYFUNCTION("IFERROR(SUBSTITUTE(SUBSTITUTE(REGEXEXTRACT(A128, ""[^-]+- [^-]+- [^-]+ - (.+?)\.jpg""), "".jpg"", """"), ""-"", "", ""), """")"),"Angela White")</f>
        <v>Angela White</v>
      </c>
      <c r="I128" s="6"/>
      <c r="J128" s="7" t="str">
        <f t="shared" ca="1" si="2"/>
        <v>(2026)</v>
      </c>
      <c r="K128" s="7" t="str">
        <f t="shared" si="3"/>
        <v>54216002</v>
      </c>
      <c r="L128" s="12" t="s">
        <v>47</v>
      </c>
      <c r="M128" s="13" t="str">
        <f ca="1">IFERROR(__xludf.DUMMYFUNCTION("TRIM(
  REGEXREPLACE(
    TEXTJOIN("" "",
      TRUE,
      B128,
      C128,
      embaralharLinks(E128,F128,G128),
      H128,
      """",
      J128,
      N128,
      ""#RIPNSFW""
    ),
  "",\s*"", "" "")
)"),"{New} Angel Youngs https://lulustream.com/d/ecudn55al30p https://doodstream.com/d/byki9xmu5dkr/54216002 https://streamtape.com/v/oW20bQvLVGFJy9x/54216002 Angela White (2026) #MILF #BigTits #Hardcore #Threesome #RIPNSFW")</f>
        <v>{New} Angel Youngs https://lulustream.com/d/ecudn55al30p https://doodstream.com/d/byki9xmu5dkr/54216002 https://streamtape.com/v/oW20bQvLVGFJy9x/54216002 Angela White (2026) #MILF #BigTits #Hardcore #Threesome #RIPNSFW</v>
      </c>
      <c r="N128" s="2" t="s">
        <v>48</v>
      </c>
      <c r="O128" s="30" t="s">
        <v>670</v>
      </c>
      <c r="P128" s="26"/>
      <c r="R128" s="23"/>
    </row>
    <row r="129" spans="1:27" ht="12.75">
      <c r="A129" s="6" t="s">
        <v>671</v>
      </c>
      <c r="B129" s="6" t="s">
        <v>14</v>
      </c>
      <c r="C129" s="7" t="str">
        <f t="shared" si="0"/>
        <v xml:space="preserve">Angel Youngs </v>
      </c>
      <c r="D129" s="6" t="s">
        <v>672</v>
      </c>
      <c r="E129" s="8" t="s">
        <v>673</v>
      </c>
      <c r="F129" s="9" t="str">
        <f ca="1">IFERROR(__xludf.DUMMYFUNCTION("""https://streamtape.com/v/""&amp;
REGEXEXTRACT(O129,""/thumb/([^/]+)/"")&amp;
""/""&amp;K129"),"https://streamtape.com/v/zbGWV7b693hYDxb/59835343")</f>
        <v>https://streamtape.com/v/zbGWV7b693hYDxb/59835343</v>
      </c>
      <c r="G129" s="10" t="e">
        <f t="shared" ca="1" si="1"/>
        <v>#NAME?</v>
      </c>
      <c r="H129" s="11" t="str">
        <f ca="1">IFERROR(__xludf.DUMMYFUNCTION("IFERROR(SUBSTITUTE(SUBSTITUTE(REGEXEXTRACT(A129, ""[^-]+- [^-]+- [^-]+ - (.+?)\.jpg""), "".jpg"", """"), ""-"", "", ""), """")"),"")</f>
        <v/>
      </c>
      <c r="I129" s="6"/>
      <c r="J129" s="7" t="str">
        <f t="shared" ca="1" si="2"/>
        <v>(2026)</v>
      </c>
      <c r="K129" s="7" t="str">
        <f t="shared" si="3"/>
        <v>59835343</v>
      </c>
      <c r="L129" s="12" t="s">
        <v>674</v>
      </c>
      <c r="M129" s="13" t="str">
        <f ca="1">IFERROR(__xludf.DUMMYFUNCTION("TRIM(
  REGEXREPLACE(
    TEXTJOIN("" "",
      TRUE,
      B129,
      C129,
      embaralharLinks(E129,F129,G129),
      H129,
      """",
      J129,
      N129,
      ""#RIPNSFW""
    ),
  "",\s*"", "" "")
)"),"{New} Angel Youngs https://lulustream.com/d/xoz8j3ntbvmx https://streamtape.com/v/zbGWV7b693hYDxb/59835343 https://doodstream.com/d/ozlcod8zqgog/59835343 (2026) #BigTits #Hardcore #Bigass #Porn #Teen #Blowjob #Deepthroat #Blonde #Facial #RIPNSFW")</f>
        <v>{New} Angel Youngs https://lulustream.com/d/xoz8j3ntbvmx https://streamtape.com/v/zbGWV7b693hYDxb/59835343 https://doodstream.com/d/ozlcod8zqgog/59835343 (2026) #BigTits #Hardcore #Bigass #Porn #Teen #Blowjob #Deepthroat #Blonde #Facial #RIPNSFW</v>
      </c>
      <c r="N129" s="14" t="s">
        <v>675</v>
      </c>
      <c r="O129" s="15" t="s">
        <v>676</v>
      </c>
      <c r="P129" s="14"/>
      <c r="Q129" s="6"/>
      <c r="R129" s="11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75">
      <c r="A130" s="12" t="s">
        <v>677</v>
      </c>
      <c r="B130" s="6" t="s">
        <v>14</v>
      </c>
      <c r="C130" s="7" t="str">
        <f t="shared" si="0"/>
        <v xml:space="preserve">Angel Youngs </v>
      </c>
      <c r="D130" s="24" t="s">
        <v>678</v>
      </c>
      <c r="E130" s="25" t="s">
        <v>679</v>
      </c>
      <c r="F130" s="9" t="str">
        <f ca="1">IFERROR(__xludf.DUMMYFUNCTION("""https://streamtape.com/v/""&amp;
REGEXEXTRACT(O130,""/thumb/([^/]+)/"")&amp;
""/""&amp;K130"),"https://streamtape.com/v/okQ8vYP4AzsJkLJ/78515446")</f>
        <v>https://streamtape.com/v/okQ8vYP4AzsJkLJ/78515446</v>
      </c>
      <c r="G130" s="10" t="e">
        <f t="shared" ca="1" si="1"/>
        <v>#NAME?</v>
      </c>
      <c r="H130" s="11" t="str">
        <f ca="1">IFERROR(__xludf.DUMMYFUNCTION("IFERROR(SUBSTITUTE(SUBSTITUTE(REGEXEXTRACT(A130, ""[^-]+- [^-]+- [^-]+ - (.+?)\.jpg""), "".jpg"", """"), ""-"", "", ""), """")"),"Angela White")</f>
        <v>Angela White</v>
      </c>
      <c r="I130" s="6"/>
      <c r="J130" s="7" t="str">
        <f t="shared" ca="1" si="2"/>
        <v>(2026)</v>
      </c>
      <c r="K130" s="7" t="str">
        <f t="shared" si="3"/>
        <v>78515446</v>
      </c>
      <c r="L130" s="12" t="s">
        <v>680</v>
      </c>
      <c r="M130" s="13" t="str">
        <f ca="1">IFERROR(__xludf.DUMMYFUNCTION("TRIM(
  REGEXREPLACE(
    TEXTJOIN("" "",
      TRUE,
      B130,
      C130,
      embaralharLinks(E130,F130,G130),
      H130,
      """",
      J130,
      N130,
      ""#RIPNSFW""
    ),
  "",\s*"", "" "")
)"),"{New} Angel Youngs https://streamtape.com/v/okQ8vYP4AzsJkLJ/78515446 https://lulustream.com/d/t4irkhf872pu https://doodstream.com/d/bh7aaltpliqv/78515446 Angela White (2026) #MILF #BigTits #Hardcore #Black #RIPNSFW")</f>
        <v>{New} Angel Youngs https://streamtape.com/v/okQ8vYP4AzsJkLJ/78515446 https://lulustream.com/d/t4irkhf872pu https://doodstream.com/d/bh7aaltpliqv/78515446 Angela White (2026) #MILF #BigTits #Hardcore #Black #RIPNSFW</v>
      </c>
      <c r="N130" s="2" t="s">
        <v>681</v>
      </c>
      <c r="O130" s="30" t="s">
        <v>682</v>
      </c>
      <c r="P130" s="26"/>
      <c r="R130" s="23"/>
      <c r="T130" s="6"/>
      <c r="U130" s="7"/>
    </row>
    <row r="131" spans="1:27" ht="12.75">
      <c r="A131" s="6" t="s">
        <v>683</v>
      </c>
      <c r="B131" s="6" t="s">
        <v>14</v>
      </c>
      <c r="C131" s="7" t="str">
        <f t="shared" si="0"/>
        <v xml:space="preserve">Angel Youngs </v>
      </c>
      <c r="D131" s="6" t="s">
        <v>684</v>
      </c>
      <c r="E131" s="8" t="s">
        <v>685</v>
      </c>
      <c r="F131" s="9" t="str">
        <f ca="1">IFERROR(__xludf.DUMMYFUNCTION("""https://streamtape.com/v/""&amp;
REGEXEXTRACT(O131,""/thumb/([^/]+)/"")&amp;
""/""&amp;K131"),"https://streamtape.com/v/DAdVoZjDMdu6pP/86773019")</f>
        <v>https://streamtape.com/v/DAdVoZjDMdu6pP/86773019</v>
      </c>
      <c r="G131" s="10" t="e">
        <f t="shared" ca="1" si="1"/>
        <v>#NAME?</v>
      </c>
      <c r="H131" s="11" t="str">
        <f ca="1">IFERROR(__xludf.DUMMYFUNCTION("IFERROR(SUBSTITUTE(SUBSTITUTE(REGEXEXTRACT(A131, ""[^-]+- [^-]+- [^-]+ - (.+?)\.jpg""), "".jpg"", """"), ""-"", "", ""), """")"),"")</f>
        <v/>
      </c>
      <c r="I131" s="6"/>
      <c r="J131" s="7" t="str">
        <f t="shared" ca="1" si="2"/>
        <v>(2026)</v>
      </c>
      <c r="K131" s="7" t="str">
        <f t="shared" si="3"/>
        <v>86773019</v>
      </c>
      <c r="L131" s="12" t="s">
        <v>686</v>
      </c>
      <c r="M131" s="13" t="str">
        <f ca="1">IFERROR(__xludf.DUMMYFUNCTION("TRIM(
  REGEXREPLACE(
    TEXTJOIN("" "",
      TRUE,
      B131,
      C131,
      embaralharLinks(E131,F131,G131),
      H131,
      """",
      J131,
      N131,
      ""#RIPNSFW""
    ),
  "",\s*"", "" "")
)"),"{New} Angel Youngs https://lulustream.com/d/aipb9v02sjaq https://doodstream.com/d/bc2bn8so4asg/86773019 https://streamtape.com/v/DAdVoZjDMdu6pP/86773019 (2026) #BigTits #Hardcore #Porn #Teen #RIPNSFW")</f>
        <v>{New} Angel Youngs https://lulustream.com/d/aipb9v02sjaq https://doodstream.com/d/bc2bn8so4asg/86773019 https://streamtape.com/v/DAdVoZjDMdu6pP/86773019 (2026) #BigTits #Hardcore #Porn #Teen #RIPNSFW</v>
      </c>
      <c r="N131" s="14" t="s">
        <v>687</v>
      </c>
      <c r="O131" s="15" t="s">
        <v>688</v>
      </c>
      <c r="P131" s="14"/>
      <c r="Q131" s="6"/>
      <c r="R131" s="11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75">
      <c r="A132" s="12" t="s">
        <v>689</v>
      </c>
      <c r="B132" s="6" t="s">
        <v>14</v>
      </c>
      <c r="C132" s="7" t="str">
        <f t="shared" si="0"/>
        <v xml:space="preserve">Angel Youngs </v>
      </c>
      <c r="D132" s="24" t="s">
        <v>690</v>
      </c>
      <c r="E132" s="25" t="s">
        <v>691</v>
      </c>
      <c r="F132" s="9" t="str">
        <f ca="1">IFERROR(__xludf.DUMMYFUNCTION("""https://streamtape.com/v/""&amp;
REGEXEXTRACT(O132,""/thumb/([^/]+)/"")&amp;
""/""&amp;K132"),"https://streamtape.com/v/4q42ZPajY4CKPXp/89644494")</f>
        <v>https://streamtape.com/v/4q42ZPajY4CKPXp/89644494</v>
      </c>
      <c r="G132" s="10" t="e">
        <f t="shared" ca="1" si="1"/>
        <v>#NAME?</v>
      </c>
      <c r="H132" s="11" t="str">
        <f ca="1">IFERROR(__xludf.DUMMYFUNCTION("IFERROR(SUBSTITUTE(SUBSTITUTE(REGEXEXTRACT(A132, ""[^-]+- [^-]+- [^-]+ - (.+?)\.jpg""), "".jpg"", """"), ""-"", "", ""), """")"),"")</f>
        <v/>
      </c>
      <c r="I132" s="6"/>
      <c r="J132" s="7" t="str">
        <f t="shared" ca="1" si="2"/>
        <v>(2026)</v>
      </c>
      <c r="K132" s="7" t="str">
        <f t="shared" si="3"/>
        <v>89644494</v>
      </c>
      <c r="L132" s="12" t="s">
        <v>692</v>
      </c>
      <c r="M132" s="13" t="str">
        <f ca="1">IFERROR(__xludf.DUMMYFUNCTION("TRIM(
  REGEXREPLACE(
    TEXTJOIN("" "",
      TRUE,
      B132,
      C132,
      embaralharLinks(E132,F132,G132),
      H132,
      """",
      J132,
      N132,
      ""#RIPNSFW""
    ),
  "",\s*"", "" "")
)"),"{New} Angel Youngs https://lulustream.com/d/irf7bg9h9pns https://doodstream.com/d/bufk5se9yw20/89644494 https://streamtape.com/v/4q42ZPajY4CKPXp/89644494 (2026) #BigTits #Black #Interracial #Teen #RIPNSFW")</f>
        <v>{New} Angel Youngs https://lulustream.com/d/irf7bg9h9pns https://doodstream.com/d/bufk5se9yw20/89644494 https://streamtape.com/v/4q42ZPajY4CKPXp/89644494 (2026) #BigTits #Black #Interracial #Teen #RIPNSFW</v>
      </c>
      <c r="N132" s="2" t="s">
        <v>693</v>
      </c>
      <c r="O132" s="30" t="s">
        <v>694</v>
      </c>
      <c r="P132" s="26"/>
      <c r="R132" s="23"/>
    </row>
    <row r="133" spans="1:27" ht="12.75">
      <c r="A133" s="6" t="s">
        <v>695</v>
      </c>
      <c r="B133" s="6" t="s">
        <v>14</v>
      </c>
      <c r="C133" s="7" t="str">
        <f t="shared" si="0"/>
        <v xml:space="preserve">Angel Youngs </v>
      </c>
      <c r="D133" s="6" t="s">
        <v>696</v>
      </c>
      <c r="E133" s="8" t="s">
        <v>697</v>
      </c>
      <c r="F133" s="9" t="str">
        <f ca="1">IFERROR(__xludf.DUMMYFUNCTION("""https://streamtape.com/v/""&amp;
REGEXEXTRACT(O133,""/thumb/([^/]+)/"")&amp;
""/""&amp;K133"),"https://streamtape.com/v/LqVkQVyoymfRm3g/90409368")</f>
        <v>https://streamtape.com/v/LqVkQVyoymfRm3g/90409368</v>
      </c>
      <c r="G133" s="10" t="e">
        <f t="shared" ca="1" si="1"/>
        <v>#NAME?</v>
      </c>
      <c r="H133" s="11" t="str">
        <f ca="1">IFERROR(__xludf.DUMMYFUNCTION("IFERROR(SUBSTITUTE(SUBSTITUTE(REGEXEXTRACT(A133, ""[^-]+- [^-]+- [^-]+ - (.+?)\.jpg""), "".jpg"", """"), ""-"", "", ""), """")"),"")</f>
        <v/>
      </c>
      <c r="I133" s="6"/>
      <c r="J133" s="7" t="str">
        <f t="shared" ca="1" si="2"/>
        <v>(2026)</v>
      </c>
      <c r="K133" s="7" t="str">
        <f t="shared" si="3"/>
        <v>90409368</v>
      </c>
      <c r="L133" s="12" t="s">
        <v>698</v>
      </c>
      <c r="M133" s="13" t="str">
        <f ca="1">IFERROR(__xludf.DUMMYFUNCTION("TRIM(
  REGEXREPLACE(
    TEXTJOIN("" "",
      TRUE,
      B133,
      C133,
      embaralharLinks(E133,F133,G133),
      H133,
      """",
      J133,
      N133,
      ""#RIPNSFW""
    ),
  "",\s*"", "" "")
)"),"{New} Angel Youngs https://lulustream.com/d/w53khjycrwfd https://doodstream.com/d/ryj1z23owgh4/90409368 https://streamtape.com/v/LqVkQVyoymfRm3g/90409368 (2026) #BigTits #Hardcore #Piss #Black #Interracial #Teen #Blowjob #Deepthroat #RIPNSFW")</f>
        <v>{New} Angel Youngs https://lulustream.com/d/w53khjycrwfd https://doodstream.com/d/ryj1z23owgh4/90409368 https://streamtape.com/v/LqVkQVyoymfRm3g/90409368 (2026) #BigTits #Hardcore #Piss #Black #Interracial #Teen #Blowjob #Deepthroat #RIPNSFW</v>
      </c>
      <c r="N133" s="14" t="s">
        <v>699</v>
      </c>
      <c r="O133" s="15" t="s">
        <v>700</v>
      </c>
      <c r="P133" s="14"/>
      <c r="Q133" s="6"/>
      <c r="R133" s="11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75">
      <c r="A134" s="6" t="s">
        <v>701</v>
      </c>
      <c r="B134" s="6" t="s">
        <v>14</v>
      </c>
      <c r="C134" s="7" t="str">
        <f t="shared" si="0"/>
        <v xml:space="preserve">Angel Youngs </v>
      </c>
      <c r="D134" s="6" t="s">
        <v>702</v>
      </c>
      <c r="E134" s="8" t="s">
        <v>703</v>
      </c>
      <c r="F134" s="9" t="str">
        <f ca="1">IFERROR(__xludf.DUMMYFUNCTION("""https://streamtape.com/v/""&amp;
REGEXEXTRACT(O134,""/thumb/([^/]+)/"")&amp;
""/""&amp;K134"),"https://streamtape.com/v/qMj0pdaRwOTYV7/91358559")</f>
        <v>https://streamtape.com/v/qMj0pdaRwOTYV7/91358559</v>
      </c>
      <c r="G134" s="10" t="e">
        <f t="shared" ca="1" si="1"/>
        <v>#NAME?</v>
      </c>
      <c r="H134" s="11" t="str">
        <f ca="1">IFERROR(__xludf.DUMMYFUNCTION("IFERROR(SUBSTITUTE(SUBSTITUTE(REGEXEXTRACT(A134, ""[^-]+- [^-]+- [^-]+ - (.+?)\.jpg""), "".jpg"", """"), ""-"", "", ""), """")"),"")</f>
        <v/>
      </c>
      <c r="I134" s="6"/>
      <c r="J134" s="7" t="str">
        <f t="shared" ca="1" si="2"/>
        <v>(2026)</v>
      </c>
      <c r="K134" s="7" t="str">
        <f t="shared" si="3"/>
        <v>91358559</v>
      </c>
      <c r="L134" s="12" t="s">
        <v>704</v>
      </c>
      <c r="M134" s="13" t="str">
        <f ca="1">IFERROR(__xludf.DUMMYFUNCTION("TRIM(
  REGEXREPLACE(
    TEXTJOIN("" "",
      TRUE,
      B134,
      C134,
      embaralharLinks(E134,F134,G134),
      H134,
      """",
      J134,
      N134,
      ""#RIPNSFW""
    ),
  "",\s*"", "" "")
)"),"{New} Angel Youngs https://streamtape.com/v/qMj0pdaRwOTYV7/91358559 https://lulustream.com/d/wdkjwhat9mo5 https://doodstream.com/d/wiheixgovp4u/91358559 (2026) #Anal #BigTits #Hardcore #Gangbang #Black #Interracial #Teen #Blowjob #Amateur #Deepthroat #Blo"&amp;"nde #RIPNSFW")</f>
        <v>{New} Angel Youngs https://streamtape.com/v/qMj0pdaRwOTYV7/91358559 https://lulustream.com/d/wdkjwhat9mo5 https://doodstream.com/d/wiheixgovp4u/91358559 (2026) #Anal #BigTits #Hardcore #Gangbang #Black #Interracial #Teen #Blowjob #Amateur #Deepthroat #Blonde #RIPNSFW</v>
      </c>
      <c r="N134" s="14" t="s">
        <v>705</v>
      </c>
      <c r="O134" s="15" t="s">
        <v>706</v>
      </c>
      <c r="P134" s="14"/>
      <c r="Q134" s="6"/>
      <c r="R134" s="11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75">
      <c r="A135" s="6" t="s">
        <v>707</v>
      </c>
      <c r="B135" s="6" t="s">
        <v>14</v>
      </c>
      <c r="C135" s="7" t="str">
        <f t="shared" si="0"/>
        <v xml:space="preserve">Angel Youngs </v>
      </c>
      <c r="D135" s="24" t="s">
        <v>708</v>
      </c>
      <c r="E135" s="25" t="s">
        <v>709</v>
      </c>
      <c r="F135" s="9" t="str">
        <f ca="1">IFERROR(__xludf.DUMMYFUNCTION("""https://streamtape.com/v/""&amp;
REGEXEXTRACT(O135,""/thumb/([^/]+)/"")&amp;
""/""&amp;K135"),"https://streamtape.com/v/ldLaBdMgYOF7G1p/94892923")</f>
        <v>https://streamtape.com/v/ldLaBdMgYOF7G1p/94892923</v>
      </c>
      <c r="G135" s="10" t="e">
        <f t="shared" ca="1" si="1"/>
        <v>#NAME?</v>
      </c>
      <c r="H135" s="11" t="str">
        <f ca="1">IFERROR(__xludf.DUMMYFUNCTION("IFERROR(SUBSTITUTE(SUBSTITUTE(REGEXEXTRACT(A135, ""[^-]+- [^-]+- [^-]+ - (.+?)\.jpg""), "".jpg"", """"), ""-"", "", ""), """")"),"")</f>
        <v/>
      </c>
      <c r="I135" s="6"/>
      <c r="J135" s="7" t="str">
        <f t="shared" ca="1" si="2"/>
        <v>(2026)</v>
      </c>
      <c r="K135" s="7" t="str">
        <f t="shared" si="3"/>
        <v>94892923</v>
      </c>
      <c r="L135" s="12" t="s">
        <v>710</v>
      </c>
      <c r="M135" s="13" t="str">
        <f ca="1">IFERROR(__xludf.DUMMYFUNCTION("TRIM(
  REGEXREPLACE(
    TEXTJOIN("" "",
      TRUE,
      B135,
      C135,
      embaralharLinks(E135,F135,G135),
      H135,
      """",
      J135,
      N135,
      ""#RIPNSFW""
    ),
  "",\s*"", "" "")
)"),"{New} Angel Youngs https://doodstream.com/d/avn1ir39ssr0/94892923 https://lulustream.com/d/6avvn8f0wgt2 https://streamtape.com/v/ldLaBdMgYOF7G1p/94892923 (2026) #BigTits #Hardcore #Teen #Blowjob #RIPNSFW")</f>
        <v>{New} Angel Youngs https://doodstream.com/d/avn1ir39ssr0/94892923 https://lulustream.com/d/6avvn8f0wgt2 https://streamtape.com/v/ldLaBdMgYOF7G1p/94892923 (2026) #BigTits #Hardcore #Teen #Blowjob #RIPNSFW</v>
      </c>
      <c r="N135" s="31" t="s">
        <v>711</v>
      </c>
      <c r="O135" s="32" t="s">
        <v>712</v>
      </c>
      <c r="P135" s="26"/>
      <c r="Q135" s="6"/>
      <c r="R135" s="11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75">
      <c r="A136" s="12" t="s">
        <v>713</v>
      </c>
      <c r="B136" s="6" t="s">
        <v>14</v>
      </c>
      <c r="C136" s="7" t="str">
        <f t="shared" si="0"/>
        <v xml:space="preserve">Angel Youngs </v>
      </c>
      <c r="D136" s="24" t="s">
        <v>714</v>
      </c>
      <c r="E136" s="25" t="s">
        <v>715</v>
      </c>
      <c r="F136" s="9" t="str">
        <f ca="1">IFERROR(__xludf.DUMMYFUNCTION("""https://streamtape.com/v/""&amp;
REGEXEXTRACT(O136,""/thumb/([^/]+)/"")&amp;
""/""&amp;K136"),"https://streamtape.com/v/DPWr8zAaP2tkOgL/95299695")</f>
        <v>https://streamtape.com/v/DPWr8zAaP2tkOgL/95299695</v>
      </c>
      <c r="G136" s="10" t="e">
        <f t="shared" ca="1" si="1"/>
        <v>#NAME?</v>
      </c>
      <c r="H136" s="11" t="str">
        <f ca="1">IFERROR(__xludf.DUMMYFUNCTION("IFERROR(SUBSTITUTE(SUBSTITUTE(REGEXEXTRACT(A136, ""[^-]+- [^-]+- [^-]+ - (.+?)\.jpg""), "".jpg"", """"), ""-"", "", ""), """")"),"Angela White")</f>
        <v>Angela White</v>
      </c>
      <c r="I136" s="6"/>
      <c r="J136" s="7" t="str">
        <f t="shared" ca="1" si="2"/>
        <v>(2026)</v>
      </c>
      <c r="K136" s="7" t="str">
        <f t="shared" si="3"/>
        <v>95299695</v>
      </c>
      <c r="L136" s="12" t="s">
        <v>47</v>
      </c>
      <c r="M136" s="13" t="str">
        <f ca="1">IFERROR(__xludf.DUMMYFUNCTION("TRIM(
  REGEXREPLACE(
    TEXTJOIN("" "",
      TRUE,
      B136,
      C136,
      embaralharLinks(E136,F136,G136),
      H136,
      """",
      J136,
      N136,
      ""#RIPNSFW""
    ),
  "",\s*"", "" "")
)"),"{New} Angel Youngs https://doodstream.com/d/l3kum2tovuz6/95299695 https://lulustream.com/d/j6tacbhfvd9c https://streamtape.com/v/DPWr8zAaP2tkOgL/95299695 Angela White (2026) #MILF #BigTits #Hardcore #Threesome #RIPNSFW")</f>
        <v>{New} Angel Youngs https://doodstream.com/d/l3kum2tovuz6/95299695 https://lulustream.com/d/j6tacbhfvd9c https://streamtape.com/v/DPWr8zAaP2tkOgL/95299695 Angela White (2026) #MILF #BigTits #Hardcore #Threesome #RIPNSFW</v>
      </c>
      <c r="N136" s="2" t="s">
        <v>48</v>
      </c>
      <c r="O136" s="30" t="s">
        <v>716</v>
      </c>
      <c r="P136" s="26"/>
      <c r="R136" s="23"/>
    </row>
    <row r="137" spans="1:27" ht="12.75">
      <c r="A137" s="6" t="s">
        <v>717</v>
      </c>
      <c r="B137" s="6" t="s">
        <v>14</v>
      </c>
      <c r="C137" s="7" t="str">
        <f t="shared" si="0"/>
        <v xml:space="preserve">Angel Youngs </v>
      </c>
      <c r="D137" s="24" t="s">
        <v>718</v>
      </c>
      <c r="E137" s="25" t="s">
        <v>719</v>
      </c>
      <c r="F137" s="9" t="str">
        <f ca="1">IFERROR(__xludf.DUMMYFUNCTION("""https://streamtape.com/v/""&amp;
REGEXEXTRACT(O137,""/thumb/([^/]+)/"")&amp;
""/""&amp;K137"),"https://streamtape.com/v/GjPvMgpvJ0HYA8/99101023")</f>
        <v>https://streamtape.com/v/GjPvMgpvJ0HYA8/99101023</v>
      </c>
      <c r="G137" s="10" t="e">
        <f t="shared" ca="1" si="1"/>
        <v>#NAME?</v>
      </c>
      <c r="H137" s="11" t="str">
        <f ca="1">IFERROR(__xludf.DUMMYFUNCTION("IFERROR(SUBSTITUTE(SUBSTITUTE(REGEXEXTRACT(A137, ""[^-]+- [^-]+- [^-]+ - (.+?)\.jpg""), "".jpg"", """"), ""-"", "", ""), """")"),"")</f>
        <v/>
      </c>
      <c r="I137" s="6"/>
      <c r="J137" s="7" t="str">
        <f t="shared" ca="1" si="2"/>
        <v>(2026)</v>
      </c>
      <c r="K137" s="7" t="str">
        <f t="shared" si="3"/>
        <v>99101023</v>
      </c>
      <c r="L137" s="12" t="s">
        <v>627</v>
      </c>
      <c r="M137" s="13" t="str">
        <f ca="1">IFERROR(__xludf.DUMMYFUNCTION("TRIM(
  REGEXREPLACE(
    TEXTJOIN("" "",
      TRUE,
      B137,
      C137,
      embaralharLinks(E137,F137,G137),
      H137,
      """",
      J137,
      N137,
      ""#RIPNSFW""
    ),
  "",\s*"", "" "")
)"),"{New} Angel Youngs https://streamtape.com/v/GjPvMgpvJ0HYA8/99101023 https://lulustream.com/d/3lzdke0dictk https://doodstream.com/d/8ul6e06db897/99101023 (2026) #BigTits #Hardcore #Teen #Artporn #RIPNSFW")</f>
        <v>{New} Angel Youngs https://streamtape.com/v/GjPvMgpvJ0HYA8/99101023 https://lulustream.com/d/3lzdke0dictk https://doodstream.com/d/8ul6e06db897/99101023 (2026) #BigTits #Hardcore #Teen #Artporn #RIPNSFW</v>
      </c>
      <c r="N137" s="31" t="s">
        <v>628</v>
      </c>
      <c r="O137" s="32" t="s">
        <v>720</v>
      </c>
      <c r="P137" s="26"/>
      <c r="Q137" s="6"/>
      <c r="R137" s="11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75">
      <c r="A138" s="12" t="s">
        <v>721</v>
      </c>
      <c r="B138" s="6" t="s">
        <v>14</v>
      </c>
      <c r="C138" s="7" t="str">
        <f t="shared" si="0"/>
        <v xml:space="preserve">Angela White </v>
      </c>
      <c r="D138" s="24" t="s">
        <v>722</v>
      </c>
      <c r="E138" s="8" t="s">
        <v>723</v>
      </c>
      <c r="F138" s="9" t="s">
        <v>724</v>
      </c>
      <c r="G138" s="10" t="e">
        <f t="shared" ca="1" si="1"/>
        <v>#NAME?</v>
      </c>
      <c r="H138" s="11" t="str">
        <f ca="1">IFERROR(__xludf.DUMMYFUNCTION("IFERROR(SUBSTITUTE(SUBSTITUTE(REGEXEXTRACT(A138, ""[^-]+- [^-]+- [^-]+ - (.+?)\.jpg""), "".jpg"", """"), ""-"", "", ""), """")"),"Violet Myers")</f>
        <v>Violet Myers</v>
      </c>
      <c r="I138" s="6"/>
      <c r="J138" s="7" t="str">
        <f t="shared" ca="1" si="2"/>
        <v>(2026)</v>
      </c>
      <c r="K138" s="7" t="str">
        <f t="shared" si="3"/>
        <v>12494438</v>
      </c>
      <c r="L138" s="12" t="s">
        <v>47</v>
      </c>
      <c r="M138" s="13" t="str">
        <f ca="1">IFERROR(__xludf.DUMMYFUNCTION("TRIM(
  REGEXREPLACE(
    TEXTJOIN("" "",
      TRUE,
      B138,
      C138,
      embaralharLinks(E138,F138,G138),
      H138,
      """",
      J138,
      N138,
      ""#RIPNSFW""
    ),
  "",\s*"", "" "")
)"),"{New} Angela White https://lulustream.com/d/1qo5i2p23jsh https://doodstream.com/d/z2bq2cpsogf9/12494438 https://streamtape.com/v/ekJkpK7BrLfYgDx/Angela_White_-_12494438_-_Onlyfans_-_VIolet_Myers.mp4 Violet Myers (2026) #MILF #BigTits #Hardcore #Threesome "&amp;"#RIPNSFW")</f>
        <v>{New} Angela White https://lulustream.com/d/1qo5i2p23jsh https://doodstream.com/d/z2bq2cpsogf9/12494438 https://streamtape.com/v/ekJkpK7BrLfYgDx/Angela_White_-_12494438_-_Onlyfans_-_VIolet_Myers.mp4 Violet Myers (2026) #MILF #BigTits #Hardcore #Threesome #RIPNSFW</v>
      </c>
      <c r="N138" s="2" t="s">
        <v>48</v>
      </c>
      <c r="O138" s="30" t="s">
        <v>725</v>
      </c>
      <c r="P138" s="26"/>
      <c r="R138" s="23"/>
    </row>
    <row r="139" spans="1:27" ht="12.75">
      <c r="A139" s="6" t="s">
        <v>726</v>
      </c>
      <c r="B139" s="6" t="s">
        <v>14</v>
      </c>
      <c r="C139" s="7" t="str">
        <f t="shared" si="0"/>
        <v xml:space="preserve">Angela White </v>
      </c>
      <c r="D139" s="24" t="s">
        <v>727</v>
      </c>
      <c r="E139" s="8" t="s">
        <v>728</v>
      </c>
      <c r="F139" s="9" t="s">
        <v>729</v>
      </c>
      <c r="G139" s="10" t="e">
        <f t="shared" ca="1" si="1"/>
        <v>#NAME?</v>
      </c>
      <c r="H139" s="11" t="str">
        <f ca="1">IFERROR(__xludf.DUMMYFUNCTION("IFERROR(SUBSTITUTE(SUBSTITUTE(REGEXEXTRACT(A139, ""[^-]+- [^-]+- [^-]+ - (.+?)\.jpg""), "".jpg"", """"), ""-"", "", ""), """")"),"")</f>
        <v/>
      </c>
      <c r="I139" s="6"/>
      <c r="J139" s="7" t="str">
        <f t="shared" ca="1" si="2"/>
        <v>(2026)</v>
      </c>
      <c r="K139" s="7" t="str">
        <f t="shared" si="3"/>
        <v>12902427</v>
      </c>
      <c r="L139" s="12" t="s">
        <v>680</v>
      </c>
      <c r="M139" s="13" t="str">
        <f ca="1">IFERROR(__xludf.DUMMYFUNCTION("TRIM(
  REGEXREPLACE(
    TEXTJOIN("" "",
      TRUE,
      B139,
      C139,
      embaralharLinks(E139,F139,G139),
      H139,
      """",
      J139,
      N139,
      ""#RIPNSFW""
    ),
  "",\s*"", "" "")
)"),"{New} Angela White https://streamtape.com/v/wkz9Pd7LakFJ9Yz/Angela_White_-_12902427_-_Onlyfans.mp4 https://lulustream.com/d/kgb3phwxt6rk https://doodstream.com/d/cpqwcyv6i8l4/12902427 (2026) #MILF #BigTits #Hardcore #Black #RIPNSFW")</f>
        <v>{New} Angela White https://streamtape.com/v/wkz9Pd7LakFJ9Yz/Angela_White_-_12902427_-_Onlyfans.mp4 https://lulustream.com/d/kgb3phwxt6rk https://doodstream.com/d/cpqwcyv6i8l4/12902427 (2026) #MILF #BigTits #Hardcore #Black #RIPNSFW</v>
      </c>
      <c r="N139" s="31" t="s">
        <v>681</v>
      </c>
      <c r="O139" s="32" t="s">
        <v>730</v>
      </c>
      <c r="P139" s="26"/>
      <c r="Q139" s="6"/>
      <c r="R139" s="11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75">
      <c r="A140" s="12" t="s">
        <v>731</v>
      </c>
      <c r="B140" s="6" t="s">
        <v>14</v>
      </c>
      <c r="C140" s="7" t="str">
        <f t="shared" si="0"/>
        <v xml:space="preserve">Angela White </v>
      </c>
      <c r="D140" s="24" t="s">
        <v>732</v>
      </c>
      <c r="E140" s="25" t="s">
        <v>733</v>
      </c>
      <c r="F140" s="9" t="s">
        <v>734</v>
      </c>
      <c r="G140" s="10" t="e">
        <f t="shared" ca="1" si="1"/>
        <v>#NAME?</v>
      </c>
      <c r="H140" s="11" t="str">
        <f ca="1">IFERROR(__xludf.DUMMYFUNCTION("IFERROR(SUBSTITUTE(SUBSTITUTE(REGEXEXTRACT(A140, ""[^-]+- [^-]+- [^-]+ - (.+?)\.jpg""), "".jpg"", """"), ""-"", "", ""), """")"),"Rissa May")</f>
        <v>Rissa May</v>
      </c>
      <c r="I140" s="6"/>
      <c r="J140" s="7" t="str">
        <f t="shared" ca="1" si="2"/>
        <v>(2026)</v>
      </c>
      <c r="K140" s="7" t="str">
        <f t="shared" si="3"/>
        <v>13039747</v>
      </c>
      <c r="L140" s="12" t="s">
        <v>47</v>
      </c>
      <c r="M140" s="13" t="str">
        <f ca="1">IFERROR(__xludf.DUMMYFUNCTION("TRIM(
  REGEXREPLACE(
    TEXTJOIN("" "",
      TRUE,
      B140,
      C140,
      embaralharLinks(E140,F140,G140),
      H140,
      """",
      J140,
      N140,
      ""#RIPNSFW""
    ),
  "",\s*"", "" "")
)"),"{New} Angela White https://lulustream.com/d/4hcb18eikve5 https://streamtape.com/v/JXb9X2gxrzujK8P/Angela_White_-_13039747_-_Onlyfans_-_Rissa_May.mp4 https://doodstream.com/d/ydpi49551chk/13039747 Rissa May (2026) #MILF #BigTits #Hardcore #Threesome #RIPNS"&amp;"FW")</f>
        <v>{New} Angela White https://lulustream.com/d/4hcb18eikve5 https://streamtape.com/v/JXb9X2gxrzujK8P/Angela_White_-_13039747_-_Onlyfans_-_Rissa_May.mp4 https://doodstream.com/d/ydpi49551chk/13039747 Rissa May (2026) #MILF #BigTits #Hardcore #Threesome #RIPNSFW</v>
      </c>
      <c r="N140" s="2" t="s">
        <v>48</v>
      </c>
      <c r="O140" s="21" t="s">
        <v>735</v>
      </c>
      <c r="P140" s="26"/>
      <c r="R140" s="23"/>
      <c r="T140" s="6"/>
      <c r="U140" s="7"/>
    </row>
    <row r="141" spans="1:27" ht="12.75">
      <c r="A141" s="6" t="s">
        <v>736</v>
      </c>
      <c r="B141" s="6" t="s">
        <v>14</v>
      </c>
      <c r="C141" s="7" t="str">
        <f t="shared" si="0"/>
        <v xml:space="preserve">Angela White </v>
      </c>
      <c r="D141" s="24" t="s">
        <v>737</v>
      </c>
      <c r="E141" s="25" t="s">
        <v>738</v>
      </c>
      <c r="F141" s="9" t="s">
        <v>739</v>
      </c>
      <c r="G141" s="10" t="e">
        <f t="shared" ca="1" si="1"/>
        <v>#NAME?</v>
      </c>
      <c r="H141" s="11" t="str">
        <f ca="1">IFERROR(__xludf.DUMMYFUNCTION("IFERROR(SUBSTITUTE(SUBSTITUTE(REGEXEXTRACT(A141, ""[^-]+- [^-]+- [^-]+ - (.+?)\.jpg""), "".jpg"", """"), ""-"", "", ""), """")"),"Violet Myers")</f>
        <v>Violet Myers</v>
      </c>
      <c r="I141" s="6"/>
      <c r="J141" s="7" t="str">
        <f t="shared" ca="1" si="2"/>
        <v>(2026)</v>
      </c>
      <c r="K141" s="7" t="str">
        <f t="shared" si="3"/>
        <v>13108503</v>
      </c>
      <c r="L141" s="12" t="s">
        <v>47</v>
      </c>
      <c r="M141" s="13" t="str">
        <f ca="1">IFERROR(__xludf.DUMMYFUNCTION("TRIM(
  REGEXREPLACE(
    TEXTJOIN("" "",
      TRUE,
      B141,
      C141,
      embaralharLinks(E141,F141,G141),
      H141,
      """",
      J141,
      N141,
      ""#RIPNSFW""
    ),
  "",\s*"", "" "")
)"),"{New} Angela White https://streamtape.com/v/JXdA7B83mmcjXaw/Angela_White_-_13108503_-_Onlyfans_-_Violet_Myers.mp4 https://lulustream.com/d/okxum71y30q8 https://doodstream.com/d/xemgzn7wst8c/13108503 Violet Myers (2026) #MILF #BigTits #Hardcore #Threesome "&amp;"#RIPNSFW")</f>
        <v>{New} Angela White https://streamtape.com/v/JXdA7B83mmcjXaw/Angela_White_-_13108503_-_Onlyfans_-_Violet_Myers.mp4 https://lulustream.com/d/okxum71y30q8 https://doodstream.com/d/xemgzn7wst8c/13108503 Violet Myers (2026) #MILF #BigTits #Hardcore #Threesome #RIPNSFW</v>
      </c>
      <c r="N141" s="31" t="s">
        <v>48</v>
      </c>
      <c r="O141" s="32" t="s">
        <v>740</v>
      </c>
      <c r="P141" s="26"/>
      <c r="Q141" s="6"/>
      <c r="R141" s="11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75">
      <c r="A142" s="6" t="s">
        <v>741</v>
      </c>
      <c r="B142" s="6" t="s">
        <v>14</v>
      </c>
      <c r="C142" s="7" t="str">
        <f t="shared" si="0"/>
        <v xml:space="preserve">Angela White </v>
      </c>
      <c r="D142" s="6" t="s">
        <v>742</v>
      </c>
      <c r="E142" s="8" t="s">
        <v>743</v>
      </c>
      <c r="F142" s="9" t="s">
        <v>744</v>
      </c>
      <c r="G142" s="10" t="e">
        <f t="shared" ca="1" si="1"/>
        <v>#NAME?</v>
      </c>
      <c r="H142" s="11" t="str">
        <f ca="1">IFERROR(__xludf.DUMMYFUNCTION("IFERROR(SUBSTITUTE(SUBSTITUTE(REGEXEXTRACT(A142, ""[^-]+- [^-]+- [^-]+ - (.+?)\.jpg""), "".jpg"", """"), ""-"", "", ""), """")"),"")</f>
        <v/>
      </c>
      <c r="I142" s="6"/>
      <c r="J142" s="7" t="str">
        <f t="shared" ca="1" si="2"/>
        <v>(2026)</v>
      </c>
      <c r="K142" s="7" t="str">
        <f t="shared" si="3"/>
        <v>16510520</v>
      </c>
      <c r="L142" s="12" t="s">
        <v>745</v>
      </c>
      <c r="M142" s="13" t="str">
        <f ca="1">IFERROR(__xludf.DUMMYFUNCTION("TRIM(
  REGEXREPLACE(
    TEXTJOIN("" "",
      TRUE,
      B142,
      C142,
      embaralharLinks(E142,F142,G142),
      H142,
      """",
      J142,
      N142,
      ""#RIPNSFW""
    ),
  "",\s*"", "" "")
)"),"{New} Angela White https://streamtape.com/v/xyeXrd6lzMcqL6/Angela_White_-_16510520_-_ripnsfw.com https://lulustream.com/d/vpvrldl9a8v5 https://doodstream.com/d/yiz9rsq57pr8/16510520 (2026) #Anal #MILF #BigTits #Hardcore #Bigass #RIPNSFW")</f>
        <v>{New} Angela White https://streamtape.com/v/xyeXrd6lzMcqL6/Angela_White_-_16510520_-_ripnsfw.com https://lulustream.com/d/vpvrldl9a8v5 https://doodstream.com/d/yiz9rsq57pr8/16510520 (2026) #Anal #MILF #BigTits #Hardcore #Bigass #RIPNSFW</v>
      </c>
      <c r="N142" s="14" t="s">
        <v>746</v>
      </c>
      <c r="O142" s="15" t="s">
        <v>747</v>
      </c>
      <c r="P142" s="14"/>
      <c r="Q142" s="6"/>
      <c r="R142" s="11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75">
      <c r="A143" s="6" t="s">
        <v>748</v>
      </c>
      <c r="B143" s="6" t="s">
        <v>14</v>
      </c>
      <c r="C143" s="7" t="str">
        <f t="shared" si="0"/>
        <v xml:space="preserve">Angela White </v>
      </c>
      <c r="D143" s="24" t="s">
        <v>749</v>
      </c>
      <c r="E143" s="25" t="s">
        <v>750</v>
      </c>
      <c r="F143" s="9" t="s">
        <v>751</v>
      </c>
      <c r="G143" s="10" t="e">
        <f t="shared" ca="1" si="1"/>
        <v>#NAME?</v>
      </c>
      <c r="H143" s="11" t="str">
        <f ca="1">IFERROR(__xludf.DUMMYFUNCTION("IFERROR(SUBSTITUTE(SUBSTITUTE(REGEXEXTRACT(A143, ""[^-]+- [^-]+- [^-]+ - (.+?)\.jpg""), "".jpg"", """"), ""-"", "", ""), """")"),"")</f>
        <v/>
      </c>
      <c r="I143" s="6"/>
      <c r="J143" s="7" t="str">
        <f t="shared" ca="1" si="2"/>
        <v>(2026)</v>
      </c>
      <c r="K143" s="7" t="str">
        <f t="shared" si="3"/>
        <v>17458052</v>
      </c>
      <c r="L143" s="12" t="s">
        <v>71</v>
      </c>
      <c r="M143" s="13" t="str">
        <f ca="1">IFERROR(__xludf.DUMMYFUNCTION("TRIM(
  REGEXREPLACE(
    TEXTJOIN("" "",
      TRUE,
      B143,
      C143,
      embaralharLinks(E143,F143,G143),
      H143,
      """",
      J143,
      N143,
      ""#RIPNSFW""
    ),
  "",\s*"", "" "")
)"),"{New} Angela White https://doodstream.com/d/l9bz9jfj0tpu/17458052 https://streamtape.com/v/jVeAY1LVMPfzeyd/Angela_White_-_17458052_-_Onlyfans https://lulustream.com/d/84k5ysn9teyy (2026) #Anal #MILF #BigTits #Hardcore #RIPNSFW")</f>
        <v>{New} Angela White https://doodstream.com/d/l9bz9jfj0tpu/17458052 https://streamtape.com/v/jVeAY1LVMPfzeyd/Angela_White_-_17458052_-_Onlyfans https://lulustream.com/d/84k5ysn9teyy (2026) #Anal #MILF #BigTits #Hardcore #RIPNSFW</v>
      </c>
      <c r="N143" s="31" t="s">
        <v>72</v>
      </c>
      <c r="O143" s="32" t="s">
        <v>752</v>
      </c>
      <c r="P143" s="26"/>
      <c r="R143" s="23"/>
      <c r="T143" s="6"/>
      <c r="U143" s="7"/>
    </row>
    <row r="144" spans="1:27" ht="12.75">
      <c r="A144" s="6" t="s">
        <v>753</v>
      </c>
      <c r="B144" s="6" t="s">
        <v>14</v>
      </c>
      <c r="C144" s="7" t="str">
        <f t="shared" si="0"/>
        <v xml:space="preserve">Angela White </v>
      </c>
      <c r="D144" s="12" t="s">
        <v>754</v>
      </c>
      <c r="E144" s="8" t="s">
        <v>755</v>
      </c>
      <c r="F144" s="9" t="s">
        <v>756</v>
      </c>
      <c r="G144" s="10" t="e">
        <f t="shared" ca="1" si="1"/>
        <v>#NAME?</v>
      </c>
      <c r="H144" s="11" t="str">
        <f ca="1">IFERROR(__xludf.DUMMYFUNCTION("IFERROR(SUBSTITUTE(SUBSTITUTE(REGEXEXTRACT(A144, ""[^-]+- [^-]+- [^-]+ - (.+?)\.jpg""), "".jpg"", """"), ""-"", "", ""), """")"),"")</f>
        <v/>
      </c>
      <c r="I144" s="6"/>
      <c r="J144" s="7" t="str">
        <f t="shared" ca="1" si="2"/>
        <v>(2026)</v>
      </c>
      <c r="K144" s="7" t="str">
        <f t="shared" si="3"/>
        <v>18200560</v>
      </c>
      <c r="L144" s="12" t="s">
        <v>745</v>
      </c>
      <c r="M144" s="13" t="str">
        <f ca="1">IFERROR(__xludf.DUMMYFUNCTION("TRIM(
  REGEXREPLACE(
    TEXTJOIN("" "",
      TRUE,
      B144,
      C144,
      embaralharLinks(E144,F144,G144),
      H144,
      """",
      J144,
      N144,
      ""#RIPNSFW""
    ),
  "",\s*"", "" "")
)"),"{New} Angela White https://lulustream.com/d/atgpgut2a8k5 https://doodstream.com/d/4tnxlu3h9o7y/18200560 https://streamtape.com/v/R6ygo12dZgfLdM/Angela_White_-_18200560_-_ripnsfw.com.mp4 (2026) #Anal #MILF #BigTits #Hardcore #Bigass #RIPNSFW")</f>
        <v>{New} Angela White https://lulustream.com/d/atgpgut2a8k5 https://doodstream.com/d/4tnxlu3h9o7y/18200560 https://streamtape.com/v/R6ygo12dZgfLdM/Angela_White_-_18200560_-_ripnsfw.com.mp4 (2026) #Anal #MILF #BigTits #Hardcore #Bigass #RIPNSFW</v>
      </c>
      <c r="N144" s="14" t="s">
        <v>746</v>
      </c>
      <c r="O144" s="15" t="s">
        <v>757</v>
      </c>
      <c r="P144" s="14"/>
      <c r="Q144" s="6"/>
      <c r="R144" s="11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75">
      <c r="A145" s="6" t="s">
        <v>758</v>
      </c>
      <c r="B145" s="6" t="s">
        <v>14</v>
      </c>
      <c r="C145" s="7" t="str">
        <f t="shared" si="0"/>
        <v xml:space="preserve">Angela White </v>
      </c>
      <c r="D145" s="6" t="s">
        <v>759</v>
      </c>
      <c r="E145" s="8" t="s">
        <v>760</v>
      </c>
      <c r="F145" s="9" t="s">
        <v>761</v>
      </c>
      <c r="G145" s="10" t="e">
        <f t="shared" ca="1" si="1"/>
        <v>#NAME?</v>
      </c>
      <c r="H145" s="11" t="str">
        <f ca="1">IFERROR(__xludf.DUMMYFUNCTION("IFERROR(SUBSTITUTE(SUBSTITUTE(REGEXEXTRACT(A145, ""[^-]+- [^-]+- [^-]+ - (.+?)\.jpg""), "".jpg"", """"), ""-"", "", ""), """")"),"")</f>
        <v/>
      </c>
      <c r="I145" s="6"/>
      <c r="J145" s="7" t="str">
        <f t="shared" ca="1" si="2"/>
        <v>(2026)</v>
      </c>
      <c r="K145" s="7" t="str">
        <f t="shared" si="3"/>
        <v>19495197</v>
      </c>
      <c r="L145" s="12" t="s">
        <v>762</v>
      </c>
      <c r="M145" s="13" t="str">
        <f ca="1">IFERROR(__xludf.DUMMYFUNCTION("TRIM(
  REGEXREPLACE(
    TEXTJOIN("" "",
      TRUE,
      B145,
      C145,
      embaralharLinks(E145,F145,G145),
      H145,
      """",
      J145,
      N145,
      ""#RIPNSFW""
    ),
  "",\s*"", "" "")
)"),"{New} Angela White https://lulustream.com/d/sngehhhof716 https://streamtape.com/v/p7gPx78RMjHrQGG/Angela_White_-_19495197_-_ripnsfw.com https://doodstream.com/d/811p8g3kud8l/19495197 (2026) #BigTits #Hardcore #Bigass #Porn #Teen #Blowjob #Deepthroat #RIPN"&amp;"SFW")</f>
        <v>{New} Angela White https://lulustream.com/d/sngehhhof716 https://streamtape.com/v/p7gPx78RMjHrQGG/Angela_White_-_19495197_-_ripnsfw.com https://doodstream.com/d/811p8g3kud8l/19495197 (2026) #BigTits #Hardcore #Bigass #Porn #Teen #Blowjob #Deepthroat #RIPNSFW</v>
      </c>
      <c r="N145" s="14" t="s">
        <v>763</v>
      </c>
      <c r="O145" s="15" t="s">
        <v>764</v>
      </c>
      <c r="P145" s="14"/>
      <c r="Q145" s="6"/>
      <c r="R145" s="11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75">
      <c r="A146" s="6" t="s">
        <v>765</v>
      </c>
      <c r="B146" s="6" t="s">
        <v>14</v>
      </c>
      <c r="C146" s="7" t="str">
        <f t="shared" si="0"/>
        <v xml:space="preserve">Angela White </v>
      </c>
      <c r="D146" s="6" t="s">
        <v>766</v>
      </c>
      <c r="E146" s="8" t="s">
        <v>767</v>
      </c>
      <c r="F146" s="9" t="s">
        <v>768</v>
      </c>
      <c r="G146" s="10" t="e">
        <f t="shared" ca="1" si="1"/>
        <v>#NAME?</v>
      </c>
      <c r="H146" s="11" t="str">
        <f ca="1">IFERROR(__xludf.DUMMYFUNCTION("IFERROR(SUBSTITUTE(SUBSTITUTE(REGEXEXTRACT(A146, ""[^-]+- [^-]+- [^-]+ - (.+?)\.jpg""), "".jpg"", """"), ""-"", "", ""), """")"),"")</f>
        <v/>
      </c>
      <c r="I146" s="6"/>
      <c r="J146" s="7" t="str">
        <f t="shared" ca="1" si="2"/>
        <v>(2026)</v>
      </c>
      <c r="K146" s="7" t="str">
        <f t="shared" si="3"/>
        <v>20152147</v>
      </c>
      <c r="L146" s="12" t="s">
        <v>769</v>
      </c>
      <c r="M146" s="13" t="str">
        <f ca="1">IFERROR(__xludf.DUMMYFUNCTION("TRIM(
  REGEXREPLACE(
    TEXTJOIN("" "",
      TRUE,
      B146,
      C146,
      embaralharLinks(E146,F146,G146),
      H146,
      """",
      J146,
      N146,
      ""#RIPNSFW""
    ),
  "",\s*"", "" "")
)"),"{New} Angela White https://streamtape.com/v/xrj84qrr7XTkAPb/Angela_White_-_20152147_-_ripnsfw.com https://doodstream.com/d/jxx7g3ag6fdq/20152147 https://lulustream.com/d/dynbcnyjcbzg (2026) #MILF #BigTits #Hardcore #Black #Interracial #RIPNSFW")</f>
        <v>{New} Angela White https://streamtape.com/v/xrj84qrr7XTkAPb/Angela_White_-_20152147_-_ripnsfw.com https://doodstream.com/d/jxx7g3ag6fdq/20152147 https://lulustream.com/d/dynbcnyjcbzg (2026) #MILF #BigTits #Hardcore #Black #Interracial #RIPNSFW</v>
      </c>
      <c r="N146" s="14" t="s">
        <v>770</v>
      </c>
      <c r="O146" s="15" t="s">
        <v>771</v>
      </c>
      <c r="P146" s="14"/>
      <c r="Q146" s="6"/>
      <c r="R146" s="11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75">
      <c r="A147" s="12" t="s">
        <v>772</v>
      </c>
      <c r="B147" s="6" t="s">
        <v>14</v>
      </c>
      <c r="C147" s="7" t="str">
        <f t="shared" si="0"/>
        <v xml:space="preserve">Angela White </v>
      </c>
      <c r="D147" s="24" t="s">
        <v>773</v>
      </c>
      <c r="E147" s="25" t="s">
        <v>774</v>
      </c>
      <c r="F147" s="9" t="s">
        <v>775</v>
      </c>
      <c r="G147" s="10" t="e">
        <f t="shared" ca="1" si="1"/>
        <v>#NAME?</v>
      </c>
      <c r="H147" s="11" t="str">
        <f ca="1">IFERROR(__xludf.DUMMYFUNCTION("IFERROR(SUBSTITUTE(SUBSTITUTE(REGEXEXTRACT(A147, ""[^-]+- [^-]+- [^-]+ - (.+?)\.jpg""), "".jpg"", """"), ""-"", "", ""), """")"),"")</f>
        <v/>
      </c>
      <c r="I147" s="6"/>
      <c r="J147" s="7" t="str">
        <f t="shared" ca="1" si="2"/>
        <v>(2026)</v>
      </c>
      <c r="K147" s="7" t="str">
        <f t="shared" si="3"/>
        <v>20460908</v>
      </c>
      <c r="L147" s="12" t="s">
        <v>71</v>
      </c>
      <c r="M147" s="13" t="str">
        <f ca="1">IFERROR(__xludf.DUMMYFUNCTION("TRIM(
  REGEXREPLACE(
    TEXTJOIN("" "",
      TRUE,
      B147,
      C147,
      embaralharLinks(E147,F147,G147),
      H147,
      """",
      J147,
      N147,
      ""#RIPNSFW""
    ),
  "",\s*"", "" "")
)"),"{New} Angela White https://doodstream.com/d/9nztl5vta0r0/20460908 https://streamtape.com/v/X2B6BO9zaWUDr7e/Angela_White_-_20460908_-_Onlyfans https://lulustream.com/d/o5v1jpfebmak (2026) #Anal #MILF #BigTits #Hardcore #RIPNSFW")</f>
        <v>{New} Angela White https://doodstream.com/d/9nztl5vta0r0/20460908 https://streamtape.com/v/X2B6BO9zaWUDr7e/Angela_White_-_20460908_-_Onlyfans https://lulustream.com/d/o5v1jpfebmak (2026) #Anal #MILF #BigTits #Hardcore #RIPNSFW</v>
      </c>
      <c r="N147" s="2" t="s">
        <v>72</v>
      </c>
      <c r="O147" s="30" t="s">
        <v>776</v>
      </c>
      <c r="P147" s="26"/>
      <c r="R147" s="23"/>
      <c r="T147" s="6"/>
      <c r="U147" s="7"/>
    </row>
    <row r="148" spans="1:27" ht="12.75">
      <c r="A148" s="6" t="s">
        <v>777</v>
      </c>
      <c r="B148" s="6" t="s">
        <v>14</v>
      </c>
      <c r="C148" s="7" t="str">
        <f t="shared" si="0"/>
        <v xml:space="preserve">Angela White </v>
      </c>
      <c r="D148" s="6" t="s">
        <v>778</v>
      </c>
      <c r="E148" s="8" t="s">
        <v>779</v>
      </c>
      <c r="F148" s="9" t="s">
        <v>780</v>
      </c>
      <c r="G148" s="10" t="e">
        <f t="shared" ca="1" si="1"/>
        <v>#NAME?</v>
      </c>
      <c r="H148" s="11" t="str">
        <f ca="1">IFERROR(__xludf.DUMMYFUNCTION("IFERROR(SUBSTITUTE(SUBSTITUTE(REGEXEXTRACT(A148, ""[^-]+- [^-]+- [^-]+ - (.+?)\.jpg""), "".jpg"", """"), ""-"", "", ""), """")"),"Violet Myers ,  Lena the plug")</f>
        <v>Violet Myers ,  Lena the plug</v>
      </c>
      <c r="I148" s="6"/>
      <c r="J148" s="7" t="str">
        <f t="shared" ca="1" si="2"/>
        <v>(2026)</v>
      </c>
      <c r="K148" s="7" t="str">
        <f t="shared" si="3"/>
        <v>21926159</v>
      </c>
      <c r="L148" s="12" t="s">
        <v>781</v>
      </c>
      <c r="M148" s="13" t="str">
        <f ca="1">IFERROR(__xludf.DUMMYFUNCTION("TRIM(
  REGEXREPLACE(
    TEXTJOIN("" "",
      TRUE,
      B148,
      C148,
      embaralharLinks(E148,F148,G148),
      H148,
      """",
      J148,
      N148,
      ""#RIPNSFW""
    ),
  "",\s*"", "" "")
)"),"{New} Angela White https://doodstream.com/d/lnv99asltnq4/21926159 https://streamtape.com/v/Oar3WJQyzxs94d/Angela_White_-_21926159_-_ripnsfw.com_-_Violet_Myers_-_Lena_the_plug.mp4 https://lulustream.com/d/buqmzug523qm Violet Myers Lena the plug (2026) #MIL"&amp;"F #BigTits #Lesbian #Bigass #Latina #Roleplay #Stepmom #Blowjob #Foursome #RIPNSFW")</f>
        <v>{New} Angela White https://doodstream.com/d/lnv99asltnq4/21926159 https://streamtape.com/v/Oar3WJQyzxs94d/Angela_White_-_21926159_-_ripnsfw.com_-_Violet_Myers_-_Lena_the_plug.mp4 https://lulustream.com/d/buqmzug523qm Violet Myers Lena the plug (2026) #MILF #BigTits #Lesbian #Bigass #Latina #Roleplay #Stepmom #Blowjob #Foursome #RIPNSFW</v>
      </c>
      <c r="N148" s="14" t="s">
        <v>782</v>
      </c>
      <c r="O148" s="15" t="s">
        <v>783</v>
      </c>
      <c r="P148" s="14"/>
      <c r="Q148" s="6"/>
      <c r="R148" s="11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75">
      <c r="A149" s="6" t="s">
        <v>784</v>
      </c>
      <c r="B149" s="6" t="s">
        <v>14</v>
      </c>
      <c r="C149" s="7" t="str">
        <f t="shared" si="0"/>
        <v xml:space="preserve">Angela White </v>
      </c>
      <c r="D149" s="6" t="s">
        <v>785</v>
      </c>
      <c r="E149" s="8" t="s">
        <v>786</v>
      </c>
      <c r="F149" s="9" t="s">
        <v>787</v>
      </c>
      <c r="G149" s="10" t="e">
        <f t="shared" ca="1" si="1"/>
        <v>#NAME?</v>
      </c>
      <c r="H149" s="11" t="str">
        <f ca="1">IFERROR(__xludf.DUMMYFUNCTION("IFERROR(SUBSTITUTE(SUBSTITUTE(REGEXEXTRACT(A149, ""[^-]+- [^-]+- [^-]+ - (.+?)\.jpg""), "".jpg"", """"), ""-"", "", ""), """")"),"Rissa May")</f>
        <v>Rissa May</v>
      </c>
      <c r="I149" s="6"/>
      <c r="J149" s="7" t="str">
        <f t="shared" ca="1" si="2"/>
        <v>(2026)</v>
      </c>
      <c r="K149" s="7" t="str">
        <f t="shared" si="3"/>
        <v>23967656</v>
      </c>
      <c r="L149" s="12" t="s">
        <v>788</v>
      </c>
      <c r="M149" s="13" t="str">
        <f ca="1">IFERROR(__xludf.DUMMYFUNCTION("TRIM(
  REGEXREPLACE(
    TEXTJOIN("" "",
      TRUE,
      B149,
      C149,
      embaralharLinks(E149,F149,G149),
      H149,
      """",
      J149,
      N149,
      ""#RIPNSFW""
    ),
  "",\s*"", "" "")
)"),"{New} Angela White https://doodstream.com/d/etvtu8v6cgig/23967656 https://streamtape.com/v/G21vRyAx3Bcayv/Angela_White_-_23967656_-_ripnsfw.com_-_Rissa_May.mp4 https://lulustream.com/d/ngjiykqzc9ao Rissa May (2026) #MILF #BigTits #Hardcore #Black #RIPNSFW")</f>
        <v>{New} Angela White https://doodstream.com/d/etvtu8v6cgig/23967656 https://streamtape.com/v/G21vRyAx3Bcayv/Angela_White_-_23967656_-_ripnsfw.com_-_Rissa_May.mp4 https://lulustream.com/d/ngjiykqzc9ao Rissa May (2026) #MILF #BigTits #Hardcore #Black #RIPNSFW</v>
      </c>
      <c r="N149" s="14" t="s">
        <v>681</v>
      </c>
      <c r="O149" s="15" t="s">
        <v>789</v>
      </c>
      <c r="P149" s="14"/>
      <c r="Q149" s="6"/>
      <c r="R149" s="11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75">
      <c r="A150" s="12" t="s">
        <v>790</v>
      </c>
      <c r="B150" s="6" t="s">
        <v>14</v>
      </c>
      <c r="C150" s="7" t="str">
        <f t="shared" si="0"/>
        <v xml:space="preserve">Angela White </v>
      </c>
      <c r="D150" s="24" t="s">
        <v>791</v>
      </c>
      <c r="E150" s="25" t="s">
        <v>792</v>
      </c>
      <c r="F150" s="9" t="s">
        <v>793</v>
      </c>
      <c r="G150" s="10" t="e">
        <f t="shared" ca="1" si="1"/>
        <v>#NAME?</v>
      </c>
      <c r="H150" s="11" t="str">
        <f ca="1">IFERROR(__xludf.DUMMYFUNCTION("IFERROR(SUBSTITUTE(SUBSTITUTE(REGEXEXTRACT(A150, ""[^-]+- [^-]+- [^-]+ - (.+?)\.jpg""), "".jpg"", """"), ""-"", "", ""), """")"),"Angel Youngs")</f>
        <v>Angel Youngs</v>
      </c>
      <c r="I150" s="6"/>
      <c r="J150" s="7" t="str">
        <f t="shared" ca="1" si="2"/>
        <v>(2026)</v>
      </c>
      <c r="K150" s="7" t="str">
        <f t="shared" si="3"/>
        <v>25637668</v>
      </c>
      <c r="L150" s="12" t="s">
        <v>47</v>
      </c>
      <c r="M150" s="13" t="str">
        <f ca="1">IFERROR(__xludf.DUMMYFUNCTION("TRIM(
  REGEXREPLACE(
    TEXTJOIN("" "",
      TRUE,
      B150,
      C150,
      embaralharLinks(E150,F150,G150),
      H150,
      """",
      J150,
      N150,
      ""#RIPNSFW""
    ),
  "",\s*"", "" "")
)"),"{New} Angela White https://streamtape.com/v/4oqrBQg8GBUroo/Angela_White_-_25637668_-_Onlyfans_-_Angel_Youngs.mp4 https://lulustream.com/d/db942do72rsd https://doodstream.com/d/ly4wvue4rnjf/25637668 Angel Youngs (2026) #MILF #BigTits #Hardcore #Threesome #"&amp;"RIPNSFW")</f>
        <v>{New} Angela White https://streamtape.com/v/4oqrBQg8GBUroo/Angela_White_-_25637668_-_Onlyfans_-_Angel_Youngs.mp4 https://lulustream.com/d/db942do72rsd https://doodstream.com/d/ly4wvue4rnjf/25637668 Angel Youngs (2026) #MILF #BigTits #Hardcore #Threesome #RIPNSFW</v>
      </c>
      <c r="N150" s="2" t="s">
        <v>48</v>
      </c>
      <c r="O150" s="30" t="s">
        <v>794</v>
      </c>
      <c r="P150" s="26"/>
      <c r="R150" s="23"/>
      <c r="T150" s="6"/>
      <c r="U150" s="7"/>
    </row>
    <row r="151" spans="1:27" ht="12.75">
      <c r="A151" s="6" t="s">
        <v>795</v>
      </c>
      <c r="B151" s="6" t="s">
        <v>14</v>
      </c>
      <c r="C151" s="7" t="str">
        <f t="shared" si="0"/>
        <v xml:space="preserve">Angela White </v>
      </c>
      <c r="D151" s="6" t="s">
        <v>796</v>
      </c>
      <c r="E151" s="8" t="s">
        <v>797</v>
      </c>
      <c r="F151" s="9" t="s">
        <v>798</v>
      </c>
      <c r="G151" s="10" t="e">
        <f t="shared" ca="1" si="1"/>
        <v>#NAME?</v>
      </c>
      <c r="H151" s="11" t="str">
        <f ca="1">IFERROR(__xludf.DUMMYFUNCTION("IFERROR(SUBSTITUTE(SUBSTITUTE(REGEXEXTRACT(A151, ""[^-]+- [^-]+- [^-]+ - (.+?)\.jpg""), "".jpg"", """"), ""-"", "", ""), """")"),"")</f>
        <v/>
      </c>
      <c r="I151" s="6"/>
      <c r="J151" s="7" t="str">
        <f t="shared" ca="1" si="2"/>
        <v>(2026)</v>
      </c>
      <c r="K151" s="7" t="str">
        <f t="shared" si="3"/>
        <v>25752245</v>
      </c>
      <c r="L151" s="12" t="s">
        <v>799</v>
      </c>
      <c r="M151" s="13" t="str">
        <f ca="1">IFERROR(__xludf.DUMMYFUNCTION("TRIM(
  REGEXREPLACE(
    TEXTJOIN("" "",
      TRUE,
      B151,
      C151,
      embaralharLinks(E151,F151,G151),
      H151,
      """",
      J151,
      N151,
      ""#RIPNSFW""
    ),
  "",\s*"", "" "")
)"),"{New} Angela White https://streamtape.com/v/2PZPxzLJeMFZOeR/Angela_White_-_25752245_-_ripnsfw.com.mp4 https://doodstream.com/d/hrb6li11d9c5/25752245 https://lulustream.com/d/g6sxc9813kxn (2026) #Anal #MILF #BigTits #Hardcore #Bigass #Porn #Squirt #Blowjob"&amp;" #Deepthroat #Facial #RIPNSFW")</f>
        <v>{New} Angela White https://streamtape.com/v/2PZPxzLJeMFZOeR/Angela_White_-_25752245_-_ripnsfw.com.mp4 https://doodstream.com/d/hrb6li11d9c5/25752245 https://lulustream.com/d/g6sxc9813kxn (2026) #Anal #MILF #BigTits #Hardcore #Bigass #Porn #Squirt #Blowjob #Deepthroat #Facial #RIPNSFW</v>
      </c>
      <c r="N151" s="14" t="s">
        <v>800</v>
      </c>
      <c r="O151" s="15" t="s">
        <v>801</v>
      </c>
      <c r="P151" s="14"/>
      <c r="Q151" s="6"/>
      <c r="R151" s="11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75">
      <c r="A152" s="12" t="s">
        <v>802</v>
      </c>
      <c r="B152" s="6"/>
      <c r="C152" s="7" t="str">
        <f t="shared" si="0"/>
        <v xml:space="preserve">Angela White </v>
      </c>
      <c r="D152" s="24" t="s">
        <v>803</v>
      </c>
      <c r="E152" s="25" t="s">
        <v>804</v>
      </c>
      <c r="F152" s="9" t="s">
        <v>805</v>
      </c>
      <c r="G152" s="10" t="e">
        <f t="shared" ca="1" si="1"/>
        <v>#NAME?</v>
      </c>
      <c r="H152" s="11" t="str">
        <f ca="1">IFERROR(__xludf.DUMMYFUNCTION("IFERROR(SUBSTITUTE(SUBSTITUTE(REGEXEXTRACT(A152, ""[^-]+- [^-]+- [^-]+ - (.+?)\.jpg""), "".jpg"", """"), ""-"", "", ""), """")"),"")</f>
        <v/>
      </c>
      <c r="I152" s="6"/>
      <c r="J152" s="7" t="str">
        <f t="shared" ca="1" si="2"/>
        <v/>
      </c>
      <c r="K152" s="7" t="str">
        <f t="shared" si="3"/>
        <v>26849040</v>
      </c>
      <c r="L152" s="12" t="s">
        <v>127</v>
      </c>
      <c r="M152" s="13" t="str">
        <f ca="1">IFERROR(__xludf.DUMMYFUNCTION("TRIM(
  REGEXREPLACE(
    TEXTJOIN("" "",
      TRUE,
      B152,
      C152,
      embaralharLinks(E152,F152,G152),
      H152,
      """",
      J152,
      N152,
      ""#RIPNSFW""
    ),
  "",\s*"", "" "")
)"),"Angela White https://lulustream.com/d/ql05lhu0eahy https://streamtape.com/v/6mByvJ3MxxC9r2p/Angela_White_-_26849040_-_Onlyfans.mp4 https://doodstream.com/d/pyq5njdz12de/26849040 #MILF #BigTits #Hardcore #Bigass #RIPNSFW")</f>
        <v>Angela White https://lulustream.com/d/ql05lhu0eahy https://streamtape.com/v/6mByvJ3MxxC9r2p/Angela_White_-_26849040_-_Onlyfans.mp4 https://doodstream.com/d/pyq5njdz12de/26849040 #MILF #BigTits #Hardcore #Bigass #RIPNSFW</v>
      </c>
      <c r="N152" s="2" t="s">
        <v>128</v>
      </c>
      <c r="O152" s="30" t="s">
        <v>806</v>
      </c>
      <c r="P152" s="26"/>
      <c r="R152" s="23"/>
      <c r="T152" s="6"/>
      <c r="U152" s="7"/>
      <c r="Z152" s="12"/>
      <c r="AA152" s="12"/>
    </row>
    <row r="153" spans="1:27" ht="12.75">
      <c r="A153" s="6" t="s">
        <v>807</v>
      </c>
      <c r="B153" s="6" t="s">
        <v>14</v>
      </c>
      <c r="C153" s="7" t="str">
        <f t="shared" si="0"/>
        <v xml:space="preserve">Angela White </v>
      </c>
      <c r="D153" s="6" t="s">
        <v>808</v>
      </c>
      <c r="E153" s="8" t="s">
        <v>809</v>
      </c>
      <c r="F153" s="9" t="s">
        <v>810</v>
      </c>
      <c r="G153" s="10" t="e">
        <f t="shared" ca="1" si="1"/>
        <v>#NAME?</v>
      </c>
      <c r="H153" s="11" t="str">
        <f ca="1">IFERROR(__xludf.DUMMYFUNCTION("IFERROR(SUBSTITUTE(SUBSTITUTE(REGEXEXTRACT(A153, ""[^-]+- [^-]+- [^-]+ - (.+?)\.jpg""), "".jpg"", """"), ""-"", "", ""), """")"),"Rissa May")</f>
        <v>Rissa May</v>
      </c>
      <c r="I153" s="6"/>
      <c r="J153" s="7" t="str">
        <f t="shared" ca="1" si="2"/>
        <v>(2026)</v>
      </c>
      <c r="K153" s="7" t="str">
        <f t="shared" si="3"/>
        <v>27159838</v>
      </c>
      <c r="L153" s="12" t="s">
        <v>811</v>
      </c>
      <c r="M153" s="13" t="str">
        <f ca="1">IFERROR(__xludf.DUMMYFUNCTION("TRIM(
  REGEXREPLACE(
    TEXTJOIN("" "",
      TRUE,
      B153,
      C153,
      embaralharLinks(E153,F153,G153),
      H153,
      """",
      J153,
      N153,
      ""#RIPNSFW""
    ),
  "",\s*"", "" "")
)"),"{New} Angela White https://lulustream.com/d/4t8s1jq5rw8t https://streamtape.com/v/8KLbylgjkVSJrv/Angela_White_-_27159838_-_Onlyfans_-_Rissa_May.mp4 https://doodstream.com/d/a5s819di5jp0/27159838 Rissa May (2026) #MILF #Anal #BigTits #Hardcore #Threesome #"&amp;"Bigass #RIPNSFW")</f>
        <v>{New} Angela White https://lulustream.com/d/4t8s1jq5rw8t https://streamtape.com/v/8KLbylgjkVSJrv/Angela_White_-_27159838_-_Onlyfans_-_Rissa_May.mp4 https://doodstream.com/d/a5s819di5jp0/27159838 Rissa May (2026) #MILF #Anal #BigTits #Hardcore #Threesome #Bigass #RIPNSFW</v>
      </c>
      <c r="N153" s="14" t="s">
        <v>812</v>
      </c>
      <c r="O153" s="15" t="s">
        <v>813</v>
      </c>
      <c r="P153" s="14"/>
      <c r="Q153" s="6"/>
      <c r="R153" s="11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75">
      <c r="A154" s="16" t="s">
        <v>814</v>
      </c>
      <c r="B154" s="11" t="s">
        <v>14</v>
      </c>
      <c r="C154" s="13" t="str">
        <f t="shared" si="0"/>
        <v xml:space="preserve">Angela White </v>
      </c>
      <c r="D154" s="17" t="s">
        <v>815</v>
      </c>
      <c r="E154" s="18" t="s">
        <v>816</v>
      </c>
      <c r="F154" s="9" t="s">
        <v>817</v>
      </c>
      <c r="G154" s="10" t="e">
        <f t="shared" ca="1" si="1"/>
        <v>#NAME?</v>
      </c>
      <c r="H154" s="11" t="str">
        <f ca="1">IFERROR(__xludf.DUMMYFUNCTION("IFERROR(SUBSTITUTE(SUBSTITUTE(REGEXEXTRACT(A154, ""[^-]+- [^-]+- [^-]+ - (.+?)\.jpg""), "".jpg"", """"), ""-"", "", ""), """")"),"")</f>
        <v/>
      </c>
      <c r="I154" s="11"/>
      <c r="J154" s="7" t="str">
        <f t="shared" ca="1" si="2"/>
        <v>(2026)</v>
      </c>
      <c r="K154" s="13" t="str">
        <f t="shared" si="3"/>
        <v>35114411</v>
      </c>
      <c r="L154" s="12" t="s">
        <v>127</v>
      </c>
      <c r="M154" s="13" t="str">
        <f ca="1">IFERROR(__xludf.DUMMYFUNCTION("TRIM(
  REGEXREPLACE(
    TEXTJOIN("" "",
      TRUE,
      B154,
      C154,
      embaralharLinks(E154,F154,G154),
      H154,
      """",
      J154,
      N154,
      ""#RIPNSFW""
    ),
  "",\s*"", "" "")
)"),"{New} Angela White https://lulustream.com/d/myiyz69332fs https://doodstream.com/d/yu2kum2tsya3/35114411 https://streamtape.com/v/dPvQ4DPBqdSkmxx/Angela_White_-_35114411_-_Onlyfans (2026) #MILF #BigTits #Hardcore #Bigass #RIPNSFW")</f>
        <v>{New} Angela White https://lulustream.com/d/myiyz69332fs https://doodstream.com/d/yu2kum2tsya3/35114411 https://streamtape.com/v/dPvQ4DPBqdSkmxx/Angela_White_-_35114411_-_Onlyfans (2026) #MILF #BigTits #Hardcore #Bigass #RIPNSFW</v>
      </c>
      <c r="N154" s="2" t="s">
        <v>128</v>
      </c>
      <c r="O154" s="30" t="s">
        <v>818</v>
      </c>
      <c r="P154" s="26"/>
      <c r="R154" s="23"/>
      <c r="T154" s="11"/>
      <c r="U154" s="13"/>
    </row>
    <row r="155" spans="1:27" ht="12.75">
      <c r="A155" s="16" t="s">
        <v>819</v>
      </c>
      <c r="B155" s="11" t="s">
        <v>14</v>
      </c>
      <c r="C155" s="13" t="str">
        <f t="shared" si="0"/>
        <v xml:space="preserve">Angela White </v>
      </c>
      <c r="D155" s="17" t="s">
        <v>820</v>
      </c>
      <c r="E155" s="8" t="s">
        <v>821</v>
      </c>
      <c r="F155" s="9" t="s">
        <v>822</v>
      </c>
      <c r="G155" s="10" t="e">
        <f t="shared" ca="1" si="1"/>
        <v>#NAME?</v>
      </c>
      <c r="H155" s="11" t="str">
        <f ca="1">IFERROR(__xludf.DUMMYFUNCTION("IFERROR(SUBSTITUTE(SUBSTITUTE(REGEXEXTRACT(A155, ""[^-]+- [^-]+- [^-]+ - (.+?)\.jpg""), "".jpg"", """"), ""-"", "", ""), """")"),"")</f>
        <v/>
      </c>
      <c r="I155" s="11"/>
      <c r="J155" s="13" t="str">
        <f t="shared" ca="1" si="2"/>
        <v>(2026)</v>
      </c>
      <c r="K155" s="13" t="str">
        <f t="shared" si="3"/>
        <v>35508956</v>
      </c>
      <c r="L155" s="12" t="s">
        <v>47</v>
      </c>
      <c r="M155" s="13" t="str">
        <f ca="1">IFERROR(__xludf.DUMMYFUNCTION("TRIM(
  REGEXREPLACE(
    TEXTJOIN("" "",
      TRUE,
      B155,
      C155,
      embaralharLinks(E155,F155,G155),
      H155,
      """",
      J155,
      N155,
      ""#RIPNSFW""
    ),
  "",\s*"", "" "")
)"),"{New} Angela White https://streamtape.com/v/jkKyO91GmjS2Q1/Angela_White_-_35508956_-_Onlyfans https://doodstream.com/d/lzgud9mz3q9l/35508956 https://lulustream.com/d/x9r8otqqdryy (2026) #MILF #BigTits #Hardcore #Threesome #RIPNSFW")</f>
        <v>{New} Angela White https://streamtape.com/v/jkKyO91GmjS2Q1/Angela_White_-_35508956_-_Onlyfans https://doodstream.com/d/lzgud9mz3q9l/35508956 https://lulustream.com/d/x9r8otqqdryy (2026) #MILF #BigTits #Hardcore #Threesome #RIPNSFW</v>
      </c>
      <c r="N155" s="20" t="s">
        <v>48</v>
      </c>
      <c r="O155" s="30" t="s">
        <v>823</v>
      </c>
      <c r="P155" s="26"/>
      <c r="Q155" s="16"/>
      <c r="R155" s="23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75">
      <c r="A156" s="12" t="s">
        <v>824</v>
      </c>
      <c r="B156" s="6" t="s">
        <v>14</v>
      </c>
      <c r="C156" s="7" t="str">
        <f t="shared" si="0"/>
        <v xml:space="preserve">Angela White </v>
      </c>
      <c r="D156" s="24" t="s">
        <v>825</v>
      </c>
      <c r="E156" s="25" t="s">
        <v>826</v>
      </c>
      <c r="F156" s="9" t="s">
        <v>827</v>
      </c>
      <c r="G156" s="10" t="e">
        <f t="shared" ca="1" si="1"/>
        <v>#NAME?</v>
      </c>
      <c r="H156" s="11" t="str">
        <f ca="1">IFERROR(__xludf.DUMMYFUNCTION("IFERROR(SUBSTITUTE(SUBSTITUTE(REGEXEXTRACT(A156, ""[^-]+- [^-]+- [^-]+ - (.+?)\.jpg""), "".jpg"", """"), ""-"", "", ""), """")"),"Slimthick Vic")</f>
        <v>Slimthick Vic</v>
      </c>
      <c r="I156" s="6"/>
      <c r="J156" s="7" t="str">
        <f t="shared" ca="1" si="2"/>
        <v>(2026)</v>
      </c>
      <c r="K156" s="7" t="str">
        <f t="shared" si="3"/>
        <v>35786373</v>
      </c>
      <c r="L156" s="12" t="s">
        <v>47</v>
      </c>
      <c r="M156" s="13" t="str">
        <f ca="1">IFERROR(__xludf.DUMMYFUNCTION("TRIM(
  REGEXREPLACE(
    TEXTJOIN("" "",
      TRUE,
      B156,
      C156,
      embaralharLinks(E156,F156,G156),
      H156,
      """",
      J156,
      N156,
      ""#RIPNSFW""
    ),
  "",\s*"", "" "")
)"),"{New} Angela White https://streamtape.com/v/8BxmGVPP0eF8x2/Angela_White_-_35786373_-_Onlyfans_-_Slimthick_Vic.mp4 https://lulustream.com/d/m6e8e5o21zfh https://doodstream.com/d/lpbftcwxxpck/35786373 Slimthick Vic (2026) #MILF #BigTits #Hardcore #Threesome"&amp;" #RIPNSFW")</f>
        <v>{New} Angela White https://streamtape.com/v/8BxmGVPP0eF8x2/Angela_White_-_35786373_-_Onlyfans_-_Slimthick_Vic.mp4 https://lulustream.com/d/m6e8e5o21zfh https://doodstream.com/d/lpbftcwxxpck/35786373 Slimthick Vic (2026) #MILF #BigTits #Hardcore #Threesome #RIPNSFW</v>
      </c>
      <c r="N156" s="2" t="s">
        <v>48</v>
      </c>
      <c r="O156" s="30" t="s">
        <v>828</v>
      </c>
      <c r="P156" s="26"/>
      <c r="R156" s="23"/>
      <c r="T156" s="6"/>
      <c r="U156" s="7"/>
    </row>
    <row r="157" spans="1:27" ht="12.75">
      <c r="A157" s="12" t="s">
        <v>829</v>
      </c>
      <c r="B157" s="6" t="s">
        <v>14</v>
      </c>
      <c r="C157" s="7" t="str">
        <f t="shared" si="0"/>
        <v xml:space="preserve">Angela White </v>
      </c>
      <c r="D157" s="24" t="s">
        <v>830</v>
      </c>
      <c r="E157" s="25" t="s">
        <v>831</v>
      </c>
      <c r="F157" s="9" t="s">
        <v>832</v>
      </c>
      <c r="G157" s="10" t="e">
        <f t="shared" ca="1" si="1"/>
        <v>#NAME?</v>
      </c>
      <c r="H157" s="11" t="str">
        <f ca="1">IFERROR(__xludf.DUMMYFUNCTION("IFERROR(SUBSTITUTE(SUBSTITUTE(REGEXEXTRACT(A157, ""[^-]+- [^-]+- [^-]+ - (.+?)\.jpg""), "".jpg"", """"), ""-"", "", ""), """")"),"")</f>
        <v/>
      </c>
      <c r="I157" s="6"/>
      <c r="J157" s="7" t="str">
        <f t="shared" ca="1" si="2"/>
        <v>(2026)</v>
      </c>
      <c r="K157" s="7" t="str">
        <f t="shared" si="3"/>
        <v>36065019</v>
      </c>
      <c r="L157" s="12" t="s">
        <v>127</v>
      </c>
      <c r="M157" s="13" t="str">
        <f ca="1">IFERROR(__xludf.DUMMYFUNCTION("TRIM(
  REGEXREPLACE(
    TEXTJOIN("" "",
      TRUE,
      B157,
      C157,
      embaralharLinks(E157,F157,G157),
      H157,
      """",
      J157,
      N157,
      ""#RIPNSFW""
    ),
  "",\s*"", "" "")
)"),"{New} Angela White https://lulustream.com/d/9ojkh84iqyo3 https://doodstream.com/d/vkdxk8w1ssv9/36065019 https://streamtape.com/v/w7OOgWYeBvHJqyM/Angela_White_-_36065019_-_Onlyfans (2026) #MILF #BigTits #Hardcore #Bigass #RIPNSFW")</f>
        <v>{New} Angela White https://lulustream.com/d/9ojkh84iqyo3 https://doodstream.com/d/vkdxk8w1ssv9/36065019 https://streamtape.com/v/w7OOgWYeBvHJqyM/Angela_White_-_36065019_-_Onlyfans (2026) #MILF #BigTits #Hardcore #Bigass #RIPNSFW</v>
      </c>
      <c r="N157" s="2" t="s">
        <v>128</v>
      </c>
      <c r="O157" s="30" t="s">
        <v>833</v>
      </c>
      <c r="P157" s="26"/>
      <c r="R157" s="23"/>
      <c r="T157" s="6"/>
      <c r="U157" s="7"/>
    </row>
    <row r="158" spans="1:27" ht="12.75">
      <c r="A158" s="6" t="s">
        <v>834</v>
      </c>
      <c r="B158" s="6" t="s">
        <v>14</v>
      </c>
      <c r="C158" s="7" t="str">
        <f t="shared" si="0"/>
        <v xml:space="preserve">Angela White </v>
      </c>
      <c r="D158" s="6" t="s">
        <v>835</v>
      </c>
      <c r="E158" s="8" t="s">
        <v>836</v>
      </c>
      <c r="F158" s="9" t="s">
        <v>837</v>
      </c>
      <c r="G158" s="10" t="e">
        <f t="shared" ca="1" si="1"/>
        <v>#NAME?</v>
      </c>
      <c r="H158" s="11" t="str">
        <f ca="1">IFERROR(__xludf.DUMMYFUNCTION("IFERROR(SUBSTITUTE(SUBSTITUTE(REGEXEXTRACT(A158, ""[^-]+- [^-]+- [^-]+ - (.+?)\.jpg""), "".jpg"", """"), ""-"", "", ""), """")"),"Little Puck")</f>
        <v>Little Puck</v>
      </c>
      <c r="I158" s="6"/>
      <c r="J158" s="7" t="str">
        <f t="shared" ca="1" si="2"/>
        <v>(2026)</v>
      </c>
      <c r="K158" s="7" t="str">
        <f t="shared" si="3"/>
        <v>37542569</v>
      </c>
      <c r="L158" s="12" t="s">
        <v>838</v>
      </c>
      <c r="M158" s="13" t="str">
        <f ca="1">IFERROR(__xludf.DUMMYFUNCTION("TRIM(
  REGEXREPLACE(
    TEXTJOIN("" "",
      TRUE,
      B158,
      C158,
      embaralharLinks(E158,F158,G158),
      H158,
      """",
      J158,
      N158,
      ""#RIPNSFW""
    ),
  "",\s*"", "" "")
)"),"{New} Angela White https://lulustream.com/d/huem0c4wktlp https://streamtape.com/v/3dVRy7rYQAudO6Q/Angela_White_-_37542569_-_ripnsfw.com_-_Little_Puck.mp4 https://doodstream.com/d/pf8v8s4lm3nj/37542569 Little Puck (2026) #MILF #BigTits #Hardcore #Threesome"&amp;" #Bigass #Blowjob #RIPNSFW")</f>
        <v>{New} Angela White https://lulustream.com/d/huem0c4wktlp https://streamtape.com/v/3dVRy7rYQAudO6Q/Angela_White_-_37542569_-_ripnsfw.com_-_Little_Puck.mp4 https://doodstream.com/d/pf8v8s4lm3nj/37542569 Little Puck (2026) #MILF #BigTits #Hardcore #Threesome #Bigass #Blowjob #RIPNSFW</v>
      </c>
      <c r="N158" s="14" t="s">
        <v>839</v>
      </c>
      <c r="O158" s="15" t="s">
        <v>840</v>
      </c>
      <c r="P158" s="14"/>
      <c r="Q158" s="6"/>
      <c r="R158" s="11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75">
      <c r="A159" s="6" t="s">
        <v>841</v>
      </c>
      <c r="B159" s="6" t="s">
        <v>14</v>
      </c>
      <c r="C159" s="7" t="str">
        <f t="shared" si="0"/>
        <v xml:space="preserve">Angela White </v>
      </c>
      <c r="D159" s="6" t="s">
        <v>842</v>
      </c>
      <c r="E159" s="8" t="s">
        <v>843</v>
      </c>
      <c r="F159" s="9" t="s">
        <v>844</v>
      </c>
      <c r="G159" s="10" t="e">
        <f t="shared" ca="1" si="1"/>
        <v>#NAME?</v>
      </c>
      <c r="H159" s="11" t="str">
        <f ca="1">IFERROR(__xludf.DUMMYFUNCTION("IFERROR(SUBSTITUTE(SUBSTITUTE(REGEXEXTRACT(A159, ""[^-]+- [^-]+- [^-]+ - (.+?)\.jpg""), "".jpg"", """"), ""-"", "", ""), """")"),"Amber Bloom")</f>
        <v>Amber Bloom</v>
      </c>
      <c r="I159" s="6"/>
      <c r="J159" s="7" t="str">
        <f t="shared" ca="1" si="2"/>
        <v>(2026)</v>
      </c>
      <c r="K159" s="7" t="str">
        <f t="shared" si="3"/>
        <v>39465727</v>
      </c>
      <c r="L159" s="12" t="s">
        <v>845</v>
      </c>
      <c r="M159" s="13" t="str">
        <f ca="1">IFERROR(__xludf.DUMMYFUNCTION("TRIM(
  REGEXREPLACE(
    TEXTJOIN("" "",
      TRUE,
      B159,
      C159,
      embaralharLinks(E159,F159,G159),
      H159,
      """",
      J159,
      N159,
      ""#RIPNSFW""
    ),
  "",\s*"", "" "")
)"),"{New} Angela White https://lulustream.com/d/dhe033bsc1t2 https://doodstream.com/d/6ca67xn4a6r8/39465727 https://streamtape.com/v/QJyRR4zybac0Mm3/Angela_White_-_39465727_-_ripnsfw.com_-_Amber_Bloom.mp4 Amber Bloom (2026) #MILF #BigTits #Hardcore #Threesome"&amp;" #Bigass #Blowjob #RIPNSFW")</f>
        <v>{New} Angela White https://lulustream.com/d/dhe033bsc1t2 https://doodstream.com/d/6ca67xn4a6r8/39465727 https://streamtape.com/v/QJyRR4zybac0Mm3/Angela_White_-_39465727_-_ripnsfw.com_-_Amber_Bloom.mp4 Amber Bloom (2026) #MILF #BigTits #Hardcore #Threesome #Bigass #Blowjob #RIPNSFW</v>
      </c>
      <c r="N159" s="14" t="s">
        <v>839</v>
      </c>
      <c r="O159" s="15" t="s">
        <v>846</v>
      </c>
      <c r="P159" s="14"/>
      <c r="Q159" s="6"/>
      <c r="R159" s="11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75">
      <c r="A160" s="12" t="s">
        <v>847</v>
      </c>
      <c r="B160" s="6" t="s">
        <v>14</v>
      </c>
      <c r="C160" s="7" t="str">
        <f t="shared" si="0"/>
        <v xml:space="preserve">Angela White </v>
      </c>
      <c r="D160" s="24" t="s">
        <v>848</v>
      </c>
      <c r="E160" s="25" t="s">
        <v>849</v>
      </c>
      <c r="F160" s="9" t="s">
        <v>850</v>
      </c>
      <c r="G160" s="10" t="e">
        <f t="shared" ca="1" si="1"/>
        <v>#NAME?</v>
      </c>
      <c r="H160" s="11" t="str">
        <f ca="1">IFERROR(__xludf.DUMMYFUNCTION("IFERROR(SUBSTITUTE(SUBSTITUTE(REGEXEXTRACT(A160, ""[^-]+- [^-]+- [^-]+ - (.+?)\.jpg""), "".jpg"", """"), ""-"", "", ""), """")"),"")</f>
        <v/>
      </c>
      <c r="I160" s="6"/>
      <c r="J160" s="7" t="str">
        <f t="shared" ca="1" si="2"/>
        <v>(2026)</v>
      </c>
      <c r="K160" s="7" t="str">
        <f t="shared" si="3"/>
        <v>42471317</v>
      </c>
      <c r="L160" s="12" t="s">
        <v>127</v>
      </c>
      <c r="M160" s="13" t="str">
        <f ca="1">IFERROR(__xludf.DUMMYFUNCTION("TRIM(
  REGEXREPLACE(
    TEXTJOIN("" "",
      TRUE,
      B160,
      C160,
      embaralharLinks(E160,F160,G160),
      H160,
      """",
      J160,
      N160,
      ""#RIPNSFW""
    ),
  "",\s*"", "" "")
)"),"{New} Angela White https://doodstream.com/d/jkup9ro3bct1/42471317 https://streamtape.com/v/2OZ9qZwb8zuZOKP/Angela_White_-_42471317_-_Onlyfans https://lulustream.com/d/9p1ftv6y9hm0 (2026) #MILF #BigTits #Hardcore #Bigass #RIPNSFW")</f>
        <v>{New} Angela White https://doodstream.com/d/jkup9ro3bct1/42471317 https://streamtape.com/v/2OZ9qZwb8zuZOKP/Angela_White_-_42471317_-_Onlyfans https://lulustream.com/d/9p1ftv6y9hm0 (2026) #MILF #BigTits #Hardcore #Bigass #RIPNSFW</v>
      </c>
      <c r="N160" s="2" t="s">
        <v>128</v>
      </c>
      <c r="O160" s="30" t="s">
        <v>851</v>
      </c>
      <c r="P160" s="26"/>
      <c r="R160" s="23"/>
      <c r="T160" s="6"/>
      <c r="U160" s="7"/>
    </row>
    <row r="161" spans="1:27" ht="12.75">
      <c r="A161" s="6" t="s">
        <v>852</v>
      </c>
      <c r="B161" s="6" t="s">
        <v>14</v>
      </c>
      <c r="C161" s="7" t="str">
        <f t="shared" si="0"/>
        <v xml:space="preserve">Angela White </v>
      </c>
      <c r="D161" s="6" t="s">
        <v>853</v>
      </c>
      <c r="E161" s="8" t="s">
        <v>854</v>
      </c>
      <c r="F161" s="9" t="s">
        <v>855</v>
      </c>
      <c r="G161" s="10" t="e">
        <f t="shared" ca="1" si="1"/>
        <v>#NAME?</v>
      </c>
      <c r="H161" s="11" t="str">
        <f ca="1">IFERROR(__xludf.DUMMYFUNCTION("IFERROR(SUBSTITUTE(SUBSTITUTE(REGEXEXTRACT(A161, ""[^-]+- [^-]+- [^-]+ - (.+?)\.jpg""), "".jpg"", """"), ""-"", "", ""), """")"),"")</f>
        <v/>
      </c>
      <c r="I161" s="6"/>
      <c r="J161" s="7" t="str">
        <f t="shared" ca="1" si="2"/>
        <v>(2026)</v>
      </c>
      <c r="K161" s="7" t="str">
        <f t="shared" si="3"/>
        <v>42501148</v>
      </c>
      <c r="L161" s="12" t="s">
        <v>762</v>
      </c>
      <c r="M161" s="13" t="str">
        <f ca="1">IFERROR(__xludf.DUMMYFUNCTION("TRIM(
  REGEXREPLACE(
    TEXTJOIN("" "",
      TRUE,
      B161,
      C161,
      embaralharLinks(E161,F161,G161),
      H161,
      """",
      J161,
      N161,
      ""#RIPNSFW""
    ),
  "",\s*"", "" "")
)"),"{New} Angela White https://doodstream.com/d/z1d29ltfsjy6/42501148 https://lulustream.com/d/9l2fbrv1tyqu https://streamtape.com/v/eg82MGLVOjTYvYw/Angela_White_-_42501148_-_ripnsfw.com (2026) #BigTits #Hardcore #Bigass #Porn #RIPNSFW")</f>
        <v>{New} Angela White https://doodstream.com/d/z1d29ltfsjy6/42501148 https://lulustream.com/d/9l2fbrv1tyqu https://streamtape.com/v/eg82MGLVOjTYvYw/Angela_White_-_42501148_-_ripnsfw.com (2026) #BigTits #Hardcore #Bigass #Porn #RIPNSFW</v>
      </c>
      <c r="N161" s="14" t="s">
        <v>606</v>
      </c>
      <c r="O161" s="15" t="s">
        <v>856</v>
      </c>
      <c r="P161" s="14"/>
      <c r="Q161" s="6"/>
      <c r="R161" s="11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75">
      <c r="A162" s="6" t="s">
        <v>857</v>
      </c>
      <c r="B162" s="6" t="s">
        <v>14</v>
      </c>
      <c r="C162" s="7" t="str">
        <f t="shared" si="0"/>
        <v xml:space="preserve">Angela White </v>
      </c>
      <c r="D162" s="6" t="s">
        <v>858</v>
      </c>
      <c r="E162" s="8" t="s">
        <v>859</v>
      </c>
      <c r="F162" s="9" t="s">
        <v>860</v>
      </c>
      <c r="G162" s="10" t="e">
        <f t="shared" ca="1" si="1"/>
        <v>#NAME?</v>
      </c>
      <c r="H162" s="11" t="str">
        <f ca="1">IFERROR(__xludf.DUMMYFUNCTION("IFERROR(SUBSTITUTE(SUBSTITUTE(REGEXEXTRACT(A162, ""[^-]+- [^-]+- [^-]+ - (.+?)\.jpg""), "".jpg"", """"), ""-"", "", ""), """")"),"")</f>
        <v/>
      </c>
      <c r="I162" s="6"/>
      <c r="J162" s="7" t="str">
        <f t="shared" ca="1" si="2"/>
        <v>(2026)</v>
      </c>
      <c r="K162" s="7" t="str">
        <f t="shared" si="3"/>
        <v>43768388</v>
      </c>
      <c r="L162" s="12" t="s">
        <v>861</v>
      </c>
      <c r="M162" s="13" t="str">
        <f ca="1">IFERROR(__xludf.DUMMYFUNCTION("TRIM(
  REGEXREPLACE(
    TEXTJOIN("" "",
      TRUE,
      B162,
      C162,
      embaralharLinks(E162,F162,G162),
      H162,
      """",
      J162,
      N162,
      ""#RIPNSFW""
    ),
  "",\s*"", "" "")
)"),"{New} Angela White https://lulustream.com/d/k3a84ptetq7c https://streamtape.com/v/RXVPoXekpoFkox/Angela_White_-_43768388_-_ripnsfw.com.mp4 https://doodstream.com/d/2yno0omwi1pu/43768388 (2026) #MILF #BigTits #Blowjob #Amateur #Deepthroat #Facial #RIPNSFW")</f>
        <v>{New} Angela White https://lulustream.com/d/k3a84ptetq7c https://streamtape.com/v/RXVPoXekpoFkox/Angela_White_-_43768388_-_ripnsfw.com.mp4 https://doodstream.com/d/2yno0omwi1pu/43768388 (2026) #MILF #BigTits #Blowjob #Amateur #Deepthroat #Facial #RIPNSFW</v>
      </c>
      <c r="N162" s="14" t="s">
        <v>862</v>
      </c>
      <c r="O162" s="15" t="s">
        <v>863</v>
      </c>
      <c r="P162" s="14"/>
      <c r="Q162" s="6"/>
      <c r="R162" s="11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75">
      <c r="A163" s="12" t="s">
        <v>864</v>
      </c>
      <c r="B163" s="6" t="s">
        <v>14</v>
      </c>
      <c r="C163" s="7" t="str">
        <f t="shared" si="0"/>
        <v xml:space="preserve">Angela White </v>
      </c>
      <c r="D163" s="27" t="s">
        <v>865</v>
      </c>
      <c r="E163" s="28" t="s">
        <v>866</v>
      </c>
      <c r="F163" s="9" t="s">
        <v>867</v>
      </c>
      <c r="G163" s="10" t="e">
        <f t="shared" ca="1" si="1"/>
        <v>#NAME?</v>
      </c>
      <c r="H163" s="11" t="str">
        <f ca="1">IFERROR(__xludf.DUMMYFUNCTION("IFERROR(SUBSTITUTE(SUBSTITUTE(REGEXEXTRACT(A163, ""[^-]+- [^-]+- [^-]+ - (.+?)\.jpg""), "".jpg"", """"), ""-"", "", ""), """")"),"Violet Myers")</f>
        <v>Violet Myers</v>
      </c>
      <c r="I163" s="6"/>
      <c r="J163" s="7" t="str">
        <f t="shared" ca="1" si="2"/>
        <v>(2026)</v>
      </c>
      <c r="K163" s="7" t="str">
        <f t="shared" si="3"/>
        <v>44664461</v>
      </c>
      <c r="L163" s="12" t="s">
        <v>680</v>
      </c>
      <c r="M163" s="13" t="str">
        <f ca="1">IFERROR(__xludf.DUMMYFUNCTION("TRIM(
  REGEXREPLACE(
    TEXTJOIN("" "",
      TRUE,
      B163,
      C163,
      embaralharLinks(E163,F163,G163),
      H163,
      """",
      J163,
      N163,
      ""#RIPNSFW""
    ),
  "",\s*"", "" "")
)"),"{New} Angela White https://streamtape.com/v/ZJxwljXD6eSqJ09/Angela_White_-_44664461_-_Onlyfans_-_Violet_Myers.mp4 https://doodstream.com/d/fei05kff6bko/44664461 https://lulustream.com/d/ejyp2hapw9zj Violet Myers (2026) #MILF #BigTits #Hardcore #Black #RIP"&amp;"NSFW")</f>
        <v>{New} Angela White https://streamtape.com/v/ZJxwljXD6eSqJ09/Angela_White_-_44664461_-_Onlyfans_-_Violet_Myers.mp4 https://doodstream.com/d/fei05kff6bko/44664461 https://lulustream.com/d/ejyp2hapw9zj Violet Myers (2026) #MILF #BigTits #Hardcore #Black #RIPNSFW</v>
      </c>
      <c r="N163" s="2" t="s">
        <v>681</v>
      </c>
      <c r="O163" s="30" t="s">
        <v>868</v>
      </c>
      <c r="P163" s="26"/>
      <c r="R163" s="23"/>
    </row>
    <row r="164" spans="1:27" ht="12.75">
      <c r="A164" s="6" t="s">
        <v>869</v>
      </c>
      <c r="B164" s="6" t="s">
        <v>14</v>
      </c>
      <c r="C164" s="7" t="str">
        <f t="shared" si="0"/>
        <v xml:space="preserve">Angela White </v>
      </c>
      <c r="D164" s="24" t="s">
        <v>870</v>
      </c>
      <c r="E164" s="25" t="s">
        <v>871</v>
      </c>
      <c r="F164" s="9" t="s">
        <v>872</v>
      </c>
      <c r="G164" s="10" t="e">
        <f t="shared" ca="1" si="1"/>
        <v>#NAME?</v>
      </c>
      <c r="H164" s="11" t="str">
        <f ca="1">IFERROR(__xludf.DUMMYFUNCTION("IFERROR(SUBSTITUTE(SUBSTITUTE(REGEXEXTRACT(A164, ""[^-]+- [^-]+- [^-]+ - (.+?)\.jpg""), "".jpg"", """"), ""-"", "", ""), """")"),"")</f>
        <v/>
      </c>
      <c r="I164" s="6"/>
      <c r="J164" s="7" t="str">
        <f t="shared" ca="1" si="2"/>
        <v>(2026)</v>
      </c>
      <c r="K164" s="7" t="str">
        <f t="shared" si="3"/>
        <v>55230680</v>
      </c>
      <c r="L164" s="12" t="s">
        <v>127</v>
      </c>
      <c r="M164" s="13" t="str">
        <f ca="1">IFERROR(__xludf.DUMMYFUNCTION("TRIM(
  REGEXREPLACE(
    TEXTJOIN("" "",
      TRUE,
      B164,
      C164,
      embaralharLinks(E164,F164,G164),
      H164,
      """",
      J164,
      N164,
      ""#RIPNSFW""
    ),
  "",\s*"", "" "")
)"),"{New} Angela White https://streamtape.com/v/VdJw42Ly47tK7vX/Angela_White_-_55230680_-_Onlyfans_-_ripnfw.com https://lulustream.com/d/pui2tgrkmt9u https://doodstream.com/d/l5ny14fticbv/55230680 (2026) #MILF #BigTits #Hardcore #Bigass #RIPNSFW")</f>
        <v>{New} Angela White https://streamtape.com/v/VdJw42Ly47tK7vX/Angela_White_-_55230680_-_Onlyfans_-_ripnfw.com https://lulustream.com/d/pui2tgrkmt9u https://doodstream.com/d/l5ny14fticbv/55230680 (2026) #MILF #BigTits #Hardcore #Bigass #RIPNSFW</v>
      </c>
      <c r="N164" s="31" t="s">
        <v>128</v>
      </c>
      <c r="O164" s="15" t="s">
        <v>873</v>
      </c>
      <c r="P164" s="26"/>
      <c r="Q164" s="6"/>
      <c r="R164" s="11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75">
      <c r="A165" s="6" t="s">
        <v>874</v>
      </c>
      <c r="B165" s="6" t="s">
        <v>14</v>
      </c>
      <c r="C165" s="7" t="str">
        <f t="shared" si="0"/>
        <v xml:space="preserve">Angela White </v>
      </c>
      <c r="D165" s="24" t="s">
        <v>875</v>
      </c>
      <c r="E165" s="25" t="s">
        <v>876</v>
      </c>
      <c r="F165" s="9" t="s">
        <v>877</v>
      </c>
      <c r="G165" s="10" t="e">
        <f t="shared" ca="1" si="1"/>
        <v>#NAME?</v>
      </c>
      <c r="H165" s="11" t="str">
        <f ca="1">IFERROR(__xludf.DUMMYFUNCTION("IFERROR(SUBSTITUTE(SUBSTITUTE(REGEXEXTRACT(A165, ""[^-]+- [^-]+- [^-]+ - (.+?)\.jpg""), "".jpg"", """"), ""-"", "", ""), """")"),"")</f>
        <v/>
      </c>
      <c r="I165" s="6"/>
      <c r="J165" s="7" t="str">
        <f t="shared" ca="1" si="2"/>
        <v>(2026)</v>
      </c>
      <c r="K165" s="7" t="str">
        <f t="shared" si="3"/>
        <v>57030955</v>
      </c>
      <c r="L165" s="12" t="s">
        <v>127</v>
      </c>
      <c r="M165" s="13" t="str">
        <f ca="1">IFERROR(__xludf.DUMMYFUNCTION("TRIM(
  REGEXREPLACE(
    TEXTJOIN("" "",
      TRUE,
      B165,
      C165,
      embaralharLinks(E165,F165,G165),
      H165,
      """",
      J165,
      N165,
      ""#RIPNSFW""
    ),
  "",\s*"", "" "")
)"),"{New} Angela White https://streamtape.com/v/d89Kq7Rq6rSZAd/Angela_White_-_57030955_-_Onlyfans https://lulustream.com/d/zz0958fd9c4e https://doodstream.com/d/29fxsu9lwzfg/57030955 (2026) #MILF #BigTits #Hardcore #Bigass #RIPNSFW")</f>
        <v>{New} Angela White https://streamtape.com/v/d89Kq7Rq6rSZAd/Angela_White_-_57030955_-_Onlyfans https://lulustream.com/d/zz0958fd9c4e https://doodstream.com/d/29fxsu9lwzfg/57030955 (2026) #MILF #BigTits #Hardcore #Bigass #RIPNSFW</v>
      </c>
      <c r="N165" s="31" t="s">
        <v>128</v>
      </c>
      <c r="O165" s="32" t="s">
        <v>878</v>
      </c>
      <c r="P165" s="26"/>
      <c r="Q165" s="6"/>
      <c r="R165" s="23"/>
      <c r="S165" s="6"/>
      <c r="T165" s="6"/>
      <c r="U165" s="7"/>
      <c r="V165" s="6"/>
      <c r="X165" s="6"/>
      <c r="Y165" s="6"/>
      <c r="Z165" s="6"/>
      <c r="AA165" s="6"/>
    </row>
    <row r="166" spans="1:27" ht="12.75">
      <c r="A166" s="6" t="s">
        <v>879</v>
      </c>
      <c r="B166" s="6" t="s">
        <v>14</v>
      </c>
      <c r="C166" s="7" t="str">
        <f t="shared" si="0"/>
        <v xml:space="preserve">Angela White </v>
      </c>
      <c r="D166" s="24" t="s">
        <v>880</v>
      </c>
      <c r="E166" s="25" t="s">
        <v>881</v>
      </c>
      <c r="F166" s="9" t="s">
        <v>882</v>
      </c>
      <c r="G166" s="10" t="e">
        <f t="shared" ca="1" si="1"/>
        <v>#NAME?</v>
      </c>
      <c r="H166" s="11" t="str">
        <f ca="1">IFERROR(__xludf.DUMMYFUNCTION("IFERROR(SUBSTITUTE(SUBSTITUTE(REGEXEXTRACT(A166, ""[^-]+- [^-]+- [^-]+ - (.+?)\.jpg""), "".jpg"", """"), ""-"", "", ""), """")"),"")</f>
        <v/>
      </c>
      <c r="I166" s="6"/>
      <c r="J166" s="7" t="str">
        <f t="shared" ca="1" si="2"/>
        <v>(2026)</v>
      </c>
      <c r="K166" s="7" t="str">
        <f t="shared" si="3"/>
        <v>61068711</v>
      </c>
      <c r="L166" s="12" t="s">
        <v>127</v>
      </c>
      <c r="M166" s="13" t="str">
        <f ca="1">IFERROR(__xludf.DUMMYFUNCTION("TRIM(
  REGEXREPLACE(
    TEXTJOIN("" "",
      TRUE,
      B166,
      C166,
      embaralharLinks(E166,F166,G166),
      H166,
      """",
      J166,
      N166,
      ""#RIPNSFW""
    ),
  "",\s*"", "" "")
)"),"{New} Angela White https://doodstream.com/d/tmhpt2j0jncd/61068711 https://streamtape.com/v/dgVxyoDR3WIkWdg/Angela_White_-_61068711_-_Onlyfans.mp4 https://lulustream.com/d/akadjdas813c (2026) #MILF #BigTits #Hardcore #Bigass #RIPNSFW")</f>
        <v>{New} Angela White https://doodstream.com/d/tmhpt2j0jncd/61068711 https://streamtape.com/v/dgVxyoDR3WIkWdg/Angela_White_-_61068711_-_Onlyfans.mp4 https://lulustream.com/d/akadjdas813c (2026) #MILF #BigTits #Hardcore #Bigass #RIPNSFW</v>
      </c>
      <c r="N166" s="31" t="s">
        <v>128</v>
      </c>
      <c r="O166" s="32" t="s">
        <v>883</v>
      </c>
      <c r="P166" s="26"/>
      <c r="R166" s="23"/>
      <c r="T166" s="6"/>
      <c r="U166" s="7"/>
    </row>
    <row r="167" spans="1:27" ht="12.75">
      <c r="A167" s="6" t="s">
        <v>884</v>
      </c>
      <c r="B167" s="6" t="s">
        <v>14</v>
      </c>
      <c r="C167" s="7" t="str">
        <f t="shared" si="0"/>
        <v xml:space="preserve">Angela White </v>
      </c>
      <c r="D167" s="6" t="s">
        <v>885</v>
      </c>
      <c r="E167" s="8" t="s">
        <v>886</v>
      </c>
      <c r="F167" s="9" t="s">
        <v>887</v>
      </c>
      <c r="G167" s="10" t="e">
        <f t="shared" ca="1" si="1"/>
        <v>#NAME?</v>
      </c>
      <c r="H167" s="11" t="str">
        <f ca="1">IFERROR(__xludf.DUMMYFUNCTION("IFERROR(SUBSTITUTE(SUBSTITUTE(REGEXEXTRACT(A167, ""[^-]+- [^-]+- [^-]+ - (.+?)\.jpg""), "".jpg"", """"), ""-"", "", ""), """")"),"")</f>
        <v/>
      </c>
      <c r="I167" s="6"/>
      <c r="J167" s="7" t="str">
        <f t="shared" ca="1" si="2"/>
        <v>(2026)</v>
      </c>
      <c r="K167" s="7" t="str">
        <f t="shared" si="3"/>
        <v>61262797</v>
      </c>
      <c r="L167" s="12" t="s">
        <v>888</v>
      </c>
      <c r="M167" s="13" t="str">
        <f ca="1">IFERROR(__xludf.DUMMYFUNCTION("TRIM(
  REGEXREPLACE(
    TEXTJOIN("" "",
      TRUE,
      B167,
      C167,
      embaralharLinks(E167,F167,G167),
      H167,
      """",
      J167,
      N167,
      ""#RIPNSFW""
    ),
  "",\s*"", "" "")
)"),"{New} Angela White https://lulustream.com/d/qj5bakbdpd5d https://doodstream.com/d/8txt6b5cvvmr/61262797 https://streamtape.com/v/Zy9GdeMR0GiqLGB/Angela_White_-_61262797_-_ripnsfw.com (2026) #Anal #MILF #BigTits #Hardcore #Bigass #RIPNSFW")</f>
        <v>{New} Angela White https://lulustream.com/d/qj5bakbdpd5d https://doodstream.com/d/8txt6b5cvvmr/61262797 https://streamtape.com/v/Zy9GdeMR0GiqLGB/Angela_White_-_61262797_-_ripnsfw.com (2026) #Anal #MILF #BigTits #Hardcore #Bigass #RIPNSFW</v>
      </c>
      <c r="N167" s="14" t="s">
        <v>746</v>
      </c>
      <c r="O167" s="15" t="s">
        <v>889</v>
      </c>
      <c r="P167" s="14"/>
      <c r="Q167" s="6"/>
      <c r="R167" s="11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75">
      <c r="A168" s="12" t="s">
        <v>890</v>
      </c>
      <c r="B168" s="6" t="s">
        <v>14</v>
      </c>
      <c r="C168" s="7" t="str">
        <f t="shared" si="0"/>
        <v xml:space="preserve">Angela White </v>
      </c>
      <c r="D168" s="24" t="s">
        <v>891</v>
      </c>
      <c r="E168" s="25" t="s">
        <v>892</v>
      </c>
      <c r="F168" s="9" t="s">
        <v>893</v>
      </c>
      <c r="G168" s="10" t="e">
        <f t="shared" ca="1" si="1"/>
        <v>#NAME?</v>
      </c>
      <c r="H168" s="11" t="str">
        <f ca="1">IFERROR(__xludf.DUMMYFUNCTION("IFERROR(SUBSTITUTE(SUBSTITUTE(REGEXEXTRACT(A168, ""[^-]+- [^-]+- [^-]+ - (.+?)\.jpg""), "".jpg"", """"), ""-"", "", ""), """")"),"Lucy Lotus")</f>
        <v>Lucy Lotus</v>
      </c>
      <c r="I168" s="6"/>
      <c r="J168" s="7" t="str">
        <f t="shared" ca="1" si="2"/>
        <v>(2026)</v>
      </c>
      <c r="K168" s="7" t="str">
        <f t="shared" si="3"/>
        <v>62235682</v>
      </c>
      <c r="L168" s="12" t="s">
        <v>127</v>
      </c>
      <c r="M168" s="13" t="str">
        <f ca="1">IFERROR(__xludf.DUMMYFUNCTION("TRIM(
  REGEXREPLACE(
    TEXTJOIN("" "",
      TRUE,
      B168,
      C168,
      embaralharLinks(E168,F168,G168),
      H168,
      """",
      J168,
      N168,
      ""#RIPNSFW""
    ),
  "",\s*"", "" "")
)"),"{New} Angela White https://streamtape.com/v/q88lBOPgkyfzzG0/Angela_White_-_62235682_-_Onlyfans_-_Lucy_Lotus.mp4 https://doodstream.com/d/ij07rgr8p3og/62235682 https://lulustream.com/d/t1x6vfidsfhk Lucy Lotus (2026) #MILF #BigTits #Hardcore #Bigass #RIPNSF"&amp;"W")</f>
        <v>{New} Angela White https://streamtape.com/v/q88lBOPgkyfzzG0/Angela_White_-_62235682_-_Onlyfans_-_Lucy_Lotus.mp4 https://doodstream.com/d/ij07rgr8p3og/62235682 https://lulustream.com/d/t1x6vfidsfhk Lucy Lotus (2026) #MILF #BigTits #Hardcore #Bigass #RIPNSFW</v>
      </c>
      <c r="N168" s="2" t="s">
        <v>128</v>
      </c>
      <c r="O168" s="21" t="s">
        <v>894</v>
      </c>
      <c r="P168" s="26"/>
      <c r="R168" s="23"/>
      <c r="T168" s="6"/>
      <c r="U168" s="7"/>
    </row>
    <row r="169" spans="1:27" ht="12.75">
      <c r="A169" s="6" t="s">
        <v>895</v>
      </c>
      <c r="B169" s="6" t="s">
        <v>14</v>
      </c>
      <c r="C169" s="7" t="str">
        <f t="shared" si="0"/>
        <v xml:space="preserve">Angela White </v>
      </c>
      <c r="D169" s="6" t="s">
        <v>896</v>
      </c>
      <c r="E169" s="8" t="s">
        <v>897</v>
      </c>
      <c r="F169" s="9" t="s">
        <v>898</v>
      </c>
      <c r="G169" s="10" t="e">
        <f t="shared" ca="1" si="1"/>
        <v>#NAME?</v>
      </c>
      <c r="H169" s="11" t="str">
        <f ca="1">IFERROR(__xludf.DUMMYFUNCTION("IFERROR(SUBSTITUTE(SUBSTITUTE(REGEXEXTRACT(A169, ""[^-]+- [^-]+- [^-]+ - (.+?)\.jpg""), "".jpg"", """"), ""-"", "", ""), """")"),"")</f>
        <v/>
      </c>
      <c r="I169" s="6"/>
      <c r="J169" s="7" t="str">
        <f t="shared" ca="1" si="2"/>
        <v>(2026)</v>
      </c>
      <c r="K169" s="7" t="str">
        <f t="shared" si="3"/>
        <v>63666132</v>
      </c>
      <c r="L169" s="12" t="s">
        <v>899</v>
      </c>
      <c r="M169" s="13" t="str">
        <f ca="1">IFERROR(__xludf.DUMMYFUNCTION("TRIM(
  REGEXREPLACE(
    TEXTJOIN("" "",
      TRUE,
      B169,
      C169,
      embaralharLinks(E169,F169,G169),
      H169,
      """",
      J169,
      N169,
      ""#RIPNSFW""
    ),
  "",\s*"", "" "")
)"),"{New} Angela White https://doodstream.com/d/h6wco40s24go/63666132 https://streamtape.com/v/7dk2J8pGr0TAgmJ/Angela_White_-_63666132_-_ripnsfw.com.mp4 https://lulustream.com/d/0dnfoxjoam4n (2026) #MILF #BigTits #Hardcore #Bigass #RIPNSFW")</f>
        <v>{New} Angela White https://doodstream.com/d/h6wco40s24go/63666132 https://streamtape.com/v/7dk2J8pGr0TAgmJ/Angela_White_-_63666132_-_ripnsfw.com.mp4 https://lulustream.com/d/0dnfoxjoam4n (2026) #MILF #BigTits #Hardcore #Bigass #RIPNSFW</v>
      </c>
      <c r="N169" s="14" t="s">
        <v>128</v>
      </c>
      <c r="O169" s="15" t="s">
        <v>900</v>
      </c>
      <c r="P169" s="14"/>
      <c r="Q169" s="6"/>
      <c r="R169" s="11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75">
      <c r="A170" s="6" t="s">
        <v>901</v>
      </c>
      <c r="B170" s="6" t="s">
        <v>14</v>
      </c>
      <c r="C170" s="7" t="str">
        <f t="shared" si="0"/>
        <v xml:space="preserve">Angela White </v>
      </c>
      <c r="D170" s="6" t="s">
        <v>902</v>
      </c>
      <c r="E170" s="8" t="s">
        <v>903</v>
      </c>
      <c r="F170" s="9" t="s">
        <v>904</v>
      </c>
      <c r="G170" s="10" t="e">
        <f t="shared" ca="1" si="1"/>
        <v>#NAME?</v>
      </c>
      <c r="H170" s="11" t="str">
        <f ca="1">IFERROR(__xludf.DUMMYFUNCTION("IFERROR(SUBSTITUTE(SUBSTITUTE(REGEXEXTRACT(A170, ""[^-]+- [^-]+- [^-]+ - (.+?)\.jpg""), "".jpg"", """"), ""-"", "", ""), """")"),"Violet Myers")</f>
        <v>Violet Myers</v>
      </c>
      <c r="I170" s="6"/>
      <c r="J170" s="7" t="str">
        <f t="shared" ca="1" si="2"/>
        <v>(2026)</v>
      </c>
      <c r="K170" s="7" t="str">
        <f t="shared" si="3"/>
        <v>65701953</v>
      </c>
      <c r="L170" s="12" t="s">
        <v>905</v>
      </c>
      <c r="M170" s="13" t="str">
        <f ca="1">IFERROR(__xludf.DUMMYFUNCTION("TRIM(
  REGEXREPLACE(
    TEXTJOIN("" "",
      TRUE,
      B170,
      C170,
      embaralharLinks(E170,F170,G170),
      H170,
      """",
      J170,
      N170,
      ""#RIPNSFW""
    ),
  "",\s*"", "" "")
)"),"{New} Angela White https://lulustream.com/d/q54azfr0ver6 https://doodstream.com/d/kan5dgupl9ho/65701953 https://streamtape.com/v/6QoxK9Bqv3U9Mvl/Angela_White_-_65701953_-_ripnsfw.com_-_Violet_Myers.mp4 Violet Myers (2026) #MILF #BigTits #Lesbian #Bigass #"&amp;"Roleplay #RIPNSFW")</f>
        <v>{New} Angela White https://lulustream.com/d/q54azfr0ver6 https://doodstream.com/d/kan5dgupl9ho/65701953 https://streamtape.com/v/6QoxK9Bqv3U9Mvl/Angela_White_-_65701953_-_ripnsfw.com_-_Violet_Myers.mp4 Violet Myers (2026) #MILF #BigTits #Lesbian #Bigass #Roleplay #RIPNSFW</v>
      </c>
      <c r="N170" s="14" t="s">
        <v>906</v>
      </c>
      <c r="O170" s="15" t="s">
        <v>907</v>
      </c>
      <c r="P170" s="14"/>
      <c r="Q170" s="6"/>
      <c r="R170" s="11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75">
      <c r="A171" s="12" t="s">
        <v>908</v>
      </c>
      <c r="B171" s="6" t="s">
        <v>14</v>
      </c>
      <c r="C171" s="7" t="str">
        <f t="shared" si="0"/>
        <v xml:space="preserve">Angela White </v>
      </c>
      <c r="D171" s="24" t="s">
        <v>909</v>
      </c>
      <c r="E171" s="25" t="s">
        <v>910</v>
      </c>
      <c r="F171" s="9" t="s">
        <v>911</v>
      </c>
      <c r="G171" s="10" t="e">
        <f t="shared" ca="1" si="1"/>
        <v>#NAME?</v>
      </c>
      <c r="H171" s="11" t="str">
        <f ca="1">IFERROR(__xludf.DUMMYFUNCTION("IFERROR(SUBSTITUTE(SUBSTITUTE(REGEXEXTRACT(A171, ""[^-]+- [^-]+- [^-]+ - (.+?)\.jpg""), "".jpg"", """"), ""-"", "", ""), """")"),"Mia Malkova ,  Riley Reid")</f>
        <v>Mia Malkova ,  Riley Reid</v>
      </c>
      <c r="I171" s="6"/>
      <c r="J171" s="7" t="str">
        <f t="shared" ca="1" si="2"/>
        <v>(2026)</v>
      </c>
      <c r="K171" s="7" t="str">
        <f t="shared" si="3"/>
        <v>66371349</v>
      </c>
      <c r="L171" s="12" t="s">
        <v>127</v>
      </c>
      <c r="M171" s="13" t="str">
        <f ca="1">IFERROR(__xludf.DUMMYFUNCTION("TRIM(
  REGEXREPLACE(
    TEXTJOIN("" "",
      TRUE,
      B171,
      C171,
      embaralharLinks(E171,F171,G171),
      H171,
      """",
      J171,
      N171,
      ""#RIPNSFW""
    ),
  "",\s*"", "" "")
)"),"{New} Angela White https://lulustream.com/d/t138hn497csr https://streamtape.com/v/4PXaGXgKbXhKaoX/Angela_White_-_66371349_-_Onlyfans_-_Mia_Malkova_-_Riley_Reid.mp4 https://doodstream.com/d/npixfhibhnob/66371349 Mia Malkova Riley Reid (2026) #MILF #BigTits"&amp;" #Hardcore #Bigass #RIPNSFW")</f>
        <v>{New} Angela White https://lulustream.com/d/t138hn497csr https://streamtape.com/v/4PXaGXgKbXhKaoX/Angela_White_-_66371349_-_Onlyfans_-_Mia_Malkova_-_Riley_Reid.mp4 https://doodstream.com/d/npixfhibhnob/66371349 Mia Malkova Riley Reid (2026) #MILF #BigTits #Hardcore #Bigass #RIPNSFW</v>
      </c>
      <c r="N171" s="2" t="s">
        <v>128</v>
      </c>
      <c r="O171" s="30" t="s">
        <v>912</v>
      </c>
      <c r="P171" s="26"/>
      <c r="R171" s="23"/>
      <c r="T171" s="6"/>
      <c r="U171" s="7"/>
    </row>
    <row r="172" spans="1:27" ht="12.75">
      <c r="A172" s="12" t="s">
        <v>913</v>
      </c>
      <c r="B172" s="6" t="s">
        <v>14</v>
      </c>
      <c r="C172" s="7" t="str">
        <f t="shared" si="0"/>
        <v xml:space="preserve">Angela White </v>
      </c>
      <c r="D172" s="24" t="s">
        <v>914</v>
      </c>
      <c r="E172" s="25" t="s">
        <v>915</v>
      </c>
      <c r="F172" s="9" t="s">
        <v>916</v>
      </c>
      <c r="G172" s="10" t="e">
        <f t="shared" ca="1" si="1"/>
        <v>#NAME?</v>
      </c>
      <c r="H172" s="11" t="str">
        <f ca="1">IFERROR(__xludf.DUMMYFUNCTION("IFERROR(SUBSTITUTE(SUBSTITUTE(REGEXEXTRACT(A172, ""[^-]+- [^-]+- [^-]+ - (.+?)\.jpg""), "".jpg"", """"), ""-"", "", ""), """")"),"")</f>
        <v/>
      </c>
      <c r="I172" s="6"/>
      <c r="J172" s="7" t="str">
        <f t="shared" ca="1" si="2"/>
        <v>(2026)</v>
      </c>
      <c r="K172" s="7" t="str">
        <f t="shared" si="3"/>
        <v>67538070</v>
      </c>
      <c r="L172" s="12" t="s">
        <v>127</v>
      </c>
      <c r="M172" s="13" t="str">
        <f ca="1">IFERROR(__xludf.DUMMYFUNCTION("TRIM(
  REGEXREPLACE(
    TEXTJOIN("" "",
      TRUE,
      B172,
      C172,
      embaralharLinks(E172,F172,G172),
      H172,
      """",
      J172,
      N172,
      ""#RIPNSFW""
    ),
  "",\s*"", "" "")
)"),"{New} Angela White https://doodstream.com/d/96f86larrcbv/67538070 https://lulustream.com/d/zilhhrybkpvc https://streamtape.com/v/dkoXPKwBa7Tkx6R/Angela_White_-_67538070_-_Onlyfans (2026) #MILF #BigTits #Hardcore #Bigass #RIPNSFW")</f>
        <v>{New} Angela White https://doodstream.com/d/96f86larrcbv/67538070 https://lulustream.com/d/zilhhrybkpvc https://streamtape.com/v/dkoXPKwBa7Tkx6R/Angela_White_-_67538070_-_Onlyfans (2026) #MILF #BigTits #Hardcore #Bigass #RIPNSFW</v>
      </c>
      <c r="N172" s="2" t="s">
        <v>128</v>
      </c>
      <c r="O172" s="30" t="s">
        <v>917</v>
      </c>
      <c r="P172" s="26"/>
      <c r="R172" s="23"/>
    </row>
    <row r="173" spans="1:27" ht="12.75">
      <c r="A173" s="12" t="s">
        <v>918</v>
      </c>
      <c r="B173" s="6" t="s">
        <v>14</v>
      </c>
      <c r="C173" s="7" t="str">
        <f t="shared" si="0"/>
        <v xml:space="preserve">Angela White </v>
      </c>
      <c r="D173" s="24" t="s">
        <v>919</v>
      </c>
      <c r="E173" s="25" t="s">
        <v>920</v>
      </c>
      <c r="F173" s="9" t="s">
        <v>921</v>
      </c>
      <c r="G173" s="10" t="e">
        <f t="shared" ca="1" si="1"/>
        <v>#NAME?</v>
      </c>
      <c r="H173" s="11" t="str">
        <f ca="1">IFERROR(__xludf.DUMMYFUNCTION("IFERROR(SUBSTITUTE(SUBSTITUTE(REGEXEXTRACT(A173, ""[^-]+- [^-]+- [^-]+ - (.+?)\.jpg""), "".jpg"", """"), ""-"", "", ""), """")"),"")</f>
        <v/>
      </c>
      <c r="I173" s="6"/>
      <c r="J173" s="7" t="str">
        <f t="shared" ca="1" si="2"/>
        <v>(2026)</v>
      </c>
      <c r="K173" s="7" t="str">
        <f t="shared" si="3"/>
        <v>68398268</v>
      </c>
      <c r="L173" s="12" t="s">
        <v>127</v>
      </c>
      <c r="M173" s="13" t="str">
        <f ca="1">IFERROR(__xludf.DUMMYFUNCTION("TRIM(
  REGEXREPLACE(
    TEXTJOIN("" "",
      TRUE,
      B173,
      C173,
      embaralharLinks(E173,F173,G173),
      H173,
      """",
      J173,
      N173,
      ""#RIPNSFW""
    ),
  "",\s*"", "" "")
)"),"{New} Angela White https://streamtape.com/v/A1gZBoxDoQFX0mj/Angela_White_-_68398268_-_Onlyfans https://lulustream.com/d/pk1dp2q8ptq3 https://doodstream.com/d/kjbuin47yk73/68398268 (2026) #MILF #BigTits #Hardcore #Bigass #RIPNSFW")</f>
        <v>{New} Angela White https://streamtape.com/v/A1gZBoxDoQFX0mj/Angela_White_-_68398268_-_Onlyfans https://lulustream.com/d/pk1dp2q8ptq3 https://doodstream.com/d/kjbuin47yk73/68398268 (2026) #MILF #BigTits #Hardcore #Bigass #RIPNSFW</v>
      </c>
      <c r="N173" s="2" t="s">
        <v>128</v>
      </c>
      <c r="O173" s="30" t="s">
        <v>922</v>
      </c>
      <c r="P173" s="26"/>
      <c r="R173" s="23"/>
      <c r="T173" s="6"/>
      <c r="U173" s="7"/>
    </row>
    <row r="174" spans="1:27" ht="12.75">
      <c r="A174" s="6" t="s">
        <v>923</v>
      </c>
      <c r="B174" s="6" t="s">
        <v>14</v>
      </c>
      <c r="C174" s="7" t="str">
        <f t="shared" si="0"/>
        <v xml:space="preserve">Angela White </v>
      </c>
      <c r="D174" s="29" t="s">
        <v>924</v>
      </c>
      <c r="E174" s="8" t="s">
        <v>925</v>
      </c>
      <c r="F174" s="9" t="s">
        <v>926</v>
      </c>
      <c r="G174" s="10" t="e">
        <f t="shared" ca="1" si="1"/>
        <v>#NAME?</v>
      </c>
      <c r="H174" s="11" t="str">
        <f ca="1">IFERROR(__xludf.DUMMYFUNCTION("IFERROR(SUBSTITUTE(SUBSTITUTE(REGEXEXTRACT(A174, ""[^-]+- [^-]+- [^-]+ - (.+?)\.jpg""), "".jpg"", """"), ""-"", "", ""), """")"),"")</f>
        <v/>
      </c>
      <c r="I174" s="6"/>
      <c r="J174" s="7" t="str">
        <f t="shared" ca="1" si="2"/>
        <v>(2026)</v>
      </c>
      <c r="K174" s="7" t="str">
        <f t="shared" si="3"/>
        <v>68460886</v>
      </c>
      <c r="L174" s="12" t="s">
        <v>927</v>
      </c>
      <c r="M174" s="13" t="str">
        <f ca="1">IFERROR(__xludf.DUMMYFUNCTION("TRIM(
  REGEXREPLACE(
    TEXTJOIN("" "",
      TRUE,
      B174,
      C174,
      embaralharLinks(E174,F174,G174),
      H174,
      """",
      J174,
      N174,
      ""#RIPNSFW""
    ),
  "",\s*"", "" "")
)"),"{New} Angela White https://doodstream.com/d/605bqv3syzu2/68460886 https://lulustream.com/d/7s6ms050wykm https://streamtape.com/v/VVO3BmgqBYik7z/Angela_White_-_68460886_-_Onlyfans.mp4 (2026) #Anal #MILF #BigTits #Hardcore #Threesome #RIPNSFW")</f>
        <v>{New} Angela White https://doodstream.com/d/605bqv3syzu2/68460886 https://lulustream.com/d/7s6ms050wykm https://streamtape.com/v/VVO3BmgqBYik7z/Angela_White_-_68460886_-_Onlyfans.mp4 (2026) #Anal #MILF #BigTits #Hardcore #Threesome #RIPNSFW</v>
      </c>
      <c r="N174" s="14" t="s">
        <v>928</v>
      </c>
      <c r="O174" s="32" t="s">
        <v>929</v>
      </c>
      <c r="P174" s="14"/>
      <c r="Q174" s="6"/>
      <c r="R174" s="11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75">
      <c r="A175" s="6" t="s">
        <v>930</v>
      </c>
      <c r="B175" s="6" t="s">
        <v>14</v>
      </c>
      <c r="C175" s="7" t="str">
        <f t="shared" si="0"/>
        <v xml:space="preserve">Angela White </v>
      </c>
      <c r="D175" s="6" t="s">
        <v>931</v>
      </c>
      <c r="E175" s="8" t="s">
        <v>932</v>
      </c>
      <c r="F175" s="9" t="s">
        <v>933</v>
      </c>
      <c r="G175" s="10" t="e">
        <f t="shared" ca="1" si="1"/>
        <v>#NAME?</v>
      </c>
      <c r="H175" s="11" t="str">
        <f ca="1">IFERROR(__xludf.DUMMYFUNCTION("IFERROR(SUBSTITUTE(SUBSTITUTE(REGEXEXTRACT(A175, ""[^-]+- [^-]+- [^-]+ - (.+?)\.jpg""), "".jpg"", """"), ""-"", "", ""), """")"),"Violet Myers ,  Angel Youngs")</f>
        <v>Violet Myers ,  Angel Youngs</v>
      </c>
      <c r="I175" s="6"/>
      <c r="J175" s="7" t="str">
        <f t="shared" ca="1" si="2"/>
        <v>(2026)</v>
      </c>
      <c r="K175" s="7" t="str">
        <f t="shared" si="3"/>
        <v>70555106</v>
      </c>
      <c r="L175" s="12" t="s">
        <v>934</v>
      </c>
      <c r="M175" s="13" t="str">
        <f ca="1">IFERROR(__xludf.DUMMYFUNCTION("TRIM(
  REGEXREPLACE(
    TEXTJOIN("" "",
      TRUE,
      B175,
      C175,
      embaralharLinks(E175,F175,G175),
      H175,
      """",
      J175,
      N175,
      ""#RIPNSFW""
    ),
  "",\s*"", "" "")
)"),"{New} Angela White https://doodstream.com/d/t0dxbaxa8ave/70555106 https://lulustream.com/d/f084c2km5m7n https://streamtape.com/v/86JYeeoBkrFopzJ/Angela_White_-_70555106_-_ripnsfw.com_-_Violet_Myers_-_Angel_Youngs.mp4 Violet Myers Angel Youngs (2026) #MILF"&amp;" #BigTits #Threesome #Bigass #RIPNSFW")</f>
        <v>{New} Angela White https://doodstream.com/d/t0dxbaxa8ave/70555106 https://lulustream.com/d/f084c2km5m7n https://streamtape.com/v/86JYeeoBkrFopzJ/Angela_White_-_70555106_-_ripnsfw.com_-_Violet_Myers_-_Angel_Youngs.mp4 Violet Myers Angel Youngs (2026) #MILF #BigTits #Threesome #Bigass #RIPNSFW</v>
      </c>
      <c r="N175" s="14" t="s">
        <v>935</v>
      </c>
      <c r="O175" s="15" t="s">
        <v>936</v>
      </c>
      <c r="P175" s="14"/>
      <c r="Q175" s="6"/>
      <c r="R175" s="11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75">
      <c r="A176" s="12" t="s">
        <v>937</v>
      </c>
      <c r="B176" s="6" t="s">
        <v>14</v>
      </c>
      <c r="C176" s="7" t="str">
        <f t="shared" si="0"/>
        <v xml:space="preserve">Angela White </v>
      </c>
      <c r="D176" s="24" t="s">
        <v>938</v>
      </c>
      <c r="E176" s="25" t="s">
        <v>939</v>
      </c>
      <c r="F176" s="9" t="s">
        <v>940</v>
      </c>
      <c r="G176" s="10" t="e">
        <f t="shared" ca="1" si="1"/>
        <v>#NAME?</v>
      </c>
      <c r="H176" s="11" t="str">
        <f ca="1">IFERROR(__xludf.DUMMYFUNCTION("IFERROR(SUBSTITUTE(SUBSTITUTE(REGEXEXTRACT(A176, ""[^-]+- [^-]+- [^-]+ - (.+?)\.jpg""), "".jpg"", """"), ""-"", "", ""), """")"),"")</f>
        <v/>
      </c>
      <c r="I176" s="6"/>
      <c r="J176" s="7" t="str">
        <f t="shared" ca="1" si="2"/>
        <v>(2026)</v>
      </c>
      <c r="K176" s="7" t="str">
        <f t="shared" si="3"/>
        <v>74594738</v>
      </c>
      <c r="L176" s="12" t="s">
        <v>127</v>
      </c>
      <c r="M176" s="13" t="str">
        <f ca="1">IFERROR(__xludf.DUMMYFUNCTION("TRIM(
  REGEXREPLACE(
    TEXTJOIN("" "",
      TRUE,
      B176,
      C176,
      embaralharLinks(E176,F176,G176),
      H176,
      """",
      J176,
      N176,
      ""#RIPNSFW""
    ),
  "",\s*"", "" "")
)"),"{New} Angela White https://lulustream.com/d/h0mr2lj8h8ho https://doodstream.com/d/0z8aai2lc39i/74594738 https://streamtape.com/v/7bJbajZoalSRp9/Angela_White_-_74594738_-_Onlyfans (2026) #MILF #BigTits #Hardcore #Bigass #RIPNSFW")</f>
        <v>{New} Angela White https://lulustream.com/d/h0mr2lj8h8ho https://doodstream.com/d/0z8aai2lc39i/74594738 https://streamtape.com/v/7bJbajZoalSRp9/Angela_White_-_74594738_-_Onlyfans (2026) #MILF #BigTits #Hardcore #Bigass #RIPNSFW</v>
      </c>
      <c r="N176" s="2" t="s">
        <v>128</v>
      </c>
      <c r="O176" s="30" t="s">
        <v>941</v>
      </c>
      <c r="P176" s="26"/>
      <c r="R176" s="23"/>
      <c r="T176" s="6"/>
      <c r="U176" s="7"/>
    </row>
    <row r="177" spans="1:27" ht="12.75">
      <c r="A177" s="6" t="s">
        <v>942</v>
      </c>
      <c r="B177" s="6" t="s">
        <v>14</v>
      </c>
      <c r="C177" s="7" t="str">
        <f t="shared" si="0"/>
        <v xml:space="preserve">Angela White </v>
      </c>
      <c r="D177" s="29" t="s">
        <v>943</v>
      </c>
      <c r="E177" s="8" t="s">
        <v>944</v>
      </c>
      <c r="F177" s="9" t="s">
        <v>945</v>
      </c>
      <c r="G177" s="10" t="e">
        <f t="shared" ca="1" si="1"/>
        <v>#NAME?</v>
      </c>
      <c r="H177" s="11" t="str">
        <f ca="1">IFERROR(__xludf.DUMMYFUNCTION("IFERROR(SUBSTITUTE(SUBSTITUTE(REGEXEXTRACT(A177, ""[^-]+- [^-]+- [^-]+ - (.+?)\.jpg""), "".jpg"", """"), ""-"", "", ""), """")"),"")</f>
        <v/>
      </c>
      <c r="I177" s="6"/>
      <c r="J177" s="7" t="str">
        <f t="shared" ca="1" si="2"/>
        <v>(2026)</v>
      </c>
      <c r="K177" s="7" t="str">
        <f t="shared" si="3"/>
        <v>75043078</v>
      </c>
      <c r="L177" s="12" t="s">
        <v>946</v>
      </c>
      <c r="M177" s="13" t="str">
        <f ca="1">IFERROR(__xludf.DUMMYFUNCTION("TRIM(
  REGEXREPLACE(
    TEXTJOIN("" "",
      TRUE,
      B177,
      C177,
      embaralharLinks(E177,F177,G177),
      H177,
      """",
      J177,
      N177,
      ""#RIPNSFW""
    ),
  "",\s*"", "" "")
)"),"{New} Angela White https://doodstream.com/d/2yopv9l48zer/75043078 https://lulustream.com/d/qbrhne8d92py https://streamtape.com/v/Allmp6ZQ40HB6r/Angela_White_-_75043078_-_Onlyfans.mp4 (2026) #MILF #BigTits #Hardcore #Bigass #Blowjob #Stepmom #Amateur #Hotw"&amp;"ife #Facial #RIPNSFW")</f>
        <v>{New} Angela White https://doodstream.com/d/2yopv9l48zer/75043078 https://lulustream.com/d/qbrhne8d92py https://streamtape.com/v/Allmp6ZQ40HB6r/Angela_White_-_75043078_-_Onlyfans.mp4 (2026) #MILF #BigTits #Hardcore #Bigass #Blowjob #Stepmom #Amateur #Hotwife #Facial #RIPNSFW</v>
      </c>
      <c r="N177" s="14" t="s">
        <v>947</v>
      </c>
      <c r="O177" s="32" t="s">
        <v>948</v>
      </c>
      <c r="P177" s="14"/>
      <c r="Q177" s="6"/>
      <c r="R177" s="11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75">
      <c r="A178" s="12" t="s">
        <v>949</v>
      </c>
      <c r="B178" s="6" t="s">
        <v>14</v>
      </c>
      <c r="C178" s="7" t="str">
        <f t="shared" si="0"/>
        <v xml:space="preserve">Angela White </v>
      </c>
      <c r="D178" s="24" t="s">
        <v>950</v>
      </c>
      <c r="E178" s="25" t="s">
        <v>951</v>
      </c>
      <c r="F178" s="9" t="s">
        <v>952</v>
      </c>
      <c r="G178" s="10" t="e">
        <f t="shared" ca="1" si="1"/>
        <v>#NAME?</v>
      </c>
      <c r="H178" s="11" t="str">
        <f ca="1">IFERROR(__xludf.DUMMYFUNCTION("IFERROR(SUBSTITUTE(SUBSTITUTE(REGEXEXTRACT(A178, ""[^-]+- [^-]+- [^-]+ - (.+?)\.jpg""), "".jpg"", """"), ""-"", "", ""), """")"),"")</f>
        <v/>
      </c>
      <c r="I178" s="6"/>
      <c r="J178" s="7" t="str">
        <f t="shared" ca="1" si="2"/>
        <v>(2026)</v>
      </c>
      <c r="K178" s="7" t="str">
        <f t="shared" si="3"/>
        <v>80252257</v>
      </c>
      <c r="L178" s="12" t="s">
        <v>127</v>
      </c>
      <c r="M178" s="13" t="str">
        <f ca="1">IFERROR(__xludf.DUMMYFUNCTION("TRIM(
  REGEXREPLACE(
    TEXTJOIN("" "",
      TRUE,
      B178,
      C178,
      embaralharLinks(E178,F178,G178),
      H178,
      """",
      J178,
      N178,
      ""#RIPNSFW""
    ),
  "",\s*"", "" "")
)"),"{New} Angela White https://streamtape.com/v/6kPozQRPVvH9AMp/Angela_White_-_80252257_-_Onlyfans https://lulustream.com/d/ydkeqawu5wze https://doodstream.com/d/r79d7h7gxhut/80252257 (2026) #MILF #BigTits #Hardcore #Bigass #RIPNSFW")</f>
        <v>{New} Angela White https://streamtape.com/v/6kPozQRPVvH9AMp/Angela_White_-_80252257_-_Onlyfans https://lulustream.com/d/ydkeqawu5wze https://doodstream.com/d/r79d7h7gxhut/80252257 (2026) #MILF #BigTits #Hardcore #Bigass #RIPNSFW</v>
      </c>
      <c r="N178" s="2" t="s">
        <v>128</v>
      </c>
      <c r="O178" s="30" t="s">
        <v>953</v>
      </c>
      <c r="P178" s="26"/>
      <c r="R178" s="23"/>
      <c r="T178" s="6"/>
      <c r="U178" s="7"/>
    </row>
    <row r="179" spans="1:27" ht="12.75">
      <c r="A179" s="6" t="s">
        <v>954</v>
      </c>
      <c r="B179" s="6" t="s">
        <v>14</v>
      </c>
      <c r="C179" s="7" t="str">
        <f t="shared" si="0"/>
        <v xml:space="preserve">Angela White </v>
      </c>
      <c r="D179" s="6" t="s">
        <v>955</v>
      </c>
      <c r="E179" s="8" t="s">
        <v>956</v>
      </c>
      <c r="F179" s="9" t="s">
        <v>957</v>
      </c>
      <c r="G179" s="10" t="e">
        <f t="shared" ca="1" si="1"/>
        <v>#NAME?</v>
      </c>
      <c r="H179" s="11" t="str">
        <f ca="1">IFERROR(__xludf.DUMMYFUNCTION("IFERROR(SUBSTITUTE(SUBSTITUTE(REGEXEXTRACT(A179, ""[^-]+- [^-]+- [^-]+ - (.+?)\.jpg""), "".jpg"", """"), ""-"", "", ""), """")"),"Lena the plug")</f>
        <v>Lena the plug</v>
      </c>
      <c r="I179" s="6"/>
      <c r="J179" s="7" t="str">
        <f t="shared" ca="1" si="2"/>
        <v>(2026)</v>
      </c>
      <c r="K179" s="7" t="str">
        <f t="shared" si="3"/>
        <v>83137102</v>
      </c>
      <c r="L179" s="12" t="s">
        <v>958</v>
      </c>
      <c r="M179" s="13" t="str">
        <f ca="1">IFERROR(__xludf.DUMMYFUNCTION("TRIM(
  REGEXREPLACE(
    TEXTJOIN("" "",
      TRUE,
      B179,
      C179,
      embaralharLinks(E179,F179,G179),
      H179,
      """",
      J179,
      N179,
      ""#RIPNSFW""
    ),
  "",\s*"", "" "")
)"),"{New} Angela White https://lulustream.com/d/lwn9vtiqi30b https://doodstream.com/d/hpgf450jfri0/83137102 https://streamtape.com/v/X2BaPaxY6jcPLb/Angela_White_-_83137102_-_ripnsfw.com_-_Lena_the_plug.mp4 Lena the plug (2026) #MILF #BigTits #Hardcore #Threes"&amp;"ome #Bigass #Blowjob #Amateur #Hotwife #Facial #RIPNSFW")</f>
        <v>{New} Angela White https://lulustream.com/d/lwn9vtiqi30b https://doodstream.com/d/hpgf450jfri0/83137102 https://streamtape.com/v/X2BaPaxY6jcPLb/Angela_White_-_83137102_-_ripnsfw.com_-_Lena_the_plug.mp4 Lena the plug (2026) #MILF #BigTits #Hardcore #Threesome #Bigass #Blowjob #Amateur #Hotwife #Facial #RIPNSFW</v>
      </c>
      <c r="N179" s="14" t="s">
        <v>959</v>
      </c>
      <c r="O179" s="15" t="s">
        <v>960</v>
      </c>
      <c r="P179" s="14"/>
      <c r="Q179" s="6"/>
      <c r="R179" s="11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75">
      <c r="A180" s="6" t="s">
        <v>961</v>
      </c>
      <c r="B180" s="6" t="s">
        <v>14</v>
      </c>
      <c r="C180" s="7" t="str">
        <f t="shared" si="0"/>
        <v xml:space="preserve">Angela White </v>
      </c>
      <c r="D180" s="6" t="s">
        <v>962</v>
      </c>
      <c r="E180" s="8" t="s">
        <v>963</v>
      </c>
      <c r="F180" s="9" t="s">
        <v>964</v>
      </c>
      <c r="G180" s="10" t="e">
        <f t="shared" ca="1" si="1"/>
        <v>#NAME?</v>
      </c>
      <c r="H180" s="11" t="str">
        <f ca="1">IFERROR(__xludf.DUMMYFUNCTION("IFERROR(SUBSTITUTE(SUBSTITUTE(REGEXEXTRACT(A180, ""[^-]+- [^-]+- [^-]+ - (.+?)\.jpg""), "".jpg"", """"), ""-"", "", ""), """")"),"")</f>
        <v/>
      </c>
      <c r="I180" s="6"/>
      <c r="J180" s="7" t="str">
        <f t="shared" ca="1" si="2"/>
        <v>(2026)</v>
      </c>
      <c r="K180" s="7" t="str">
        <f t="shared" si="3"/>
        <v>83220983</v>
      </c>
      <c r="L180" s="12" t="s">
        <v>965</v>
      </c>
      <c r="M180" s="13" t="str">
        <f ca="1">IFERROR(__xludf.DUMMYFUNCTION("TRIM(
  REGEXREPLACE(
    TEXTJOIN("" "",
      TRUE,
      B180,
      C180,
      embaralharLinks(E180,F180,G180),
      H180,
      """",
      J180,
      N180,
      ""#RIPNSFW""
    ),
  "",\s*"", "" "")
)"),"{New} Angela White https://streamtape.com/v/Akq61vXjxbsXR6V/Angela_White_-_83220983_-_ripnsfw.com.mp4 https://doodstream.com/d/dd39yja4qb1l/83220983 https://lulustream.com/d/an5si89qnrot (2026) #MILF #BigTits #Bigass #Blowjob #Amateur #Deepthroat #RIPNSFW")</f>
        <v>{New} Angela White https://streamtape.com/v/Akq61vXjxbsXR6V/Angela_White_-_83220983_-_ripnsfw.com.mp4 https://doodstream.com/d/dd39yja4qb1l/83220983 https://lulustream.com/d/an5si89qnrot (2026) #MILF #BigTits #Bigass #Blowjob #Amateur #Deepthroat #RIPNSFW</v>
      </c>
      <c r="N180" s="14" t="s">
        <v>966</v>
      </c>
      <c r="O180" s="15" t="s">
        <v>967</v>
      </c>
      <c r="P180" s="14"/>
      <c r="Q180" s="6"/>
      <c r="R180" s="11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75">
      <c r="A181" s="12" t="s">
        <v>968</v>
      </c>
      <c r="B181" s="6" t="s">
        <v>14</v>
      </c>
      <c r="C181" s="7" t="str">
        <f t="shared" si="0"/>
        <v xml:space="preserve">Angela White </v>
      </c>
      <c r="D181" s="24" t="s">
        <v>969</v>
      </c>
      <c r="E181" s="25" t="s">
        <v>970</v>
      </c>
      <c r="F181" s="9" t="s">
        <v>971</v>
      </c>
      <c r="G181" s="10" t="e">
        <f t="shared" ca="1" si="1"/>
        <v>#NAME?</v>
      </c>
      <c r="H181" s="11" t="str">
        <f ca="1">IFERROR(__xludf.DUMMYFUNCTION("IFERROR(SUBSTITUTE(SUBSTITUTE(REGEXEXTRACT(A181, ""[^-]+- [^-]+- [^-]+ - (.+?)\.jpg""), "".jpg"", """"), ""-"", "", ""), """")"),"")</f>
        <v/>
      </c>
      <c r="I181" s="6"/>
      <c r="J181" s="7" t="str">
        <f t="shared" ca="1" si="2"/>
        <v>(2026)</v>
      </c>
      <c r="K181" s="7" t="str">
        <f t="shared" si="3"/>
        <v>84891613</v>
      </c>
      <c r="L181" s="12" t="s">
        <v>127</v>
      </c>
      <c r="M181" s="13" t="str">
        <f ca="1">IFERROR(__xludf.DUMMYFUNCTION("TRIM(
  REGEXREPLACE(
    TEXTJOIN("" "",
      TRUE,
      B181,
      C181,
      embaralharLinks(E181,F181,G181),
      H181,
      """",
      J181,
      N181,
      ""#RIPNSFW""
    ),
  "",\s*"", "" "")
)"),"{New} Angela White https://lulustream.com/d/r35cm85lj7z5 https://streamtape.com/v/gv7ymXmJaasqpew/Angela_White_-_84891613_-_Onlyfans https://doodstream.com/d/8i5e4ptl2kio/84891613 (2026) #MILF #BigTits #Hardcore #Bigass #RIPNSFW")</f>
        <v>{New} Angela White https://lulustream.com/d/r35cm85lj7z5 https://streamtape.com/v/gv7ymXmJaasqpew/Angela_White_-_84891613_-_Onlyfans https://doodstream.com/d/8i5e4ptl2kio/84891613 (2026) #MILF #BigTits #Hardcore #Bigass #RIPNSFW</v>
      </c>
      <c r="N181" s="2" t="s">
        <v>128</v>
      </c>
      <c r="O181" s="30" t="s">
        <v>972</v>
      </c>
      <c r="P181" s="26"/>
      <c r="R181" s="23"/>
    </row>
    <row r="182" spans="1:27" ht="12.75">
      <c r="A182" s="6" t="s">
        <v>973</v>
      </c>
      <c r="B182" s="6" t="s">
        <v>14</v>
      </c>
      <c r="C182" s="7" t="str">
        <f t="shared" si="0"/>
        <v xml:space="preserve">Angela White </v>
      </c>
      <c r="D182" s="6" t="s">
        <v>974</v>
      </c>
      <c r="E182" s="8" t="s">
        <v>975</v>
      </c>
      <c r="F182" s="9" t="s">
        <v>976</v>
      </c>
      <c r="G182" s="10" t="e">
        <f t="shared" ca="1" si="1"/>
        <v>#NAME?</v>
      </c>
      <c r="H182" s="11" t="str">
        <f ca="1">IFERROR(__xludf.DUMMYFUNCTION("IFERROR(SUBSTITUTE(SUBSTITUTE(REGEXEXTRACT(A182, ""[^-]+- [^-]+- [^-]+ - (.+?)\.jpg""), "".jpg"", """"), ""-"", "", ""), """")"),"")</f>
        <v/>
      </c>
      <c r="I182" s="6"/>
      <c r="J182" s="7" t="str">
        <f t="shared" ca="1" si="2"/>
        <v>(2026)</v>
      </c>
      <c r="K182" s="7" t="str">
        <f t="shared" si="3"/>
        <v>86507480</v>
      </c>
      <c r="L182" s="12" t="s">
        <v>899</v>
      </c>
      <c r="M182" s="13" t="str">
        <f ca="1">IFERROR(__xludf.DUMMYFUNCTION("TRIM(
  REGEXREPLACE(
    TEXTJOIN("" "",
      TRUE,
      B182,
      C182,
      embaralharLinks(E182,F182,G182),
      H182,
      """",
      J182,
      N182,
      ""#RIPNSFW""
    ),
  "",\s*"", "" "")
)"),"{New} Angela White https://lulustream.com/d/83ivjcijoiu5 https://doodstream.com/d/1487aho3mi7s/86507480 https://streamtape.com/v/wkOMmVYz0pFJM07/Angela_White_-_86507480_-_ripnsfw.com.mp4 (2026) #MILF #BigTits #Hardcore #Bigass #RIPNSFW")</f>
        <v>{New} Angela White https://lulustream.com/d/83ivjcijoiu5 https://doodstream.com/d/1487aho3mi7s/86507480 https://streamtape.com/v/wkOMmVYz0pFJM07/Angela_White_-_86507480_-_ripnsfw.com.mp4 (2026) #MILF #BigTits #Hardcore #Bigass #RIPNSFW</v>
      </c>
      <c r="N182" s="14" t="s">
        <v>128</v>
      </c>
      <c r="O182" s="15" t="s">
        <v>977</v>
      </c>
      <c r="P182" s="14"/>
      <c r="Q182" s="6"/>
      <c r="R182" s="11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75">
      <c r="A183" s="12" t="s">
        <v>978</v>
      </c>
      <c r="B183" s="6" t="s">
        <v>14</v>
      </c>
      <c r="C183" s="7" t="str">
        <f t="shared" si="0"/>
        <v xml:space="preserve">Angela White </v>
      </c>
      <c r="D183" s="24" t="s">
        <v>979</v>
      </c>
      <c r="E183" s="25" t="s">
        <v>980</v>
      </c>
      <c r="F183" s="9" t="s">
        <v>981</v>
      </c>
      <c r="G183" s="10" t="e">
        <f t="shared" ca="1" si="1"/>
        <v>#NAME?</v>
      </c>
      <c r="H183" s="11" t="str">
        <f ca="1">IFERROR(__xludf.DUMMYFUNCTION("IFERROR(SUBSTITUTE(SUBSTITUTE(REGEXEXTRACT(A183, ""[^-]+- [^-]+- [^-]+ - (.+?)\.jpg""), "".jpg"", """"), ""-"", "", ""), """")"),"Lily Starfire")</f>
        <v>Lily Starfire</v>
      </c>
      <c r="I183" s="6"/>
      <c r="J183" s="7" t="str">
        <f t="shared" ca="1" si="2"/>
        <v>(2026)</v>
      </c>
      <c r="K183" s="7" t="str">
        <f t="shared" si="3"/>
        <v>90791951</v>
      </c>
      <c r="L183" s="12" t="s">
        <v>47</v>
      </c>
      <c r="M183" s="13" t="str">
        <f ca="1">IFERROR(__xludf.DUMMYFUNCTION("TRIM(
  REGEXREPLACE(
    TEXTJOIN("" "",
      TRUE,
      B183,
      C183,
      embaralharLinks(E183,F183,G183),
      H183,
      """",
      J183,
      N183,
      ""#RIPNSFW""
    ),
  "",\s*"", "" "")
)"),"{New} Angela White https://streamtape.com/v/90B0malAgoHadQa/Angela_White_-_90791951_-_Onlyfans_-_Lily_Starfire.mp4 https://doodstream.com/d/a9hgkp6fjyok/90791951 https://lulustream.com/d/i64o31yhdvhp Lily Starfire (2026) #MILF #BigTits #Hardcore #Threesom"&amp;"e #RIPNSFW")</f>
        <v>{New} Angela White https://streamtape.com/v/90B0malAgoHadQa/Angela_White_-_90791951_-_Onlyfans_-_Lily_Starfire.mp4 https://doodstream.com/d/a9hgkp6fjyok/90791951 https://lulustream.com/d/i64o31yhdvhp Lily Starfire (2026) #MILF #BigTits #Hardcore #Threesome #RIPNSFW</v>
      </c>
      <c r="N183" s="2" t="s">
        <v>48</v>
      </c>
      <c r="O183" s="30" t="s">
        <v>982</v>
      </c>
      <c r="P183" s="26"/>
      <c r="R183" s="23"/>
      <c r="T183" s="6"/>
      <c r="U183" s="7"/>
    </row>
    <row r="184" spans="1:27" ht="12.75">
      <c r="A184" s="12" t="s">
        <v>983</v>
      </c>
      <c r="B184" s="6" t="s">
        <v>14</v>
      </c>
      <c r="C184" s="7" t="str">
        <f t="shared" si="0"/>
        <v xml:space="preserve">Angela White </v>
      </c>
      <c r="D184" s="24" t="s">
        <v>984</v>
      </c>
      <c r="E184" s="25" t="s">
        <v>985</v>
      </c>
      <c r="F184" s="9" t="s">
        <v>986</v>
      </c>
      <c r="G184" s="10" t="e">
        <f t="shared" ca="1" si="1"/>
        <v>#NAME?</v>
      </c>
      <c r="H184" s="11" t="str">
        <f ca="1">IFERROR(__xludf.DUMMYFUNCTION("IFERROR(SUBSTITUTE(SUBSTITUTE(REGEXEXTRACT(A184, ""[^-]+- [^-]+- [^-]+ - (.+?)\.jpg""), "".jpg"", """"), ""-"", "", ""), """")"),"")</f>
        <v/>
      </c>
      <c r="I184" s="6"/>
      <c r="J184" s="7" t="str">
        <f t="shared" ca="1" si="2"/>
        <v>(2026)</v>
      </c>
      <c r="K184" s="7" t="str">
        <f t="shared" si="3"/>
        <v>91733115</v>
      </c>
      <c r="L184" s="12" t="s">
        <v>127</v>
      </c>
      <c r="M184" s="13" t="str">
        <f ca="1">IFERROR(__xludf.DUMMYFUNCTION("TRIM(
  REGEXREPLACE(
    TEXTJOIN("" "",
      TRUE,
      B184,
      C184,
      embaralharLinks(E184,F184,G184),
      H184,
      """",
      J184,
      N184,
      ""#RIPNSFW""
    ),
  "",\s*"", "" "")
)"),"{New} Angela White https://streamtape.com/v/RQZpBBGOVoUd48W/Angela_White_-_91733115_-_Onlyfans https://lulustream.com/d/rjsai52ft1u4 https://doodstream.com/d/ksji9m46to1g/91733115 (2026) #MILF #BigTits #Hardcore #Bigass #RIPNSFW")</f>
        <v>{New} Angela White https://streamtape.com/v/RQZpBBGOVoUd48W/Angela_White_-_91733115_-_Onlyfans https://lulustream.com/d/rjsai52ft1u4 https://doodstream.com/d/ksji9m46to1g/91733115 (2026) #MILF #BigTits #Hardcore #Bigass #RIPNSFW</v>
      </c>
      <c r="N184" s="2" t="s">
        <v>128</v>
      </c>
      <c r="O184" s="30" t="s">
        <v>987</v>
      </c>
      <c r="P184" s="26"/>
      <c r="R184" s="23"/>
      <c r="T184" s="6"/>
      <c r="U184" s="7"/>
    </row>
    <row r="185" spans="1:27" ht="12.75">
      <c r="A185" s="6" t="s">
        <v>988</v>
      </c>
      <c r="B185" s="6" t="s">
        <v>14</v>
      </c>
      <c r="C185" s="7" t="str">
        <f t="shared" si="0"/>
        <v xml:space="preserve">Angela White </v>
      </c>
      <c r="D185" s="6" t="s">
        <v>989</v>
      </c>
      <c r="E185" s="8" t="s">
        <v>990</v>
      </c>
      <c r="F185" s="9" t="s">
        <v>991</v>
      </c>
      <c r="G185" s="10" t="e">
        <f t="shared" ca="1" si="1"/>
        <v>#NAME?</v>
      </c>
      <c r="H185" s="11" t="str">
        <f ca="1">IFERROR(__xludf.DUMMYFUNCTION("IFERROR(SUBSTITUTE(SUBSTITUTE(REGEXEXTRACT(A185, ""[^-]+- [^-]+- [^-]+ - (.+?)\.jpg""), "".jpg"", """"), ""-"", "", ""), """")"),"")</f>
        <v/>
      </c>
      <c r="I185" s="6"/>
      <c r="J185" s="7" t="str">
        <f t="shared" ca="1" si="2"/>
        <v>(2026)</v>
      </c>
      <c r="K185" s="7" t="str">
        <f t="shared" si="3"/>
        <v>93500544</v>
      </c>
      <c r="L185" s="12" t="s">
        <v>992</v>
      </c>
      <c r="M185" s="13" t="str">
        <f ca="1">IFERROR(__xludf.DUMMYFUNCTION("TRIM(
  REGEXREPLACE(
    TEXTJOIN("" "",
      TRUE,
      B185,
      C185,
      embaralharLinks(E185,F185,G185),
      H185,
      """",
      J185,
      N185,
      ""#RIPNSFW""
    ),
  "",\s*"", "" "")
)"),"{New} Angela White https://streamtape.com/v/YgrQa4OKvGHvXOP/Angela_White_-_93500544_-_ripnsfw.com.mp4 https://lulustream.com/d/j2bh49l2cwn1 https://doodstream.com/d/9cjzdoc9gduf/93500544 (2026) #MILF #BigTits #Blowjob #Amateur #RIPNSFW")</f>
        <v>{New} Angela White https://streamtape.com/v/YgrQa4OKvGHvXOP/Angela_White_-_93500544_-_ripnsfw.com.mp4 https://lulustream.com/d/j2bh49l2cwn1 https://doodstream.com/d/9cjzdoc9gduf/93500544 (2026) #MILF #BigTits #Blowjob #Amateur #RIPNSFW</v>
      </c>
      <c r="N185" s="14" t="s">
        <v>267</v>
      </c>
      <c r="O185" s="15" t="s">
        <v>993</v>
      </c>
      <c r="P185" s="14"/>
      <c r="Q185" s="6"/>
      <c r="R185" s="11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75">
      <c r="A186" s="6" t="s">
        <v>994</v>
      </c>
      <c r="B186" s="6" t="s">
        <v>14</v>
      </c>
      <c r="C186" s="7" t="str">
        <f t="shared" si="0"/>
        <v xml:space="preserve">Angela White </v>
      </c>
      <c r="D186" s="6" t="s">
        <v>995</v>
      </c>
      <c r="E186" s="8" t="s">
        <v>996</v>
      </c>
      <c r="F186" s="9" t="s">
        <v>997</v>
      </c>
      <c r="G186" s="10" t="e">
        <f t="shared" ca="1" si="1"/>
        <v>#NAME?</v>
      </c>
      <c r="H186" s="11" t="str">
        <f ca="1">IFERROR(__xludf.DUMMYFUNCTION("IFERROR(SUBSTITUTE(SUBSTITUTE(REGEXEXTRACT(A186, ""[^-]+- [^-]+- [^-]+ - (.+?)\.jpg""), "".jpg"", """"), ""-"", "", ""), """")"),"")</f>
        <v/>
      </c>
      <c r="I186" s="6"/>
      <c r="J186" s="7" t="str">
        <f t="shared" ca="1" si="2"/>
        <v>(2026)</v>
      </c>
      <c r="K186" s="7" t="str">
        <f t="shared" si="3"/>
        <v>94500060</v>
      </c>
      <c r="L186" s="12" t="s">
        <v>998</v>
      </c>
      <c r="M186" s="13" t="str">
        <f ca="1">IFERROR(__xludf.DUMMYFUNCTION("TRIM(
  REGEXREPLACE(
    TEXTJOIN("" "",
      TRUE,
      B186,
      C186,
      embaralharLinks(E186,F186,G186),
      H186,
      """",
      J186,
      N186,
      ""#RIPNSFW""
    ),
  "",\s*"", "" "")
)"),"{New} Angela White https://doodstream.com/d/3ioum44ck8fh/94500060 https://streamtape.com/v/6ekPK4B974s91GG/Angela_White_-_94500060_-_ripnsfw.com.mp4 https://lulustream.com/d/htao4vby9vt7 (2026) #MILF #BigTits #Hardcore #Bigass #Blowjob #Amateur #RIPNSFW")</f>
        <v>{New} Angela White https://doodstream.com/d/3ioum44ck8fh/94500060 https://streamtape.com/v/6ekPK4B974s91GG/Angela_White_-_94500060_-_ripnsfw.com.mp4 https://lulustream.com/d/htao4vby9vt7 (2026) #MILF #BigTits #Hardcore #Bigass #Blowjob #Amateur #RIPNSFW</v>
      </c>
      <c r="N186" s="14" t="s">
        <v>999</v>
      </c>
      <c r="O186" s="15" t="s">
        <v>1000</v>
      </c>
      <c r="P186" s="14"/>
      <c r="Q186" s="6"/>
      <c r="R186" s="11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75">
      <c r="A187" s="6" t="s">
        <v>1001</v>
      </c>
      <c r="B187" s="6" t="s">
        <v>14</v>
      </c>
      <c r="C187" s="7" t="str">
        <f t="shared" si="0"/>
        <v xml:space="preserve">Angela White </v>
      </c>
      <c r="D187" s="24" t="s">
        <v>1002</v>
      </c>
      <c r="E187" s="25" t="s">
        <v>1003</v>
      </c>
      <c r="F187" s="9" t="s">
        <v>1004</v>
      </c>
      <c r="G187" s="10" t="e">
        <f t="shared" ca="1" si="1"/>
        <v>#NAME?</v>
      </c>
      <c r="H187" s="11" t="str">
        <f ca="1">IFERROR(__xludf.DUMMYFUNCTION("IFERROR(SUBSTITUTE(SUBSTITUTE(REGEXEXTRACT(A187, ""[^-]+- [^-]+- [^-]+ - (.+?)\.jpg""), "".jpg"", """"), ""-"", "", ""), """")"),"Violet Myers")</f>
        <v>Violet Myers</v>
      </c>
      <c r="I187" s="6"/>
      <c r="J187" s="7" t="str">
        <f t="shared" ca="1" si="2"/>
        <v>(2026)</v>
      </c>
      <c r="K187" s="7" t="str">
        <f t="shared" si="3"/>
        <v>95008111</v>
      </c>
      <c r="L187" s="12" t="s">
        <v>127</v>
      </c>
      <c r="M187" s="13" t="str">
        <f ca="1">IFERROR(__xludf.DUMMYFUNCTION("TRIM(
  REGEXREPLACE(
    TEXTJOIN("" "",
      TRUE,
      B187,
      C187,
      embaralharLinks(E187,F187,G187),
      H187,
      """",
      J187,
      N187,
      ""#RIPNSFW""
    ),
  "",\s*"", "" "")
)"),"{New} Angela White https://lulustream.com/d/fig2r78nojie https://streamtape.com/v/6PprgekGMmC9kgm/Angela_White_-_95008111_-_Onlyfans_-_Violet_Myers.mp4 https://doodstream.com/d/gu1zab6s92v1/95008111 Violet Myers (2026) #MILF #BigTits #Hardcore #Bigass #RI"&amp;"PNSFW")</f>
        <v>{New} Angela White https://lulustream.com/d/fig2r78nojie https://streamtape.com/v/6PprgekGMmC9kgm/Angela_White_-_95008111_-_Onlyfans_-_Violet_Myers.mp4 https://doodstream.com/d/gu1zab6s92v1/95008111 Violet Myers (2026) #MILF #BigTits #Hardcore #Bigass #RIPNSFW</v>
      </c>
      <c r="N187" s="31" t="s">
        <v>128</v>
      </c>
      <c r="O187" s="32" t="s">
        <v>1005</v>
      </c>
      <c r="P187" s="26"/>
      <c r="Q187" s="6"/>
      <c r="R187" s="11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75">
      <c r="A188" s="6" t="s">
        <v>1006</v>
      </c>
      <c r="B188" s="6" t="s">
        <v>14</v>
      </c>
      <c r="C188" s="7" t="str">
        <f t="shared" si="0"/>
        <v xml:space="preserve">Angela White </v>
      </c>
      <c r="D188" s="6" t="s">
        <v>1007</v>
      </c>
      <c r="E188" s="8" t="s">
        <v>1008</v>
      </c>
      <c r="F188" s="9" t="s">
        <v>1009</v>
      </c>
      <c r="G188" s="10" t="e">
        <f t="shared" ca="1" si="1"/>
        <v>#NAME?</v>
      </c>
      <c r="H188" s="11" t="str">
        <f ca="1">IFERROR(__xludf.DUMMYFUNCTION("IFERROR(SUBSTITUTE(SUBSTITUTE(REGEXEXTRACT(A188, ""[^-]+- [^-]+- [^-]+ - (.+?)\.jpg""), "".jpg"", """"), ""-"", "", ""), """")"),"")</f>
        <v/>
      </c>
      <c r="I188" s="6"/>
      <c r="J188" s="7" t="str">
        <f t="shared" ca="1" si="2"/>
        <v>(2026)</v>
      </c>
      <c r="K188" s="7" t="str">
        <f t="shared" si="3"/>
        <v>95590990</v>
      </c>
      <c r="L188" s="12" t="s">
        <v>1010</v>
      </c>
      <c r="M188" s="13" t="str">
        <f ca="1">IFERROR(__xludf.DUMMYFUNCTION("TRIM(
  REGEXREPLACE(
    TEXTJOIN("" "",
      TRUE,
      B188,
      C188,
      embaralharLinks(E188,F188,G188),
      H188,
      """",
      J188,
      N188,
      ""#RIPNSFW""
    ),
  "",\s*"", "" "")
)"),"{New} Angela White https://doodstream.com/d/am2d8v8hm0ud/95590990 https://streamtape.com/v/p8RGPzZBppcrK09/Angela_White_-_95590990_-_ripnsfw.com https://lulustream.com/d/oad0y34ea06k (2026) #MILF #BigTits #Hardcore #Bigass #Blowjob #Amateur #Deepthroat #R"&amp;"IPNSFW")</f>
        <v>{New} Angela White https://doodstream.com/d/am2d8v8hm0ud/95590990 https://streamtape.com/v/p8RGPzZBppcrK09/Angela_White_-_95590990_-_ripnsfw.com https://lulustream.com/d/oad0y34ea06k (2026) #MILF #BigTits #Hardcore #Bigass #Blowjob #Amateur #Deepthroat #RIPNSFW</v>
      </c>
      <c r="N188" s="14" t="s">
        <v>1011</v>
      </c>
      <c r="O188" s="15" t="s">
        <v>1012</v>
      </c>
      <c r="P188" s="14"/>
      <c r="Q188" s="6"/>
      <c r="R188" s="11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75">
      <c r="A189" s="6" t="s">
        <v>1013</v>
      </c>
      <c r="B189" s="6" t="s">
        <v>14</v>
      </c>
      <c r="C189" s="7" t="str">
        <f t="shared" si="0"/>
        <v xml:space="preserve">Angela White </v>
      </c>
      <c r="D189" s="6" t="s">
        <v>1014</v>
      </c>
      <c r="E189" s="8" t="s">
        <v>1015</v>
      </c>
      <c r="F189" s="9" t="s">
        <v>1016</v>
      </c>
      <c r="G189" s="10" t="e">
        <f t="shared" ca="1" si="1"/>
        <v>#NAME?</v>
      </c>
      <c r="H189" s="11" t="str">
        <f ca="1">IFERROR(__xludf.DUMMYFUNCTION("IFERROR(SUBSTITUTE(SUBSTITUTE(REGEXEXTRACT(A189, ""[^-]+- [^-]+- [^-]+ - (.+?)\.jpg""), "".jpg"", """"), ""-"", "", ""), """")"),"")</f>
        <v/>
      </c>
      <c r="I189" s="6"/>
      <c r="J189" s="7" t="str">
        <f t="shared" ca="1" si="2"/>
        <v>(2026)</v>
      </c>
      <c r="K189" s="7" t="str">
        <f t="shared" si="3"/>
        <v>98417632</v>
      </c>
      <c r="L189" s="12" t="s">
        <v>1017</v>
      </c>
      <c r="M189" s="13" t="str">
        <f ca="1">IFERROR(__xludf.DUMMYFUNCTION("TRIM(
  REGEXREPLACE(
    TEXTJOIN("" "",
      TRUE,
      B189,
      C189,
      embaralharLinks(E189,F189,G189),
      H189,
      """",
      J189,
      N189,
      ""#RIPNSFW""
    ),
  "",\s*"", "" "")
)"),"{New} Angela White https://doodstream.com/d/rw6kh0et845n/98417632 https://streamtape.com/v/ZxvGVp9LyQhqQxX/Angela_White_-_98417632_-_ripnsfw.com https://lulustream.com/d/j44glzrt1fyc (2026) #Anal #BigTits #Hardcore #Bigass #Porn #Teen #Blowjob #RIPNSFW")</f>
        <v>{New} Angela White https://doodstream.com/d/rw6kh0et845n/98417632 https://streamtape.com/v/ZxvGVp9LyQhqQxX/Angela_White_-_98417632_-_ripnsfw.com https://lulustream.com/d/j44glzrt1fyc (2026) #Anal #BigTits #Hardcore #Bigass #Porn #Teen #Blowjob #RIPNSFW</v>
      </c>
      <c r="N189" s="14" t="s">
        <v>1018</v>
      </c>
      <c r="O189" s="15" t="s">
        <v>1019</v>
      </c>
      <c r="P189" s="14"/>
      <c r="Q189" s="6"/>
      <c r="R189" s="11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75">
      <c r="A190" s="12" t="s">
        <v>1020</v>
      </c>
      <c r="B190" s="6" t="s">
        <v>14</v>
      </c>
      <c r="C190" s="7" t="str">
        <f t="shared" si="0"/>
        <v xml:space="preserve">Angela White </v>
      </c>
      <c r="D190" s="24" t="s">
        <v>1021</v>
      </c>
      <c r="E190" s="25" t="s">
        <v>1022</v>
      </c>
      <c r="F190" s="9" t="s">
        <v>1023</v>
      </c>
      <c r="G190" s="10" t="e">
        <f t="shared" ca="1" si="1"/>
        <v>#NAME?</v>
      </c>
      <c r="H190" s="11" t="str">
        <f ca="1">IFERROR(__xludf.DUMMYFUNCTION("IFERROR(SUBSTITUTE(SUBSTITUTE(REGEXEXTRACT(A190, ""[^-]+- [^-]+- [^-]+ - (.+?)\.jpg""), "".jpg"", """"), ""-"", "", ""), """")"),"Lily Starfire")</f>
        <v>Lily Starfire</v>
      </c>
      <c r="I190" s="6"/>
      <c r="J190" s="7" t="str">
        <f t="shared" ca="1" si="2"/>
        <v>(2026)</v>
      </c>
      <c r="K190" s="7" t="str">
        <f t="shared" si="3"/>
        <v>99679909</v>
      </c>
      <c r="L190" s="12" t="s">
        <v>1024</v>
      </c>
      <c r="M190" s="13" t="str">
        <f ca="1">IFERROR(__xludf.DUMMYFUNCTION("TRIM(
  REGEXREPLACE(
    TEXTJOIN("" "",
      TRUE,
      B190,
      C190,
      embaralharLinks(E190,F190,G190),
      H190,
      """",
      J190,
      N190,
      ""#RIPNSFW""
    ),
  "",\s*"", "" "")
)"),"{New} Angela White https://lulustream.com/d/p7oyxndqj59p https://streamtape.com/v/gVM0z6Ra7lC9jl/Angela_White_-_99679909_-_Onlyfans_-_Lily_Starfire.mp4 https://doodstream.com/d/s6efbrbghm28/99679909 Lily Starfire (2026) #MILF #BigTits #Bigass #Threesome #"&amp;"RIPNSFW")</f>
        <v>{New} Angela White https://lulustream.com/d/p7oyxndqj59p https://streamtape.com/v/gVM0z6Ra7lC9jl/Angela_White_-_99679909_-_Onlyfans_-_Lily_Starfire.mp4 https://doodstream.com/d/s6efbrbghm28/99679909 Lily Starfire (2026) #MILF #BigTits #Bigass #Threesome #RIPNSFW</v>
      </c>
      <c r="N190" s="2" t="s">
        <v>1025</v>
      </c>
      <c r="O190" s="30" t="s">
        <v>1026</v>
      </c>
      <c r="P190" s="26"/>
      <c r="R190" s="23"/>
      <c r="T190" s="6"/>
      <c r="U190" s="7"/>
    </row>
    <row r="191" spans="1:27" ht="12.75">
      <c r="A191" s="6" t="s">
        <v>1027</v>
      </c>
      <c r="B191" s="6" t="s">
        <v>14</v>
      </c>
      <c r="C191" s="7" t="str">
        <f t="shared" si="0"/>
        <v xml:space="preserve">Angie Faith </v>
      </c>
      <c r="D191" s="24" t="s">
        <v>1028</v>
      </c>
      <c r="E191" s="25" t="s">
        <v>1029</v>
      </c>
      <c r="F191" s="9" t="str">
        <f ca="1">IFERROR(__xludf.DUMMYFUNCTION("""https://streamtape.com/v/""&amp;
REGEXEXTRACT(O191,""/thumb/([^/]+)/"")&amp;
""/""&amp;K191"),"https://streamtape.com/v/6XrPAB194YH9J8D/27452056")</f>
        <v>https://streamtape.com/v/6XrPAB194YH9J8D/27452056</v>
      </c>
      <c r="G191" s="10" t="e">
        <f t="shared" ca="1" si="1"/>
        <v>#NAME?</v>
      </c>
      <c r="H191" s="11" t="str">
        <f ca="1">IFERROR(__xludf.DUMMYFUNCTION("IFERROR(SUBSTITUTE(SUBSTITUTE(REGEXEXTRACT(A191, ""[^-]+- [^-]+- [^-]+ - (.+?)\.jpg""), "".jpg"", """"), ""-"", "", ""), """")"),"")</f>
        <v/>
      </c>
      <c r="I191" s="6"/>
      <c r="J191" s="7" t="str">
        <f t="shared" ca="1" si="2"/>
        <v>(2026)</v>
      </c>
      <c r="K191" s="7" t="str">
        <f t="shared" si="3"/>
        <v>27452056</v>
      </c>
      <c r="L191" s="12" t="s">
        <v>645</v>
      </c>
      <c r="M191" s="13" t="str">
        <f ca="1">IFERROR(__xludf.DUMMYFUNCTION("TRIM(
  REGEXREPLACE(
    TEXTJOIN("" "",
      TRUE,
      B191,
      C191,
      embaralharLinks(E191,F191,G191),
      H191,
      """",
      J191,
      N191,
      ""#RIPNSFW""
    ),
  "",\s*"", "" "")
)"),"{New} Angie Faith https://streamtape.com/v/6XrPAB194YH9J8D/27452056 https://lulustream.com/d/huenefcapgm9 https://doodstream.com/d/k39rd1z7rq64/27452056 (2026) #BigTits #Hardcore #Black #Interracial #RIPNSFW")</f>
        <v>{New} Angie Faith https://streamtape.com/v/6XrPAB194YH9J8D/27452056 https://lulustream.com/d/huenefcapgm9 https://doodstream.com/d/k39rd1z7rq64/27452056 (2026) #BigTits #Hardcore #Black #Interracial #RIPNSFW</v>
      </c>
      <c r="N191" s="31" t="s">
        <v>646</v>
      </c>
      <c r="O191" s="32" t="s">
        <v>1030</v>
      </c>
      <c r="P191" s="26"/>
      <c r="Q191" s="6"/>
      <c r="R191" s="11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75">
      <c r="A192" s="12" t="s">
        <v>1031</v>
      </c>
      <c r="B192" s="6" t="s">
        <v>14</v>
      </c>
      <c r="C192" s="7" t="str">
        <f t="shared" si="0"/>
        <v xml:space="preserve">Angie Faith </v>
      </c>
      <c r="D192" s="24" t="s">
        <v>1032</v>
      </c>
      <c r="E192" s="25" t="s">
        <v>1033</v>
      </c>
      <c r="F192" s="9" t="str">
        <f ca="1">IFERROR(__xludf.DUMMYFUNCTION("""https://streamtape.com/v/""&amp;
REGEXEXTRACT(O192,""/thumb/([^/]+)/"")&amp;
""/""&amp;K192"),"https://streamtape.com/v/wJorJyKlpRtJ9M4/43434590")</f>
        <v>https://streamtape.com/v/wJorJyKlpRtJ9M4/43434590</v>
      </c>
      <c r="G192" s="10" t="e">
        <f t="shared" ca="1" si="1"/>
        <v>#NAME?</v>
      </c>
      <c r="H192" s="11" t="str">
        <f ca="1">IFERROR(__xludf.DUMMYFUNCTION("IFERROR(SUBSTITUTE(SUBSTITUTE(REGEXEXTRACT(A192, ""[^-]+- [^-]+- [^-]+ - (.+?)\.jpg""), "".jpg"", """"), ""-"", "", ""), """")"),"")</f>
        <v/>
      </c>
      <c r="I192" s="6"/>
      <c r="J192" s="7" t="str">
        <f t="shared" ca="1" si="2"/>
        <v>(2026)</v>
      </c>
      <c r="K192" s="7" t="str">
        <f t="shared" si="3"/>
        <v>43434590</v>
      </c>
      <c r="L192" s="12" t="s">
        <v>645</v>
      </c>
      <c r="M192" s="13" t="str">
        <f ca="1">IFERROR(__xludf.DUMMYFUNCTION("TRIM(
  REGEXREPLACE(
    TEXTJOIN("" "",
      TRUE,
      B192,
      C192,
      embaralharLinks(E192,F192,G192),
      H192,
      """",
      J192,
      N192,
      ""#RIPNSFW""
    ),
  "",\s*"", "" "")
)"),"{New} Angie Faith https://streamtape.com/v/wJorJyKlpRtJ9M4/43434590 https://lulustream.com/d/sn67abep0whn https://doodstream.com/d/lgu2eitr0bbx/43434590 (2026) #BigTits #Hardcore #Black #Interracial #RIPNSFW")</f>
        <v>{New} Angie Faith https://streamtape.com/v/wJorJyKlpRtJ9M4/43434590 https://lulustream.com/d/sn67abep0whn https://doodstream.com/d/lgu2eitr0bbx/43434590 (2026) #BigTits #Hardcore #Black #Interracial #RIPNSFW</v>
      </c>
      <c r="N192" s="2" t="s">
        <v>646</v>
      </c>
      <c r="O192" s="30" t="s">
        <v>1034</v>
      </c>
      <c r="P192" s="26"/>
      <c r="R192" s="23"/>
      <c r="T192" s="6"/>
      <c r="U192" s="7"/>
    </row>
    <row r="193" spans="1:27" ht="12.75">
      <c r="A193" s="12" t="s">
        <v>1035</v>
      </c>
      <c r="B193" s="6" t="s">
        <v>14</v>
      </c>
      <c r="C193" s="7" t="str">
        <f t="shared" si="0"/>
        <v xml:space="preserve">Angie Faith </v>
      </c>
      <c r="D193" s="27" t="s">
        <v>1036</v>
      </c>
      <c r="E193" s="28" t="s">
        <v>1037</v>
      </c>
      <c r="F193" s="9" t="str">
        <f ca="1">IFERROR(__xludf.DUMMYFUNCTION("""https://streamtape.com/v/""&amp;
REGEXEXTRACT(O193,""/thumb/([^/]+)/"")&amp;
""/""&amp;K193"),"https://streamtape.com/v/q6gX2xZojjuzVJx/55810526")</f>
        <v>https://streamtape.com/v/q6gX2xZojjuzVJx/55810526</v>
      </c>
      <c r="G193" s="10" t="e">
        <f t="shared" ca="1" si="1"/>
        <v>#NAME?</v>
      </c>
      <c r="H193" s="11" t="str">
        <f ca="1">IFERROR(__xludf.DUMMYFUNCTION("IFERROR(SUBSTITUTE(SUBSTITUTE(REGEXEXTRACT(A193, ""[^-]+- [^-]+- [^-]+ - (.+?)\.jpg""), "".jpg"", """"), ""-"", "", ""), """")"),"")</f>
        <v/>
      </c>
      <c r="I193" s="6"/>
      <c r="J193" s="7" t="str">
        <f t="shared" ca="1" si="2"/>
        <v>(2026)</v>
      </c>
      <c r="K193" s="7" t="str">
        <f t="shared" si="3"/>
        <v>55810526</v>
      </c>
      <c r="L193" s="12" t="s">
        <v>1038</v>
      </c>
      <c r="M193" s="13" t="str">
        <f ca="1">IFERROR(__xludf.DUMMYFUNCTION("TRIM(
  REGEXREPLACE(
    TEXTJOIN("" "",
      TRUE,
      B193,
      C193,
      embaralharLinks(E193,F193,G193),
      H193,
      """",
      J193,
      N193,
      ""#RIPNSFW""
    ),
  "",\s*"", "" "")
)"),"{New} Angie Faith https://streamtape.com/v/q6gX2xZojjuzVJx/55810526 https://lulustream.com/d/fltnsz8g3x2g https://doodstream.com/d/74usbu7kzdiy/55810526 (2026) #Anal #BigTits #Hardcore #Teen #RIPNSFW")</f>
        <v>{New} Angie Faith https://streamtape.com/v/q6gX2xZojjuzVJx/55810526 https://lulustream.com/d/fltnsz8g3x2g https://doodstream.com/d/74usbu7kzdiy/55810526 (2026) #Anal #BigTits #Hardcore #Teen #RIPNSFW</v>
      </c>
      <c r="N193" s="2" t="s">
        <v>1039</v>
      </c>
      <c r="O193" s="30" t="s">
        <v>1040</v>
      </c>
      <c r="P193" s="35"/>
      <c r="R193" s="23"/>
    </row>
    <row r="194" spans="1:27" ht="12.75">
      <c r="A194" s="6" t="s">
        <v>1041</v>
      </c>
      <c r="B194" s="6" t="s">
        <v>14</v>
      </c>
      <c r="C194" s="7" t="str">
        <f t="shared" si="0"/>
        <v xml:space="preserve">Angie Faith </v>
      </c>
      <c r="D194" s="6" t="s">
        <v>1042</v>
      </c>
      <c r="E194" s="8" t="s">
        <v>1043</v>
      </c>
      <c r="F194" s="9" t="str">
        <f ca="1">IFERROR(__xludf.DUMMYFUNCTION("""https://streamtape.com/v/""&amp;
REGEXEXTRACT(O194,""/thumb/([^/]+)/"")&amp;
""/""&amp;K194"),"https://streamtape.com/v/VoxLAaa6PKUKmyL/70823069")</f>
        <v>https://streamtape.com/v/VoxLAaa6PKUKmyL/70823069</v>
      </c>
      <c r="G194" s="10" t="e">
        <f t="shared" ca="1" si="1"/>
        <v>#NAME?</v>
      </c>
      <c r="H194" s="11" t="str">
        <f ca="1">IFERROR(__xludf.DUMMYFUNCTION("IFERROR(SUBSTITUTE(SUBSTITUTE(REGEXEXTRACT(A194, ""[^-]+- [^-]+- [^-]+ - (.+?)\.jpg""), "".jpg"", """"), ""-"", "", ""), """")"),"Andie Anderson")</f>
        <v>Andie Anderson</v>
      </c>
      <c r="I194" s="6"/>
      <c r="J194" s="7" t="str">
        <f t="shared" ca="1" si="2"/>
        <v>(2026)</v>
      </c>
      <c r="K194" s="7" t="str">
        <f t="shared" si="3"/>
        <v>70823069</v>
      </c>
      <c r="L194" s="12" t="s">
        <v>1044</v>
      </c>
      <c r="M194" s="13" t="str">
        <f ca="1">IFERROR(__xludf.DUMMYFUNCTION("TRIM(
  REGEXREPLACE(
    TEXTJOIN("" "",
      TRUE,
      B194,
      C194,
      embaralharLinks(E194,F194,G194),
      H194,
      """",
      J194,
      N194,
      ""#RIPNSFW""
    ),
  "",\s*"", "" "")
)"),"{New} Angie Faith https://lulustream.com/d/xlcwg6cqk9md https://doodstream.com/d/dtfrvqrq4dja/70823069 https://streamtape.com/v/VoxLAaa6PKUKmyL/70823069 Andie Anderson (2026) #MILF #BigTits #Hardcore #Threesome #Bigass #Porn #Teen #Blowjob #Blonde #RIPNSF"&amp;"W")</f>
        <v>{New} Angie Faith https://lulustream.com/d/xlcwg6cqk9md https://doodstream.com/d/dtfrvqrq4dja/70823069 https://streamtape.com/v/VoxLAaa6PKUKmyL/70823069 Andie Anderson (2026) #MILF #BigTits #Hardcore #Threesome #Bigass #Porn #Teen #Blowjob #Blonde #RIPNSFW</v>
      </c>
      <c r="N194" s="14" t="s">
        <v>1045</v>
      </c>
      <c r="O194" s="15" t="s">
        <v>1046</v>
      </c>
      <c r="P194" s="14"/>
      <c r="Q194" s="6"/>
      <c r="R194" s="11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75">
      <c r="A195" s="12" t="s">
        <v>1047</v>
      </c>
      <c r="B195" s="6" t="s">
        <v>14</v>
      </c>
      <c r="C195" s="7" t="str">
        <f t="shared" si="0"/>
        <v xml:space="preserve">Angie Faith </v>
      </c>
      <c r="D195" s="24" t="s">
        <v>1048</v>
      </c>
      <c r="E195" s="25" t="s">
        <v>1049</v>
      </c>
      <c r="F195" s="9" t="str">
        <f ca="1">IFERROR(__xludf.DUMMYFUNCTION("""https://streamtape.com/v/""&amp;
REGEXEXTRACT(O195,""/thumb/([^/]+)/"")&amp;
""/""&amp;K195"),"https://streamtape.com/v/G2Wa6W6Z3Li1bXW/73673203")</f>
        <v>https://streamtape.com/v/G2Wa6W6Z3Li1bXW/73673203</v>
      </c>
      <c r="G195" s="10" t="e">
        <f t="shared" ca="1" si="1"/>
        <v>#NAME?</v>
      </c>
      <c r="H195" s="11" t="str">
        <f ca="1">IFERROR(__xludf.DUMMYFUNCTION("IFERROR(SUBSTITUTE(SUBSTITUTE(REGEXEXTRACT(A195, ""[^-]+- [^-]+- [^-]+ - (.+?)\.jpg""), "".jpg"", """"), ""-"", "", ""), """")"),"")</f>
        <v/>
      </c>
      <c r="I195" s="6"/>
      <c r="J195" s="7" t="str">
        <f t="shared" ca="1" si="2"/>
        <v>(2026)</v>
      </c>
      <c r="K195" s="7" t="str">
        <f t="shared" si="3"/>
        <v>73673203</v>
      </c>
      <c r="L195" s="12" t="s">
        <v>1050</v>
      </c>
      <c r="M195" s="13" t="str">
        <f ca="1">IFERROR(__xludf.DUMMYFUNCTION("TRIM(
  REGEXREPLACE(
    TEXTJOIN("" "",
      TRUE,
      B195,
      C195,
      embaralharLinks(E195,F195,G195),
      H195,
      """",
      J195,
      N195,
      ""#RIPNSFW""
    ),
  "",\s*"", "" "")
)"),"{New} Angie Faith https://lulustream.com/d/ontww07y4ugc https://streamtape.com/v/G2Wa6W6Z3Li1bXW/73673203 https://doodstream.com/d/qqgpmyssudni/73673203 (2026) #threesome #teen #blowjob #porn #RIPNSFW")</f>
        <v>{New} Angie Faith https://lulustream.com/d/ontww07y4ugc https://streamtape.com/v/G2Wa6W6Z3Li1bXW/73673203 https://doodstream.com/d/qqgpmyssudni/73673203 (2026) #threesome #teen #blowjob #porn #RIPNSFW</v>
      </c>
      <c r="N195" s="2" t="s">
        <v>1050</v>
      </c>
      <c r="O195" s="30" t="s">
        <v>1051</v>
      </c>
      <c r="P195" s="26"/>
      <c r="R195" s="23"/>
      <c r="T195" s="6"/>
      <c r="U195" s="7"/>
    </row>
    <row r="196" spans="1:27" ht="12.75">
      <c r="A196" s="16" t="s">
        <v>1052</v>
      </c>
      <c r="B196" s="11" t="s">
        <v>14</v>
      </c>
      <c r="C196" s="13" t="str">
        <f t="shared" si="0"/>
        <v xml:space="preserve">Angie Faith </v>
      </c>
      <c r="D196" s="17" t="s">
        <v>1053</v>
      </c>
      <c r="E196" s="18" t="s">
        <v>1054</v>
      </c>
      <c r="F196" s="9" t="str">
        <f ca="1">IFERROR(__xludf.DUMMYFUNCTION("""https://streamtape.com/v/""&amp;
REGEXEXTRACT(O196,""/thumb/([^/]+)/"")&amp;
""/""&amp;K196"),"https://streamtape.com/v/zVB8geOG3lIYPzd/78793411")</f>
        <v>https://streamtape.com/v/zVB8geOG3lIYPzd/78793411</v>
      </c>
      <c r="G196" s="10" t="e">
        <f t="shared" ca="1" si="1"/>
        <v>#NAME?</v>
      </c>
      <c r="H196" s="11" t="str">
        <f ca="1">IFERROR(__xludf.DUMMYFUNCTION("IFERROR(SUBSTITUTE(SUBSTITUTE(REGEXEXTRACT(A196, ""[^-]+- [^-]+- [^-]+ - (.+?)\.jpg""), "".jpg"", """"), ""-"", "", ""), """")"),"")</f>
        <v/>
      </c>
      <c r="I196" s="11"/>
      <c r="J196" s="13" t="str">
        <f t="shared" ca="1" si="2"/>
        <v>(2026)</v>
      </c>
      <c r="K196" s="13" t="str">
        <f t="shared" si="3"/>
        <v>78793411</v>
      </c>
      <c r="L196" s="12" t="s">
        <v>1055</v>
      </c>
      <c r="M196" s="13" t="str">
        <f ca="1">IFERROR(__xludf.DUMMYFUNCTION("TRIM(
  REGEXREPLACE(
    TEXTJOIN("" "",
      TRUE,
      B196,
      C196,
      embaralharLinks(E196,F196,G196),
      H196,
      """",
      J196,
      N196,
      ""#RIPNSFW""
    ),
  "",\s*"", "" "")
)"),"{New} Angie Faith https://doodstream.com/d/zbp813y2y2gq/78793411 https://streamtape.com/v/zVB8geOG3lIYPzd/78793411 https://lulustream.com/d/jc90f79e7bfh (2026) #teen #bigtits #blowjob #blonde #RIPNSFW")</f>
        <v>{New} Angie Faith https://doodstream.com/d/zbp813y2y2gq/78793411 https://streamtape.com/v/zVB8geOG3lIYPzd/78793411 https://lulustream.com/d/jc90f79e7bfh (2026) #teen #bigtits #blowjob #blonde #RIPNSFW</v>
      </c>
      <c r="N196" s="20" t="s">
        <v>1055</v>
      </c>
      <c r="O196" s="30" t="s">
        <v>1056</v>
      </c>
      <c r="P196" s="26"/>
      <c r="Q196" s="16"/>
      <c r="R196" s="23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75">
      <c r="A197" s="12" t="s">
        <v>1057</v>
      </c>
      <c r="B197" s="6" t="s">
        <v>14</v>
      </c>
      <c r="C197" s="7" t="str">
        <f t="shared" si="0"/>
        <v xml:space="preserve">Angie Faith </v>
      </c>
      <c r="D197" s="24" t="s">
        <v>1058</v>
      </c>
      <c r="E197" s="25" t="s">
        <v>1059</v>
      </c>
      <c r="F197" s="9" t="str">
        <f ca="1">IFERROR(__xludf.DUMMYFUNCTION("""https://streamtape.com/v/""&amp;
REGEXEXTRACT(O197,""/thumb/([^/]+)/"")&amp;
""/""&amp;K197"),"https://streamtape.com/v/dkyMlKM4X6hkKz6/82486972")</f>
        <v>https://streamtape.com/v/dkyMlKM4X6hkKz6/82486972</v>
      </c>
      <c r="G197" s="10" t="e">
        <f t="shared" ca="1" si="1"/>
        <v>#NAME?</v>
      </c>
      <c r="H197" s="11" t="str">
        <f ca="1">IFERROR(__xludf.DUMMYFUNCTION("IFERROR(SUBSTITUTE(SUBSTITUTE(REGEXEXTRACT(A197, ""[^-]+- [^-]+- [^-]+ - (.+?)\.jpg""), "".jpg"", """"), ""-"", "", ""), """")"),"")</f>
        <v/>
      </c>
      <c r="I197" s="6"/>
      <c r="J197" s="7" t="str">
        <f t="shared" ca="1" si="2"/>
        <v>(2026)</v>
      </c>
      <c r="K197" s="7" t="str">
        <f t="shared" si="3"/>
        <v>82486972</v>
      </c>
      <c r="L197" s="12" t="s">
        <v>1060</v>
      </c>
      <c r="M197" s="13" t="str">
        <f ca="1">IFERROR(__xludf.DUMMYFUNCTION("TRIM(
  REGEXREPLACE(
    TEXTJOIN("" "",
      TRUE,
      B197,
      C197,
      embaralharLinks(E197,F197,G197),
      H197,
      """",
      J197,
      N197,
      ""#RIPNSFW""
    ),
  "",\s*"", "" "")
)"),"{New} Angie Faith https://doodstream.com/d/8sbw3a34hoa8/82486972 https://streamtape.com/v/dkyMlKM4X6hkKz6/82486972 https://lulustream.com/d/mvf66luox97q (2026) #bigtits #porn #teen #bigass #RIPNSFW")</f>
        <v>{New} Angie Faith https://doodstream.com/d/8sbw3a34hoa8/82486972 https://streamtape.com/v/dkyMlKM4X6hkKz6/82486972 https://lulustream.com/d/mvf66luox97q (2026) #bigtits #porn #teen #bigass #RIPNSFW</v>
      </c>
      <c r="N197" s="2" t="s">
        <v>1060</v>
      </c>
      <c r="O197" s="30" t="s">
        <v>1061</v>
      </c>
      <c r="P197" s="26"/>
      <c r="R197" s="23"/>
      <c r="T197" s="6"/>
      <c r="U197" s="7"/>
    </row>
    <row r="198" spans="1:27" ht="12.75">
      <c r="A198" s="12" t="s">
        <v>1062</v>
      </c>
      <c r="B198" s="6"/>
      <c r="C198" s="7" t="str">
        <f t="shared" si="0"/>
        <v xml:space="preserve">Anna </v>
      </c>
      <c r="D198" s="24" t="s">
        <v>1063</v>
      </c>
      <c r="E198" s="25" t="s">
        <v>1064</v>
      </c>
      <c r="F198" s="9" t="str">
        <f ca="1">IFERROR(__xludf.DUMMYFUNCTION("""https://streamtape.com/v/""&amp;
REGEXEXTRACT(O198,""/thumb/([^/]+)/"")&amp;
""/""&amp;K198"),"https://streamtape.com/v/GMqPo7oJBkfabb/81003547")</f>
        <v>https://streamtape.com/v/GMqPo7oJBkfabb/81003547</v>
      </c>
      <c r="G198" s="10" t="e">
        <f t="shared" ca="1" si="1"/>
        <v>#NAME?</v>
      </c>
      <c r="H198" s="11" t="str">
        <f ca="1">IFERROR(__xludf.DUMMYFUNCTION("IFERROR(SUBSTITUTE(SUBSTITUTE(REGEXEXTRACT(A198, ""[^-]+- [^-]+- [^-]+ - (.+?)\.jpg""), "".jpg"", """"), ""-"", "", ""), """")"),"")</f>
        <v/>
      </c>
      <c r="I198" s="6"/>
      <c r="J198" s="7" t="str">
        <f t="shared" ca="1" si="2"/>
        <v/>
      </c>
      <c r="K198" s="7" t="str">
        <f t="shared" si="3"/>
        <v>81003547</v>
      </c>
      <c r="L198" s="12" t="s">
        <v>1065</v>
      </c>
      <c r="M198" s="13" t="str">
        <f ca="1">IFERROR(__xludf.DUMMYFUNCTION("TRIM(
  REGEXREPLACE(
    TEXTJOIN("" "",
      TRUE,
      B198,
      C198,
      embaralharLinks(E198,F198,G198),
      H198,
      """",
      J198,
      N198,
      ""#RIPNSFW""
    ),
  "",\s*"", "" "")
)"),"Anna https://streamtape.com/v/GMqPo7oJBkfabb/81003547 https://lulustream.com/d/fpyl2fij7e3a https://doodstream.com/d/od8u73atwqas/81003547 #teen #brunette #blowjob #casting #RIPNSFW")</f>
        <v>Anna https://streamtape.com/v/GMqPo7oJBkfabb/81003547 https://lulustream.com/d/fpyl2fij7e3a https://doodstream.com/d/od8u73atwqas/81003547 #teen #brunette #blowjob #casting #RIPNSFW</v>
      </c>
      <c r="N198" s="2" t="s">
        <v>1065</v>
      </c>
      <c r="O198" s="30" t="s">
        <v>1066</v>
      </c>
      <c r="P198" s="26"/>
      <c r="R198" s="23"/>
      <c r="T198" s="6"/>
      <c r="U198" s="7"/>
    </row>
    <row r="199" spans="1:27" ht="12.75">
      <c r="A199" s="12" t="s">
        <v>1067</v>
      </c>
      <c r="B199" s="6" t="s">
        <v>14</v>
      </c>
      <c r="C199" s="7" t="str">
        <f t="shared" si="0"/>
        <v xml:space="preserve">Anna Claire Clouds </v>
      </c>
      <c r="D199" s="27" t="s">
        <v>1068</v>
      </c>
      <c r="E199" s="25" t="s">
        <v>1069</v>
      </c>
      <c r="F199" s="9" t="str">
        <f ca="1">IFERROR(__xludf.DUMMYFUNCTION("""https://streamtape.com/v/""&amp;
REGEXEXTRACT(O199,""/thumb/([^/]+)/"")&amp;
""/""&amp;K199"),"https://streamtape.com/v/8qpaP4DarLIoBMd/12069430")</f>
        <v>https://streamtape.com/v/8qpaP4DarLIoBMd/12069430</v>
      </c>
      <c r="G199" s="10" t="e">
        <f t="shared" ca="1" si="1"/>
        <v>#NAME?</v>
      </c>
      <c r="H199" s="11" t="str">
        <f ca="1">IFERROR(__xludf.DUMMYFUNCTION("IFERROR(SUBSTITUTE(SUBSTITUTE(REGEXEXTRACT(A199, ""[^-]+- [^-]+- [^-]+ - (.+?)\.jpg""), "".jpg"", """"), ""-"", "", ""), """")"),"")</f>
        <v/>
      </c>
      <c r="I199" s="6"/>
      <c r="J199" s="7" t="str">
        <f t="shared" ca="1" si="2"/>
        <v>(2026)</v>
      </c>
      <c r="K199" s="7" t="str">
        <f t="shared" si="3"/>
        <v>12069430</v>
      </c>
      <c r="L199" s="12" t="s">
        <v>1070</v>
      </c>
      <c r="M199" s="13" t="str">
        <f ca="1">IFERROR(__xludf.DUMMYFUNCTION("TRIM(
  REGEXREPLACE(
    TEXTJOIN("" "",
      TRUE,
      B199,
      C199,
      embaralharLinks(E199,F199,G199),
      H199,
      """",
      J199,
      N199,
      ""#RIPNSFW""
    ),
  "",\s*"", "" "")
)"),"{New} Anna Claire Clouds https://lulustream.com/d/7xkr8owmd3fu https://doodstream.com/d/fsr4j1nhl90i/12069430 https://streamtape.com/v/8qpaP4DarLIoBMd/12069430 (2026) #Anal #Hardcore #Threesome #Porn #RIPNSFW")</f>
        <v>{New} Anna Claire Clouds https://lulustream.com/d/7xkr8owmd3fu https://doodstream.com/d/fsr4j1nhl90i/12069430 https://streamtape.com/v/8qpaP4DarLIoBMd/12069430 (2026) #Anal #Hardcore #Threesome #Porn #RIPNSFW</v>
      </c>
      <c r="N199" s="2" t="s">
        <v>1071</v>
      </c>
      <c r="O199" s="30" t="s">
        <v>1072</v>
      </c>
      <c r="P199" s="26"/>
      <c r="R199" s="23"/>
    </row>
    <row r="200" spans="1:27" ht="12.75">
      <c r="A200" s="12" t="s">
        <v>1073</v>
      </c>
      <c r="B200" s="6" t="s">
        <v>14</v>
      </c>
      <c r="C200" s="7" t="str">
        <f t="shared" si="0"/>
        <v xml:space="preserve">Arabelle Raphael </v>
      </c>
      <c r="D200" s="24" t="s">
        <v>1074</v>
      </c>
      <c r="E200" s="25" t="s">
        <v>1075</v>
      </c>
      <c r="F200" s="9" t="str">
        <f ca="1">IFERROR(__xludf.DUMMYFUNCTION("""https://streamtape.com/v/""&amp;
REGEXEXTRACT(O200,""/thumb/([^/]+)/"")&amp;
""/""&amp;K200"),"https://streamtape.com/v/QAJGVXx7xlI9zj/14490824")</f>
        <v>https://streamtape.com/v/QAJGVXx7xlI9zj/14490824</v>
      </c>
      <c r="G200" s="10" t="e">
        <f t="shared" ca="1" si="1"/>
        <v>#NAME?</v>
      </c>
      <c r="H200" s="11" t="str">
        <f ca="1">IFERROR(__xludf.DUMMYFUNCTION("IFERROR(SUBSTITUTE(SUBSTITUTE(REGEXEXTRACT(A200, ""[^-]+- [^-]+- [^-]+ - (.+?)\.jpg""), "".jpg"", """"), ""-"", "", ""), """")"),"")</f>
        <v/>
      </c>
      <c r="I200" s="6"/>
      <c r="J200" s="7" t="str">
        <f t="shared" ca="1" si="2"/>
        <v>(2026)</v>
      </c>
      <c r="K200" s="7" t="str">
        <f t="shared" si="3"/>
        <v>14490824</v>
      </c>
      <c r="L200" s="12" t="s">
        <v>1076</v>
      </c>
      <c r="M200" s="13" t="str">
        <f ca="1">IFERROR(__xludf.DUMMYFUNCTION("TRIM(
  REGEXREPLACE(
    TEXTJOIN("" "",
      TRUE,
      B200,
      C200,
      embaralharLinks(E200,F200,G200),
      H200,
      """",
      J200,
      N200,
      ""#RIPNSFW""
    ),
  "",\s*"", "" "")
)"),"{New} Arabelle Raphael https://doodstream.com/d/rq2aohyawvsw/14490824 https://lulustream.com/d/17oed5pv41is https://streamtape.com/v/QAJGVXx7xlI9zj/14490824 (2026) #milf #bigtits #blowjob #brunette #RIPNSFW")</f>
        <v>{New} Arabelle Raphael https://doodstream.com/d/rq2aohyawvsw/14490824 https://lulustream.com/d/17oed5pv41is https://streamtape.com/v/QAJGVXx7xlI9zj/14490824 (2026) #milf #bigtits #blowjob #brunette #RIPNSFW</v>
      </c>
      <c r="N200" s="2" t="s">
        <v>1076</v>
      </c>
      <c r="O200" s="30" t="s">
        <v>1077</v>
      </c>
      <c r="P200" s="26"/>
      <c r="R200" s="23"/>
    </row>
    <row r="201" spans="1:27" ht="12.75">
      <c r="A201" s="12" t="s">
        <v>1078</v>
      </c>
      <c r="B201" s="6" t="s">
        <v>14</v>
      </c>
      <c r="C201" s="7" t="str">
        <f t="shared" si="0"/>
        <v xml:space="preserve">Arabelle Raphael </v>
      </c>
      <c r="D201" s="24" t="s">
        <v>1079</v>
      </c>
      <c r="E201" s="25" t="s">
        <v>1080</v>
      </c>
      <c r="F201" s="9" t="str">
        <f ca="1">IFERROR(__xludf.DUMMYFUNCTION("""https://streamtape.com/v/""&amp;
REGEXEXTRACT(O201,""/thumb/([^/]+)/"")&amp;
""/""&amp;K201"),"https://streamtape.com/v/7YwozrbMmXsA6ya/20603209")</f>
        <v>https://streamtape.com/v/7YwozrbMmXsA6ya/20603209</v>
      </c>
      <c r="G201" s="10" t="e">
        <f t="shared" ca="1" si="1"/>
        <v>#NAME?</v>
      </c>
      <c r="H201" s="11" t="str">
        <f ca="1">IFERROR(__xludf.DUMMYFUNCTION("IFERROR(SUBSTITUTE(SUBSTITUTE(REGEXEXTRACT(A201, ""[^-]+- [^-]+- [^-]+ - (.+?)\.jpg""), "".jpg"", """"), ""-"", "", ""), """")"),"Hailey Rose")</f>
        <v>Hailey Rose</v>
      </c>
      <c r="I201" s="6"/>
      <c r="J201" s="7" t="str">
        <f t="shared" ca="1" si="2"/>
        <v>(2026)</v>
      </c>
      <c r="K201" s="7" t="str">
        <f t="shared" si="3"/>
        <v>20603209</v>
      </c>
      <c r="L201" s="12" t="s">
        <v>1081</v>
      </c>
      <c r="M201" s="13" t="str">
        <f ca="1">IFERROR(__xludf.DUMMYFUNCTION("TRIM(
  REGEXREPLACE(
    TEXTJOIN("" "",
      TRUE,
      B201,
      C201,
      embaralharLinks(E201,F201,G201),
      H201,
      """",
      J201,
      N201,
      ""#RIPNSFW""
    ),
  "",\s*"", "" "")
)"),"{New} Arabelle Raphael https://lulustream.com/d/hsu66jf1vzva https://streamtape.com/v/7YwozrbMmXsA6ya/20603209 https://doodstream.com/d/46jz4szfzlsi/20603209 Hailey Rose (2026) #threesome #blowjob #bigtits #bigass #RIPNSFW")</f>
        <v>{New} Arabelle Raphael https://lulustream.com/d/hsu66jf1vzva https://streamtape.com/v/7YwozrbMmXsA6ya/20603209 https://doodstream.com/d/46jz4szfzlsi/20603209 Hailey Rose (2026) #threesome #blowjob #bigtits #bigass #RIPNSFW</v>
      </c>
      <c r="N201" s="2" t="s">
        <v>1081</v>
      </c>
      <c r="O201" s="21" t="s">
        <v>1082</v>
      </c>
      <c r="P201" s="26"/>
      <c r="R201" s="23"/>
    </row>
    <row r="202" spans="1:27" ht="12.75">
      <c r="A202" s="12" t="s">
        <v>1083</v>
      </c>
      <c r="B202" s="6" t="s">
        <v>14</v>
      </c>
      <c r="C202" s="7" t="str">
        <f t="shared" si="0"/>
        <v xml:space="preserve">Arabelle Raphael </v>
      </c>
      <c r="D202" s="24" t="s">
        <v>1084</v>
      </c>
      <c r="E202" s="25" t="s">
        <v>1085</v>
      </c>
      <c r="F202" s="9" t="str">
        <f ca="1">IFERROR(__xludf.DUMMYFUNCTION("""https://streamtape.com/v/""&amp;
REGEXEXTRACT(O202,""/thumb/([^/]+)/"")&amp;
""/""&amp;K202"),"https://streamtape.com/v/28892oR096hxe7/25078464")</f>
        <v>https://streamtape.com/v/28892oR096hxe7/25078464</v>
      </c>
      <c r="G202" s="10" t="e">
        <f t="shared" ca="1" si="1"/>
        <v>#NAME?</v>
      </c>
      <c r="H202" s="11" t="str">
        <f ca="1">IFERROR(__xludf.DUMMYFUNCTION("IFERROR(SUBSTITUTE(SUBSTITUTE(REGEXEXTRACT(A202, ""[^-]+- [^-]+- [^-]+ - (.+?)\.jpg""), "".jpg"", """"), ""-"", "", ""), """")"),"")</f>
        <v/>
      </c>
      <c r="I202" s="6"/>
      <c r="J202" s="7" t="str">
        <f t="shared" ca="1" si="2"/>
        <v>(2026)</v>
      </c>
      <c r="K202" s="7" t="str">
        <f t="shared" si="3"/>
        <v>25078464</v>
      </c>
      <c r="L202" s="12" t="s">
        <v>1086</v>
      </c>
      <c r="M202" s="13" t="str">
        <f ca="1">IFERROR(__xludf.DUMMYFUNCTION("TRIM(
  REGEXREPLACE(
    TEXTJOIN("" "",
      TRUE,
      B202,
      C202,
      embaralharLinks(E202,F202,G202),
      H202,
      """",
      J202,
      N202,
      ""#RIPNSFW""
    ),
  "",\s*"", "" "")
)"),"{New} Arabelle Raphael https://doodstream.com/d/6yfwc8k0g2k2/25078464 https://streamtape.com/v/28892oR096hxe7/25078464 https://lulustream.com/d/bik7da2mi4mp (2026) #milf #bigtits #pov #blowjob #RIPNSFW")</f>
        <v>{New} Arabelle Raphael https://doodstream.com/d/6yfwc8k0g2k2/25078464 https://streamtape.com/v/28892oR096hxe7/25078464 https://lulustream.com/d/bik7da2mi4mp (2026) #milf #bigtits #pov #blowjob #RIPNSFW</v>
      </c>
      <c r="N202" s="2" t="s">
        <v>1086</v>
      </c>
      <c r="O202" s="30" t="s">
        <v>1087</v>
      </c>
      <c r="P202" s="26"/>
      <c r="R202" s="23"/>
      <c r="T202" s="6"/>
      <c r="U202" s="7"/>
    </row>
    <row r="203" spans="1:27" ht="12.75">
      <c r="A203" s="6" t="s">
        <v>1088</v>
      </c>
      <c r="B203" s="6" t="s">
        <v>14</v>
      </c>
      <c r="C203" s="7" t="str">
        <f t="shared" si="0"/>
        <v xml:space="preserve">Arabelle Raphael </v>
      </c>
      <c r="D203" s="6" t="s">
        <v>1089</v>
      </c>
      <c r="E203" s="8" t="s">
        <v>1090</v>
      </c>
      <c r="F203" s="9" t="str">
        <f ca="1">IFERROR(__xludf.DUMMYFUNCTION("""https://streamtape.com/v/""&amp;
REGEXEXTRACT(O203,""/thumb/([^/]+)/"")&amp;
""/""&amp;K203"),"https://streamtape.com/v/DqVgDRp2YbFBdl/84159136")</f>
        <v>https://streamtape.com/v/DqVgDRp2YbFBdl/84159136</v>
      </c>
      <c r="G203" s="10" t="e">
        <f t="shared" ca="1" si="1"/>
        <v>#NAME?</v>
      </c>
      <c r="H203" s="11" t="str">
        <f ca="1">IFERROR(__xludf.DUMMYFUNCTION("IFERROR(SUBSTITUTE(SUBSTITUTE(REGEXEXTRACT(A203, ""[^-]+- [^-]+- [^-]+ - (.+?)\.jpg""), "".jpg"", """"), ""-"", "", ""), """")"),"Sarah Arabic")</f>
        <v>Sarah Arabic</v>
      </c>
      <c r="I203" s="6"/>
      <c r="J203" s="7" t="str">
        <f t="shared" ca="1" si="2"/>
        <v>(2026)</v>
      </c>
      <c r="K203" s="7" t="str">
        <f t="shared" si="3"/>
        <v>84159136</v>
      </c>
      <c r="L203" s="12" t="s">
        <v>1091</v>
      </c>
      <c r="M203" s="13" t="str">
        <f ca="1">IFERROR(__xludf.DUMMYFUNCTION("TRIM(
  REGEXREPLACE(
    TEXTJOIN("" "",
      TRUE,
      B203,
      C203,
      embaralharLinks(E203,F203,G203),
      H203,
      """",
      J203,
      N203,
      ""#RIPNSFW""
    ),
  "",\s*"", "" "")
)"),"{New} Arabelle Raphael https://streamtape.com/v/DqVgDRp2YbFBdl/84159136 https://lulustream.com/d/trnv2c0t9seh https://doodstream.com/d/i0rakw0d6bur/84159136 Sarah Arabic (2026) #MILF #BigTits #Hardcore #Threesome #Interracial #RIPNSFW")</f>
        <v>{New} Arabelle Raphael https://streamtape.com/v/DqVgDRp2YbFBdl/84159136 https://lulustream.com/d/trnv2c0t9seh https://doodstream.com/d/i0rakw0d6bur/84159136 Sarah Arabic (2026) #MILF #BigTits #Hardcore #Threesome #Interracial #RIPNSFW</v>
      </c>
      <c r="N203" s="14" t="s">
        <v>1092</v>
      </c>
      <c r="O203" s="15" t="s">
        <v>1093</v>
      </c>
      <c r="P203" s="14"/>
      <c r="Q203" s="6"/>
      <c r="R203" s="11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75">
      <c r="A204" s="12" t="s">
        <v>1094</v>
      </c>
      <c r="B204" s="6"/>
      <c r="C204" s="7" t="str">
        <f t="shared" si="0"/>
        <v xml:space="preserve">Arabelle Raphael </v>
      </c>
      <c r="D204" s="24" t="s">
        <v>1095</v>
      </c>
      <c r="E204" s="25" t="s">
        <v>1096</v>
      </c>
      <c r="F204" s="9" t="str">
        <f ca="1">IFERROR(__xludf.DUMMYFUNCTION("""https://streamtape.com/v/""&amp;
REGEXEXTRACT(O204,""/thumb/([^/]+)/"")&amp;
""/""&amp;K204"),"https://streamtape.com/v/23QepbZpKmFZOLR/87639737")</f>
        <v>https://streamtape.com/v/23QepbZpKmFZOLR/87639737</v>
      </c>
      <c r="G204" s="10" t="e">
        <f t="shared" ca="1" si="1"/>
        <v>#NAME?</v>
      </c>
      <c r="H204" s="11" t="str">
        <f ca="1">IFERROR(__xludf.DUMMYFUNCTION("IFERROR(SUBSTITUTE(SUBSTITUTE(REGEXEXTRACT(A204, ""[^-]+- [^-]+- [^-]+ - (.+?)\.jpg""), "".jpg"", """"), ""-"", "", ""), """")"),"")</f>
        <v/>
      </c>
      <c r="I204" s="6"/>
      <c r="J204" s="7" t="str">
        <f t="shared" ca="1" si="2"/>
        <v/>
      </c>
      <c r="K204" s="7" t="str">
        <f t="shared" si="3"/>
        <v>87639737</v>
      </c>
      <c r="L204" s="12" t="s">
        <v>1097</v>
      </c>
      <c r="M204" s="13" t="str">
        <f ca="1">IFERROR(__xludf.DUMMYFUNCTION("TRIM(
  REGEXREPLACE(
    TEXTJOIN("" "",
      TRUE,
      B204,
      C204,
      embaralharLinks(E204,F204,G204),
      H204,
      """",
      J204,
      N204,
      ""#RIPNSFW""
    ),
  "",\s*"", "" "")
)"),"Arabelle Raphael https://streamtape.com/v/23QepbZpKmFZOLR/87639737 https://doodstream.com/d/adva9gsex0ti/87639737 https://lulustream.com/d/0la7c8k6lbz4 #anal #creampie #milf #blowjob #RIPNSFW")</f>
        <v>Arabelle Raphael https://streamtape.com/v/23QepbZpKmFZOLR/87639737 https://doodstream.com/d/adva9gsex0ti/87639737 https://lulustream.com/d/0la7c8k6lbz4 #anal #creampie #milf #blowjob #RIPNSFW</v>
      </c>
      <c r="N204" s="2" t="s">
        <v>1097</v>
      </c>
      <c r="O204" s="21" t="s">
        <v>1098</v>
      </c>
      <c r="P204" s="26"/>
      <c r="R204" s="23"/>
      <c r="T204" s="6"/>
      <c r="U204" s="7"/>
    </row>
    <row r="205" spans="1:27" ht="12.75">
      <c r="A205" s="6" t="s">
        <v>1099</v>
      </c>
      <c r="B205" s="6" t="s">
        <v>14</v>
      </c>
      <c r="C205" s="7" t="str">
        <f t="shared" si="0"/>
        <v xml:space="preserve">Ariesia </v>
      </c>
      <c r="D205" s="6" t="s">
        <v>1100</v>
      </c>
      <c r="E205" s="8" t="s">
        <v>1101</v>
      </c>
      <c r="F205" s="9" t="str">
        <f ca="1">IFERROR(__xludf.DUMMYFUNCTION("""https://streamtape.com/v/""&amp;
REGEXEXTRACT(O205,""/thumb/([^/]+)/"")&amp;
""/""&amp;K205"),"https://streamtape.com/v/3DAlPpLOMPIdveW/11046294")</f>
        <v>https://streamtape.com/v/3DAlPpLOMPIdveW/11046294</v>
      </c>
      <c r="G205" s="10" t="e">
        <f t="shared" ca="1" si="1"/>
        <v>#NAME?</v>
      </c>
      <c r="H205" s="11" t="str">
        <f ca="1">IFERROR(__xludf.DUMMYFUNCTION("IFERROR(SUBSTITUTE(SUBSTITUTE(REGEXEXTRACT(A205, ""[^-]+- [^-]+- [^-]+ - (.+?)\.jpg""), "".jpg"", """"), ""-"", "", ""), """")"),"")</f>
        <v/>
      </c>
      <c r="I205" s="6"/>
      <c r="J205" s="7" t="str">
        <f t="shared" ca="1" si="2"/>
        <v>(2026)</v>
      </c>
      <c r="K205" s="7" t="str">
        <f t="shared" si="3"/>
        <v>11046294</v>
      </c>
      <c r="L205" s="12" t="s">
        <v>1102</v>
      </c>
      <c r="M205" s="13" t="str">
        <f ca="1">IFERROR(__xludf.DUMMYFUNCTION("TRIM(
  REGEXREPLACE(
    TEXTJOIN("" "",
      TRUE,
      B205,
      C205,
      embaralharLinks(E205,F205,G205),
      H205,
      """",
      J205,
      N205,
      ""#RIPNSFW""
    ),
  "",\s*"", "" "")
)"),"{New} Ariesia https://lulustream.com/d/6d03mqxx3fjp https://doodstream.com/d/oawqkpinlfzi/11046294 https://streamtape.com/v/3DAlPpLOMPIdveW/11046294 (2026) #Teen #Teens #Blowjob #Amateur #RIPNSFW")</f>
        <v>{New} Ariesia https://lulustream.com/d/6d03mqxx3fjp https://doodstream.com/d/oawqkpinlfzi/11046294 https://streamtape.com/v/3DAlPpLOMPIdveW/11046294 (2026) #Teen #Teens #Blowjob #Amateur #RIPNSFW</v>
      </c>
      <c r="N205" s="14" t="s">
        <v>1103</v>
      </c>
      <c r="O205" s="15" t="s">
        <v>1104</v>
      </c>
      <c r="P205" s="14"/>
      <c r="Q205" s="6"/>
      <c r="R205" s="11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75">
      <c r="A206" s="6" t="s">
        <v>1105</v>
      </c>
      <c r="B206" s="6" t="s">
        <v>14</v>
      </c>
      <c r="C206" s="7" t="str">
        <f t="shared" si="0"/>
        <v xml:space="preserve">Ariesia </v>
      </c>
      <c r="D206" s="6" t="s">
        <v>1106</v>
      </c>
      <c r="E206" s="8" t="s">
        <v>1107</v>
      </c>
      <c r="F206" s="9" t="str">
        <f ca="1">IFERROR(__xludf.DUMMYFUNCTION("""https://streamtape.com/v/""&amp;
REGEXEXTRACT(O206,""/thumb/([^/]+)/"")&amp;
""/""&amp;K206"),"https://streamtape.com/v/vr4KGomy8RF2LX/13099354")</f>
        <v>https://streamtape.com/v/vr4KGomy8RF2LX/13099354</v>
      </c>
      <c r="G206" s="10" t="e">
        <f t="shared" ca="1" si="1"/>
        <v>#NAME?</v>
      </c>
      <c r="H206" s="11" t="str">
        <f ca="1">IFERROR(__xludf.DUMMYFUNCTION("IFERROR(SUBSTITUTE(SUBSTITUTE(REGEXEXTRACT(A206, ""[^-]+- [^-]+- [^-]+ - (.+?)\.jpg""), "".jpg"", """"), ""-"", "", ""), """")"),"")</f>
        <v/>
      </c>
      <c r="I206" s="6"/>
      <c r="J206" s="7" t="str">
        <f t="shared" ca="1" si="2"/>
        <v>(2026)</v>
      </c>
      <c r="K206" s="7" t="str">
        <f t="shared" si="3"/>
        <v>13099354</v>
      </c>
      <c r="L206" s="12" t="s">
        <v>1108</v>
      </c>
      <c r="M206" s="13" t="str">
        <f ca="1">IFERROR(__xludf.DUMMYFUNCTION("TRIM(
  REGEXREPLACE(
    TEXTJOIN("" "",
      TRUE,
      B206,
      C206,
      embaralharLinks(E206,F206,G206),
      H206,
      """",
      J206,
      N206,
      ""#RIPNSFW""
    ),
  "",\s*"", "" "")
)"),"{New} Ariesia https://lulustream.com/d/hxuh7rjf4g1z https://streamtape.com/v/vr4KGomy8RF2LX/13099354 https://doodstream.com/d/bjpmbb6gadp5/13099354 (2026) #Teen #Blowjob #Amateur #Blonde #Facial #RIPNSFW")</f>
        <v>{New} Ariesia https://lulustream.com/d/hxuh7rjf4g1z https://streamtape.com/v/vr4KGomy8RF2LX/13099354 https://doodstream.com/d/bjpmbb6gadp5/13099354 (2026) #Teen #Blowjob #Amateur #Blonde #Facial #RIPNSFW</v>
      </c>
      <c r="N206" s="14" t="s">
        <v>1109</v>
      </c>
      <c r="O206" s="15" t="s">
        <v>1110</v>
      </c>
      <c r="P206" s="14"/>
      <c r="Q206" s="6"/>
      <c r="R206" s="11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75">
      <c r="A207" s="6" t="s">
        <v>1111</v>
      </c>
      <c r="B207" s="6" t="s">
        <v>14</v>
      </c>
      <c r="C207" s="7" t="str">
        <f t="shared" si="0"/>
        <v xml:space="preserve">Ariesia </v>
      </c>
      <c r="D207" s="6" t="s">
        <v>1112</v>
      </c>
      <c r="E207" s="8" t="s">
        <v>1113</v>
      </c>
      <c r="F207" s="9" t="str">
        <f ca="1">IFERROR(__xludf.DUMMYFUNCTION("""https://streamtape.com/v/""&amp;
REGEXEXTRACT(O207,""/thumb/([^/]+)/"")&amp;
""/""&amp;K207"),"https://streamtape.com/v/8JOwLLV6ZOfoxZ9/24291735")</f>
        <v>https://streamtape.com/v/8JOwLLV6ZOfoxZ9/24291735</v>
      </c>
      <c r="G207" s="10" t="e">
        <f t="shared" ca="1" si="1"/>
        <v>#NAME?</v>
      </c>
      <c r="H207" s="11" t="str">
        <f ca="1">IFERROR(__xludf.DUMMYFUNCTION("IFERROR(SUBSTITUTE(SUBSTITUTE(REGEXEXTRACT(A207, ""[^-]+- [^-]+- [^-]+ - (.+?)\.jpg""), "".jpg"", """"), ""-"", "", ""), """")"),"")</f>
        <v/>
      </c>
      <c r="I207" s="6"/>
      <c r="J207" s="7" t="str">
        <f t="shared" ca="1" si="2"/>
        <v>(2026)</v>
      </c>
      <c r="K207" s="7" t="str">
        <f t="shared" si="3"/>
        <v>24291735</v>
      </c>
      <c r="L207" s="12" t="s">
        <v>1114</v>
      </c>
      <c r="M207" s="13" t="str">
        <f ca="1">IFERROR(__xludf.DUMMYFUNCTION("TRIM(
  REGEXREPLACE(
    TEXTJOIN("" "",
      TRUE,
      B207,
      C207,
      embaralharLinks(E207,F207,G207),
      H207,
      """",
      J207,
      N207,
      ""#RIPNSFW""
    ),
  "",\s*"", "" "")
)"),"{New} Ariesia https://streamtape.com/v/8JOwLLV6ZOfoxZ9/24291735 https://doodstream.com/d/o7zk6hnock7m/24291735 https://lulustream.com/d/evi92gxydj5n (2026) #BigTits #Hardcore #Teen #Teens #Blowjob #Amateur #RIPNSFW")</f>
        <v>{New} Ariesia https://streamtape.com/v/8JOwLLV6ZOfoxZ9/24291735 https://doodstream.com/d/o7zk6hnock7m/24291735 https://lulustream.com/d/evi92gxydj5n (2026) #BigTits #Hardcore #Teen #Teens #Blowjob #Amateur #RIPNSFW</v>
      </c>
      <c r="N207" s="14" t="s">
        <v>1115</v>
      </c>
      <c r="O207" s="15" t="s">
        <v>1116</v>
      </c>
      <c r="P207" s="14"/>
      <c r="Q207" s="6"/>
      <c r="R207" s="11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75">
      <c r="A208" s="6" t="s">
        <v>1117</v>
      </c>
      <c r="B208" s="6" t="s">
        <v>14</v>
      </c>
      <c r="C208" s="7" t="str">
        <f t="shared" si="0"/>
        <v xml:space="preserve">Ariesia </v>
      </c>
      <c r="D208" s="6" t="s">
        <v>1118</v>
      </c>
      <c r="E208" s="8" t="s">
        <v>1119</v>
      </c>
      <c r="F208" s="9" t="str">
        <f ca="1">IFERROR(__xludf.DUMMYFUNCTION("""https://streamtape.com/v/""&amp;
REGEXEXTRACT(O208,""/thumb/([^/]+)/"")&amp;
""/""&amp;K208"),"https://streamtape.com/v/1WYRDpw0XMheoBD/24793588")</f>
        <v>https://streamtape.com/v/1WYRDpw0XMheoBD/24793588</v>
      </c>
      <c r="G208" s="10" t="e">
        <f t="shared" ca="1" si="1"/>
        <v>#NAME?</v>
      </c>
      <c r="H208" s="11" t="str">
        <f ca="1">IFERROR(__xludf.DUMMYFUNCTION("IFERROR(SUBSTITUTE(SUBSTITUTE(REGEXEXTRACT(A208, ""[^-]+- [^-]+- [^-]+ - (.+?)\.jpg""), "".jpg"", """"), ""-"", "", ""), """")"),"")</f>
        <v/>
      </c>
      <c r="I208" s="6"/>
      <c r="J208" s="7" t="str">
        <f t="shared" ca="1" si="2"/>
        <v>(2026)</v>
      </c>
      <c r="K208" s="7" t="str">
        <f t="shared" si="3"/>
        <v>24793588</v>
      </c>
      <c r="L208" s="12" t="s">
        <v>1120</v>
      </c>
      <c r="M208" s="13" t="str">
        <f ca="1">IFERROR(__xludf.DUMMYFUNCTION("TRIM(
  REGEXREPLACE(
    TEXTJOIN("" "",
      TRUE,
      B208,
      C208,
      embaralharLinks(E208,F208,G208),
      H208,
      """",
      J208,
      N208,
      ""#RIPNSFW""
    ),
  "",\s*"", "" "")
)"),"{New} Ariesia https://lulustream.com/d/g4j2qg4mxpcb https://streamtape.com/v/1WYRDpw0XMheoBD/24793588 https://doodstream.com/d/1y90zlhzfnz1/24793588 (2026) #BigTits #Hardcore #Teen #Blowjob #Amateur #RIPNSFW")</f>
        <v>{New} Ariesia https://lulustream.com/d/g4j2qg4mxpcb https://streamtape.com/v/1WYRDpw0XMheoBD/24793588 https://doodstream.com/d/1y90zlhzfnz1/24793588 (2026) #BigTits #Hardcore #Teen #Blowjob #Amateur #RIPNSFW</v>
      </c>
      <c r="N208" s="14" t="s">
        <v>1121</v>
      </c>
      <c r="O208" s="15" t="s">
        <v>1122</v>
      </c>
      <c r="P208" s="14"/>
      <c r="Q208" s="6"/>
      <c r="R208" s="11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75">
      <c r="A209" s="6" t="s">
        <v>1123</v>
      </c>
      <c r="B209" s="6" t="s">
        <v>14</v>
      </c>
      <c r="C209" s="7" t="str">
        <f t="shared" si="0"/>
        <v xml:space="preserve">Ariesia </v>
      </c>
      <c r="D209" s="6" t="s">
        <v>1124</v>
      </c>
      <c r="E209" s="8" t="s">
        <v>1125</v>
      </c>
      <c r="F209" s="9" t="str">
        <f ca="1">IFERROR(__xludf.DUMMYFUNCTION("""https://streamtape.com/v/""&amp;
REGEXEXTRACT(O209,""/thumb/([^/]+)/"")&amp;
""/""&amp;K209"),"https://streamtape.com/v/G37D1BbOAXcmwA/25268222")</f>
        <v>https://streamtape.com/v/G37D1BbOAXcmwA/25268222</v>
      </c>
      <c r="G209" s="10" t="e">
        <f t="shared" ca="1" si="1"/>
        <v>#NAME?</v>
      </c>
      <c r="H209" s="11" t="str">
        <f ca="1">IFERROR(__xludf.DUMMYFUNCTION("IFERROR(SUBSTITUTE(SUBSTITUTE(REGEXEXTRACT(A209, ""[^-]+- [^-]+- [^-]+ - (.+?)\.jpg""), "".jpg"", """"), ""-"", "", ""), """")"),"")</f>
        <v/>
      </c>
      <c r="I209" s="6"/>
      <c r="J209" s="7" t="str">
        <f t="shared" ca="1" si="2"/>
        <v>(2026)</v>
      </c>
      <c r="K209" s="7" t="str">
        <f t="shared" si="3"/>
        <v>25268222</v>
      </c>
      <c r="L209" s="12" t="s">
        <v>1126</v>
      </c>
      <c r="M209" s="13" t="str">
        <f ca="1">IFERROR(__xludf.DUMMYFUNCTION("TRIM(
  REGEXREPLACE(
    TEXTJOIN("" "",
      TRUE,
      B209,
      C209,
      embaralharLinks(E209,F209,G209),
      H209,
      """",
      J209,
      N209,
      ""#RIPNSFW""
    ),
  "",\s*"", "" "")
)"),"{New} Ariesia https://doodstream.com/d/gcjoj8znqe3p/25268222 https://lulustream.com/d/cwpkokk41lqr https://streamtape.com/v/G37D1BbOAXcmwA/25268222 (2026) #Hardcore #Teen #Artporn #Teens #Amateur #RIPNSFW")</f>
        <v>{New} Ariesia https://doodstream.com/d/gcjoj8znqe3p/25268222 https://lulustream.com/d/cwpkokk41lqr https://streamtape.com/v/G37D1BbOAXcmwA/25268222 (2026) #Hardcore #Teen #Artporn #Teens #Amateur #RIPNSFW</v>
      </c>
      <c r="N209" s="14" t="s">
        <v>1127</v>
      </c>
      <c r="O209" s="15" t="s">
        <v>1128</v>
      </c>
      <c r="P209" s="14"/>
      <c r="Q209" s="6"/>
      <c r="R209" s="11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75">
      <c r="A210" s="6" t="s">
        <v>1129</v>
      </c>
      <c r="B210" s="6" t="s">
        <v>14</v>
      </c>
      <c r="C210" s="7" t="str">
        <f t="shared" si="0"/>
        <v xml:space="preserve">Ariesia </v>
      </c>
      <c r="D210" s="6" t="s">
        <v>1130</v>
      </c>
      <c r="E210" s="8" t="s">
        <v>1131</v>
      </c>
      <c r="F210" s="9" t="str">
        <f ca="1">IFERROR(__xludf.DUMMYFUNCTION("""https://streamtape.com/v/""&amp;
REGEXEXTRACT(O210,""/thumb/([^/]+)/"")&amp;
""/""&amp;K210"),"https://streamtape.com/v/ZkVXlp1ZL9uqxjb/47928946")</f>
        <v>https://streamtape.com/v/ZkVXlp1ZL9uqxjb/47928946</v>
      </c>
      <c r="G210" s="10" t="e">
        <f t="shared" ca="1" si="1"/>
        <v>#NAME?</v>
      </c>
      <c r="H210" s="11" t="str">
        <f ca="1">IFERROR(__xludf.DUMMYFUNCTION("IFERROR(SUBSTITUTE(SUBSTITUTE(REGEXEXTRACT(A210, ""[^-]+- [^-]+- [^-]+ - (.+?)\.jpg""), "".jpg"", """"), ""-"", "", ""), """")"),"")</f>
        <v/>
      </c>
      <c r="I210" s="6"/>
      <c r="J210" s="7" t="str">
        <f t="shared" ca="1" si="2"/>
        <v>(2026)</v>
      </c>
      <c r="K210" s="7" t="str">
        <f t="shared" si="3"/>
        <v>47928946</v>
      </c>
      <c r="L210" s="12" t="s">
        <v>1132</v>
      </c>
      <c r="M210" s="13" t="str">
        <f ca="1">IFERROR(__xludf.DUMMYFUNCTION("TRIM(
  REGEXREPLACE(
    TEXTJOIN("" "",
      TRUE,
      B210,
      C210,
      embaralharLinks(E210,F210,G210),
      H210,
      """",
      J210,
      N210,
      ""#RIPNSFW""
    ),
  "",\s*"", "" "")
)"),"{New} Ariesia https://doodstream.com/d/4oihk8x2i9gl/47928946 https://streamtape.com/v/ZkVXlp1ZL9uqxjb/47928946 https://lulustream.com/d/pbe1bcy58z0l (2026) #BigTits #Hardcore #Threesome #Teen #RIPNSFW")</f>
        <v>{New} Ariesia https://doodstream.com/d/4oihk8x2i9gl/47928946 https://streamtape.com/v/ZkVXlp1ZL9uqxjb/47928946 https://lulustream.com/d/pbe1bcy58z0l (2026) #BigTits #Hardcore #Threesome #Teen #RIPNSFW</v>
      </c>
      <c r="N210" s="14" t="s">
        <v>580</v>
      </c>
      <c r="O210" s="15" t="s">
        <v>1133</v>
      </c>
      <c r="P210" s="14"/>
      <c r="Q210" s="6"/>
      <c r="R210" s="11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75">
      <c r="A211" s="6" t="s">
        <v>1134</v>
      </c>
      <c r="B211" s="6" t="s">
        <v>14</v>
      </c>
      <c r="C211" s="7" t="str">
        <f t="shared" si="0"/>
        <v xml:space="preserve">Ariesia </v>
      </c>
      <c r="D211" s="6" t="s">
        <v>1135</v>
      </c>
      <c r="E211" s="8" t="s">
        <v>1136</v>
      </c>
      <c r="F211" s="9" t="str">
        <f ca="1">IFERROR(__xludf.DUMMYFUNCTION("""https://streamtape.com/v/""&amp;
REGEXEXTRACT(O211,""/thumb/([^/]+)/"")&amp;
""/""&amp;K211"),"https://streamtape.com/v/7Rkd4DpL8AhAD2a/79545222")</f>
        <v>https://streamtape.com/v/7Rkd4DpL8AhAD2a/79545222</v>
      </c>
      <c r="G211" s="10" t="e">
        <f t="shared" ca="1" si="1"/>
        <v>#NAME?</v>
      </c>
      <c r="H211" s="11" t="str">
        <f ca="1">IFERROR(__xludf.DUMMYFUNCTION("IFERROR(SUBSTITUTE(SUBSTITUTE(REGEXEXTRACT(A211, ""[^-]+- [^-]+- [^-]+ - (.+?)\.jpg""), "".jpg"", """"), ""-"", "", ""), """")"),"")</f>
        <v/>
      </c>
      <c r="I211" s="6"/>
      <c r="J211" s="7" t="str">
        <f t="shared" ca="1" si="2"/>
        <v>(2026)</v>
      </c>
      <c r="K211" s="7" t="str">
        <f t="shared" si="3"/>
        <v>79545222</v>
      </c>
      <c r="L211" s="12" t="s">
        <v>1137</v>
      </c>
      <c r="M211" s="13" t="str">
        <f ca="1">IFERROR(__xludf.DUMMYFUNCTION("TRIM(
  REGEXREPLACE(
    TEXTJOIN("" "",
      TRUE,
      B211,
      C211,
      embaralharLinks(E211,F211,G211),
      H211,
      """",
      J211,
      N211,
      ""#RIPNSFW""
    ),
  "",\s*"", "" "")
)"),"{New} Ariesia https://lulustream.com/d/cb1asrq2k8wu https://streamtape.com/v/7Rkd4DpL8AhAD2a/79545222 https://doodstream.com/d/sww0icm0snq8/79545222 (2026) #Teen #Teens #Blowjob #Amateur #RIPNSFW")</f>
        <v>{New} Ariesia https://lulustream.com/d/cb1asrq2k8wu https://streamtape.com/v/7Rkd4DpL8AhAD2a/79545222 https://doodstream.com/d/sww0icm0snq8/79545222 (2026) #Teen #Teens #Blowjob #Amateur #RIPNSFW</v>
      </c>
      <c r="N211" s="14" t="s">
        <v>1103</v>
      </c>
      <c r="O211" s="15" t="s">
        <v>1138</v>
      </c>
      <c r="P211" s="14"/>
      <c r="Q211" s="6"/>
      <c r="R211" s="11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75">
      <c r="A212" s="6" t="s">
        <v>1139</v>
      </c>
      <c r="B212" s="6" t="s">
        <v>14</v>
      </c>
      <c r="C212" s="7" t="str">
        <f t="shared" si="0"/>
        <v xml:space="preserve">Ariesia </v>
      </c>
      <c r="D212" s="6" t="s">
        <v>1140</v>
      </c>
      <c r="E212" s="8" t="s">
        <v>1141</v>
      </c>
      <c r="F212" s="9" t="str">
        <f ca="1">IFERROR(__xludf.DUMMYFUNCTION("""https://streamtape.com/v/""&amp;
REGEXEXTRACT(O212,""/thumb/([^/]+)/"")&amp;
""/""&amp;K212"),"https://streamtape.com/v/YyrYa22eqXtvQKP/84498369")</f>
        <v>https://streamtape.com/v/YyrYa22eqXtvQKP/84498369</v>
      </c>
      <c r="G212" s="10" t="e">
        <f t="shared" ca="1" si="1"/>
        <v>#NAME?</v>
      </c>
      <c r="H212" s="11" t="str">
        <f ca="1">IFERROR(__xludf.DUMMYFUNCTION("IFERROR(SUBSTITUTE(SUBSTITUTE(REGEXEXTRACT(A212, ""[^-]+- [^-]+- [^-]+ - (.+?)\.jpg""), "".jpg"", """"), ""-"", "", ""), """")"),"")</f>
        <v/>
      </c>
      <c r="I212" s="6"/>
      <c r="J212" s="7" t="str">
        <f t="shared" ca="1" si="2"/>
        <v>(2026)</v>
      </c>
      <c r="K212" s="7" t="str">
        <f t="shared" si="3"/>
        <v>84498369</v>
      </c>
      <c r="L212" s="12" t="s">
        <v>1142</v>
      </c>
      <c r="M212" s="13" t="str">
        <f ca="1">IFERROR(__xludf.DUMMYFUNCTION("TRIM(
  REGEXREPLACE(
    TEXTJOIN("" "",
      TRUE,
      B212,
      C212,
      embaralharLinks(E212,F212,G212),
      H212,
      """",
      J212,
      N212,
      ""#RIPNSFW""
    ),
  "",\s*"", "" "")
)"),"{New} Ariesia https://lulustream.com/d/gxztp2o0ummy https://streamtape.com/v/YyrYa22eqXtvQKP/84498369 https://doodstream.com/d/b7y7zibj28qh/84498369 (2026) #BigTits #Teen #Blowjob #Amateur #Deepthroat #Blonde #RIPNSFW")</f>
        <v>{New} Ariesia https://lulustream.com/d/gxztp2o0ummy https://streamtape.com/v/YyrYa22eqXtvQKP/84498369 https://doodstream.com/d/b7y7zibj28qh/84498369 (2026) #BigTits #Teen #Blowjob #Amateur #Deepthroat #Blonde #RIPNSFW</v>
      </c>
      <c r="N212" s="14" t="s">
        <v>1143</v>
      </c>
      <c r="O212" s="15" t="s">
        <v>1144</v>
      </c>
      <c r="P212" s="14"/>
      <c r="Q212" s="6"/>
      <c r="R212" s="11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75">
      <c r="A213" s="6" t="s">
        <v>1145</v>
      </c>
      <c r="B213" s="6" t="s">
        <v>14</v>
      </c>
      <c r="C213" s="7" t="str">
        <f t="shared" si="0"/>
        <v xml:space="preserve">Ariesia </v>
      </c>
      <c r="D213" s="6" t="s">
        <v>1146</v>
      </c>
      <c r="E213" s="8" t="s">
        <v>1147</v>
      </c>
      <c r="F213" s="9" t="str">
        <f ca="1">IFERROR(__xludf.DUMMYFUNCTION("""https://streamtape.com/v/""&amp;
REGEXEXTRACT(O213,""/thumb/([^/]+)/"")&amp;
""/""&amp;K213"),"https://streamtape.com/v/LYrmdqXeegH40K/84637288")</f>
        <v>https://streamtape.com/v/LYrmdqXeegH40K/84637288</v>
      </c>
      <c r="G213" s="10" t="e">
        <f t="shared" ca="1" si="1"/>
        <v>#NAME?</v>
      </c>
      <c r="H213" s="11" t="str">
        <f ca="1">IFERROR(__xludf.DUMMYFUNCTION("IFERROR(SUBSTITUTE(SUBSTITUTE(REGEXEXTRACT(A213, ""[^-]+- [^-]+- [^-]+ - (.+?)\.jpg""), "".jpg"", """"), ""-"", "", ""), """")"),"")</f>
        <v/>
      </c>
      <c r="I213" s="6"/>
      <c r="J213" s="7" t="str">
        <f t="shared" ca="1" si="2"/>
        <v>(2026)</v>
      </c>
      <c r="K213" s="7" t="str">
        <f t="shared" si="3"/>
        <v>84637288</v>
      </c>
      <c r="L213" s="12" t="s">
        <v>1148</v>
      </c>
      <c r="M213" s="13" t="str">
        <f ca="1">IFERROR(__xludf.DUMMYFUNCTION("TRIM(
  REGEXREPLACE(
    TEXTJOIN("" "",
      TRUE,
      B213,
      C213,
      embaralharLinks(E213,F213,G213),
      H213,
      """",
      J213,
      N213,
      ""#RIPNSFW""
    ),
  "",\s*"", "" "")
)"),"{New} Ariesia https://lulustream.com/d/9gl7yerj6s3n https://doodstream.com/d/gqqpa7ss1l0g/84637288 https://streamtape.com/v/LYrmdqXeegH40K/84637288 (2026) #BigTits #Hardcore #Teen #Amateur #Blowjob #Blonde #RIPNSFW")</f>
        <v>{New} Ariesia https://lulustream.com/d/9gl7yerj6s3n https://doodstream.com/d/gqqpa7ss1l0g/84637288 https://streamtape.com/v/LYrmdqXeegH40K/84637288 (2026) #BigTits #Hardcore #Teen #Amateur #Blowjob #Blonde #RIPNSFW</v>
      </c>
      <c r="N213" s="14" t="s">
        <v>1149</v>
      </c>
      <c r="O213" s="15" t="s">
        <v>1150</v>
      </c>
      <c r="P213" s="14"/>
      <c r="Q213" s="6"/>
      <c r="R213" s="11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75">
      <c r="A214" s="6" t="s">
        <v>1151</v>
      </c>
      <c r="B214" s="6" t="s">
        <v>14</v>
      </c>
      <c r="C214" s="7" t="str">
        <f t="shared" si="0"/>
        <v xml:space="preserve">Ariesia </v>
      </c>
      <c r="D214" s="6" t="s">
        <v>1152</v>
      </c>
      <c r="E214" s="8" t="s">
        <v>1153</v>
      </c>
      <c r="F214" s="9" t="str">
        <f ca="1">IFERROR(__xludf.DUMMYFUNCTION("""https://streamtape.com/v/""&amp;
REGEXEXTRACT(O214,""/thumb/([^/]+)/"")&amp;
""/""&amp;K214"),"https://streamtape.com/v/Mq023AdBpGHmZwV/88224176")</f>
        <v>https://streamtape.com/v/Mq023AdBpGHmZwV/88224176</v>
      </c>
      <c r="G214" s="10" t="e">
        <f t="shared" ca="1" si="1"/>
        <v>#NAME?</v>
      </c>
      <c r="H214" s="11" t="str">
        <f ca="1">IFERROR(__xludf.DUMMYFUNCTION("IFERROR(SUBSTITUTE(SUBSTITUTE(REGEXEXTRACT(A214, ""[^-]+- [^-]+- [^-]+ - (.+?)\.jpg""), "".jpg"", """"), ""-"", "", ""), """")"),"")</f>
        <v/>
      </c>
      <c r="I214" s="6"/>
      <c r="J214" s="7" t="str">
        <f t="shared" ca="1" si="2"/>
        <v>(2026)</v>
      </c>
      <c r="K214" s="7" t="str">
        <f t="shared" si="3"/>
        <v>88224176</v>
      </c>
      <c r="L214" s="12" t="s">
        <v>1154</v>
      </c>
      <c r="M214" s="13" t="str">
        <f ca="1">IFERROR(__xludf.DUMMYFUNCTION("TRIM(
  REGEXREPLACE(
    TEXTJOIN("" "",
      TRUE,
      B214,
      C214,
      embaralharLinks(E214,F214,G214),
      H214,
      """",
      J214,
      N214,
      ""#RIPNSFW""
    ),
  "",\s*"", "" "")
)"),"{New} Ariesia https://doodstream.com/d/sde6xva44s5q/88224176 https://lulustream.com/d/wxhinwmz3hgb https://streamtape.com/v/Mq023AdBpGHmZwV/88224176 (2026) #Hardcore #Teen #Blowjob #Amateur #Blonde #RIPNSFW")</f>
        <v>{New} Ariesia https://doodstream.com/d/sde6xva44s5q/88224176 https://lulustream.com/d/wxhinwmz3hgb https://streamtape.com/v/Mq023AdBpGHmZwV/88224176 (2026) #Hardcore #Teen #Blowjob #Amateur #Blonde #RIPNSFW</v>
      </c>
      <c r="N214" s="14" t="s">
        <v>1155</v>
      </c>
      <c r="O214" s="15" t="s">
        <v>1156</v>
      </c>
      <c r="P214" s="14"/>
      <c r="Q214" s="6"/>
      <c r="R214" s="11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75">
      <c r="A215" s="6" t="s">
        <v>1157</v>
      </c>
      <c r="B215" s="6" t="s">
        <v>14</v>
      </c>
      <c r="C215" s="7" t="str">
        <f t="shared" si="0"/>
        <v xml:space="preserve">Ariesia </v>
      </c>
      <c r="D215" s="6" t="s">
        <v>1158</v>
      </c>
      <c r="E215" s="8" t="s">
        <v>1159</v>
      </c>
      <c r="F215" s="9" t="str">
        <f ca="1">IFERROR(__xludf.DUMMYFUNCTION("""https://streamtape.com/v/""&amp;
REGEXEXTRACT(O215,""/thumb/([^/]+)/"")&amp;
""/""&amp;K215"),"https://streamtape.com/v/l49GYZPL4PH7XvL/99161496")</f>
        <v>https://streamtape.com/v/l49GYZPL4PH7XvL/99161496</v>
      </c>
      <c r="G215" s="10" t="e">
        <f t="shared" ca="1" si="1"/>
        <v>#NAME?</v>
      </c>
      <c r="H215" s="11" t="str">
        <f ca="1">IFERROR(__xludf.DUMMYFUNCTION("IFERROR(SUBSTITUTE(SUBSTITUTE(REGEXEXTRACT(A215, ""[^-]+- [^-]+- [^-]+ - (.+?)\.jpg""), "".jpg"", """"), ""-"", "", ""), """")"),"")</f>
        <v/>
      </c>
      <c r="I215" s="6"/>
      <c r="J215" s="7" t="str">
        <f t="shared" ca="1" si="2"/>
        <v>(2026)</v>
      </c>
      <c r="K215" s="7" t="str">
        <f t="shared" si="3"/>
        <v>99161496</v>
      </c>
      <c r="L215" s="12" t="s">
        <v>1154</v>
      </c>
      <c r="M215" s="13" t="str">
        <f ca="1">IFERROR(__xludf.DUMMYFUNCTION("TRIM(
  REGEXREPLACE(
    TEXTJOIN("" "",
      TRUE,
      B215,
      C215,
      embaralharLinks(E215,F215,G215),
      H215,
      """",
      J215,
      N215,
      ""#RIPNSFW""
    ),
  "",\s*"", "" "")
)"),"{New} Ariesia https://streamtape.com/v/l49GYZPL4PH7XvL/99161496 https://doodstream.com/d/b05w850isewp/99161496 https://lulustream.com/d/gilkoxam6ssq (2026) #Hardcore #Teen #Blowjob #Amateur #Blonde #RIPNSFW")</f>
        <v>{New} Ariesia https://streamtape.com/v/l49GYZPL4PH7XvL/99161496 https://doodstream.com/d/b05w850isewp/99161496 https://lulustream.com/d/gilkoxam6ssq (2026) #Hardcore #Teen #Blowjob #Amateur #Blonde #RIPNSFW</v>
      </c>
      <c r="N215" s="14" t="s">
        <v>1155</v>
      </c>
      <c r="O215" s="15" t="s">
        <v>1160</v>
      </c>
      <c r="P215" s="14"/>
      <c r="Q215" s="6"/>
      <c r="R215" s="11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75">
      <c r="A216" s="12" t="s">
        <v>1161</v>
      </c>
      <c r="B216" s="6" t="s">
        <v>14</v>
      </c>
      <c r="C216" s="7" t="str">
        <f t="shared" si="0"/>
        <v xml:space="preserve">Asa Akira </v>
      </c>
      <c r="D216" s="24" t="s">
        <v>1162</v>
      </c>
      <c r="E216" s="25" t="s">
        <v>1163</v>
      </c>
      <c r="F216" s="9" t="str">
        <f ca="1">IFERROR(__xludf.DUMMYFUNCTION("""https://streamtape.com/v/""&amp;
REGEXEXTRACT(O216,""/thumb/([^/]+)/"")&amp;
""/""&amp;K216"),"https://streamtape.com/v/yVMaawgK2Pi1XAY/63675570")</f>
        <v>https://streamtape.com/v/yVMaawgK2Pi1XAY/63675570</v>
      </c>
      <c r="G216" s="10" t="e">
        <f t="shared" ca="1" si="1"/>
        <v>#NAME?</v>
      </c>
      <c r="H216" s="11" t="str">
        <f ca="1">IFERROR(__xludf.DUMMYFUNCTION("IFERROR(SUBSTITUTE(SUBSTITUTE(REGEXEXTRACT(A216, ""[^-]+- [^-]+- [^-]+ - (.+?)\.jpg""), "".jpg"", """"), ""-"", "", ""), """")"),"")</f>
        <v/>
      </c>
      <c r="I216" s="6"/>
      <c r="J216" s="7" t="str">
        <f t="shared" ca="1" si="2"/>
        <v>(2026)</v>
      </c>
      <c r="K216" s="7" t="str">
        <f t="shared" si="3"/>
        <v>63675570</v>
      </c>
      <c r="L216" s="12" t="s">
        <v>1164</v>
      </c>
      <c r="M216" s="13" t="str">
        <f ca="1">IFERROR(__xludf.DUMMYFUNCTION("TRIM(
  REGEXREPLACE(
    TEXTJOIN("" "",
      TRUE,
      B216,
      C216,
      embaralharLinks(E216,F216,G216),
      H216,
      """",
      J216,
      N216,
      ""#RIPNSFW""
    ),
  "",\s*"", "" "")
)"),"{New} Asa Akira https://lulustream.com/d/okuc2ryc4lqn https://doodstream.com/d/lzas4hs4fk2g/63675570 https://streamtape.com/v/yVMaawgK2Pi1XAY/63675570 (2026) #milf #bigtits #creampie #asian #RIPNSFW")</f>
        <v>{New} Asa Akira https://lulustream.com/d/okuc2ryc4lqn https://doodstream.com/d/lzas4hs4fk2g/63675570 https://streamtape.com/v/yVMaawgK2Pi1XAY/63675570 (2026) #milf #bigtits #creampie #asian #RIPNSFW</v>
      </c>
      <c r="N216" s="2" t="s">
        <v>1164</v>
      </c>
      <c r="O216" s="30" t="s">
        <v>1165</v>
      </c>
      <c r="P216" s="26"/>
      <c r="R216" s="23"/>
      <c r="T216" s="6"/>
      <c r="U216" s="7"/>
    </row>
    <row r="217" spans="1:27" ht="12.75">
      <c r="A217" s="12" t="s">
        <v>1166</v>
      </c>
      <c r="B217" s="6"/>
      <c r="C217" s="7" t="str">
        <f t="shared" si="0"/>
        <v xml:space="preserve">Asa Akira </v>
      </c>
      <c r="D217" s="24" t="s">
        <v>1167</v>
      </c>
      <c r="E217" s="25" t="s">
        <v>1168</v>
      </c>
      <c r="F217" s="9" t="str">
        <f ca="1">IFERROR(__xludf.DUMMYFUNCTION("""https://streamtape.com/v/""&amp;
REGEXEXTRACT(O217,""/thumb/([^/]+)/"")&amp;
""/""&amp;K217"),"https://streamtape.com/v/9o0pZAZaPrIoAa/81098035")</f>
        <v>https://streamtape.com/v/9o0pZAZaPrIoAa/81098035</v>
      </c>
      <c r="G217" s="10" t="e">
        <f t="shared" ca="1" si="1"/>
        <v>#NAME?</v>
      </c>
      <c r="H217" s="11" t="str">
        <f ca="1">IFERROR(__xludf.DUMMYFUNCTION("IFERROR(SUBSTITUTE(SUBSTITUTE(REGEXEXTRACT(A217, ""[^-]+- [^-]+- [^-]+ - (.+?)\.jpg""), "".jpg"", """"), ""-"", "", ""), """")"),"")</f>
        <v/>
      </c>
      <c r="I217" s="6"/>
      <c r="J217" s="7" t="str">
        <f t="shared" ca="1" si="2"/>
        <v/>
      </c>
      <c r="K217" s="7" t="str">
        <f t="shared" si="3"/>
        <v>81098035</v>
      </c>
      <c r="L217" s="12" t="s">
        <v>1169</v>
      </c>
      <c r="M217" s="13" t="str">
        <f ca="1">IFERROR(__xludf.DUMMYFUNCTION("TRIM(
  REGEXREPLACE(
    TEXTJOIN("" "",
      TRUE,
      B217,
      C217,
      embaralharLinks(E217,F217,G217),
      H217,
      """",
      J217,
      N217,
      ""#RIPNSFW""
    ),
  "",\s*"", "" "")
)"),"Asa Akira https://streamtape.com/v/9o0pZAZaPrIoAa/81098035 https://lulustream.com/d/4zp20m1cexaq https://doodstream.com/d/62354t0614o4/81098035 #milf #asian #anal #bigtits #RIPNSFW")</f>
        <v>Asa Akira https://streamtape.com/v/9o0pZAZaPrIoAa/81098035 https://lulustream.com/d/4zp20m1cexaq https://doodstream.com/d/62354t0614o4/81098035 #milf #asian #anal #bigtits #RIPNSFW</v>
      </c>
      <c r="N217" s="2" t="s">
        <v>1169</v>
      </c>
      <c r="O217" s="30" t="s">
        <v>1170</v>
      </c>
      <c r="P217" s="26"/>
      <c r="R217" s="23"/>
      <c r="T217" s="6"/>
      <c r="U217" s="7"/>
    </row>
    <row r="218" spans="1:27" ht="12.75">
      <c r="A218" s="6" t="s">
        <v>1171</v>
      </c>
      <c r="B218" s="6" t="s">
        <v>14</v>
      </c>
      <c r="C218" s="7" t="str">
        <f t="shared" si="0"/>
        <v xml:space="preserve">Ashley Alexander </v>
      </c>
      <c r="D218" s="6" t="s">
        <v>1172</v>
      </c>
      <c r="E218" s="8" t="s">
        <v>1173</v>
      </c>
      <c r="F218" s="9" t="str">
        <f ca="1">IFERROR(__xludf.DUMMYFUNCTION("""https://streamtape.com/v/""&amp;
REGEXEXTRACT(O218,""/thumb/([^/]+)/"")&amp;
""/""&amp;K218"),"https://streamtape.com/v/ZwDoVg9MKYTq9ym/34919677")</f>
        <v>https://streamtape.com/v/ZwDoVg9MKYTq9ym/34919677</v>
      </c>
      <c r="G218" s="10" t="e">
        <f t="shared" ca="1" si="1"/>
        <v>#NAME?</v>
      </c>
      <c r="H218" s="11" t="str">
        <f ca="1">IFERROR(__xludf.DUMMYFUNCTION("IFERROR(SUBSTITUTE(SUBSTITUTE(REGEXEXTRACT(A218, ""[^-]+- [^-]+- [^-]+ - (.+?)\.jpg""), "".jpg"", """"), ""-"", "", ""), """")"),"")</f>
        <v/>
      </c>
      <c r="I218" s="6"/>
      <c r="J218" s="7" t="str">
        <f t="shared" ca="1" si="2"/>
        <v>(2026)</v>
      </c>
      <c r="K218" s="7" t="str">
        <f t="shared" si="3"/>
        <v>34919677</v>
      </c>
      <c r="L218" s="12" t="s">
        <v>527</v>
      </c>
      <c r="M218" s="13" t="str">
        <f ca="1">IFERROR(__xludf.DUMMYFUNCTION("TRIM(
  REGEXREPLACE(
    TEXTJOIN("" "",
      TRUE,
      B218,
      C218,
      embaralharLinks(E218,F218,G218),
      H218,
      """",
      J218,
      N218,
      ""#RIPNSFW""
    ),
  "",\s*"", "" "")
)"),"{New} Ashley Alexander https://lulustream.com/d/3fdeyvh8p5n7 https://doodstream.com/d/4ryl31yt3lpr/34919677 https://streamtape.com/v/ZwDoVg9MKYTq9ym/34919677 (2026) #BigTits #Hardcore #Bigass #Teen #Artporn #Blowjob #Amateur #RIPNSFW")</f>
        <v>{New} Ashley Alexander https://lulustream.com/d/3fdeyvh8p5n7 https://doodstream.com/d/4ryl31yt3lpr/34919677 https://streamtape.com/v/ZwDoVg9MKYTq9ym/34919677 (2026) #BigTits #Hardcore #Bigass #Teen #Artporn #Blowjob #Amateur #RIPNSFW</v>
      </c>
      <c r="N218" s="14" t="s">
        <v>1174</v>
      </c>
      <c r="O218" s="15" t="s">
        <v>1175</v>
      </c>
      <c r="P218" s="14"/>
      <c r="Q218" s="6"/>
      <c r="R218" s="11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75">
      <c r="A219" s="6" t="s">
        <v>1176</v>
      </c>
      <c r="B219" s="6" t="s">
        <v>14</v>
      </c>
      <c r="C219" s="7" t="str">
        <f t="shared" si="0"/>
        <v xml:space="preserve">Audrey Bitoni </v>
      </c>
      <c r="D219" s="6" t="s">
        <v>1177</v>
      </c>
      <c r="E219" s="8" t="s">
        <v>1178</v>
      </c>
      <c r="F219" s="9" t="str">
        <f ca="1">IFERROR(__xludf.DUMMYFUNCTION("""https://streamtape.com/v/""&amp;
REGEXEXTRACT(O219,""/thumb/([^/]+)/"")&amp;
""/""&amp;K219"),"https://streamtape.com/v/4RoBe20MGwfKKp7/13074864")</f>
        <v>https://streamtape.com/v/4RoBe20MGwfKKp7/13074864</v>
      </c>
      <c r="G219" s="10" t="e">
        <f t="shared" ca="1" si="1"/>
        <v>#NAME?</v>
      </c>
      <c r="H219" s="11" t="str">
        <f ca="1">IFERROR(__xludf.DUMMYFUNCTION("IFERROR(SUBSTITUTE(SUBSTITUTE(REGEXEXTRACT(A219, ""[^-]+- [^-]+- [^-]+ - (.+?)\.jpg""), "".jpg"", """"), ""-"", "", ""), """")"),"")</f>
        <v/>
      </c>
      <c r="I219" s="6"/>
      <c r="J219" s="7" t="str">
        <f t="shared" ca="1" si="2"/>
        <v>(2026)</v>
      </c>
      <c r="K219" s="7" t="str">
        <f t="shared" si="3"/>
        <v>13074864</v>
      </c>
      <c r="L219" s="12" t="s">
        <v>1179</v>
      </c>
      <c r="M219" s="13" t="str">
        <f ca="1">IFERROR(__xludf.DUMMYFUNCTION("TRIM(
  REGEXREPLACE(
    TEXTJOIN("" "",
      TRUE,
      B219,
      C219,
      embaralharLinks(E219,F219,G219),
      H219,
      """",
      J219,
      N219,
      ""#RIPNSFW""
    ),
  "",\s*"", "" "")
)"),"{New} Audrey Bitoni https://doodstream.com/d/twky389uiuzv/13074864 https://lulustream.com/d/t30uwy5gjmdw https://streamtape.com/v/4RoBe20MGwfKKp7/13074864 (2026) #MILF #BigTits #Hardcore #Bigass #Porn #RIPNSFW")</f>
        <v>{New} Audrey Bitoni https://doodstream.com/d/twky389uiuzv/13074864 https://lulustream.com/d/t30uwy5gjmdw https://streamtape.com/v/4RoBe20MGwfKKp7/13074864 (2026) #MILF #BigTits #Hardcore #Bigass #Porn #RIPNSFW</v>
      </c>
      <c r="N219" s="14" t="s">
        <v>1180</v>
      </c>
      <c r="O219" s="15" t="s">
        <v>1181</v>
      </c>
      <c r="P219" s="14"/>
      <c r="Q219" s="6"/>
      <c r="R219" s="11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75">
      <c r="A220" s="6" t="s">
        <v>1182</v>
      </c>
      <c r="B220" s="6" t="s">
        <v>14</v>
      </c>
      <c r="C220" s="7" t="str">
        <f t="shared" si="0"/>
        <v xml:space="preserve">Audrey Bitoni </v>
      </c>
      <c r="D220" s="6" t="s">
        <v>1183</v>
      </c>
      <c r="E220" s="8" t="s">
        <v>1184</v>
      </c>
      <c r="F220" s="9" t="str">
        <f ca="1">IFERROR(__xludf.DUMMYFUNCTION("""https://streamtape.com/v/""&amp;
REGEXEXTRACT(O220,""/thumb/([^/]+)/"")&amp;
""/""&amp;K220"),"https://streamtape.com/v/7zVJVzypMatR6Z/48200011")</f>
        <v>https://streamtape.com/v/7zVJVzypMatR6Z/48200011</v>
      </c>
      <c r="G220" s="10" t="e">
        <f t="shared" ca="1" si="1"/>
        <v>#NAME?</v>
      </c>
      <c r="H220" s="11" t="str">
        <f ca="1">IFERROR(__xludf.DUMMYFUNCTION("IFERROR(SUBSTITUTE(SUBSTITUTE(REGEXEXTRACT(A220, ""[^-]+- [^-]+- [^-]+ - (.+?)\.jpg""), "".jpg"", """"), ""-"", "", ""), """")"),"")</f>
        <v/>
      </c>
      <c r="I220" s="6"/>
      <c r="J220" s="7" t="str">
        <f t="shared" ca="1" si="2"/>
        <v>(2026)</v>
      </c>
      <c r="K220" s="7" t="str">
        <f t="shared" si="3"/>
        <v>48200011</v>
      </c>
      <c r="L220" s="12" t="s">
        <v>1185</v>
      </c>
      <c r="M220" s="13" t="str">
        <f ca="1">IFERROR(__xludf.DUMMYFUNCTION("TRIM(
  REGEXREPLACE(
    TEXTJOIN("" "",
      TRUE,
      B220,
      C220,
      embaralharLinks(E220,F220,G220),
      H220,
      """",
      J220,
      N220,
      ""#RIPNSFW""
    ),
  "",\s*"", "" "")
)"),"{New} Audrey Bitoni https://streamtape.com/v/7zVJVzypMatR6Z/48200011 https://lulustream.com/d/xdorj7bqrlbq https://doodstream.com/d/kohmechbcskr/48200011 (2026) #MILF #BigTits #Hardcore #Porn #RIPNSFW")</f>
        <v>{New} Audrey Bitoni https://streamtape.com/v/7zVJVzypMatR6Z/48200011 https://lulustream.com/d/xdorj7bqrlbq https://doodstream.com/d/kohmechbcskr/48200011 (2026) #MILF #BigTits #Hardcore #Porn #RIPNSFW</v>
      </c>
      <c r="N220" s="14" t="s">
        <v>1186</v>
      </c>
      <c r="O220" s="15" t="s">
        <v>1187</v>
      </c>
      <c r="P220" s="14"/>
      <c r="Q220" s="6"/>
      <c r="R220" s="11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75">
      <c r="A221" s="6" t="s">
        <v>1188</v>
      </c>
      <c r="B221" s="6" t="s">
        <v>14</v>
      </c>
      <c r="C221" s="7" t="str">
        <f t="shared" si="0"/>
        <v xml:space="preserve">Audrey Bitoni </v>
      </c>
      <c r="D221" s="6" t="s">
        <v>1189</v>
      </c>
      <c r="E221" s="8" t="s">
        <v>1190</v>
      </c>
      <c r="F221" s="9" t="str">
        <f ca="1">IFERROR(__xludf.DUMMYFUNCTION("""https://streamtape.com/v/""&amp;
REGEXEXTRACT(O221,""/thumb/([^/]+)/"")&amp;
""/""&amp;K221"),"https://streamtape.com/v/q3AzpG0XmqhRX6/70563939")</f>
        <v>https://streamtape.com/v/q3AzpG0XmqhRX6/70563939</v>
      </c>
      <c r="G221" s="10" t="e">
        <f t="shared" ca="1" si="1"/>
        <v>#NAME?</v>
      </c>
      <c r="H221" s="11" t="str">
        <f ca="1">IFERROR(__xludf.DUMMYFUNCTION("IFERROR(SUBSTITUTE(SUBSTITUTE(REGEXEXTRACT(A221, ""[^-]+- [^-]+- [^-]+ - (.+?)\.jpg""), "".jpg"", """"), ""-"", "", ""), """")"),"")</f>
        <v/>
      </c>
      <c r="I221" s="6"/>
      <c r="J221" s="7" t="str">
        <f t="shared" ca="1" si="2"/>
        <v>(2026)</v>
      </c>
      <c r="K221" s="7" t="str">
        <f t="shared" si="3"/>
        <v>70563939</v>
      </c>
      <c r="L221" s="12" t="s">
        <v>998</v>
      </c>
      <c r="M221" s="13" t="str">
        <f ca="1">IFERROR(__xludf.DUMMYFUNCTION("TRIM(
  REGEXREPLACE(
    TEXTJOIN("" "",
      TRUE,
      B221,
      C221,
      embaralharLinks(E221,F221,G221),
      H221,
      """",
      J221,
      N221,
      ""#RIPNSFW""
    ),
  "",\s*"", "" "")
)"),"{New} Audrey Bitoni https://doodstream.com/d/1b5st9ye2pxc/70563939 https://streamtape.com/v/q3AzpG0XmqhRX6/70563939 https://lulustream.com/d/qepwl9pwxr33 (2026) #MILF #BigTits #Hardcore #Bigass #RIPNSFW")</f>
        <v>{New} Audrey Bitoni https://doodstream.com/d/1b5st9ye2pxc/70563939 https://streamtape.com/v/q3AzpG0XmqhRX6/70563939 https://lulustream.com/d/qepwl9pwxr33 (2026) #MILF #BigTits #Hardcore #Bigass #RIPNSFW</v>
      </c>
      <c r="N221" s="14" t="s">
        <v>128</v>
      </c>
      <c r="O221" s="15" t="s">
        <v>1191</v>
      </c>
      <c r="P221" s="14"/>
      <c r="Q221" s="6"/>
      <c r="R221" s="11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75">
      <c r="A222" s="6" t="s">
        <v>1192</v>
      </c>
      <c r="B222" s="6" t="s">
        <v>14</v>
      </c>
      <c r="C222" s="7" t="str">
        <f t="shared" si="0"/>
        <v xml:space="preserve">Audrey Bitoni </v>
      </c>
      <c r="D222" s="6" t="s">
        <v>1193</v>
      </c>
      <c r="E222" s="8" t="s">
        <v>1194</v>
      </c>
      <c r="F222" s="9" t="str">
        <f ca="1">IFERROR(__xludf.DUMMYFUNCTION("""https://streamtape.com/v/""&amp;
REGEXEXTRACT(O222,""/thumb/([^/]+)/"")&amp;
""/""&amp;K222"),"https://streamtape.com/v/JWrYJmDpjDcj8DX/78675955")</f>
        <v>https://streamtape.com/v/JWrYJmDpjDcj8DX/78675955</v>
      </c>
      <c r="G222" s="10" t="e">
        <f t="shared" ca="1" si="1"/>
        <v>#NAME?</v>
      </c>
      <c r="H222" s="11" t="str">
        <f ca="1">IFERROR(__xludf.DUMMYFUNCTION("IFERROR(SUBSTITUTE(SUBSTITUTE(REGEXEXTRACT(A222, ""[^-]+- [^-]+- [^-]+ - (.+?)\.jpg""), "".jpg"", """"), ""-"", "", ""), """")"),"")</f>
        <v/>
      </c>
      <c r="I222" s="6"/>
      <c r="J222" s="7" t="str">
        <f t="shared" ca="1" si="2"/>
        <v>(2026)</v>
      </c>
      <c r="K222" s="7" t="str">
        <f t="shared" si="3"/>
        <v>78675955</v>
      </c>
      <c r="L222" s="12" t="s">
        <v>1195</v>
      </c>
      <c r="M222" s="13" t="str">
        <f ca="1">IFERROR(__xludf.DUMMYFUNCTION("TRIM(
  REGEXREPLACE(
    TEXTJOIN("" "",
      TRUE,
      B222,
      C222,
      embaralharLinks(E222,F222,G222),
      H222,
      """",
      J222,
      N222,
      ""#RIPNSFW""
    ),
  "",\s*"", "" "")
)"),"{New} Audrey Bitoni https://doodstream.com/d/cdhggym1mmmf/78675955 https://lulustream.com/d/s18rkd1mtfub https://streamtape.com/v/JWrYJmDpjDcj8DX/78675955 (2026) #MILF #BigTits #Hardcore #Blowjob #Amateur #Facial #Deepthroat #RIPNSFW")</f>
        <v>{New} Audrey Bitoni https://doodstream.com/d/cdhggym1mmmf/78675955 https://lulustream.com/d/s18rkd1mtfub https://streamtape.com/v/JWrYJmDpjDcj8DX/78675955 (2026) #MILF #BigTits #Hardcore #Blowjob #Amateur #Facial #Deepthroat #RIPNSFW</v>
      </c>
      <c r="N222" s="14" t="s">
        <v>1196</v>
      </c>
      <c r="O222" s="15" t="s">
        <v>1197</v>
      </c>
      <c r="P222" s="14"/>
      <c r="Q222" s="6"/>
      <c r="R222" s="11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75">
      <c r="A223" s="6" t="s">
        <v>1198</v>
      </c>
      <c r="B223" s="6" t="s">
        <v>14</v>
      </c>
      <c r="C223" s="7" t="str">
        <f t="shared" si="0"/>
        <v xml:space="preserve">Aura </v>
      </c>
      <c r="D223" s="6" t="s">
        <v>1199</v>
      </c>
      <c r="E223" s="8" t="s">
        <v>1200</v>
      </c>
      <c r="F223" s="9" t="str">
        <f ca="1">IFERROR(__xludf.DUMMYFUNCTION("""https://streamtape.com/v/""&amp;
REGEXEXTRACT(O223,""/thumb/([^/]+)/"")&amp;
""/""&amp;K223"),"https://streamtape.com/v/Bq3eAYWRD1CyL61/64601495")</f>
        <v>https://streamtape.com/v/Bq3eAYWRD1CyL61/64601495</v>
      </c>
      <c r="G223" s="10" t="e">
        <f t="shared" ca="1" si="1"/>
        <v>#NAME?</v>
      </c>
      <c r="H223" s="11" t="str">
        <f ca="1">IFERROR(__xludf.DUMMYFUNCTION("IFERROR(SUBSTITUTE(SUBSTITUTE(REGEXEXTRACT(A223, ""[^-]+- [^-]+- [^-]+ - (.+?)\.jpg""), "".jpg"", """"), ""-"", "", ""), """")"),"Stephanie")</f>
        <v>Stephanie</v>
      </c>
      <c r="I223" s="6"/>
      <c r="J223" s="7" t="str">
        <f t="shared" ca="1" si="2"/>
        <v>(2026)</v>
      </c>
      <c r="K223" s="7" t="str">
        <f t="shared" si="3"/>
        <v>64601495</v>
      </c>
      <c r="L223" s="12" t="s">
        <v>1201</v>
      </c>
      <c r="M223" s="13" t="str">
        <f ca="1">IFERROR(__xludf.DUMMYFUNCTION("TRIM(
  REGEXREPLACE(
    TEXTJOIN("" "",
      TRUE,
      B223,
      C223,
      embaralharLinks(E223,F223,G223),
      H223,
      """",
      J223,
      N223,
      ""#RIPNSFW""
    ),
  "",\s*"", "" "")
)"),"{New} Aura https://lulustream.com/d/oo9951psh1fy https://doodstream.com/d/y2f3d1b0o712/64601495 https://streamtape.com/v/Bq3eAYWRD1CyL61/64601495 Stephanie (2026) #MILF #BigTits #Creampie #Hardcore #Bigass #Threesome #Porn #Blowjob #RIPNSFW")</f>
        <v>{New} Aura https://lulustream.com/d/oo9951psh1fy https://doodstream.com/d/y2f3d1b0o712/64601495 https://streamtape.com/v/Bq3eAYWRD1CyL61/64601495 Stephanie (2026) #MILF #BigTits #Creampie #Hardcore #Bigass #Threesome #Porn #Blowjob #RIPNSFW</v>
      </c>
      <c r="N223" s="14" t="s">
        <v>1202</v>
      </c>
      <c r="O223" s="15" t="s">
        <v>1203</v>
      </c>
      <c r="P223" s="14"/>
      <c r="Q223" s="6"/>
      <c r="R223" s="11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75">
      <c r="A224" s="6" t="s">
        <v>1204</v>
      </c>
      <c r="B224" s="6" t="s">
        <v>14</v>
      </c>
      <c r="C224" s="7" t="str">
        <f t="shared" si="0"/>
        <v xml:space="preserve">Aurora Pink </v>
      </c>
      <c r="D224" s="6" t="s">
        <v>1205</v>
      </c>
      <c r="E224" s="8" t="s">
        <v>1206</v>
      </c>
      <c r="F224" s="9" t="str">
        <f ca="1">IFERROR(__xludf.DUMMYFUNCTION("""https://streamtape.com/v/""&amp;
REGEXEXTRACT(O224,""/thumb/([^/]+)/"")&amp;
""/""&amp;K224"),"https://streamtape.com/v/JK2AVmqy8mfjjvd/26980107")</f>
        <v>https://streamtape.com/v/JK2AVmqy8mfjjvd/26980107</v>
      </c>
      <c r="G224" s="10" t="e">
        <f t="shared" ca="1" si="1"/>
        <v>#NAME?</v>
      </c>
      <c r="H224" s="11" t="str">
        <f ca="1">IFERROR(__xludf.DUMMYFUNCTION("IFERROR(SUBSTITUTE(SUBSTITUTE(REGEXEXTRACT(A224, ""[^-]+- [^-]+- [^-]+ - (.+?)\.jpg""), "".jpg"", """"), ""-"", "", ""), """")"),"")</f>
        <v/>
      </c>
      <c r="I224" s="6"/>
      <c r="J224" s="7" t="str">
        <f t="shared" ca="1" si="2"/>
        <v>(2026)</v>
      </c>
      <c r="K224" s="7" t="str">
        <f t="shared" si="3"/>
        <v>26980107</v>
      </c>
      <c r="L224" s="12" t="s">
        <v>1207</v>
      </c>
      <c r="M224" s="13" t="str">
        <f ca="1">IFERROR(__xludf.DUMMYFUNCTION("TRIM(
  REGEXREPLACE(
    TEXTJOIN("" "",
      TRUE,
      B224,
      C224,
      embaralharLinks(E224,F224,G224),
      H224,
      """",
      J224,
      N224,
      ""#RIPNSFW""
    ),
  "",\s*"", "" "")
)"),"{New} Aurora Pink https://doodstream.com/d/kowkz6zjhjrq/26980107 https://lulustream.com/d/19pnu26pxq8a https://streamtape.com/v/JK2AVmqy8mfjjvd/26980107 (2026) #Anal #Hardcore #Teen #Porn #RIPNSFW")</f>
        <v>{New} Aurora Pink https://doodstream.com/d/kowkz6zjhjrq/26980107 https://lulustream.com/d/19pnu26pxq8a https://streamtape.com/v/JK2AVmqy8mfjjvd/26980107 (2026) #Anal #Hardcore #Teen #Porn #RIPNSFW</v>
      </c>
      <c r="N224" s="14" t="s">
        <v>1208</v>
      </c>
      <c r="O224" s="15" t="s">
        <v>1209</v>
      </c>
      <c r="P224" s="14"/>
      <c r="Q224" s="6"/>
      <c r="R224" s="11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75">
      <c r="A225" s="6" t="s">
        <v>1210</v>
      </c>
      <c r="B225" s="6" t="s">
        <v>14</v>
      </c>
      <c r="C225" s="7" t="str">
        <f t="shared" si="0"/>
        <v xml:space="preserve">Autumn Falls </v>
      </c>
      <c r="D225" s="6" t="s">
        <v>1211</v>
      </c>
      <c r="E225" s="8" t="s">
        <v>1212</v>
      </c>
      <c r="F225" s="9" t="str">
        <f ca="1">IFERROR(__xludf.DUMMYFUNCTION("""https://streamtape.com/v/""&amp;
REGEXEXTRACT(O225,""/thumb/([^/]+)/"")&amp;
""/""&amp;K225"),"https://streamtape.com/v/owJO0QgD1pidMg/35230585")</f>
        <v>https://streamtape.com/v/owJO0QgD1pidMg/35230585</v>
      </c>
      <c r="G225" s="10" t="e">
        <f t="shared" ca="1" si="1"/>
        <v>#NAME?</v>
      </c>
      <c r="H225" s="11" t="str">
        <f ca="1">IFERROR(__xludf.DUMMYFUNCTION("IFERROR(SUBSTITUTE(SUBSTITUTE(REGEXEXTRACT(A225, ""[^-]+- [^-]+- [^-]+ - (.+?)\.jpg""), "".jpg"", """"), ""-"", "", ""), """")"),"")</f>
        <v/>
      </c>
      <c r="I225" s="6"/>
      <c r="J225" s="7" t="str">
        <f t="shared" ca="1" si="2"/>
        <v>(2026)</v>
      </c>
      <c r="K225" s="7" t="str">
        <f t="shared" si="3"/>
        <v>35230585</v>
      </c>
      <c r="L225" s="12" t="s">
        <v>1213</v>
      </c>
      <c r="M225" s="13" t="str">
        <f ca="1">IFERROR(__xludf.DUMMYFUNCTION("TRIM(
  REGEXREPLACE(
    TEXTJOIN("" "",
      TRUE,
      B225,
      C225,
      embaralharLinks(E225,F225,G225),
      H225,
      """",
      J225,
      N225,
      ""#RIPNSFW""
    ),
  "",\s*"", "" "")
)"),"{New} Autumn Falls https://doodstream.com/d/obc3g92cy77q/35230585 https://streamtape.com/v/owJO0QgD1pidMg/35230585 https://lulustream.com/d/9crdyjq3939u (2026) #Anal #BigTits #Hardcore #Bigass #Teen #Blowjob #Amateur #Deepthroat #RIPNSFW")</f>
        <v>{New} Autumn Falls https://doodstream.com/d/obc3g92cy77q/35230585 https://streamtape.com/v/owJO0QgD1pidMg/35230585 https://lulustream.com/d/9crdyjq3939u (2026) #Anal #BigTits #Hardcore #Bigass #Teen #Blowjob #Amateur #Deepthroat #RIPNSFW</v>
      </c>
      <c r="N225" s="14" t="s">
        <v>1214</v>
      </c>
      <c r="O225" s="15" t="s">
        <v>1215</v>
      </c>
      <c r="P225" s="14"/>
      <c r="Q225" s="6"/>
      <c r="R225" s="11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75">
      <c r="A226" s="6" t="s">
        <v>1216</v>
      </c>
      <c r="B226" s="6" t="s">
        <v>14</v>
      </c>
      <c r="C226" s="7" t="str">
        <f t="shared" si="0"/>
        <v xml:space="preserve">Autumn Falls </v>
      </c>
      <c r="D226" s="6" t="s">
        <v>1217</v>
      </c>
      <c r="E226" s="8" t="s">
        <v>1218</v>
      </c>
      <c r="F226" s="9" t="str">
        <f ca="1">IFERROR(__xludf.DUMMYFUNCTION("""https://streamtape.com/v/""&amp;
REGEXEXTRACT(O226,""/thumb/([^/]+)/"")&amp;
""/""&amp;K226"),"https://streamtape.com/v/WGAR199GywSbJ6L/51622055")</f>
        <v>https://streamtape.com/v/WGAR199GywSbJ6L/51622055</v>
      </c>
      <c r="G226" s="10" t="e">
        <f t="shared" ca="1" si="1"/>
        <v>#NAME?</v>
      </c>
      <c r="H226" s="11" t="str">
        <f ca="1">IFERROR(__xludf.DUMMYFUNCTION("IFERROR(SUBSTITUTE(SUBSTITUTE(REGEXEXTRACT(A226, ""[^-]+- [^-]+- [^-]+ - (.+?)\.jpg""), "".jpg"", """"), ""-"", "", ""), """")"),"")</f>
        <v/>
      </c>
      <c r="I226" s="6"/>
      <c r="J226" s="7" t="str">
        <f t="shared" ca="1" si="2"/>
        <v>(2026)</v>
      </c>
      <c r="K226" s="7" t="str">
        <f t="shared" si="3"/>
        <v>51622055</v>
      </c>
      <c r="L226" s="12" t="s">
        <v>1219</v>
      </c>
      <c r="M226" s="13" t="str">
        <f ca="1">IFERROR(__xludf.DUMMYFUNCTION("TRIM(
  REGEXREPLACE(
    TEXTJOIN("" "",
      TRUE,
      B226,
      C226,
      embaralharLinks(E226,F226,G226),
      H226,
      """",
      J226,
      N226,
      ""#RIPNSFW""
    ),
  "",\s*"", "" "")
)"),"{New} Autumn Falls https://streamtape.com/v/WGAR199GywSbJ6L/51622055 https://lulustream.com/d/m5t0ytubw2d1 https://doodstream.com/d/92h4s60wpht9/51622055 (2026) #BigTits #Hardcore #Porn #Teen #Latina #Blowjob #Amateur #RIPNSFW")</f>
        <v>{New} Autumn Falls https://streamtape.com/v/WGAR199GywSbJ6L/51622055 https://lulustream.com/d/m5t0ytubw2d1 https://doodstream.com/d/92h4s60wpht9/51622055 (2026) #BigTits #Hardcore #Porn #Teen #Latina #Blowjob #Amateur #RIPNSFW</v>
      </c>
      <c r="N226" s="14" t="s">
        <v>1220</v>
      </c>
      <c r="O226" s="15" t="s">
        <v>1221</v>
      </c>
      <c r="P226" s="14"/>
      <c r="Q226" s="6"/>
      <c r="R226" s="11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75">
      <c r="A227" s="6" t="s">
        <v>1222</v>
      </c>
      <c r="B227" s="6" t="s">
        <v>14</v>
      </c>
      <c r="C227" s="7" t="str">
        <f t="shared" si="0"/>
        <v xml:space="preserve">Autumn Falls </v>
      </c>
      <c r="D227" s="6" t="s">
        <v>1223</v>
      </c>
      <c r="E227" s="8" t="s">
        <v>1224</v>
      </c>
      <c r="F227" s="9" t="str">
        <f ca="1">IFERROR(__xludf.DUMMYFUNCTION("""https://streamtape.com/v/""&amp;
REGEXEXTRACT(O227,""/thumb/([^/]+)/"")&amp;
""/""&amp;K227"),"https://streamtape.com/v/6P2WL33obgs9AAL/87819304")</f>
        <v>https://streamtape.com/v/6P2WL33obgs9AAL/87819304</v>
      </c>
      <c r="G227" s="10" t="e">
        <f t="shared" ca="1" si="1"/>
        <v>#NAME?</v>
      </c>
      <c r="H227" s="11" t="str">
        <f ca="1">IFERROR(__xludf.DUMMYFUNCTION("IFERROR(SUBSTITUTE(SUBSTITUTE(REGEXEXTRACT(A227, ""[^-]+- [^-]+- [^-]+ - (.+?)\.jpg""), "".jpg"", """"), ""-"", "", ""), """")"),"")</f>
        <v/>
      </c>
      <c r="I227" s="6"/>
      <c r="J227" s="7" t="str">
        <f t="shared" ca="1" si="2"/>
        <v>(2026)</v>
      </c>
      <c r="K227" s="7" t="str">
        <f t="shared" si="3"/>
        <v>87819304</v>
      </c>
      <c r="L227" s="12" t="s">
        <v>1225</v>
      </c>
      <c r="M227" s="13" t="str">
        <f ca="1">IFERROR(__xludf.DUMMYFUNCTION("TRIM(
  REGEXREPLACE(
    TEXTJOIN("" "",
      TRUE,
      B227,
      C227,
      embaralharLinks(E227,F227,G227),
      H227,
      """",
      J227,
      N227,
      ""#RIPNSFW""
    ),
  "",\s*"", "" "")
)"),"{New} Autumn Falls https://lulustream.com/d/qpkvkg0wldji https://streamtape.com/v/6P2WL33obgs9AAL/87819304 https://doodstream.com/d/odxqoo78yb24/87819304 (2026) #BigTits #Hardcore #Bigass #Teen #Latina #Roleplay #Blowjob #Amateur #RIPNSFW")</f>
        <v>{New} Autumn Falls https://lulustream.com/d/qpkvkg0wldji https://streamtape.com/v/6P2WL33obgs9AAL/87819304 https://doodstream.com/d/odxqoo78yb24/87819304 (2026) #BigTits #Hardcore #Bigass #Teen #Latina #Roleplay #Blowjob #Amateur #RIPNSFW</v>
      </c>
      <c r="N227" s="14" t="s">
        <v>1226</v>
      </c>
      <c r="O227" s="15" t="s">
        <v>1227</v>
      </c>
      <c r="P227" s="14"/>
      <c r="Q227" s="6"/>
      <c r="R227" s="11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75">
      <c r="A228" s="6" t="s">
        <v>1228</v>
      </c>
      <c r="B228" s="6" t="s">
        <v>14</v>
      </c>
      <c r="C228" s="7" t="str">
        <f t="shared" si="0"/>
        <v xml:space="preserve">Ava Amira </v>
      </c>
      <c r="D228" s="6" t="s">
        <v>1229</v>
      </c>
      <c r="E228" s="8" t="s">
        <v>1230</v>
      </c>
      <c r="F228" s="9" t="str">
        <f ca="1">IFERROR(__xludf.DUMMYFUNCTION("""https://streamtape.com/v/""&amp;
REGEXEXTRACT(O228,""/thumb/([^/]+)/"")&amp;
""/""&amp;K228"),"https://streamtape.com/v/4DwelQblZAuKRm0/12261419")</f>
        <v>https://streamtape.com/v/4DwelQblZAuKRm0/12261419</v>
      </c>
      <c r="G228" s="10" t="e">
        <f t="shared" ca="1" si="1"/>
        <v>#NAME?</v>
      </c>
      <c r="H228" s="11" t="str">
        <f ca="1">IFERROR(__xludf.DUMMYFUNCTION("IFERROR(SUBSTITUTE(SUBSTITUTE(REGEXEXTRACT(A228, ""[^-]+- [^-]+- [^-]+ - (.+?)\.jpg""), "".jpg"", """"), ""-"", "", ""), """")"),"Lena the plug")</f>
        <v>Lena the plug</v>
      </c>
      <c r="I228" s="6"/>
      <c r="J228" s="7" t="str">
        <f t="shared" ca="1" si="2"/>
        <v>(2026)</v>
      </c>
      <c r="K228" s="7" t="str">
        <f t="shared" si="3"/>
        <v>12261419</v>
      </c>
      <c r="L228" s="12" t="s">
        <v>838</v>
      </c>
      <c r="M228" s="13" t="str">
        <f ca="1">IFERROR(__xludf.DUMMYFUNCTION("TRIM(
  REGEXREPLACE(
    TEXTJOIN("" "",
      TRUE,
      B228,
      C228,
      embaralharLinks(E228,F228,G228),
      H228,
      """",
      J228,
      N228,
      ""#RIPNSFW""
    ),
  "",\s*"", "" "")
)"),"{New} Ava Amira https://doodstream.com/d/gf61g2n45h8o/12261419 https://streamtape.com/v/4DwelQblZAuKRm0/12261419 https://lulustream.com/d/3qqdh12p24yf Lena the plug (2026) #MILF #BigTits #Hardcore #Threesome #Bigass #Blowjob #Amateur #Deepthroat #Facial #"&amp;"RIPNSFW")</f>
        <v>{New} Ava Amira https://doodstream.com/d/gf61g2n45h8o/12261419 https://streamtape.com/v/4DwelQblZAuKRm0/12261419 https://lulustream.com/d/3qqdh12p24yf Lena the plug (2026) #MILF #BigTits #Hardcore #Threesome #Bigass #Blowjob #Amateur #Deepthroat #Facial #RIPNSFW</v>
      </c>
      <c r="N228" s="14" t="s">
        <v>1231</v>
      </c>
      <c r="O228" s="15" t="s">
        <v>1232</v>
      </c>
      <c r="P228" s="14"/>
      <c r="Q228" s="6"/>
      <c r="R228" s="11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75">
      <c r="A229" s="6" t="s">
        <v>1233</v>
      </c>
      <c r="B229" s="6" t="s">
        <v>14</v>
      </c>
      <c r="C229" s="7" t="str">
        <f t="shared" si="0"/>
        <v xml:space="preserve">Ava Ann </v>
      </c>
      <c r="D229" s="6" t="s">
        <v>1234</v>
      </c>
      <c r="E229" s="8" t="s">
        <v>1235</v>
      </c>
      <c r="F229" s="9" t="str">
        <f ca="1">IFERROR(__xludf.DUMMYFUNCTION("""https://streamtape.com/v/""&amp;
REGEXEXTRACT(O229,""/thumb/([^/]+)/"")&amp;
""/""&amp;K229"),"https://streamtape.com/v/gak3q36oDvtYaB/77092894")</f>
        <v>https://streamtape.com/v/gak3q36oDvtYaB/77092894</v>
      </c>
      <c r="G229" s="10" t="e">
        <f t="shared" ca="1" si="1"/>
        <v>#NAME?</v>
      </c>
      <c r="H229" s="11" t="str">
        <f ca="1">IFERROR(__xludf.DUMMYFUNCTION("IFERROR(SUBSTITUTE(SUBSTITUTE(REGEXEXTRACT(A229, ""[^-]+- [^-]+- [^-]+ - (.+?)\.jpg""), "".jpg"", """"), ""-"", "", ""), """")"),"")</f>
        <v/>
      </c>
      <c r="I229" s="6"/>
      <c r="J229" s="7" t="str">
        <f t="shared" ca="1" si="2"/>
        <v>(2026)</v>
      </c>
      <c r="K229" s="7" t="str">
        <f t="shared" si="3"/>
        <v>77092894</v>
      </c>
      <c r="L229" s="12" t="s">
        <v>674</v>
      </c>
      <c r="M229" s="13" t="str">
        <f ca="1">IFERROR(__xludf.DUMMYFUNCTION("TRIM(
  REGEXREPLACE(
    TEXTJOIN("" "",
      TRUE,
      B229,
      C229,
      embaralharLinks(E229,F229,G229),
      H229,
      """",
      J229,
      N229,
      ""#RIPNSFW""
    ),
  "",\s*"", "" "")
)"),"{New} Ava Ann https://lulustream.com/d/5xcwhu3wrn9v https://streamtape.com/v/gak3q36oDvtYaB/77092894 https://doodstream.com/d/shmge5aghyqv/77092894 (2026) #BigTits #Hardcore #Bigass #Porn #Teen #RIPNSFW")</f>
        <v>{New} Ava Ann https://lulustream.com/d/5xcwhu3wrn9v https://streamtape.com/v/gak3q36oDvtYaB/77092894 https://doodstream.com/d/shmge5aghyqv/77092894 (2026) #BigTits #Hardcore #Bigass #Porn #Teen #RIPNSFW</v>
      </c>
      <c r="N229" s="14" t="s">
        <v>1236</v>
      </c>
      <c r="O229" s="15" t="s">
        <v>1237</v>
      </c>
      <c r="P229" s="14"/>
      <c r="Q229" s="6"/>
      <c r="R229" s="11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75">
      <c r="A230" s="6" t="s">
        <v>1238</v>
      </c>
      <c r="B230" s="6" t="s">
        <v>14</v>
      </c>
      <c r="C230" s="7" t="str">
        <f t="shared" si="0"/>
        <v xml:space="preserve">Ava Nicks </v>
      </c>
      <c r="D230" s="6" t="s">
        <v>1239</v>
      </c>
      <c r="E230" s="8" t="s">
        <v>1240</v>
      </c>
      <c r="F230" s="9" t="str">
        <f ca="1">IFERROR(__xludf.DUMMYFUNCTION("""https://streamtape.com/v/""&amp;
REGEXEXTRACT(O230,""/thumb/([^/]+)/"")&amp;
""/""&amp;K230"),"https://streamtape.com/v/4XlOZWPrJAuKb0y/15100334")</f>
        <v>https://streamtape.com/v/4XlOZWPrJAuKb0y/15100334</v>
      </c>
      <c r="G230" s="10" t="e">
        <f t="shared" ca="1" si="1"/>
        <v>#NAME?</v>
      </c>
      <c r="H230" s="11" t="str">
        <f ca="1">IFERROR(__xludf.DUMMYFUNCTION("IFERROR(SUBSTITUTE(SUBSTITUTE(REGEXEXTRACT(A230, ""[^-]+- [^-]+- [^-]+ - (.+?)\.jpg""), "".jpg"", """"), ""-"", "", ""), """")"),"")</f>
        <v/>
      </c>
      <c r="I230" s="6"/>
      <c r="J230" s="7" t="str">
        <f t="shared" ca="1" si="2"/>
        <v>(2026)</v>
      </c>
      <c r="K230" s="7" t="str">
        <f t="shared" si="3"/>
        <v>15100334</v>
      </c>
      <c r="L230" s="12" t="s">
        <v>1241</v>
      </c>
      <c r="M230" s="13" t="str">
        <f ca="1">IFERROR(__xludf.DUMMYFUNCTION("TRIM(
  REGEXREPLACE(
    TEXTJOIN("" "",
      TRUE,
      B230,
      C230,
      embaralharLinks(E230,F230,G230),
      H230,
      """",
      J230,
      N230,
      ""#RIPNSFW""
    ),
  "",\s*"", "" "")
)"),"{New} Ava Nicks https://streamtape.com/v/4XlOZWPrJAuKb0y/15100334 https://doodstream.com/d/dacplz3220dc/15100334 https://lulustream.com/d/0m9um8fz3lcb (2026) #MILF #BigTits #Hardcore #Bigass #Roleplay #Blowjob #Amateur #Hotwife #Deepthroat #Blonde #Facial"&amp;" #RIPNSFW")</f>
        <v>{New} Ava Nicks https://streamtape.com/v/4XlOZWPrJAuKb0y/15100334 https://doodstream.com/d/dacplz3220dc/15100334 https://lulustream.com/d/0m9um8fz3lcb (2026) #MILF #BigTits #Hardcore #Bigass #Roleplay #Blowjob #Amateur #Hotwife #Deepthroat #Blonde #Facial #RIPNSFW</v>
      </c>
      <c r="N230" s="14" t="s">
        <v>1242</v>
      </c>
      <c r="O230" s="15" t="s">
        <v>1243</v>
      </c>
      <c r="P230" s="14"/>
      <c r="Q230" s="6"/>
      <c r="R230" s="11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75">
      <c r="A231" s="12" t="s">
        <v>1244</v>
      </c>
      <c r="B231" s="6" t="s">
        <v>14</v>
      </c>
      <c r="C231" s="7" t="str">
        <f t="shared" si="0"/>
        <v xml:space="preserve">Ava Nicks </v>
      </c>
      <c r="D231" s="24" t="s">
        <v>1245</v>
      </c>
      <c r="E231" s="25" t="s">
        <v>1246</v>
      </c>
      <c r="F231" s="9" t="str">
        <f ca="1">IFERROR(__xludf.DUMMYFUNCTION("""https://streamtape.com/v/""&amp;
REGEXEXTRACT(O231,""/thumb/([^/]+)/"")&amp;
""/""&amp;K231"),"https://streamtape.com/v/LMpGAPx2OZuRzOy/17338366")</f>
        <v>https://streamtape.com/v/LMpGAPx2OZuRzOy/17338366</v>
      </c>
      <c r="G231" s="10" t="e">
        <f t="shared" ca="1" si="1"/>
        <v>#NAME?</v>
      </c>
      <c r="H231" s="11" t="str">
        <f ca="1">IFERROR(__xludf.DUMMYFUNCTION("IFERROR(SUBSTITUTE(SUBSTITUTE(REGEXEXTRACT(A231, ""[^-]+- [^-]+- [^-]+ - (.+?)\.jpg""), "".jpg"", """"), ""-"", "", ""), """")"),"")</f>
        <v/>
      </c>
      <c r="I231" s="6"/>
      <c r="J231" s="7" t="str">
        <f t="shared" ca="1" si="2"/>
        <v>(2026)</v>
      </c>
      <c r="K231" s="7" t="str">
        <f t="shared" si="3"/>
        <v>17338366</v>
      </c>
      <c r="L231" s="12" t="s">
        <v>1247</v>
      </c>
      <c r="M231" s="13" t="str">
        <f ca="1">IFERROR(__xludf.DUMMYFUNCTION("TRIM(
  REGEXREPLACE(
    TEXTJOIN("" "",
      TRUE,
      B231,
      C231,
      embaralharLinks(E231,F231,G231),
      H231,
      """",
      J231,
      N231,
      ""#RIPNSFW""
    ),
  "",\s*"", "" "")
)"),"{New} Ava Nicks https://doodstream.com/d/dqszjf9lqj8c/17338366 https://streamtape.com/v/LMpGAPx2OZuRzOy/17338366 https://lulustream.com/d/4kgomd5k7dy3 (2026) #milf #pov #bigtits #brunette #RIPNSFW")</f>
        <v>{New} Ava Nicks https://doodstream.com/d/dqszjf9lqj8c/17338366 https://streamtape.com/v/LMpGAPx2OZuRzOy/17338366 https://lulustream.com/d/4kgomd5k7dy3 (2026) #milf #pov #bigtits #brunette #RIPNSFW</v>
      </c>
      <c r="N231" s="2" t="s">
        <v>1247</v>
      </c>
      <c r="O231" s="30" t="s">
        <v>1248</v>
      </c>
      <c r="P231" s="26"/>
      <c r="R231" s="23"/>
      <c r="T231" s="6"/>
      <c r="U231" s="7"/>
    </row>
    <row r="232" spans="1:27" ht="12.75">
      <c r="A232" s="6" t="s">
        <v>1249</v>
      </c>
      <c r="B232" s="6" t="s">
        <v>14</v>
      </c>
      <c r="C232" s="7" t="str">
        <f t="shared" si="0"/>
        <v xml:space="preserve">Ava Nicks </v>
      </c>
      <c r="D232" s="6" t="s">
        <v>1250</v>
      </c>
      <c r="E232" s="8" t="s">
        <v>1251</v>
      </c>
      <c r="F232" s="9" t="str">
        <f ca="1">IFERROR(__xludf.DUMMYFUNCTION("""https://streamtape.com/v/""&amp;
REGEXEXTRACT(O232,""/thumb/([^/]+)/"")&amp;
""/""&amp;K232"),"https://streamtape.com/v/wgDaAqKv8WTeyq/20529051")</f>
        <v>https://streamtape.com/v/wgDaAqKv8WTeyq/20529051</v>
      </c>
      <c r="G232" s="10" t="e">
        <f t="shared" ca="1" si="1"/>
        <v>#NAME?</v>
      </c>
      <c r="H232" s="11" t="str">
        <f ca="1">IFERROR(__xludf.DUMMYFUNCTION("IFERROR(SUBSTITUTE(SUBSTITUTE(REGEXEXTRACT(A232, ""[^-]+- [^-]+- [^-]+ - (.+?)\.jpg""), "".jpg"", """"), ""-"", "", ""), """")"),"")</f>
        <v/>
      </c>
      <c r="I232" s="6"/>
      <c r="J232" s="7" t="str">
        <f t="shared" ca="1" si="2"/>
        <v>(2026)</v>
      </c>
      <c r="K232" s="7" t="str">
        <f t="shared" si="3"/>
        <v>20529051</v>
      </c>
      <c r="L232" s="12" t="s">
        <v>1252</v>
      </c>
      <c r="M232" s="13" t="str">
        <f ca="1">IFERROR(__xludf.DUMMYFUNCTION("TRIM(
  REGEXREPLACE(
    TEXTJOIN("" "",
      TRUE,
      B232,
      C232,
      embaralharLinks(E232,F232,G232),
      H232,
      """",
      J232,
      N232,
      ""#RIPNSFW""
    ),
  "",\s*"", "" "")
)"),"{New} Ava Nicks https://doodstream.com/d/9k0n1hs0arfi/20529051 https://lulustream.com/d/ugxcwd7pge7b https://streamtape.com/v/wgDaAqKv8WTeyq/20529051 (2026) #MILF #BigTits #Hardcore #Bigass #Blowjob #Amateur #Blonde #Facial #RIPNSFW")</f>
        <v>{New} Ava Nicks https://doodstream.com/d/9k0n1hs0arfi/20529051 https://lulustream.com/d/ugxcwd7pge7b https://streamtape.com/v/wgDaAqKv8WTeyq/20529051 (2026) #MILF #BigTits #Hardcore #Bigass #Blowjob #Amateur #Blonde #Facial #RIPNSFW</v>
      </c>
      <c r="N232" s="14" t="s">
        <v>1253</v>
      </c>
      <c r="O232" s="15" t="s">
        <v>1254</v>
      </c>
      <c r="P232" s="14"/>
      <c r="Q232" s="6"/>
      <c r="R232" s="11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75">
      <c r="A233" s="6" t="s">
        <v>1255</v>
      </c>
      <c r="B233" s="6" t="s">
        <v>14</v>
      </c>
      <c r="C233" s="7" t="str">
        <f t="shared" si="0"/>
        <v xml:space="preserve">Ava Nicks </v>
      </c>
      <c r="D233" s="6" t="s">
        <v>1256</v>
      </c>
      <c r="E233" s="8" t="s">
        <v>1257</v>
      </c>
      <c r="F233" s="9" t="str">
        <f ca="1">IFERROR(__xludf.DUMMYFUNCTION("""https://streamtape.com/v/""&amp;
REGEXEXTRACT(O233,""/thumb/([^/]+)/"")&amp;
""/""&amp;K233"),"https://streamtape.com/v/vgbKeqkJy6H4OOL/21999170")</f>
        <v>https://streamtape.com/v/vgbKeqkJy6H4OOL/21999170</v>
      </c>
      <c r="G233" s="10" t="e">
        <f t="shared" ca="1" si="1"/>
        <v>#NAME?</v>
      </c>
      <c r="H233" s="11" t="str">
        <f ca="1">IFERROR(__xludf.DUMMYFUNCTION("IFERROR(SUBSTITUTE(SUBSTITUTE(REGEXEXTRACT(A233, ""[^-]+- [^-]+- [^-]+ - (.+?)\.jpg""), "".jpg"", """"), ""-"", "", ""), """")"),"")</f>
        <v/>
      </c>
      <c r="I233" s="6"/>
      <c r="J233" s="7" t="str">
        <f t="shared" ca="1" si="2"/>
        <v>(2026)</v>
      </c>
      <c r="K233" s="7" t="str">
        <f t="shared" si="3"/>
        <v>21999170</v>
      </c>
      <c r="L233" s="12" t="s">
        <v>1258</v>
      </c>
      <c r="M233" s="13" t="str">
        <f ca="1">IFERROR(__xludf.DUMMYFUNCTION("TRIM(
  REGEXREPLACE(
    TEXTJOIN("" "",
      TRUE,
      B233,
      C233,
      embaralharLinks(E233,F233,G233),
      H233,
      """",
      J233,
      N233,
      ""#RIPNSFW""
    ),
  "",\s*"", "" "")
)"),"{New} Ava Nicks https://lulustream.com/d/ecjeonkrbpqc https://streamtape.com/v/vgbKeqkJy6H4OOL/21999170 https://doodstream.com/d/r3bcyskylzg5/21999170 (2026) #MILF #BigTits #Creampie #Hardcore #Bigass #Roleplay #Stepmom #Blowjob #RIPNSFW")</f>
        <v>{New} Ava Nicks https://lulustream.com/d/ecjeonkrbpqc https://streamtape.com/v/vgbKeqkJy6H4OOL/21999170 https://doodstream.com/d/r3bcyskylzg5/21999170 (2026) #MILF #BigTits #Creampie #Hardcore #Bigass #Roleplay #Stepmom #Blowjob #RIPNSFW</v>
      </c>
      <c r="N233" s="14" t="s">
        <v>1259</v>
      </c>
      <c r="O233" s="15" t="s">
        <v>1260</v>
      </c>
      <c r="P233" s="14"/>
      <c r="Q233" s="6"/>
      <c r="R233" s="11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75">
      <c r="A234" s="6" t="s">
        <v>1261</v>
      </c>
      <c r="B234" s="6" t="s">
        <v>14</v>
      </c>
      <c r="C234" s="7" t="str">
        <f t="shared" si="0"/>
        <v xml:space="preserve">Ava Nicks </v>
      </c>
      <c r="D234" s="29" t="s">
        <v>1262</v>
      </c>
      <c r="E234" s="8" t="s">
        <v>1263</v>
      </c>
      <c r="F234" s="9" t="str">
        <f ca="1">IFERROR(__xludf.DUMMYFUNCTION("""https://streamtape.com/v/""&amp;
REGEXEXTRACT(O234,""/thumb/([^/]+)/"")&amp;
""/""&amp;K234"),"https://streamtape.com/v/4yQlYaXMVkfKYJW/38871602")</f>
        <v>https://streamtape.com/v/4yQlYaXMVkfKYJW/38871602</v>
      </c>
      <c r="G234" s="10" t="e">
        <f t="shared" ca="1" si="1"/>
        <v>#NAME?</v>
      </c>
      <c r="H234" s="11" t="str">
        <f ca="1">IFERROR(__xludf.DUMMYFUNCTION("IFERROR(SUBSTITUTE(SUBSTITUTE(REGEXEXTRACT(A234, ""[^-]+- [^-]+- [^-]+ - (.+?)\.jpg""), "".jpg"", """"), ""-"", "", ""), """")"),"")</f>
        <v/>
      </c>
      <c r="I234" s="6"/>
      <c r="J234" s="7" t="str">
        <f t="shared" ca="1" si="2"/>
        <v>(2026)</v>
      </c>
      <c r="K234" s="7" t="str">
        <f t="shared" si="3"/>
        <v>38871602</v>
      </c>
      <c r="L234" s="12" t="s">
        <v>1264</v>
      </c>
      <c r="M234" s="13" t="str">
        <f ca="1">IFERROR(__xludf.DUMMYFUNCTION("TRIM(
  REGEXREPLACE(
    TEXTJOIN("" "",
      TRUE,
      B234,
      C234,
      embaralharLinks(E234,F234,G234),
      H234,
      """",
      J234,
      N234,
      ""#RIPNSFW""
    ),
  "",\s*"", "" "")
)"),"{New} Ava Nicks https://doodstream.com/d/8qnldy8axpsg/38871602 https://streamtape.com/v/4yQlYaXMVkfKYJW/38871602 https://lulustream.com/d/mmcusr73g01q (2026) #MILF #BigTits #Hardcore #Black #Threesome #Interracial #Bigass #Stepmom #Blowjob #RIPNSFW")</f>
        <v>{New} Ava Nicks https://doodstream.com/d/8qnldy8axpsg/38871602 https://streamtape.com/v/4yQlYaXMVkfKYJW/38871602 https://lulustream.com/d/mmcusr73g01q (2026) #MILF #BigTits #Hardcore #Black #Threesome #Interracial #Bigass #Stepmom #Blowjob #RIPNSFW</v>
      </c>
      <c r="N234" s="14" t="s">
        <v>1265</v>
      </c>
      <c r="O234" s="32" t="s">
        <v>1266</v>
      </c>
      <c r="P234" s="14"/>
      <c r="Q234" s="6"/>
      <c r="R234" s="11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75">
      <c r="A235" s="6" t="s">
        <v>1267</v>
      </c>
      <c r="B235" s="6" t="s">
        <v>14</v>
      </c>
      <c r="C235" s="7" t="str">
        <f t="shared" si="0"/>
        <v xml:space="preserve">Ava Nicks </v>
      </c>
      <c r="D235" s="6" t="s">
        <v>1268</v>
      </c>
      <c r="E235" s="8" t="s">
        <v>1269</v>
      </c>
      <c r="F235" s="9" t="str">
        <f ca="1">IFERROR(__xludf.DUMMYFUNCTION("""https://streamtape.com/v/""&amp;
REGEXEXTRACT(O235,""/thumb/([^/]+)/"")&amp;
""/""&amp;K235"),"https://streamtape.com/v/2WXXe626qpHZ2aZ/47176935")</f>
        <v>https://streamtape.com/v/2WXXe626qpHZ2aZ/47176935</v>
      </c>
      <c r="G235" s="10" t="e">
        <f t="shared" ca="1" si="1"/>
        <v>#NAME?</v>
      </c>
      <c r="H235" s="11" t="str">
        <f ca="1">IFERROR(__xludf.DUMMYFUNCTION("IFERROR(SUBSTITUTE(SUBSTITUTE(REGEXEXTRACT(A235, ""[^-]+- [^-]+- [^-]+ - (.+?)\.jpg""), "".jpg"", """"), ""-"", "", ""), """")"),"")</f>
        <v/>
      </c>
      <c r="I235" s="6"/>
      <c r="J235" s="7" t="str">
        <f t="shared" ca="1" si="2"/>
        <v>(2026)</v>
      </c>
      <c r="K235" s="7" t="str">
        <f t="shared" si="3"/>
        <v>47176935</v>
      </c>
      <c r="L235" s="12" t="s">
        <v>1270</v>
      </c>
      <c r="M235" s="13" t="str">
        <f ca="1">IFERROR(__xludf.DUMMYFUNCTION("TRIM(
  REGEXREPLACE(
    TEXTJOIN("" "",
      TRUE,
      B235,
      C235,
      embaralharLinks(E235,F235,G235),
      H235,
      """",
      J235,
      N235,
      ""#RIPNSFW""
    ),
  "",\s*"", "" "")
)"),"{New} Ava Nicks https://lulustream.com/d/kj2zug8n2rma https://streamtape.com/v/2WXXe626qpHZ2aZ/47176935 https://doodstream.com/d/s78snr503p51/47176935 (2026) #MILF #BigTits #Hardcore #Bigass #Blowjob #Amateur #RIPNSFW")</f>
        <v>{New} Ava Nicks https://lulustream.com/d/kj2zug8n2rma https://streamtape.com/v/2WXXe626qpHZ2aZ/47176935 https://doodstream.com/d/s78snr503p51/47176935 (2026) #MILF #BigTits #Hardcore #Bigass #Blowjob #Amateur #RIPNSFW</v>
      </c>
      <c r="N235" s="14" t="s">
        <v>999</v>
      </c>
      <c r="O235" s="15" t="s">
        <v>1271</v>
      </c>
      <c r="P235" s="14"/>
      <c r="Q235" s="6"/>
      <c r="R235" s="11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75">
      <c r="A236" s="6" t="s">
        <v>1272</v>
      </c>
      <c r="B236" s="6" t="s">
        <v>14</v>
      </c>
      <c r="C236" s="7" t="str">
        <f t="shared" si="0"/>
        <v xml:space="preserve">Ava Nicks </v>
      </c>
      <c r="D236" s="6" t="s">
        <v>1273</v>
      </c>
      <c r="E236" s="8" t="s">
        <v>1274</v>
      </c>
      <c r="F236" s="9" t="str">
        <f ca="1">IFERROR(__xludf.DUMMYFUNCTION("""https://streamtape.com/v/""&amp;
REGEXEXTRACT(O236,""/thumb/([^/]+)/"")&amp;
""/""&amp;K236"),"https://streamtape.com/v/0RqGjgoxgrigX3/52585228")</f>
        <v>https://streamtape.com/v/0RqGjgoxgrigX3/52585228</v>
      </c>
      <c r="G236" s="10" t="e">
        <f t="shared" ca="1" si="1"/>
        <v>#NAME?</v>
      </c>
      <c r="H236" s="11" t="str">
        <f ca="1">IFERROR(__xludf.DUMMYFUNCTION("IFERROR(SUBSTITUTE(SUBSTITUTE(REGEXEXTRACT(A236, ""[^-]+- [^-]+- [^-]+ - (.+?)\.jpg""), "".jpg"", """"), ""-"", "", ""), """")"),"")</f>
        <v/>
      </c>
      <c r="I236" s="6"/>
      <c r="J236" s="7" t="str">
        <f t="shared" ca="1" si="2"/>
        <v>(2026)</v>
      </c>
      <c r="K236" s="7" t="str">
        <f t="shared" si="3"/>
        <v>52585228</v>
      </c>
      <c r="L236" s="12" t="s">
        <v>1275</v>
      </c>
      <c r="M236" s="13" t="str">
        <f ca="1">IFERROR(__xludf.DUMMYFUNCTION("TRIM(
  REGEXREPLACE(
    TEXTJOIN("" "",
      TRUE,
      B236,
      C236,
      embaralharLinks(E236,F236,G236),
      H236,
      """",
      J236,
      N236,
      ""#RIPNSFW""
    ),
  "",\s*"", "" "")
)"),"{New} Ava Nicks https://doodstream.com/d/0409pwqeexzm/52585228 https://streamtape.com/v/0RqGjgoxgrigX3/52585228 https://lulustream.com/d/ro8gsgjn6ivs (2026) #MILF #BigTits #Hardcore #Bigass #Creampie #RIPNSFW")</f>
        <v>{New} Ava Nicks https://doodstream.com/d/0409pwqeexzm/52585228 https://streamtape.com/v/0RqGjgoxgrigX3/52585228 https://lulustream.com/d/ro8gsgjn6ivs (2026) #MILF #BigTits #Hardcore #Bigass #Creampie #RIPNSFW</v>
      </c>
      <c r="N236" s="14" t="s">
        <v>1276</v>
      </c>
      <c r="O236" s="15" t="s">
        <v>1277</v>
      </c>
      <c r="P236" s="14"/>
      <c r="Q236" s="6"/>
      <c r="R236" s="11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75">
      <c r="A237" s="12" t="s">
        <v>1278</v>
      </c>
      <c r="B237" s="6" t="s">
        <v>14</v>
      </c>
      <c r="C237" s="7" t="str">
        <f t="shared" si="0"/>
        <v xml:space="preserve">Ava Nicks </v>
      </c>
      <c r="D237" s="24" t="s">
        <v>1279</v>
      </c>
      <c r="E237" s="25" t="s">
        <v>1280</v>
      </c>
      <c r="F237" s="9" t="str">
        <f ca="1">IFERROR(__xludf.DUMMYFUNCTION("""https://streamtape.com/v/""&amp;
REGEXEXTRACT(O237,""/thumb/([^/]+)/"")&amp;
""/""&amp;K237"),"https://streamtape.com/v/zQPy9QdoXXCYRYV/56147496")</f>
        <v>https://streamtape.com/v/zQPy9QdoXXCYRYV/56147496</v>
      </c>
      <c r="G237" s="10" t="e">
        <f t="shared" ca="1" si="1"/>
        <v>#NAME?</v>
      </c>
      <c r="H237" s="11" t="str">
        <f ca="1">IFERROR(__xludf.DUMMYFUNCTION("IFERROR(SUBSTITUTE(SUBSTITUTE(REGEXEXTRACT(A237, ""[^-]+- [^-]+- [^-]+ - (.+?)\.jpg""), "".jpg"", """"), ""-"", "", ""), """")"),"")</f>
        <v/>
      </c>
      <c r="I237" s="6"/>
      <c r="J237" s="7" t="str">
        <f t="shared" ca="1" si="2"/>
        <v>(2026)</v>
      </c>
      <c r="K237" s="7" t="str">
        <f t="shared" si="3"/>
        <v>56147496</v>
      </c>
      <c r="L237" s="12" t="s">
        <v>1281</v>
      </c>
      <c r="M237" s="13" t="str">
        <f ca="1">IFERROR(__xludf.DUMMYFUNCTION("TRIM(
  REGEXREPLACE(
    TEXTJOIN("" "",
      TRUE,
      B237,
      C237,
      embaralharLinks(E237,F237,G237),
      H237,
      """",
      J237,
      N237,
      ""#RIPNSFW""
    ),
  "",\s*"", "" "")
)"),"{New} Ava Nicks https://lulustream.com/d/zoaga4nodwgy https://doodstream.com/d/xdsfbfvbdmzi/56147496 https://streamtape.com/v/zQPy9QdoXXCYRYV/56147496 (2026) #milf #blowjob #bigass #bigtits #RIPNSFW")</f>
        <v>{New} Ava Nicks https://lulustream.com/d/zoaga4nodwgy https://doodstream.com/d/xdsfbfvbdmzi/56147496 https://streamtape.com/v/zQPy9QdoXXCYRYV/56147496 (2026) #milf #blowjob #bigass #bigtits #RIPNSFW</v>
      </c>
      <c r="N237" s="2" t="s">
        <v>1281</v>
      </c>
      <c r="O237" s="30" t="s">
        <v>1282</v>
      </c>
      <c r="P237" s="26"/>
      <c r="R237" s="23"/>
      <c r="T237" s="6"/>
      <c r="U237" s="7"/>
    </row>
    <row r="238" spans="1:27" ht="12.75">
      <c r="A238" s="6" t="s">
        <v>1283</v>
      </c>
      <c r="B238" s="6" t="s">
        <v>14</v>
      </c>
      <c r="C238" s="7" t="str">
        <f t="shared" si="0"/>
        <v xml:space="preserve">Ava Nicks </v>
      </c>
      <c r="D238" s="6" t="s">
        <v>1284</v>
      </c>
      <c r="E238" s="8" t="s">
        <v>1285</v>
      </c>
      <c r="F238" s="9" t="str">
        <f ca="1">IFERROR(__xludf.DUMMYFUNCTION("""https://streamtape.com/v/""&amp;
REGEXEXTRACT(O238,""/thumb/([^/]+)/"")&amp;
""/""&amp;K238"),"https://streamtape.com/v/LDAKJ0L26mIRRWp/65195299")</f>
        <v>https://streamtape.com/v/LDAKJ0L26mIRRWp/65195299</v>
      </c>
      <c r="G238" s="10" t="e">
        <f t="shared" ca="1" si="1"/>
        <v>#NAME?</v>
      </c>
      <c r="H238" s="11" t="str">
        <f ca="1">IFERROR(__xludf.DUMMYFUNCTION("IFERROR(SUBSTITUTE(SUBSTITUTE(REGEXEXTRACT(A238, ""[^-]+- [^-]+- [^-]+ - (.+?)\.jpg""), "".jpg"", """"), ""-"", "", ""), """")"),"")</f>
        <v/>
      </c>
      <c r="I238" s="6"/>
      <c r="J238" s="7" t="str">
        <f t="shared" ca="1" si="2"/>
        <v>(2026)</v>
      </c>
      <c r="K238" s="7" t="str">
        <f t="shared" si="3"/>
        <v>65195299</v>
      </c>
      <c r="L238" s="12" t="s">
        <v>1286</v>
      </c>
      <c r="M238" s="13" t="str">
        <f ca="1">IFERROR(__xludf.DUMMYFUNCTION("TRIM(
  REGEXREPLACE(
    TEXTJOIN("" "",
      TRUE,
      B238,
      C238,
      embaralharLinks(E238,F238,G238),
      H238,
      """",
      J238,
      N238,
      ""#RIPNSFW""
    ),
  "",\s*"", "" "")
)"),"{New} Ava Nicks https://streamtape.com/v/LDAKJ0L26mIRRWp/65195299 https://lulustream.com/d/a9m8xsfu49rv https://doodstream.com/d/6x6j8s1euh5w/65195299 (2026) #MILF #BigTits #Hardcore #Bigass #Stepmom #RIPNSFW")</f>
        <v>{New} Ava Nicks https://streamtape.com/v/LDAKJ0L26mIRRWp/65195299 https://lulustream.com/d/a9m8xsfu49rv https://doodstream.com/d/6x6j8s1euh5w/65195299 (2026) #MILF #BigTits #Hardcore #Bigass #Stepmom #RIPNSFW</v>
      </c>
      <c r="N238" s="14" t="s">
        <v>1287</v>
      </c>
      <c r="O238" s="15" t="s">
        <v>1288</v>
      </c>
      <c r="P238" s="14"/>
      <c r="Q238" s="6"/>
      <c r="R238" s="11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75">
      <c r="A239" s="6" t="s">
        <v>1289</v>
      </c>
      <c r="B239" s="6" t="s">
        <v>14</v>
      </c>
      <c r="C239" s="7" t="str">
        <f t="shared" si="0"/>
        <v xml:space="preserve">Ava Nicks </v>
      </c>
      <c r="D239" s="6" t="s">
        <v>1290</v>
      </c>
      <c r="E239" s="8" t="s">
        <v>1291</v>
      </c>
      <c r="F239" s="9" t="str">
        <f ca="1">IFERROR(__xludf.DUMMYFUNCTION("""https://streamtape.com/v/""&amp;
REGEXEXTRACT(O239,""/thumb/([^/]+)/"")&amp;
""/""&amp;K239"),"https://streamtape.com/v/2BmAvyBlAqcWzy/67896154")</f>
        <v>https://streamtape.com/v/2BmAvyBlAqcWzy/67896154</v>
      </c>
      <c r="G239" s="10" t="e">
        <f t="shared" ca="1" si="1"/>
        <v>#NAME?</v>
      </c>
      <c r="H239" s="11" t="str">
        <f ca="1">IFERROR(__xludf.DUMMYFUNCTION("IFERROR(SUBSTITUTE(SUBSTITUTE(REGEXEXTRACT(A239, ""[^-]+- [^-]+- [^-]+ - (.+?)\.jpg""), "".jpg"", """"), ""-"", "", ""), """")"),"")</f>
        <v/>
      </c>
      <c r="I239" s="6"/>
      <c r="J239" s="7" t="str">
        <f t="shared" ca="1" si="2"/>
        <v>(2026)</v>
      </c>
      <c r="K239" s="7" t="str">
        <f t="shared" si="3"/>
        <v>67896154</v>
      </c>
      <c r="L239" s="12" t="s">
        <v>1292</v>
      </c>
      <c r="M239" s="13" t="str">
        <f ca="1">IFERROR(__xludf.DUMMYFUNCTION("TRIM(
  REGEXREPLACE(
    TEXTJOIN("" "",
      TRUE,
      B239,
      C239,
      embaralharLinks(E239,F239,G239),
      H239,
      """",
      J239,
      N239,
      ""#RIPNSFW""
    ),
  "",\s*"", "" "")
)"),"{New} Ava Nicks https://lulustream.com/d/aaox3p4iyz70 https://doodstream.com/d/8k5rxcgxvrpo/67896154 https://streamtape.com/v/2BmAvyBlAqcWzy/67896154 (2026) #MILF #BigTits #Creampie #Hardcore #Bigass #Blowjob #Amateur #Hotwife #RIPNSFW")</f>
        <v>{New} Ava Nicks https://lulustream.com/d/aaox3p4iyz70 https://doodstream.com/d/8k5rxcgxvrpo/67896154 https://streamtape.com/v/2BmAvyBlAqcWzy/67896154 (2026) #MILF #BigTits #Creampie #Hardcore #Bigass #Blowjob #Amateur #Hotwife #RIPNSFW</v>
      </c>
      <c r="N239" s="14" t="s">
        <v>1293</v>
      </c>
      <c r="O239" s="15" t="s">
        <v>1294</v>
      </c>
      <c r="P239" s="14"/>
      <c r="Q239" s="6"/>
      <c r="R239" s="11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75">
      <c r="A240" s="6" t="s">
        <v>1295</v>
      </c>
      <c r="B240" s="6" t="s">
        <v>14</v>
      </c>
      <c r="C240" s="7" t="str">
        <f t="shared" si="0"/>
        <v xml:space="preserve">Ava Nicks </v>
      </c>
      <c r="D240" s="6" t="s">
        <v>1296</v>
      </c>
      <c r="E240" s="8" t="s">
        <v>1297</v>
      </c>
      <c r="F240" s="9" t="str">
        <f ca="1">IFERROR(__xludf.DUMMYFUNCTION("""https://streamtape.com/v/""&amp;
REGEXEXTRACT(O240,""/thumb/([^/]+)/"")&amp;
""/""&amp;K240"),"https://streamtape.com/v/y2wpoekWw2H1ZYl/68148030")</f>
        <v>https://streamtape.com/v/y2wpoekWw2H1ZYl/68148030</v>
      </c>
      <c r="G240" s="10" t="e">
        <f t="shared" ca="1" si="1"/>
        <v>#NAME?</v>
      </c>
      <c r="H240" s="11" t="str">
        <f ca="1">IFERROR(__xludf.DUMMYFUNCTION("IFERROR(SUBSTITUTE(SUBSTITUTE(REGEXEXTRACT(A240, ""[^-]+- [^-]+- [^-]+ - (.+?)\.jpg""), "".jpg"", """"), ""-"", "", ""), """")"),"")</f>
        <v/>
      </c>
      <c r="I240" s="6"/>
      <c r="J240" s="7" t="str">
        <f t="shared" ca="1" si="2"/>
        <v>(2026)</v>
      </c>
      <c r="K240" s="7" t="str">
        <f t="shared" si="3"/>
        <v>68148030</v>
      </c>
      <c r="L240" s="12" t="s">
        <v>1298</v>
      </c>
      <c r="M240" s="13" t="str">
        <f ca="1">IFERROR(__xludf.DUMMYFUNCTION("TRIM(
  REGEXREPLACE(
    TEXTJOIN("" "",
      TRUE,
      B240,
      C240,
      embaralharLinks(E240,F240,G240),
      H240,
      """",
      J240,
      N240,
      ""#RIPNSFW""
    ),
  "",\s*"", "" "")
)"),"{New} Ava Nicks https://lulustream.com/d/bsybs46r7514 https://streamtape.com/v/y2wpoekWw2H1ZYl/68148030 https://doodstream.com/d/n3tppaiy8rqa/68148030 (2026) #MILF #BigTits #Bigass #Blowjob #Amateur #Blonde #RIPNSFW")</f>
        <v>{New} Ava Nicks https://lulustream.com/d/bsybs46r7514 https://streamtape.com/v/y2wpoekWw2H1ZYl/68148030 https://doodstream.com/d/n3tppaiy8rqa/68148030 (2026) #MILF #BigTits #Bigass #Blowjob #Amateur #Blonde #RIPNSFW</v>
      </c>
      <c r="N240" s="14" t="s">
        <v>1299</v>
      </c>
      <c r="O240" s="15" t="s">
        <v>1300</v>
      </c>
      <c r="P240" s="14"/>
      <c r="Q240" s="6"/>
      <c r="R240" s="11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75">
      <c r="A241" s="12" t="s">
        <v>1301</v>
      </c>
      <c r="B241" s="6" t="s">
        <v>14</v>
      </c>
      <c r="C241" s="7" t="str">
        <f t="shared" si="0"/>
        <v xml:space="preserve">Ava Nicks </v>
      </c>
      <c r="D241" s="24" t="s">
        <v>1302</v>
      </c>
      <c r="E241" s="25" t="s">
        <v>1303</v>
      </c>
      <c r="F241" s="9" t="str">
        <f ca="1">IFERROR(__xludf.DUMMYFUNCTION("""https://streamtape.com/v/""&amp;
REGEXEXTRACT(O241,""/thumb/([^/]+)/"")&amp;
""/""&amp;K241"),"https://streamtape.com/v/12PKGpRkj3c6jp/71430001")</f>
        <v>https://streamtape.com/v/12PKGpRkj3c6jp/71430001</v>
      </c>
      <c r="G241" s="10" t="e">
        <f t="shared" ca="1" si="1"/>
        <v>#NAME?</v>
      </c>
      <c r="H241" s="11" t="str">
        <f ca="1">IFERROR(__xludf.DUMMYFUNCTION("IFERROR(SUBSTITUTE(SUBSTITUTE(REGEXEXTRACT(A241, ""[^-]+- [^-]+- [^-]+ - (.+?)\.jpg""), "".jpg"", """"), ""-"", "", ""), """")"),"")</f>
        <v/>
      </c>
      <c r="I241" s="6"/>
      <c r="J241" s="7" t="str">
        <f t="shared" ca="1" si="2"/>
        <v>(2026)</v>
      </c>
      <c r="K241" s="7" t="str">
        <f t="shared" si="3"/>
        <v>71430001</v>
      </c>
      <c r="L241" s="12" t="s">
        <v>1304</v>
      </c>
      <c r="M241" s="13" t="str">
        <f ca="1">IFERROR(__xludf.DUMMYFUNCTION("TRIM(
  REGEXREPLACE(
    TEXTJOIN("" "",
      TRUE,
      B241,
      C241,
      embaralharLinks(E241,F241,G241),
      H241,
      """",
      J241,
      N241,
      ""#RIPNSFW""
    ),
  "",\s*"", "" "")
)"),"{New} Ava Nicks https://lulustream.com/d/tulo8yjmbfmk https://streamtape.com/v/12PKGpRkj3c6jp/71430001 https://doodstream.com/d/0chb93nxcwun/71430001 (2026) #milf #bigass #bigtits #pov #RIPNSFW")</f>
        <v>{New} Ava Nicks https://lulustream.com/d/tulo8yjmbfmk https://streamtape.com/v/12PKGpRkj3c6jp/71430001 https://doodstream.com/d/0chb93nxcwun/71430001 (2026) #milf #bigass #bigtits #pov #RIPNSFW</v>
      </c>
      <c r="N241" s="2" t="s">
        <v>1304</v>
      </c>
      <c r="O241" s="30" t="s">
        <v>1305</v>
      </c>
      <c r="P241" s="26"/>
      <c r="R241" s="23"/>
      <c r="T241" s="6"/>
      <c r="U241" s="7"/>
    </row>
    <row r="242" spans="1:27" ht="12.75">
      <c r="A242" s="6" t="s">
        <v>1306</v>
      </c>
      <c r="B242" s="6" t="s">
        <v>14</v>
      </c>
      <c r="C242" s="7" t="str">
        <f t="shared" si="0"/>
        <v xml:space="preserve">Ava Nicks </v>
      </c>
      <c r="D242" s="29" t="s">
        <v>1307</v>
      </c>
      <c r="E242" s="8" t="s">
        <v>1308</v>
      </c>
      <c r="F242" s="9" t="str">
        <f ca="1">IFERROR(__xludf.DUMMYFUNCTION("""https://streamtape.com/v/""&amp;
REGEXEXTRACT(O242,""/thumb/([^/]+)/"")&amp;
""/""&amp;K242"),"https://streamtape.com/v/aRW8Qp7xA1U0gG/76436173")</f>
        <v>https://streamtape.com/v/aRW8Qp7xA1U0gG/76436173</v>
      </c>
      <c r="G242" s="10" t="e">
        <f t="shared" ca="1" si="1"/>
        <v>#NAME?</v>
      </c>
      <c r="H242" s="11" t="str">
        <f ca="1">IFERROR(__xludf.DUMMYFUNCTION("IFERROR(SUBSTITUTE(SUBSTITUTE(REGEXEXTRACT(A242, ""[^-]+- [^-]+- [^-]+ - (.+?)\.jpg""), "".jpg"", """"), ""-"", "", ""), """")"),"")</f>
        <v/>
      </c>
      <c r="I242" s="6"/>
      <c r="J242" s="7" t="str">
        <f t="shared" ca="1" si="2"/>
        <v>(2026)</v>
      </c>
      <c r="K242" s="7" t="str">
        <f t="shared" si="3"/>
        <v>76436173</v>
      </c>
      <c r="L242" s="12" t="s">
        <v>1309</v>
      </c>
      <c r="M242" s="13" t="str">
        <f ca="1">IFERROR(__xludf.DUMMYFUNCTION("TRIM(
  REGEXREPLACE(
    TEXTJOIN("" "",
      TRUE,
      B242,
      C242,
      embaralharLinks(E242,F242,G242),
      H242,
      """",
      J242,
      N242,
      ""#RIPNSFW""
    ),
  "",\s*"", "" "")
)"),"{New} Ava Nicks https://lulustream.com/d/jdu9ub0j62ny https://streamtape.com/v/aRW8Qp7xA1U0gG/76436173 https://doodstream.com/d/u35q5q6hiuug/76436173 (2026) #MILF #BigTits #Creampie #Hardcore #Bigass #Artporn #Stepmom #Blowjob #Amateur #Hotwife #Deepthroa"&amp;"t #Blonde #RIPNSFW")</f>
        <v>{New} Ava Nicks https://lulustream.com/d/jdu9ub0j62ny https://streamtape.com/v/aRW8Qp7xA1U0gG/76436173 https://doodstream.com/d/u35q5q6hiuug/76436173 (2026) #MILF #BigTits #Creampie #Hardcore #Bigass #Artporn #Stepmom #Blowjob #Amateur #Hotwife #Deepthroat #Blonde #RIPNSFW</v>
      </c>
      <c r="N242" s="14" t="s">
        <v>1310</v>
      </c>
      <c r="O242" s="32" t="s">
        <v>1311</v>
      </c>
      <c r="P242" s="14"/>
      <c r="Q242" s="6"/>
      <c r="R242" s="11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75">
      <c r="A243" s="6" t="s">
        <v>1312</v>
      </c>
      <c r="B243" s="6" t="s">
        <v>14</v>
      </c>
      <c r="C243" s="7" t="str">
        <f t="shared" si="0"/>
        <v xml:space="preserve">Ava Nicks </v>
      </c>
      <c r="D243" s="6" t="s">
        <v>1313</v>
      </c>
      <c r="E243" s="8" t="s">
        <v>1314</v>
      </c>
      <c r="F243" s="9" t="str">
        <f ca="1">IFERROR(__xludf.DUMMYFUNCTION("""https://streamtape.com/v/""&amp;
REGEXEXTRACT(O243,""/thumb/([^/]+)/"")&amp;
""/""&amp;K243"),"https://streamtape.com/v/OXkYyzgeY4uZV7B/79881241")</f>
        <v>https://streamtape.com/v/OXkYyzgeY4uZV7B/79881241</v>
      </c>
      <c r="G243" s="10" t="e">
        <f t="shared" ca="1" si="1"/>
        <v>#NAME?</v>
      </c>
      <c r="H243" s="11" t="str">
        <f ca="1">IFERROR(__xludf.DUMMYFUNCTION("IFERROR(SUBSTITUTE(SUBSTITUTE(REGEXEXTRACT(A243, ""[^-]+- [^-]+- [^-]+ - (.+?)\.jpg""), "".jpg"", """"), ""-"", "", ""), """")"),"")</f>
        <v/>
      </c>
      <c r="I243" s="6"/>
      <c r="J243" s="7" t="str">
        <f t="shared" ca="1" si="2"/>
        <v>(2026)</v>
      </c>
      <c r="K243" s="7" t="str">
        <f t="shared" si="3"/>
        <v>79881241</v>
      </c>
      <c r="L243" s="12" t="s">
        <v>1241</v>
      </c>
      <c r="M243" s="13" t="str">
        <f ca="1">IFERROR(__xludf.DUMMYFUNCTION("TRIM(
  REGEXREPLACE(
    TEXTJOIN("" "",
      TRUE,
      B243,
      C243,
      embaralharLinks(E243,F243,G243),
      H243,
      """",
      J243,
      N243,
      ""#RIPNSFW""
    ),
  "",\s*"", "" "")
)"),"{New} Ava Nicks https://lulustream.com/d/vnbj4y14cex7 https://doodstream.com/d/nnpa08zhv6e2/79881241 https://streamtape.com/v/OXkYyzgeY4uZV7B/79881241 (2026) #MILF #BigTits #Hardcore #Bigass #Roleplay #Blowjob #Amateur #Hotwife #RIPNSFW")</f>
        <v>{New} Ava Nicks https://lulustream.com/d/vnbj4y14cex7 https://doodstream.com/d/nnpa08zhv6e2/79881241 https://streamtape.com/v/OXkYyzgeY4uZV7B/79881241 (2026) #MILF #BigTits #Hardcore #Bigass #Roleplay #Blowjob #Amateur #Hotwife #RIPNSFW</v>
      </c>
      <c r="N243" s="14" t="s">
        <v>1315</v>
      </c>
      <c r="O243" s="15" t="s">
        <v>1316</v>
      </c>
      <c r="P243" s="14"/>
      <c r="Q243" s="6"/>
      <c r="R243" s="11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75">
      <c r="A244" s="6" t="s">
        <v>1317</v>
      </c>
      <c r="B244" s="6" t="s">
        <v>14</v>
      </c>
      <c r="C244" s="7" t="str">
        <f t="shared" si="0"/>
        <v xml:space="preserve">Ava Nicks </v>
      </c>
      <c r="D244" s="6" t="s">
        <v>1318</v>
      </c>
      <c r="E244" s="8" t="s">
        <v>1319</v>
      </c>
      <c r="F244" s="9" t="str">
        <f ca="1">IFERROR(__xludf.DUMMYFUNCTION("""https://streamtape.com/v/""&amp;
REGEXEXTRACT(O244,""/thumb/([^/]+)/"")&amp;
""/""&amp;K244"),"https://streamtape.com/v/0RgvM1x7lYfbJLa/90251809")</f>
        <v>https://streamtape.com/v/0RgvM1x7lYfbJLa/90251809</v>
      </c>
      <c r="G244" s="10" t="e">
        <f t="shared" ca="1" si="1"/>
        <v>#NAME?</v>
      </c>
      <c r="H244" s="11" t="str">
        <f ca="1">IFERROR(__xludf.DUMMYFUNCTION("IFERROR(SUBSTITUTE(SUBSTITUTE(REGEXEXTRACT(A244, ""[^-]+- [^-]+- [^-]+ - (.+?)\.jpg""), "".jpg"", """"), ""-"", "", ""), """")"),"")</f>
        <v/>
      </c>
      <c r="I244" s="6"/>
      <c r="J244" s="7" t="str">
        <f t="shared" ca="1" si="2"/>
        <v>(2026)</v>
      </c>
      <c r="K244" s="7" t="str">
        <f t="shared" si="3"/>
        <v>90251809</v>
      </c>
      <c r="L244" s="12" t="s">
        <v>1320</v>
      </c>
      <c r="M244" s="13" t="str">
        <f ca="1">IFERROR(__xludf.DUMMYFUNCTION("TRIM(
  REGEXREPLACE(
    TEXTJOIN("" "",
      TRUE,
      B244,
      C244,
      embaralharLinks(E244,F244,G244),
      H244,
      """",
      J244,
      N244,
      ""#RIPNSFW""
    ),
  "",\s*"", "" "")
)"),"{New} Ava Nicks https://streamtape.com/v/0RgvM1x7lYfbJLa/90251809 https://lulustream.com/d/69zytf35azi8 https://doodstream.com/d/4g2o8bnc2g3d/90251809 (2026) #MILF #BigTits #Hardcore #Bigass #Blowjob #Amateur #RIPNSFW")</f>
        <v>{New} Ava Nicks https://streamtape.com/v/0RgvM1x7lYfbJLa/90251809 https://lulustream.com/d/69zytf35azi8 https://doodstream.com/d/4g2o8bnc2g3d/90251809 (2026) #MILF #BigTits #Hardcore #Bigass #Blowjob #Amateur #RIPNSFW</v>
      </c>
      <c r="N244" s="14" t="s">
        <v>999</v>
      </c>
      <c r="O244" s="15" t="s">
        <v>1321</v>
      </c>
      <c r="P244" s="14"/>
      <c r="Q244" s="6"/>
      <c r="R244" s="11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75">
      <c r="A245" s="6" t="s">
        <v>1322</v>
      </c>
      <c r="B245" s="6" t="s">
        <v>14</v>
      </c>
      <c r="C245" s="7" t="str">
        <f t="shared" si="0"/>
        <v xml:space="preserve">Ava Nicks </v>
      </c>
      <c r="D245" s="6" t="s">
        <v>1323</v>
      </c>
      <c r="E245" s="8" t="s">
        <v>1324</v>
      </c>
      <c r="F245" s="9" t="str">
        <f ca="1">IFERROR(__xludf.DUMMYFUNCTION("""https://streamtape.com/v/""&amp;
REGEXEXTRACT(O245,""/thumb/([^/]+)/"")&amp;
""/""&amp;K245"),"https://streamtape.com/v/PZArd9A71xU0jzQ/93219248")</f>
        <v>https://streamtape.com/v/PZArd9A71xU0jzQ/93219248</v>
      </c>
      <c r="G245" s="10" t="e">
        <f t="shared" ca="1" si="1"/>
        <v>#NAME?</v>
      </c>
      <c r="H245" s="11" t="str">
        <f ca="1">IFERROR(__xludf.DUMMYFUNCTION("IFERROR(SUBSTITUTE(SUBSTITUTE(REGEXEXTRACT(A245, ""[^-]+- [^-]+- [^-]+ - (.+?)\.jpg""), "".jpg"", """"), ""-"", "", ""), """")"),"")</f>
        <v/>
      </c>
      <c r="I245" s="6"/>
      <c r="J245" s="7" t="str">
        <f t="shared" ca="1" si="2"/>
        <v>(2026)</v>
      </c>
      <c r="K245" s="7" t="str">
        <f t="shared" si="3"/>
        <v>93219248</v>
      </c>
      <c r="L245" s="12" t="s">
        <v>1325</v>
      </c>
      <c r="M245" s="13" t="str">
        <f ca="1">IFERROR(__xludf.DUMMYFUNCTION("TRIM(
  REGEXREPLACE(
    TEXTJOIN("" "",
      TRUE,
      B245,
      C245,
      embaralharLinks(E245,F245,G245),
      H245,
      """",
      J245,
      N245,
      ""#RIPNSFW""
    ),
  "",\s*"", "" "")
)"),"{New} Ava Nicks https://doodstream.com/d/4p85k7vqfsm7/93219248 https://streamtape.com/v/PZArd9A71xU0jzQ/93219248 https://lulustream.com/d/7u322va0u360 (2026) #MILF #BigTits #Bigass #Blowjob #Amateur #RIPNSFW")</f>
        <v>{New} Ava Nicks https://doodstream.com/d/4p85k7vqfsm7/93219248 https://streamtape.com/v/PZArd9A71xU0jzQ/93219248 https://lulustream.com/d/7u322va0u360 (2026) #MILF #BigTits #Bigass #Blowjob #Amateur #RIPNSFW</v>
      </c>
      <c r="N245" s="14" t="s">
        <v>1326</v>
      </c>
      <c r="O245" s="15" t="s">
        <v>1327</v>
      </c>
      <c r="P245" s="14"/>
      <c r="Q245" s="6"/>
      <c r="R245" s="11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75">
      <c r="A246" s="6" t="s">
        <v>1328</v>
      </c>
      <c r="B246" s="6" t="s">
        <v>14</v>
      </c>
      <c r="C246" s="7" t="str">
        <f t="shared" si="0"/>
        <v xml:space="preserve">Avery </v>
      </c>
      <c r="D246" s="6" t="s">
        <v>1329</v>
      </c>
      <c r="E246" s="8" t="s">
        <v>1330</v>
      </c>
      <c r="F246" s="9" t="str">
        <f ca="1">IFERROR(__xludf.DUMMYFUNCTION("""https://streamtape.com/v/""&amp;
REGEXEXTRACT(O246,""/thumb/([^/]+)/"")&amp;
""/""&amp;K246"),"https://streamtape.com/v/9OPrm3z1l8talde/95107628")</f>
        <v>https://streamtape.com/v/9OPrm3z1l8talde/95107628</v>
      </c>
      <c r="G246" s="10" t="e">
        <f t="shared" ca="1" si="1"/>
        <v>#NAME?</v>
      </c>
      <c r="H246" s="11" t="str">
        <f ca="1">IFERROR(__xludf.DUMMYFUNCTION("IFERROR(SUBSTITUTE(SUBSTITUTE(REGEXEXTRACT(A246, ""[^-]+- [^-]+- [^-]+ - (.+?)\.jpg""), "".jpg"", """"), ""-"", "", ""), """")"),"")</f>
        <v/>
      </c>
      <c r="I246" s="6"/>
      <c r="J246" s="7" t="str">
        <f t="shared" ca="1" si="2"/>
        <v>(2026)</v>
      </c>
      <c r="K246" s="7" t="str">
        <f t="shared" si="3"/>
        <v>95107628</v>
      </c>
      <c r="L246" s="12" t="s">
        <v>1331</v>
      </c>
      <c r="M246" s="13" t="str">
        <f ca="1">IFERROR(__xludf.DUMMYFUNCTION("TRIM(
  REGEXREPLACE(
    TEXTJOIN("" "",
      TRUE,
      B246,
      C246,
      embaralharLinks(E246,F246,G246),
      H246,
      """",
      J246,
      N246,
      ""#RIPNSFW""
    ),
  "",\s*"", "" "")
)"),"{New} Avery https://doodstream.com/d/jvcmlpxqrf66/95107628 https://streamtape.com/v/9OPrm3z1l8talde/95107628 https://lulustream.com/d/svyhpatvkjvm (2026) #Anal #BigTits #Creampie #Hardcore #Black #Interracial #Bigass #Porn #Teen #RIPNSFW")</f>
        <v>{New} Avery https://doodstream.com/d/jvcmlpxqrf66/95107628 https://streamtape.com/v/9OPrm3z1l8talde/95107628 https://lulustream.com/d/svyhpatvkjvm (2026) #Anal #BigTits #Creampie #Hardcore #Black #Interracial #Bigass #Porn #Teen #RIPNSFW</v>
      </c>
      <c r="N246" s="14" t="s">
        <v>1332</v>
      </c>
      <c r="O246" s="15" t="s">
        <v>1333</v>
      </c>
      <c r="P246" s="14"/>
      <c r="Q246" s="6"/>
      <c r="R246" s="11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75">
      <c r="A247" s="12" t="s">
        <v>1334</v>
      </c>
      <c r="B247" s="6" t="s">
        <v>14</v>
      </c>
      <c r="C247" s="7" t="str">
        <f t="shared" si="0"/>
        <v xml:space="preserve">Bananapotato333 </v>
      </c>
      <c r="D247" s="24" t="s">
        <v>1335</v>
      </c>
      <c r="E247" s="25" t="s">
        <v>1336</v>
      </c>
      <c r="F247" s="9" t="str">
        <f ca="1">IFERROR(__xludf.DUMMYFUNCTION("""https://streamtape.com/v/""&amp;
REGEXEXTRACT(O247,""/thumb/([^/]+)/"")&amp;
""/""&amp;K247"),"https://streamtape.com/v/ReY73BllObtdd0V/36693743")</f>
        <v>https://streamtape.com/v/ReY73BllObtdd0V/36693743</v>
      </c>
      <c r="G247" s="10" t="e">
        <f t="shared" ca="1" si="1"/>
        <v>#NAME?</v>
      </c>
      <c r="H247" s="11" t="str">
        <f ca="1">IFERROR(__xludf.DUMMYFUNCTION("IFERROR(SUBSTITUTE(SUBSTITUTE(REGEXEXTRACT(A247, ""[^-]+- [^-]+- [^-]+ - (.+?)\.jpg""), "".jpg"", """"), ""-"", "", ""), """")"),"")</f>
        <v/>
      </c>
      <c r="I247" s="6"/>
      <c r="J247" s="7" t="str">
        <f t="shared" ca="1" si="2"/>
        <v>(2026)</v>
      </c>
      <c r="K247" s="7" t="str">
        <f t="shared" si="3"/>
        <v>36693743</v>
      </c>
      <c r="L247" s="12" t="s">
        <v>1337</v>
      </c>
      <c r="M247" s="13" t="str">
        <f ca="1">IFERROR(__xludf.DUMMYFUNCTION("TRIM(
  REGEXREPLACE(
    TEXTJOIN("" "",
      TRUE,
      B247,
      C247,
      embaralharLinks(E247,F247,G247),
      H247,
      """",
      J247,
      N247,
      ""#RIPNSFW""
    ),
  "",\s*"", "" "")
)"),"{New} Bananapotato333 https://lulustream.com/d/dza91b8aeasc https://doodstream.com/d/wiy5n0clgl1u/36693743 https://streamtape.com/v/ReY73BllObtdd0V/36693743 (2026) #creampie #teen #brunette #bigtits #RIPNSFW")</f>
        <v>{New} Bananapotato333 https://lulustream.com/d/dza91b8aeasc https://doodstream.com/d/wiy5n0clgl1u/36693743 https://streamtape.com/v/ReY73BllObtdd0V/36693743 (2026) #creampie #teen #brunette #bigtits #RIPNSFW</v>
      </c>
      <c r="N247" s="2" t="s">
        <v>1337</v>
      </c>
      <c r="O247" s="30" t="s">
        <v>1338</v>
      </c>
      <c r="P247" s="26"/>
      <c r="R247" s="23"/>
      <c r="T247" s="6"/>
      <c r="U247" s="7"/>
    </row>
    <row r="248" spans="1:27" ht="12.75">
      <c r="A248" s="6" t="s">
        <v>1339</v>
      </c>
      <c r="B248" s="6" t="s">
        <v>14</v>
      </c>
      <c r="C248" s="7" t="str">
        <f t="shared" si="0"/>
        <v xml:space="preserve">Blake Blossom </v>
      </c>
      <c r="D248" s="6" t="s">
        <v>1340</v>
      </c>
      <c r="E248" s="8" t="s">
        <v>1341</v>
      </c>
      <c r="F248" s="9" t="str">
        <f ca="1">IFERROR(__xludf.DUMMYFUNCTION("""https://streamtape.com/v/""&amp;
REGEXEXTRACT(O248,""/thumb/([^/]+)/"")&amp;
""/""&amp;K248"),"https://streamtape.com/v/OJgzO7AQvMtZJwx/26782260")</f>
        <v>https://streamtape.com/v/OJgzO7AQvMtZJwx/26782260</v>
      </c>
      <c r="G248" s="10" t="e">
        <f t="shared" ca="1" si="1"/>
        <v>#NAME?</v>
      </c>
      <c r="H248" s="11" t="str">
        <f ca="1">IFERROR(__xludf.DUMMYFUNCTION("IFERROR(SUBSTITUTE(SUBSTITUTE(REGEXEXTRACT(A248, ""[^-]+- [^-]+- [^-]+ - (.+?)\.jpg""), "".jpg"", """"), ""-"", "", ""), """")"),"Lena the plug")</f>
        <v>Lena the plug</v>
      </c>
      <c r="I248" s="6"/>
      <c r="J248" s="7" t="str">
        <f t="shared" ca="1" si="2"/>
        <v>(2026)</v>
      </c>
      <c r="K248" s="7" t="str">
        <f t="shared" si="3"/>
        <v>26782260</v>
      </c>
      <c r="L248" s="12" t="s">
        <v>1342</v>
      </c>
      <c r="M248" s="13" t="str">
        <f ca="1">IFERROR(__xludf.DUMMYFUNCTION("TRIM(
  REGEXREPLACE(
    TEXTJOIN("" "",
      TRUE,
      B248,
      C248,
      embaralharLinks(E248,F248,G248),
      H248,
      """",
      J248,
      N248,
      ""#RIPNSFW""
    ),
  "",\s*"", "" "")
)"),"{New} Blake Blossom https://streamtape.com/v/OJgzO7AQvMtZJwx/26782260 https://doodstream.com/d/41tz5xm84pbr/26782260 https://lulustream.com/d/8lnjtfv3y7ue Lena the plug (2026) #MILF #BigTits #Hardcore #Threesome #Bigass #Blowjob #Amateur #Blonde #Facial #"&amp;"RIPNSFW")</f>
        <v>{New} Blake Blossom https://streamtape.com/v/OJgzO7AQvMtZJwx/26782260 https://doodstream.com/d/41tz5xm84pbr/26782260 https://lulustream.com/d/8lnjtfv3y7ue Lena the plug (2026) #MILF #BigTits #Hardcore #Threesome #Bigass #Blowjob #Amateur #Blonde #Facial #RIPNSFW</v>
      </c>
      <c r="N248" s="14" t="s">
        <v>1343</v>
      </c>
      <c r="O248" s="15" t="s">
        <v>1344</v>
      </c>
      <c r="P248" s="14"/>
      <c r="Q248" s="6"/>
      <c r="R248" s="11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75">
      <c r="A249" s="6" t="s">
        <v>1345</v>
      </c>
      <c r="B249" s="6" t="s">
        <v>14</v>
      </c>
      <c r="C249" s="7" t="str">
        <f t="shared" si="0"/>
        <v xml:space="preserve">Blake Blossom </v>
      </c>
      <c r="D249" s="6" t="s">
        <v>1346</v>
      </c>
      <c r="E249" s="8" t="s">
        <v>1347</v>
      </c>
      <c r="F249" s="9" t="str">
        <f ca="1">IFERROR(__xludf.DUMMYFUNCTION("""https://streamtape.com/v/""&amp;
REGEXEXTRACT(O249,""/thumb/([^/]+)/"")&amp;
""/""&amp;K249"),"https://streamtape.com/v/9bOw39yV1BT14e/40550793")</f>
        <v>https://streamtape.com/v/9bOw39yV1BT14e/40550793</v>
      </c>
      <c r="G249" s="10" t="e">
        <f t="shared" ca="1" si="1"/>
        <v>#NAME?</v>
      </c>
      <c r="H249" s="11" t="str">
        <f ca="1">IFERROR(__xludf.DUMMYFUNCTION("IFERROR(SUBSTITUTE(SUBSTITUTE(REGEXEXTRACT(A249, ""[^-]+- [^-]+- [^-]+ - (.+?)\.jpg""), "".jpg"", """"), ""-"", "", ""), """")"),"")</f>
        <v/>
      </c>
      <c r="I249" s="6"/>
      <c r="J249" s="7" t="str">
        <f t="shared" ca="1" si="2"/>
        <v>(2026)</v>
      </c>
      <c r="K249" s="7" t="str">
        <f t="shared" si="3"/>
        <v>40550793</v>
      </c>
      <c r="L249" s="12" t="s">
        <v>1348</v>
      </c>
      <c r="M249" s="13" t="str">
        <f ca="1">IFERROR(__xludf.DUMMYFUNCTION("TRIM(
  REGEXREPLACE(
    TEXTJOIN("" "",
      TRUE,
      B249,
      C249,
      embaralharLinks(E249,F249,G249),
      H249,
      """",
      J249,
      N249,
      ""#RIPNSFW""
    ),
  "",\s*"", "" "")
)"),"{New} Blake Blossom https://streamtape.com/v/9bOw39yV1BT14e/40550793 https://lulustream.com/d/qr58bh6snn8g https://doodstream.com/d/8v7tkvznv5r4/40550793 (2026) #BigTits #Hardcore #Black #Interracial #Teen #Blowjob #Amateur #Blonde #Deepthroat #RIPNSFW")</f>
        <v>{New} Blake Blossom https://streamtape.com/v/9bOw39yV1BT14e/40550793 https://lulustream.com/d/qr58bh6snn8g https://doodstream.com/d/8v7tkvznv5r4/40550793 (2026) #BigTits #Hardcore #Black #Interracial #Teen #Blowjob #Amateur #Blonde #Deepthroat #RIPNSFW</v>
      </c>
      <c r="N249" s="14" t="s">
        <v>1349</v>
      </c>
      <c r="O249" s="15" t="s">
        <v>1350</v>
      </c>
      <c r="P249" s="14"/>
      <c r="Q249" s="6"/>
      <c r="R249" s="11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75">
      <c r="A250" s="12" t="s">
        <v>1351</v>
      </c>
      <c r="B250" s="6" t="s">
        <v>14</v>
      </c>
      <c r="C250" s="7" t="str">
        <f t="shared" si="0"/>
        <v xml:space="preserve">Blake Blossom </v>
      </c>
      <c r="D250" s="24" t="s">
        <v>1352</v>
      </c>
      <c r="E250" s="25" t="s">
        <v>1353</v>
      </c>
      <c r="F250" s="9" t="str">
        <f ca="1">IFERROR(__xludf.DUMMYFUNCTION("""https://streamtape.com/v/""&amp;
REGEXEXTRACT(O250,""/thumb/([^/]+)/"")&amp;
""/""&amp;K250"),"https://streamtape.com/v/zQgmzwOK9KIv6p/52742082")</f>
        <v>https://streamtape.com/v/zQgmzwOK9KIv6p/52742082</v>
      </c>
      <c r="G250" s="10" t="e">
        <f t="shared" ca="1" si="1"/>
        <v>#NAME?</v>
      </c>
      <c r="H250" s="11" t="str">
        <f ca="1">IFERROR(__xludf.DUMMYFUNCTION("IFERROR(SUBSTITUTE(SUBSTITUTE(REGEXEXTRACT(A250, ""[^-]+- [^-]+- [^-]+ - (.+?)\.jpg""), "".jpg"", """"), ""-"", "", ""), """")"),"")</f>
        <v/>
      </c>
      <c r="I250" s="6"/>
      <c r="J250" s="7" t="str">
        <f t="shared" ca="1" si="2"/>
        <v>(2026)</v>
      </c>
      <c r="K250" s="7" t="str">
        <f t="shared" si="3"/>
        <v>52742082</v>
      </c>
      <c r="L250" s="12" t="s">
        <v>1354</v>
      </c>
      <c r="M250" s="13" t="str">
        <f ca="1">IFERROR(__xludf.DUMMYFUNCTION("TRIM(
  REGEXREPLACE(
    TEXTJOIN("" "",
      TRUE,
      B250,
      C250,
      embaralharLinks(E250,F250,G250),
      H250,
      """",
      J250,
      N250,
      ""#RIPNSFW""
    ),
  "",\s*"", "" "")
)"),"{New} Blake Blossom https://doodstream.com/d/lsmpbgkrifw4/52742082 https://lulustream.com/d/v9327vflhs1p https://streamtape.com/v/zQgmzwOK9KIv6p/52742082 (2026) #teen #bigtits #solo #public #RIPNSFW")</f>
        <v>{New} Blake Blossom https://doodstream.com/d/lsmpbgkrifw4/52742082 https://lulustream.com/d/v9327vflhs1p https://streamtape.com/v/zQgmzwOK9KIv6p/52742082 (2026) #teen #bigtits #solo #public #RIPNSFW</v>
      </c>
      <c r="N250" s="2" t="s">
        <v>1354</v>
      </c>
      <c r="O250" s="30" t="s">
        <v>1355</v>
      </c>
      <c r="P250" s="26"/>
      <c r="R250" s="23"/>
    </row>
    <row r="251" spans="1:27" ht="12.75">
      <c r="A251" s="6" t="s">
        <v>1356</v>
      </c>
      <c r="B251" s="6" t="s">
        <v>14</v>
      </c>
      <c r="C251" s="7" t="str">
        <f t="shared" si="0"/>
        <v xml:space="preserve">Blake Blossom </v>
      </c>
      <c r="D251" s="6" t="s">
        <v>1357</v>
      </c>
      <c r="E251" s="8" t="s">
        <v>1358</v>
      </c>
      <c r="F251" s="9" t="str">
        <f ca="1">IFERROR(__xludf.DUMMYFUNCTION("""https://streamtape.com/v/""&amp;
REGEXEXTRACT(O251,""/thumb/([^/]+)/"")&amp;
""/""&amp;K251"),"https://streamtape.com/v/Aq4zAWkyZKIvbR/54816476")</f>
        <v>https://streamtape.com/v/Aq4zAWkyZKIvbR/54816476</v>
      </c>
      <c r="G251" s="10" t="e">
        <f t="shared" ca="1" si="1"/>
        <v>#NAME?</v>
      </c>
      <c r="H251" s="11" t="str">
        <f ca="1">IFERROR(__xludf.DUMMYFUNCTION("IFERROR(SUBSTITUTE(SUBSTITUTE(REGEXEXTRACT(A251, ""[^-]+- [^-]+- [^-]+ - (.+?)\.jpg""), "".jpg"", """"), ""-"", "", ""), """")"),"")</f>
        <v/>
      </c>
      <c r="I251" s="6"/>
      <c r="J251" s="7" t="str">
        <f t="shared" ca="1" si="2"/>
        <v>(2026)</v>
      </c>
      <c r="K251" s="7" t="str">
        <f t="shared" si="3"/>
        <v>54816476</v>
      </c>
      <c r="L251" s="12" t="s">
        <v>386</v>
      </c>
      <c r="M251" s="13" t="str">
        <f ca="1">IFERROR(__xludf.DUMMYFUNCTION("TRIM(
  REGEXREPLACE(
    TEXTJOIN("" "",
      TRUE,
      B251,
      C251,
      embaralharLinks(E251,F251,G251),
      H251,
      """",
      J251,
      N251,
      ""#RIPNSFW""
    ),
  "",\s*"", "" "")
)"),"{New} Blake Blossom https://streamtape.com/v/Aq4zAWkyZKIvbR/54816476 https://doodstream.com/d/i6hdmh1kwrp2/54816476 https://lulustream.com/d/csgf8yqplnbr (2026) #BigTits #Bigass #Teen #Solo #RIPNSFW")</f>
        <v>{New} Blake Blossom https://streamtape.com/v/Aq4zAWkyZKIvbR/54816476 https://doodstream.com/d/i6hdmh1kwrp2/54816476 https://lulustream.com/d/csgf8yqplnbr (2026) #BigTits #Bigass #Teen #Solo #RIPNSFW</v>
      </c>
      <c r="N251" s="14" t="s">
        <v>357</v>
      </c>
      <c r="O251" s="15" t="s">
        <v>1359</v>
      </c>
      <c r="P251" s="14"/>
      <c r="Q251" s="6"/>
      <c r="R251" s="11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75">
      <c r="A252" s="6" t="s">
        <v>1360</v>
      </c>
      <c r="B252" s="6" t="s">
        <v>14</v>
      </c>
      <c r="C252" s="7" t="str">
        <f t="shared" si="0"/>
        <v xml:space="preserve">Blake Blossom </v>
      </c>
      <c r="D252" s="6" t="s">
        <v>1361</v>
      </c>
      <c r="E252" s="8" t="s">
        <v>1362</v>
      </c>
      <c r="F252" s="9" t="str">
        <f ca="1">IFERROR(__xludf.DUMMYFUNCTION("""https://streamtape.com/v/""&amp;
REGEXEXTRACT(O252,""/thumb/([^/]+)/"")&amp;
""/""&amp;K252"),"https://streamtape.com/v/QPxXLrQoAxC0ZWk/79412478")</f>
        <v>https://streamtape.com/v/QPxXLrQoAxC0ZWk/79412478</v>
      </c>
      <c r="G252" s="10" t="e">
        <f t="shared" ca="1" si="1"/>
        <v>#NAME?</v>
      </c>
      <c r="H252" s="11" t="str">
        <f ca="1">IFERROR(__xludf.DUMMYFUNCTION("IFERROR(SUBSTITUTE(SUBSTITUTE(REGEXEXTRACT(A252, ""[^-]+- [^-]+- [^-]+ - (.+?)\.jpg""), "".jpg"", """"), ""-"", "", ""), """")"),"")</f>
        <v/>
      </c>
      <c r="I252" s="6"/>
      <c r="J252" s="7" t="str">
        <f t="shared" ca="1" si="2"/>
        <v>(2026)</v>
      </c>
      <c r="K252" s="7" t="str">
        <f t="shared" si="3"/>
        <v>79412478</v>
      </c>
      <c r="L252" s="12" t="s">
        <v>1363</v>
      </c>
      <c r="M252" s="13" t="str">
        <f ca="1">IFERROR(__xludf.DUMMYFUNCTION("TRIM(
  REGEXREPLACE(
    TEXTJOIN("" "",
      TRUE,
      B252,
      C252,
      embaralharLinks(E252,F252,G252),
      H252,
      """",
      J252,
      N252,
      ""#RIPNSFW""
    ),
  "",\s*"", "" "")
)"),"{New} Blake Blossom https://lulustream.com/d/knrkv4mabic0 https://streamtape.com/v/QPxXLrQoAxC0ZWk/79412478 https://doodstream.com/d/rmhvm3uaeq7a/79412478 (2026) #BigTits #MILF #Hardcore #Black #Interracial #Porn #Blowjob #Deepthroat #RIPNSFW")</f>
        <v>{New} Blake Blossom https://lulustream.com/d/knrkv4mabic0 https://streamtape.com/v/QPxXLrQoAxC0ZWk/79412478 https://doodstream.com/d/rmhvm3uaeq7a/79412478 (2026) #BigTits #MILF #Hardcore #Black #Interracial #Porn #Blowjob #Deepthroat #RIPNSFW</v>
      </c>
      <c r="N252" s="14" t="s">
        <v>1364</v>
      </c>
      <c r="O252" s="15" t="s">
        <v>1365</v>
      </c>
      <c r="P252" s="14"/>
      <c r="Q252" s="6"/>
      <c r="R252" s="11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75">
      <c r="A253" s="6" t="s">
        <v>1366</v>
      </c>
      <c r="B253" s="6" t="s">
        <v>14</v>
      </c>
      <c r="C253" s="7" t="str">
        <f t="shared" si="0"/>
        <v xml:space="preserve">Blake Blossom </v>
      </c>
      <c r="D253" s="6" t="s">
        <v>1367</v>
      </c>
      <c r="E253" s="8" t="s">
        <v>1368</v>
      </c>
      <c r="F253" s="9" t="str">
        <f ca="1">IFERROR(__xludf.DUMMYFUNCTION("""https://streamtape.com/v/""&amp;
REGEXEXTRACT(O253,""/thumb/([^/]+)/"")&amp;
""/""&amp;K253"),"https://streamtape.com/v/l0GmgPZ29aI71rB/80725716")</f>
        <v>https://streamtape.com/v/l0GmgPZ29aI71rB/80725716</v>
      </c>
      <c r="G253" s="10" t="e">
        <f t="shared" ca="1" si="1"/>
        <v>#NAME?</v>
      </c>
      <c r="H253" s="11" t="str">
        <f ca="1">IFERROR(__xludf.DUMMYFUNCTION("IFERROR(SUBSTITUTE(SUBSTITUTE(REGEXEXTRACT(A253, ""[^-]+- [^-]+- [^-]+ - (.+?)\.jpg""), "".jpg"", """"), ""-"", "", ""), """")"),"Angel Youngs")</f>
        <v>Angel Youngs</v>
      </c>
      <c r="I253" s="6"/>
      <c r="J253" s="7" t="str">
        <f t="shared" ca="1" si="2"/>
        <v>(2026)</v>
      </c>
      <c r="K253" s="7" t="str">
        <f t="shared" si="3"/>
        <v>80725716</v>
      </c>
      <c r="L253" s="12" t="s">
        <v>1369</v>
      </c>
      <c r="M253" s="13" t="str">
        <f ca="1">IFERROR(__xludf.DUMMYFUNCTION("TRIM(
  REGEXREPLACE(
    TEXTJOIN("" "",
      TRUE,
      B253,
      C253,
      embaralharLinks(E253,F253,G253),
      H253,
      """",
      J253,
      N253,
      ""#RIPNSFW""
    ),
  "",\s*"", "" "")
)"),"{New} Blake Blossom https://lulustream.com/d/dlcwmhyuxx5s https://doodstream.com/d/a96uvs3xsf8i/80725716 https://streamtape.com/v/l0GmgPZ29aI71rB/80725716 Angel Youngs (2026) #BigTits #Hardcore #Threesome #Bigass #Teen #Blowjob #Amateur #RIPNSFW")</f>
        <v>{New} Blake Blossom https://lulustream.com/d/dlcwmhyuxx5s https://doodstream.com/d/a96uvs3xsf8i/80725716 https://streamtape.com/v/l0GmgPZ29aI71rB/80725716 Angel Youngs (2026) #BigTits #Hardcore #Threesome #Bigass #Teen #Blowjob #Amateur #RIPNSFW</v>
      </c>
      <c r="N253" s="14" t="s">
        <v>1370</v>
      </c>
      <c r="O253" s="15" t="s">
        <v>1371</v>
      </c>
      <c r="P253" s="14"/>
      <c r="Q253" s="6"/>
      <c r="R253" s="11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75">
      <c r="A254" s="6" t="s">
        <v>1372</v>
      </c>
      <c r="B254" s="6" t="s">
        <v>14</v>
      </c>
      <c r="C254" s="7" t="str">
        <f t="shared" si="0"/>
        <v xml:space="preserve">Bonnie Blue </v>
      </c>
      <c r="D254" s="6" t="s">
        <v>1373</v>
      </c>
      <c r="E254" s="8" t="s">
        <v>1374</v>
      </c>
      <c r="F254" s="9" t="str">
        <f ca="1">IFERROR(__xludf.DUMMYFUNCTION("""https://streamtape.com/v/""&amp;
REGEXEXTRACT(O254,""/thumb/([^/]+)/"")&amp;
""/""&amp;K254"),"https://streamtape.com/v/rgOoozv2KQIbmlK/35424196")</f>
        <v>https://streamtape.com/v/rgOoozv2KQIbmlK/35424196</v>
      </c>
      <c r="G254" s="10" t="e">
        <f t="shared" ca="1" si="1"/>
        <v>#NAME?</v>
      </c>
      <c r="H254" s="11" t="str">
        <f ca="1">IFERROR(__xludf.DUMMYFUNCTION("IFERROR(SUBSTITUTE(SUBSTITUTE(REGEXEXTRACT(A254, ""[^-]+- [^-]+- [^-]+ - (.+?)\.jpg""), "".jpg"", """"), ""-"", "", ""), """")"),"")</f>
        <v/>
      </c>
      <c r="I254" s="6"/>
      <c r="J254" s="7" t="str">
        <f t="shared" ca="1" si="2"/>
        <v>(2026)</v>
      </c>
      <c r="K254" s="7" t="str">
        <f t="shared" si="3"/>
        <v>35424196</v>
      </c>
      <c r="L254" s="12" t="s">
        <v>1375</v>
      </c>
      <c r="M254" s="13" t="str">
        <f ca="1">IFERROR(__xludf.DUMMYFUNCTION("TRIM(
  REGEXREPLACE(
    TEXTJOIN("" "",
      TRUE,
      B254,
      C254,
      embaralharLinks(E254,F254,G254),
      H254,
      """",
      J254,
      N254,
      ""#RIPNSFW""
    ),
  "",\s*"", "" "")
)"),"{New} Bonnie Blue https://doodstream.com/d/abmt73hv22ct/35424196 https://lulustream.com/d/hyxk4byf0c9o https://streamtape.com/v/rgOoozv2KQIbmlK/35424196 (2026) #MILF #BigTits #Hardcore #Blowjob #Amateur #RIPNSFW")</f>
        <v>{New} Bonnie Blue https://doodstream.com/d/abmt73hv22ct/35424196 https://lulustream.com/d/hyxk4byf0c9o https://streamtape.com/v/rgOoozv2KQIbmlK/35424196 (2026) #MILF #BigTits #Hardcore #Blowjob #Amateur #RIPNSFW</v>
      </c>
      <c r="N254" s="14" t="s">
        <v>1376</v>
      </c>
      <c r="O254" s="15" t="s">
        <v>1377</v>
      </c>
      <c r="P254" s="14"/>
      <c r="Q254" s="6"/>
      <c r="R254" s="11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75">
      <c r="A255" s="12" t="s">
        <v>1378</v>
      </c>
      <c r="B255" s="6" t="s">
        <v>14</v>
      </c>
      <c r="C255" s="7" t="str">
        <f t="shared" si="0"/>
        <v xml:space="preserve">Bonnie Blue </v>
      </c>
      <c r="D255" s="24" t="s">
        <v>1379</v>
      </c>
      <c r="E255" s="25" t="s">
        <v>1380</v>
      </c>
      <c r="F255" s="9" t="str">
        <f ca="1">IFERROR(__xludf.DUMMYFUNCTION("""https://streamtape.com/v/""&amp;
REGEXEXTRACT(O255,""/thumb/([^/]+)/"")&amp;
""/""&amp;K255"),"https://streamtape.com/v/rAB9ooy3BjFb69Q/42460162")</f>
        <v>https://streamtape.com/v/rAB9ooy3BjFb69Q/42460162</v>
      </c>
      <c r="G255" s="10" t="e">
        <f t="shared" ca="1" si="1"/>
        <v>#NAME?</v>
      </c>
      <c r="H255" s="11" t="str">
        <f ca="1">IFERROR(__xludf.DUMMYFUNCTION("IFERROR(SUBSTITUTE(SUBSTITUTE(REGEXEXTRACT(A255, ""[^-]+- [^-]+- [^-]+ - (.+?)\.jpg""), "".jpg"", """"), ""-"", "", ""), """")"),"")</f>
        <v/>
      </c>
      <c r="I255" s="6"/>
      <c r="J255" s="7" t="str">
        <f t="shared" ca="1" si="2"/>
        <v>(2026)</v>
      </c>
      <c r="K255" s="7" t="str">
        <f t="shared" si="3"/>
        <v>42460162</v>
      </c>
      <c r="L255" s="12" t="s">
        <v>1381</v>
      </c>
      <c r="M255" s="13" t="str">
        <f ca="1">IFERROR(__xludf.DUMMYFUNCTION("TRIM(
  REGEXREPLACE(
    TEXTJOIN("" "",
      TRUE,
      B255,
      C255,
      embaralharLinks(E255,F255,G255),
      H255,
      """",
      J255,
      N255,
      ""#RIPNSFW""
    ),
  "",\s*"", "" "")
)"),"{New} Bonnie Blue https://lulustream.com/d/aunt69k8pqfv https://streamtape.com/v/rAB9ooy3BjFb69Q/42460162 https://doodstream.com/d/zwmu756gg9vg/42460162 (2026) #blonde #pov #blowjob #amateur #RIPNSFW")</f>
        <v>{New} Bonnie Blue https://lulustream.com/d/aunt69k8pqfv https://streamtape.com/v/rAB9ooy3BjFb69Q/42460162 https://doodstream.com/d/zwmu756gg9vg/42460162 (2026) #blonde #pov #blowjob #amateur #RIPNSFW</v>
      </c>
      <c r="N255" s="2" t="s">
        <v>1381</v>
      </c>
      <c r="O255" s="30" t="s">
        <v>1382</v>
      </c>
      <c r="P255" s="26"/>
      <c r="R255" s="23"/>
      <c r="T255" s="6"/>
      <c r="U255" s="7"/>
    </row>
    <row r="256" spans="1:27" ht="12.75">
      <c r="A256" s="12" t="s">
        <v>1383</v>
      </c>
      <c r="B256" s="6" t="s">
        <v>14</v>
      </c>
      <c r="C256" s="7" t="str">
        <f t="shared" si="0"/>
        <v xml:space="preserve">Bonnie Blue </v>
      </c>
      <c r="D256" s="27" t="s">
        <v>1384</v>
      </c>
      <c r="E256" s="28" t="s">
        <v>1385</v>
      </c>
      <c r="F256" s="9" t="str">
        <f ca="1">IFERROR(__xludf.DUMMYFUNCTION("""https://streamtape.com/v/""&amp;
REGEXEXTRACT(O256,""/thumb/([^/]+)/"")&amp;
""/""&amp;K256"),"https://streamtape.com/v/MrxboDblMGHmPP7/58248796")</f>
        <v>https://streamtape.com/v/MrxboDblMGHmPP7/58248796</v>
      </c>
      <c r="G256" s="10" t="e">
        <f t="shared" ca="1" si="1"/>
        <v>#NAME?</v>
      </c>
      <c r="H256" s="11" t="str">
        <f ca="1">IFERROR(__xludf.DUMMYFUNCTION("IFERROR(SUBSTITUTE(SUBSTITUTE(REGEXEXTRACT(A256, ""[^-]+- [^-]+- [^-]+ - (.+?)\.jpg""), "".jpg"", """"), ""-"", "", ""), """")"),"")</f>
        <v/>
      </c>
      <c r="I256" s="6"/>
      <c r="J256" s="7" t="str">
        <f t="shared" ca="1" si="2"/>
        <v>(2026)</v>
      </c>
      <c r="K256" s="7" t="str">
        <f t="shared" si="3"/>
        <v>58248796</v>
      </c>
      <c r="L256" s="12" t="s">
        <v>1386</v>
      </c>
      <c r="M256" s="13" t="str">
        <f ca="1">IFERROR(__xludf.DUMMYFUNCTION("TRIM(
  REGEXREPLACE(
    TEXTJOIN("" "",
      TRUE,
      B256,
      C256,
      embaralharLinks(E256,F256,G256),
      H256,
      """",
      J256,
      N256,
      ""#RIPNSFW""
    ),
  "",\s*"", "" "")
)"),"{New} Bonnie Blue https://streamtape.com/v/MrxboDblMGHmPP7/58248796 https://doodstream.com/d/atan28ke5acy/58248796 https://lulustream.com/d/zvog9tzsdk5m (2026) #Hardcore #Gangbang #Teen #Blowjob #RIPNSFW")</f>
        <v>{New} Bonnie Blue https://streamtape.com/v/MrxboDblMGHmPP7/58248796 https://doodstream.com/d/atan28ke5acy/58248796 https://lulustream.com/d/zvog9tzsdk5m (2026) #Hardcore #Gangbang #Teen #Blowjob #RIPNSFW</v>
      </c>
      <c r="N256" s="2" t="s">
        <v>1387</v>
      </c>
      <c r="O256" s="30" t="s">
        <v>1388</v>
      </c>
      <c r="P256" s="26"/>
      <c r="R256" s="23"/>
    </row>
    <row r="257" spans="1:27" ht="12.75">
      <c r="A257" s="28" t="s">
        <v>1389</v>
      </c>
      <c r="B257" s="6" t="s">
        <v>14</v>
      </c>
      <c r="C257" s="7" t="str">
        <f t="shared" ref="C257:C511" si="4">LEFT(A257,FIND("-",A257)-1)</f>
        <v xml:space="preserve">Brandi Love </v>
      </c>
      <c r="D257" s="6" t="s">
        <v>1390</v>
      </c>
      <c r="E257" s="8" t="s">
        <v>1391</v>
      </c>
      <c r="F257" s="9" t="str">
        <f ca="1">IFERROR(__xludf.DUMMYFUNCTION("""https://streamtape.com/v/""&amp;
REGEXEXTRACT(O257,""/thumb/([^/]+)/"")&amp;
""/""&amp;K257"),"https://streamtape.com/v/0LgXqB619JIb7vA/72955926")</f>
        <v>https://streamtape.com/v/0LgXqB619JIb7vA/72955926</v>
      </c>
      <c r="G257" s="10" t="e">
        <f t="shared" ref="G257:G511" ca="1" si="5">_xludf.CONCAT(D257,K257)</f>
        <v>#NAME?</v>
      </c>
      <c r="H257" s="11" t="str">
        <f ca="1">IFERROR(__xludf.DUMMYFUNCTION("IFERROR(SUBSTITUTE(SUBSTITUTE(REGEXEXTRACT(A257, ""[^-]+- [^-]+- [^-]+ - (.+?)\.jpg""), "".jpg"", """"), ""-"", "", ""), """")"),"")</f>
        <v/>
      </c>
      <c r="I257" s="6"/>
      <c r="J257" s="7" t="str">
        <f t="shared" ref="J257:J511" ca="1" si="6">IF(B257="{New}", "(" &amp; YEAR(TODAY()) &amp; ")", "")</f>
        <v>(2026)</v>
      </c>
      <c r="K257" s="7" t="str">
        <f t="shared" ref="K257:K511" si="7">MID(A257,FIND("-",A257)+2,8)</f>
        <v>72955926</v>
      </c>
      <c r="L257" s="12" t="s">
        <v>1392</v>
      </c>
      <c r="M257" s="13" t="str">
        <f ca="1">IFERROR(__xludf.DUMMYFUNCTION("TRIM(
  REGEXREPLACE(
    TEXTJOIN("" "",
      TRUE,
      B257,
      C257,
      embaralharLinks(E257,F257,G257),
      H257,
      """",
      J257,
      N257,
      ""#RIPNSFW""
    ),
  "",\s*"", "" "")
)"),"{New} Brandi Love https://streamtape.com/v/0LgXqB619JIb7vA/72955926 https://lulustream.com/d/92gue72onpex https://doodstream.com/d/vszsa3udi0np/72955926 (2026) #MILF #BigTits #Hardcore #Black #Interracial #Bigass #Blowjob #Amateur #Mature #Hotwife #RIPNSF"&amp;"W")</f>
        <v>{New} Brandi Love https://streamtape.com/v/0LgXqB619JIb7vA/72955926 https://lulustream.com/d/92gue72onpex https://doodstream.com/d/vszsa3udi0np/72955926 (2026) #MILF #BigTits #Hardcore #Black #Interracial #Bigass #Blowjob #Amateur #Mature #Hotwife #RIPNSFW</v>
      </c>
      <c r="N257" s="14" t="s">
        <v>1393</v>
      </c>
      <c r="O257" s="15" t="s">
        <v>1394</v>
      </c>
      <c r="P257" s="14"/>
      <c r="Q257" s="6"/>
      <c r="R257" s="11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75">
      <c r="A258" s="12" t="s">
        <v>1395</v>
      </c>
      <c r="B258" s="6" t="s">
        <v>14</v>
      </c>
      <c r="C258" s="7" t="str">
        <f t="shared" si="4"/>
        <v xml:space="preserve">Brandy Renee </v>
      </c>
      <c r="D258" s="24" t="s">
        <v>1396</v>
      </c>
      <c r="E258" s="25" t="s">
        <v>1397</v>
      </c>
      <c r="F258" s="9" t="str">
        <f ca="1">IFERROR(__xludf.DUMMYFUNCTION("""https://streamtape.com/v/""&amp;
REGEXEXTRACT(O258,""/thumb/([^/]+)/"")&amp;
""/""&amp;K258"),"https://streamtape.com/v/kzJ6jw1eYMSOJlO/25399996")</f>
        <v>https://streamtape.com/v/kzJ6jw1eYMSOJlO/25399996</v>
      </c>
      <c r="G258" s="10" t="e">
        <f t="shared" ca="1" si="5"/>
        <v>#NAME?</v>
      </c>
      <c r="H258" s="11" t="str">
        <f ca="1">IFERROR(__xludf.DUMMYFUNCTION("IFERROR(SUBSTITUTE(SUBSTITUTE(REGEXEXTRACT(A258, ""[^-]+- [^-]+- [^-]+ - (.+?)\.jpg""), "".jpg"", """"), ""-"", "", ""), """")"),"")</f>
        <v/>
      </c>
      <c r="I258" s="6"/>
      <c r="J258" s="7" t="str">
        <f t="shared" ca="1" si="6"/>
        <v>(2026)</v>
      </c>
      <c r="K258" s="7" t="str">
        <f t="shared" si="7"/>
        <v>25399996</v>
      </c>
      <c r="L258" s="12" t="s">
        <v>1398</v>
      </c>
      <c r="M258" s="13" t="str">
        <f ca="1">IFERROR(__xludf.DUMMYFUNCTION("TRIM(
  REGEXREPLACE(
    TEXTJOIN("" "",
      TRUE,
      B258,
      C258,
      embaralharLinks(E258,F258,G258),
      H258,
      """",
      J258,
      N258,
      ""#RIPNSFW""
    ),
  "",\s*"", "" "")
)"),"{New} Brandy Renee https://lulustream.com/d/e6znklauliqr https://doodstream.com/d/hm4h6lwhicj0/25399996 https://streamtape.com/v/kzJ6jw1eYMSOJlO/25399996 (2026) #milf #bigtits #blowjob #amateur #RIPNSFW")</f>
        <v>{New} Brandy Renee https://lulustream.com/d/e6znklauliqr https://doodstream.com/d/hm4h6lwhicj0/25399996 https://streamtape.com/v/kzJ6jw1eYMSOJlO/25399996 (2026) #milf #bigtits #blowjob #amateur #RIPNSFW</v>
      </c>
      <c r="N258" s="2" t="s">
        <v>1398</v>
      </c>
      <c r="O258" s="30" t="s">
        <v>1399</v>
      </c>
      <c r="P258" s="26"/>
      <c r="R258" s="23"/>
      <c r="T258" s="6"/>
      <c r="U258" s="7"/>
    </row>
    <row r="259" spans="1:27" ht="12.75">
      <c r="A259" s="6" t="s">
        <v>1400</v>
      </c>
      <c r="B259" s="6" t="s">
        <v>14</v>
      </c>
      <c r="C259" s="7" t="str">
        <f t="shared" si="4"/>
        <v xml:space="preserve">Brandy Renee </v>
      </c>
      <c r="D259" s="6" t="s">
        <v>1401</v>
      </c>
      <c r="E259" s="8" t="s">
        <v>1402</v>
      </c>
      <c r="F259" s="9" t="str">
        <f ca="1">IFERROR(__xludf.DUMMYFUNCTION("""https://streamtape.com/v/""&amp;
REGEXEXTRACT(O259,""/thumb/([^/]+)/"")&amp;
""/""&amp;K259"),"https://streamtape.com/v/rlJ7kLKmllhbwLR/26373806")</f>
        <v>https://streamtape.com/v/rlJ7kLKmllhbwLR/26373806</v>
      </c>
      <c r="G259" s="10" t="e">
        <f t="shared" ca="1" si="5"/>
        <v>#NAME?</v>
      </c>
      <c r="H259" s="11" t="str">
        <f ca="1">IFERROR(__xludf.DUMMYFUNCTION("IFERROR(SUBSTITUTE(SUBSTITUTE(REGEXEXTRACT(A259, ""[^-]+- [^-]+- [^-]+ - (.+?)\.jpg""), "".jpg"", """"), ""-"", "", ""), """")"),"")</f>
        <v/>
      </c>
      <c r="I259" s="6"/>
      <c r="J259" s="7" t="str">
        <f t="shared" ca="1" si="6"/>
        <v>(2026)</v>
      </c>
      <c r="K259" s="7" t="str">
        <f t="shared" si="7"/>
        <v>26373806</v>
      </c>
      <c r="L259" s="12" t="s">
        <v>1403</v>
      </c>
      <c r="M259" s="13" t="str">
        <f ca="1">IFERROR(__xludf.DUMMYFUNCTION("TRIM(
  REGEXREPLACE(
    TEXTJOIN("" "",
      TRUE,
      B259,
      C259,
      embaralharLinks(E259,F259,G259),
      H259,
      """",
      J259,
      N259,
      ""#RIPNSFW""
    ),
  "",\s*"", "" "")
)"),"{New} Brandy Renee https://streamtape.com/v/rlJ7kLKmllhbwLR/26373806 https://lulustream.com/d/foqoudl9vew1 https://doodstream.com/d/u33nen47qaj9/26373806 (2026) #MILF #BigTits #Hardcore #Black #Interracial #Bigass #Blowjob #RIPNSFW")</f>
        <v>{New} Brandy Renee https://streamtape.com/v/rlJ7kLKmllhbwLR/26373806 https://lulustream.com/d/foqoudl9vew1 https://doodstream.com/d/u33nen47qaj9/26373806 (2026) #MILF #BigTits #Hardcore #Black #Interracial #Bigass #Blowjob #RIPNSFW</v>
      </c>
      <c r="N259" s="14" t="s">
        <v>1404</v>
      </c>
      <c r="O259" s="15" t="s">
        <v>1405</v>
      </c>
      <c r="P259" s="14"/>
      <c r="Q259" s="6"/>
      <c r="R259" s="11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75">
      <c r="A260" s="6" t="s">
        <v>1406</v>
      </c>
      <c r="B260" s="6" t="s">
        <v>14</v>
      </c>
      <c r="C260" s="7" t="str">
        <f t="shared" si="4"/>
        <v xml:space="preserve">Brandy Renee </v>
      </c>
      <c r="D260" s="6" t="s">
        <v>1407</v>
      </c>
      <c r="E260" s="8" t="s">
        <v>1408</v>
      </c>
      <c r="F260" s="9" t="str">
        <f ca="1">IFERROR(__xludf.DUMMYFUNCTION("""https://streamtape.com/v/""&amp;
REGEXEXTRACT(O260,""/thumb/([^/]+)/"")&amp;
""/""&amp;K260"),"https://streamtape.com/v/6R3g9jyRXYC97B0/29716522")</f>
        <v>https://streamtape.com/v/6R3g9jyRXYC97B0/29716522</v>
      </c>
      <c r="G260" s="10" t="e">
        <f t="shared" ca="1" si="5"/>
        <v>#NAME?</v>
      </c>
      <c r="H260" s="11" t="str">
        <f ca="1">IFERROR(__xludf.DUMMYFUNCTION("IFERROR(SUBSTITUTE(SUBSTITUTE(REGEXEXTRACT(A260, ""[^-]+- [^-]+- [^-]+ - (.+?)\.jpg""), "".jpg"", """"), ""-"", "", ""), """")"),"")</f>
        <v/>
      </c>
      <c r="I260" s="6"/>
      <c r="J260" s="7" t="str">
        <f t="shared" ca="1" si="6"/>
        <v>(2026)</v>
      </c>
      <c r="K260" s="7" t="str">
        <f t="shared" si="7"/>
        <v>29716522</v>
      </c>
      <c r="L260" s="12" t="s">
        <v>1409</v>
      </c>
      <c r="M260" s="13" t="str">
        <f ca="1">IFERROR(__xludf.DUMMYFUNCTION("TRIM(
  REGEXREPLACE(
    TEXTJOIN("" "",
      TRUE,
      B260,
      C260,
      embaralharLinks(E260,F260,G260),
      H260,
      """",
      J260,
      N260,
      ""#RIPNSFW""
    ),
  "",\s*"", "" "")
)"),"{New} Brandy Renee https://streamtape.com/v/6R3g9jyRXYC97B0/29716522 https://lulustream.com/d/fmcpdw5tmztf https://doodstream.com/d/5juqzy4orxey/29716522 (2026) #MILF #BigTits #Hardcore #Bigass #Blowjob #RIPNSFW")</f>
        <v>{New} Brandy Renee https://streamtape.com/v/6R3g9jyRXYC97B0/29716522 https://lulustream.com/d/fmcpdw5tmztf https://doodstream.com/d/5juqzy4orxey/29716522 (2026) #MILF #BigTits #Hardcore #Bigass #Blowjob #RIPNSFW</v>
      </c>
      <c r="N260" s="14" t="s">
        <v>1410</v>
      </c>
      <c r="O260" s="15" t="s">
        <v>1411</v>
      </c>
      <c r="P260" s="14"/>
      <c r="Q260" s="6"/>
      <c r="R260" s="11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75">
      <c r="A261" s="6" t="s">
        <v>1412</v>
      </c>
      <c r="B261" s="6" t="s">
        <v>14</v>
      </c>
      <c r="C261" s="7" t="str">
        <f t="shared" si="4"/>
        <v xml:space="preserve">Brandy Renee </v>
      </c>
      <c r="D261" s="6" t="s">
        <v>1413</v>
      </c>
      <c r="E261" s="8" t="s">
        <v>1414</v>
      </c>
      <c r="F261" s="9" t="str">
        <f ca="1">IFERROR(__xludf.DUMMYFUNCTION("""https://streamtape.com/v/""&amp;
REGEXEXTRACT(O261,""/thumb/([^/]+)/"")&amp;
""/""&amp;K261"),"https://streamtape.com/v/Y7GzQwy6QaCvm8z/32148809")</f>
        <v>https://streamtape.com/v/Y7GzQwy6QaCvm8z/32148809</v>
      </c>
      <c r="G261" s="10" t="e">
        <f t="shared" ca="1" si="5"/>
        <v>#NAME?</v>
      </c>
      <c r="H261" s="11" t="str">
        <f ca="1">IFERROR(__xludf.DUMMYFUNCTION("IFERROR(SUBSTITUTE(SUBSTITUTE(REGEXEXTRACT(A261, ""[^-]+- [^-]+- [^-]+ - (.+?)\.jpg""), "".jpg"", """"), ""-"", "", ""), """")"),"")</f>
        <v/>
      </c>
      <c r="I261" s="6"/>
      <c r="J261" s="7" t="str">
        <f t="shared" ca="1" si="6"/>
        <v>(2026)</v>
      </c>
      <c r="K261" s="7" t="str">
        <f t="shared" si="7"/>
        <v>32148809</v>
      </c>
      <c r="L261" s="12" t="s">
        <v>1415</v>
      </c>
      <c r="M261" s="13" t="str">
        <f ca="1">IFERROR(__xludf.DUMMYFUNCTION("TRIM(
  REGEXREPLACE(
    TEXTJOIN("" "",
      TRUE,
      B261,
      C261,
      embaralharLinks(E261,F261,G261),
      H261,
      """",
      J261,
      N261,
      ""#RIPNSFW""
    ),
  "",\s*"", "" "")
)"),"{New} Brandy Renee https://lulustream.com/d/9ear7xjmlvnv https://streamtape.com/v/Y7GzQwy6QaCvm8z/32148809 https://doodstream.com/d/1siquun9th0l/32148809 (2026) #MILF #BigTits #Hardcore #Bigass #Blowjob #Amateur #RIPNSFW")</f>
        <v>{New} Brandy Renee https://lulustream.com/d/9ear7xjmlvnv https://streamtape.com/v/Y7GzQwy6QaCvm8z/32148809 https://doodstream.com/d/1siquun9th0l/32148809 (2026) #MILF #BigTits #Hardcore #Bigass #Blowjob #Amateur #RIPNSFW</v>
      </c>
      <c r="N261" s="14" t="s">
        <v>999</v>
      </c>
      <c r="O261" s="15" t="s">
        <v>1416</v>
      </c>
      <c r="P261" s="14"/>
      <c r="Q261" s="6"/>
      <c r="R261" s="11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75">
      <c r="A262" s="6" t="s">
        <v>1417</v>
      </c>
      <c r="B262" s="6" t="s">
        <v>14</v>
      </c>
      <c r="C262" s="7" t="str">
        <f t="shared" si="4"/>
        <v xml:space="preserve">Brandy Renee </v>
      </c>
      <c r="D262" s="6" t="s">
        <v>1418</v>
      </c>
      <c r="E262" s="8" t="s">
        <v>1419</v>
      </c>
      <c r="F262" s="9" t="str">
        <f ca="1">IFERROR(__xludf.DUMMYFUNCTION("""https://streamtape.com/v/""&amp;
REGEXEXTRACT(O262,""/thumb/([^/]+)/"")&amp;
""/""&amp;K262"),"https://streamtape.com/v/w7ZRmYzak6FJ11Y/37670419")</f>
        <v>https://streamtape.com/v/w7ZRmYzak6FJ11Y/37670419</v>
      </c>
      <c r="G262" s="10" t="e">
        <f t="shared" ca="1" si="5"/>
        <v>#NAME?</v>
      </c>
      <c r="H262" s="11" t="str">
        <f ca="1">IFERROR(__xludf.DUMMYFUNCTION("IFERROR(SUBSTITUTE(SUBSTITUTE(REGEXEXTRACT(A262, ""[^-]+- [^-]+- [^-]+ - (.+?)\.jpg""), "".jpg"", """"), ""-"", "", ""), """")"),"")</f>
        <v/>
      </c>
      <c r="I262" s="6"/>
      <c r="J262" s="7" t="str">
        <f t="shared" ca="1" si="6"/>
        <v>(2026)</v>
      </c>
      <c r="K262" s="7" t="str">
        <f t="shared" si="7"/>
        <v>37670419</v>
      </c>
      <c r="L262" s="12" t="s">
        <v>1409</v>
      </c>
      <c r="M262" s="13" t="str">
        <f ca="1">IFERROR(__xludf.DUMMYFUNCTION("TRIM(
  REGEXREPLACE(
    TEXTJOIN("" "",
      TRUE,
      B262,
      C262,
      embaralharLinks(E262,F262,G262),
      H262,
      """",
      J262,
      N262,
      ""#RIPNSFW""
    ),
  "",\s*"", "" "")
)"),"{New} Brandy Renee https://streamtape.com/v/w7ZRmYzak6FJ11Y/37670419 https://lulustream.com/d/vt3h5h68re64 https://doodstream.com/d/318bm4klxjth/37670419 (2026) #MILF #BigTits #Hardcore #Bigass #Blowjob #RIPNSFW")</f>
        <v>{New} Brandy Renee https://streamtape.com/v/w7ZRmYzak6FJ11Y/37670419 https://lulustream.com/d/vt3h5h68re64 https://doodstream.com/d/318bm4klxjth/37670419 (2026) #MILF #BigTits #Hardcore #Bigass #Blowjob #RIPNSFW</v>
      </c>
      <c r="N262" s="14" t="s">
        <v>1410</v>
      </c>
      <c r="O262" s="15" t="s">
        <v>1420</v>
      </c>
      <c r="P262" s="14"/>
      <c r="Q262" s="6"/>
      <c r="R262" s="11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75">
      <c r="A263" s="12" t="s">
        <v>1421</v>
      </c>
      <c r="B263" s="6" t="s">
        <v>14</v>
      </c>
      <c r="C263" s="7" t="str">
        <f t="shared" si="4"/>
        <v xml:space="preserve">Brandy Renee </v>
      </c>
      <c r="D263" s="24" t="s">
        <v>1422</v>
      </c>
      <c r="E263" s="25" t="s">
        <v>1423</v>
      </c>
      <c r="F263" s="9" t="str">
        <f ca="1">IFERROR(__xludf.DUMMYFUNCTION("""https://streamtape.com/v/""&amp;
REGEXEXTRACT(O263,""/thumb/([^/]+)/"")&amp;
""/""&amp;K263"),"https://streamtape.com/v/OYrWgJkvV8sZRRg/45062658")</f>
        <v>https://streamtape.com/v/OYrWgJkvV8sZRRg/45062658</v>
      </c>
      <c r="G263" s="10" t="e">
        <f t="shared" ca="1" si="5"/>
        <v>#NAME?</v>
      </c>
      <c r="H263" s="11" t="str">
        <f ca="1">IFERROR(__xludf.DUMMYFUNCTION("IFERROR(SUBSTITUTE(SUBSTITUTE(REGEXEXTRACT(A263, ""[^-]+- [^-]+- [^-]+ - (.+?)\.jpg""), "".jpg"", """"), ""-"", "", ""), """")"),"")</f>
        <v/>
      </c>
      <c r="I263" s="6"/>
      <c r="J263" s="7" t="str">
        <f t="shared" ca="1" si="6"/>
        <v>(2026)</v>
      </c>
      <c r="K263" s="7" t="str">
        <f t="shared" si="7"/>
        <v>45062658</v>
      </c>
      <c r="L263" s="12" t="s">
        <v>1424</v>
      </c>
      <c r="M263" s="13" t="str">
        <f ca="1">IFERROR(__xludf.DUMMYFUNCTION("TRIM(
  REGEXREPLACE(
    TEXTJOIN("" "",
      TRUE,
      B263,
      C263,
      embaralharLinks(E263,F263,G263),
      H263,
      """",
      J263,
      N263,
      ""#RIPNSFW""
    ),
  "",\s*"", "" "")
)"),"{New} Brandy Renee https://lulustream.com/d/i6s4v8tygvi2 https://doodstream.com/d/byi8gz1t1cxl/45062658 https://streamtape.com/v/OYrWgJkvV8sZRRg/45062658 (2026) #milf #bigtits #blowjob #pov #RIPNSFW")</f>
        <v>{New} Brandy Renee https://lulustream.com/d/i6s4v8tygvi2 https://doodstream.com/d/byi8gz1t1cxl/45062658 https://streamtape.com/v/OYrWgJkvV8sZRRg/45062658 (2026) #milf #bigtits #blowjob #pov #RIPNSFW</v>
      </c>
      <c r="N263" s="2" t="s">
        <v>1424</v>
      </c>
      <c r="O263" s="30" t="s">
        <v>1425</v>
      </c>
      <c r="P263" s="26"/>
      <c r="R263" s="23"/>
    </row>
    <row r="264" spans="1:27" ht="12.75">
      <c r="A264" s="6" t="s">
        <v>1426</v>
      </c>
      <c r="B264" s="6" t="s">
        <v>14</v>
      </c>
      <c r="C264" s="7" t="str">
        <f t="shared" si="4"/>
        <v xml:space="preserve">Brandy Renee </v>
      </c>
      <c r="D264" s="6" t="s">
        <v>1427</v>
      </c>
      <c r="E264" s="8" t="s">
        <v>1428</v>
      </c>
      <c r="F264" s="9" t="str">
        <f ca="1">IFERROR(__xludf.DUMMYFUNCTION("""https://streamtape.com/v/""&amp;
REGEXEXTRACT(O264,""/thumb/([^/]+)/"")&amp;
""/""&amp;K264"),"https://streamtape.com/v/ekly0g9rz0IYVK6/50238847")</f>
        <v>https://streamtape.com/v/ekly0g9rz0IYVK6/50238847</v>
      </c>
      <c r="G264" s="10" t="e">
        <f t="shared" ca="1" si="5"/>
        <v>#NAME?</v>
      </c>
      <c r="H264" s="11" t="str">
        <f ca="1">IFERROR(__xludf.DUMMYFUNCTION("IFERROR(SUBSTITUTE(SUBSTITUTE(REGEXEXTRACT(A264, ""[^-]+- [^-]+- [^-]+ - (.+?)\.jpg""), "".jpg"", """"), ""-"", "", ""), """")"),"")</f>
        <v/>
      </c>
      <c r="I264" s="6"/>
      <c r="J264" s="7" t="str">
        <f t="shared" ca="1" si="6"/>
        <v>(2026)</v>
      </c>
      <c r="K264" s="7" t="str">
        <f t="shared" si="7"/>
        <v>50238847</v>
      </c>
      <c r="L264" s="12" t="s">
        <v>1429</v>
      </c>
      <c r="M264" s="13" t="str">
        <f ca="1">IFERROR(__xludf.DUMMYFUNCTION("TRIM(
  REGEXREPLACE(
    TEXTJOIN("" "",
      TRUE,
      B264,
      C264,
      embaralharLinks(E264,F264,G264),
      H264,
      """",
      J264,
      N264,
      ""#RIPNSFW""
    ),
  "",\s*"", "" "")
)"),"{New} Brandy Renee https://doodstream.com/d/6pq1qwb5lbo8/50238847 https://lulustream.com/d/9clpjo1po1uf https://streamtape.com/v/ekly0g9rz0IYVK6/50238847 (2026) #MILF #BigTits #Hardcore #Black #Interracial #Threesome #Bigass #Blowjob #Amateur #Deepthroat "&amp;"#Blonde #Facial #RIPNSFW")</f>
        <v>{New} Brandy Renee https://doodstream.com/d/6pq1qwb5lbo8/50238847 https://lulustream.com/d/9clpjo1po1uf https://streamtape.com/v/ekly0g9rz0IYVK6/50238847 (2026) #MILF #BigTits #Hardcore #Black #Interracial #Threesome #Bigass #Blowjob #Amateur #Deepthroat #Blonde #Facial #RIPNSFW</v>
      </c>
      <c r="N264" s="14" t="s">
        <v>1430</v>
      </c>
      <c r="O264" s="15" t="s">
        <v>1431</v>
      </c>
      <c r="P264" s="14"/>
      <c r="Q264" s="6"/>
      <c r="R264" s="11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75">
      <c r="A265" s="12" t="s">
        <v>1432</v>
      </c>
      <c r="B265" s="6" t="s">
        <v>14</v>
      </c>
      <c r="C265" s="7" t="str">
        <f t="shared" si="4"/>
        <v xml:space="preserve">Brandy Renee </v>
      </c>
      <c r="D265" s="6" t="s">
        <v>1433</v>
      </c>
      <c r="E265" s="8" t="s">
        <v>1434</v>
      </c>
      <c r="F265" s="9" t="str">
        <f ca="1">IFERROR(__xludf.DUMMYFUNCTION("""https://streamtape.com/v/""&amp;
REGEXEXTRACT(O265,""/thumb/([^/]+)/"")&amp;
""/""&amp;K265"),"https://streamtape.com/v/yD0mDLG4yXf1WKJ/51065523")</f>
        <v>https://streamtape.com/v/yD0mDLG4yXf1WKJ/51065523</v>
      </c>
      <c r="G265" s="10" t="e">
        <f t="shared" ca="1" si="5"/>
        <v>#NAME?</v>
      </c>
      <c r="H265" s="11" t="str">
        <f ca="1">IFERROR(__xludf.DUMMYFUNCTION("IFERROR(SUBSTITUTE(SUBSTITUTE(REGEXEXTRACT(A265, ""[^-]+- [^-]+- [^-]+ - (.+?)\.jpg""), "".jpg"", """"), ""-"", "", ""), """")"),"")</f>
        <v/>
      </c>
      <c r="I265" s="6"/>
      <c r="J265" s="7" t="str">
        <f t="shared" ca="1" si="6"/>
        <v>(2026)</v>
      </c>
      <c r="K265" s="7" t="str">
        <f t="shared" si="7"/>
        <v>51065523</v>
      </c>
      <c r="L265" s="12" t="s">
        <v>1435</v>
      </c>
      <c r="M265" s="13" t="str">
        <f ca="1">IFERROR(__xludf.DUMMYFUNCTION("TRIM(
  REGEXREPLACE(
    TEXTJOIN("" "",
      TRUE,
      B265,
      C265,
      embaralharLinks(E265,F265,G265),
      H265,
      """",
      J265,
      N265,
      ""#RIPNSFW""
    ),
  "",\s*"", "" "")
)"),"{New} Brandy Renee https://lulustream.com/d/eiw6j7z5hv2d https://doodstream.com/d/9b84oa2fo50d/51065523 https://streamtape.com/v/yD0mDLG4yXf1WKJ/51065523 (2026) #MILF #BigTits #Creampie #Hardcore #Bigass #RIPNSFW")</f>
        <v>{New} Brandy Renee https://lulustream.com/d/eiw6j7z5hv2d https://doodstream.com/d/9b84oa2fo50d/51065523 https://streamtape.com/v/yD0mDLG4yXf1WKJ/51065523 (2026) #MILF #BigTits #Creampie #Hardcore #Bigass #RIPNSFW</v>
      </c>
      <c r="N265" s="14" t="s">
        <v>1436</v>
      </c>
      <c r="O265" s="15" t="s">
        <v>1437</v>
      </c>
      <c r="P265" s="14"/>
      <c r="Q265" s="6"/>
      <c r="R265" s="11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75">
      <c r="A266" s="12" t="s">
        <v>1438</v>
      </c>
      <c r="B266" s="6"/>
      <c r="C266" s="7" t="str">
        <f t="shared" si="4"/>
        <v xml:space="preserve">Brandy Renee </v>
      </c>
      <c r="D266" s="24" t="s">
        <v>1439</v>
      </c>
      <c r="E266" s="25" t="s">
        <v>1440</v>
      </c>
      <c r="F266" s="9" t="str">
        <f ca="1">IFERROR(__xludf.DUMMYFUNCTION("""https://streamtape.com/v/""&amp;
REGEXEXTRACT(O266,""/thumb/([^/]+)/"")&amp;
""/""&amp;K266"),"https://streamtape.com/v/w4jVLMA4e3uJbRx/52199052")</f>
        <v>https://streamtape.com/v/w4jVLMA4e3uJbRx/52199052</v>
      </c>
      <c r="G266" s="10" t="e">
        <f t="shared" ca="1" si="5"/>
        <v>#NAME?</v>
      </c>
      <c r="H266" s="11" t="str">
        <f ca="1">IFERROR(__xludf.DUMMYFUNCTION("IFERROR(SUBSTITUTE(SUBSTITUTE(REGEXEXTRACT(A266, ""[^-]+- [^-]+- [^-]+ - (.+?)\.jpg""), "".jpg"", """"), ""-"", "", ""), """")"),"")</f>
        <v/>
      </c>
      <c r="I266" s="6"/>
      <c r="J266" s="7" t="str">
        <f t="shared" ca="1" si="6"/>
        <v/>
      </c>
      <c r="K266" s="7" t="str">
        <f t="shared" si="7"/>
        <v>52199052</v>
      </c>
      <c r="L266" s="12" t="s">
        <v>1441</v>
      </c>
      <c r="M266" s="13" t="str">
        <f ca="1">IFERROR(__xludf.DUMMYFUNCTION("TRIM(
  REGEXREPLACE(
    TEXTJOIN("" "",
      TRUE,
      B266,
      C266,
      embaralharLinks(E266,F266,G266),
      H266,
      """",
      J266,
      N266,
      ""#RIPNSFW""
    ),
  "",\s*"", "" "")
)"),"Brandy Renee https://streamtape.com/v/w4jVLMA4e3uJbRx/52199052 https://lulustream.com/d/bt8395vsob57 https://doodstream.com/d/52j1b1z6r1sw/52199052 #blonde #interracial #bigtits #bigass #RIPNSFW")</f>
        <v>Brandy Renee https://streamtape.com/v/w4jVLMA4e3uJbRx/52199052 https://lulustream.com/d/bt8395vsob57 https://doodstream.com/d/52j1b1z6r1sw/52199052 #blonde #interracial #bigtits #bigass #RIPNSFW</v>
      </c>
      <c r="N266" s="2" t="s">
        <v>1441</v>
      </c>
      <c r="O266" s="30" t="s">
        <v>1442</v>
      </c>
      <c r="P266" s="26"/>
      <c r="R266" s="23"/>
      <c r="T266" s="6"/>
      <c r="U266" s="7"/>
    </row>
    <row r="267" spans="1:27" ht="12.75">
      <c r="A267" s="6" t="s">
        <v>1443</v>
      </c>
      <c r="B267" s="6" t="s">
        <v>14</v>
      </c>
      <c r="C267" s="7" t="str">
        <f t="shared" si="4"/>
        <v xml:space="preserve">Brandy Renee </v>
      </c>
      <c r="D267" s="6" t="s">
        <v>1444</v>
      </c>
      <c r="E267" s="8" t="s">
        <v>1445</v>
      </c>
      <c r="F267" s="9" t="str">
        <f ca="1">IFERROR(__xludf.DUMMYFUNCTION("""https://streamtape.com/v/""&amp;
REGEXEXTRACT(O267,""/thumb/([^/]+)/"")&amp;
""/""&amp;K267"),"https://streamtape.com/v/ygQOQv4rAji1VJD/55295743")</f>
        <v>https://streamtape.com/v/ygQOQv4rAji1VJD/55295743</v>
      </c>
      <c r="G267" s="10" t="e">
        <f t="shared" ca="1" si="5"/>
        <v>#NAME?</v>
      </c>
      <c r="H267" s="11" t="str">
        <f ca="1">IFERROR(__xludf.DUMMYFUNCTION("IFERROR(SUBSTITUTE(SUBSTITUTE(REGEXEXTRACT(A267, ""[^-]+- [^-]+- [^-]+ - (.+?)\.jpg""), "".jpg"", """"), ""-"", "", ""), """")"),"")</f>
        <v/>
      </c>
      <c r="I267" s="6"/>
      <c r="J267" s="7" t="str">
        <f t="shared" ca="1" si="6"/>
        <v>(2026)</v>
      </c>
      <c r="K267" s="7" t="str">
        <f t="shared" si="7"/>
        <v>55295743</v>
      </c>
      <c r="L267" s="12" t="s">
        <v>1415</v>
      </c>
      <c r="M267" s="13" t="str">
        <f ca="1">IFERROR(__xludf.DUMMYFUNCTION("TRIM(
  REGEXREPLACE(
    TEXTJOIN("" "",
      TRUE,
      B267,
      C267,
      embaralharLinks(E267,F267,G267),
      H267,
      """",
      J267,
      N267,
      ""#RIPNSFW""
    ),
  "",\s*"", "" "")
)"),"{New} Brandy Renee https://streamtape.com/v/ygQOQv4rAji1VJD/55295743 https://lulustream.com/d/264lrcjonqw6 https://doodstream.com/d/eua0jpktqg4v/55295743 (2026) #MILF #BigTits #Hardcore #Bigass #Blowjob #Amateur #RIPNSFW")</f>
        <v>{New} Brandy Renee https://streamtape.com/v/ygQOQv4rAji1VJD/55295743 https://lulustream.com/d/264lrcjonqw6 https://doodstream.com/d/eua0jpktqg4v/55295743 (2026) #MILF #BigTits #Hardcore #Bigass #Blowjob #Amateur #RIPNSFW</v>
      </c>
      <c r="N267" s="14" t="s">
        <v>999</v>
      </c>
      <c r="O267" s="15" t="s">
        <v>1446</v>
      </c>
      <c r="P267" s="14"/>
      <c r="Q267" s="6"/>
      <c r="R267" s="11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75">
      <c r="A268" s="6" t="s">
        <v>1447</v>
      </c>
      <c r="B268" s="6" t="s">
        <v>14</v>
      </c>
      <c r="C268" s="7" t="str">
        <f t="shared" si="4"/>
        <v xml:space="preserve">Brandy Renee </v>
      </c>
      <c r="D268" s="6" t="s">
        <v>1448</v>
      </c>
      <c r="E268" s="8" t="s">
        <v>1449</v>
      </c>
      <c r="F268" s="9" t="str">
        <f ca="1">IFERROR(__xludf.DUMMYFUNCTION("""https://streamtape.com/v/""&amp;
REGEXEXTRACT(O268,""/thumb/([^/]+)/"")&amp;
""/""&amp;K268"),"https://streamtape.com/v/K9yrJrRJJ8H06Gd/56174489")</f>
        <v>https://streamtape.com/v/K9yrJrRJJ8H06Gd/56174489</v>
      </c>
      <c r="G268" s="10" t="e">
        <f t="shared" ca="1" si="5"/>
        <v>#NAME?</v>
      </c>
      <c r="H268" s="11" t="str">
        <f ca="1">IFERROR(__xludf.DUMMYFUNCTION("IFERROR(SUBSTITUTE(SUBSTITUTE(REGEXEXTRACT(A268, ""[^-]+- [^-]+- [^-]+ - (.+?)\.jpg""), "".jpg"", """"), ""-"", "", ""), """")"),"")</f>
        <v/>
      </c>
      <c r="I268" s="6"/>
      <c r="J268" s="7" t="str">
        <f t="shared" ca="1" si="6"/>
        <v>(2026)</v>
      </c>
      <c r="K268" s="7" t="str">
        <f t="shared" si="7"/>
        <v>56174489</v>
      </c>
      <c r="L268" s="12" t="s">
        <v>1450</v>
      </c>
      <c r="M268" s="13" t="str">
        <f ca="1">IFERROR(__xludf.DUMMYFUNCTION("TRIM(
  REGEXREPLACE(
    TEXTJOIN("" "",
      TRUE,
      B268,
      C268,
      embaralharLinks(E268,F268,G268),
      H268,
      """",
      J268,
      N268,
      ""#RIPNSFW""
    ),
  "",\s*"", "" "")
)"),"{New} Brandy Renee https://streamtape.com/v/K9yrJrRJJ8H06Gd/56174489 https://doodstream.com/d/jgzmf2bfze7t/56174489 https://lulustream.com/d/9krbct3dqohz (2026) #MILF #BigTits #Hardcore #Bigass #Roleplay #Blowjob #Amateur #Blonde #Facial #RIPNSFW")</f>
        <v>{New} Brandy Renee https://streamtape.com/v/K9yrJrRJJ8H06Gd/56174489 https://doodstream.com/d/jgzmf2bfze7t/56174489 https://lulustream.com/d/9krbct3dqohz (2026) #MILF #BigTits #Hardcore #Bigass #Roleplay #Blowjob #Amateur #Blonde #Facial #RIPNSFW</v>
      </c>
      <c r="N268" s="14" t="s">
        <v>1451</v>
      </c>
      <c r="O268" s="15" t="s">
        <v>1452</v>
      </c>
      <c r="P268" s="14"/>
      <c r="Q268" s="6"/>
      <c r="R268" s="11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75">
      <c r="A269" s="6" t="s">
        <v>1453</v>
      </c>
      <c r="B269" s="6" t="s">
        <v>14</v>
      </c>
      <c r="C269" s="7" t="str">
        <f t="shared" si="4"/>
        <v xml:space="preserve">Brandy Renee </v>
      </c>
      <c r="D269" s="6" t="s">
        <v>1454</v>
      </c>
      <c r="E269" s="8" t="s">
        <v>1455</v>
      </c>
      <c r="F269" s="9" t="str">
        <f ca="1">IFERROR(__xludf.DUMMYFUNCTION("""https://streamtape.com/v/""&amp;
REGEXEXTRACT(O269,""/thumb/([^/]+)/"")&amp;
""/""&amp;K269"),"https://streamtape.com/v/ldVoXGxlkdComk/60513733")</f>
        <v>https://streamtape.com/v/ldVoXGxlkdComk/60513733</v>
      </c>
      <c r="G269" s="10" t="e">
        <f t="shared" ca="1" si="5"/>
        <v>#NAME?</v>
      </c>
      <c r="H269" s="11" t="str">
        <f ca="1">IFERROR(__xludf.DUMMYFUNCTION("IFERROR(SUBSTITUTE(SUBSTITUTE(REGEXEXTRACT(A269, ""[^-]+- [^-]+- [^-]+ - (.+?)\.jpg""), "".jpg"", """"), ""-"", "", ""), """")"),"")</f>
        <v/>
      </c>
      <c r="I269" s="6"/>
      <c r="J269" s="7" t="str">
        <f t="shared" ca="1" si="6"/>
        <v>(2026)</v>
      </c>
      <c r="K269" s="7" t="str">
        <f t="shared" si="7"/>
        <v>60513733</v>
      </c>
      <c r="L269" s="12" t="s">
        <v>1456</v>
      </c>
      <c r="M269" s="13" t="str">
        <f ca="1">IFERROR(__xludf.DUMMYFUNCTION("TRIM(
  REGEXREPLACE(
    TEXTJOIN("" "",
      TRUE,
      B269,
      C269,
      embaralharLinks(E269,F269,G269),
      H269,
      """",
      J269,
      N269,
      ""#RIPNSFW""
    ),
  "",\s*"", "" "")
)"),"{New} Brandy Renee https://streamtape.com/v/ldVoXGxlkdComk/60513733 https://doodstream.com/d/df2tlsfghapl/60513733 https://lulustream.com/d/cqs5v75h2pzg (2026) #MILF #BigTits #Hardcore #Creampie #RIPNSFW")</f>
        <v>{New} Brandy Renee https://streamtape.com/v/ldVoXGxlkdComk/60513733 https://doodstream.com/d/df2tlsfghapl/60513733 https://lulustream.com/d/cqs5v75h2pzg (2026) #MILF #BigTits #Hardcore #Creampie #RIPNSFW</v>
      </c>
      <c r="N269" s="14" t="s">
        <v>1457</v>
      </c>
      <c r="O269" s="15" t="s">
        <v>1458</v>
      </c>
      <c r="P269" s="14"/>
      <c r="Q269" s="6"/>
      <c r="R269" s="11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75">
      <c r="A270" s="12" t="s">
        <v>1459</v>
      </c>
      <c r="B270" s="6" t="s">
        <v>14</v>
      </c>
      <c r="C270" s="7" t="str">
        <f t="shared" si="4"/>
        <v xml:space="preserve">Brandy Renee </v>
      </c>
      <c r="D270" s="24" t="s">
        <v>1460</v>
      </c>
      <c r="E270" s="25" t="s">
        <v>1461</v>
      </c>
      <c r="F270" s="9" t="str">
        <f ca="1">IFERROR(__xludf.DUMMYFUNCTION("""https://streamtape.com/v/""&amp;
REGEXEXTRACT(O270,""/thumb/([^/]+)/"")&amp;
""/""&amp;K270"),"https://streamtape.com/v/r3qkPm44BYubVvD/61045229")</f>
        <v>https://streamtape.com/v/r3qkPm44BYubVvD/61045229</v>
      </c>
      <c r="G270" s="10" t="e">
        <f t="shared" ca="1" si="5"/>
        <v>#NAME?</v>
      </c>
      <c r="H270" s="11" t="str">
        <f ca="1">IFERROR(__xludf.DUMMYFUNCTION("IFERROR(SUBSTITUTE(SUBSTITUTE(REGEXEXTRACT(A270, ""[^-]+- [^-]+- [^-]+ - (.+?)\.jpg""), "".jpg"", """"), ""-"", "", ""), """")"),"")</f>
        <v/>
      </c>
      <c r="I270" s="6"/>
      <c r="J270" s="7" t="str">
        <f t="shared" ca="1" si="6"/>
        <v>(2026)</v>
      </c>
      <c r="K270" s="7" t="str">
        <f t="shared" si="7"/>
        <v>61045229</v>
      </c>
      <c r="L270" s="12" t="s">
        <v>1462</v>
      </c>
      <c r="M270" s="13" t="str">
        <f ca="1">IFERROR(__xludf.DUMMYFUNCTION("TRIM(
  REGEXREPLACE(
    TEXTJOIN("" "",
      TRUE,
      B270,
      C270,
      embaralharLinks(E270,F270,G270),
      H270,
      """",
      J270,
      N270,
      ""#RIPNSFW""
    ),
  "",\s*"", "" "")
)"),"{New} Brandy Renee https://doodstream.com/d/0f7a0vhs78lr/61045229 https://streamtape.com/v/r3qkPm44BYubVvD/61045229 https://lulustream.com/d/d7gzwvzt9xhb (2026) #milf #bigtits #bigass #blowjob #RIPNSFW")</f>
        <v>{New} Brandy Renee https://doodstream.com/d/0f7a0vhs78lr/61045229 https://streamtape.com/v/r3qkPm44BYubVvD/61045229 https://lulustream.com/d/d7gzwvzt9xhb (2026) #milf #bigtits #bigass #blowjob #RIPNSFW</v>
      </c>
      <c r="N270" s="2" t="s">
        <v>1462</v>
      </c>
      <c r="O270" s="30" t="s">
        <v>1463</v>
      </c>
      <c r="P270" s="26"/>
      <c r="R270" s="23"/>
      <c r="T270" s="6"/>
      <c r="U270" s="7"/>
    </row>
    <row r="271" spans="1:27" ht="12.75">
      <c r="A271" s="6" t="s">
        <v>1464</v>
      </c>
      <c r="B271" s="6" t="s">
        <v>14</v>
      </c>
      <c r="C271" s="7" t="str">
        <f t="shared" si="4"/>
        <v xml:space="preserve">Brandy Renee </v>
      </c>
      <c r="D271" s="6" t="s">
        <v>1465</v>
      </c>
      <c r="E271" s="8" t="s">
        <v>1466</v>
      </c>
      <c r="F271" s="9" t="str">
        <f ca="1">IFERROR(__xludf.DUMMYFUNCTION("""https://streamtape.com/v/""&amp;
REGEXEXTRACT(O271,""/thumb/([^/]+)/"")&amp;
""/""&amp;K271"),"https://streamtape.com/v/2WlQplAm7lSZOd6/68971068")</f>
        <v>https://streamtape.com/v/2WlQplAm7lSZOd6/68971068</v>
      </c>
      <c r="G271" s="10" t="e">
        <f t="shared" ca="1" si="5"/>
        <v>#NAME?</v>
      </c>
      <c r="H271" s="11" t="str">
        <f ca="1">IFERROR(__xludf.DUMMYFUNCTION("IFERROR(SUBSTITUTE(SUBSTITUTE(REGEXEXTRACT(A271, ""[^-]+- [^-]+- [^-]+ - (.+?)\.jpg""), "".jpg"", """"), ""-"", "", ""), """")"),"")</f>
        <v/>
      </c>
      <c r="I271" s="6"/>
      <c r="J271" s="7" t="str">
        <f t="shared" ca="1" si="6"/>
        <v>(2026)</v>
      </c>
      <c r="K271" s="7" t="str">
        <f t="shared" si="7"/>
        <v>68971068</v>
      </c>
      <c r="L271" s="12" t="s">
        <v>1467</v>
      </c>
      <c r="M271" s="13" t="str">
        <f ca="1">IFERROR(__xludf.DUMMYFUNCTION("TRIM(
  REGEXREPLACE(
    TEXTJOIN("" "",
      TRUE,
      B271,
      C271,
      embaralharLinks(E271,F271,G271),
      H271,
      """",
      J271,
      N271,
      ""#RIPNSFW""
    ),
  "",\s*"", "" "")
)"),"{New} Brandy Renee https://doodstream.com/d/9f5fhgyhdu8g/68971068 https://lulustream.com/d/3vwv0xytpts8 https://streamtape.com/v/2WlQplAm7lSZOd6/68971068 (2026) #MILF #BigTits #Hardcore #Bigass #Blowjob #Blonde #Facial #RIPNSFW")</f>
        <v>{New} Brandy Renee https://doodstream.com/d/9f5fhgyhdu8g/68971068 https://lulustream.com/d/3vwv0xytpts8 https://streamtape.com/v/2WlQplAm7lSZOd6/68971068 (2026) #MILF #BigTits #Hardcore #Bigass #Blowjob #Blonde #Facial #RIPNSFW</v>
      </c>
      <c r="N271" s="14" t="s">
        <v>1468</v>
      </c>
      <c r="O271" s="15" t="s">
        <v>1469</v>
      </c>
      <c r="P271" s="14"/>
      <c r="Q271" s="6"/>
      <c r="R271" s="11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75">
      <c r="A272" s="6" t="s">
        <v>1470</v>
      </c>
      <c r="B272" s="6" t="s">
        <v>14</v>
      </c>
      <c r="C272" s="7" t="str">
        <f t="shared" si="4"/>
        <v xml:space="preserve">Brandy Renee </v>
      </c>
      <c r="D272" s="6" t="s">
        <v>1471</v>
      </c>
      <c r="E272" s="8" t="s">
        <v>1472</v>
      </c>
      <c r="F272" s="9" t="str">
        <f ca="1">IFERROR(__xludf.DUMMYFUNCTION("""https://streamtape.com/v/""&amp;
REGEXEXTRACT(O272,""/thumb/([^/]+)/"")&amp;
""/""&amp;K272"),"https://streamtape.com/v/28OrwKwX1ruZrYB/69855289")</f>
        <v>https://streamtape.com/v/28OrwKwX1ruZrYB/69855289</v>
      </c>
      <c r="G272" s="10" t="e">
        <f t="shared" ca="1" si="5"/>
        <v>#NAME?</v>
      </c>
      <c r="H272" s="11" t="str">
        <f ca="1">IFERROR(__xludf.DUMMYFUNCTION("IFERROR(SUBSTITUTE(SUBSTITUTE(REGEXEXTRACT(A272, ""[^-]+- [^-]+- [^-]+ - (.+?)\.jpg""), "".jpg"", """"), ""-"", "", ""), """")"),"")</f>
        <v/>
      </c>
      <c r="I272" s="6"/>
      <c r="J272" s="7" t="str">
        <f t="shared" ca="1" si="6"/>
        <v>(2026)</v>
      </c>
      <c r="K272" s="7" t="str">
        <f t="shared" si="7"/>
        <v>69855289</v>
      </c>
      <c r="L272" s="12" t="s">
        <v>1473</v>
      </c>
      <c r="M272" s="13" t="str">
        <f ca="1">IFERROR(__xludf.DUMMYFUNCTION("TRIM(
  REGEXREPLACE(
    TEXTJOIN("" "",
      TRUE,
      B272,
      C272,
      embaralharLinks(E272,F272,G272),
      H272,
      """",
      J272,
      N272,
      ""#RIPNSFW""
    ),
  "",\s*"", "" "")
)"),"{New} Brandy Renee https://streamtape.com/v/28OrwKwX1ruZrYB/69855289 https://lulustream.com/d/6dv91pfoqz0u https://doodstream.com/d/qh9fsxzzxovo/69855289 (2026) #MILF #BigTits #Hardcore #Bigass #RIPNSFW")</f>
        <v>{New} Brandy Renee https://streamtape.com/v/28OrwKwX1ruZrYB/69855289 https://lulustream.com/d/6dv91pfoqz0u https://doodstream.com/d/qh9fsxzzxovo/69855289 (2026) #MILF #BigTits #Hardcore #Bigass #RIPNSFW</v>
      </c>
      <c r="N272" s="14" t="s">
        <v>128</v>
      </c>
      <c r="O272" s="15" t="s">
        <v>1474</v>
      </c>
      <c r="P272" s="14"/>
      <c r="Q272" s="6"/>
      <c r="R272" s="11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75">
      <c r="A273" s="6" t="s">
        <v>1475</v>
      </c>
      <c r="B273" s="6" t="s">
        <v>14</v>
      </c>
      <c r="C273" s="7" t="str">
        <f t="shared" si="4"/>
        <v xml:space="preserve">Brandy Renee </v>
      </c>
      <c r="D273" s="24" t="s">
        <v>1476</v>
      </c>
      <c r="E273" s="25" t="s">
        <v>1477</v>
      </c>
      <c r="F273" s="9" t="str">
        <f ca="1">IFERROR(__xludf.DUMMYFUNCTION("""https://streamtape.com/v/""&amp;
REGEXEXTRACT(O273,""/thumb/([^/]+)/"")&amp;
""/""&amp;K273"),"https://streamtape.com/v/zPop1OWeL7uYZP6/69962852")</f>
        <v>https://streamtape.com/v/zPop1OWeL7uYZP6/69962852</v>
      </c>
      <c r="G273" s="10" t="e">
        <f t="shared" ca="1" si="5"/>
        <v>#NAME?</v>
      </c>
      <c r="H273" s="11" t="str">
        <f ca="1">IFERROR(__xludf.DUMMYFUNCTION("IFERROR(SUBSTITUTE(SUBSTITUTE(REGEXEXTRACT(A273, ""[^-]+- [^-]+- [^-]+ - (.+?)\.jpg""), "".jpg"", """"), ""-"", "", ""), """")"),"")</f>
        <v/>
      </c>
      <c r="I273" s="6"/>
      <c r="J273" s="7" t="str">
        <f t="shared" ca="1" si="6"/>
        <v>(2026)</v>
      </c>
      <c r="K273" s="7" t="str">
        <f t="shared" si="7"/>
        <v>69962852</v>
      </c>
      <c r="L273" s="12" t="s">
        <v>1478</v>
      </c>
      <c r="M273" s="13" t="str">
        <f ca="1">IFERROR(__xludf.DUMMYFUNCTION("TRIM(
  REGEXREPLACE(
    TEXTJOIN("" "",
      TRUE,
      B273,
      C273,
      embaralharLinks(E273,F273,G273),
      H273,
      """",
      J273,
      N273,
      ""#RIPNSFW""
    ),
  "",\s*"", "" "")
)"),"{New} Brandy Renee https://doodstream.com/d/hrj932r6g7cv/69962852 https://streamtape.com/v/zPop1OWeL7uYZP6/69962852 https://lulustream.com/d/4487s2hmp8ka (2026) #milf #blowjob #bigtits #bigass #RIPNSFW")</f>
        <v>{New} Brandy Renee https://doodstream.com/d/hrj932r6g7cv/69962852 https://streamtape.com/v/zPop1OWeL7uYZP6/69962852 https://lulustream.com/d/4487s2hmp8ka (2026) #milf #blowjob #bigtits #bigass #RIPNSFW</v>
      </c>
      <c r="N273" s="31" t="s">
        <v>1478</v>
      </c>
      <c r="O273" s="32" t="s">
        <v>1479</v>
      </c>
      <c r="P273" s="26"/>
      <c r="Q273" s="6"/>
      <c r="R273" s="11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75">
      <c r="A274" s="12" t="s">
        <v>1480</v>
      </c>
      <c r="B274" s="6" t="s">
        <v>14</v>
      </c>
      <c r="C274" s="7" t="str">
        <f t="shared" si="4"/>
        <v xml:space="preserve">Brandy Renee </v>
      </c>
      <c r="D274" s="24" t="s">
        <v>1481</v>
      </c>
      <c r="E274" s="25" t="s">
        <v>1482</v>
      </c>
      <c r="F274" s="9" t="str">
        <f ca="1">IFERROR(__xludf.DUMMYFUNCTION("""https://streamtape.com/v/""&amp;
REGEXEXTRACT(O274,""/thumb/([^/]+)/"")&amp;
""/""&amp;K274"),"https://streamtape.com/v/GAy62qX6MDToGB/70980059")</f>
        <v>https://streamtape.com/v/GAy62qX6MDToGB/70980059</v>
      </c>
      <c r="G274" s="10" t="e">
        <f t="shared" ca="1" si="5"/>
        <v>#NAME?</v>
      </c>
      <c r="H274" s="11" t="str">
        <f ca="1">IFERROR(__xludf.DUMMYFUNCTION("IFERROR(SUBSTITUTE(SUBSTITUTE(REGEXEXTRACT(A274, ""[^-]+- [^-]+- [^-]+ - (.+?)\.jpg""), "".jpg"", """"), ""-"", "", ""), """")"),"")</f>
        <v/>
      </c>
      <c r="I274" s="6"/>
      <c r="J274" s="7" t="str">
        <f t="shared" ca="1" si="6"/>
        <v>(2026)</v>
      </c>
      <c r="K274" s="7" t="str">
        <f t="shared" si="7"/>
        <v>70980059</v>
      </c>
      <c r="L274" s="12" t="s">
        <v>1398</v>
      </c>
      <c r="M274" s="13" t="str">
        <f ca="1">IFERROR(__xludf.DUMMYFUNCTION("TRIM(
  REGEXREPLACE(
    TEXTJOIN("" "",
      TRUE,
      B274,
      C274,
      embaralharLinks(E274,F274,G274),
      H274,
      """",
      J274,
      N274,
      ""#RIPNSFW""
    ),
  "",\s*"", "" "")
)"),"{New} Brandy Renee https://lulustream.com/d/y2cxax53k1y5 https://doodstream.com/d/65l86lcnuepl/70980059 https://streamtape.com/v/GAy62qX6MDToGB/70980059 (2026) #milf #bigtits #blowjob #amateur #RIPNSFW")</f>
        <v>{New} Brandy Renee https://lulustream.com/d/y2cxax53k1y5 https://doodstream.com/d/65l86lcnuepl/70980059 https://streamtape.com/v/GAy62qX6MDToGB/70980059 (2026) #milf #bigtits #blowjob #amateur #RIPNSFW</v>
      </c>
      <c r="N274" s="2" t="s">
        <v>1398</v>
      </c>
      <c r="O274" s="30" t="s">
        <v>1483</v>
      </c>
      <c r="P274" s="26"/>
      <c r="R274" s="23"/>
      <c r="T274" s="6"/>
      <c r="U274" s="7"/>
      <c r="Z274" s="12"/>
      <c r="AA274" s="12"/>
    </row>
    <row r="275" spans="1:27" ht="12.75">
      <c r="A275" s="6" t="s">
        <v>1484</v>
      </c>
      <c r="B275" s="6" t="s">
        <v>14</v>
      </c>
      <c r="C275" s="7" t="str">
        <f t="shared" si="4"/>
        <v xml:space="preserve">Brandy Renee </v>
      </c>
      <c r="D275" s="6" t="s">
        <v>1485</v>
      </c>
      <c r="E275" s="8" t="s">
        <v>1486</v>
      </c>
      <c r="F275" s="9" t="str">
        <f ca="1">IFERROR(__xludf.DUMMYFUNCTION("""https://streamtape.com/v/""&amp;
REGEXEXTRACT(O275,""/thumb/([^/]+)/"")&amp;
""/""&amp;K275"),"https://streamtape.com/v/kLV2JzbBy7uOv68/84414486")</f>
        <v>https://streamtape.com/v/kLV2JzbBy7uOv68/84414486</v>
      </c>
      <c r="G275" s="10" t="e">
        <f t="shared" ca="1" si="5"/>
        <v>#NAME?</v>
      </c>
      <c r="H275" s="11" t="str">
        <f ca="1">IFERROR(__xludf.DUMMYFUNCTION("IFERROR(SUBSTITUTE(SUBSTITUTE(REGEXEXTRACT(A275, ""[^-]+- [^-]+- [^-]+ - (.+?)\.jpg""), "".jpg"", """"), ""-"", "", ""), """")"),"")</f>
        <v/>
      </c>
      <c r="I275" s="6"/>
      <c r="J275" s="7" t="str">
        <f t="shared" ca="1" si="6"/>
        <v>(2026)</v>
      </c>
      <c r="K275" s="7" t="str">
        <f t="shared" si="7"/>
        <v>84414486</v>
      </c>
      <c r="L275" s="12" t="s">
        <v>1487</v>
      </c>
      <c r="M275" s="13" t="str">
        <f ca="1">IFERROR(__xludf.DUMMYFUNCTION("TRIM(
  REGEXREPLACE(
    TEXTJOIN("" "",
      TRUE,
      B275,
      C275,
      embaralharLinks(E275,F275,G275),
      H275,
      """",
      J275,
      N275,
      ""#RIPNSFW""
    ),
  "",\s*"", "" "")
)"),"{New} Brandy Renee https://doodstream.com/d/urpn9viyjhbo/84414486 https://lulustream.com/d/vb3nmloo07gj https://streamtape.com/v/kLV2JzbBy7uOv68/84414486 (2026) #Anal #MILF #BigTits #Creampie #Hardcore #Bigass #Artporn #Blowjob #Amateur #Blonde #RIPNSFW")</f>
        <v>{New} Brandy Renee https://doodstream.com/d/urpn9viyjhbo/84414486 https://lulustream.com/d/vb3nmloo07gj https://streamtape.com/v/kLV2JzbBy7uOv68/84414486 (2026) #Anal #MILF #BigTits #Creampie #Hardcore #Bigass #Artporn #Blowjob #Amateur #Blonde #RIPNSFW</v>
      </c>
      <c r="N275" s="14" t="s">
        <v>1488</v>
      </c>
      <c r="O275" s="15" t="s">
        <v>1489</v>
      </c>
      <c r="P275" s="14"/>
      <c r="Q275" s="6"/>
      <c r="R275" s="11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75">
      <c r="A276" s="6" t="s">
        <v>1490</v>
      </c>
      <c r="B276" s="6" t="s">
        <v>14</v>
      </c>
      <c r="C276" s="7" t="str">
        <f t="shared" si="4"/>
        <v xml:space="preserve">Brandy Renee </v>
      </c>
      <c r="D276" s="29" t="s">
        <v>1491</v>
      </c>
      <c r="E276" s="8" t="s">
        <v>1492</v>
      </c>
      <c r="F276" s="9" t="str">
        <f ca="1">IFERROR(__xludf.DUMMYFUNCTION("""https://streamtape.com/v/""&amp;
REGEXEXTRACT(O276,""/thumb/([^/]+)/"")&amp;
""/""&amp;K276"),"https://streamtape.com/v/7zVjgK3daWFAqga/90479935")</f>
        <v>https://streamtape.com/v/7zVjgK3daWFAqga/90479935</v>
      </c>
      <c r="G276" s="10" t="e">
        <f t="shared" ca="1" si="5"/>
        <v>#NAME?</v>
      </c>
      <c r="H276" s="11" t="str">
        <f ca="1">IFERROR(__xludf.DUMMYFUNCTION("IFERROR(SUBSTITUTE(SUBSTITUTE(REGEXEXTRACT(A276, ""[^-]+- [^-]+- [^-]+ - (.+?)\.jpg""), "".jpg"", """"), ""-"", "", ""), """")"),"")</f>
        <v/>
      </c>
      <c r="I276" s="6"/>
      <c r="J276" s="7" t="str">
        <f t="shared" ca="1" si="6"/>
        <v>(2026)</v>
      </c>
      <c r="K276" s="7" t="str">
        <f t="shared" si="7"/>
        <v>90479935</v>
      </c>
      <c r="L276" s="12" t="s">
        <v>1309</v>
      </c>
      <c r="M276" s="13" t="str">
        <f ca="1">IFERROR(__xludf.DUMMYFUNCTION("TRIM(
  REGEXREPLACE(
    TEXTJOIN("" "",
      TRUE,
      B276,
      C276,
      embaralharLinks(E276,F276,G276),
      H276,
      """",
      J276,
      N276,
      ""#RIPNSFW""
    ),
  "",\s*"", "" "")
)"),"{New} Brandy Renee https://lulustream.com/d/lgr6wpjqb6ty https://streamtape.com/v/7zVjgK3daWFAqga/90479935 https://doodstream.com/d/0ezlfpi0hhch/90479935 (2026) #MILF #BigTits #Creampie #Hardcore #Bigass #RIPNSFW")</f>
        <v>{New} Brandy Renee https://lulustream.com/d/lgr6wpjqb6ty https://streamtape.com/v/7zVjgK3daWFAqga/90479935 https://doodstream.com/d/0ezlfpi0hhch/90479935 (2026) #MILF #BigTits #Creampie #Hardcore #Bigass #RIPNSFW</v>
      </c>
      <c r="N276" s="14" t="s">
        <v>1436</v>
      </c>
      <c r="O276" s="32" t="s">
        <v>1493</v>
      </c>
      <c r="P276" s="14"/>
      <c r="Q276" s="6"/>
      <c r="R276" s="11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75">
      <c r="A277" s="6" t="s">
        <v>1494</v>
      </c>
      <c r="B277" s="6" t="s">
        <v>14</v>
      </c>
      <c r="C277" s="7" t="str">
        <f t="shared" si="4"/>
        <v xml:space="preserve">Brandy Renee </v>
      </c>
      <c r="D277" s="6" t="s">
        <v>1495</v>
      </c>
      <c r="E277" s="8" t="s">
        <v>1496</v>
      </c>
      <c r="F277" s="9" t="str">
        <f ca="1">IFERROR(__xludf.DUMMYFUNCTION("""https://streamtape.com/v/""&amp;
REGEXEXTRACT(O277,""/thumb/([^/]+)/"")&amp;
""/""&amp;K277"),"https://streamtape.com/v/w7pJ00pr46foww/92475213")</f>
        <v>https://streamtape.com/v/w7pJ00pr46foww/92475213</v>
      </c>
      <c r="G277" s="10" t="e">
        <f t="shared" ca="1" si="5"/>
        <v>#NAME?</v>
      </c>
      <c r="H277" s="11" t="str">
        <f ca="1">IFERROR(__xludf.DUMMYFUNCTION("IFERROR(SUBSTITUTE(SUBSTITUTE(REGEXEXTRACT(A277, ""[^-]+- [^-]+- [^-]+ - (.+?)\.jpg""), "".jpg"", """"), ""-"", "", ""), """")"),"")</f>
        <v/>
      </c>
      <c r="I277" s="6"/>
      <c r="J277" s="7" t="str">
        <f t="shared" ca="1" si="6"/>
        <v>(2026)</v>
      </c>
      <c r="K277" s="7" t="str">
        <f t="shared" si="7"/>
        <v>92475213</v>
      </c>
      <c r="L277" s="12" t="s">
        <v>1252</v>
      </c>
      <c r="M277" s="13" t="str">
        <f ca="1">IFERROR(__xludf.DUMMYFUNCTION("TRIM(
  REGEXREPLACE(
    TEXTJOIN("" "",
      TRUE,
      B277,
      C277,
      embaralharLinks(E277,F277,G277),
      H277,
      """",
      J277,
      N277,
      ""#RIPNSFW""
    ),
  "",\s*"", "" "")
)"),"{New} Brandy Renee https://doodstream.com/d/u1pk9b2lbesl/92475213 https://lulustream.com/d/inyufpe2x7d7 https://streamtape.com/v/w7pJ00pr46foww/92475213 (2026) #MILF #BigTits #Hardcore #Bigass #Blowjob #RIPNSFW")</f>
        <v>{New} Brandy Renee https://doodstream.com/d/u1pk9b2lbesl/92475213 https://lulustream.com/d/inyufpe2x7d7 https://streamtape.com/v/w7pJ00pr46foww/92475213 (2026) #MILF #BigTits #Hardcore #Bigass #Blowjob #RIPNSFW</v>
      </c>
      <c r="N277" s="14" t="s">
        <v>1410</v>
      </c>
      <c r="O277" s="15" t="s">
        <v>1497</v>
      </c>
      <c r="P277" s="14"/>
      <c r="Q277" s="6"/>
      <c r="R277" s="11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75">
      <c r="A278" s="6" t="s">
        <v>1498</v>
      </c>
      <c r="B278" s="6" t="s">
        <v>14</v>
      </c>
      <c r="C278" s="7" t="str">
        <f t="shared" si="4"/>
        <v xml:space="preserve">Brandy Renee </v>
      </c>
      <c r="D278" s="6" t="s">
        <v>1499</v>
      </c>
      <c r="E278" s="8" t="s">
        <v>1500</v>
      </c>
      <c r="F278" s="9" t="str">
        <f ca="1">IFERROR(__xludf.DUMMYFUNCTION("""https://streamtape.com/v/""&amp;
REGEXEXTRACT(O278,""/thumb/([^/]+)/"")&amp;
""/""&amp;K278"),"https://streamtape.com/v/R41JRAooABsdbdA/96226505")</f>
        <v>https://streamtape.com/v/R41JRAooABsdbdA/96226505</v>
      </c>
      <c r="G278" s="10" t="e">
        <f t="shared" ca="1" si="5"/>
        <v>#NAME?</v>
      </c>
      <c r="H278" s="11" t="str">
        <f ca="1">IFERROR(__xludf.DUMMYFUNCTION("IFERROR(SUBSTITUTE(SUBSTITUTE(REGEXEXTRACT(A278, ""[^-]+- [^-]+- [^-]+ - (.+?)\.jpg""), "".jpg"", """"), ""-"", "", ""), """")"),"")</f>
        <v/>
      </c>
      <c r="I278" s="6"/>
      <c r="J278" s="7" t="str">
        <f t="shared" ca="1" si="6"/>
        <v>(2026)</v>
      </c>
      <c r="K278" s="7" t="str">
        <f t="shared" si="7"/>
        <v>96226505</v>
      </c>
      <c r="L278" s="12" t="s">
        <v>1409</v>
      </c>
      <c r="M278" s="13" t="str">
        <f ca="1">IFERROR(__xludf.DUMMYFUNCTION("TRIM(
  REGEXREPLACE(
    TEXTJOIN("" "",
      TRUE,
      B278,
      C278,
      embaralharLinks(E278,F278,G278),
      H278,
      """",
      J278,
      N278,
      ""#RIPNSFW""
    ),
  "",\s*"", "" "")
)"),"{New} Brandy Renee https://streamtape.com/v/R41JRAooABsdbdA/96226505 https://doodstream.com/d/soiv77xbvkr3/96226505 https://lulustream.com/d/oekuwoq8n92t (2026) #MILF #BigTits #Hardcore #Bigass #RIPNSFW")</f>
        <v>{New} Brandy Renee https://streamtape.com/v/R41JRAooABsdbdA/96226505 https://doodstream.com/d/soiv77xbvkr3/96226505 https://lulustream.com/d/oekuwoq8n92t (2026) #MILF #BigTits #Hardcore #Bigass #RIPNSFW</v>
      </c>
      <c r="N278" s="14" t="s">
        <v>128</v>
      </c>
      <c r="O278" s="15" t="s">
        <v>1501</v>
      </c>
      <c r="P278" s="14"/>
      <c r="Q278" s="6"/>
      <c r="R278" s="11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75">
      <c r="A279" s="6" t="s">
        <v>1502</v>
      </c>
      <c r="B279" s="6" t="s">
        <v>14</v>
      </c>
      <c r="C279" s="7" t="str">
        <f t="shared" si="4"/>
        <v xml:space="preserve">Brandy Renee </v>
      </c>
      <c r="D279" s="6" t="s">
        <v>1503</v>
      </c>
      <c r="E279" s="8" t="s">
        <v>1504</v>
      </c>
      <c r="F279" s="9" t="str">
        <f ca="1">IFERROR(__xludf.DUMMYFUNCTION("""https://streamtape.com/v/""&amp;
REGEXEXTRACT(O279,""/thumb/([^/]+)/"")&amp;
""/""&amp;K279"),"https://streamtape.com/v/zlZP4XlRYVHYlj2/97559228")</f>
        <v>https://streamtape.com/v/zlZP4XlRYVHYlj2/97559228</v>
      </c>
      <c r="G279" s="10" t="e">
        <f t="shared" ca="1" si="5"/>
        <v>#NAME?</v>
      </c>
      <c r="H279" s="11" t="str">
        <f ca="1">IFERROR(__xludf.DUMMYFUNCTION("IFERROR(SUBSTITUTE(SUBSTITUTE(REGEXEXTRACT(A279, ""[^-]+- [^-]+- [^-]+ - (.+?)\.jpg""), "".jpg"", """"), ""-"", "", ""), """")"),"")</f>
        <v/>
      </c>
      <c r="I279" s="6"/>
      <c r="J279" s="7" t="str">
        <f t="shared" ca="1" si="6"/>
        <v>(2026)</v>
      </c>
      <c r="K279" s="7" t="str">
        <f t="shared" si="7"/>
        <v>97559228</v>
      </c>
      <c r="L279" s="12" t="s">
        <v>1415</v>
      </c>
      <c r="M279" s="13" t="str">
        <f ca="1">IFERROR(__xludf.DUMMYFUNCTION("TRIM(
  REGEXREPLACE(
    TEXTJOIN("" "",
      TRUE,
      B279,
      C279,
      embaralharLinks(E279,F279,G279),
      H279,
      """",
      J279,
      N279,
      ""#RIPNSFW""
    ),
  "",\s*"", "" "")
)"),"{New} Brandy Renee https://streamtape.com/v/zlZP4XlRYVHYlj2/97559228 https://lulustream.com/d/nch2iiko4ht6 https://doodstream.com/d/ixd4gd89eu1k/97559228 (2026) #MILF #BigTits #Hardcore #Bigass #Blowjob #Amateur #RIPNSFW")</f>
        <v>{New} Brandy Renee https://streamtape.com/v/zlZP4XlRYVHYlj2/97559228 https://lulustream.com/d/nch2iiko4ht6 https://doodstream.com/d/ixd4gd89eu1k/97559228 (2026) #MILF #BigTits #Hardcore #Bigass #Blowjob #Amateur #RIPNSFW</v>
      </c>
      <c r="N279" s="14" t="s">
        <v>999</v>
      </c>
      <c r="O279" s="15" t="s">
        <v>1505</v>
      </c>
      <c r="P279" s="14"/>
      <c r="Q279" s="6"/>
      <c r="R279" s="11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75">
      <c r="A280" s="12" t="s">
        <v>1506</v>
      </c>
      <c r="B280" s="6" t="s">
        <v>14</v>
      </c>
      <c r="C280" s="7" t="str">
        <f t="shared" si="4"/>
        <v xml:space="preserve">Brenda Trindade </v>
      </c>
      <c r="D280" s="24" t="s">
        <v>1507</v>
      </c>
      <c r="E280" s="25" t="s">
        <v>1508</v>
      </c>
      <c r="F280" s="9" t="str">
        <f ca="1">IFERROR(__xludf.DUMMYFUNCTION("""https://streamtape.com/v/""&amp;
REGEXEXTRACT(O280,""/thumb/([^/]+)/"")&amp;
""/""&amp;K280"),"https://streamtape.com/v/BQaBkxq0vdHyZRX/11630796")</f>
        <v>https://streamtape.com/v/BQaBkxq0vdHyZRX/11630796</v>
      </c>
      <c r="G280" s="10" t="e">
        <f t="shared" ca="1" si="5"/>
        <v>#NAME?</v>
      </c>
      <c r="H280" s="11" t="str">
        <f ca="1">IFERROR(__xludf.DUMMYFUNCTION("IFERROR(SUBSTITUTE(SUBSTITUTE(REGEXEXTRACT(A280, ""[^-]+- [^-]+- [^-]+ - (.+?)\.jpg""), "".jpg"", """"), ""-"", "", ""), """")"),"")</f>
        <v/>
      </c>
      <c r="I280" s="6"/>
      <c r="J280" s="7" t="str">
        <f t="shared" ca="1" si="6"/>
        <v>(2026)</v>
      </c>
      <c r="K280" s="7" t="str">
        <f t="shared" si="7"/>
        <v>11630796</v>
      </c>
      <c r="L280" s="12" t="s">
        <v>1509</v>
      </c>
      <c r="M280" s="13" t="str">
        <f ca="1">IFERROR(__xludf.DUMMYFUNCTION("TRIM(
  REGEXREPLACE(
    TEXTJOIN("" "",
      TRUE,
      B280,
      C280,
      embaralharLinks(E280,F280,G280),
      H280,
      """",
      J280,
      N280,
      ""#RIPNSFW""
    ),
  "",\s*"", "" "")
)"),"{New} Brenda Trindade https://lulustream.com/d/p6s4c24sm1a8 https://streamtape.com/v/BQaBkxq0vdHyZRX/11630796 https://doodstream.com/d/uzxucxui0ff7/11630796 (2026) #teen #bigtits #blowjob #latina #RIPNSFW")</f>
        <v>{New} Brenda Trindade https://lulustream.com/d/p6s4c24sm1a8 https://streamtape.com/v/BQaBkxq0vdHyZRX/11630796 https://doodstream.com/d/uzxucxui0ff7/11630796 (2026) #teen #bigtits #blowjob #latina #RIPNSFW</v>
      </c>
      <c r="N280" s="2" t="s">
        <v>1509</v>
      </c>
      <c r="O280" s="21" t="s">
        <v>1510</v>
      </c>
      <c r="P280" s="26"/>
      <c r="R280" s="23"/>
    </row>
    <row r="281" spans="1:27" ht="12.75">
      <c r="A281" s="6" t="s">
        <v>1511</v>
      </c>
      <c r="B281" s="6" t="s">
        <v>14</v>
      </c>
      <c r="C281" s="7" t="str">
        <f t="shared" si="4"/>
        <v xml:space="preserve">Brenda Trindade </v>
      </c>
      <c r="D281" s="6" t="s">
        <v>1512</v>
      </c>
      <c r="E281" s="8" t="s">
        <v>1513</v>
      </c>
      <c r="F281" s="9" t="str">
        <f ca="1">IFERROR(__xludf.DUMMYFUNCTION("""https://streamtape.com/v/""&amp;
REGEXEXTRACT(O281,""/thumb/([^/]+)/"")&amp;
""/""&amp;K281"),"https://streamtape.com/v/886GlLryjZCoA4d/13190040")</f>
        <v>https://streamtape.com/v/886GlLryjZCoA4d/13190040</v>
      </c>
      <c r="G281" s="10" t="e">
        <f t="shared" ca="1" si="5"/>
        <v>#NAME?</v>
      </c>
      <c r="H281" s="11" t="str">
        <f ca="1">IFERROR(__xludf.DUMMYFUNCTION("IFERROR(SUBSTITUTE(SUBSTITUTE(REGEXEXTRACT(A281, ""[^-]+- [^-]+- [^-]+ - (.+?)\.jpg""), "".jpg"", """"), ""-"", "", ""), """")"),"")</f>
        <v/>
      </c>
      <c r="I281" s="6"/>
      <c r="J281" s="7" t="str">
        <f t="shared" ca="1" si="6"/>
        <v>(2026)</v>
      </c>
      <c r="K281" s="7" t="str">
        <f t="shared" si="7"/>
        <v>13190040</v>
      </c>
      <c r="L281" s="12" t="s">
        <v>1514</v>
      </c>
      <c r="M281" s="13" t="str">
        <f ca="1">IFERROR(__xludf.DUMMYFUNCTION("TRIM(
  REGEXREPLACE(
    TEXTJOIN("" "",
      TRUE,
      B281,
      C281,
      embaralharLinks(E281,F281,G281),
      H281,
      """",
      J281,
      N281,
      ""#RIPNSFW""
    ),
  "",\s*"", "" "")
)"),"{New} Brenda Trindade https://lulustream.com/d/8qeuwsoeltk8 https://streamtape.com/v/886GlLryjZCoA4d/13190040 https://doodstream.com/d/y1x9wa7ht6ys/13190040 (2026) #BigTits #Creampie #Hardcore #Bigass #RIPNSFW")</f>
        <v>{New} Brenda Trindade https://lulustream.com/d/8qeuwsoeltk8 https://streamtape.com/v/886GlLryjZCoA4d/13190040 https://doodstream.com/d/y1x9wa7ht6ys/13190040 (2026) #BigTits #Creampie #Hardcore #Bigass #RIPNSFW</v>
      </c>
      <c r="N281" s="14" t="s">
        <v>108</v>
      </c>
      <c r="O281" s="15" t="s">
        <v>1515</v>
      </c>
      <c r="P281" s="14"/>
      <c r="Q281" s="6"/>
      <c r="R281" s="11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75">
      <c r="A282" s="6" t="s">
        <v>1516</v>
      </c>
      <c r="B282" s="6" t="s">
        <v>14</v>
      </c>
      <c r="C282" s="7" t="str">
        <f t="shared" si="4"/>
        <v xml:space="preserve">Brenda Trindade </v>
      </c>
      <c r="D282" s="6" t="s">
        <v>1517</v>
      </c>
      <c r="E282" s="8" t="s">
        <v>1518</v>
      </c>
      <c r="F282" s="9" t="str">
        <f ca="1">IFERROR(__xludf.DUMMYFUNCTION("""https://streamtape.com/v/""&amp;
REGEXEXTRACT(O282,""/thumb/([^/]+)/"")&amp;
""/""&amp;K282"),"https://streamtape.com/v/wVOlKwMjWmhJ7gx/24748836")</f>
        <v>https://streamtape.com/v/wVOlKwMjWmhJ7gx/24748836</v>
      </c>
      <c r="G282" s="10" t="e">
        <f t="shared" ca="1" si="5"/>
        <v>#NAME?</v>
      </c>
      <c r="H282" s="11" t="str">
        <f ca="1">IFERROR(__xludf.DUMMYFUNCTION("IFERROR(SUBSTITUTE(SUBSTITUTE(REGEXEXTRACT(A282, ""[^-]+- [^-]+- [^-]+ - (.+?)\.jpg""), "".jpg"", """"), ""-"", "", ""), """")"),"")</f>
        <v/>
      </c>
      <c r="I282" s="6"/>
      <c r="J282" s="7" t="str">
        <f t="shared" ca="1" si="6"/>
        <v>(2026)</v>
      </c>
      <c r="K282" s="7" t="str">
        <f t="shared" si="7"/>
        <v>24748836</v>
      </c>
      <c r="L282" s="12" t="s">
        <v>1519</v>
      </c>
      <c r="M282" s="13" t="str">
        <f ca="1">IFERROR(__xludf.DUMMYFUNCTION("TRIM(
  REGEXREPLACE(
    TEXTJOIN("" "",
      TRUE,
      B282,
      C282,
      embaralharLinks(E282,F282,G282),
      H282,
      """",
      J282,
      N282,
      ""#RIPNSFW""
    ),
  "",\s*"", "" "")
)"),"{New} Brenda Trindade https://streamtape.com/v/wVOlKwMjWmhJ7gx/24748836 https://lulustream.com/d/hketa2nn6alc https://doodstream.com/d/9letclyzeozh/24748836 (2026) #BigTits #Bigass #Teen #Latina #Blowjob #Amateur #RIPNSFW")</f>
        <v>{New} Brenda Trindade https://streamtape.com/v/wVOlKwMjWmhJ7gx/24748836 https://lulustream.com/d/hketa2nn6alc https://doodstream.com/d/9letclyzeozh/24748836 (2026) #BigTits #Bigass #Teen #Latina #Blowjob #Amateur #RIPNSFW</v>
      </c>
      <c r="N282" s="14" t="s">
        <v>1520</v>
      </c>
      <c r="O282" s="15" t="s">
        <v>1521</v>
      </c>
      <c r="P282" s="14"/>
      <c r="Q282" s="6"/>
      <c r="R282" s="11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75">
      <c r="A283" s="6" t="s">
        <v>1522</v>
      </c>
      <c r="B283" s="6" t="s">
        <v>14</v>
      </c>
      <c r="C283" s="7" t="str">
        <f t="shared" si="4"/>
        <v xml:space="preserve">Brenda Trindade </v>
      </c>
      <c r="D283" s="6" t="s">
        <v>1523</v>
      </c>
      <c r="E283" s="8" t="s">
        <v>1524</v>
      </c>
      <c r="F283" s="9" t="str">
        <f ca="1">IFERROR(__xludf.DUMMYFUNCTION("""https://streamtape.com/v/""&amp;
REGEXEXTRACT(O283,""/thumb/([^/]+)/"")&amp;
""/""&amp;K283"),"https://streamtape.com/v/r219oBYev3HbjzP/25529253")</f>
        <v>https://streamtape.com/v/r219oBYev3HbjzP/25529253</v>
      </c>
      <c r="G283" s="10" t="e">
        <f t="shared" ca="1" si="5"/>
        <v>#NAME?</v>
      </c>
      <c r="H283" s="11" t="str">
        <f ca="1">IFERROR(__xludf.DUMMYFUNCTION("IFERROR(SUBSTITUTE(SUBSTITUTE(REGEXEXTRACT(A283, ""[^-]+- [^-]+- [^-]+ - (.+?)\.jpg""), "".jpg"", """"), ""-"", "", ""), """")"),"")</f>
        <v/>
      </c>
      <c r="I283" s="6"/>
      <c r="J283" s="7" t="str">
        <f t="shared" ca="1" si="6"/>
        <v>(2026)</v>
      </c>
      <c r="K283" s="7" t="str">
        <f t="shared" si="7"/>
        <v>25529253</v>
      </c>
      <c r="L283" s="12" t="s">
        <v>1525</v>
      </c>
      <c r="M283" s="13" t="str">
        <f ca="1">IFERROR(__xludf.DUMMYFUNCTION("TRIM(
  REGEXREPLACE(
    TEXTJOIN("" "",
      TRUE,
      B283,
      C283,
      embaralharLinks(E283,F283,G283),
      H283,
      """",
      J283,
      N283,
      ""#RIPNSFW""
    ),
  "",\s*"", "" "")
)"),"{New} Brenda Trindade https://lulustream.com/d/rpepvtrz10vt https://doodstream.com/d/ryzl41c9kdsg/25529253 https://streamtape.com/v/r219oBYev3HbjzP/25529253 (2026) #BigTits #Bigass #Teen #Latina #RIPNSFW")</f>
        <v>{New} Brenda Trindade https://lulustream.com/d/rpepvtrz10vt https://doodstream.com/d/ryzl41c9kdsg/25529253 https://streamtape.com/v/r219oBYev3HbjzP/25529253 (2026) #BigTits #Bigass #Teen #Latina #RIPNSFW</v>
      </c>
      <c r="N283" s="14" t="s">
        <v>1526</v>
      </c>
      <c r="O283" s="15" t="s">
        <v>1527</v>
      </c>
      <c r="P283" s="14"/>
      <c r="Q283" s="6"/>
      <c r="R283" s="11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75">
      <c r="A284" s="6" t="s">
        <v>1528</v>
      </c>
      <c r="B284" s="6" t="s">
        <v>14</v>
      </c>
      <c r="C284" s="7" t="str">
        <f t="shared" si="4"/>
        <v xml:space="preserve">Brenda Trindade </v>
      </c>
      <c r="D284" s="6" t="s">
        <v>1529</v>
      </c>
      <c r="E284" s="8" t="s">
        <v>1530</v>
      </c>
      <c r="F284" s="9" t="str">
        <f ca="1">IFERROR(__xludf.DUMMYFUNCTION("""https://streamtape.com/v/""&amp;
REGEXEXTRACT(O284,""/thumb/([^/]+)/"")&amp;
""/""&amp;K284"),"https://streamtape.com/v/pd0wPweo83UGGz/27782850")</f>
        <v>https://streamtape.com/v/pd0wPweo83UGGz/27782850</v>
      </c>
      <c r="G284" s="10" t="e">
        <f t="shared" ca="1" si="5"/>
        <v>#NAME?</v>
      </c>
      <c r="H284" s="11" t="str">
        <f ca="1">IFERROR(__xludf.DUMMYFUNCTION("IFERROR(SUBSTITUTE(SUBSTITUTE(REGEXEXTRACT(A284, ""[^-]+- [^-]+- [^-]+ - (.+?)\.jpg""), "".jpg"", """"), ""-"", "", ""), """")"),"")</f>
        <v/>
      </c>
      <c r="I284" s="6"/>
      <c r="J284" s="7" t="str">
        <f t="shared" ca="1" si="6"/>
        <v>(2026)</v>
      </c>
      <c r="K284" s="7" t="str">
        <f t="shared" si="7"/>
        <v>27782850</v>
      </c>
      <c r="L284" s="12" t="s">
        <v>1531</v>
      </c>
      <c r="M284" s="13" t="str">
        <f ca="1">IFERROR(__xludf.DUMMYFUNCTION("TRIM(
  REGEXREPLACE(
    TEXTJOIN("" "",
      TRUE,
      B284,
      C284,
      embaralharLinks(E284,F284,G284),
      H284,
      """",
      J284,
      N284,
      ""#RIPNSFW""
    ),
  "",\s*"", "" "")
)"),"{New} Brenda Trindade https://streamtape.com/v/pd0wPweo83UGGz/27782850 https://lulustream.com/d/0bzhgwbfy0rb https://doodstream.com/d/3of11qzrmv2n/27782850 (2026) #BigTits #Teen #Latina #Blowjob #RIPNSFW")</f>
        <v>{New} Brenda Trindade https://streamtape.com/v/pd0wPweo83UGGz/27782850 https://lulustream.com/d/0bzhgwbfy0rb https://doodstream.com/d/3of11qzrmv2n/27782850 (2026) #BigTits #Teen #Latina #Blowjob #RIPNSFW</v>
      </c>
      <c r="N284" s="14" t="s">
        <v>1532</v>
      </c>
      <c r="O284" s="15" t="s">
        <v>1533</v>
      </c>
      <c r="P284" s="14"/>
      <c r="Q284" s="6"/>
      <c r="R284" s="11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75">
      <c r="A285" s="12" t="s">
        <v>1534</v>
      </c>
      <c r="B285" s="6" t="s">
        <v>14</v>
      </c>
      <c r="C285" s="7" t="str">
        <f t="shared" si="4"/>
        <v xml:space="preserve">Brenda Trindade </v>
      </c>
      <c r="D285" s="24" t="s">
        <v>1535</v>
      </c>
      <c r="E285" s="25" t="s">
        <v>1536</v>
      </c>
      <c r="F285" s="9" t="str">
        <f ca="1">IFERROR(__xludf.DUMMYFUNCTION("""https://streamtape.com/v/""&amp;
REGEXEXTRACT(O285,""/thumb/([^/]+)/"")&amp;
""/""&amp;K285"),"https://streamtape.com/v/vBpZ7Lgm1Qt4r8Y/28778875")</f>
        <v>https://streamtape.com/v/vBpZ7Lgm1Qt4r8Y/28778875</v>
      </c>
      <c r="G285" s="10" t="e">
        <f t="shared" ca="1" si="5"/>
        <v>#NAME?</v>
      </c>
      <c r="H285" s="11" t="str">
        <f ca="1">IFERROR(__xludf.DUMMYFUNCTION("IFERROR(SUBSTITUTE(SUBSTITUTE(REGEXEXTRACT(A285, ""[^-]+- [^-]+- [^-]+ - (.+?)\.jpg""), "".jpg"", """"), ""-"", "", ""), """")"),"")</f>
        <v/>
      </c>
      <c r="I285" s="6"/>
      <c r="J285" s="7" t="str">
        <f t="shared" ca="1" si="6"/>
        <v>(2026)</v>
      </c>
      <c r="K285" s="7" t="str">
        <f t="shared" si="7"/>
        <v>28778875</v>
      </c>
      <c r="L285" s="12" t="s">
        <v>1537</v>
      </c>
      <c r="M285" s="13" t="str">
        <f ca="1">IFERROR(__xludf.DUMMYFUNCTION("TRIM(
  REGEXREPLACE(
    TEXTJOIN("" "",
      TRUE,
      B285,
      C285,
      embaralharLinks(E285,F285,G285),
      H285,
      """",
      J285,
      N285,
      ""#RIPNSFW""
    ),
  "",\s*"", "" "")
)"),"{New} Brenda Trindade https://streamtape.com/v/vBpZ7Lgm1Qt4r8Y/28778875 https://lulustream.com/d/zr6zdsiw5ogn https://doodstream.com/d/ugdrdzefe7ol/28778875 (2026) #bigass #latina #brunette #amateur #RIPNSFW")</f>
        <v>{New} Brenda Trindade https://streamtape.com/v/vBpZ7Lgm1Qt4r8Y/28778875 https://lulustream.com/d/zr6zdsiw5ogn https://doodstream.com/d/ugdrdzefe7ol/28778875 (2026) #bigass #latina #brunette #amateur #RIPNSFW</v>
      </c>
      <c r="N285" s="2" t="s">
        <v>1537</v>
      </c>
      <c r="O285" s="30" t="s">
        <v>1538</v>
      </c>
      <c r="P285" s="26"/>
      <c r="R285" s="23"/>
      <c r="T285" s="6"/>
      <c r="U285" s="7"/>
    </row>
    <row r="286" spans="1:27" ht="12.75">
      <c r="A286" s="6" t="s">
        <v>1539</v>
      </c>
      <c r="B286" s="6" t="s">
        <v>14</v>
      </c>
      <c r="C286" s="7" t="str">
        <f t="shared" si="4"/>
        <v xml:space="preserve">Brenda Trindade </v>
      </c>
      <c r="D286" s="6" t="s">
        <v>1540</v>
      </c>
      <c r="E286" s="8" t="s">
        <v>1541</v>
      </c>
      <c r="F286" s="9" t="str">
        <f ca="1">IFERROR(__xludf.DUMMYFUNCTION("""https://streamtape.com/v/""&amp;
REGEXEXTRACT(O286,""/thumb/([^/]+)/"")&amp;
""/""&amp;K286"),"https://streamtape.com/v/7qJMDD649ahBX7/29232355")</f>
        <v>https://streamtape.com/v/7qJMDD649ahBX7/29232355</v>
      </c>
      <c r="G286" s="10" t="e">
        <f t="shared" ca="1" si="5"/>
        <v>#NAME?</v>
      </c>
      <c r="H286" s="11" t="str">
        <f ca="1">IFERROR(__xludf.DUMMYFUNCTION("IFERROR(SUBSTITUTE(SUBSTITUTE(REGEXEXTRACT(A286, ""[^-]+- [^-]+- [^-]+ - (.+?)\.jpg""), "".jpg"", """"), ""-"", "", ""), """")"),"")</f>
        <v/>
      </c>
      <c r="I286" s="6"/>
      <c r="J286" s="7" t="str">
        <f t="shared" ca="1" si="6"/>
        <v>(2026)</v>
      </c>
      <c r="K286" s="7" t="str">
        <f t="shared" si="7"/>
        <v>29232355</v>
      </c>
      <c r="L286" s="12" t="s">
        <v>1542</v>
      </c>
      <c r="M286" s="13" t="str">
        <f ca="1">IFERROR(__xludf.DUMMYFUNCTION("TRIM(
  REGEXREPLACE(
    TEXTJOIN("" "",
      TRUE,
      B286,
      C286,
      embaralharLinks(E286,F286,G286),
      H286,
      """",
      J286,
      N286,
      ""#RIPNSFW""
    ),
  "",\s*"", "" "")
)"),"{New} Brenda Trindade https://doodstream.com/d/cfpvr8caa279/29232355 https://streamtape.com/v/7qJMDD649ahBX7/29232355 https://lulustream.com/d/e6syvsyu0b1w (2026) #BigTits #Bigass #Latina #Teen #Blowjob #RIPNSFW")</f>
        <v>{New} Brenda Trindade https://doodstream.com/d/cfpvr8caa279/29232355 https://streamtape.com/v/7qJMDD649ahBX7/29232355 https://lulustream.com/d/e6syvsyu0b1w (2026) #BigTits #Bigass #Latina #Teen #Blowjob #RIPNSFW</v>
      </c>
      <c r="N286" s="14" t="s">
        <v>1543</v>
      </c>
      <c r="O286" s="15" t="s">
        <v>1544</v>
      </c>
      <c r="P286" s="14"/>
      <c r="Q286" s="6"/>
      <c r="R286" s="11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75">
      <c r="A287" s="12" t="s">
        <v>1545</v>
      </c>
      <c r="B287" s="6" t="s">
        <v>14</v>
      </c>
      <c r="C287" s="7" t="str">
        <f t="shared" si="4"/>
        <v xml:space="preserve">Brenda Trindade </v>
      </c>
      <c r="D287" s="24" t="s">
        <v>1546</v>
      </c>
      <c r="E287" s="25" t="s">
        <v>1547</v>
      </c>
      <c r="F287" s="9" t="str">
        <f ca="1">IFERROR(__xludf.DUMMYFUNCTION("""https://streamtape.com/v/""&amp;
REGEXEXTRACT(O287,""/thumb/([^/]+)/"")&amp;
""/""&amp;K287"),"https://streamtape.com/v/jO8BKQw90DsJJ6/29851665")</f>
        <v>https://streamtape.com/v/jO8BKQw90DsJJ6/29851665</v>
      </c>
      <c r="G287" s="10" t="e">
        <f t="shared" ca="1" si="5"/>
        <v>#NAME?</v>
      </c>
      <c r="H287" s="11" t="str">
        <f ca="1">IFERROR(__xludf.DUMMYFUNCTION("IFERROR(SUBSTITUTE(SUBSTITUTE(REGEXEXTRACT(A287, ""[^-]+- [^-]+- [^-]+ - (.+?)\.jpg""), "".jpg"", """"), ""-"", "", ""), """")"),"")</f>
        <v/>
      </c>
      <c r="I287" s="6"/>
      <c r="J287" s="7" t="str">
        <f t="shared" ca="1" si="6"/>
        <v>(2026)</v>
      </c>
      <c r="K287" s="7" t="str">
        <f t="shared" si="7"/>
        <v>29851665</v>
      </c>
      <c r="L287" s="12" t="s">
        <v>1509</v>
      </c>
      <c r="M287" s="13" t="str">
        <f ca="1">IFERROR(__xludf.DUMMYFUNCTION("TRIM(
  REGEXREPLACE(
    TEXTJOIN("" "",
      TRUE,
      B287,
      C287,
      embaralharLinks(E287,F287,G287),
      H287,
      """",
      J287,
      N287,
      ""#RIPNSFW""
    ),
  "",\s*"", "" "")
)"),"{New} Brenda Trindade https://lulustream.com/d/mm06ybeh40e7 https://streamtape.com/v/jO8BKQw90DsJJ6/29851665 https://doodstream.com/d/r88zjgz4zzj8/29851665 (2026) #teen #bigtits #blowjob #latina #RIPNSFW")</f>
        <v>{New} Brenda Trindade https://lulustream.com/d/mm06ybeh40e7 https://streamtape.com/v/jO8BKQw90DsJJ6/29851665 https://doodstream.com/d/r88zjgz4zzj8/29851665 (2026) #teen #bigtits #blowjob #latina #RIPNSFW</v>
      </c>
      <c r="N287" s="2" t="s">
        <v>1509</v>
      </c>
      <c r="O287" s="30" t="s">
        <v>1548</v>
      </c>
      <c r="P287" s="26"/>
      <c r="R287" s="23"/>
    </row>
    <row r="288" spans="1:27" ht="12.75">
      <c r="A288" s="6" t="s">
        <v>1549</v>
      </c>
      <c r="B288" s="6" t="s">
        <v>14</v>
      </c>
      <c r="C288" s="7" t="str">
        <f t="shared" si="4"/>
        <v xml:space="preserve">Brenda Trindade </v>
      </c>
      <c r="D288" s="6" t="s">
        <v>1550</v>
      </c>
      <c r="E288" s="8" t="s">
        <v>1551</v>
      </c>
      <c r="F288" s="9" t="str">
        <f ca="1">IFERROR(__xludf.DUMMYFUNCTION("""https://streamtape.com/v/""&amp;
REGEXEXTRACT(O288,""/thumb/([^/]+)/"")&amp;
""/""&amp;K288"),"https://streamtape.com/v/9epDqGXd7BhaaXM/36041235")</f>
        <v>https://streamtape.com/v/9epDqGXd7BhaaXM/36041235</v>
      </c>
      <c r="G288" s="10" t="e">
        <f t="shared" ca="1" si="5"/>
        <v>#NAME?</v>
      </c>
      <c r="H288" s="11" t="str">
        <f ca="1">IFERROR(__xludf.DUMMYFUNCTION("IFERROR(SUBSTITUTE(SUBSTITUTE(REGEXEXTRACT(A288, ""[^-]+- [^-]+- [^-]+ - (.+?)\.jpg""), "".jpg"", """"), ""-"", "", ""), """")"),"")</f>
        <v/>
      </c>
      <c r="I288" s="6"/>
      <c r="J288" s="7" t="str">
        <f t="shared" ca="1" si="6"/>
        <v>(2026)</v>
      </c>
      <c r="K288" s="7" t="str">
        <f t="shared" si="7"/>
        <v>36041235</v>
      </c>
      <c r="L288" s="12" t="s">
        <v>1552</v>
      </c>
      <c r="M288" s="13" t="str">
        <f ca="1">IFERROR(__xludf.DUMMYFUNCTION("TRIM(
  REGEXREPLACE(
    TEXTJOIN("" "",
      TRUE,
      B288,
      C288,
      embaralharLinks(E288,F288,G288),
      H288,
      """",
      J288,
      N288,
      ""#RIPNSFW""
    ),
  "",\s*"", "" "")
)"),"{New} Brenda Trindade https://streamtape.com/v/9epDqGXd7BhaaXM/36041235 https://doodstream.com/d/fw4e1g9sypab/36041235 https://lulustream.com/d/ntcrgsasyylk (2026) #BigTits #Teen #Latina #Teens #Blowjob #Amateur #Deepthroat #RIPNSFW")</f>
        <v>{New} Brenda Trindade https://streamtape.com/v/9epDqGXd7BhaaXM/36041235 https://doodstream.com/d/fw4e1g9sypab/36041235 https://lulustream.com/d/ntcrgsasyylk (2026) #BigTits #Teen #Latina #Teens #Blowjob #Amateur #Deepthroat #RIPNSFW</v>
      </c>
      <c r="N288" s="14" t="s">
        <v>1553</v>
      </c>
      <c r="O288" s="15" t="s">
        <v>1554</v>
      </c>
      <c r="P288" s="14"/>
      <c r="Q288" s="6"/>
      <c r="R288" s="11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75">
      <c r="A289" s="6" t="s">
        <v>1555</v>
      </c>
      <c r="B289" s="6" t="s">
        <v>14</v>
      </c>
      <c r="C289" s="7" t="str">
        <f t="shared" si="4"/>
        <v xml:space="preserve">Brenda Trindade </v>
      </c>
      <c r="D289" s="6" t="s">
        <v>1556</v>
      </c>
      <c r="E289" s="8" t="s">
        <v>1557</v>
      </c>
      <c r="F289" s="9" t="str">
        <f ca="1">IFERROR(__xludf.DUMMYFUNCTION("""https://streamtape.com/v/""&amp;
REGEXEXTRACT(O289,""/thumb/([^/]+)/"")&amp;
""/""&amp;K289"),"https://streamtape.com/v/xv9lXM97loTkYDb/39657579")</f>
        <v>https://streamtape.com/v/xv9lXM97loTkYDb/39657579</v>
      </c>
      <c r="G289" s="10" t="e">
        <f t="shared" ca="1" si="5"/>
        <v>#NAME?</v>
      </c>
      <c r="H289" s="11" t="str">
        <f ca="1">IFERROR(__xludf.DUMMYFUNCTION("IFERROR(SUBSTITUTE(SUBSTITUTE(REGEXEXTRACT(A289, ""[^-]+- [^-]+- [^-]+ - (.+?)\.jpg""), "".jpg"", """"), ""-"", "", ""), """")"),"")</f>
        <v/>
      </c>
      <c r="I289" s="6"/>
      <c r="J289" s="7" t="str">
        <f t="shared" ca="1" si="6"/>
        <v>(2026)</v>
      </c>
      <c r="K289" s="7" t="str">
        <f t="shared" si="7"/>
        <v>39657579</v>
      </c>
      <c r="L289" s="12" t="s">
        <v>1558</v>
      </c>
      <c r="M289" s="13" t="str">
        <f ca="1">IFERROR(__xludf.DUMMYFUNCTION("TRIM(
  REGEXREPLACE(
    TEXTJOIN("" "",
      TRUE,
      B289,
      C289,
      embaralharLinks(E289,F289,G289),
      H289,
      """",
      J289,
      N289,
      ""#RIPNSFW""
    ),
  "",\s*"", "" "")
)"),"{New} Brenda Trindade https://lulustream.com/d/7lowvt2etn2e https://doodstream.com/d/wuab8keggw4u/39657579 https://streamtape.com/v/xv9lXM97loTkYDb/39657579 (2026) #BigTits #Hardcore #Bigass #Teen #Latina #RIPNSFW")</f>
        <v>{New} Brenda Trindade https://lulustream.com/d/7lowvt2etn2e https://doodstream.com/d/wuab8keggw4u/39657579 https://streamtape.com/v/xv9lXM97loTkYDb/39657579 (2026) #BigTits #Hardcore #Bigass #Teen #Latina #RIPNSFW</v>
      </c>
      <c r="N289" s="14" t="s">
        <v>1559</v>
      </c>
      <c r="O289" s="15" t="s">
        <v>1560</v>
      </c>
      <c r="P289" s="14"/>
      <c r="Q289" s="6"/>
      <c r="R289" s="11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75">
      <c r="A290" s="6" t="s">
        <v>1561</v>
      </c>
      <c r="B290" s="6" t="s">
        <v>14</v>
      </c>
      <c r="C290" s="7" t="str">
        <f t="shared" si="4"/>
        <v xml:space="preserve">Brenda Trindade </v>
      </c>
      <c r="D290" s="6" t="s">
        <v>1562</v>
      </c>
      <c r="E290" s="8" t="s">
        <v>1563</v>
      </c>
      <c r="F290" s="9" t="str">
        <f ca="1">IFERROR(__xludf.DUMMYFUNCTION("""https://streamtape.com/v/""&amp;
REGEXEXTRACT(O290,""/thumb/([^/]+)/"")&amp;
""/""&amp;K290"),"https://streamtape.com/v/r0B1kB3DMyTbBDJ/41135871")</f>
        <v>https://streamtape.com/v/r0B1kB3DMyTbBDJ/41135871</v>
      </c>
      <c r="G290" s="10" t="e">
        <f t="shared" ca="1" si="5"/>
        <v>#NAME?</v>
      </c>
      <c r="H290" s="11" t="str">
        <f ca="1">IFERROR(__xludf.DUMMYFUNCTION("IFERROR(SUBSTITUTE(SUBSTITUTE(REGEXEXTRACT(A290, ""[^-]+- [^-]+- [^-]+ - (.+?)\.jpg""), "".jpg"", """"), ""-"", "", ""), """")"),"")</f>
        <v/>
      </c>
      <c r="I290" s="6"/>
      <c r="J290" s="7" t="str">
        <f t="shared" ca="1" si="6"/>
        <v>(2026)</v>
      </c>
      <c r="K290" s="7" t="str">
        <f t="shared" si="7"/>
        <v>41135871</v>
      </c>
      <c r="L290" s="12" t="s">
        <v>1525</v>
      </c>
      <c r="M290" s="13" t="str">
        <f ca="1">IFERROR(__xludf.DUMMYFUNCTION("TRIM(
  REGEXREPLACE(
    TEXTJOIN("" "",
      TRUE,
      B290,
      C290,
      embaralharLinks(E290,F290,G290),
      H290,
      """",
      J290,
      N290,
      ""#RIPNSFW""
    ),
  "",\s*"", "" "")
)"),"{New} Brenda Trindade https://streamtape.com/v/r0B1kB3DMyTbBDJ/41135871 https://lulustream.com/d/hxdvmyl1m0ds https://doodstream.com/d/0m94zhr6mi9l/41135871 (2026) #BigTits #Bigass #Teen #Latina #Blowjob #Amateur #Deepthroat #Facial #RIPNSFW")</f>
        <v>{New} Brenda Trindade https://streamtape.com/v/r0B1kB3DMyTbBDJ/41135871 https://lulustream.com/d/hxdvmyl1m0ds https://doodstream.com/d/0m94zhr6mi9l/41135871 (2026) #BigTits #Bigass #Teen #Latina #Blowjob #Amateur #Deepthroat #Facial #RIPNSFW</v>
      </c>
      <c r="N290" s="14" t="s">
        <v>1564</v>
      </c>
      <c r="O290" s="15" t="s">
        <v>1565</v>
      </c>
      <c r="P290" s="14"/>
      <c r="Q290" s="6"/>
      <c r="R290" s="11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75">
      <c r="A291" s="6" t="s">
        <v>1566</v>
      </c>
      <c r="B291" s="6" t="s">
        <v>14</v>
      </c>
      <c r="C291" s="7" t="str">
        <f t="shared" si="4"/>
        <v xml:space="preserve">Brenda Trindade </v>
      </c>
      <c r="D291" s="24" t="s">
        <v>1567</v>
      </c>
      <c r="E291" s="25" t="s">
        <v>1568</v>
      </c>
      <c r="F291" s="9" t="str">
        <f ca="1">IFERROR(__xludf.DUMMYFUNCTION("""https://streamtape.com/v/""&amp;
REGEXEXTRACT(O291,""/thumb/([^/]+)/"")&amp;
""/""&amp;K291"),"https://streamtape.com/v/1xOZ3KJqX6UeZGy/48654770")</f>
        <v>https://streamtape.com/v/1xOZ3KJqX6UeZGy/48654770</v>
      </c>
      <c r="G291" s="10" t="e">
        <f t="shared" ca="1" si="5"/>
        <v>#NAME?</v>
      </c>
      <c r="H291" s="11" t="str">
        <f ca="1">IFERROR(__xludf.DUMMYFUNCTION("IFERROR(SUBSTITUTE(SUBSTITUTE(REGEXEXTRACT(A291, ""[^-]+- [^-]+- [^-]+ - (.+?)\.jpg""), "".jpg"", """"), ""-"", "", ""), """")"),"")</f>
        <v/>
      </c>
      <c r="I291" s="6"/>
      <c r="J291" s="7" t="str">
        <f t="shared" ca="1" si="6"/>
        <v>(2026)</v>
      </c>
      <c r="K291" s="7" t="str">
        <f t="shared" si="7"/>
        <v>48654770</v>
      </c>
      <c r="L291" s="12" t="s">
        <v>1569</v>
      </c>
      <c r="M291" s="13" t="str">
        <f ca="1">IFERROR(__xludf.DUMMYFUNCTION("TRIM(
  REGEXREPLACE(
    TEXTJOIN("" "",
      TRUE,
      B291,
      C291,
      embaralharLinks(E291,F291,G291),
      H291,
      """",
      J291,
      N291,
      ""#RIPNSFW""
    ),
  "",\s*"", "" "")
)"),"{New} Brenda Trindade https://doodstream.com/d/sp7gaebqrm5n/48654770 https://lulustream.com/d/y3uuzi5bonky https://streamtape.com/v/1xOZ3KJqX6UeZGy/48654770 (2026) #teen #bigtits #bigass #blowjob #RIPNSFW")</f>
        <v>{New} Brenda Trindade https://doodstream.com/d/sp7gaebqrm5n/48654770 https://lulustream.com/d/y3uuzi5bonky https://streamtape.com/v/1xOZ3KJqX6UeZGy/48654770 (2026) #teen #bigtits #bigass #blowjob #RIPNSFW</v>
      </c>
      <c r="N291" s="31" t="s">
        <v>1569</v>
      </c>
      <c r="O291" s="32" t="s">
        <v>1570</v>
      </c>
      <c r="P291" s="26"/>
      <c r="Q291" s="6"/>
      <c r="R291" s="11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75">
      <c r="A292" s="6" t="s">
        <v>1571</v>
      </c>
      <c r="B292" s="6" t="s">
        <v>14</v>
      </c>
      <c r="C292" s="7" t="str">
        <f t="shared" si="4"/>
        <v xml:space="preserve">Brenda Trindade </v>
      </c>
      <c r="D292" s="6" t="s">
        <v>1572</v>
      </c>
      <c r="E292" s="8" t="s">
        <v>1573</v>
      </c>
      <c r="F292" s="9" t="str">
        <f ca="1">IFERROR(__xludf.DUMMYFUNCTION("""https://streamtape.com/v/""&amp;
REGEXEXTRACT(O292,""/thumb/([^/]+)/"")&amp;
""/""&amp;K292"),"https://streamtape.com/v/YLDZYL1Gk1SvVew/57367647")</f>
        <v>https://streamtape.com/v/YLDZYL1Gk1SvVew/57367647</v>
      </c>
      <c r="G292" s="10" t="e">
        <f t="shared" ca="1" si="5"/>
        <v>#NAME?</v>
      </c>
      <c r="H292" s="11" t="str">
        <f ca="1">IFERROR(__xludf.DUMMYFUNCTION("IFERROR(SUBSTITUTE(SUBSTITUTE(REGEXEXTRACT(A292, ""[^-]+- [^-]+- [^-]+ - (.+?)\.jpg""), "".jpg"", """"), ""-"", "", ""), """")"),"")</f>
        <v/>
      </c>
      <c r="I292" s="6"/>
      <c r="J292" s="7" t="str">
        <f t="shared" ca="1" si="6"/>
        <v>(2026)</v>
      </c>
      <c r="K292" s="7" t="str">
        <f t="shared" si="7"/>
        <v>57367647</v>
      </c>
      <c r="L292" s="12" t="s">
        <v>1574</v>
      </c>
      <c r="M292" s="13" t="str">
        <f ca="1">IFERROR(__xludf.DUMMYFUNCTION("TRIM(
  REGEXREPLACE(
    TEXTJOIN("" "",
      TRUE,
      B292,
      C292,
      embaralharLinks(E292,F292,G292),
      H292,
      """",
      J292,
      N292,
      ""#RIPNSFW""
    ),
  "",\s*"", "" "")
)"),"{New} Brenda Trindade https://streamtape.com/v/YLDZYL1Gk1SvVew/57367647 https://lulustream.com/d/9gxkqvv8wpc5 https://doodstream.com/d/d3q7vshvkh8f/57367647 (2026) #BigTits #Bigass #Teen #Blowjob #Amateur #Hotwife #Deepthroat #Facial #Latina #RIPNSFW")</f>
        <v>{New} Brenda Trindade https://streamtape.com/v/YLDZYL1Gk1SvVew/57367647 https://lulustream.com/d/9gxkqvv8wpc5 https://doodstream.com/d/d3q7vshvkh8f/57367647 (2026) #BigTits #Bigass #Teen #Blowjob #Amateur #Hotwife #Deepthroat #Facial #Latina #RIPNSFW</v>
      </c>
      <c r="N292" s="14" t="s">
        <v>1575</v>
      </c>
      <c r="O292" s="15" t="s">
        <v>1576</v>
      </c>
      <c r="P292" s="14"/>
      <c r="Q292" s="6"/>
      <c r="R292" s="11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75">
      <c r="A293" s="12" t="s">
        <v>1577</v>
      </c>
      <c r="B293" s="6" t="s">
        <v>14</v>
      </c>
      <c r="C293" s="7" t="str">
        <f t="shared" si="4"/>
        <v xml:space="preserve">Brenda Trindade </v>
      </c>
      <c r="D293" s="24" t="s">
        <v>1578</v>
      </c>
      <c r="E293" s="25" t="s">
        <v>1579</v>
      </c>
      <c r="F293" s="9" t="str">
        <f ca="1">IFERROR(__xludf.DUMMYFUNCTION("""https://streamtape.com/v/""&amp;
REGEXEXTRACT(O293,""/thumb/([^/]+)/"")&amp;
""/""&amp;K293"),"https://streamtape.com/v/OX3ZwrXjg2cZbb2/58624434")</f>
        <v>https://streamtape.com/v/OX3ZwrXjg2cZbb2/58624434</v>
      </c>
      <c r="G293" s="10" t="e">
        <f t="shared" ca="1" si="5"/>
        <v>#NAME?</v>
      </c>
      <c r="H293" s="11" t="str">
        <f ca="1">IFERROR(__xludf.DUMMYFUNCTION("IFERROR(SUBSTITUTE(SUBSTITUTE(REGEXEXTRACT(A293, ""[^-]+- [^-]+- [^-]+ - (.+?)\.jpg""), "".jpg"", """"), ""-"", "", ""), """")"),"")</f>
        <v/>
      </c>
      <c r="I293" s="6"/>
      <c r="J293" s="7" t="str">
        <f t="shared" ca="1" si="6"/>
        <v>(2026)</v>
      </c>
      <c r="K293" s="7" t="str">
        <f t="shared" si="7"/>
        <v>58624434</v>
      </c>
      <c r="L293" s="12" t="s">
        <v>1580</v>
      </c>
      <c r="M293" s="13" t="str">
        <f ca="1">IFERROR(__xludf.DUMMYFUNCTION("TRIM(
  REGEXREPLACE(
    TEXTJOIN("" "",
      TRUE,
      B293,
      C293,
      embaralharLinks(E293,F293,G293),
      H293,
      """",
      J293,
      N293,
      ""#RIPNSFW""
    ),
  "",\s*"", "" "")
)"),"{New} Brenda Trindade https://doodstream.com/d/3hhy7x6b3a30/58624434 https://streamtape.com/v/OX3ZwrXjg2cZbb2/58624434 https://lulustream.com/d/xcy82mkqhni0 (2026) #teen #latina #blowjob #bigass #RIPNSFW")</f>
        <v>{New} Brenda Trindade https://doodstream.com/d/3hhy7x6b3a30/58624434 https://streamtape.com/v/OX3ZwrXjg2cZbb2/58624434 https://lulustream.com/d/xcy82mkqhni0 (2026) #teen #latina #blowjob #bigass #RIPNSFW</v>
      </c>
      <c r="N293" s="2" t="s">
        <v>1580</v>
      </c>
      <c r="O293" s="30" t="s">
        <v>1581</v>
      </c>
      <c r="P293" s="26"/>
      <c r="R293" s="23"/>
      <c r="T293" s="6"/>
      <c r="U293" s="7"/>
    </row>
    <row r="294" spans="1:27" ht="12.75">
      <c r="A294" s="6" t="s">
        <v>1582</v>
      </c>
      <c r="B294" s="6" t="s">
        <v>14</v>
      </c>
      <c r="C294" s="7" t="str">
        <f t="shared" si="4"/>
        <v xml:space="preserve">Brenda Trindade </v>
      </c>
      <c r="D294" s="6" t="s">
        <v>1583</v>
      </c>
      <c r="E294" s="8" t="s">
        <v>1584</v>
      </c>
      <c r="F294" s="9" t="str">
        <f ca="1">IFERROR(__xludf.DUMMYFUNCTION("""https://streamtape.com/v/""&amp;
REGEXEXTRACT(O294,""/thumb/([^/]+)/"")&amp;
""/""&amp;K294"),"https://streamtape.com/v/dVZeRywGXKSkvKk/63639116")</f>
        <v>https://streamtape.com/v/dVZeRywGXKSkvKk/63639116</v>
      </c>
      <c r="G294" s="10" t="e">
        <f t="shared" ca="1" si="5"/>
        <v>#NAME?</v>
      </c>
      <c r="H294" s="11" t="str">
        <f ca="1">IFERROR(__xludf.DUMMYFUNCTION("IFERROR(SUBSTITUTE(SUBSTITUTE(REGEXEXTRACT(A294, ""[^-]+- [^-]+- [^-]+ - (.+?)\.jpg""), "".jpg"", """"), ""-"", "", ""), """")"),"")</f>
        <v/>
      </c>
      <c r="I294" s="6"/>
      <c r="J294" s="7" t="str">
        <f t="shared" ca="1" si="6"/>
        <v>(2026)</v>
      </c>
      <c r="K294" s="7" t="str">
        <f t="shared" si="7"/>
        <v>63639116</v>
      </c>
      <c r="L294" s="12" t="s">
        <v>1585</v>
      </c>
      <c r="M294" s="13" t="str">
        <f ca="1">IFERROR(__xludf.DUMMYFUNCTION("TRIM(
  REGEXREPLACE(
    TEXTJOIN("" "",
      TRUE,
      B294,
      C294,
      embaralharLinks(E294,F294,G294),
      H294,
      """",
      J294,
      N294,
      ""#RIPNSFW""
    ),
  "",\s*"", "" "")
)"),"{New} Brenda Trindade https://streamtape.com/v/dVZeRywGXKSkvKk/63639116 https://doodstream.com/d/74l4rf2fiqsz/63639116 https://lulustream.com/d/lahmfrnkmdap (2026) #BigTits #Teen #Blowjob #Amateur #Deepthroat #RIPNSFW")</f>
        <v>{New} Brenda Trindade https://streamtape.com/v/dVZeRywGXKSkvKk/63639116 https://doodstream.com/d/74l4rf2fiqsz/63639116 https://lulustream.com/d/lahmfrnkmdap (2026) #BigTits #Teen #Blowjob #Amateur #Deepthroat #RIPNSFW</v>
      </c>
      <c r="N294" s="14" t="s">
        <v>1586</v>
      </c>
      <c r="O294" s="15" t="s">
        <v>1587</v>
      </c>
      <c r="P294" s="14"/>
      <c r="Q294" s="6"/>
      <c r="R294" s="11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75">
      <c r="A295" s="6" t="s">
        <v>1588</v>
      </c>
      <c r="B295" s="6" t="s">
        <v>14</v>
      </c>
      <c r="C295" s="7" t="str">
        <f t="shared" si="4"/>
        <v xml:space="preserve">Brenda Trindade </v>
      </c>
      <c r="D295" s="6" t="s">
        <v>1589</v>
      </c>
      <c r="E295" s="8" t="s">
        <v>1590</v>
      </c>
      <c r="F295" s="9" t="str">
        <f ca="1">IFERROR(__xludf.DUMMYFUNCTION("""https://streamtape.com/v/""&amp;
REGEXEXTRACT(O295,""/thumb/([^/]+)/"")&amp;
""/""&amp;K295"),"https://streamtape.com/v/eVr99arrzYhYb6M/65002869")</f>
        <v>https://streamtape.com/v/eVr99arrzYhYb6M/65002869</v>
      </c>
      <c r="G295" s="10" t="e">
        <f t="shared" ca="1" si="5"/>
        <v>#NAME?</v>
      </c>
      <c r="H295" s="11" t="str">
        <f ca="1">IFERROR(__xludf.DUMMYFUNCTION("IFERROR(SUBSTITUTE(SUBSTITUTE(REGEXEXTRACT(A295, ""[^-]+- [^-]+- [^-]+ - (.+?)\.jpg""), "".jpg"", """"), ""-"", "", ""), """")"),"")</f>
        <v/>
      </c>
      <c r="I295" s="6"/>
      <c r="J295" s="7" t="str">
        <f t="shared" ca="1" si="6"/>
        <v>(2026)</v>
      </c>
      <c r="K295" s="7" t="str">
        <f t="shared" si="7"/>
        <v>65002869</v>
      </c>
      <c r="L295" s="12" t="s">
        <v>1591</v>
      </c>
      <c r="M295" s="13" t="str">
        <f ca="1">IFERROR(__xludf.DUMMYFUNCTION("TRIM(
  REGEXREPLACE(
    TEXTJOIN("" "",
      TRUE,
      B295,
      C295,
      embaralharLinks(E295,F295,G295),
      H295,
      """",
      J295,
      N295,
      ""#RIPNSFW""
    ),
  "",\s*"", "" "")
)"),"{New} Brenda Trindade https://streamtape.com/v/eVr99arrzYhYb6M/65002869 https://lulustream.com/d/d77wz4ejc6mr https://doodstream.com/d/f1h2rod0b5ty/65002869 (2026) #BigTits #Bigass #Latina #Teen #Blowjob #RIPNSFW")</f>
        <v>{New} Brenda Trindade https://streamtape.com/v/eVr99arrzYhYb6M/65002869 https://lulustream.com/d/d77wz4ejc6mr https://doodstream.com/d/f1h2rod0b5ty/65002869 (2026) #BigTits #Bigass #Latina #Teen #Blowjob #RIPNSFW</v>
      </c>
      <c r="N295" s="14" t="s">
        <v>1543</v>
      </c>
      <c r="O295" s="15" t="s">
        <v>1592</v>
      </c>
      <c r="P295" s="14"/>
      <c r="Q295" s="6"/>
      <c r="R295" s="11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75">
      <c r="A296" s="12" t="s">
        <v>1593</v>
      </c>
      <c r="B296" s="6" t="s">
        <v>14</v>
      </c>
      <c r="C296" s="7" t="str">
        <f t="shared" si="4"/>
        <v xml:space="preserve">Brenda Trindade </v>
      </c>
      <c r="D296" s="27" t="s">
        <v>1594</v>
      </c>
      <c r="E296" s="28" t="s">
        <v>1595</v>
      </c>
      <c r="F296" s="9" t="str">
        <f ca="1">IFERROR(__xludf.DUMMYFUNCTION("""https://streamtape.com/v/""&amp;
REGEXEXTRACT(O296,""/thumb/([^/]+)/"")&amp;
""/""&amp;K296"),"https://streamtape.com/v/Q2wq9bpDRbI0lwl/65684076")</f>
        <v>https://streamtape.com/v/Q2wq9bpDRbI0lwl/65684076</v>
      </c>
      <c r="G296" s="10" t="e">
        <f t="shared" ca="1" si="5"/>
        <v>#NAME?</v>
      </c>
      <c r="H296" s="11" t="str">
        <f ca="1">IFERROR(__xludf.DUMMYFUNCTION("IFERROR(SUBSTITUTE(SUBSTITUTE(REGEXEXTRACT(A296, ""[^-]+- [^-]+- [^-]+ - (.+?)\.jpg""), "".jpg"", """"), ""-"", "", ""), """")"),"")</f>
        <v/>
      </c>
      <c r="I296" s="6"/>
      <c r="J296" s="7" t="str">
        <f t="shared" ca="1" si="6"/>
        <v>(2026)</v>
      </c>
      <c r="K296" s="7" t="str">
        <f t="shared" si="7"/>
        <v>65684076</v>
      </c>
      <c r="L296" s="12" t="s">
        <v>207</v>
      </c>
      <c r="M296" s="13" t="str">
        <f ca="1">IFERROR(__xludf.DUMMYFUNCTION("TRIM(
  REGEXREPLACE(
    TEXTJOIN("" "",
      TRUE,
      B296,
      C296,
      embaralharLinks(E296,F296,G296),
      H296,
      """",
      J296,
      N296,
      ""#RIPNSFW""
    ),
  "",\s*"", "" "")
)"),"{New} Brenda Trindade https://streamtape.com/v/Q2wq9bpDRbI0lwl/65684076 https://doodstream.com/d/b7ep3940j1w4/65684076 https://lulustream.com/d/b1ar36x2ou5n (2026) #BigTits #Hardcore #Bigass #Teen #RIPNSFW")</f>
        <v>{New} Brenda Trindade https://streamtape.com/v/Q2wq9bpDRbI0lwl/65684076 https://doodstream.com/d/b7ep3940j1w4/65684076 https://lulustream.com/d/b1ar36x2ou5n (2026) #BigTits #Hardcore #Bigass #Teen #RIPNSFW</v>
      </c>
      <c r="N296" s="2" t="s">
        <v>208</v>
      </c>
      <c r="O296" s="30" t="s">
        <v>1596</v>
      </c>
      <c r="P296" s="26"/>
      <c r="R296" s="23"/>
    </row>
    <row r="297" spans="1:27" ht="12.75">
      <c r="A297" s="12" t="s">
        <v>1597</v>
      </c>
      <c r="B297" s="6" t="s">
        <v>14</v>
      </c>
      <c r="C297" s="7" t="str">
        <f t="shared" si="4"/>
        <v xml:space="preserve">Brenda Trindade </v>
      </c>
      <c r="D297" s="24" t="s">
        <v>1598</v>
      </c>
      <c r="E297" s="25" t="s">
        <v>1599</v>
      </c>
      <c r="F297" s="9" t="str">
        <f ca="1">IFERROR(__xludf.DUMMYFUNCTION("""https://streamtape.com/v/""&amp;
REGEXEXTRACT(O297,""/thumb/([^/]+)/"")&amp;
""/""&amp;K297"),"https://streamtape.com/v/vpJaXxXRVQCPQX/76832927")</f>
        <v>https://streamtape.com/v/vpJaXxXRVQCPQX/76832927</v>
      </c>
      <c r="G297" s="10" t="e">
        <f t="shared" ca="1" si="5"/>
        <v>#NAME?</v>
      </c>
      <c r="H297" s="11" t="str">
        <f ca="1">IFERROR(__xludf.DUMMYFUNCTION("IFERROR(SUBSTITUTE(SUBSTITUTE(REGEXEXTRACT(A297, ""[^-]+- [^-]+- [^-]+ - (.+?)\.jpg""), "".jpg"", """"), ""-"", "", ""), """")"),"")</f>
        <v/>
      </c>
      <c r="I297" s="6"/>
      <c r="J297" s="7" t="str">
        <f t="shared" ca="1" si="6"/>
        <v>(2026)</v>
      </c>
      <c r="K297" s="7" t="str">
        <f t="shared" si="7"/>
        <v>76832927</v>
      </c>
      <c r="L297" s="12" t="s">
        <v>1600</v>
      </c>
      <c r="M297" s="13" t="str">
        <f ca="1">IFERROR(__xludf.DUMMYFUNCTION("TRIM(
  REGEXREPLACE(
    TEXTJOIN("" "",
      TRUE,
      B297,
      C297,
      embaralharLinks(E297,F297,G297),
      H297,
      """",
      J297,
      N297,
      ""#RIPNSFW""
    ),
  "",\s*"", "" "")
)"),"{New} Brenda Trindade https://doodstream.com/d/2ixe5z739xpc/76832927 https://lulustream.com/d/qx919q1q4wu3 https://streamtape.com/v/vpJaXxXRVQCPQX/76832927 (2026) #teen #latina #bigass #blowjob #RIPNSFW")</f>
        <v>{New} Brenda Trindade https://doodstream.com/d/2ixe5z739xpc/76832927 https://lulustream.com/d/qx919q1q4wu3 https://streamtape.com/v/vpJaXxXRVQCPQX/76832927 (2026) #teen #latina #bigass #blowjob #RIPNSFW</v>
      </c>
      <c r="N297" s="2" t="s">
        <v>1600</v>
      </c>
      <c r="O297" s="30" t="s">
        <v>1601</v>
      </c>
      <c r="P297" s="26"/>
      <c r="R297" s="23"/>
    </row>
    <row r="298" spans="1:27" ht="12.75">
      <c r="A298" s="12" t="s">
        <v>1602</v>
      </c>
      <c r="B298" s="6" t="s">
        <v>14</v>
      </c>
      <c r="C298" s="7" t="str">
        <f t="shared" si="4"/>
        <v xml:space="preserve">Brenda Trindade </v>
      </c>
      <c r="D298" s="24" t="s">
        <v>1603</v>
      </c>
      <c r="E298" s="25" t="s">
        <v>1604</v>
      </c>
      <c r="F298" s="9" t="str">
        <f ca="1">IFERROR(__xludf.DUMMYFUNCTION("""https://streamtape.com/v/""&amp;
REGEXEXTRACT(O298,""/thumb/([^/]+)/"")&amp;
""/""&amp;K298"),"https://streamtape.com/v/VGwbZXo46VIKGZo/81769918")</f>
        <v>https://streamtape.com/v/VGwbZXo46VIKGZo/81769918</v>
      </c>
      <c r="G298" s="10" t="e">
        <f t="shared" ca="1" si="5"/>
        <v>#NAME?</v>
      </c>
      <c r="H298" s="11" t="str">
        <f ca="1">IFERROR(__xludf.DUMMYFUNCTION("IFERROR(SUBSTITUTE(SUBSTITUTE(REGEXEXTRACT(A298, ""[^-]+- [^-]+- [^-]+ - (.+?)\.jpg""), "".jpg"", """"), ""-"", "", ""), """")"),"")</f>
        <v/>
      </c>
      <c r="I298" s="6"/>
      <c r="J298" s="7" t="str">
        <f t="shared" ca="1" si="6"/>
        <v>(2026)</v>
      </c>
      <c r="K298" s="7" t="str">
        <f t="shared" si="7"/>
        <v>81769918</v>
      </c>
      <c r="L298" s="12" t="s">
        <v>1605</v>
      </c>
      <c r="M298" s="13" t="str">
        <f ca="1">IFERROR(__xludf.DUMMYFUNCTION("TRIM(
  REGEXREPLACE(
    TEXTJOIN("" "",
      TRUE,
      B298,
      C298,
      embaralharLinks(E298,F298,G298),
      H298,
      """",
      J298,
      N298,
      ""#RIPNSFW""
    ),
  "",\s*"", "" "")
)"),"{New} Brenda Trindade https://streamtape.com/v/VGwbZXo46VIKGZo/81769918 https://lulustream.com/d/cyc3wbdvw7pi https://doodstream.com/d/91780omphsh9/81769918 (2026) #teen #bigtits #bigass #latina #RIPNSFW")</f>
        <v>{New} Brenda Trindade https://streamtape.com/v/VGwbZXo46VIKGZo/81769918 https://lulustream.com/d/cyc3wbdvw7pi https://doodstream.com/d/91780omphsh9/81769918 (2026) #teen #bigtits #bigass #latina #RIPNSFW</v>
      </c>
      <c r="N298" s="2" t="s">
        <v>1605</v>
      </c>
      <c r="O298" s="30" t="s">
        <v>1606</v>
      </c>
      <c r="P298" s="26"/>
      <c r="R298" s="23"/>
    </row>
    <row r="299" spans="1:27" ht="12.75">
      <c r="A299" s="6" t="s">
        <v>1607</v>
      </c>
      <c r="B299" s="6" t="s">
        <v>14</v>
      </c>
      <c r="C299" s="7" t="str">
        <f t="shared" si="4"/>
        <v xml:space="preserve">Brenda Trindade </v>
      </c>
      <c r="D299" s="6" t="s">
        <v>1608</v>
      </c>
      <c r="E299" s="8" t="s">
        <v>1609</v>
      </c>
      <c r="F299" s="9" t="str">
        <f ca="1">IFERROR(__xludf.DUMMYFUNCTION("""https://streamtape.com/v/""&amp;
REGEXEXTRACT(O299,""/thumb/([^/]+)/"")&amp;
""/""&amp;K299"),"https://streamtape.com/v/M6pJ9KrWaaFweO/91220604")</f>
        <v>https://streamtape.com/v/M6pJ9KrWaaFweO/91220604</v>
      </c>
      <c r="G299" s="10" t="e">
        <f t="shared" ca="1" si="5"/>
        <v>#NAME?</v>
      </c>
      <c r="H299" s="11" t="str">
        <f ca="1">IFERROR(__xludf.DUMMYFUNCTION("IFERROR(SUBSTITUTE(SUBSTITUTE(REGEXEXTRACT(A299, ""[^-]+- [^-]+- [^-]+ - (.+?)\.jpg""), "".jpg"", """"), ""-"", "", ""), """")"),"")</f>
        <v/>
      </c>
      <c r="I299" s="6"/>
      <c r="J299" s="7" t="str">
        <f t="shared" ca="1" si="6"/>
        <v>(2026)</v>
      </c>
      <c r="K299" s="7" t="str">
        <f t="shared" si="7"/>
        <v>91220604</v>
      </c>
      <c r="L299" s="12" t="s">
        <v>1610</v>
      </c>
      <c r="M299" s="13" t="str">
        <f ca="1">IFERROR(__xludf.DUMMYFUNCTION("TRIM(
  REGEXREPLACE(
    TEXTJOIN("" "",
      TRUE,
      B299,
      C299,
      embaralharLinks(E299,F299,G299),
      H299,
      """",
      J299,
      N299,
      ""#RIPNSFW""
    ),
  "",\s*"", "" "")
)"),"{New} Brenda Trindade https://streamtape.com/v/M6pJ9KrWaaFweO/91220604 https://lulustream.com/d/l247i3c030e8 https://doodstream.com/d/mp91h23361in/91220604 (2026) #BigTits #Bigass #Teen #Latina #Blowjob #Amateur #Deepthroat #RIPNSFW")</f>
        <v>{New} Brenda Trindade https://streamtape.com/v/M6pJ9KrWaaFweO/91220604 https://lulustream.com/d/l247i3c030e8 https://doodstream.com/d/mp91h23361in/91220604 (2026) #BigTits #Bigass #Teen #Latina #Blowjob #Amateur #Deepthroat #RIPNSFW</v>
      </c>
      <c r="N299" s="14" t="s">
        <v>1611</v>
      </c>
      <c r="O299" s="15" t="s">
        <v>1612</v>
      </c>
      <c r="P299" s="14"/>
      <c r="Q299" s="6"/>
      <c r="R299" s="11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75">
      <c r="A300" s="12" t="s">
        <v>1613</v>
      </c>
      <c r="B300" s="6" t="s">
        <v>14</v>
      </c>
      <c r="C300" s="7" t="str">
        <f t="shared" si="4"/>
        <v xml:space="preserve">Brenda Trindade </v>
      </c>
      <c r="D300" s="24" t="s">
        <v>1614</v>
      </c>
      <c r="E300" s="25" t="s">
        <v>1615</v>
      </c>
      <c r="F300" s="9" t="str">
        <f ca="1">IFERROR(__xludf.DUMMYFUNCTION("""https://streamtape.com/v/""&amp;
REGEXEXTRACT(O300,""/thumb/([^/]+)/"")&amp;
""/""&amp;K300"),"https://streamtape.com/v/GjVjjgdablI1wOb/95951634")</f>
        <v>https://streamtape.com/v/GjVjjgdablI1wOb/95951634</v>
      </c>
      <c r="G300" s="10" t="e">
        <f t="shared" ca="1" si="5"/>
        <v>#NAME?</v>
      </c>
      <c r="H300" s="11" t="str">
        <f ca="1">IFERROR(__xludf.DUMMYFUNCTION("IFERROR(SUBSTITUTE(SUBSTITUTE(REGEXEXTRACT(A300, ""[^-]+- [^-]+- [^-]+ - (.+?)\.jpg""), "".jpg"", """"), ""-"", "", ""), """")"),"")</f>
        <v/>
      </c>
      <c r="I300" s="6"/>
      <c r="J300" s="7" t="str">
        <f t="shared" ca="1" si="6"/>
        <v>(2026)</v>
      </c>
      <c r="K300" s="7" t="str">
        <f t="shared" si="7"/>
        <v>95951634</v>
      </c>
      <c r="L300" s="12" t="s">
        <v>1616</v>
      </c>
      <c r="M300" s="13" t="str">
        <f ca="1">IFERROR(__xludf.DUMMYFUNCTION("TRIM(
  REGEXREPLACE(
    TEXTJOIN("" "",
      TRUE,
      B300,
      C300,
      embaralharLinks(E300,F300,G300),
      H300,
      """",
      J300,
      N300,
      ""#RIPNSFW""
    ),
  "",\s*"", "" "")
)"),"{New} Brenda Trindade https://lulustream.com/d/ep3153zbbh8w https://doodstream.com/d/mi3re9hzs1nj/95951634 https://streamtape.com/v/GjVjjgdablI1wOb/95951634 (2026) #bigass #latina #brunette #doggystyle #RIPNSFW")</f>
        <v>{New} Brenda Trindade https://lulustream.com/d/ep3153zbbh8w https://doodstream.com/d/mi3re9hzs1nj/95951634 https://streamtape.com/v/GjVjjgdablI1wOb/95951634 (2026) #bigass #latina #brunette #doggystyle #RIPNSFW</v>
      </c>
      <c r="N300" s="2" t="s">
        <v>1616</v>
      </c>
      <c r="O300" s="30" t="s">
        <v>1617</v>
      </c>
      <c r="P300" s="26"/>
      <c r="R300" s="23"/>
      <c r="T300" s="6"/>
      <c r="U300" s="7"/>
    </row>
    <row r="301" spans="1:27" ht="12.75">
      <c r="A301" s="12" t="s">
        <v>1618</v>
      </c>
      <c r="B301" s="6" t="s">
        <v>14</v>
      </c>
      <c r="C301" s="7" t="str">
        <f t="shared" si="4"/>
        <v xml:space="preserve">Brenda Trindade </v>
      </c>
      <c r="D301" s="27" t="s">
        <v>1619</v>
      </c>
      <c r="E301" s="28" t="s">
        <v>1620</v>
      </c>
      <c r="F301" s="9" t="str">
        <f ca="1">IFERROR(__xludf.DUMMYFUNCTION("""https://streamtape.com/v/""&amp;
REGEXEXTRACT(O301,""/thumb/([^/]+)/"")&amp;
""/""&amp;K301"),"https://streamtape.com/v/KLwdGWw3bWTzqb/97482311")</f>
        <v>https://streamtape.com/v/KLwdGWw3bWTzqb/97482311</v>
      </c>
      <c r="G301" s="10" t="e">
        <f t="shared" ca="1" si="5"/>
        <v>#NAME?</v>
      </c>
      <c r="H301" s="11" t="str">
        <f ca="1">IFERROR(__xludf.DUMMYFUNCTION("IFERROR(SUBSTITUTE(SUBSTITUTE(REGEXEXTRACT(A301, ""[^-]+- [^-]+- [^-]+ - (.+?)\.jpg""), "".jpg"", """"), ""-"", "", ""), """")"),"")</f>
        <v/>
      </c>
      <c r="I301" s="6"/>
      <c r="J301" s="7" t="str">
        <f t="shared" ca="1" si="6"/>
        <v>(2026)</v>
      </c>
      <c r="K301" s="7" t="str">
        <f t="shared" si="7"/>
        <v>97482311</v>
      </c>
      <c r="L301" s="12" t="s">
        <v>107</v>
      </c>
      <c r="M301" s="13" t="str">
        <f ca="1">IFERROR(__xludf.DUMMYFUNCTION("TRIM(
  REGEXREPLACE(
    TEXTJOIN("" "",
      TRUE,
      B301,
      C301,
      embaralharLinks(E301,F301,G301),
      H301,
      """",
      J301,
      N301,
      ""#RIPNSFW""
    ),
  "",\s*"", "" "")
)"),"{New} Brenda Trindade https://lulustream.com/d/s0sr79j31hco https://streamtape.com/v/KLwdGWw3bWTzqb/97482311 https://doodstream.com/d/jqflqnky0ds5/97482311 (2026) #BigTits #Creampie #Hardcore #Bigass #RIPNSFW")</f>
        <v>{New} Brenda Trindade https://lulustream.com/d/s0sr79j31hco https://streamtape.com/v/KLwdGWw3bWTzqb/97482311 https://doodstream.com/d/jqflqnky0ds5/97482311 (2026) #BigTits #Creampie #Hardcore #Bigass #RIPNSFW</v>
      </c>
      <c r="N301" s="2" t="s">
        <v>108</v>
      </c>
      <c r="O301" s="30" t="s">
        <v>1621</v>
      </c>
      <c r="P301" s="26"/>
      <c r="R301" s="23"/>
    </row>
    <row r="302" spans="1:27" ht="12.75">
      <c r="A302" s="12" t="s">
        <v>1622</v>
      </c>
      <c r="B302" s="6" t="s">
        <v>14</v>
      </c>
      <c r="C302" s="7" t="str">
        <f t="shared" si="4"/>
        <v xml:space="preserve">Brenda Trindade </v>
      </c>
      <c r="D302" s="24" t="s">
        <v>1623</v>
      </c>
      <c r="E302" s="25" t="s">
        <v>1624</v>
      </c>
      <c r="F302" s="9" t="str">
        <f ca="1">IFERROR(__xludf.DUMMYFUNCTION("""https://streamtape.com/v/""&amp;
REGEXEXTRACT(O302,""/thumb/([^/]+)/"")&amp;
""/""&amp;K302"),"https://streamtape.com/v/WeOBoexZrgubPrx/98672929")</f>
        <v>https://streamtape.com/v/WeOBoexZrgubPrx/98672929</v>
      </c>
      <c r="G302" s="10" t="e">
        <f t="shared" ca="1" si="5"/>
        <v>#NAME?</v>
      </c>
      <c r="H302" s="11" t="str">
        <f ca="1">IFERROR(__xludf.DUMMYFUNCTION("IFERROR(SUBSTITUTE(SUBSTITUTE(REGEXEXTRACT(A302, ""[^-]+- [^-]+- [^-]+ - (.+?)\.jpg""), "".jpg"", """"), ""-"", "", ""), """")"),"")</f>
        <v/>
      </c>
      <c r="I302" s="6"/>
      <c r="J302" s="7" t="str">
        <f t="shared" ca="1" si="6"/>
        <v>(2026)</v>
      </c>
      <c r="K302" s="7" t="str">
        <f t="shared" si="7"/>
        <v>98672929</v>
      </c>
      <c r="L302" s="12" t="s">
        <v>1580</v>
      </c>
      <c r="M302" s="13" t="str">
        <f ca="1">IFERROR(__xludf.DUMMYFUNCTION("TRIM(
  REGEXREPLACE(
    TEXTJOIN("" "",
      TRUE,
      B302,
      C302,
      embaralharLinks(E302,F302,G302),
      H302,
      """",
      J302,
      N302,
      ""#RIPNSFW""
    ),
  "",\s*"", "" "")
)"),"{New} Brenda Trindade https://lulustream.com/d/rxyxbcu8c5d0 https://doodstream.com/d/wvumzu2t2vji/98672929 https://streamtape.com/v/WeOBoexZrgubPrx/98672929 (2026) #teen #latina #blowjob #bigass #RIPNSFW")</f>
        <v>{New} Brenda Trindade https://lulustream.com/d/rxyxbcu8c5d0 https://doodstream.com/d/wvumzu2t2vji/98672929 https://streamtape.com/v/WeOBoexZrgubPrx/98672929 (2026) #teen #latina #blowjob #bigass #RIPNSFW</v>
      </c>
      <c r="N302" s="2" t="s">
        <v>1580</v>
      </c>
      <c r="O302" s="30" t="s">
        <v>1625</v>
      </c>
      <c r="P302" s="26"/>
      <c r="R302" s="23"/>
      <c r="T302" s="6"/>
      <c r="U302" s="7"/>
    </row>
    <row r="303" spans="1:27" ht="12.75">
      <c r="A303" s="6" t="s">
        <v>1626</v>
      </c>
      <c r="B303" s="6" t="s">
        <v>14</v>
      </c>
      <c r="C303" s="7" t="str">
        <f t="shared" si="4"/>
        <v xml:space="preserve">Briana Moon </v>
      </c>
      <c r="D303" s="6" t="s">
        <v>1627</v>
      </c>
      <c r="E303" s="8" t="s">
        <v>1628</v>
      </c>
      <c r="F303" s="9" t="str">
        <f ca="1">IFERROR(__xludf.DUMMYFUNCTION("""https://streamtape.com/v/""&amp;
REGEXEXTRACT(O303,""/thumb/([^/]+)/"")&amp;
""/""&amp;K303"),"https://streamtape.com/v/79eMpL9g44SADlr/42590292")</f>
        <v>https://streamtape.com/v/79eMpL9g44SADlr/42590292</v>
      </c>
      <c r="G303" s="10" t="e">
        <f t="shared" ca="1" si="5"/>
        <v>#NAME?</v>
      </c>
      <c r="H303" s="11" t="str">
        <f ca="1">IFERROR(__xludf.DUMMYFUNCTION("IFERROR(SUBSTITUTE(SUBSTITUTE(REGEXEXTRACT(A303, ""[^-]+- [^-]+- [^-]+ - (.+?)\.jpg""), "".jpg"", """"), ""-"", "", ""), """")"),"Lena the plug")</f>
        <v>Lena the plug</v>
      </c>
      <c r="I303" s="6"/>
      <c r="J303" s="7" t="str">
        <f t="shared" ca="1" si="6"/>
        <v>(2026)</v>
      </c>
      <c r="K303" s="7" t="str">
        <f t="shared" si="7"/>
        <v>42590292</v>
      </c>
      <c r="L303" s="12" t="s">
        <v>838</v>
      </c>
      <c r="M303" s="13" t="str">
        <f ca="1">IFERROR(__xludf.DUMMYFUNCTION("TRIM(
  REGEXREPLACE(
    TEXTJOIN("" "",
      TRUE,
      B303,
      C303,
      embaralharLinks(E303,F303,G303),
      H303,
      """",
      J303,
      N303,
      ""#RIPNSFW""
    ),
  "",\s*"", "" "")
)"),"{New} Briana Moon https://streamtape.com/v/79eMpL9g44SADlr/42590292 https://lulustream.com/d/i6xeec5re7at https://doodstream.com/d/aaabjgfxvgq9/42590292 Lena the plug (2026) #MILF #BigTits #Hardcore #Threesome #Bigass #Blowjob #RIPNSFW")</f>
        <v>{New} Briana Moon https://streamtape.com/v/79eMpL9g44SADlr/42590292 https://lulustream.com/d/i6xeec5re7at https://doodstream.com/d/aaabjgfxvgq9/42590292 Lena the plug (2026) #MILF #BigTits #Hardcore #Threesome #Bigass #Blowjob #RIPNSFW</v>
      </c>
      <c r="N303" s="14" t="s">
        <v>839</v>
      </c>
      <c r="O303" s="15" t="s">
        <v>1629</v>
      </c>
      <c r="P303" s="14"/>
      <c r="Q303" s="6"/>
      <c r="R303" s="11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75">
      <c r="A304" s="12" t="s">
        <v>1630</v>
      </c>
      <c r="B304" s="6"/>
      <c r="C304" s="7" t="str">
        <f t="shared" si="4"/>
        <v xml:space="preserve">Britney Rose </v>
      </c>
      <c r="D304" s="24" t="s">
        <v>1631</v>
      </c>
      <c r="E304" s="25" t="s">
        <v>1632</v>
      </c>
      <c r="F304" s="9" t="str">
        <f ca="1">IFERROR(__xludf.DUMMYFUNCTION("""https://streamtape.com/v/""&amp;
REGEXEXTRACT(O304,""/thumb/([^/]+)/"")&amp;
""/""&amp;K304"),"https://streamtape.com/v/eay4G9OrLxuY07a/10772530")</f>
        <v>https://streamtape.com/v/eay4G9OrLxuY07a/10772530</v>
      </c>
      <c r="G304" s="10" t="e">
        <f t="shared" ca="1" si="5"/>
        <v>#NAME?</v>
      </c>
      <c r="H304" s="11" t="str">
        <f ca="1">IFERROR(__xludf.DUMMYFUNCTION("IFERROR(SUBSTITUTE(SUBSTITUTE(REGEXEXTRACT(A304, ""[^-]+- [^-]+- [^-]+ - (.+?)\.jpg""), "".jpg"", """"), ""-"", "", ""), """")"),"")</f>
        <v/>
      </c>
      <c r="I304" s="6"/>
      <c r="J304" s="7" t="str">
        <f t="shared" ca="1" si="6"/>
        <v/>
      </c>
      <c r="K304" s="7" t="str">
        <f t="shared" si="7"/>
        <v>10772530</v>
      </c>
      <c r="L304" s="12" t="s">
        <v>1633</v>
      </c>
      <c r="M304" s="13" t="str">
        <f ca="1">IFERROR(__xludf.DUMMYFUNCTION("TRIM(
  REGEXREPLACE(
    TEXTJOIN("" "",
      TRUE,
      B304,
      C304,
      embaralharLinks(E304,F304,G304),
      H304,
      """",
      J304,
      N304,
      ""#RIPNSFW""
    ),
  "",\s*"", "" "")
)"),"Britney Rose https://doodstream.com/d/m3jojgpc7mex/10772530 https://streamtape.com/v/eay4G9OrLxuY07a/10772530 https://lulustream.com/d/6qznhuev7l1c #anal #hardcore #threesome #porn #RIPNSFW")</f>
        <v>Britney Rose https://doodstream.com/d/m3jojgpc7mex/10772530 https://streamtape.com/v/eay4G9OrLxuY07a/10772530 https://lulustream.com/d/6qznhuev7l1c #anal #hardcore #threesome #porn #RIPNSFW</v>
      </c>
      <c r="N304" s="2" t="s">
        <v>1633</v>
      </c>
      <c r="O304" s="30" t="s">
        <v>1634</v>
      </c>
      <c r="P304" s="26"/>
      <c r="R304" s="23"/>
      <c r="T304" s="6"/>
      <c r="U304" s="7"/>
    </row>
    <row r="305" spans="1:27" ht="12.75">
      <c r="A305" s="12" t="s">
        <v>1635</v>
      </c>
      <c r="B305" s="6"/>
      <c r="C305" s="7" t="str">
        <f t="shared" si="4"/>
        <v xml:space="preserve">Britney Rose </v>
      </c>
      <c r="D305" s="24" t="s">
        <v>1636</v>
      </c>
      <c r="E305" s="25" t="s">
        <v>1637</v>
      </c>
      <c r="F305" s="9" t="str">
        <f ca="1">IFERROR(__xludf.DUMMYFUNCTION("""https://streamtape.com/v/""&amp;
REGEXEXTRACT(O305,""/thumb/([^/]+)/"")&amp;
""/""&amp;K305"),"https://streamtape.com/v/AKrmQp4x71UXL1M/48369561")</f>
        <v>https://streamtape.com/v/AKrmQp4x71UXL1M/48369561</v>
      </c>
      <c r="G305" s="10" t="e">
        <f t="shared" ca="1" si="5"/>
        <v>#NAME?</v>
      </c>
      <c r="H305" s="11" t="str">
        <f ca="1">IFERROR(__xludf.DUMMYFUNCTION("IFERROR(SUBSTITUTE(SUBSTITUTE(REGEXEXTRACT(A305, ""[^-]+- [^-]+- [^-]+ - (.+?)\.jpg""), "".jpg"", """"), ""-"", "", ""), """")"),"")</f>
        <v/>
      </c>
      <c r="I305" s="6"/>
      <c r="J305" s="7" t="str">
        <f t="shared" ca="1" si="6"/>
        <v/>
      </c>
      <c r="K305" s="7" t="str">
        <f t="shared" si="7"/>
        <v>48369561</v>
      </c>
      <c r="L305" s="12" t="s">
        <v>1638</v>
      </c>
      <c r="M305" s="13" t="str">
        <f ca="1">IFERROR(__xludf.DUMMYFUNCTION("TRIM(
  REGEXREPLACE(
    TEXTJOIN("" "",
      TRUE,
      B305,
      C305,
      embaralharLinks(E305,F305,G305),
      H305,
      """",
      J305,
      N305,
      ""#RIPNSFW""
    ),
  "",\s*"", "" "")
)"),"Britney Rose https://doodstream.com/d/83y0z4fehdc0/48369561 https://lulustream.com/d/hltwpr4eetkr https://streamtape.com/v/AKrmQp4x71UXL1M/48369561 #anal #threesome #blonde #casting #RIPNSFW")</f>
        <v>Britney Rose https://doodstream.com/d/83y0z4fehdc0/48369561 https://lulustream.com/d/hltwpr4eetkr https://streamtape.com/v/AKrmQp4x71UXL1M/48369561 #anal #threesome #blonde #casting #RIPNSFW</v>
      </c>
      <c r="N305" s="2" t="s">
        <v>1638</v>
      </c>
      <c r="O305" s="30" t="s">
        <v>1639</v>
      </c>
      <c r="P305" s="26"/>
      <c r="R305" s="23"/>
      <c r="T305" s="6"/>
      <c r="U305" s="7"/>
    </row>
    <row r="306" spans="1:27" ht="12.75">
      <c r="A306" s="6" t="s">
        <v>1640</v>
      </c>
      <c r="B306" s="6" t="s">
        <v>14</v>
      </c>
      <c r="C306" s="7" t="str">
        <f t="shared" si="4"/>
        <v xml:space="preserve">Britt Blair </v>
      </c>
      <c r="D306" s="6" t="s">
        <v>1641</v>
      </c>
      <c r="E306" s="8" t="s">
        <v>1642</v>
      </c>
      <c r="F306" s="9" t="str">
        <f ca="1">IFERROR(__xludf.DUMMYFUNCTION("""https://streamtape.com/v/""&amp;
REGEXEXTRACT(O306,""/thumb/([^/]+)/"")&amp;
""/""&amp;K306"),"https://streamtape.com/v/3d0P3LAgvZcdepO/41336370")</f>
        <v>https://streamtape.com/v/3d0P3LAgvZcdepO/41336370</v>
      </c>
      <c r="G306" s="10" t="e">
        <f t="shared" ca="1" si="5"/>
        <v>#NAME?</v>
      </c>
      <c r="H306" s="11" t="str">
        <f ca="1">IFERROR(__xludf.DUMMYFUNCTION("IFERROR(SUBSTITUTE(SUBSTITUTE(REGEXEXTRACT(A306, ""[^-]+- [^-]+- [^-]+ - (.+?)\.jpg""), "".jpg"", """"), ""-"", "", ""), """")"),"Lena the plug")</f>
        <v>Lena the plug</v>
      </c>
      <c r="I306" s="6"/>
      <c r="J306" s="7" t="str">
        <f t="shared" ca="1" si="6"/>
        <v>(2026)</v>
      </c>
      <c r="K306" s="7" t="str">
        <f t="shared" si="7"/>
        <v>41336370</v>
      </c>
      <c r="L306" s="12" t="s">
        <v>1643</v>
      </c>
      <c r="M306" s="13" t="str">
        <f ca="1">IFERROR(__xludf.DUMMYFUNCTION("TRIM(
  REGEXREPLACE(
    TEXTJOIN("" "",
      TRUE,
      B306,
      C306,
      embaralharLinks(E306,F306,G306),
      H306,
      """",
      J306,
      N306,
      ""#RIPNSFW""
    ),
  "",\s*"", "" "")
)"),"{New} Britt Blair https://lulustream.com/d/5cwsx2cxvr0w https://streamtape.com/v/3d0P3LAgvZcdepO/41336370 https://doodstream.com/d/h29f1ttfs7p9/41336370 Lena the plug (2026) #MILF #BigTits #Hardcore #Threesome #Bigass #Teen #Stepmom #Blowjob #Amateur #Hot"&amp;"wife #Blonde #Deepthroat #Facial #RIPNSFW")</f>
        <v>{New} Britt Blair https://lulustream.com/d/5cwsx2cxvr0w https://streamtape.com/v/3d0P3LAgvZcdepO/41336370 https://doodstream.com/d/h29f1ttfs7p9/41336370 Lena the plug (2026) #MILF #BigTits #Hardcore #Threesome #Bigass #Teen #Stepmom #Blowjob #Amateur #Hotwife #Blonde #Deepthroat #Facial #RIPNSFW</v>
      </c>
      <c r="N306" s="14" t="s">
        <v>1644</v>
      </c>
      <c r="O306" s="15" t="s">
        <v>1645</v>
      </c>
      <c r="P306" s="14"/>
      <c r="Q306" s="6"/>
      <c r="R306" s="11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75">
      <c r="A307" s="6" t="s">
        <v>1646</v>
      </c>
      <c r="B307" s="6" t="s">
        <v>14</v>
      </c>
      <c r="C307" s="7" t="str">
        <f t="shared" si="4"/>
        <v xml:space="preserve">BunnyDollStella </v>
      </c>
      <c r="D307" s="6" t="s">
        <v>1647</v>
      </c>
      <c r="E307" s="8" t="s">
        <v>1648</v>
      </c>
      <c r="F307" s="9" t="str">
        <f ca="1">IFERROR(__xludf.DUMMYFUNCTION("""https://streamtape.com/v/""&amp;
REGEXEXTRACT(O307,""/thumb/([^/]+)/"")&amp;
""/""&amp;K307"),"https://streamtape.com/v/QPqpR0pxzGt0ak2/50581644")</f>
        <v>https://streamtape.com/v/QPqpR0pxzGt0ak2/50581644</v>
      </c>
      <c r="G307" s="10" t="e">
        <f t="shared" ca="1" si="5"/>
        <v>#NAME?</v>
      </c>
      <c r="H307" s="11" t="str">
        <f ca="1">IFERROR(__xludf.DUMMYFUNCTION("IFERROR(SUBSTITUTE(SUBSTITUTE(REGEXEXTRACT(A307, ""[^-]+- [^-]+- [^-]+ - (.+?)\.jpg""), "".jpg"", """"), ""-"", "", ""), """")"),"JackandJill")</f>
        <v>JackandJill</v>
      </c>
      <c r="I307" s="6"/>
      <c r="J307" s="7" t="str">
        <f t="shared" ca="1" si="6"/>
        <v>(2026)</v>
      </c>
      <c r="K307" s="7" t="str">
        <f t="shared" si="7"/>
        <v>50581644</v>
      </c>
      <c r="L307" s="12" t="s">
        <v>1120</v>
      </c>
      <c r="M307" s="13" t="str">
        <f ca="1">IFERROR(__xludf.DUMMYFUNCTION("TRIM(
  REGEXREPLACE(
    TEXTJOIN("" "",
      TRUE,
      B307,
      C307,
      embaralharLinks(E307,F307,G307),
      H307,
      """",
      J307,
      N307,
      ""#RIPNSFW""
    ),
  "",\s*"", "" "")
)"),"{New} BunnyDollStella https://streamtape.com/v/QPqpR0pxzGt0ak2/50581644 https://doodstream.com/d/e1sye7ie9by1/50581644 https://lulustream.com/d/78xskba6lb9m JackandJill (2026) #BigTits #Hardcore #Teen #Blowjob #RIPNSFW")</f>
        <v>{New} BunnyDollStella https://streamtape.com/v/QPqpR0pxzGt0ak2/50581644 https://doodstream.com/d/e1sye7ie9by1/50581644 https://lulustream.com/d/78xskba6lb9m JackandJill (2026) #BigTits #Hardcore #Teen #Blowjob #RIPNSFW</v>
      </c>
      <c r="N307" s="14" t="s">
        <v>711</v>
      </c>
      <c r="O307" s="15" t="s">
        <v>1649</v>
      </c>
      <c r="P307" s="14"/>
      <c r="Q307" s="6"/>
      <c r="R307" s="11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75">
      <c r="A308" s="12" t="s">
        <v>1650</v>
      </c>
      <c r="B308" s="6" t="s">
        <v>14</v>
      </c>
      <c r="C308" s="7" t="str">
        <f t="shared" si="4"/>
        <v xml:space="preserve">CallMeSlo </v>
      </c>
      <c r="D308" s="24" t="s">
        <v>1651</v>
      </c>
      <c r="E308" s="25" t="s">
        <v>1652</v>
      </c>
      <c r="F308" s="9" t="str">
        <f ca="1">IFERROR(__xludf.DUMMYFUNCTION("""https://streamtape.com/v/""&amp;
REGEXEXTRACT(O308,""/thumb/([^/]+)/"")&amp;
""/""&amp;K308"),"https://streamtape.com/v/ZrbrzOpmodi7Ge/93926811")</f>
        <v>https://streamtape.com/v/ZrbrzOpmodi7Ge/93926811</v>
      </c>
      <c r="G308" s="10" t="e">
        <f t="shared" ca="1" si="5"/>
        <v>#NAME?</v>
      </c>
      <c r="H308" s="11" t="str">
        <f ca="1">IFERROR(__xludf.DUMMYFUNCTION("IFERROR(SUBSTITUTE(SUBSTITUTE(REGEXEXTRACT(A308, ""[^-]+- [^-]+- [^-]+ - (.+?)\.jpg""), "".jpg"", """"), ""-"", "", ""), """")"),"")</f>
        <v/>
      </c>
      <c r="I308" s="6"/>
      <c r="J308" s="7" t="str">
        <f t="shared" ca="1" si="6"/>
        <v>(2026)</v>
      </c>
      <c r="K308" s="7" t="str">
        <f t="shared" si="7"/>
        <v>93926811</v>
      </c>
      <c r="L308" s="12" t="s">
        <v>1653</v>
      </c>
      <c r="M308" s="13" t="str">
        <f ca="1">IFERROR(__xludf.DUMMYFUNCTION("TRIM(
  REGEXREPLACE(
    TEXTJOIN("" "",
      TRUE,
      B308,
      C308,
      embaralharLinks(E308,F308,G308),
      H308,
      """",
      J308,
      N308,
      ""#RIPNSFW""
    ),
  "",\s*"", "" "")
)"),"{New} CallMeSlo https://doodstream.com/d/2t5za8afzmq8/93926811 https://lulustream.com/d/o5cgdwkev3cg https://streamtape.com/v/ZrbrzOpmodi7Ge/93926811 (2026) #teen #redhead #blowjob #amateur #RIPNSFW")</f>
        <v>{New} CallMeSlo https://doodstream.com/d/2t5za8afzmq8/93926811 https://lulustream.com/d/o5cgdwkev3cg https://streamtape.com/v/ZrbrzOpmodi7Ge/93926811 (2026) #teen #redhead #blowjob #amateur #RIPNSFW</v>
      </c>
      <c r="N308" s="2" t="s">
        <v>1653</v>
      </c>
      <c r="O308" s="30" t="s">
        <v>1654</v>
      </c>
      <c r="P308" s="26"/>
      <c r="R308" s="23"/>
      <c r="T308" s="6"/>
      <c r="U308" s="7"/>
    </row>
    <row r="309" spans="1:27" ht="12.75">
      <c r="A309" s="12" t="s">
        <v>1655</v>
      </c>
      <c r="B309" s="6" t="s">
        <v>14</v>
      </c>
      <c r="C309" s="7" t="str">
        <f t="shared" si="4"/>
        <v xml:space="preserve">Chanel Camryn </v>
      </c>
      <c r="D309" s="24" t="s">
        <v>1656</v>
      </c>
      <c r="E309" s="25" t="s">
        <v>1657</v>
      </c>
      <c r="F309" s="9" t="str">
        <f ca="1">IFERROR(__xludf.DUMMYFUNCTION("""https://streamtape.com/v/""&amp;
REGEXEXTRACT(O309,""/thumb/([^/]+)/"")&amp;
""/""&amp;K309"),"https://streamtape.com/v/8127kbAaQaCoB84/17231421")</f>
        <v>https://streamtape.com/v/8127kbAaQaCoB84/17231421</v>
      </c>
      <c r="G309" s="10" t="e">
        <f t="shared" ca="1" si="5"/>
        <v>#NAME?</v>
      </c>
      <c r="H309" s="11" t="str">
        <f ca="1">IFERROR(__xludf.DUMMYFUNCTION("IFERROR(SUBSTITUTE(SUBSTITUTE(REGEXEXTRACT(A309, ""[^-]+- [^-]+- [^-]+ - (.+?)\.jpg""), "".jpg"", """"), ""-"", "", ""), """")"),"")</f>
        <v/>
      </c>
      <c r="I309" s="6"/>
      <c r="J309" s="7" t="str">
        <f t="shared" ca="1" si="6"/>
        <v>(2026)</v>
      </c>
      <c r="K309" s="7" t="str">
        <f t="shared" si="7"/>
        <v>17231421</v>
      </c>
      <c r="L309" s="12" t="s">
        <v>1658</v>
      </c>
      <c r="M309" s="13" t="str">
        <f ca="1">IFERROR(__xludf.DUMMYFUNCTION("TRIM(
  REGEXREPLACE(
    TEXTJOIN("" "",
      TRUE,
      B309,
      C309,
      embaralharLinks(E309,F309,G309),
      H309,
      """",
      J309,
      N309,
      ""#RIPNSFW""
    ),
  "",\s*"", "" "")
)"),"{New} Chanel Camryn https://streamtape.com/v/8127kbAaQaCoB84/17231421 https://doodstream.com/d/dryl9ccoo94l/17231421 https://lulustream.com/d/kd8v5rqvbiso (2026) #teen #brunette #blowjob #porn #RIPNSFW")</f>
        <v>{New} Chanel Camryn https://streamtape.com/v/8127kbAaQaCoB84/17231421 https://doodstream.com/d/dryl9ccoo94l/17231421 https://lulustream.com/d/kd8v5rqvbiso (2026) #teen #brunette #blowjob #porn #RIPNSFW</v>
      </c>
      <c r="N309" s="2" t="s">
        <v>1658</v>
      </c>
      <c r="O309" s="30" t="s">
        <v>1659</v>
      </c>
      <c r="P309" s="26"/>
      <c r="R309" s="23"/>
      <c r="T309" s="6"/>
      <c r="U309" s="7"/>
    </row>
    <row r="310" spans="1:27" ht="12.75">
      <c r="A310" s="6" t="s">
        <v>1660</v>
      </c>
      <c r="B310" s="6" t="s">
        <v>14</v>
      </c>
      <c r="C310" s="7" t="str">
        <f t="shared" si="4"/>
        <v xml:space="preserve">Chanel Camryn </v>
      </c>
      <c r="D310" s="6" t="s">
        <v>1661</v>
      </c>
      <c r="E310" s="8" t="s">
        <v>1662</v>
      </c>
      <c r="F310" s="9" t="str">
        <f ca="1">IFERROR(__xludf.DUMMYFUNCTION("""https://streamtape.com/v/""&amp;
REGEXEXTRACT(O310,""/thumb/([^/]+)/"")&amp;
""/""&amp;K310"),"https://streamtape.com/v/gVgAz3vVBjcqwpe/62839957")</f>
        <v>https://streamtape.com/v/gVgAz3vVBjcqwpe/62839957</v>
      </c>
      <c r="G310" s="10" t="e">
        <f t="shared" ca="1" si="5"/>
        <v>#NAME?</v>
      </c>
      <c r="H310" s="11" t="str">
        <f ca="1">IFERROR(__xludf.DUMMYFUNCTION("IFERROR(SUBSTITUTE(SUBSTITUTE(REGEXEXTRACT(A310, ""[^-]+- [^-]+- [^-]+ - (.+?)\.jpg""), "".jpg"", """"), ""-"", "", ""), """")"),"")</f>
        <v/>
      </c>
      <c r="I310" s="6"/>
      <c r="J310" s="7" t="str">
        <f t="shared" ca="1" si="6"/>
        <v>(2026)</v>
      </c>
      <c r="K310" s="7" t="str">
        <f t="shared" si="7"/>
        <v>62839957</v>
      </c>
      <c r="L310" s="12" t="s">
        <v>1663</v>
      </c>
      <c r="M310" s="13" t="str">
        <f ca="1">IFERROR(__xludf.DUMMYFUNCTION("TRIM(
  REGEXREPLACE(
    TEXTJOIN("" "",
      TRUE,
      B310,
      C310,
      embaralharLinks(E310,F310,G310),
      H310,
      """",
      J310,
      N310,
      ""#RIPNSFW""
    ),
  "",\s*"", "" "")
)"),"{New} Chanel Camryn https://doodstream.com/d/nsdw2gzgs0ig/62839957 https://streamtape.com/v/gVgAz3vVBjcqwpe/62839957 https://lulustream.com/d/w1wml029msut (2026) #Anal #Hardcore #Bigass #Porn #Teen #Blowjob #Facial #RIPNSFW")</f>
        <v>{New} Chanel Camryn https://doodstream.com/d/nsdw2gzgs0ig/62839957 https://streamtape.com/v/gVgAz3vVBjcqwpe/62839957 https://lulustream.com/d/w1wml029msut (2026) #Anal #Hardcore #Bigass #Porn #Teen #Blowjob #Facial #RIPNSFW</v>
      </c>
      <c r="N310" s="14" t="s">
        <v>1664</v>
      </c>
      <c r="O310" s="15" t="s">
        <v>1665</v>
      </c>
      <c r="P310" s="14"/>
      <c r="Q310" s="6"/>
      <c r="R310" s="11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75">
      <c r="A311" s="16" t="s">
        <v>1666</v>
      </c>
      <c r="B311" s="11" t="s">
        <v>14</v>
      </c>
      <c r="C311" s="13" t="str">
        <f t="shared" si="4"/>
        <v xml:space="preserve">Chanel Camryn </v>
      </c>
      <c r="D311" s="17" t="s">
        <v>1667</v>
      </c>
      <c r="E311" s="18" t="s">
        <v>1668</v>
      </c>
      <c r="F311" s="9" t="str">
        <f ca="1">IFERROR(__xludf.DUMMYFUNCTION("""https://streamtape.com/v/""&amp;
REGEXEXTRACT(O311,""/thumb/([^/]+)/"")&amp;
""/""&amp;K311"),"https://streamtape.com/v/a0OZBB1483hzzg/92612739")</f>
        <v>https://streamtape.com/v/a0OZBB1483hzzg/92612739</v>
      </c>
      <c r="G311" s="10" t="e">
        <f t="shared" ca="1" si="5"/>
        <v>#NAME?</v>
      </c>
      <c r="H311" s="11" t="str">
        <f ca="1">IFERROR(__xludf.DUMMYFUNCTION("IFERROR(SUBSTITUTE(SUBSTITUTE(REGEXEXTRACT(A311, ""[^-]+- [^-]+- [^-]+ - (.+?)\.jpg""), "".jpg"", """"), ""-"", "", ""), """")"),"")</f>
        <v/>
      </c>
      <c r="I311" s="11"/>
      <c r="J311" s="13" t="str">
        <f t="shared" ca="1" si="6"/>
        <v>(2026)</v>
      </c>
      <c r="K311" s="13" t="str">
        <f t="shared" si="7"/>
        <v>92612739</v>
      </c>
      <c r="L311" s="12" t="s">
        <v>1669</v>
      </c>
      <c r="M311" s="13" t="str">
        <f ca="1">IFERROR(__xludf.DUMMYFUNCTION("TRIM(
  REGEXREPLACE(
    TEXTJOIN("" "",
      TRUE,
      B311,
      C311,
      embaralharLinks(E311,F311,G311),
      H311,
      """",
      J311,
      N311,
      ""#RIPNSFW""
    ),
  "",\s*"", "" "")
)"),"{New} Chanel Camryn https://streamtape.com/v/a0OZBB1483hzzg/92612739 https://doodstream.com/d/lyqgwai8xsce/92612739 https://lulustream.com/d/rkn4mp90kla5 (2026) #teen #anal #blowjob #brunette #RIPNSFW")</f>
        <v>{New} Chanel Camryn https://streamtape.com/v/a0OZBB1483hzzg/92612739 https://doodstream.com/d/lyqgwai8xsce/92612739 https://lulustream.com/d/rkn4mp90kla5 (2026) #teen #anal #blowjob #brunette #RIPNSFW</v>
      </c>
      <c r="N311" s="20" t="s">
        <v>1669</v>
      </c>
      <c r="O311" s="30" t="s">
        <v>1670</v>
      </c>
      <c r="P311" s="26"/>
      <c r="Q311" s="16"/>
      <c r="R311" s="23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75">
      <c r="A312" s="6" t="s">
        <v>1671</v>
      </c>
      <c r="B312" s="6" t="s">
        <v>14</v>
      </c>
      <c r="C312" s="7" t="str">
        <f t="shared" si="4"/>
        <v xml:space="preserve">Charlotte French </v>
      </c>
      <c r="D312" s="6" t="s">
        <v>1672</v>
      </c>
      <c r="E312" s="8" t="s">
        <v>1673</v>
      </c>
      <c r="F312" s="9" t="str">
        <f ca="1">IFERROR(__xludf.DUMMYFUNCTION("""https://streamtape.com/v/""&amp;
REGEXEXTRACT(O312,""/thumb/([^/]+)/"")&amp;
""/""&amp;K312"),"https://streamtape.com/v/QDzZx3a8DeT0OlP/14383021")</f>
        <v>https://streamtape.com/v/QDzZx3a8DeT0OlP/14383021</v>
      </c>
      <c r="G312" s="10" t="e">
        <f t="shared" ca="1" si="5"/>
        <v>#NAME?</v>
      </c>
      <c r="H312" s="11" t="str">
        <f ca="1">IFERROR(__xludf.DUMMYFUNCTION("IFERROR(SUBSTITUTE(SUBSTITUTE(REGEXEXTRACT(A312, ""[^-]+- [^-]+- [^-]+ - (.+?)\.jpg""), "".jpg"", """"), ""-"", "", ""), """")"),"")</f>
        <v/>
      </c>
      <c r="I312" s="6"/>
      <c r="J312" s="7" t="str">
        <f t="shared" ca="1" si="6"/>
        <v>(2026)</v>
      </c>
      <c r="K312" s="7" t="str">
        <f t="shared" si="7"/>
        <v>14383021</v>
      </c>
      <c r="L312" s="12" t="s">
        <v>1674</v>
      </c>
      <c r="M312" s="13" t="str">
        <f ca="1">IFERROR(__xludf.DUMMYFUNCTION("TRIM(
  REGEXREPLACE(
    TEXTJOIN("" "",
      TRUE,
      B312,
      C312,
      embaralharLinks(E312,F312,G312),
      H312,
      """",
      J312,
      N312,
      ""#RIPNSFW""
    ),
  "",\s*"", "" "")
)"),"{New} Charlotte French https://doodstream.com/d/qeeqsthecgds/14383021 https://streamtape.com/v/QDzZx3a8DeT0OlP/14383021 https://lulustream.com/d/99a5lp7dhjgx (2026) #Anal #Hardcore #Porn #Teen #RIPNSFW")</f>
        <v>{New} Charlotte French https://doodstream.com/d/qeeqsthecgds/14383021 https://streamtape.com/v/QDzZx3a8DeT0OlP/14383021 https://lulustream.com/d/99a5lp7dhjgx (2026) #Anal #Hardcore #Porn #Teen #RIPNSFW</v>
      </c>
      <c r="N312" s="14" t="s">
        <v>1675</v>
      </c>
      <c r="O312" s="15" t="s">
        <v>1676</v>
      </c>
      <c r="P312" s="14"/>
      <c r="Q312" s="6"/>
      <c r="R312" s="11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75">
      <c r="A313" s="6" t="s">
        <v>1677</v>
      </c>
      <c r="B313" s="6" t="s">
        <v>14</v>
      </c>
      <c r="C313" s="7" t="str">
        <f t="shared" si="4"/>
        <v xml:space="preserve">Cherie Deville </v>
      </c>
      <c r="D313" s="6" t="s">
        <v>1678</v>
      </c>
      <c r="E313" s="8" t="s">
        <v>1679</v>
      </c>
      <c r="F313" s="9" t="str">
        <f ca="1">IFERROR(__xludf.DUMMYFUNCTION("""https://streamtape.com/v/""&amp;
REGEXEXTRACT(O313,""/thumb/([^/]+)/"")&amp;
""/""&amp;K313"),"https://streamtape.com/v/0Rk8KgW9bdHbzkP/17215527")</f>
        <v>https://streamtape.com/v/0Rk8KgW9bdHbzkP/17215527</v>
      </c>
      <c r="G313" s="10" t="e">
        <f t="shared" ca="1" si="5"/>
        <v>#NAME?</v>
      </c>
      <c r="H313" s="11" t="str">
        <f ca="1">IFERROR(__xludf.DUMMYFUNCTION("IFERROR(SUBSTITUTE(SUBSTITUTE(REGEXEXTRACT(A313, ""[^-]+- [^-]+- [^-]+ - (.+?)\.jpg""), "".jpg"", """"), ""-"", "", ""), """")"),"")</f>
        <v/>
      </c>
      <c r="I313" s="6"/>
      <c r="J313" s="7" t="str">
        <f t="shared" ca="1" si="6"/>
        <v>(2026)</v>
      </c>
      <c r="K313" s="7" t="str">
        <f t="shared" si="7"/>
        <v>17215527</v>
      </c>
      <c r="L313" s="12" t="s">
        <v>1680</v>
      </c>
      <c r="M313" s="13" t="str">
        <f ca="1">IFERROR(__xludf.DUMMYFUNCTION("TRIM(
  REGEXREPLACE(
    TEXTJOIN("" "",
      TRUE,
      B313,
      C313,
      embaralharLinks(E313,F313,G313),
      H313,
      """",
      J313,
      N313,
      ""#RIPNSFW""
    ),
  "",\s*"", "" "")
)"),"{New} Cherie Deville https://lulustream.com/d/6zaixpre83t9 https://doodstream.com/d/3vkxcsraz59d/17215527 https://streamtape.com/v/0Rk8KgW9bdHbzkP/17215527 (2026) #Anal #MILF #BigTits #Hardcore #Bigass #Blowjob #RIPNSFW")</f>
        <v>{New} Cherie Deville https://lulustream.com/d/6zaixpre83t9 https://doodstream.com/d/3vkxcsraz59d/17215527 https://streamtape.com/v/0Rk8KgW9bdHbzkP/17215527 (2026) #Anal #MILF #BigTits #Hardcore #Bigass #Blowjob #RIPNSFW</v>
      </c>
      <c r="N313" s="14" t="s">
        <v>303</v>
      </c>
      <c r="O313" s="15" t="s">
        <v>1681</v>
      </c>
      <c r="P313" s="14"/>
      <c r="Q313" s="6"/>
      <c r="R313" s="11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75">
      <c r="A314" s="12" t="s">
        <v>1682</v>
      </c>
      <c r="B314" s="6" t="s">
        <v>14</v>
      </c>
      <c r="C314" s="7" t="str">
        <f t="shared" si="4"/>
        <v xml:space="preserve">Cherie Deville </v>
      </c>
      <c r="D314" s="24" t="s">
        <v>1683</v>
      </c>
      <c r="E314" s="25" t="s">
        <v>1684</v>
      </c>
      <c r="F314" s="9" t="str">
        <f ca="1">IFERROR(__xludf.DUMMYFUNCTION("""https://streamtape.com/v/""&amp;
REGEXEXTRACT(O314,""/thumb/([^/]+)/"")&amp;
""/""&amp;K314"),"https://streamtape.com/v/1ADljy2GKWTeYRl/18597806")</f>
        <v>https://streamtape.com/v/1ADljy2GKWTeYRl/18597806</v>
      </c>
      <c r="G314" s="10" t="e">
        <f t="shared" ca="1" si="5"/>
        <v>#NAME?</v>
      </c>
      <c r="H314" s="11" t="str">
        <f ca="1">IFERROR(__xludf.DUMMYFUNCTION("IFERROR(SUBSTITUTE(SUBSTITUTE(REGEXEXTRACT(A314, ""[^-]+- [^-]+- [^-]+ - (.+?)\.jpg""), "".jpg"", """"), ""-"", "", ""), """")"),"")</f>
        <v/>
      </c>
      <c r="I314" s="6"/>
      <c r="J314" s="7" t="str">
        <f t="shared" ca="1" si="6"/>
        <v>(2026)</v>
      </c>
      <c r="K314" s="7" t="str">
        <f t="shared" si="7"/>
        <v>18597806</v>
      </c>
      <c r="L314" s="12" t="s">
        <v>1478</v>
      </c>
      <c r="M314" s="13" t="str">
        <f ca="1">IFERROR(__xludf.DUMMYFUNCTION("TRIM(
  REGEXREPLACE(
    TEXTJOIN("" "",
      TRUE,
      B314,
      C314,
      embaralharLinks(E314,F314,G314),
      H314,
      """",
      J314,
      N314,
      ""#RIPNSFW""
    ),
  "",\s*"", "" "")
)"),"{New} Cherie Deville https://doodstream.com/d/5kxr36h6r199/18597806 https://streamtape.com/v/1ADljy2GKWTeYRl/18597806 https://lulustream.com/d/n50xmv0i8d24 (2026) #milf #blowjob #bigtits #bigass #RIPNSFW")</f>
        <v>{New} Cherie Deville https://doodstream.com/d/5kxr36h6r199/18597806 https://streamtape.com/v/1ADljy2GKWTeYRl/18597806 https://lulustream.com/d/n50xmv0i8d24 (2026) #milf #blowjob #bigtits #bigass #RIPNSFW</v>
      </c>
      <c r="N314" s="2" t="s">
        <v>1478</v>
      </c>
      <c r="O314" s="30" t="s">
        <v>1685</v>
      </c>
      <c r="P314" s="26"/>
      <c r="R314" s="23"/>
      <c r="T314" s="6"/>
      <c r="U314" s="7"/>
    </row>
    <row r="315" spans="1:27" ht="12.75">
      <c r="A315" s="6" t="s">
        <v>1686</v>
      </c>
      <c r="B315" s="6" t="s">
        <v>14</v>
      </c>
      <c r="C315" s="7" t="str">
        <f t="shared" si="4"/>
        <v xml:space="preserve">Cherie Deville </v>
      </c>
      <c r="D315" s="6" t="s">
        <v>1687</v>
      </c>
      <c r="E315" s="8" t="s">
        <v>1688</v>
      </c>
      <c r="F315" s="9" t="str">
        <f ca="1">IFERROR(__xludf.DUMMYFUNCTION("""https://streamtape.com/v/""&amp;
REGEXEXTRACT(O315,""/thumb/([^/]+)/"")&amp;
""/""&amp;K315"),"https://streamtape.com/v/7PjeR1KqBJsRyq/19564637")</f>
        <v>https://streamtape.com/v/7PjeR1KqBJsRyq/19564637</v>
      </c>
      <c r="G315" s="10" t="e">
        <f t="shared" ca="1" si="5"/>
        <v>#NAME?</v>
      </c>
      <c r="H315" s="11" t="str">
        <f ca="1">IFERROR(__xludf.DUMMYFUNCTION("IFERROR(SUBSTITUTE(SUBSTITUTE(REGEXEXTRACT(A315, ""[^-]+- [^-]+- [^-]+ - (.+?)\.jpg""), "".jpg"", """"), ""-"", "", ""), """")"),"")</f>
        <v/>
      </c>
      <c r="I315" s="6"/>
      <c r="J315" s="7" t="str">
        <f t="shared" ca="1" si="6"/>
        <v>(2026)</v>
      </c>
      <c r="K315" s="7" t="str">
        <f t="shared" si="7"/>
        <v>19564637</v>
      </c>
      <c r="L315" s="12" t="s">
        <v>1689</v>
      </c>
      <c r="M315" s="13" t="str">
        <f ca="1">IFERROR(__xludf.DUMMYFUNCTION("TRIM(
  REGEXREPLACE(
    TEXTJOIN("" "",
      TRUE,
      B315,
      C315,
      embaralharLinks(E315,F315,G315),
      H315,
      """",
      J315,
      N315,
      ""#RIPNSFW""
    ),
  "",\s*"", "" "")
)"),"{New} Cherie Deville https://streamtape.com/v/7PjeR1KqBJsRyq/19564637 https://doodstream.com/d/mnz9h99567ri/19564637 https://lulustream.com/d/7jc6ii854u67 (2026) #MILF #BigTits #Hardcore #Bigass #Blowjob #Amateur #Mature #RIPNSFW")</f>
        <v>{New} Cherie Deville https://streamtape.com/v/7PjeR1KqBJsRyq/19564637 https://doodstream.com/d/mnz9h99567ri/19564637 https://lulustream.com/d/7jc6ii854u67 (2026) #MILF #BigTits #Hardcore #Bigass #Blowjob #Amateur #Mature #RIPNSFW</v>
      </c>
      <c r="N315" s="14" t="s">
        <v>1690</v>
      </c>
      <c r="O315" s="15" t="s">
        <v>1691</v>
      </c>
      <c r="P315" s="14"/>
      <c r="Q315" s="6"/>
      <c r="R315" s="11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75">
      <c r="A316" s="12" t="s">
        <v>1692</v>
      </c>
      <c r="B316" s="6" t="s">
        <v>14</v>
      </c>
      <c r="C316" s="7" t="str">
        <f t="shared" si="4"/>
        <v xml:space="preserve">Cherie Deville </v>
      </c>
      <c r="D316" s="27" t="s">
        <v>1693</v>
      </c>
      <c r="E316" s="28" t="s">
        <v>1694</v>
      </c>
      <c r="F316" s="9" t="str">
        <f ca="1">IFERROR(__xludf.DUMMYFUNCTION("""https://streamtape.com/v/""&amp;
REGEXEXTRACT(O316,""/thumb/([^/]+)/"")&amp;
""/""&amp;K316"),"https://streamtape.com/v/bRBYVAqgxRIPP3b/21818710")</f>
        <v>https://streamtape.com/v/bRBYVAqgxRIPP3b/21818710</v>
      </c>
      <c r="G316" s="10" t="e">
        <f t="shared" ca="1" si="5"/>
        <v>#NAME?</v>
      </c>
      <c r="H316" s="11" t="str">
        <f ca="1">IFERROR(__xludf.DUMMYFUNCTION("IFERROR(SUBSTITUTE(SUBSTITUTE(REGEXEXTRACT(A316, ""[^-]+- [^-]+- [^-]+ - (.+?)\.jpg""), "".jpg"", """"), ""-"", "", ""), """")"),"")</f>
        <v/>
      </c>
      <c r="I316" s="6"/>
      <c r="J316" s="7" t="str">
        <f t="shared" ca="1" si="6"/>
        <v>(2026)</v>
      </c>
      <c r="K316" s="7" t="str">
        <f t="shared" si="7"/>
        <v>21818710</v>
      </c>
      <c r="L316" s="12" t="s">
        <v>47</v>
      </c>
      <c r="M316" s="13" t="str">
        <f ca="1">IFERROR(__xludf.DUMMYFUNCTION("TRIM(
  REGEXREPLACE(
    TEXTJOIN("" "",
      TRUE,
      B316,
      C316,
      embaralharLinks(E316,F316,G316),
      H316,
      """",
      J316,
      N316,
      ""#RIPNSFW""
    ),
  "",\s*"", "" "")
)"),"{New} Cherie Deville https://streamtape.com/v/bRBYVAqgxRIPP3b/21818710 https://doodstream.com/d/zkso5hic4hfh/21818710 https://lulustream.com/d/zuj8qtmuurmb (2026) #MILF #BigTits #Hardcore #Threesome #RIPNSFW")</f>
        <v>{New} Cherie Deville https://streamtape.com/v/bRBYVAqgxRIPP3b/21818710 https://doodstream.com/d/zkso5hic4hfh/21818710 https://lulustream.com/d/zuj8qtmuurmb (2026) #MILF #BigTits #Hardcore #Threesome #RIPNSFW</v>
      </c>
      <c r="N316" s="2" t="s">
        <v>48</v>
      </c>
      <c r="O316" s="30" t="s">
        <v>1695</v>
      </c>
      <c r="P316" s="26"/>
      <c r="R316" s="23"/>
    </row>
    <row r="317" spans="1:27" ht="12.75">
      <c r="A317" s="6" t="s">
        <v>1696</v>
      </c>
      <c r="B317" s="6" t="s">
        <v>14</v>
      </c>
      <c r="C317" s="7" t="str">
        <f t="shared" si="4"/>
        <v xml:space="preserve">Cherie Deville </v>
      </c>
      <c r="D317" s="29" t="s">
        <v>1697</v>
      </c>
      <c r="E317" s="8" t="s">
        <v>1698</v>
      </c>
      <c r="F317" s="9" t="str">
        <f ca="1">IFERROR(__xludf.DUMMYFUNCTION("""https://streamtape.com/v/""&amp;
REGEXEXTRACT(O317,""/thumb/([^/]+)/"")&amp;
""/""&amp;K317"),"https://streamtape.com/v/kkVbeymzlyHOxjg/27444960")</f>
        <v>https://streamtape.com/v/kkVbeymzlyHOxjg/27444960</v>
      </c>
      <c r="G317" s="10" t="e">
        <f t="shared" ca="1" si="5"/>
        <v>#NAME?</v>
      </c>
      <c r="H317" s="11" t="str">
        <f ca="1">IFERROR(__xludf.DUMMYFUNCTION("IFERROR(SUBSTITUTE(SUBSTITUTE(REGEXEXTRACT(A317, ""[^-]+- [^-]+- [^-]+ - (.+?)\.jpg""), "".jpg"", """"), ""-"", "", ""), """")"),"Hazel Grace")</f>
        <v>Hazel Grace</v>
      </c>
      <c r="I317" s="6"/>
      <c r="J317" s="7" t="str">
        <f t="shared" ca="1" si="6"/>
        <v>(2026)</v>
      </c>
      <c r="K317" s="7" t="str">
        <f t="shared" si="7"/>
        <v>27444960</v>
      </c>
      <c r="L317" s="12" t="s">
        <v>1699</v>
      </c>
      <c r="M317" s="13" t="str">
        <f ca="1">IFERROR(__xludf.DUMMYFUNCTION("TRIM(
  REGEXREPLACE(
    TEXTJOIN("" "",
      TRUE,
      B317,
      C317,
      embaralharLinks(E317,F317,G317),
      H317,
      """",
      J317,
      N317,
      ""#RIPNSFW""
    ),
  "",\s*"", "" "")
)"),"{New} Cherie Deville https://streamtape.com/v/kkVbeymzlyHOxjg/27444960 https://doodstream.com/d/clzz4bgdlji9/27444960 https://lulustream.com/d/00hytrb4tysy Hazel Grace (2026) #MILF #BigTits #Creampie #Hardcore #Black #Interracial #Threesome #Bigass #Artpo"&amp;"rn #Stepmom #Blowjob #Amateur #RIPNSFW")</f>
        <v>{New} Cherie Deville https://streamtape.com/v/kkVbeymzlyHOxjg/27444960 https://doodstream.com/d/clzz4bgdlji9/27444960 https://lulustream.com/d/00hytrb4tysy Hazel Grace (2026) #MILF #BigTits #Creampie #Hardcore #Black #Interracial #Threesome #Bigass #Artporn #Stepmom #Blowjob #Amateur #RIPNSFW</v>
      </c>
      <c r="N317" s="14" t="s">
        <v>1700</v>
      </c>
      <c r="O317" s="32" t="s">
        <v>1701</v>
      </c>
      <c r="P317" s="14"/>
      <c r="Q317" s="6"/>
      <c r="R317" s="11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75">
      <c r="A318" s="6" t="s">
        <v>1702</v>
      </c>
      <c r="B318" s="6" t="s">
        <v>14</v>
      </c>
      <c r="C318" s="7" t="str">
        <f t="shared" si="4"/>
        <v xml:space="preserve">Cherie Deville </v>
      </c>
      <c r="D318" s="29" t="s">
        <v>1703</v>
      </c>
      <c r="E318" s="8" t="s">
        <v>1704</v>
      </c>
      <c r="F318" s="9" t="str">
        <f ca="1">IFERROR(__xludf.DUMMYFUNCTION("""https://streamtape.com/v/""&amp;
REGEXEXTRACT(O318,""/thumb/([^/]+)/"")&amp;
""/""&amp;K318"),"https://streamtape.com/v/AXxwKYyjOaTXpyy/43213370")</f>
        <v>https://streamtape.com/v/AXxwKYyjOaTXpyy/43213370</v>
      </c>
      <c r="G318" s="10" t="e">
        <f t="shared" ca="1" si="5"/>
        <v>#NAME?</v>
      </c>
      <c r="H318" s="11" t="str">
        <f ca="1">IFERROR(__xludf.DUMMYFUNCTION("IFERROR(SUBSTITUTE(SUBSTITUTE(REGEXEXTRACT(A318, ""[^-]+- [^-]+- [^-]+ - (.+?)\.jpg""), "".jpg"", """"), ""-"", "", ""), """")"),"Dana DeArmond")</f>
        <v>Dana DeArmond</v>
      </c>
      <c r="I318" s="6"/>
      <c r="J318" s="7" t="str">
        <f t="shared" ca="1" si="6"/>
        <v>(2026)</v>
      </c>
      <c r="K318" s="7" t="str">
        <f t="shared" si="7"/>
        <v>43213370</v>
      </c>
      <c r="L318" s="12" t="s">
        <v>1705</v>
      </c>
      <c r="M318" s="13" t="str">
        <f ca="1">IFERROR(__xludf.DUMMYFUNCTION("TRIM(
  REGEXREPLACE(
    TEXTJOIN("" "",
      TRUE,
      B318,
      C318,
      embaralharLinks(E318,F318,G318),
      H318,
      """",
      J318,
      N318,
      ""#RIPNSFW""
    ),
  "",\s*"", "" "")
)"),"{New} Cherie Deville https://streamtape.com/v/AXxwKYyjOaTXpyy/43213370 https://lulustream.com/d/lm4qcl9umlng https://doodstream.com/d/klq54s5plgfo/43213370 Dana DeArmond (2026) #MILF #BigTits #Hardcore #Threesome #Bigass #RIPNSFW")</f>
        <v>{New} Cherie Deville https://streamtape.com/v/AXxwKYyjOaTXpyy/43213370 https://lulustream.com/d/lm4qcl9umlng https://doodstream.com/d/klq54s5plgfo/43213370 Dana DeArmond (2026) #MILF #BigTits #Hardcore #Threesome #Bigass #RIPNSFW</v>
      </c>
      <c r="N318" s="14" t="s">
        <v>1706</v>
      </c>
      <c r="O318" s="32" t="s">
        <v>1707</v>
      </c>
      <c r="P318" s="14"/>
      <c r="Q318" s="6"/>
      <c r="R318" s="11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75">
      <c r="A319" s="16" t="s">
        <v>1708</v>
      </c>
      <c r="B319" s="11" t="s">
        <v>14</v>
      </c>
      <c r="C319" s="13" t="str">
        <f t="shared" si="4"/>
        <v xml:space="preserve">Cherie Deville </v>
      </c>
      <c r="D319" s="17" t="s">
        <v>1709</v>
      </c>
      <c r="E319" s="18" t="s">
        <v>1710</v>
      </c>
      <c r="F319" s="9" t="str">
        <f ca="1">IFERROR(__xludf.DUMMYFUNCTION("""https://streamtape.com/v/""&amp;
REGEXEXTRACT(O319,""/thumb/([^/]+)/"")&amp;
""/""&amp;K319"),"https://streamtape.com/v/ZjOkPjDwLkTqpoO/49175490")</f>
        <v>https://streamtape.com/v/ZjOkPjDwLkTqpoO/49175490</v>
      </c>
      <c r="G319" s="19" t="e">
        <f t="shared" ca="1" si="5"/>
        <v>#NAME?</v>
      </c>
      <c r="H319" s="11" t="str">
        <f ca="1">IFERROR(__xludf.DUMMYFUNCTION("IFERROR(SUBSTITUTE(SUBSTITUTE(REGEXEXTRACT(A319, ""[^-]+- [^-]+- [^-]+ - (.+?)\.jpg""), "".jpg"", """"), ""-"", "", ""), """")"),"")</f>
        <v/>
      </c>
      <c r="I319" s="11"/>
      <c r="J319" s="13" t="str">
        <f t="shared" ca="1" si="6"/>
        <v>(2026)</v>
      </c>
      <c r="K319" s="13" t="str">
        <f t="shared" si="7"/>
        <v>49175490</v>
      </c>
      <c r="L319" s="16" t="s">
        <v>1711</v>
      </c>
      <c r="M319" s="13" t="str">
        <f ca="1">IFERROR(__xludf.DUMMYFUNCTION("TRIM(
  REGEXREPLACE(
    TEXTJOIN("" "",
      TRUE,
      B319,
      C319,
      embaralharLinks(E319,F319,G319),
      H319,
      """",
      J319,
      N319,
      ""#RIPNSFW""
    ),
  "",\s*"", "" "")
)"),"{New} Cherie Deville https://doodstream.com/d/fxbuajqxbp6q/49175490 https://lulustream.com/d/kfwkhpnqhxdc https://streamtape.com/v/ZjOkPjDwLkTqpoO/49175490 (2026) #milf #bigass #bigtits #blowjob #RIPNSFW")</f>
        <v>{New} Cherie Deville https://doodstream.com/d/fxbuajqxbp6q/49175490 https://lulustream.com/d/kfwkhpnqhxdc https://streamtape.com/v/ZjOkPjDwLkTqpoO/49175490 (2026) #milf #bigass #bigtits #blowjob #RIPNSFW</v>
      </c>
      <c r="N319" s="20" t="s">
        <v>1711</v>
      </c>
      <c r="O319" s="30" t="s">
        <v>1712</v>
      </c>
      <c r="P319" s="22"/>
      <c r="Q319" s="16"/>
      <c r="R319" s="23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75">
      <c r="A320" s="6" t="s">
        <v>1713</v>
      </c>
      <c r="B320" s="6" t="s">
        <v>14</v>
      </c>
      <c r="C320" s="7" t="str">
        <f t="shared" si="4"/>
        <v xml:space="preserve">Cherie Deville </v>
      </c>
      <c r="D320" s="6" t="s">
        <v>1714</v>
      </c>
      <c r="E320" s="8" t="s">
        <v>1715</v>
      </c>
      <c r="F320" s="9" t="str">
        <f ca="1">IFERROR(__xludf.DUMMYFUNCTION("""https://streamtape.com/v/""&amp;
REGEXEXTRACT(O320,""/thumb/([^/]+)/"")&amp;
""/""&amp;K320"),"https://streamtape.com/v/xOYy3kQQwAUk3Mr/66265964")</f>
        <v>https://streamtape.com/v/xOYy3kQQwAUk3Mr/66265964</v>
      </c>
      <c r="G320" s="10" t="e">
        <f t="shared" ca="1" si="5"/>
        <v>#NAME?</v>
      </c>
      <c r="H320" s="11" t="str">
        <f ca="1">IFERROR(__xludf.DUMMYFUNCTION("IFERROR(SUBSTITUTE(SUBSTITUTE(REGEXEXTRACT(A320, ""[^-]+- [^-]+- [^-]+ - (.+?)\.jpg""), "".jpg"", """"), ""-"", "", ""), """")"),"")</f>
        <v/>
      </c>
      <c r="I320" s="6"/>
      <c r="J320" s="7" t="str">
        <f t="shared" ca="1" si="6"/>
        <v>(2026)</v>
      </c>
      <c r="K320" s="7" t="str">
        <f t="shared" si="7"/>
        <v>66265964</v>
      </c>
      <c r="L320" s="12" t="s">
        <v>1716</v>
      </c>
      <c r="M320" s="13" t="str">
        <f ca="1">IFERROR(__xludf.DUMMYFUNCTION("TRIM(
  REGEXREPLACE(
    TEXTJOIN("" "",
      TRUE,
      B320,
      C320,
      embaralharLinks(E320,F320,G320),
      H320,
      """",
      J320,
      N320,
      ""#RIPNSFW""
    ),
  "",\s*"", "" "")
)"),"{New} Cherie Deville https://doodstream.com/d/b2pezqfijjn1/66265964 https://lulustream.com/d/iqxxod9xv36q https://streamtape.com/v/xOYy3kQQwAUk3Mr/66265964 (2026) #MILF #BigTits #Hardcore #Bigass #RIPNSFW")</f>
        <v>{New} Cherie Deville https://doodstream.com/d/b2pezqfijjn1/66265964 https://lulustream.com/d/iqxxod9xv36q https://streamtape.com/v/xOYy3kQQwAUk3Mr/66265964 (2026) #MILF #BigTits #Hardcore #Bigass #RIPNSFW</v>
      </c>
      <c r="N320" s="14" t="s">
        <v>128</v>
      </c>
      <c r="O320" s="21" t="s">
        <v>1717</v>
      </c>
      <c r="P320" s="14"/>
      <c r="Q320" s="6"/>
      <c r="R320" s="11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75">
      <c r="A321" s="6" t="s">
        <v>1718</v>
      </c>
      <c r="B321" s="6" t="s">
        <v>14</v>
      </c>
      <c r="C321" s="7" t="str">
        <f t="shared" si="4"/>
        <v xml:space="preserve">Cherie Deville </v>
      </c>
      <c r="D321" s="29" t="s">
        <v>1719</v>
      </c>
      <c r="E321" s="8" t="s">
        <v>1720</v>
      </c>
      <c r="F321" s="9" t="str">
        <f ca="1">IFERROR(__xludf.DUMMYFUNCTION("""https://streamtape.com/v/""&amp;
REGEXEXTRACT(O321,""/thumb/([^/]+)/"")&amp;
""/""&amp;K321"),"https://streamtape.com/v/9kexZxAgqPtazkq/70617047")</f>
        <v>https://streamtape.com/v/9kexZxAgqPtazkq/70617047</v>
      </c>
      <c r="G321" s="10" t="e">
        <f t="shared" ca="1" si="5"/>
        <v>#NAME?</v>
      </c>
      <c r="H321" s="11" t="str">
        <f ca="1">IFERROR(__xludf.DUMMYFUNCTION("IFERROR(SUBSTITUTE(SUBSTITUTE(REGEXEXTRACT(A321, ""[^-]+- [^-]+- [^-]+ - (.+?)\.jpg""), "".jpg"", """"), ""-"", "", ""), """")"),"")</f>
        <v/>
      </c>
      <c r="I321" s="6"/>
      <c r="J321" s="7" t="str">
        <f t="shared" ca="1" si="6"/>
        <v>(2026)</v>
      </c>
      <c r="K321" s="7" t="str">
        <f t="shared" si="7"/>
        <v>70617047</v>
      </c>
      <c r="L321" s="12" t="s">
        <v>1721</v>
      </c>
      <c r="M321" s="13" t="str">
        <f ca="1">IFERROR(__xludf.DUMMYFUNCTION("TRIM(
  REGEXREPLACE(
    TEXTJOIN("" "",
      TRUE,
      B321,
      C321,
      embaralharLinks(E321,F321,G321),
      H321,
      """",
      J321,
      N321,
      ""#RIPNSFW""
    ),
  "",\s*"", "" "")
)"),"{New} Cherie Deville https://lulustream.com/d/g147lzn4lj67 https://doodstream.com/d/5yls4j7tl1a6/70617047 https://streamtape.com/v/9kexZxAgqPtazkq/70617047 (2026) #MILF #BigTits #Hardcore #Bigass #Artporn #Stepmom #Blowjob #RIPNSFW")</f>
        <v>{New} Cherie Deville https://lulustream.com/d/g147lzn4lj67 https://doodstream.com/d/5yls4j7tl1a6/70617047 https://streamtape.com/v/9kexZxAgqPtazkq/70617047 (2026) #MILF #BigTits #Hardcore #Bigass #Artporn #Stepmom #Blowjob #RIPNSFW</v>
      </c>
      <c r="N321" s="14" t="s">
        <v>1722</v>
      </c>
      <c r="O321" s="32" t="s">
        <v>1723</v>
      </c>
      <c r="P321" s="14"/>
      <c r="Q321" s="6"/>
      <c r="R321" s="11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75">
      <c r="A322" s="6" t="s">
        <v>1724</v>
      </c>
      <c r="B322" s="6" t="s">
        <v>14</v>
      </c>
      <c r="C322" s="7" t="str">
        <f t="shared" si="4"/>
        <v xml:space="preserve">Cherie Deville </v>
      </c>
      <c r="D322" s="6" t="s">
        <v>1725</v>
      </c>
      <c r="E322" s="8" t="s">
        <v>1726</v>
      </c>
      <c r="F322" s="9" t="str">
        <f ca="1">IFERROR(__xludf.DUMMYFUNCTION("""https://streamtape.com/v/""&amp;
REGEXEXTRACT(O322,""/thumb/([^/]+)/"")&amp;
""/""&amp;K322"),"https://streamtape.com/v/bkAdmb7bw0FPYQO/95403949")</f>
        <v>https://streamtape.com/v/bkAdmb7bw0FPYQO/95403949</v>
      </c>
      <c r="G322" s="10" t="e">
        <f t="shared" ca="1" si="5"/>
        <v>#NAME?</v>
      </c>
      <c r="H322" s="11" t="str">
        <f ca="1">IFERROR(__xludf.DUMMYFUNCTION("IFERROR(SUBSTITUTE(SUBSTITUTE(REGEXEXTRACT(A322, ""[^-]+- [^-]+- [^-]+ - (.+?)\.jpg""), "".jpg"", """"), ""-"", "", ""), """")"),"Lena the plug")</f>
        <v>Lena the plug</v>
      </c>
      <c r="I322" s="6"/>
      <c r="J322" s="7" t="str">
        <f t="shared" ca="1" si="6"/>
        <v>(2026)</v>
      </c>
      <c r="K322" s="7" t="str">
        <f t="shared" si="7"/>
        <v>95403949</v>
      </c>
      <c r="L322" s="12" t="s">
        <v>1727</v>
      </c>
      <c r="M322" s="13" t="str">
        <f ca="1">IFERROR(__xludf.DUMMYFUNCTION("TRIM(
  REGEXREPLACE(
    TEXTJOIN("" "",
      TRUE,
      B322,
      C322,
      embaralharLinks(E322,F322,G322),
      H322,
      """",
      J322,
      N322,
      ""#RIPNSFW""
    ),
  "",\s*"", "" "")
)"),"{New} Cherie Deville https://streamtape.com/v/bkAdmb7bw0FPYQO/95403949 https://lulustream.com/d/11holk0hgcrw https://doodstream.com/d/o3vn5nr8xuz8/95403949 Lena the plug (2026) #MILF #BigTits #Creampie #Hardcore #Threesome #Bigass #Blowjob #RIPNSFW")</f>
        <v>{New} Cherie Deville https://streamtape.com/v/bkAdmb7bw0FPYQO/95403949 https://lulustream.com/d/11holk0hgcrw https://doodstream.com/d/o3vn5nr8xuz8/95403949 Lena the plug (2026) #MILF #BigTits #Creampie #Hardcore #Threesome #Bigass #Blowjob #RIPNSFW</v>
      </c>
      <c r="N322" s="14" t="s">
        <v>1728</v>
      </c>
      <c r="O322" s="15" t="s">
        <v>1729</v>
      </c>
      <c r="P322" s="14"/>
      <c r="Q322" s="6"/>
      <c r="R322" s="11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75">
      <c r="A323" s="12" t="s">
        <v>1730</v>
      </c>
      <c r="B323" s="6" t="s">
        <v>14</v>
      </c>
      <c r="C323" s="7" t="str">
        <f t="shared" si="4"/>
        <v xml:space="preserve">Cherry Crush </v>
      </c>
      <c r="D323" s="24" t="s">
        <v>1731</v>
      </c>
      <c r="E323" s="25" t="s">
        <v>1732</v>
      </c>
      <c r="F323" s="9" t="str">
        <f ca="1">IFERROR(__xludf.DUMMYFUNCTION("""https://streamtape.com/v/""&amp;
REGEXEXTRACT(O323,""/thumb/([^/]+)/"")&amp;
""/""&amp;K323"),"https://streamtape.com/v/1ADkKM1PjeIezr7/18101943")</f>
        <v>https://streamtape.com/v/1ADkKM1PjeIezr7/18101943</v>
      </c>
      <c r="G323" s="10" t="e">
        <f t="shared" ca="1" si="5"/>
        <v>#NAME?</v>
      </c>
      <c r="H323" s="11" t="str">
        <f ca="1">IFERROR(__xludf.DUMMYFUNCTION("IFERROR(SUBSTITUTE(SUBSTITUTE(REGEXEXTRACT(A323, ""[^-]+- [^-]+- [^-]+ - (.+?)\.jpg""), "".jpg"", """"), ""-"", "", ""), """")"),"")</f>
        <v/>
      </c>
      <c r="I323" s="6"/>
      <c r="J323" s="7" t="str">
        <f t="shared" ca="1" si="6"/>
        <v>(2026)</v>
      </c>
      <c r="K323" s="7" t="str">
        <f t="shared" si="7"/>
        <v>18101943</v>
      </c>
      <c r="L323" s="12" t="s">
        <v>1733</v>
      </c>
      <c r="M323" s="13" t="str">
        <f ca="1">IFERROR(__xludf.DUMMYFUNCTION("TRIM(
  REGEXREPLACE(
    TEXTJOIN("" "",
      TRUE,
      B323,
      C323,
      embaralharLinks(E323,F323,G323),
      H323,
      """",
      J323,
      N323,
      ""#RIPNSFW""
    ),
  "",\s*"", "" "")
)"),"{New} Cherry Crush https://lulustream.com/d/zscx3v4jwwzl https://streamtape.com/v/1ADkKM1PjeIezr7/18101943 https://doodstream.com/d/jmvkf96mlnj8/18101943 (2026) #asmr #bigtits #bigass #teen #RIPNSFW")</f>
        <v>{New} Cherry Crush https://lulustream.com/d/zscx3v4jwwzl https://streamtape.com/v/1ADkKM1PjeIezr7/18101943 https://doodstream.com/d/jmvkf96mlnj8/18101943 (2026) #asmr #bigtits #bigass #teen #RIPNSFW</v>
      </c>
      <c r="N323" s="2" t="s">
        <v>1733</v>
      </c>
      <c r="O323" s="30" t="s">
        <v>1734</v>
      </c>
      <c r="P323" s="26"/>
      <c r="R323" s="23"/>
      <c r="T323" s="6"/>
      <c r="U323" s="7"/>
    </row>
    <row r="324" spans="1:27" ht="12.75">
      <c r="A324" s="12" t="s">
        <v>1735</v>
      </c>
      <c r="B324" s="6" t="s">
        <v>14</v>
      </c>
      <c r="C324" s="7" t="str">
        <f t="shared" si="4"/>
        <v xml:space="preserve">Cherry Crush </v>
      </c>
      <c r="D324" s="36" t="s">
        <v>1736</v>
      </c>
      <c r="E324" s="25" t="s">
        <v>1737</v>
      </c>
      <c r="F324" s="9" t="str">
        <f ca="1">IFERROR(__xludf.DUMMYFUNCTION("""https://streamtape.com/v/""&amp;
REGEXEXTRACT(O324,""/thumb/([^/]+)/"")&amp;
""/""&amp;K324"),"https://streamtape.com/v/3xqKvYo8D0udwA7/22967091")</f>
        <v>https://streamtape.com/v/3xqKvYo8D0udwA7/22967091</v>
      </c>
      <c r="G324" s="10" t="e">
        <f t="shared" ca="1" si="5"/>
        <v>#NAME?</v>
      </c>
      <c r="H324" s="11" t="str">
        <f ca="1">IFERROR(__xludf.DUMMYFUNCTION("IFERROR(SUBSTITUTE(SUBSTITUTE(REGEXEXTRACT(A324, ""[^-]+- [^-]+- [^-]+ - (.+?)\.jpg""), "".jpg"", """"), ""-"", "", ""), """")"),"")</f>
        <v/>
      </c>
      <c r="I324" s="6"/>
      <c r="J324" s="7" t="str">
        <f t="shared" ca="1" si="6"/>
        <v>(2026)</v>
      </c>
      <c r="K324" s="7" t="str">
        <f t="shared" si="7"/>
        <v>22967091</v>
      </c>
      <c r="L324" s="12" t="s">
        <v>1738</v>
      </c>
      <c r="M324" s="13" t="str">
        <f ca="1">IFERROR(__xludf.DUMMYFUNCTION("TRIM(
  REGEXREPLACE(
    TEXTJOIN("" "",
      TRUE,
      B324,
      C324,
      embaralharLinks(E324,F324,G324),
      H324,
      """",
      J324,
      N324,
      ""#RIPNSFW""
    ),
  "",\s*"", "" "")
)"),"{New} Cherry Crush https://streamtape.com/v/3xqKvYo8D0udwA7/22967091 https://lulustream.com/d/mqvkxgwow0wu https://doodstream.com/d/wh7vwzbnmbif/22967091 (2026) #teen #bigtits #blowjob #bigass #RIPNSFW")</f>
        <v>{New} Cherry Crush https://streamtape.com/v/3xqKvYo8D0udwA7/22967091 https://lulustream.com/d/mqvkxgwow0wu https://doodstream.com/d/wh7vwzbnmbif/22967091 (2026) #teen #bigtits #blowjob #bigass #RIPNSFW</v>
      </c>
      <c r="N324" s="2" t="s">
        <v>1738</v>
      </c>
      <c r="O324" s="30" t="s">
        <v>1739</v>
      </c>
      <c r="P324" s="26"/>
      <c r="R324" s="23"/>
    </row>
    <row r="325" spans="1:27" ht="12.75">
      <c r="A325" s="12" t="s">
        <v>1740</v>
      </c>
      <c r="B325" s="6"/>
      <c r="C325" s="7" t="str">
        <f t="shared" si="4"/>
        <v xml:space="preserve">Cherry Crush </v>
      </c>
      <c r="D325" s="24" t="s">
        <v>1741</v>
      </c>
      <c r="E325" s="25" t="s">
        <v>1742</v>
      </c>
      <c r="F325" s="9" t="str">
        <f ca="1">IFERROR(__xludf.DUMMYFUNCTION("""https://streamtape.com/v/""&amp;
REGEXEXTRACT(O325,""/thumb/([^/]+)/"")&amp;
""/""&amp;K325"),"https://streamtape.com/v/2o4Le7yGgAtzqx/31670888")</f>
        <v>https://streamtape.com/v/2o4Le7yGgAtzqx/31670888</v>
      </c>
      <c r="G325" s="10" t="e">
        <f t="shared" ca="1" si="5"/>
        <v>#NAME?</v>
      </c>
      <c r="H325" s="11" t="str">
        <f ca="1">IFERROR(__xludf.DUMMYFUNCTION("IFERROR(SUBSTITUTE(SUBSTITUTE(REGEXEXTRACT(A325, ""[^-]+- [^-]+- [^-]+ - (.+?)\.jpg""), "".jpg"", """"), ""-"", "", ""), """")"),"")</f>
        <v/>
      </c>
      <c r="I325" s="6"/>
      <c r="J325" s="7" t="str">
        <f t="shared" ca="1" si="6"/>
        <v/>
      </c>
      <c r="K325" s="7" t="str">
        <f t="shared" si="7"/>
        <v>31670888</v>
      </c>
      <c r="L325" s="12" t="s">
        <v>1743</v>
      </c>
      <c r="M325" s="13" t="str">
        <f ca="1">IFERROR(__xludf.DUMMYFUNCTION("TRIM(
  REGEXREPLACE(
    TEXTJOIN("" "",
      TRUE,
      B325,
      C325,
      embaralharLinks(E325,F325,G325),
      H325,
      """",
      J325,
      N325,
      ""#RIPNSFW""
    ),
  "",\s*"", "" "")
)"),"Cherry Crush https://lulustream.com/d/or54uyjamnqq https://doodstream.com/d/vhnkpcguy4u0/31670888 https://streamtape.com/v/2o4Le7yGgAtzqx/31670888 #anal #bigtits #hardcore #bigass #RIPNSFW")</f>
        <v>Cherry Crush https://lulustream.com/d/or54uyjamnqq https://doodstream.com/d/vhnkpcguy4u0/31670888 https://streamtape.com/v/2o4Le7yGgAtzqx/31670888 #anal #bigtits #hardcore #bigass #RIPNSFW</v>
      </c>
      <c r="N325" s="2" t="s">
        <v>1743</v>
      </c>
      <c r="O325" s="30" t="s">
        <v>1744</v>
      </c>
      <c r="P325" s="26"/>
      <c r="R325" s="23"/>
      <c r="T325" s="6"/>
      <c r="U325" s="7"/>
      <c r="Z325" s="12"/>
      <c r="AA325" s="12"/>
    </row>
    <row r="326" spans="1:27" ht="12.75">
      <c r="A326" s="12" t="s">
        <v>1745</v>
      </c>
      <c r="B326" s="6" t="s">
        <v>14</v>
      </c>
      <c r="C326" s="7" t="str">
        <f t="shared" si="4"/>
        <v xml:space="preserve">Cherry Crush </v>
      </c>
      <c r="D326" s="27" t="s">
        <v>1746</v>
      </c>
      <c r="E326" s="28" t="s">
        <v>1747</v>
      </c>
      <c r="F326" s="9" t="str">
        <f ca="1">IFERROR(__xludf.DUMMYFUNCTION("""https://streamtape.com/v/""&amp;
REGEXEXTRACT(O326,""/thumb/([^/]+)/"")&amp;
""/""&amp;K326"),"https://streamtape.com/v/dvzwxbG7a8Hkmd4/42545650")</f>
        <v>https://streamtape.com/v/dvzwxbG7a8Hkmd4/42545650</v>
      </c>
      <c r="G326" s="10" t="e">
        <f t="shared" ca="1" si="5"/>
        <v>#NAME?</v>
      </c>
      <c r="H326" s="11" t="str">
        <f ca="1">IFERROR(__xludf.DUMMYFUNCTION("IFERROR(SUBSTITUTE(SUBSTITUTE(REGEXEXTRACT(A326, ""[^-]+- [^-]+- [^-]+ - (.+?)\.jpg""), "".jpg"", """"), ""-"", "", ""), """")"),"")</f>
        <v/>
      </c>
      <c r="I326" s="6"/>
      <c r="J326" s="7" t="str">
        <f t="shared" ca="1" si="6"/>
        <v>(2026)</v>
      </c>
      <c r="K326" s="7" t="str">
        <f t="shared" si="7"/>
        <v>42545650</v>
      </c>
      <c r="L326" s="12" t="s">
        <v>81</v>
      </c>
      <c r="M326" s="13" t="str">
        <f ca="1">IFERROR(__xludf.DUMMYFUNCTION("TRIM(
  REGEXREPLACE(
    TEXTJOIN("" "",
      TRUE,
      B326,
      C326,
      embaralharLinks(E326,F326,G326),
      H326,
      """",
      J326,
      N326,
      ""#RIPNSFW""
    ),
  "",\s*"", "" "")
)"),"{New} Cherry Crush https://doodstream.com/d/bnzygkkj5g47/42545650 https://lulustream.com/d/5ubqa2zhjtrp https://streamtape.com/v/dvzwxbG7a8Hkmd4/42545650 (2026) #BigTits #Bigass #Teen #Blowjob #RIPNSFW")</f>
        <v>{New} Cherry Crush https://doodstream.com/d/bnzygkkj5g47/42545650 https://lulustream.com/d/5ubqa2zhjtrp https://streamtape.com/v/dvzwxbG7a8Hkmd4/42545650 (2026) #BigTits #Bigass #Teen #Blowjob #RIPNSFW</v>
      </c>
      <c r="N326" s="2" t="s">
        <v>82</v>
      </c>
      <c r="O326" s="30" t="s">
        <v>1748</v>
      </c>
      <c r="P326" s="26"/>
      <c r="R326" s="23"/>
    </row>
    <row r="327" spans="1:27" ht="12.75">
      <c r="A327" s="12" t="s">
        <v>1749</v>
      </c>
      <c r="B327" s="6" t="s">
        <v>14</v>
      </c>
      <c r="C327" s="7" t="str">
        <f t="shared" si="4"/>
        <v xml:space="preserve">Cherry Crush </v>
      </c>
      <c r="D327" s="24" t="s">
        <v>1750</v>
      </c>
      <c r="E327" s="25" t="s">
        <v>1751</v>
      </c>
      <c r="F327" s="9" t="str">
        <f ca="1">IFERROR(__xludf.DUMMYFUNCTION("""https://streamtape.com/v/""&amp;
REGEXEXTRACT(O327,""/thumb/([^/]+)/"")&amp;
""/""&amp;K327"),"https://streamtape.com/v/DMA0BjXpmMsB7M/42781173")</f>
        <v>https://streamtape.com/v/DMA0BjXpmMsB7M/42781173</v>
      </c>
      <c r="G327" s="10" t="e">
        <f t="shared" ca="1" si="5"/>
        <v>#NAME?</v>
      </c>
      <c r="H327" s="11" t="str">
        <f ca="1">IFERROR(__xludf.DUMMYFUNCTION("IFERROR(SUBSTITUTE(SUBSTITUTE(REGEXEXTRACT(A327, ""[^-]+- [^-]+- [^-]+ - (.+?)\.jpg""), "".jpg"", """"), ""-"", "", ""), """")"),"")</f>
        <v/>
      </c>
      <c r="I327" s="6"/>
      <c r="J327" s="7" t="str">
        <f t="shared" ca="1" si="6"/>
        <v>(2026)</v>
      </c>
      <c r="K327" s="7" t="str">
        <f t="shared" si="7"/>
        <v>42781173</v>
      </c>
      <c r="L327" s="12" t="s">
        <v>1752</v>
      </c>
      <c r="M327" s="13" t="str">
        <f ca="1">IFERROR(__xludf.DUMMYFUNCTION("TRIM(
  REGEXREPLACE(
    TEXTJOIN("" "",
      TRUE,
      B327,
      C327,
      embaralharLinks(E327,F327,G327),
      H327,
      """",
      J327,
      N327,
      ""#RIPNSFW""
    ),
  "",\s*"", "" "")
)"),"{New} Cherry Crush https://lulustream.com/d/xb42mbfniyrk https://doodstream.com/d/5i8ya0xmha8t/42781173 https://streamtape.com/v/DMA0BjXpmMsB7M/42781173 (2026) #blowjob #teen #bigass #pov #RIPNSFW")</f>
        <v>{New} Cherry Crush https://lulustream.com/d/xb42mbfniyrk https://doodstream.com/d/5i8ya0xmha8t/42781173 https://streamtape.com/v/DMA0BjXpmMsB7M/42781173 (2026) #blowjob #teen #bigass #pov #RIPNSFW</v>
      </c>
      <c r="N327" s="2" t="s">
        <v>1752</v>
      </c>
      <c r="O327" s="30" t="s">
        <v>1753</v>
      </c>
      <c r="P327" s="26"/>
      <c r="R327" s="23"/>
      <c r="T327" s="6"/>
      <c r="U327" s="7"/>
    </row>
    <row r="328" spans="1:27" ht="12.75">
      <c r="A328" s="12" t="s">
        <v>1754</v>
      </c>
      <c r="B328" s="6" t="s">
        <v>14</v>
      </c>
      <c r="C328" s="7" t="str">
        <f t="shared" si="4"/>
        <v xml:space="preserve">Cherry Crush </v>
      </c>
      <c r="D328" s="27" t="s">
        <v>1755</v>
      </c>
      <c r="E328" s="28" t="s">
        <v>1756</v>
      </c>
      <c r="F328" s="9" t="str">
        <f ca="1">IFERROR(__xludf.DUMMYFUNCTION("""https://streamtape.com/v/""&amp;
REGEXEXTRACT(O328,""/thumb/([^/]+)/"")&amp;
""/""&amp;K328"),"https://streamtape.com/v/OVBLdRQ1YotgM1/50898168")</f>
        <v>https://streamtape.com/v/OVBLdRQ1YotgM1/50898168</v>
      </c>
      <c r="G328" s="10" t="e">
        <f t="shared" ca="1" si="5"/>
        <v>#NAME?</v>
      </c>
      <c r="H328" s="11" t="str">
        <f ca="1">IFERROR(__xludf.DUMMYFUNCTION("IFERROR(SUBSTITUTE(SUBSTITUTE(REGEXEXTRACT(A328, ""[^-]+- [^-]+- [^-]+ - (.+?)\.jpg""), "".jpg"", """"), ""-"", "", ""), """")"),"")</f>
        <v/>
      </c>
      <c r="I328" s="6"/>
      <c r="J328" s="7" t="str">
        <f t="shared" ca="1" si="6"/>
        <v>(2026)</v>
      </c>
      <c r="K328" s="7" t="str">
        <f t="shared" si="7"/>
        <v>50898168</v>
      </c>
      <c r="L328" s="12" t="s">
        <v>81</v>
      </c>
      <c r="M328" s="13" t="str">
        <f ca="1">IFERROR(__xludf.DUMMYFUNCTION("TRIM(
  REGEXREPLACE(
    TEXTJOIN("" "",
      TRUE,
      B328,
      C328,
      embaralharLinks(E328,F328,G328),
      H328,
      """",
      J328,
      N328,
      ""#RIPNSFW""
    ),
  "",\s*"", "" "")
)"),"{New} Cherry Crush https://doodstream.com/d/pn3bbeomwn31/50898168 https://lulustream.com/d/l9o0zi3ixtph https://streamtape.com/v/OVBLdRQ1YotgM1/50898168 (2026) #BigTits #Bigass #Teen #Blowjob #RIPNSFW")</f>
        <v>{New} Cherry Crush https://doodstream.com/d/pn3bbeomwn31/50898168 https://lulustream.com/d/l9o0zi3ixtph https://streamtape.com/v/OVBLdRQ1YotgM1/50898168 (2026) #BigTits #Bigass #Teen #Blowjob #RIPNSFW</v>
      </c>
      <c r="N328" s="2" t="s">
        <v>82</v>
      </c>
      <c r="O328" s="30" t="s">
        <v>1757</v>
      </c>
      <c r="P328" s="26"/>
      <c r="R328" s="23"/>
    </row>
    <row r="329" spans="1:27" ht="12.75">
      <c r="A329" s="6" t="s">
        <v>1758</v>
      </c>
      <c r="B329" s="6" t="s">
        <v>14</v>
      </c>
      <c r="C329" s="7" t="str">
        <f t="shared" si="4"/>
        <v xml:space="preserve">Cherry Crush </v>
      </c>
      <c r="D329" s="29" t="s">
        <v>1759</v>
      </c>
      <c r="E329" s="8" t="s">
        <v>1760</v>
      </c>
      <c r="F329" s="9" t="str">
        <f ca="1">IFERROR(__xludf.DUMMYFUNCTION("""https://streamtape.com/v/""&amp;
REGEXEXTRACT(O329,""/thumb/([^/]+)/"")&amp;
""/""&amp;K329"),"https://streamtape.com/v/LXkZA73OLOtRmyD/61962423")</f>
        <v>https://streamtape.com/v/LXkZA73OLOtRmyD/61962423</v>
      </c>
      <c r="G329" s="10" t="e">
        <f t="shared" ca="1" si="5"/>
        <v>#NAME?</v>
      </c>
      <c r="H329" s="11" t="str">
        <f ca="1">IFERROR(__xludf.DUMMYFUNCTION("IFERROR(SUBSTITUTE(SUBSTITUTE(REGEXEXTRACT(A329, ""[^-]+- [^-]+- [^-]+ - (.+?)\.jpg""), "".jpg"", """"), ""-"", "", ""), """")"),"")</f>
        <v/>
      </c>
      <c r="I329" s="6"/>
      <c r="J329" s="7" t="str">
        <f t="shared" ca="1" si="6"/>
        <v>(2026)</v>
      </c>
      <c r="K329" s="7" t="str">
        <f t="shared" si="7"/>
        <v>61962423</v>
      </c>
      <c r="L329" s="12" t="s">
        <v>1761</v>
      </c>
      <c r="M329" s="13" t="str">
        <f ca="1">IFERROR(__xludf.DUMMYFUNCTION("TRIM(
  REGEXREPLACE(
    TEXTJOIN("" "",
      TRUE,
      B329,
      C329,
      embaralharLinks(E329,F329,G329),
      H329,
      """",
      J329,
      N329,
      ""#RIPNSFW""
    ),
  "",\s*"", "" "")
)"),"{New} Cherry Crush https://streamtape.com/v/LXkZA73OLOtRmyD/61962423 https://doodstream.com/d/3pzx08ww07d8/61962423 https://lulustream.com/d/jzmyboagw8mf (2026) #BigTits #Teen #Teens #Blowjob #RIPNSFW")</f>
        <v>{New} Cherry Crush https://streamtape.com/v/LXkZA73OLOtRmyD/61962423 https://doodstream.com/d/3pzx08ww07d8/61962423 https://lulustream.com/d/jzmyboagw8mf (2026) #BigTits #Teen #Teens #Blowjob #RIPNSFW</v>
      </c>
      <c r="N329" s="14" t="s">
        <v>1762</v>
      </c>
      <c r="O329" s="32" t="s">
        <v>1763</v>
      </c>
      <c r="P329" s="14"/>
      <c r="Q329" s="6"/>
      <c r="R329" s="11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75">
      <c r="A330" s="12" t="s">
        <v>1764</v>
      </c>
      <c r="B330" s="6" t="s">
        <v>14</v>
      </c>
      <c r="C330" s="7" t="str">
        <f t="shared" si="4"/>
        <v xml:space="preserve">Cherry Crush </v>
      </c>
      <c r="D330" s="24" t="s">
        <v>1765</v>
      </c>
      <c r="E330" s="25" t="s">
        <v>1766</v>
      </c>
      <c r="F330" s="9" t="str">
        <f ca="1">IFERROR(__xludf.DUMMYFUNCTION("""https://streamtape.com/v/""&amp;
REGEXEXTRACT(O330,""/thumb/([^/]+)/"")&amp;
""/""&amp;K330"),"https://streamtape.com/v/lPkXm4VJVyC7PvW/70612286")</f>
        <v>https://streamtape.com/v/lPkXm4VJVyC7PvW/70612286</v>
      </c>
      <c r="G330" s="10" t="e">
        <f t="shared" ca="1" si="5"/>
        <v>#NAME?</v>
      </c>
      <c r="H330" s="11" t="str">
        <f ca="1">IFERROR(__xludf.DUMMYFUNCTION("IFERROR(SUBSTITUTE(SUBSTITUTE(REGEXEXTRACT(A330, ""[^-]+- [^-]+- [^-]+ - (.+?)\.jpg""), "".jpg"", """"), ""-"", "", ""), """")"),"")</f>
        <v/>
      </c>
      <c r="I330" s="6"/>
      <c r="J330" s="7" t="str">
        <f t="shared" ca="1" si="6"/>
        <v>(2026)</v>
      </c>
      <c r="K330" s="7" t="str">
        <f t="shared" si="7"/>
        <v>70612286</v>
      </c>
      <c r="L330" s="12" t="s">
        <v>1767</v>
      </c>
      <c r="M330" s="13" t="str">
        <f ca="1">IFERROR(__xludf.DUMMYFUNCTION("TRIM(
  REGEXREPLACE(
    TEXTJOIN("" "",
      TRUE,
      B330,
      C330,
      embaralharLinks(E330,F330,G330),
      H330,
      """",
      J330,
      N330,
      ""#RIPNSFW""
    ),
  "",\s*"", "" "")
)"),"{New} Cherry Crush https://doodstream.com/d/2yadh2scvzad/70612286 https://lulustream.com/d/g3v6kzlqpsgi https://streamtape.com/v/lPkXm4VJVyC7PvW/70612286 (2026) #teen #bigtits #blowjob #solo #RIPNSFW")</f>
        <v>{New} Cherry Crush https://doodstream.com/d/2yadh2scvzad/70612286 https://lulustream.com/d/g3v6kzlqpsgi https://streamtape.com/v/lPkXm4VJVyC7PvW/70612286 (2026) #teen #bigtits #blowjob #solo #RIPNSFW</v>
      </c>
      <c r="N330" s="2" t="s">
        <v>1767</v>
      </c>
      <c r="O330" s="30" t="s">
        <v>1768</v>
      </c>
      <c r="P330" s="26"/>
      <c r="R330" s="23"/>
    </row>
    <row r="331" spans="1:27" ht="12.75">
      <c r="A331" s="6" t="s">
        <v>1769</v>
      </c>
      <c r="B331" s="6" t="s">
        <v>14</v>
      </c>
      <c r="C331" s="7" t="str">
        <f t="shared" si="4"/>
        <v xml:space="preserve">Cherry Crush </v>
      </c>
      <c r="D331" s="24" t="s">
        <v>1770</v>
      </c>
      <c r="E331" s="25" t="s">
        <v>1771</v>
      </c>
      <c r="F331" s="9" t="str">
        <f ca="1">IFERROR(__xludf.DUMMYFUNCTION("""https://streamtape.com/v/""&amp;
REGEXEXTRACT(O331,""/thumb/([^/]+)/"")&amp;
""/""&amp;K331"),"https://streamtape.com/v/qywg1MzpKjFz3Z6/72758988")</f>
        <v>https://streamtape.com/v/qywg1MzpKjFz3Z6/72758988</v>
      </c>
      <c r="G331" s="10" t="e">
        <f t="shared" ca="1" si="5"/>
        <v>#NAME?</v>
      </c>
      <c r="H331" s="11" t="str">
        <f ca="1">IFERROR(__xludf.DUMMYFUNCTION("IFERROR(SUBSTITUTE(SUBSTITUTE(REGEXEXTRACT(A331, ""[^-]+- [^-]+- [^-]+ - (.+?)\.jpg""), "".jpg"", """"), ""-"", "", ""), """")"),"")</f>
        <v/>
      </c>
      <c r="I331" s="6"/>
      <c r="J331" s="7" t="str">
        <f t="shared" ca="1" si="6"/>
        <v>(2026)</v>
      </c>
      <c r="K331" s="7" t="str">
        <f t="shared" si="7"/>
        <v>72758988</v>
      </c>
      <c r="L331" s="12" t="s">
        <v>1772</v>
      </c>
      <c r="M331" s="13" t="str">
        <f ca="1">IFERROR(__xludf.DUMMYFUNCTION("TRIM(
  REGEXREPLACE(
    TEXTJOIN("" "",
      TRUE,
      B331,
      C331,
      embaralharLinks(E331,F331,G331),
      H331,
      """",
      J331,
      N331,
      ""#RIPNSFW""
    ),
  "",\s*"", "" "")
)"),"{New} Cherry Crush https://lulustream.com/d/kyhwt7lx359p https://streamtape.com/v/qywg1MzpKjFz3Z6/72758988 https://doodstream.com/d/9ltnzu00efrq/72758988 (2026) #bigtits #teen #blowjob #amateur #RIPNSFW")</f>
        <v>{New} Cherry Crush https://lulustream.com/d/kyhwt7lx359p https://streamtape.com/v/qywg1MzpKjFz3Z6/72758988 https://doodstream.com/d/9ltnzu00efrq/72758988 (2026) #bigtits #teen #blowjob #amateur #RIPNSFW</v>
      </c>
      <c r="N331" s="31" t="s">
        <v>1772</v>
      </c>
      <c r="O331" s="32" t="s">
        <v>1773</v>
      </c>
      <c r="P331" s="26"/>
      <c r="R331" s="23"/>
      <c r="T331" s="6"/>
      <c r="U331" s="7"/>
    </row>
    <row r="332" spans="1:27" ht="12.75">
      <c r="A332" s="12" t="s">
        <v>1774</v>
      </c>
      <c r="B332" s="6" t="s">
        <v>14</v>
      </c>
      <c r="C332" s="7" t="str">
        <f t="shared" si="4"/>
        <v xml:space="preserve">Cherry Crush </v>
      </c>
      <c r="D332" s="27" t="s">
        <v>1775</v>
      </c>
      <c r="E332" s="28" t="s">
        <v>1776</v>
      </c>
      <c r="F332" s="9" t="str">
        <f ca="1">IFERROR(__xludf.DUMMYFUNCTION("""https://streamtape.com/v/""&amp;
REGEXEXTRACT(O332,""/thumb/([^/]+)/"")&amp;
""/""&amp;K332"),"https://streamtape.com/v/2zDewyJyaQHxr3/75242411")</f>
        <v>https://streamtape.com/v/2zDewyJyaQHxr3/75242411</v>
      </c>
      <c r="G332" s="10" t="e">
        <f t="shared" ca="1" si="5"/>
        <v>#NAME?</v>
      </c>
      <c r="H332" s="11" t="str">
        <f ca="1">IFERROR(__xludf.DUMMYFUNCTION("IFERROR(SUBSTITUTE(SUBSTITUTE(REGEXEXTRACT(A332, ""[^-]+- [^-]+- [^-]+ - (.+?)\.jpg""), "".jpg"", """"), ""-"", "", ""), """")"),"")</f>
        <v/>
      </c>
      <c r="I332" s="6"/>
      <c r="J332" s="7" t="str">
        <f t="shared" ca="1" si="6"/>
        <v>(2026)</v>
      </c>
      <c r="K332" s="7" t="str">
        <f t="shared" si="7"/>
        <v>75242411</v>
      </c>
      <c r="L332" s="12" t="s">
        <v>1777</v>
      </c>
      <c r="M332" s="13" t="str">
        <f ca="1">IFERROR(__xludf.DUMMYFUNCTION("TRIM(
  REGEXREPLACE(
    TEXTJOIN("" "",
      TRUE,
      B332,
      C332,
      embaralharLinks(E332,F332,G332),
      H332,
      """",
      J332,
      N332,
      ""#RIPNSFW""
    ),
  "",\s*"", "" "")
)"),"{New} Cherry Crush https://streamtape.com/v/2zDewyJyaQHxr3/75242411 https://lulustream.com/d/nux1a2mpa6cy https://doodstream.com/d/h071x3mastje/75242411 (2026) #BigTits #Teen #Roleplay #Solo #RIPNSFW")</f>
        <v>{New} Cherry Crush https://streamtape.com/v/2zDewyJyaQHxr3/75242411 https://lulustream.com/d/nux1a2mpa6cy https://doodstream.com/d/h071x3mastje/75242411 (2026) #BigTits #Teen #Roleplay #Solo #RIPNSFW</v>
      </c>
      <c r="N332" s="2" t="s">
        <v>1778</v>
      </c>
      <c r="O332" s="30" t="s">
        <v>1779</v>
      </c>
      <c r="P332" s="26"/>
    </row>
    <row r="333" spans="1:27" ht="12.75">
      <c r="A333" s="12" t="s">
        <v>1780</v>
      </c>
      <c r="B333" s="6" t="s">
        <v>14</v>
      </c>
      <c r="C333" s="7" t="str">
        <f t="shared" si="4"/>
        <v xml:space="preserve">Chloe Foxxe </v>
      </c>
      <c r="D333" s="24" t="s">
        <v>1781</v>
      </c>
      <c r="E333" s="25" t="s">
        <v>1782</v>
      </c>
      <c r="F333" s="9" t="str">
        <f ca="1">IFERROR(__xludf.DUMMYFUNCTION("""https://streamtape.com/v/""&amp;
REGEXEXTRACT(O333,""/thumb/([^/]+)/"")&amp;
""/""&amp;K333"),"https://streamtape.com/v/WwolrmdO1oUpbe/49813379")</f>
        <v>https://streamtape.com/v/WwolrmdO1oUpbe/49813379</v>
      </c>
      <c r="G333" s="10" t="e">
        <f t="shared" ca="1" si="5"/>
        <v>#NAME?</v>
      </c>
      <c r="H333" s="11" t="str">
        <f ca="1">IFERROR(__xludf.DUMMYFUNCTION("IFERROR(SUBSTITUTE(SUBSTITUTE(REGEXEXTRACT(A333, ""[^-]+- [^-]+- [^-]+ - (.+?)\.jpg""), "".jpg"", """"), ""-"", "", ""), """")"),"")</f>
        <v/>
      </c>
      <c r="I333" s="6"/>
      <c r="J333" s="7" t="str">
        <f t="shared" ca="1" si="6"/>
        <v>(2026)</v>
      </c>
      <c r="K333" s="7" t="str">
        <f t="shared" si="7"/>
        <v>49813379</v>
      </c>
      <c r="L333" s="12" t="s">
        <v>1783</v>
      </c>
      <c r="M333" s="13" t="str">
        <f ca="1">IFERROR(__xludf.DUMMYFUNCTION("TRIM(
  REGEXREPLACE(
    TEXTJOIN("" "",
      TRUE,
      B333,
      C333,
      embaralharLinks(E333,F333,G333),
      H333,
      """",
      J333,
      N333,
      ""#RIPNSFW""
    ),
  "",\s*"", "" "")
)"),"{New} Chloe Foxxe https://doodstream.com/d/qy92a1w3xz0u/49813379 https://lulustream.com/d/jaoey9t18qmw https://streamtape.com/v/WwolrmdO1oUpbe/49813379 (2026) #teen #blowjob #brunette #doggystyle #RIPNSFW")</f>
        <v>{New} Chloe Foxxe https://doodstream.com/d/qy92a1w3xz0u/49813379 https://lulustream.com/d/jaoey9t18qmw https://streamtape.com/v/WwolrmdO1oUpbe/49813379 (2026) #teen #blowjob #brunette #doggystyle #RIPNSFW</v>
      </c>
      <c r="N333" s="2" t="s">
        <v>1783</v>
      </c>
      <c r="O333" s="30" t="s">
        <v>1784</v>
      </c>
      <c r="P333" s="26"/>
      <c r="R333" s="23"/>
      <c r="T333" s="6"/>
      <c r="U333" s="7"/>
    </row>
    <row r="334" spans="1:27" ht="12.75">
      <c r="A334" s="12" t="s">
        <v>1785</v>
      </c>
      <c r="B334" s="6" t="s">
        <v>14</v>
      </c>
      <c r="C334" s="7" t="str">
        <f t="shared" si="4"/>
        <v xml:space="preserve">Codi Vore </v>
      </c>
      <c r="D334" s="36" t="s">
        <v>1786</v>
      </c>
      <c r="E334" s="25" t="s">
        <v>1787</v>
      </c>
      <c r="F334" s="9" t="str">
        <f ca="1">IFERROR(__xludf.DUMMYFUNCTION("""https://streamtape.com/v/""&amp;
REGEXEXTRACT(O334,""/thumb/([^/]+)/"")&amp;
""/""&amp;K334"),"https://streamtape.com/v/Y1z2zyjRYvU6gj/25973564")</f>
        <v>https://streamtape.com/v/Y1z2zyjRYvU6gj/25973564</v>
      </c>
      <c r="G334" s="10" t="e">
        <f t="shared" ca="1" si="5"/>
        <v>#NAME?</v>
      </c>
      <c r="H334" s="11" t="str">
        <f ca="1">IFERROR(__xludf.DUMMYFUNCTION("IFERROR(SUBSTITUTE(SUBSTITUTE(REGEXEXTRACT(A334, ""[^-]+- [^-]+- [^-]+ - (.+?)\.jpg""), "".jpg"", """"), ""-"", "", ""), """")"),"")</f>
        <v/>
      </c>
      <c r="I334" s="6"/>
      <c r="J334" s="7" t="str">
        <f t="shared" ca="1" si="6"/>
        <v>(2026)</v>
      </c>
      <c r="K334" s="7" t="str">
        <f t="shared" si="7"/>
        <v>25973564</v>
      </c>
      <c r="L334" s="12" t="s">
        <v>1788</v>
      </c>
      <c r="M334" s="13" t="str">
        <f ca="1">IFERROR(__xludf.DUMMYFUNCTION("TRIM(
  REGEXREPLACE(
    TEXTJOIN("" "",
      TRUE,
      B334,
      C334,
      embaralharLinks(E334,F334,G334),
      H334,
      """",
      J334,
      N334,
      ""#RIPNSFW""
    ),
  "",\s*"", "" "")
)"),"{New} Codi Vore https://doodstream.com/d/khgtia29umvr/25973564 https://lulustream.com/d/w4f9vd5wf9hf https://streamtape.com/v/Y1z2zyjRYvU6gj/25973564 (2026) #milf #bigtits #blowjob #blonde #RIPNSFW")</f>
        <v>{New} Codi Vore https://doodstream.com/d/khgtia29umvr/25973564 https://lulustream.com/d/w4f9vd5wf9hf https://streamtape.com/v/Y1z2zyjRYvU6gj/25973564 (2026) #milf #bigtits #blowjob #blonde #RIPNSFW</v>
      </c>
      <c r="N334" s="2" t="s">
        <v>1788</v>
      </c>
      <c r="O334" s="21" t="s">
        <v>1789</v>
      </c>
      <c r="P334" s="26"/>
      <c r="R334" s="23"/>
    </row>
    <row r="335" spans="1:27" ht="12.75">
      <c r="A335" s="6" t="s">
        <v>1790</v>
      </c>
      <c r="B335" s="6" t="s">
        <v>14</v>
      </c>
      <c r="C335" s="7" t="str">
        <f t="shared" si="4"/>
        <v xml:space="preserve">Codi Vore </v>
      </c>
      <c r="D335" s="24" t="s">
        <v>1791</v>
      </c>
      <c r="E335" s="25" t="s">
        <v>1792</v>
      </c>
      <c r="F335" s="9" t="str">
        <f ca="1">IFERROR(__xludf.DUMMYFUNCTION("""https://streamtape.com/v/""&amp;
REGEXEXTRACT(O335,""/thumb/([^/]+)/"")&amp;
""/""&amp;K335"),"https://streamtape.com/v/wPL2GzZb8DHJ8wb/59741750")</f>
        <v>https://streamtape.com/v/wPL2GzZb8DHJ8wb/59741750</v>
      </c>
      <c r="G335" s="10" t="e">
        <f t="shared" ca="1" si="5"/>
        <v>#NAME?</v>
      </c>
      <c r="H335" s="11" t="str">
        <f ca="1">IFERROR(__xludf.DUMMYFUNCTION("IFERROR(SUBSTITUTE(SUBSTITUTE(REGEXEXTRACT(A335, ""[^-]+- [^-]+- [^-]+ - (.+?)\.jpg""), "".jpg"", """"), ""-"", "", ""), """")"),"")</f>
        <v/>
      </c>
      <c r="I335" s="6"/>
      <c r="J335" s="7" t="str">
        <f t="shared" ca="1" si="6"/>
        <v>(2026)</v>
      </c>
      <c r="K335" s="7" t="str">
        <f t="shared" si="7"/>
        <v>59741750</v>
      </c>
      <c r="L335" s="12" t="s">
        <v>1793</v>
      </c>
      <c r="M335" s="13" t="str">
        <f ca="1">IFERROR(__xludf.DUMMYFUNCTION("TRIM(
  REGEXREPLACE(
    TEXTJOIN("" "",
      TRUE,
      B335,
      C335,
      embaralharLinks(E335,F335,G335),
      H335,
      """",
      J335,
      N335,
      ""#RIPNSFW""
    ),
  "",\s*"", "" "")
)"),"{New} Codi Vore https://doodstream.com/d/19veq6ccsk7o/59741750 https://streamtape.com/v/wPL2GzZb8DHJ8wb/59741750 https://lulustream.com/d/9r8ae03ec8kf (2026) #milf #creampie #blonde #bigtits #RIPNSFW")</f>
        <v>{New} Codi Vore https://doodstream.com/d/19veq6ccsk7o/59741750 https://streamtape.com/v/wPL2GzZb8DHJ8wb/59741750 https://lulustream.com/d/9r8ae03ec8kf (2026) #milf #creampie #blonde #bigtits #RIPNSFW</v>
      </c>
      <c r="N335" s="31" t="s">
        <v>1793</v>
      </c>
      <c r="O335" s="32" t="s">
        <v>1794</v>
      </c>
      <c r="P335" s="26"/>
      <c r="Q335" s="6"/>
      <c r="R335" s="11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75">
      <c r="A336" s="12" t="s">
        <v>1795</v>
      </c>
      <c r="B336" s="6" t="s">
        <v>14</v>
      </c>
      <c r="C336" s="7" t="str">
        <f t="shared" si="4"/>
        <v xml:space="preserve">Codi Vore </v>
      </c>
      <c r="D336" s="24" t="s">
        <v>1796</v>
      </c>
      <c r="E336" s="25" t="s">
        <v>1797</v>
      </c>
      <c r="F336" s="9" t="str">
        <f ca="1">IFERROR(__xludf.DUMMYFUNCTION("""https://streamtape.com/v/""&amp;
REGEXEXTRACT(O336,""/thumb/([^/]+)/"")&amp;
""/""&amp;K336"),"https://streamtape.com/v/zV7BxqWxozFYAo3/97196141")</f>
        <v>https://streamtape.com/v/zV7BxqWxozFYAo3/97196141</v>
      </c>
      <c r="G336" s="10" t="e">
        <f t="shared" ca="1" si="5"/>
        <v>#NAME?</v>
      </c>
      <c r="H336" s="11" t="str">
        <f ca="1">IFERROR(__xludf.DUMMYFUNCTION("IFERROR(SUBSTITUTE(SUBSTITUTE(REGEXEXTRACT(A336, ""[^-]+- [^-]+- [^-]+ - (.+?)\.jpg""), "".jpg"", """"), ""-"", "", ""), """")"),"Ginger Monroe")</f>
        <v>Ginger Monroe</v>
      </c>
      <c r="I336" s="6"/>
      <c r="J336" s="7" t="str">
        <f t="shared" ca="1" si="6"/>
        <v>(2026)</v>
      </c>
      <c r="K336" s="7" t="str">
        <f t="shared" si="7"/>
        <v>97196141</v>
      </c>
      <c r="L336" s="12" t="s">
        <v>1798</v>
      </c>
      <c r="M336" s="13" t="str">
        <f ca="1">IFERROR(__xludf.DUMMYFUNCTION("TRIM(
  REGEXREPLACE(
    TEXTJOIN("" "",
      TRUE,
      B336,
      C336,
      embaralharLinks(E336,F336,G336),
      H336,
      """",
      J336,
      N336,
      ""#RIPNSFW""
    ),
  "",\s*"", "" "")
)"),"{New} Codi Vore https://streamtape.com/v/zV7BxqWxozFYAo3/97196141 https://lulustream.com/d/ybbc8ra87bv9 https://doodstream.com/d/7m8lihcwr7r8/97196141 Ginger Monroe (2026) #milf #bigtits #hardcore #bigass #RIPNSFW")</f>
        <v>{New} Codi Vore https://streamtape.com/v/zV7BxqWxozFYAo3/97196141 https://lulustream.com/d/ybbc8ra87bv9 https://doodstream.com/d/7m8lihcwr7r8/97196141 Ginger Monroe (2026) #milf #bigtits #hardcore #bigass #RIPNSFW</v>
      </c>
      <c r="N336" s="2" t="s">
        <v>1798</v>
      </c>
      <c r="O336" s="21" t="s">
        <v>1799</v>
      </c>
      <c r="P336" s="26"/>
      <c r="R336" s="23"/>
      <c r="T336" s="6"/>
      <c r="U336" s="7"/>
    </row>
    <row r="337" spans="1:27" ht="12.75">
      <c r="A337" s="12" t="s">
        <v>1800</v>
      </c>
      <c r="B337" s="6" t="s">
        <v>14</v>
      </c>
      <c r="C337" s="7" t="str">
        <f t="shared" si="4"/>
        <v xml:space="preserve">Comatozze </v>
      </c>
      <c r="D337" s="24" t="s">
        <v>1801</v>
      </c>
      <c r="E337" s="25" t="s">
        <v>1802</v>
      </c>
      <c r="F337" s="9" t="str">
        <f ca="1">IFERROR(__xludf.DUMMYFUNCTION("""https://streamtape.com/v/""&amp;
REGEXEXTRACT(O337,""/thumb/([^/]+)/"")&amp;
""/""&amp;K337"),"https://streamtape.com/v/V6D1jx7JGluY3m/11995759")</f>
        <v>https://streamtape.com/v/V6D1jx7JGluY3m/11995759</v>
      </c>
      <c r="G337" s="10" t="e">
        <f t="shared" ca="1" si="5"/>
        <v>#NAME?</v>
      </c>
      <c r="H337" s="11" t="str">
        <f ca="1">IFERROR(__xludf.DUMMYFUNCTION("IFERROR(SUBSTITUTE(SUBSTITUTE(REGEXEXTRACT(A337, ""[^-]+- [^-]+- [^-]+ - (.+?)\.jpg""), "".jpg"", """"), ""-"", "", ""), """")"),"")</f>
        <v/>
      </c>
      <c r="I337" s="6"/>
      <c r="J337" s="7" t="str">
        <f t="shared" ca="1" si="6"/>
        <v>(2026)</v>
      </c>
      <c r="K337" s="7" t="str">
        <f t="shared" si="7"/>
        <v>11995759</v>
      </c>
      <c r="L337" s="12" t="s">
        <v>207</v>
      </c>
      <c r="M337" s="13" t="str">
        <f ca="1">IFERROR(__xludf.DUMMYFUNCTION("TRIM(
  REGEXREPLACE(
    TEXTJOIN("" "",
      TRUE,
      B337,
      C337,
      embaralharLinks(E337,F337,G337),
      H337,
      """",
      J337,
      N337,
      ""#RIPNSFW""
    ),
  "",\s*"", "" "")
)"),"{New} Comatozze https://streamtape.com/v/V6D1jx7JGluY3m/11995759 https://lulustream.com/d/zmdmomwvshfy https://doodstream.com/d/f4wnvgqmz0y7/11995759 (2026) #BigTits #Hardcore #Bigass #Teen #RIPNSFW")</f>
        <v>{New} Comatozze https://streamtape.com/v/V6D1jx7JGluY3m/11995759 https://lulustream.com/d/zmdmomwvshfy https://doodstream.com/d/f4wnvgqmz0y7/11995759 (2026) #BigTits #Hardcore #Bigass #Teen #RIPNSFW</v>
      </c>
      <c r="N337" s="2" t="s">
        <v>208</v>
      </c>
      <c r="O337" s="30" t="s">
        <v>1803</v>
      </c>
      <c r="P337" s="26"/>
      <c r="R337" s="23"/>
    </row>
    <row r="338" spans="1:27" ht="12.75">
      <c r="A338" s="12" t="s">
        <v>1804</v>
      </c>
      <c r="B338" s="6" t="s">
        <v>14</v>
      </c>
      <c r="C338" s="7" t="str">
        <f t="shared" si="4"/>
        <v xml:space="preserve">Comatozze </v>
      </c>
      <c r="D338" s="24" t="s">
        <v>1805</v>
      </c>
      <c r="E338" s="25" t="s">
        <v>1806</v>
      </c>
      <c r="F338" s="9" t="str">
        <f ca="1">IFERROR(__xludf.DUMMYFUNCTION("""https://streamtape.com/v/""&amp;
REGEXEXTRACT(O338,""/thumb/([^/]+)/"")&amp;
""/""&amp;K338"),"https://streamtape.com/v/g9arLe4YQAiqwZV/12745761")</f>
        <v>https://streamtape.com/v/g9arLe4YQAiqwZV/12745761</v>
      </c>
      <c r="G338" s="10" t="e">
        <f t="shared" ca="1" si="5"/>
        <v>#NAME?</v>
      </c>
      <c r="H338" s="11" t="str">
        <f ca="1">IFERROR(__xludf.DUMMYFUNCTION("IFERROR(SUBSTITUTE(SUBSTITUTE(REGEXEXTRACT(A338, ""[^-]+- [^-]+- [^-]+ - (.+?)\.jpg""), "".jpg"", """"), ""-"", "", ""), """")"),"")</f>
        <v/>
      </c>
      <c r="I338" s="6"/>
      <c r="J338" s="7" t="str">
        <f t="shared" ca="1" si="6"/>
        <v>(2026)</v>
      </c>
      <c r="K338" s="7" t="str">
        <f t="shared" si="7"/>
        <v>12745761</v>
      </c>
      <c r="L338" s="12" t="s">
        <v>207</v>
      </c>
      <c r="M338" s="13" t="str">
        <f ca="1">IFERROR(__xludf.DUMMYFUNCTION("TRIM(
  REGEXREPLACE(
    TEXTJOIN("" "",
      TRUE,
      B338,
      C338,
      embaralharLinks(E338,F338,G338),
      H338,
      """",
      J338,
      N338,
      ""#RIPNSFW""
    ),
  "",\s*"", "" "")
)"),"{New} Comatozze https://doodstream.com/d/8199t6r1fxa1/12745761 https://streamtape.com/v/g9arLe4YQAiqwZV/12745761 https://lulustream.com/d/g6rltx4sqxig (2026) #BigTits #Hardcore #Bigass #Teen #RIPNSFW")</f>
        <v>{New} Comatozze https://doodstream.com/d/8199t6r1fxa1/12745761 https://streamtape.com/v/g9arLe4YQAiqwZV/12745761 https://lulustream.com/d/g6rltx4sqxig (2026) #BigTits #Hardcore #Bigass #Teen #RIPNSFW</v>
      </c>
      <c r="N338" s="2" t="s">
        <v>208</v>
      </c>
      <c r="O338" s="30" t="s">
        <v>1807</v>
      </c>
      <c r="P338" s="26"/>
      <c r="R338" s="23"/>
    </row>
    <row r="339" spans="1:27" ht="12.75">
      <c r="A339" s="12" t="s">
        <v>1808</v>
      </c>
      <c r="B339" s="6" t="s">
        <v>14</v>
      </c>
      <c r="C339" s="7" t="str">
        <f t="shared" si="4"/>
        <v xml:space="preserve">Comatozze </v>
      </c>
      <c r="D339" s="27" t="s">
        <v>1809</v>
      </c>
      <c r="E339" s="28" t="s">
        <v>1810</v>
      </c>
      <c r="F339" s="9" t="str">
        <f ca="1">IFERROR(__xludf.DUMMYFUNCTION("""https://streamtape.com/v/""&amp;
REGEXEXTRACT(O339,""/thumb/([^/]+)/"")&amp;
""/""&amp;K339"),"https://streamtape.com/v/dgYB7PL8kriZrp/17647210")</f>
        <v>https://streamtape.com/v/dgYB7PL8kriZrp/17647210</v>
      </c>
      <c r="G339" s="10" t="e">
        <f t="shared" ca="1" si="5"/>
        <v>#NAME?</v>
      </c>
      <c r="H339" s="11" t="str">
        <f ca="1">IFERROR(__xludf.DUMMYFUNCTION("IFERROR(SUBSTITUTE(SUBSTITUTE(REGEXEXTRACT(A339, ""[^-]+- [^-]+- [^-]+ - (.+?)\.jpg""), "".jpg"", """"), ""-"", "", ""), """")"),"")</f>
        <v/>
      </c>
      <c r="I339" s="6"/>
      <c r="J339" s="7" t="str">
        <f t="shared" ca="1" si="6"/>
        <v>(2026)</v>
      </c>
      <c r="K339" s="7" t="str">
        <f t="shared" si="7"/>
        <v>17647210</v>
      </c>
      <c r="L339" s="12" t="s">
        <v>207</v>
      </c>
      <c r="M339" s="13" t="str">
        <f ca="1">IFERROR(__xludf.DUMMYFUNCTION("TRIM(
  REGEXREPLACE(
    TEXTJOIN("" "",
      TRUE,
      B339,
      C339,
      embaralharLinks(E339,F339,G339),
      H339,
      """",
      J339,
      N339,
      ""#RIPNSFW""
    ),
  "",\s*"", "" "")
)"),"{New} Comatozze https://doodstream.com/d/erq5bu8xlp0y/17647210 https://lulustream.com/d/69xgm9j57166 https://streamtape.com/v/dgYB7PL8kriZrp/17647210 (2026) #BigTits #Hardcore #Bigass #Teen #RIPNSFW")</f>
        <v>{New} Comatozze https://doodstream.com/d/erq5bu8xlp0y/17647210 https://lulustream.com/d/69xgm9j57166 https://streamtape.com/v/dgYB7PL8kriZrp/17647210 (2026) #BigTits #Hardcore #Bigass #Teen #RIPNSFW</v>
      </c>
      <c r="N339" s="2" t="s">
        <v>208</v>
      </c>
      <c r="O339" s="30" t="s">
        <v>1811</v>
      </c>
      <c r="P339" s="26"/>
      <c r="R339" s="23"/>
    </row>
    <row r="340" spans="1:27" ht="12.75">
      <c r="A340" s="12" t="s">
        <v>1812</v>
      </c>
      <c r="B340" s="6" t="s">
        <v>14</v>
      </c>
      <c r="C340" s="7" t="str">
        <f t="shared" si="4"/>
        <v xml:space="preserve">Comatozze </v>
      </c>
      <c r="D340" s="27" t="s">
        <v>1813</v>
      </c>
      <c r="E340" s="28" t="s">
        <v>1814</v>
      </c>
      <c r="F340" s="9" t="str">
        <f ca="1">IFERROR(__xludf.DUMMYFUNCTION("""https://streamtape.com/v/""&amp;
REGEXEXTRACT(O340,""/thumb/([^/]+)/"")&amp;
""/""&amp;K340"),"https://streamtape.com/v/O4b7449KxQHW9z/22614725")</f>
        <v>https://streamtape.com/v/O4b7449KxQHW9z/22614725</v>
      </c>
      <c r="G340" s="10" t="e">
        <f t="shared" ca="1" si="5"/>
        <v>#NAME?</v>
      </c>
      <c r="H340" s="11" t="str">
        <f ca="1">IFERROR(__xludf.DUMMYFUNCTION("IFERROR(SUBSTITUTE(SUBSTITUTE(REGEXEXTRACT(A340, ""[^-]+- [^-]+- [^-]+ - (.+?)\.jpg""), "".jpg"", """"), ""-"", "", ""), """")"),"")</f>
        <v/>
      </c>
      <c r="I340" s="6"/>
      <c r="J340" s="7" t="str">
        <f t="shared" ca="1" si="6"/>
        <v>(2026)</v>
      </c>
      <c r="K340" s="7" t="str">
        <f t="shared" si="7"/>
        <v>22614725</v>
      </c>
      <c r="L340" s="12" t="s">
        <v>207</v>
      </c>
      <c r="M340" s="13" t="str">
        <f ca="1">IFERROR(__xludf.DUMMYFUNCTION("TRIM(
  REGEXREPLACE(
    TEXTJOIN("" "",
      TRUE,
      B340,
      C340,
      embaralharLinks(E340,F340,G340),
      H340,
      """",
      J340,
      N340,
      ""#RIPNSFW""
    ),
  "",\s*"", "" "")
)"),"#ERROR!")</f>
        <v>#ERROR!</v>
      </c>
      <c r="N340" s="2" t="s">
        <v>208</v>
      </c>
      <c r="O340" s="30" t="s">
        <v>1815</v>
      </c>
      <c r="P340" s="26"/>
      <c r="R340" s="23"/>
    </row>
    <row r="341" spans="1:27" ht="12.75">
      <c r="A341" s="12" t="s">
        <v>1816</v>
      </c>
      <c r="B341" s="6" t="s">
        <v>14</v>
      </c>
      <c r="C341" s="7" t="str">
        <f t="shared" si="4"/>
        <v xml:space="preserve">Comatozze </v>
      </c>
      <c r="D341" s="27" t="s">
        <v>1817</v>
      </c>
      <c r="E341" s="28" t="s">
        <v>1818</v>
      </c>
      <c r="F341" s="9" t="str">
        <f ca="1">IFERROR(__xludf.DUMMYFUNCTION("""https://streamtape.com/v/""&amp;
REGEXEXTRACT(O341,""/thumb/([^/]+)/"")&amp;
""/""&amp;K341"),"https://streamtape.com/v/rJe9XrP969ubqG7/24841502")</f>
        <v>https://streamtape.com/v/rJe9XrP969ubqG7/24841502</v>
      </c>
      <c r="G341" s="10" t="e">
        <f t="shared" ca="1" si="5"/>
        <v>#NAME?</v>
      </c>
      <c r="H341" s="11" t="str">
        <f ca="1">IFERROR(__xludf.DUMMYFUNCTION("IFERROR(SUBSTITUTE(SUBSTITUTE(REGEXEXTRACT(A341, ""[^-]+- [^-]+- [^-]+ - (.+?)\.jpg""), "".jpg"", """"), ""-"", "", ""), """")"),"")</f>
        <v/>
      </c>
      <c r="I341" s="6"/>
      <c r="J341" s="7" t="str">
        <f t="shared" ca="1" si="6"/>
        <v>(2026)</v>
      </c>
      <c r="K341" s="7" t="str">
        <f t="shared" si="7"/>
        <v>24841502</v>
      </c>
      <c r="L341" s="12" t="s">
        <v>207</v>
      </c>
      <c r="M341" s="13" t="str">
        <f ca="1">IFERROR(__xludf.DUMMYFUNCTION("TRIM(
  REGEXREPLACE(
    TEXTJOIN("" "",
      TRUE,
      B341,
      C341,
      embaralharLinks(E341,F341,G341),
      H341,
      """",
      J341,
      N341,
      ""#RIPNSFW""
    ),
  "",\s*"", "" "")
)"),"{New} Comatozze https://streamtape.com/v/rJe9XrP969ubqG7/24841502 https://doodstream.com/d/iebcys5w4xbg/24841502 https://lulustream.com/d/q8vziwqqchem (2026) #BigTits #Hardcore #Bigass #Teen #RIPNSFW")</f>
        <v>{New} Comatozze https://streamtape.com/v/rJe9XrP969ubqG7/24841502 https://doodstream.com/d/iebcys5w4xbg/24841502 https://lulustream.com/d/q8vziwqqchem (2026) #BigTits #Hardcore #Bigass #Teen #RIPNSFW</v>
      </c>
      <c r="N341" s="2" t="s">
        <v>208</v>
      </c>
      <c r="O341" s="30" t="s">
        <v>1819</v>
      </c>
      <c r="P341" s="26"/>
      <c r="R341" s="23"/>
    </row>
    <row r="342" spans="1:27" ht="12.75">
      <c r="A342" s="6" t="s">
        <v>1820</v>
      </c>
      <c r="B342" s="6" t="s">
        <v>14</v>
      </c>
      <c r="C342" s="7" t="str">
        <f t="shared" si="4"/>
        <v xml:space="preserve">Comatozze </v>
      </c>
      <c r="D342" s="24" t="s">
        <v>1821</v>
      </c>
      <c r="E342" s="25" t="s">
        <v>1822</v>
      </c>
      <c r="F342" s="9" t="str">
        <f ca="1">IFERROR(__xludf.DUMMYFUNCTION("""https://streamtape.com/v/""&amp;
REGEXEXTRACT(O342,""/thumb/([^/]+)/"")&amp;
""/""&amp;K342"),"https://streamtape.com/v/D40OdX4BXKT6pL/30142657")</f>
        <v>https://streamtape.com/v/D40OdX4BXKT6pL/30142657</v>
      </c>
      <c r="G342" s="10" t="e">
        <f t="shared" ca="1" si="5"/>
        <v>#NAME?</v>
      </c>
      <c r="H342" s="11" t="str">
        <f ca="1">IFERROR(__xludf.DUMMYFUNCTION("IFERROR(SUBSTITUTE(SUBSTITUTE(REGEXEXTRACT(A342, ""[^-]+- [^-]+- [^-]+ - (.+?)\.jpg""), "".jpg"", """"), ""-"", "", ""), """")"),"")</f>
        <v/>
      </c>
      <c r="I342" s="6"/>
      <c r="J342" s="7" t="str">
        <f t="shared" ca="1" si="6"/>
        <v>(2026)</v>
      </c>
      <c r="K342" s="7" t="str">
        <f t="shared" si="7"/>
        <v>30142657</v>
      </c>
      <c r="L342" s="12" t="s">
        <v>1738</v>
      </c>
      <c r="M342" s="13" t="str">
        <f ca="1">IFERROR(__xludf.DUMMYFUNCTION("TRIM(
  REGEXREPLACE(
    TEXTJOIN("" "",
      TRUE,
      B342,
      C342,
      embaralharLinks(E342,F342,G342),
      H342,
      """",
      J342,
      N342,
      ""#RIPNSFW""
    ),
  "",\s*"", "" "")
)"),"{New} Comatozze https://doodstream.com/d/g5yxi5hsok7t/30142657 https://streamtape.com/v/D40OdX4BXKT6pL/30142657 https://lulustream.com/d/p4c0s1r9dy4j (2026) #teen #bigtits #blowjob #bigass #RIPNSFW")</f>
        <v>{New} Comatozze https://doodstream.com/d/g5yxi5hsok7t/30142657 https://streamtape.com/v/D40OdX4BXKT6pL/30142657 https://lulustream.com/d/p4c0s1r9dy4j (2026) #teen #bigtits #blowjob #bigass #RIPNSFW</v>
      </c>
      <c r="N342" s="31" t="s">
        <v>1738</v>
      </c>
      <c r="O342" s="32" t="s">
        <v>1823</v>
      </c>
      <c r="P342" s="26"/>
      <c r="Q342" s="6"/>
      <c r="R342" s="11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75">
      <c r="A343" s="12" t="s">
        <v>1824</v>
      </c>
      <c r="B343" s="6" t="s">
        <v>14</v>
      </c>
      <c r="C343" s="7" t="str">
        <f t="shared" si="4"/>
        <v xml:space="preserve">Comatozze </v>
      </c>
      <c r="D343" s="27" t="s">
        <v>1825</v>
      </c>
      <c r="E343" s="28" t="s">
        <v>1826</v>
      </c>
      <c r="F343" s="9" t="str">
        <f ca="1">IFERROR(__xludf.DUMMYFUNCTION("""https://streamtape.com/v/""&amp;
REGEXEXTRACT(O343,""/thumb/([^/]+)/"")&amp;
""/""&amp;K343"),"https://streamtape.com/v/0LKK8pVQ16T6VQ/42181282")</f>
        <v>https://streamtape.com/v/0LKK8pVQ16T6VQ/42181282</v>
      </c>
      <c r="G343" s="10" t="e">
        <f t="shared" ca="1" si="5"/>
        <v>#NAME?</v>
      </c>
      <c r="H343" s="11" t="str">
        <f ca="1">IFERROR(__xludf.DUMMYFUNCTION("IFERROR(SUBSTITUTE(SUBSTITUTE(REGEXEXTRACT(A343, ""[^-]+- [^-]+- [^-]+ - (.+?)\.jpg""), "".jpg"", """"), ""-"", "", ""), """")"),"")</f>
        <v/>
      </c>
      <c r="I343" s="6"/>
      <c r="J343" s="7" t="str">
        <f t="shared" ca="1" si="6"/>
        <v>(2026)</v>
      </c>
      <c r="K343" s="7" t="str">
        <f t="shared" si="7"/>
        <v>42181282</v>
      </c>
      <c r="L343" s="12" t="s">
        <v>207</v>
      </c>
      <c r="M343" s="13" t="str">
        <f ca="1">IFERROR(__xludf.DUMMYFUNCTION("TRIM(
  REGEXREPLACE(
    TEXTJOIN("" "",
      TRUE,
      B343,
      C343,
      embaralharLinks(E343,F343,G343),
      H343,
      """",
      J343,
      N343,
      ""#RIPNSFW""
    ),
  "",\s*"", "" "")
)"),"{New} Comatozze https://lulustream.com/d/lrt9qk1fg4rp https://doodstream.com/d/j5wxphwlxduj/42181282 https://streamtape.com/v/0LKK8pVQ16T6VQ/42181282 (2026) #BigTits #Hardcore #Bigass #Teen #RIPNSFW")</f>
        <v>{New} Comatozze https://lulustream.com/d/lrt9qk1fg4rp https://doodstream.com/d/j5wxphwlxduj/42181282 https://streamtape.com/v/0LKK8pVQ16T6VQ/42181282 (2026) #BigTits #Hardcore #Bigass #Teen #RIPNSFW</v>
      </c>
      <c r="N343" s="2" t="s">
        <v>208</v>
      </c>
      <c r="O343" s="30" t="s">
        <v>1827</v>
      </c>
      <c r="P343" s="26"/>
      <c r="R343" s="23"/>
    </row>
    <row r="344" spans="1:27" ht="12.75">
      <c r="A344" s="12" t="s">
        <v>1828</v>
      </c>
      <c r="B344" s="6" t="s">
        <v>14</v>
      </c>
      <c r="C344" s="7" t="str">
        <f t="shared" si="4"/>
        <v xml:space="preserve">Comatozze </v>
      </c>
      <c r="D344" s="27" t="s">
        <v>1829</v>
      </c>
      <c r="E344" s="28" t="s">
        <v>1830</v>
      </c>
      <c r="F344" s="9" t="str">
        <f ca="1">IFERROR(__xludf.DUMMYFUNCTION("""https://streamtape.com/v/""&amp;
REGEXEXTRACT(O344,""/thumb/([^/]+)/"")&amp;
""/""&amp;K344"),"https://streamtape.com/v/2LLA1dLAwBtZX1g/46990227")</f>
        <v>https://streamtape.com/v/2LLA1dLAwBtZX1g/46990227</v>
      </c>
      <c r="G344" s="10" t="e">
        <f t="shared" ca="1" si="5"/>
        <v>#NAME?</v>
      </c>
      <c r="H344" s="11" t="str">
        <f ca="1">IFERROR(__xludf.DUMMYFUNCTION("IFERROR(SUBSTITUTE(SUBSTITUTE(REGEXEXTRACT(A344, ""[^-]+- [^-]+- [^-]+ - (.+?)\.jpg""), "".jpg"", """"), ""-"", "", ""), """")"),"")</f>
        <v/>
      </c>
      <c r="I344" s="6"/>
      <c r="J344" s="7" t="str">
        <f t="shared" ca="1" si="6"/>
        <v>(2026)</v>
      </c>
      <c r="K344" s="7" t="str">
        <f t="shared" si="7"/>
        <v>46990227</v>
      </c>
      <c r="L344" s="12" t="s">
        <v>107</v>
      </c>
      <c r="M344" s="13" t="str">
        <f ca="1">IFERROR(__xludf.DUMMYFUNCTION("TRIM(
  REGEXREPLACE(
    TEXTJOIN("" "",
      TRUE,
      B344,
      C344,
      embaralharLinks(E344,F344,G344),
      H344,
      """",
      J344,
      N344,
      ""#RIPNSFW""
    ),
  "",\s*"", "" "")
)"),"{New} Comatozze https://doodstream.com/d/6v25uqrbj691/46990227 https://lulustream.com/d/6e46fzcreagp https://streamtape.com/v/2LLA1dLAwBtZX1g/46990227 (2026) #BigTits #Creampie #Hardcore #Bigass #RIPNSFW")</f>
        <v>{New} Comatozze https://doodstream.com/d/6v25uqrbj691/46990227 https://lulustream.com/d/6e46fzcreagp https://streamtape.com/v/2LLA1dLAwBtZX1g/46990227 (2026) #BigTits #Creampie #Hardcore #Bigass #RIPNSFW</v>
      </c>
      <c r="N344" s="2" t="s">
        <v>108</v>
      </c>
      <c r="O344" s="30" t="s">
        <v>1831</v>
      </c>
      <c r="P344" s="26"/>
      <c r="R344" s="23"/>
    </row>
    <row r="345" spans="1:27" ht="12.75">
      <c r="A345" s="12" t="s">
        <v>1832</v>
      </c>
      <c r="B345" s="6" t="s">
        <v>14</v>
      </c>
      <c r="C345" s="7" t="str">
        <f t="shared" si="4"/>
        <v xml:space="preserve">Comatozze </v>
      </c>
      <c r="D345" s="27" t="s">
        <v>1833</v>
      </c>
      <c r="E345" s="28" t="s">
        <v>1834</v>
      </c>
      <c r="F345" s="9" t="str">
        <f ca="1">IFERROR(__xludf.DUMMYFUNCTION("""https://streamtape.com/v/""&amp;
REGEXEXTRACT(O345,""/thumb/([^/]+)/"")&amp;
""/""&amp;K345"),"https://streamtape.com/v/qD0MZb1XqyiZrM/49437136")</f>
        <v>https://streamtape.com/v/qD0MZb1XqyiZrM/49437136</v>
      </c>
      <c r="G345" s="10" t="e">
        <f t="shared" ca="1" si="5"/>
        <v>#NAME?</v>
      </c>
      <c r="H345" s="11" t="str">
        <f ca="1">IFERROR(__xludf.DUMMYFUNCTION("IFERROR(SUBSTITUTE(SUBSTITUTE(REGEXEXTRACT(A345, ""[^-]+- [^-]+- [^-]+ - (.+?)\.jpg""), "".jpg"", """"), ""-"", "", ""), """")"),"")</f>
        <v/>
      </c>
      <c r="I345" s="6"/>
      <c r="J345" s="7" t="str">
        <f t="shared" ca="1" si="6"/>
        <v>(2026)</v>
      </c>
      <c r="K345" s="7" t="str">
        <f t="shared" si="7"/>
        <v>49437136</v>
      </c>
      <c r="L345" s="12" t="s">
        <v>207</v>
      </c>
      <c r="M345" s="13" t="str">
        <f ca="1">IFERROR(__xludf.DUMMYFUNCTION("TRIM(
  REGEXREPLACE(
    TEXTJOIN("" "",
      TRUE,
      B345,
      C345,
      embaralharLinks(E345,F345,G345),
      H345,
      """",
      J345,
      N345,
      ""#RIPNSFW""
    ),
  "",\s*"", "" "")
)"),"{New} Comatozze https://doodstream.com/d/5ahlb1alma9e/49437136 https://lulustream.com/d/kawze6weqphs https://streamtape.com/v/qD0MZb1XqyiZrM/49437136 (2026) #BigTits #Hardcore #Bigass #Teen #RIPNSFW")</f>
        <v>{New} Comatozze https://doodstream.com/d/5ahlb1alma9e/49437136 https://lulustream.com/d/kawze6weqphs https://streamtape.com/v/qD0MZb1XqyiZrM/49437136 (2026) #BigTits #Hardcore #Bigass #Teen #RIPNSFW</v>
      </c>
      <c r="N345" s="2" t="s">
        <v>208</v>
      </c>
      <c r="O345" s="30" t="s">
        <v>1835</v>
      </c>
      <c r="P345" s="26"/>
      <c r="R345" s="23"/>
    </row>
    <row r="346" spans="1:27" ht="12.75">
      <c r="A346" s="12" t="s">
        <v>1836</v>
      </c>
      <c r="B346" s="6" t="s">
        <v>14</v>
      </c>
      <c r="C346" s="7" t="str">
        <f t="shared" si="4"/>
        <v xml:space="preserve">Comatozze </v>
      </c>
      <c r="D346" s="24" t="s">
        <v>1837</v>
      </c>
      <c r="E346" s="25" t="s">
        <v>1838</v>
      </c>
      <c r="F346" s="9" t="str">
        <f ca="1">IFERROR(__xludf.DUMMYFUNCTION("""https://streamtape.com/v/""&amp;
REGEXEXTRACT(O346,""/thumb/([^/]+)/"")&amp;
""/""&amp;K346"),"https://streamtape.com/v/aGY17gA2mDuxVzp/54421017")</f>
        <v>https://streamtape.com/v/aGY17gA2mDuxVzp/54421017</v>
      </c>
      <c r="G346" s="10" t="e">
        <f t="shared" ca="1" si="5"/>
        <v>#NAME?</v>
      </c>
      <c r="H346" s="11" t="str">
        <f ca="1">IFERROR(__xludf.DUMMYFUNCTION("IFERROR(SUBSTITUTE(SUBSTITUTE(REGEXEXTRACT(A346, ""[^-]+- [^-]+- [^-]+ - (.+?)\.jpg""), "".jpg"", """"), ""-"", "", ""), """")"),"")</f>
        <v/>
      </c>
      <c r="I346" s="6"/>
      <c r="J346" s="7" t="str">
        <f t="shared" ca="1" si="6"/>
        <v>(2026)</v>
      </c>
      <c r="K346" s="7" t="str">
        <f t="shared" si="7"/>
        <v>54421017</v>
      </c>
      <c r="L346" s="12" t="s">
        <v>1569</v>
      </c>
      <c r="M346" s="13" t="str">
        <f ca="1">IFERROR(__xludf.DUMMYFUNCTION("TRIM(
  REGEXREPLACE(
    TEXTJOIN("" "",
      TRUE,
      B346,
      C346,
      embaralharLinks(E346,F346,G346),
      H346,
      """",
      J346,
      N346,
      ""#RIPNSFW""
    ),
  "",\s*"", "" "")
)"),"{New} Comatozze https://streamtape.com/v/aGY17gA2mDuxVzp/54421017 https://doodstream.com/d/gwnuyiia30wx/54421017 https://lulustream.com/d/mek72didoojk (2026) #teen #bigtits #bigass #blowjob #RIPNSFW")</f>
        <v>{New} Comatozze https://streamtape.com/v/aGY17gA2mDuxVzp/54421017 https://doodstream.com/d/gwnuyiia30wx/54421017 https://lulustream.com/d/mek72didoojk (2026) #teen #bigtits #bigass #blowjob #RIPNSFW</v>
      </c>
      <c r="N346" s="2" t="s">
        <v>1569</v>
      </c>
      <c r="O346" s="30" t="s">
        <v>1839</v>
      </c>
      <c r="P346" s="26"/>
      <c r="R346" s="23"/>
    </row>
    <row r="347" spans="1:27" ht="12.75">
      <c r="A347" s="12" t="s">
        <v>1840</v>
      </c>
      <c r="B347" s="6" t="s">
        <v>14</v>
      </c>
      <c r="C347" s="7" t="str">
        <f t="shared" si="4"/>
        <v xml:space="preserve">Comatozze </v>
      </c>
      <c r="D347" s="27" t="s">
        <v>1841</v>
      </c>
      <c r="E347" s="28" t="s">
        <v>1842</v>
      </c>
      <c r="F347" s="9" t="str">
        <f ca="1">IFERROR(__xludf.DUMMYFUNCTION("""https://streamtape.com/v/""&amp;
REGEXEXTRACT(O347,""/thumb/([^/]+)/"")&amp;
""/""&amp;K347"),"https://streamtape.com/v/6RXdzAGdB7t9Jqe/68511307")</f>
        <v>https://streamtape.com/v/6RXdzAGdB7t9Jqe/68511307</v>
      </c>
      <c r="G347" s="10" t="e">
        <f t="shared" ca="1" si="5"/>
        <v>#NAME?</v>
      </c>
      <c r="H347" s="11" t="str">
        <f ca="1">IFERROR(__xludf.DUMMYFUNCTION("IFERROR(SUBSTITUTE(SUBSTITUTE(REGEXEXTRACT(A347, ""[^-]+- [^-]+- [^-]+ - (.+?)\.jpg""), "".jpg"", """"), ""-"", "", ""), """")"),"")</f>
        <v/>
      </c>
      <c r="I347" s="6"/>
      <c r="J347" s="7" t="str">
        <f t="shared" ca="1" si="6"/>
        <v>(2026)</v>
      </c>
      <c r="K347" s="7" t="str">
        <f t="shared" si="7"/>
        <v>68511307</v>
      </c>
      <c r="L347" s="12" t="s">
        <v>207</v>
      </c>
      <c r="M347" s="13" t="str">
        <f ca="1">IFERROR(__xludf.DUMMYFUNCTION("TRIM(
  REGEXREPLACE(
    TEXTJOIN("" "",
      TRUE,
      B347,
      C347,
      embaralharLinks(E347,F347,G347),
      H347,
      """",
      J347,
      N347,
      ""#RIPNSFW""
    ),
  "",\s*"", "" "")
)"),"{New} Comatozze https://lulustream.com/d/qw72xqr7s9gm https://streamtape.com/v/6RXdzAGdB7t9Jqe/68511307 https://doodstream.com/d/3u6urfh9x2m8/68511307 (2026) #BigTits #Hardcore #Bigass #Teen #RIPNSFW")</f>
        <v>{New} Comatozze https://lulustream.com/d/qw72xqr7s9gm https://streamtape.com/v/6RXdzAGdB7t9Jqe/68511307 https://doodstream.com/d/3u6urfh9x2m8/68511307 (2026) #BigTits #Hardcore #Bigass #Teen #RIPNSFW</v>
      </c>
      <c r="N347" s="2" t="s">
        <v>208</v>
      </c>
      <c r="O347" s="30" t="s">
        <v>1843</v>
      </c>
      <c r="P347" s="26"/>
      <c r="R347" s="23"/>
    </row>
    <row r="348" spans="1:27" ht="12.75">
      <c r="A348" s="6" t="s">
        <v>1844</v>
      </c>
      <c r="B348" s="6" t="s">
        <v>14</v>
      </c>
      <c r="C348" s="7" t="str">
        <f t="shared" si="4"/>
        <v xml:space="preserve">Comatozze </v>
      </c>
      <c r="D348" s="29" t="s">
        <v>1845</v>
      </c>
      <c r="E348" s="8" t="s">
        <v>1846</v>
      </c>
      <c r="F348" s="9" t="str">
        <f ca="1">IFERROR(__xludf.DUMMYFUNCTION("""https://streamtape.com/v/""&amp;
REGEXEXTRACT(O348,""/thumb/([^/]+)/"")&amp;
""/""&amp;K348"),"https://streamtape.com/v/2PKDAKL91ruVPv/75998619")</f>
        <v>https://streamtape.com/v/2PKDAKL91ruVPv/75998619</v>
      </c>
      <c r="G348" s="10" t="e">
        <f t="shared" ca="1" si="5"/>
        <v>#NAME?</v>
      </c>
      <c r="H348" s="11" t="str">
        <f ca="1">IFERROR(__xludf.DUMMYFUNCTION("IFERROR(SUBSTITUTE(SUBSTITUTE(REGEXEXTRACT(A348, ""[^-]+- [^-]+- [^-]+ - (.+?)\.jpg""), "".jpg"", """"), ""-"", "", ""), """")"),"")</f>
        <v/>
      </c>
      <c r="I348" s="6"/>
      <c r="J348" s="7" t="str">
        <f t="shared" ca="1" si="6"/>
        <v>(2026)</v>
      </c>
      <c r="K348" s="7" t="str">
        <f t="shared" si="7"/>
        <v>75998619</v>
      </c>
      <c r="L348" s="12" t="s">
        <v>497</v>
      </c>
      <c r="M348" s="13" t="str">
        <f ca="1">IFERROR(__xludf.DUMMYFUNCTION("TRIM(
  REGEXREPLACE(
    TEXTJOIN("" "",
      TRUE,
      B348,
      C348,
      embaralharLinks(E348,F348,G348),
      H348,
      """",
      J348,
      N348,
      ""#RIPNSFW""
    ),
  "",\s*"", "" "")
)"),"{New} Comatozze https://streamtape.com/v/2PKDAKL91ruVPv/75998619 https://doodstream.com/d/didojw0jhgko/75998619 https://lulustream.com/d/8ye92awl979r (2026) #BigTits #Hardcore #Bigass #Teen #Artporn #Teens #Blowjob #Amateur #Deepthroat #RIPNSFW")</f>
        <v>{New} Comatozze https://streamtape.com/v/2PKDAKL91ruVPv/75998619 https://doodstream.com/d/didojw0jhgko/75998619 https://lulustream.com/d/8ye92awl979r (2026) #BigTits #Hardcore #Bigass #Teen #Artporn #Teens #Blowjob #Amateur #Deepthroat #RIPNSFW</v>
      </c>
      <c r="N348" s="14" t="s">
        <v>1847</v>
      </c>
      <c r="O348" s="32" t="s">
        <v>1848</v>
      </c>
      <c r="P348" s="14"/>
      <c r="Q348" s="6"/>
      <c r="R348" s="11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75">
      <c r="A349" s="12" t="s">
        <v>1849</v>
      </c>
      <c r="B349" s="6" t="s">
        <v>14</v>
      </c>
      <c r="C349" s="7" t="str">
        <f t="shared" si="4"/>
        <v xml:space="preserve">Comatozze </v>
      </c>
      <c r="D349" s="27" t="s">
        <v>1850</v>
      </c>
      <c r="E349" s="28" t="s">
        <v>1851</v>
      </c>
      <c r="F349" s="9" t="str">
        <f ca="1">IFERROR(__xludf.DUMMYFUNCTION("""https://streamtape.com/v/""&amp;
REGEXEXTRACT(O349,""/thumb/([^/]+)/"")&amp;
""/""&amp;K349"),"https://streamtape.com/v/pDmWm2qDp7hWZW/76965609")</f>
        <v>https://streamtape.com/v/pDmWm2qDp7hWZW/76965609</v>
      </c>
      <c r="G349" s="10" t="e">
        <f t="shared" ca="1" si="5"/>
        <v>#NAME?</v>
      </c>
      <c r="H349" s="11" t="str">
        <f ca="1">IFERROR(__xludf.DUMMYFUNCTION("IFERROR(SUBSTITUTE(SUBSTITUTE(REGEXEXTRACT(A349, ""[^-]+- [^-]+- [^-]+ - (.+?)\.jpg""), "".jpg"", """"), ""-"", "", ""), """")"),"")</f>
        <v/>
      </c>
      <c r="I349" s="6"/>
      <c r="J349" s="7" t="str">
        <f t="shared" ca="1" si="6"/>
        <v>(2026)</v>
      </c>
      <c r="K349" s="7" t="str">
        <f t="shared" si="7"/>
        <v>76965609</v>
      </c>
      <c r="L349" s="12" t="s">
        <v>1852</v>
      </c>
      <c r="M349" s="13" t="str">
        <f ca="1">IFERROR(__xludf.DUMMYFUNCTION("TRIM(
  REGEXREPLACE(
    TEXTJOIN("" "",
      TRUE,
      B349,
      C349,
      embaralharLinks(E349,F349,G349),
      H349,
      """",
      J349,
      N349,
      ""#RIPNSFW""
    ),
  "",\s*"", "" "")
)"),"{New} Comatozze https://doodstream.com/d/hsgn3ebv9k95/76965609 https://streamtape.com/v/pDmWm2qDp7hWZW/76965609 https://lulustream.com/d/nrfez17ohhi4 (2026) #BigTits #Bigass #Hardcore #Teen #RIPNSFW")</f>
        <v>{New} Comatozze https://doodstream.com/d/hsgn3ebv9k95/76965609 https://streamtape.com/v/pDmWm2qDp7hWZW/76965609 https://lulustream.com/d/nrfez17ohhi4 (2026) #BigTits #Bigass #Hardcore #Teen #RIPNSFW</v>
      </c>
      <c r="N349" s="2" t="s">
        <v>1853</v>
      </c>
      <c r="O349" s="30" t="s">
        <v>1854</v>
      </c>
      <c r="P349" s="26"/>
      <c r="R349" s="23"/>
    </row>
    <row r="350" spans="1:27" ht="12.75">
      <c r="A350" s="12" t="s">
        <v>1855</v>
      </c>
      <c r="B350" s="6" t="s">
        <v>14</v>
      </c>
      <c r="C350" s="7" t="str">
        <f t="shared" si="4"/>
        <v xml:space="preserve">Comatozze </v>
      </c>
      <c r="D350" s="24" t="s">
        <v>1856</v>
      </c>
      <c r="E350" s="25" t="s">
        <v>1857</v>
      </c>
      <c r="F350" s="9" t="str">
        <f ca="1">IFERROR(__xludf.DUMMYFUNCTION("""https://streamtape.com/v/""&amp;
REGEXEXTRACT(O350,""/thumb/([^/]+)/"")&amp;
""/""&amp;K350"),"https://streamtape.com/v/gg8jGqzVXzFqyee/84083230")</f>
        <v>https://streamtape.com/v/gg8jGqzVXzFqyee/84083230</v>
      </c>
      <c r="G350" s="10" t="e">
        <f t="shared" ca="1" si="5"/>
        <v>#NAME?</v>
      </c>
      <c r="H350" s="11" t="str">
        <f ca="1">IFERROR(__xludf.DUMMYFUNCTION("IFERROR(SUBSTITUTE(SUBSTITUTE(REGEXEXTRACT(A350, ""[^-]+- [^-]+- [^-]+ - (.+?)\.jpg""), "".jpg"", """"), ""-"", "", ""), """")"),"")</f>
        <v/>
      </c>
      <c r="I350" s="6"/>
      <c r="J350" s="7" t="str">
        <f t="shared" ca="1" si="6"/>
        <v>(2026)</v>
      </c>
      <c r="K350" s="7" t="str">
        <f t="shared" si="7"/>
        <v>84083230</v>
      </c>
      <c r="L350" s="12" t="s">
        <v>1858</v>
      </c>
      <c r="M350" s="13" t="str">
        <f ca="1">IFERROR(__xludf.DUMMYFUNCTION("TRIM(
  REGEXREPLACE(
    TEXTJOIN("" "",
      TRUE,
      B350,
      C350,
      embaralharLinks(E350,F350,G350),
      H350,
      """",
      J350,
      N350,
      ""#RIPNSFW""
    ),
  "",\s*"", "" "")
)"),"{New} Comatozze https://lulustream.com/d/zckcq83qyx52 https://doodstream.com/d/ciupneczxbnt/84083230 https://streamtape.com/v/gg8jGqzVXzFqyee/84083230 (2026) #anal #teen #bigtits #bigass #RIPNSFW")</f>
        <v>{New} Comatozze https://lulustream.com/d/zckcq83qyx52 https://doodstream.com/d/ciupneczxbnt/84083230 https://streamtape.com/v/gg8jGqzVXzFqyee/84083230 (2026) #anal #teen #bigtits #bigass #RIPNSFW</v>
      </c>
      <c r="N350" s="2" t="s">
        <v>1858</v>
      </c>
      <c r="O350" s="30" t="s">
        <v>1859</v>
      </c>
      <c r="P350" s="26"/>
      <c r="R350" s="23"/>
      <c r="T350" s="6"/>
      <c r="U350" s="7"/>
    </row>
    <row r="351" spans="1:27" ht="12.75">
      <c r="A351" s="12" t="s">
        <v>1860</v>
      </c>
      <c r="B351" s="6" t="s">
        <v>14</v>
      </c>
      <c r="C351" s="7" t="str">
        <f t="shared" si="4"/>
        <v xml:space="preserve">Comatozze </v>
      </c>
      <c r="D351" s="27" t="s">
        <v>1861</v>
      </c>
      <c r="E351" s="28" t="s">
        <v>1862</v>
      </c>
      <c r="F351" s="9" t="str">
        <f ca="1">IFERROR(__xludf.DUMMYFUNCTION("""https://streamtape.com/v/""&amp;
REGEXEXTRACT(O351,""/thumb/([^/]+)/"")&amp;
""/""&amp;K351"),"https://streamtape.com/v/VyPVwKW98af9p7/89278600")</f>
        <v>https://streamtape.com/v/VyPVwKW98af9p7/89278600</v>
      </c>
      <c r="G351" s="10" t="e">
        <f t="shared" ca="1" si="5"/>
        <v>#NAME?</v>
      </c>
      <c r="H351" s="11" t="str">
        <f ca="1">IFERROR(__xludf.DUMMYFUNCTION("IFERROR(SUBSTITUTE(SUBSTITUTE(REGEXEXTRACT(A351, ""[^-]+- [^-]+- [^-]+ - (.+?)\.jpg""), "".jpg"", """"), ""-"", "", ""), """")"),"")</f>
        <v/>
      </c>
      <c r="I351" s="6"/>
      <c r="J351" s="7" t="str">
        <f t="shared" ca="1" si="6"/>
        <v>(2026)</v>
      </c>
      <c r="K351" s="7" t="str">
        <f t="shared" si="7"/>
        <v>89278600</v>
      </c>
      <c r="L351" s="12" t="s">
        <v>207</v>
      </c>
      <c r="M351" s="13" t="str">
        <f ca="1">IFERROR(__xludf.DUMMYFUNCTION("TRIM(
  REGEXREPLACE(
    TEXTJOIN("" "",
      TRUE,
      B351,
      C351,
      embaralharLinks(E351,F351,G351),
      H351,
      """",
      J351,
      N351,
      ""#RIPNSFW""
    ),
  "",\s*"", "" "")
)"),"{New} Comatozze https://streamtape.com/v/VyPVwKW98af9p7/89278600 https://lulustream.com/d/op3nve2yw999 https://doodstream.com/d/e6xdcv7a59z4/89278600 (2026) #BigTits #Hardcore #Bigass #Teen #RIPNSFW")</f>
        <v>{New} Comatozze https://streamtape.com/v/VyPVwKW98af9p7/89278600 https://lulustream.com/d/op3nve2yw999 https://doodstream.com/d/e6xdcv7a59z4/89278600 (2026) #BigTits #Hardcore #Bigass #Teen #RIPNSFW</v>
      </c>
      <c r="N351" s="2" t="s">
        <v>208</v>
      </c>
      <c r="O351" s="30" t="s">
        <v>1863</v>
      </c>
      <c r="P351" s="26"/>
      <c r="R351" s="23"/>
    </row>
    <row r="352" spans="1:27" ht="12.75">
      <c r="A352" s="6" t="s">
        <v>1864</v>
      </c>
      <c r="B352" s="6" t="s">
        <v>14</v>
      </c>
      <c r="C352" s="7" t="str">
        <f t="shared" si="4"/>
        <v xml:space="preserve">Comatozze </v>
      </c>
      <c r="D352" s="24" t="s">
        <v>1865</v>
      </c>
      <c r="E352" s="25" t="s">
        <v>1866</v>
      </c>
      <c r="F352" s="9" t="str">
        <f ca="1">IFERROR(__xludf.DUMMYFUNCTION("""https://streamtape.com/v/""&amp;
REGEXEXTRACT(O352,""/thumb/([^/]+)/"")&amp;
""/""&amp;K352"),"https://streamtape.com/v/AlVzDdjBQWsX6kX/91374902")</f>
        <v>https://streamtape.com/v/AlVzDdjBQWsX6kX/91374902</v>
      </c>
      <c r="G352" s="10" t="e">
        <f t="shared" ca="1" si="5"/>
        <v>#NAME?</v>
      </c>
      <c r="H352" s="11" t="str">
        <f ca="1">IFERROR(__xludf.DUMMYFUNCTION("IFERROR(SUBSTITUTE(SUBSTITUTE(REGEXEXTRACT(A352, ""[^-]+- [^-]+- [^-]+ - (.+?)\.jpg""), "".jpg"", """"), ""-"", "", ""), """")"),"")</f>
        <v/>
      </c>
      <c r="I352" s="6"/>
      <c r="J352" s="7" t="str">
        <f t="shared" ca="1" si="6"/>
        <v>(2026)</v>
      </c>
      <c r="K352" s="7" t="str">
        <f t="shared" si="7"/>
        <v>91374902</v>
      </c>
      <c r="L352" s="12" t="s">
        <v>1569</v>
      </c>
      <c r="M352" s="13" t="str">
        <f ca="1">IFERROR(__xludf.DUMMYFUNCTION("TRIM(
  REGEXREPLACE(
    TEXTJOIN("" "",
      TRUE,
      B352,
      C352,
      embaralharLinks(E352,F352,G352),
      H352,
      """",
      J352,
      N352,
      ""#RIPNSFW""
    ),
  "",\s*"", "" "")
)"),"{New} Comatozze https://doodstream.com/d/lit5ooq2n9zg/91374902 https://lulustream.com/d/jg4s9pj0fl55 https://streamtape.com/v/AlVzDdjBQWsX6kX/91374902 (2026) #teen #bigtits #bigass #blowjob #RIPNSFW")</f>
        <v>{New} Comatozze https://doodstream.com/d/lit5ooq2n9zg/91374902 https://lulustream.com/d/jg4s9pj0fl55 https://streamtape.com/v/AlVzDdjBQWsX6kX/91374902 (2026) #teen #bigtits #bigass #blowjob #RIPNSFW</v>
      </c>
      <c r="N352" s="31" t="s">
        <v>1569</v>
      </c>
      <c r="O352" s="32" t="s">
        <v>1867</v>
      </c>
      <c r="P352" s="26"/>
      <c r="Q352" s="6"/>
      <c r="R352" s="11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75">
      <c r="A353" s="12" t="s">
        <v>1868</v>
      </c>
      <c r="B353" s="6" t="s">
        <v>14</v>
      </c>
      <c r="C353" s="7" t="str">
        <f t="shared" si="4"/>
        <v xml:space="preserve">Comatozze </v>
      </c>
      <c r="D353" s="7" t="s">
        <v>1869</v>
      </c>
      <c r="E353" s="25" t="s">
        <v>1870</v>
      </c>
      <c r="F353" s="9" t="str">
        <f ca="1">IFERROR(__xludf.DUMMYFUNCTION("""https://streamtape.com/v/""&amp;
REGEXEXTRACT(O353,""/thumb/([^/]+)/"")&amp;
""/""&amp;K353"),"https://streamtape.com/v/dpjgoqgOpAtZbv/95705657")</f>
        <v>https://streamtape.com/v/dpjgoqgOpAtZbv/95705657</v>
      </c>
      <c r="G353" s="10" t="e">
        <f t="shared" ca="1" si="5"/>
        <v>#NAME?</v>
      </c>
      <c r="H353" s="11" t="str">
        <f ca="1">IFERROR(__xludf.DUMMYFUNCTION("IFERROR(SUBSTITUTE(SUBSTITUTE(REGEXEXTRACT(A353, ""[^-]+- [^-]+- [^-]+ - (.+?)\.jpg""), "".jpg"", """"), ""-"", "", ""), """")"),"")</f>
        <v/>
      </c>
      <c r="I353" s="6"/>
      <c r="J353" s="7" t="str">
        <f t="shared" ca="1" si="6"/>
        <v>(2026)</v>
      </c>
      <c r="K353" s="7" t="str">
        <f t="shared" si="7"/>
        <v>95705657</v>
      </c>
      <c r="L353" s="12" t="s">
        <v>1871</v>
      </c>
      <c r="M353" s="13" t="str">
        <f ca="1">IFERROR(__xludf.DUMMYFUNCTION("TRIM(
  REGEXREPLACE(
    TEXTJOIN("" "",
      TRUE,
      B353,
      C353,
      embaralharLinks(E353,F353,G353),
      H353,
      """",
      J353,
      N353,
      ""#RIPNSFW""
    ),
  "",\s*"", "" "")
)"),"{New} Comatozze https://doodstream.com/d/9wp4x3lh0or1/95705657 https://lulustream.com/d/86b02914h0sl https://streamtape.com/v/dpjgoqgOpAtZbv/95705657 (2026) #creampie #teen #bigass #bigtits #RIPNSFW")</f>
        <v>{New} Comatozze https://doodstream.com/d/9wp4x3lh0or1/95705657 https://lulustream.com/d/86b02914h0sl https://streamtape.com/v/dpjgoqgOpAtZbv/95705657 (2026) #creampie #teen #bigass #bigtits #RIPNSFW</v>
      </c>
      <c r="N353" s="2" t="s">
        <v>1871</v>
      </c>
      <c r="O353" s="21" t="s">
        <v>1872</v>
      </c>
      <c r="P353" s="26"/>
      <c r="R353" s="23"/>
      <c r="T353" s="6"/>
      <c r="U353" s="7"/>
    </row>
    <row r="354" spans="1:27" ht="12.75">
      <c r="A354" s="12" t="s">
        <v>1873</v>
      </c>
      <c r="B354" s="6" t="s">
        <v>14</v>
      </c>
      <c r="C354" s="7" t="str">
        <f t="shared" si="4"/>
        <v xml:space="preserve">Cory Chase </v>
      </c>
      <c r="D354" s="24" t="s">
        <v>1874</v>
      </c>
      <c r="E354" s="25" t="s">
        <v>1875</v>
      </c>
      <c r="F354" s="9" t="str">
        <f ca="1">IFERROR(__xludf.DUMMYFUNCTION("""https://streamtape.com/v/""&amp;
REGEXEXTRACT(O354,""/thumb/([^/]+)/"")&amp;
""/""&amp;K354"),"https://streamtape.com/v/wGQAQjg3eJTJK9z/64159902")</f>
        <v>https://streamtape.com/v/wGQAQjg3eJTJK9z/64159902</v>
      </c>
      <c r="G354" s="10" t="e">
        <f t="shared" ca="1" si="5"/>
        <v>#NAME?</v>
      </c>
      <c r="H354" s="11" t="str">
        <f ca="1">IFERROR(__xludf.DUMMYFUNCTION("IFERROR(SUBSTITUTE(SUBSTITUTE(REGEXEXTRACT(A354, ""[^-]+- [^-]+- [^-]+ - (.+?)\.jpg""), "".jpg"", """"), ""-"", "", ""), """")"),"")</f>
        <v/>
      </c>
      <c r="I354" s="6"/>
      <c r="J354" s="7" t="str">
        <f t="shared" ca="1" si="6"/>
        <v>(2026)</v>
      </c>
      <c r="K354" s="7" t="str">
        <f t="shared" si="7"/>
        <v>64159902</v>
      </c>
      <c r="L354" s="12" t="s">
        <v>1876</v>
      </c>
      <c r="M354" s="13" t="str">
        <f ca="1">IFERROR(__xludf.DUMMYFUNCTION("TRIM(
  REGEXREPLACE(
    TEXTJOIN("" "",
      TRUE,
      B354,
      C354,
      embaralharLinks(E354,F354,G354),
      H354,
      """",
      J354,
      N354,
      ""#RIPNSFW""
    ),
  "",\s*"", "" "")
)"),"{New} Cory Chase https://doodstream.com/d/gqmjrq7ld3ga/64159902 https://streamtape.com/v/wGQAQjg3eJTJK9z/64159902 https://lulustream.com/d/08653a7b72oy (2026) #milf #bigtits #interracial #threesome #RIPNSFW")</f>
        <v>{New} Cory Chase https://doodstream.com/d/gqmjrq7ld3ga/64159902 https://streamtape.com/v/wGQAQjg3eJTJK9z/64159902 https://lulustream.com/d/08653a7b72oy (2026) #milf #bigtits #interracial #threesome #RIPNSFW</v>
      </c>
      <c r="N354" s="2" t="s">
        <v>1876</v>
      </c>
      <c r="O354" s="30" t="s">
        <v>1877</v>
      </c>
      <c r="P354" s="26"/>
      <c r="R354" s="23"/>
    </row>
    <row r="355" spans="1:27" ht="12.75">
      <c r="A355" s="6" t="s">
        <v>1878</v>
      </c>
      <c r="B355" s="6" t="s">
        <v>14</v>
      </c>
      <c r="C355" s="7" t="str">
        <f t="shared" si="4"/>
        <v xml:space="preserve">Cory Chase </v>
      </c>
      <c r="D355" s="6" t="s">
        <v>1879</v>
      </c>
      <c r="E355" s="8" t="s">
        <v>1880</v>
      </c>
      <c r="F355" s="9" t="str">
        <f ca="1">IFERROR(__xludf.DUMMYFUNCTION("""https://streamtape.com/v/""&amp;
REGEXEXTRACT(O355,""/thumb/([^/]+)/"")&amp;
""/""&amp;K355"),"https://streamtape.com/v/DaB3Y1r1eWukoGq/95758715")</f>
        <v>https://streamtape.com/v/DaB3Y1r1eWukoGq/95758715</v>
      </c>
      <c r="G355" s="10" t="e">
        <f t="shared" ca="1" si="5"/>
        <v>#NAME?</v>
      </c>
      <c r="H355" s="11" t="str">
        <f ca="1">IFERROR(__xludf.DUMMYFUNCTION("IFERROR(SUBSTITUTE(SUBSTITUTE(REGEXEXTRACT(A355, ""[^-]+- [^-]+- [^-]+ - (.+?)\.jpg""), "".jpg"", """"), ""-"", "", ""), """")"),"Juniper Ren")</f>
        <v>Juniper Ren</v>
      </c>
      <c r="I355" s="6"/>
      <c r="J355" s="7" t="str">
        <f t="shared" ca="1" si="6"/>
        <v>(2026)</v>
      </c>
      <c r="K355" s="7" t="str">
        <f t="shared" si="7"/>
        <v>95758715</v>
      </c>
      <c r="L355" s="12" t="s">
        <v>1881</v>
      </c>
      <c r="M355" s="13" t="str">
        <f ca="1">IFERROR(__xludf.DUMMYFUNCTION("TRIM(
  REGEXREPLACE(
    TEXTJOIN("" "",
      TRUE,
      B355,
      C355,
      embaralharLinks(E355,F355,G355),
      H355,
      """",
      J355,
      N355,
      ""#RIPNSFW""
    ),
  "",\s*"", "" "")
)"),"{New} Cory Chase https://doodstream.com/d/fn2h560zop03/95758715 https://streamtape.com/v/DaB3Y1r1eWukoGq/95758715 https://lulustream.com/d/414r9mc1uhqn Juniper Ren (2026) #MILF #BigTits #Hardcore #Threesome #Teen #Blowjob #RIPNSFW")</f>
        <v>{New} Cory Chase https://doodstream.com/d/fn2h560zop03/95758715 https://streamtape.com/v/DaB3Y1r1eWukoGq/95758715 https://lulustream.com/d/414r9mc1uhqn Juniper Ren (2026) #MILF #BigTits #Hardcore #Threesome #Teen #Blowjob #RIPNSFW</v>
      </c>
      <c r="N355" s="14" t="s">
        <v>1882</v>
      </c>
      <c r="O355" s="15" t="s">
        <v>1883</v>
      </c>
      <c r="P355" s="14"/>
      <c r="Q355" s="6"/>
      <c r="R355" s="11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75">
      <c r="A356" s="12" t="s">
        <v>1884</v>
      </c>
      <c r="B356" s="6" t="s">
        <v>14</v>
      </c>
      <c r="C356" s="7" t="str">
        <f t="shared" si="4"/>
        <v xml:space="preserve">Dahlia Sage </v>
      </c>
      <c r="D356" s="27" t="s">
        <v>1885</v>
      </c>
      <c r="E356" s="28" t="s">
        <v>1886</v>
      </c>
      <c r="F356" s="9" t="str">
        <f ca="1">IFERROR(__xludf.DUMMYFUNCTION("""https://streamtape.com/v/""&amp;
REGEXEXTRACT(O356,""/thumb/([^/]+)/"")&amp;
""/""&amp;K356"),"https://streamtape.com/v/4DgB4YzLlKhKe86/89666098")</f>
        <v>https://streamtape.com/v/4DgB4YzLlKhKe86/89666098</v>
      </c>
      <c r="G356" s="10" t="e">
        <f t="shared" ca="1" si="5"/>
        <v>#NAME?</v>
      </c>
      <c r="H356" s="11" t="str">
        <f ca="1">IFERROR(__xludf.DUMMYFUNCTION("IFERROR(SUBSTITUTE(SUBSTITUTE(REGEXEXTRACT(A356, ""[^-]+- [^-]+- [^-]+ - (.+?)\.jpg""), "".jpg"", """"), ""-"", "", ""), """")"),"")</f>
        <v/>
      </c>
      <c r="I356" s="6"/>
      <c r="J356" s="7" t="str">
        <f t="shared" ca="1" si="6"/>
        <v>(2026)</v>
      </c>
      <c r="K356" s="7" t="str">
        <f t="shared" si="7"/>
        <v>89666098</v>
      </c>
      <c r="L356" s="12" t="s">
        <v>455</v>
      </c>
      <c r="M356" s="13" t="str">
        <f ca="1">IFERROR(__xludf.DUMMYFUNCTION("TRIM(
  REGEXREPLACE(
    TEXTJOIN("" "",
      TRUE,
      B356,
      C356,
      embaralharLinks(E356,F356,G356),
      H356,
      """",
      J356,
      N356,
      ""#RIPNSFW""
    ),
  "",\s*"", "" "")
)"),"{New} Dahlia Sage https://lulustream.com/d/qslq9i6253f9 https://doodstream.com/d/jftpqxfn32zh/89666098 https://streamtape.com/v/4DgB4YzLlKhKe86/89666098 (2026) #Anal #Casting #Creampie #Hardcore #RIPNSFW")</f>
        <v>{New} Dahlia Sage https://lulustream.com/d/qslq9i6253f9 https://doodstream.com/d/jftpqxfn32zh/89666098 https://streamtape.com/v/4DgB4YzLlKhKe86/89666098 (2026) #Anal #Casting #Creampie #Hardcore #RIPNSFW</v>
      </c>
      <c r="N356" s="2" t="s">
        <v>456</v>
      </c>
      <c r="O356" s="30" t="s">
        <v>1887</v>
      </c>
      <c r="P356" s="26"/>
      <c r="R356" s="23"/>
    </row>
    <row r="357" spans="1:27" ht="12.75">
      <c r="A357" s="12" t="s">
        <v>1888</v>
      </c>
      <c r="B357" s="6"/>
      <c r="C357" s="7" t="str">
        <f t="shared" si="4"/>
        <v xml:space="preserve">Dainty Wilder </v>
      </c>
      <c r="D357" s="24" t="s">
        <v>1889</v>
      </c>
      <c r="E357" s="25" t="s">
        <v>1890</v>
      </c>
      <c r="F357" s="9" t="str">
        <f ca="1">IFERROR(__xludf.DUMMYFUNCTION("""https://streamtape.com/v/""&amp;
REGEXEXTRACT(O357,""/thumb/([^/]+)/"")&amp;
""/""&amp;K357"),"https://streamtape.com/v/jrqxbprkD8Tz0W3/02791119")</f>
        <v>https://streamtape.com/v/jrqxbprkD8Tz0W3/02791119</v>
      </c>
      <c r="G357" s="10" t="e">
        <f t="shared" ca="1" si="5"/>
        <v>#NAME?</v>
      </c>
      <c r="H357" s="11" t="str">
        <f ca="1">IFERROR(__xludf.DUMMYFUNCTION("IFERROR(SUBSTITUTE(SUBSTITUTE(REGEXEXTRACT(A357, ""[^-]+- [^-]+- [^-]+ - (.+?)\.jpg""), "".jpg"", """"), ""-"", "", ""), """")"),"")</f>
        <v/>
      </c>
      <c r="I357" s="6"/>
      <c r="J357" s="7" t="str">
        <f t="shared" ca="1" si="6"/>
        <v/>
      </c>
      <c r="K357" s="7" t="str">
        <f t="shared" si="7"/>
        <v>02791119</v>
      </c>
      <c r="L357" s="12" t="s">
        <v>1891</v>
      </c>
      <c r="M357" s="13" t="str">
        <f ca="1">IFERROR(__xludf.DUMMYFUNCTION("TRIM(
  REGEXREPLACE(
    TEXTJOIN("" "",
      TRUE,
      B357,
      C357,
      embaralharLinks(E357,F357,G357),
      H357,
      """",
      J357,
      N357,
      ""#RIPNSFW""
    ),
  "",\s*"", "" "")
)"),"Dainty Wilder https://lulustream.com/d/hiuswiw6v1r1 https://streamtape.com/v/jrqxbprkD8Tz0W3/02791119 https://doodstream.com/d/qq8gw8074sra/02791119 #teen #brunette #squirt #bigtits #RIPNSFW")</f>
        <v>Dainty Wilder https://lulustream.com/d/hiuswiw6v1r1 https://streamtape.com/v/jrqxbprkD8Tz0W3/02791119 https://doodstream.com/d/qq8gw8074sra/02791119 #teen #brunette #squirt #bigtits #RIPNSFW</v>
      </c>
      <c r="N357" s="2" t="s">
        <v>1891</v>
      </c>
      <c r="O357" s="21" t="s">
        <v>1892</v>
      </c>
      <c r="P357" s="26"/>
      <c r="R357" s="23"/>
      <c r="T357" s="6"/>
      <c r="U357" s="7"/>
    </row>
    <row r="358" spans="1:27" ht="12.75">
      <c r="A358" s="6" t="s">
        <v>1893</v>
      </c>
      <c r="B358" s="6" t="s">
        <v>14</v>
      </c>
      <c r="C358" s="7" t="str">
        <f t="shared" si="4"/>
        <v xml:space="preserve">Dainty Wilder </v>
      </c>
      <c r="D358" s="29" t="s">
        <v>1894</v>
      </c>
      <c r="E358" s="8" t="s">
        <v>1895</v>
      </c>
      <c r="F358" s="9" t="str">
        <f ca="1">IFERROR(__xludf.DUMMYFUNCTION("""https://streamtape.com/v/""&amp;
REGEXEXTRACT(O358,""/thumb/([^/]+)/"")&amp;
""/""&amp;K358"),"https://streamtape.com/v/Jwp8Z8BR2mcoR9/10194725")</f>
        <v>https://streamtape.com/v/Jwp8Z8BR2mcoR9/10194725</v>
      </c>
      <c r="G358" s="10" t="e">
        <f t="shared" ca="1" si="5"/>
        <v>#NAME?</v>
      </c>
      <c r="H358" s="11" t="str">
        <f ca="1">IFERROR(__xludf.DUMMYFUNCTION("IFERROR(SUBSTITUTE(SUBSTITUTE(REGEXEXTRACT(A358, ""[^-]+- [^-]+- [^-]+ - (.+?)\.jpg""), "".jpg"", """"), ""-"", "", ""), """")"),"Lucy Mochi ,  Caryn Beaumont")</f>
        <v>Lucy Mochi ,  Caryn Beaumont</v>
      </c>
      <c r="I358" s="6"/>
      <c r="J358" s="7" t="str">
        <f t="shared" ca="1" si="6"/>
        <v>(2026)</v>
      </c>
      <c r="K358" s="7" t="str">
        <f t="shared" si="7"/>
        <v>10194725</v>
      </c>
      <c r="L358" s="12" t="s">
        <v>1896</v>
      </c>
      <c r="M358" s="13" t="str">
        <f ca="1">IFERROR(__xludf.DUMMYFUNCTION("TRIM(
  REGEXREPLACE(
    TEXTJOIN("" "",
      TRUE,
      B358,
      C358,
      embaralharLinks(E358,F358,G358),
      H358,
      """",
      J358,
      N358,
      ""#RIPNSFW""
    ),
  "",\s*"", "" "")
)"),"{New} Dainty Wilder https://lulustream.com/d/s2bpijv960o3 https://doodstream.com/d/47lfbiptkgd0/10194725 https://streamtape.com/v/Jwp8Z8BR2mcoR9/10194725 Lucy Mochi Caryn Beaumont (2026) #BigTits #Lesbian #Asian #Threesome #Teen #RIPNSFW")</f>
        <v>{New} Dainty Wilder https://lulustream.com/d/s2bpijv960o3 https://doodstream.com/d/47lfbiptkgd0/10194725 https://streamtape.com/v/Jwp8Z8BR2mcoR9/10194725 Lucy Mochi Caryn Beaumont (2026) #BigTits #Lesbian #Asian #Threesome #Teen #RIPNSFW</v>
      </c>
      <c r="N358" s="14" t="s">
        <v>1897</v>
      </c>
      <c r="O358" s="32" t="s">
        <v>1898</v>
      </c>
      <c r="P358" s="14"/>
      <c r="Q358" s="6"/>
      <c r="R358" s="11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75">
      <c r="A359" s="12" t="s">
        <v>1899</v>
      </c>
      <c r="B359" s="6"/>
      <c r="C359" s="7" t="str">
        <f t="shared" si="4"/>
        <v xml:space="preserve">Dainty Wilder </v>
      </c>
      <c r="D359" s="36" t="s">
        <v>1900</v>
      </c>
      <c r="E359" s="25" t="s">
        <v>1901</v>
      </c>
      <c r="F359" s="9" t="str">
        <f ca="1">IFERROR(__xludf.DUMMYFUNCTION("""https://streamtape.com/v/""&amp;
REGEXEXTRACT(O359,""/thumb/([^/]+)/"")&amp;
""/""&amp;K359"),"https://streamtape.com/v/WyW1Xaa6Wwhb94m/13798100")</f>
        <v>https://streamtape.com/v/WyW1Xaa6Wwhb94m/13798100</v>
      </c>
      <c r="G359" s="10" t="e">
        <f t="shared" ca="1" si="5"/>
        <v>#NAME?</v>
      </c>
      <c r="H359" s="11" t="str">
        <f ca="1">IFERROR(__xludf.DUMMYFUNCTION("IFERROR(SUBSTITUTE(SUBSTITUTE(REGEXEXTRACT(A359, ""[^-]+- [^-]+- [^-]+ - (.+?)\.jpg""), "".jpg"", """"), ""-"", "", ""), """")"),"Lena Polanski")</f>
        <v>Lena Polanski</v>
      </c>
      <c r="I359" s="6"/>
      <c r="J359" s="7" t="str">
        <f t="shared" ca="1" si="6"/>
        <v/>
      </c>
      <c r="K359" s="7" t="str">
        <f t="shared" si="7"/>
        <v>13798100</v>
      </c>
      <c r="L359" s="12" t="s">
        <v>1902</v>
      </c>
      <c r="M359" s="13" t="str">
        <f ca="1">IFERROR(__xludf.DUMMYFUNCTION("TRIM(
  REGEXREPLACE(
    TEXTJOIN("" "",
      TRUE,
      B359,
      C359,
      embaralharLinks(E359,F359,G359),
      H359,
      """",
      J359,
      N359,
      ""#RIPNSFW""
    ),
  "",\s*"", "" "")
)"),"Dainty Wilder https://streamtape.com/v/WyW1Xaa6Wwhb94m/13798100 https://doodstream.com/d/enbeb9phzhe9/13798100 https://lulustream.com/d/yjf7e74plm0o Lena Polanski #anal #foursome #teens #bigtits #RIPNSFW")</f>
        <v>Dainty Wilder https://streamtape.com/v/WyW1Xaa6Wwhb94m/13798100 https://doodstream.com/d/enbeb9phzhe9/13798100 https://lulustream.com/d/yjf7e74plm0o Lena Polanski #anal #foursome #teens #bigtits #RIPNSFW</v>
      </c>
      <c r="N359" s="2" t="s">
        <v>1902</v>
      </c>
      <c r="O359" s="21" t="s">
        <v>1903</v>
      </c>
      <c r="P359" s="26"/>
      <c r="R359" s="23"/>
      <c r="T359" s="6"/>
      <c r="U359" s="7"/>
    </row>
    <row r="360" spans="1:27" ht="12.75">
      <c r="A360" s="6" t="s">
        <v>1904</v>
      </c>
      <c r="B360" s="6" t="s">
        <v>14</v>
      </c>
      <c r="C360" s="7" t="str">
        <f t="shared" si="4"/>
        <v xml:space="preserve">Dainty Wilder </v>
      </c>
      <c r="D360" s="24" t="s">
        <v>1905</v>
      </c>
      <c r="E360" s="25" t="s">
        <v>1906</v>
      </c>
      <c r="F360" s="9" t="str">
        <f ca="1">IFERROR(__xludf.DUMMYFUNCTION("""https://streamtape.com/v/""&amp;
REGEXEXTRACT(O360,""/thumb/([^/]+)/"")&amp;
""/""&amp;K360"),"https://streamtape.com/v/pdMm3zobBRUr3aD/20082922")</f>
        <v>https://streamtape.com/v/pdMm3zobBRUr3aD/20082922</v>
      </c>
      <c r="G360" s="10" t="e">
        <f t="shared" ca="1" si="5"/>
        <v>#NAME?</v>
      </c>
      <c r="H360" s="11" t="str">
        <f ca="1">IFERROR(__xludf.DUMMYFUNCTION("IFERROR(SUBSTITUTE(SUBSTITUTE(REGEXEXTRACT(A360, ""[^-]+- [^-]+- [^-]+ - (.+?)\.jpg""), "".jpg"", """"), ""-"", "", ""), """")"),"")</f>
        <v/>
      </c>
      <c r="I360" s="6"/>
      <c r="J360" s="7" t="str">
        <f t="shared" ca="1" si="6"/>
        <v>(2026)</v>
      </c>
      <c r="K360" s="7" t="str">
        <f t="shared" si="7"/>
        <v>20082922</v>
      </c>
      <c r="L360" s="12" t="s">
        <v>1907</v>
      </c>
      <c r="M360" s="13" t="str">
        <f ca="1">IFERROR(__xludf.DUMMYFUNCTION("TRIM(
  REGEXREPLACE(
    TEXTJOIN("" "",
      TRUE,
      B360,
      C360,
      embaralharLinks(E360,F360,G360),
      H360,
      """",
      J360,
      N360,
      ""#RIPNSFW""
    ),
  "",\s*"", "" "")
)"),"{New} Dainty Wilder https://doodstream.com/d/njolyoxyy61b/20082922 https://streamtape.com/v/pdMm3zobBRUr3aD/20082922 https://lulustream.com/d/qgh8bpzc9pg9 (2026) #teen #squirt #bigtits #solo #RIPNSFW")</f>
        <v>{New} Dainty Wilder https://doodstream.com/d/njolyoxyy61b/20082922 https://streamtape.com/v/pdMm3zobBRUr3aD/20082922 https://lulustream.com/d/qgh8bpzc9pg9 (2026) #teen #squirt #bigtits #solo #RIPNSFW</v>
      </c>
      <c r="N360" s="31" t="s">
        <v>1907</v>
      </c>
      <c r="O360" s="32" t="s">
        <v>1908</v>
      </c>
      <c r="P360" s="26"/>
      <c r="Q360" s="6"/>
      <c r="R360" s="23"/>
      <c r="S360" s="6"/>
      <c r="T360" s="6"/>
      <c r="U360" s="7"/>
      <c r="V360" s="6"/>
      <c r="X360" s="6"/>
      <c r="Y360" s="6"/>
      <c r="Z360" s="6"/>
      <c r="AA360" s="6"/>
    </row>
    <row r="361" spans="1:27" ht="12.75">
      <c r="A361" s="12" t="s">
        <v>1909</v>
      </c>
      <c r="B361" s="6"/>
      <c r="C361" s="7" t="str">
        <f t="shared" si="4"/>
        <v xml:space="preserve">Dainty Wilder </v>
      </c>
      <c r="D361" s="24" t="s">
        <v>1910</v>
      </c>
      <c r="E361" s="25" t="s">
        <v>1911</v>
      </c>
      <c r="F361" s="9" t="str">
        <f ca="1">IFERROR(__xludf.DUMMYFUNCTION("""https://streamtape.com/v/""&amp;
REGEXEXTRACT(O361,""/thumb/([^/]+)/"")&amp;
""/""&amp;K361"),"https://streamtape.com/v/zM11mv7X9PUYZWV/23578439")</f>
        <v>https://streamtape.com/v/zM11mv7X9PUYZWV/23578439</v>
      </c>
      <c r="G361" s="10" t="e">
        <f t="shared" ca="1" si="5"/>
        <v>#NAME?</v>
      </c>
      <c r="H361" s="11" t="str">
        <f ca="1">IFERROR(__xludf.DUMMYFUNCTION("IFERROR(SUBSTITUTE(SUBSTITUTE(REGEXEXTRACT(A361, ""[^-]+- [^-]+- [^-]+ - (.+?)\.jpg""), "".jpg"", """"), ""-"", "", ""), """")"),"")</f>
        <v/>
      </c>
      <c r="I361" s="6"/>
      <c r="J361" s="7" t="str">
        <f t="shared" ca="1" si="6"/>
        <v/>
      </c>
      <c r="K361" s="7" t="str">
        <f t="shared" si="7"/>
        <v>23578439</v>
      </c>
      <c r="L361" s="12" t="s">
        <v>1912</v>
      </c>
      <c r="M361" s="13" t="str">
        <f ca="1">IFERROR(__xludf.DUMMYFUNCTION("TRIM(
  REGEXREPLACE(
    TEXTJOIN("" "",
      TRUE,
      B361,
      C361,
      embaralharLinks(E361,F361,G361),
      H361,
      """",
      J361,
      N361,
      ""#RIPNSFW""
    ),
  "",\s*"", "" "")
)"),"Dainty Wilder https://doodstream.com/d/6nwauq7tvbmu/23578439 https://lulustream.com/d/ndp1n2ap5taz https://streamtape.com/v/zM11mv7X9PUYZWV/23578439 #anal #brunette #blowjob #teen #RIPNSFW")</f>
        <v>Dainty Wilder https://doodstream.com/d/6nwauq7tvbmu/23578439 https://lulustream.com/d/ndp1n2ap5taz https://streamtape.com/v/zM11mv7X9PUYZWV/23578439 #anal #brunette #blowjob #teen #RIPNSFW</v>
      </c>
      <c r="N361" s="2" t="s">
        <v>1912</v>
      </c>
      <c r="O361" s="30" t="s">
        <v>1913</v>
      </c>
      <c r="P361" s="26"/>
      <c r="R361" s="23"/>
      <c r="T361" s="6"/>
      <c r="U361" s="7"/>
    </row>
    <row r="362" spans="1:27" ht="12.75">
      <c r="A362" s="12" t="s">
        <v>1914</v>
      </c>
      <c r="B362" s="6" t="s">
        <v>14</v>
      </c>
      <c r="C362" s="7" t="str">
        <f t="shared" si="4"/>
        <v xml:space="preserve">Dainty Wilder </v>
      </c>
      <c r="D362" s="24" t="s">
        <v>1915</v>
      </c>
      <c r="E362" s="25" t="s">
        <v>1916</v>
      </c>
      <c r="F362" s="9" t="str">
        <f ca="1">IFERROR(__xludf.DUMMYFUNCTION("""https://streamtape.com/v/""&amp;
REGEXEXTRACT(O362,""/thumb/([^/]+)/"")&amp;
""/""&amp;K362"),"https://streamtape.com/v/3xM7gd4LoVCdgzZ/25302871")</f>
        <v>https://streamtape.com/v/3xM7gd4LoVCdgzZ/25302871</v>
      </c>
      <c r="G362" s="10" t="e">
        <f t="shared" ca="1" si="5"/>
        <v>#NAME?</v>
      </c>
      <c r="H362" s="11" t="str">
        <f ca="1">IFERROR(__xludf.DUMMYFUNCTION("IFERROR(SUBSTITUTE(SUBSTITUTE(REGEXEXTRACT(A362, ""[^-]+- [^-]+- [^-]+ - (.+?)\.jpg""), "".jpg"", """"), ""-"", "", ""), """")"),"")</f>
        <v/>
      </c>
      <c r="I362" s="6"/>
      <c r="J362" s="7" t="str">
        <f t="shared" ca="1" si="6"/>
        <v>(2026)</v>
      </c>
      <c r="K362" s="7" t="str">
        <f t="shared" si="7"/>
        <v>25302871</v>
      </c>
      <c r="L362" s="12" t="s">
        <v>1917</v>
      </c>
      <c r="M362" s="13" t="str">
        <f ca="1">IFERROR(__xludf.DUMMYFUNCTION("TRIM(
  REGEXREPLACE(
    TEXTJOIN("" "",
      TRUE,
      B362,
      C362,
      embaralharLinks(E362,F362,G362),
      H362,
      """",
      J362,
      N362,
      ""#RIPNSFW""
    ),
  "",\s*"", "" "")
)"),"{New} Dainty Wilder https://streamtape.com/v/3xM7gd4LoVCdgzZ/25302871 https://doodstream.com/d/20xqe78a5z9x/25302871 https://lulustream.com/d/b0xuul2nny50 (2026) #anal #teen #blowjob #bigtits #RIPNSFW")</f>
        <v>{New} Dainty Wilder https://streamtape.com/v/3xM7gd4LoVCdgzZ/25302871 https://doodstream.com/d/20xqe78a5z9x/25302871 https://lulustream.com/d/b0xuul2nny50 (2026) #anal #teen #blowjob #bigtits #RIPNSFW</v>
      </c>
      <c r="N362" s="2" t="s">
        <v>1917</v>
      </c>
      <c r="O362" s="30" t="s">
        <v>1918</v>
      </c>
      <c r="P362" s="26"/>
      <c r="R362" s="23"/>
      <c r="T362" s="6"/>
      <c r="U362" s="7"/>
    </row>
    <row r="363" spans="1:27" ht="12.75">
      <c r="A363" s="6" t="s">
        <v>1919</v>
      </c>
      <c r="B363" s="6" t="s">
        <v>14</v>
      </c>
      <c r="C363" s="7" t="str">
        <f t="shared" si="4"/>
        <v xml:space="preserve">Dainty Wilder </v>
      </c>
      <c r="D363" s="24" t="s">
        <v>1920</v>
      </c>
      <c r="E363" s="25" t="s">
        <v>1921</v>
      </c>
      <c r="F363" s="9" t="str">
        <f ca="1">IFERROR(__xludf.DUMMYFUNCTION("""https://streamtape.com/v/""&amp;
REGEXEXTRACT(O363,""/thumb/([^/]+)/"")&amp;
""/""&amp;K363"),"https://streamtape.com/v/olplmRdG3xuJz64/25785112")</f>
        <v>https://streamtape.com/v/olplmRdG3xuJz64/25785112</v>
      </c>
      <c r="G363" s="10" t="e">
        <f t="shared" ca="1" si="5"/>
        <v>#NAME?</v>
      </c>
      <c r="H363" s="11" t="str">
        <f ca="1">IFERROR(__xludf.DUMMYFUNCTION("IFERROR(SUBSTITUTE(SUBSTITUTE(REGEXEXTRACT(A363, ""[^-]+- [^-]+- [^-]+ - (.+?)\.jpg""), "".jpg"", """"), ""-"", "", ""), """")"),"Alina Lopez ,  Lucy Mochi ,  Cheerleader Kait")</f>
        <v>Alina Lopez ,  Lucy Mochi ,  Cheerleader Kait</v>
      </c>
      <c r="I363" s="6"/>
      <c r="J363" s="7" t="str">
        <f t="shared" ca="1" si="6"/>
        <v>(2026)</v>
      </c>
      <c r="K363" s="7" t="str">
        <f t="shared" si="7"/>
        <v>25785112</v>
      </c>
      <c r="L363" s="12" t="s">
        <v>1922</v>
      </c>
      <c r="M363" s="13" t="str">
        <f ca="1">IFERROR(__xludf.DUMMYFUNCTION("TRIM(
  REGEXREPLACE(
    TEXTJOIN("" "",
      TRUE,
      B363,
      C363,
      embaralharLinks(E363,F363,G363),
      H363,
      """",
      J363,
      N363,
      ""#RIPNSFW""
    ),
  "",\s*"", "" "")
)"),"{New} Dainty Wilder https://lulustream.com/d/g1g5mqbnsu6r https://streamtape.com/v/olplmRdG3xuJz64/25785112 https://doodstream.com/d/nukci1ra28ug/25785112 Alina Lopez Lucy Mochi Cheerleader Kait (2026) #blowjob #teens #orgy #brunette #RIPNSFW")</f>
        <v>{New} Dainty Wilder https://lulustream.com/d/g1g5mqbnsu6r https://streamtape.com/v/olplmRdG3xuJz64/25785112 https://doodstream.com/d/nukci1ra28ug/25785112 Alina Lopez Lucy Mochi Cheerleader Kait (2026) #blowjob #teens #orgy #brunette #RIPNSFW</v>
      </c>
      <c r="N363" s="31" t="s">
        <v>1922</v>
      </c>
      <c r="O363" s="32" t="s">
        <v>1923</v>
      </c>
      <c r="P363" s="26"/>
      <c r="Q363" s="6"/>
      <c r="R363" s="11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75">
      <c r="A364" s="6" t="s">
        <v>1924</v>
      </c>
      <c r="B364" s="6" t="s">
        <v>14</v>
      </c>
      <c r="C364" s="7" t="str">
        <f t="shared" si="4"/>
        <v xml:space="preserve">Dainty Wilder </v>
      </c>
      <c r="D364" s="24" t="s">
        <v>1925</v>
      </c>
      <c r="E364" s="25" t="s">
        <v>1926</v>
      </c>
      <c r="F364" s="9" t="str">
        <f ca="1">IFERROR(__xludf.DUMMYFUNCTION("""https://streamtape.com/v/""&amp;
REGEXEXTRACT(O364,""/thumb/([^/]+)/"")&amp;
""/""&amp;K364"),"https://streamtape.com/v/owgkAq6Vx3fJQQm/39415690")</f>
        <v>https://streamtape.com/v/owgkAq6Vx3fJQQm/39415690</v>
      </c>
      <c r="G364" s="10" t="e">
        <f t="shared" ca="1" si="5"/>
        <v>#NAME?</v>
      </c>
      <c r="H364" s="11" t="str">
        <f ca="1">IFERROR(__xludf.DUMMYFUNCTION("IFERROR(SUBSTITUTE(SUBSTITUTE(REGEXEXTRACT(A364, ""[^-]+- [^-]+- [^-]+ - (.+?)\.jpg""), "".jpg"", """"), ""-"", "", ""), """")"),"")</f>
        <v/>
      </c>
      <c r="I364" s="6"/>
      <c r="J364" s="7" t="str">
        <f t="shared" ca="1" si="6"/>
        <v>(2026)</v>
      </c>
      <c r="K364" s="7" t="str">
        <f t="shared" si="7"/>
        <v>39415690</v>
      </c>
      <c r="L364" s="12" t="s">
        <v>1927</v>
      </c>
      <c r="M364" s="13" t="str">
        <f ca="1">IFERROR(__xludf.DUMMYFUNCTION("TRIM(
  REGEXREPLACE(
    TEXTJOIN("" "",
      TRUE,
      B364,
      C364,
      embaralharLinks(E364,F364,G364),
      H364,
      """",
      J364,
      N364,
      ""#RIPNSFW""
    ),
  "",\s*"", "" "")
)"),"{New} Dainty Wilder https://doodstream.com/d/pgmdymeslx4k/39415690 https://lulustream.com/d/l4k5woghsfqt https://streamtape.com/v/owgkAq6Vx3fJQQm/39415690 (2026) #anal #bigtits #teen #blowjob #RIPNSFW")</f>
        <v>{New} Dainty Wilder https://doodstream.com/d/pgmdymeslx4k/39415690 https://lulustream.com/d/l4k5woghsfqt https://streamtape.com/v/owgkAq6Vx3fJQQm/39415690 (2026) #anal #bigtits #teen #blowjob #RIPNSFW</v>
      </c>
      <c r="N364" s="31" t="s">
        <v>1927</v>
      </c>
      <c r="O364" s="32" t="s">
        <v>1928</v>
      </c>
      <c r="P364" s="26"/>
      <c r="Q364" s="6"/>
      <c r="R364" s="11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75">
      <c r="A365" s="6" t="s">
        <v>1929</v>
      </c>
      <c r="B365" s="6" t="s">
        <v>14</v>
      </c>
      <c r="C365" s="7" t="str">
        <f t="shared" si="4"/>
        <v xml:space="preserve">Dainty Wilder </v>
      </c>
      <c r="D365" s="24" t="s">
        <v>1930</v>
      </c>
      <c r="E365" s="25" t="s">
        <v>1931</v>
      </c>
      <c r="F365" s="9" t="str">
        <f ca="1">IFERROR(__xludf.DUMMYFUNCTION("""https://streamtape.com/v/""&amp;
REGEXEXTRACT(O365,""/thumb/([^/]+)/"")&amp;
""/""&amp;K365"),"https://streamtape.com/v/eAga61Qa9KtJB7/43236156")</f>
        <v>https://streamtape.com/v/eAga61Qa9KtJB7/43236156</v>
      </c>
      <c r="G365" s="10" t="e">
        <f t="shared" ca="1" si="5"/>
        <v>#NAME?</v>
      </c>
      <c r="H365" s="11" t="str">
        <f ca="1">IFERROR(__xludf.DUMMYFUNCTION("IFERROR(SUBSTITUTE(SUBSTITUTE(REGEXEXTRACT(A365, ""[^-]+- [^-]+- [^-]+ - (.+?)\.jpg""), "".jpg"", """"), ""-"", "", ""), """")"),"")</f>
        <v/>
      </c>
      <c r="I365" s="6"/>
      <c r="J365" s="7" t="str">
        <f t="shared" ca="1" si="6"/>
        <v>(2026)</v>
      </c>
      <c r="K365" s="7" t="str">
        <f t="shared" si="7"/>
        <v>43236156</v>
      </c>
      <c r="L365" s="12" t="s">
        <v>1932</v>
      </c>
      <c r="M365" s="13" t="str">
        <f ca="1">IFERROR(__xludf.DUMMYFUNCTION("TRIM(
  REGEXREPLACE(
    TEXTJOIN("" "",
      TRUE,
      B365,
      C365,
      embaralharLinks(E365,F365,G365),
      H365,
      """",
      J365,
      N365,
      ""#RIPNSFW""
    ),
  "",\s*"", "" "")
)"),"{New} Dainty Wilder https://lulustream.com/d/aa45e4pzddy3 https://doodstream.com/d/6binq34esltf/43236156 https://streamtape.com/v/eAga61Qa9KtJB7/43236156 (2026) #teen #bigtits #blowjob #squirt #RIPNSFW")</f>
        <v>{New} Dainty Wilder https://lulustream.com/d/aa45e4pzddy3 https://doodstream.com/d/6binq34esltf/43236156 https://streamtape.com/v/eAga61Qa9KtJB7/43236156 (2026) #teen #bigtits #blowjob #squirt #RIPNSFW</v>
      </c>
      <c r="N365" s="31" t="s">
        <v>1932</v>
      </c>
      <c r="O365" s="32" t="s">
        <v>1933</v>
      </c>
      <c r="P365" s="26"/>
      <c r="Q365" s="6"/>
      <c r="R365" s="11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75">
      <c r="A366" s="12" t="s">
        <v>1934</v>
      </c>
      <c r="B366" s="6" t="s">
        <v>14</v>
      </c>
      <c r="C366" s="7" t="str">
        <f t="shared" si="4"/>
        <v xml:space="preserve">Dainty Wilder </v>
      </c>
      <c r="D366" s="27" t="s">
        <v>1935</v>
      </c>
      <c r="E366" s="28" t="s">
        <v>1936</v>
      </c>
      <c r="F366" s="9" t="str">
        <f ca="1">IFERROR(__xludf.DUMMYFUNCTION("""https://streamtape.com/v/""&amp;
REGEXEXTRACT(O366,""/thumb/([^/]+)/"")&amp;
""/""&amp;K366"),"https://streamtape.com/v/7bOZJpGxO6cAe7Z/48110335")</f>
        <v>https://streamtape.com/v/7bOZJpGxO6cAe7Z/48110335</v>
      </c>
      <c r="G366" s="10" t="e">
        <f t="shared" ca="1" si="5"/>
        <v>#NAME?</v>
      </c>
      <c r="H366" s="11" t="str">
        <f ca="1">IFERROR(__xludf.DUMMYFUNCTION("IFERROR(SUBSTITUTE(SUBSTITUTE(REGEXEXTRACT(A366, ""[^-]+- [^-]+- [^-]+ - (.+?)\.jpg""), "".jpg"", """"), ""-"", "", ""), """")"),"Ryan Reid")</f>
        <v>Ryan Reid</v>
      </c>
      <c r="I366" s="6"/>
      <c r="J366" s="7" t="str">
        <f t="shared" ca="1" si="6"/>
        <v>(2026)</v>
      </c>
      <c r="K366" s="7" t="str">
        <f t="shared" si="7"/>
        <v>48110335</v>
      </c>
      <c r="L366" s="12" t="s">
        <v>1937</v>
      </c>
      <c r="M366" s="13" t="str">
        <f ca="1">IFERROR(__xludf.DUMMYFUNCTION("TRIM(
  REGEXREPLACE(
    TEXTJOIN("" "",
      TRUE,
      B366,
      C366,
      embaralharLinks(E366,F366,G366),
      H366,
      """",
      J366,
      N366,
      ""#RIPNSFW""
    ),
  "",\s*"", "" "")
)"),"{New} Dainty Wilder https://lulustream.com/d/dyf6n41ia2i8 https://doodstream.com/d/301vh8s17pbn/48110335 https://streamtape.com/v/7bOZJpGxO6cAe7Z/48110335 Ryan Reid (2026) #BigTits #Threesome #Teen #Blowjob #RIPNSFW")</f>
        <v>{New} Dainty Wilder https://lulustream.com/d/dyf6n41ia2i8 https://doodstream.com/d/301vh8s17pbn/48110335 https://streamtape.com/v/7bOZJpGxO6cAe7Z/48110335 Ryan Reid (2026) #BigTits #Threesome #Teen #Blowjob #RIPNSFW</v>
      </c>
      <c r="N366" s="2" t="s">
        <v>1938</v>
      </c>
      <c r="O366" s="30" t="s">
        <v>1939</v>
      </c>
      <c r="P366" s="26"/>
      <c r="R366" s="23"/>
    </row>
    <row r="367" spans="1:27" ht="12.75">
      <c r="A367" s="12" t="s">
        <v>1940</v>
      </c>
      <c r="B367" s="6" t="s">
        <v>14</v>
      </c>
      <c r="C367" s="7" t="str">
        <f t="shared" si="4"/>
        <v xml:space="preserve">Dainty Wilder </v>
      </c>
      <c r="D367" s="27" t="s">
        <v>1941</v>
      </c>
      <c r="E367" s="28" t="s">
        <v>1942</v>
      </c>
      <c r="F367" s="9" t="str">
        <f ca="1">IFERROR(__xludf.DUMMYFUNCTION("""https://streamtape.com/v/""&amp;
REGEXEXTRACT(O367,""/thumb/([^/]+)/"")&amp;
""/""&amp;K367"),"https://streamtape.com/v/lkq6kWQ4LVivJp/54428152")</f>
        <v>https://streamtape.com/v/lkq6kWQ4LVivJp/54428152</v>
      </c>
      <c r="G367" s="10" t="e">
        <f t="shared" ca="1" si="5"/>
        <v>#NAME?</v>
      </c>
      <c r="H367" s="11" t="str">
        <f ca="1">IFERROR(__xludf.DUMMYFUNCTION("IFERROR(SUBSTITUTE(SUBSTITUTE(REGEXEXTRACT(A367, ""[^-]+- [^-]+- [^-]+ - (.+?)\.jpg""), "".jpg"", """"), ""-"", "", ""), """")"),"")</f>
        <v/>
      </c>
      <c r="I367" s="6"/>
      <c r="J367" s="7" t="str">
        <f t="shared" ca="1" si="6"/>
        <v>(2026)</v>
      </c>
      <c r="K367" s="7" t="str">
        <f t="shared" si="7"/>
        <v>54428152</v>
      </c>
      <c r="L367" s="12" t="s">
        <v>1943</v>
      </c>
      <c r="M367" s="13" t="str">
        <f ca="1">IFERROR(__xludf.DUMMYFUNCTION("TRIM(
  REGEXREPLACE(
    TEXTJOIN("" "",
      TRUE,
      B367,
      C367,
      embaralharLinks(E367,F367,G367),
      H367,
      """",
      J367,
      N367,
      ""#RIPNSFW""
    ),
  "",\s*"", "" "")
)"),"{New} Dainty Wilder https://streamtape.com/v/lkq6kWQ4LVivJp/54428152 https://lulustream.com/d/9aas3tg5ovh6 https://doodstream.com/d/vkskkm6z9eae/54428152 (2026) #BigTits #Teen #Blowjob #Amateur #RIPNSFW")</f>
        <v>{New} Dainty Wilder https://streamtape.com/v/lkq6kWQ4LVivJp/54428152 https://lulustream.com/d/9aas3tg5ovh6 https://doodstream.com/d/vkskkm6z9eae/54428152 (2026) #BigTits #Teen #Blowjob #Amateur #RIPNSFW</v>
      </c>
      <c r="N367" s="2" t="s">
        <v>1944</v>
      </c>
      <c r="O367" s="30" t="s">
        <v>1945</v>
      </c>
      <c r="P367" s="26"/>
      <c r="R367" s="23"/>
    </row>
    <row r="368" spans="1:27" ht="12.75">
      <c r="A368" s="12" t="s">
        <v>1946</v>
      </c>
      <c r="B368" s="6" t="s">
        <v>14</v>
      </c>
      <c r="C368" s="7" t="str">
        <f t="shared" si="4"/>
        <v xml:space="preserve">Dainty Wilder </v>
      </c>
      <c r="D368" s="24" t="s">
        <v>1947</v>
      </c>
      <c r="E368" s="25" t="s">
        <v>1948</v>
      </c>
      <c r="F368" s="9" t="str">
        <f ca="1">IFERROR(__xludf.DUMMYFUNCTION("""https://streamtape.com/v/""&amp;
REGEXEXTRACT(O368,""/thumb/([^/]+)/"")&amp;
""/""&amp;K368"),"https://streamtape.com/v/oQxWGJO7yluKAd/65825910")</f>
        <v>https://streamtape.com/v/oQxWGJO7yluKAd/65825910</v>
      </c>
      <c r="G368" s="10" t="e">
        <f t="shared" ca="1" si="5"/>
        <v>#NAME?</v>
      </c>
      <c r="H368" s="11" t="str">
        <f ca="1">IFERROR(__xludf.DUMMYFUNCTION("IFERROR(SUBSTITUTE(SUBSTITUTE(REGEXEXTRACT(A368, ""[^-]+- [^-]+- [^-]+ - (.+?)\.jpg""), "".jpg"", """"), ""-"", "", ""), """")"),"Valerica Steele")</f>
        <v>Valerica Steele</v>
      </c>
      <c r="I368" s="6"/>
      <c r="J368" s="7" t="str">
        <f t="shared" ca="1" si="6"/>
        <v>(2026)</v>
      </c>
      <c r="K368" s="7" t="str">
        <f t="shared" si="7"/>
        <v>65825910</v>
      </c>
      <c r="L368" s="12" t="s">
        <v>1949</v>
      </c>
      <c r="M368" s="13" t="str">
        <f ca="1">IFERROR(__xludf.DUMMYFUNCTION("TRIM(
  REGEXREPLACE(
    TEXTJOIN("" "",
      TRUE,
      B368,
      C368,
      embaralharLinks(E368,F368,G368),
      H368,
      """",
      J368,
      N368,
      ""#RIPNSFW""
    ),
  "",\s*"", "" "")
)"),"{New} Dainty Wilder https://lulustream.com/d/7facn1cbjcif https://doodstream.com/d/y7u09jf0qx1m/65825910 https://streamtape.com/v/oQxWGJO7yluKAd/65825910 Valerica Steele (2026) #teens #bigtits #blowjob #brunette #RIPNSFW")</f>
        <v>{New} Dainty Wilder https://lulustream.com/d/7facn1cbjcif https://doodstream.com/d/y7u09jf0qx1m/65825910 https://streamtape.com/v/oQxWGJO7yluKAd/65825910 Valerica Steele (2026) #teens #bigtits #blowjob #brunette #RIPNSFW</v>
      </c>
      <c r="N368" s="2" t="s">
        <v>1949</v>
      </c>
      <c r="O368" s="30" t="s">
        <v>1950</v>
      </c>
      <c r="P368" s="26"/>
      <c r="R368" s="23"/>
    </row>
    <row r="369" spans="1:27" ht="12.75">
      <c r="A369" s="6" t="s">
        <v>1951</v>
      </c>
      <c r="B369" s="6" t="s">
        <v>14</v>
      </c>
      <c r="C369" s="7" t="str">
        <f t="shared" si="4"/>
        <v xml:space="preserve">Dainty Wilder </v>
      </c>
      <c r="D369" s="6" t="s">
        <v>1952</v>
      </c>
      <c r="E369" s="8" t="s">
        <v>1953</v>
      </c>
      <c r="F369" s="9" t="str">
        <f ca="1">IFERROR(__xludf.DUMMYFUNCTION("""https://streamtape.com/v/""&amp;
REGEXEXTRACT(O369,""/thumb/([^/]+)/"")&amp;
""/""&amp;K369"),"https://streamtape.com/v/17Wd0BDwWYF1Qz/66940297")</f>
        <v>https://streamtape.com/v/17Wd0BDwWYF1Qz/66940297</v>
      </c>
      <c r="G369" s="10" t="e">
        <f t="shared" ca="1" si="5"/>
        <v>#NAME?</v>
      </c>
      <c r="H369" s="11" t="str">
        <f ca="1">IFERROR(__xludf.DUMMYFUNCTION("IFERROR(SUBSTITUTE(SUBSTITUTE(REGEXEXTRACT(A369, ""[^-]+- [^-]+- [^-]+ - (.+?)\.jpg""), "".jpg"", """"), ""-"", "", ""), """")"),"Elly Clutch")</f>
        <v>Elly Clutch</v>
      </c>
      <c r="I369" s="6"/>
      <c r="J369" s="7" t="str">
        <f t="shared" ca="1" si="6"/>
        <v>(2026)</v>
      </c>
      <c r="K369" s="7" t="str">
        <f t="shared" si="7"/>
        <v>66940297</v>
      </c>
      <c r="L369" s="12" t="s">
        <v>1954</v>
      </c>
      <c r="M369" s="13" t="str">
        <f ca="1">IFERROR(__xludf.DUMMYFUNCTION("TRIM(
  REGEXREPLACE(
    TEXTJOIN("" "",
      TRUE,
      B369,
      C369,
      embaralharLinks(E369,F369,G369),
      H369,
      """",
      J369,
      N369,
      ""#RIPNSFW""
    ),
  "",\s*"", "" "")
)"),"{New} Dainty Wilder https://streamtape.com/v/17Wd0BDwWYF1Qz/66940297 https://lulustream.com/d/vkp6d1jksjo2 https://doodstream.com/d/g3kwgd8rnbpx/66940297 Elly Clutch (2026) #BigTits #Lesbian #Teen #Squirt #RIPNSFW")</f>
        <v>{New} Dainty Wilder https://streamtape.com/v/17Wd0BDwWYF1Qz/66940297 https://lulustream.com/d/vkp6d1jksjo2 https://doodstream.com/d/g3kwgd8rnbpx/66940297 Elly Clutch (2026) #BigTits #Lesbian #Teen #Squirt #RIPNSFW</v>
      </c>
      <c r="N369" s="14" t="s">
        <v>1955</v>
      </c>
      <c r="O369" s="15" t="s">
        <v>1956</v>
      </c>
      <c r="P369" s="14"/>
      <c r="Q369" s="6"/>
      <c r="R369" s="11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75">
      <c r="A370" s="12" t="s">
        <v>1957</v>
      </c>
      <c r="B370" s="6" t="s">
        <v>14</v>
      </c>
      <c r="C370" s="7" t="str">
        <f t="shared" si="4"/>
        <v xml:space="preserve">Dainty Wilder </v>
      </c>
      <c r="D370" s="24" t="s">
        <v>1958</v>
      </c>
      <c r="E370" s="25" t="s">
        <v>1959</v>
      </c>
      <c r="F370" s="9" t="str">
        <f ca="1">IFERROR(__xludf.DUMMYFUNCTION("""https://streamtape.com/v/""&amp;
REGEXEXTRACT(O370,""/thumb/([^/]+)/"")&amp;
""/""&amp;K370"),"https://streamtape.com/v/LkMmla3oMWIRVr3/67327074")</f>
        <v>https://streamtape.com/v/LkMmla3oMWIRVr3/67327074</v>
      </c>
      <c r="G370" s="10" t="e">
        <f t="shared" ca="1" si="5"/>
        <v>#NAME?</v>
      </c>
      <c r="H370" s="11" t="str">
        <f ca="1">IFERROR(__xludf.DUMMYFUNCTION("IFERROR(SUBSTITUTE(SUBSTITUTE(REGEXEXTRACT(A370, ""[^-]+- [^-]+- [^-]+ - (.+?)\.jpg""), "".jpg"", """"), ""-"", "", ""), """")"),"")</f>
        <v/>
      </c>
      <c r="I370" s="6"/>
      <c r="J370" s="7" t="str">
        <f t="shared" ca="1" si="6"/>
        <v>(2026)</v>
      </c>
      <c r="K370" s="7" t="str">
        <f t="shared" si="7"/>
        <v>67327074</v>
      </c>
      <c r="L370" s="12" t="s">
        <v>1960</v>
      </c>
      <c r="M370" s="13" t="str">
        <f ca="1">IFERROR(__xludf.DUMMYFUNCTION("TRIM(
  REGEXREPLACE(
    TEXTJOIN("" "",
      TRUE,
      B370,
      C370,
      embaralharLinks(E370,F370,G370),
      H370,
      """",
      J370,
      N370,
      ""#RIPNSFW""
    ),
  "",\s*"", "" "")
)"),"{New} Dainty Wilder https://doodstream.com/d/or4ekwy2ecnc/67327074 https://streamtape.com/v/LkMmla3oMWIRVr3/67327074 https://lulustream.com/d/sykd1cn4abhp (2026) #anal #teen #bigtits #solo #RIPNSFW")</f>
        <v>{New} Dainty Wilder https://doodstream.com/d/or4ekwy2ecnc/67327074 https://streamtape.com/v/LkMmla3oMWIRVr3/67327074 https://lulustream.com/d/sykd1cn4abhp (2026) #anal #teen #bigtits #solo #RIPNSFW</v>
      </c>
      <c r="N370" s="2" t="s">
        <v>1960</v>
      </c>
      <c r="O370" s="30" t="s">
        <v>1961</v>
      </c>
      <c r="P370" s="26"/>
      <c r="R370" s="23"/>
    </row>
    <row r="371" spans="1:27" ht="12.75">
      <c r="A371" s="6" t="s">
        <v>1962</v>
      </c>
      <c r="B371" s="6" t="s">
        <v>14</v>
      </c>
      <c r="C371" s="7" t="str">
        <f t="shared" si="4"/>
        <v xml:space="preserve">Dainty Wilder </v>
      </c>
      <c r="D371" s="6" t="s">
        <v>1963</v>
      </c>
      <c r="E371" s="8" t="s">
        <v>1964</v>
      </c>
      <c r="F371" s="9" t="str">
        <f ca="1">IFERROR(__xludf.DUMMYFUNCTION("""https://streamtape.com/v/""&amp;
REGEXEXTRACT(O371,""/thumb/([^/]+)/"")&amp;
""/""&amp;K371"),"https://streamtape.com/v/JogAvLklyYCjp48/69890982")</f>
        <v>https://streamtape.com/v/JogAvLklyYCjp48/69890982</v>
      </c>
      <c r="G371" s="10" t="e">
        <f t="shared" ca="1" si="5"/>
        <v>#NAME?</v>
      </c>
      <c r="H371" s="11" t="str">
        <f ca="1">IFERROR(__xludf.DUMMYFUNCTION("IFERROR(SUBSTITUTE(SUBSTITUTE(REGEXEXTRACT(A371, ""[^-]+- [^-]+- [^-]+ - (.+?)\.jpg""), "".jpg"", """"), ""-"", "", ""), """")"),"Alina Lopez")</f>
        <v>Alina Lopez</v>
      </c>
      <c r="I371" s="6"/>
      <c r="J371" s="7" t="str">
        <f t="shared" ca="1" si="6"/>
        <v>(2026)</v>
      </c>
      <c r="K371" s="7" t="str">
        <f t="shared" si="7"/>
        <v>69890982</v>
      </c>
      <c r="L371" s="12" t="s">
        <v>1965</v>
      </c>
      <c r="M371" s="13" t="str">
        <f ca="1">IFERROR(__xludf.DUMMYFUNCTION("TRIM(
  REGEXREPLACE(
    TEXTJOIN("" "",
      TRUE,
      B371,
      C371,
      embaralharLinks(E371,F371,G371),
      H371,
      """",
      J371,
      N371,
      ""#RIPNSFW""
    ),
  "",\s*"", "" "")
)"),"{New} Dainty Wilder https://lulustream.com/d/d9ltv66cz28z https://doodstream.com/d/viu5tn6ooa12/69890982 https://streamtape.com/v/JogAvLklyYCjp48/69890982 Alina Lopez (2026) #BigTits #Hardcore #Threesome #Teen #Blowjob #Amateur #RIPNSFW")</f>
        <v>{New} Dainty Wilder https://lulustream.com/d/d9ltv66cz28z https://doodstream.com/d/viu5tn6ooa12/69890982 https://streamtape.com/v/JogAvLklyYCjp48/69890982 Alina Lopez (2026) #BigTits #Hardcore #Threesome #Teen #Blowjob #Amateur #RIPNSFW</v>
      </c>
      <c r="N371" s="14" t="s">
        <v>1966</v>
      </c>
      <c r="O371" s="15" t="s">
        <v>1967</v>
      </c>
      <c r="P371" s="14"/>
      <c r="Q371" s="6"/>
      <c r="R371" s="11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75">
      <c r="A372" s="12" t="s">
        <v>1968</v>
      </c>
      <c r="B372" s="6" t="s">
        <v>14</v>
      </c>
      <c r="C372" s="7" t="str">
        <f t="shared" si="4"/>
        <v xml:space="preserve">Dainty Wilder </v>
      </c>
      <c r="D372" s="24" t="s">
        <v>1969</v>
      </c>
      <c r="E372" s="25" t="s">
        <v>1970</v>
      </c>
      <c r="F372" s="9" t="str">
        <f ca="1">IFERROR(__xludf.DUMMYFUNCTION("""https://streamtape.com/v/""&amp;
REGEXEXTRACT(O372,""/thumb/([^/]+)/"")&amp;
""/""&amp;K372"),"https://streamtape.com/v/RmMZ9rv06zcdQ41/71504764")</f>
        <v>https://streamtape.com/v/RmMZ9rv06zcdQ41/71504764</v>
      </c>
      <c r="G372" s="10" t="e">
        <f t="shared" ca="1" si="5"/>
        <v>#NAME?</v>
      </c>
      <c r="H372" s="11" t="str">
        <f ca="1">IFERROR(__xludf.DUMMYFUNCTION("IFERROR(SUBSTITUTE(SUBSTITUTE(REGEXEXTRACT(A372, ""[^-]+- [^-]+- [^-]+ - (.+?)\.jpg""), "".jpg"", """"), ""-"", "", ""), """")"),"Martina Smeraldi")</f>
        <v>Martina Smeraldi</v>
      </c>
      <c r="I372" s="6"/>
      <c r="J372" s="7" t="str">
        <f t="shared" ca="1" si="6"/>
        <v>(2026)</v>
      </c>
      <c r="K372" s="7" t="str">
        <f t="shared" si="7"/>
        <v>71504764</v>
      </c>
      <c r="L372" s="12" t="s">
        <v>1971</v>
      </c>
      <c r="M372" s="13" t="str">
        <f ca="1">IFERROR(__xludf.DUMMYFUNCTION("TRIM(
  REGEXREPLACE(
    TEXTJOIN("" "",
      TRUE,
      B372,
      C372,
      embaralharLinks(E372,F372,G372),
      H372,
      """",
      J372,
      N372,
      ""#RIPNSFW""
    ),
  "",\s*"", "" "")
)"),"{New} Dainty Wilder https://streamtape.com/v/RmMZ9rv06zcdQ41/71504764 https://lulustream.com/d/f9n15bbew3qd https://doodstream.com/d/n7s5k3nsvb8k/71504764 Martina Smeraldi (2026) #anal #squirt #bigtits #teens #RIPNSFW")</f>
        <v>{New} Dainty Wilder https://streamtape.com/v/RmMZ9rv06zcdQ41/71504764 https://lulustream.com/d/f9n15bbew3qd https://doodstream.com/d/n7s5k3nsvb8k/71504764 Martina Smeraldi (2026) #anal #squirt #bigtits #teens #RIPNSFW</v>
      </c>
      <c r="N372" s="2" t="s">
        <v>1971</v>
      </c>
      <c r="O372" s="21" t="s">
        <v>1972</v>
      </c>
      <c r="P372" s="26"/>
      <c r="R372" s="23"/>
    </row>
    <row r="373" spans="1:27" ht="12.75">
      <c r="A373" s="6" t="s">
        <v>1973</v>
      </c>
      <c r="B373" s="6" t="s">
        <v>14</v>
      </c>
      <c r="C373" s="7" t="str">
        <f t="shared" si="4"/>
        <v xml:space="preserve">Dainty Wilder </v>
      </c>
      <c r="D373" s="24" t="s">
        <v>1974</v>
      </c>
      <c r="E373" s="25" t="s">
        <v>1975</v>
      </c>
      <c r="F373" s="9" t="str">
        <f ca="1">IFERROR(__xludf.DUMMYFUNCTION("""https://streamtape.com/v/""&amp;
REGEXEXTRACT(O373,""/thumb/([^/]+)/"")&amp;
""/""&amp;K373"),"https://streamtape.com/v/VyeR4qLVvvIK6zB/73520865")</f>
        <v>https://streamtape.com/v/VyeR4qLVvvIK6zB/73520865</v>
      </c>
      <c r="G373" s="10" t="e">
        <f t="shared" ca="1" si="5"/>
        <v>#NAME?</v>
      </c>
      <c r="H373" s="11" t="str">
        <f ca="1">IFERROR(__xludf.DUMMYFUNCTION("IFERROR(SUBSTITUTE(SUBSTITUTE(REGEXEXTRACT(A373, ""[^-]+- [^-]+- [^-]+ - (.+?)\.jpg""), "".jpg"", """"), ""-"", "", ""), """")"),"")</f>
        <v/>
      </c>
      <c r="I373" s="6"/>
      <c r="J373" s="7" t="str">
        <f t="shared" ca="1" si="6"/>
        <v>(2026)</v>
      </c>
      <c r="K373" s="7" t="str">
        <f t="shared" si="7"/>
        <v>73520865</v>
      </c>
      <c r="L373" s="12" t="s">
        <v>1976</v>
      </c>
      <c r="M373" s="13" t="str">
        <f ca="1">IFERROR(__xludf.DUMMYFUNCTION("TRIM(
  REGEXREPLACE(
    TEXTJOIN("" "",
      TRUE,
      B373,
      C373,
      embaralharLinks(E373,F373,G373),
      H373,
      """",
      J373,
      N373,
      ""#RIPNSFW""
    ),
  "",\s*"", "" "")
)"),"{New} Dainty Wilder https://lulustream.com/d/0vsa2aeu589y https://doodstream.com/d/y002iau4vhey/73520865 https://streamtape.com/v/VyeR4qLVvvIK6zB/73520865 (2026) #anal #teen #bigtits #blowjob #RIPNSFW")</f>
        <v>{New} Dainty Wilder https://lulustream.com/d/0vsa2aeu589y https://doodstream.com/d/y002iau4vhey/73520865 https://streamtape.com/v/VyeR4qLVvvIK6zB/73520865 (2026) #anal #teen #bigtits #blowjob #RIPNSFW</v>
      </c>
      <c r="N373" s="31" t="s">
        <v>1976</v>
      </c>
      <c r="O373" s="32" t="s">
        <v>1977</v>
      </c>
      <c r="P373" s="26"/>
      <c r="Q373" s="6"/>
      <c r="R373" s="11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75">
      <c r="A374" s="6" t="s">
        <v>1978</v>
      </c>
      <c r="B374" s="6" t="s">
        <v>14</v>
      </c>
      <c r="C374" s="7" t="str">
        <f t="shared" si="4"/>
        <v xml:space="preserve">Dainty Wilder </v>
      </c>
      <c r="D374" s="6" t="s">
        <v>1979</v>
      </c>
      <c r="E374" s="8" t="s">
        <v>1980</v>
      </c>
      <c r="F374" s="9" t="str">
        <f ca="1">IFERROR(__xludf.DUMMYFUNCTION("""https://streamtape.com/v/""&amp;
REGEXEXTRACT(O374,""/thumb/([^/]+)/"")&amp;
""/""&amp;K374"),"https://streamtape.com/v/Kg3mjrVZx3C0QMj/83047853")</f>
        <v>https://streamtape.com/v/Kg3mjrVZx3C0QMj/83047853</v>
      </c>
      <c r="G374" s="10" t="e">
        <f t="shared" ca="1" si="5"/>
        <v>#NAME?</v>
      </c>
      <c r="H374" s="11" t="str">
        <f ca="1">IFERROR(__xludf.DUMMYFUNCTION("IFERROR(SUBSTITUTE(SUBSTITUTE(REGEXEXTRACT(A374, ""[^-]+- [^-]+- [^-]+ - (.+?)\.jpg""), "".jpg"", """"), ""-"", "", ""), """")"),"Madi Ruve")</f>
        <v>Madi Ruve</v>
      </c>
      <c r="I374" s="6"/>
      <c r="J374" s="7" t="str">
        <f t="shared" ca="1" si="6"/>
        <v>(2026)</v>
      </c>
      <c r="K374" s="7" t="str">
        <f t="shared" si="7"/>
        <v>83047853</v>
      </c>
      <c r="L374" s="12" t="s">
        <v>1981</v>
      </c>
      <c r="M374" s="13" t="str">
        <f ca="1">IFERROR(__xludf.DUMMYFUNCTION("TRIM(
  REGEXREPLACE(
    TEXTJOIN("" "",
      TRUE,
      B374,
      C374,
      embaralharLinks(E374,F374,G374),
      H374,
      """",
      J374,
      N374,
      ""#RIPNSFW""
    ),
  "",\s*"", "" "")
)"),"{New} Dainty Wilder https://doodstream.com/d/n7rxdgyyt104/83047853 https://streamtape.com/v/Kg3mjrVZx3C0QMj/83047853 https://lulustream.com/d/g60bok3v9jde Madi Ruve (2026) #BigTits #Lesbian #Teen #Squirt #Roleplay #Teens #Blonde #RIPNSFW")</f>
        <v>{New} Dainty Wilder https://doodstream.com/d/n7rxdgyyt104/83047853 https://streamtape.com/v/Kg3mjrVZx3C0QMj/83047853 https://lulustream.com/d/g60bok3v9jde Madi Ruve (2026) #BigTits #Lesbian #Teen #Squirt #Roleplay #Teens #Blonde #RIPNSFW</v>
      </c>
      <c r="N374" s="14" t="s">
        <v>1982</v>
      </c>
      <c r="O374" s="15" t="s">
        <v>1983</v>
      </c>
      <c r="P374" s="14"/>
      <c r="Q374" s="6"/>
      <c r="R374" s="11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75">
      <c r="A375" s="6" t="s">
        <v>1984</v>
      </c>
      <c r="B375" s="6" t="s">
        <v>14</v>
      </c>
      <c r="C375" s="7" t="str">
        <f t="shared" si="4"/>
        <v xml:space="preserve">Dainty Wilder </v>
      </c>
      <c r="D375" s="6" t="s">
        <v>1985</v>
      </c>
      <c r="E375" s="8" t="s">
        <v>1986</v>
      </c>
      <c r="F375" s="9" t="str">
        <f ca="1">IFERROR(__xludf.DUMMYFUNCTION("""https://streamtape.com/v/""&amp;
REGEXEXTRACT(O375,""/thumb/([^/]+)/"")&amp;
""/""&amp;K375"),"https://streamtape.com/v/XdR2w8oozdfDlVp/83378552")</f>
        <v>https://streamtape.com/v/XdR2w8oozdfDlVp/83378552</v>
      </c>
      <c r="G375" s="10" t="e">
        <f t="shared" ca="1" si="5"/>
        <v>#NAME?</v>
      </c>
      <c r="H375" s="11" t="str">
        <f ca="1">IFERROR(__xludf.DUMMYFUNCTION("IFERROR(SUBSTITUTE(SUBSTITUTE(REGEXEXTRACT(A375, ""[^-]+- [^-]+- [^-]+ - (.+?)\.jpg""), "".jpg"", """"), ""-"", "", ""), """")"),"")</f>
        <v/>
      </c>
      <c r="I375" s="6"/>
      <c r="J375" s="7" t="str">
        <f t="shared" ca="1" si="6"/>
        <v>(2026)</v>
      </c>
      <c r="K375" s="7" t="str">
        <f t="shared" si="7"/>
        <v>83378552</v>
      </c>
      <c r="L375" s="12" t="s">
        <v>1987</v>
      </c>
      <c r="M375" s="13" t="str">
        <f ca="1">IFERROR(__xludf.DUMMYFUNCTION("TRIM(
  REGEXREPLACE(
    TEXTJOIN("" "",
      TRUE,
      B375,
      C375,
      embaralharLinks(E375,F375,G375),
      H375,
      """",
      J375,
      N375,
      ""#RIPNSFW""
    ),
  "",\s*"", "" "")
)"),"{New} Dainty Wilder https://lulustream.com/d/eyy6w5cld7oa https://streamtape.com/v/XdR2w8oozdfDlVp/83378552 https://doodstream.com/d/x4wrkpxakqpz/83378552 (2026) #BigTits #Teen #Solo #Squirt #RIPNSFW")</f>
        <v>{New} Dainty Wilder https://lulustream.com/d/eyy6w5cld7oa https://streamtape.com/v/XdR2w8oozdfDlVp/83378552 https://doodstream.com/d/x4wrkpxakqpz/83378552 (2026) #BigTits #Teen #Solo #Squirt #RIPNSFW</v>
      </c>
      <c r="N375" s="14" t="s">
        <v>1988</v>
      </c>
      <c r="O375" s="15" t="s">
        <v>1989</v>
      </c>
      <c r="P375" s="14"/>
      <c r="Q375" s="6"/>
      <c r="R375" s="11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75">
      <c r="A376" s="12" t="s">
        <v>1990</v>
      </c>
      <c r="B376" s="6" t="s">
        <v>14</v>
      </c>
      <c r="C376" s="7" t="str">
        <f t="shared" si="4"/>
        <v xml:space="preserve">Dainty Wilder </v>
      </c>
      <c r="D376" s="24" t="s">
        <v>1991</v>
      </c>
      <c r="E376" s="25" t="s">
        <v>1992</v>
      </c>
      <c r="F376" s="9" t="str">
        <f ca="1">IFERROR(__xludf.DUMMYFUNCTION("""https://streamtape.com/v/""&amp;
REGEXEXTRACT(O376,""/thumb/([^/]+)/"")&amp;
""/""&amp;K376"),"https://streamtape.com/v/eP08pxwlr1tYyPB/85880814")</f>
        <v>https://streamtape.com/v/eP08pxwlr1tYyPB/85880814</v>
      </c>
      <c r="G376" s="10" t="e">
        <f t="shared" ca="1" si="5"/>
        <v>#NAME?</v>
      </c>
      <c r="H376" s="11" t="str">
        <f ca="1">IFERROR(__xludf.DUMMYFUNCTION("IFERROR(SUBSTITUTE(SUBSTITUTE(REGEXEXTRACT(A376, ""[^-]+- [^-]+- [^-]+ - (.+?)\.jpg""), "".jpg"", """"), ""-"", "", ""), """")"),"Lucy Mochi")</f>
        <v>Lucy Mochi</v>
      </c>
      <c r="I376" s="6"/>
      <c r="J376" s="7" t="str">
        <f t="shared" ca="1" si="6"/>
        <v>(2026)</v>
      </c>
      <c r="K376" s="7" t="str">
        <f t="shared" si="7"/>
        <v>85880814</v>
      </c>
      <c r="L376" s="12" t="s">
        <v>1993</v>
      </c>
      <c r="M376" s="13" t="str">
        <f ca="1">IFERROR(__xludf.DUMMYFUNCTION("TRIM(
  REGEXREPLACE(
    TEXTJOIN("" "",
      TRUE,
      B376,
      C376,
      embaralharLinks(E376,F376,G376),
      H376,
      """",
      J376,
      N376,
      ""#RIPNSFW""
    ),
  "",\s*"", "" "")
)"),"{New} Dainty Wilder https://doodstream.com/d/4cqay9x17vah/85880814 https://streamtape.com/v/eP08pxwlr1tYyPB/85880814 https://lulustream.com/d/83fgbp79890u Lucy Mochi (2026) #threesome #teens #asian #brunette #RIPNSFW")</f>
        <v>{New} Dainty Wilder https://doodstream.com/d/4cqay9x17vah/85880814 https://streamtape.com/v/eP08pxwlr1tYyPB/85880814 https://lulustream.com/d/83fgbp79890u Lucy Mochi (2026) #threesome #teens #asian #brunette #RIPNSFW</v>
      </c>
      <c r="N376" s="2" t="s">
        <v>1993</v>
      </c>
      <c r="O376" s="30" t="s">
        <v>1994</v>
      </c>
      <c r="P376" s="26"/>
      <c r="R376" s="23"/>
      <c r="T376" s="6"/>
      <c r="U376" s="7"/>
    </row>
    <row r="377" spans="1:27" ht="12.75">
      <c r="A377" s="12" t="s">
        <v>1995</v>
      </c>
      <c r="B377" s="6"/>
      <c r="C377" s="7" t="str">
        <f t="shared" si="4"/>
        <v xml:space="preserve">Dainty Wilder </v>
      </c>
      <c r="D377" s="24" t="s">
        <v>1996</v>
      </c>
      <c r="E377" s="25" t="s">
        <v>1997</v>
      </c>
      <c r="F377" s="9" t="str">
        <f ca="1">IFERROR(__xludf.DUMMYFUNCTION("""https://streamtape.com/v/""&amp;
REGEXEXTRACT(O377,""/thumb/([^/]+)/"")&amp;
""/""&amp;K377"),"https://streamtape.com/v/XyzVlPmW32iDydv/86337696")</f>
        <v>https://streamtape.com/v/XyzVlPmW32iDydv/86337696</v>
      </c>
      <c r="G377" s="10" t="e">
        <f t="shared" ca="1" si="5"/>
        <v>#NAME?</v>
      </c>
      <c r="H377" s="11" t="str">
        <f ca="1">IFERROR(__xludf.DUMMYFUNCTION("IFERROR(SUBSTITUTE(SUBSTITUTE(REGEXEXTRACT(A377, ""[^-]+- [^-]+- [^-]+ - (.+?)\.jpg""), "".jpg"", """"), ""-"", "", ""), """")"),"")</f>
        <v/>
      </c>
      <c r="I377" s="6"/>
      <c r="J377" s="7" t="str">
        <f t="shared" ca="1" si="6"/>
        <v/>
      </c>
      <c r="K377" s="7" t="str">
        <f t="shared" si="7"/>
        <v>86337696</v>
      </c>
      <c r="L377" s="12" t="s">
        <v>1998</v>
      </c>
      <c r="M377" s="13" t="str">
        <f ca="1">IFERROR(__xludf.DUMMYFUNCTION("TRIM(
  REGEXREPLACE(
    TEXTJOIN("" "",
      TRUE,
      B377,
      C377,
      embaralharLinks(E377,F377,G377),
      H377,
      """",
      J377,
      N377,
      ""#RIPNSFW""
    ),
  "",\s*"", "" "")
)"),"#ERROR!")</f>
        <v>#ERROR!</v>
      </c>
      <c r="N377" s="2" t="s">
        <v>1998</v>
      </c>
      <c r="O377" s="21" t="s">
        <v>1999</v>
      </c>
      <c r="P377" s="26"/>
      <c r="R377" s="23"/>
      <c r="T377" s="6"/>
      <c r="U377" s="7"/>
    </row>
    <row r="378" spans="1:27" ht="12.75">
      <c r="A378" s="12" t="s">
        <v>2000</v>
      </c>
      <c r="B378" s="6" t="s">
        <v>14</v>
      </c>
      <c r="C378" s="7" t="str">
        <f t="shared" si="4"/>
        <v xml:space="preserve">Dainty Wilder </v>
      </c>
      <c r="D378" s="24" t="s">
        <v>2001</v>
      </c>
      <c r="E378" s="25" t="s">
        <v>2002</v>
      </c>
      <c r="F378" s="9" t="str">
        <f ca="1">IFERROR(__xludf.DUMMYFUNCTION("""https://streamtape.com/v/""&amp;
REGEXEXTRACT(O378,""/thumb/([^/]+)/"")&amp;
""/""&amp;K378"),"https://streamtape.com/v/QepAllZPqBf0bMb/89040537")</f>
        <v>https://streamtape.com/v/QepAllZPqBf0bMb/89040537</v>
      </c>
      <c r="G378" s="10" t="e">
        <f t="shared" ca="1" si="5"/>
        <v>#NAME?</v>
      </c>
      <c r="H378" s="11" t="str">
        <f ca="1">IFERROR(__xludf.DUMMYFUNCTION("IFERROR(SUBSTITUTE(SUBSTITUTE(REGEXEXTRACT(A378, ""[^-]+- [^-]+- [^-]+ - (.+?)\.jpg""), "".jpg"", """"), ""-"", "", ""), """")"),"")</f>
        <v/>
      </c>
      <c r="I378" s="6"/>
      <c r="J378" s="7" t="str">
        <f t="shared" ca="1" si="6"/>
        <v>(2026)</v>
      </c>
      <c r="K378" s="7" t="str">
        <f t="shared" si="7"/>
        <v>89040537</v>
      </c>
      <c r="L378" s="12" t="s">
        <v>2003</v>
      </c>
      <c r="M378" s="13" t="str">
        <f ca="1">IFERROR(__xludf.DUMMYFUNCTION("TRIM(
  REGEXREPLACE(
    TEXTJOIN("" "",
      TRUE,
      B378,
      C378,
      embaralharLinks(E378,F378,G378),
      H378,
      """",
      J378,
      N378,
      ""#RIPNSFW""
    ),
  "",\s*"", "" "")
)"),"{New} Dainty Wilder https://streamtape.com/v/QepAllZPqBf0bMb/89040537 https://lulustream.com/d/y2iv8zw2ww5t https://doodstream.com/d/mvu8da6lk6v3/89040537 (2026) #blowjob #anal #teen #bigtits #RIPNSFW")</f>
        <v>{New} Dainty Wilder https://streamtape.com/v/QepAllZPqBf0bMb/89040537 https://lulustream.com/d/y2iv8zw2ww5t https://doodstream.com/d/mvu8da6lk6v3/89040537 (2026) #blowjob #anal #teen #bigtits #RIPNSFW</v>
      </c>
      <c r="N378" s="2" t="s">
        <v>2003</v>
      </c>
      <c r="O378" s="30" t="s">
        <v>2004</v>
      </c>
      <c r="P378" s="26"/>
      <c r="R378" s="23"/>
      <c r="T378" s="6"/>
      <c r="U378" s="7"/>
    </row>
    <row r="379" spans="1:27" ht="12.75">
      <c r="A379" s="6" t="s">
        <v>2005</v>
      </c>
      <c r="B379" s="6" t="s">
        <v>14</v>
      </c>
      <c r="C379" s="7" t="str">
        <f t="shared" si="4"/>
        <v xml:space="preserve">Dainty Wilder </v>
      </c>
      <c r="D379" s="29" t="s">
        <v>2006</v>
      </c>
      <c r="E379" s="8" t="s">
        <v>2007</v>
      </c>
      <c r="F379" s="9" t="str">
        <f ca="1">IFERROR(__xludf.DUMMYFUNCTION("""https://streamtape.com/v/""&amp;
REGEXEXTRACT(O379,""/thumb/([^/]+)/"")&amp;
""/""&amp;K379"),"https://streamtape.com/v/PWv3K3vBxmU07M7/89256519")</f>
        <v>https://streamtape.com/v/PWv3K3vBxmU07M7/89256519</v>
      </c>
      <c r="G379" s="10" t="e">
        <f t="shared" ca="1" si="5"/>
        <v>#NAME?</v>
      </c>
      <c r="H379" s="11" t="str">
        <f ca="1">IFERROR(__xludf.DUMMYFUNCTION("IFERROR(SUBSTITUTE(SUBSTITUTE(REGEXEXTRACT(A379, ""[^-]+- [^-]+- [^-]+ - (.+?)\.jpg""), "".jpg"", """"), ""-"", "", ""), """")"),"Caryn Beaumont")</f>
        <v>Caryn Beaumont</v>
      </c>
      <c r="I379" s="6"/>
      <c r="J379" s="7" t="str">
        <f t="shared" ca="1" si="6"/>
        <v>(2026)</v>
      </c>
      <c r="K379" s="7" t="str">
        <f t="shared" si="7"/>
        <v>89256519</v>
      </c>
      <c r="L379" s="12" t="s">
        <v>2008</v>
      </c>
      <c r="M379" s="13" t="str">
        <f ca="1">IFERROR(__xludf.DUMMYFUNCTION("TRIM(
  REGEXREPLACE(
    TEXTJOIN("" "",
      TRUE,
      B379,
      C379,
      embaralharLinks(E379,F379,G379),
      H379,
      """",
      J379,
      N379,
      ""#RIPNSFW""
    ),
  "",\s*"", "" "")
)"),"{New} Dainty Wilder https://doodstream.com/d/srl6id3e6sve/89256519 https://streamtape.com/v/PWv3K3vBxmU07M7/89256519 https://lulustream.com/d/yy284lgr2dup Caryn Beaumont (2026) #Anal #BigTits #Lesbian #Bigass #RIPNSFW")</f>
        <v>{New} Dainty Wilder https://doodstream.com/d/srl6id3e6sve/89256519 https://streamtape.com/v/PWv3K3vBxmU07M7/89256519 https://lulustream.com/d/yy284lgr2dup Caryn Beaumont (2026) #Anal #BigTits #Lesbian #Bigass #RIPNSFW</v>
      </c>
      <c r="N379" s="14" t="s">
        <v>2009</v>
      </c>
      <c r="O379" s="32" t="s">
        <v>2010</v>
      </c>
      <c r="P379" s="14"/>
      <c r="Q379" s="6"/>
      <c r="R379" s="11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75">
      <c r="A380" s="12" t="s">
        <v>2011</v>
      </c>
      <c r="B380" s="6" t="s">
        <v>14</v>
      </c>
      <c r="C380" s="7" t="str">
        <f t="shared" si="4"/>
        <v xml:space="preserve">Dainty Wilder </v>
      </c>
      <c r="D380" s="24" t="s">
        <v>2012</v>
      </c>
      <c r="E380" s="25" t="s">
        <v>2013</v>
      </c>
      <c r="F380" s="9" t="str">
        <f ca="1">IFERROR(__xludf.DUMMYFUNCTION("""https://streamtape.com/v/""&amp;
REGEXEXTRACT(O380,""/thumb/([^/]+)/"")&amp;
""/""&amp;K380"),"https://streamtape.com/v/ZKRKYbPrdOs7zl/89850398")</f>
        <v>https://streamtape.com/v/ZKRKYbPrdOs7zl/89850398</v>
      </c>
      <c r="G380" s="10" t="e">
        <f t="shared" ca="1" si="5"/>
        <v>#NAME?</v>
      </c>
      <c r="H380" s="11" t="str">
        <f ca="1">IFERROR(__xludf.DUMMYFUNCTION("IFERROR(SUBSTITUTE(SUBSTITUTE(REGEXEXTRACT(A380, ""[^-]+- [^-]+- [^-]+ - (.+?)\.jpg""), "".jpg"", """"), ""-"", "", ""), """")"),"")</f>
        <v/>
      </c>
      <c r="I380" s="6"/>
      <c r="J380" s="7" t="str">
        <f t="shared" ca="1" si="6"/>
        <v>(2026)</v>
      </c>
      <c r="K380" s="7" t="str">
        <f t="shared" si="7"/>
        <v>89850398</v>
      </c>
      <c r="L380" s="12" t="s">
        <v>2014</v>
      </c>
      <c r="M380" s="13" t="str">
        <f ca="1">IFERROR(__xludf.DUMMYFUNCTION("TRIM(
  REGEXREPLACE(
    TEXTJOIN("" "",
      TRUE,
      B380,
      C380,
      embaralharLinks(E380,F380,G380),
      H380,
      """",
      J380,
      N380,
      ""#RIPNSFW""
    ),
  "",\s*"", "" "")
)"),"{New} Dainty Wilder https://lulustream.com/d/npgiso9cypv2 https://streamtape.com/v/ZKRKYbPrdOs7zl/89850398 https://doodstream.com/d/ot58q2ptj0go/89850398 (2026) #teen #anal #bigtits #blowjob #RIPNSFW")</f>
        <v>{New} Dainty Wilder https://lulustream.com/d/npgiso9cypv2 https://streamtape.com/v/ZKRKYbPrdOs7zl/89850398 https://doodstream.com/d/ot58q2ptj0go/89850398 (2026) #teen #anal #bigtits #blowjob #RIPNSFW</v>
      </c>
      <c r="N380" s="2" t="s">
        <v>2014</v>
      </c>
      <c r="O380" s="30" t="s">
        <v>2015</v>
      </c>
      <c r="P380" s="26"/>
      <c r="R380" s="23"/>
    </row>
    <row r="381" spans="1:27" ht="12.75">
      <c r="A381" s="6" t="s">
        <v>2016</v>
      </c>
      <c r="B381" s="6" t="s">
        <v>14</v>
      </c>
      <c r="C381" s="7" t="str">
        <f t="shared" si="4"/>
        <v xml:space="preserve">Dainty Wilder </v>
      </c>
      <c r="D381" s="24" t="s">
        <v>2017</v>
      </c>
      <c r="E381" s="25" t="s">
        <v>2018</v>
      </c>
      <c r="F381" s="9" t="str">
        <f ca="1">IFERROR(__xludf.DUMMYFUNCTION("""https://streamtape.com/v/""&amp;
REGEXEXTRACT(O381,""/thumb/([^/]+)/"")&amp;
""/""&amp;K381"),"https://streamtape.com/v/6op0mXk9k0se39/90178666")</f>
        <v>https://streamtape.com/v/6op0mXk9k0se39/90178666</v>
      </c>
      <c r="G381" s="10" t="e">
        <f t="shared" ca="1" si="5"/>
        <v>#NAME?</v>
      </c>
      <c r="H381" s="11" t="str">
        <f ca="1">IFERROR(__xludf.DUMMYFUNCTION("IFERROR(SUBSTITUTE(SUBSTITUTE(REGEXEXTRACT(A381, ""[^-]+- [^-]+- [^-]+ - (.+?)\.jpg""), "".jpg"", """"), ""-"", "", ""), """")"),"")</f>
        <v/>
      </c>
      <c r="I381" s="6"/>
      <c r="J381" s="7" t="str">
        <f t="shared" ca="1" si="6"/>
        <v>(2026)</v>
      </c>
      <c r="K381" s="7" t="str">
        <f t="shared" si="7"/>
        <v>90178666</v>
      </c>
      <c r="L381" s="12" t="s">
        <v>2019</v>
      </c>
      <c r="M381" s="13" t="str">
        <f ca="1">IFERROR(__xludf.DUMMYFUNCTION("TRIM(
  REGEXREPLACE(
    TEXTJOIN("" "",
      TRUE,
      B381,
      C381,
      embaralharLinks(E381,F381,G381),
      H381,
      """",
      J381,
      N381,
      ""#RIPNSFW""
    ),
  "",\s*"", "" "")
)"),"{New} Dainty Wilder https://streamtape.com/v/6op0mXk9k0se39/90178666 https://lulustream.com/d/ofo1ly6bg60m https://doodstream.com/d/yjk5c2lp0b26/90178666 (2026) #teen #roleplay #bigtits #facial #RIPNSFW")</f>
        <v>{New} Dainty Wilder https://streamtape.com/v/6op0mXk9k0se39/90178666 https://lulustream.com/d/ofo1ly6bg60m https://doodstream.com/d/yjk5c2lp0b26/90178666 (2026) #teen #roleplay #bigtits #facial #RIPNSFW</v>
      </c>
      <c r="N381" s="31" t="s">
        <v>2019</v>
      </c>
      <c r="O381" s="32" t="s">
        <v>2020</v>
      </c>
      <c r="P381" s="26"/>
      <c r="Q381" s="6"/>
      <c r="R381" s="11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75">
      <c r="A382" s="6" t="s">
        <v>2021</v>
      </c>
      <c r="B382" s="6" t="s">
        <v>14</v>
      </c>
      <c r="C382" s="7" t="str">
        <f t="shared" si="4"/>
        <v xml:space="preserve">Dainty Wilder </v>
      </c>
      <c r="D382" s="6" t="s">
        <v>2022</v>
      </c>
      <c r="E382" s="8" t="s">
        <v>2023</v>
      </c>
      <c r="F382" s="9" t="str">
        <f ca="1">IFERROR(__xludf.DUMMYFUNCTION("""https://streamtape.com/v/""&amp;
REGEXEXTRACT(O382,""/thumb/([^/]+)/"")&amp;
""/""&amp;K382"),"https://streamtape.com/v/pj3LQa1q1rsre7o/91661936")</f>
        <v>https://streamtape.com/v/pj3LQa1q1rsre7o/91661936</v>
      </c>
      <c r="G382" s="10" t="e">
        <f t="shared" ca="1" si="5"/>
        <v>#NAME?</v>
      </c>
      <c r="H382" s="11" t="str">
        <f ca="1">IFERROR(__xludf.DUMMYFUNCTION("IFERROR(SUBSTITUTE(SUBSTITUTE(REGEXEXTRACT(A382, ""[^-]+- [^-]+- [^-]+ - (.+?)\.jpg""), "".jpg"", """"), ""-"", "", ""), """")"),"")</f>
        <v/>
      </c>
      <c r="I382" s="6"/>
      <c r="J382" s="7" t="str">
        <f t="shared" ca="1" si="6"/>
        <v>(2026)</v>
      </c>
      <c r="K382" s="7" t="str">
        <f t="shared" si="7"/>
        <v>91661936</v>
      </c>
      <c r="L382" s="12" t="s">
        <v>2024</v>
      </c>
      <c r="M382" s="13" t="str">
        <f ca="1">IFERROR(__xludf.DUMMYFUNCTION("TRIM(
  REGEXREPLACE(
    TEXTJOIN("" "",
      TRUE,
      B382,
      C382,
      embaralharLinks(E382,F382,G382),
      H382,
      """",
      J382,
      N382,
      ""#RIPNSFW""
    ),
  "",\s*"", "" "")
)"),"{New} Dainty Wilder https://lulustream.com/d/llz6g3hvo265 https://streamtape.com/v/pj3LQa1q1rsre7o/91661936 https://doodstream.com/d/83267rqdudmz/91661936 (2026) #BigTits #Teen #Squirt #Solo #RIPNSFW")</f>
        <v>{New} Dainty Wilder https://lulustream.com/d/llz6g3hvo265 https://streamtape.com/v/pj3LQa1q1rsre7o/91661936 https://doodstream.com/d/83267rqdudmz/91661936 (2026) #BigTits #Teen #Squirt #Solo #RIPNSFW</v>
      </c>
      <c r="N382" s="14" t="s">
        <v>2025</v>
      </c>
      <c r="O382" s="15" t="s">
        <v>2026</v>
      </c>
      <c r="P382" s="14"/>
      <c r="Q382" s="6"/>
      <c r="R382" s="11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75">
      <c r="A383" s="12" t="s">
        <v>2027</v>
      </c>
      <c r="B383" s="6" t="s">
        <v>14</v>
      </c>
      <c r="C383" s="7" t="str">
        <f t="shared" si="4"/>
        <v xml:space="preserve">Dainty Wilder </v>
      </c>
      <c r="D383" s="24" t="s">
        <v>2028</v>
      </c>
      <c r="E383" s="25" t="s">
        <v>2029</v>
      </c>
      <c r="F383" s="9" t="str">
        <f ca="1">IFERROR(__xludf.DUMMYFUNCTION("""https://streamtape.com/v/""&amp;
REGEXEXTRACT(O383,""/thumb/([^/]+)/"")&amp;
""/""&amp;K383"),"https://streamtape.com/v/eKRRyG3QMaCYllr/94217019")</f>
        <v>https://streamtape.com/v/eKRRyG3QMaCYllr/94217019</v>
      </c>
      <c r="G383" s="10" t="e">
        <f t="shared" ca="1" si="5"/>
        <v>#NAME?</v>
      </c>
      <c r="H383" s="11" t="str">
        <f ca="1">IFERROR(__xludf.DUMMYFUNCTION("IFERROR(SUBSTITUTE(SUBSTITUTE(REGEXEXTRACT(A383, ""[^-]+- [^-]+- [^-]+ - (.+?)\.jpg""), "".jpg"", """"), ""-"", "", ""), """")"),"")</f>
        <v/>
      </c>
      <c r="I383" s="6"/>
      <c r="J383" s="7" t="str">
        <f t="shared" ca="1" si="6"/>
        <v>(2026)</v>
      </c>
      <c r="K383" s="7" t="str">
        <f t="shared" si="7"/>
        <v>94217019</v>
      </c>
      <c r="L383" s="12" t="s">
        <v>1976</v>
      </c>
      <c r="M383" s="13" t="str">
        <f ca="1">IFERROR(__xludf.DUMMYFUNCTION("TRIM(
  REGEXREPLACE(
    TEXTJOIN("" "",
      TRUE,
      B383,
      C383,
      embaralharLinks(E383,F383,G383),
      H383,
      """",
      J383,
      N383,
      ""#RIPNSFW""
    ),
  "",\s*"", "" "")
)"),"{New} Dainty Wilder https://streamtape.com/v/eKRRyG3QMaCYllr/94217019 https://lulustream.com/d/gteljjx0iywq https://doodstream.com/d/ah0g85d6mxrp/94217019 (2026) #anal #teen #bigtits #blowjob #RIPNSFW")</f>
        <v>{New} Dainty Wilder https://streamtape.com/v/eKRRyG3QMaCYllr/94217019 https://lulustream.com/d/gteljjx0iywq https://doodstream.com/d/ah0g85d6mxrp/94217019 (2026) #anal #teen #bigtits #blowjob #RIPNSFW</v>
      </c>
      <c r="N383" s="2" t="s">
        <v>1976</v>
      </c>
      <c r="O383" s="30" t="s">
        <v>2030</v>
      </c>
      <c r="P383" s="26"/>
      <c r="R383" s="23"/>
    </row>
    <row r="384" spans="1:27" ht="12.75">
      <c r="A384" s="16" t="s">
        <v>2031</v>
      </c>
      <c r="B384" s="11" t="s">
        <v>14</v>
      </c>
      <c r="C384" s="13" t="str">
        <f t="shared" si="4"/>
        <v xml:space="preserve">Dainty Wilder </v>
      </c>
      <c r="D384" s="17" t="s">
        <v>2032</v>
      </c>
      <c r="E384" s="18" t="s">
        <v>2033</v>
      </c>
      <c r="F384" s="9" t="str">
        <f ca="1">IFERROR(__xludf.DUMMYFUNCTION("""https://streamtape.com/v/""&amp;
REGEXEXTRACT(O384,""/thumb/([^/]+)/"")&amp;
""/""&amp;K384"),"https://streamtape.com/v/1jX8BYYlpMceYaj/95597183")</f>
        <v>https://streamtape.com/v/1jX8BYYlpMceYaj/95597183</v>
      </c>
      <c r="G384" s="10" t="e">
        <f t="shared" ca="1" si="5"/>
        <v>#NAME?</v>
      </c>
      <c r="H384" s="11" t="str">
        <f ca="1">IFERROR(__xludf.DUMMYFUNCTION("IFERROR(SUBSTITUTE(SUBSTITUTE(REGEXEXTRACT(A384, ""[^-]+- [^-]+- [^-]+ - (.+?)\.jpg""), "".jpg"", """"), ""-"", "", ""), """")"),"")</f>
        <v/>
      </c>
      <c r="I384" s="11"/>
      <c r="J384" s="13" t="str">
        <f t="shared" ca="1" si="6"/>
        <v>(2026)</v>
      </c>
      <c r="K384" s="13" t="str">
        <f t="shared" si="7"/>
        <v>95597183</v>
      </c>
      <c r="L384" s="12" t="s">
        <v>2034</v>
      </c>
      <c r="M384" s="13" t="str">
        <f ca="1">IFERROR(__xludf.DUMMYFUNCTION("TRIM(
  REGEXREPLACE(
    TEXTJOIN("" "",
      TRUE,
      B384,
      C384,
      embaralharLinks(E384,F384,G384),
      H384,
      """",
      J384,
      N384,
      ""#RIPNSFW""
    ),
  "",\s*"", "" "")
)"),"{New} Dainty Wilder https://streamtape.com/v/1jX8BYYlpMceYaj/95597183 https://lulustream.com/d/dy4ur5ue9zig https://doodstream.com/d/810ggxk8hzb5/95597183 (2026) #teen #blowjob #bigtits #pov #RIPNSFW")</f>
        <v>{New} Dainty Wilder https://streamtape.com/v/1jX8BYYlpMceYaj/95597183 https://lulustream.com/d/dy4ur5ue9zig https://doodstream.com/d/810ggxk8hzb5/95597183 (2026) #teen #blowjob #bigtits #pov #RIPNSFW</v>
      </c>
      <c r="N384" s="20" t="s">
        <v>2034</v>
      </c>
      <c r="O384" s="30" t="s">
        <v>2035</v>
      </c>
      <c r="P384" s="26"/>
      <c r="Q384" s="16"/>
      <c r="R384" s="23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75">
      <c r="A385" s="6" t="s">
        <v>2036</v>
      </c>
      <c r="B385" s="6" t="s">
        <v>14</v>
      </c>
      <c r="C385" s="7" t="str">
        <f t="shared" si="4"/>
        <v xml:space="preserve">Dainty Wilder </v>
      </c>
      <c r="D385" s="24" t="s">
        <v>2037</v>
      </c>
      <c r="E385" s="25" t="s">
        <v>2038</v>
      </c>
      <c r="F385" s="9" t="str">
        <f ca="1">IFERROR(__xludf.DUMMYFUNCTION("""https://streamtape.com/v/""&amp;
REGEXEXTRACT(O385,""/thumb/([^/]+)/"")&amp;
""/""&amp;K385"),"https://streamtape.com/v/re8jZZ0z4LtbvYo/96957950")</f>
        <v>https://streamtape.com/v/re8jZZ0z4LtbvYo/96957950</v>
      </c>
      <c r="G385" s="10" t="e">
        <f t="shared" ca="1" si="5"/>
        <v>#NAME?</v>
      </c>
      <c r="H385" s="11" t="str">
        <f ca="1">IFERROR(__xludf.DUMMYFUNCTION("IFERROR(SUBSTITUTE(SUBSTITUTE(REGEXEXTRACT(A385, ""[^-]+- [^-]+- [^-]+ - (.+?)\.jpg""), "".jpg"", """"), ""-"", "", ""), """")"),"")</f>
        <v/>
      </c>
      <c r="I385" s="6"/>
      <c r="J385" s="7" t="str">
        <f t="shared" ca="1" si="6"/>
        <v>(2026)</v>
      </c>
      <c r="K385" s="7" t="str">
        <f t="shared" si="7"/>
        <v>96957950</v>
      </c>
      <c r="L385" s="12" t="s">
        <v>2039</v>
      </c>
      <c r="M385" s="13" t="str">
        <f ca="1">IFERROR(__xludf.DUMMYFUNCTION("TRIM(
  REGEXREPLACE(
    TEXTJOIN("" "",
      TRUE,
      B385,
      C385,
      embaralharLinks(E385,F385,G385),
      H385,
      """",
      J385,
      N385,
      ""#RIPNSFW""
    ),
  "",\s*"", "" "")
)"),"{New} Dainty Wilder https://streamtape.com/v/re8jZZ0z4LtbvYo/96957950 https://doodstream.com/d/3j7aplxcybaj/96957950 https://lulustream.com/d/zp80qm5e36gr (2026) #anal #bigtits #blowjob #teen #RIPNSFW")</f>
        <v>{New} Dainty Wilder https://streamtape.com/v/re8jZZ0z4LtbvYo/96957950 https://doodstream.com/d/3j7aplxcybaj/96957950 https://lulustream.com/d/zp80qm5e36gr (2026) #anal #bigtits #blowjob #teen #RIPNSFW</v>
      </c>
      <c r="N385" s="31" t="s">
        <v>2039</v>
      </c>
      <c r="O385" s="32" t="s">
        <v>2040</v>
      </c>
      <c r="P385" s="26"/>
      <c r="Q385" s="6"/>
      <c r="R385" s="23"/>
      <c r="S385" s="6"/>
      <c r="T385" s="6"/>
      <c r="U385" s="7"/>
      <c r="V385" s="6"/>
      <c r="X385" s="6"/>
      <c r="Y385" s="6"/>
      <c r="Z385" s="6"/>
      <c r="AA385" s="6"/>
    </row>
    <row r="386" spans="1:27" ht="12.75">
      <c r="A386" s="12" t="s">
        <v>2041</v>
      </c>
      <c r="B386" s="6" t="s">
        <v>14</v>
      </c>
      <c r="C386" s="7" t="str">
        <f t="shared" si="4"/>
        <v xml:space="preserve">Dainty Wilder </v>
      </c>
      <c r="D386" s="24" t="s">
        <v>2042</v>
      </c>
      <c r="E386" s="25" t="s">
        <v>2043</v>
      </c>
      <c r="F386" s="9" t="str">
        <f ca="1">IFERROR(__xludf.DUMMYFUNCTION("""https://streamtape.com/v/""&amp;
REGEXEXTRACT(O386,""/thumb/([^/]+)/"")&amp;
""/""&amp;K386"),"https://streamtape.com/v/mD3PgJXxJDsb3j2/99124741")</f>
        <v>https://streamtape.com/v/mD3PgJXxJDsb3j2/99124741</v>
      </c>
      <c r="G386" s="10" t="e">
        <f t="shared" ca="1" si="5"/>
        <v>#NAME?</v>
      </c>
      <c r="H386" s="11" t="str">
        <f ca="1">IFERROR(__xludf.DUMMYFUNCTION("IFERROR(SUBSTITUTE(SUBSTITUTE(REGEXEXTRACT(A386, ""[^-]+- [^-]+- [^-]+ - (.+?)\.jpg""), "".jpg"", """"), ""-"", "", ""), """")"),"Angela White")</f>
        <v>Angela White</v>
      </c>
      <c r="I386" s="6"/>
      <c r="J386" s="7" t="str">
        <f t="shared" ca="1" si="6"/>
        <v>(2026)</v>
      </c>
      <c r="K386" s="7" t="str">
        <f t="shared" si="7"/>
        <v>99124741</v>
      </c>
      <c r="L386" s="12" t="s">
        <v>2044</v>
      </c>
      <c r="M386" s="13" t="str">
        <f ca="1">IFERROR(__xludf.DUMMYFUNCTION("TRIM(
  REGEXREPLACE(
    TEXTJOIN("" "",
      TRUE,
      B386,
      C386,
      embaralharLinks(E386,F386,G386),
      H386,
      """",
      J386,
      N386,
      ""#RIPNSFW""
    ),
  "",\s*"", "" "")
)"),"{New} Dainty Wilder https://streamtape.com/v/mD3PgJXxJDsb3j2/99124741 https://lulustream.com/d/ob7xprj9u9am https://doodstream.com/d/nhr0suwnctga/99124741 Angela White (2026) #milf #teen #brunette #bigtits #RIPNSFW")</f>
        <v>{New} Dainty Wilder https://streamtape.com/v/mD3PgJXxJDsb3j2/99124741 https://lulustream.com/d/ob7xprj9u9am https://doodstream.com/d/nhr0suwnctga/99124741 Angela White (2026) #milf #teen #brunette #bigtits #RIPNSFW</v>
      </c>
      <c r="N386" s="2" t="s">
        <v>2044</v>
      </c>
      <c r="O386" s="30" t="s">
        <v>2045</v>
      </c>
      <c r="P386" s="26"/>
      <c r="R386" s="23"/>
      <c r="T386" s="6"/>
      <c r="U386" s="7"/>
    </row>
    <row r="387" spans="1:27" ht="12.75">
      <c r="A387" s="6" t="s">
        <v>2046</v>
      </c>
      <c r="B387" s="6" t="s">
        <v>14</v>
      </c>
      <c r="C387" s="7" t="str">
        <f t="shared" si="4"/>
        <v xml:space="preserve">Dakota Lyn </v>
      </c>
      <c r="D387" s="6" t="s">
        <v>2047</v>
      </c>
      <c r="E387" s="8" t="s">
        <v>2048</v>
      </c>
      <c r="F387" s="9" t="str">
        <f ca="1">IFERROR(__xludf.DUMMYFUNCTION("""https://streamtape.com/v/""&amp;
REGEXEXTRACT(O387,""/thumb/([^/]+)/"")&amp;
""/""&amp;K387"),"https://streamtape.com/v/MegMWjyZ1LTmgPZ/67489905")</f>
        <v>https://streamtape.com/v/MegMWjyZ1LTmgPZ/67489905</v>
      </c>
      <c r="G387" s="10" t="e">
        <f t="shared" ca="1" si="5"/>
        <v>#NAME?</v>
      </c>
      <c r="H387" s="11" t="str">
        <f ca="1">IFERROR(__xludf.DUMMYFUNCTION("IFERROR(SUBSTITUTE(SUBSTITUTE(REGEXEXTRACT(A387, ""[^-]+- [^-]+- [^-]+ - (.+?)\.jpg""), "".jpg"", """"), ""-"", "", ""), """")"),"Lena the plug")</f>
        <v>Lena the plug</v>
      </c>
      <c r="I387" s="6"/>
      <c r="J387" s="7" t="str">
        <f t="shared" ca="1" si="6"/>
        <v>(2026)</v>
      </c>
      <c r="K387" s="7" t="str">
        <f t="shared" si="7"/>
        <v>67489905</v>
      </c>
      <c r="L387" s="12" t="s">
        <v>2049</v>
      </c>
      <c r="M387" s="13" t="str">
        <f ca="1">IFERROR(__xludf.DUMMYFUNCTION("TRIM(
  REGEXREPLACE(
    TEXTJOIN("" "",
      TRUE,
      B387,
      C387,
      embaralharLinks(E387,F387,G387),
      H387,
      """",
      J387,
      N387,
      ""#RIPNSFW""
    ),
  "",\s*"", "" "")
)"),"{New} Dakota Lyn https://doodstream.com/d/auq5a6a5h3db/67489905 https://streamtape.com/v/MegMWjyZ1LTmgPZ/67489905 https://lulustream.com/d/hsmgjgqg39ay Lena the plug (2026) #MILF #BigTits #Hardcore #Threesome #Bigass #Teen #Blowjob #Amateur #Hotwife #Deep"&amp;"throat #RIPNSFW")</f>
        <v>{New} Dakota Lyn https://doodstream.com/d/auq5a6a5h3db/67489905 https://streamtape.com/v/MegMWjyZ1LTmgPZ/67489905 https://lulustream.com/d/hsmgjgqg39ay Lena the plug (2026) #MILF #BigTits #Hardcore #Threesome #Bigass #Teen #Blowjob #Amateur #Hotwife #Deepthroat #RIPNSFW</v>
      </c>
      <c r="N387" s="14" t="s">
        <v>2050</v>
      </c>
      <c r="O387" s="15" t="s">
        <v>2051</v>
      </c>
      <c r="P387" s="14"/>
      <c r="Q387" s="6"/>
      <c r="R387" s="11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75">
      <c r="A388" s="6" t="s">
        <v>2052</v>
      </c>
      <c r="B388" s="6" t="s">
        <v>14</v>
      </c>
      <c r="C388" s="7" t="str">
        <f t="shared" si="4"/>
        <v xml:space="preserve">Dallas </v>
      </c>
      <c r="D388" s="6" t="s">
        <v>2053</v>
      </c>
      <c r="E388" s="8" t="s">
        <v>2054</v>
      </c>
      <c r="F388" s="9" t="str">
        <f ca="1">IFERROR(__xludf.DUMMYFUNCTION("""https://streamtape.com/v/""&amp;
REGEXEXTRACT(O388,""/thumb/([^/]+)/"")&amp;
""/""&amp;K388"),"https://streamtape.com/v/R6bLDpmKVxSB6z/45043928")</f>
        <v>https://streamtape.com/v/R6bLDpmKVxSB6z/45043928</v>
      </c>
      <c r="G388" s="10" t="e">
        <f t="shared" ca="1" si="5"/>
        <v>#NAME?</v>
      </c>
      <c r="H388" s="11" t="str">
        <f ca="1">IFERROR(__xludf.DUMMYFUNCTION("IFERROR(SUBSTITUTE(SUBSTITUTE(REGEXEXTRACT(A388, ""[^-]+- [^-]+- [^-]+ - (.+?)\.jpg""), "".jpg"", """"), ""-"", "", ""), """")"),"")</f>
        <v/>
      </c>
      <c r="I388" s="6"/>
      <c r="J388" s="7" t="str">
        <f t="shared" ca="1" si="6"/>
        <v>(2026)</v>
      </c>
      <c r="K388" s="7" t="str">
        <f t="shared" si="7"/>
        <v>45043928</v>
      </c>
      <c r="L388" s="12" t="s">
        <v>2055</v>
      </c>
      <c r="M388" s="13" t="str">
        <f ca="1">IFERROR(__xludf.DUMMYFUNCTION("TRIM(
  REGEXREPLACE(
    TEXTJOIN("" "",
      TRUE,
      B388,
      C388,
      embaralharLinks(E388,F388,G388),
      H388,
      """",
      J388,
      N388,
      ""#RIPNSFW""
    ),
  "",\s*"", "" "")
)"),"{New} Dallas https://streamtape.com/v/R6bLDpmKVxSB6z/45043928 https://doodstream.com/d/wcxucxau7tqv/45043928 https://lulustream.com/d/ak0tglveosl9 (2026) #Anal #BigTits #Casting #Hardcore #RIPNSFW")</f>
        <v>{New} Dallas https://streamtape.com/v/R6bLDpmKVxSB6z/45043928 https://doodstream.com/d/wcxucxau7tqv/45043928 https://lulustream.com/d/ak0tglveosl9 (2026) #Anal #BigTits #Casting #Hardcore #RIPNSFW</v>
      </c>
      <c r="N388" s="14" t="s">
        <v>2056</v>
      </c>
      <c r="O388" s="15" t="s">
        <v>2057</v>
      </c>
      <c r="P388" s="14"/>
      <c r="Q388" s="6"/>
      <c r="R388" s="11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75">
      <c r="A389" s="12" t="s">
        <v>2058</v>
      </c>
      <c r="B389" s="6" t="s">
        <v>14</v>
      </c>
      <c r="C389" s="7" t="str">
        <f t="shared" si="4"/>
        <v xml:space="preserve">Dani Daniels </v>
      </c>
      <c r="D389" s="24" t="s">
        <v>2059</v>
      </c>
      <c r="E389" s="25" t="s">
        <v>2060</v>
      </c>
      <c r="F389" s="9" t="str">
        <f ca="1">IFERROR(__xludf.DUMMYFUNCTION("""https://streamtape.com/v/""&amp;
REGEXEXTRACT(O389,""/thumb/([^/]+)/"")&amp;
""/""&amp;K389"),"https://streamtape.com/v/GeLlxkL4alT1e3g/10120271")</f>
        <v>https://streamtape.com/v/GeLlxkL4alT1e3g/10120271</v>
      </c>
      <c r="G389" s="10" t="e">
        <f t="shared" ca="1" si="5"/>
        <v>#NAME?</v>
      </c>
      <c r="H389" s="11" t="str">
        <f ca="1">IFERROR(__xludf.DUMMYFUNCTION("IFERROR(SUBSTITUTE(SUBSTITUTE(REGEXEXTRACT(A389, ""[^-]+- [^-]+- [^-]+ - (.+?)\.jpg""), "".jpg"", """"), ""-"", "", ""), """")"),"")</f>
        <v/>
      </c>
      <c r="I389" s="6"/>
      <c r="J389" s="7" t="str">
        <f t="shared" ca="1" si="6"/>
        <v>(2026)</v>
      </c>
      <c r="K389" s="7" t="str">
        <f t="shared" si="7"/>
        <v>10120271</v>
      </c>
      <c r="L389" s="12" t="s">
        <v>2061</v>
      </c>
      <c r="M389" s="13" t="str">
        <f ca="1">IFERROR(__xludf.DUMMYFUNCTION("TRIM(
  REGEXREPLACE(
    TEXTJOIN("" "",
      TRUE,
      B389,
      C389,
      embaralharLinks(E389,F389,G389),
      H389,
      """",
      J389,
      N389,
      ""#RIPNSFW""
    ),
  "",\s*"", "" "")
)"),"{New} Dani Daniels https://lulustream.com/d/yeerormy3syl https://doodstream.com/d/vod7pm7zd9hd/10120271 https://streamtape.com/v/GeLlxkL4alT1e3g/10120271 (2026) #milf #bigtits #bigass #solo #RIPNSFW")</f>
        <v>{New} Dani Daniels https://lulustream.com/d/yeerormy3syl https://doodstream.com/d/vod7pm7zd9hd/10120271 https://streamtape.com/v/GeLlxkL4alT1e3g/10120271 (2026) #milf #bigtits #bigass #solo #RIPNSFW</v>
      </c>
      <c r="N389" s="2" t="s">
        <v>2061</v>
      </c>
      <c r="O389" s="30" t="s">
        <v>2062</v>
      </c>
      <c r="P389" s="26"/>
      <c r="R389" s="23"/>
    </row>
    <row r="390" spans="1:27" ht="12.75">
      <c r="A390" s="12" t="s">
        <v>2063</v>
      </c>
      <c r="B390" s="6" t="s">
        <v>14</v>
      </c>
      <c r="C390" s="7" t="str">
        <f t="shared" si="4"/>
        <v xml:space="preserve">Dani Daniels </v>
      </c>
      <c r="D390" s="24" t="s">
        <v>2064</v>
      </c>
      <c r="E390" s="25" t="s">
        <v>2065</v>
      </c>
      <c r="F390" s="9" t="str">
        <f ca="1">IFERROR(__xludf.DUMMYFUNCTION("""https://streamtape.com/v/""&amp;
REGEXEXTRACT(O390,""/thumb/([^/]+)/"")&amp;
""/""&amp;K390"),"https://streamtape.com/v/R6QeKeRY4JHde8K/10192788")</f>
        <v>https://streamtape.com/v/R6QeKeRY4JHde8K/10192788</v>
      </c>
      <c r="G390" s="10" t="e">
        <f t="shared" ca="1" si="5"/>
        <v>#NAME?</v>
      </c>
      <c r="H390" s="11" t="str">
        <f ca="1">IFERROR(__xludf.DUMMYFUNCTION("IFERROR(SUBSTITUTE(SUBSTITUTE(REGEXEXTRACT(A390, ""[^-]+- [^-]+- [^-]+ - (.+?)\.jpg""), "".jpg"", """"), ""-"", "", ""), """")"),"")</f>
        <v/>
      </c>
      <c r="I390" s="6"/>
      <c r="J390" s="7" t="str">
        <f t="shared" ca="1" si="6"/>
        <v>(2026)</v>
      </c>
      <c r="K390" s="7" t="str">
        <f t="shared" si="7"/>
        <v>10192788</v>
      </c>
      <c r="L390" s="12" t="s">
        <v>2066</v>
      </c>
      <c r="M390" s="13" t="str">
        <f ca="1">IFERROR(__xludf.DUMMYFUNCTION("TRIM(
  REGEXREPLACE(
    TEXTJOIN("" "",
      TRUE,
      B390,
      C390,
      embaralharLinks(E390,F390,G390),
      H390,
      """",
      J390,
      N390,
      ""#RIPNSFW""
    ),
  "",\s*"", "" "")
)"),"{New} Dani Daniels https://doodstream.com/d/r3pyp6uz3j1j/10192788 https://lulustream.com/d/2ldbajithi1w https://streamtape.com/v/R6QeKeRY4JHde8K/10192788 (2026) #milf #bigass #blowjob #bigtits #RIPNSFW")</f>
        <v>{New} Dani Daniels https://doodstream.com/d/r3pyp6uz3j1j/10192788 https://lulustream.com/d/2ldbajithi1w https://streamtape.com/v/R6QeKeRY4JHde8K/10192788 (2026) #milf #bigass #blowjob #bigtits #RIPNSFW</v>
      </c>
      <c r="N390" s="2" t="s">
        <v>2066</v>
      </c>
      <c r="O390" s="21" t="s">
        <v>2067</v>
      </c>
      <c r="P390" s="26"/>
      <c r="R390" s="23"/>
      <c r="T390" s="6"/>
      <c r="U390" s="7"/>
    </row>
    <row r="391" spans="1:27" ht="12.75">
      <c r="A391" s="12" t="s">
        <v>2068</v>
      </c>
      <c r="B391" s="6" t="s">
        <v>14</v>
      </c>
      <c r="C391" s="7" t="str">
        <f t="shared" si="4"/>
        <v xml:space="preserve">Dani Daniels </v>
      </c>
      <c r="D391" s="24" t="s">
        <v>2069</v>
      </c>
      <c r="E391" s="25" t="s">
        <v>2070</v>
      </c>
      <c r="F391" s="9" t="str">
        <f ca="1">IFERROR(__xludf.DUMMYFUNCTION("""https://streamtape.com/v/""&amp;
REGEXEXTRACT(O391,""/thumb/([^/]+)/"")&amp;
""/""&amp;K391"),"https://streamtape.com/v/XPgPxkDr2WfD9DP/11866682")</f>
        <v>https://streamtape.com/v/XPgPxkDr2WfD9DP/11866682</v>
      </c>
      <c r="G391" s="10" t="e">
        <f t="shared" ca="1" si="5"/>
        <v>#NAME?</v>
      </c>
      <c r="H391" s="11" t="str">
        <f ca="1">IFERROR(__xludf.DUMMYFUNCTION("IFERROR(SUBSTITUTE(SUBSTITUTE(REGEXEXTRACT(A391, ""[^-]+- [^-]+- [^-]+ - (.+?)\.jpg""), "".jpg"", """"), ""-"", "", ""), """")"),"")</f>
        <v/>
      </c>
      <c r="I391" s="6"/>
      <c r="J391" s="7" t="str">
        <f t="shared" ca="1" si="6"/>
        <v>(2026)</v>
      </c>
      <c r="K391" s="7" t="str">
        <f t="shared" si="7"/>
        <v>11866682</v>
      </c>
      <c r="L391" s="12" t="s">
        <v>2071</v>
      </c>
      <c r="M391" s="13" t="str">
        <f ca="1">IFERROR(__xludf.DUMMYFUNCTION("TRIM(
  REGEXREPLACE(
    TEXTJOIN("" "",
      TRUE,
      B391,
      C391,
      embaralharLinks(E391,F391,G391),
      H391,
      """",
      J391,
      N391,
      ""#RIPNSFW""
    ),
  "",\s*"", "" "")
)"),"{New} Dani Daniels https://streamtape.com/v/XPgPxkDr2WfD9DP/11866682 https://doodstream.com/d/tbbuisudq580/11866682 https://lulustream.com/d/7bybkabcybzq (2026) #MILF #BigTits #Bigass #Roleplay #RIPNSFW")</f>
        <v>{New} Dani Daniels https://streamtape.com/v/XPgPxkDr2WfD9DP/11866682 https://doodstream.com/d/tbbuisudq580/11866682 https://lulustream.com/d/7bybkabcybzq (2026) #MILF #BigTits #Bigass #Roleplay #RIPNSFW</v>
      </c>
      <c r="N391" s="2" t="s">
        <v>2072</v>
      </c>
      <c r="O391" s="30" t="s">
        <v>2073</v>
      </c>
      <c r="P391" s="26"/>
      <c r="R391" s="23"/>
    </row>
    <row r="392" spans="1:27" ht="12.75">
      <c r="A392" s="6" t="s">
        <v>2074</v>
      </c>
      <c r="B392" s="6" t="s">
        <v>14</v>
      </c>
      <c r="C392" s="7" t="str">
        <f t="shared" si="4"/>
        <v xml:space="preserve">Dani Daniels </v>
      </c>
      <c r="D392" s="6" t="s">
        <v>2075</v>
      </c>
      <c r="E392" s="8" t="s">
        <v>2076</v>
      </c>
      <c r="F392" s="9" t="str">
        <f ca="1">IFERROR(__xludf.DUMMYFUNCTION("""https://streamtape.com/v/""&amp;
REGEXEXTRACT(O392,""/thumb/([^/]+)/"")&amp;
""/""&amp;K392"),"https://streamtape.com/v/P7GOq7jBMKIGdM/12294589")</f>
        <v>https://streamtape.com/v/P7GOq7jBMKIGdM/12294589</v>
      </c>
      <c r="G392" s="10" t="e">
        <f t="shared" ca="1" si="5"/>
        <v>#NAME?</v>
      </c>
      <c r="H392" s="11" t="str">
        <f ca="1">IFERROR(__xludf.DUMMYFUNCTION("IFERROR(SUBSTITUTE(SUBSTITUTE(REGEXEXTRACT(A392, ""[^-]+- [^-]+- [^-]+ - (.+?)\.jpg""), "".jpg"", """"), ""-"", "", ""), """")"),"")</f>
        <v/>
      </c>
      <c r="I392" s="6"/>
      <c r="J392" s="7" t="str">
        <f t="shared" ca="1" si="6"/>
        <v>(2026)</v>
      </c>
      <c r="K392" s="7" t="str">
        <f t="shared" si="7"/>
        <v>12294589</v>
      </c>
      <c r="L392" s="12" t="s">
        <v>2077</v>
      </c>
      <c r="M392" s="13" t="str">
        <f ca="1">IFERROR(__xludf.DUMMYFUNCTION("TRIM(
  REGEXREPLACE(
    TEXTJOIN("" "",
      TRUE,
      B392,
      C392,
      embaralharLinks(E392,F392,G392),
      H392,
      """",
      J392,
      N392,
      ""#RIPNSFW""
    ),
  "",\s*"", "" "")
)"),"{New} Dani Daniels https://doodstream.com/d/e9bw5kklu3f3/12294589 https://streamtape.com/v/P7GOq7jBMKIGdM/12294589 https://lulustream.com/d/vp6jsr9vdowt (2026) #MILF #BigTits #Bigass #Roleplay #Solo #RIPNSFW")</f>
        <v>{New} Dani Daniels https://doodstream.com/d/e9bw5kklu3f3/12294589 https://streamtape.com/v/P7GOq7jBMKIGdM/12294589 https://lulustream.com/d/vp6jsr9vdowt (2026) #MILF #BigTits #Bigass #Roleplay #Solo #RIPNSFW</v>
      </c>
      <c r="N392" s="14" t="s">
        <v>2078</v>
      </c>
      <c r="O392" s="15" t="s">
        <v>2079</v>
      </c>
      <c r="P392" s="14"/>
      <c r="Q392" s="6"/>
      <c r="R392" s="11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75">
      <c r="A393" s="12" t="s">
        <v>2080</v>
      </c>
      <c r="B393" s="6" t="s">
        <v>14</v>
      </c>
      <c r="C393" s="7" t="str">
        <f t="shared" si="4"/>
        <v xml:space="preserve">Dani Daniels </v>
      </c>
      <c r="D393" s="24" t="s">
        <v>2081</v>
      </c>
      <c r="E393" s="25" t="s">
        <v>2082</v>
      </c>
      <c r="F393" s="9" t="str">
        <f ca="1">IFERROR(__xludf.DUMMYFUNCTION("""https://streamtape.com/v/""&amp;
REGEXEXTRACT(O393,""/thumb/([^/]+)/"")&amp;
""/""&amp;K393"),"https://streamtape.com/v/Z3y2p0JvoJIqz4G/12369492")</f>
        <v>https://streamtape.com/v/Z3y2p0JvoJIqz4G/12369492</v>
      </c>
      <c r="G393" s="10" t="e">
        <f t="shared" ca="1" si="5"/>
        <v>#NAME?</v>
      </c>
      <c r="H393" s="11" t="str">
        <f ca="1">IFERROR(__xludf.DUMMYFUNCTION("IFERROR(SUBSTITUTE(SUBSTITUTE(REGEXEXTRACT(A393, ""[^-]+- [^-]+- [^-]+ - (.+?)\.jpg""), "".jpg"", """"), ""-"", "", ""), """")"),"")</f>
        <v/>
      </c>
      <c r="I393" s="6"/>
      <c r="J393" s="7" t="str">
        <f t="shared" ca="1" si="6"/>
        <v>(2026)</v>
      </c>
      <c r="K393" s="7" t="str">
        <f t="shared" si="7"/>
        <v>12369492</v>
      </c>
      <c r="L393" s="12" t="s">
        <v>1281</v>
      </c>
      <c r="M393" s="13" t="str">
        <f ca="1">IFERROR(__xludf.DUMMYFUNCTION("TRIM(
  REGEXREPLACE(
    TEXTJOIN("" "",
      TRUE,
      B393,
      C393,
      embaralharLinks(E393,F393,G393),
      H393,
      """",
      J393,
      N393,
      ""#RIPNSFW""
    ),
  "",\s*"", "" "")
)"),"{New} Dani Daniels https://streamtape.com/v/Z3y2p0JvoJIqz4G/12369492 https://lulustream.com/d/ehw51jt3pusj https://doodstream.com/d/3y11nzyqb6z7/12369492 (2026) #milf #blowjob #bigass #bigtits #RIPNSFW")</f>
        <v>{New} Dani Daniels https://streamtape.com/v/Z3y2p0JvoJIqz4G/12369492 https://lulustream.com/d/ehw51jt3pusj https://doodstream.com/d/3y11nzyqb6z7/12369492 (2026) #milf #blowjob #bigass #bigtits #RIPNSFW</v>
      </c>
      <c r="N393" s="2" t="s">
        <v>1281</v>
      </c>
      <c r="O393" s="30" t="s">
        <v>2083</v>
      </c>
      <c r="P393" s="26"/>
      <c r="R393" s="23"/>
      <c r="T393" s="6"/>
      <c r="U393" s="7"/>
    </row>
    <row r="394" spans="1:27" ht="12.75">
      <c r="A394" s="12" t="s">
        <v>2084</v>
      </c>
      <c r="B394" s="6" t="s">
        <v>14</v>
      </c>
      <c r="C394" s="7" t="str">
        <f t="shared" si="4"/>
        <v xml:space="preserve">Dani Daniels </v>
      </c>
      <c r="D394" s="24" t="s">
        <v>2085</v>
      </c>
      <c r="E394" s="25" t="s">
        <v>2086</v>
      </c>
      <c r="F394" s="9" t="str">
        <f ca="1">IFERROR(__xludf.DUMMYFUNCTION("""https://streamtape.com/v/""&amp;
REGEXEXTRACT(O394,""/thumb/([^/]+)/"")&amp;
""/""&amp;K394"),"https://streamtape.com/v/K4LPeqWo6yt0kyx/12709167")</f>
        <v>https://streamtape.com/v/K4LPeqWo6yt0kyx/12709167</v>
      </c>
      <c r="G394" s="10" t="e">
        <f t="shared" ca="1" si="5"/>
        <v>#NAME?</v>
      </c>
      <c r="H394" s="11" t="str">
        <f ca="1">IFERROR(__xludf.DUMMYFUNCTION("IFERROR(SUBSTITUTE(SUBSTITUTE(REGEXEXTRACT(A394, ""[^-]+- [^-]+- [^-]+ - (.+?)\.jpg""), "".jpg"", """"), ""-"", "", ""), """")"),"")</f>
        <v/>
      </c>
      <c r="I394" s="6"/>
      <c r="J394" s="7" t="str">
        <f t="shared" ca="1" si="6"/>
        <v>(2026)</v>
      </c>
      <c r="K394" s="7" t="str">
        <f t="shared" si="7"/>
        <v>12709167</v>
      </c>
      <c r="L394" s="12" t="s">
        <v>2061</v>
      </c>
      <c r="M394" s="13" t="str">
        <f ca="1">IFERROR(__xludf.DUMMYFUNCTION("TRIM(
  REGEXREPLACE(
    TEXTJOIN("" "",
      TRUE,
      B394,
      C394,
      embaralharLinks(E394,F394,G394),
      H394,
      """",
      J394,
      N394,
      ""#RIPNSFW""
    ),
  "",\s*"", "" "")
)"),"{New} Dani Daniels https://doodstream.com/d/ervqfwmi4pi9/12709167 https://lulustream.com/d/uav84pjl0pdm https://streamtape.com/v/K4LPeqWo6yt0kyx/12709167 (2026) #milf #bigtits #bigass #solo #RIPNSFW")</f>
        <v>{New} Dani Daniels https://doodstream.com/d/ervqfwmi4pi9/12709167 https://lulustream.com/d/uav84pjl0pdm https://streamtape.com/v/K4LPeqWo6yt0kyx/12709167 (2026) #milf #bigtits #bigass #solo #RIPNSFW</v>
      </c>
      <c r="N394" s="2" t="s">
        <v>2061</v>
      </c>
      <c r="O394" s="30" t="s">
        <v>2087</v>
      </c>
      <c r="P394" s="26"/>
      <c r="R394" s="23"/>
    </row>
    <row r="395" spans="1:27" ht="12.75">
      <c r="A395" s="12" t="s">
        <v>2088</v>
      </c>
      <c r="B395" s="6" t="s">
        <v>14</v>
      </c>
      <c r="C395" s="7" t="str">
        <f t="shared" si="4"/>
        <v xml:space="preserve">Dani Daniels </v>
      </c>
      <c r="D395" s="24" t="s">
        <v>2089</v>
      </c>
      <c r="E395" s="25" t="s">
        <v>2090</v>
      </c>
      <c r="F395" s="9" t="str">
        <f ca="1">IFERROR(__xludf.DUMMYFUNCTION("""https://streamtape.com/v/""&amp;
REGEXEXTRACT(O395,""/thumb/([^/]+)/"")&amp;
""/""&amp;K395"),"https://streamtape.com/v/3waYYyqqK8f6gB/13782221")</f>
        <v>https://streamtape.com/v/3waYYyqqK8f6gB/13782221</v>
      </c>
      <c r="G395" s="10" t="e">
        <f t="shared" ca="1" si="5"/>
        <v>#NAME?</v>
      </c>
      <c r="H395" s="11" t="str">
        <f ca="1">IFERROR(__xludf.DUMMYFUNCTION("IFERROR(SUBSTITUTE(SUBSTITUTE(REGEXEXTRACT(A395, ""[^-]+- [^-]+- [^-]+ - (.+?)\.jpg""), "".jpg"", """"), ""-"", "", ""), """")"),"Cherie Deville")</f>
        <v>Cherie Deville</v>
      </c>
      <c r="I395" s="6"/>
      <c r="J395" s="7" t="str">
        <f t="shared" ca="1" si="6"/>
        <v>(2026)</v>
      </c>
      <c r="K395" s="7" t="str">
        <f t="shared" si="7"/>
        <v>13782221</v>
      </c>
      <c r="L395" s="12" t="s">
        <v>2091</v>
      </c>
      <c r="M395" s="13" t="str">
        <f ca="1">IFERROR(__xludf.DUMMYFUNCTION("TRIM(
  REGEXREPLACE(
    TEXTJOIN("" "",
      TRUE,
      B395,
      C395,
      embaralharLinks(E395,F395,G395),
      H395,
      """",
      J395,
      N395,
      ""#RIPNSFW""
    ),
  "",\s*"", "" "")
)"),"{New} Dani Daniels https://lulustream.com/d/ghed4u47zkmj https://streamtape.com/v/3waYYyqqK8f6gB/13782221 https://doodstream.com/d/hh9m7mu8mhmr/13782221 Cherie Deville (2026) #milf #bigtits #lesbian #bigass #RIPNSFW")</f>
        <v>{New} Dani Daniels https://lulustream.com/d/ghed4u47zkmj https://streamtape.com/v/3waYYyqqK8f6gB/13782221 https://doodstream.com/d/hh9m7mu8mhmr/13782221 Cherie Deville (2026) #milf #bigtits #lesbian #bigass #RIPNSFW</v>
      </c>
      <c r="N395" s="2" t="s">
        <v>2091</v>
      </c>
      <c r="O395" s="30" t="s">
        <v>2092</v>
      </c>
      <c r="P395" s="26"/>
      <c r="R395" s="23"/>
      <c r="T395" s="6"/>
      <c r="U395" s="7"/>
    </row>
    <row r="396" spans="1:27" ht="12.75">
      <c r="A396" s="12" t="s">
        <v>2093</v>
      </c>
      <c r="B396" s="6" t="s">
        <v>14</v>
      </c>
      <c r="C396" s="7" t="str">
        <f t="shared" si="4"/>
        <v xml:space="preserve">Dani Daniels </v>
      </c>
      <c r="D396" s="24" t="s">
        <v>2094</v>
      </c>
      <c r="E396" s="25" t="s">
        <v>2095</v>
      </c>
      <c r="F396" s="9" t="str">
        <f ca="1">IFERROR(__xludf.DUMMYFUNCTION("""https://streamtape.com/v/""&amp;
REGEXEXTRACT(O396,""/thumb/([^/]+)/"")&amp;
""/""&amp;K396"),"https://streamtape.com/v/6a7abl1w0lu920m/14936776")</f>
        <v>https://streamtape.com/v/6a7abl1w0lu920m/14936776</v>
      </c>
      <c r="G396" s="10" t="e">
        <f t="shared" ca="1" si="5"/>
        <v>#NAME?</v>
      </c>
      <c r="H396" s="11" t="str">
        <f ca="1">IFERROR(__xludf.DUMMYFUNCTION("IFERROR(SUBSTITUTE(SUBSTITUTE(REGEXEXTRACT(A396, ""[^-]+- [^-]+- [^-]+ - (.+?)\.jpg""), "".jpg"", """"), ""-"", "", ""), """")"),"")</f>
        <v/>
      </c>
      <c r="I396" s="6"/>
      <c r="J396" s="7" t="str">
        <f t="shared" ca="1" si="6"/>
        <v>(2026)</v>
      </c>
      <c r="K396" s="7" t="str">
        <f t="shared" si="7"/>
        <v>14936776</v>
      </c>
      <c r="L396" s="12" t="s">
        <v>1711</v>
      </c>
      <c r="M396" s="13" t="str">
        <f ca="1">IFERROR(__xludf.DUMMYFUNCTION("TRIM(
  REGEXREPLACE(
    TEXTJOIN("" "",
      TRUE,
      B396,
      C396,
      embaralharLinks(E396,F396,G396),
      H396,
      """",
      J396,
      N396,
      ""#RIPNSFW""
    ),
  "",\s*"", "" "")
)"),"{New} Dani Daniels https://streamtape.com/v/6a7abl1w0lu920m/14936776 https://doodstream.com/d/360im8mcesgh/14936776 https://lulustream.com/d/oya66nwviqw8 (2026) #milf #bigass #bigtits #blowjob #RIPNSFW")</f>
        <v>{New} Dani Daniels https://streamtape.com/v/6a7abl1w0lu920m/14936776 https://doodstream.com/d/360im8mcesgh/14936776 https://lulustream.com/d/oya66nwviqw8 (2026) #milf #bigass #bigtits #blowjob #RIPNSFW</v>
      </c>
      <c r="N396" s="2" t="s">
        <v>1711</v>
      </c>
      <c r="O396" s="30" t="s">
        <v>2096</v>
      </c>
      <c r="P396" s="26"/>
      <c r="R396" s="23"/>
    </row>
    <row r="397" spans="1:27" ht="12.75">
      <c r="A397" s="6" t="s">
        <v>2097</v>
      </c>
      <c r="B397" s="6" t="s">
        <v>14</v>
      </c>
      <c r="C397" s="7" t="str">
        <f t="shared" si="4"/>
        <v xml:space="preserve">Dani Daniels </v>
      </c>
      <c r="D397" s="6" t="s">
        <v>2098</v>
      </c>
      <c r="E397" s="8" t="s">
        <v>2099</v>
      </c>
      <c r="F397" s="9" t="str">
        <f ca="1">IFERROR(__xludf.DUMMYFUNCTION("""https://streamtape.com/v/""&amp;
REGEXEXTRACT(O397,""/thumb/([^/]+)/"")&amp;
""/""&amp;K397"),"https://streamtape.com/v/bRjkvBXeRacPkDW/15548161")</f>
        <v>https://streamtape.com/v/bRjkvBXeRacPkDW/15548161</v>
      </c>
      <c r="G397" s="10" t="e">
        <f t="shared" ca="1" si="5"/>
        <v>#NAME?</v>
      </c>
      <c r="H397" s="11" t="str">
        <f ca="1">IFERROR(__xludf.DUMMYFUNCTION("IFERROR(SUBSTITUTE(SUBSTITUTE(REGEXEXTRACT(A397, ""[^-]+- [^-]+- [^-]+ - (.+?)\.jpg""), "".jpg"", """"), ""-"", "", ""), """")"),"")</f>
        <v/>
      </c>
      <c r="I397" s="6"/>
      <c r="J397" s="7" t="str">
        <f t="shared" ca="1" si="6"/>
        <v>(2026)</v>
      </c>
      <c r="K397" s="7" t="str">
        <f t="shared" si="7"/>
        <v>15548161</v>
      </c>
      <c r="L397" s="12" t="s">
        <v>2100</v>
      </c>
      <c r="M397" s="13" t="str">
        <f ca="1">IFERROR(__xludf.DUMMYFUNCTION("TRIM(
  REGEXREPLACE(
    TEXTJOIN("" "",
      TRUE,
      B397,
      C397,
      embaralharLinks(E397,F397,G397),
      H397,
      """",
      J397,
      N397,
      ""#RIPNSFW""
    ),
  "",\s*"", "" "")
)"),"{New} Dani Daniels https://streamtape.com/v/bRjkvBXeRacPkDW/15548161 https://doodstream.com/d/ybi5rvj7o89u/15548161 https://lulustream.com/d/pisxxxsrjmil (2026) #MILF #BigTits #Bigass #Solo #RIPNSFW")</f>
        <v>{New} Dani Daniels https://streamtape.com/v/bRjkvBXeRacPkDW/15548161 https://doodstream.com/d/ybi5rvj7o89u/15548161 https://lulustream.com/d/pisxxxsrjmil (2026) #MILF #BigTits #Bigass #Solo #RIPNSFW</v>
      </c>
      <c r="N397" s="14" t="s">
        <v>2101</v>
      </c>
      <c r="O397" s="15" t="s">
        <v>2102</v>
      </c>
      <c r="P397" s="14"/>
      <c r="Q397" s="6"/>
      <c r="R397" s="11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75">
      <c r="A398" s="6" t="s">
        <v>2103</v>
      </c>
      <c r="B398" s="6" t="s">
        <v>14</v>
      </c>
      <c r="C398" s="7" t="str">
        <f t="shared" si="4"/>
        <v xml:space="preserve">Dani Daniels </v>
      </c>
      <c r="D398" s="6" t="s">
        <v>2104</v>
      </c>
      <c r="E398" s="8" t="s">
        <v>2105</v>
      </c>
      <c r="F398" s="9" t="str">
        <f ca="1">IFERROR(__xludf.DUMMYFUNCTION("""https://streamtape.com/v/""&amp;
REGEXEXTRACT(O398,""/thumb/([^/]+)/"")&amp;
""/""&amp;K398"),"https://streamtape.com/v/A1W8gdVY04sXle6/15968493")</f>
        <v>https://streamtape.com/v/A1W8gdVY04sXle6/15968493</v>
      </c>
      <c r="G398" s="10" t="e">
        <f t="shared" ca="1" si="5"/>
        <v>#NAME?</v>
      </c>
      <c r="H398" s="11" t="str">
        <f ca="1">IFERROR(__xludf.DUMMYFUNCTION("IFERROR(SUBSTITUTE(SUBSTITUTE(REGEXEXTRACT(A398, ""[^-]+- [^-]+- [^-]+ - (.+?)\.jpg""), "".jpg"", """"), ""-"", "", ""), """")"),"")</f>
        <v/>
      </c>
      <c r="I398" s="6"/>
      <c r="J398" s="7" t="str">
        <f t="shared" ca="1" si="6"/>
        <v>(2026)</v>
      </c>
      <c r="K398" s="7" t="str">
        <f t="shared" si="7"/>
        <v>15968493</v>
      </c>
      <c r="L398" s="12" t="s">
        <v>2077</v>
      </c>
      <c r="M398" s="13" t="str">
        <f ca="1">IFERROR(__xludf.DUMMYFUNCTION("TRIM(
  REGEXREPLACE(
    TEXTJOIN("" "",
      TRUE,
      B398,
      C398,
      embaralharLinks(E398,F398,G398),
      H398,
      """",
      J398,
      N398,
      ""#RIPNSFW""
    ),
  "",\s*"", "" "")
)"),"{New} Dani Daniels https://streamtape.com/v/A1W8gdVY04sXle6/15968493 https://lulustream.com/d/zc6ahfmymiuw https://doodstream.com/d/c5xwvfp9ecwx/15968493 (2026) #MILF #BigTits #Bigass #Roleplay #RIPNSFW")</f>
        <v>{New} Dani Daniels https://streamtape.com/v/A1W8gdVY04sXle6/15968493 https://lulustream.com/d/zc6ahfmymiuw https://doodstream.com/d/c5xwvfp9ecwx/15968493 (2026) #MILF #BigTits #Bigass #Roleplay #RIPNSFW</v>
      </c>
      <c r="N398" s="14" t="s">
        <v>2072</v>
      </c>
      <c r="O398" s="15" t="s">
        <v>2106</v>
      </c>
      <c r="P398" s="14"/>
      <c r="Q398" s="6"/>
      <c r="R398" s="11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75">
      <c r="A399" s="6" t="s">
        <v>2107</v>
      </c>
      <c r="B399" s="6" t="s">
        <v>14</v>
      </c>
      <c r="C399" s="7" t="str">
        <f t="shared" si="4"/>
        <v xml:space="preserve">Dani Daniels </v>
      </c>
      <c r="D399" s="6" t="s">
        <v>2108</v>
      </c>
      <c r="E399" s="8" t="s">
        <v>2109</v>
      </c>
      <c r="F399" s="9" t="str">
        <f ca="1">IFERROR(__xludf.DUMMYFUNCTION("""https://streamtape.com/v/""&amp;
REGEXEXTRACT(O399,""/thumb/([^/]+)/"")&amp;
""/""&amp;K399"),"https://streamtape.com/v/d8DQWG0mA0U1zz/16461556")</f>
        <v>https://streamtape.com/v/d8DQWG0mA0U1zz/16461556</v>
      </c>
      <c r="G399" s="10" t="e">
        <f t="shared" ca="1" si="5"/>
        <v>#NAME?</v>
      </c>
      <c r="H399" s="11" t="str">
        <f ca="1">IFERROR(__xludf.DUMMYFUNCTION("IFERROR(SUBSTITUTE(SUBSTITUTE(REGEXEXTRACT(A399, ""[^-]+- [^-]+- [^-]+ - (.+?)\.jpg""), "".jpg"", """"), ""-"", "", ""), """")"),"")</f>
        <v/>
      </c>
      <c r="I399" s="6"/>
      <c r="J399" s="7" t="str">
        <f t="shared" ca="1" si="6"/>
        <v>(2026)</v>
      </c>
      <c r="K399" s="7" t="str">
        <f t="shared" si="7"/>
        <v>16461556</v>
      </c>
      <c r="L399" s="12" t="s">
        <v>2110</v>
      </c>
      <c r="M399" s="13" t="str">
        <f ca="1">IFERROR(__xludf.DUMMYFUNCTION("TRIM(
  REGEXREPLACE(
    TEXTJOIN("" "",
      TRUE,
      B399,
      C399,
      embaralharLinks(E399,F399,G399),
      H399,
      """",
      J399,
      N399,
      ""#RIPNSFW""
    ),
  "",\s*"", "" "")
)"),"{New} Dani Daniels https://doodstream.com/d/uhz6uvma9ird/16461556 https://streamtape.com/v/d8DQWG0mA0U1zz/16461556 https://lulustream.com/d/ofjl3rqxyzh2 (2026) #MILF #BigTits #Bigass #Roleplay #Blowjob #Solo #RIPNSFW")</f>
        <v>{New} Dani Daniels https://doodstream.com/d/uhz6uvma9ird/16461556 https://streamtape.com/v/d8DQWG0mA0U1zz/16461556 https://lulustream.com/d/ofjl3rqxyzh2 (2026) #MILF #BigTits #Bigass #Roleplay #Blowjob #Solo #RIPNSFW</v>
      </c>
      <c r="N399" s="14" t="s">
        <v>2111</v>
      </c>
      <c r="O399" s="15" t="s">
        <v>2112</v>
      </c>
      <c r="P399" s="14"/>
      <c r="Q399" s="6"/>
      <c r="R399" s="11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75">
      <c r="A400" s="6" t="s">
        <v>2113</v>
      </c>
      <c r="B400" s="6" t="s">
        <v>14</v>
      </c>
      <c r="C400" s="7" t="str">
        <f t="shared" si="4"/>
        <v xml:space="preserve">Dani Daniels </v>
      </c>
      <c r="D400" s="24" t="s">
        <v>2114</v>
      </c>
      <c r="E400" s="25" t="s">
        <v>2115</v>
      </c>
      <c r="F400" s="9" t="str">
        <f ca="1">IFERROR(__xludf.DUMMYFUNCTION("""https://streamtape.com/v/""&amp;
REGEXEXTRACT(O400,""/thumb/([^/]+)/"")&amp;
""/""&amp;K400"),"https://streamtape.com/v/R4Pqaoal2gudo2e/18551184")</f>
        <v>https://streamtape.com/v/R4Pqaoal2gudo2e/18551184</v>
      </c>
      <c r="G400" s="10" t="e">
        <f t="shared" ca="1" si="5"/>
        <v>#NAME?</v>
      </c>
      <c r="H400" s="11" t="str">
        <f ca="1">IFERROR(__xludf.DUMMYFUNCTION("IFERROR(SUBSTITUTE(SUBSTITUTE(REGEXEXTRACT(A400, ""[^-]+- [^-]+- [^-]+ - (.+?)\.jpg""), "".jpg"", """"), ""-"", "", ""), """")"),"")</f>
        <v/>
      </c>
      <c r="I400" s="6"/>
      <c r="J400" s="7" t="str">
        <f t="shared" ca="1" si="6"/>
        <v>(2026)</v>
      </c>
      <c r="K400" s="7" t="str">
        <f t="shared" si="7"/>
        <v>18551184</v>
      </c>
      <c r="L400" s="12" t="s">
        <v>1711</v>
      </c>
      <c r="M400" s="13" t="str">
        <f ca="1">IFERROR(__xludf.DUMMYFUNCTION("TRIM(
  REGEXREPLACE(
    TEXTJOIN("" "",
      TRUE,
      B400,
      C400,
      embaralharLinks(E400,F400,G400),
      H400,
      """",
      J400,
      N400,
      ""#RIPNSFW""
    ),
  "",\s*"", "" "")
)"),"{New} Dani Daniels https://streamtape.com/v/R4Pqaoal2gudo2e/18551184 https://doodstream.com/d/jb2zpm8qrsln/18551184 https://lulustream.com/d/snxwe34m0aye (2026) #milf #bigass #bigtits #blowjob #RIPNSFW")</f>
        <v>{New} Dani Daniels https://streamtape.com/v/R4Pqaoal2gudo2e/18551184 https://doodstream.com/d/jb2zpm8qrsln/18551184 https://lulustream.com/d/snxwe34m0aye (2026) #milf #bigass #bigtits #blowjob #RIPNSFW</v>
      </c>
      <c r="N400" s="31" t="s">
        <v>1711</v>
      </c>
      <c r="O400" s="32" t="s">
        <v>2116</v>
      </c>
      <c r="P400" s="26"/>
      <c r="R400" s="23"/>
      <c r="T400" s="6"/>
      <c r="U400" s="7"/>
    </row>
    <row r="401" spans="1:27" ht="12.75">
      <c r="A401" s="12" t="s">
        <v>2117</v>
      </c>
      <c r="B401" s="6" t="s">
        <v>14</v>
      </c>
      <c r="C401" s="7" t="str">
        <f t="shared" si="4"/>
        <v xml:space="preserve">Dani Daniels </v>
      </c>
      <c r="D401" s="24" t="s">
        <v>2118</v>
      </c>
      <c r="E401" s="25" t="s">
        <v>2119</v>
      </c>
      <c r="F401" s="9" t="str">
        <f ca="1">IFERROR(__xludf.DUMMYFUNCTION("""https://streamtape.com/v/""&amp;
REGEXEXTRACT(O401,""/thumb/([^/]+)/"")&amp;
""/""&amp;K401"),"https://streamtape.com/v/k3yzVapOjGuOvkz/20554155")</f>
        <v>https://streamtape.com/v/k3yzVapOjGuOvkz/20554155</v>
      </c>
      <c r="G401" s="10" t="e">
        <f t="shared" ca="1" si="5"/>
        <v>#NAME?</v>
      </c>
      <c r="H401" s="11" t="str">
        <f ca="1">IFERROR(__xludf.DUMMYFUNCTION("IFERROR(SUBSTITUTE(SUBSTITUTE(REGEXEXTRACT(A401, ""[^-]+- [^-]+- [^-]+ - (.+?)\.jpg""), "".jpg"", """"), ""-"", "", ""), """")"),"")</f>
        <v/>
      </c>
      <c r="I401" s="6"/>
      <c r="J401" s="7" t="str">
        <f t="shared" ca="1" si="6"/>
        <v>(2026)</v>
      </c>
      <c r="K401" s="7" t="str">
        <f t="shared" si="7"/>
        <v>20554155</v>
      </c>
      <c r="L401" s="12" t="s">
        <v>2120</v>
      </c>
      <c r="M401" s="13" t="str">
        <f ca="1">IFERROR(__xludf.DUMMYFUNCTION("TRIM(
  REGEXREPLACE(
    TEXTJOIN("" "",
      TRUE,
      B401,
      C401,
      embaralharLinks(E401,F401,G401),
      H401,
      """",
      J401,
      N401,
      ""#RIPNSFW""
    ),
  "",\s*"", "" "")
)"),"{New} Dani Daniels https://doodstream.com/d/lpsajp6gp7zi/20554155 https://lulustream.com/d/r5nheiiyuybu https://streamtape.com/v/k3yzVapOjGuOvkz/20554155 (2026) #creampie #milf #bigtits #bigass #RIPNSFW")</f>
        <v>{New} Dani Daniels https://doodstream.com/d/lpsajp6gp7zi/20554155 https://lulustream.com/d/r5nheiiyuybu https://streamtape.com/v/k3yzVapOjGuOvkz/20554155 (2026) #creampie #milf #bigtits #bigass #RIPNSFW</v>
      </c>
      <c r="N401" s="2" t="s">
        <v>2120</v>
      </c>
      <c r="O401" s="30" t="s">
        <v>2121</v>
      </c>
      <c r="P401" s="26"/>
      <c r="R401" s="23"/>
      <c r="T401" s="6"/>
      <c r="U401" s="7"/>
    </row>
    <row r="402" spans="1:27" ht="12.75">
      <c r="A402" s="12" t="s">
        <v>2122</v>
      </c>
      <c r="B402" s="6" t="s">
        <v>14</v>
      </c>
      <c r="C402" s="7" t="str">
        <f t="shared" si="4"/>
        <v xml:space="preserve">Dani Daniels </v>
      </c>
      <c r="D402" s="24" t="s">
        <v>2123</v>
      </c>
      <c r="E402" s="25" t="s">
        <v>2124</v>
      </c>
      <c r="F402" s="9" t="str">
        <f ca="1">IFERROR(__xludf.DUMMYFUNCTION("""https://streamtape.com/v/""&amp;
REGEXEXTRACT(O402,""/thumb/([^/]+)/"")&amp;
""/""&amp;K402"),"https://streamtape.com/v/4xDPD2mPG9Fp7z/21193358")</f>
        <v>https://streamtape.com/v/4xDPD2mPG9Fp7z/21193358</v>
      </c>
      <c r="G402" s="10" t="e">
        <f t="shared" ca="1" si="5"/>
        <v>#NAME?</v>
      </c>
      <c r="H402" s="11" t="str">
        <f ca="1">IFERROR(__xludf.DUMMYFUNCTION("IFERROR(SUBSTITUTE(SUBSTITUTE(REGEXEXTRACT(A402, ""[^-]+- [^-]+- [^-]+ - (.+?)\.jpg""), "".jpg"", """"), ""-"", "", ""), """")"),"Cherie Deville")</f>
        <v>Cherie Deville</v>
      </c>
      <c r="I402" s="6"/>
      <c r="J402" s="7" t="str">
        <f t="shared" ca="1" si="6"/>
        <v>(2026)</v>
      </c>
      <c r="K402" s="7" t="str">
        <f t="shared" si="7"/>
        <v>21193358</v>
      </c>
      <c r="L402" s="12" t="s">
        <v>2125</v>
      </c>
      <c r="M402" s="13" t="str">
        <f ca="1">IFERROR(__xludf.DUMMYFUNCTION("TRIM(
  REGEXREPLACE(
    TEXTJOIN("" "",
      TRUE,
      B402,
      C402,
      embaralharLinks(E402,F402,G402),
      H402,
      """",
      J402,
      N402,
      ""#RIPNSFW""
    ),
  "",\s*"", "" "")
)"),"{New} Dani Daniels https://streamtape.com/v/4xDPD2mPG9Fp7z/21193358 https://doodstream.com/d/bpb1woozexjw/21193358 https://lulustream.com/d/nfdi9dazw1h6 Cherie Deville (2026) #milf #bigtits #bigass #lesbian #RIPNSFW")</f>
        <v>{New} Dani Daniels https://streamtape.com/v/4xDPD2mPG9Fp7z/21193358 https://doodstream.com/d/bpb1woozexjw/21193358 https://lulustream.com/d/nfdi9dazw1h6 Cherie Deville (2026) #milf #bigtits #bigass #lesbian #RIPNSFW</v>
      </c>
      <c r="N402" s="2" t="s">
        <v>2125</v>
      </c>
      <c r="O402" s="30" t="s">
        <v>2126</v>
      </c>
      <c r="P402" s="26"/>
      <c r="R402" s="23"/>
      <c r="T402" s="6"/>
      <c r="U402" s="7"/>
    </row>
    <row r="403" spans="1:27" ht="12.75">
      <c r="A403" s="6" t="s">
        <v>2127</v>
      </c>
      <c r="B403" s="6" t="s">
        <v>14</v>
      </c>
      <c r="C403" s="7" t="str">
        <f t="shared" si="4"/>
        <v xml:space="preserve">Dani Daniels </v>
      </c>
      <c r="D403" s="6" t="s">
        <v>2128</v>
      </c>
      <c r="E403" s="8" t="s">
        <v>2129</v>
      </c>
      <c r="F403" s="9" t="str">
        <f ca="1">IFERROR(__xludf.DUMMYFUNCTION("""https://streamtape.com/v/""&amp;
REGEXEXTRACT(O403,""/thumb/([^/]+)/"")&amp;
""/""&amp;K403"),"https://streamtape.com/v/jl0wmB6bYDuzjj3/21877820")</f>
        <v>https://streamtape.com/v/jl0wmB6bYDuzjj3/21877820</v>
      </c>
      <c r="G403" s="10" t="e">
        <f t="shared" ca="1" si="5"/>
        <v>#NAME?</v>
      </c>
      <c r="H403" s="11" t="str">
        <f ca="1">IFERROR(__xludf.DUMMYFUNCTION("IFERROR(SUBSTITUTE(SUBSTITUTE(REGEXEXTRACT(A403, ""[^-]+- [^-]+- [^-]+ - (.+?)\.jpg""), "".jpg"", """"), ""-"", "", ""), """")"),"")</f>
        <v/>
      </c>
      <c r="I403" s="6"/>
      <c r="J403" s="7" t="str">
        <f t="shared" ca="1" si="6"/>
        <v>(2026)</v>
      </c>
      <c r="K403" s="7" t="str">
        <f t="shared" si="7"/>
        <v>21877820</v>
      </c>
      <c r="L403" s="12" t="s">
        <v>2077</v>
      </c>
      <c r="M403" s="13" t="str">
        <f ca="1">IFERROR(__xludf.DUMMYFUNCTION("TRIM(
  REGEXREPLACE(
    TEXTJOIN("" "",
      TRUE,
      B403,
      C403,
      embaralharLinks(E403,F403,G403),
      H403,
      """",
      J403,
      N403,
      ""#RIPNSFW""
    ),
  "",\s*"", "" "")
)"),"{New} Dani Daniels https://streamtape.com/v/jl0wmB6bYDuzjj3/21877820 https://lulustream.com/d/r9rii0q5acpp https://doodstream.com/d/msxoqzgf3r9m/21877820 (2026) #MILF #BigTits #Bigass #Roleplay #Solo #RIPNSFW")</f>
        <v>{New} Dani Daniels https://streamtape.com/v/jl0wmB6bYDuzjj3/21877820 https://lulustream.com/d/r9rii0q5acpp https://doodstream.com/d/msxoqzgf3r9m/21877820 (2026) #MILF #BigTits #Bigass #Roleplay #Solo #RIPNSFW</v>
      </c>
      <c r="N403" s="14" t="s">
        <v>2078</v>
      </c>
      <c r="O403" s="15" t="s">
        <v>2130</v>
      </c>
      <c r="P403" s="14"/>
      <c r="Q403" s="6"/>
      <c r="R403" s="11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75">
      <c r="A404" s="6" t="s">
        <v>2131</v>
      </c>
      <c r="B404" s="6" t="s">
        <v>14</v>
      </c>
      <c r="C404" s="7" t="str">
        <f t="shared" si="4"/>
        <v xml:space="preserve">Dani Daniels </v>
      </c>
      <c r="D404" s="6" t="s">
        <v>2132</v>
      </c>
      <c r="E404" s="8" t="s">
        <v>2133</v>
      </c>
      <c r="F404" s="9" t="str">
        <f ca="1">IFERROR(__xludf.DUMMYFUNCTION("""https://streamtape.com/v/""&amp;
REGEXEXTRACT(O404,""/thumb/([^/]+)/"")&amp;
""/""&amp;K404"),"https://streamtape.com/v/mQL01ara8zFbK48/23174622")</f>
        <v>https://streamtape.com/v/mQL01ara8zFbK48/23174622</v>
      </c>
      <c r="G404" s="10" t="e">
        <f t="shared" ca="1" si="5"/>
        <v>#NAME?</v>
      </c>
      <c r="H404" s="11" t="str">
        <f ca="1">IFERROR(__xludf.DUMMYFUNCTION("IFERROR(SUBSTITUTE(SUBSTITUTE(REGEXEXTRACT(A404, ""[^-]+- [^-]+- [^-]+ - (.+?)\.jpg""), "".jpg"", """"), ""-"", "", ""), """")"),"")</f>
        <v/>
      </c>
      <c r="I404" s="6"/>
      <c r="J404" s="7" t="str">
        <f t="shared" ca="1" si="6"/>
        <v>(2026)</v>
      </c>
      <c r="K404" s="7" t="str">
        <f t="shared" si="7"/>
        <v>23174622</v>
      </c>
      <c r="L404" s="12" t="s">
        <v>2134</v>
      </c>
      <c r="M404" s="13" t="str">
        <f ca="1">IFERROR(__xludf.DUMMYFUNCTION("TRIM(
  REGEXREPLACE(
    TEXTJOIN("" "",
      TRUE,
      B404,
      C404,
      embaralharLinks(E404,F404,G404),
      H404,
      """",
      J404,
      N404,
      ""#RIPNSFW""
    ),
  "",\s*"", "" "")
)"),"{New} Dani Daniels https://doodstream.com/d/yfiq1lkj9i5q/23174622 https://lulustream.com/d/bh3owo0s3t7w https://streamtape.com/v/mQL01ara8zFbK48/23174622 (2026) #MILF #BigTits #Bigass #Blowjob #RIPNSFW")</f>
        <v>{New} Dani Daniels https://doodstream.com/d/yfiq1lkj9i5q/23174622 https://lulustream.com/d/bh3owo0s3t7w https://streamtape.com/v/mQL01ara8zFbK48/23174622 (2026) #MILF #BigTits #Bigass #Blowjob #RIPNSFW</v>
      </c>
      <c r="N404" s="14" t="s">
        <v>2135</v>
      </c>
      <c r="O404" s="15" t="s">
        <v>2136</v>
      </c>
      <c r="P404" s="14"/>
      <c r="Q404" s="6"/>
      <c r="R404" s="11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75">
      <c r="A405" s="6" t="s">
        <v>2137</v>
      </c>
      <c r="B405" s="6" t="s">
        <v>14</v>
      </c>
      <c r="C405" s="7" t="str">
        <f t="shared" si="4"/>
        <v xml:space="preserve">Dani Daniels </v>
      </c>
      <c r="D405" s="24" t="s">
        <v>2138</v>
      </c>
      <c r="E405" s="25" t="s">
        <v>2139</v>
      </c>
      <c r="F405" s="9" t="str">
        <f ca="1">IFERROR(__xludf.DUMMYFUNCTION("""https://streamtape.com/v/""&amp;
REGEXEXTRACT(O405,""/thumb/([^/]+)/"")&amp;
""/""&amp;K405"),"https://streamtape.com/v/VPVapxj6AwUKwQ6/23640136")</f>
        <v>https://streamtape.com/v/VPVapxj6AwUKwQ6/23640136</v>
      </c>
      <c r="G405" s="10" t="e">
        <f t="shared" ca="1" si="5"/>
        <v>#NAME?</v>
      </c>
      <c r="H405" s="11" t="str">
        <f ca="1">IFERROR(__xludf.DUMMYFUNCTION("IFERROR(SUBSTITUTE(SUBSTITUTE(REGEXEXTRACT(A405, ""[^-]+- [^-]+- [^-]+ - (.+?)\.jpg""), "".jpg"", """"), ""-"", "", ""), """")"),"")</f>
        <v/>
      </c>
      <c r="I405" s="6"/>
      <c r="J405" s="7" t="str">
        <f t="shared" ca="1" si="6"/>
        <v>(2026)</v>
      </c>
      <c r="K405" s="7" t="str">
        <f t="shared" si="7"/>
        <v>23640136</v>
      </c>
      <c r="L405" s="12" t="s">
        <v>1462</v>
      </c>
      <c r="M405" s="13" t="str">
        <f ca="1">IFERROR(__xludf.DUMMYFUNCTION("TRIM(
  REGEXREPLACE(
    TEXTJOIN("" "",
      TRUE,
      B405,
      C405,
      embaralharLinks(E405,F405,G405),
      H405,
      """",
      J405,
      N405,
      ""#RIPNSFW""
    ),
  "",\s*"", "" "")
)"),"{New} Dani Daniels https://doodstream.com/d/mi5v5zzxbhrt/23640136 https://streamtape.com/v/VPVapxj6AwUKwQ6/23640136 https://lulustream.com/d/73ltgtimclqj (2026) #milf #bigtits #bigass #blowjob #RIPNSFW")</f>
        <v>{New} Dani Daniels https://doodstream.com/d/mi5v5zzxbhrt/23640136 https://streamtape.com/v/VPVapxj6AwUKwQ6/23640136 https://lulustream.com/d/73ltgtimclqj (2026) #milf #bigtits #bigass #blowjob #RIPNSFW</v>
      </c>
      <c r="N405" s="31" t="s">
        <v>1462</v>
      </c>
      <c r="O405" s="32" t="s">
        <v>2140</v>
      </c>
      <c r="P405" s="26"/>
      <c r="Q405" s="6"/>
      <c r="R405" s="11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75">
      <c r="A406" s="12" t="s">
        <v>2141</v>
      </c>
      <c r="B406" s="6" t="s">
        <v>14</v>
      </c>
      <c r="C406" s="7" t="str">
        <f t="shared" si="4"/>
        <v xml:space="preserve">Dani Daniels </v>
      </c>
      <c r="D406" s="24" t="s">
        <v>2142</v>
      </c>
      <c r="E406" s="25" t="s">
        <v>2143</v>
      </c>
      <c r="F406" s="9" t="str">
        <f ca="1">IFERROR(__xludf.DUMMYFUNCTION("""https://streamtape.com/v/""&amp;
REGEXEXTRACT(O406,""/thumb/([^/]+)/"")&amp;
""/""&amp;K406"),"https://streamtape.com/v/a0DPD0glgAHbaR/24938224")</f>
        <v>https://streamtape.com/v/a0DPD0glgAHbaR/24938224</v>
      </c>
      <c r="G406" s="10" t="e">
        <f t="shared" ca="1" si="5"/>
        <v>#NAME?</v>
      </c>
      <c r="H406" s="11" t="str">
        <f ca="1">IFERROR(__xludf.DUMMYFUNCTION("IFERROR(SUBSTITUTE(SUBSTITUTE(REGEXEXTRACT(A406, ""[^-]+- [^-]+- [^-]+ - (.+?)\.jpg""), "".jpg"", """"), ""-"", "", ""), """")"),"")</f>
        <v/>
      </c>
      <c r="I406" s="6"/>
      <c r="J406" s="7" t="str">
        <f t="shared" ca="1" si="6"/>
        <v>(2026)</v>
      </c>
      <c r="K406" s="7" t="str">
        <f t="shared" si="7"/>
        <v>24938224</v>
      </c>
      <c r="L406" s="12" t="s">
        <v>2061</v>
      </c>
      <c r="M406" s="13" t="str">
        <f ca="1">IFERROR(__xludf.DUMMYFUNCTION("TRIM(
  REGEXREPLACE(
    TEXTJOIN("" "",
      TRUE,
      B406,
      C406,
      embaralharLinks(E406,F406,G406),
      H406,
      """",
      J406,
      N406,
      ""#RIPNSFW""
    ),
  "",\s*"", "" "")
)"),"{New} Dani Daniels https://lulustream.com/d/cz8du1fy9310 https://streamtape.com/v/a0DPD0glgAHbaR/24938224 https://doodstream.com/d/fp3lru5wjosv/24938224 (2026) #milf #bigtits #bigass #solo #RIPNSFW")</f>
        <v>{New} Dani Daniels https://lulustream.com/d/cz8du1fy9310 https://streamtape.com/v/a0DPD0glgAHbaR/24938224 https://doodstream.com/d/fp3lru5wjosv/24938224 (2026) #milf #bigtits #bigass #solo #RIPNSFW</v>
      </c>
      <c r="N406" s="2" t="s">
        <v>2061</v>
      </c>
      <c r="O406" s="30" t="s">
        <v>2144</v>
      </c>
      <c r="P406" s="26"/>
      <c r="R406" s="23"/>
    </row>
    <row r="407" spans="1:27" ht="12.75">
      <c r="A407" s="6" t="s">
        <v>2145</v>
      </c>
      <c r="B407" s="6" t="s">
        <v>14</v>
      </c>
      <c r="C407" s="7" t="str">
        <f t="shared" si="4"/>
        <v xml:space="preserve">Dani Daniels </v>
      </c>
      <c r="D407" s="24" t="s">
        <v>2146</v>
      </c>
      <c r="E407" s="25" t="s">
        <v>2147</v>
      </c>
      <c r="F407" s="9" t="str">
        <f ca="1">IFERROR(__xludf.DUMMYFUNCTION("""https://streamtape.com/v/""&amp;
REGEXEXTRACT(O407,""/thumb/([^/]+)/"")&amp;
""/""&amp;K407"),"https://streamtape.com/v/2BMO8vba6duZloY/24947976")</f>
        <v>https://streamtape.com/v/2BMO8vba6duZloY/24947976</v>
      </c>
      <c r="G407" s="10" t="e">
        <f t="shared" ca="1" si="5"/>
        <v>#NAME?</v>
      </c>
      <c r="H407" s="11" t="str">
        <f ca="1">IFERROR(__xludf.DUMMYFUNCTION("IFERROR(SUBSTITUTE(SUBSTITUTE(REGEXEXTRACT(A407, ""[^-]+- [^-]+- [^-]+ - (.+?)\.jpg""), "".jpg"", """"), ""-"", "", ""), """")"),"")</f>
        <v/>
      </c>
      <c r="I407" s="6"/>
      <c r="J407" s="7" t="str">
        <f t="shared" ca="1" si="6"/>
        <v>(2026)</v>
      </c>
      <c r="K407" s="7" t="str">
        <f t="shared" si="7"/>
        <v>24947976</v>
      </c>
      <c r="L407" s="12" t="s">
        <v>2148</v>
      </c>
      <c r="M407" s="13" t="str">
        <f ca="1">IFERROR(__xludf.DUMMYFUNCTION("TRIM(
  REGEXREPLACE(
    TEXTJOIN("" "",
      TRUE,
      B407,
      C407,
      embaralharLinks(E407,F407,G407),
      H407,
      """",
      J407,
      N407,
      ""#RIPNSFW""
    ),
  "",\s*"", "" "")
)"),"{New} Dani Daniels https://doodstream.com/d/7ji2jtn3e4if/24947976 https://streamtape.com/v/2BMO8vba6duZloY/24947976 https://lulustream.com/d/j6il4dcvsnmh (2026) #milf #bigass #bigtits #solo #RIPNSFW")</f>
        <v>{New} Dani Daniels https://doodstream.com/d/7ji2jtn3e4if/24947976 https://streamtape.com/v/2BMO8vba6duZloY/24947976 https://lulustream.com/d/j6il4dcvsnmh (2026) #milf #bigass #bigtits #solo #RIPNSFW</v>
      </c>
      <c r="N407" s="31" t="s">
        <v>2148</v>
      </c>
      <c r="O407" s="32" t="s">
        <v>2149</v>
      </c>
      <c r="P407" s="26"/>
      <c r="Q407" s="6"/>
      <c r="R407" s="11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75">
      <c r="A408" s="12" t="s">
        <v>2150</v>
      </c>
      <c r="B408" s="6" t="s">
        <v>14</v>
      </c>
      <c r="C408" s="7" t="str">
        <f t="shared" si="4"/>
        <v xml:space="preserve">Dani Daniels </v>
      </c>
      <c r="D408" s="24" t="s">
        <v>2151</v>
      </c>
      <c r="E408" s="25" t="s">
        <v>2152</v>
      </c>
      <c r="F408" s="9" t="str">
        <f ca="1">IFERROR(__xludf.DUMMYFUNCTION("""https://streamtape.com/v/""&amp;
REGEXEXTRACT(O408,""/thumb/([^/]+)/"")&amp;
""/""&amp;K408"),"https://streamtape.com/v/VXaYO0g0KLSKKmB/25310723")</f>
        <v>https://streamtape.com/v/VXaYO0g0KLSKKmB/25310723</v>
      </c>
      <c r="G408" s="10" t="e">
        <f t="shared" ca="1" si="5"/>
        <v>#NAME?</v>
      </c>
      <c r="H408" s="11" t="str">
        <f ca="1">IFERROR(__xludf.DUMMYFUNCTION("IFERROR(SUBSTITUTE(SUBSTITUTE(REGEXEXTRACT(A408, ""[^-]+- [^-]+- [^-]+ - (.+?)\.jpg""), "".jpg"", """"), ""-"", "", ""), """")"),"")</f>
        <v/>
      </c>
      <c r="I408" s="6"/>
      <c r="J408" s="7" t="str">
        <f t="shared" ca="1" si="6"/>
        <v>(2026)</v>
      </c>
      <c r="K408" s="7" t="str">
        <f t="shared" si="7"/>
        <v>25310723</v>
      </c>
      <c r="L408" s="12" t="s">
        <v>2153</v>
      </c>
      <c r="M408" s="13" t="str">
        <f ca="1">IFERROR(__xludf.DUMMYFUNCTION("TRIM(
  REGEXREPLACE(
    TEXTJOIN("" "",
      TRUE,
      B408,
      C408,
      embaralharLinks(E408,F408,G408),
      H408,
      """",
      J408,
      N408,
      ""#RIPNSFW""
    ),
  "",\s*"", "" "")
)"),"{New} Dani Daniels https://lulustream.com/d/0zlh4l2d8ml2 https://doodstream.com/d/b508bb9n1yji/25310723 https://streamtape.com/v/VXaYO0g0KLSKKmB/25310723 (2026) #milf #blowjob #bigtits #pov #RIPNSFW")</f>
        <v>{New} Dani Daniels https://lulustream.com/d/0zlh4l2d8ml2 https://doodstream.com/d/b508bb9n1yji/25310723 https://streamtape.com/v/VXaYO0g0KLSKKmB/25310723 (2026) #milf #blowjob #bigtits #pov #RIPNSFW</v>
      </c>
      <c r="N408" s="2" t="s">
        <v>2153</v>
      </c>
      <c r="O408" s="30" t="s">
        <v>2154</v>
      </c>
      <c r="P408" s="26"/>
      <c r="R408" s="23"/>
      <c r="T408" s="6"/>
      <c r="U408" s="7"/>
    </row>
    <row r="409" spans="1:27" ht="12.75">
      <c r="A409" s="6" t="s">
        <v>2155</v>
      </c>
      <c r="B409" s="6" t="s">
        <v>14</v>
      </c>
      <c r="C409" s="7" t="str">
        <f t="shared" si="4"/>
        <v xml:space="preserve">Dani Daniels </v>
      </c>
      <c r="D409" s="6" t="s">
        <v>2156</v>
      </c>
      <c r="E409" s="8" t="s">
        <v>2157</v>
      </c>
      <c r="F409" s="9" t="str">
        <f ca="1">IFERROR(__xludf.DUMMYFUNCTION("""https://streamtape.com/v/""&amp;
REGEXEXTRACT(O409,""/thumb/([^/]+)/"")&amp;
""/""&amp;K409"),"https://streamtape.com/v/R4KzLLkGypcdddY/25442564")</f>
        <v>https://streamtape.com/v/R4KzLLkGypcdddY/25442564</v>
      </c>
      <c r="G409" s="10" t="e">
        <f t="shared" ca="1" si="5"/>
        <v>#NAME?</v>
      </c>
      <c r="H409" s="11" t="str">
        <f ca="1">IFERROR(__xludf.DUMMYFUNCTION("IFERROR(SUBSTITUTE(SUBSTITUTE(REGEXEXTRACT(A409, ""[^-]+- [^-]+- [^-]+ - (.+?)\.jpg""), "".jpg"", """"), ""-"", "", ""), """")"),"")</f>
        <v/>
      </c>
      <c r="I409" s="6"/>
      <c r="J409" s="7" t="str">
        <f t="shared" ca="1" si="6"/>
        <v>(2026)</v>
      </c>
      <c r="K409" s="7" t="str">
        <f t="shared" si="7"/>
        <v>25442564</v>
      </c>
      <c r="L409" s="12" t="s">
        <v>2158</v>
      </c>
      <c r="M409" s="13" t="str">
        <f ca="1">IFERROR(__xludf.DUMMYFUNCTION("TRIM(
  REGEXREPLACE(
    TEXTJOIN("" "",
      TRUE,
      B409,
      C409,
      embaralharLinks(E409,F409,G409),
      H409,
      """",
      J409,
      N409,
      ""#RIPNSFW""
    ),
  "",\s*"", "" "")
)"),"{New} Dani Daniels https://doodstream.com/d/37e33pqxc4ff/25442564 https://lulustream.com/d/y8vn02udshuh https://streamtape.com/v/R4KzLLkGypcdddY/25442564 (2026) #MILF #BigTits #Creampie #Hardcore #Bigass #Blowjob #Amateur #Hotwife #RIPNSFW")</f>
        <v>{New} Dani Daniels https://doodstream.com/d/37e33pqxc4ff/25442564 https://lulustream.com/d/y8vn02udshuh https://streamtape.com/v/R4KzLLkGypcdddY/25442564 (2026) #MILF #BigTits #Creampie #Hardcore #Bigass #Blowjob #Amateur #Hotwife #RIPNSFW</v>
      </c>
      <c r="N409" s="14" t="s">
        <v>1293</v>
      </c>
      <c r="O409" s="15" t="s">
        <v>2159</v>
      </c>
      <c r="P409" s="14"/>
      <c r="Q409" s="6"/>
      <c r="R409" s="11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75">
      <c r="A410" s="12" t="s">
        <v>2160</v>
      </c>
      <c r="B410" s="6" t="s">
        <v>14</v>
      </c>
      <c r="C410" s="7" t="str">
        <f t="shared" si="4"/>
        <v xml:space="preserve">Dani Daniels </v>
      </c>
      <c r="D410" s="27" t="s">
        <v>2161</v>
      </c>
      <c r="E410" s="28" t="s">
        <v>2162</v>
      </c>
      <c r="F410" s="9" t="str">
        <f ca="1">IFERROR(__xludf.DUMMYFUNCTION("""https://streamtape.com/v/""&amp;
REGEXEXTRACT(O410,""/thumb/([^/]+)/"")&amp;
""/""&amp;K410"),"https://streamtape.com/v/KydkRw91ejFa4Q/26059965")</f>
        <v>https://streamtape.com/v/KydkRw91ejFa4Q/26059965</v>
      </c>
      <c r="G410" s="10" t="e">
        <f t="shared" ca="1" si="5"/>
        <v>#NAME?</v>
      </c>
      <c r="H410" s="11" t="str">
        <f ca="1">IFERROR(__xludf.DUMMYFUNCTION("IFERROR(SUBSTITUTE(SUBSTITUTE(REGEXEXTRACT(A410, ""[^-]+- [^-]+- [^-]+ - (.+?)\.jpg""), "".jpg"", """"), ""-"", "", ""), """")"),"")</f>
        <v/>
      </c>
      <c r="I410" s="6"/>
      <c r="J410" s="7" t="str">
        <f t="shared" ca="1" si="6"/>
        <v>(2026)</v>
      </c>
      <c r="K410" s="7" t="str">
        <f t="shared" si="7"/>
        <v>26059965</v>
      </c>
      <c r="L410" s="12" t="s">
        <v>2163</v>
      </c>
      <c r="M410" s="13" t="str">
        <f ca="1">IFERROR(__xludf.DUMMYFUNCTION("TRIM(
  REGEXREPLACE(
    TEXTJOIN("" "",
      TRUE,
      B410,
      C410,
      embaralharLinks(E410,F410,G410),
      H410,
      """",
      J410,
      N410,
      ""#RIPNSFW""
    ),
  "",\s*"", "" "")
)"),"{New} Dani Daniels https://streamtape.com/v/KydkRw91ejFa4Q/26059965 https://lulustream.com/d/utmmxrolpdfv https://doodstream.com/d/pzq4hlrfzxlm/26059965 (2026) #MILF #BigTits #Bigass #Blowjob #RIPNSFW")</f>
        <v>{New} Dani Daniels https://streamtape.com/v/KydkRw91ejFa4Q/26059965 https://lulustream.com/d/utmmxrolpdfv https://doodstream.com/d/pzq4hlrfzxlm/26059965 (2026) #MILF #BigTits #Bigass #Blowjob #RIPNSFW</v>
      </c>
      <c r="N410" s="2" t="s">
        <v>2135</v>
      </c>
      <c r="O410" s="30" t="s">
        <v>2164</v>
      </c>
      <c r="P410" s="26"/>
      <c r="R410" s="23"/>
    </row>
    <row r="411" spans="1:27" ht="12.75">
      <c r="A411" s="12" t="s">
        <v>2165</v>
      </c>
      <c r="B411" s="6" t="s">
        <v>14</v>
      </c>
      <c r="C411" s="7" t="str">
        <f t="shared" si="4"/>
        <v xml:space="preserve">Dani Daniels </v>
      </c>
      <c r="D411" s="24" t="s">
        <v>2166</v>
      </c>
      <c r="E411" s="25" t="s">
        <v>2167</v>
      </c>
      <c r="F411" s="9" t="str">
        <f ca="1">IFERROR(__xludf.DUMMYFUNCTION("""https://streamtape.com/v/""&amp;
REGEXEXTRACT(O411,""/thumb/([^/]+)/"")&amp;
""/""&amp;K411"),"https://streamtape.com/v/m3mxGor4X0fbmYj/26780664")</f>
        <v>https://streamtape.com/v/m3mxGor4X0fbmYj/26780664</v>
      </c>
      <c r="G411" s="10" t="e">
        <f t="shared" ca="1" si="5"/>
        <v>#NAME?</v>
      </c>
      <c r="H411" s="11" t="str">
        <f ca="1">IFERROR(__xludf.DUMMYFUNCTION("IFERROR(SUBSTITUTE(SUBSTITUTE(REGEXEXTRACT(A411, ""[^-]+- [^-]+- [^-]+ - (.+?)\.jpg""), "".jpg"", """"), ""-"", "", ""), """")"),"")</f>
        <v/>
      </c>
      <c r="I411" s="6"/>
      <c r="J411" s="7" t="str">
        <f t="shared" ca="1" si="6"/>
        <v>(2026)</v>
      </c>
      <c r="K411" s="7" t="str">
        <f t="shared" si="7"/>
        <v>26780664</v>
      </c>
      <c r="L411" s="12" t="s">
        <v>1462</v>
      </c>
      <c r="M411" s="13" t="str">
        <f ca="1">IFERROR(__xludf.DUMMYFUNCTION("TRIM(
  REGEXREPLACE(
    TEXTJOIN("" "",
      TRUE,
      B411,
      C411,
      embaralharLinks(E411,F411,G411),
      H411,
      """",
      J411,
      N411,
      ""#RIPNSFW""
    ),
  "",\s*"", "" "")
)"),"{New} Dani Daniels https://streamtape.com/v/m3mxGor4X0fbmYj/26780664 https://lulustream.com/d/qifdjtxzenea https://doodstream.com/d/tdhaz0hzmul3/26780664 (2026) #milf #bigtits #bigass #blowjob #RIPNSFW")</f>
        <v>{New} Dani Daniels https://streamtape.com/v/m3mxGor4X0fbmYj/26780664 https://lulustream.com/d/qifdjtxzenea https://doodstream.com/d/tdhaz0hzmul3/26780664 (2026) #milf #bigtits #bigass #blowjob #RIPNSFW</v>
      </c>
      <c r="N411" s="2" t="s">
        <v>1462</v>
      </c>
      <c r="O411" s="30" t="s">
        <v>2168</v>
      </c>
      <c r="P411" s="26"/>
      <c r="R411" s="23"/>
      <c r="T411" s="6"/>
      <c r="U411" s="7"/>
    </row>
    <row r="412" spans="1:27" ht="12.75">
      <c r="A412" s="12" t="s">
        <v>2169</v>
      </c>
      <c r="B412" s="6" t="s">
        <v>14</v>
      </c>
      <c r="C412" s="7" t="str">
        <f t="shared" si="4"/>
        <v xml:space="preserve">Dani Daniels </v>
      </c>
      <c r="D412" s="24" t="s">
        <v>2170</v>
      </c>
      <c r="E412" s="25" t="s">
        <v>2171</v>
      </c>
      <c r="F412" s="9" t="str">
        <f ca="1">IFERROR(__xludf.DUMMYFUNCTION("""https://streamtape.com/v/""&amp;
REGEXEXTRACT(O412,""/thumb/([^/]+)/"")&amp;
""/""&amp;K412"),"https://streamtape.com/v/goaxZWaw49Uq0lv/28431182")</f>
        <v>https://streamtape.com/v/goaxZWaw49Uq0lv/28431182</v>
      </c>
      <c r="G412" s="10" t="e">
        <f t="shared" ca="1" si="5"/>
        <v>#NAME?</v>
      </c>
      <c r="H412" s="11" t="str">
        <f ca="1">IFERROR(__xludf.DUMMYFUNCTION("IFERROR(SUBSTITUTE(SUBSTITUTE(REGEXEXTRACT(A412, ""[^-]+- [^-]+- [^-]+ - (.+?)\.jpg""), "".jpg"", """"), ""-"", "", ""), """")"),"")</f>
        <v/>
      </c>
      <c r="I412" s="6"/>
      <c r="J412" s="7" t="str">
        <f t="shared" ca="1" si="6"/>
        <v>(2026)</v>
      </c>
      <c r="K412" s="7" t="str">
        <f t="shared" si="7"/>
        <v>28431182</v>
      </c>
      <c r="L412" s="12" t="s">
        <v>2172</v>
      </c>
      <c r="M412" s="13" t="str">
        <f ca="1">IFERROR(__xludf.DUMMYFUNCTION("TRIM(
  REGEXREPLACE(
    TEXTJOIN("" "",
      TRUE,
      B412,
      C412,
      embaralharLinks(E412,F412,G412),
      H412,
      """",
      J412,
      N412,
      ""#RIPNSFW""
    ),
  "",\s*"", "" "")
)"),"{New} Dani Daniels https://doodstream.com/d/uucpitkmed9f/28431182 https://streamtape.com/v/goaxZWaw49Uq0lv/28431182 https://lulustream.com/d/pixxv5izqsoc (2026) #bigtits #milf #joi #bigass #RIPNSFW")</f>
        <v>{New} Dani Daniels https://doodstream.com/d/uucpitkmed9f/28431182 https://streamtape.com/v/goaxZWaw49Uq0lv/28431182 https://lulustream.com/d/pixxv5izqsoc (2026) #bigtits #milf #joi #bigass #RIPNSFW</v>
      </c>
      <c r="N412" s="2" t="s">
        <v>2172</v>
      </c>
      <c r="O412" s="30" t="s">
        <v>2173</v>
      </c>
      <c r="P412" s="26"/>
      <c r="R412" s="23"/>
      <c r="T412" s="6"/>
      <c r="U412" s="7"/>
    </row>
    <row r="413" spans="1:27" ht="12.75">
      <c r="A413" s="6" t="s">
        <v>2174</v>
      </c>
      <c r="B413" s="6" t="s">
        <v>14</v>
      </c>
      <c r="C413" s="7" t="str">
        <f t="shared" si="4"/>
        <v xml:space="preserve">Dani Daniels </v>
      </c>
      <c r="D413" s="24" t="s">
        <v>2175</v>
      </c>
      <c r="E413" s="25" t="s">
        <v>2176</v>
      </c>
      <c r="F413" s="9" t="str">
        <f ca="1">IFERROR(__xludf.DUMMYFUNCTION("""https://streamtape.com/v/""&amp;
REGEXEXTRACT(O413,""/thumb/([^/]+)/"")&amp;
""/""&amp;K413"),"https://streamtape.com/v/2bjV2qdMXZIj92/30012565")</f>
        <v>https://streamtape.com/v/2bjV2qdMXZIj92/30012565</v>
      </c>
      <c r="G413" s="10" t="e">
        <f t="shared" ca="1" si="5"/>
        <v>#NAME?</v>
      </c>
      <c r="H413" s="11" t="str">
        <f ca="1">IFERROR(__xludf.DUMMYFUNCTION("IFERROR(SUBSTITUTE(SUBSTITUTE(REGEXEXTRACT(A413, ""[^-]+- [^-]+- [^-]+ - (.+?)\.jpg""), "".jpg"", """"), ""-"", "", ""), """")"),"")</f>
        <v/>
      </c>
      <c r="I413" s="6"/>
      <c r="J413" s="7" t="str">
        <f t="shared" ca="1" si="6"/>
        <v>(2026)</v>
      </c>
      <c r="K413" s="7" t="str">
        <f t="shared" si="7"/>
        <v>30012565</v>
      </c>
      <c r="L413" s="12" t="s">
        <v>2177</v>
      </c>
      <c r="M413" s="13" t="str">
        <f ca="1">IFERROR(__xludf.DUMMYFUNCTION("TRIM(
  REGEXREPLACE(
    TEXTJOIN("" "",
      TRUE,
      B413,
      C413,
      embaralharLinks(E413,F413,G413),
      H413,
      """",
      J413,
      N413,
      ""#RIPNSFW""
    ),
  "",\s*"", "" "")
)"),"{New} Dani Daniels https://doodstream.com/d/3j2vigss2usf/30012565 https://streamtape.com/v/2bjV2qdMXZIj92/30012565 https://lulustream.com/d/amx0fxs36r1j (2026) #milf #bigtits #creampie #hardcore #RIPNSFW")</f>
        <v>{New} Dani Daniels https://doodstream.com/d/3j2vigss2usf/30012565 https://streamtape.com/v/2bjV2qdMXZIj92/30012565 https://lulustream.com/d/amx0fxs36r1j (2026) #milf #bigtits #creampie #hardcore #RIPNSFW</v>
      </c>
      <c r="N413" s="31" t="s">
        <v>2177</v>
      </c>
      <c r="O413" s="32" t="s">
        <v>2178</v>
      </c>
      <c r="P413" s="26"/>
      <c r="R413" s="23"/>
      <c r="T413" s="6"/>
      <c r="U413" s="7"/>
    </row>
    <row r="414" spans="1:27" ht="12.75">
      <c r="A414" s="6" t="s">
        <v>2179</v>
      </c>
      <c r="B414" s="6" t="s">
        <v>14</v>
      </c>
      <c r="C414" s="7" t="str">
        <f t="shared" si="4"/>
        <v xml:space="preserve">Dani Daniels </v>
      </c>
      <c r="D414" s="29" t="s">
        <v>2180</v>
      </c>
      <c r="E414" s="8" t="s">
        <v>2181</v>
      </c>
      <c r="F414" s="9" t="str">
        <f ca="1">IFERROR(__xludf.DUMMYFUNCTION("""https://streamtape.com/v/""&amp;
REGEXEXTRACT(O414,""/thumb/([^/]+)/"")&amp;
""/""&amp;K414"),"https://streamtape.com/v/kkXZgJklDKUOxqp/30908064")</f>
        <v>https://streamtape.com/v/kkXZgJklDKUOxqp/30908064</v>
      </c>
      <c r="G414" s="10" t="e">
        <f t="shared" ca="1" si="5"/>
        <v>#NAME?</v>
      </c>
      <c r="H414" s="11" t="str">
        <f ca="1">IFERROR(__xludf.DUMMYFUNCTION("IFERROR(SUBSTITUTE(SUBSTITUTE(REGEXEXTRACT(A414, ""[^-]+- [^-]+- [^-]+ - (.+?)\.jpg""), "".jpg"", """"), ""-"", "", ""), """")"),"")</f>
        <v/>
      </c>
      <c r="I414" s="6"/>
      <c r="J414" s="7" t="str">
        <f t="shared" ca="1" si="6"/>
        <v>(2026)</v>
      </c>
      <c r="K414" s="7" t="str">
        <f t="shared" si="7"/>
        <v>30908064</v>
      </c>
      <c r="L414" s="12" t="s">
        <v>2182</v>
      </c>
      <c r="M414" s="13" t="str">
        <f ca="1">IFERROR(__xludf.DUMMYFUNCTION("TRIM(
  REGEXREPLACE(
    TEXTJOIN("" "",
      TRUE,
      B414,
      C414,
      embaralharLinks(E414,F414,G414),
      H414,
      """",
      J414,
      N414,
      ""#RIPNSFW""
    ),
  "",\s*"", "" "")
)"),"{New} Dani Daniels https://streamtape.com/v/kkXZgJklDKUOxqp/30908064 https://lulustream.com/d/zzu2fnzlzmiq https://doodstream.com/d/q8sd0ulyq584/30908064 (2026) #MILF #BigTits #Bigass #Stepmom #RIPNSFW")</f>
        <v>{New} Dani Daniels https://streamtape.com/v/kkXZgJklDKUOxqp/30908064 https://lulustream.com/d/zzu2fnzlzmiq https://doodstream.com/d/q8sd0ulyq584/30908064 (2026) #MILF #BigTits #Bigass #Stepmom #RIPNSFW</v>
      </c>
      <c r="N414" s="14" t="s">
        <v>2183</v>
      </c>
      <c r="O414" s="32" t="s">
        <v>2184</v>
      </c>
      <c r="P414" s="14"/>
      <c r="Q414" s="6"/>
      <c r="R414" s="11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75">
      <c r="A415" s="12" t="s">
        <v>2185</v>
      </c>
      <c r="B415" s="6" t="s">
        <v>14</v>
      </c>
      <c r="C415" s="7" t="str">
        <f t="shared" si="4"/>
        <v xml:space="preserve">Dani Daniels </v>
      </c>
      <c r="D415" s="24" t="s">
        <v>2186</v>
      </c>
      <c r="E415" s="25" t="s">
        <v>2187</v>
      </c>
      <c r="F415" s="9" t="str">
        <f ca="1">IFERROR(__xludf.DUMMYFUNCTION("""https://streamtape.com/v/""&amp;
REGEXEXTRACT(O415,""/thumb/([^/]+)/"")&amp;
""/""&amp;K415"),"https://streamtape.com/v/6XzlpqXDqPh9zQ9/32212857")</f>
        <v>https://streamtape.com/v/6XzlpqXDqPh9zQ9/32212857</v>
      </c>
      <c r="G415" s="10" t="e">
        <f t="shared" ca="1" si="5"/>
        <v>#NAME?</v>
      </c>
      <c r="H415" s="11" t="str">
        <f ca="1">IFERROR(__xludf.DUMMYFUNCTION("IFERROR(SUBSTITUTE(SUBSTITUTE(REGEXEXTRACT(A415, ""[^-]+- [^-]+- [^-]+ - (.+?)\.jpg""), "".jpg"", """"), ""-"", "", ""), """")"),"")</f>
        <v/>
      </c>
      <c r="I415" s="6"/>
      <c r="J415" s="7" t="str">
        <f t="shared" ca="1" si="6"/>
        <v>(2026)</v>
      </c>
      <c r="K415" s="7" t="str">
        <f t="shared" si="7"/>
        <v>32212857</v>
      </c>
      <c r="L415" s="12" t="s">
        <v>2061</v>
      </c>
      <c r="M415" s="13" t="str">
        <f ca="1">IFERROR(__xludf.DUMMYFUNCTION("TRIM(
  REGEXREPLACE(
    TEXTJOIN("" "",
      TRUE,
      B415,
      C415,
      embaralharLinks(E415,F415,G415),
      H415,
      """",
      J415,
      N415,
      ""#RIPNSFW""
    ),
  "",\s*"", "" "")
)"),"{New} Dani Daniels https://doodstream.com/d/x2y3g8aqlax3/32212857 https://lulustream.com/d/apry7fhwdr0q https://streamtape.com/v/6XzlpqXDqPh9zQ9/32212857 (2026) #milf #bigtits #bigass #solo #RIPNSFW")</f>
        <v>{New} Dani Daniels https://doodstream.com/d/x2y3g8aqlax3/32212857 https://lulustream.com/d/apry7fhwdr0q https://streamtape.com/v/6XzlpqXDqPh9zQ9/32212857 (2026) #milf #bigtits #bigass #solo #RIPNSFW</v>
      </c>
      <c r="N415" s="2" t="s">
        <v>2061</v>
      </c>
      <c r="O415" s="30" t="s">
        <v>2188</v>
      </c>
      <c r="P415" s="26"/>
      <c r="R415" s="23"/>
    </row>
    <row r="416" spans="1:27" ht="12.75">
      <c r="A416" s="12" t="s">
        <v>2189</v>
      </c>
      <c r="B416" s="6" t="s">
        <v>14</v>
      </c>
      <c r="C416" s="7" t="str">
        <f t="shared" si="4"/>
        <v xml:space="preserve">Dani Daniels </v>
      </c>
      <c r="D416" s="27" t="s">
        <v>2190</v>
      </c>
      <c r="E416" s="28" t="s">
        <v>2191</v>
      </c>
      <c r="F416" s="9" t="str">
        <f ca="1">IFERROR(__xludf.DUMMYFUNCTION("""https://streamtape.com/v/""&amp;
REGEXEXTRACT(O416,""/thumb/([^/]+)/"")&amp;
""/""&amp;K416"),"https://streamtape.com/v/D0OGrrJDyRfkgjy/32498568")</f>
        <v>https://streamtape.com/v/D0OGrrJDyRfkgjy/32498568</v>
      </c>
      <c r="G416" s="10" t="e">
        <f t="shared" ca="1" si="5"/>
        <v>#NAME?</v>
      </c>
      <c r="H416" s="11" t="str">
        <f ca="1">IFERROR(__xludf.DUMMYFUNCTION("IFERROR(SUBSTITUTE(SUBSTITUTE(REGEXEXTRACT(A416, ""[^-]+- [^-]+- [^-]+ - (.+?)\.jpg""), "".jpg"", """"), ""-"", "", ""), """")"),"")</f>
        <v/>
      </c>
      <c r="I416" s="6"/>
      <c r="J416" s="7" t="str">
        <f t="shared" ca="1" si="6"/>
        <v>(2026)</v>
      </c>
      <c r="K416" s="7" t="str">
        <f t="shared" si="7"/>
        <v>32498568</v>
      </c>
      <c r="L416" s="12" t="s">
        <v>127</v>
      </c>
      <c r="M416" s="13" t="str">
        <f ca="1">IFERROR(__xludf.DUMMYFUNCTION("TRIM(
  REGEXREPLACE(
    TEXTJOIN("" "",
      TRUE,
      B416,
      C416,
      embaralharLinks(E416,F416,G416),
      H416,
      """",
      J416,
      N416,
      ""#RIPNSFW""
    ),
  "",\s*"", "" "")
)"),"{New} Dani Daniels https://lulustream.com/d/ruosu9zgkm9e https://streamtape.com/v/D0OGrrJDyRfkgjy/32498568 https://doodstream.com/d/l0aps3gvcv6e/32498568 (2026) #MILF #BigTits #Hardcore #Bigass #RIPNSFW")</f>
        <v>{New} Dani Daniels https://lulustream.com/d/ruosu9zgkm9e https://streamtape.com/v/D0OGrrJDyRfkgjy/32498568 https://doodstream.com/d/l0aps3gvcv6e/32498568 (2026) #MILF #BigTits #Hardcore #Bigass #RIPNSFW</v>
      </c>
      <c r="N416" s="2" t="s">
        <v>128</v>
      </c>
      <c r="O416" s="30" t="s">
        <v>2192</v>
      </c>
      <c r="P416" s="26"/>
      <c r="R416" s="23"/>
    </row>
    <row r="417" spans="1:27" ht="12.75">
      <c r="A417" s="12" t="s">
        <v>2193</v>
      </c>
      <c r="B417" s="6" t="s">
        <v>14</v>
      </c>
      <c r="C417" s="7" t="str">
        <f t="shared" si="4"/>
        <v xml:space="preserve">Dani Daniels </v>
      </c>
      <c r="D417" s="24" t="s">
        <v>2194</v>
      </c>
      <c r="E417" s="25" t="s">
        <v>2195</v>
      </c>
      <c r="F417" s="9" t="str">
        <f ca="1">IFERROR(__xludf.DUMMYFUNCTION("""https://streamtape.com/v/""&amp;
REGEXEXTRACT(O417,""/thumb/([^/]+)/"")&amp;
""/""&amp;K417"),"https://streamtape.com/v/Yw17K8XxMpcvDyV/32595635")</f>
        <v>https://streamtape.com/v/Yw17K8XxMpcvDyV/32595635</v>
      </c>
      <c r="G417" s="10" t="e">
        <f t="shared" ca="1" si="5"/>
        <v>#NAME?</v>
      </c>
      <c r="H417" s="11" t="str">
        <f ca="1">IFERROR(__xludf.DUMMYFUNCTION("IFERROR(SUBSTITUTE(SUBSTITUTE(REGEXEXTRACT(A417, ""[^-]+- [^-]+- [^-]+ - (.+?)\.jpg""), "".jpg"", """"), ""-"", "", ""), """")"),"")</f>
        <v/>
      </c>
      <c r="I417" s="6"/>
      <c r="J417" s="7" t="str">
        <f t="shared" ca="1" si="6"/>
        <v>(2026)</v>
      </c>
      <c r="K417" s="7" t="str">
        <f t="shared" si="7"/>
        <v>32595635</v>
      </c>
      <c r="L417" s="12" t="s">
        <v>2061</v>
      </c>
      <c r="M417" s="13" t="str">
        <f ca="1">IFERROR(__xludf.DUMMYFUNCTION("TRIM(
  REGEXREPLACE(
    TEXTJOIN("" "",
      TRUE,
      B417,
      C417,
      embaralharLinks(E417,F417,G417),
      H417,
      """",
      J417,
      N417,
      ""#RIPNSFW""
    ),
  "",\s*"", "" "")
)"),"{New} Dani Daniels https://doodstream.com/d/gw6zhhnckb0g/32595635 https://streamtape.com/v/Yw17K8XxMpcvDyV/32595635 https://lulustream.com/d/lznr10d5u5xw (2026) #milf #bigtits #bigass #solo #RIPNSFW")</f>
        <v>{New} Dani Daniels https://doodstream.com/d/gw6zhhnckb0g/32595635 https://streamtape.com/v/Yw17K8XxMpcvDyV/32595635 https://lulustream.com/d/lznr10d5u5xw (2026) #milf #bigtits #bigass #solo #RIPNSFW</v>
      </c>
      <c r="N417" s="2" t="s">
        <v>2061</v>
      </c>
      <c r="O417" s="30" t="s">
        <v>2196</v>
      </c>
      <c r="P417" s="26"/>
      <c r="R417" s="23"/>
    </row>
    <row r="418" spans="1:27" ht="12.75">
      <c r="A418" s="12" t="s">
        <v>2197</v>
      </c>
      <c r="B418" s="6" t="s">
        <v>14</v>
      </c>
      <c r="C418" s="7" t="str">
        <f t="shared" si="4"/>
        <v xml:space="preserve">Dani Daniels </v>
      </c>
      <c r="D418" s="36" t="s">
        <v>2198</v>
      </c>
      <c r="E418" s="25" t="s">
        <v>2199</v>
      </c>
      <c r="F418" s="9" t="str">
        <f ca="1">IFERROR(__xludf.DUMMYFUNCTION("""https://streamtape.com/v/""&amp;
REGEXEXTRACT(O418,""/thumb/([^/]+)/"")&amp;
""/""&amp;K418"),"https://streamtape.com/v/vPzblYxBKWH4mJr/33684637")</f>
        <v>https://streamtape.com/v/vPzblYxBKWH4mJr/33684637</v>
      </c>
      <c r="G418" s="10" t="e">
        <f t="shared" ca="1" si="5"/>
        <v>#NAME?</v>
      </c>
      <c r="H418" s="11" t="str">
        <f ca="1">IFERROR(__xludf.DUMMYFUNCTION("IFERROR(SUBSTITUTE(SUBSTITUTE(REGEXEXTRACT(A418, ""[^-]+- [^-]+- [^-]+ - (.+?)\.jpg""), "".jpg"", """"), ""-"", "", ""), """")"),"")</f>
        <v/>
      </c>
      <c r="I418" s="6"/>
      <c r="J418" s="7" t="str">
        <f t="shared" ca="1" si="6"/>
        <v>(2026)</v>
      </c>
      <c r="K418" s="7" t="str">
        <f t="shared" si="7"/>
        <v>33684637</v>
      </c>
      <c r="L418" s="12" t="s">
        <v>2200</v>
      </c>
      <c r="M418" s="13" t="str">
        <f ca="1">IFERROR(__xludf.DUMMYFUNCTION("TRIM(
  REGEXREPLACE(
    TEXTJOIN("" "",
      TRUE,
      B418,
      C418,
      embaralharLinks(E418,F418,G418),
      H418,
      """",
      J418,
      N418,
      ""#RIPNSFW""
    ),
  "",\s*"", "" "")
)"),"{New} Dani Daniels https://doodstream.com/d/d8seuoxurizi/33684637 https://streamtape.com/v/vPzblYxBKWH4mJr/33684637 https://lulustream.com/d/ko5bfrk733v3 (2026) #milf #bigtits #creampie #bigass #RIPNSFW")</f>
        <v>{New} Dani Daniels https://doodstream.com/d/d8seuoxurizi/33684637 https://streamtape.com/v/vPzblYxBKWH4mJr/33684637 https://lulustream.com/d/ko5bfrk733v3 (2026) #milf #bigtits #creampie #bigass #RIPNSFW</v>
      </c>
      <c r="N418" s="2" t="s">
        <v>2200</v>
      </c>
      <c r="O418" s="30" t="s">
        <v>2201</v>
      </c>
      <c r="P418" s="26"/>
      <c r="R418" s="23"/>
      <c r="T418" s="6"/>
      <c r="U418" s="7"/>
    </row>
    <row r="419" spans="1:27" ht="12.75">
      <c r="A419" s="12" t="s">
        <v>2202</v>
      </c>
      <c r="B419" s="6" t="s">
        <v>14</v>
      </c>
      <c r="C419" s="7" t="str">
        <f t="shared" si="4"/>
        <v xml:space="preserve">Dani Daniels </v>
      </c>
      <c r="D419" s="27" t="s">
        <v>2203</v>
      </c>
      <c r="E419" s="28" t="s">
        <v>2204</v>
      </c>
      <c r="F419" s="9" t="str">
        <f ca="1">IFERROR(__xludf.DUMMYFUNCTION("""https://streamtape.com/v/""&amp;
REGEXEXTRACT(O419,""/thumb/([^/]+)/"")&amp;
""/""&amp;K419"),"https://streamtape.com/v/81amJvM0QGioKRQ/34237053")</f>
        <v>https://streamtape.com/v/81amJvM0QGioKRQ/34237053</v>
      </c>
      <c r="G419" s="10" t="e">
        <f t="shared" ca="1" si="5"/>
        <v>#NAME?</v>
      </c>
      <c r="H419" s="11" t="str">
        <f ca="1">IFERROR(__xludf.DUMMYFUNCTION("IFERROR(SUBSTITUTE(SUBSTITUTE(REGEXEXTRACT(A419, ""[^-]+- [^-]+- [^-]+ - (.+?)\.jpg""), "".jpg"", """"), ""-"", "", ""), """")"),"")</f>
        <v/>
      </c>
      <c r="I419" s="6"/>
      <c r="J419" s="7" t="str">
        <f t="shared" ca="1" si="6"/>
        <v>(2026)</v>
      </c>
      <c r="K419" s="7" t="str">
        <f t="shared" si="7"/>
        <v>34237053</v>
      </c>
      <c r="L419" s="12" t="s">
        <v>127</v>
      </c>
      <c r="M419" s="13" t="str">
        <f ca="1">IFERROR(__xludf.DUMMYFUNCTION("TRIM(
  REGEXREPLACE(
    TEXTJOIN("" "",
      TRUE,
      B419,
      C419,
      embaralharLinks(E419,F419,G419),
      H419,
      """",
      J419,
      N419,
      ""#RIPNSFW""
    ),
  "",\s*"", "" "")
)"),"{New} Dani Daniels https://streamtape.com/v/81amJvM0QGioKRQ/34237053 https://lulustream.com/d/v82g63k39nb6 https://doodstream.com/d/ljmt3r9l3i1c/34237053 (2026) #MILF #BigTits #Hardcore #Bigass #RIPNSFW")</f>
        <v>{New} Dani Daniels https://streamtape.com/v/81amJvM0QGioKRQ/34237053 https://lulustream.com/d/v82g63k39nb6 https://doodstream.com/d/ljmt3r9l3i1c/34237053 (2026) #MILF #BigTits #Hardcore #Bigass #RIPNSFW</v>
      </c>
      <c r="N419" s="2" t="s">
        <v>128</v>
      </c>
      <c r="O419" s="30" t="s">
        <v>2205</v>
      </c>
      <c r="P419" s="26"/>
      <c r="R419" s="23"/>
    </row>
    <row r="420" spans="1:27" ht="12.75">
      <c r="A420" s="6" t="s">
        <v>2206</v>
      </c>
      <c r="B420" s="6" t="s">
        <v>14</v>
      </c>
      <c r="C420" s="7" t="str">
        <f t="shared" si="4"/>
        <v xml:space="preserve">Dani Daniels </v>
      </c>
      <c r="D420" s="6" t="s">
        <v>2207</v>
      </c>
      <c r="E420" s="8" t="s">
        <v>2208</v>
      </c>
      <c r="F420" s="9" t="str">
        <f ca="1">IFERROR(__xludf.DUMMYFUNCTION("""https://streamtape.com/v/""&amp;
REGEXEXTRACT(O420,""/thumb/([^/]+)/"")&amp;
""/""&amp;K420"),"https://streamtape.com/v/qg7PqyWjpmTzQx6/34410908")</f>
        <v>https://streamtape.com/v/qg7PqyWjpmTzQx6/34410908</v>
      </c>
      <c r="G420" s="10" t="e">
        <f t="shared" ca="1" si="5"/>
        <v>#NAME?</v>
      </c>
      <c r="H420" s="11" t="str">
        <f ca="1">IFERROR(__xludf.DUMMYFUNCTION("IFERROR(SUBSTITUTE(SUBSTITUTE(REGEXEXTRACT(A420, ""[^-]+- [^-]+- [^-]+ - (.+?)\.jpg""), "".jpg"", """"), ""-"", "", ""), """")"),"")</f>
        <v/>
      </c>
      <c r="I420" s="6"/>
      <c r="J420" s="7" t="str">
        <f t="shared" ca="1" si="6"/>
        <v>(2026)</v>
      </c>
      <c r="K420" s="7" t="str">
        <f t="shared" si="7"/>
        <v>34410908</v>
      </c>
      <c r="L420" s="12" t="s">
        <v>2209</v>
      </c>
      <c r="M420" s="13" t="str">
        <f ca="1">IFERROR(__xludf.DUMMYFUNCTION("TRIM(
  REGEXREPLACE(
    TEXTJOIN("" "",
      TRUE,
      B420,
      C420,
      embaralharLinks(E420,F420,G420),
      H420,
      """",
      J420,
      N420,
      ""#RIPNSFW""
    ),
  "",\s*"", "" "")
)"),"{New} Dani Daniels https://doodstream.com/d/ig80fqyv5hov/34410908 https://lulustream.com/d/zu5blo9mcnoc https://streamtape.com/v/qg7PqyWjpmTzQx6/34410908 (2026) #MILF #BigTits #Bigass #Solo #RIPNSFW")</f>
        <v>{New} Dani Daniels https://doodstream.com/d/ig80fqyv5hov/34410908 https://lulustream.com/d/zu5blo9mcnoc https://streamtape.com/v/qg7PqyWjpmTzQx6/34410908 (2026) #MILF #BigTits #Bigass #Solo #RIPNSFW</v>
      </c>
      <c r="N420" s="14" t="s">
        <v>2101</v>
      </c>
      <c r="O420" s="15" t="s">
        <v>2210</v>
      </c>
      <c r="P420" s="14"/>
      <c r="Q420" s="6"/>
      <c r="R420" s="11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75">
      <c r="A421" s="12" t="s">
        <v>2211</v>
      </c>
      <c r="B421" s="6" t="s">
        <v>14</v>
      </c>
      <c r="C421" s="7" t="str">
        <f t="shared" si="4"/>
        <v xml:space="preserve">Dani Daniels </v>
      </c>
      <c r="D421" s="24" t="s">
        <v>2212</v>
      </c>
      <c r="E421" s="25" t="s">
        <v>2213</v>
      </c>
      <c r="F421" s="9" t="str">
        <f ca="1">IFERROR(__xludf.DUMMYFUNCTION("""https://streamtape.com/v/""&amp;
REGEXEXTRACT(O421,""/thumb/([^/]+)/"")&amp;
""/""&amp;K421"),"https://streamtape.com/v/zVODAr3ryxtYlLK/36451659")</f>
        <v>https://streamtape.com/v/zVODAr3ryxtYlLK/36451659</v>
      </c>
      <c r="G421" s="10" t="e">
        <f t="shared" ca="1" si="5"/>
        <v>#NAME?</v>
      </c>
      <c r="H421" s="11" t="str">
        <f ca="1">IFERROR(__xludf.DUMMYFUNCTION("IFERROR(SUBSTITUTE(SUBSTITUTE(REGEXEXTRACT(A421, ""[^-]+- [^-]+- [^-]+ - (.+?)\.jpg""), "".jpg"", """"), ""-"", "", ""), """")"),"")</f>
        <v/>
      </c>
      <c r="I421" s="6"/>
      <c r="J421" s="7" t="str">
        <f t="shared" ca="1" si="6"/>
        <v>(2026)</v>
      </c>
      <c r="K421" s="7" t="str">
        <f t="shared" si="7"/>
        <v>36451659</v>
      </c>
      <c r="L421" s="12" t="s">
        <v>2061</v>
      </c>
      <c r="M421" s="13" t="str">
        <f ca="1">IFERROR(__xludf.DUMMYFUNCTION("TRIM(
  REGEXREPLACE(
    TEXTJOIN("" "",
      TRUE,
      B421,
      C421,
      embaralharLinks(E421,F421,G421),
      H421,
      """",
      J421,
      N421,
      ""#RIPNSFW""
    ),
  "",\s*"", "" "")
)"),"{New} Dani Daniels https://streamtape.com/v/zVODAr3ryxtYlLK/36451659 https://lulustream.com/d/v5zr365oipr0 https://doodstream.com/d/pijpw3q174ja/36451659 (2026) #milf #bigtits #bigass #solo #RIPNSFW")</f>
        <v>{New} Dani Daniels https://streamtape.com/v/zVODAr3ryxtYlLK/36451659 https://lulustream.com/d/v5zr365oipr0 https://doodstream.com/d/pijpw3q174ja/36451659 (2026) #milf #bigtits #bigass #solo #RIPNSFW</v>
      </c>
      <c r="N421" s="2" t="s">
        <v>2061</v>
      </c>
      <c r="O421" s="30" t="s">
        <v>2214</v>
      </c>
      <c r="P421" s="26"/>
      <c r="R421" s="23"/>
      <c r="T421" s="6"/>
      <c r="U421" s="7"/>
    </row>
    <row r="422" spans="1:27" ht="12.75">
      <c r="A422" s="6" t="s">
        <v>2215</v>
      </c>
      <c r="B422" s="6" t="s">
        <v>14</v>
      </c>
      <c r="C422" s="7" t="str">
        <f t="shared" si="4"/>
        <v xml:space="preserve">Dani Daniels </v>
      </c>
      <c r="D422" s="6" t="s">
        <v>2216</v>
      </c>
      <c r="E422" s="8" t="s">
        <v>2217</v>
      </c>
      <c r="F422" s="9" t="str">
        <f ca="1">IFERROR(__xludf.DUMMYFUNCTION("""https://streamtape.com/v/""&amp;
REGEXEXTRACT(O422,""/thumb/([^/]+)/"")&amp;
""/""&amp;K422"),"https://streamtape.com/v/lgP0Ae6pMjCz3L/36544901")</f>
        <v>https://streamtape.com/v/lgP0Ae6pMjCz3L/36544901</v>
      </c>
      <c r="G422" s="10" t="e">
        <f t="shared" ca="1" si="5"/>
        <v>#NAME?</v>
      </c>
      <c r="H422" s="11" t="str">
        <f ca="1">IFERROR(__xludf.DUMMYFUNCTION("IFERROR(SUBSTITUTE(SUBSTITUTE(REGEXEXTRACT(A422, ""[^-]+- [^-]+- [^-]+ - (.+?)\.jpg""), "".jpg"", """"), ""-"", "", ""), """")"),"")</f>
        <v/>
      </c>
      <c r="I422" s="6"/>
      <c r="J422" s="7" t="str">
        <f t="shared" ca="1" si="6"/>
        <v>(2026)</v>
      </c>
      <c r="K422" s="7" t="str">
        <f t="shared" si="7"/>
        <v>36544901</v>
      </c>
      <c r="L422" s="12" t="s">
        <v>2077</v>
      </c>
      <c r="M422" s="13" t="str">
        <f ca="1">IFERROR(__xludf.DUMMYFUNCTION("TRIM(
  REGEXREPLACE(
    TEXTJOIN("" "",
      TRUE,
      B422,
      C422,
      embaralharLinks(E422,F422,G422),
      H422,
      """",
      J422,
      N422,
      ""#RIPNSFW""
    ),
  "",\s*"", "" "")
)"),"{New} Dani Daniels https://lulustream.com/d/m3sg8orqd73j https://doodstream.com/d/y89awizlixgl/36544901 https://streamtape.com/v/lgP0Ae6pMjCz3L/36544901 (2026) #MILF #BigTits #Bigass #Roleplay #RIPNSFW")</f>
        <v>{New} Dani Daniels https://lulustream.com/d/m3sg8orqd73j https://doodstream.com/d/y89awizlixgl/36544901 https://streamtape.com/v/lgP0Ae6pMjCz3L/36544901 (2026) #MILF #BigTits #Bigass #Roleplay #RIPNSFW</v>
      </c>
      <c r="N422" s="14" t="s">
        <v>2072</v>
      </c>
      <c r="O422" s="15" t="s">
        <v>2218</v>
      </c>
      <c r="P422" s="14"/>
      <c r="Q422" s="6"/>
      <c r="R422" s="11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75">
      <c r="A423" s="12" t="s">
        <v>2219</v>
      </c>
      <c r="B423" s="6" t="s">
        <v>14</v>
      </c>
      <c r="C423" s="7" t="str">
        <f t="shared" si="4"/>
        <v xml:space="preserve">Dani Daniels </v>
      </c>
      <c r="D423" s="24" t="s">
        <v>2220</v>
      </c>
      <c r="E423" s="25" t="s">
        <v>2221</v>
      </c>
      <c r="F423" s="9" t="str">
        <f ca="1">IFERROR(__xludf.DUMMYFUNCTION("""https://streamtape.com/v/""&amp;
REGEXEXTRACT(O423,""/thumb/([^/]+)/"")&amp;
""/""&amp;K423"),"https://streamtape.com/v/Wpv8Bd06ldtb3oL/36758110")</f>
        <v>https://streamtape.com/v/Wpv8Bd06ldtb3oL/36758110</v>
      </c>
      <c r="G423" s="10" t="e">
        <f t="shared" ca="1" si="5"/>
        <v>#NAME?</v>
      </c>
      <c r="H423" s="11" t="str">
        <f ca="1">IFERROR(__xludf.DUMMYFUNCTION("IFERROR(SUBSTITUTE(SUBSTITUTE(REGEXEXTRACT(A423, ""[^-]+- [^-]+- [^-]+ - (.+?)\.jpg""), "".jpg"", """"), ""-"", "", ""), """")"),"")</f>
        <v/>
      </c>
      <c r="I423" s="6"/>
      <c r="J423" s="7" t="str">
        <f t="shared" ca="1" si="6"/>
        <v>(2026)</v>
      </c>
      <c r="K423" s="7" t="str">
        <f t="shared" si="7"/>
        <v>36758110</v>
      </c>
      <c r="L423" s="12" t="s">
        <v>2061</v>
      </c>
      <c r="M423" s="13" t="str">
        <f ca="1">IFERROR(__xludf.DUMMYFUNCTION("TRIM(
  REGEXREPLACE(
    TEXTJOIN("" "",
      TRUE,
      B423,
      C423,
      embaralharLinks(E423,F423,G423),
      H423,
      """",
      J423,
      N423,
      ""#RIPNSFW""
    ),
  "",\s*"", "" "")
)"),"{New} Dani Daniels https://doodstream.com/d/5jepz8xgymo8/36758110 https://lulustream.com/d/zfuybhap64cj https://streamtape.com/v/Wpv8Bd06ldtb3oL/36758110 (2026) #milf #bigtits #bigass #solo #RIPNSFW")</f>
        <v>{New} Dani Daniels https://doodstream.com/d/5jepz8xgymo8/36758110 https://lulustream.com/d/zfuybhap64cj https://streamtape.com/v/Wpv8Bd06ldtb3oL/36758110 (2026) #milf #bigtits #bigass #solo #RIPNSFW</v>
      </c>
      <c r="N423" s="2" t="s">
        <v>2061</v>
      </c>
      <c r="O423" s="30" t="s">
        <v>2222</v>
      </c>
      <c r="P423" s="26"/>
      <c r="R423" s="23"/>
      <c r="T423" s="6"/>
      <c r="U423" s="7"/>
      <c r="Z423" s="12"/>
      <c r="AA423" s="12"/>
    </row>
    <row r="424" spans="1:27" ht="12.75">
      <c r="A424" s="6" t="s">
        <v>2223</v>
      </c>
      <c r="B424" s="6" t="s">
        <v>14</v>
      </c>
      <c r="C424" s="7" t="str">
        <f t="shared" si="4"/>
        <v xml:space="preserve">Dani Daniels </v>
      </c>
      <c r="D424" s="6" t="s">
        <v>2224</v>
      </c>
      <c r="E424" s="8" t="s">
        <v>2225</v>
      </c>
      <c r="F424" s="9" t="str">
        <f ca="1">IFERROR(__xludf.DUMMYFUNCTION("""https://streamtape.com/v/""&amp;
REGEXEXTRACT(O424,""/thumb/([^/]+)/"")&amp;
""/""&amp;K424"),"https://streamtape.com/v/oGQWKlyDxMsJ1Zl/36918464")</f>
        <v>https://streamtape.com/v/oGQWKlyDxMsJ1Zl/36918464</v>
      </c>
      <c r="G424" s="10" t="e">
        <f t="shared" ca="1" si="5"/>
        <v>#NAME?</v>
      </c>
      <c r="H424" s="11" t="str">
        <f ca="1">IFERROR(__xludf.DUMMYFUNCTION("IFERROR(SUBSTITUTE(SUBSTITUTE(REGEXEXTRACT(A424, ""[^-]+- [^-]+- [^-]+ - (.+?)\.jpg""), "".jpg"", """"), ""-"", "", ""), """")"),"")</f>
        <v/>
      </c>
      <c r="I424" s="6"/>
      <c r="J424" s="7" t="str">
        <f t="shared" ca="1" si="6"/>
        <v>(2026)</v>
      </c>
      <c r="K424" s="7" t="str">
        <f t="shared" si="7"/>
        <v>36918464</v>
      </c>
      <c r="L424" s="12" t="s">
        <v>2226</v>
      </c>
      <c r="M424" s="13" t="str">
        <f ca="1">IFERROR(__xludf.DUMMYFUNCTION("TRIM(
  REGEXREPLACE(
    TEXTJOIN("" "",
      TRUE,
      B424,
      C424,
      embaralharLinks(E424,F424,G424),
      H424,
      """",
      J424,
      N424,
      ""#RIPNSFW""
    ),
  "",\s*"", "" "")
)"),"{New} Dani Daniels https://streamtape.com/v/oGQWKlyDxMsJ1Zl/36918464 https://lulustream.com/d/848yi00zp3o4 https://doodstream.com/d/rvkdjd98z7e6/36918464 (2026) #MILF #BigTits #Bigass #Blowjob #Amateur #Hotwife #RIPNSFW")</f>
        <v>{New} Dani Daniels https://streamtape.com/v/oGQWKlyDxMsJ1Zl/36918464 https://lulustream.com/d/848yi00zp3o4 https://doodstream.com/d/rvkdjd98z7e6/36918464 (2026) #MILF #BigTits #Bigass #Blowjob #Amateur #Hotwife #RIPNSFW</v>
      </c>
      <c r="N424" s="14" t="s">
        <v>2227</v>
      </c>
      <c r="O424" s="15" t="s">
        <v>2228</v>
      </c>
      <c r="P424" s="14"/>
      <c r="Q424" s="6"/>
      <c r="R424" s="11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75">
      <c r="A425" s="6" t="s">
        <v>2229</v>
      </c>
      <c r="B425" s="6" t="s">
        <v>14</v>
      </c>
      <c r="C425" s="7" t="str">
        <f t="shared" si="4"/>
        <v xml:space="preserve">Dani Daniels </v>
      </c>
      <c r="D425" s="6" t="s">
        <v>2230</v>
      </c>
      <c r="E425" s="8" t="s">
        <v>2231</v>
      </c>
      <c r="F425" s="9" t="str">
        <f ca="1">IFERROR(__xludf.DUMMYFUNCTION("""https://streamtape.com/v/""&amp;
REGEXEXTRACT(O425,""/thumb/([^/]+)/"")&amp;
""/""&amp;K425"),"https://streamtape.com/v/vrW09AP1Ljs41ZW/37638420")</f>
        <v>https://streamtape.com/v/vrW09AP1Ljs41ZW/37638420</v>
      </c>
      <c r="G425" s="10" t="e">
        <f t="shared" ca="1" si="5"/>
        <v>#NAME?</v>
      </c>
      <c r="H425" s="11" t="str">
        <f ca="1">IFERROR(__xludf.DUMMYFUNCTION("IFERROR(SUBSTITUTE(SUBSTITUTE(REGEXEXTRACT(A425, ""[^-]+- [^-]+- [^-]+ - (.+?)\.jpg""), "".jpg"", """"), ""-"", "", ""), """")"),"")</f>
        <v/>
      </c>
      <c r="I425" s="6"/>
      <c r="J425" s="7" t="str">
        <f t="shared" ca="1" si="6"/>
        <v>(2026)</v>
      </c>
      <c r="K425" s="7" t="str">
        <f t="shared" si="7"/>
        <v>37638420</v>
      </c>
      <c r="L425" s="12" t="s">
        <v>2100</v>
      </c>
      <c r="M425" s="13" t="str">
        <f ca="1">IFERROR(__xludf.DUMMYFUNCTION("TRIM(
  REGEXREPLACE(
    TEXTJOIN("" "",
      TRUE,
      B425,
      C425,
      embaralharLinks(E425,F425,G425),
      H425,
      """",
      J425,
      N425,
      ""#RIPNSFW""
    ),
  "",\s*"", "" "")
)"),"{New} Dani Daniels https://streamtape.com/v/vrW09AP1Ljs41ZW/37638420 https://lulustream.com/d/obmo5fu1ltvo https://doodstream.com/d/jprbpg7kij2q/37638420 (2026) #MILF #BigTits #Bigass #Solo #RIPNSFW")</f>
        <v>{New} Dani Daniels https://streamtape.com/v/vrW09AP1Ljs41ZW/37638420 https://lulustream.com/d/obmo5fu1ltvo https://doodstream.com/d/jprbpg7kij2q/37638420 (2026) #MILF #BigTits #Bigass #Solo #RIPNSFW</v>
      </c>
      <c r="N425" s="14" t="s">
        <v>2101</v>
      </c>
      <c r="O425" s="15" t="s">
        <v>2232</v>
      </c>
      <c r="P425" s="14"/>
      <c r="Q425" s="6"/>
      <c r="R425" s="11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75">
      <c r="A426" s="12" t="s">
        <v>2233</v>
      </c>
      <c r="B426" s="6" t="s">
        <v>14</v>
      </c>
      <c r="C426" s="7" t="str">
        <f t="shared" si="4"/>
        <v xml:space="preserve">Dani Daniels </v>
      </c>
      <c r="D426" s="27" t="s">
        <v>2234</v>
      </c>
      <c r="E426" s="28" t="s">
        <v>2235</v>
      </c>
      <c r="F426" s="9" t="str">
        <f ca="1">IFERROR(__xludf.DUMMYFUNCTION("""https://streamtape.com/v/""&amp;
REGEXEXTRACT(O426,""/thumb/([^/]+)/"")&amp;
""/""&amp;K426"),"https://streamtape.com/v/AXWvOaeMj9tX3mJ/38519286")</f>
        <v>https://streamtape.com/v/AXWvOaeMj9tX3mJ/38519286</v>
      </c>
      <c r="G426" s="10" t="e">
        <f t="shared" ca="1" si="5"/>
        <v>#NAME?</v>
      </c>
      <c r="H426" s="11" t="str">
        <f ca="1">IFERROR(__xludf.DUMMYFUNCTION("IFERROR(SUBSTITUTE(SUBSTITUTE(REGEXEXTRACT(A426, ""[^-]+- [^-]+- [^-]+ - (.+?)\.jpg""), "".jpg"", """"), ""-"", "", ""), """")"),"")</f>
        <v/>
      </c>
      <c r="I426" s="6"/>
      <c r="J426" s="7" t="str">
        <f t="shared" ca="1" si="6"/>
        <v>(2026)</v>
      </c>
      <c r="K426" s="7" t="str">
        <f t="shared" si="7"/>
        <v>38519286</v>
      </c>
      <c r="L426" s="12" t="s">
        <v>2100</v>
      </c>
      <c r="M426" s="13" t="str">
        <f ca="1">IFERROR(__xludf.DUMMYFUNCTION("TRIM(
  REGEXREPLACE(
    TEXTJOIN("" "",
      TRUE,
      B426,
      C426,
      embaralharLinks(E426,F426,G426),
      H426,
      """",
      J426,
      N426,
      ""#RIPNSFW""
    ),
  "",\s*"", "" "")
)"),"{New} Dani Daniels https://lulustream.com/d/q1yo4r0vv4t2 https://doodstream.com/d/fdpe7nkju0tz/38519286 https://streamtape.com/v/AXWvOaeMj9tX3mJ/38519286 (2026) #MILF #BigTits #Bigass #Solo #RIPNSFW")</f>
        <v>{New} Dani Daniels https://lulustream.com/d/q1yo4r0vv4t2 https://doodstream.com/d/fdpe7nkju0tz/38519286 https://streamtape.com/v/AXWvOaeMj9tX3mJ/38519286 (2026) #MILF #BigTits #Bigass #Solo #RIPNSFW</v>
      </c>
      <c r="N426" s="2" t="s">
        <v>2101</v>
      </c>
      <c r="O426" s="30" t="s">
        <v>2236</v>
      </c>
      <c r="P426" s="26"/>
      <c r="R426" s="23"/>
    </row>
    <row r="427" spans="1:27" ht="12.75">
      <c r="A427" s="6" t="s">
        <v>2237</v>
      </c>
      <c r="B427" s="6" t="s">
        <v>14</v>
      </c>
      <c r="C427" s="7" t="str">
        <f t="shared" si="4"/>
        <v xml:space="preserve">Dani Daniels </v>
      </c>
      <c r="D427" s="6" t="s">
        <v>2238</v>
      </c>
      <c r="E427" s="8" t="s">
        <v>2239</v>
      </c>
      <c r="F427" s="9" t="str">
        <f ca="1">IFERROR(__xludf.DUMMYFUNCTION("""https://streamtape.com/v/""&amp;
REGEXEXTRACT(O427,""/thumb/([^/]+)/"")&amp;
""/""&amp;K427"),"https://streamtape.com/v/RW2gyraM1wsdRZ1/39177375")</f>
        <v>https://streamtape.com/v/RW2gyraM1wsdRZ1/39177375</v>
      </c>
      <c r="G427" s="10" t="e">
        <f t="shared" ca="1" si="5"/>
        <v>#NAME?</v>
      </c>
      <c r="H427" s="11" t="str">
        <f ca="1">IFERROR(__xludf.DUMMYFUNCTION("IFERROR(SUBSTITUTE(SUBSTITUTE(REGEXEXTRACT(A427, ""[^-]+- [^-]+- [^-]+ - (.+?)\.jpg""), "".jpg"", """"), ""-"", "", ""), """")"),"")</f>
        <v/>
      </c>
      <c r="I427" s="6"/>
      <c r="J427" s="7" t="str">
        <f t="shared" ca="1" si="6"/>
        <v>(2026)</v>
      </c>
      <c r="K427" s="7" t="str">
        <f t="shared" si="7"/>
        <v>39177375</v>
      </c>
      <c r="L427" s="12" t="s">
        <v>2100</v>
      </c>
      <c r="M427" s="13" t="str">
        <f ca="1">IFERROR(__xludf.DUMMYFUNCTION("TRIM(
  REGEXREPLACE(
    TEXTJOIN("" "",
      TRUE,
      B427,
      C427,
      embaralharLinks(E427,F427,G427),
      H427,
      """",
      J427,
      N427,
      ""#RIPNSFW""
    ),
  "",\s*"", "" "")
)"),"{New} Dani Daniels https://doodstream.com/d/05uoifuwd7dd/39177375 https://streamtape.com/v/RW2gyraM1wsdRZ1/39177375 https://lulustream.com/d/ta9dv9rckmk0 (2026) #MILF #BigTits #Bigass #Solo #RIPNSFW")</f>
        <v>{New} Dani Daniels https://doodstream.com/d/05uoifuwd7dd/39177375 https://streamtape.com/v/RW2gyraM1wsdRZ1/39177375 https://lulustream.com/d/ta9dv9rckmk0 (2026) #MILF #BigTits #Bigass #Solo #RIPNSFW</v>
      </c>
      <c r="N427" s="14" t="s">
        <v>2101</v>
      </c>
      <c r="O427" s="15" t="s">
        <v>2240</v>
      </c>
      <c r="P427" s="14"/>
      <c r="Q427" s="6"/>
      <c r="R427" s="11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75">
      <c r="A428" s="12" t="s">
        <v>2241</v>
      </c>
      <c r="B428" s="6" t="s">
        <v>14</v>
      </c>
      <c r="C428" s="7" t="str">
        <f t="shared" si="4"/>
        <v xml:space="preserve">Dani Daniels </v>
      </c>
      <c r="D428" s="27" t="s">
        <v>2242</v>
      </c>
      <c r="E428" s="28" t="s">
        <v>2243</v>
      </c>
      <c r="F428" s="9" t="str">
        <f ca="1">IFERROR(__xludf.DUMMYFUNCTION("""https://streamtape.com/v/""&amp;
REGEXEXTRACT(O428,""/thumb/([^/]+)/"")&amp;
""/""&amp;K428"),"https://streamtape.com/v/PZg3GkvBd8hDQ4/39608022")</f>
        <v>https://streamtape.com/v/PZg3GkvBd8hDQ4/39608022</v>
      </c>
      <c r="G428" s="10" t="e">
        <f t="shared" ca="1" si="5"/>
        <v>#NAME?</v>
      </c>
      <c r="H428" s="11" t="str">
        <f ca="1">IFERROR(__xludf.DUMMYFUNCTION("IFERROR(SUBSTITUTE(SUBSTITUTE(REGEXEXTRACT(A428, ""[^-]+- [^-]+- [^-]+ - (.+?)\.jpg""), "".jpg"", """"), ""-"", "", ""), """")"),"")</f>
        <v/>
      </c>
      <c r="I428" s="6"/>
      <c r="J428" s="7" t="str">
        <f t="shared" ca="1" si="6"/>
        <v>(2026)</v>
      </c>
      <c r="K428" s="7" t="str">
        <f t="shared" si="7"/>
        <v>39608022</v>
      </c>
      <c r="L428" s="12" t="s">
        <v>127</v>
      </c>
      <c r="M428" s="13" t="str">
        <f ca="1">IFERROR(__xludf.DUMMYFUNCTION("TRIM(
  REGEXREPLACE(
    TEXTJOIN("" "",
      TRUE,
      B428,
      C428,
      embaralharLinks(E428,F428,G428),
      H428,
      """",
      J428,
      N428,
      ""#RIPNSFW""
    ),
  "",\s*"", "" "")
)"),"{New} Dani Daniels https://streamtape.com/v/PZg3GkvBd8hDQ4/39608022 https://doodstream.com/d/n69ohnc0bfxg/39608022 https://lulustream.com/d/vep3s1mm3erz (2026) #MILF #BigTits #Hardcore #Bigass #RIPNSFW")</f>
        <v>{New} Dani Daniels https://streamtape.com/v/PZg3GkvBd8hDQ4/39608022 https://doodstream.com/d/n69ohnc0bfxg/39608022 https://lulustream.com/d/vep3s1mm3erz (2026) #MILF #BigTits #Hardcore #Bigass #RIPNSFW</v>
      </c>
      <c r="N428" s="2" t="s">
        <v>128</v>
      </c>
      <c r="O428" s="30" t="s">
        <v>2244</v>
      </c>
      <c r="P428" s="26"/>
      <c r="R428" s="23"/>
    </row>
    <row r="429" spans="1:27" ht="12.75">
      <c r="A429" s="12" t="s">
        <v>2245</v>
      </c>
      <c r="B429" s="6" t="s">
        <v>14</v>
      </c>
      <c r="C429" s="7" t="str">
        <f t="shared" si="4"/>
        <v xml:space="preserve">Dani Daniels </v>
      </c>
      <c r="D429" s="24" t="s">
        <v>2246</v>
      </c>
      <c r="E429" s="25" t="s">
        <v>2247</v>
      </c>
      <c r="F429" s="9" t="str">
        <f ca="1">IFERROR(__xludf.DUMMYFUNCTION("""https://streamtape.com/v/""&amp;
REGEXEXTRACT(O429,""/thumb/([^/]+)/"")&amp;
""/""&amp;K429"),"https://streamtape.com/v/mPBvKP9B7XIbA7R/40739253")</f>
        <v>https://streamtape.com/v/mPBvKP9B7XIbA7R/40739253</v>
      </c>
      <c r="G429" s="10" t="e">
        <f t="shared" ca="1" si="5"/>
        <v>#NAME?</v>
      </c>
      <c r="H429" s="11" t="str">
        <f ca="1">IFERROR(__xludf.DUMMYFUNCTION("IFERROR(SUBSTITUTE(SUBSTITUTE(REGEXEXTRACT(A429, ""[^-]+- [^-]+- [^-]+ - (.+?)\.jpg""), "".jpg"", """"), ""-"", "", ""), """")"),"")</f>
        <v/>
      </c>
      <c r="I429" s="6"/>
      <c r="J429" s="7" t="str">
        <f t="shared" ca="1" si="6"/>
        <v>(2026)</v>
      </c>
      <c r="K429" s="7" t="str">
        <f t="shared" si="7"/>
        <v>40739253</v>
      </c>
      <c r="L429" s="12" t="s">
        <v>2148</v>
      </c>
      <c r="M429" s="13" t="str">
        <f ca="1">IFERROR(__xludf.DUMMYFUNCTION("TRIM(
  REGEXREPLACE(
    TEXTJOIN("" "",
      TRUE,
      B429,
      C429,
      embaralharLinks(E429,F429,G429),
      H429,
      """",
      J429,
      N429,
      ""#RIPNSFW""
    ),
  "",\s*"", "" "")
)"),"{New} Dani Daniels https://doodstream.com/d/7ay4s5cc4ea5/40739253 https://streamtape.com/v/mPBvKP9B7XIbA7R/40739253 https://lulustream.com/d/h5huijo5gx3f (2026) #milf #bigass #bigtits #solo #RIPNSFW")</f>
        <v>{New} Dani Daniels https://doodstream.com/d/7ay4s5cc4ea5/40739253 https://streamtape.com/v/mPBvKP9B7XIbA7R/40739253 https://lulustream.com/d/h5huijo5gx3f (2026) #milf #bigass #bigtits #solo #RIPNSFW</v>
      </c>
      <c r="N429" s="2" t="s">
        <v>2148</v>
      </c>
      <c r="O429" s="30" t="s">
        <v>2248</v>
      </c>
      <c r="P429" s="26"/>
      <c r="R429" s="23"/>
      <c r="T429" s="6"/>
      <c r="U429" s="7"/>
    </row>
    <row r="430" spans="1:27" ht="12.75">
      <c r="A430" s="6" t="s">
        <v>2249</v>
      </c>
      <c r="B430" s="6" t="s">
        <v>14</v>
      </c>
      <c r="C430" s="7" t="str">
        <f t="shared" si="4"/>
        <v xml:space="preserve">Dani Daniels </v>
      </c>
      <c r="D430" s="6" t="s">
        <v>2250</v>
      </c>
      <c r="E430" s="8" t="s">
        <v>2251</v>
      </c>
      <c r="F430" s="9" t="str">
        <f ca="1">IFERROR(__xludf.DUMMYFUNCTION("""https://streamtape.com/v/""&amp;
REGEXEXTRACT(O430,""/thumb/([^/]+)/"")&amp;
""/""&amp;K430"),"https://streamtape.com/v/9qmObQpB0LfaMW1/41251325")</f>
        <v>https://streamtape.com/v/9qmObQpB0LfaMW1/41251325</v>
      </c>
      <c r="G430" s="10" t="e">
        <f t="shared" ca="1" si="5"/>
        <v>#NAME?</v>
      </c>
      <c r="H430" s="11" t="str">
        <f ca="1">IFERROR(__xludf.DUMMYFUNCTION("IFERROR(SUBSTITUTE(SUBSTITUTE(REGEXEXTRACT(A430, ""[^-]+- [^-]+- [^-]+ - (.+?)\.jpg""), "".jpg"", """"), ""-"", "", ""), """")"),"")</f>
        <v/>
      </c>
      <c r="I430" s="6"/>
      <c r="J430" s="7" t="str">
        <f t="shared" ca="1" si="6"/>
        <v>(2026)</v>
      </c>
      <c r="K430" s="7" t="str">
        <f t="shared" si="7"/>
        <v>41251325</v>
      </c>
      <c r="L430" s="12" t="s">
        <v>2077</v>
      </c>
      <c r="M430" s="13" t="str">
        <f ca="1">IFERROR(__xludf.DUMMYFUNCTION("TRIM(
  REGEXREPLACE(
    TEXTJOIN("" "",
      TRUE,
      B430,
      C430,
      embaralharLinks(E430,F430,G430),
      H430,
      """",
      J430,
      N430,
      ""#RIPNSFW""
    ),
  "",\s*"", "" "")
)"),"{New} Dani Daniels https://lulustream.com/d/d7gy8w4q5vex https://streamtape.com/v/9qmObQpB0LfaMW1/41251325 https://doodstream.com/d/0p8xur8ykswz/41251325 (2026) #MILF #BigTits #Bigass #Roleplay #RIPNSFW")</f>
        <v>{New} Dani Daniels https://lulustream.com/d/d7gy8w4q5vex https://streamtape.com/v/9qmObQpB0LfaMW1/41251325 https://doodstream.com/d/0p8xur8ykswz/41251325 (2026) #MILF #BigTits #Bigass #Roleplay #RIPNSFW</v>
      </c>
      <c r="N430" s="14" t="s">
        <v>2072</v>
      </c>
      <c r="O430" s="15" t="s">
        <v>2252</v>
      </c>
      <c r="P430" s="14"/>
      <c r="Q430" s="6"/>
      <c r="R430" s="11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75">
      <c r="A431" s="6" t="s">
        <v>2253</v>
      </c>
      <c r="B431" s="6" t="s">
        <v>14</v>
      </c>
      <c r="C431" s="7" t="str">
        <f t="shared" si="4"/>
        <v xml:space="preserve">Dani Daniels </v>
      </c>
      <c r="D431" s="6" t="s">
        <v>2254</v>
      </c>
      <c r="E431" s="8" t="s">
        <v>2255</v>
      </c>
      <c r="F431" s="9" t="str">
        <f ca="1">IFERROR(__xludf.DUMMYFUNCTION("""https://streamtape.com/v/""&amp;
REGEXEXTRACT(O431,""/thumb/([^/]+)/"")&amp;
""/""&amp;K431"),"https://streamtape.com/v/K7y8B7Gxm1u0dld/42052345")</f>
        <v>https://streamtape.com/v/K7y8B7Gxm1u0dld/42052345</v>
      </c>
      <c r="G431" s="10" t="e">
        <f t="shared" ca="1" si="5"/>
        <v>#NAME?</v>
      </c>
      <c r="H431" s="11" t="str">
        <f ca="1">IFERROR(__xludf.DUMMYFUNCTION("IFERROR(SUBSTITUTE(SUBSTITUTE(REGEXEXTRACT(A431, ""[^-]+- [^-]+- [^-]+ - (.+?)\.jpg""), "".jpg"", """"), ""-"", "", ""), """")"),"")</f>
        <v/>
      </c>
      <c r="I431" s="6"/>
      <c r="J431" s="7" t="str">
        <f t="shared" ca="1" si="6"/>
        <v>(2026)</v>
      </c>
      <c r="K431" s="7" t="str">
        <f t="shared" si="7"/>
        <v>42052345</v>
      </c>
      <c r="L431" s="12" t="s">
        <v>2100</v>
      </c>
      <c r="M431" s="13" t="str">
        <f ca="1">IFERROR(__xludf.DUMMYFUNCTION("TRIM(
  REGEXREPLACE(
    TEXTJOIN("" "",
      TRUE,
      B431,
      C431,
      embaralharLinks(E431,F431,G431),
      H431,
      """",
      J431,
      N431,
      ""#RIPNSFW""
    ),
  "",\s*"", "" "")
)"),"{New} Dani Daniels https://streamtape.com/v/K7y8B7Gxm1u0dld/42052345 https://doodstream.com/d/1gy1i67uqhnf/42052345 https://lulustream.com/d/5wy5emvbfkal (2026) #MILF #BigTits #Bigass #Solo #RIPNSFW")</f>
        <v>{New} Dani Daniels https://streamtape.com/v/K7y8B7Gxm1u0dld/42052345 https://doodstream.com/d/1gy1i67uqhnf/42052345 https://lulustream.com/d/5wy5emvbfkal (2026) #MILF #BigTits #Bigass #Solo #RIPNSFW</v>
      </c>
      <c r="N431" s="14" t="s">
        <v>2101</v>
      </c>
      <c r="O431" s="15" t="s">
        <v>2256</v>
      </c>
      <c r="P431" s="14"/>
      <c r="Q431" s="6"/>
      <c r="R431" s="11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75">
      <c r="A432" s="6" t="s">
        <v>2257</v>
      </c>
      <c r="B432" s="6" t="s">
        <v>14</v>
      </c>
      <c r="C432" s="7" t="str">
        <f t="shared" si="4"/>
        <v xml:space="preserve">Dani Daniels </v>
      </c>
      <c r="D432" s="6" t="s">
        <v>2258</v>
      </c>
      <c r="E432" s="8" t="s">
        <v>2259</v>
      </c>
      <c r="F432" s="9" t="str">
        <f ca="1">IFERROR(__xludf.DUMMYFUNCTION("""https://streamtape.com/v/""&amp;
REGEXEXTRACT(O432,""/thumb/([^/]+)/"")&amp;
""/""&amp;K432"),"https://streamtape.com/v/BXpRomyvpQUyd86/42529421")</f>
        <v>https://streamtape.com/v/BXpRomyvpQUyd86/42529421</v>
      </c>
      <c r="G432" s="10" t="e">
        <f t="shared" ca="1" si="5"/>
        <v>#NAME?</v>
      </c>
      <c r="H432" s="11" t="str">
        <f ca="1">IFERROR(__xludf.DUMMYFUNCTION("IFERROR(SUBSTITUTE(SUBSTITUTE(REGEXEXTRACT(A432, ""[^-]+- [^-]+- [^-]+ - (.+?)\.jpg""), "".jpg"", """"), ""-"", "", ""), """")"),"")</f>
        <v/>
      </c>
      <c r="I432" s="6"/>
      <c r="J432" s="7" t="str">
        <f t="shared" ca="1" si="6"/>
        <v>(2026)</v>
      </c>
      <c r="K432" s="7" t="str">
        <f t="shared" si="7"/>
        <v>42529421</v>
      </c>
      <c r="L432" s="12" t="s">
        <v>2110</v>
      </c>
      <c r="M432" s="13" t="str">
        <f ca="1">IFERROR(__xludf.DUMMYFUNCTION("TRIM(
  REGEXREPLACE(
    TEXTJOIN("" "",
      TRUE,
      B432,
      C432,
      embaralharLinks(E432,F432,G432),
      H432,
      """",
      J432,
      N432,
      ""#RIPNSFW""
    ),
  "",\s*"", "" "")
)"),"{New} Dani Daniels https://lulustream.com/d/3n0pwpbcel94 https://streamtape.com/v/BXpRomyvpQUyd86/42529421 https://doodstream.com/d/4qgallaq4bku/42529421 (2026) #MILF #BigTits #Bigass #Roleplay #Blowjob #Solo #RIPNSFW")</f>
        <v>{New} Dani Daniels https://lulustream.com/d/3n0pwpbcel94 https://streamtape.com/v/BXpRomyvpQUyd86/42529421 https://doodstream.com/d/4qgallaq4bku/42529421 (2026) #MILF #BigTits #Bigass #Roleplay #Blowjob #Solo #RIPNSFW</v>
      </c>
      <c r="N432" s="14" t="s">
        <v>2111</v>
      </c>
      <c r="O432" s="15" t="s">
        <v>2260</v>
      </c>
      <c r="P432" s="14"/>
      <c r="Q432" s="6"/>
      <c r="R432" s="11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75">
      <c r="A433" s="6" t="s">
        <v>2261</v>
      </c>
      <c r="B433" s="6" t="s">
        <v>14</v>
      </c>
      <c r="C433" s="7" t="str">
        <f t="shared" si="4"/>
        <v xml:space="preserve">Dani Daniels </v>
      </c>
      <c r="D433" s="6" t="s">
        <v>2262</v>
      </c>
      <c r="E433" s="8" t="s">
        <v>2263</v>
      </c>
      <c r="F433" s="9" t="str">
        <f ca="1">IFERROR(__xludf.DUMMYFUNCTION("""https://streamtape.com/v/""&amp;
REGEXEXTRACT(O433,""/thumb/([^/]+)/"")&amp;
""/""&amp;K433"),"https://streamtape.com/v/9OMgaemyqYC9pM/42870284")</f>
        <v>https://streamtape.com/v/9OMgaemyqYC9pM/42870284</v>
      </c>
      <c r="G433" s="10" t="e">
        <f t="shared" ca="1" si="5"/>
        <v>#NAME?</v>
      </c>
      <c r="H433" s="11" t="str">
        <f ca="1">IFERROR(__xludf.DUMMYFUNCTION("IFERROR(SUBSTITUTE(SUBSTITUTE(REGEXEXTRACT(A433, ""[^-]+- [^-]+- [^-]+ - (.+?)\.jpg""), "".jpg"", """"), ""-"", "", ""), """")"),"")</f>
        <v/>
      </c>
      <c r="I433" s="6"/>
      <c r="J433" s="7" t="str">
        <f t="shared" ca="1" si="6"/>
        <v>(2026)</v>
      </c>
      <c r="K433" s="7" t="str">
        <f t="shared" si="7"/>
        <v>42870284</v>
      </c>
      <c r="L433" s="12" t="s">
        <v>2077</v>
      </c>
      <c r="M433" s="13" t="str">
        <f ca="1">IFERROR(__xludf.DUMMYFUNCTION("TRIM(
  REGEXREPLACE(
    TEXTJOIN("" "",
      TRUE,
      B433,
      C433,
      embaralharLinks(E433,F433,G433),
      H433,
      """",
      J433,
      N433,
      ""#RIPNSFW""
    ),
  "",\s*"", "" "")
)"),"{New} Dani Daniels https://doodstream.com/d/p5kpigl80z4x/42870284 https://lulustream.com/d/fukg5kuqabll https://streamtape.com/v/9OMgaemyqYC9pM/42870284 (2026) #MILF #BigTits #Bigass #Roleplay #RIPNSFW")</f>
        <v>{New} Dani Daniels https://doodstream.com/d/p5kpigl80z4x/42870284 https://lulustream.com/d/fukg5kuqabll https://streamtape.com/v/9OMgaemyqYC9pM/42870284 (2026) #MILF #BigTits #Bigass #Roleplay #RIPNSFW</v>
      </c>
      <c r="N433" s="14" t="s">
        <v>2072</v>
      </c>
      <c r="O433" s="15" t="s">
        <v>2264</v>
      </c>
      <c r="P433" s="14"/>
      <c r="Q433" s="6"/>
      <c r="R433" s="11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75">
      <c r="A434" s="12" t="s">
        <v>2265</v>
      </c>
      <c r="B434" s="6" t="s">
        <v>14</v>
      </c>
      <c r="C434" s="7" t="str">
        <f t="shared" si="4"/>
        <v xml:space="preserve">Dani Daniels </v>
      </c>
      <c r="D434" s="24" t="s">
        <v>2266</v>
      </c>
      <c r="E434" s="25" t="s">
        <v>2267</v>
      </c>
      <c r="F434" s="9" t="str">
        <f ca="1">IFERROR(__xludf.DUMMYFUNCTION("""https://streamtape.com/v/""&amp;
REGEXEXTRACT(O434,""/thumb/([^/]+)/"")&amp;
""/""&amp;K434"),"https://streamtape.com/v/gPq7RPaQkZFqRbB/42919483")</f>
        <v>https://streamtape.com/v/gPq7RPaQkZFqRbB/42919483</v>
      </c>
      <c r="G434" s="10" t="e">
        <f t="shared" ca="1" si="5"/>
        <v>#NAME?</v>
      </c>
      <c r="H434" s="11" t="str">
        <f ca="1">IFERROR(__xludf.DUMMYFUNCTION("IFERROR(SUBSTITUTE(SUBSTITUTE(REGEXEXTRACT(A434, ""[^-]+- [^-]+- [^-]+ - (.+?)\.jpg""), "".jpg"", """"), ""-"", "", ""), """")"),"")</f>
        <v/>
      </c>
      <c r="I434" s="6"/>
      <c r="J434" s="7" t="str">
        <f t="shared" ca="1" si="6"/>
        <v>(2026)</v>
      </c>
      <c r="K434" s="7" t="str">
        <f t="shared" si="7"/>
        <v>42919483</v>
      </c>
      <c r="L434" s="12" t="s">
        <v>1462</v>
      </c>
      <c r="M434" s="13" t="str">
        <f ca="1">IFERROR(__xludf.DUMMYFUNCTION("TRIM(
  REGEXREPLACE(
    TEXTJOIN("" "",
      TRUE,
      B434,
      C434,
      embaralharLinks(E434,F434,G434),
      H434,
      """",
      J434,
      N434,
      ""#RIPNSFW""
    ),
  "",\s*"", "" "")
)"),"{New} Dani Daniels https://doodstream.com/d/r9qadgshkyiq/42919483 https://lulustream.com/d/zqbyp6nhkxqp https://streamtape.com/v/gPq7RPaQkZFqRbB/42919483 (2026) #milf #bigtits #bigass #blowjob #RIPNSFW")</f>
        <v>{New} Dani Daniels https://doodstream.com/d/r9qadgshkyiq/42919483 https://lulustream.com/d/zqbyp6nhkxqp https://streamtape.com/v/gPq7RPaQkZFqRbB/42919483 (2026) #milf #bigtits #bigass #blowjob #RIPNSFW</v>
      </c>
      <c r="N434" s="2" t="s">
        <v>1462</v>
      </c>
      <c r="O434" s="30" t="s">
        <v>2268</v>
      </c>
      <c r="P434" s="26"/>
      <c r="R434" s="23"/>
    </row>
    <row r="435" spans="1:27" ht="12.75">
      <c r="A435" s="6" t="s">
        <v>2269</v>
      </c>
      <c r="B435" s="6" t="s">
        <v>14</v>
      </c>
      <c r="C435" s="7" t="str">
        <f t="shared" si="4"/>
        <v xml:space="preserve">Dani Daniels </v>
      </c>
      <c r="D435" s="24" t="s">
        <v>2270</v>
      </c>
      <c r="E435" s="25" t="s">
        <v>2271</v>
      </c>
      <c r="F435" s="9" t="str">
        <f ca="1">IFERROR(__xludf.DUMMYFUNCTION("""https://streamtape.com/v/""&amp;
REGEXEXTRACT(O435,""/thumb/([^/]+)/"")&amp;
""/""&amp;K435"),"https://streamtape.com/v/kPrkarROomUOgA1/42956171")</f>
        <v>https://streamtape.com/v/kPrkarROomUOgA1/42956171</v>
      </c>
      <c r="G435" s="10" t="e">
        <f t="shared" ca="1" si="5"/>
        <v>#NAME?</v>
      </c>
      <c r="H435" s="11" t="str">
        <f ca="1">IFERROR(__xludf.DUMMYFUNCTION("IFERROR(SUBSTITUTE(SUBSTITUTE(REGEXEXTRACT(A435, ""[^-]+- [^-]+- [^-]+ - (.+?)\.jpg""), "".jpg"", """"), ""-"", "", ""), """")"),"")</f>
        <v/>
      </c>
      <c r="I435" s="6"/>
      <c r="J435" s="7" t="str">
        <f t="shared" ca="1" si="6"/>
        <v>(2026)</v>
      </c>
      <c r="K435" s="7" t="str">
        <f t="shared" si="7"/>
        <v>42956171</v>
      </c>
      <c r="L435" s="12" t="s">
        <v>2272</v>
      </c>
      <c r="M435" s="13" t="str">
        <f ca="1">IFERROR(__xludf.DUMMYFUNCTION("TRIM(
  REGEXREPLACE(
    TEXTJOIN("" "",
      TRUE,
      B435,
      C435,
      embaralharLinks(E435,F435,G435),
      H435,
      """",
      J435,
      N435,
      ""#RIPNSFW""
    ),
  "",\s*"", "" "")
)"),"{New} Dani Daniels https://streamtape.com/v/kPrkarROomUOgA1/42956171 https://lulustream.com/d/bpfgllsm38r1 https://doodstream.com/d/vhhvgniborwr/42956171 (2026) #milf #roleplay #blowjob #bigtits #RIPNSFW")</f>
        <v>{New} Dani Daniels https://streamtape.com/v/kPrkarROomUOgA1/42956171 https://lulustream.com/d/bpfgllsm38r1 https://doodstream.com/d/vhhvgniborwr/42956171 (2026) #milf #roleplay #blowjob #bigtits #RIPNSFW</v>
      </c>
      <c r="N435" s="31" t="s">
        <v>2272</v>
      </c>
      <c r="O435" s="32" t="s">
        <v>2273</v>
      </c>
      <c r="P435" s="26"/>
      <c r="Q435" s="6"/>
      <c r="R435" s="11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75">
      <c r="A436" s="12" t="s">
        <v>2274</v>
      </c>
      <c r="B436" s="6" t="s">
        <v>14</v>
      </c>
      <c r="C436" s="7" t="str">
        <f t="shared" si="4"/>
        <v xml:space="preserve">Dani Daniels </v>
      </c>
      <c r="D436" s="27" t="s">
        <v>2275</v>
      </c>
      <c r="E436" s="28" t="s">
        <v>2276</v>
      </c>
      <c r="F436" s="9" t="str">
        <f ca="1">IFERROR(__xludf.DUMMYFUNCTION("""https://streamtape.com/v/""&amp;
REGEXEXTRACT(O436,""/thumb/([^/]+)/"")&amp;
""/""&amp;K436"),"https://streamtape.com/v/2LqKzapqvoCAqj/43341333")</f>
        <v>https://streamtape.com/v/2LqKzapqvoCAqj/43341333</v>
      </c>
      <c r="G436" s="10" t="e">
        <f t="shared" ca="1" si="5"/>
        <v>#NAME?</v>
      </c>
      <c r="H436" s="11" t="str">
        <f ca="1">IFERROR(__xludf.DUMMYFUNCTION("IFERROR(SUBSTITUTE(SUBSTITUTE(REGEXEXTRACT(A436, ""[^-]+- [^-]+- [^-]+ - (.+?)\.jpg""), "".jpg"", """"), ""-"", "", ""), """")"),"")</f>
        <v/>
      </c>
      <c r="I436" s="6"/>
      <c r="J436" s="7" t="str">
        <f t="shared" ca="1" si="6"/>
        <v>(2026)</v>
      </c>
      <c r="K436" s="7" t="str">
        <f t="shared" si="7"/>
        <v>43341333</v>
      </c>
      <c r="L436" s="12" t="s">
        <v>2100</v>
      </c>
      <c r="M436" s="13" t="str">
        <f ca="1">IFERROR(__xludf.DUMMYFUNCTION("TRIM(
  REGEXREPLACE(
    TEXTJOIN("" "",
      TRUE,
      B436,
      C436,
      embaralharLinks(E436,F436,G436),
      H436,
      """",
      J436,
      N436,
      ""#RIPNSFW""
    ),
  "",\s*"", "" "")
)"),"{New} Dani Daniels https://lulustream.com/d/sd4ei0ivpt8m https://streamtape.com/v/2LqKzapqvoCAqj/43341333 https://doodstream.com/d/fib5n1iiyunz/43341333 (2026) #MILF #BigTits #Bigass #Solo #RIPNSFW")</f>
        <v>{New} Dani Daniels https://lulustream.com/d/sd4ei0ivpt8m https://streamtape.com/v/2LqKzapqvoCAqj/43341333 https://doodstream.com/d/fib5n1iiyunz/43341333 (2026) #MILF #BigTits #Bigass #Solo #RIPNSFW</v>
      </c>
      <c r="N436" s="2" t="s">
        <v>2101</v>
      </c>
      <c r="O436" s="30" t="s">
        <v>2277</v>
      </c>
      <c r="P436" s="26"/>
      <c r="R436" s="23"/>
    </row>
    <row r="437" spans="1:27" ht="12.75">
      <c r="A437" s="12" t="s">
        <v>2278</v>
      </c>
      <c r="B437" s="6" t="s">
        <v>14</v>
      </c>
      <c r="C437" s="7" t="str">
        <f t="shared" si="4"/>
        <v xml:space="preserve">Dani Daniels </v>
      </c>
      <c r="D437" s="37" t="s">
        <v>2279</v>
      </c>
      <c r="E437" s="25" t="s">
        <v>2280</v>
      </c>
      <c r="F437" s="9" t="str">
        <f ca="1">IFERROR(__xludf.DUMMYFUNCTION("""https://streamtape.com/v/""&amp;
REGEXEXTRACT(O437,""/thumb/([^/]+)/"")&amp;
""/""&amp;K437"),"https://streamtape.com/v/PWV43mgA7aF0PXR/43357088")</f>
        <v>https://streamtape.com/v/PWV43mgA7aF0PXR/43357088</v>
      </c>
      <c r="G437" s="10" t="e">
        <f t="shared" ca="1" si="5"/>
        <v>#NAME?</v>
      </c>
      <c r="H437" s="11" t="str">
        <f ca="1">IFERROR(__xludf.DUMMYFUNCTION("IFERROR(SUBSTITUTE(SUBSTITUTE(REGEXEXTRACT(A437, ""[^-]+- [^-]+- [^-]+ - (.+?)\.jpg""), "".jpg"", """"), ""-"", "", ""), """")"),"")</f>
        <v/>
      </c>
      <c r="I437" s="6"/>
      <c r="J437" s="7" t="str">
        <f t="shared" ca="1" si="6"/>
        <v>(2026)</v>
      </c>
      <c r="K437" s="7" t="str">
        <f t="shared" si="7"/>
        <v>43357088</v>
      </c>
      <c r="L437" s="12" t="s">
        <v>2281</v>
      </c>
      <c r="M437" s="13" t="str">
        <f ca="1">IFERROR(__xludf.DUMMYFUNCTION("TRIM(
  REGEXREPLACE(
    TEXTJOIN("" "",
      TRUE,
      B437,
      C437,
      embaralharLinks(E437,F437,G437),
      H437,
      """",
      J437,
      N437,
      ""#RIPNSFW""
    ),
  "",\s*"", "" "")
)"),"{New} Dani Daniels https://doodstream.com/d/qiwhfj65idwd/43357088 https://lulustream.com/d/0mkudbtn5hl5 https://streamtape.com/v/PWV43mgA7aF0PXR/43357088 (2026) #milf #bigtits #solo #bigass #RIPNSFW")</f>
        <v>{New} Dani Daniels https://doodstream.com/d/qiwhfj65idwd/43357088 https://lulustream.com/d/0mkudbtn5hl5 https://streamtape.com/v/PWV43mgA7aF0PXR/43357088 (2026) #milf #bigtits #solo #bigass #RIPNSFW</v>
      </c>
      <c r="N437" s="2" t="s">
        <v>2281</v>
      </c>
      <c r="O437" s="30" t="s">
        <v>2282</v>
      </c>
      <c r="P437" s="26"/>
      <c r="R437" s="23"/>
      <c r="T437" s="6"/>
      <c r="U437" s="7"/>
    </row>
    <row r="438" spans="1:27" ht="12.75">
      <c r="A438" s="6" t="s">
        <v>2283</v>
      </c>
      <c r="B438" s="6" t="s">
        <v>14</v>
      </c>
      <c r="C438" s="7" t="str">
        <f t="shared" si="4"/>
        <v xml:space="preserve">Dani Daniels </v>
      </c>
      <c r="D438" s="29" t="s">
        <v>2284</v>
      </c>
      <c r="E438" s="8" t="s">
        <v>2285</v>
      </c>
      <c r="F438" s="9" t="str">
        <f ca="1">IFERROR(__xludf.DUMMYFUNCTION("""https://streamtape.com/v/""&amp;
REGEXEXTRACT(O438,""/thumb/([^/]+)/"")&amp;
""/""&amp;K438"),"https://streamtape.com/v/rg0Rww7gwPsbmGP/44166498")</f>
        <v>https://streamtape.com/v/rg0Rww7gwPsbmGP/44166498</v>
      </c>
      <c r="G438" s="10" t="e">
        <f t="shared" ca="1" si="5"/>
        <v>#NAME?</v>
      </c>
      <c r="H438" s="11" t="str">
        <f ca="1">IFERROR(__xludf.DUMMYFUNCTION("IFERROR(SUBSTITUTE(SUBSTITUTE(REGEXEXTRACT(A438, ""[^-]+- [^-]+- [^-]+ - (.+?)\.jpg""), "".jpg"", """"), ""-"", "", ""), """")"),"")</f>
        <v/>
      </c>
      <c r="I438" s="6"/>
      <c r="J438" s="7" t="str">
        <f t="shared" ca="1" si="6"/>
        <v>(2026)</v>
      </c>
      <c r="K438" s="7" t="str">
        <f t="shared" si="7"/>
        <v>44166498</v>
      </c>
      <c r="L438" s="12" t="s">
        <v>2286</v>
      </c>
      <c r="M438" s="13" t="str">
        <f ca="1">IFERROR(__xludf.DUMMYFUNCTION("TRIM(
  REGEXREPLACE(
    TEXTJOIN("" "",
      TRUE,
      B438,
      C438,
      embaralharLinks(E438,F438,G438),
      H438,
      """",
      J438,
      N438,
      ""#RIPNSFW""
    ),
  "",\s*"", "" "")
)"),"{New} Dani Daniels https://streamtape.com/v/rg0Rww7gwPsbmGP/44166498 https://doodstream.com/d/d03ykucb3wgn/44166498 https://lulustream.com/d/1ls7im9klq01 (2026) #MILF #BigTits #Bigass #Roleplay #RIPNSFW")</f>
        <v>{New} Dani Daniels https://streamtape.com/v/rg0Rww7gwPsbmGP/44166498 https://doodstream.com/d/d03ykucb3wgn/44166498 https://lulustream.com/d/1ls7im9klq01 (2026) #MILF #BigTits #Bigass #Roleplay #RIPNSFW</v>
      </c>
      <c r="N438" s="14" t="s">
        <v>2072</v>
      </c>
      <c r="O438" s="32" t="s">
        <v>2287</v>
      </c>
      <c r="P438" s="14"/>
      <c r="Q438" s="6"/>
      <c r="R438" s="11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75">
      <c r="A439" s="12" t="s">
        <v>2288</v>
      </c>
      <c r="B439" s="6" t="s">
        <v>14</v>
      </c>
      <c r="C439" s="7" t="str">
        <f t="shared" si="4"/>
        <v xml:space="preserve">Dani Daniels </v>
      </c>
      <c r="D439" s="24" t="s">
        <v>2289</v>
      </c>
      <c r="E439" s="25" t="s">
        <v>2290</v>
      </c>
      <c r="F439" s="9" t="str">
        <f ca="1">IFERROR(__xludf.DUMMYFUNCTION("""https://streamtape.com/v/""&amp;
REGEXEXTRACT(O439,""/thumb/([^/]+)/"")&amp;
""/""&amp;K439"),"https://streamtape.com/v/1boLRRVbwGsekm3/44807966")</f>
        <v>https://streamtape.com/v/1boLRRVbwGsekm3/44807966</v>
      </c>
      <c r="G439" s="10" t="e">
        <f t="shared" ca="1" si="5"/>
        <v>#NAME?</v>
      </c>
      <c r="H439" s="11" t="str">
        <f ca="1">IFERROR(__xludf.DUMMYFUNCTION("IFERROR(SUBSTITUTE(SUBSTITUTE(REGEXEXTRACT(A439, ""[^-]+- [^-]+- [^-]+ - (.+?)\.jpg""), "".jpg"", """"), ""-"", "", ""), """")"),"")</f>
        <v/>
      </c>
      <c r="I439" s="6"/>
      <c r="J439" s="7" t="str">
        <f t="shared" ca="1" si="6"/>
        <v>(2026)</v>
      </c>
      <c r="K439" s="7" t="str">
        <f t="shared" si="7"/>
        <v>44807966</v>
      </c>
      <c r="L439" s="12" t="s">
        <v>2291</v>
      </c>
      <c r="M439" s="13" t="str">
        <f ca="1">IFERROR(__xludf.DUMMYFUNCTION("TRIM(
  REGEXREPLACE(
    TEXTJOIN("" "",
      TRUE,
      B439,
      C439,
      embaralharLinks(E439,F439,G439),
      H439,
      """",
      J439,
      N439,
      ""#RIPNSFW""
    ),
  "",\s*"", "" "")
)"),"{New} Dani Daniels https://doodstream.com/d/k6goa230hp6x/44807966 https://lulustream.com/d/u8yzw73zt9os https://streamtape.com/v/1boLRRVbwGsekm3/44807966 (2026) #milf #bigtits #blowjob #bigass #RIPNSFW")</f>
        <v>{New} Dani Daniels https://doodstream.com/d/k6goa230hp6x/44807966 https://lulustream.com/d/u8yzw73zt9os https://streamtape.com/v/1boLRRVbwGsekm3/44807966 (2026) #milf #bigtits #blowjob #bigass #RIPNSFW</v>
      </c>
      <c r="N439" s="2" t="s">
        <v>2291</v>
      </c>
      <c r="O439" s="30" t="s">
        <v>2292</v>
      </c>
      <c r="P439" s="26"/>
      <c r="R439" s="23"/>
    </row>
    <row r="440" spans="1:27" ht="12.75">
      <c r="A440" s="12" t="s">
        <v>2293</v>
      </c>
      <c r="B440" s="6" t="s">
        <v>14</v>
      </c>
      <c r="C440" s="7" t="str">
        <f t="shared" si="4"/>
        <v xml:space="preserve">Dani Daniels </v>
      </c>
      <c r="D440" s="24" t="s">
        <v>2294</v>
      </c>
      <c r="E440" s="25" t="s">
        <v>2295</v>
      </c>
      <c r="F440" s="9" t="str">
        <f ca="1">IFERROR(__xludf.DUMMYFUNCTION("""https://streamtape.com/v/""&amp;
REGEXEXTRACT(O440,""/thumb/([^/]+)/"")&amp;
""/""&amp;K440"),"https://streamtape.com/v/AkqLDXbkbMuDRy/46535961")</f>
        <v>https://streamtape.com/v/AkqLDXbkbMuDRy/46535961</v>
      </c>
      <c r="G440" s="10" t="e">
        <f t="shared" ca="1" si="5"/>
        <v>#NAME?</v>
      </c>
      <c r="H440" s="11" t="str">
        <f ca="1">IFERROR(__xludf.DUMMYFUNCTION("IFERROR(SUBSTITUTE(SUBSTITUTE(REGEXEXTRACT(A440, ""[^-]+- [^-]+- [^-]+ - (.+?)\.jpg""), "".jpg"", """"), ""-"", "", ""), """")"),"")</f>
        <v/>
      </c>
      <c r="I440" s="6"/>
      <c r="J440" s="7" t="str">
        <f t="shared" ca="1" si="6"/>
        <v>(2026)</v>
      </c>
      <c r="K440" s="7" t="str">
        <f t="shared" si="7"/>
        <v>46535961</v>
      </c>
      <c r="L440" s="12" t="s">
        <v>2061</v>
      </c>
      <c r="M440" s="13" t="str">
        <f ca="1">IFERROR(__xludf.DUMMYFUNCTION("TRIM(
  REGEXREPLACE(
    TEXTJOIN("" "",
      TRUE,
      B440,
      C440,
      embaralharLinks(E440,F440,G440),
      H440,
      """",
      J440,
      N440,
      ""#RIPNSFW""
    ),
  "",\s*"", "" "")
)"),"{New} Dani Daniels https://streamtape.com/v/AkqLDXbkbMuDRy/46535961 https://lulustream.com/d/vu2pexu7nvhs https://doodstream.com/d/nlwcuw5kzb9g/46535961 (2026) #milf #bigtits #bigass #solo #RIPNSFW")</f>
        <v>{New} Dani Daniels https://streamtape.com/v/AkqLDXbkbMuDRy/46535961 https://lulustream.com/d/vu2pexu7nvhs https://doodstream.com/d/nlwcuw5kzb9g/46535961 (2026) #milf #bigtits #bigass #solo #RIPNSFW</v>
      </c>
      <c r="N440" s="2" t="s">
        <v>2061</v>
      </c>
      <c r="O440" s="30" t="s">
        <v>2296</v>
      </c>
      <c r="P440" s="26"/>
      <c r="R440" s="23"/>
    </row>
    <row r="441" spans="1:27" ht="12.75">
      <c r="A441" s="12" t="s">
        <v>2297</v>
      </c>
      <c r="B441" s="6" t="s">
        <v>14</v>
      </c>
      <c r="C441" s="7" t="str">
        <f t="shared" si="4"/>
        <v xml:space="preserve">Dani Daniels </v>
      </c>
      <c r="D441" s="24" t="s">
        <v>2298</v>
      </c>
      <c r="E441" s="25" t="s">
        <v>2299</v>
      </c>
      <c r="F441" s="9" t="str">
        <f ca="1">IFERROR(__xludf.DUMMYFUNCTION("""https://streamtape.com/v/""&amp;
REGEXEXTRACT(O441,""/thumb/([^/]+)/"")&amp;
""/""&amp;K441"),"https://streamtape.com/v/AA28D3KLokiXlO2/47568354")</f>
        <v>https://streamtape.com/v/AA28D3KLokiXlO2/47568354</v>
      </c>
      <c r="G441" s="10" t="e">
        <f t="shared" ca="1" si="5"/>
        <v>#NAME?</v>
      </c>
      <c r="H441" s="11" t="str">
        <f ca="1">IFERROR(__xludf.DUMMYFUNCTION("IFERROR(SUBSTITUTE(SUBSTITUTE(REGEXEXTRACT(A441, ""[^-]+- [^-]+- [^-]+ - (.+?)\.jpg""), "".jpg"", """"), ""-"", "", ""), """")"),"")</f>
        <v/>
      </c>
      <c r="I441" s="6"/>
      <c r="J441" s="7" t="str">
        <f t="shared" ca="1" si="6"/>
        <v>(2026)</v>
      </c>
      <c r="K441" s="7" t="str">
        <f t="shared" si="7"/>
        <v>47568354</v>
      </c>
      <c r="L441" s="12" t="s">
        <v>2061</v>
      </c>
      <c r="M441" s="13" t="str">
        <f ca="1">IFERROR(__xludf.DUMMYFUNCTION("TRIM(
  REGEXREPLACE(
    TEXTJOIN("" "",
      TRUE,
      B441,
      C441,
      embaralharLinks(E441,F441,G441),
      H441,
      """",
      J441,
      N441,
      ""#RIPNSFW""
    ),
  "",\s*"", "" "")
)"),"{New} Dani Daniels https://lulustream.com/d/x14rpcdgb4c5 https://doodstream.com/d/2q0oxfqd5yr7/47568354 https://streamtape.com/v/AA28D3KLokiXlO2/47568354 (2026) #milf #bigtits #bigass #solo #RIPNSFW")</f>
        <v>{New} Dani Daniels https://lulustream.com/d/x14rpcdgb4c5 https://doodstream.com/d/2q0oxfqd5yr7/47568354 https://streamtape.com/v/AA28D3KLokiXlO2/47568354 (2026) #milf #bigtits #bigass #solo #RIPNSFW</v>
      </c>
      <c r="N441" s="2" t="s">
        <v>2061</v>
      </c>
      <c r="O441" s="30" t="s">
        <v>2300</v>
      </c>
      <c r="P441" s="26"/>
      <c r="R441" s="23"/>
    </row>
    <row r="442" spans="1:27" ht="12.75">
      <c r="A442" s="12" t="s">
        <v>2301</v>
      </c>
      <c r="B442" s="6" t="s">
        <v>14</v>
      </c>
      <c r="C442" s="7" t="str">
        <f t="shared" si="4"/>
        <v xml:space="preserve">Dani Daniels </v>
      </c>
      <c r="D442" s="24" t="s">
        <v>2302</v>
      </c>
      <c r="E442" s="25" t="s">
        <v>2303</v>
      </c>
      <c r="F442" s="9" t="str">
        <f ca="1">IFERROR(__xludf.DUMMYFUNCTION("""https://streamtape.com/v/""&amp;
REGEXEXTRACT(O442,""/thumb/([^/]+)/"")&amp;
""/""&amp;K442"),"https://streamtape.com/v/wrwAJ39kVjspxG/47942974")</f>
        <v>https://streamtape.com/v/wrwAJ39kVjspxG/47942974</v>
      </c>
      <c r="G442" s="10" t="e">
        <f t="shared" ca="1" si="5"/>
        <v>#NAME?</v>
      </c>
      <c r="H442" s="11" t="str">
        <f ca="1">IFERROR(__xludf.DUMMYFUNCTION("IFERROR(SUBSTITUTE(SUBSTITUTE(REGEXEXTRACT(A442, ""[^-]+- [^-]+- [^-]+ - (.+?)\.jpg""), "".jpg"", """"), ""-"", "", ""), """")"),"")</f>
        <v/>
      </c>
      <c r="I442" s="6"/>
      <c r="J442" s="7" t="str">
        <f t="shared" ca="1" si="6"/>
        <v>(2026)</v>
      </c>
      <c r="K442" s="7" t="str">
        <f t="shared" si="7"/>
        <v>47942974</v>
      </c>
      <c r="L442" s="12" t="s">
        <v>2304</v>
      </c>
      <c r="M442" s="13" t="str">
        <f ca="1">IFERROR(__xludf.DUMMYFUNCTION("TRIM(
  REGEXREPLACE(
    TEXTJOIN("" "",
      TRUE,
      B442,
      C442,
      embaralharLinks(E442,F442,G442),
      H442,
      """",
      J442,
      N442,
      ""#RIPNSFW""
    ),
  "",\s*"", "" "")
)"),"{New} Dani Daniels https://doodstream.com/d/veik6uw0apkm/47942974 https://streamtape.com/v/wrwAJ39kVjspxG/47942974 https://lulustream.com/d/dtluea2ik27d (2026) #milf #bigass #blowjob #brunette #RIPNSFW")</f>
        <v>{New} Dani Daniels https://doodstream.com/d/veik6uw0apkm/47942974 https://streamtape.com/v/wrwAJ39kVjspxG/47942974 https://lulustream.com/d/dtluea2ik27d (2026) #milf #bigass #blowjob #brunette #RIPNSFW</v>
      </c>
      <c r="N442" s="2" t="s">
        <v>2304</v>
      </c>
      <c r="O442" s="30" t="s">
        <v>2305</v>
      </c>
      <c r="P442" s="26"/>
      <c r="R442" s="23"/>
    </row>
    <row r="443" spans="1:27" ht="12.75">
      <c r="A443" s="12" t="s">
        <v>2306</v>
      </c>
      <c r="B443" s="6" t="s">
        <v>14</v>
      </c>
      <c r="C443" s="7" t="str">
        <f t="shared" si="4"/>
        <v xml:space="preserve">Dani Daniels </v>
      </c>
      <c r="D443" s="24" t="s">
        <v>2307</v>
      </c>
      <c r="E443" s="25" t="s">
        <v>2308</v>
      </c>
      <c r="F443" s="9" t="str">
        <f ca="1">IFERROR(__xludf.DUMMYFUNCTION("""https://streamtape.com/v/""&amp;
REGEXEXTRACT(O443,""/thumb/([^/]+)/"")&amp;
""/""&amp;K443"),"https://streamtape.com/v/xb0aZA0v2rskWD8/48386737")</f>
        <v>https://streamtape.com/v/xb0aZA0v2rskWD8/48386737</v>
      </c>
      <c r="G443" s="10" t="e">
        <f t="shared" ca="1" si="5"/>
        <v>#NAME?</v>
      </c>
      <c r="H443" s="11" t="str">
        <f ca="1">IFERROR(__xludf.DUMMYFUNCTION("IFERROR(SUBSTITUTE(SUBSTITUTE(REGEXEXTRACT(A443, ""[^-]+- [^-]+- [^-]+ - (.+?)\.jpg""), "".jpg"", """"), ""-"", "", ""), """")"),"")</f>
        <v/>
      </c>
      <c r="I443" s="6"/>
      <c r="J443" s="7" t="str">
        <f t="shared" ca="1" si="6"/>
        <v>(2026)</v>
      </c>
      <c r="K443" s="7" t="str">
        <f t="shared" si="7"/>
        <v>48386737</v>
      </c>
      <c r="L443" s="12" t="s">
        <v>2309</v>
      </c>
      <c r="M443" s="13" t="str">
        <f ca="1">IFERROR(__xludf.DUMMYFUNCTION("TRIM(
  REGEXREPLACE(
    TEXTJOIN("" "",
      TRUE,
      B443,
      C443,
      embaralharLinks(E443,F443,G443),
      H443,
      """",
      J443,
      N443,
      ""#RIPNSFW""
    ),
  "",\s*"", "" "")
)"),"{New} Dani Daniels https://doodstream.com/d/c36hbo1g0gvx/48386737 https://lulustream.com/d/hxyp7j0170in https://streamtape.com/v/xb0aZA0v2rskWD8/48386737 (2026) #milf #bigtits #bigass #joi #RIPNSFW")</f>
        <v>{New} Dani Daniels https://doodstream.com/d/c36hbo1g0gvx/48386737 https://lulustream.com/d/hxyp7j0170in https://streamtape.com/v/xb0aZA0v2rskWD8/48386737 (2026) #milf #bigtits #bigass #joi #RIPNSFW</v>
      </c>
      <c r="N443" s="2" t="s">
        <v>2309</v>
      </c>
      <c r="O443" s="30" t="s">
        <v>2310</v>
      </c>
      <c r="P443" s="26"/>
      <c r="R443" s="23"/>
    </row>
    <row r="444" spans="1:27" ht="12.75">
      <c r="A444" s="6" t="s">
        <v>2311</v>
      </c>
      <c r="B444" s="6" t="s">
        <v>14</v>
      </c>
      <c r="C444" s="7" t="str">
        <f t="shared" si="4"/>
        <v xml:space="preserve">Dani Daniels </v>
      </c>
      <c r="D444" s="6" t="s">
        <v>2312</v>
      </c>
      <c r="E444" s="8" t="s">
        <v>2313</v>
      </c>
      <c r="F444" s="9" t="str">
        <f ca="1">IFERROR(__xludf.DUMMYFUNCTION("""https://streamtape.com/v/""&amp;
REGEXEXTRACT(O444,""/thumb/([^/]+)/"")&amp;
""/""&amp;K444"),"https://streamtape.com/v/e4d88yR0kLtYd4Z/48767448")</f>
        <v>https://streamtape.com/v/e4d88yR0kLtYd4Z/48767448</v>
      </c>
      <c r="G444" s="10" t="e">
        <f t="shared" ca="1" si="5"/>
        <v>#NAME?</v>
      </c>
      <c r="H444" s="11" t="str">
        <f ca="1">IFERROR(__xludf.DUMMYFUNCTION("IFERROR(SUBSTITUTE(SUBSTITUTE(REGEXEXTRACT(A444, ""[^-]+- [^-]+- [^-]+ - (.+?)\.jpg""), "".jpg"", """"), ""-"", "", ""), """")"),"")</f>
        <v/>
      </c>
      <c r="I444" s="6"/>
      <c r="J444" s="7" t="str">
        <f t="shared" ca="1" si="6"/>
        <v>(2026)</v>
      </c>
      <c r="K444" s="7" t="str">
        <f t="shared" si="7"/>
        <v>48767448</v>
      </c>
      <c r="L444" s="12" t="s">
        <v>2314</v>
      </c>
      <c r="M444" s="13" t="str">
        <f ca="1">IFERROR(__xludf.DUMMYFUNCTION("TRIM(
  REGEXREPLACE(
    TEXTJOIN("" "",
      TRUE,
      B444,
      C444,
      embaralharLinks(E444,F444,G444),
      H444,
      """",
      J444,
      N444,
      ""#RIPNSFW""
    ),
  "",\s*"", "" "")
)"),"{New} Dani Daniels https://doodstream.com/d/97w4yrcp4i41/48767448 https://streamtape.com/v/e4d88yR0kLtYd4Z/48767448 https://lulustream.com/d/qkqix9lreik7 (2026) #MILF #BigTits #Roleplay #Solo #RIPNSFW")</f>
        <v>{New} Dani Daniels https://doodstream.com/d/97w4yrcp4i41/48767448 https://streamtape.com/v/e4d88yR0kLtYd4Z/48767448 https://lulustream.com/d/qkqix9lreik7 (2026) #MILF #BigTits #Roleplay #Solo #RIPNSFW</v>
      </c>
      <c r="N444" s="14" t="s">
        <v>285</v>
      </c>
      <c r="O444" s="15" t="s">
        <v>2315</v>
      </c>
      <c r="P444" s="14"/>
      <c r="Q444" s="6"/>
      <c r="R444" s="11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75">
      <c r="A445" s="12" t="s">
        <v>2316</v>
      </c>
      <c r="B445" s="6" t="s">
        <v>14</v>
      </c>
      <c r="C445" s="7" t="str">
        <f t="shared" si="4"/>
        <v xml:space="preserve">Dani Daniels </v>
      </c>
      <c r="D445" s="24" t="s">
        <v>2317</v>
      </c>
      <c r="E445" s="25" t="s">
        <v>2318</v>
      </c>
      <c r="F445" s="9" t="str">
        <f ca="1">IFERROR(__xludf.DUMMYFUNCTION("""https://streamtape.com/v/""&amp;
REGEXEXTRACT(O445,""/thumb/([^/]+)/"")&amp;
""/""&amp;K445"),"https://streamtape.com/v/M6aXGYXkywHGe4/49151166")</f>
        <v>https://streamtape.com/v/M6aXGYXkywHGe4/49151166</v>
      </c>
      <c r="G445" s="10" t="e">
        <f t="shared" ca="1" si="5"/>
        <v>#NAME?</v>
      </c>
      <c r="H445" s="11" t="str">
        <f ca="1">IFERROR(__xludf.DUMMYFUNCTION("IFERROR(SUBSTITUTE(SUBSTITUTE(REGEXEXTRACT(A445, ""[^-]+- [^-]+- [^-]+ - (.+?)\.jpg""), "".jpg"", """"), ""-"", "", ""), """")"),"")</f>
        <v/>
      </c>
      <c r="I445" s="6"/>
      <c r="J445" s="7" t="str">
        <f t="shared" ca="1" si="6"/>
        <v>(2026)</v>
      </c>
      <c r="K445" s="7" t="str">
        <f t="shared" si="7"/>
        <v>49151166</v>
      </c>
      <c r="L445" s="12" t="s">
        <v>2148</v>
      </c>
      <c r="M445" s="13" t="str">
        <f ca="1">IFERROR(__xludf.DUMMYFUNCTION("TRIM(
  REGEXREPLACE(
    TEXTJOIN("" "",
      TRUE,
      B445,
      C445,
      embaralharLinks(E445,F445,G445),
      H445,
      """",
      J445,
      N445,
      ""#RIPNSFW""
    ),
  "",\s*"", "" "")
)"),"{New} Dani Daniels https://streamtape.com/v/M6aXGYXkywHGe4/49151166 https://doodstream.com/d/p2sthnpnmv3x/49151166 https://lulustream.com/d/t5437e6mdz6y (2026) #milf #bigass #bigtits #solo #RIPNSFW")</f>
        <v>{New} Dani Daniels https://streamtape.com/v/M6aXGYXkywHGe4/49151166 https://doodstream.com/d/p2sthnpnmv3x/49151166 https://lulustream.com/d/t5437e6mdz6y (2026) #milf #bigass #bigtits #solo #RIPNSFW</v>
      </c>
      <c r="N445" s="2" t="s">
        <v>2148</v>
      </c>
      <c r="O445" s="30" t="s">
        <v>2319</v>
      </c>
      <c r="P445" s="26"/>
      <c r="R445" s="23"/>
    </row>
    <row r="446" spans="1:27" ht="12.75">
      <c r="A446" s="6" t="s">
        <v>2320</v>
      </c>
      <c r="B446" s="6" t="s">
        <v>14</v>
      </c>
      <c r="C446" s="7" t="str">
        <f t="shared" si="4"/>
        <v xml:space="preserve">Dani Daniels </v>
      </c>
      <c r="D446" s="6" t="s">
        <v>2321</v>
      </c>
      <c r="E446" s="8" t="s">
        <v>2322</v>
      </c>
      <c r="F446" s="9" t="str">
        <f ca="1">IFERROR(__xludf.DUMMYFUNCTION("""https://streamtape.com/v/""&amp;
REGEXEXTRACT(O446,""/thumb/([^/]+)/"")&amp;
""/""&amp;K446"),"https://streamtape.com/v/z6W2eZdQjXcY3jB/49253459")</f>
        <v>https://streamtape.com/v/z6W2eZdQjXcY3jB/49253459</v>
      </c>
      <c r="G446" s="10" t="e">
        <f t="shared" ca="1" si="5"/>
        <v>#NAME?</v>
      </c>
      <c r="H446" s="11" t="str">
        <f ca="1">IFERROR(__xludf.DUMMYFUNCTION("IFERROR(SUBSTITUTE(SUBSTITUTE(REGEXEXTRACT(A446, ""[^-]+- [^-]+- [^-]+ - (.+?)\.jpg""), "".jpg"", """"), ""-"", "", ""), """")"),"")</f>
        <v/>
      </c>
      <c r="I446" s="6"/>
      <c r="J446" s="7" t="str">
        <f t="shared" ca="1" si="6"/>
        <v>(2026)</v>
      </c>
      <c r="K446" s="7" t="str">
        <f t="shared" si="7"/>
        <v>49253459</v>
      </c>
      <c r="L446" s="12" t="s">
        <v>2077</v>
      </c>
      <c r="M446" s="13" t="str">
        <f ca="1">IFERROR(__xludf.DUMMYFUNCTION("TRIM(
  REGEXREPLACE(
    TEXTJOIN("" "",
      TRUE,
      B446,
      C446,
      embaralharLinks(E446,F446,G446),
      H446,
      """",
      J446,
      N446,
      ""#RIPNSFW""
    ),
  "",\s*"", "" "")
)"),"{New} Dani Daniels https://streamtape.com/v/z6W2eZdQjXcY3jB/49253459 https://doodstream.com/d/pdrrxidndfin/49253459 https://lulustream.com/d/4s9yan8wgi8c (2026) #MILF #BigTits #Bigass #Roleplay #RIPNSFW")</f>
        <v>{New} Dani Daniels https://streamtape.com/v/z6W2eZdQjXcY3jB/49253459 https://doodstream.com/d/pdrrxidndfin/49253459 https://lulustream.com/d/4s9yan8wgi8c (2026) #MILF #BigTits #Bigass #Roleplay #RIPNSFW</v>
      </c>
      <c r="N446" s="14" t="s">
        <v>2072</v>
      </c>
      <c r="O446" s="15" t="s">
        <v>2323</v>
      </c>
      <c r="P446" s="14"/>
      <c r="Q446" s="6"/>
      <c r="R446" s="11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75">
      <c r="A447" s="6" t="s">
        <v>2324</v>
      </c>
      <c r="B447" s="6" t="s">
        <v>14</v>
      </c>
      <c r="C447" s="7" t="str">
        <f t="shared" si="4"/>
        <v xml:space="preserve">Dani Daniels </v>
      </c>
      <c r="D447" s="29" t="s">
        <v>2325</v>
      </c>
      <c r="E447" s="8" t="s">
        <v>2326</v>
      </c>
      <c r="F447" s="9" t="str">
        <f ca="1">IFERROR(__xludf.DUMMYFUNCTION("""https://streamtape.com/v/""&amp;
REGEXEXTRACT(O447,""/thumb/([^/]+)/"")&amp;
""/""&amp;K447"),"https://streamtape.com/v/3q7eqDYqgehdvjl/50955700")</f>
        <v>https://streamtape.com/v/3q7eqDYqgehdvjl/50955700</v>
      </c>
      <c r="G447" s="10" t="e">
        <f t="shared" ca="1" si="5"/>
        <v>#NAME?</v>
      </c>
      <c r="H447" s="11" t="str">
        <f ca="1">IFERROR(__xludf.DUMMYFUNCTION("IFERROR(SUBSTITUTE(SUBSTITUTE(REGEXEXTRACT(A447, ""[^-]+- [^-]+- [^-]+ - (.+?)\.jpg""), "".jpg"", """"), ""-"", "", ""), """")"),"")</f>
        <v/>
      </c>
      <c r="I447" s="6"/>
      <c r="J447" s="7" t="str">
        <f t="shared" ca="1" si="6"/>
        <v>(2026)</v>
      </c>
      <c r="K447" s="7" t="str">
        <f t="shared" si="7"/>
        <v>50955700</v>
      </c>
      <c r="L447" s="12" t="s">
        <v>2327</v>
      </c>
      <c r="M447" s="13" t="str">
        <f ca="1">IFERROR(__xludf.DUMMYFUNCTION("TRIM(
  REGEXREPLACE(
    TEXTJOIN("" "",
      TRUE,
      B447,
      C447,
      embaralharLinks(E447,F447,G447),
      H447,
      """",
      J447,
      N447,
      ""#RIPNSFW""
    ),
  "",\s*"", "" "")
)"),"{New} Dani Daniels https://streamtape.com/v/3q7eqDYqgehdvjl/50955700 https://doodstream.com/d/pu88amkb9myx/50955700 https://lulustream.com/d/o23uan9ic3dy (2026) #MILF #BigTits #Creampie #Hardcore #Bigass #Stepmom #Blowjob #Amateur #Mature #RIPNSFW")</f>
        <v>{New} Dani Daniels https://streamtape.com/v/3q7eqDYqgehdvjl/50955700 https://doodstream.com/d/pu88amkb9myx/50955700 https://lulustream.com/d/o23uan9ic3dy (2026) #MILF #BigTits #Creampie #Hardcore #Bigass #Stepmom #Blowjob #Amateur #Mature #RIPNSFW</v>
      </c>
      <c r="N447" s="14" t="s">
        <v>2328</v>
      </c>
      <c r="O447" s="32" t="s">
        <v>2329</v>
      </c>
      <c r="P447" s="14"/>
      <c r="Q447" s="6"/>
      <c r="R447" s="11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75">
      <c r="A448" s="6" t="s">
        <v>2330</v>
      </c>
      <c r="B448" s="6" t="s">
        <v>14</v>
      </c>
      <c r="C448" s="7" t="str">
        <f t="shared" si="4"/>
        <v xml:space="preserve">Dani Daniels </v>
      </c>
      <c r="D448" s="6" t="s">
        <v>2331</v>
      </c>
      <c r="E448" s="8" t="s">
        <v>2332</v>
      </c>
      <c r="F448" s="9" t="str">
        <f ca="1">IFERROR(__xludf.DUMMYFUNCTION("""https://streamtape.com/v/""&amp;
REGEXEXTRACT(O448,""/thumb/([^/]+)/"")&amp;
""/""&amp;K448"),"https://streamtape.com/v/Bz8GWr43aRuy4a6/51399692")</f>
        <v>https://streamtape.com/v/Bz8GWr43aRuy4a6/51399692</v>
      </c>
      <c r="G448" s="10" t="e">
        <f t="shared" ca="1" si="5"/>
        <v>#NAME?</v>
      </c>
      <c r="H448" s="11" t="str">
        <f ca="1">IFERROR(__xludf.DUMMYFUNCTION("IFERROR(SUBSTITUTE(SUBSTITUTE(REGEXEXTRACT(A448, ""[^-]+- [^-]+- [^-]+ - (.+?)\.jpg""), "".jpg"", """"), ""-"", "", ""), """")"),"")</f>
        <v/>
      </c>
      <c r="I448" s="6"/>
      <c r="J448" s="7" t="str">
        <f t="shared" ca="1" si="6"/>
        <v>(2026)</v>
      </c>
      <c r="K448" s="7" t="str">
        <f t="shared" si="7"/>
        <v>51399692</v>
      </c>
      <c r="L448" s="12" t="s">
        <v>2077</v>
      </c>
      <c r="M448" s="13" t="str">
        <f ca="1">IFERROR(__xludf.DUMMYFUNCTION("TRIM(
  REGEXREPLACE(
    TEXTJOIN("" "",
      TRUE,
      B448,
      C448,
      embaralharLinks(E448,F448,G448),
      H448,
      """",
      J448,
      N448,
      ""#RIPNSFW""
    ),
  "",\s*"", "" "")
)"),"{New} Dani Daniels https://lulustream.com/d/ffr0wrkvv1nr https://doodstream.com/d/4froz14hxhqb/51399692 https://streamtape.com/v/Bz8GWr43aRuy4a6/51399692 (2026) #MILF #BigTits #Bigass #Roleplay #RIPNSFW")</f>
        <v>{New} Dani Daniels https://lulustream.com/d/ffr0wrkvv1nr https://doodstream.com/d/4froz14hxhqb/51399692 https://streamtape.com/v/Bz8GWr43aRuy4a6/51399692 (2026) #MILF #BigTits #Bigass #Roleplay #RIPNSFW</v>
      </c>
      <c r="N448" s="14" t="s">
        <v>2072</v>
      </c>
      <c r="O448" s="15" t="s">
        <v>2333</v>
      </c>
      <c r="P448" s="14"/>
      <c r="Q448" s="6"/>
      <c r="R448" s="11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75">
      <c r="A449" s="6" t="s">
        <v>2334</v>
      </c>
      <c r="B449" s="6" t="s">
        <v>14</v>
      </c>
      <c r="C449" s="7" t="str">
        <f t="shared" si="4"/>
        <v xml:space="preserve">Dani Daniels </v>
      </c>
      <c r="D449" s="29" t="s">
        <v>2335</v>
      </c>
      <c r="E449" s="8" t="s">
        <v>2336</v>
      </c>
      <c r="F449" s="9" t="str">
        <f ca="1">IFERROR(__xludf.DUMMYFUNCTION("""https://streamtape.com/v/""&amp;
REGEXEXTRACT(O449,""/thumb/([^/]+)/"")&amp;
""/""&amp;K449"),"https://streamtape.com/v/akbGAy1GKLcxKZa/52597804")</f>
        <v>https://streamtape.com/v/akbGAy1GKLcxKZa/52597804</v>
      </c>
      <c r="G449" s="10" t="e">
        <f t="shared" ca="1" si="5"/>
        <v>#NAME?</v>
      </c>
      <c r="H449" s="11" t="str">
        <f ca="1">IFERROR(__xludf.DUMMYFUNCTION("IFERROR(SUBSTITUTE(SUBSTITUTE(REGEXEXTRACT(A449, ""[^-]+- [^-]+- [^-]+ - (.+?)\.jpg""), "".jpg"", """"), ""-"", "", ""), """")"),"")</f>
        <v/>
      </c>
      <c r="I449" s="6"/>
      <c r="J449" s="7" t="str">
        <f t="shared" ca="1" si="6"/>
        <v>(2026)</v>
      </c>
      <c r="K449" s="7" t="str">
        <f t="shared" si="7"/>
        <v>52597804</v>
      </c>
      <c r="L449" s="12" t="s">
        <v>2337</v>
      </c>
      <c r="M449" s="13" t="str">
        <f ca="1">IFERROR(__xludf.DUMMYFUNCTION("TRIM(
  REGEXREPLACE(
    TEXTJOIN("" "",
      TRUE,
      B449,
      C449,
      embaralharLinks(E449,F449,G449),
      H449,
      """",
      J449,
      N449,
      ""#RIPNSFW""
    ),
  "",\s*"", "" "")
)"),"{New} Dani Daniels https://lulustream.com/d/4r07zexgcq2w https://streamtape.com/v/akbGAy1GKLcxKZa/52597804 https://doodstream.com/d/yo7tqr4o5d28/52597804 (2026) #MILF #BigTits #Bigass #Roleplay #RIPNSFW")</f>
        <v>{New} Dani Daniels https://lulustream.com/d/4r07zexgcq2w https://streamtape.com/v/akbGAy1GKLcxKZa/52597804 https://doodstream.com/d/yo7tqr4o5d28/52597804 (2026) #MILF #BigTits #Bigass #Roleplay #RIPNSFW</v>
      </c>
      <c r="N449" s="14" t="s">
        <v>2072</v>
      </c>
      <c r="O449" s="32" t="s">
        <v>2338</v>
      </c>
      <c r="P449" s="14"/>
      <c r="Q449" s="6"/>
      <c r="R449" s="11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75">
      <c r="A450" s="12" t="s">
        <v>2339</v>
      </c>
      <c r="B450" s="6" t="s">
        <v>14</v>
      </c>
      <c r="C450" s="7" t="str">
        <f t="shared" si="4"/>
        <v xml:space="preserve">Dani Daniels </v>
      </c>
      <c r="D450" s="24" t="s">
        <v>2340</v>
      </c>
      <c r="E450" s="25" t="s">
        <v>2341</v>
      </c>
      <c r="F450" s="9" t="str">
        <f ca="1">IFERROR(__xludf.DUMMYFUNCTION("""https://streamtape.com/v/""&amp;
REGEXEXTRACT(O450,""/thumb/([^/]+)/"")&amp;
""/""&amp;K450"),"https://streamtape.com/v/R4LBJj31Z9sBGB/53224351")</f>
        <v>https://streamtape.com/v/R4LBJj31Z9sBGB/53224351</v>
      </c>
      <c r="G450" s="10" t="e">
        <f t="shared" ca="1" si="5"/>
        <v>#NAME?</v>
      </c>
      <c r="H450" s="11" t="str">
        <f ca="1">IFERROR(__xludf.DUMMYFUNCTION("IFERROR(SUBSTITUTE(SUBSTITUTE(REGEXEXTRACT(A450, ""[^-]+- [^-]+- [^-]+ - (.+?)\.jpg""), "".jpg"", """"), ""-"", "", ""), """")"),"")</f>
        <v/>
      </c>
      <c r="I450" s="6"/>
      <c r="J450" s="7" t="str">
        <f t="shared" ca="1" si="6"/>
        <v>(2026)</v>
      </c>
      <c r="K450" s="7" t="str">
        <f t="shared" si="7"/>
        <v>53224351</v>
      </c>
      <c r="L450" s="12" t="s">
        <v>1462</v>
      </c>
      <c r="M450" s="13" t="str">
        <f ca="1">IFERROR(__xludf.DUMMYFUNCTION("TRIM(
  REGEXREPLACE(
    TEXTJOIN("" "",
      TRUE,
      B450,
      C450,
      embaralharLinks(E450,F450,G450),
      H450,
      """",
      J450,
      N450,
      ""#RIPNSFW""
    ),
  "",\s*"", "" "")
)"),"{New} Dani Daniels https://doodstream.com/d/vaq6qcd2h1vl/53224351 https://lulustream.com/d/0r17nhx9cb6y https://streamtape.com/v/R4LBJj31Z9sBGB/53224351 (2026) #milf #bigtits #bigass #blowjob #RIPNSFW")</f>
        <v>{New} Dani Daniels https://doodstream.com/d/vaq6qcd2h1vl/53224351 https://lulustream.com/d/0r17nhx9cb6y https://streamtape.com/v/R4LBJj31Z9sBGB/53224351 (2026) #milf #bigtits #bigass #blowjob #RIPNSFW</v>
      </c>
      <c r="N450" s="2" t="s">
        <v>1462</v>
      </c>
      <c r="O450" s="30" t="s">
        <v>2342</v>
      </c>
      <c r="P450" s="26"/>
      <c r="R450" s="23"/>
    </row>
    <row r="451" spans="1:27" ht="12.75">
      <c r="A451" s="6" t="s">
        <v>2343</v>
      </c>
      <c r="B451" s="6" t="s">
        <v>14</v>
      </c>
      <c r="C451" s="7" t="str">
        <f t="shared" si="4"/>
        <v xml:space="preserve">Dani Daniels </v>
      </c>
      <c r="D451" s="24" t="s">
        <v>2344</v>
      </c>
      <c r="E451" s="25" t="s">
        <v>2345</v>
      </c>
      <c r="F451" s="9" t="str">
        <f ca="1">IFERROR(__xludf.DUMMYFUNCTION("""https://streamtape.com/v/""&amp;
REGEXEXTRACT(O451,""/thumb/([^/]+)/"")&amp;
""/""&amp;K451"),"https://streamtape.com/v/y24Xed8YJGs18D4/53635031")</f>
        <v>https://streamtape.com/v/y24Xed8YJGs18D4/53635031</v>
      </c>
      <c r="G451" s="10" t="e">
        <f t="shared" ca="1" si="5"/>
        <v>#NAME?</v>
      </c>
      <c r="H451" s="11" t="str">
        <f ca="1">IFERROR(__xludf.DUMMYFUNCTION("IFERROR(SUBSTITUTE(SUBSTITUTE(REGEXEXTRACT(A451, ""[^-]+- [^-]+- [^-]+ - (.+?)\.jpg""), "".jpg"", """"), ""-"", "", ""), """")"),"")</f>
        <v/>
      </c>
      <c r="I451" s="6"/>
      <c r="J451" s="7" t="str">
        <f t="shared" ca="1" si="6"/>
        <v>(2026)</v>
      </c>
      <c r="K451" s="7" t="str">
        <f t="shared" si="7"/>
        <v>53635031</v>
      </c>
      <c r="L451" s="12" t="s">
        <v>2061</v>
      </c>
      <c r="M451" s="13" t="str">
        <f ca="1">IFERROR(__xludf.DUMMYFUNCTION("TRIM(
  REGEXREPLACE(
    TEXTJOIN("" "",
      TRUE,
      B451,
      C451,
      embaralharLinks(E451,F451,G451),
      H451,
      """",
      J451,
      N451,
      ""#RIPNSFW""
    ),
  "",\s*"", "" "")
)"),"{New} Dani Daniels https://streamtape.com/v/y24Xed8YJGs18D4/53635031 https://doodstream.com/d/lqr0djr2bzcz/53635031 https://lulustream.com/d/bfh5r8zhmfh2 (2026) #milf #bigtits #bigass #solo #RIPNSFW")</f>
        <v>{New} Dani Daniels https://streamtape.com/v/y24Xed8YJGs18D4/53635031 https://doodstream.com/d/lqr0djr2bzcz/53635031 https://lulustream.com/d/bfh5r8zhmfh2 (2026) #milf #bigtits #bigass #solo #RIPNSFW</v>
      </c>
      <c r="N451" s="31" t="s">
        <v>2061</v>
      </c>
      <c r="O451" s="32" t="s">
        <v>2346</v>
      </c>
      <c r="P451" s="26"/>
      <c r="Q451" s="6"/>
      <c r="R451" s="11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75">
      <c r="A452" s="6" t="s">
        <v>2347</v>
      </c>
      <c r="B452" s="6" t="s">
        <v>14</v>
      </c>
      <c r="C452" s="7" t="str">
        <f t="shared" si="4"/>
        <v xml:space="preserve">Dani Daniels </v>
      </c>
      <c r="D452" s="6" t="s">
        <v>2348</v>
      </c>
      <c r="E452" s="8" t="s">
        <v>2349</v>
      </c>
      <c r="F452" s="9" t="str">
        <f ca="1">IFERROR(__xludf.DUMMYFUNCTION("""https://streamtape.com/v/""&amp;
REGEXEXTRACT(O452,""/thumb/([^/]+)/"")&amp;
""/""&amp;K452"),"https://streamtape.com/v/O2mr3q747gIZZ8G/54852918")</f>
        <v>https://streamtape.com/v/O2mr3q747gIZZ8G/54852918</v>
      </c>
      <c r="G452" s="10" t="e">
        <f t="shared" ca="1" si="5"/>
        <v>#NAME?</v>
      </c>
      <c r="H452" s="11" t="str">
        <f ca="1">IFERROR(__xludf.DUMMYFUNCTION("IFERROR(SUBSTITUTE(SUBSTITUTE(REGEXEXTRACT(A452, ""[^-]+- [^-]+- [^-]+ - (.+?)\.jpg""), "".jpg"", """"), ""-"", "", ""), """")"),"")</f>
        <v/>
      </c>
      <c r="I452" s="6"/>
      <c r="J452" s="7" t="str">
        <f t="shared" ca="1" si="6"/>
        <v>(2026)</v>
      </c>
      <c r="K452" s="7" t="str">
        <f t="shared" si="7"/>
        <v>54852918</v>
      </c>
      <c r="L452" s="12" t="s">
        <v>2350</v>
      </c>
      <c r="M452" s="13" t="str">
        <f ca="1">IFERROR(__xludf.DUMMYFUNCTION("TRIM(
  REGEXREPLACE(
    TEXTJOIN("" "",
      TRUE,
      B452,
      C452,
      embaralharLinks(E452,F452,G452),
      H452,
      """",
      J452,
      N452,
      ""#RIPNSFW""
    ),
  "",\s*"", "" "")
)"),"{New} Dani Daniels https://streamtape.com/v/O2mr3q747gIZZ8G/54852918 https://doodstream.com/d/5i6nztxu1fir/54852918 https://lulustream.com/d/le63ce74zs8r (2026) #MILF #BigTits #Bigass #Blowjob #RIPNSFW")</f>
        <v>{New} Dani Daniels https://streamtape.com/v/O2mr3q747gIZZ8G/54852918 https://doodstream.com/d/5i6nztxu1fir/54852918 https://lulustream.com/d/le63ce74zs8r (2026) #MILF #BigTits #Bigass #Blowjob #RIPNSFW</v>
      </c>
      <c r="N452" s="14" t="s">
        <v>2135</v>
      </c>
      <c r="O452" s="15" t="s">
        <v>2351</v>
      </c>
      <c r="P452" s="14"/>
      <c r="Q452" s="6"/>
      <c r="R452" s="11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75">
      <c r="A453" s="6" t="s">
        <v>2352</v>
      </c>
      <c r="B453" s="6" t="s">
        <v>14</v>
      </c>
      <c r="C453" s="7" t="str">
        <f t="shared" si="4"/>
        <v xml:space="preserve">Dani Daniels </v>
      </c>
      <c r="D453" s="29" t="s">
        <v>2353</v>
      </c>
      <c r="E453" s="8" t="s">
        <v>2354</v>
      </c>
      <c r="F453" s="9" t="str">
        <f ca="1">IFERROR(__xludf.DUMMYFUNCTION("""https://streamtape.com/v/""&amp;
REGEXEXTRACT(O453,""/thumb/([^/]+)/"")&amp;
""/""&amp;K453"),"https://streamtape.com/v/4W3d3DRQGmHKRqB/56497943")</f>
        <v>https://streamtape.com/v/4W3d3DRQGmHKRqB/56497943</v>
      </c>
      <c r="G453" s="10" t="e">
        <f t="shared" ca="1" si="5"/>
        <v>#NAME?</v>
      </c>
      <c r="H453" s="11" t="str">
        <f ca="1">IFERROR(__xludf.DUMMYFUNCTION("IFERROR(SUBSTITUTE(SUBSTITUTE(REGEXEXTRACT(A453, ""[^-]+- [^-]+- [^-]+ - (.+?)\.jpg""), "".jpg"", """"), ""-"", "", ""), """")"),"")</f>
        <v/>
      </c>
      <c r="I453" s="6"/>
      <c r="J453" s="7" t="str">
        <f t="shared" ca="1" si="6"/>
        <v>(2026)</v>
      </c>
      <c r="K453" s="7" t="str">
        <f t="shared" si="7"/>
        <v>56497943</v>
      </c>
      <c r="L453" s="12" t="s">
        <v>2355</v>
      </c>
      <c r="M453" s="13" t="str">
        <f ca="1">IFERROR(__xludf.DUMMYFUNCTION("TRIM(
  REGEXREPLACE(
    TEXTJOIN("" "",
      TRUE,
      B453,
      C453,
      embaralharLinks(E453,F453,G453),
      H453,
      """",
      J453,
      N453,
      ""#RIPNSFW""
    ),
  "",\s*"", "" "")
)"),"{New} Dani Daniels https://doodstream.com/d/kfaegrf72ulk/56497943 https://lulustream.com/d/u5hpb2flt134 https://streamtape.com/v/4W3d3DRQGmHKRqB/56497943 (2026) #MILF #BigTits #Creampie #Hardcore #Bigass #Stepmom #Amateur #RIPNSFW")</f>
        <v>{New} Dani Daniels https://doodstream.com/d/kfaegrf72ulk/56497943 https://lulustream.com/d/u5hpb2flt134 https://streamtape.com/v/4W3d3DRQGmHKRqB/56497943 (2026) #MILF #BigTits #Creampie #Hardcore #Bigass #Stepmom #Amateur #RIPNSFW</v>
      </c>
      <c r="N453" s="14" t="s">
        <v>2356</v>
      </c>
      <c r="O453" s="32" t="s">
        <v>2357</v>
      </c>
      <c r="P453" s="14"/>
      <c r="Q453" s="6"/>
      <c r="R453" s="11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75">
      <c r="A454" s="12" t="s">
        <v>2358</v>
      </c>
      <c r="B454" s="6" t="s">
        <v>14</v>
      </c>
      <c r="C454" s="7" t="str">
        <f t="shared" si="4"/>
        <v xml:space="preserve">Dani Daniels </v>
      </c>
      <c r="D454" s="36" t="s">
        <v>2359</v>
      </c>
      <c r="E454" s="25" t="s">
        <v>2360</v>
      </c>
      <c r="F454" s="9" t="str">
        <f ca="1">IFERROR(__xludf.DUMMYFUNCTION("""https://streamtape.com/v/""&amp;
REGEXEXTRACT(O454,""/thumb/([^/]+)/"")&amp;
""/""&amp;K454"),"https://streamtape.com/v/3JRgXQ1gklcdBg0/57203383")</f>
        <v>https://streamtape.com/v/3JRgXQ1gklcdBg0/57203383</v>
      </c>
      <c r="G454" s="10" t="e">
        <f t="shared" ca="1" si="5"/>
        <v>#NAME?</v>
      </c>
      <c r="H454" s="11" t="str">
        <f ca="1">IFERROR(__xludf.DUMMYFUNCTION("IFERROR(SUBSTITUTE(SUBSTITUTE(REGEXEXTRACT(A454, ""[^-]+- [^-]+- [^-]+ - (.+?)\.jpg""), "".jpg"", """"), ""-"", "", ""), """")"),"")</f>
        <v/>
      </c>
      <c r="I454" s="6"/>
      <c r="J454" s="7" t="str">
        <f t="shared" ca="1" si="6"/>
        <v>(2026)</v>
      </c>
      <c r="K454" s="7" t="str">
        <f t="shared" si="7"/>
        <v>57203383</v>
      </c>
      <c r="L454" s="12" t="s">
        <v>2361</v>
      </c>
      <c r="M454" s="13" t="str">
        <f ca="1">IFERROR(__xludf.DUMMYFUNCTION("TRIM(
  REGEXREPLACE(
    TEXTJOIN("" "",
      TRUE,
      B454,
      C454,
      embaralharLinks(E454,F454,G454),
      H454,
      """",
      J454,
      N454,
      ""#RIPNSFW""
    ),
  "",\s*"", "" "")
)"),"{New} Dani Daniels https://lulustream.com/d/1hl3ws4dxdka https://doodstream.com/d/rucoerik7xco/57203383 https://streamtape.com/v/3JRgXQ1gklcdBg0/57203383 (2026) #bigass #solo #milf #bigtits #RIPNSFW")</f>
        <v>{New} Dani Daniels https://lulustream.com/d/1hl3ws4dxdka https://doodstream.com/d/rucoerik7xco/57203383 https://streamtape.com/v/3JRgXQ1gklcdBg0/57203383 (2026) #bigass #solo #milf #bigtits #RIPNSFW</v>
      </c>
      <c r="N454" s="2" t="s">
        <v>2361</v>
      </c>
      <c r="O454" s="21" t="s">
        <v>2362</v>
      </c>
      <c r="P454" s="26"/>
      <c r="R454" s="23"/>
      <c r="T454" s="6"/>
      <c r="U454" s="7"/>
    </row>
    <row r="455" spans="1:27" ht="12.75">
      <c r="A455" s="12" t="s">
        <v>2363</v>
      </c>
      <c r="B455" s="6" t="s">
        <v>14</v>
      </c>
      <c r="C455" s="7" t="str">
        <f t="shared" si="4"/>
        <v xml:space="preserve">Dani Daniels </v>
      </c>
      <c r="D455" s="24" t="s">
        <v>2364</v>
      </c>
      <c r="E455" s="25" t="s">
        <v>2365</v>
      </c>
      <c r="F455" s="9" t="str">
        <f ca="1">IFERROR(__xludf.DUMMYFUNCTION("""https://streamtape.com/v/""&amp;
REGEXEXTRACT(O455,""/thumb/([^/]+)/"")&amp;
""/""&amp;K455"),"https://streamtape.com/v/Yw91Dvo3Y6CvlRm/58313208")</f>
        <v>https://streamtape.com/v/Yw91Dvo3Y6CvlRm/58313208</v>
      </c>
      <c r="G455" s="10" t="e">
        <f t="shared" ca="1" si="5"/>
        <v>#NAME?</v>
      </c>
      <c r="H455" s="11" t="str">
        <f ca="1">IFERROR(__xludf.DUMMYFUNCTION("IFERROR(SUBSTITUTE(SUBSTITUTE(REGEXEXTRACT(A455, ""[^-]+- [^-]+- [^-]+ - (.+?)\.jpg""), "".jpg"", """"), ""-"", "", ""), """")"),"")</f>
        <v/>
      </c>
      <c r="I455" s="6"/>
      <c r="J455" s="7" t="str">
        <f t="shared" ca="1" si="6"/>
        <v>(2026)</v>
      </c>
      <c r="K455" s="7" t="str">
        <f t="shared" si="7"/>
        <v>58313208</v>
      </c>
      <c r="L455" s="12" t="s">
        <v>2366</v>
      </c>
      <c r="M455" s="13" t="str">
        <f ca="1">IFERROR(__xludf.DUMMYFUNCTION("TRIM(
  REGEXREPLACE(
    TEXTJOIN("" "",
      TRUE,
      B455,
      C455,
      embaralharLinks(E455,F455,G455),
      H455,
      """",
      J455,
      N455,
      ""#RIPNSFW""
    ),
  "",\s*"", "" "")
)"),"{New} Dani Daniels https://doodstream.com/d/ih3qzkhmpbj3/58313208 https://lulustream.com/d/vw4wi7f5s848 https://streamtape.com/v/Yw91Dvo3Y6CvlRm/58313208 (2026) #milf #brunette #bigass #bigtits #RIPNSFW")</f>
        <v>{New} Dani Daniels https://doodstream.com/d/ih3qzkhmpbj3/58313208 https://lulustream.com/d/vw4wi7f5s848 https://streamtape.com/v/Yw91Dvo3Y6CvlRm/58313208 (2026) #milf #brunette #bigass #bigtits #RIPNSFW</v>
      </c>
      <c r="N455" s="2" t="s">
        <v>2366</v>
      </c>
      <c r="O455" s="30" t="s">
        <v>2367</v>
      </c>
      <c r="P455" s="26"/>
      <c r="R455" s="23"/>
      <c r="T455" s="6"/>
      <c r="U455" s="7"/>
    </row>
    <row r="456" spans="1:27" ht="12.75">
      <c r="A456" s="6" t="s">
        <v>2368</v>
      </c>
      <c r="B456" s="6" t="s">
        <v>14</v>
      </c>
      <c r="C456" s="7" t="str">
        <f t="shared" si="4"/>
        <v xml:space="preserve">Dani Daniels </v>
      </c>
      <c r="D456" s="6" t="s">
        <v>2369</v>
      </c>
      <c r="E456" s="8" t="s">
        <v>2370</v>
      </c>
      <c r="F456" s="9" t="str">
        <f ca="1">IFERROR(__xludf.DUMMYFUNCTION("""https://streamtape.com/v/""&amp;
REGEXEXTRACT(O456,""/thumb/([^/]+)/"")&amp;
""/""&amp;K456"),"https://streamtape.com/v/2V1MkVYlyMTZD4r/59473752")</f>
        <v>https://streamtape.com/v/2V1MkVYlyMTZD4r/59473752</v>
      </c>
      <c r="G456" s="10" t="e">
        <f t="shared" ca="1" si="5"/>
        <v>#NAME?</v>
      </c>
      <c r="H456" s="11" t="str">
        <f ca="1">IFERROR(__xludf.DUMMYFUNCTION("IFERROR(SUBSTITUTE(SUBSTITUTE(REGEXEXTRACT(A456, ""[^-]+- [^-]+- [^-]+ - (.+?)\.jpg""), "".jpg"", """"), ""-"", "", ""), """")"),"")</f>
        <v/>
      </c>
      <c r="I456" s="6"/>
      <c r="J456" s="7" t="str">
        <f t="shared" ca="1" si="6"/>
        <v>(2026)</v>
      </c>
      <c r="K456" s="7" t="str">
        <f t="shared" si="7"/>
        <v>59473752</v>
      </c>
      <c r="L456" s="12" t="s">
        <v>2371</v>
      </c>
      <c r="M456" s="13" t="str">
        <f ca="1">IFERROR(__xludf.DUMMYFUNCTION("TRIM(
  REGEXREPLACE(
    TEXTJOIN("" "",
      TRUE,
      B456,
      C456,
      embaralharLinks(E456,F456,G456),
      H456,
      """",
      J456,
      N456,
      ""#RIPNSFW""
    ),
  "",\s*"", "" "")
)"),"{New} Dani Daniels https://lulustream.com/d/08yosrrwarfx https://streamtape.com/v/2V1MkVYlyMTZD4r/59473752 https://doodstream.com/d/22xkovsw30vf/59473752 (2026) #MILF #BigTits #Bigass #Blowjob #Amateur #RIPNSFW")</f>
        <v>{New} Dani Daniels https://lulustream.com/d/08yosrrwarfx https://streamtape.com/v/2V1MkVYlyMTZD4r/59473752 https://doodstream.com/d/22xkovsw30vf/59473752 (2026) #MILF #BigTits #Bigass #Blowjob #Amateur #RIPNSFW</v>
      </c>
      <c r="N456" s="14" t="s">
        <v>1326</v>
      </c>
      <c r="O456" s="15" t="s">
        <v>2372</v>
      </c>
      <c r="P456" s="14"/>
      <c r="Q456" s="6"/>
      <c r="R456" s="11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75">
      <c r="A457" s="6" t="s">
        <v>2373</v>
      </c>
      <c r="B457" s="6" t="s">
        <v>14</v>
      </c>
      <c r="C457" s="7" t="str">
        <f t="shared" si="4"/>
        <v xml:space="preserve">Dani Daniels </v>
      </c>
      <c r="D457" s="6" t="s">
        <v>2374</v>
      </c>
      <c r="E457" s="8" t="s">
        <v>2375</v>
      </c>
      <c r="F457" s="9" t="str">
        <f ca="1">IFERROR(__xludf.DUMMYFUNCTION("""https://streamtape.com/v/""&amp;
REGEXEXTRACT(O457,""/thumb/([^/]+)/"")&amp;
""/""&amp;K457"),"https://streamtape.com/v/0DJV46gexeT6Vv/60238559")</f>
        <v>https://streamtape.com/v/0DJV46gexeT6Vv/60238559</v>
      </c>
      <c r="G457" s="10" t="e">
        <f t="shared" ca="1" si="5"/>
        <v>#NAME?</v>
      </c>
      <c r="H457" s="11" t="str">
        <f ca="1">IFERROR(__xludf.DUMMYFUNCTION("IFERROR(SUBSTITUTE(SUBSTITUTE(REGEXEXTRACT(A457, ""[^-]+- [^-]+- [^-]+ - (.+?)\.jpg""), "".jpg"", """"), ""-"", "", ""), """")"),"")</f>
        <v/>
      </c>
      <c r="I457" s="6"/>
      <c r="J457" s="7" t="str">
        <f t="shared" ca="1" si="6"/>
        <v>(2026)</v>
      </c>
      <c r="K457" s="7" t="str">
        <f t="shared" si="7"/>
        <v>60238559</v>
      </c>
      <c r="L457" s="12" t="s">
        <v>2100</v>
      </c>
      <c r="M457" s="13" t="str">
        <f ca="1">IFERROR(__xludf.DUMMYFUNCTION("TRIM(
  REGEXREPLACE(
    TEXTJOIN("" "",
      TRUE,
      B457,
      C457,
      embaralharLinks(E457,F457,G457),
      H457,
      """",
      J457,
      N457,
      ""#RIPNSFW""
    ),
  "",\s*"", "" "")
)"),"{New} Dani Daniels https://streamtape.com/v/0DJV46gexeT6Vv/60238559 https://doodstream.com/d/54yyxmqexjth/60238559 https://lulustream.com/d/jcedg2y4ivd2 (2026) #MILF #BigTits #Bigass #Solo #RIPNSFW")</f>
        <v>{New} Dani Daniels https://streamtape.com/v/0DJV46gexeT6Vv/60238559 https://doodstream.com/d/54yyxmqexjth/60238559 https://lulustream.com/d/jcedg2y4ivd2 (2026) #MILF #BigTits #Bigass #Solo #RIPNSFW</v>
      </c>
      <c r="N457" s="14" t="s">
        <v>2101</v>
      </c>
      <c r="O457" s="15" t="s">
        <v>2376</v>
      </c>
      <c r="P457" s="14"/>
      <c r="Q457" s="6"/>
      <c r="R457" s="11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75">
      <c r="A458" s="12" t="s">
        <v>2377</v>
      </c>
      <c r="B458" s="6" t="s">
        <v>14</v>
      </c>
      <c r="C458" s="7" t="str">
        <f t="shared" si="4"/>
        <v xml:space="preserve">Dani Daniels </v>
      </c>
      <c r="D458" s="24" t="s">
        <v>2378</v>
      </c>
      <c r="E458" s="25" t="s">
        <v>2379</v>
      </c>
      <c r="F458" s="9" t="str">
        <f ca="1">IFERROR(__xludf.DUMMYFUNCTION("""https://streamtape.com/v/""&amp;
REGEXEXTRACT(O458,""/thumb/([^/]+)/"")&amp;
""/""&amp;K458"),"https://streamtape.com/v/09Oy1ZyBymfDZ1/60408971")</f>
        <v>https://streamtape.com/v/09Oy1ZyBymfDZ1/60408971</v>
      </c>
      <c r="G458" s="10" t="e">
        <f t="shared" ca="1" si="5"/>
        <v>#NAME?</v>
      </c>
      <c r="H458" s="11" t="str">
        <f ca="1">IFERROR(__xludf.DUMMYFUNCTION("IFERROR(SUBSTITUTE(SUBSTITUTE(REGEXEXTRACT(A458, ""[^-]+- [^-]+- [^-]+ - (.+?)\.jpg""), "".jpg"", """"), ""-"", "", ""), """")"),"")</f>
        <v/>
      </c>
      <c r="I458" s="6"/>
      <c r="J458" s="7" t="str">
        <f t="shared" ca="1" si="6"/>
        <v>(2026)</v>
      </c>
      <c r="K458" s="7" t="str">
        <f t="shared" si="7"/>
        <v>60408971</v>
      </c>
      <c r="L458" s="12" t="s">
        <v>2061</v>
      </c>
      <c r="M458" s="13" t="str">
        <f ca="1">IFERROR(__xludf.DUMMYFUNCTION("TRIM(
  REGEXREPLACE(
    TEXTJOIN("" "",
      TRUE,
      B458,
      C458,
      embaralharLinks(E458,F458,G458),
      H458,
      """",
      J458,
      N458,
      ""#RIPNSFW""
    ),
  "",\s*"", "" "")
)"),"{New} Dani Daniels https://lulustream.com/d/xrg81czlhzqz https://doodstream.com/d/tpibplzwmdaz/60408971 https://streamtape.com/v/09Oy1ZyBymfDZ1/60408971 (2026) #milf #bigtits #bigass #solo #RIPNSFW")</f>
        <v>{New} Dani Daniels https://lulustream.com/d/xrg81czlhzqz https://doodstream.com/d/tpibplzwmdaz/60408971 https://streamtape.com/v/09Oy1ZyBymfDZ1/60408971 (2026) #milf #bigtits #bigass #solo #RIPNSFW</v>
      </c>
      <c r="N458" s="2" t="s">
        <v>2061</v>
      </c>
      <c r="O458" s="30" t="s">
        <v>2380</v>
      </c>
      <c r="P458" s="26"/>
      <c r="R458" s="23"/>
    </row>
    <row r="459" spans="1:27" ht="12.75">
      <c r="A459" s="12" t="s">
        <v>2381</v>
      </c>
      <c r="B459" s="6" t="s">
        <v>14</v>
      </c>
      <c r="C459" s="7" t="str">
        <f t="shared" si="4"/>
        <v xml:space="preserve">Dani Daniels </v>
      </c>
      <c r="D459" s="27" t="s">
        <v>2382</v>
      </c>
      <c r="E459" s="28" t="s">
        <v>2383</v>
      </c>
      <c r="F459" s="9" t="str">
        <f ca="1">IFERROR(__xludf.DUMMYFUNCTION("""https://streamtape.com/v/""&amp;
REGEXEXTRACT(O459,""/thumb/([^/]+)/"")&amp;
""/""&amp;K459"),"https://streamtape.com/v/7k7d1eP3exFMqe/61335376")</f>
        <v>https://streamtape.com/v/7k7d1eP3exFMqe/61335376</v>
      </c>
      <c r="G459" s="10" t="e">
        <f t="shared" ca="1" si="5"/>
        <v>#NAME?</v>
      </c>
      <c r="H459" s="11" t="str">
        <f ca="1">IFERROR(__xludf.DUMMYFUNCTION("IFERROR(SUBSTITUTE(SUBSTITUTE(REGEXEXTRACT(A459, ""[^-]+- [^-]+- [^-]+ - (.+?)\.jpg""), "".jpg"", """"), ""-"", "", ""), """")"),"")</f>
        <v/>
      </c>
      <c r="I459" s="6"/>
      <c r="J459" s="7" t="str">
        <f t="shared" ca="1" si="6"/>
        <v>(2026)</v>
      </c>
      <c r="K459" s="7" t="str">
        <f t="shared" si="7"/>
        <v>61335376</v>
      </c>
      <c r="L459" s="12" t="s">
        <v>2163</v>
      </c>
      <c r="M459" s="13" t="str">
        <f ca="1">IFERROR(__xludf.DUMMYFUNCTION("TRIM(
  REGEXREPLACE(
    TEXTJOIN("" "",
      TRUE,
      B459,
      C459,
      embaralharLinks(E459,F459,G459),
      H459,
      """",
      J459,
      N459,
      ""#RIPNSFW""
    ),
  "",\s*"", "" "")
)"),"{New} Dani Daniels https://streamtape.com/v/7k7d1eP3exFMqe/61335376 https://doodstream.com/d/lpullw3jlad0/61335376 https://lulustream.com/d/tjxvok0oyasd (2026) #MILF #BigTits #Bigass #Blowjob #RIPNSFW")</f>
        <v>{New} Dani Daniels https://streamtape.com/v/7k7d1eP3exFMqe/61335376 https://doodstream.com/d/lpullw3jlad0/61335376 https://lulustream.com/d/tjxvok0oyasd (2026) #MILF #BigTits #Bigass #Blowjob #RIPNSFW</v>
      </c>
      <c r="N459" s="2" t="s">
        <v>2135</v>
      </c>
      <c r="O459" s="30" t="s">
        <v>2384</v>
      </c>
      <c r="P459" s="26"/>
      <c r="R459" s="23"/>
    </row>
    <row r="460" spans="1:27" ht="12.75">
      <c r="A460" s="6" t="s">
        <v>2385</v>
      </c>
      <c r="B460" s="6" t="s">
        <v>14</v>
      </c>
      <c r="C460" s="7" t="str">
        <f t="shared" si="4"/>
        <v xml:space="preserve">Dani Daniels </v>
      </c>
      <c r="D460" s="24" t="s">
        <v>2386</v>
      </c>
      <c r="E460" s="25" t="s">
        <v>2387</v>
      </c>
      <c r="F460" s="9" t="str">
        <f ca="1">IFERROR(__xludf.DUMMYFUNCTION("""https://streamtape.com/v/""&amp;
REGEXEXTRACT(O460,""/thumb/([^/]+)/"")&amp;
""/""&amp;K460"),"https://streamtape.com/v/KZAaVgmzebi0d1j/63122723")</f>
        <v>https://streamtape.com/v/KZAaVgmzebi0d1j/63122723</v>
      </c>
      <c r="G460" s="10" t="e">
        <f t="shared" ca="1" si="5"/>
        <v>#NAME?</v>
      </c>
      <c r="H460" s="11" t="str">
        <f ca="1">IFERROR(__xludf.DUMMYFUNCTION("IFERROR(SUBSTITUTE(SUBSTITUTE(REGEXEXTRACT(A460, ""[^-]+- [^-]+- [^-]+ - (.+?)\.jpg""), "".jpg"", """"), ""-"", "", ""), """")"),"")</f>
        <v/>
      </c>
      <c r="I460" s="6"/>
      <c r="J460" s="7" t="str">
        <f t="shared" ca="1" si="6"/>
        <v>(2026)</v>
      </c>
      <c r="K460" s="7" t="str">
        <f t="shared" si="7"/>
        <v>63122723</v>
      </c>
      <c r="L460" s="12" t="s">
        <v>1462</v>
      </c>
      <c r="M460" s="13" t="str">
        <f ca="1">IFERROR(__xludf.DUMMYFUNCTION("TRIM(
  REGEXREPLACE(
    TEXTJOIN("" "",
      TRUE,
      B460,
      C460,
      embaralharLinks(E460,F460,G460),
      H460,
      """",
      J460,
      N460,
      ""#RIPNSFW""
    ),
  "",\s*"", "" "")
)"),"{New} Dani Daniels https://streamtape.com/v/KZAaVgmzebi0d1j/63122723 https://lulustream.com/d/p78y0draqvlx https://doodstream.com/d/xxyhmq6a86c3/63122723 (2026) #milf #bigtits #bigass #blowjob #RIPNSFW")</f>
        <v>{New} Dani Daniels https://streamtape.com/v/KZAaVgmzebi0d1j/63122723 https://lulustream.com/d/p78y0draqvlx https://doodstream.com/d/xxyhmq6a86c3/63122723 (2026) #milf #bigtits #bigass #blowjob #RIPNSFW</v>
      </c>
      <c r="N460" s="31" t="s">
        <v>1462</v>
      </c>
      <c r="O460" s="32" t="s">
        <v>2388</v>
      </c>
      <c r="P460" s="26"/>
      <c r="Q460" s="6"/>
      <c r="R460" s="11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75">
      <c r="A461" s="6" t="s">
        <v>2389</v>
      </c>
      <c r="B461" s="6" t="s">
        <v>14</v>
      </c>
      <c r="C461" s="7" t="str">
        <f t="shared" si="4"/>
        <v xml:space="preserve">Dani Daniels </v>
      </c>
      <c r="D461" s="6" t="s">
        <v>2390</v>
      </c>
      <c r="E461" s="8" t="s">
        <v>2391</v>
      </c>
      <c r="F461" s="9" t="str">
        <f ca="1">IFERROR(__xludf.DUMMYFUNCTION("""https://streamtape.com/v/""&amp;
REGEXEXTRACT(O461,""/thumb/([^/]+)/"")&amp;
""/""&amp;K461"),"https://streamtape.com/v/ezXVWb9lrJImK8/64107808")</f>
        <v>https://streamtape.com/v/ezXVWb9lrJImK8/64107808</v>
      </c>
      <c r="G461" s="10" t="e">
        <f t="shared" ca="1" si="5"/>
        <v>#NAME?</v>
      </c>
      <c r="H461" s="11" t="str">
        <f ca="1">IFERROR(__xludf.DUMMYFUNCTION("IFERROR(SUBSTITUTE(SUBSTITUTE(REGEXEXTRACT(A461, ""[^-]+- [^-]+- [^-]+ - (.+?)\.jpg""), "".jpg"", """"), ""-"", "", ""), """")"),"")</f>
        <v/>
      </c>
      <c r="I461" s="6"/>
      <c r="J461" s="7" t="str">
        <f t="shared" ca="1" si="6"/>
        <v>(2026)</v>
      </c>
      <c r="K461" s="7" t="str">
        <f t="shared" si="7"/>
        <v>64107808</v>
      </c>
      <c r="L461" s="12" t="s">
        <v>2077</v>
      </c>
      <c r="M461" s="13" t="str">
        <f ca="1">IFERROR(__xludf.DUMMYFUNCTION("TRIM(
  REGEXREPLACE(
    TEXTJOIN("" "",
      TRUE,
      B461,
      C461,
      embaralharLinks(E461,F461,G461),
      H461,
      """",
      J461,
      N461,
      ""#RIPNSFW""
    ),
  "",\s*"", "" "")
)"),"{New} Dani Daniels https://lulustream.com/d/0ie7wbjbtk24 https://streamtape.com/v/ezXVWb9lrJImK8/64107808 https://doodstream.com/d/yj5naslaahta/64107808 (2026) #MILF #BigTits #Bigass #Roleplay #Solo #RIPNSFW")</f>
        <v>{New} Dani Daniels https://lulustream.com/d/0ie7wbjbtk24 https://streamtape.com/v/ezXVWb9lrJImK8/64107808 https://doodstream.com/d/yj5naslaahta/64107808 (2026) #MILF #BigTits #Bigass #Roleplay #Solo #RIPNSFW</v>
      </c>
      <c r="N461" s="14" t="s">
        <v>2078</v>
      </c>
      <c r="O461" s="15" t="s">
        <v>2392</v>
      </c>
      <c r="P461" s="14"/>
      <c r="Q461" s="6"/>
      <c r="R461" s="11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75">
      <c r="A462" s="6" t="s">
        <v>2393</v>
      </c>
      <c r="B462" s="6" t="s">
        <v>14</v>
      </c>
      <c r="C462" s="7" t="str">
        <f t="shared" si="4"/>
        <v xml:space="preserve">Dani Daniels </v>
      </c>
      <c r="D462" s="6" t="s">
        <v>2394</v>
      </c>
      <c r="E462" s="8" t="s">
        <v>2395</v>
      </c>
      <c r="F462" s="9" t="str">
        <f ca="1">IFERROR(__xludf.DUMMYFUNCTION("""https://streamtape.com/v/""&amp;
REGEXEXTRACT(O462,""/thumb/([^/]+)/"")&amp;
""/""&amp;K462"),"https://streamtape.com/v/z6p4kLZD8pTYal1/64692416")</f>
        <v>https://streamtape.com/v/z6p4kLZD8pTYal1/64692416</v>
      </c>
      <c r="G462" s="10" t="e">
        <f t="shared" ca="1" si="5"/>
        <v>#NAME?</v>
      </c>
      <c r="H462" s="11" t="str">
        <f ca="1">IFERROR(__xludf.DUMMYFUNCTION("IFERROR(SUBSTITUTE(SUBSTITUTE(REGEXEXTRACT(A462, ""[^-]+- [^-]+- [^-]+ - (.+?)\.jpg""), "".jpg"", """"), ""-"", "", ""), """")"),"")</f>
        <v/>
      </c>
      <c r="I462" s="6"/>
      <c r="J462" s="7" t="str">
        <f t="shared" ca="1" si="6"/>
        <v>(2026)</v>
      </c>
      <c r="K462" s="7" t="str">
        <f t="shared" si="7"/>
        <v>64692416</v>
      </c>
      <c r="L462" s="12" t="s">
        <v>2396</v>
      </c>
      <c r="M462" s="13" t="str">
        <f ca="1">IFERROR(__xludf.DUMMYFUNCTION("TRIM(
  REGEXREPLACE(
    TEXTJOIN("" "",
      TRUE,
      B462,
      C462,
      embaralharLinks(E462,F462,G462),
      H462,
      """",
      J462,
      N462,
      ""#RIPNSFW""
    ),
  "",\s*"", "" "")
)"),"{New} Dani Daniels https://lulustream.com/d/3jwfz6lq1mzw https://streamtape.com/v/z6p4kLZD8pTYal1/64692416 https://doodstream.com/d/ft4sj1zzcn3n/64692416 (2026) #MILF #BigTits #Hardcore #Bigass #Blowjob #RIPNSFW")</f>
        <v>{New} Dani Daniels https://lulustream.com/d/3jwfz6lq1mzw https://streamtape.com/v/z6p4kLZD8pTYal1/64692416 https://doodstream.com/d/ft4sj1zzcn3n/64692416 (2026) #MILF #BigTits #Hardcore #Bigass #Blowjob #RIPNSFW</v>
      </c>
      <c r="N462" s="14" t="s">
        <v>1410</v>
      </c>
      <c r="O462" s="15" t="s">
        <v>2397</v>
      </c>
      <c r="P462" s="14"/>
      <c r="Q462" s="6"/>
      <c r="R462" s="11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75">
      <c r="A463" s="12" t="s">
        <v>2398</v>
      </c>
      <c r="B463" s="6" t="s">
        <v>14</v>
      </c>
      <c r="C463" s="7" t="str">
        <f t="shared" si="4"/>
        <v xml:space="preserve">Dani Daniels </v>
      </c>
      <c r="D463" s="24" t="s">
        <v>2399</v>
      </c>
      <c r="E463" s="25" t="s">
        <v>2400</v>
      </c>
      <c r="F463" s="9" t="str">
        <f ca="1">IFERROR(__xludf.DUMMYFUNCTION("""https://streamtape.com/v/""&amp;
REGEXEXTRACT(O463,""/thumb/([^/]+)/"")&amp;
""/""&amp;K463"),"https://streamtape.com/v/ogeYZ3jLG4TjLO/64808876")</f>
        <v>https://streamtape.com/v/ogeYZ3jLG4TjLO/64808876</v>
      </c>
      <c r="G463" s="10" t="e">
        <f t="shared" ca="1" si="5"/>
        <v>#NAME?</v>
      </c>
      <c r="H463" s="11" t="str">
        <f ca="1">IFERROR(__xludf.DUMMYFUNCTION("IFERROR(SUBSTITUTE(SUBSTITUTE(REGEXEXTRACT(A463, ""[^-]+- [^-]+- [^-]+ - (.+?)\.jpg""), "".jpg"", """"), ""-"", "", ""), """")"),"")</f>
        <v/>
      </c>
      <c r="I463" s="6"/>
      <c r="J463" s="7" t="str">
        <f t="shared" ca="1" si="6"/>
        <v>(2026)</v>
      </c>
      <c r="K463" s="7" t="str">
        <f t="shared" si="7"/>
        <v>64808876</v>
      </c>
      <c r="L463" s="12" t="s">
        <v>1462</v>
      </c>
      <c r="M463" s="13" t="str">
        <f ca="1">IFERROR(__xludf.DUMMYFUNCTION("TRIM(
  REGEXREPLACE(
    TEXTJOIN("" "",
      TRUE,
      B463,
      C463,
      embaralharLinks(E463,F463,G463),
      H463,
      """",
      J463,
      N463,
      ""#RIPNSFW""
    ),
  "",\s*"", "" "")
)"),"{New} Dani Daniels https://doodstream.com/d/7sauzo2y9xq0/64808876 https://streamtape.com/v/ogeYZ3jLG4TjLO/64808876 https://lulustream.com/d/6dl1f7xhoss2 (2026) #milf #bigtits #bigass #blowjob #RIPNSFW")</f>
        <v>{New} Dani Daniels https://doodstream.com/d/7sauzo2y9xq0/64808876 https://streamtape.com/v/ogeYZ3jLG4TjLO/64808876 https://lulustream.com/d/6dl1f7xhoss2 (2026) #milf #bigtits #bigass #blowjob #RIPNSFW</v>
      </c>
      <c r="N463" s="2" t="s">
        <v>1462</v>
      </c>
      <c r="O463" s="30" t="s">
        <v>2401</v>
      </c>
      <c r="P463" s="26"/>
      <c r="R463" s="23"/>
    </row>
    <row r="464" spans="1:27" ht="12.75">
      <c r="A464" s="6" t="s">
        <v>2402</v>
      </c>
      <c r="B464" s="6" t="s">
        <v>14</v>
      </c>
      <c r="C464" s="7" t="str">
        <f t="shared" si="4"/>
        <v xml:space="preserve">Dani Daniels </v>
      </c>
      <c r="D464" s="29" t="s">
        <v>2403</v>
      </c>
      <c r="E464" s="8" t="s">
        <v>2404</v>
      </c>
      <c r="F464" s="9" t="str">
        <f ca="1">IFERROR(__xludf.DUMMYFUNCTION("""https://streamtape.com/v/""&amp;
REGEXEXTRACT(O464,""/thumb/([^/]+)/"")&amp;
""/""&amp;K464"),"https://streamtape.com/v/mrY8g3Qa0PCbL0e/65000313")</f>
        <v>https://streamtape.com/v/mrY8g3Qa0PCbL0e/65000313</v>
      </c>
      <c r="G464" s="10" t="e">
        <f t="shared" ca="1" si="5"/>
        <v>#NAME?</v>
      </c>
      <c r="H464" s="11" t="str">
        <f ca="1">IFERROR(__xludf.DUMMYFUNCTION("IFERROR(SUBSTITUTE(SUBSTITUTE(REGEXEXTRACT(A464, ""[^-]+- [^-]+- [^-]+ - (.+?)\.jpg""), "".jpg"", """"), ""-"", "", ""), """")"),"")</f>
        <v/>
      </c>
      <c r="I464" s="6"/>
      <c r="J464" s="7" t="str">
        <f t="shared" ca="1" si="6"/>
        <v>(2026)</v>
      </c>
      <c r="K464" s="7" t="str">
        <f t="shared" si="7"/>
        <v>65000313</v>
      </c>
      <c r="L464" s="12" t="s">
        <v>2405</v>
      </c>
      <c r="M464" s="13" t="str">
        <f ca="1">IFERROR(__xludf.DUMMYFUNCTION("TRIM(
  REGEXREPLACE(
    TEXTJOIN("" "",
      TRUE,
      B464,
      C464,
      embaralharLinks(E464,F464,G464),
      H464,
      """",
      J464,
      N464,
      ""#RIPNSFW""
    ),
  "",\s*"", "" "")
)"),"{New} Dani Daniels https://doodstream.com/d/d3779g7hywpj/65000313 https://lulustream.com/d/s4dpib58mz59 https://streamtape.com/v/mrY8g3Qa0PCbL0e/65000313 (2026) #MILF #BigTits #Hardcore #Bigass #Stepmom #Blowjob #Amateur #RIPNSFW")</f>
        <v>{New} Dani Daniels https://doodstream.com/d/d3779g7hywpj/65000313 https://lulustream.com/d/s4dpib58mz59 https://streamtape.com/v/mrY8g3Qa0PCbL0e/65000313 (2026) #MILF #BigTits #Hardcore #Bigass #Stepmom #Blowjob #Amateur #RIPNSFW</v>
      </c>
      <c r="N464" s="14" t="s">
        <v>317</v>
      </c>
      <c r="O464" s="32" t="s">
        <v>2406</v>
      </c>
      <c r="P464" s="14"/>
      <c r="Q464" s="6"/>
      <c r="R464" s="11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75">
      <c r="A465" s="12" t="s">
        <v>2407</v>
      </c>
      <c r="B465" s="6" t="s">
        <v>14</v>
      </c>
      <c r="C465" s="7" t="str">
        <f t="shared" si="4"/>
        <v xml:space="preserve">Dani Daniels </v>
      </c>
      <c r="D465" s="24" t="s">
        <v>2408</v>
      </c>
      <c r="E465" s="25" t="s">
        <v>2409</v>
      </c>
      <c r="F465" s="9" t="str">
        <f ca="1">IFERROR(__xludf.DUMMYFUNCTION("""https://streamtape.com/v/""&amp;
REGEXEXTRACT(O465,""/thumb/([^/]+)/"")&amp;
""/""&amp;K465"),"https://streamtape.com/v/LL00vADRbxsRRbv/66212622")</f>
        <v>https://streamtape.com/v/LL00vADRbxsRRbv/66212622</v>
      </c>
      <c r="G465" s="10" t="e">
        <f t="shared" ca="1" si="5"/>
        <v>#NAME?</v>
      </c>
      <c r="H465" s="11" t="str">
        <f ca="1">IFERROR(__xludf.DUMMYFUNCTION("IFERROR(SUBSTITUTE(SUBSTITUTE(REGEXEXTRACT(A465, ""[^-]+- [^-]+- [^-]+ - (.+?)\.jpg""), "".jpg"", """"), ""-"", "", ""), """")"),"")</f>
        <v/>
      </c>
      <c r="I465" s="6"/>
      <c r="J465" s="7" t="str">
        <f t="shared" ca="1" si="6"/>
        <v>(2026)</v>
      </c>
      <c r="K465" s="7" t="str">
        <f t="shared" si="7"/>
        <v>66212622</v>
      </c>
      <c r="L465" s="12" t="s">
        <v>1462</v>
      </c>
      <c r="M465" s="13" t="str">
        <f ca="1">IFERROR(__xludf.DUMMYFUNCTION("TRIM(
  REGEXREPLACE(
    TEXTJOIN("" "",
      TRUE,
      B465,
      C465,
      embaralharLinks(E465,F465,G465),
      H465,
      """",
      J465,
      N465,
      ""#RIPNSFW""
    ),
  "",\s*"", "" "")
)"),"{New} Dani Daniels https://doodstream.com/d/rhm4knfau72r/66212622 https://lulustream.com/d/fldkmlw8kf24 https://streamtape.com/v/LL00vADRbxsRRbv/66212622 (2026) #milf #bigtits #bigass #blowjob #RIPNSFW")</f>
        <v>{New} Dani Daniels https://doodstream.com/d/rhm4knfau72r/66212622 https://lulustream.com/d/fldkmlw8kf24 https://streamtape.com/v/LL00vADRbxsRRbv/66212622 (2026) #milf #bigtits #bigass #blowjob #RIPNSFW</v>
      </c>
      <c r="N465" s="2" t="s">
        <v>1462</v>
      </c>
      <c r="O465" s="30" t="s">
        <v>2410</v>
      </c>
      <c r="P465" s="26"/>
      <c r="R465" s="23"/>
    </row>
    <row r="466" spans="1:27" ht="12.75">
      <c r="A466" s="16" t="s">
        <v>2411</v>
      </c>
      <c r="B466" s="11" t="s">
        <v>14</v>
      </c>
      <c r="C466" s="13" t="str">
        <f t="shared" si="4"/>
        <v xml:space="preserve">Dani Daniels </v>
      </c>
      <c r="D466" s="17" t="s">
        <v>2412</v>
      </c>
      <c r="E466" s="18" t="s">
        <v>2413</v>
      </c>
      <c r="F466" s="9" t="str">
        <f ca="1">IFERROR(__xludf.DUMMYFUNCTION("""https://streamtape.com/v/""&amp;
REGEXEXTRACT(O466,""/thumb/([^/]+)/"")&amp;
""/""&amp;K466"),"https://streamtape.com/v/kPqJDx2lYrIOqW4/66422331")</f>
        <v>https://streamtape.com/v/kPqJDx2lYrIOqW4/66422331</v>
      </c>
      <c r="G466" s="10" t="e">
        <f t="shared" ca="1" si="5"/>
        <v>#NAME?</v>
      </c>
      <c r="H466" s="11" t="str">
        <f ca="1">IFERROR(__xludf.DUMMYFUNCTION("IFERROR(SUBSTITUTE(SUBSTITUTE(REGEXEXTRACT(A466, ""[^-]+- [^-]+- [^-]+ - (.+?)\.jpg""), "".jpg"", """"), ""-"", "", ""), """")"),"")</f>
        <v/>
      </c>
      <c r="I466" s="11"/>
      <c r="J466" s="13" t="str">
        <f t="shared" ca="1" si="6"/>
        <v>(2026)</v>
      </c>
      <c r="K466" s="13" t="str">
        <f t="shared" si="7"/>
        <v>66422331</v>
      </c>
      <c r="L466" s="12" t="s">
        <v>1398</v>
      </c>
      <c r="M466" s="13" t="str">
        <f ca="1">IFERROR(__xludf.DUMMYFUNCTION("TRIM(
  REGEXREPLACE(
    TEXTJOIN("" "",
      TRUE,
      B466,
      C466,
      embaralharLinks(E466,F466,G466),
      H466,
      """",
      J466,
      N466,
      ""#RIPNSFW""
    ),
  "",\s*"", "" "")
)"),"{New} Dani Daniels https://streamtape.com/v/kPqJDx2lYrIOqW4/66422331 https://lulustream.com/d/q2uqwg22nf68 https://doodstream.com/d/4z3n6wu6mq6j/66422331 (2026) #milf #bigtits #blowjob #amateur #RIPNSFW")</f>
        <v>{New} Dani Daniels https://streamtape.com/v/kPqJDx2lYrIOqW4/66422331 https://lulustream.com/d/q2uqwg22nf68 https://doodstream.com/d/4z3n6wu6mq6j/66422331 (2026) #milf #bigtits #blowjob #amateur #RIPNSFW</v>
      </c>
      <c r="N466" s="20" t="s">
        <v>1398</v>
      </c>
      <c r="O466" s="30" t="s">
        <v>2414</v>
      </c>
      <c r="P466" s="26"/>
      <c r="Q466" s="16"/>
      <c r="R466" s="23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75">
      <c r="A467" s="12" t="s">
        <v>2415</v>
      </c>
      <c r="B467" s="6" t="s">
        <v>14</v>
      </c>
      <c r="C467" s="7" t="str">
        <f t="shared" si="4"/>
        <v xml:space="preserve">Dani Daniels </v>
      </c>
      <c r="D467" s="24" t="s">
        <v>2416</v>
      </c>
      <c r="E467" s="25" t="s">
        <v>2417</v>
      </c>
      <c r="F467" s="9" t="str">
        <f ca="1">IFERROR(__xludf.DUMMYFUNCTION("""https://streamtape.com/v/""&amp;
REGEXEXTRACT(O467,""/thumb/([^/]+)/"")&amp;
""/""&amp;K467"),"https://streamtape.com/v/Qk1ja1qjqVF0QDg/66537645")</f>
        <v>https://streamtape.com/v/Qk1ja1qjqVF0QDg/66537645</v>
      </c>
      <c r="G467" s="10" t="e">
        <f t="shared" ca="1" si="5"/>
        <v>#NAME?</v>
      </c>
      <c r="H467" s="11" t="str">
        <f ca="1">IFERROR(__xludf.DUMMYFUNCTION("IFERROR(SUBSTITUTE(SUBSTITUTE(REGEXEXTRACT(A467, ""[^-]+- [^-]+- [^-]+ - (.+?)\.jpg""), "".jpg"", """"), ""-"", "", ""), """")"),"")</f>
        <v/>
      </c>
      <c r="I467" s="6"/>
      <c r="J467" s="7" t="str">
        <f t="shared" ca="1" si="6"/>
        <v>(2026)</v>
      </c>
      <c r="K467" s="7" t="str">
        <f t="shared" si="7"/>
        <v>66537645</v>
      </c>
      <c r="L467" s="12" t="s">
        <v>2418</v>
      </c>
      <c r="M467" s="13" t="str">
        <f ca="1">IFERROR(__xludf.DUMMYFUNCTION("TRIM(
  REGEXREPLACE(
    TEXTJOIN("" "",
      TRUE,
      B467,
      C467,
      embaralharLinks(E467,F467,G467),
      H467,
      """",
      J467,
      N467,
      ""#RIPNSFW""
    ),
  "",\s*"", "" "")
)"),"{New} Dani Daniels https://lulustream.com/d/ee2lw8lv79ir https://streamtape.com/v/Qk1ja1qjqVF0QDg/66537645 https://doodstream.com/d/974jatr5z9nh/66537645 (2026) #milf #solo #bigass #bigtits #RIPNSFW")</f>
        <v>{New} Dani Daniels https://lulustream.com/d/ee2lw8lv79ir https://streamtape.com/v/Qk1ja1qjqVF0QDg/66537645 https://doodstream.com/d/974jatr5z9nh/66537645 (2026) #milf #solo #bigass #bigtits #RIPNSFW</v>
      </c>
      <c r="N467" s="2" t="s">
        <v>2418</v>
      </c>
      <c r="O467" s="30" t="s">
        <v>2419</v>
      </c>
      <c r="P467" s="26"/>
      <c r="R467" s="23"/>
      <c r="T467" s="6"/>
      <c r="U467" s="7"/>
    </row>
    <row r="468" spans="1:27" ht="12.75">
      <c r="A468" s="12" t="s">
        <v>2420</v>
      </c>
      <c r="B468" s="6" t="s">
        <v>14</v>
      </c>
      <c r="C468" s="7" t="str">
        <f t="shared" si="4"/>
        <v xml:space="preserve">Dani Daniels </v>
      </c>
      <c r="D468" s="24" t="s">
        <v>2421</v>
      </c>
      <c r="E468" s="25" t="s">
        <v>2422</v>
      </c>
      <c r="F468" s="9" t="str">
        <f ca="1">IFERROR(__xludf.DUMMYFUNCTION("""https://streamtape.com/v/""&amp;
REGEXEXTRACT(O468,""/thumb/([^/]+)/"")&amp;
""/""&amp;K468"),"https://streamtape.com/v/0R7gXQa0WMS6kj/67231091")</f>
        <v>https://streamtape.com/v/0R7gXQa0WMS6kj/67231091</v>
      </c>
      <c r="G468" s="10" t="e">
        <f t="shared" ca="1" si="5"/>
        <v>#NAME?</v>
      </c>
      <c r="H468" s="11" t="str">
        <f ca="1">IFERROR(__xludf.DUMMYFUNCTION("IFERROR(SUBSTITUTE(SUBSTITUTE(REGEXEXTRACT(A468, ""[^-]+- [^-]+- [^-]+ - (.+?)\.jpg""), "".jpg"", """"), ""-"", "", ""), """")"),"")</f>
        <v/>
      </c>
      <c r="I468" s="6"/>
      <c r="J468" s="7" t="str">
        <f t="shared" ca="1" si="6"/>
        <v>(2026)</v>
      </c>
      <c r="K468" s="7" t="str">
        <f t="shared" si="7"/>
        <v>67231091</v>
      </c>
      <c r="L468" s="12" t="s">
        <v>2061</v>
      </c>
      <c r="M468" s="13" t="str">
        <f ca="1">IFERROR(__xludf.DUMMYFUNCTION("TRIM(
  REGEXREPLACE(
    TEXTJOIN("" "",
      TRUE,
      B468,
      C468,
      embaralharLinks(E468,F468,G468),
      H468,
      """",
      J468,
      N468,
      ""#RIPNSFW""
    ),
  "",\s*"", "" "")
)"),"{New} Dani Daniels https://lulustream.com/d/iiw1uf0jdkcr https://streamtape.com/v/0R7gXQa0WMS6kj/67231091 https://doodstream.com/d/bwtvf1a7bi52/67231091 (2026) #milf #bigtits #bigass #solo #RIPNSFW")</f>
        <v>{New} Dani Daniels https://lulustream.com/d/iiw1uf0jdkcr https://streamtape.com/v/0R7gXQa0WMS6kj/67231091 https://doodstream.com/d/bwtvf1a7bi52/67231091 (2026) #milf #bigtits #bigass #solo #RIPNSFW</v>
      </c>
      <c r="N468" s="2" t="s">
        <v>2061</v>
      </c>
      <c r="O468" s="30" t="s">
        <v>2423</v>
      </c>
      <c r="P468" s="26"/>
      <c r="R468" s="23"/>
      <c r="T468" s="6"/>
      <c r="U468" s="7"/>
    </row>
    <row r="469" spans="1:27" ht="12.75">
      <c r="A469" s="12" t="s">
        <v>2424</v>
      </c>
      <c r="B469" s="6" t="s">
        <v>14</v>
      </c>
      <c r="C469" s="7" t="str">
        <f t="shared" si="4"/>
        <v xml:space="preserve">Dani Daniels </v>
      </c>
      <c r="D469" s="24" t="s">
        <v>2425</v>
      </c>
      <c r="E469" s="25" t="s">
        <v>2426</v>
      </c>
      <c r="F469" s="9" t="str">
        <f ca="1">IFERROR(__xludf.DUMMYFUNCTION("""https://streamtape.com/v/""&amp;
REGEXEXTRACT(O469,""/thumb/([^/]+)/"")&amp;
""/""&amp;K469"),"https://streamtape.com/v/26RrdjrOO4SZ90o/67462200")</f>
        <v>https://streamtape.com/v/26RrdjrOO4SZ90o/67462200</v>
      </c>
      <c r="G469" s="10" t="e">
        <f t="shared" ca="1" si="5"/>
        <v>#NAME?</v>
      </c>
      <c r="H469" s="11" t="str">
        <f ca="1">IFERROR(__xludf.DUMMYFUNCTION("IFERROR(SUBSTITUTE(SUBSTITUTE(REGEXEXTRACT(A469, ""[^-]+- [^-]+- [^-]+ - (.+?)\.jpg""), "".jpg"", """"), ""-"", "", ""), """")"),"")</f>
        <v/>
      </c>
      <c r="I469" s="6"/>
      <c r="J469" s="7" t="str">
        <f t="shared" ca="1" si="6"/>
        <v>(2026)</v>
      </c>
      <c r="K469" s="7" t="str">
        <f t="shared" si="7"/>
        <v>67462200</v>
      </c>
      <c r="L469" s="12" t="s">
        <v>1281</v>
      </c>
      <c r="M469" s="13" t="str">
        <f ca="1">IFERROR(__xludf.DUMMYFUNCTION("TRIM(
  REGEXREPLACE(
    TEXTJOIN("" "",
      TRUE,
      B469,
      C469,
      embaralharLinks(E469,F469,G469),
      H469,
      """",
      J469,
      N469,
      ""#RIPNSFW""
    ),
  "",\s*"", "" "")
)"),"{New} Dani Daniels https://doodstream.com/d/9wwzk59c1vyj/67462200 https://lulustream.com/d/psutvpfo0ybw https://streamtape.com/v/26RrdjrOO4SZ90o/67462200 (2026) #milf #blowjob #bigass #bigtits #RIPNSFW")</f>
        <v>{New} Dani Daniels https://doodstream.com/d/9wwzk59c1vyj/67462200 https://lulustream.com/d/psutvpfo0ybw https://streamtape.com/v/26RrdjrOO4SZ90o/67462200 (2026) #milf #blowjob #bigass #bigtits #RIPNSFW</v>
      </c>
      <c r="N469" s="2" t="s">
        <v>1281</v>
      </c>
      <c r="O469" s="30" t="s">
        <v>2427</v>
      </c>
      <c r="P469" s="26"/>
      <c r="R469" s="23"/>
      <c r="T469" s="6"/>
      <c r="U469" s="7"/>
    </row>
    <row r="470" spans="1:27" ht="12.75">
      <c r="A470" s="6" t="s">
        <v>2428</v>
      </c>
      <c r="B470" s="6" t="s">
        <v>14</v>
      </c>
      <c r="C470" s="7" t="str">
        <f t="shared" si="4"/>
        <v xml:space="preserve">Dani Daniels </v>
      </c>
      <c r="D470" s="6" t="s">
        <v>2429</v>
      </c>
      <c r="E470" s="8" t="s">
        <v>2430</v>
      </c>
      <c r="F470" s="9" t="str">
        <f ca="1">IFERROR(__xludf.DUMMYFUNCTION("""https://streamtape.com/v/""&amp;
REGEXEXTRACT(O470,""/thumb/([^/]+)/"")&amp;
""/""&amp;K470"),"https://streamtape.com/v/Qb9O7oVoq6CRpo/69449307")</f>
        <v>https://streamtape.com/v/Qb9O7oVoq6CRpo/69449307</v>
      </c>
      <c r="G470" s="10" t="e">
        <f t="shared" ca="1" si="5"/>
        <v>#NAME?</v>
      </c>
      <c r="H470" s="11" t="str">
        <f ca="1">IFERROR(__xludf.DUMMYFUNCTION("IFERROR(SUBSTITUTE(SUBSTITUTE(REGEXEXTRACT(A470, ""[^-]+- [^-]+- [^-]+ - (.+?)\.jpg""), "".jpg"", """"), ""-"", "", ""), """")"),"")</f>
        <v/>
      </c>
      <c r="I470" s="6"/>
      <c r="J470" s="7" t="str">
        <f t="shared" ca="1" si="6"/>
        <v>(2026)</v>
      </c>
      <c r="K470" s="7" t="str">
        <f t="shared" si="7"/>
        <v>69449307</v>
      </c>
      <c r="L470" s="12" t="s">
        <v>2077</v>
      </c>
      <c r="M470" s="13" t="str">
        <f ca="1">IFERROR(__xludf.DUMMYFUNCTION("TRIM(
  REGEXREPLACE(
    TEXTJOIN("" "",
      TRUE,
      B470,
      C470,
      embaralharLinks(E470,F470,G470),
      H470,
      """",
      J470,
      N470,
      ""#RIPNSFW""
    ),
  "",\s*"", "" "")
)"),"{New} Dani Daniels https://streamtape.com/v/Qb9O7oVoq6CRpo/69449307 https://lulustream.com/d/cjvq5yqvutoq https://doodstream.com/d/d3sb9u7ygmra/69449307 (2026) #MILF #BigTits #Bigass #Roleplay #RIPNSFW")</f>
        <v>{New} Dani Daniels https://streamtape.com/v/Qb9O7oVoq6CRpo/69449307 https://lulustream.com/d/cjvq5yqvutoq https://doodstream.com/d/d3sb9u7ygmra/69449307 (2026) #MILF #BigTits #Bigass #Roleplay #RIPNSFW</v>
      </c>
      <c r="N470" s="14" t="s">
        <v>2072</v>
      </c>
      <c r="O470" s="15" t="s">
        <v>2431</v>
      </c>
      <c r="P470" s="14"/>
      <c r="Q470" s="6"/>
      <c r="R470" s="11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75">
      <c r="A471" s="6" t="s">
        <v>2432</v>
      </c>
      <c r="B471" s="6" t="s">
        <v>14</v>
      </c>
      <c r="C471" s="7" t="str">
        <f t="shared" si="4"/>
        <v xml:space="preserve">Dani Daniels </v>
      </c>
      <c r="D471" s="6" t="s">
        <v>2433</v>
      </c>
      <c r="E471" s="8" t="s">
        <v>2434</v>
      </c>
      <c r="F471" s="9" t="str">
        <f ca="1">IFERROR(__xludf.DUMMYFUNCTION("""https://streamtape.com/v/""&amp;
REGEXEXTRACT(O471,""/thumb/([^/]+)/"")&amp;
""/""&amp;K471"),"https://streamtape.com/v/JX9DYgrDeQfj1vo/71865378")</f>
        <v>https://streamtape.com/v/JX9DYgrDeQfj1vo/71865378</v>
      </c>
      <c r="G471" s="10" t="e">
        <f t="shared" ca="1" si="5"/>
        <v>#NAME?</v>
      </c>
      <c r="H471" s="11" t="str">
        <f ca="1">IFERROR(__xludf.DUMMYFUNCTION("IFERROR(SUBSTITUTE(SUBSTITUTE(REGEXEXTRACT(A471, ""[^-]+- [^-]+- [^-]+ - (.+?)\.jpg""), "".jpg"", """"), ""-"", "", ""), """")"),"")</f>
        <v/>
      </c>
      <c r="I471" s="6"/>
      <c r="J471" s="7" t="str">
        <f t="shared" ca="1" si="6"/>
        <v>(2026)</v>
      </c>
      <c r="K471" s="7" t="str">
        <f t="shared" si="7"/>
        <v>71865378</v>
      </c>
      <c r="L471" s="12" t="s">
        <v>2435</v>
      </c>
      <c r="M471" s="13" t="str">
        <f ca="1">IFERROR(__xludf.DUMMYFUNCTION("TRIM(
  REGEXREPLACE(
    TEXTJOIN("" "",
      TRUE,
      B471,
      C471,
      embaralharLinks(E471,F471,G471),
      H471,
      """",
      J471,
      N471,
      ""#RIPNSFW""
    ),
  "",\s*"", "" "")
)"),"{New} Dani Daniels https://lulustream.com/d/qb6kem99z6vm https://doodstream.com/d/6qibowqbhx7y/71865378 https://streamtape.com/v/JX9DYgrDeQfj1vo/71865378 (2026) #MILF #BigTits #Bigass #Roleplay #RIPNSFW")</f>
        <v>{New} Dani Daniels https://lulustream.com/d/qb6kem99z6vm https://doodstream.com/d/6qibowqbhx7y/71865378 https://streamtape.com/v/JX9DYgrDeQfj1vo/71865378 (2026) #MILF #BigTits #Bigass #Roleplay #RIPNSFW</v>
      </c>
      <c r="N471" s="14" t="s">
        <v>2072</v>
      </c>
      <c r="O471" s="15" t="s">
        <v>2436</v>
      </c>
      <c r="P471" s="14"/>
      <c r="Q471" s="6"/>
      <c r="R471" s="11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75">
      <c r="A472" s="6" t="s">
        <v>2437</v>
      </c>
      <c r="B472" s="6" t="s">
        <v>14</v>
      </c>
      <c r="C472" s="7" t="str">
        <f t="shared" si="4"/>
        <v xml:space="preserve">Dani Daniels </v>
      </c>
      <c r="D472" s="24" t="s">
        <v>2438</v>
      </c>
      <c r="E472" s="25" t="s">
        <v>2439</v>
      </c>
      <c r="F472" s="9" t="str">
        <f ca="1">IFERROR(__xludf.DUMMYFUNCTION("""https://streamtape.com/v/""&amp;
REGEXEXTRACT(O472,""/thumb/([^/]+)/"")&amp;
""/""&amp;K472"),"https://streamtape.com/v/Vo4OAyaRxbikPA/73207233")</f>
        <v>https://streamtape.com/v/Vo4OAyaRxbikPA/73207233</v>
      </c>
      <c r="G472" s="10" t="e">
        <f t="shared" ca="1" si="5"/>
        <v>#NAME?</v>
      </c>
      <c r="H472" s="11" t="str">
        <f ca="1">IFERROR(__xludf.DUMMYFUNCTION("IFERROR(SUBSTITUTE(SUBSTITUTE(REGEXEXTRACT(A472, ""[^-]+- [^-]+- [^-]+ - (.+?)\.jpg""), "".jpg"", """"), ""-"", "", ""), """")"),"")</f>
        <v/>
      </c>
      <c r="I472" s="6"/>
      <c r="J472" s="7" t="str">
        <f t="shared" ca="1" si="6"/>
        <v>(2026)</v>
      </c>
      <c r="K472" s="7" t="str">
        <f t="shared" si="7"/>
        <v>73207233</v>
      </c>
      <c r="L472" s="12" t="s">
        <v>2061</v>
      </c>
      <c r="M472" s="13" t="str">
        <f ca="1">IFERROR(__xludf.DUMMYFUNCTION("TRIM(
  REGEXREPLACE(
    TEXTJOIN("" "",
      TRUE,
      B472,
      C472,
      embaralharLinks(E472,F472,G472),
      H472,
      """",
      J472,
      N472,
      ""#RIPNSFW""
    ),
  "",\s*"", "" "")
)"),"{New} Dani Daniels https://lulustream.com/d/ubpyfc2pxdkq https://streamtape.com/v/Vo4OAyaRxbikPA/73207233 https://doodstream.com/d/3duw7yczunc4/73207233 (2026) #milf #bigtits #bigass #solo #RIPNSFW")</f>
        <v>{New} Dani Daniels https://lulustream.com/d/ubpyfc2pxdkq https://streamtape.com/v/Vo4OAyaRxbikPA/73207233 https://doodstream.com/d/3duw7yczunc4/73207233 (2026) #milf #bigtits #bigass #solo #RIPNSFW</v>
      </c>
      <c r="N472" s="31" t="s">
        <v>2061</v>
      </c>
      <c r="O472" s="32" t="s">
        <v>2440</v>
      </c>
      <c r="P472" s="26"/>
      <c r="Q472" s="6"/>
      <c r="R472" s="11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75">
      <c r="A473" s="6" t="s">
        <v>2441</v>
      </c>
      <c r="B473" s="6" t="s">
        <v>14</v>
      </c>
      <c r="C473" s="7" t="str">
        <f t="shared" si="4"/>
        <v xml:space="preserve">Dani Daniels </v>
      </c>
      <c r="D473" s="6" t="s">
        <v>2442</v>
      </c>
      <c r="E473" s="8" t="s">
        <v>2443</v>
      </c>
      <c r="F473" s="9" t="str">
        <f ca="1">IFERROR(__xludf.DUMMYFUNCTION("""https://streamtape.com/v/""&amp;
REGEXEXTRACT(O473,""/thumb/([^/]+)/"")&amp;
""/""&amp;K473"),"https://streamtape.com/v/8z2a6jYq3RfoLAZ/73731266")</f>
        <v>https://streamtape.com/v/8z2a6jYq3RfoLAZ/73731266</v>
      </c>
      <c r="G473" s="10" t="e">
        <f t="shared" ca="1" si="5"/>
        <v>#NAME?</v>
      </c>
      <c r="H473" s="11" t="str">
        <f ca="1">IFERROR(__xludf.DUMMYFUNCTION("IFERROR(SUBSTITUTE(SUBSTITUTE(REGEXEXTRACT(A473, ""[^-]+- [^-]+- [^-]+ - (.+?)\.jpg""), "".jpg"", """"), ""-"", "", ""), """")"),"")</f>
        <v/>
      </c>
      <c r="I473" s="6"/>
      <c r="J473" s="7" t="str">
        <f t="shared" ca="1" si="6"/>
        <v>(2026)</v>
      </c>
      <c r="K473" s="7" t="str">
        <f t="shared" si="7"/>
        <v>73731266</v>
      </c>
      <c r="L473" s="12" t="s">
        <v>2444</v>
      </c>
      <c r="M473" s="13" t="str">
        <f ca="1">IFERROR(__xludf.DUMMYFUNCTION("TRIM(
  REGEXREPLACE(
    TEXTJOIN("" "",
      TRUE,
      B473,
      C473,
      embaralharLinks(E473,F473,G473),
      H473,
      """",
      J473,
      N473,
      ""#RIPNSFW""
    ),
  "",\s*"", "" "")
)"),"{New} Dani Daniels https://lulustream.com/d/q5lb51rz45s1 https://streamtape.com/v/8z2a6jYq3RfoLAZ/73731266 https://doodstream.com/d/36f5w5f8mqho/73731266 (2026) #MILF #Bigass #Roleplay #Solo #RIPNSFW")</f>
        <v>{New} Dani Daniels https://lulustream.com/d/q5lb51rz45s1 https://streamtape.com/v/8z2a6jYq3RfoLAZ/73731266 https://doodstream.com/d/36f5w5f8mqho/73731266 (2026) #MILF #Bigass #Roleplay #Solo #RIPNSFW</v>
      </c>
      <c r="N473" s="14" t="s">
        <v>2445</v>
      </c>
      <c r="O473" s="15" t="s">
        <v>2446</v>
      </c>
      <c r="P473" s="14"/>
      <c r="Q473" s="6"/>
      <c r="R473" s="11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>
      <c r="A474" s="12" t="s">
        <v>2447</v>
      </c>
      <c r="B474" s="6" t="s">
        <v>14</v>
      </c>
      <c r="C474" s="7" t="str">
        <f t="shared" si="4"/>
        <v xml:space="preserve">Dani Daniels </v>
      </c>
      <c r="D474" s="27" t="s">
        <v>2448</v>
      </c>
      <c r="E474" s="28" t="s">
        <v>2449</v>
      </c>
      <c r="F474" s="9" t="str">
        <f ca="1">IFERROR(__xludf.DUMMYFUNCTION("""https://streamtape.com/v/""&amp;
REGEXEXTRACT(O474,""/thumb/([^/]+)/"")&amp;
""/""&amp;K474"),"https://streamtape.com/v/gY1J4Wov06cBqr/73971620")</f>
        <v>https://streamtape.com/v/gY1J4Wov06cBqr/73971620</v>
      </c>
      <c r="G474" s="10" t="e">
        <f t="shared" ca="1" si="5"/>
        <v>#NAME?</v>
      </c>
      <c r="H474" s="11" t="str">
        <f ca="1">IFERROR(__xludf.DUMMYFUNCTION("IFERROR(SUBSTITUTE(SUBSTITUTE(REGEXEXTRACT(A474, ""[^-]+- [^-]+- [^-]+ - (.+?)\.jpg""), "".jpg"", """"), ""-"", "", ""), """")"),"")</f>
        <v/>
      </c>
      <c r="I474" s="6"/>
      <c r="J474" s="7" t="str">
        <f t="shared" ca="1" si="6"/>
        <v>(2026)</v>
      </c>
      <c r="K474" s="7" t="str">
        <f t="shared" si="7"/>
        <v>73971620</v>
      </c>
      <c r="L474" s="12" t="s">
        <v>2163</v>
      </c>
      <c r="M474" s="13" t="str">
        <f ca="1">IFERROR(__xludf.DUMMYFUNCTION("TRIM(
  REGEXREPLACE(
    TEXTJOIN("" "",
      TRUE,
      B474,
      C474,
      embaralharLinks(E474,F474,G474),
      H474,
      """",
      J474,
      N474,
      ""#RIPNSFW""
    ),
  "",\s*"", "" "")
)"),"{New} Dani Daniels https://streamtape.com/v/gY1J4Wov06cBqr/73971620 https://lulustream.com/d/t5w07bz3l7vs https://doodstream.com/d/ii0pq75wcew5/73971620 (2026) #MILF #BigTits #Bigass #Blowjob #RIPNSFW")</f>
        <v>{New} Dani Daniels https://streamtape.com/v/gY1J4Wov06cBqr/73971620 https://lulustream.com/d/t5w07bz3l7vs https://doodstream.com/d/ii0pq75wcew5/73971620 (2026) #MILF #BigTits #Bigass #Blowjob #RIPNSFW</v>
      </c>
      <c r="N474" s="2" t="s">
        <v>2135</v>
      </c>
      <c r="O474" s="30" t="s">
        <v>2450</v>
      </c>
      <c r="P474" s="26"/>
      <c r="R474" s="23"/>
    </row>
    <row r="475" spans="1:27" ht="12.75">
      <c r="A475" s="12" t="s">
        <v>2451</v>
      </c>
      <c r="B475" s="6" t="s">
        <v>14</v>
      </c>
      <c r="C475" s="7" t="str">
        <f t="shared" si="4"/>
        <v xml:space="preserve">Dani Daniels </v>
      </c>
      <c r="D475" s="24" t="s">
        <v>2452</v>
      </c>
      <c r="E475" s="25" t="s">
        <v>2453</v>
      </c>
      <c r="F475" s="9" t="str">
        <f ca="1">IFERROR(__xludf.DUMMYFUNCTION("""https://streamtape.com/v/""&amp;
REGEXEXTRACT(O475,""/thumb/([^/]+)/"")&amp;
""/""&amp;K475"),"https://streamtape.com/v/WZ7dPPqKydtbZ88/75405909")</f>
        <v>https://streamtape.com/v/WZ7dPPqKydtbZ88/75405909</v>
      </c>
      <c r="G475" s="10" t="e">
        <f t="shared" ca="1" si="5"/>
        <v>#NAME?</v>
      </c>
      <c r="H475" s="11" t="str">
        <f ca="1">IFERROR(__xludf.DUMMYFUNCTION("IFERROR(SUBSTITUTE(SUBSTITUTE(REGEXEXTRACT(A475, ""[^-]+- [^-]+- [^-]+ - (.+?)\.jpg""), "".jpg"", """"), ""-"", "", ""), """")"),"")</f>
        <v/>
      </c>
      <c r="I475" s="6"/>
      <c r="J475" s="7" t="str">
        <f t="shared" ca="1" si="6"/>
        <v>(2026)</v>
      </c>
      <c r="K475" s="7" t="str">
        <f t="shared" si="7"/>
        <v>75405909</v>
      </c>
      <c r="L475" s="12" t="s">
        <v>2418</v>
      </c>
      <c r="M475" s="13" t="str">
        <f ca="1">IFERROR(__xludf.DUMMYFUNCTION("TRIM(
  REGEXREPLACE(
    TEXTJOIN("" "",
      TRUE,
      B475,
      C475,
      embaralharLinks(E475,F475,G475),
      H475,
      """",
      J475,
      N475,
      ""#RIPNSFW""
    ),
  "",\s*"", "" "")
)"),"{New} Dani Daniels https://doodstream.com/d/mqjm3f1f2tyf/75405909 https://streamtape.com/v/WZ7dPPqKydtbZ88/75405909 https://lulustream.com/d/00art7ufnlyg (2026) #milf #solo #bigass #bigtits #RIPNSFW")</f>
        <v>{New} Dani Daniels https://doodstream.com/d/mqjm3f1f2tyf/75405909 https://streamtape.com/v/WZ7dPPqKydtbZ88/75405909 https://lulustream.com/d/00art7ufnlyg (2026) #milf #solo #bigass #bigtits #RIPNSFW</v>
      </c>
      <c r="N475" s="2" t="s">
        <v>2418</v>
      </c>
      <c r="O475" s="30" t="s">
        <v>2454</v>
      </c>
      <c r="P475" s="26"/>
      <c r="R475" s="23"/>
      <c r="T475" s="6"/>
      <c r="U475" s="7"/>
    </row>
    <row r="476" spans="1:27" ht="12.75">
      <c r="A476" s="6" t="s">
        <v>2455</v>
      </c>
      <c r="B476" s="6" t="s">
        <v>14</v>
      </c>
      <c r="C476" s="7" t="str">
        <f t="shared" si="4"/>
        <v xml:space="preserve">Dani Daniels </v>
      </c>
      <c r="D476" s="6" t="s">
        <v>2456</v>
      </c>
      <c r="E476" s="8" t="s">
        <v>2457</v>
      </c>
      <c r="F476" s="9" t="str">
        <f ca="1">IFERROR(__xludf.DUMMYFUNCTION("""https://streamtape.com/v/""&amp;
REGEXEXTRACT(O476,""/thumb/([^/]+)/"")&amp;
""/""&amp;K476"),"https://streamtape.com/v/6kaDWkx8WVI9zgv/77462867")</f>
        <v>https://streamtape.com/v/6kaDWkx8WVI9zgv/77462867</v>
      </c>
      <c r="G476" s="10" t="e">
        <f t="shared" ca="1" si="5"/>
        <v>#NAME?</v>
      </c>
      <c r="H476" s="11" t="str">
        <f ca="1">IFERROR(__xludf.DUMMYFUNCTION("IFERROR(SUBSTITUTE(SUBSTITUTE(REGEXEXTRACT(A476, ""[^-]+- [^-]+- [^-]+ - (.+?)\.jpg""), "".jpg"", """"), ""-"", "", ""), """")"),"")</f>
        <v/>
      </c>
      <c r="I476" s="6"/>
      <c r="J476" s="7" t="str">
        <f t="shared" ca="1" si="6"/>
        <v>(2026)</v>
      </c>
      <c r="K476" s="7" t="str">
        <f t="shared" si="7"/>
        <v>77462867</v>
      </c>
      <c r="L476" s="12" t="s">
        <v>2100</v>
      </c>
      <c r="M476" s="13" t="str">
        <f ca="1">IFERROR(__xludf.DUMMYFUNCTION("TRIM(
  REGEXREPLACE(
    TEXTJOIN("" "",
      TRUE,
      B476,
      C476,
      embaralharLinks(E476,F476,G476),
      H476,
      """",
      J476,
      N476,
      ""#RIPNSFW""
    ),
  "",\s*"", "" "")
)"),"{New} Dani Daniels https://streamtape.com/v/6kaDWkx8WVI9zgv/77462867 https://doodstream.com/d/g0rtv37xr7b2/77462867 https://lulustream.com/d/nz8zg27p7cuo (2026) #MILF #BigTits #Bigass #Solo #RIPNSFW")</f>
        <v>{New} Dani Daniels https://streamtape.com/v/6kaDWkx8WVI9zgv/77462867 https://doodstream.com/d/g0rtv37xr7b2/77462867 https://lulustream.com/d/nz8zg27p7cuo (2026) #MILF #BigTits #Bigass #Solo #RIPNSFW</v>
      </c>
      <c r="N476" s="14" t="s">
        <v>2101</v>
      </c>
      <c r="O476" s="15" t="s">
        <v>2458</v>
      </c>
      <c r="P476" s="14"/>
      <c r="Q476" s="6"/>
      <c r="R476" s="11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>
      <c r="A477" s="6" t="s">
        <v>2459</v>
      </c>
      <c r="B477" s="6" t="s">
        <v>14</v>
      </c>
      <c r="C477" s="7" t="str">
        <f t="shared" si="4"/>
        <v xml:space="preserve">Dani Daniels </v>
      </c>
      <c r="D477" s="6" t="s">
        <v>2460</v>
      </c>
      <c r="E477" s="8" t="s">
        <v>2461</v>
      </c>
      <c r="F477" s="9" t="str">
        <f ca="1">IFERROR(__xludf.DUMMYFUNCTION("""https://streamtape.com/v/""&amp;
REGEXEXTRACT(O477,""/thumb/([^/]+)/"")&amp;
""/""&amp;K477"),"https://streamtape.com/v/ja4vKopvGRizK7a/77851374")</f>
        <v>https://streamtape.com/v/ja4vKopvGRizK7a/77851374</v>
      </c>
      <c r="G477" s="10" t="e">
        <f t="shared" ca="1" si="5"/>
        <v>#NAME?</v>
      </c>
      <c r="H477" s="11" t="str">
        <f ca="1">IFERROR(__xludf.DUMMYFUNCTION("IFERROR(SUBSTITUTE(SUBSTITUTE(REGEXEXTRACT(A477, ""[^-]+- [^-]+- [^-]+ - (.+?)\.jpg""), "".jpg"", """"), ""-"", "", ""), """")"),"")</f>
        <v/>
      </c>
      <c r="I477" s="6"/>
      <c r="J477" s="7" t="str">
        <f t="shared" ca="1" si="6"/>
        <v>(2026)</v>
      </c>
      <c r="K477" s="7" t="str">
        <f t="shared" si="7"/>
        <v>77851374</v>
      </c>
      <c r="L477" s="12" t="s">
        <v>2077</v>
      </c>
      <c r="M477" s="13" t="str">
        <f ca="1">IFERROR(__xludf.DUMMYFUNCTION("TRIM(
  REGEXREPLACE(
    TEXTJOIN("" "",
      TRUE,
      B477,
      C477,
      embaralharLinks(E477,F477,G477),
      H477,
      """",
      J477,
      N477,
      ""#RIPNSFW""
    ),
  "",\s*"", "" "")
)"),"{New} Dani Daniels https://lulustream.com/d/4wuc9ivc1lcl https://streamtape.com/v/ja4vKopvGRizK7a/77851374 https://doodstream.com/d/h3wlyp7vkex0/77851374 (2026) #MILF #BigTits #Bigass #Roleplay #RIPNSFW")</f>
        <v>{New} Dani Daniels https://lulustream.com/d/4wuc9ivc1lcl https://streamtape.com/v/ja4vKopvGRizK7a/77851374 https://doodstream.com/d/h3wlyp7vkex0/77851374 (2026) #MILF #BigTits #Bigass #Roleplay #RIPNSFW</v>
      </c>
      <c r="N477" s="14" t="s">
        <v>2072</v>
      </c>
      <c r="O477" s="15" t="s">
        <v>2462</v>
      </c>
      <c r="P477" s="14"/>
      <c r="Q477" s="6"/>
      <c r="R477" s="11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>
      <c r="A478" s="6" t="s">
        <v>2463</v>
      </c>
      <c r="B478" s="6" t="s">
        <v>14</v>
      </c>
      <c r="C478" s="7" t="str">
        <f t="shared" si="4"/>
        <v xml:space="preserve">Dani Daniels </v>
      </c>
      <c r="D478" s="6" t="s">
        <v>2464</v>
      </c>
      <c r="E478" s="8" t="s">
        <v>2465</v>
      </c>
      <c r="F478" s="9" t="str">
        <f ca="1">IFERROR(__xludf.DUMMYFUNCTION("""https://streamtape.com/v/""&amp;
REGEXEXTRACT(O478,""/thumb/([^/]+)/"")&amp;
""/""&amp;K478"),"https://streamtape.com/v/0RQZxw0BMycbGbj/78535438")</f>
        <v>https://streamtape.com/v/0RQZxw0BMycbGbj/78535438</v>
      </c>
      <c r="G478" s="10" t="e">
        <f t="shared" ca="1" si="5"/>
        <v>#NAME?</v>
      </c>
      <c r="H478" s="11" t="str">
        <f ca="1">IFERROR(__xludf.DUMMYFUNCTION("IFERROR(SUBSTITUTE(SUBSTITUTE(REGEXEXTRACT(A478, ""[^-]+- [^-]+- [^-]+ - (.+?)\.jpg""), "".jpg"", """"), ""-"", "", ""), """")"),"")</f>
        <v/>
      </c>
      <c r="I478" s="6"/>
      <c r="J478" s="7" t="str">
        <f t="shared" ca="1" si="6"/>
        <v>(2026)</v>
      </c>
      <c r="K478" s="7" t="str">
        <f t="shared" si="7"/>
        <v>78535438</v>
      </c>
      <c r="L478" s="12" t="s">
        <v>2134</v>
      </c>
      <c r="M478" s="13" t="str">
        <f ca="1">IFERROR(__xludf.DUMMYFUNCTION("TRIM(
  REGEXREPLACE(
    TEXTJOIN("" "",
      TRUE,
      B478,
      C478,
      embaralharLinks(E478,F478,G478),
      H478,
      """",
      J478,
      N478,
      ""#RIPNSFW""
    ),
  "",\s*"", "" "")
)"),"{New} Dani Daniels https://lulustream.com/d/hec1uic9duzv https://doodstream.com/d/67sktvkei3vi/78535438 https://streamtape.com/v/0RQZxw0BMycbGbj/78535438 (2026) #MILF #BigTits #Bigass #Blowjob #Solo #RIPNSFW")</f>
        <v>{New} Dani Daniels https://lulustream.com/d/hec1uic9duzv https://doodstream.com/d/67sktvkei3vi/78535438 https://streamtape.com/v/0RQZxw0BMycbGbj/78535438 (2026) #MILF #BigTits #Bigass #Blowjob #Solo #RIPNSFW</v>
      </c>
      <c r="N478" s="14" t="s">
        <v>2466</v>
      </c>
      <c r="O478" s="15" t="s">
        <v>2467</v>
      </c>
      <c r="P478" s="14"/>
      <c r="Q478" s="6"/>
      <c r="R478" s="11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>
      <c r="A479" s="6" t="s">
        <v>2468</v>
      </c>
      <c r="B479" s="6" t="s">
        <v>14</v>
      </c>
      <c r="C479" s="7" t="str">
        <f t="shared" si="4"/>
        <v xml:space="preserve">Dani Daniels </v>
      </c>
      <c r="D479" s="6" t="s">
        <v>2469</v>
      </c>
      <c r="E479" s="8" t="s">
        <v>2470</v>
      </c>
      <c r="F479" s="9" t="str">
        <f ca="1">IFERROR(__xludf.DUMMYFUNCTION("""https://streamtape.com/v/""&amp;
REGEXEXTRACT(O479,""/thumb/([^/]+)/"")&amp;
""/""&amp;K479"),"https://streamtape.com/v/ZJLl1aV26BsqWx0/79153926")</f>
        <v>https://streamtape.com/v/ZJLl1aV26BsqWx0/79153926</v>
      </c>
      <c r="G479" s="10" t="e">
        <f t="shared" ca="1" si="5"/>
        <v>#NAME?</v>
      </c>
      <c r="H479" s="11" t="str">
        <f ca="1">IFERROR(__xludf.DUMMYFUNCTION("IFERROR(SUBSTITUTE(SUBSTITUTE(REGEXEXTRACT(A479, ""[^-]+- [^-]+- [^-]+ - (.+?)\.jpg""), "".jpg"", """"), ""-"", "", ""), """")"),"")</f>
        <v/>
      </c>
      <c r="I479" s="6"/>
      <c r="J479" s="7" t="str">
        <f t="shared" ca="1" si="6"/>
        <v>(2026)</v>
      </c>
      <c r="K479" s="7" t="str">
        <f t="shared" si="7"/>
        <v>79153926</v>
      </c>
      <c r="L479" s="12" t="s">
        <v>2226</v>
      </c>
      <c r="M479" s="13" t="str">
        <f ca="1">IFERROR(__xludf.DUMMYFUNCTION("TRIM(
  REGEXREPLACE(
    TEXTJOIN("" "",
      TRUE,
      B479,
      C479,
      embaralharLinks(E479,F479,G479),
      H479,
      """",
      J479,
      N479,
      ""#RIPNSFW""
    ),
  "",\s*"", "" "")
)"),"{New} Dani Daniels https://lulustream.com/d/8aqbq4pybibh https://doodstream.com/d/rr9m6odch1l5/79153926 https://streamtape.com/v/ZJLl1aV26BsqWx0/79153926 (2026) #MILF #BigTits #Bigass #Blowjob #Amateur #RIPNSFW")</f>
        <v>{New} Dani Daniels https://lulustream.com/d/8aqbq4pybibh https://doodstream.com/d/rr9m6odch1l5/79153926 https://streamtape.com/v/ZJLl1aV26BsqWx0/79153926 (2026) #MILF #BigTits #Bigass #Blowjob #Amateur #RIPNSFW</v>
      </c>
      <c r="N479" s="14" t="s">
        <v>1326</v>
      </c>
      <c r="O479" s="15" t="s">
        <v>2471</v>
      </c>
      <c r="P479" s="14"/>
      <c r="Q479" s="6"/>
      <c r="R479" s="11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>
      <c r="A480" s="6" t="s">
        <v>2472</v>
      </c>
      <c r="B480" s="6" t="s">
        <v>14</v>
      </c>
      <c r="C480" s="7" t="str">
        <f t="shared" si="4"/>
        <v xml:space="preserve">Dani Daniels </v>
      </c>
      <c r="D480" s="24" t="s">
        <v>2473</v>
      </c>
      <c r="E480" s="25" t="s">
        <v>2474</v>
      </c>
      <c r="F480" s="9" t="str">
        <f ca="1">IFERROR(__xludf.DUMMYFUNCTION("""https://streamtape.com/v/""&amp;
REGEXEXTRACT(O480,""/thumb/([^/]+)/"")&amp;
""/""&amp;K480"),"https://streamtape.com/v/YLo08o3lqMcvbja/80036291")</f>
        <v>https://streamtape.com/v/YLo08o3lqMcvbja/80036291</v>
      </c>
      <c r="G480" s="10" t="e">
        <f t="shared" ca="1" si="5"/>
        <v>#NAME?</v>
      </c>
      <c r="H480" s="11" t="str">
        <f ca="1">IFERROR(__xludf.DUMMYFUNCTION("IFERROR(SUBSTITUTE(SUBSTITUTE(REGEXEXTRACT(A480, ""[^-]+- [^-]+- [^-]+ - (.+?)\.jpg""), "".jpg"", """"), ""-"", "", ""), """")"),"")</f>
        <v/>
      </c>
      <c r="I480" s="6"/>
      <c r="J480" s="7" t="str">
        <f t="shared" ca="1" si="6"/>
        <v>(2026)</v>
      </c>
      <c r="K480" s="7" t="str">
        <f t="shared" si="7"/>
        <v>80036291</v>
      </c>
      <c r="L480" s="12" t="s">
        <v>2061</v>
      </c>
      <c r="M480" s="13" t="str">
        <f ca="1">IFERROR(__xludf.DUMMYFUNCTION("TRIM(
  REGEXREPLACE(
    TEXTJOIN("" "",
      TRUE,
      B480,
      C480,
      embaralharLinks(E480,F480,G480),
      H480,
      """",
      J480,
      N480,
      ""#RIPNSFW""
    ),
  "",\s*"", "" "")
)"),"{New} Dani Daniels https://lulustream.com/d/2c9dccb3d849 https://doodstream.com/d/su3ktmp7ox00/80036291 https://streamtape.com/v/YLo08o3lqMcvbja/80036291 (2026) #milf #bigtits #bigass #solo #RIPNSFW")</f>
        <v>{New} Dani Daniels https://lulustream.com/d/2c9dccb3d849 https://doodstream.com/d/su3ktmp7ox00/80036291 https://streamtape.com/v/YLo08o3lqMcvbja/80036291 (2026) #milf #bigtits #bigass #solo #RIPNSFW</v>
      </c>
      <c r="N480" s="31" t="s">
        <v>2061</v>
      </c>
      <c r="O480" s="32" t="s">
        <v>2475</v>
      </c>
      <c r="P480" s="26"/>
      <c r="Q480" s="6"/>
      <c r="R480" s="11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>
      <c r="A481" s="12" t="s">
        <v>2476</v>
      </c>
      <c r="B481" s="6" t="s">
        <v>14</v>
      </c>
      <c r="C481" s="7" t="str">
        <f t="shared" si="4"/>
        <v xml:space="preserve">Dani Daniels </v>
      </c>
      <c r="D481" s="27" t="s">
        <v>2477</v>
      </c>
      <c r="E481" s="28" t="s">
        <v>2478</v>
      </c>
      <c r="F481" s="9" t="str">
        <f ca="1">IFERROR(__xludf.DUMMYFUNCTION("""https://streamtape.com/v/""&amp;
REGEXEXTRACT(O481,""/thumb/([^/]+)/"")&amp;
""/""&amp;K481"),"https://streamtape.com/v/3dP0r3xwx6fdVqb/81731075")</f>
        <v>https://streamtape.com/v/3dP0r3xwx6fdVqb/81731075</v>
      </c>
      <c r="G481" s="10" t="e">
        <f t="shared" ca="1" si="5"/>
        <v>#NAME?</v>
      </c>
      <c r="H481" s="11" t="str">
        <f ca="1">IFERROR(__xludf.DUMMYFUNCTION("IFERROR(SUBSTITUTE(SUBSTITUTE(REGEXEXTRACT(A481, ""[^-]+- [^-]+- [^-]+ - (.+?)\.jpg""), "".jpg"", """"), ""-"", "", ""), """")"),"")</f>
        <v/>
      </c>
      <c r="I481" s="6"/>
      <c r="J481" s="7" t="str">
        <f t="shared" ca="1" si="6"/>
        <v>(2026)</v>
      </c>
      <c r="K481" s="7" t="str">
        <f t="shared" si="7"/>
        <v>81731075</v>
      </c>
      <c r="L481" s="12" t="s">
        <v>2163</v>
      </c>
      <c r="M481" s="13" t="str">
        <f ca="1">IFERROR(__xludf.DUMMYFUNCTION("TRIM(
  REGEXREPLACE(
    TEXTJOIN("" "",
      TRUE,
      B481,
      C481,
      embaralharLinks(E481,F481,G481),
      H481,
      """",
      J481,
      N481,
      ""#RIPNSFW""
    ),
  "",\s*"", "" "")
)"),"{New} Dani Daniels https://lulustream.com/d/x06qkv28hhwf https://streamtape.com/v/3dP0r3xwx6fdVqb/81731075 https://doodstream.com/d/ibrnyhgurqu8/81731075 (2026) #MILF #BigTits #Bigass #Blowjob #RIPNSFW")</f>
        <v>{New} Dani Daniels https://lulustream.com/d/x06qkv28hhwf https://streamtape.com/v/3dP0r3xwx6fdVqb/81731075 https://doodstream.com/d/ibrnyhgurqu8/81731075 (2026) #MILF #BigTits #Bigass #Blowjob #RIPNSFW</v>
      </c>
      <c r="N481" s="2" t="s">
        <v>2135</v>
      </c>
      <c r="O481" s="30" t="s">
        <v>2479</v>
      </c>
      <c r="P481" s="26"/>
      <c r="R481" s="23"/>
    </row>
    <row r="482" spans="1:27" ht="12.75">
      <c r="A482" s="12" t="s">
        <v>2480</v>
      </c>
      <c r="B482" s="6" t="s">
        <v>14</v>
      </c>
      <c r="C482" s="7" t="str">
        <f t="shared" si="4"/>
        <v xml:space="preserve">Dani Daniels </v>
      </c>
      <c r="D482" s="24" t="s">
        <v>2481</v>
      </c>
      <c r="E482" s="25" t="s">
        <v>2482</v>
      </c>
      <c r="F482" s="9" t="str">
        <f ca="1">IFERROR(__xludf.DUMMYFUNCTION("""https://streamtape.com/v/""&amp;
REGEXEXTRACT(O482,""/thumb/([^/]+)/"")&amp;
""/""&amp;K482"),"https://streamtape.com/v/1A47ZaP7ydteepJ/82404264")</f>
        <v>https://streamtape.com/v/1A47ZaP7ydteepJ/82404264</v>
      </c>
      <c r="G482" s="10" t="e">
        <f t="shared" ca="1" si="5"/>
        <v>#NAME?</v>
      </c>
      <c r="H482" s="11" t="str">
        <f ca="1">IFERROR(__xludf.DUMMYFUNCTION("IFERROR(SUBSTITUTE(SUBSTITUTE(REGEXEXTRACT(A482, ""[^-]+- [^-]+- [^-]+ - (.+?)\.jpg""), "".jpg"", """"), ""-"", "", ""), """")"),"")</f>
        <v/>
      </c>
      <c r="I482" s="6"/>
      <c r="J482" s="7" t="str">
        <f t="shared" ca="1" si="6"/>
        <v>(2026)</v>
      </c>
      <c r="K482" s="7" t="str">
        <f t="shared" si="7"/>
        <v>82404264</v>
      </c>
      <c r="L482" s="12" t="s">
        <v>2483</v>
      </c>
      <c r="M482" s="13" t="str">
        <f ca="1">IFERROR(__xludf.DUMMYFUNCTION("TRIM(
  REGEXREPLACE(
    TEXTJOIN("" "",
      TRUE,
      B482,
      C482,
      embaralharLinks(E482,F482,G482),
      H482,
      """",
      J482,
      N482,
      ""#RIPNSFW""
    ),
  "",\s*"", "" "")
)"),"{New} Dani Daniels https://streamtape.com/v/1A47ZaP7ydteepJ/82404264 https://lulustream.com/d/cg08vl3zx9lz https://doodstream.com/d/xh444pbric9p/82404264 (2026) #milf #bigtits #bigass #creampie #RIPNSFW")</f>
        <v>{New} Dani Daniels https://streamtape.com/v/1A47ZaP7ydteepJ/82404264 https://lulustream.com/d/cg08vl3zx9lz https://doodstream.com/d/xh444pbric9p/82404264 (2026) #milf #bigtits #bigass #creampie #RIPNSFW</v>
      </c>
      <c r="N482" s="2" t="s">
        <v>2483</v>
      </c>
      <c r="O482" s="30" t="s">
        <v>2484</v>
      </c>
      <c r="P482" s="26"/>
      <c r="R482" s="23"/>
    </row>
    <row r="483" spans="1:27" ht="12.75">
      <c r="A483" s="12" t="s">
        <v>2485</v>
      </c>
      <c r="B483" s="6" t="s">
        <v>14</v>
      </c>
      <c r="C483" s="7" t="str">
        <f t="shared" si="4"/>
        <v xml:space="preserve">Dani Daniels </v>
      </c>
      <c r="D483" s="24" t="s">
        <v>2486</v>
      </c>
      <c r="E483" s="25" t="s">
        <v>2487</v>
      </c>
      <c r="F483" s="9" t="str">
        <f ca="1">IFERROR(__xludf.DUMMYFUNCTION("""https://streamtape.com/v/""&amp;
REGEXEXTRACT(O483,""/thumb/([^/]+)/"")&amp;
""/""&amp;K483"),"https://streamtape.com/v/Ald2rGdP4mTXY2o/84456951")</f>
        <v>https://streamtape.com/v/Ald2rGdP4mTXY2o/84456951</v>
      </c>
      <c r="G483" s="10" t="e">
        <f t="shared" ca="1" si="5"/>
        <v>#NAME?</v>
      </c>
      <c r="H483" s="11" t="str">
        <f ca="1">IFERROR(__xludf.DUMMYFUNCTION("IFERROR(SUBSTITUTE(SUBSTITUTE(REGEXEXTRACT(A483, ""[^-]+- [^-]+- [^-]+ - (.+?)\.jpg""), "".jpg"", """"), ""-"", "", ""), """")"),"")</f>
        <v/>
      </c>
      <c r="I483" s="6"/>
      <c r="J483" s="7" t="str">
        <f t="shared" ca="1" si="6"/>
        <v>(2026)</v>
      </c>
      <c r="K483" s="7" t="str">
        <f t="shared" si="7"/>
        <v>84456951</v>
      </c>
      <c r="L483" s="12" t="s">
        <v>1798</v>
      </c>
      <c r="M483" s="13" t="str">
        <f ca="1">IFERROR(__xludf.DUMMYFUNCTION("TRIM(
  REGEXREPLACE(
    TEXTJOIN("" "",
      TRUE,
      B483,
      C483,
      embaralharLinks(E483,F483,G483),
      H483,
      """",
      J483,
      N483,
      ""#RIPNSFW""
    ),
  "",\s*"", "" "")
)"),"{New} Dani Daniels https://doodstream.com/d/brfvlq3a849f/84456951 https://streamtape.com/v/Ald2rGdP4mTXY2o/84456951 https://lulustream.com/d/vo19vjfr5m55 (2026) #milf #bigtits #hardcore #bigass #RIPNSFW")</f>
        <v>{New} Dani Daniels https://doodstream.com/d/brfvlq3a849f/84456951 https://streamtape.com/v/Ald2rGdP4mTXY2o/84456951 https://lulustream.com/d/vo19vjfr5m55 (2026) #milf #bigtits #hardcore #bigass #RIPNSFW</v>
      </c>
      <c r="N483" s="2" t="s">
        <v>1798</v>
      </c>
      <c r="O483" s="30" t="s">
        <v>2488</v>
      </c>
      <c r="P483" s="26"/>
      <c r="R483" s="23"/>
      <c r="T483" s="6"/>
      <c r="U483" s="7"/>
      <c r="Z483" s="12"/>
      <c r="AA483" s="12"/>
    </row>
    <row r="484" spans="1:27" ht="12.75">
      <c r="A484" s="6" t="s">
        <v>2489</v>
      </c>
      <c r="B484" s="6" t="s">
        <v>14</v>
      </c>
      <c r="C484" s="7" t="str">
        <f t="shared" si="4"/>
        <v xml:space="preserve">Dani Daniels </v>
      </c>
      <c r="D484" s="6" t="s">
        <v>2490</v>
      </c>
      <c r="E484" s="8" t="s">
        <v>2491</v>
      </c>
      <c r="F484" s="9" t="str">
        <f ca="1">IFERROR(__xludf.DUMMYFUNCTION("""https://streamtape.com/v/""&amp;
REGEXEXTRACT(O484,""/thumb/([^/]+)/"")&amp;
""/""&amp;K484"),"https://streamtape.com/v/wxrQOvl0g2iJ3wk/86477252")</f>
        <v>https://streamtape.com/v/wxrQOvl0g2iJ3wk/86477252</v>
      </c>
      <c r="G484" s="10" t="e">
        <f t="shared" ca="1" si="5"/>
        <v>#NAME?</v>
      </c>
      <c r="H484" s="11" t="str">
        <f ca="1">IFERROR(__xludf.DUMMYFUNCTION("IFERROR(SUBSTITUTE(SUBSTITUTE(REGEXEXTRACT(A484, ""[^-]+- [^-]+- [^-]+ - (.+?)\.jpg""), "".jpg"", """"), ""-"", "", ""), """")"),"")</f>
        <v/>
      </c>
      <c r="I484" s="6"/>
      <c r="J484" s="7" t="str">
        <f t="shared" ca="1" si="6"/>
        <v>(2026)</v>
      </c>
      <c r="K484" s="7" t="str">
        <f t="shared" si="7"/>
        <v>86477252</v>
      </c>
      <c r="L484" s="12" t="s">
        <v>899</v>
      </c>
      <c r="M484" s="13" t="str">
        <f ca="1">IFERROR(__xludf.DUMMYFUNCTION("TRIM(
  REGEXREPLACE(
    TEXTJOIN("" "",
      TRUE,
      B484,
      C484,
      embaralharLinks(E484,F484,G484),
      H484,
      """",
      J484,
      N484,
      ""#RIPNSFW""
    ),
  "",\s*"", "" "")
)"),"{New} Dani Daniels https://doodstream.com/d/xte0eo0v1ykg/86477252 https://streamtape.com/v/wxrQOvl0g2iJ3wk/86477252 https://lulustream.com/d/ltnj59i4ntbd (2026) #MILF #BigTits #Hardcore #Bigass #Blowjob #RIPNSFW")</f>
        <v>{New} Dani Daniels https://doodstream.com/d/xte0eo0v1ykg/86477252 https://streamtape.com/v/wxrQOvl0g2iJ3wk/86477252 https://lulustream.com/d/ltnj59i4ntbd (2026) #MILF #BigTits #Hardcore #Bigass #Blowjob #RIPNSFW</v>
      </c>
      <c r="N484" s="14" t="s">
        <v>1410</v>
      </c>
      <c r="O484" s="15" t="s">
        <v>2492</v>
      </c>
      <c r="P484" s="14"/>
      <c r="Q484" s="6"/>
      <c r="R484" s="11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>
      <c r="A485" s="6" t="s">
        <v>2493</v>
      </c>
      <c r="B485" s="6" t="s">
        <v>14</v>
      </c>
      <c r="C485" s="7" t="str">
        <f t="shared" si="4"/>
        <v xml:space="preserve">Dani Daniels </v>
      </c>
      <c r="D485" s="6" t="s">
        <v>2494</v>
      </c>
      <c r="E485" s="8" t="s">
        <v>2495</v>
      </c>
      <c r="F485" s="9" t="str">
        <f ca="1">IFERROR(__xludf.DUMMYFUNCTION("""https://streamtape.com/v/""&amp;
REGEXEXTRACT(O485,""/thumb/([^/]+)/"")&amp;
""/""&amp;K485"),"https://streamtape.com/v/B4kePl6Q3zIrWm/87454355")</f>
        <v>https://streamtape.com/v/B4kePl6Q3zIrWm/87454355</v>
      </c>
      <c r="G485" s="10" t="e">
        <f t="shared" ca="1" si="5"/>
        <v>#NAME?</v>
      </c>
      <c r="H485" s="11" t="str">
        <f ca="1">IFERROR(__xludf.DUMMYFUNCTION("IFERROR(SUBSTITUTE(SUBSTITUTE(REGEXEXTRACT(A485, ""[^-]+- [^-]+- [^-]+ - (.+?)\.jpg""), "".jpg"", """"), ""-"", "", ""), """")"),"")</f>
        <v/>
      </c>
      <c r="I485" s="6"/>
      <c r="J485" s="7" t="str">
        <f t="shared" ca="1" si="6"/>
        <v>(2026)</v>
      </c>
      <c r="K485" s="7" t="str">
        <f t="shared" si="7"/>
        <v>87454355</v>
      </c>
      <c r="L485" s="12" t="s">
        <v>2158</v>
      </c>
      <c r="M485" s="13" t="str">
        <f ca="1">IFERROR(__xludf.DUMMYFUNCTION("TRIM(
  REGEXREPLACE(
    TEXTJOIN("" "",
      TRUE,
      B485,
      C485,
      embaralharLinks(E485,F485,G485),
      H485,
      """",
      J485,
      N485,
      ""#RIPNSFW""
    ),
  "",\s*"", "" "")
)"),"{New} Dani Daniels https://lulustream.com/d/7e05wi4iu9o3 https://streamtape.com/v/B4kePl6Q3zIrWm/87454355 https://doodstream.com/d/lbgut81mo04j/87454355 (2026) #MILF #BigTits #Creampie #Hardcore #Bigass #Blowjob #Amateur #RIPNSFW")</f>
        <v>{New} Dani Daniels https://lulustream.com/d/7e05wi4iu9o3 https://streamtape.com/v/B4kePl6Q3zIrWm/87454355 https://doodstream.com/d/lbgut81mo04j/87454355 (2026) #MILF #BigTits #Creampie #Hardcore #Bigass #Blowjob #Amateur #RIPNSFW</v>
      </c>
      <c r="N485" s="14" t="s">
        <v>2496</v>
      </c>
      <c r="O485" s="15" t="s">
        <v>2497</v>
      </c>
      <c r="P485" s="14"/>
      <c r="Q485" s="6"/>
      <c r="R485" s="11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>
      <c r="A486" s="12" t="s">
        <v>2498</v>
      </c>
      <c r="B486" s="6" t="s">
        <v>14</v>
      </c>
      <c r="C486" s="7" t="str">
        <f t="shared" si="4"/>
        <v xml:space="preserve">Dani Daniels </v>
      </c>
      <c r="D486" s="27" t="s">
        <v>2499</v>
      </c>
      <c r="E486" s="28" t="s">
        <v>2500</v>
      </c>
      <c r="F486" s="9" t="str">
        <f ca="1">IFERROR(__xludf.DUMMYFUNCTION("""https://streamtape.com/v/""&amp;
REGEXEXTRACT(O486,""/thumb/([^/]+)/"")&amp;
""/""&amp;K486"),"https://streamtape.com/v/9pbR9XomK6tyVq/87513728")</f>
        <v>https://streamtape.com/v/9pbR9XomK6tyVq/87513728</v>
      </c>
      <c r="G486" s="10" t="e">
        <f t="shared" ca="1" si="5"/>
        <v>#NAME?</v>
      </c>
      <c r="H486" s="11" t="str">
        <f ca="1">IFERROR(__xludf.DUMMYFUNCTION("IFERROR(SUBSTITUTE(SUBSTITUTE(REGEXEXTRACT(A486, ""[^-]+- [^-]+- [^-]+ - (.+?)\.jpg""), "".jpg"", """"), ""-"", "", ""), """")"),"")</f>
        <v/>
      </c>
      <c r="I486" s="6"/>
      <c r="J486" s="7" t="str">
        <f t="shared" ca="1" si="6"/>
        <v>(2026)</v>
      </c>
      <c r="K486" s="7" t="str">
        <f t="shared" si="7"/>
        <v>87513728</v>
      </c>
      <c r="L486" s="12" t="s">
        <v>2163</v>
      </c>
      <c r="M486" s="13" t="str">
        <f ca="1">IFERROR(__xludf.DUMMYFUNCTION("TRIM(
  REGEXREPLACE(
    TEXTJOIN("" "",
      TRUE,
      B486,
      C486,
      embaralharLinks(E486,F486,G486),
      H486,
      """",
      J486,
      N486,
      ""#RIPNSFW""
    ),
  "",\s*"", "" "")
)"),"{New} Dani Daniels https://streamtape.com/v/9pbR9XomK6tyVq/87513728 https://doodstream.com/d/eboor2ylswx2/87513728 https://lulustream.com/d/p6y3jo4j9d8n (2026) #MILF #BigTits #Bigass #Blowjob #RIPNSFW")</f>
        <v>{New} Dani Daniels https://streamtape.com/v/9pbR9XomK6tyVq/87513728 https://doodstream.com/d/eboor2ylswx2/87513728 https://lulustream.com/d/p6y3jo4j9d8n (2026) #MILF #BigTits #Bigass #Blowjob #RIPNSFW</v>
      </c>
      <c r="N486" s="2" t="s">
        <v>2135</v>
      </c>
      <c r="O486" s="30" t="s">
        <v>2501</v>
      </c>
      <c r="P486" s="26"/>
      <c r="R486" s="23"/>
    </row>
    <row r="487" spans="1:27" ht="12.75">
      <c r="A487" s="12" t="s">
        <v>2502</v>
      </c>
      <c r="B487" s="6" t="s">
        <v>14</v>
      </c>
      <c r="C487" s="7" t="str">
        <f t="shared" si="4"/>
        <v xml:space="preserve">Dani Daniels </v>
      </c>
      <c r="D487" s="24" t="s">
        <v>2503</v>
      </c>
      <c r="E487" s="25" t="s">
        <v>2504</v>
      </c>
      <c r="F487" s="9" t="str">
        <f ca="1">IFERROR(__xludf.DUMMYFUNCTION("""https://streamtape.com/v/""&amp;
REGEXEXTRACT(O487,""/thumb/([^/]+)/"")&amp;
""/""&amp;K487"),"https://streamtape.com/v/gj1jVO91kXiq0Rw/89355838")</f>
        <v>https://streamtape.com/v/gj1jVO91kXiq0Rw/89355838</v>
      </c>
      <c r="G487" s="10" t="e">
        <f t="shared" ca="1" si="5"/>
        <v>#NAME?</v>
      </c>
      <c r="H487" s="11" t="str">
        <f ca="1">IFERROR(__xludf.DUMMYFUNCTION("IFERROR(SUBSTITUTE(SUBSTITUTE(REGEXEXTRACT(A487, ""[^-]+- [^-]+- [^-]+ - (.+?)\.jpg""), "".jpg"", """"), ""-"", "", ""), """")"),"")</f>
        <v/>
      </c>
      <c r="I487" s="6"/>
      <c r="J487" s="7" t="str">
        <f t="shared" ca="1" si="6"/>
        <v>(2026)</v>
      </c>
      <c r="K487" s="7" t="str">
        <f t="shared" si="7"/>
        <v>89355838</v>
      </c>
      <c r="L487" s="12" t="s">
        <v>2505</v>
      </c>
      <c r="M487" s="13" t="str">
        <f ca="1">IFERROR(__xludf.DUMMYFUNCTION("TRIM(
  REGEXREPLACE(
    TEXTJOIN("" "",
      TRUE,
      B487,
      C487,
      embaralharLinks(E487,F487,G487),
      H487,
      """",
      J487,
      N487,
      ""#RIPNSFW""
    ),
  "",\s*"", "" "")
)"),"{New} Dani Daniels https://streamtape.com/v/gj1jVO91kXiq0Rw/89355838 https://doodstream.com/d/afrrnj9cjxq7/89355838 https://lulustream.com/d/kxhc39nrfwf5 (2026) #bigass #blowjob #milf #pov #RIPNSFW")</f>
        <v>{New} Dani Daniels https://streamtape.com/v/gj1jVO91kXiq0Rw/89355838 https://doodstream.com/d/afrrnj9cjxq7/89355838 https://lulustream.com/d/kxhc39nrfwf5 (2026) #bigass #blowjob #milf #pov #RIPNSFW</v>
      </c>
      <c r="N487" s="2" t="s">
        <v>2505</v>
      </c>
      <c r="O487" s="30" t="s">
        <v>2506</v>
      </c>
      <c r="P487" s="26"/>
      <c r="R487" s="23"/>
      <c r="T487" s="6"/>
      <c r="U487" s="7"/>
    </row>
    <row r="488" spans="1:27" ht="12.75">
      <c r="A488" s="6" t="s">
        <v>2507</v>
      </c>
      <c r="B488" s="6" t="s">
        <v>14</v>
      </c>
      <c r="C488" s="7" t="str">
        <f t="shared" si="4"/>
        <v xml:space="preserve">Dani Daniels </v>
      </c>
      <c r="D488" s="6" t="s">
        <v>2508</v>
      </c>
      <c r="E488" s="8" t="s">
        <v>2509</v>
      </c>
      <c r="F488" s="9" t="str">
        <f ca="1">IFERROR(__xludf.DUMMYFUNCTION("""https://streamtape.com/v/""&amp;
REGEXEXTRACT(O488,""/thumb/([^/]+)/"")&amp;
""/""&amp;K488"),"https://streamtape.com/v/O1648eM0WRCZbK6/89403394")</f>
        <v>https://streamtape.com/v/O1648eM0WRCZbK6/89403394</v>
      </c>
      <c r="G488" s="10" t="e">
        <f t="shared" ca="1" si="5"/>
        <v>#NAME?</v>
      </c>
      <c r="H488" s="11" t="str">
        <f ca="1">IFERROR(__xludf.DUMMYFUNCTION("IFERROR(SUBSTITUTE(SUBSTITUTE(REGEXEXTRACT(A488, ""[^-]+- [^-]+- [^-]+ - (.+?)\.jpg""), "".jpg"", """"), ""-"", "", ""), """")"),"")</f>
        <v/>
      </c>
      <c r="I488" s="6"/>
      <c r="J488" s="7" t="str">
        <f t="shared" ca="1" si="6"/>
        <v>(2026)</v>
      </c>
      <c r="K488" s="7" t="str">
        <f t="shared" si="7"/>
        <v>89403394</v>
      </c>
      <c r="L488" s="12" t="s">
        <v>2100</v>
      </c>
      <c r="M488" s="13" t="str">
        <f ca="1">IFERROR(__xludf.DUMMYFUNCTION("TRIM(
  REGEXREPLACE(
    TEXTJOIN("" "",
      TRUE,
      B488,
      C488,
      embaralharLinks(E488,F488,G488),
      H488,
      """",
      J488,
      N488,
      ""#RIPNSFW""
    ),
  "",\s*"", "" "")
)"),"{New} Dani Daniels https://streamtape.com/v/O1648eM0WRCZbK6/89403394 https://lulustream.com/d/mak9ntf4ojgs https://doodstream.com/d/vv0xs7nd9otb/89403394 (2026) #MILF #BigTits #Bigass #Solo #RIPNSFW")</f>
        <v>{New} Dani Daniels https://streamtape.com/v/O1648eM0WRCZbK6/89403394 https://lulustream.com/d/mak9ntf4ojgs https://doodstream.com/d/vv0xs7nd9otb/89403394 (2026) #MILF #BigTits #Bigass #Solo #RIPNSFW</v>
      </c>
      <c r="N488" s="14" t="s">
        <v>2101</v>
      </c>
      <c r="O488" s="15" t="s">
        <v>2510</v>
      </c>
      <c r="P488" s="14"/>
      <c r="Q488" s="6"/>
      <c r="R488" s="11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>
      <c r="A489" s="6" t="s">
        <v>2511</v>
      </c>
      <c r="B489" s="6" t="s">
        <v>14</v>
      </c>
      <c r="C489" s="7" t="str">
        <f t="shared" si="4"/>
        <v xml:space="preserve">Dani Daniels </v>
      </c>
      <c r="D489" s="6" t="s">
        <v>2512</v>
      </c>
      <c r="E489" s="8" t="s">
        <v>2513</v>
      </c>
      <c r="F489" s="9" t="str">
        <f ca="1">IFERROR(__xludf.DUMMYFUNCTION("""https://streamtape.com/v/""&amp;
REGEXEXTRACT(O489,""/thumb/([^/]+)/"")&amp;
""/""&amp;K489"),"https://streamtape.com/v/KAdBvY7GD1h0ReQ/90021854")</f>
        <v>https://streamtape.com/v/KAdBvY7GD1h0ReQ/90021854</v>
      </c>
      <c r="G489" s="10" t="e">
        <f t="shared" ca="1" si="5"/>
        <v>#NAME?</v>
      </c>
      <c r="H489" s="11" t="str">
        <f ca="1">IFERROR(__xludf.DUMMYFUNCTION("IFERROR(SUBSTITUTE(SUBSTITUTE(REGEXEXTRACT(A489, ""[^-]+- [^-]+- [^-]+ - (.+?)\.jpg""), "".jpg"", """"), ""-"", "", ""), """")"),"")</f>
        <v/>
      </c>
      <c r="I489" s="6"/>
      <c r="J489" s="7" t="str">
        <f t="shared" ca="1" si="6"/>
        <v>(2026)</v>
      </c>
      <c r="K489" s="7" t="str">
        <f t="shared" si="7"/>
        <v>90021854</v>
      </c>
      <c r="L489" s="12" t="s">
        <v>2371</v>
      </c>
      <c r="M489" s="13" t="str">
        <f ca="1">IFERROR(__xludf.DUMMYFUNCTION("TRIM(
  REGEXREPLACE(
    TEXTJOIN("" "",
      TRUE,
      B489,
      C489,
      embaralharLinks(E489,F489,G489),
      H489,
      """",
      J489,
      N489,
      ""#RIPNSFW""
    ),
  "",\s*"", "" "")
)"),"{New} Dani Daniels https://doodstream.com/d/fxq6akmx36gp/90021854 https://lulustream.com/d/u182c2pfblhb https://streamtape.com/v/KAdBvY7GD1h0ReQ/90021854 (2026) #MILF #BigTits #Bigass #Blowjob #Amateur #Facial #RIPNSFW")</f>
        <v>{New} Dani Daniels https://doodstream.com/d/fxq6akmx36gp/90021854 https://lulustream.com/d/u182c2pfblhb https://streamtape.com/v/KAdBvY7GD1h0ReQ/90021854 (2026) #MILF #BigTits #Bigass #Blowjob #Amateur #Facial #RIPNSFW</v>
      </c>
      <c r="N489" s="14" t="s">
        <v>2514</v>
      </c>
      <c r="O489" s="15" t="s">
        <v>2515</v>
      </c>
      <c r="P489" s="14"/>
      <c r="Q489" s="6"/>
      <c r="R489" s="11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>
      <c r="A490" s="12" t="s">
        <v>2516</v>
      </c>
      <c r="B490" s="6" t="s">
        <v>14</v>
      </c>
      <c r="C490" s="7" t="str">
        <f t="shared" si="4"/>
        <v xml:space="preserve">Dani Daniels </v>
      </c>
      <c r="D490" s="24" t="s">
        <v>2517</v>
      </c>
      <c r="E490" s="25" t="s">
        <v>2518</v>
      </c>
      <c r="F490" s="9" t="str">
        <f ca="1">IFERROR(__xludf.DUMMYFUNCTION("""https://streamtape.com/v/""&amp;
REGEXEXTRACT(O490,""/thumb/([^/]+)/"")&amp;
""/""&amp;K490"),"https://streamtape.com/v/49YzvL4e6QtKYoj/90128248")</f>
        <v>https://streamtape.com/v/49YzvL4e6QtKYoj/90128248</v>
      </c>
      <c r="G490" s="10" t="e">
        <f t="shared" ca="1" si="5"/>
        <v>#NAME?</v>
      </c>
      <c r="H490" s="11" t="str">
        <f ca="1">IFERROR(__xludf.DUMMYFUNCTION("IFERROR(SUBSTITUTE(SUBSTITUTE(REGEXEXTRACT(A490, ""[^-]+- [^-]+- [^-]+ - (.+?)\.jpg""), "".jpg"", """"), ""-"", "", ""), """")"),"")</f>
        <v/>
      </c>
      <c r="I490" s="6"/>
      <c r="J490" s="7" t="str">
        <f t="shared" ca="1" si="6"/>
        <v>(2026)</v>
      </c>
      <c r="K490" s="7" t="str">
        <f t="shared" si="7"/>
        <v>90128248</v>
      </c>
      <c r="L490" s="12" t="s">
        <v>1462</v>
      </c>
      <c r="M490" s="13" t="str">
        <f ca="1">IFERROR(__xludf.DUMMYFUNCTION("TRIM(
  REGEXREPLACE(
    TEXTJOIN("" "",
      TRUE,
      B490,
      C490,
      embaralharLinks(E490,F490,G490),
      H490,
      """",
      J490,
      N490,
      ""#RIPNSFW""
    ),
  "",\s*"", "" "")
)"),"{New} Dani Daniels https://doodstream.com/d/bn2kcdut1c19/90128248 https://streamtape.com/v/49YzvL4e6QtKYoj/90128248 https://lulustream.com/d/i35rocmguunv (2026) #milf #bigtits #bigass #blowjob #RIPNSFW")</f>
        <v>{New} Dani Daniels https://doodstream.com/d/bn2kcdut1c19/90128248 https://streamtape.com/v/49YzvL4e6QtKYoj/90128248 https://lulustream.com/d/i35rocmguunv (2026) #milf #bigtits #bigass #blowjob #RIPNSFW</v>
      </c>
      <c r="N490" s="2" t="s">
        <v>1462</v>
      </c>
      <c r="O490" s="30" t="s">
        <v>2519</v>
      </c>
      <c r="P490" s="26"/>
      <c r="R490" s="23"/>
    </row>
    <row r="491" spans="1:27" ht="12.75">
      <c r="A491" s="12" t="s">
        <v>2520</v>
      </c>
      <c r="B491" s="6" t="s">
        <v>14</v>
      </c>
      <c r="C491" s="7" t="str">
        <f t="shared" si="4"/>
        <v xml:space="preserve">Dani Daniels </v>
      </c>
      <c r="D491" s="24" t="s">
        <v>2521</v>
      </c>
      <c r="E491" s="25" t="s">
        <v>2522</v>
      </c>
      <c r="F491" s="9" t="str">
        <f ca="1">IFERROR(__xludf.DUMMYFUNCTION("""https://streamtape.com/v/""&amp;
REGEXEXTRACT(O491,""/thumb/([^/]+)/"")&amp;
""/""&amp;K491"),"https://streamtape.com/v/G6D30M0OK4s1KX3/90416090")</f>
        <v>https://streamtape.com/v/G6D30M0OK4s1KX3/90416090</v>
      </c>
      <c r="G491" s="10" t="e">
        <f t="shared" ca="1" si="5"/>
        <v>#NAME?</v>
      </c>
      <c r="H491" s="11" t="str">
        <f ca="1">IFERROR(__xludf.DUMMYFUNCTION("IFERROR(SUBSTITUTE(SUBSTITUTE(REGEXEXTRACT(A491, ""[^-]+- [^-]+- [^-]+ - (.+?)\.jpg""), "".jpg"", """"), ""-"", "", ""), """")"),"")</f>
        <v/>
      </c>
      <c r="I491" s="6"/>
      <c r="J491" s="7" t="str">
        <f t="shared" ca="1" si="6"/>
        <v>(2026)</v>
      </c>
      <c r="K491" s="7" t="str">
        <f t="shared" si="7"/>
        <v>90416090</v>
      </c>
      <c r="L491" s="12" t="s">
        <v>2523</v>
      </c>
      <c r="M491" s="13" t="str">
        <f ca="1">IFERROR(__xludf.DUMMYFUNCTION("TRIM(
  REGEXREPLACE(
    TEXTJOIN("" "",
      TRUE,
      B491,
      C491,
      embaralharLinks(E491,F491,G491),
      H491,
      """",
      J491,
      N491,
      ""#RIPNSFW""
    ),
  "",\s*"", "" "")
)"),"{New} Dani Daniels https://doodstream.com/d/viwbqh5bjbqi/90416090 https://streamtape.com/v/G6D30M0OK4s1KX3/90416090 https://lulustream.com/d/dx0t07sdb2w4 (2026) #milf #bigass #blowjob #amateur #RIPNSFW")</f>
        <v>{New} Dani Daniels https://doodstream.com/d/viwbqh5bjbqi/90416090 https://streamtape.com/v/G6D30M0OK4s1KX3/90416090 https://lulustream.com/d/dx0t07sdb2w4 (2026) #milf #bigass #blowjob #amateur #RIPNSFW</v>
      </c>
      <c r="N491" s="2" t="s">
        <v>2523</v>
      </c>
      <c r="O491" s="30" t="s">
        <v>2524</v>
      </c>
      <c r="P491" s="26"/>
      <c r="R491" s="23"/>
    </row>
    <row r="492" spans="1:27" ht="12.75">
      <c r="A492" s="16" t="s">
        <v>2525</v>
      </c>
      <c r="B492" s="11" t="s">
        <v>14</v>
      </c>
      <c r="C492" s="13" t="str">
        <f t="shared" si="4"/>
        <v xml:space="preserve">Dani Daniels </v>
      </c>
      <c r="D492" s="17" t="s">
        <v>2526</v>
      </c>
      <c r="E492" s="18" t="s">
        <v>2527</v>
      </c>
      <c r="F492" s="9" t="str">
        <f ca="1">IFERROR(__xludf.DUMMYFUNCTION("""https://streamtape.com/v/""&amp;
REGEXEXTRACT(O492,""/thumb/([^/]+)/"")&amp;
""/""&amp;K492"),"https://streamtape.com/v/OVeJ89ZLzrsZVdo/91909436")</f>
        <v>https://streamtape.com/v/OVeJ89ZLzrsZVdo/91909436</v>
      </c>
      <c r="G492" s="10" t="e">
        <f t="shared" ca="1" si="5"/>
        <v>#NAME?</v>
      </c>
      <c r="H492" s="11" t="str">
        <f ca="1">IFERROR(__xludf.DUMMYFUNCTION("IFERROR(SUBSTITUTE(SUBSTITUTE(REGEXEXTRACT(A492, ""[^-]+- [^-]+- [^-]+ - (.+?)\.jpg""), "".jpg"", """"), ""-"", "", ""), """")"),"")</f>
        <v/>
      </c>
      <c r="I492" s="11"/>
      <c r="J492" s="13" t="str">
        <f t="shared" ca="1" si="6"/>
        <v>(2026)</v>
      </c>
      <c r="K492" s="13" t="str">
        <f t="shared" si="7"/>
        <v>91909436</v>
      </c>
      <c r="L492" s="12" t="s">
        <v>2528</v>
      </c>
      <c r="M492" s="13" t="str">
        <f ca="1">IFERROR(__xludf.DUMMYFUNCTION("TRIM(
  REGEXREPLACE(
    TEXTJOIN("" "",
      TRUE,
      B492,
      C492,
      embaralharLinks(E492,F492,G492),
      H492,
      """",
      J492,
      N492,
      ""#RIPNSFW""
    ),
  "",\s*"", "" "")
)"),"{New} Dani Daniels https://lulustream.com/d/xwnlu2939bg1 https://streamtape.com/v/OVeJ89ZLzrsZVdo/91909436 https://doodstream.com/d/mnntjmxbnicj/91909436 (2026) #milf #bigtits #blowjob #roleplay #RIPNSFW")</f>
        <v>{New} Dani Daniels https://lulustream.com/d/xwnlu2939bg1 https://streamtape.com/v/OVeJ89ZLzrsZVdo/91909436 https://doodstream.com/d/mnntjmxbnicj/91909436 (2026) #milf #bigtits #blowjob #roleplay #RIPNSFW</v>
      </c>
      <c r="N492" s="20" t="s">
        <v>2528</v>
      </c>
      <c r="O492" s="30" t="s">
        <v>2529</v>
      </c>
      <c r="P492" s="26"/>
      <c r="Q492" s="16"/>
      <c r="R492" s="23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75">
      <c r="A493" s="6" t="s">
        <v>2530</v>
      </c>
      <c r="B493" s="6" t="s">
        <v>14</v>
      </c>
      <c r="C493" s="7" t="str">
        <f t="shared" si="4"/>
        <v xml:space="preserve">Dani Daniels </v>
      </c>
      <c r="D493" s="6" t="s">
        <v>2531</v>
      </c>
      <c r="E493" s="8" t="s">
        <v>2532</v>
      </c>
      <c r="F493" s="9" t="str">
        <f ca="1">IFERROR(__xludf.DUMMYFUNCTION("""https://streamtape.com/v/""&amp;
REGEXEXTRACT(O493,""/thumb/([^/]+)/"")&amp;
""/""&amp;K493"),"https://streamtape.com/v/dgGPXOKJdrckOJk/92237642")</f>
        <v>https://streamtape.com/v/dgGPXOKJdrckOJk/92237642</v>
      </c>
      <c r="G493" s="10" t="e">
        <f t="shared" ca="1" si="5"/>
        <v>#NAME?</v>
      </c>
      <c r="H493" s="11" t="str">
        <f ca="1">IFERROR(__xludf.DUMMYFUNCTION("IFERROR(SUBSTITUTE(SUBSTITUTE(REGEXEXTRACT(A493, ""[^-]+- [^-]+- [^-]+ - (.+?)\.jpg""), "".jpg"", """"), ""-"", "", ""), """")"),"")</f>
        <v/>
      </c>
      <c r="I493" s="6"/>
      <c r="J493" s="7" t="str">
        <f t="shared" ca="1" si="6"/>
        <v>(2026)</v>
      </c>
      <c r="K493" s="7" t="str">
        <f t="shared" si="7"/>
        <v>92237642</v>
      </c>
      <c r="L493" s="12" t="s">
        <v>2077</v>
      </c>
      <c r="M493" s="13" t="str">
        <f ca="1">IFERROR(__xludf.DUMMYFUNCTION("TRIM(
  REGEXREPLACE(
    TEXTJOIN("" "",
      TRUE,
      B493,
      C493,
      embaralharLinks(E493,F493,G493),
      H493,
      """",
      J493,
      N493,
      ""#RIPNSFW""
    ),
  "",\s*"", "" "")
)"),"{New} Dani Daniels https://lulustream.com/d/sumj67ray696 https://streamtape.com/v/dgGPXOKJdrckOJk/92237642 https://doodstream.com/d/drs6co266myl/92237642 (2026) #MILF #BigTits #Bigass #Roleplay #RIPNSFW")</f>
        <v>{New} Dani Daniels https://lulustream.com/d/sumj67ray696 https://streamtape.com/v/dgGPXOKJdrckOJk/92237642 https://doodstream.com/d/drs6co266myl/92237642 (2026) #MILF #BigTits #Bigass #Roleplay #RIPNSFW</v>
      </c>
      <c r="N493" s="14" t="s">
        <v>2072</v>
      </c>
      <c r="O493" s="15" t="s">
        <v>2533</v>
      </c>
      <c r="P493" s="14"/>
      <c r="Q493" s="6"/>
      <c r="R493" s="11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>
      <c r="A494" s="12" t="s">
        <v>2534</v>
      </c>
      <c r="B494" s="6" t="s">
        <v>14</v>
      </c>
      <c r="C494" s="7" t="str">
        <f t="shared" si="4"/>
        <v xml:space="preserve">Dani Daniels </v>
      </c>
      <c r="D494" s="24" t="s">
        <v>2535</v>
      </c>
      <c r="E494" s="25" t="s">
        <v>2536</v>
      </c>
      <c r="F494" s="9" t="str">
        <f ca="1">IFERROR(__xludf.DUMMYFUNCTION("""https://streamtape.com/v/""&amp;
REGEXEXTRACT(O494,""/thumb/([^/]+)/"")&amp;
""/""&amp;K494"),"https://streamtape.com/v/Vk4MGk894eTKmrq/93689739")</f>
        <v>https://streamtape.com/v/Vk4MGk894eTKmrq/93689739</v>
      </c>
      <c r="G494" s="10" t="e">
        <f t="shared" ca="1" si="5"/>
        <v>#NAME?</v>
      </c>
      <c r="H494" s="11" t="str">
        <f ca="1">IFERROR(__xludf.DUMMYFUNCTION("IFERROR(SUBSTITUTE(SUBSTITUTE(REGEXEXTRACT(A494, ""[^-]+- [^-]+- [^-]+ - (.+?)\.jpg""), "".jpg"", """"), ""-"", "", ""), """")"),"")</f>
        <v/>
      </c>
      <c r="I494" s="6"/>
      <c r="J494" s="7" t="str">
        <f t="shared" ca="1" si="6"/>
        <v>(2026)</v>
      </c>
      <c r="K494" s="7" t="str">
        <f t="shared" si="7"/>
        <v>93689739</v>
      </c>
      <c r="L494" s="12" t="s">
        <v>2163</v>
      </c>
      <c r="M494" s="13" t="str">
        <f ca="1">IFERROR(__xludf.DUMMYFUNCTION("TRIM(
  REGEXREPLACE(
    TEXTJOIN("" "",
      TRUE,
      B494,
      C494,
      embaralharLinks(E494,F494,G494),
      H494,
      """",
      J494,
      N494,
      ""#RIPNSFW""
    ),
  "",\s*"", "" "")
)"),"{New} Dani Daniels https://lulustream.com/d/360yt3xdy9lb https://doodstream.com/d/ow06563fk7c7/93689739 https://streamtape.com/v/Vk4MGk894eTKmrq/93689739 (2026) #MILF #BigTits #Bigass #Blowjob #RIPNSFW")</f>
        <v>{New} Dani Daniels https://lulustream.com/d/360yt3xdy9lb https://doodstream.com/d/ow06563fk7c7/93689739 https://streamtape.com/v/Vk4MGk894eTKmrq/93689739 (2026) #MILF #BigTits #Bigass #Blowjob #RIPNSFW</v>
      </c>
      <c r="N494" s="2" t="s">
        <v>2135</v>
      </c>
      <c r="O494" s="30" t="s">
        <v>2537</v>
      </c>
      <c r="P494" s="26"/>
      <c r="R494" s="23"/>
    </row>
    <row r="495" spans="1:27" ht="12.75">
      <c r="A495" s="6" t="s">
        <v>2538</v>
      </c>
      <c r="B495" s="6" t="s">
        <v>14</v>
      </c>
      <c r="C495" s="7" t="str">
        <f t="shared" si="4"/>
        <v xml:space="preserve">Dani Daniels </v>
      </c>
      <c r="D495" s="6" t="s">
        <v>2539</v>
      </c>
      <c r="E495" s="8" t="s">
        <v>2540</v>
      </c>
      <c r="F495" s="9" t="str">
        <f ca="1">IFERROR(__xludf.DUMMYFUNCTION("""https://streamtape.com/v/""&amp;
REGEXEXTRACT(O495,""/thumb/([^/]+)/"")&amp;
""/""&amp;K495"),"https://streamtape.com/v/PZQVyL0zjjfRaz/94374755")</f>
        <v>https://streamtape.com/v/PZQVyL0zjjfRaz/94374755</v>
      </c>
      <c r="G495" s="10" t="e">
        <f t="shared" ca="1" si="5"/>
        <v>#NAME?</v>
      </c>
      <c r="H495" s="11" t="str">
        <f ca="1">IFERROR(__xludf.DUMMYFUNCTION("IFERROR(SUBSTITUTE(SUBSTITUTE(REGEXEXTRACT(A495, ""[^-]+- [^-]+- [^-]+ - (.+?)\.jpg""), "".jpg"", """"), ""-"", "", ""), """")"),"")</f>
        <v/>
      </c>
      <c r="I495" s="6"/>
      <c r="J495" s="7" t="str">
        <f t="shared" ca="1" si="6"/>
        <v>(2026)</v>
      </c>
      <c r="K495" s="7" t="str">
        <f t="shared" si="7"/>
        <v>94374755</v>
      </c>
      <c r="L495" s="12" t="s">
        <v>2541</v>
      </c>
      <c r="M495" s="13" t="str">
        <f ca="1">IFERROR(__xludf.DUMMYFUNCTION("TRIM(
  REGEXREPLACE(
    TEXTJOIN("" "",
      TRUE,
      B495,
      C495,
      embaralharLinks(E495,F495,G495),
      H495,
      """",
      J495,
      N495,
      ""#RIPNSFW""
    ),
  "",\s*"", "" "")
)"),"{New} Dani Daniels https://streamtape.com/v/PZQVyL0zjjfRaz/94374755 https://doodstream.com/d/f6r20uar7rlf/94374755 https://lulustream.com/d/tj780h8xu7nx (2026) #MILF #BigTits #Bigass #Roleplay #Squirt #Solo #RIPNSFW")</f>
        <v>{New} Dani Daniels https://streamtape.com/v/PZQVyL0zjjfRaz/94374755 https://doodstream.com/d/f6r20uar7rlf/94374755 https://lulustream.com/d/tj780h8xu7nx (2026) #MILF #BigTits #Bigass #Roleplay #Squirt #Solo #RIPNSFW</v>
      </c>
      <c r="N495" s="14" t="s">
        <v>2542</v>
      </c>
      <c r="O495" s="15" t="s">
        <v>2543</v>
      </c>
      <c r="P495" s="14"/>
      <c r="Q495" s="6"/>
      <c r="R495" s="11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>
      <c r="A496" s="12" t="s">
        <v>2544</v>
      </c>
      <c r="B496" s="6" t="s">
        <v>14</v>
      </c>
      <c r="C496" s="7" t="str">
        <f t="shared" si="4"/>
        <v xml:space="preserve">Dani Daniels </v>
      </c>
      <c r="D496" s="27" t="s">
        <v>2545</v>
      </c>
      <c r="E496" s="28" t="s">
        <v>2546</v>
      </c>
      <c r="F496" s="9" t="str">
        <f ca="1">IFERROR(__xludf.DUMMYFUNCTION("""https://streamtape.com/v/""&amp;
REGEXEXTRACT(O496,""/thumb/([^/]+)/"")&amp;
""/""&amp;K496"),"https://streamtape.com/v/Woa7JQ0Pjbcpa1/95592521")</f>
        <v>https://streamtape.com/v/Woa7JQ0Pjbcpa1/95592521</v>
      </c>
      <c r="G496" s="10" t="e">
        <f t="shared" ca="1" si="5"/>
        <v>#NAME?</v>
      </c>
      <c r="H496" s="11" t="str">
        <f ca="1">IFERROR(__xludf.DUMMYFUNCTION("IFERROR(SUBSTITUTE(SUBSTITUTE(REGEXEXTRACT(A496, ""[^-]+- [^-]+- [^-]+ - (.+?)\.jpg""), "".jpg"", """"), ""-"", "", ""), """")"),"")</f>
        <v/>
      </c>
      <c r="I496" s="6"/>
      <c r="J496" s="7" t="str">
        <f t="shared" ca="1" si="6"/>
        <v>(2026)</v>
      </c>
      <c r="K496" s="7" t="str">
        <f t="shared" si="7"/>
        <v>95592521</v>
      </c>
      <c r="L496" s="12" t="s">
        <v>127</v>
      </c>
      <c r="M496" s="13" t="str">
        <f ca="1">IFERROR(__xludf.DUMMYFUNCTION("TRIM(
  REGEXREPLACE(
    TEXTJOIN("" "",
      TRUE,
      B496,
      C496,
      embaralharLinks(E496,F496,G496),
      H496,
      """",
      J496,
      N496,
      ""#RIPNSFW""
    ),
  "",\s*"", "" "")
)"),"{New} Dani Daniels https://doodstream.com/d/ki7ey4giaqmh/95592521 https://streamtape.com/v/Woa7JQ0Pjbcpa1/95592521 https://lulustream.com/d/tjtexl7icoyc (2026) #MILF #BigTits #Hardcore #Bigass #RIPNSFW")</f>
        <v>{New} Dani Daniels https://doodstream.com/d/ki7ey4giaqmh/95592521 https://streamtape.com/v/Woa7JQ0Pjbcpa1/95592521 https://lulustream.com/d/tjtexl7icoyc (2026) #MILF #BigTits #Hardcore #Bigass #RIPNSFW</v>
      </c>
      <c r="N496" s="2" t="s">
        <v>128</v>
      </c>
      <c r="O496" s="30" t="s">
        <v>2547</v>
      </c>
      <c r="P496" s="26"/>
      <c r="R496" s="23"/>
    </row>
    <row r="497" spans="1:27" ht="12.75">
      <c r="A497" s="12" t="s">
        <v>2548</v>
      </c>
      <c r="B497" s="6" t="s">
        <v>14</v>
      </c>
      <c r="C497" s="7" t="str">
        <f t="shared" si="4"/>
        <v xml:space="preserve">Dani Daniels </v>
      </c>
      <c r="D497" s="24" t="s">
        <v>2549</v>
      </c>
      <c r="E497" s="25" t="s">
        <v>2550</v>
      </c>
      <c r="F497" s="9" t="str">
        <f ca="1">IFERROR(__xludf.DUMMYFUNCTION("""https://streamtape.com/v/""&amp;
REGEXEXTRACT(O497,""/thumb/([^/]+)/"")&amp;
""/""&amp;K497"),"https://streamtape.com/v/DPAD3r87xYFkgv3/95662151")</f>
        <v>https://streamtape.com/v/DPAD3r87xYFkgv3/95662151</v>
      </c>
      <c r="G497" s="10" t="e">
        <f t="shared" ca="1" si="5"/>
        <v>#NAME?</v>
      </c>
      <c r="H497" s="11" t="str">
        <f ca="1">IFERROR(__xludf.DUMMYFUNCTION("IFERROR(SUBSTITUTE(SUBSTITUTE(REGEXEXTRACT(A497, ""[^-]+- [^-]+- [^-]+ - (.+?)\.jpg""), "".jpg"", """"), ""-"", "", ""), """")"),"")</f>
        <v/>
      </c>
      <c r="I497" s="6"/>
      <c r="J497" s="7" t="str">
        <f t="shared" ca="1" si="6"/>
        <v>(2026)</v>
      </c>
      <c r="K497" s="7" t="str">
        <f t="shared" si="7"/>
        <v>95662151</v>
      </c>
      <c r="L497" s="12" t="s">
        <v>2291</v>
      </c>
      <c r="M497" s="13" t="str">
        <f ca="1">IFERROR(__xludf.DUMMYFUNCTION("TRIM(
  REGEXREPLACE(
    TEXTJOIN("" "",
      TRUE,
      B497,
      C497,
      embaralharLinks(E497,F497,G497),
      H497,
      """",
      J497,
      N497,
      ""#RIPNSFW""
    ),
  "",\s*"", "" "")
)"),"{New} Dani Daniels https://lulustream.com/d/cqyoofvatlft https://doodstream.com/d/2suc1wxhv3ly/95662151 https://streamtape.com/v/DPAD3r87xYFkgv3/95662151 (2026) #milf #bigtits #blowjob #bigass #RIPNSFW")</f>
        <v>{New} Dani Daniels https://lulustream.com/d/cqyoofvatlft https://doodstream.com/d/2suc1wxhv3ly/95662151 https://streamtape.com/v/DPAD3r87xYFkgv3/95662151 (2026) #milf #bigtits #blowjob #bigass #RIPNSFW</v>
      </c>
      <c r="N497" s="2" t="s">
        <v>2291</v>
      </c>
      <c r="O497" s="30" t="s">
        <v>2551</v>
      </c>
      <c r="P497" s="26"/>
      <c r="R497" s="23"/>
      <c r="T497" s="11"/>
      <c r="U497" s="13"/>
    </row>
    <row r="498" spans="1:27" ht="12.75">
      <c r="A498" s="12" t="s">
        <v>2552</v>
      </c>
      <c r="B498" s="6" t="s">
        <v>14</v>
      </c>
      <c r="C498" s="7" t="str">
        <f t="shared" si="4"/>
        <v xml:space="preserve">Dani Daniels </v>
      </c>
      <c r="D498" s="24" t="s">
        <v>2553</v>
      </c>
      <c r="E498" s="25" t="s">
        <v>2554</v>
      </c>
      <c r="F498" s="9" t="str">
        <f ca="1">IFERROR(__xludf.DUMMYFUNCTION("""https://streamtape.com/v/""&amp;
REGEXEXTRACT(O498,""/thumb/([^/]+)/"")&amp;
""/""&amp;K498"),"https://streamtape.com/v/8wpZxgDDZXuJ4g/95688512")</f>
        <v>https://streamtape.com/v/8wpZxgDDZXuJ4g/95688512</v>
      </c>
      <c r="G498" s="10" t="e">
        <f t="shared" ca="1" si="5"/>
        <v>#NAME?</v>
      </c>
      <c r="H498" s="11" t="str">
        <f ca="1">IFERROR(__xludf.DUMMYFUNCTION("IFERROR(SUBSTITUTE(SUBSTITUTE(REGEXEXTRACT(A498, ""[^-]+- [^-]+- [^-]+ - (.+?)\.jpg""), "".jpg"", """"), ""-"", "", ""), """")"),"")</f>
        <v/>
      </c>
      <c r="I498" s="6"/>
      <c r="J498" s="7" t="str">
        <f t="shared" ca="1" si="6"/>
        <v>(2026)</v>
      </c>
      <c r="K498" s="7" t="str">
        <f t="shared" si="7"/>
        <v>95688512</v>
      </c>
      <c r="L498" s="12" t="s">
        <v>2061</v>
      </c>
      <c r="M498" s="13" t="str">
        <f ca="1">IFERROR(__xludf.DUMMYFUNCTION("TRIM(
  REGEXREPLACE(
    TEXTJOIN("" "",
      TRUE,
      B498,
      C498,
      embaralharLinks(E498,F498,G498),
      H498,
      """",
      J498,
      N498,
      ""#RIPNSFW""
    ),
  "",\s*"", "" "")
)"),"{New} Dani Daniels https://doodstream.com/d/ajfdmtk5go1q/95688512 https://lulustream.com/d/0t5g58mqckhw https://streamtape.com/v/8wpZxgDDZXuJ4g/95688512 (2026) #milf #bigtits #bigass #solo #RIPNSFW")</f>
        <v>{New} Dani Daniels https://doodstream.com/d/ajfdmtk5go1q/95688512 https://lulustream.com/d/0t5g58mqckhw https://streamtape.com/v/8wpZxgDDZXuJ4g/95688512 (2026) #milf #bigtits #bigass #solo #RIPNSFW</v>
      </c>
      <c r="N498" s="2" t="s">
        <v>2061</v>
      </c>
      <c r="O498" s="30" t="s">
        <v>2555</v>
      </c>
      <c r="P498" s="26"/>
      <c r="R498" s="23"/>
    </row>
    <row r="499" spans="1:27" ht="12.75">
      <c r="A499" s="12" t="s">
        <v>2556</v>
      </c>
      <c r="B499" s="6" t="s">
        <v>14</v>
      </c>
      <c r="C499" s="7" t="str">
        <f t="shared" si="4"/>
        <v xml:space="preserve">Dani Daniels </v>
      </c>
      <c r="D499" s="24" t="s">
        <v>2557</v>
      </c>
      <c r="E499" s="25" t="s">
        <v>2558</v>
      </c>
      <c r="F499" s="9" t="str">
        <f ca="1">IFERROR(__xludf.DUMMYFUNCTION("""https://streamtape.com/v/""&amp;
REGEXEXTRACT(O499,""/thumb/([^/]+)/"")&amp;
""/""&amp;K499"),"https://streamtape.com/v/wZ7e49y6M7hJX9A/96155439")</f>
        <v>https://streamtape.com/v/wZ7e49y6M7hJX9A/96155439</v>
      </c>
      <c r="G499" s="10" t="e">
        <f t="shared" ca="1" si="5"/>
        <v>#NAME?</v>
      </c>
      <c r="H499" s="11" t="str">
        <f ca="1">IFERROR(__xludf.DUMMYFUNCTION("IFERROR(SUBSTITUTE(SUBSTITUTE(REGEXEXTRACT(A499, ""[^-]+- [^-]+- [^-]+ - (.+?)\.jpg""), "".jpg"", """"), ""-"", "", ""), """")"),"")</f>
        <v/>
      </c>
      <c r="I499" s="6"/>
      <c r="J499" s="7" t="str">
        <f t="shared" ca="1" si="6"/>
        <v>(2026)</v>
      </c>
      <c r="K499" s="7" t="str">
        <f t="shared" si="7"/>
        <v>96155439</v>
      </c>
      <c r="L499" s="12" t="s">
        <v>2061</v>
      </c>
      <c r="M499" s="13" t="str">
        <f ca="1">IFERROR(__xludf.DUMMYFUNCTION("TRIM(
  REGEXREPLACE(
    TEXTJOIN("" "",
      TRUE,
      B499,
      C499,
      embaralharLinks(E499,F499,G499),
      H499,
      """",
      J499,
      N499,
      ""#RIPNSFW""
    ),
  "",\s*"", "" "")
)"),"{New} Dani Daniels https://streamtape.com/v/wZ7e49y6M7hJX9A/96155439 https://doodstream.com/d/q8jqcirivivl/96155439 https://lulustream.com/d/tkyiqd7pau1o (2026) #milf #bigtits #bigass #solo #RIPNSFW")</f>
        <v>{New} Dani Daniels https://streamtape.com/v/wZ7e49y6M7hJX9A/96155439 https://doodstream.com/d/q8jqcirivivl/96155439 https://lulustream.com/d/tkyiqd7pau1o (2026) #milf #bigtits #bigass #solo #RIPNSFW</v>
      </c>
      <c r="N499" s="2" t="s">
        <v>2061</v>
      </c>
      <c r="O499" s="30" t="s">
        <v>2559</v>
      </c>
      <c r="P499" s="26"/>
      <c r="R499" s="23"/>
    </row>
    <row r="500" spans="1:27" ht="12.75">
      <c r="A500" s="16" t="s">
        <v>2560</v>
      </c>
      <c r="B500" s="11" t="s">
        <v>14</v>
      </c>
      <c r="C500" s="13" t="str">
        <f t="shared" si="4"/>
        <v xml:space="preserve">Dani Daniels </v>
      </c>
      <c r="D500" s="17" t="s">
        <v>2561</v>
      </c>
      <c r="E500" s="18" t="s">
        <v>2562</v>
      </c>
      <c r="F500" s="9" t="str">
        <f ca="1">IFERROR(__xludf.DUMMYFUNCTION("""https://streamtape.com/v/""&amp;
REGEXEXTRACT(O500,""/thumb/([^/]+)/"")&amp;
""/""&amp;K500"),"https://streamtape.com/v/rkjeD2MLarhbw4x/96494907")</f>
        <v>https://streamtape.com/v/rkjeD2MLarhbw4x/96494907</v>
      </c>
      <c r="G500" s="10" t="e">
        <f t="shared" ca="1" si="5"/>
        <v>#NAME?</v>
      </c>
      <c r="H500" s="11" t="str">
        <f ca="1">IFERROR(__xludf.DUMMYFUNCTION("IFERROR(SUBSTITUTE(SUBSTITUTE(REGEXEXTRACT(A500, ""[^-]+- [^-]+- [^-]+ - (.+?)\.jpg""), "".jpg"", """"), ""-"", "", ""), """")"),"")</f>
        <v/>
      </c>
      <c r="I500" s="11"/>
      <c r="J500" s="7" t="str">
        <f t="shared" ca="1" si="6"/>
        <v>(2026)</v>
      </c>
      <c r="K500" s="13" t="str">
        <f t="shared" si="7"/>
        <v>96494907</v>
      </c>
      <c r="L500" s="12" t="s">
        <v>2483</v>
      </c>
      <c r="M500" s="13" t="str">
        <f ca="1">IFERROR(__xludf.DUMMYFUNCTION("TRIM(
  REGEXREPLACE(
    TEXTJOIN("" "",
      TRUE,
      B500,
      C500,
      embaralharLinks(E500,F500,G500),
      H500,
      """",
      J500,
      N500,
      ""#RIPNSFW""
    ),
  "",\s*"", "" "")
)"),"{New} Dani Daniels https://doodstream.com/d/5pyhvalp7kb2/96494907 https://lulustream.com/d/b1zvsdxxcsag https://streamtape.com/v/rkjeD2MLarhbw4x/96494907 (2026) #milf #bigtits #bigass #creampie #RIPNSFW")</f>
        <v>{New} Dani Daniels https://doodstream.com/d/5pyhvalp7kb2/96494907 https://lulustream.com/d/b1zvsdxxcsag https://streamtape.com/v/rkjeD2MLarhbw4x/96494907 (2026) #milf #bigtits #bigass #creampie #RIPNSFW</v>
      </c>
      <c r="N500" s="2" t="s">
        <v>2483</v>
      </c>
      <c r="O500" s="30" t="s">
        <v>2563</v>
      </c>
      <c r="P500" s="26"/>
      <c r="R500" s="23"/>
      <c r="T500" s="6"/>
      <c r="U500" s="7"/>
    </row>
    <row r="501" spans="1:27" ht="12.75">
      <c r="A501" s="12" t="s">
        <v>2564</v>
      </c>
      <c r="B501" s="6" t="s">
        <v>14</v>
      </c>
      <c r="C501" s="7" t="str">
        <f t="shared" si="4"/>
        <v xml:space="preserve">Dani Daniels </v>
      </c>
      <c r="D501" s="24" t="s">
        <v>2565</v>
      </c>
      <c r="E501" s="25" t="s">
        <v>2566</v>
      </c>
      <c r="F501" s="9" t="str">
        <f ca="1">IFERROR(__xludf.DUMMYFUNCTION("""https://streamtape.com/v/""&amp;
REGEXEXTRACT(O501,""/thumb/([^/]+)/"")&amp;
""/""&amp;K501"),"https://streamtape.com/v/W16VJ46AxMIbVZq/97058650")</f>
        <v>https://streamtape.com/v/W16VJ46AxMIbVZq/97058650</v>
      </c>
      <c r="G501" s="10" t="e">
        <f t="shared" ca="1" si="5"/>
        <v>#NAME?</v>
      </c>
      <c r="H501" s="11" t="str">
        <f ca="1">IFERROR(__xludf.DUMMYFUNCTION("IFERROR(SUBSTITUTE(SUBSTITUTE(REGEXEXTRACT(A501, ""[^-]+- [^-]+- [^-]+ - (.+?)\.jpg""), "".jpg"", """"), ""-"", "", ""), """")"),"")</f>
        <v/>
      </c>
      <c r="I501" s="6"/>
      <c r="J501" s="7" t="str">
        <f t="shared" ca="1" si="6"/>
        <v>(2026)</v>
      </c>
      <c r="K501" s="7" t="str">
        <f t="shared" si="7"/>
        <v>97058650</v>
      </c>
      <c r="L501" s="12" t="s">
        <v>2281</v>
      </c>
      <c r="M501" s="13" t="str">
        <f ca="1">IFERROR(__xludf.DUMMYFUNCTION("TRIM(
  REGEXREPLACE(
    TEXTJOIN("" "",
      TRUE,
      B501,
      C501,
      embaralharLinks(E501,F501,G501),
      H501,
      """",
      J501,
      N501,
      ""#RIPNSFW""
    ),
  "",\s*"", "" "")
)"),"{New} Dani Daniels https://doodstream.com/d/pwlyw8fyk5t0/97058650 https://lulustream.com/d/vro4ll7zp94s https://streamtape.com/v/W16VJ46AxMIbVZq/97058650 (2026) #milf #bigtits #solo #bigass #RIPNSFW")</f>
        <v>{New} Dani Daniels https://doodstream.com/d/pwlyw8fyk5t0/97058650 https://lulustream.com/d/vro4ll7zp94s https://streamtape.com/v/W16VJ46AxMIbVZq/97058650 (2026) #milf #bigtits #solo #bigass #RIPNSFW</v>
      </c>
      <c r="N501" s="2" t="s">
        <v>2281</v>
      </c>
      <c r="O501" s="30" t="s">
        <v>2567</v>
      </c>
      <c r="P501" s="26"/>
      <c r="R501" s="23"/>
    </row>
    <row r="502" spans="1:27" ht="12.75">
      <c r="A502" s="12" t="s">
        <v>2568</v>
      </c>
      <c r="B502" s="6" t="s">
        <v>14</v>
      </c>
      <c r="C502" s="7" t="str">
        <f t="shared" si="4"/>
        <v xml:space="preserve">Dani Daniels </v>
      </c>
      <c r="D502" s="24" t="s">
        <v>2569</v>
      </c>
      <c r="E502" s="25" t="s">
        <v>2570</v>
      </c>
      <c r="F502" s="9" t="str">
        <f ca="1">IFERROR(__xludf.DUMMYFUNCTION("""https://streamtape.com/v/""&amp;
REGEXEXTRACT(O502,""/thumb/([^/]+)/"")&amp;
""/""&amp;K502"),"https://streamtape.com/v/zx8xR36DOMspJ3/97485031")</f>
        <v>https://streamtape.com/v/zx8xR36DOMspJ3/97485031</v>
      </c>
      <c r="G502" s="10" t="e">
        <f t="shared" ca="1" si="5"/>
        <v>#NAME?</v>
      </c>
      <c r="H502" s="11" t="str">
        <f ca="1">IFERROR(__xludf.DUMMYFUNCTION("IFERROR(SUBSTITUTE(SUBSTITUTE(REGEXEXTRACT(A502, ""[^-]+- [^-]+- [^-]+ - (.+?)\.jpg""), "".jpg"", """"), ""-"", "", ""), """")"),"")</f>
        <v/>
      </c>
      <c r="I502" s="6"/>
      <c r="J502" s="7" t="str">
        <f t="shared" ca="1" si="6"/>
        <v>(2026)</v>
      </c>
      <c r="K502" s="7" t="str">
        <f t="shared" si="7"/>
        <v>97485031</v>
      </c>
      <c r="L502" s="12" t="s">
        <v>1462</v>
      </c>
      <c r="M502" s="13" t="str">
        <f ca="1">IFERROR(__xludf.DUMMYFUNCTION("TRIM(
  REGEXREPLACE(
    TEXTJOIN("" "",
      TRUE,
      B502,
      C502,
      embaralharLinks(E502,F502,G502),
      H502,
      """",
      J502,
      N502,
      ""#RIPNSFW""
    ),
  "",\s*"", "" "")
)"),"{New} Dani Daniels https://doodstream.com/d/uys9zf9k9k7g/97485031 https://streamtape.com/v/zx8xR36DOMspJ3/97485031 https://lulustream.com/d/6y6chaxke6tr (2026) #milf #bigtits #bigass #blowjob #RIPNSFW")</f>
        <v>{New} Dani Daniels https://doodstream.com/d/uys9zf9k9k7g/97485031 https://streamtape.com/v/zx8xR36DOMspJ3/97485031 https://lulustream.com/d/6y6chaxke6tr (2026) #milf #bigtits #bigass #blowjob #RIPNSFW</v>
      </c>
      <c r="N502" s="2" t="s">
        <v>1462</v>
      </c>
      <c r="O502" s="30" t="s">
        <v>2571</v>
      </c>
      <c r="P502" s="26"/>
      <c r="R502" s="23"/>
      <c r="T502" s="6"/>
      <c r="U502" s="7"/>
    </row>
    <row r="503" spans="1:27" ht="12.75">
      <c r="A503" s="6" t="s">
        <v>2572</v>
      </c>
      <c r="B503" s="6" t="s">
        <v>14</v>
      </c>
      <c r="C503" s="7" t="str">
        <f t="shared" si="4"/>
        <v xml:space="preserve">Dani Daniels </v>
      </c>
      <c r="D503" s="24" t="s">
        <v>2573</v>
      </c>
      <c r="E503" s="25" t="s">
        <v>2574</v>
      </c>
      <c r="F503" s="9" t="str">
        <f ca="1">IFERROR(__xludf.DUMMYFUNCTION("""https://streamtape.com/v/""&amp;
REGEXEXTRACT(O503,""/thumb/([^/]+)/"")&amp;
""/""&amp;K503"),"https://streamtape.com/v/9pYY7BzrZjFaMM1/98334702")</f>
        <v>https://streamtape.com/v/9pYY7BzrZjFaMM1/98334702</v>
      </c>
      <c r="G503" s="10" t="e">
        <f t="shared" ca="1" si="5"/>
        <v>#NAME?</v>
      </c>
      <c r="H503" s="11" t="str">
        <f ca="1">IFERROR(__xludf.DUMMYFUNCTION("IFERROR(SUBSTITUTE(SUBSTITUTE(REGEXEXTRACT(A503, ""[^-]+- [^-]+- [^-]+ - (.+?)\.jpg""), "".jpg"", """"), ""-"", "", ""), """")"),"")</f>
        <v/>
      </c>
      <c r="I503" s="6"/>
      <c r="J503" s="7" t="str">
        <f t="shared" ca="1" si="6"/>
        <v>(2026)</v>
      </c>
      <c r="K503" s="7" t="str">
        <f t="shared" si="7"/>
        <v>98334702</v>
      </c>
      <c r="L503" s="12" t="s">
        <v>2153</v>
      </c>
      <c r="M503" s="13" t="str">
        <f ca="1">IFERROR(__xludf.DUMMYFUNCTION("TRIM(
  REGEXREPLACE(
    TEXTJOIN("" "",
      TRUE,
      B503,
      C503,
      embaralharLinks(E503,F503,G503),
      H503,
      """",
      J503,
      N503,
      ""#RIPNSFW""
    ),
  "",\s*"", "" "")
)"),"{New} Dani Daniels https://doodstream.com/d/z9ri62oz8kh5/98334702 https://streamtape.com/v/9pYY7BzrZjFaMM1/98334702 https://lulustream.com/d/uc58fqqzccup (2026) #milf #blowjob #bigtits #pov #RIPNSFW")</f>
        <v>{New} Dani Daniels https://doodstream.com/d/z9ri62oz8kh5/98334702 https://streamtape.com/v/9pYY7BzrZjFaMM1/98334702 https://lulustream.com/d/uc58fqqzccup (2026) #milf #blowjob #bigtits #pov #RIPNSFW</v>
      </c>
      <c r="N503" s="31" t="s">
        <v>2153</v>
      </c>
      <c r="O503" s="32" t="s">
        <v>2575</v>
      </c>
      <c r="P503" s="26"/>
      <c r="Q503" s="6"/>
      <c r="R503" s="11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>
      <c r="A504" s="6" t="s">
        <v>2576</v>
      </c>
      <c r="B504" s="6" t="s">
        <v>14</v>
      </c>
      <c r="C504" s="7" t="str">
        <f t="shared" si="4"/>
        <v xml:space="preserve">Dani Daniels </v>
      </c>
      <c r="D504" s="29" t="s">
        <v>2577</v>
      </c>
      <c r="E504" s="8" t="s">
        <v>2578</v>
      </c>
      <c r="F504" s="9" t="str">
        <f ca="1">IFERROR(__xludf.DUMMYFUNCTION("""https://streamtape.com/v/""&amp;
REGEXEXTRACT(O504,""/thumb/([^/]+)/"")&amp;
""/""&amp;K504"),"https://streamtape.com/v/B7expjPD2QtyyJD/98881443")</f>
        <v>https://streamtape.com/v/B7expjPD2QtyyJD/98881443</v>
      </c>
      <c r="G504" s="10" t="e">
        <f t="shared" ca="1" si="5"/>
        <v>#NAME?</v>
      </c>
      <c r="H504" s="11" t="str">
        <f ca="1">IFERROR(__xludf.DUMMYFUNCTION("IFERROR(SUBSTITUTE(SUBSTITUTE(REGEXEXTRACT(A504, ""[^-]+- [^-]+- [^-]+ - (.+?)\.jpg""), "".jpg"", """"), ""-"", "", ""), """")"),"")</f>
        <v/>
      </c>
      <c r="I504" s="6"/>
      <c r="J504" s="7" t="str">
        <f t="shared" ca="1" si="6"/>
        <v>(2026)</v>
      </c>
      <c r="K504" s="7" t="str">
        <f t="shared" si="7"/>
        <v>98881443</v>
      </c>
      <c r="L504" s="12" t="s">
        <v>2579</v>
      </c>
      <c r="M504" s="13" t="str">
        <f ca="1">IFERROR(__xludf.DUMMYFUNCTION("TRIM(
  REGEXREPLACE(
    TEXTJOIN("" "",
      TRUE,
      B504,
      C504,
      embaralharLinks(E504,F504,G504),
      H504,
      """",
      J504,
      N504,
      ""#RIPNSFW""
    ),
  "",\s*"", "" "")
)"),"{New} Dani Daniels https://doodstream.com/d/20gk6gnkna5z/98881443 https://streamtape.com/v/B7expjPD2QtyyJD/98881443 https://lulustream.com/d/23wqy9n3ayuj (2026) #MILF #BigTits #Bigass #Stepmom #Blowjob #RIPNSFW")</f>
        <v>{New} Dani Daniels https://doodstream.com/d/20gk6gnkna5z/98881443 https://streamtape.com/v/B7expjPD2QtyyJD/98881443 https://lulustream.com/d/23wqy9n3ayuj (2026) #MILF #BigTits #Bigass #Stepmom #Blowjob #RIPNSFW</v>
      </c>
      <c r="N504" s="14" t="s">
        <v>2580</v>
      </c>
      <c r="O504" s="32" t="s">
        <v>2581</v>
      </c>
      <c r="P504" s="14"/>
      <c r="Q504" s="6"/>
      <c r="R504" s="11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>
      <c r="A505" s="12" t="s">
        <v>2582</v>
      </c>
      <c r="B505" s="6" t="s">
        <v>14</v>
      </c>
      <c r="C505" s="7" t="str">
        <f t="shared" si="4"/>
        <v xml:space="preserve">Dani Daniels </v>
      </c>
      <c r="D505" s="24" t="s">
        <v>2583</v>
      </c>
      <c r="E505" s="25" t="s">
        <v>2584</v>
      </c>
      <c r="F505" s="9" t="str">
        <f ca="1">IFERROR(__xludf.DUMMYFUNCTION("""https://streamtape.com/v/""&amp;
REGEXEXTRACT(O505,""/thumb/([^/]+)/"")&amp;
""/""&amp;K505"),"https://streamtape.com/v/4BxK1vDbVOiKYwl/99392329")</f>
        <v>https://streamtape.com/v/4BxK1vDbVOiKYwl/99392329</v>
      </c>
      <c r="G505" s="10" t="e">
        <f t="shared" ca="1" si="5"/>
        <v>#NAME?</v>
      </c>
      <c r="H505" s="11" t="str">
        <f ca="1">IFERROR(__xludf.DUMMYFUNCTION("IFERROR(SUBSTITUTE(SUBSTITUTE(REGEXEXTRACT(A505, ""[^-]+- [^-]+- [^-]+ - (.+?)\.jpg""), "".jpg"", """"), ""-"", "", ""), """")"),"")</f>
        <v/>
      </c>
      <c r="I505" s="6"/>
      <c r="J505" s="7" t="str">
        <f t="shared" ca="1" si="6"/>
        <v>(2026)</v>
      </c>
      <c r="K505" s="7" t="str">
        <f t="shared" si="7"/>
        <v>99392329</v>
      </c>
      <c r="L505" s="12" t="s">
        <v>2281</v>
      </c>
      <c r="M505" s="13" t="str">
        <f ca="1">IFERROR(__xludf.DUMMYFUNCTION("TRIM(
  REGEXREPLACE(
    TEXTJOIN("" "",
      TRUE,
      B505,
      C505,
      embaralharLinks(E505,F505,G505),
      H505,
      """",
      J505,
      N505,
      ""#RIPNSFW""
    ),
  "",\s*"", "" "")
)"),"{New} Dani Daniels https://streamtape.com/v/4BxK1vDbVOiKYwl/99392329 https://lulustream.com/d/40d6s4x26rlg https://doodstream.com/d/zg9wawuv0w7r/99392329 (2026) #milf #bigtits #solo #bigass #RIPNSFW")</f>
        <v>{New} Dani Daniels https://streamtape.com/v/4BxK1vDbVOiKYwl/99392329 https://lulustream.com/d/40d6s4x26rlg https://doodstream.com/d/zg9wawuv0w7r/99392329 (2026) #milf #bigtits #solo #bigass #RIPNSFW</v>
      </c>
      <c r="N505" s="2" t="s">
        <v>2281</v>
      </c>
      <c r="O505" s="30" t="s">
        <v>2585</v>
      </c>
      <c r="P505" s="26"/>
      <c r="R505" s="23"/>
    </row>
    <row r="506" spans="1:27" ht="12.75">
      <c r="A506" s="6" t="s">
        <v>2586</v>
      </c>
      <c r="B506" s="6" t="s">
        <v>14</v>
      </c>
      <c r="C506" s="7" t="str">
        <f t="shared" si="4"/>
        <v xml:space="preserve">Danielle Renae </v>
      </c>
      <c r="D506" s="6" t="s">
        <v>2587</v>
      </c>
      <c r="E506" s="8" t="s">
        <v>2588</v>
      </c>
      <c r="F506" s="9" t="str">
        <f ca="1">IFERROR(__xludf.DUMMYFUNCTION("""https://streamtape.com/v/""&amp;
REGEXEXTRACT(O506,""/thumb/([^/]+)/"")&amp;
""/""&amp;K506"),"https://streamtape.com/v/VyOe6YmjlLIKD1L/20920082")</f>
        <v>https://streamtape.com/v/VyOe6YmjlLIKD1L/20920082</v>
      </c>
      <c r="G506" s="10" t="e">
        <f t="shared" ca="1" si="5"/>
        <v>#NAME?</v>
      </c>
      <c r="H506" s="11" t="str">
        <f ca="1">IFERROR(__xludf.DUMMYFUNCTION("IFERROR(SUBSTITUTE(SUBSTITUTE(REGEXEXTRACT(A506, ""[^-]+- [^-]+- [^-]+ - (.+?)\.jpg""), "".jpg"", """"), ""-"", "", ""), """")"),"Lena The Plug")</f>
        <v>Lena The Plug</v>
      </c>
      <c r="I506" s="6"/>
      <c r="J506" s="7" t="str">
        <f t="shared" ca="1" si="6"/>
        <v>(2026)</v>
      </c>
      <c r="K506" s="7" t="str">
        <f t="shared" si="7"/>
        <v>20920082</v>
      </c>
      <c r="L506" s="12" t="s">
        <v>2589</v>
      </c>
      <c r="M506" s="13" t="str">
        <f ca="1">IFERROR(__xludf.DUMMYFUNCTION("TRIM(
  REGEXREPLACE(
    TEXTJOIN("" "",
      TRUE,
      B506,
      C506,
      embaralharLinks(E506,F506,G506),
      H506,
      """",
      J506,
      N506,
      ""#RIPNSFW""
    ),
  "",\s*"", "" "")
)"),"{New} Danielle Renae https://streamtape.com/v/VyOe6YmjlLIKD1L/20920082 https://lulustream.com/d/j0bfmbcprs0x https://doodstream.com/d/ulgzi3iiwsw7/20920082 Lena The Plug (2026) #MILF #BigTits #Hardcore #Threesome #Bigass #RIPNSFW")</f>
        <v>{New} Danielle Renae https://streamtape.com/v/VyOe6YmjlLIKD1L/20920082 https://lulustream.com/d/j0bfmbcprs0x https://doodstream.com/d/ulgzi3iiwsw7/20920082 Lena The Plug (2026) #MILF #BigTits #Hardcore #Threesome #Bigass #RIPNSFW</v>
      </c>
      <c r="N506" s="14" t="s">
        <v>1706</v>
      </c>
      <c r="O506" s="15" t="s">
        <v>2590</v>
      </c>
      <c r="P506" s="14"/>
      <c r="Q506" s="6"/>
      <c r="R506" s="11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>
      <c r="A507" s="6" t="s">
        <v>2591</v>
      </c>
      <c r="B507" s="6" t="s">
        <v>14</v>
      </c>
      <c r="C507" s="7" t="str">
        <f t="shared" si="4"/>
        <v xml:space="preserve">Delilah Raige </v>
      </c>
      <c r="D507" s="6" t="s">
        <v>2592</v>
      </c>
      <c r="E507" s="8" t="s">
        <v>2593</v>
      </c>
      <c r="F507" s="9" t="str">
        <f ca="1">IFERROR(__xludf.DUMMYFUNCTION("""https://streamtape.com/v/""&amp;
REGEXEXTRACT(O507,""/thumb/([^/]+)/"")&amp;
""/""&amp;K507"),"https://streamtape.com/v/2De0629lZ3uZ8Wz/77795488")</f>
        <v>https://streamtape.com/v/2De0629lZ3uZ8Wz/77795488</v>
      </c>
      <c r="G507" s="10" t="e">
        <f t="shared" ca="1" si="5"/>
        <v>#NAME?</v>
      </c>
      <c r="H507" s="11" t="str">
        <f ca="1">IFERROR(__xludf.DUMMYFUNCTION("IFERROR(SUBSTITUTE(SUBSTITUTE(REGEXEXTRACT(A507, ""[^-]+- [^-]+- [^-]+ - (.+?)\.jpg""), "".jpg"", """"), ""-"", "", ""), """")"),"Lena the plug")</f>
        <v>Lena the plug</v>
      </c>
      <c r="I507" s="6"/>
      <c r="J507" s="7" t="str">
        <f t="shared" ca="1" si="6"/>
        <v>(2026)</v>
      </c>
      <c r="K507" s="7" t="str">
        <f t="shared" si="7"/>
        <v>77795488</v>
      </c>
      <c r="L507" s="12" t="s">
        <v>2594</v>
      </c>
      <c r="M507" s="13" t="str">
        <f ca="1">IFERROR(__xludf.DUMMYFUNCTION("TRIM(
  REGEXREPLACE(
    TEXTJOIN("" "",
      TRUE,
      B507,
      C507,
      embaralharLinks(E507,F507,G507),
      H507,
      """",
      J507,
      N507,
      ""#RIPNSFW""
    ),
  "",\s*"", "" "")
)"),"{New} Delilah Raige https://lulustream.com/d/88rk4ati2m22 https://doodstream.com/d/8jqgfsgjugyd/77795488 https://streamtape.com/v/2De0629lZ3uZ8Wz/77795488 Lena the plug (2026) #MILF #BigTits #Hardcore #Threesome #Bigass #Blowjob #Amateur #Hotwife #Facial "&amp;"#RIPNSFW")</f>
        <v>{New} Delilah Raige https://lulustream.com/d/88rk4ati2m22 https://doodstream.com/d/8jqgfsgjugyd/77795488 https://streamtape.com/v/2De0629lZ3uZ8Wz/77795488 Lena the plug (2026) #MILF #BigTits #Hardcore #Threesome #Bigass #Blowjob #Amateur #Hotwife #Facial #RIPNSFW</v>
      </c>
      <c r="N507" s="14" t="s">
        <v>959</v>
      </c>
      <c r="O507" s="15" t="s">
        <v>2595</v>
      </c>
      <c r="P507" s="14"/>
      <c r="Q507" s="6"/>
      <c r="R507" s="11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>
      <c r="A508" s="6" t="s">
        <v>2596</v>
      </c>
      <c r="B508" s="6" t="s">
        <v>14</v>
      </c>
      <c r="C508" s="7" t="str">
        <f t="shared" si="4"/>
        <v xml:space="preserve">Devil Khloe </v>
      </c>
      <c r="D508" s="6" t="s">
        <v>2597</v>
      </c>
      <c r="E508" s="8" t="s">
        <v>2598</v>
      </c>
      <c r="F508" s="9" t="str">
        <f ca="1">IFERROR(__xludf.DUMMYFUNCTION("""https://streamtape.com/v/""&amp;
REGEXEXTRACT(O508,""/thumb/([^/]+)/"")&amp;
""/""&amp;K508"),"https://streamtape.com/v/6RzWel7AMQt9GPa/31706903")</f>
        <v>https://streamtape.com/v/6RzWel7AMQt9GPa/31706903</v>
      </c>
      <c r="G508" s="10" t="e">
        <f t="shared" ca="1" si="5"/>
        <v>#NAME?</v>
      </c>
      <c r="H508" s="11" t="str">
        <f ca="1">IFERROR(__xludf.DUMMYFUNCTION("IFERROR(SUBSTITUTE(SUBSTITUTE(REGEXEXTRACT(A508, ""[^-]+- [^-]+- [^-]+ - (.+?)\.jpg""), "".jpg"", """"), ""-"", "", ""), """")"),"")</f>
        <v/>
      </c>
      <c r="I508" s="6"/>
      <c r="J508" s="7" t="str">
        <f t="shared" ca="1" si="6"/>
        <v>(2026)</v>
      </c>
      <c r="K508" s="7" t="str">
        <f t="shared" si="7"/>
        <v>31706903</v>
      </c>
      <c r="L508" s="12" t="s">
        <v>2599</v>
      </c>
      <c r="M508" s="13" t="str">
        <f ca="1">IFERROR(__xludf.DUMMYFUNCTION("TRIM(
  REGEXREPLACE(
    TEXTJOIN("" "",
      TRUE,
      B508,
      C508,
      embaralharLinks(E508,F508,G508),
      H508,
      """",
      J508,
      N508,
      ""#RIPNSFW""
    ),
  "",\s*"", "" "")
)"),"{New} Devil Khloe https://lulustream.com/d/b5el2rirq6sg https://streamtape.com/v/6RzWel7AMQt9GPa/31706903 https://doodstream.com/d/m5n5wdu1xv94/31706903 (2026) #MILF #BigTits #Hardcore #Bigass #Blowjob #Amateur #RIPNSFW")</f>
        <v>{New} Devil Khloe https://lulustream.com/d/b5el2rirq6sg https://streamtape.com/v/6RzWel7AMQt9GPa/31706903 https://doodstream.com/d/m5n5wdu1xv94/31706903 (2026) #MILF #BigTits #Hardcore #Bigass #Blowjob #Amateur #RIPNSFW</v>
      </c>
      <c r="N508" s="14" t="s">
        <v>999</v>
      </c>
      <c r="O508" s="15" t="s">
        <v>2600</v>
      </c>
      <c r="P508" s="14"/>
      <c r="Q508" s="6"/>
      <c r="R508" s="11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>
      <c r="A509" s="12" t="s">
        <v>2601</v>
      </c>
      <c r="B509" s="6" t="s">
        <v>14</v>
      </c>
      <c r="C509" s="7" t="str">
        <f t="shared" si="4"/>
        <v xml:space="preserve">Diamond Franco </v>
      </c>
      <c r="D509" s="24" t="s">
        <v>2602</v>
      </c>
      <c r="E509" s="25" t="s">
        <v>2603</v>
      </c>
      <c r="F509" s="9" t="str">
        <f ca="1">IFERROR(__xludf.DUMMYFUNCTION("""https://streamtape.com/v/""&amp;
REGEXEXTRACT(O509,""/thumb/([^/]+)/"")&amp;
""/""&amp;K509"),"https://streamtape.com/v/OdwJK80GWQCek7/16454260")</f>
        <v>https://streamtape.com/v/OdwJK80GWQCek7/16454260</v>
      </c>
      <c r="G509" s="10" t="e">
        <f t="shared" ca="1" si="5"/>
        <v>#NAME?</v>
      </c>
      <c r="H509" s="11" t="str">
        <f ca="1">IFERROR(__xludf.DUMMYFUNCTION("IFERROR(SUBSTITUTE(SUBSTITUTE(REGEXEXTRACT(A509, ""[^-]+- [^-]+- [^-]+ - (.+?)\.jpg""), "".jpg"", """"), ""-"", "", ""), """")"),"Amiee Cambridge")</f>
        <v>Amiee Cambridge</v>
      </c>
      <c r="I509" s="6"/>
      <c r="J509" s="7" t="str">
        <f t="shared" ca="1" si="6"/>
        <v>(2026)</v>
      </c>
      <c r="K509" s="7" t="str">
        <f t="shared" si="7"/>
        <v>16454260</v>
      </c>
      <c r="L509" s="12" t="s">
        <v>2604</v>
      </c>
      <c r="M509" s="13" t="str">
        <f ca="1">IFERROR(__xludf.DUMMYFUNCTION("TRIM(
  REGEXREPLACE(
    TEXTJOIN("" "",
      TRUE,
      B509,
      C509,
      embaralharLinks(E509,F509,G509),
      H509,
      """",
      J509,
      N509,
      ""#RIPNSFW""
    ),
  "",\s*"", "" "")
)"),"{New} Diamond Franco https://streamtape.com/v/OdwJK80GWQCek7/16454260 https://doodstream.com/d/qi6zcsbps9rk/16454260 https://lulustream.com/d/o1jiv959kjfm Amiee Cambridge (2026) #teen #porn #bigass #blowjob #RIPNSFW")</f>
        <v>{New} Diamond Franco https://streamtape.com/v/OdwJK80GWQCek7/16454260 https://doodstream.com/d/qi6zcsbps9rk/16454260 https://lulustream.com/d/o1jiv959kjfm Amiee Cambridge (2026) #teen #porn #bigass #blowjob #RIPNSFW</v>
      </c>
      <c r="N509" s="2" t="s">
        <v>2604</v>
      </c>
      <c r="O509" s="30" t="s">
        <v>2605</v>
      </c>
      <c r="P509" s="26"/>
      <c r="R509" s="23"/>
    </row>
    <row r="510" spans="1:27" ht="12.75">
      <c r="A510" s="6" t="s">
        <v>2606</v>
      </c>
      <c r="B510" s="6" t="s">
        <v>14</v>
      </c>
      <c r="C510" s="7" t="str">
        <f t="shared" si="4"/>
        <v xml:space="preserve">Diamond Franco </v>
      </c>
      <c r="D510" s="6" t="s">
        <v>2607</v>
      </c>
      <c r="E510" s="8" t="s">
        <v>2608</v>
      </c>
      <c r="F510" s="9" t="str">
        <f ca="1">IFERROR(__xludf.DUMMYFUNCTION("""https://streamtape.com/v/""&amp;
REGEXEXTRACT(O510,""/thumb/([^/]+)/"")&amp;
""/""&amp;K510"),"https://streamtape.com/v/kk6eja2oLpuO4AQ/39439069")</f>
        <v>https://streamtape.com/v/kk6eja2oLpuO4AQ/39439069</v>
      </c>
      <c r="G510" s="10" t="e">
        <f t="shared" ca="1" si="5"/>
        <v>#NAME?</v>
      </c>
      <c r="H510" s="11" t="str">
        <f ca="1">IFERROR(__xludf.DUMMYFUNCTION("IFERROR(SUBSTITUTE(SUBSTITUTE(REGEXEXTRACT(A510, ""[^-]+- [^-]+- [^-]+ - (.+?)\.jpg""), "".jpg"", """"), ""-"", "", ""), """")"),"")</f>
        <v/>
      </c>
      <c r="I510" s="6"/>
      <c r="J510" s="7" t="str">
        <f t="shared" ca="1" si="6"/>
        <v>(2026)</v>
      </c>
      <c r="K510" s="7" t="str">
        <f t="shared" si="7"/>
        <v>39439069</v>
      </c>
      <c r="L510" s="12" t="s">
        <v>2609</v>
      </c>
      <c r="M510" s="13" t="str">
        <f ca="1">IFERROR(__xludf.DUMMYFUNCTION("TRIM(
  REGEXREPLACE(
    TEXTJOIN("" "",
      TRUE,
      B510,
      C510,
      embaralharLinks(E510,F510,G510),
      H510,
      """",
      J510,
      N510,
      ""#RIPNSFW""
    ),
  "",\s*"", "" "")
)"),"{New} Diamond Franco https://streamtape.com/v/kk6eja2oLpuO4AQ/39439069 https://doodstream.com/d/yimgcebpc6we/39439069 https://lulustream.com/d/8fzq6iui4tax (2026) #BigTits #Hardcore #Bigass #Teen #Blowjob #Amateur #RIPNSFW")</f>
        <v>{New} Diamond Franco https://streamtape.com/v/kk6eja2oLpuO4AQ/39439069 https://doodstream.com/d/yimgcebpc6we/39439069 https://lulustream.com/d/8fzq6iui4tax (2026) #BigTits #Hardcore #Bigass #Teen #Blowjob #Amateur #RIPNSFW</v>
      </c>
      <c r="N510" s="14" t="s">
        <v>193</v>
      </c>
      <c r="O510" s="15" t="s">
        <v>2610</v>
      </c>
      <c r="P510" s="14"/>
      <c r="Q510" s="6"/>
      <c r="R510" s="11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>
      <c r="A511" s="12" t="s">
        <v>2611</v>
      </c>
      <c r="B511" s="6" t="s">
        <v>14</v>
      </c>
      <c r="C511" s="7" t="str">
        <f t="shared" si="4"/>
        <v xml:space="preserve">Diamond Franco </v>
      </c>
      <c r="D511" s="24" t="s">
        <v>2612</v>
      </c>
      <c r="E511" s="25" t="s">
        <v>2613</v>
      </c>
      <c r="F511" s="9" t="str">
        <f ca="1">IFERROR(__xludf.DUMMYFUNCTION("""https://streamtape.com/v/""&amp;
REGEXEXTRACT(O511,""/thumb/([^/]+)/"")&amp;
""/""&amp;K511"),"https://streamtape.com/v/Xqgr6pydYdtZ8O/42383378")</f>
        <v>https://streamtape.com/v/Xqgr6pydYdtZ8O/42383378</v>
      </c>
      <c r="G511" s="10" t="e">
        <f t="shared" ca="1" si="5"/>
        <v>#NAME?</v>
      </c>
      <c r="H511" s="11" t="str">
        <f ca="1">IFERROR(__xludf.DUMMYFUNCTION("IFERROR(SUBSTITUTE(SUBSTITUTE(REGEXEXTRACT(A511, ""[^-]+- [^-]+- [^-]+ - (.+?)\.jpg""), "".jpg"", """"), ""-"", "", ""), """")"),"")</f>
        <v/>
      </c>
      <c r="I511" s="6"/>
      <c r="J511" s="7" t="str">
        <f t="shared" ca="1" si="6"/>
        <v>(2026)</v>
      </c>
      <c r="K511" s="7" t="str">
        <f t="shared" si="7"/>
        <v>42383378</v>
      </c>
      <c r="L511" s="12" t="s">
        <v>2614</v>
      </c>
      <c r="M511" s="13" t="str">
        <f ca="1">IFERROR(__xludf.DUMMYFUNCTION("TRIM(
  REGEXREPLACE(
    TEXTJOIN("" "",
      TRUE,
      B511,
      C511,
      embaralharLinks(E511,F511,G511),
      H511,
      """",
      J511,
      N511,
      ""#RIPNSFW""
    ),
  "",\s*"", "" "")
)"),"{New} Diamond Franco https://streamtape.com/v/Xqgr6pydYdtZ8O/42383378 https://lulustream.com/d/ylib1ij98di9 https://doodstream.com/d/uvgafi7tpdb3/42383378 (2026) #teen #brunette #blowjob #creampie #RIPNSFW")</f>
        <v>{New} Diamond Franco https://streamtape.com/v/Xqgr6pydYdtZ8O/42383378 https://lulustream.com/d/ylib1ij98di9 https://doodstream.com/d/uvgafi7tpdb3/42383378 (2026) #teen #brunette #blowjob #creampie #RIPNSFW</v>
      </c>
      <c r="N511" s="2" t="s">
        <v>2614</v>
      </c>
      <c r="O511" s="30" t="s">
        <v>2615</v>
      </c>
      <c r="P511" s="26"/>
      <c r="R511" s="23"/>
      <c r="T511" s="6"/>
      <c r="U511" s="7"/>
    </row>
    <row r="512" spans="1:27" ht="12.75">
      <c r="A512" s="12" t="s">
        <v>2616</v>
      </c>
      <c r="B512" s="6"/>
      <c r="C512" s="7" t="str">
        <f t="shared" ref="C512:C766" si="8">LEFT(A512,FIND("-",A512)-1)</f>
        <v xml:space="preserve">Diamond Franco </v>
      </c>
      <c r="D512" s="24" t="s">
        <v>2617</v>
      </c>
      <c r="E512" s="25" t="s">
        <v>2618</v>
      </c>
      <c r="F512" s="9" t="str">
        <f ca="1">IFERROR(__xludf.DUMMYFUNCTION("""https://streamtape.com/v/""&amp;
REGEXEXTRACT(O512,""/thumb/([^/]+)/"")&amp;
""/""&amp;K512"),"https://streamtape.com/v/KewJ9PDwPYc0xex/59378949")</f>
        <v>https://streamtape.com/v/KewJ9PDwPYc0xex/59378949</v>
      </c>
      <c r="G512" s="10" t="e">
        <f t="shared" ref="G512:G766" ca="1" si="9">_xludf.CONCAT(D512,K512)</f>
        <v>#NAME?</v>
      </c>
      <c r="H512" s="11" t="str">
        <f ca="1">IFERROR(__xludf.DUMMYFUNCTION("IFERROR(SUBSTITUTE(SUBSTITUTE(REGEXEXTRACT(A512, ""[^-]+- [^-]+- [^-]+ - (.+?)\.jpg""), "".jpg"", """"), ""-"", "", ""), """")"),"")</f>
        <v/>
      </c>
      <c r="I512" s="6"/>
      <c r="J512" s="7" t="str">
        <f t="shared" ref="J512:J766" ca="1" si="10">IF(B512="{New}", "(" &amp; YEAR(TODAY()) &amp; ")", "")</f>
        <v/>
      </c>
      <c r="K512" s="7" t="str">
        <f t="shared" ref="K512:K766" si="11">MID(A512,FIND("-",A512)+2,8)</f>
        <v>59378949</v>
      </c>
      <c r="L512" s="12" t="s">
        <v>2619</v>
      </c>
      <c r="M512" s="13" t="str">
        <f ca="1">IFERROR(__xludf.DUMMYFUNCTION("TRIM(
  REGEXREPLACE(
    TEXTJOIN("" "",
      TRUE,
      B512,
      C512,
      embaralharLinks(E512,F512,G512),
      H512,
      """",
      J512,
      N512,
      ""#RIPNSFW""
    ),
  "",\s*"", "" "")
)"),"Diamond Franco https://streamtape.com/v/KewJ9PDwPYc0xex/59378949 https://lulustream.com/d/f35ikzq5o34q https://doodstream.com/d/2ek0m2zmajfl/59378949 #threesome #bigtits #blowjob #bigass #RIPNSFW")</f>
        <v>Diamond Franco https://streamtape.com/v/KewJ9PDwPYc0xex/59378949 https://lulustream.com/d/f35ikzq5o34q https://doodstream.com/d/2ek0m2zmajfl/59378949 #threesome #bigtits #blowjob #bigass #RIPNSFW</v>
      </c>
      <c r="N512" s="2" t="s">
        <v>2619</v>
      </c>
      <c r="O512" s="21" t="s">
        <v>2620</v>
      </c>
      <c r="P512" s="26"/>
      <c r="R512" s="23"/>
      <c r="T512" s="11"/>
      <c r="U512" s="13"/>
    </row>
    <row r="513" spans="1:27" ht="12.75">
      <c r="A513" s="16" t="s">
        <v>2621</v>
      </c>
      <c r="B513" s="11" t="s">
        <v>14</v>
      </c>
      <c r="C513" s="13" t="str">
        <f t="shared" si="8"/>
        <v xml:space="preserve">Diamond Franco </v>
      </c>
      <c r="D513" s="17" t="s">
        <v>2622</v>
      </c>
      <c r="E513" s="18" t="s">
        <v>2623</v>
      </c>
      <c r="F513" s="9" t="str">
        <f ca="1">IFERROR(__xludf.DUMMYFUNCTION("""https://streamtape.com/v/""&amp;
REGEXEXTRACT(O513,""/thumb/([^/]+)/"")&amp;
""/""&amp;K513"),"https://streamtape.com/v/vzDrz41bOLf41j3/68883516")</f>
        <v>https://streamtape.com/v/vzDrz41bOLf41j3/68883516</v>
      </c>
      <c r="G513" s="10" t="e">
        <f t="shared" ca="1" si="9"/>
        <v>#NAME?</v>
      </c>
      <c r="H513" s="11" t="str">
        <f ca="1">IFERROR(__xludf.DUMMYFUNCTION("IFERROR(SUBSTITUTE(SUBSTITUTE(REGEXEXTRACT(A513, ""[^-]+- [^-]+- [^-]+ - (.+?)\.jpg""), "".jpg"", """"), ""-"", "", ""), """")"),"")</f>
        <v/>
      </c>
      <c r="I513" s="11"/>
      <c r="J513" s="13" t="str">
        <f t="shared" ca="1" si="10"/>
        <v>(2026)</v>
      </c>
      <c r="K513" s="13" t="str">
        <f t="shared" si="11"/>
        <v>68883516</v>
      </c>
      <c r="L513" s="12" t="s">
        <v>2624</v>
      </c>
      <c r="M513" s="13" t="str">
        <f ca="1">IFERROR(__xludf.DUMMYFUNCTION("TRIM(
  REGEXREPLACE(
    TEXTJOIN("" "",
      TRUE,
      B513,
      C513,
      embaralharLinks(E513,F513,G513),
      H513,
      """",
      J513,
      N513,
      ""#RIPNSFW""
    ),
  "",\s*"", "" "")
)"),"{New} Diamond Franco https://lulustream.com/d/y44owpwv9ogy https://streamtape.com/v/vzDrz41bOLf41j3/68883516 https://doodstream.com/d/zt62bnx2nmi8/68883516 (2026) #bigtits #hardcore #porn #teen #RIPNSFW")</f>
        <v>{New} Diamond Franco https://lulustream.com/d/y44owpwv9ogy https://streamtape.com/v/vzDrz41bOLf41j3/68883516 https://doodstream.com/d/zt62bnx2nmi8/68883516 (2026) #bigtits #hardcore #porn #teen #RIPNSFW</v>
      </c>
      <c r="N513" s="20" t="s">
        <v>2624</v>
      </c>
      <c r="O513" s="30" t="s">
        <v>2625</v>
      </c>
      <c r="P513" s="26"/>
      <c r="Q513" s="16"/>
      <c r="R513" s="23"/>
      <c r="S513" s="16"/>
      <c r="T513" s="6"/>
      <c r="U513" s="7"/>
      <c r="V513" s="16"/>
      <c r="X513" s="16"/>
      <c r="Y513" s="16"/>
      <c r="Z513" s="16"/>
      <c r="AA513" s="16"/>
    </row>
    <row r="514" spans="1:27" ht="12.75">
      <c r="A514" s="12" t="s">
        <v>2626</v>
      </c>
      <c r="B514" s="6" t="s">
        <v>14</v>
      </c>
      <c r="C514" s="7" t="str">
        <f t="shared" si="8"/>
        <v xml:space="preserve">Diamond Franco </v>
      </c>
      <c r="D514" s="24" t="s">
        <v>2627</v>
      </c>
      <c r="E514" s="25" t="s">
        <v>2628</v>
      </c>
      <c r="F514" s="9" t="str">
        <f ca="1">IFERROR(__xludf.DUMMYFUNCTION("""https://streamtape.com/v/""&amp;
REGEXEXTRACT(O514,""/thumb/([^/]+)/"")&amp;
""/""&amp;K514"),"https://streamtape.com/v/kg1le0a4JKCOVOZ/75076645")</f>
        <v>https://streamtape.com/v/kg1le0a4JKCOVOZ/75076645</v>
      </c>
      <c r="G514" s="10" t="e">
        <f t="shared" ca="1" si="9"/>
        <v>#NAME?</v>
      </c>
      <c r="H514" s="11" t="str">
        <f ca="1">IFERROR(__xludf.DUMMYFUNCTION("IFERROR(SUBSTITUTE(SUBSTITUTE(REGEXEXTRACT(A514, ""[^-]+- [^-]+- [^-]+ - (.+?)\.jpg""), "".jpg"", """"), ""-"", "", ""), """")"),"")</f>
        <v/>
      </c>
      <c r="I514" s="6"/>
      <c r="J514" s="7" t="str">
        <f t="shared" ca="1" si="10"/>
        <v>(2026)</v>
      </c>
      <c r="K514" s="7" t="str">
        <f t="shared" si="11"/>
        <v>75076645</v>
      </c>
      <c r="L514" s="12" t="s">
        <v>2629</v>
      </c>
      <c r="M514" s="13" t="str">
        <f ca="1">IFERROR(__xludf.DUMMYFUNCTION("TRIM(
  REGEXREPLACE(
    TEXTJOIN("" "",
      TRUE,
      B514,
      C514,
      embaralharLinks(E514,F514,G514),
      H514,
      """",
      J514,
      N514,
      ""#RIPNSFW""
    ),
  "",\s*"", "" "")
)"),"{New} Diamond Franco https://streamtape.com/v/kg1le0a4JKCOVOZ/75076645 https://lulustream.com/d/ajtfeutzrewg https://doodstream.com/d/gircumaplo1t/75076645 (2026) #teen #blowjob #amateur #brunette #RIPNSFW")</f>
        <v>{New} Diamond Franco https://streamtape.com/v/kg1le0a4JKCOVOZ/75076645 https://lulustream.com/d/ajtfeutzrewg https://doodstream.com/d/gircumaplo1t/75076645 (2026) #teen #blowjob #amateur #brunette #RIPNSFW</v>
      </c>
      <c r="N514" s="2" t="s">
        <v>2629</v>
      </c>
      <c r="O514" s="30" t="s">
        <v>2630</v>
      </c>
      <c r="P514" s="26"/>
      <c r="R514" s="23"/>
    </row>
    <row r="515" spans="1:27" ht="12.75">
      <c r="A515" s="12" t="s">
        <v>2631</v>
      </c>
      <c r="B515" s="6" t="s">
        <v>14</v>
      </c>
      <c r="C515" s="7" t="str">
        <f t="shared" si="8"/>
        <v xml:space="preserve">Diamond Franco </v>
      </c>
      <c r="D515" s="24" t="s">
        <v>2632</v>
      </c>
      <c r="E515" s="25" t="s">
        <v>2633</v>
      </c>
      <c r="F515" s="9" t="str">
        <f ca="1">IFERROR(__xludf.DUMMYFUNCTION("""https://streamtape.com/v/""&amp;
REGEXEXTRACT(O515,""/thumb/([^/]+)/"")&amp;
""/""&amp;K515"),"https://streamtape.com/v/1WgwWwdj1BUxL6/78123221")</f>
        <v>https://streamtape.com/v/1WgwWwdj1BUxL6/78123221</v>
      </c>
      <c r="G515" s="10" t="e">
        <f t="shared" ca="1" si="9"/>
        <v>#NAME?</v>
      </c>
      <c r="H515" s="11" t="str">
        <f ca="1">IFERROR(__xludf.DUMMYFUNCTION("IFERROR(SUBSTITUTE(SUBSTITUTE(REGEXEXTRACT(A515, ""[^-]+- [^-]+- [^-]+ - (.+?)\.jpg""), "".jpg"", """"), ""-"", "", ""), """")"),"Lena the plug")</f>
        <v>Lena the plug</v>
      </c>
      <c r="I515" s="6"/>
      <c r="J515" s="7" t="str">
        <f t="shared" ca="1" si="10"/>
        <v>(2026)</v>
      </c>
      <c r="K515" s="7" t="str">
        <f t="shared" si="11"/>
        <v>78123221</v>
      </c>
      <c r="L515" s="12" t="s">
        <v>2634</v>
      </c>
      <c r="M515" s="13" t="str">
        <f ca="1">IFERROR(__xludf.DUMMYFUNCTION("TRIM(
  REGEXREPLACE(
    TEXTJOIN("" "",
      TRUE,
      B515,
      C515,
      embaralharLinks(E515,F515,G515),
      H515,
      """",
      J515,
      N515,
      ""#RIPNSFW""
    ),
  "",\s*"", "" "")
)"),"{New} Diamond Franco https://doodstream.com/d/udg0tqdlb96s/78123221 https://streamtape.com/v/1WgwWwdj1BUxL6/78123221 https://lulustream.com/d/y4j2hpwror0a Lena the plug (2026) #milf #blowjob #hardcore #bigass #RIPNSFW")</f>
        <v>{New} Diamond Franco https://doodstream.com/d/udg0tqdlb96s/78123221 https://streamtape.com/v/1WgwWwdj1BUxL6/78123221 https://lulustream.com/d/y4j2hpwror0a Lena the plug (2026) #milf #blowjob #hardcore #bigass #RIPNSFW</v>
      </c>
      <c r="N515" s="2" t="s">
        <v>2634</v>
      </c>
      <c r="O515" s="30" t="s">
        <v>2635</v>
      </c>
      <c r="P515" s="26"/>
      <c r="R515" s="23"/>
      <c r="T515" s="6"/>
      <c r="U515" s="7"/>
    </row>
    <row r="516" spans="1:27" ht="12.75">
      <c r="A516" s="12" t="s">
        <v>2636</v>
      </c>
      <c r="B516" s="6"/>
      <c r="C516" s="7" t="str">
        <f t="shared" si="8"/>
        <v xml:space="preserve">Diamond Franco </v>
      </c>
      <c r="D516" s="24" t="s">
        <v>2637</v>
      </c>
      <c r="E516" s="25" t="s">
        <v>2638</v>
      </c>
      <c r="F516" s="9" t="str">
        <f ca="1">IFERROR(__xludf.DUMMYFUNCTION("""https://streamtape.com/v/""&amp;
REGEXEXTRACT(O516,""/thumb/([^/]+)/"")&amp;
""/""&amp;K516"),"https://streamtape.com/v/RALpW4zzAoIdy0p/83210407")</f>
        <v>https://streamtape.com/v/RALpW4zzAoIdy0p/83210407</v>
      </c>
      <c r="G516" s="10" t="e">
        <f t="shared" ca="1" si="9"/>
        <v>#NAME?</v>
      </c>
      <c r="H516" s="11" t="str">
        <f ca="1">IFERROR(__xludf.DUMMYFUNCTION("IFERROR(SUBSTITUTE(SUBSTITUTE(REGEXEXTRACT(A516, ""[^-]+- [^-]+- [^-]+ - (.+?)\.jpg""), "".jpg"", """"), ""-"", "", ""), """")"),"")</f>
        <v/>
      </c>
      <c r="I516" s="6"/>
      <c r="J516" s="7" t="str">
        <f t="shared" ca="1" si="10"/>
        <v/>
      </c>
      <c r="K516" s="7" t="str">
        <f t="shared" si="11"/>
        <v>83210407</v>
      </c>
      <c r="L516" s="12" t="s">
        <v>2639</v>
      </c>
      <c r="M516" s="13" t="str">
        <f ca="1">IFERROR(__xludf.DUMMYFUNCTION("TRIM(
  REGEXREPLACE(
    TEXTJOIN("" "",
      TRUE,
      B516,
      C516,
      embaralharLinks(E516,F516,G516),
      H516,
      """",
      J516,
      N516,
      ""#RIPNSFW""
    ),
  "",\s*"", "" "")
)"),"Diamond Franco https://doodstream.com/d/3exae52tg3j9/83210407 https://streamtape.com/v/RALpW4zzAoIdy0p/83210407 https://lulustream.com/d/yw3xbw0n7mf4 #teen #brunette #blowjob #bigass #RIPNSFW")</f>
        <v>Diamond Franco https://doodstream.com/d/3exae52tg3j9/83210407 https://streamtape.com/v/RALpW4zzAoIdy0p/83210407 https://lulustream.com/d/yw3xbw0n7mf4 #teen #brunette #blowjob #bigass #RIPNSFW</v>
      </c>
      <c r="N516" s="2" t="s">
        <v>2639</v>
      </c>
      <c r="O516" s="30" t="s">
        <v>2640</v>
      </c>
      <c r="P516" s="26"/>
      <c r="R516" s="23"/>
      <c r="T516" s="6"/>
      <c r="U516" s="7"/>
    </row>
    <row r="517" spans="1:27" ht="12.75">
      <c r="A517" s="12" t="s">
        <v>2641</v>
      </c>
      <c r="B517" s="6" t="s">
        <v>14</v>
      </c>
      <c r="C517" s="7" t="str">
        <f t="shared" si="8"/>
        <v xml:space="preserve">Elle Brooke </v>
      </c>
      <c r="D517" s="27" t="s">
        <v>2642</v>
      </c>
      <c r="E517" s="28" t="s">
        <v>2643</v>
      </c>
      <c r="F517" s="9" t="str">
        <f ca="1">IFERROR(__xludf.DUMMYFUNCTION("""https://streamtape.com/v/""&amp;
REGEXEXTRACT(O517,""/thumb/([^/]+)/"")&amp;
""/""&amp;K517"),"https://streamtape.com/v/Mk3QQdboGmHBQD/20581581")</f>
        <v>https://streamtape.com/v/Mk3QQdboGmHBQD/20581581</v>
      </c>
      <c r="G517" s="10" t="e">
        <f t="shared" ca="1" si="9"/>
        <v>#NAME?</v>
      </c>
      <c r="H517" s="11" t="str">
        <f ca="1">IFERROR(__xludf.DUMMYFUNCTION("IFERROR(SUBSTITUTE(SUBSTITUTE(REGEXEXTRACT(A517, ""[^-]+- [^-]+- [^-]+ - (.+?)\.jpg""), "".jpg"", """"), ""-"", "", ""), """")"),"")</f>
        <v/>
      </c>
      <c r="I517" s="6"/>
      <c r="J517" s="7" t="str">
        <f t="shared" ca="1" si="10"/>
        <v>(2026)</v>
      </c>
      <c r="K517" s="7" t="str">
        <f t="shared" si="11"/>
        <v>20581581</v>
      </c>
      <c r="L517" s="12" t="s">
        <v>346</v>
      </c>
      <c r="M517" s="13" t="str">
        <f ca="1">IFERROR(__xludf.DUMMYFUNCTION("TRIM(
  REGEXREPLACE(
    TEXTJOIN("" "",
      TRUE,
      B517,
      C517,
      embaralharLinks(E517,F517,G517),
      H517,
      """",
      J517,
      N517,
      ""#RIPNSFW""
    ),
  "",\s*"", "" "")
)"),"{New} Elle Brooke https://doodstream.com/d/n5zrcve4pkg7/20581581 https://streamtape.com/v/Mk3QQdboGmHBQD/20581581 https://lulustream.com/d/v5730r4pi9dy (2026) #Anal #BigTits #Hardcore #Bigass #RIPNSFW")</f>
        <v>{New} Elle Brooke https://doodstream.com/d/n5zrcve4pkg7/20581581 https://streamtape.com/v/Mk3QQdboGmHBQD/20581581 https://lulustream.com/d/v5730r4pi9dy (2026) #Anal #BigTits #Hardcore #Bigass #RIPNSFW</v>
      </c>
      <c r="N517" s="2" t="s">
        <v>347</v>
      </c>
      <c r="O517" s="21" t="s">
        <v>2644</v>
      </c>
      <c r="P517" s="26"/>
      <c r="R517" s="23"/>
    </row>
    <row r="518" spans="1:27" ht="12.75">
      <c r="A518" s="12" t="s">
        <v>2645</v>
      </c>
      <c r="B518" s="6" t="s">
        <v>14</v>
      </c>
      <c r="C518" s="7" t="str">
        <f t="shared" si="8"/>
        <v xml:space="preserve">Elle Brooke </v>
      </c>
      <c r="D518" s="27" t="s">
        <v>2646</v>
      </c>
      <c r="E518" s="28" t="s">
        <v>2647</v>
      </c>
      <c r="F518" s="9" t="str">
        <f ca="1">IFERROR(__xludf.DUMMYFUNCTION("""https://streamtape.com/v/""&amp;
REGEXEXTRACT(O518,""/thumb/([^/]+)/"")&amp;
""/""&amp;K518"),"https://streamtape.com/v/O1ymAv4RMWHkkR/25581299")</f>
        <v>https://streamtape.com/v/O1ymAv4RMWHkkR/25581299</v>
      </c>
      <c r="G518" s="10" t="e">
        <f t="shared" ca="1" si="9"/>
        <v>#NAME?</v>
      </c>
      <c r="H518" s="11" t="str">
        <f ca="1">IFERROR(__xludf.DUMMYFUNCTION("IFERROR(SUBSTITUTE(SUBSTITUTE(REGEXEXTRACT(A518, ""[^-]+- [^-]+- [^-]+ - (.+?)\.jpg""), "".jpg"", """"), ""-"", "", ""), """")"),"")</f>
        <v/>
      </c>
      <c r="I518" s="6"/>
      <c r="J518" s="7" t="str">
        <f t="shared" ca="1" si="10"/>
        <v>(2026)</v>
      </c>
      <c r="K518" s="7" t="str">
        <f t="shared" si="11"/>
        <v>25581299</v>
      </c>
      <c r="L518" s="12" t="s">
        <v>2648</v>
      </c>
      <c r="M518" s="13" t="str">
        <f ca="1">IFERROR(__xludf.DUMMYFUNCTION("TRIM(
  REGEXREPLACE(
    TEXTJOIN("" "",
      TRUE,
      B518,
      C518,
      embaralharLinks(E518,F518,G518),
      H518,
      """",
      J518,
      N518,
      ""#RIPNSFW""
    ),
  "",\s*"", "" "")
)"),"{New} Elle Brooke https://doodstream.com/d/2iftivze2yxg/25581299 https://streamtape.com/v/O1ymAv4RMWHkkR/25581299 https://lulustream.com/d/kefo0rgvwq0j (2026) #MILF #BigTits #Hardcore #Anal #RIPNSFW")</f>
        <v>{New} Elle Brooke https://doodstream.com/d/2iftivze2yxg/25581299 https://streamtape.com/v/O1ymAv4RMWHkkR/25581299 https://lulustream.com/d/kefo0rgvwq0j (2026) #MILF #BigTits #Hardcore #Anal #RIPNSFW</v>
      </c>
      <c r="N518" s="2" t="s">
        <v>2649</v>
      </c>
      <c r="O518" s="30" t="s">
        <v>2650</v>
      </c>
      <c r="P518" s="26"/>
      <c r="R518" s="23"/>
    </row>
    <row r="519" spans="1:27" ht="12.75">
      <c r="A519" s="6" t="s">
        <v>2651</v>
      </c>
      <c r="B519" s="6" t="s">
        <v>14</v>
      </c>
      <c r="C519" s="7" t="str">
        <f t="shared" si="8"/>
        <v xml:space="preserve">Elle Brooke </v>
      </c>
      <c r="D519" s="6" t="s">
        <v>2652</v>
      </c>
      <c r="E519" s="8" t="s">
        <v>2653</v>
      </c>
      <c r="F519" s="9" t="str">
        <f ca="1">IFERROR(__xludf.DUMMYFUNCTION("""https://streamtape.com/v/""&amp;
REGEXEXTRACT(O519,""/thumb/([^/]+)/"")&amp;
""/""&amp;K519"),"https://streamtape.com/v/8BvzqzO6vLcMMr/28992312")</f>
        <v>https://streamtape.com/v/8BvzqzO6vLcMMr/28992312</v>
      </c>
      <c r="G519" s="10" t="e">
        <f t="shared" ca="1" si="9"/>
        <v>#NAME?</v>
      </c>
      <c r="H519" s="11" t="str">
        <f ca="1">IFERROR(__xludf.DUMMYFUNCTION("IFERROR(SUBSTITUTE(SUBSTITUTE(REGEXEXTRACT(A519, ""[^-]+- [^-]+- [^-]+ - (.+?)\.jpg""), "".jpg"", """"), ""-"", "", ""), """")"),"")</f>
        <v/>
      </c>
      <c r="I519" s="6"/>
      <c r="J519" s="7" t="str">
        <f t="shared" ca="1" si="10"/>
        <v>(2026)</v>
      </c>
      <c r="K519" s="7" t="str">
        <f t="shared" si="11"/>
        <v>28992312</v>
      </c>
      <c r="L519" s="12" t="s">
        <v>2654</v>
      </c>
      <c r="M519" s="13" t="str">
        <f ca="1">IFERROR(__xludf.DUMMYFUNCTION("TRIM(
  REGEXREPLACE(
    TEXTJOIN("" "",
      TRUE,
      B519,
      C519,
      embaralharLinks(E519,F519,G519),
      H519,
      """",
      J519,
      N519,
      ""#RIPNSFW""
    ),
  "",\s*"", "" "")
)"),"{New} Elle Brooke https://lulustream.com/d/v5rijmki53ez https://streamtape.com/v/8BvzqzO6vLcMMr/28992312 https://doodstream.com/d/qeesxjzisw5r/28992312 (2026) #BigTits #Creampie #Hardcore #Black #Interracial #RIPNSFW")</f>
        <v>{New} Elle Brooke https://lulustream.com/d/v5rijmki53ez https://streamtape.com/v/8BvzqzO6vLcMMr/28992312 https://doodstream.com/d/qeesxjzisw5r/28992312 (2026) #BigTits #Creampie #Hardcore #Black #Interracial #RIPNSFW</v>
      </c>
      <c r="N519" s="14" t="s">
        <v>2655</v>
      </c>
      <c r="O519" s="15" t="s">
        <v>2656</v>
      </c>
      <c r="P519" s="14"/>
      <c r="Q519" s="6"/>
      <c r="R519" s="11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>
      <c r="A520" s="12" t="s">
        <v>2657</v>
      </c>
      <c r="B520" s="6"/>
      <c r="C520" s="7" t="str">
        <f t="shared" si="8"/>
        <v xml:space="preserve">Elle Brooke </v>
      </c>
      <c r="D520" s="24" t="s">
        <v>2658</v>
      </c>
      <c r="E520" s="25" t="s">
        <v>2659</v>
      </c>
      <c r="F520" s="9" t="str">
        <f ca="1">IFERROR(__xludf.DUMMYFUNCTION("""https://streamtape.com/v/""&amp;
REGEXEXTRACT(O520,""/thumb/([^/]+)/"")&amp;
""/""&amp;K520"),"https://streamtape.com/v/g0J13LwqqOtqprv/36398354")</f>
        <v>https://streamtape.com/v/g0J13LwqqOtqprv/36398354</v>
      </c>
      <c r="G520" s="10" t="e">
        <f t="shared" ca="1" si="9"/>
        <v>#NAME?</v>
      </c>
      <c r="H520" s="11" t="str">
        <f ca="1">IFERROR(__xludf.DUMMYFUNCTION("IFERROR(SUBSTITUTE(SUBSTITUTE(REGEXEXTRACT(A520, ""[^-]+- [^-]+- [^-]+ - (.+?)\.jpg""), "".jpg"", """"), ""-"", "", ""), """")"),"")</f>
        <v/>
      </c>
      <c r="I520" s="6"/>
      <c r="J520" s="7" t="str">
        <f t="shared" ca="1" si="10"/>
        <v/>
      </c>
      <c r="K520" s="7" t="str">
        <f t="shared" si="11"/>
        <v>36398354</v>
      </c>
      <c r="L520" s="12" t="s">
        <v>2660</v>
      </c>
      <c r="M520" s="13" t="str">
        <f ca="1">IFERROR(__xludf.DUMMYFUNCTION("TRIM(
  REGEXREPLACE(
    TEXTJOIN("" "",
      TRUE,
      B520,
      C520,
      embaralharLinks(E520,F520,G520),
      H520,
      """",
      J520,
      N520,
      ""#RIPNSFW""
    ),
  "",\s*"", "" "")
)"),"Elle Brooke https://lulustream.com/d/iyl8osibj0pn https://doodstream.com/d/xzynffzgi4s6/36398354 https://streamtape.com/v/g0J13LwqqOtqprv/36398354 #blonde #bigtits #creampie #doggystyle #RIPNSFW")</f>
        <v>Elle Brooke https://lulustream.com/d/iyl8osibj0pn https://doodstream.com/d/xzynffzgi4s6/36398354 https://streamtape.com/v/g0J13LwqqOtqprv/36398354 #blonde #bigtits #creampie #doggystyle #RIPNSFW</v>
      </c>
      <c r="N520" s="2" t="s">
        <v>2660</v>
      </c>
      <c r="O520" s="21" t="s">
        <v>2661</v>
      </c>
      <c r="P520" s="26"/>
      <c r="R520" s="23"/>
      <c r="T520" s="6"/>
      <c r="U520" s="7"/>
    </row>
    <row r="521" spans="1:27" ht="12.75">
      <c r="A521" s="12" t="s">
        <v>2662</v>
      </c>
      <c r="B521" s="6" t="s">
        <v>14</v>
      </c>
      <c r="C521" s="7" t="str">
        <f t="shared" si="8"/>
        <v xml:space="preserve">Elle Brooke </v>
      </c>
      <c r="D521" s="27" t="s">
        <v>2663</v>
      </c>
      <c r="E521" s="28" t="s">
        <v>2664</v>
      </c>
      <c r="F521" s="9" t="str">
        <f ca="1">IFERROR(__xludf.DUMMYFUNCTION("""https://streamtape.com/v/""&amp;
REGEXEXTRACT(O521,""/thumb/([^/]+)/"")&amp;
""/""&amp;K521"),"https://streamtape.com/v/yj6P1ppwQmh1R3B/44998593")</f>
        <v>https://streamtape.com/v/yj6P1ppwQmh1R3B/44998593</v>
      </c>
      <c r="G521" s="10" t="e">
        <f t="shared" ca="1" si="9"/>
        <v>#NAME?</v>
      </c>
      <c r="H521" s="11" t="str">
        <f ca="1">IFERROR(__xludf.DUMMYFUNCTION("IFERROR(SUBSTITUTE(SUBSTITUTE(REGEXEXTRACT(A521, ""[^-]+- [^-]+- [^-]+ - (.+?)\.jpg""), "".jpg"", """"), ""-"", "", ""), """")"),"")</f>
        <v/>
      </c>
      <c r="I521" s="6"/>
      <c r="J521" s="7" t="str">
        <f t="shared" ca="1" si="10"/>
        <v>(2026)</v>
      </c>
      <c r="K521" s="7" t="str">
        <f t="shared" si="11"/>
        <v>44998593</v>
      </c>
      <c r="L521" s="12" t="s">
        <v>2665</v>
      </c>
      <c r="M521" s="13" t="str">
        <f ca="1">IFERROR(__xludf.DUMMYFUNCTION("TRIM(
  REGEXREPLACE(
    TEXTJOIN("" "",
      TRUE,
      B521,
      C521,
      embaralharLinks(E521,F521,G521),
      H521,
      """",
      J521,
      N521,
      ""#RIPNSFW""
    ),
  "",\s*"", "" "")
)"),"{New} Elle Brooke https://streamtape.com/v/yj6P1ppwQmh1R3B/44998593 https://lulustream.com/d/h4dufhrge5fd https://doodstream.com/d/erzqumcg85h7/44998593 (2026) #MILF #Hardcore #Threesome #Blowjob #RIPNSFW")</f>
        <v>{New} Elle Brooke https://streamtape.com/v/yj6P1ppwQmh1R3B/44998593 https://lulustream.com/d/h4dufhrge5fd https://doodstream.com/d/erzqumcg85h7/44998593 (2026) #MILF #Hardcore #Threesome #Blowjob #RIPNSFW</v>
      </c>
      <c r="N521" s="2" t="s">
        <v>2666</v>
      </c>
      <c r="O521" s="30" t="s">
        <v>2667</v>
      </c>
      <c r="P521" s="26"/>
      <c r="R521" s="23"/>
    </row>
    <row r="522" spans="1:27" ht="12.75">
      <c r="A522" s="6" t="s">
        <v>2668</v>
      </c>
      <c r="B522" s="6" t="s">
        <v>14</v>
      </c>
      <c r="C522" s="7" t="str">
        <f t="shared" si="8"/>
        <v xml:space="preserve">Elle Brooke </v>
      </c>
      <c r="D522" s="6" t="s">
        <v>2669</v>
      </c>
      <c r="E522" s="8" t="s">
        <v>2670</v>
      </c>
      <c r="F522" s="9" t="str">
        <f ca="1">IFERROR(__xludf.DUMMYFUNCTION("""https://streamtape.com/v/""&amp;
REGEXEXTRACT(O522,""/thumb/([^/]+)/"")&amp;
""/""&amp;K522"),"https://streamtape.com/v/RqamLxdyjwu7x1/46261359")</f>
        <v>https://streamtape.com/v/RqamLxdyjwu7x1/46261359</v>
      </c>
      <c r="G522" s="10" t="e">
        <f t="shared" ca="1" si="9"/>
        <v>#NAME?</v>
      </c>
      <c r="H522" s="11" t="str">
        <f ca="1">IFERROR(__xludf.DUMMYFUNCTION("IFERROR(SUBSTITUTE(SUBSTITUTE(REGEXEXTRACT(A522, ""[^-]+- [^-]+- [^-]+ - (.+?)\.jpg""), "".jpg"", """"), ""-"", "", ""), """")"),"")</f>
        <v/>
      </c>
      <c r="I522" s="6"/>
      <c r="J522" s="7" t="str">
        <f t="shared" ca="1" si="10"/>
        <v>(2026)</v>
      </c>
      <c r="K522" s="7" t="str">
        <f t="shared" si="11"/>
        <v>46261359</v>
      </c>
      <c r="L522" s="12" t="s">
        <v>2671</v>
      </c>
      <c r="M522" s="13" t="str">
        <f ca="1">IFERROR(__xludf.DUMMYFUNCTION("TRIM(
  REGEXREPLACE(
    TEXTJOIN("" "",
      TRUE,
      B522,
      C522,
      embaralharLinks(E522,F522,G522),
      H522,
      """",
      J522,
      N522,
      ""#RIPNSFW""
    ),
  "",\s*"", "" "")
)"),"{New} Elle Brooke https://lulustream.com/d/cy07egzl424a https://streamtape.com/v/RqamLxdyjwu7x1/46261359 https://doodstream.com/d/bl9dne73xpnf/46261359 (2026) #Anal #MILF #Hardcore #Bigass #RIPNSFW")</f>
        <v>{New} Elle Brooke https://lulustream.com/d/cy07egzl424a https://streamtape.com/v/RqamLxdyjwu7x1/46261359 https://doodstream.com/d/bl9dne73xpnf/46261359 (2026) #Anal #MILF #Hardcore #Bigass #RIPNSFW</v>
      </c>
      <c r="N522" s="14" t="s">
        <v>2672</v>
      </c>
      <c r="O522" s="15" t="s">
        <v>2673</v>
      </c>
      <c r="P522" s="14"/>
      <c r="Q522" s="6"/>
      <c r="R522" s="11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>
      <c r="A523" s="6" t="s">
        <v>2674</v>
      </c>
      <c r="B523" s="6" t="s">
        <v>14</v>
      </c>
      <c r="C523" s="7" t="str">
        <f t="shared" si="8"/>
        <v xml:space="preserve">Elle Brooke </v>
      </c>
      <c r="D523" s="29" t="s">
        <v>2675</v>
      </c>
      <c r="E523" s="8" t="s">
        <v>2676</v>
      </c>
      <c r="F523" s="9" t="str">
        <f ca="1">IFERROR(__xludf.DUMMYFUNCTION("""https://streamtape.com/v/""&amp;
REGEXEXTRACT(O523,""/thumb/([^/]+)/"")&amp;
""/""&amp;K523"),"https://streamtape.com/v/4Awe04dDOmFK4Mo/46761279")</f>
        <v>https://streamtape.com/v/4Awe04dDOmFK4Mo/46761279</v>
      </c>
      <c r="G523" s="10" t="e">
        <f t="shared" ca="1" si="9"/>
        <v>#NAME?</v>
      </c>
      <c r="H523" s="11" t="str">
        <f ca="1">IFERROR(__xludf.DUMMYFUNCTION("IFERROR(SUBSTITUTE(SUBSTITUTE(REGEXEXTRACT(A523, ""[^-]+- [^-]+- [^-]+ - (.+?)\.jpg""), "".jpg"", """"), ""-"", "", ""), """")"),"")</f>
        <v/>
      </c>
      <c r="I523" s="6"/>
      <c r="J523" s="7" t="str">
        <f t="shared" ca="1" si="10"/>
        <v>(2026)</v>
      </c>
      <c r="K523" s="7" t="str">
        <f t="shared" si="11"/>
        <v>46761279</v>
      </c>
      <c r="L523" s="12" t="s">
        <v>2677</v>
      </c>
      <c r="M523" s="13" t="str">
        <f ca="1">IFERROR(__xludf.DUMMYFUNCTION("TRIM(
  REGEXREPLACE(
    TEXTJOIN("" "",
      TRUE,
      B523,
      C523,
      embaralharLinks(E523,F523,G523),
      H523,
      """",
      J523,
      N523,
      ""#RIPNSFW""
    ),
  "",\s*"", "" "")
)"),"{New} Elle Brooke https://doodstream.com/d/7ju58i4hys5t/46761279 https://lulustream.com/d/u07lsdqfr8eq https://streamtape.com/v/4Awe04dDOmFK4Mo/46761279 (2026) #MILF #BigTits #Hardcore #Black #Interracial #Bigass #Blowjob #Amateur #Hotwife #RIPNSFW")</f>
        <v>{New} Elle Brooke https://doodstream.com/d/7ju58i4hys5t/46761279 https://lulustream.com/d/u07lsdqfr8eq https://streamtape.com/v/4Awe04dDOmFK4Mo/46761279 (2026) #MILF #BigTits #Hardcore #Black #Interracial #Bigass #Blowjob #Amateur #Hotwife #RIPNSFW</v>
      </c>
      <c r="N523" s="14" t="s">
        <v>2678</v>
      </c>
      <c r="O523" s="32" t="s">
        <v>2679</v>
      </c>
      <c r="P523" s="14"/>
      <c r="Q523" s="6"/>
      <c r="R523" s="11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>
      <c r="A524" s="12" t="s">
        <v>2680</v>
      </c>
      <c r="B524" s="6" t="s">
        <v>14</v>
      </c>
      <c r="C524" s="7" t="str">
        <f t="shared" si="8"/>
        <v xml:space="preserve">Elle Brooke </v>
      </c>
      <c r="D524" s="27" t="s">
        <v>2681</v>
      </c>
      <c r="E524" s="28" t="s">
        <v>2682</v>
      </c>
      <c r="F524" s="9" t="str">
        <f ca="1">IFERROR(__xludf.DUMMYFUNCTION("""https://streamtape.com/v/""&amp;
REGEXEXTRACT(O524,""/thumb/([^/]+)/"")&amp;
""/""&amp;K524"),"https://streamtape.com/v/oea66ALMwmTKxk/62205591")</f>
        <v>https://streamtape.com/v/oea66ALMwmTKxk/62205591</v>
      </c>
      <c r="G524" s="10" t="e">
        <f t="shared" ca="1" si="9"/>
        <v>#NAME?</v>
      </c>
      <c r="H524" s="11" t="str">
        <f ca="1">IFERROR(__xludf.DUMMYFUNCTION("IFERROR(SUBSTITUTE(SUBSTITUTE(REGEXEXTRACT(A524, ""[^-]+- [^-]+- [^-]+ - (.+?)\.jpg""), "".jpg"", """"), ""-"", "", ""), """")"),"")</f>
        <v/>
      </c>
      <c r="I524" s="6"/>
      <c r="J524" s="7" t="str">
        <f t="shared" ca="1" si="10"/>
        <v>(2026)</v>
      </c>
      <c r="K524" s="7" t="str">
        <f t="shared" si="11"/>
        <v>62205591</v>
      </c>
      <c r="L524" s="12" t="s">
        <v>71</v>
      </c>
      <c r="M524" s="13" t="str">
        <f ca="1">IFERROR(__xludf.DUMMYFUNCTION("TRIM(
  REGEXREPLACE(
    TEXTJOIN("" "",
      TRUE,
      B524,
      C524,
      embaralharLinks(E524,F524,G524),
      H524,
      """",
      J524,
      N524,
      ""#RIPNSFW""
    ),
  "",\s*"", "" "")
)"),"{New} Elle Brooke https://doodstream.com/d/9liqpnkkxpsv/62205591 https://lulustream.com/d/jqqxlsy13lgm https://streamtape.com/v/oea66ALMwmTKxk/62205591 (2026) #Anal #MILF #BigTits #Hardcore #RIPNSFW")</f>
        <v>{New} Elle Brooke https://doodstream.com/d/9liqpnkkxpsv/62205591 https://lulustream.com/d/jqqxlsy13lgm https://streamtape.com/v/oea66ALMwmTKxk/62205591 (2026) #Anal #MILF #BigTits #Hardcore #RIPNSFW</v>
      </c>
      <c r="N524" s="2" t="s">
        <v>72</v>
      </c>
      <c r="O524" s="30" t="s">
        <v>2683</v>
      </c>
      <c r="P524" s="26"/>
      <c r="R524" s="23"/>
    </row>
    <row r="525" spans="1:27" ht="12.75">
      <c r="A525" s="6" t="s">
        <v>2684</v>
      </c>
      <c r="B525" s="6" t="s">
        <v>14</v>
      </c>
      <c r="C525" s="7" t="str">
        <f t="shared" si="8"/>
        <v xml:space="preserve">Elle Brooke </v>
      </c>
      <c r="D525" s="6" t="s">
        <v>2685</v>
      </c>
      <c r="E525" s="8" t="s">
        <v>2686</v>
      </c>
      <c r="F525" s="9" t="str">
        <f ca="1">IFERROR(__xludf.DUMMYFUNCTION("""https://streamtape.com/v/""&amp;
REGEXEXTRACT(O525,""/thumb/([^/]+)/"")&amp;
""/""&amp;K525"),"https://streamtape.com/v/Y6yvpXqM04Hv7AQ/94384356")</f>
        <v>https://streamtape.com/v/Y6yvpXqM04Hv7AQ/94384356</v>
      </c>
      <c r="G525" s="10" t="e">
        <f t="shared" ca="1" si="9"/>
        <v>#NAME?</v>
      </c>
      <c r="H525" s="11" t="str">
        <f ca="1">IFERROR(__xludf.DUMMYFUNCTION("IFERROR(SUBSTITUTE(SUBSTITUTE(REGEXEXTRACT(A525, ""[^-]+- [^-]+- [^-]+ - (.+?)\.jpg""), "".jpg"", """"), ""-"", "", ""), """")"),"")</f>
        <v/>
      </c>
      <c r="I525" s="6"/>
      <c r="J525" s="7" t="str">
        <f t="shared" ca="1" si="10"/>
        <v>(2026)</v>
      </c>
      <c r="K525" s="7" t="str">
        <f t="shared" si="11"/>
        <v>94384356</v>
      </c>
      <c r="L525" s="12" t="s">
        <v>1320</v>
      </c>
      <c r="M525" s="13" t="str">
        <f ca="1">IFERROR(__xludf.DUMMYFUNCTION("TRIM(
  REGEXREPLACE(
    TEXTJOIN("" "",
      TRUE,
      B525,
      C525,
      embaralharLinks(E525,F525,G525),
      H525,
      """",
      J525,
      N525,
      ""#RIPNSFW""
    ),
  "",\s*"", "" "")
)"),"{New} Elle Brooke https://streamtape.com/v/Y6yvpXqM04Hv7AQ/94384356 https://doodstream.com/d/f8yr3e2v045w/94384356 https://lulustream.com/d/vg4kgdh4izs4 (2026) #MILF #BigTits #Hardcore #Bigass #Blowjob #Amateur #Deepthroat #Blonde #RIPNSFW")</f>
        <v>{New} Elle Brooke https://streamtape.com/v/Y6yvpXqM04Hv7AQ/94384356 https://doodstream.com/d/f8yr3e2v045w/94384356 https://lulustream.com/d/vg4kgdh4izs4 (2026) #MILF #BigTits #Hardcore #Bigass #Blowjob #Amateur #Deepthroat #Blonde #RIPNSFW</v>
      </c>
      <c r="N525" s="14" t="s">
        <v>2687</v>
      </c>
      <c r="O525" s="15" t="s">
        <v>2688</v>
      </c>
      <c r="P525" s="14"/>
      <c r="Q525" s="6"/>
      <c r="R525" s="11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>
      <c r="A526" s="6" t="s">
        <v>2689</v>
      </c>
      <c r="B526" s="6" t="s">
        <v>14</v>
      </c>
      <c r="C526" s="7" t="str">
        <f t="shared" si="8"/>
        <v xml:space="preserve">Ellie </v>
      </c>
      <c r="D526" s="6" t="s">
        <v>2690</v>
      </c>
      <c r="E526" s="8" t="s">
        <v>2691</v>
      </c>
      <c r="F526" s="9" t="str">
        <f ca="1">IFERROR(__xludf.DUMMYFUNCTION("""https://streamtape.com/v/""&amp;
REGEXEXTRACT(O526,""/thumb/([^/]+)/"")&amp;
""/""&amp;K526"),"https://streamtape.com/v/jgxw19JW7Rczzoz/64980370")</f>
        <v>https://streamtape.com/v/jgxw19JW7Rczzoz/64980370</v>
      </c>
      <c r="G526" s="10" t="e">
        <f t="shared" ca="1" si="9"/>
        <v>#NAME?</v>
      </c>
      <c r="H526" s="11" t="str">
        <f ca="1">IFERROR(__xludf.DUMMYFUNCTION("IFERROR(SUBSTITUTE(SUBSTITUTE(REGEXEXTRACT(A526, ""[^-]+- [^-]+- [^-]+ - (.+?)\.jpg""), "".jpg"", """"), ""-"", "", ""), """")"),"")</f>
        <v/>
      </c>
      <c r="I526" s="6"/>
      <c r="J526" s="7" t="str">
        <f t="shared" ca="1" si="10"/>
        <v>(2026)</v>
      </c>
      <c r="K526" s="7" t="str">
        <f t="shared" si="11"/>
        <v>64980370</v>
      </c>
      <c r="L526" s="12" t="s">
        <v>2692</v>
      </c>
      <c r="M526" s="13" t="str">
        <f ca="1">IFERROR(__xludf.DUMMYFUNCTION("TRIM(
  REGEXREPLACE(
    TEXTJOIN("" "",
      TRUE,
      B526,
      C526,
      embaralharLinks(E526,F526,G526),
      H526,
      """",
      J526,
      N526,
      ""#RIPNSFW""
    ),
  "",\s*"", "" "")
)"),"{New} Ellie https://streamtape.com/v/jgxw19JW7Rczzoz/64980370 https://doodstream.com/d/cs5s8v24np91/64980370 https://lulustream.com/d/8z26rddc54pe (2026) #BigTits #Hardcore #Threesome #Bigass #Porn #Teen #Blowjob #RIPNSFW")</f>
        <v>{New} Ellie https://streamtape.com/v/jgxw19JW7Rczzoz/64980370 https://doodstream.com/d/cs5s8v24np91/64980370 https://lulustream.com/d/8z26rddc54pe (2026) #BigTits #Hardcore #Threesome #Bigass #Porn #Teen #Blowjob #RIPNSFW</v>
      </c>
      <c r="N526" s="14" t="s">
        <v>2693</v>
      </c>
      <c r="O526" s="15" t="s">
        <v>2694</v>
      </c>
      <c r="P526" s="14"/>
      <c r="Q526" s="6"/>
      <c r="R526" s="11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>
      <c r="A527" s="12" t="s">
        <v>2695</v>
      </c>
      <c r="B527" s="6" t="s">
        <v>14</v>
      </c>
      <c r="C527" s="7" t="str">
        <f t="shared" si="8"/>
        <v xml:space="preserve">Ellie Nova </v>
      </c>
      <c r="D527" s="24" t="s">
        <v>2696</v>
      </c>
      <c r="E527" s="25" t="s">
        <v>2697</v>
      </c>
      <c r="F527" s="9" t="str">
        <f ca="1">IFERROR(__xludf.DUMMYFUNCTION("""https://streamtape.com/v/""&amp;
REGEXEXTRACT(O527,""/thumb/([^/]+)/"")&amp;
""/""&amp;K527"),"https://streamtape.com/v/2BM2xq3bmasZJGM/76987710")</f>
        <v>https://streamtape.com/v/2BM2xq3bmasZJGM/76987710</v>
      </c>
      <c r="G527" s="10" t="e">
        <f t="shared" ca="1" si="9"/>
        <v>#NAME?</v>
      </c>
      <c r="H527" s="11" t="str">
        <f ca="1">IFERROR(__xludf.DUMMYFUNCTION("IFERROR(SUBSTITUTE(SUBSTITUTE(REGEXEXTRACT(A527, ""[^-]+- [^-]+- [^-]+ - (.+?)\.jpg""), "".jpg"", """"), ""-"", "", ""), """")"),"")</f>
        <v/>
      </c>
      <c r="I527" s="6"/>
      <c r="J527" s="7" t="str">
        <f t="shared" ca="1" si="10"/>
        <v>(2026)</v>
      </c>
      <c r="K527" s="7" t="str">
        <f t="shared" si="11"/>
        <v>76987710</v>
      </c>
      <c r="L527" s="12" t="s">
        <v>2698</v>
      </c>
      <c r="M527" s="13" t="str">
        <f ca="1">IFERROR(__xludf.DUMMYFUNCTION("TRIM(
  REGEXREPLACE(
    TEXTJOIN("" "",
      TRUE,
      B527,
      C527,
      embaralharLinks(E527,F527,G527),
      H527,
      """",
      J527,
      N527,
      ""#RIPNSFW""
    ),
  "",\s*"", "" "")
)"),"{New} Ellie Nova https://doodstream.com/d/vfuz8xzmshr8/76987710 https://lulustream.com/d/q6kpyqag89nl https://streamtape.com/v/2BM2xq3bmasZJGM/76987710 (2026) #bigtits #hardcore #black #interracial #RIPNSFW")</f>
        <v>{New} Ellie Nova https://doodstream.com/d/vfuz8xzmshr8/76987710 https://lulustream.com/d/q6kpyqag89nl https://streamtape.com/v/2BM2xq3bmasZJGM/76987710 (2026) #bigtits #hardcore #black #interracial #RIPNSFW</v>
      </c>
      <c r="N527" s="2" t="s">
        <v>2698</v>
      </c>
      <c r="O527" s="30" t="s">
        <v>2699</v>
      </c>
      <c r="P527" s="26"/>
      <c r="R527" s="23"/>
      <c r="T527" s="6"/>
      <c r="U527" s="7"/>
    </row>
    <row r="528" spans="1:27" ht="12.75">
      <c r="A528" s="12" t="s">
        <v>2700</v>
      </c>
      <c r="B528" s="6" t="s">
        <v>14</v>
      </c>
      <c r="C528" s="7" t="str">
        <f t="shared" si="8"/>
        <v xml:space="preserve">Ellie Nova </v>
      </c>
      <c r="D528" s="24" t="s">
        <v>2701</v>
      </c>
      <c r="E528" s="25" t="s">
        <v>2702</v>
      </c>
      <c r="F528" s="9" t="str">
        <f ca="1">IFERROR(__xludf.DUMMYFUNCTION("""https://streamtape.com/v/""&amp;
REGEXEXTRACT(O528,""/thumb/([^/]+)/"")&amp;
""/""&amp;K528"),"https://streamtape.com/v/7wMDkxMKLqiA7r4/79574907")</f>
        <v>https://streamtape.com/v/7wMDkxMKLqiA7r4/79574907</v>
      </c>
      <c r="G528" s="10" t="e">
        <f t="shared" ca="1" si="9"/>
        <v>#NAME?</v>
      </c>
      <c r="H528" s="11" t="str">
        <f ca="1">IFERROR(__xludf.DUMMYFUNCTION("IFERROR(SUBSTITUTE(SUBSTITUTE(REGEXEXTRACT(A528, ""[^-]+- [^-]+- [^-]+ - (.+?)\.jpg""), "".jpg"", """"), ""-"", "", ""), """")"),"")</f>
        <v/>
      </c>
      <c r="I528" s="6"/>
      <c r="J528" s="7" t="str">
        <f t="shared" ca="1" si="10"/>
        <v>(2026)</v>
      </c>
      <c r="K528" s="7" t="str">
        <f t="shared" si="11"/>
        <v>79574907</v>
      </c>
      <c r="L528" s="12" t="s">
        <v>2703</v>
      </c>
      <c r="M528" s="13" t="str">
        <f ca="1">IFERROR(__xludf.DUMMYFUNCTION("TRIM(
  REGEXREPLACE(
    TEXTJOIN("" "",
      TRUE,
      B528,
      C528,
      embaralharLinks(E528,F528,G528),
      H528,
      """",
      J528,
      N528,
      ""#RIPNSFW""
    ),
  "",\s*"", "" "")
)"),"{New} Ellie Nova https://lulustream.com/d/usdxx1stxqby https://streamtape.com/v/7wMDkxMKLqiA7r4/79574907 https://doodstream.com/d/ztz9qe7szb0k/79574907 (2026) #teen #brunette #bigass #bigtits #RIPNSFW")</f>
        <v>{New} Ellie Nova https://lulustream.com/d/usdxx1stxqby https://streamtape.com/v/7wMDkxMKLqiA7r4/79574907 https://doodstream.com/d/ztz9qe7szb0k/79574907 (2026) #teen #brunette #bigass #bigtits #RIPNSFW</v>
      </c>
      <c r="N528" s="2" t="s">
        <v>2703</v>
      </c>
      <c r="O528" s="30" t="s">
        <v>2704</v>
      </c>
      <c r="P528" s="26"/>
      <c r="R528" s="23"/>
      <c r="T528" s="6"/>
      <c r="U528" s="7"/>
    </row>
    <row r="529" spans="1:27" ht="12.75">
      <c r="A529" s="6" t="s">
        <v>2705</v>
      </c>
      <c r="B529" s="6" t="s">
        <v>14</v>
      </c>
      <c r="C529" s="7" t="str">
        <f t="shared" si="8"/>
        <v xml:space="preserve">Ellie Nova </v>
      </c>
      <c r="D529" s="6" t="s">
        <v>2706</v>
      </c>
      <c r="E529" s="8" t="s">
        <v>2707</v>
      </c>
      <c r="F529" s="9" t="str">
        <f ca="1">IFERROR(__xludf.DUMMYFUNCTION("""https://streamtape.com/v/""&amp;
REGEXEXTRACT(O529,""/thumb/([^/]+)/"")&amp;
""/""&amp;K529"),"https://streamtape.com/v/79GbJ1vBorfAe6b/98623078")</f>
        <v>https://streamtape.com/v/79GbJ1vBorfAe6b/98623078</v>
      </c>
      <c r="G529" s="10" t="e">
        <f t="shared" ca="1" si="9"/>
        <v>#NAME?</v>
      </c>
      <c r="H529" s="11" t="str">
        <f ca="1">IFERROR(__xludf.DUMMYFUNCTION("IFERROR(SUBSTITUTE(SUBSTITUTE(REGEXEXTRACT(A529, ""[^-]+- [^-]+- [^-]+ - (.+?)\.jpg""), "".jpg"", """"), ""-"", "", ""), """")"),"")</f>
        <v/>
      </c>
      <c r="I529" s="6"/>
      <c r="J529" s="7" t="str">
        <f t="shared" ca="1" si="10"/>
        <v>(2026)</v>
      </c>
      <c r="K529" s="7" t="str">
        <f t="shared" si="11"/>
        <v>98623078</v>
      </c>
      <c r="L529" s="12" t="s">
        <v>2708</v>
      </c>
      <c r="M529" s="13" t="str">
        <f ca="1">IFERROR(__xludf.DUMMYFUNCTION("TRIM(
  REGEXREPLACE(
    TEXTJOIN("" "",
      TRUE,
      B529,
      C529,
      embaralharLinks(E529,F529,G529),
      H529,
      """",
      J529,
      N529,
      ""#RIPNSFW""
    ),
  "",\s*"", "" "")
)"),"{New} Ellie Nova https://streamtape.com/v/79GbJ1vBorfAe6b/98623078 https://doodstream.com/d/tst3l6nwihcx/98623078 https://lulustream.com/d/x2f1d5vvudle (2026) #BigTits #Hardcore #Bigass #Porn #Teen #Blowjob #Facial #RIPNSFW")</f>
        <v>{New} Ellie Nova https://streamtape.com/v/79GbJ1vBorfAe6b/98623078 https://doodstream.com/d/tst3l6nwihcx/98623078 https://lulustream.com/d/x2f1d5vvudle (2026) #BigTits #Hardcore #Bigass #Porn #Teen #Blowjob #Facial #RIPNSFW</v>
      </c>
      <c r="N529" s="14" t="s">
        <v>2709</v>
      </c>
      <c r="O529" s="15" t="s">
        <v>2710</v>
      </c>
      <c r="P529" s="14"/>
      <c r="Q529" s="6"/>
      <c r="R529" s="11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>
      <c r="A530" s="8" t="s">
        <v>2711</v>
      </c>
      <c r="B530" s="6" t="s">
        <v>14</v>
      </c>
      <c r="C530" s="7" t="str">
        <f t="shared" si="8"/>
        <v xml:space="preserve">Elly Clutch </v>
      </c>
      <c r="D530" s="6" t="s">
        <v>2712</v>
      </c>
      <c r="E530" s="8" t="s">
        <v>2713</v>
      </c>
      <c r="F530" s="9" t="str">
        <f ca="1">IFERROR(__xludf.DUMMYFUNCTION("""https://streamtape.com/v/""&amp;
REGEXEXTRACT(O530,""/thumb/([^/]+)/"")&amp;
""/""&amp;K530"),"https://streamtape.com/v/0LvM42yk4WSb1kx/12974468")</f>
        <v>https://streamtape.com/v/0LvM42yk4WSb1kx/12974468</v>
      </c>
      <c r="G530" s="10" t="e">
        <f t="shared" ca="1" si="9"/>
        <v>#NAME?</v>
      </c>
      <c r="H530" s="11" t="str">
        <f ca="1">IFERROR(__xludf.DUMMYFUNCTION("IFERROR(SUBSTITUTE(SUBSTITUTE(REGEXEXTRACT(A530, ""[^-]+- [^-]+- [^-]+ - (.+?)\.jpg""), "".jpg"", """"), ""-"", "", ""), """")"),"")</f>
        <v/>
      </c>
      <c r="I530" s="6"/>
      <c r="J530" s="7" t="str">
        <f t="shared" ca="1" si="10"/>
        <v>(2026)</v>
      </c>
      <c r="K530" s="7" t="str">
        <f t="shared" si="11"/>
        <v>12974468</v>
      </c>
      <c r="L530" s="12" t="s">
        <v>2714</v>
      </c>
      <c r="M530" s="13" t="str">
        <f ca="1">IFERROR(__xludf.DUMMYFUNCTION("TRIM(
  REGEXREPLACE(
    TEXTJOIN("" "",
      TRUE,
      B530,
      C530,
      embaralharLinks(E530,F530,G530),
      H530,
      """",
      J530,
      N530,
      ""#RIPNSFW""
    ),
  "",\s*"", "" "")
)"),"{New} Elly Clutch https://doodstream.com/d/1sjwqa22bvnf/12974468 https://streamtape.com/v/0LvM42yk4WSb1kx/12974468 https://lulustream.com/d/8b1mn9h18n76 (2026) #BigTits #Hardcore #Teen #Blowjob #Amateur #RIPNSFW")</f>
        <v>{New} Elly Clutch https://doodstream.com/d/1sjwqa22bvnf/12974468 https://streamtape.com/v/0LvM42yk4WSb1kx/12974468 https://lulustream.com/d/8b1mn9h18n76 (2026) #BigTits #Hardcore #Teen #Blowjob #Amateur #RIPNSFW</v>
      </c>
      <c r="N530" s="14" t="s">
        <v>1121</v>
      </c>
      <c r="O530" s="15" t="s">
        <v>2715</v>
      </c>
      <c r="P530" s="14"/>
      <c r="Q530" s="6"/>
      <c r="R530" s="11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>
      <c r="A531" s="6" t="s">
        <v>2716</v>
      </c>
      <c r="B531" s="6" t="s">
        <v>14</v>
      </c>
      <c r="C531" s="7" t="str">
        <f t="shared" si="8"/>
        <v xml:space="preserve">Elly Clutch </v>
      </c>
      <c r="D531" s="6" t="s">
        <v>2717</v>
      </c>
      <c r="E531" s="8" t="s">
        <v>2718</v>
      </c>
      <c r="F531" s="9" t="str">
        <f ca="1">IFERROR(__xludf.DUMMYFUNCTION("""https://streamtape.com/v/""&amp;
REGEXEXTRACT(O531,""/thumb/([^/]+)/"")&amp;
""/""&amp;K531"),"https://streamtape.com/v/KQw83glv3KU0Q94/13895263")</f>
        <v>https://streamtape.com/v/KQw83glv3KU0Q94/13895263</v>
      </c>
      <c r="G531" s="10" t="e">
        <f t="shared" ca="1" si="9"/>
        <v>#NAME?</v>
      </c>
      <c r="H531" s="11" t="str">
        <f ca="1">IFERROR(__xludf.DUMMYFUNCTION("IFERROR(SUBSTITUTE(SUBSTITUTE(REGEXEXTRACT(A531, ""[^-]+- [^-]+- [^-]+ - (.+?)\.jpg""), "".jpg"", """"), ""-"", "", ""), """")"),"")</f>
        <v/>
      </c>
      <c r="I531" s="6"/>
      <c r="J531" s="7" t="str">
        <f t="shared" ca="1" si="10"/>
        <v>(2026)</v>
      </c>
      <c r="K531" s="7" t="str">
        <f t="shared" si="11"/>
        <v>13895263</v>
      </c>
      <c r="L531" s="12" t="s">
        <v>2719</v>
      </c>
      <c r="M531" s="13" t="str">
        <f ca="1">IFERROR(__xludf.DUMMYFUNCTION("TRIM(
  REGEXREPLACE(
    TEXTJOIN("" "",
      TRUE,
      B531,
      C531,
      embaralharLinks(E531,F531,G531),
      H531,
      """",
      J531,
      N531,
      ""#RIPNSFW""
    ),
  "",\s*"", "" "")
)"),"{New} Elly Clutch https://lulustream.com/d/qp0z4bfbnm4d https://streamtape.com/v/KQw83glv3KU0Q94/13895263 https://doodstream.com/d/qmkhxbijqc9l/13895263 (2026) #BigTits #Creampie #Hardcore #Teen #Blowjob #Amateur #Deepthroat #RIPNSFW")</f>
        <v>{New} Elly Clutch https://lulustream.com/d/qp0z4bfbnm4d https://streamtape.com/v/KQw83glv3KU0Q94/13895263 https://doodstream.com/d/qmkhxbijqc9l/13895263 (2026) #BigTits #Creampie #Hardcore #Teen #Blowjob #Amateur #Deepthroat #RIPNSFW</v>
      </c>
      <c r="N531" s="14" t="s">
        <v>2720</v>
      </c>
      <c r="O531" s="15" t="s">
        <v>2721</v>
      </c>
      <c r="P531" s="14"/>
      <c r="Q531" s="6"/>
      <c r="R531" s="11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>
      <c r="A532" s="6" t="s">
        <v>2722</v>
      </c>
      <c r="B532" s="6" t="s">
        <v>14</v>
      </c>
      <c r="C532" s="7" t="str">
        <f t="shared" si="8"/>
        <v xml:space="preserve">Elly Clutch </v>
      </c>
      <c r="D532" s="6" t="s">
        <v>2723</v>
      </c>
      <c r="E532" s="8" t="s">
        <v>2724</v>
      </c>
      <c r="F532" s="9" t="str">
        <f ca="1">IFERROR(__xludf.DUMMYFUNCTION("""https://streamtape.com/v/""&amp;
REGEXEXTRACT(O532,""/thumb/([^/]+)/"")&amp;
""/""&amp;K532"),"https://streamtape.com/v/qgkx3ZBvADizBoL/18436971")</f>
        <v>https://streamtape.com/v/qgkx3ZBvADizBoL/18436971</v>
      </c>
      <c r="G532" s="10" t="e">
        <f t="shared" ca="1" si="9"/>
        <v>#NAME?</v>
      </c>
      <c r="H532" s="11" t="str">
        <f ca="1">IFERROR(__xludf.DUMMYFUNCTION("IFERROR(SUBSTITUTE(SUBSTITUTE(REGEXEXTRACT(A532, ""[^-]+- [^-]+- [^-]+ - (.+?)\.jpg""), "".jpg"", """"), ""-"", "", ""), """")"),"Zoey Di Giacomo")</f>
        <v>Zoey Di Giacomo</v>
      </c>
      <c r="I532" s="6"/>
      <c r="J532" s="7" t="str">
        <f t="shared" ca="1" si="10"/>
        <v>(2026)</v>
      </c>
      <c r="K532" s="7" t="str">
        <f t="shared" si="11"/>
        <v>18436971</v>
      </c>
      <c r="L532" s="12" t="s">
        <v>2725</v>
      </c>
      <c r="M532" s="13" t="str">
        <f ca="1">IFERROR(__xludf.DUMMYFUNCTION("TRIM(
  REGEXREPLACE(
    TEXTJOIN("" "",
      TRUE,
      B532,
      C532,
      embaralharLinks(E532,F532,G532),
      H532,
      """",
      J532,
      N532,
      ""#RIPNSFW""
    ),
  "",\s*"", "" "")
)"),"{New} Elly Clutch https://lulustream.com/d/jdcwuu715ho6 https://streamtape.com/v/qgkx3ZBvADizBoL/18436971 https://doodstream.com/d/r5cu7p1xpwoe/18436971 Zoey Di Giacomo (2026) #BigTits #Hardcore #Teen #Teens #Threesome #Blowjob #RIPNSFW")</f>
        <v>{New} Elly Clutch https://lulustream.com/d/jdcwuu715ho6 https://streamtape.com/v/qgkx3ZBvADizBoL/18436971 https://doodstream.com/d/r5cu7p1xpwoe/18436971 Zoey Di Giacomo (2026) #BigTits #Hardcore #Teen #Teens #Threesome #Blowjob #RIPNSFW</v>
      </c>
      <c r="N532" s="14" t="s">
        <v>2726</v>
      </c>
      <c r="O532" s="15" t="s">
        <v>2727</v>
      </c>
      <c r="P532" s="14"/>
      <c r="Q532" s="6"/>
      <c r="R532" s="11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>
      <c r="A533" s="6" t="s">
        <v>2728</v>
      </c>
      <c r="B533" s="6" t="s">
        <v>14</v>
      </c>
      <c r="C533" s="7" t="str">
        <f t="shared" si="8"/>
        <v xml:space="preserve">Elly Clutch </v>
      </c>
      <c r="D533" s="6" t="s">
        <v>2729</v>
      </c>
      <c r="E533" s="8" t="s">
        <v>2730</v>
      </c>
      <c r="F533" s="9" t="str">
        <f ca="1">IFERROR(__xludf.DUMMYFUNCTION("""https://streamtape.com/v/""&amp;
REGEXEXTRACT(O533,""/thumb/([^/]+)/"")&amp;
""/""&amp;K533"),"https://streamtape.com/v/XW70dq3bWecDazL/18825464")</f>
        <v>https://streamtape.com/v/XW70dq3bWecDazL/18825464</v>
      </c>
      <c r="G533" s="10" t="e">
        <f t="shared" ca="1" si="9"/>
        <v>#NAME?</v>
      </c>
      <c r="H533" s="11" t="str">
        <f ca="1">IFERROR(__xludf.DUMMYFUNCTION("IFERROR(SUBSTITUTE(SUBSTITUTE(REGEXEXTRACT(A533, ""[^-]+- [^-]+- [^-]+ - (.+?)\.jpg""), "".jpg"", """"), ""-"", "", ""), """")"),"")</f>
        <v/>
      </c>
      <c r="I533" s="6"/>
      <c r="J533" s="7" t="str">
        <f t="shared" ca="1" si="10"/>
        <v>(2026)</v>
      </c>
      <c r="K533" s="7" t="str">
        <f t="shared" si="11"/>
        <v>18825464</v>
      </c>
      <c r="L533" s="12" t="s">
        <v>2731</v>
      </c>
      <c r="M533" s="13" t="str">
        <f ca="1">IFERROR(__xludf.DUMMYFUNCTION("TRIM(
  REGEXREPLACE(
    TEXTJOIN("" "",
      TRUE,
      B533,
      C533,
      embaralharLinks(E533,F533,G533),
      H533,
      """",
      J533,
      N533,
      ""#RIPNSFW""
    ),
  "",\s*"", "" "")
)"),"{New} Elly Clutch https://doodstream.com/d/iyzfv9s960x0/18825464 https://streamtape.com/v/XW70dq3bWecDazL/18825464 https://lulustream.com/d/524y3jrqytvq (2026) #BigTits #Hardcore #Teen #Blowjob #RIPNSFW")</f>
        <v>{New} Elly Clutch https://doodstream.com/d/iyzfv9s960x0/18825464 https://streamtape.com/v/XW70dq3bWecDazL/18825464 https://lulustream.com/d/524y3jrqytvq (2026) #BigTits #Hardcore #Teen #Blowjob #RIPNSFW</v>
      </c>
      <c r="N533" s="14" t="s">
        <v>711</v>
      </c>
      <c r="O533" s="15" t="s">
        <v>2732</v>
      </c>
      <c r="P533" s="14"/>
      <c r="Q533" s="6"/>
      <c r="R533" s="11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>
      <c r="A534" s="6" t="s">
        <v>2733</v>
      </c>
      <c r="B534" s="6" t="s">
        <v>14</v>
      </c>
      <c r="C534" s="7" t="str">
        <f t="shared" si="8"/>
        <v xml:space="preserve">Elly Clutch </v>
      </c>
      <c r="D534" s="24" t="s">
        <v>2734</v>
      </c>
      <c r="E534" s="25" t="s">
        <v>2735</v>
      </c>
      <c r="F534" s="9" t="str">
        <f ca="1">IFERROR(__xludf.DUMMYFUNCTION("""https://streamtape.com/v/""&amp;
REGEXEXTRACT(O534,""/thumb/([^/]+)/"")&amp;
""/""&amp;K534"),"https://streamtape.com/v/mk6Le8BKdMubmVA/19357564")</f>
        <v>https://streamtape.com/v/mk6Le8BKdMubmVA/19357564</v>
      </c>
      <c r="G534" s="10" t="e">
        <f t="shared" ca="1" si="9"/>
        <v>#NAME?</v>
      </c>
      <c r="H534" s="11" t="str">
        <f ca="1">IFERROR(__xludf.DUMMYFUNCTION("IFERROR(SUBSTITUTE(SUBSTITUTE(REGEXEXTRACT(A534, ""[^-]+- [^-]+- [^-]+ - (.+?)\.jpg""), "".jpg"", """"), ""-"", "", ""), """")"),"")</f>
        <v/>
      </c>
      <c r="I534" s="6"/>
      <c r="J534" s="7" t="str">
        <f t="shared" ca="1" si="10"/>
        <v>(2026)</v>
      </c>
      <c r="K534" s="7" t="str">
        <f t="shared" si="11"/>
        <v>19357564</v>
      </c>
      <c r="L534" s="12" t="s">
        <v>2736</v>
      </c>
      <c r="M534" s="13" t="str">
        <f ca="1">IFERROR(__xludf.DUMMYFUNCTION("TRIM(
  REGEXREPLACE(
    TEXTJOIN("" "",
      TRUE,
      B534,
      C534,
      embaralharLinks(E534,F534,G534),
      H534,
      """",
      J534,
      N534,
      ""#RIPNSFW""
    ),
  "",\s*"", "" "")
)"),"{New} Elly Clutch https://streamtape.com/v/mk6Le8BKdMubmVA/19357564 https://lulustream.com/d/fa7eqhif5usn https://doodstream.com/d/ssw6vgs49clz/19357564 (2026) #teen #bigtits #blowjob #amateur #RIPNSFW")</f>
        <v>{New} Elly Clutch https://streamtape.com/v/mk6Le8BKdMubmVA/19357564 https://lulustream.com/d/fa7eqhif5usn https://doodstream.com/d/ssw6vgs49clz/19357564 (2026) #teen #bigtits #blowjob #amateur #RIPNSFW</v>
      </c>
      <c r="N534" s="31" t="s">
        <v>2736</v>
      </c>
      <c r="O534" s="32" t="s">
        <v>2737</v>
      </c>
      <c r="P534" s="26"/>
      <c r="Q534" s="6"/>
      <c r="R534" s="11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>
      <c r="A535" s="6" t="s">
        <v>2738</v>
      </c>
      <c r="B535" s="6" t="s">
        <v>14</v>
      </c>
      <c r="C535" s="7" t="str">
        <f t="shared" si="8"/>
        <v xml:space="preserve">Elly Clutch </v>
      </c>
      <c r="D535" s="29" t="s">
        <v>2739</v>
      </c>
      <c r="E535" s="8" t="s">
        <v>2740</v>
      </c>
      <c r="F535" s="9" t="str">
        <f ca="1">IFERROR(__xludf.DUMMYFUNCTION("""https://streamtape.com/v/""&amp;
REGEXEXTRACT(O535,""/thumb/([^/]+)/"")&amp;
""/""&amp;K535"),"https://streamtape.com/v/O40BWGArxyUgq1/23267349")</f>
        <v>https://streamtape.com/v/O40BWGArxyUgq1/23267349</v>
      </c>
      <c r="G535" s="10" t="e">
        <f t="shared" ca="1" si="9"/>
        <v>#NAME?</v>
      </c>
      <c r="H535" s="11" t="str">
        <f ca="1">IFERROR(__xludf.DUMMYFUNCTION("IFERROR(SUBSTITUTE(SUBSTITUTE(REGEXEXTRACT(A535, ""[^-]+- [^-]+- [^-]+ - (.+?)\.jpg""), "".jpg"", """"), ""-"", "", ""), """")"),"")</f>
        <v/>
      </c>
      <c r="I535" s="6"/>
      <c r="J535" s="7" t="str">
        <f t="shared" ca="1" si="10"/>
        <v>(2026)</v>
      </c>
      <c r="K535" s="7" t="str">
        <f t="shared" si="11"/>
        <v>23267349</v>
      </c>
      <c r="L535" s="12" t="s">
        <v>2741</v>
      </c>
      <c r="M535" s="13" t="str">
        <f ca="1">IFERROR(__xludf.DUMMYFUNCTION("TRIM(
  REGEXREPLACE(
    TEXTJOIN("" "",
      TRUE,
      B535,
      C535,
      embaralharLinks(E535,F535,G535),
      H535,
      """",
      J535,
      N535,
      ""#RIPNSFW""
    ),
  "",\s*"", "" "")
)"),"{New} Elly Clutch https://doodstream.com/d/swmglt9ygbgu/23267349 https://lulustream.com/d/m511agxw55tf https://streamtape.com/v/O40BWGArxyUgq1/23267349 (2026) #BigTits #Creampie #Hardcore #Teen #Artporn #Blowjob #Amateur #Hotwife #Deepthroat #RIPNSFW")</f>
        <v>{New} Elly Clutch https://doodstream.com/d/swmglt9ygbgu/23267349 https://lulustream.com/d/m511agxw55tf https://streamtape.com/v/O40BWGArxyUgq1/23267349 (2026) #BigTits #Creampie #Hardcore #Teen #Artporn #Blowjob #Amateur #Hotwife #Deepthroat #RIPNSFW</v>
      </c>
      <c r="N535" s="14" t="s">
        <v>2742</v>
      </c>
      <c r="O535" s="32" t="s">
        <v>2743</v>
      </c>
      <c r="P535" s="14"/>
      <c r="Q535" s="6"/>
      <c r="R535" s="11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>
      <c r="A536" s="6" t="s">
        <v>2744</v>
      </c>
      <c r="B536" s="6" t="s">
        <v>14</v>
      </c>
      <c r="C536" s="7" t="str">
        <f t="shared" si="8"/>
        <v xml:space="preserve">Elly Clutch </v>
      </c>
      <c r="D536" s="24" t="s">
        <v>2745</v>
      </c>
      <c r="E536" s="25" t="s">
        <v>2746</v>
      </c>
      <c r="F536" s="9" t="str">
        <f ca="1">IFERROR(__xludf.DUMMYFUNCTION("""https://streamtape.com/v/""&amp;
REGEXEXTRACT(O536,""/thumb/([^/]+)/"")&amp;
""/""&amp;K536"),"https://streamtape.com/v/brjWa4vRagSPjGY/26678756")</f>
        <v>https://streamtape.com/v/brjWa4vRagSPjGY/26678756</v>
      </c>
      <c r="G536" s="10" t="e">
        <f t="shared" ca="1" si="9"/>
        <v>#NAME?</v>
      </c>
      <c r="H536" s="11" t="str">
        <f ca="1">IFERROR(__xludf.DUMMYFUNCTION("IFERROR(SUBSTITUTE(SUBSTITUTE(REGEXEXTRACT(A536, ""[^-]+- [^-]+- [^-]+ - (.+?)\.jpg""), "".jpg"", """"), ""-"", "", ""), """")"),"")</f>
        <v/>
      </c>
      <c r="I536" s="6"/>
      <c r="J536" s="7" t="str">
        <f t="shared" ca="1" si="10"/>
        <v>(2026)</v>
      </c>
      <c r="K536" s="7" t="str">
        <f t="shared" si="11"/>
        <v>26678756</v>
      </c>
      <c r="L536" s="12" t="s">
        <v>2747</v>
      </c>
      <c r="M536" s="13" t="str">
        <f ca="1">IFERROR(__xludf.DUMMYFUNCTION("TRIM(
  REGEXREPLACE(
    TEXTJOIN("" "",
      TRUE,
      B536,
      C536,
      embaralharLinks(E536,F536,G536),
      H536,
      """",
      J536,
      N536,
      ""#RIPNSFW""
    ),
  "",\s*"", "" "")
)"),"{New} Elly Clutch https://streamtape.com/v/brjWa4vRagSPjGY/26678756 https://lulustream.com/d/tk1iwu968nng https://doodstream.com/d/igc6hvyyzzdy/26678756 (2026) #teen #bigtits #pov #blowjob #RIPNSFW")</f>
        <v>{New} Elly Clutch https://streamtape.com/v/brjWa4vRagSPjGY/26678756 https://lulustream.com/d/tk1iwu968nng https://doodstream.com/d/igc6hvyyzzdy/26678756 (2026) #teen #bigtits #pov #blowjob #RIPNSFW</v>
      </c>
      <c r="N536" s="31" t="s">
        <v>2747</v>
      </c>
      <c r="O536" s="32" t="s">
        <v>2748</v>
      </c>
      <c r="P536" s="26"/>
      <c r="Q536" s="6"/>
      <c r="R536" s="11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>
      <c r="A537" s="12" t="s">
        <v>2749</v>
      </c>
      <c r="B537" s="6" t="s">
        <v>14</v>
      </c>
      <c r="C537" s="7" t="str">
        <f t="shared" si="8"/>
        <v xml:space="preserve">Elly Clutch </v>
      </c>
      <c r="D537" s="24" t="s">
        <v>2750</v>
      </c>
      <c r="E537" s="25" t="s">
        <v>2751</v>
      </c>
      <c r="F537" s="9" t="str">
        <f ca="1">IFERROR(__xludf.DUMMYFUNCTION("""https://streamtape.com/v/""&amp;
REGEXEXTRACT(O537,""/thumb/([^/]+)/"")&amp;
""/""&amp;K537"),"https://streamtape.com/v/OoMq26bd64hZ2QV/27341499")</f>
        <v>https://streamtape.com/v/OoMq26bd64hZ2QV/27341499</v>
      </c>
      <c r="G537" s="10" t="e">
        <f t="shared" ca="1" si="9"/>
        <v>#NAME?</v>
      </c>
      <c r="H537" s="11" t="str">
        <f ca="1">IFERROR(__xludf.DUMMYFUNCTION("IFERROR(SUBSTITUTE(SUBSTITUTE(REGEXEXTRACT(A537, ""[^-]+- [^-]+- [^-]+ - (.+?)\.jpg""), "".jpg"", """"), ""-"", "", ""), """")"),"")</f>
        <v/>
      </c>
      <c r="I537" s="6"/>
      <c r="J537" s="7" t="str">
        <f t="shared" ca="1" si="10"/>
        <v>(2026)</v>
      </c>
      <c r="K537" s="7" t="str">
        <f t="shared" si="11"/>
        <v>27341499</v>
      </c>
      <c r="L537" s="12" t="s">
        <v>2752</v>
      </c>
      <c r="M537" s="13" t="str">
        <f ca="1">IFERROR(__xludf.DUMMYFUNCTION("TRIM(
  REGEXREPLACE(
    TEXTJOIN("" "",
      TRUE,
      B537,
      C537,
      embaralharLinks(E537,F537,G537),
      H537,
      """",
      J537,
      N537,
      ""#RIPNSFW""
    ),
  "",\s*"", "" "")
)"),"{New} Elly Clutch https://doodstream.com/d/76f9tifk4817/27341499 https://streamtape.com/v/OoMq26bd64hZ2QV/27341499 https://lulustream.com/d/opn45upygy81 (2026) #teen #bigtits #blowjob #facial #RIPNSFW")</f>
        <v>{New} Elly Clutch https://doodstream.com/d/76f9tifk4817/27341499 https://streamtape.com/v/OoMq26bd64hZ2QV/27341499 https://lulustream.com/d/opn45upygy81 (2026) #teen #bigtits #blowjob #facial #RIPNSFW</v>
      </c>
      <c r="N537" s="2" t="s">
        <v>2752</v>
      </c>
      <c r="O537" s="30" t="s">
        <v>2753</v>
      </c>
      <c r="P537" s="26"/>
      <c r="R537" s="23"/>
    </row>
    <row r="538" spans="1:27" ht="12.75">
      <c r="A538" s="12" t="s">
        <v>2754</v>
      </c>
      <c r="B538" s="6" t="s">
        <v>14</v>
      </c>
      <c r="C538" s="7" t="str">
        <f t="shared" si="8"/>
        <v xml:space="preserve">Elly Clutch </v>
      </c>
      <c r="D538" s="24" t="s">
        <v>2755</v>
      </c>
      <c r="E538" s="25" t="s">
        <v>2756</v>
      </c>
      <c r="F538" s="9" t="str">
        <f ca="1">IFERROR(__xludf.DUMMYFUNCTION("""https://streamtape.com/v/""&amp;
REGEXEXTRACT(O538,""/thumb/([^/]+)/"")&amp;
""/""&amp;K538"),"https://streamtape.com/v/bvG77ezLXMTP0LL/28159340")</f>
        <v>https://streamtape.com/v/bvG77ezLXMTP0LL/28159340</v>
      </c>
      <c r="G538" s="10" t="e">
        <f t="shared" ca="1" si="9"/>
        <v>#NAME?</v>
      </c>
      <c r="H538" s="11" t="str">
        <f ca="1">IFERROR(__xludf.DUMMYFUNCTION("IFERROR(SUBSTITUTE(SUBSTITUTE(REGEXEXTRACT(A538, ""[^-]+- [^-]+- [^-]+ - (.+?)\.jpg""), "".jpg"", """"), ""-"", "", ""), """")"),"")</f>
        <v/>
      </c>
      <c r="I538" s="6"/>
      <c r="J538" s="7" t="str">
        <f t="shared" ca="1" si="10"/>
        <v>(2026)</v>
      </c>
      <c r="K538" s="7" t="str">
        <f t="shared" si="11"/>
        <v>28159340</v>
      </c>
      <c r="L538" s="12" t="s">
        <v>2757</v>
      </c>
      <c r="M538" s="13" t="str">
        <f ca="1">IFERROR(__xludf.DUMMYFUNCTION("TRIM(
  REGEXREPLACE(
    TEXTJOIN("" "",
      TRUE,
      B538,
      C538,
      embaralharLinks(E538,F538,G538),
      H538,
      """",
      J538,
      N538,
      ""#RIPNSFW""
    ),
  "",\s*"", "" "")
)"),"{New} Elly Clutch https://streamtape.com/v/bvG77ezLXMTP0LL/28159340 https://lulustream.com/d/mh3t6z7spcvi https://doodstream.com/d/2dm3ho0pptly/28159340 (2026) #interracial #bigtits #redhead #blowjob #RIPNSFW")</f>
        <v>{New} Elly Clutch https://streamtape.com/v/bvG77ezLXMTP0LL/28159340 https://lulustream.com/d/mh3t6z7spcvi https://doodstream.com/d/2dm3ho0pptly/28159340 (2026) #interracial #bigtits #redhead #blowjob #RIPNSFW</v>
      </c>
      <c r="N538" s="2" t="s">
        <v>2757</v>
      </c>
      <c r="O538" s="30" t="s">
        <v>2758</v>
      </c>
      <c r="P538" s="26"/>
      <c r="R538" s="23"/>
      <c r="T538" s="6"/>
      <c r="U538" s="7"/>
    </row>
    <row r="539" spans="1:27" ht="12.75">
      <c r="A539" s="12" t="s">
        <v>2759</v>
      </c>
      <c r="B539" s="6" t="s">
        <v>14</v>
      </c>
      <c r="C539" s="7" t="str">
        <f t="shared" si="8"/>
        <v xml:space="preserve">Elly Clutch </v>
      </c>
      <c r="D539" s="24" t="s">
        <v>2760</v>
      </c>
      <c r="E539" s="25" t="s">
        <v>2761</v>
      </c>
      <c r="F539" s="9" t="str">
        <f ca="1">IFERROR(__xludf.DUMMYFUNCTION("""https://streamtape.com/v/""&amp;
REGEXEXTRACT(O539,""/thumb/([^/]+)/"")&amp;
""/""&amp;K539"),"https://streamtape.com/v/BGLOk2x8l9HydXP/32867880")</f>
        <v>https://streamtape.com/v/BGLOk2x8l9HydXP/32867880</v>
      </c>
      <c r="G539" s="10" t="e">
        <f t="shared" ca="1" si="9"/>
        <v>#NAME?</v>
      </c>
      <c r="H539" s="11" t="str">
        <f ca="1">IFERROR(__xludf.DUMMYFUNCTION("IFERROR(SUBSTITUTE(SUBSTITUTE(REGEXEXTRACT(A539, ""[^-]+- [^-]+- [^-]+ - (.+?)\.jpg""), "".jpg"", """"), ""-"", "", ""), """")"),"")</f>
        <v/>
      </c>
      <c r="I539" s="6"/>
      <c r="J539" s="7" t="str">
        <f t="shared" ca="1" si="10"/>
        <v>(2026)</v>
      </c>
      <c r="K539" s="7" t="str">
        <f t="shared" si="11"/>
        <v>32867880</v>
      </c>
      <c r="L539" s="12" t="s">
        <v>2762</v>
      </c>
      <c r="M539" s="13" t="str">
        <f ca="1">IFERROR(__xludf.DUMMYFUNCTION("TRIM(
  REGEXREPLACE(
    TEXTJOIN("" "",
      TRUE,
      B539,
      C539,
      embaralharLinks(E539,F539,G539),
      H539,
      """",
      J539,
      N539,
      ""#RIPNSFW""
    ),
  "",\s*"", "" "")
)"),"{New} Elly Clutch https://lulustream.com/d/gf3iduwphzvc https://doodstream.com/d/58bo0gs2q9pl/32867880 https://streamtape.com/v/BGLOk2x8l9HydXP/32867880 (2026) #teen #bigtits #blowjob #redhead #RIPNSFW")</f>
        <v>{New} Elly Clutch https://lulustream.com/d/gf3iduwphzvc https://doodstream.com/d/58bo0gs2q9pl/32867880 https://streamtape.com/v/BGLOk2x8l9HydXP/32867880 (2026) #teen #bigtits #blowjob #redhead #RIPNSFW</v>
      </c>
      <c r="N539" s="2" t="s">
        <v>2762</v>
      </c>
      <c r="O539" s="30" t="s">
        <v>2763</v>
      </c>
      <c r="P539" s="26"/>
      <c r="R539" s="23"/>
      <c r="T539" s="11"/>
      <c r="U539" s="13"/>
    </row>
    <row r="540" spans="1:27" ht="12.75">
      <c r="A540" s="12" t="s">
        <v>2764</v>
      </c>
      <c r="B540" s="6" t="s">
        <v>14</v>
      </c>
      <c r="C540" s="7" t="str">
        <f t="shared" si="8"/>
        <v xml:space="preserve">Elly Clutch </v>
      </c>
      <c r="D540" s="24" t="s">
        <v>2765</v>
      </c>
      <c r="E540" s="25" t="s">
        <v>2766</v>
      </c>
      <c r="F540" s="9" t="str">
        <f ca="1">IFERROR(__xludf.DUMMYFUNCTION("""https://streamtape.com/v/""&amp;
REGEXEXTRACT(O540,""/thumb/([^/]+)/"")&amp;
""/""&amp;K540"),"https://streamtape.com/v/JKvLldkAzjfjLJ0/39927204")</f>
        <v>https://streamtape.com/v/JKvLldkAzjfjLJ0/39927204</v>
      </c>
      <c r="G540" s="10" t="e">
        <f t="shared" ca="1" si="9"/>
        <v>#NAME?</v>
      </c>
      <c r="H540" s="11" t="str">
        <f ca="1">IFERROR(__xludf.DUMMYFUNCTION("IFERROR(SUBSTITUTE(SUBSTITUTE(REGEXEXTRACT(A540, ""[^-]+- [^-]+- [^-]+ - (.+?)\.jpg""), "".jpg"", """"), ""-"", "", ""), """")"),"")</f>
        <v/>
      </c>
      <c r="I540" s="6"/>
      <c r="J540" s="7" t="str">
        <f t="shared" ca="1" si="10"/>
        <v>(2026)</v>
      </c>
      <c r="K540" s="7" t="str">
        <f t="shared" si="11"/>
        <v>39927204</v>
      </c>
      <c r="L540" s="12" t="s">
        <v>2767</v>
      </c>
      <c r="M540" s="13" t="str">
        <f ca="1">IFERROR(__xludf.DUMMYFUNCTION("TRIM(
  REGEXREPLACE(
    TEXTJOIN("" "",
      TRUE,
      B540,
      C540,
      embaralharLinks(E540,F540,G540),
      H540,
      """",
      J540,
      N540,
      ""#RIPNSFW""
    ),
  "",\s*"", "" "")
)"),"{New} Elly Clutch https://streamtape.com/v/JKvLldkAzjfjLJ0/39927204 https://lulustream.com/d/u5jw2i8engq0 https://doodstream.com/d/6sl0typldk3m/39927204 (2026) #teen #redhead #blowjob #pov #RIPNSFW")</f>
        <v>{New} Elly Clutch https://streamtape.com/v/JKvLldkAzjfjLJ0/39927204 https://lulustream.com/d/u5jw2i8engq0 https://doodstream.com/d/6sl0typldk3m/39927204 (2026) #teen #redhead #blowjob #pov #RIPNSFW</v>
      </c>
      <c r="N540" s="2" t="s">
        <v>2767</v>
      </c>
      <c r="O540" s="30" t="s">
        <v>2768</v>
      </c>
      <c r="P540" s="26"/>
      <c r="R540" s="23"/>
    </row>
    <row r="541" spans="1:27" ht="12.75">
      <c r="A541" s="6" t="s">
        <v>2769</v>
      </c>
      <c r="B541" s="6" t="s">
        <v>14</v>
      </c>
      <c r="C541" s="7" t="str">
        <f t="shared" si="8"/>
        <v xml:space="preserve">Elly Clutch </v>
      </c>
      <c r="D541" s="6" t="s">
        <v>2770</v>
      </c>
      <c r="E541" s="8" t="s">
        <v>2771</v>
      </c>
      <c r="F541" s="9" t="str">
        <f ca="1">IFERROR(__xludf.DUMMYFUNCTION("""https://streamtape.com/v/""&amp;
REGEXEXTRACT(O541,""/thumb/([^/]+)/"")&amp;
""/""&amp;K541"),"https://streamtape.com/v/4DWPoXRwQ6h23a/40587812")</f>
        <v>https://streamtape.com/v/4DWPoXRwQ6h23a/40587812</v>
      </c>
      <c r="G541" s="10" t="e">
        <f t="shared" ca="1" si="9"/>
        <v>#NAME?</v>
      </c>
      <c r="H541" s="11" t="str">
        <f ca="1">IFERROR(__xludf.DUMMYFUNCTION("IFERROR(SUBSTITUTE(SUBSTITUTE(REGEXEXTRACT(A541, ""[^-]+- [^-]+- [^-]+ - (.+?)\.jpg""), "".jpg"", """"), ""-"", "", ""), """")"),"Ava Amira")</f>
        <v>Ava Amira</v>
      </c>
      <c r="I541" s="6"/>
      <c r="J541" s="7" t="str">
        <f t="shared" ca="1" si="10"/>
        <v>(2026)</v>
      </c>
      <c r="K541" s="7" t="str">
        <f t="shared" si="11"/>
        <v>40587812</v>
      </c>
      <c r="L541" s="12" t="s">
        <v>2772</v>
      </c>
      <c r="M541" s="13" t="str">
        <f ca="1">IFERROR(__xludf.DUMMYFUNCTION("TRIM(
  REGEXREPLACE(
    TEXTJOIN("" "",
      TRUE,
      B541,
      C541,
      embaralharLinks(E541,F541,G541),
      H541,
      """",
      J541,
      N541,
      ""#RIPNSFW""
    ),
  "",\s*"", "" "")
)"),"{New} Elly Clutch https://streamtape.com/v/4DWPoXRwQ6h23a/40587812 https://lulustream.com/d/691j68b8osa4 https://doodstream.com/d/pcoyvn0dfbrf/40587812 Ava Amira (2026) #BigTits #Hardcore #Threesome #Teen #Teens #RIPNSFW")</f>
        <v>{New} Elly Clutch https://streamtape.com/v/4DWPoXRwQ6h23a/40587812 https://lulustream.com/d/691j68b8osa4 https://doodstream.com/d/pcoyvn0dfbrf/40587812 Ava Amira (2026) #BigTits #Hardcore #Threesome #Teen #Teens #RIPNSFW</v>
      </c>
      <c r="N541" s="14" t="s">
        <v>2773</v>
      </c>
      <c r="O541" s="15" t="s">
        <v>2774</v>
      </c>
      <c r="P541" s="14"/>
      <c r="Q541" s="6"/>
      <c r="R541" s="11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>
      <c r="A542" s="16" t="s">
        <v>2775</v>
      </c>
      <c r="B542" s="11" t="s">
        <v>14</v>
      </c>
      <c r="C542" s="13" t="str">
        <f t="shared" si="8"/>
        <v xml:space="preserve">Elly Clutch </v>
      </c>
      <c r="D542" s="17" t="s">
        <v>2776</v>
      </c>
      <c r="E542" s="18" t="s">
        <v>2777</v>
      </c>
      <c r="F542" s="9" t="str">
        <f ca="1">IFERROR(__xludf.DUMMYFUNCTION("""https://streamtape.com/v/""&amp;
REGEXEXTRACT(O542,""/thumb/([^/]+)/"")&amp;
""/""&amp;K542"),"https://streamtape.com/v/jW7RqlBd3kszyp2/45573246")</f>
        <v>https://streamtape.com/v/jW7RqlBd3kszyp2/45573246</v>
      </c>
      <c r="G542" s="10" t="e">
        <f t="shared" ca="1" si="9"/>
        <v>#NAME?</v>
      </c>
      <c r="H542" s="11" t="str">
        <f ca="1">IFERROR(__xludf.DUMMYFUNCTION("IFERROR(SUBSTITUTE(SUBSTITUTE(REGEXEXTRACT(A542, ""[^-]+- [^-]+- [^-]+ - (.+?)\.jpg""), "".jpg"", """"), ""-"", "", ""), """")"),"Susie Stellar")</f>
        <v>Susie Stellar</v>
      </c>
      <c r="I542" s="11"/>
      <c r="J542" s="7" t="str">
        <f t="shared" ca="1" si="10"/>
        <v>(2026)</v>
      </c>
      <c r="K542" s="13" t="str">
        <f t="shared" si="11"/>
        <v>45573246</v>
      </c>
      <c r="L542" s="12" t="s">
        <v>2778</v>
      </c>
      <c r="M542" s="13" t="str">
        <f ca="1">IFERROR(__xludf.DUMMYFUNCTION("TRIM(
  REGEXREPLACE(
    TEXTJOIN("" "",
      TRUE,
      B542,
      C542,
      embaralharLinks(E542,F542,G542),
      H542,
      """",
      J542,
      N542,
      ""#RIPNSFW""
    ),
  "",\s*"", "" "")
)"),"{New} Elly Clutch https://doodstream.com/d/zdrnt4rk3nmy/45573246 https://streamtape.com/v/jW7RqlBd3kszyp2/45573246 https://lulustream.com/d/mgf3rg7wqy9a Susie Stellar (2026) #threesome #bigtits #blonde #redhead #RIPNSFW")</f>
        <v>{New} Elly Clutch https://doodstream.com/d/zdrnt4rk3nmy/45573246 https://streamtape.com/v/jW7RqlBd3kszyp2/45573246 https://lulustream.com/d/mgf3rg7wqy9a Susie Stellar (2026) #threesome #bigtits #blonde #redhead #RIPNSFW</v>
      </c>
      <c r="N542" s="20" t="s">
        <v>2778</v>
      </c>
      <c r="O542" s="30" t="s">
        <v>2779</v>
      </c>
      <c r="P542" s="26"/>
      <c r="R542" s="23"/>
      <c r="T542" s="6"/>
      <c r="U542" s="7"/>
    </row>
    <row r="543" spans="1:27" ht="12.75">
      <c r="A543" s="12" t="s">
        <v>2780</v>
      </c>
      <c r="B543" s="6" t="s">
        <v>14</v>
      </c>
      <c r="C543" s="7" t="str">
        <f t="shared" si="8"/>
        <v xml:space="preserve">Elly Clutch </v>
      </c>
      <c r="D543" s="24" t="s">
        <v>2781</v>
      </c>
      <c r="E543" s="25" t="s">
        <v>2782</v>
      </c>
      <c r="F543" s="9" t="str">
        <f ca="1">IFERROR(__xludf.DUMMYFUNCTION("""https://streamtape.com/v/""&amp;
REGEXEXTRACT(O543,""/thumb/([^/]+)/"")&amp;
""/""&amp;K543"),"https://streamtape.com/v/OX0BxMdBMztZjYP/47418489")</f>
        <v>https://streamtape.com/v/OX0BxMdBMztZjYP/47418489</v>
      </c>
      <c r="G543" s="10" t="e">
        <f t="shared" ca="1" si="9"/>
        <v>#NAME?</v>
      </c>
      <c r="H543" s="11" t="str">
        <f ca="1">IFERROR(__xludf.DUMMYFUNCTION("IFERROR(SUBSTITUTE(SUBSTITUTE(REGEXEXTRACT(A543, ""[^-]+- [^-]+- [^-]+ - (.+?)\.jpg""), "".jpg"", """"), ""-"", "", ""), """")"),"")</f>
        <v/>
      </c>
      <c r="I543" s="6"/>
      <c r="J543" s="7" t="str">
        <f t="shared" ca="1" si="10"/>
        <v>(2026)</v>
      </c>
      <c r="K543" s="7" t="str">
        <f t="shared" si="11"/>
        <v>47418489</v>
      </c>
      <c r="L543" s="12" t="s">
        <v>2783</v>
      </c>
      <c r="M543" s="13" t="str">
        <f ca="1">IFERROR(__xludf.DUMMYFUNCTION("TRIM(
  REGEXREPLACE(
    TEXTJOIN("" "",
      TRUE,
      B543,
      C543,
      embaralharLinks(E543,F543,G543),
      H543,
      """",
      J543,
      N543,
      ""#RIPNSFW""
    ),
  "",\s*"", "" "")
)"),"{New} Elly Clutch https://doodstream.com/d/vukauu2qlxs2/47418489 https://lulustream.com/d/sg3hx5w746a1 https://streamtape.com/v/OX0BxMdBMztZjYP/47418489 (2026) #teen #redhead #bigtits #blowjob #RIPNSFW")</f>
        <v>{New} Elly Clutch https://doodstream.com/d/vukauu2qlxs2/47418489 https://lulustream.com/d/sg3hx5w746a1 https://streamtape.com/v/OX0BxMdBMztZjYP/47418489 (2026) #teen #redhead #bigtits #blowjob #RIPNSFW</v>
      </c>
      <c r="N543" s="2" t="s">
        <v>2783</v>
      </c>
      <c r="O543" s="30" t="s">
        <v>2784</v>
      </c>
      <c r="P543" s="26"/>
      <c r="R543" s="23"/>
      <c r="T543" s="6"/>
      <c r="U543" s="7"/>
    </row>
    <row r="544" spans="1:27" ht="12.75">
      <c r="A544" s="6" t="s">
        <v>2785</v>
      </c>
      <c r="B544" s="6" t="s">
        <v>14</v>
      </c>
      <c r="C544" s="7" t="str">
        <f t="shared" si="8"/>
        <v xml:space="preserve">Elly Clutch </v>
      </c>
      <c r="D544" s="29" t="s">
        <v>2786</v>
      </c>
      <c r="E544" s="8" t="s">
        <v>2787</v>
      </c>
      <c r="F544" s="9" t="str">
        <f ca="1">IFERROR(__xludf.DUMMYFUNCTION("""https://streamtape.com/v/""&amp;
REGEXEXTRACT(O544,""/thumb/([^/]+)/"")&amp;
""/""&amp;K544"),"https://streamtape.com/v/qKA2QZK4eqtaL0/50931142")</f>
        <v>https://streamtape.com/v/qKA2QZK4eqtaL0/50931142</v>
      </c>
      <c r="G544" s="10" t="e">
        <f t="shared" ca="1" si="9"/>
        <v>#NAME?</v>
      </c>
      <c r="H544" s="11" t="str">
        <f ca="1">IFERROR(__xludf.DUMMYFUNCTION("IFERROR(SUBSTITUTE(SUBSTITUTE(REGEXEXTRACT(A544, ""[^-]+- [^-]+- [^-]+ - (.+?)\.jpg""), "".jpg"", """"), ""-"", "", ""), """")"),"")</f>
        <v/>
      </c>
      <c r="I544" s="6"/>
      <c r="J544" s="7" t="str">
        <f t="shared" ca="1" si="10"/>
        <v>(2026)</v>
      </c>
      <c r="K544" s="7" t="str">
        <f t="shared" si="11"/>
        <v>50931142</v>
      </c>
      <c r="L544" s="12" t="s">
        <v>2788</v>
      </c>
      <c r="M544" s="13" t="str">
        <f ca="1">IFERROR(__xludf.DUMMYFUNCTION("TRIM(
  REGEXREPLACE(
    TEXTJOIN("" "",
      TRUE,
      B544,
      C544,
      embaralharLinks(E544,F544,G544),
      H544,
      """",
      J544,
      N544,
      ""#RIPNSFW""
    ),
  "",\s*"", "" "")
)"),"{New} Elly Clutch https://doodstream.com/d/re25df5cy7gk/50931142 https://streamtape.com/v/qKA2QZK4eqtaL0/50931142 https://lulustream.com/d/gqzm1dolwc67 (2026) #BigTits #Hardcore #Teen #Artporn #Amateur #Blowjob #RIPNSFW")</f>
        <v>{New} Elly Clutch https://doodstream.com/d/re25df5cy7gk/50931142 https://streamtape.com/v/qKA2QZK4eqtaL0/50931142 https://lulustream.com/d/gqzm1dolwc67 (2026) #BigTits #Hardcore #Teen #Artporn #Amateur #Blowjob #RIPNSFW</v>
      </c>
      <c r="N544" s="14" t="s">
        <v>2789</v>
      </c>
      <c r="O544" s="32" t="s">
        <v>2790</v>
      </c>
      <c r="P544" s="14"/>
      <c r="Q544" s="6"/>
      <c r="R544" s="11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>
      <c r="A545" s="6" t="s">
        <v>2791</v>
      </c>
      <c r="B545" s="6" t="s">
        <v>14</v>
      </c>
      <c r="C545" s="7" t="str">
        <f t="shared" si="8"/>
        <v xml:space="preserve">Elly Clutch </v>
      </c>
      <c r="D545" s="6" t="s">
        <v>2792</v>
      </c>
      <c r="E545" s="8" t="s">
        <v>2793</v>
      </c>
      <c r="F545" s="9" t="str">
        <f ca="1">IFERROR(__xludf.DUMMYFUNCTION("""https://streamtape.com/v/""&amp;
REGEXEXTRACT(O545,""/thumb/([^/]+)/"")&amp;
""/""&amp;K545"),"https://streamtape.com/v/XPeObBOKQjFDprl/50993696")</f>
        <v>https://streamtape.com/v/XPeObBOKQjFDprl/50993696</v>
      </c>
      <c r="G545" s="10" t="e">
        <f t="shared" ca="1" si="9"/>
        <v>#NAME?</v>
      </c>
      <c r="H545" s="11" t="str">
        <f ca="1">IFERROR(__xludf.DUMMYFUNCTION("IFERROR(SUBSTITUTE(SUBSTITUTE(REGEXEXTRACT(A545, ""[^-]+- [^-]+- [^-]+ - (.+?)\.jpg""), "".jpg"", """"), ""-"", "", ""), """")"),"")</f>
        <v/>
      </c>
      <c r="I545" s="6"/>
      <c r="J545" s="7" t="str">
        <f t="shared" ca="1" si="10"/>
        <v>(2026)</v>
      </c>
      <c r="K545" s="7" t="str">
        <f t="shared" si="11"/>
        <v>50993696</v>
      </c>
      <c r="L545" s="12" t="s">
        <v>2794</v>
      </c>
      <c r="M545" s="13" t="str">
        <f ca="1">IFERROR(__xludf.DUMMYFUNCTION("TRIM(
  REGEXREPLACE(
    TEXTJOIN("" "",
      TRUE,
      B545,
      C545,
      embaralharLinks(E545,F545,G545),
      H545,
      """",
      J545,
      N545,
      ""#RIPNSFW""
    ),
  "",\s*"", "" "")
)"),"{New} Elly Clutch https://doodstream.com/d/faopqbqbssnz/50993696 https://streamtape.com/v/XPeObBOKQjFDprl/50993696 https://lulustream.com/d/n8fd1biuu59r (2026) #BigTits #Creampie #Hardcore #Teen #Artporn #Blowjob #Amateur #RIPNSFW")</f>
        <v>{New} Elly Clutch https://doodstream.com/d/faopqbqbssnz/50993696 https://streamtape.com/v/XPeObBOKQjFDprl/50993696 https://lulustream.com/d/n8fd1biuu59r (2026) #BigTits #Creampie #Hardcore #Teen #Artporn #Blowjob #Amateur #RIPNSFW</v>
      </c>
      <c r="N545" s="14" t="s">
        <v>2795</v>
      </c>
      <c r="O545" s="15" t="s">
        <v>2796</v>
      </c>
      <c r="P545" s="14"/>
      <c r="Q545" s="6"/>
      <c r="R545" s="11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>
      <c r="A546" s="12" t="s">
        <v>2797</v>
      </c>
      <c r="B546" s="6" t="s">
        <v>14</v>
      </c>
      <c r="C546" s="7" t="str">
        <f t="shared" si="8"/>
        <v xml:space="preserve">Elly Clutch </v>
      </c>
      <c r="D546" s="24" t="s">
        <v>2798</v>
      </c>
      <c r="E546" s="25" t="s">
        <v>2799</v>
      </c>
      <c r="F546" s="9" t="str">
        <f ca="1">IFERROR(__xludf.DUMMYFUNCTION("""https://streamtape.com/v/""&amp;
REGEXEXTRACT(O546,""/thumb/([^/]+)/"")&amp;
""/""&amp;K546"),"https://streamtape.com/v/Qw4wJlpz0Pi80M/51331959")</f>
        <v>https://streamtape.com/v/Qw4wJlpz0Pi80M/51331959</v>
      </c>
      <c r="G546" s="10" t="e">
        <f t="shared" ca="1" si="9"/>
        <v>#NAME?</v>
      </c>
      <c r="H546" s="11" t="str">
        <f ca="1">IFERROR(__xludf.DUMMYFUNCTION("IFERROR(SUBSTITUTE(SUBSTITUTE(REGEXEXTRACT(A546, ""[^-]+- [^-]+- [^-]+ - (.+?)\.jpg""), "".jpg"", """"), ""-"", "", ""), """")"),"Jewelz Blu")</f>
        <v>Jewelz Blu</v>
      </c>
      <c r="I546" s="6"/>
      <c r="J546" s="7" t="str">
        <f t="shared" ca="1" si="10"/>
        <v>(2026)</v>
      </c>
      <c r="K546" s="7" t="str">
        <f t="shared" si="11"/>
        <v>51331959</v>
      </c>
      <c r="L546" s="12" t="s">
        <v>2800</v>
      </c>
      <c r="M546" s="13" t="str">
        <f ca="1">IFERROR(__xludf.DUMMYFUNCTION("TRIM(
  REGEXREPLACE(
    TEXTJOIN("" "",
      TRUE,
      B546,
      C546,
      embaralharLinks(E546,F546,G546),
      H546,
      """",
      J546,
      N546,
      ""#RIPNSFW""
    ),
  "",\s*"", "" "")
)"),"{New} Elly Clutch https://lulustream.com/d/59myho71hh1j https://streamtape.com/v/Qw4wJlpz0Pi80M/51331959 https://doodstream.com/d/u5ttvdsiq9ci/51331959 Jewelz Blu (2026) #teens #redhead #blowjob #pov #RIPNSFW")</f>
        <v>{New} Elly Clutch https://lulustream.com/d/59myho71hh1j https://streamtape.com/v/Qw4wJlpz0Pi80M/51331959 https://doodstream.com/d/u5ttvdsiq9ci/51331959 Jewelz Blu (2026) #teens #redhead #blowjob #pov #RIPNSFW</v>
      </c>
      <c r="N546" s="2" t="s">
        <v>2800</v>
      </c>
      <c r="O546" s="30" t="s">
        <v>2801</v>
      </c>
      <c r="P546" s="26"/>
      <c r="R546" s="23"/>
    </row>
    <row r="547" spans="1:27" ht="12.75">
      <c r="A547" s="12" t="s">
        <v>2802</v>
      </c>
      <c r="B547" s="6" t="s">
        <v>14</v>
      </c>
      <c r="C547" s="7" t="str">
        <f t="shared" si="8"/>
        <v xml:space="preserve">Elly Clutch </v>
      </c>
      <c r="D547" s="24" t="s">
        <v>2803</v>
      </c>
      <c r="E547" s="25" t="s">
        <v>2804</v>
      </c>
      <c r="F547" s="9" t="str">
        <f ca="1">IFERROR(__xludf.DUMMYFUNCTION("""https://streamtape.com/v/""&amp;
REGEXEXTRACT(O547,""/thumb/([^/]+)/"")&amp;
""/""&amp;K547"),"https://streamtape.com/v/xyDBQmBeAeik3Qr/52743631")</f>
        <v>https://streamtape.com/v/xyDBQmBeAeik3Qr/52743631</v>
      </c>
      <c r="G547" s="10" t="e">
        <f t="shared" ca="1" si="9"/>
        <v>#NAME?</v>
      </c>
      <c r="H547" s="11" t="str">
        <f ca="1">IFERROR(__xludf.DUMMYFUNCTION("IFERROR(SUBSTITUTE(SUBSTITUTE(REGEXEXTRACT(A547, ""[^-]+- [^-]+- [^-]+ - (.+?)\.jpg""), "".jpg"", """"), ""-"", "", ""), """")"),"Chloe Foxxe")</f>
        <v>Chloe Foxxe</v>
      </c>
      <c r="I547" s="6"/>
      <c r="J547" s="7" t="str">
        <f t="shared" ca="1" si="10"/>
        <v>(2026)</v>
      </c>
      <c r="K547" s="7" t="str">
        <f t="shared" si="11"/>
        <v>52743631</v>
      </c>
      <c r="L547" s="12" t="s">
        <v>2805</v>
      </c>
      <c r="M547" s="13" t="str">
        <f ca="1">IFERROR(__xludf.DUMMYFUNCTION("TRIM(
  REGEXREPLACE(
    TEXTJOIN("" "",
      TRUE,
      B547,
      C547,
      embaralharLinks(E547,F547,G547),
      H547,
      """",
      J547,
      N547,
      ""#RIPNSFW""
    ),
  "",\s*"", "" "")
)"),"{New} Elly Clutch https://lulustream.com/d/pin4fl91wj7h https://streamtape.com/v/xyDBQmBeAeik3Qr/52743631 https://doodstream.com/d/3jfhsm9031wo/52743631 Chloe Foxxe (2026) #bigtits #threesome #blowjob #redhead #RIPNSFW")</f>
        <v>{New} Elly Clutch https://lulustream.com/d/pin4fl91wj7h https://streamtape.com/v/xyDBQmBeAeik3Qr/52743631 https://doodstream.com/d/3jfhsm9031wo/52743631 Chloe Foxxe (2026) #bigtits #threesome #blowjob #redhead #RIPNSFW</v>
      </c>
      <c r="N547" s="2" t="s">
        <v>2805</v>
      </c>
      <c r="O547" s="30" t="s">
        <v>2806</v>
      </c>
      <c r="P547" s="26"/>
      <c r="R547" s="23"/>
      <c r="T547" s="6"/>
      <c r="U547" s="7"/>
    </row>
    <row r="548" spans="1:27" ht="12.75">
      <c r="A548" s="12" t="s">
        <v>2807</v>
      </c>
      <c r="B548" s="6" t="s">
        <v>14</v>
      </c>
      <c r="C548" s="7" t="str">
        <f t="shared" si="8"/>
        <v xml:space="preserve">Elly Clutch </v>
      </c>
      <c r="D548" s="24" t="s">
        <v>2808</v>
      </c>
      <c r="E548" s="25" t="s">
        <v>2809</v>
      </c>
      <c r="F548" s="9" t="str">
        <f ca="1">IFERROR(__xludf.DUMMYFUNCTION("""https://streamtape.com/v/""&amp;
REGEXEXTRACT(O548,""/thumb/([^/]+)/"")&amp;
""/""&amp;K548"),"https://streamtape.com/v/OgqbQAJYwJcZjRb/56314419")</f>
        <v>https://streamtape.com/v/OgqbQAJYwJcZjRb/56314419</v>
      </c>
      <c r="G548" s="10" t="e">
        <f t="shared" ca="1" si="9"/>
        <v>#NAME?</v>
      </c>
      <c r="H548" s="11" t="str">
        <f ca="1">IFERROR(__xludf.DUMMYFUNCTION("IFERROR(SUBSTITUTE(SUBSTITUTE(REGEXEXTRACT(A548, ""[^-]+- [^-]+- [^-]+ - (.+?)\.jpg""), "".jpg"", """"), ""-"", "", ""), """")"),"")</f>
        <v/>
      </c>
      <c r="I548" s="6"/>
      <c r="J548" s="7" t="str">
        <f t="shared" ca="1" si="10"/>
        <v>(2026)</v>
      </c>
      <c r="K548" s="7" t="str">
        <f t="shared" si="11"/>
        <v>56314419</v>
      </c>
      <c r="L548" s="12" t="s">
        <v>2810</v>
      </c>
      <c r="M548" s="13" t="str">
        <f ca="1">IFERROR(__xludf.DUMMYFUNCTION("TRIM(
  REGEXREPLACE(
    TEXTJOIN("" "",
      TRUE,
      B548,
      C548,
      embaralharLinks(E548,F548,G548),
      H548,
      """",
      J548,
      N548,
      ""#RIPNSFW""
    ),
  "",\s*"", "" "")
)"),"{New} Elly Clutch https://streamtape.com/v/OgqbQAJYwJcZjRb/56314419 https://lulustream.com/d/pqlf8eodkq8w https://doodstream.com/d/8u51pvr2pz3t/56314419 (2026) #blowjob #bigtits #pov #redhead #RIPNSFW")</f>
        <v>{New} Elly Clutch https://streamtape.com/v/OgqbQAJYwJcZjRb/56314419 https://lulustream.com/d/pqlf8eodkq8w https://doodstream.com/d/8u51pvr2pz3t/56314419 (2026) #blowjob #bigtits #pov #redhead #RIPNSFW</v>
      </c>
      <c r="N548" s="2" t="s">
        <v>2810</v>
      </c>
      <c r="O548" s="30" t="s">
        <v>2811</v>
      </c>
      <c r="P548" s="26"/>
      <c r="R548" s="23"/>
      <c r="T548" s="6"/>
      <c r="U548" s="7"/>
    </row>
    <row r="549" spans="1:27" ht="12.75">
      <c r="A549" s="12" t="s">
        <v>2812</v>
      </c>
      <c r="B549" s="6" t="s">
        <v>14</v>
      </c>
      <c r="C549" s="7" t="str">
        <f t="shared" si="8"/>
        <v xml:space="preserve">Elly Clutch </v>
      </c>
      <c r="D549" s="24" t="s">
        <v>2813</v>
      </c>
      <c r="E549" s="25" t="s">
        <v>2814</v>
      </c>
      <c r="F549" s="9" t="str">
        <f ca="1">IFERROR(__xludf.DUMMYFUNCTION("""https://streamtape.com/v/""&amp;
REGEXEXTRACT(O549,""/thumb/([^/]+)/"")&amp;
""/""&amp;K549"),"https://streamtape.com/v/7GGOJ3L9w2sAKvk/56939748")</f>
        <v>https://streamtape.com/v/7GGOJ3L9w2sAKvk/56939748</v>
      </c>
      <c r="G549" s="10" t="e">
        <f t="shared" ca="1" si="9"/>
        <v>#NAME?</v>
      </c>
      <c r="H549" s="11" t="str">
        <f ca="1">IFERROR(__xludf.DUMMYFUNCTION("IFERROR(SUBSTITUTE(SUBSTITUTE(REGEXEXTRACT(A549, ""[^-]+- [^-]+- [^-]+ - (.+?)\.jpg""), "".jpg"", """"), ""-"", "", ""), """")"),"")</f>
        <v/>
      </c>
      <c r="I549" s="6"/>
      <c r="J549" s="7" t="str">
        <f t="shared" ca="1" si="10"/>
        <v>(2026)</v>
      </c>
      <c r="K549" s="7" t="str">
        <f t="shared" si="11"/>
        <v>56939748</v>
      </c>
      <c r="L549" s="12" t="s">
        <v>2752</v>
      </c>
      <c r="M549" s="13" t="str">
        <f ca="1">IFERROR(__xludf.DUMMYFUNCTION("TRIM(
  REGEXREPLACE(
    TEXTJOIN("" "",
      TRUE,
      B549,
      C549,
      embaralharLinks(E549,F549,G549),
      H549,
      """",
      J549,
      N549,
      ""#RIPNSFW""
    ),
  "",\s*"", "" "")
)"),"{New} Elly Clutch https://lulustream.com/d/kf59q4yamnxi https://doodstream.com/d/vho0ibpaue8k/56939748 https://streamtape.com/v/7GGOJ3L9w2sAKvk/56939748 (2026) #teen #bigtits #blowjob #facial #RIPNSFW")</f>
        <v>{New} Elly Clutch https://lulustream.com/d/kf59q4yamnxi https://doodstream.com/d/vho0ibpaue8k/56939748 https://streamtape.com/v/7GGOJ3L9w2sAKvk/56939748 (2026) #teen #bigtits #blowjob #facial #RIPNSFW</v>
      </c>
      <c r="N549" s="2" t="s">
        <v>2752</v>
      </c>
      <c r="O549" s="30" t="s">
        <v>2815</v>
      </c>
      <c r="P549" s="26"/>
      <c r="R549" s="23"/>
    </row>
    <row r="550" spans="1:27" ht="12.75">
      <c r="A550" s="16" t="s">
        <v>2816</v>
      </c>
      <c r="B550" s="11" t="s">
        <v>14</v>
      </c>
      <c r="C550" s="13" t="str">
        <f t="shared" si="8"/>
        <v xml:space="preserve">Elly Clutch </v>
      </c>
      <c r="D550" s="17" t="s">
        <v>2817</v>
      </c>
      <c r="E550" s="18" t="s">
        <v>2818</v>
      </c>
      <c r="F550" s="9" t="str">
        <f ca="1">IFERROR(__xludf.DUMMYFUNCTION("""https://streamtape.com/v/""&amp;
REGEXEXTRACT(O550,""/thumb/([^/]+)/"")&amp;
""/""&amp;K550"),"https://streamtape.com/v/Q1y0bKQaZvi0Z3a/60792517")</f>
        <v>https://streamtape.com/v/Q1y0bKQaZvi0Z3a/60792517</v>
      </c>
      <c r="G550" s="10" t="e">
        <f t="shared" ca="1" si="9"/>
        <v>#NAME?</v>
      </c>
      <c r="H550" s="11" t="str">
        <f ca="1">IFERROR(__xludf.DUMMYFUNCTION("IFERROR(SUBSTITUTE(SUBSTITUTE(REGEXEXTRACT(A550, ""[^-]+- [^-]+- [^-]+ - (.+?)\.jpg""), "".jpg"", """"), ""-"", "", ""), """")"),"Sky Wonderland")</f>
        <v>Sky Wonderland</v>
      </c>
      <c r="I550" s="11"/>
      <c r="J550" s="13" t="str">
        <f t="shared" ca="1" si="10"/>
        <v>(2026)</v>
      </c>
      <c r="K550" s="13" t="str">
        <f t="shared" si="11"/>
        <v>60792517</v>
      </c>
      <c r="L550" s="12" t="s">
        <v>2819</v>
      </c>
      <c r="M550" s="13" t="str">
        <f ca="1">IFERROR(__xludf.DUMMYFUNCTION("TRIM(
  REGEXREPLACE(
    TEXTJOIN("" "",
      TRUE,
      B550,
      C550,
      embaralharLinks(E550,F550,G550),
      H550,
      """",
      J550,
      N550,
      ""#RIPNSFW""
    ),
  "",\s*"", "" "")
)"),"{New} Elly Clutch https://doodstream.com/d/4k6tnj87dr29/60792517 https://lulustream.com/d/5youken3q9p6 https://streamtape.com/v/Q1y0bKQaZvi0Z3a/60792517 Sky Wonderland (2026) #teen #redhead #blowjob #bigtits #RIPNSFW")</f>
        <v>{New} Elly Clutch https://doodstream.com/d/4k6tnj87dr29/60792517 https://lulustream.com/d/5youken3q9p6 https://streamtape.com/v/Q1y0bKQaZvi0Z3a/60792517 Sky Wonderland (2026) #teen #redhead #blowjob #bigtits #RIPNSFW</v>
      </c>
      <c r="N550" s="20" t="s">
        <v>2819</v>
      </c>
      <c r="O550" s="30" t="s">
        <v>2820</v>
      </c>
      <c r="P550" s="26"/>
      <c r="Q550" s="16"/>
      <c r="R550" s="23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75">
      <c r="A551" s="12" t="s">
        <v>2821</v>
      </c>
      <c r="B551" s="6" t="s">
        <v>14</v>
      </c>
      <c r="C551" s="7" t="str">
        <f t="shared" si="8"/>
        <v xml:space="preserve">Elly Clutch </v>
      </c>
      <c r="D551" s="24" t="s">
        <v>2822</v>
      </c>
      <c r="E551" s="25" t="s">
        <v>2823</v>
      </c>
      <c r="F551" s="9" t="str">
        <f ca="1">IFERROR(__xludf.DUMMYFUNCTION("""https://streamtape.com/v/""&amp;
REGEXEXTRACT(O551,""/thumb/([^/]+)/"")&amp;
""/""&amp;K551"),"https://streamtape.com/v/aPmOgOpD23cbg2/63179344")</f>
        <v>https://streamtape.com/v/aPmOgOpD23cbg2/63179344</v>
      </c>
      <c r="G551" s="10" t="e">
        <f t="shared" ca="1" si="9"/>
        <v>#NAME?</v>
      </c>
      <c r="H551" s="11" t="str">
        <f ca="1">IFERROR(__xludf.DUMMYFUNCTION("IFERROR(SUBSTITUTE(SUBSTITUTE(REGEXEXTRACT(A551, ""[^-]+- [^-]+- [^-]+ - (.+?)\.jpg""), "".jpg"", """"), ""-"", "", ""), """")"),"")</f>
        <v/>
      </c>
      <c r="I551" s="6"/>
      <c r="J551" s="7" t="str">
        <f t="shared" ca="1" si="10"/>
        <v>(2026)</v>
      </c>
      <c r="K551" s="7" t="str">
        <f t="shared" si="11"/>
        <v>63179344</v>
      </c>
      <c r="L551" s="12" t="s">
        <v>2824</v>
      </c>
      <c r="M551" s="13" t="str">
        <f ca="1">IFERROR(__xludf.DUMMYFUNCTION("TRIM(
  REGEXREPLACE(
    TEXTJOIN("" "",
      TRUE,
      B551,
      C551,
      embaralharLinks(E551,F551,G551),
      H551,
      """",
      J551,
      N551,
      ""#RIPNSFW""
    ),
  "",\s*"", "" "")
)"),"{New} Elly Clutch https://lulustream.com/d/5rw3474yvd0k https://doodstream.com/d/lgxt273q0tk5/63179344 https://streamtape.com/v/aPmOgOpD23cbg2/63179344 (2026) #bigtits #creampie #hardcore #teen #RIPNSFW")</f>
        <v>{New} Elly Clutch https://lulustream.com/d/5rw3474yvd0k https://doodstream.com/d/lgxt273q0tk5/63179344 https://streamtape.com/v/aPmOgOpD23cbg2/63179344 (2026) #bigtits #creampie #hardcore #teen #RIPNSFW</v>
      </c>
      <c r="N551" s="2" t="s">
        <v>2824</v>
      </c>
      <c r="O551" s="30" t="s">
        <v>2825</v>
      </c>
      <c r="P551" s="26"/>
      <c r="R551" s="23"/>
      <c r="T551" s="6"/>
      <c r="U551" s="7"/>
    </row>
    <row r="552" spans="1:27" ht="12.75">
      <c r="A552" s="6" t="s">
        <v>2826</v>
      </c>
      <c r="B552" s="6" t="s">
        <v>14</v>
      </c>
      <c r="C552" s="7" t="str">
        <f t="shared" si="8"/>
        <v xml:space="preserve">Elly Clutch </v>
      </c>
      <c r="D552" s="6" t="s">
        <v>2827</v>
      </c>
      <c r="E552" s="8" t="s">
        <v>2828</v>
      </c>
      <c r="F552" s="9" t="str">
        <f ca="1">IFERROR(__xludf.DUMMYFUNCTION("""https://streamtape.com/v/""&amp;
REGEXEXTRACT(O552,""/thumb/([^/]+)/"")&amp;
""/""&amp;K552"),"https://streamtape.com/v/G3BMbKq2bPIlw8/67068773")</f>
        <v>https://streamtape.com/v/G3BMbKq2bPIlw8/67068773</v>
      </c>
      <c r="G552" s="10" t="e">
        <f t="shared" ca="1" si="9"/>
        <v>#NAME?</v>
      </c>
      <c r="H552" s="11" t="str">
        <f ca="1">IFERROR(__xludf.DUMMYFUNCTION("IFERROR(SUBSTITUTE(SUBSTITUTE(REGEXEXTRACT(A552, ""[^-]+- [^-]+- [^-]+ - (.+?)\.jpg""), "".jpg"", """"), ""-"", "", ""), """")"),"")</f>
        <v/>
      </c>
      <c r="I552" s="6"/>
      <c r="J552" s="7" t="str">
        <f t="shared" ca="1" si="10"/>
        <v>(2026)</v>
      </c>
      <c r="K552" s="7" t="str">
        <f t="shared" si="11"/>
        <v>67068773</v>
      </c>
      <c r="L552" s="12" t="s">
        <v>2829</v>
      </c>
      <c r="M552" s="13" t="str">
        <f ca="1">IFERROR(__xludf.DUMMYFUNCTION("TRIM(
  REGEXREPLACE(
    TEXTJOIN("" "",
      TRUE,
      B552,
      C552,
      embaralharLinks(E552,F552,G552),
      H552,
      """",
      J552,
      N552,
      ""#RIPNSFW""
    ),
  "",\s*"", "" "")
)"),"{New} Elly Clutch https://streamtape.com/v/G3BMbKq2bPIlw8/67068773 https://lulustream.com/d/ezyglgn6y0p2 https://doodstream.com/d/ppuuwh1ss8tq/67068773 (2026) #BigTits #Hardcore #Threesome #Teen #RIPNSFW")</f>
        <v>{New} Elly Clutch https://streamtape.com/v/G3BMbKq2bPIlw8/67068773 https://lulustream.com/d/ezyglgn6y0p2 https://doodstream.com/d/ppuuwh1ss8tq/67068773 (2026) #BigTits #Hardcore #Threesome #Teen #RIPNSFW</v>
      </c>
      <c r="N552" s="14" t="s">
        <v>580</v>
      </c>
      <c r="O552" s="15" t="s">
        <v>2830</v>
      </c>
      <c r="P552" s="14"/>
      <c r="Q552" s="6"/>
      <c r="R552" s="11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>
      <c r="A553" s="6" t="s">
        <v>2831</v>
      </c>
      <c r="B553" s="6" t="s">
        <v>14</v>
      </c>
      <c r="C553" s="7" t="str">
        <f t="shared" si="8"/>
        <v xml:space="preserve">Elly Clutch </v>
      </c>
      <c r="D553" s="29" t="s">
        <v>2832</v>
      </c>
      <c r="E553" s="8" t="s">
        <v>2833</v>
      </c>
      <c r="F553" s="9" t="str">
        <f ca="1">IFERROR(__xludf.DUMMYFUNCTION("""https://streamtape.com/v/""&amp;
REGEXEXTRACT(O553,""/thumb/([^/]+)/"")&amp;
""/""&amp;K553"),"https://streamtape.com/v/WD3yjO2Zr7Sbvdj/67600788")</f>
        <v>https://streamtape.com/v/WD3yjO2Zr7Sbvdj/67600788</v>
      </c>
      <c r="G553" s="10" t="e">
        <f t="shared" ca="1" si="9"/>
        <v>#NAME?</v>
      </c>
      <c r="H553" s="11" t="str">
        <f ca="1">IFERROR(__xludf.DUMMYFUNCTION("IFERROR(SUBSTITUTE(SUBSTITUTE(REGEXEXTRACT(A553, ""[^-]+- [^-]+- [^-]+ - (.+?)\.jpg""), "".jpg"", """"), ""-"", "", ""), """")"),"")</f>
        <v/>
      </c>
      <c r="I553" s="6"/>
      <c r="J553" s="7" t="str">
        <f t="shared" ca="1" si="10"/>
        <v>(2026)</v>
      </c>
      <c r="K553" s="7" t="str">
        <f t="shared" si="11"/>
        <v>67600788</v>
      </c>
      <c r="L553" s="12" t="s">
        <v>2834</v>
      </c>
      <c r="M553" s="13" t="str">
        <f ca="1">IFERROR(__xludf.DUMMYFUNCTION("TRIM(
  REGEXREPLACE(
    TEXTJOIN("" "",
      TRUE,
      B553,
      C553,
      embaralharLinks(E553,F553,G553),
      H553,
      """",
      J553,
      N553,
      ""#RIPNSFW""
    ),
  "",\s*"", "" "")
)"),"#ERROR!")</f>
        <v>#ERROR!</v>
      </c>
      <c r="N553" s="14" t="s">
        <v>2835</v>
      </c>
      <c r="O553" s="32" t="s">
        <v>2836</v>
      </c>
      <c r="P553" s="14"/>
      <c r="Q553" s="6"/>
      <c r="R553" s="11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>
      <c r="A554" s="6" t="s">
        <v>2837</v>
      </c>
      <c r="B554" s="6" t="s">
        <v>14</v>
      </c>
      <c r="C554" s="7" t="str">
        <f t="shared" si="8"/>
        <v xml:space="preserve">Elly Clutch </v>
      </c>
      <c r="D554" s="6" t="s">
        <v>2838</v>
      </c>
      <c r="E554" s="8" t="s">
        <v>2839</v>
      </c>
      <c r="F554" s="9" t="str">
        <f ca="1">IFERROR(__xludf.DUMMYFUNCTION("""https://streamtape.com/v/""&amp;
REGEXEXTRACT(O554,""/thumb/([^/]+)/"")&amp;
""/""&amp;K554"),"https://streamtape.com/v/1ADqGzXAQ2UeYDB/71354082")</f>
        <v>https://streamtape.com/v/1ADqGzXAQ2UeYDB/71354082</v>
      </c>
      <c r="G554" s="10" t="e">
        <f t="shared" ca="1" si="9"/>
        <v>#NAME?</v>
      </c>
      <c r="H554" s="11" t="str">
        <f ca="1">IFERROR(__xludf.DUMMYFUNCTION("IFERROR(SUBSTITUTE(SUBSTITUTE(REGEXEXTRACT(A554, ""[^-]+- [^-]+- [^-]+ - (.+?)\.jpg""), "".jpg"", """"), ""-"", "", ""), """")"),"")</f>
        <v/>
      </c>
      <c r="I554" s="6"/>
      <c r="J554" s="7" t="str">
        <f t="shared" ca="1" si="10"/>
        <v>(2026)</v>
      </c>
      <c r="K554" s="7" t="str">
        <f t="shared" si="11"/>
        <v>71354082</v>
      </c>
      <c r="L554" s="12" t="s">
        <v>2840</v>
      </c>
      <c r="M554" s="13" t="str">
        <f ca="1">IFERROR(__xludf.DUMMYFUNCTION("TRIM(
  REGEXREPLACE(
    TEXTJOIN("" "",
      TRUE,
      B554,
      C554,
      embaralharLinks(E554,F554,G554),
      H554,
      """",
      J554,
      N554,
      ""#RIPNSFW""
    ),
  "",\s*"", "" "")
)"),"{New} Elly Clutch https://doodstream.com/d/6y1i1k1brryl/71354082 https://lulustream.com/d/x88zbmlgs712 https://streamtape.com/v/1ADqGzXAQ2UeYDB/71354082 (2026) #BigTits #Hardcore #Interracial #Teen #RIPNSFW")</f>
        <v>{New} Elly Clutch https://doodstream.com/d/6y1i1k1brryl/71354082 https://lulustream.com/d/x88zbmlgs712 https://streamtape.com/v/1ADqGzXAQ2UeYDB/71354082 (2026) #BigTits #Hardcore #Interracial #Teen #RIPNSFW</v>
      </c>
      <c r="N554" s="14" t="s">
        <v>586</v>
      </c>
      <c r="O554" s="15" t="s">
        <v>2841</v>
      </c>
      <c r="P554" s="14"/>
      <c r="Q554" s="6"/>
      <c r="R554" s="11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>
      <c r="A555" s="16" t="s">
        <v>2842</v>
      </c>
      <c r="B555" s="11" t="s">
        <v>14</v>
      </c>
      <c r="C555" s="13" t="str">
        <f t="shared" si="8"/>
        <v xml:space="preserve">Elly Clutch </v>
      </c>
      <c r="D555" s="17" t="s">
        <v>2843</v>
      </c>
      <c r="E555" s="18" t="s">
        <v>2844</v>
      </c>
      <c r="F555" s="9" t="str">
        <f ca="1">IFERROR(__xludf.DUMMYFUNCTION("""https://streamtape.com/v/""&amp;
REGEXEXTRACT(O555,""/thumb/([^/]+)/"")&amp;
""/""&amp;K555"),"https://streamtape.com/v/pl0d931ZkMcr2ZO/71915196")</f>
        <v>https://streamtape.com/v/pl0d931ZkMcr2ZO/71915196</v>
      </c>
      <c r="G555" s="10" t="e">
        <f t="shared" ca="1" si="9"/>
        <v>#NAME?</v>
      </c>
      <c r="H555" s="11" t="str">
        <f ca="1">IFERROR(__xludf.DUMMYFUNCTION("IFERROR(SUBSTITUTE(SUBSTITUTE(REGEXEXTRACT(A555, ""[^-]+- [^-]+- [^-]+ - (.+?)\.jpg""), "".jpg"", """"), ""-"", "", ""), """")"),"Hannah Jo")</f>
        <v>Hannah Jo</v>
      </c>
      <c r="I555" s="11"/>
      <c r="J555" s="13" t="str">
        <f t="shared" ca="1" si="10"/>
        <v>(2026)</v>
      </c>
      <c r="K555" s="13" t="str">
        <f t="shared" si="11"/>
        <v>71915196</v>
      </c>
      <c r="L555" s="12" t="s">
        <v>2845</v>
      </c>
      <c r="M555" s="13" t="str">
        <f ca="1">IFERROR(__xludf.DUMMYFUNCTION("TRIM(
  REGEXREPLACE(
    TEXTJOIN("" "",
      TRUE,
      B555,
      C555,
      embaralharLinks(E555,F555,G555),
      H555,
      """",
      J555,
      N555,
      ""#RIPNSFW""
    ),
  "",\s*"", "" "")
)"),"{New} Elly Clutch https://lulustream.com/d/cxmn1g457fxv https://doodstream.com/d/5o571qwcv19o/71915196 https://streamtape.com/v/pl0d931ZkMcr2ZO/71915196 Hannah Jo (2026) #teens #bigtits #blowjob #amateur #RIPNSFW")</f>
        <v>{New} Elly Clutch https://lulustream.com/d/cxmn1g457fxv https://doodstream.com/d/5o571qwcv19o/71915196 https://streamtape.com/v/pl0d931ZkMcr2ZO/71915196 Hannah Jo (2026) #teens #bigtits #blowjob #amateur #RIPNSFW</v>
      </c>
      <c r="N555" s="20" t="s">
        <v>2845</v>
      </c>
      <c r="O555" s="30" t="s">
        <v>2846</v>
      </c>
      <c r="P555" s="26"/>
      <c r="Q555" s="16"/>
      <c r="R555" s="23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75">
      <c r="A556" s="6" t="s">
        <v>2847</v>
      </c>
      <c r="B556" s="6" t="s">
        <v>14</v>
      </c>
      <c r="C556" s="7" t="str">
        <f t="shared" si="8"/>
        <v xml:space="preserve">Elly Clutch </v>
      </c>
      <c r="D556" s="29" t="s">
        <v>2848</v>
      </c>
      <c r="E556" s="8" t="s">
        <v>2849</v>
      </c>
      <c r="F556" s="9" t="str">
        <f ca="1">IFERROR(__xludf.DUMMYFUNCTION("""https://streamtape.com/v/""&amp;
REGEXEXTRACT(O556,""/thumb/([^/]+)/"")&amp;
""/""&amp;K556"),"https://streamtape.com/v/JK2WXvmj9bigGq/79397769")</f>
        <v>https://streamtape.com/v/JK2WXvmj9bigGq/79397769</v>
      </c>
      <c r="G556" s="10" t="e">
        <f t="shared" ca="1" si="9"/>
        <v>#NAME?</v>
      </c>
      <c r="H556" s="11" t="str">
        <f ca="1">IFERROR(__xludf.DUMMYFUNCTION("IFERROR(SUBSTITUTE(SUBSTITUTE(REGEXEXTRACT(A556, ""[^-]+- [^-]+- [^-]+ - (.+?)\.jpg""), "".jpg"", """"), ""-"", "", ""), """")"),"")</f>
        <v/>
      </c>
      <c r="I556" s="6"/>
      <c r="J556" s="7" t="str">
        <f t="shared" ca="1" si="10"/>
        <v>(2026)</v>
      </c>
      <c r="K556" s="7" t="str">
        <f t="shared" si="11"/>
        <v>79397769</v>
      </c>
      <c r="L556" s="12" t="s">
        <v>2850</v>
      </c>
      <c r="M556" s="13" t="str">
        <f ca="1">IFERROR(__xludf.DUMMYFUNCTION("TRIM(
  REGEXREPLACE(
    TEXTJOIN("" "",
      TRUE,
      B556,
      C556,
      embaralharLinks(E556,F556,G556),
      H556,
      """",
      J556,
      N556,
      ""#RIPNSFW""
    ),
  "",\s*"", "" "")
)"),"{New} Elly Clutch https://lulustream.com/d/hnpwscdqerjn https://streamtape.com/v/JK2WXvmj9bigGq/79397769 https://doodstream.com/d/kzpinwnp5mrc/79397769 (2026) #BigTits #Hardcore #Teen #Artporn #Blowjob #Amateur #RIPNSFW")</f>
        <v>{New} Elly Clutch https://lulustream.com/d/hnpwscdqerjn https://streamtape.com/v/JK2WXvmj9bigGq/79397769 https://doodstream.com/d/kzpinwnp5mrc/79397769 (2026) #BigTits #Hardcore #Teen #Artporn #Blowjob #Amateur #RIPNSFW</v>
      </c>
      <c r="N556" s="14" t="s">
        <v>2851</v>
      </c>
      <c r="O556" s="32" t="s">
        <v>2852</v>
      </c>
      <c r="P556" s="14"/>
      <c r="Q556" s="6"/>
      <c r="R556" s="11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>
      <c r="A557" s="6" t="s">
        <v>2853</v>
      </c>
      <c r="B557" s="6" t="s">
        <v>14</v>
      </c>
      <c r="C557" s="7" t="str">
        <f t="shared" si="8"/>
        <v xml:space="preserve">Elly Clutch </v>
      </c>
      <c r="D557" s="6" t="s">
        <v>2854</v>
      </c>
      <c r="E557" s="8" t="s">
        <v>2855</v>
      </c>
      <c r="F557" s="9" t="str">
        <f ca="1">IFERROR(__xludf.DUMMYFUNCTION("""https://streamtape.com/v/""&amp;
REGEXEXTRACT(O557,""/thumb/([^/]+)/"")&amp;
""/""&amp;K557"),"https://streamtape.com/v/gweJqz68Lafq7We/90351632")</f>
        <v>https://streamtape.com/v/gweJqz68Lafq7We/90351632</v>
      </c>
      <c r="G557" s="10" t="e">
        <f t="shared" ca="1" si="9"/>
        <v>#NAME?</v>
      </c>
      <c r="H557" s="11" t="str">
        <f ca="1">IFERROR(__xludf.DUMMYFUNCTION("IFERROR(SUBSTITUTE(SUBSTITUTE(REGEXEXTRACT(A557, ""[^-]+- [^-]+- [^-]+ - (.+?)\.jpg""), "".jpg"", """"), ""-"", "", ""), """")"),"")</f>
        <v/>
      </c>
      <c r="I557" s="6"/>
      <c r="J557" s="7" t="str">
        <f t="shared" ca="1" si="10"/>
        <v>(2026)</v>
      </c>
      <c r="K557" s="7" t="str">
        <f t="shared" si="11"/>
        <v>90351632</v>
      </c>
      <c r="L557" s="12" t="s">
        <v>2856</v>
      </c>
      <c r="M557" s="13" t="str">
        <f ca="1">IFERROR(__xludf.DUMMYFUNCTION("TRIM(
  REGEXREPLACE(
    TEXTJOIN("" "",
      TRUE,
      B557,
      C557,
      embaralharLinks(E557,F557,G557),
      H557,
      """",
      J557,
      N557,
      ""#RIPNSFW""
    ),
  "",\s*"", "" "")
)"),"{New} Elly Clutch https://streamtape.com/v/gweJqz68Lafq7We/90351632 https://lulustream.com/d/lc47c2sppgqx https://doodstream.com/d/t0w8dfhgjfw9/90351632 (2026) #BigTits #Creampie #Hardcore #Teen #Blowjob #Amateur #RIPNSFW")</f>
        <v>{New} Elly Clutch https://streamtape.com/v/gweJqz68Lafq7We/90351632 https://lulustream.com/d/lc47c2sppgqx https://doodstream.com/d/t0w8dfhgjfw9/90351632 (2026) #BigTits #Creampie #Hardcore #Teen #Blowjob #Amateur #RIPNSFW</v>
      </c>
      <c r="N557" s="14" t="s">
        <v>2857</v>
      </c>
      <c r="O557" s="15" t="s">
        <v>2858</v>
      </c>
      <c r="P557" s="14"/>
      <c r="Q557" s="6"/>
      <c r="R557" s="11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>
      <c r="A558" s="6" t="s">
        <v>2859</v>
      </c>
      <c r="B558" s="6" t="s">
        <v>14</v>
      </c>
      <c r="C558" s="7" t="str">
        <f t="shared" si="8"/>
        <v xml:space="preserve">Elly Clutch </v>
      </c>
      <c r="D558" s="6" t="s">
        <v>2860</v>
      </c>
      <c r="E558" s="8" t="s">
        <v>2861</v>
      </c>
      <c r="F558" s="9" t="str">
        <f ca="1">IFERROR(__xludf.DUMMYFUNCTION("""https://streamtape.com/v/""&amp;
REGEXEXTRACT(O558,""/thumb/([^/]+)/"")&amp;
""/""&amp;K558"),"https://streamtape.com/v/PkPWAxrMYyF0mYM/99916281")</f>
        <v>https://streamtape.com/v/PkPWAxrMYyF0mYM/99916281</v>
      </c>
      <c r="G558" s="10" t="e">
        <f t="shared" ca="1" si="9"/>
        <v>#NAME?</v>
      </c>
      <c r="H558" s="11" t="str">
        <f ca="1">IFERROR(__xludf.DUMMYFUNCTION("IFERROR(SUBSTITUTE(SUBSTITUTE(REGEXEXTRACT(A558, ""[^-]+- [^-]+- [^-]+ - (.+?)\.jpg""), "".jpg"", """"), ""-"", "", ""), """")"),"Sidney Summers")</f>
        <v>Sidney Summers</v>
      </c>
      <c r="I558" s="6"/>
      <c r="J558" s="7" t="str">
        <f t="shared" ca="1" si="10"/>
        <v>(2026)</v>
      </c>
      <c r="K558" s="7" t="str">
        <f t="shared" si="11"/>
        <v>99916281</v>
      </c>
      <c r="L558" s="12" t="s">
        <v>2862</v>
      </c>
      <c r="M558" s="13" t="str">
        <f ca="1">IFERROR(__xludf.DUMMYFUNCTION("TRIM(
  REGEXREPLACE(
    TEXTJOIN("" "",
      TRUE,
      B558,
      C558,
      embaralharLinks(E558,F558,G558),
      H558,
      """",
      J558,
      N558,
      ""#RIPNSFW""
    ),
  "",\s*"", "" "")
)"),"{New} Elly Clutch https://doodstream.com/d/2kzqzsqy51e5/99916281 https://streamtape.com/v/PkPWAxrMYyF0mYM/99916281 https://lulustream.com/d/pf2imnd5yve8 Sidney Summers (2026) #BigTits #Hardcore #Threesome #Teen #Artporn #Blowjob #Amateur #Deepthroat #RIPN"&amp;"SFW")</f>
        <v>{New} Elly Clutch https://doodstream.com/d/2kzqzsqy51e5/99916281 https://streamtape.com/v/PkPWAxrMYyF0mYM/99916281 https://lulustream.com/d/pf2imnd5yve8 Sidney Summers (2026) #BigTits #Hardcore #Threesome #Teen #Artporn #Blowjob #Amateur #Deepthroat #RIPNSFW</v>
      </c>
      <c r="N558" s="14" t="s">
        <v>2863</v>
      </c>
      <c r="O558" s="15" t="s">
        <v>2864</v>
      </c>
      <c r="P558" s="14"/>
      <c r="Q558" s="6"/>
      <c r="R558" s="11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>
      <c r="A559" s="6" t="s">
        <v>2865</v>
      </c>
      <c r="B559" s="6" t="s">
        <v>14</v>
      </c>
      <c r="C559" s="7" t="str">
        <f t="shared" si="8"/>
        <v xml:space="preserve">Emily Walters </v>
      </c>
      <c r="D559" s="29" t="s">
        <v>2866</v>
      </c>
      <c r="E559" s="8" t="s">
        <v>2867</v>
      </c>
      <c r="F559" s="9" t="str">
        <f ca="1">IFERROR(__xludf.DUMMYFUNCTION("""https://streamtape.com/v/""&amp;
REGEXEXTRACT(O559,""/thumb/([^/]+)/"")&amp;
""/""&amp;K559"),"https://streamtape.com/v/W8r26gbZ2Rubwm6/16857122")</f>
        <v>https://streamtape.com/v/W8r26gbZ2Rubwm6/16857122</v>
      </c>
      <c r="G559" s="10" t="e">
        <f t="shared" ca="1" si="9"/>
        <v>#NAME?</v>
      </c>
      <c r="H559" s="11" t="str">
        <f ca="1">IFERROR(__xludf.DUMMYFUNCTION("IFERROR(SUBSTITUTE(SUBSTITUTE(REGEXEXTRACT(A559, ""[^-]+- [^-]+- [^-]+ - (.+?)\.jpg""), "".jpg"", """"), ""-"", "", ""), """")"),"")</f>
        <v/>
      </c>
      <c r="I559" s="6"/>
      <c r="J559" s="7" t="str">
        <f t="shared" ca="1" si="10"/>
        <v>(2026)</v>
      </c>
      <c r="K559" s="7" t="str">
        <f t="shared" si="11"/>
        <v>16857122</v>
      </c>
      <c r="L559" s="12" t="s">
        <v>2868</v>
      </c>
      <c r="M559" s="13" t="str">
        <f ca="1">IFERROR(__xludf.DUMMYFUNCTION("TRIM(
  REGEXREPLACE(
    TEXTJOIN("" "",
      TRUE,
      B559,
      C559,
      embaralharLinks(E559,F559,G559),
      H559,
      """",
      J559,
      N559,
      ""#RIPNSFW""
    ),
  "",\s*"", "" "")
)"),"{New} Emily Walters https://doodstream.com/d/jgih9mcbd3ek/16857122 https://streamtape.com/v/W8r26gbZ2Rubwm6/16857122 https://lulustream.com/d/i5gan13c4ttg (2026) #MILF #Hardcore #Black #Threesome #Interracial #Stepmom #Blowjob #Amateur #Deepthroat #Hotwif"&amp;"e #Blonde #Facial #RIPNSFW")</f>
        <v>{New} Emily Walters https://doodstream.com/d/jgih9mcbd3ek/16857122 https://streamtape.com/v/W8r26gbZ2Rubwm6/16857122 https://lulustream.com/d/i5gan13c4ttg (2026) #MILF #Hardcore #Black #Threesome #Interracial #Stepmom #Blowjob #Amateur #Deepthroat #Hotwife #Blonde #Facial #RIPNSFW</v>
      </c>
      <c r="N559" s="14" t="s">
        <v>2869</v>
      </c>
      <c r="O559" s="32" t="s">
        <v>2870</v>
      </c>
      <c r="P559" s="14"/>
      <c r="Q559" s="6"/>
      <c r="R559" s="11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>
      <c r="A560" s="12" t="s">
        <v>2871</v>
      </c>
      <c r="B560" s="6" t="s">
        <v>14</v>
      </c>
      <c r="C560" s="7" t="str">
        <f t="shared" si="8"/>
        <v xml:space="preserve">Emily Walters </v>
      </c>
      <c r="D560" s="24" t="s">
        <v>2872</v>
      </c>
      <c r="E560" s="25" t="s">
        <v>2873</v>
      </c>
      <c r="F560" s="9" t="str">
        <f ca="1">IFERROR(__xludf.DUMMYFUNCTION("""https://streamtape.com/v/""&amp;
REGEXEXTRACT(O560,""/thumb/([^/]+)/"")&amp;
""/""&amp;K560"),"https://streamtape.com/v/g3aXoYv1wpCqjWz/17222726")</f>
        <v>https://streamtape.com/v/g3aXoYv1wpCqjWz/17222726</v>
      </c>
      <c r="G560" s="10" t="e">
        <f t="shared" ca="1" si="9"/>
        <v>#NAME?</v>
      </c>
      <c r="H560" s="11" t="str">
        <f ca="1">IFERROR(__xludf.DUMMYFUNCTION("IFERROR(SUBSTITUTE(SUBSTITUTE(REGEXEXTRACT(A560, ""[^-]+- [^-]+- [^-]+ - (.+?)\.jpg""), "".jpg"", """"), ""-"", "", ""), """")"),"")</f>
        <v/>
      </c>
      <c r="I560" s="6"/>
      <c r="J560" s="7" t="str">
        <f t="shared" ca="1" si="10"/>
        <v>(2026)</v>
      </c>
      <c r="K560" s="7" t="str">
        <f t="shared" si="11"/>
        <v>17222726</v>
      </c>
      <c r="L560" s="12" t="s">
        <v>2874</v>
      </c>
      <c r="M560" s="13" t="str">
        <f ca="1">IFERROR(__xludf.DUMMYFUNCTION("TRIM(
  REGEXREPLACE(
    TEXTJOIN("" "",
      TRUE,
      B560,
      C560,
      embaralharLinks(E560,F560,G560),
      H560,
      """",
      J560,
      N560,
      ""#RIPNSFW""
    ),
  "",\s*"", "" "")
)"),"{New} Emily Walters https://streamtape.com/v/g3aXoYv1wpCqjWz/17222726 https://doodstream.com/d/abcgk643fm3p/17222726 https://lulustream.com/d/e5zzescu1ei1 (2026) #blonde #blowjob #facial #bigtits #RIPNSFW")</f>
        <v>{New} Emily Walters https://streamtape.com/v/g3aXoYv1wpCqjWz/17222726 https://doodstream.com/d/abcgk643fm3p/17222726 https://lulustream.com/d/e5zzescu1ei1 (2026) #blonde #blowjob #facial #bigtits #RIPNSFW</v>
      </c>
      <c r="N560" s="2" t="s">
        <v>2874</v>
      </c>
      <c r="O560" s="30" t="s">
        <v>2875</v>
      </c>
      <c r="P560" s="26"/>
      <c r="R560" s="23"/>
      <c r="T560" s="6"/>
      <c r="U560" s="7"/>
    </row>
    <row r="561" spans="1:27" ht="12.75">
      <c r="A561" s="12" t="s">
        <v>2876</v>
      </c>
      <c r="B561" s="6" t="s">
        <v>14</v>
      </c>
      <c r="C561" s="7" t="str">
        <f t="shared" si="8"/>
        <v xml:space="preserve">Emily Walters </v>
      </c>
      <c r="D561" s="27" t="s">
        <v>2877</v>
      </c>
      <c r="E561" s="28" t="s">
        <v>2878</v>
      </c>
      <c r="F561" s="9" t="str">
        <f ca="1">IFERROR(__xludf.DUMMYFUNCTION("""https://streamtape.com/v/""&amp;
REGEXEXTRACT(O561,""/thumb/([^/]+)/"")&amp;
""/""&amp;K561"),"https://streamtape.com/v/wlyBQbO7yqIJMy3/19561148")</f>
        <v>https://streamtape.com/v/wlyBQbO7yqIJMy3/19561148</v>
      </c>
      <c r="G561" s="10" t="e">
        <f t="shared" ca="1" si="9"/>
        <v>#NAME?</v>
      </c>
      <c r="H561" s="11" t="str">
        <f ca="1">IFERROR(__xludf.DUMMYFUNCTION("IFERROR(SUBSTITUTE(SUBSTITUTE(REGEXEXTRACT(A561, ""[^-]+- [^-]+- [^-]+ - (.+?)\.jpg""), "".jpg"", """"), ""-"", "", ""), """")"),"")</f>
        <v/>
      </c>
      <c r="I561" s="6"/>
      <c r="J561" s="7" t="str">
        <f t="shared" ca="1" si="10"/>
        <v>(2026)</v>
      </c>
      <c r="K561" s="7" t="str">
        <f t="shared" si="11"/>
        <v>19561148</v>
      </c>
      <c r="L561" s="12" t="s">
        <v>2879</v>
      </c>
      <c r="M561" s="13" t="str">
        <f ca="1">IFERROR(__xludf.DUMMYFUNCTION("TRIM(
  REGEXREPLACE(
    TEXTJOIN("" "",
      TRUE,
      B561,
      C561,
      embaralharLinks(E561,F561,G561),
      H561,
      """",
      J561,
      N561,
      ""#RIPNSFW""
    ),
  "",\s*"", "" "")
)"),"{New} Emily Walters https://streamtape.com/v/wlyBQbO7yqIJMy3/19561148 https://doodstream.com/d/oco3z1uz9sbi/19561148 https://lulustream.com/d/7dqp2d2u1oxo (2026) #MILF #Hardcore #Creampie #Black #RIPNSFW")</f>
        <v>{New} Emily Walters https://streamtape.com/v/wlyBQbO7yqIJMy3/19561148 https://doodstream.com/d/oco3z1uz9sbi/19561148 https://lulustream.com/d/7dqp2d2u1oxo (2026) #MILF #Hardcore #Creampie #Black #RIPNSFW</v>
      </c>
      <c r="N561" s="2" t="s">
        <v>2880</v>
      </c>
      <c r="O561" s="30" t="s">
        <v>2881</v>
      </c>
      <c r="P561" s="26"/>
      <c r="R561" s="23"/>
    </row>
    <row r="562" spans="1:27" ht="12.75">
      <c r="A562" s="12" t="s">
        <v>2882</v>
      </c>
      <c r="B562" s="6" t="s">
        <v>14</v>
      </c>
      <c r="C562" s="7" t="str">
        <f t="shared" si="8"/>
        <v xml:space="preserve">Emily Walters </v>
      </c>
      <c r="D562" s="24" t="s">
        <v>2883</v>
      </c>
      <c r="E562" s="25" t="s">
        <v>2884</v>
      </c>
      <c r="F562" s="9" t="str">
        <f ca="1">IFERROR(__xludf.DUMMYFUNCTION("""https://streamtape.com/v/""&amp;
REGEXEXTRACT(O562,""/thumb/([^/]+)/"")&amp;
""/""&amp;K562"),"https://streamtape.com/v/GQOgQRlg39h1K86/26307279")</f>
        <v>https://streamtape.com/v/GQOgQRlg39h1K86/26307279</v>
      </c>
      <c r="G562" s="10" t="e">
        <f t="shared" ca="1" si="9"/>
        <v>#NAME?</v>
      </c>
      <c r="H562" s="11" t="str">
        <f ca="1">IFERROR(__xludf.DUMMYFUNCTION("IFERROR(SUBSTITUTE(SUBSTITUTE(REGEXEXTRACT(A562, ""[^-]+- [^-]+- [^-]+ - (.+?)\.jpg""), "".jpg"", """"), ""-"", "", ""), """")"),"")</f>
        <v/>
      </c>
      <c r="I562" s="6"/>
      <c r="J562" s="7" t="str">
        <f t="shared" ca="1" si="10"/>
        <v>(2026)</v>
      </c>
      <c r="K562" s="7" t="str">
        <f t="shared" si="11"/>
        <v>26307279</v>
      </c>
      <c r="L562" s="12" t="s">
        <v>2885</v>
      </c>
      <c r="M562" s="13" t="str">
        <f ca="1">IFERROR(__xludf.DUMMYFUNCTION("TRIM(
  REGEXREPLACE(
    TEXTJOIN("" "",
      TRUE,
      B562,
      C562,
      embaralharLinks(E562,F562,G562),
      H562,
      """",
      J562,
      N562,
      ""#RIPNSFW""
    ),
  "",\s*"", "" "")
)"),"{New} Emily Walters https://doodstream.com/d/88noka66auhj/26307279 https://streamtape.com/v/GQOgQRlg39h1K86/26307279 https://lulustream.com/d/znp0s1kpfi6o (2026) #milf #blowjob #blonde #threesome #RIPNSFW")</f>
        <v>{New} Emily Walters https://doodstream.com/d/88noka66auhj/26307279 https://streamtape.com/v/GQOgQRlg39h1K86/26307279 https://lulustream.com/d/znp0s1kpfi6o (2026) #milf #blowjob #blonde #threesome #RIPNSFW</v>
      </c>
      <c r="N562" s="2" t="s">
        <v>2885</v>
      </c>
      <c r="O562" s="30" t="s">
        <v>2886</v>
      </c>
      <c r="P562" s="26"/>
      <c r="R562" s="23"/>
    </row>
    <row r="563" spans="1:27" ht="12.75">
      <c r="A563" s="12" t="s">
        <v>2887</v>
      </c>
      <c r="B563" s="6" t="s">
        <v>14</v>
      </c>
      <c r="C563" s="7" t="str">
        <f t="shared" si="8"/>
        <v xml:space="preserve">Emily Walters </v>
      </c>
      <c r="D563" s="24" t="s">
        <v>2888</v>
      </c>
      <c r="E563" s="25" t="s">
        <v>2889</v>
      </c>
      <c r="F563" s="9" t="str">
        <f ca="1">IFERROR(__xludf.DUMMYFUNCTION("""https://streamtape.com/v/""&amp;
REGEXEXTRACT(O563,""/thumb/([^/]+)/"")&amp;
""/""&amp;K563"),"https://streamtape.com/v/V0azDJqM1McKAwY/54972070")</f>
        <v>https://streamtape.com/v/V0azDJqM1McKAwY/54972070</v>
      </c>
      <c r="G563" s="10" t="e">
        <f t="shared" ca="1" si="9"/>
        <v>#NAME?</v>
      </c>
      <c r="H563" s="11" t="str">
        <f ca="1">IFERROR(__xludf.DUMMYFUNCTION("IFERROR(SUBSTITUTE(SUBSTITUTE(REGEXEXTRACT(A563, ""[^-]+- [^-]+- [^-]+ - (.+?)\.jpg""), "".jpg"", """"), ""-"", "", ""), """")"),"")</f>
        <v/>
      </c>
      <c r="I563" s="6"/>
      <c r="J563" s="7" t="str">
        <f t="shared" ca="1" si="10"/>
        <v>(2026)</v>
      </c>
      <c r="K563" s="7" t="str">
        <f t="shared" si="11"/>
        <v>54972070</v>
      </c>
      <c r="L563" s="12" t="s">
        <v>2890</v>
      </c>
      <c r="M563" s="13" t="str">
        <f ca="1">IFERROR(__xludf.DUMMYFUNCTION("TRIM(
  REGEXREPLACE(
    TEXTJOIN("" "",
      TRUE,
      B563,
      C563,
      embaralharLinks(E563,F563,G563),
      H563,
      """",
      J563,
      N563,
      ""#RIPNSFW""
    ),
  "",\s*"", "" "")
)"),"{New} Emily Walters https://doodstream.com/d/6ve7ikkq8yar/54972070 https://streamtape.com/v/V0azDJqM1McKAwY/54972070 https://lulustream.com/d/6yjhypqa2u6j (2026) #milf #blowjob #amateur #bigtits #RIPNSFW")</f>
        <v>{New} Emily Walters https://doodstream.com/d/6ve7ikkq8yar/54972070 https://streamtape.com/v/V0azDJqM1McKAwY/54972070 https://lulustream.com/d/6yjhypqa2u6j (2026) #milf #blowjob #amateur #bigtits #RIPNSFW</v>
      </c>
      <c r="N563" s="2" t="s">
        <v>2890</v>
      </c>
      <c r="O563" s="30" t="s">
        <v>2891</v>
      </c>
      <c r="P563" s="26"/>
      <c r="R563" s="23"/>
    </row>
    <row r="564" spans="1:27" ht="12.75">
      <c r="A564" s="12" t="s">
        <v>2892</v>
      </c>
      <c r="B564" s="6" t="s">
        <v>14</v>
      </c>
      <c r="C564" s="7" t="str">
        <f t="shared" si="8"/>
        <v xml:space="preserve">Emily Walters </v>
      </c>
      <c r="D564" s="24" t="s">
        <v>2893</v>
      </c>
      <c r="E564" s="25" t="s">
        <v>2894</v>
      </c>
      <c r="F564" s="9" t="str">
        <f ca="1">IFERROR(__xludf.DUMMYFUNCTION("""https://streamtape.com/v/""&amp;
REGEXEXTRACT(O564,""/thumb/([^/]+)/"")&amp;
""/""&amp;K564"),"https://streamtape.com/v/a2OeQK1qj6cxDky/57438156")</f>
        <v>https://streamtape.com/v/a2OeQK1qj6cxDky/57438156</v>
      </c>
      <c r="G564" s="10" t="e">
        <f t="shared" ca="1" si="9"/>
        <v>#NAME?</v>
      </c>
      <c r="H564" s="11" t="str">
        <f ca="1">IFERROR(__xludf.DUMMYFUNCTION("IFERROR(SUBSTITUTE(SUBSTITUTE(REGEXEXTRACT(A564, ""[^-]+- [^-]+- [^-]+ - (.+?)\.jpg""), "".jpg"", """"), ""-"", "", ""), """")"),"")</f>
        <v/>
      </c>
      <c r="I564" s="6"/>
      <c r="J564" s="7" t="str">
        <f t="shared" ca="1" si="10"/>
        <v>(2026)</v>
      </c>
      <c r="K564" s="7" t="str">
        <f t="shared" si="11"/>
        <v>57438156</v>
      </c>
      <c r="L564" s="12" t="s">
        <v>2895</v>
      </c>
      <c r="M564" s="13" t="str">
        <f ca="1">IFERROR(__xludf.DUMMYFUNCTION("TRIM(
  REGEXREPLACE(
    TEXTJOIN("" "",
      TRUE,
      B564,
      C564,
      embaralharLinks(E564,F564,G564),
      H564,
      """",
      J564,
      N564,
      ""#RIPNSFW""
    ),
  "",\s*"", "" "")
)"),"{New} Emily Walters https://streamtape.com/v/a2OeQK1qj6cxDky/57438156 https://doodstream.com/d/gkq7vf9i1cly/57438156 https://lulustream.com/d/vy6r5f8ch51a (2026) #foursome #bigtits #blonde #milf #RIPNSFW")</f>
        <v>{New} Emily Walters https://streamtape.com/v/a2OeQK1qj6cxDky/57438156 https://doodstream.com/d/gkq7vf9i1cly/57438156 https://lulustream.com/d/vy6r5f8ch51a (2026) #foursome #bigtits #blonde #milf #RIPNSFW</v>
      </c>
      <c r="N564" s="2" t="s">
        <v>2895</v>
      </c>
      <c r="O564" s="30" t="s">
        <v>2896</v>
      </c>
      <c r="P564" s="26"/>
      <c r="R564" s="23"/>
    </row>
    <row r="565" spans="1:27" ht="12.75">
      <c r="A565" s="12" t="s">
        <v>2897</v>
      </c>
      <c r="B565" s="6" t="s">
        <v>14</v>
      </c>
      <c r="C565" s="7" t="str">
        <f t="shared" si="8"/>
        <v xml:space="preserve">Emily Walters </v>
      </c>
      <c r="D565" s="27" t="s">
        <v>2898</v>
      </c>
      <c r="E565" s="28" t="s">
        <v>2899</v>
      </c>
      <c r="F565" s="9" t="str">
        <f ca="1">IFERROR(__xludf.DUMMYFUNCTION("""https://streamtape.com/v/""&amp;
REGEXEXTRACT(O565,""/thumb/([^/]+)/"")&amp;
""/""&amp;K565"),"https://streamtape.com/v/aZJX8K3yxgIxj9X/57597598")</f>
        <v>https://streamtape.com/v/aZJX8K3yxgIxj9X/57597598</v>
      </c>
      <c r="G565" s="10" t="e">
        <f t="shared" ca="1" si="9"/>
        <v>#NAME?</v>
      </c>
      <c r="H565" s="11" t="str">
        <f ca="1">IFERROR(__xludf.DUMMYFUNCTION("IFERROR(SUBSTITUTE(SUBSTITUTE(REGEXEXTRACT(A565, ""[^-]+- [^-]+- [^-]+ - (.+?)\.jpg""), "".jpg"", """"), ""-"", "", ""), """")"),"Hotwife Alice")</f>
        <v>Hotwife Alice</v>
      </c>
      <c r="I565" s="6"/>
      <c r="J565" s="7" t="str">
        <f t="shared" ca="1" si="10"/>
        <v>(2026)</v>
      </c>
      <c r="K565" s="7" t="str">
        <f t="shared" si="11"/>
        <v>57597598</v>
      </c>
      <c r="L565" s="12" t="s">
        <v>2665</v>
      </c>
      <c r="M565" s="13" t="str">
        <f ca="1">IFERROR(__xludf.DUMMYFUNCTION("TRIM(
  REGEXREPLACE(
    TEXTJOIN("" "",
      TRUE,
      B565,
      C565,
      embaralharLinks(E565,F565,G565),
      H565,
      """",
      J565,
      N565,
      ""#RIPNSFW""
    ),
  "",\s*"", "" "")
)"),"{New} Emily Walters https://lulustream.com/d/1jsv8tfs2b4t https://doodstream.com/d/niu0bwcnzlno/57597598 https://streamtape.com/v/aZJX8K3yxgIxj9X/57597598 Hotwife Alice (2026) #MILF #Hardcore #Threesome #Blowjob #RIPNSFW")</f>
        <v>{New} Emily Walters https://lulustream.com/d/1jsv8tfs2b4t https://doodstream.com/d/niu0bwcnzlno/57597598 https://streamtape.com/v/aZJX8K3yxgIxj9X/57597598 Hotwife Alice (2026) #MILF #Hardcore #Threesome #Blowjob #RIPNSFW</v>
      </c>
      <c r="N565" s="2" t="s">
        <v>2666</v>
      </c>
      <c r="O565" s="30" t="s">
        <v>2900</v>
      </c>
      <c r="P565" s="26"/>
      <c r="R565" s="23"/>
    </row>
    <row r="566" spans="1:27" ht="12.75">
      <c r="A566" s="12" t="s">
        <v>2901</v>
      </c>
      <c r="B566" s="6" t="s">
        <v>14</v>
      </c>
      <c r="C566" s="7" t="str">
        <f t="shared" si="8"/>
        <v xml:space="preserve">Emily Walters </v>
      </c>
      <c r="D566" s="24" t="s">
        <v>2902</v>
      </c>
      <c r="E566" s="25" t="s">
        <v>2903</v>
      </c>
      <c r="F566" s="9" t="str">
        <f ca="1">IFERROR(__xludf.DUMMYFUNCTION("""https://streamtape.com/v/""&amp;
REGEXEXTRACT(O566,""/thumb/([^/]+)/"")&amp;
""/""&amp;K566"),"https://streamtape.com/v/27qG3JRw43UZ7Jz/62534135")</f>
        <v>https://streamtape.com/v/27qG3JRw43UZ7Jz/62534135</v>
      </c>
      <c r="G566" s="10" t="e">
        <f t="shared" ca="1" si="9"/>
        <v>#NAME?</v>
      </c>
      <c r="H566" s="11" t="str">
        <f ca="1">IFERROR(__xludf.DUMMYFUNCTION("IFERROR(SUBSTITUTE(SUBSTITUTE(REGEXEXTRACT(A566, ""[^-]+- [^-]+- [^-]+ - (.+?)\.jpg""), "".jpg"", """"), ""-"", "", ""), """")"),"")</f>
        <v/>
      </c>
      <c r="I566" s="6"/>
      <c r="J566" s="7" t="str">
        <f t="shared" ca="1" si="10"/>
        <v>(2026)</v>
      </c>
      <c r="K566" s="7" t="str">
        <f t="shared" si="11"/>
        <v>62534135</v>
      </c>
      <c r="L566" s="12" t="s">
        <v>2904</v>
      </c>
      <c r="M566" s="13" t="str">
        <f ca="1">IFERROR(__xludf.DUMMYFUNCTION("TRIM(
  REGEXREPLACE(
    TEXTJOIN("" "",
      TRUE,
      B566,
      C566,
      embaralharLinks(E566,F566,G566),
      H566,
      """",
      J566,
      N566,
      ""#RIPNSFW""
    ),
  "",\s*"", "" "")
)"),"{New} Emily Walters https://streamtape.com/v/27qG3JRw43UZ7Jz/62534135 https://doodstream.com/d/8drphra49pet/62534135 https://lulustream.com/d/k4a8t6nml4tn (2026) #blonde #bigtits #blowjob #facial #RIPNSFW")</f>
        <v>{New} Emily Walters https://streamtape.com/v/27qG3JRw43UZ7Jz/62534135 https://doodstream.com/d/8drphra49pet/62534135 https://lulustream.com/d/k4a8t6nml4tn (2026) #blonde #bigtits #blowjob #facial #RIPNSFW</v>
      </c>
      <c r="N566" s="2" t="s">
        <v>2904</v>
      </c>
      <c r="O566" s="30" t="s">
        <v>2905</v>
      </c>
      <c r="P566" s="26"/>
      <c r="R566" s="23"/>
      <c r="T566" s="6"/>
      <c r="U566" s="7"/>
    </row>
    <row r="567" spans="1:27" ht="12.75">
      <c r="A567" s="6" t="s">
        <v>2906</v>
      </c>
      <c r="B567" s="6" t="s">
        <v>14</v>
      </c>
      <c r="C567" s="7" t="str">
        <f t="shared" si="8"/>
        <v xml:space="preserve">Emily Walters </v>
      </c>
      <c r="D567" s="24" t="s">
        <v>2907</v>
      </c>
      <c r="E567" s="25" t="s">
        <v>2908</v>
      </c>
      <c r="F567" s="9" t="str">
        <f ca="1">IFERROR(__xludf.DUMMYFUNCTION("""https://streamtape.com/v/""&amp;
REGEXEXTRACT(O567,""/thumb/([^/]+)/"")&amp;
""/""&amp;K567"),"https://streamtape.com/v/W30v7AVDYQurlX/92239134")</f>
        <v>https://streamtape.com/v/W30v7AVDYQurlX/92239134</v>
      </c>
      <c r="G567" s="10" t="e">
        <f t="shared" ca="1" si="9"/>
        <v>#NAME?</v>
      </c>
      <c r="H567" s="11" t="str">
        <f ca="1">IFERROR(__xludf.DUMMYFUNCTION("IFERROR(SUBSTITUTE(SUBSTITUTE(REGEXEXTRACT(A567, ""[^-]+- [^-]+- [^-]+ - (.+?)\.jpg""), "".jpg"", """"), ""-"", "", ""), """")"),"")</f>
        <v/>
      </c>
      <c r="I567" s="6"/>
      <c r="J567" s="7" t="str">
        <f t="shared" ca="1" si="10"/>
        <v>(2026)</v>
      </c>
      <c r="K567" s="7" t="str">
        <f t="shared" si="11"/>
        <v>92239134</v>
      </c>
      <c r="L567" s="12" t="s">
        <v>2909</v>
      </c>
      <c r="M567" s="13" t="str">
        <f ca="1">IFERROR(__xludf.DUMMYFUNCTION("TRIM(
  REGEXREPLACE(
    TEXTJOIN("" "",
      TRUE,
      B567,
      C567,
      embaralharLinks(E567,F567,G567),
      H567,
      """",
      J567,
      N567,
      ""#RIPNSFW""
    ),
  "",\s*"", "" "")
)"),"{New} Emily Walters https://streamtape.com/v/W30v7AVDYQurlX/92239134 https://doodstream.com/d/06mgw82vy32n/92239134 https://lulustream.com/d/64ivazarxl3x (2026) #milf #threesome #bigtits #bigass #RIPNSFW")</f>
        <v>{New} Emily Walters https://streamtape.com/v/W30v7AVDYQurlX/92239134 https://doodstream.com/d/06mgw82vy32n/92239134 https://lulustream.com/d/64ivazarxl3x (2026) #milf #threesome #bigtits #bigass #RIPNSFW</v>
      </c>
      <c r="N567" s="31" t="s">
        <v>2909</v>
      </c>
      <c r="O567" s="32" t="s">
        <v>2910</v>
      </c>
      <c r="P567" s="26"/>
      <c r="Q567" s="6"/>
      <c r="R567" s="11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>
      <c r="A568" s="12" t="s">
        <v>2911</v>
      </c>
      <c r="B568" s="6" t="s">
        <v>14</v>
      </c>
      <c r="C568" s="7" t="str">
        <f t="shared" si="8"/>
        <v xml:space="preserve">Emily Walters </v>
      </c>
      <c r="D568" s="27" t="s">
        <v>2912</v>
      </c>
      <c r="E568" s="28" t="s">
        <v>2913</v>
      </c>
      <c r="F568" s="9" t="str">
        <f ca="1">IFERROR(__xludf.DUMMYFUNCTION("""https://streamtape.com/v/""&amp;
REGEXEXTRACT(O568,""/thumb/([^/]+)/"")&amp;
""/""&amp;K568"),"https://streamtape.com/v/lQ8L477zkjs7qqa/93399680")</f>
        <v>https://streamtape.com/v/lQ8L477zkjs7qqa/93399680</v>
      </c>
      <c r="G568" s="10" t="e">
        <f t="shared" ca="1" si="9"/>
        <v>#NAME?</v>
      </c>
      <c r="H568" s="11" t="str">
        <f ca="1">IFERROR(__xludf.DUMMYFUNCTION("IFERROR(SUBSTITUTE(SUBSTITUTE(REGEXEXTRACT(A568, ""[^-]+- [^-]+- [^-]+ - (.+?)\.jpg""), "".jpg"", """"), ""-"", "", ""), """")"),"")</f>
        <v/>
      </c>
      <c r="I568" s="6"/>
      <c r="J568" s="7" t="str">
        <f t="shared" ca="1" si="10"/>
        <v>(2026)</v>
      </c>
      <c r="K568" s="7" t="str">
        <f t="shared" si="11"/>
        <v>93399680</v>
      </c>
      <c r="L568" s="12" t="s">
        <v>2914</v>
      </c>
      <c r="M568" s="13" t="str">
        <f ca="1">IFERROR(__xludf.DUMMYFUNCTION("TRIM(
  REGEXREPLACE(
    TEXTJOIN("" "",
      TRUE,
      B568,
      C568,
      embaralharLinks(E568,F568,G568),
      H568,
      """",
      J568,
      N568,
      ""#RIPNSFW""
    ),
  "",\s*"", "" "")
)"),"{New} Emily Walters https://lulustream.com/d/ma5bn5tgzv4m https://streamtape.com/v/lQ8L477zkjs7qqa/93399680 https://doodstream.com/d/pog3ruilex4y/93399680 (2026) #MILF #Hardcore #Black #Interracial #RIPNSFW")</f>
        <v>{New} Emily Walters https://lulustream.com/d/ma5bn5tgzv4m https://streamtape.com/v/lQ8L477zkjs7qqa/93399680 https://doodstream.com/d/pog3ruilex4y/93399680 (2026) #MILF #Hardcore #Black #Interracial #RIPNSFW</v>
      </c>
      <c r="N568" s="2" t="s">
        <v>2915</v>
      </c>
      <c r="O568" s="30" t="s">
        <v>2916</v>
      </c>
      <c r="P568" s="26"/>
      <c r="R568" s="23"/>
    </row>
    <row r="569" spans="1:27" ht="12.75">
      <c r="A569" s="6" t="s">
        <v>2917</v>
      </c>
      <c r="B569" s="6" t="s">
        <v>14</v>
      </c>
      <c r="C569" s="7" t="str">
        <f t="shared" si="8"/>
        <v xml:space="preserve">Emily Willis </v>
      </c>
      <c r="D569" s="6" t="s">
        <v>2918</v>
      </c>
      <c r="E569" s="8" t="s">
        <v>2919</v>
      </c>
      <c r="F569" s="9" t="str">
        <f ca="1">IFERROR(__xludf.DUMMYFUNCTION("""https://streamtape.com/v/""&amp;
REGEXEXTRACT(O569,""/thumb/([^/]+)/"")&amp;
""/""&amp;K569"),"https://streamtape.com/v/9XAdmxvrqehawbm/15231839")</f>
        <v>https://streamtape.com/v/9XAdmxvrqehawbm/15231839</v>
      </c>
      <c r="G569" s="10" t="e">
        <f t="shared" ca="1" si="9"/>
        <v>#NAME?</v>
      </c>
      <c r="H569" s="11" t="str">
        <f ca="1">IFERROR(__xludf.DUMMYFUNCTION("IFERROR(SUBSTITUTE(SUBSTITUTE(REGEXEXTRACT(A569, ""[^-]+- [^-]+- [^-]+ - (.+?)\.jpg""), "".jpg"", """"), ""-"", "", ""), """")"),"")</f>
        <v/>
      </c>
      <c r="I569" s="6"/>
      <c r="J569" s="7" t="str">
        <f t="shared" ca="1" si="10"/>
        <v>(2026)</v>
      </c>
      <c r="K569" s="7" t="str">
        <f t="shared" si="11"/>
        <v>15231839</v>
      </c>
      <c r="L569" s="12" t="s">
        <v>2920</v>
      </c>
      <c r="M569" s="13" t="str">
        <f ca="1">IFERROR(__xludf.DUMMYFUNCTION("TRIM(
  REGEXREPLACE(
    TEXTJOIN("" "",
      TRUE,
      B569,
      C569,
      embaralharLinks(E569,F569,G569),
      H569,
      """",
      J569,
      N569,
      ""#RIPNSFW""
    ),
  "",\s*"", "" "")
)"),"{New} Emily Willis https://doodstream.com/d/4oq6gc23gec5/15231839 https://lulustream.com/d/jllfgh853v37 https://streamtape.com/v/9XAdmxvrqehawbm/15231839 (2026) #Creampie #Hardcore #Porn #Teen #Blowjob #RIPNSFW")</f>
        <v>{New} Emily Willis https://doodstream.com/d/4oq6gc23gec5/15231839 https://lulustream.com/d/jllfgh853v37 https://streamtape.com/v/9XAdmxvrqehawbm/15231839 (2026) #Creampie #Hardcore #Porn #Teen #Blowjob #RIPNSFW</v>
      </c>
      <c r="N569" s="14" t="s">
        <v>2921</v>
      </c>
      <c r="O569" s="15" t="s">
        <v>2922</v>
      </c>
      <c r="P569" s="14"/>
      <c r="Q569" s="6"/>
      <c r="R569" s="11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>
      <c r="A570" s="12" t="s">
        <v>2923</v>
      </c>
      <c r="B570" s="6" t="s">
        <v>14</v>
      </c>
      <c r="C570" s="7" t="str">
        <f t="shared" si="8"/>
        <v xml:space="preserve">Emma Magnolia </v>
      </c>
      <c r="D570" s="27" t="s">
        <v>2924</v>
      </c>
      <c r="E570" s="28" t="s">
        <v>2925</v>
      </c>
      <c r="F570" s="9" t="str">
        <f ca="1">IFERROR(__xludf.DUMMYFUNCTION("""https://streamtape.com/v/""&amp;
REGEXEXTRACT(O570,""/thumb/([^/]+)/"")&amp;
""/""&amp;K570"),"https://streamtape.com/v/gdbWAv21WrsBK8/11393557")</f>
        <v>https://streamtape.com/v/gdbWAv21WrsBK8/11393557</v>
      </c>
      <c r="G570" s="10" t="e">
        <f t="shared" ca="1" si="9"/>
        <v>#NAME?</v>
      </c>
      <c r="H570" s="11" t="str">
        <f ca="1">IFERROR(__xludf.DUMMYFUNCTION("IFERROR(SUBSTITUTE(SUBSTITUTE(REGEXEXTRACT(A570, ""[^-]+- [^-]+- [^-]+ - (.+?)\.jpg""), "".jpg"", """"), ""-"", "", ""), """")"),"Jewelz Blu")</f>
        <v>Jewelz Blu</v>
      </c>
      <c r="I570" s="6"/>
      <c r="J570" s="7" t="str">
        <f t="shared" ca="1" si="10"/>
        <v>(2026)</v>
      </c>
      <c r="K570" s="7" t="str">
        <f t="shared" si="11"/>
        <v>11393557</v>
      </c>
      <c r="L570" s="12" t="s">
        <v>47</v>
      </c>
      <c r="M570" s="13" t="str">
        <f ca="1">IFERROR(__xludf.DUMMYFUNCTION("TRIM(
  REGEXREPLACE(
    TEXTJOIN("" "",
      TRUE,
      B570,
      C570,
      embaralharLinks(E570,F570,G570),
      H570,
      """",
      J570,
      N570,
      ""#RIPNSFW""
    ),
  "",\s*"", "" "")
)"),"{New} Emma Magnolia https://streamtape.com/v/gdbWAv21WrsBK8/11393557 https://lulustream.com/d/xb2lg79fghvu https://doodstream.com/d/3bp7as255txr/11393557 Jewelz Blu (2026) #MILF #BigTits #Hardcore #Threesome #RIPNSFW")</f>
        <v>{New} Emma Magnolia https://streamtape.com/v/gdbWAv21WrsBK8/11393557 https://lulustream.com/d/xb2lg79fghvu https://doodstream.com/d/3bp7as255txr/11393557 Jewelz Blu (2026) #MILF #BigTits #Hardcore #Threesome #RIPNSFW</v>
      </c>
      <c r="N570" s="2" t="s">
        <v>48</v>
      </c>
      <c r="O570" s="21" t="s">
        <v>2926</v>
      </c>
      <c r="P570" s="26"/>
      <c r="R570" s="23"/>
    </row>
    <row r="571" spans="1:27" ht="12.75">
      <c r="A571" s="6" t="s">
        <v>2927</v>
      </c>
      <c r="B571" s="6" t="s">
        <v>14</v>
      </c>
      <c r="C571" s="7" t="str">
        <f t="shared" si="8"/>
        <v xml:space="preserve">Emma Magnolia </v>
      </c>
      <c r="D571" s="24" t="s">
        <v>2928</v>
      </c>
      <c r="E571" s="25" t="s">
        <v>2929</v>
      </c>
      <c r="F571" s="9" t="str">
        <f ca="1">IFERROR(__xludf.DUMMYFUNCTION("""https://streamtape.com/v/""&amp;
REGEXEXTRACT(O571,""/thumb/([^/]+)/"")&amp;
""/""&amp;K571"),"https://streamtape.com/v/wdmxGmYXZrhx17/16838177")</f>
        <v>https://streamtape.com/v/wdmxGmYXZrhx17/16838177</v>
      </c>
      <c r="G571" s="10" t="e">
        <f t="shared" ca="1" si="9"/>
        <v>#NAME?</v>
      </c>
      <c r="H571" s="11" t="str">
        <f ca="1">IFERROR(__xludf.DUMMYFUNCTION("IFERROR(SUBSTITUTE(SUBSTITUTE(REGEXEXTRACT(A571, ""[^-]+- [^-]+- [^-]+ - (.+?)\.jpg""), "".jpg"", """"), ""-"", "", ""), """")"),"")</f>
        <v/>
      </c>
      <c r="I571" s="6"/>
      <c r="J571" s="7" t="str">
        <f t="shared" ca="1" si="10"/>
        <v>(2026)</v>
      </c>
      <c r="K571" s="7" t="str">
        <f t="shared" si="11"/>
        <v>16838177</v>
      </c>
      <c r="L571" s="12" t="s">
        <v>1462</v>
      </c>
      <c r="M571" s="13" t="str">
        <f ca="1">IFERROR(__xludf.DUMMYFUNCTION("TRIM(
  REGEXREPLACE(
    TEXTJOIN("" "",
      TRUE,
      B571,
      C571,
      embaralharLinks(E571,F571,G571),
      H571,
      """",
      J571,
      N571,
      ""#RIPNSFW""
    ),
  "",\s*"", "" "")
)"),"{New} Emma Magnolia https://lulustream.com/d/hahg641nzw18 https://doodstream.com/d/r7oba1m9o1yg/16838177 https://streamtape.com/v/wdmxGmYXZrhx17/16838177 (2026) #milf #bigtits #bigass #blowjob #RIPNSFW")</f>
        <v>{New} Emma Magnolia https://lulustream.com/d/hahg641nzw18 https://doodstream.com/d/r7oba1m9o1yg/16838177 https://streamtape.com/v/wdmxGmYXZrhx17/16838177 (2026) #milf #bigtits #bigass #blowjob #RIPNSFW</v>
      </c>
      <c r="N571" s="31" t="s">
        <v>1462</v>
      </c>
      <c r="O571" s="32" t="s">
        <v>2930</v>
      </c>
      <c r="P571" s="26"/>
      <c r="Q571" s="6"/>
      <c r="R571" s="11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>
      <c r="A572" s="16" t="s">
        <v>2931</v>
      </c>
      <c r="B572" s="11" t="s">
        <v>14</v>
      </c>
      <c r="C572" s="13" t="str">
        <f t="shared" si="8"/>
        <v xml:space="preserve">Emma Magnolia </v>
      </c>
      <c r="D572" s="17" t="s">
        <v>2932</v>
      </c>
      <c r="E572" s="18" t="s">
        <v>2933</v>
      </c>
      <c r="F572" s="9" t="str">
        <f ca="1">IFERROR(__xludf.DUMMYFUNCTION("""https://streamtape.com/v/""&amp;
REGEXEXTRACT(O572,""/thumb/([^/]+)/"")&amp;
""/""&amp;K572"),"https://streamtape.com/v/goX0vQBvpjcJo6/71272411")</f>
        <v>https://streamtape.com/v/goX0vQBvpjcJo6/71272411</v>
      </c>
      <c r="G572" s="10" t="e">
        <f t="shared" ca="1" si="9"/>
        <v>#NAME?</v>
      </c>
      <c r="H572" s="11" t="str">
        <f ca="1">IFERROR(__xludf.DUMMYFUNCTION("IFERROR(SUBSTITUTE(SUBSTITUTE(REGEXEXTRACT(A572, ""[^-]+- [^-]+- [^-]+ - (.+?)\.jpg""), "".jpg"", """"), ""-"", "", ""), """")"),"Cami Strella")</f>
        <v>Cami Strella</v>
      </c>
      <c r="I572" s="11"/>
      <c r="J572" s="13" t="str">
        <f t="shared" ca="1" si="10"/>
        <v>(2026)</v>
      </c>
      <c r="K572" s="13" t="str">
        <f t="shared" si="11"/>
        <v>71272411</v>
      </c>
      <c r="L572" s="12" t="s">
        <v>2934</v>
      </c>
      <c r="M572" s="13" t="str">
        <f ca="1">IFERROR(__xludf.DUMMYFUNCTION("TRIM(
  REGEXREPLACE(
    TEXTJOIN("" "",
      TRUE,
      B572,
      C572,
      embaralharLinks(E572,F572,G572),
      H572,
      """",
      J572,
      N572,
      ""#RIPNSFW""
    ),
  "",\s*"", "" "")
)"),"{New} Emma Magnolia https://doodstream.com/d/w9qe2qash5jo/71272411 https://lulustream.com/d/g7ugu29wyjab https://streamtape.com/v/goX0vQBvpjcJo6/71272411 Cami Strella (2026) #milf #bigtits #blowjob #threesome #RIPNSFW")</f>
        <v>{New} Emma Magnolia https://doodstream.com/d/w9qe2qash5jo/71272411 https://lulustream.com/d/g7ugu29wyjab https://streamtape.com/v/goX0vQBvpjcJo6/71272411 Cami Strella (2026) #milf #bigtits #blowjob #threesome #RIPNSFW</v>
      </c>
      <c r="N572" s="20" t="s">
        <v>2934</v>
      </c>
      <c r="O572" s="30" t="s">
        <v>2935</v>
      </c>
      <c r="P572" s="26"/>
      <c r="Q572" s="16"/>
      <c r="R572" s="23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75">
      <c r="A573" s="12" t="s">
        <v>2936</v>
      </c>
      <c r="B573" s="6"/>
      <c r="C573" s="7" t="str">
        <f t="shared" si="8"/>
        <v xml:space="preserve">Erin </v>
      </c>
      <c r="D573" s="24" t="s">
        <v>2937</v>
      </c>
      <c r="E573" s="25" t="s">
        <v>2938</v>
      </c>
      <c r="F573" s="9" t="str">
        <f ca="1">IFERROR(__xludf.DUMMYFUNCTION("""https://streamtape.com/v/""&amp;
REGEXEXTRACT(O573,""/thumb/([^/]+)/"")&amp;
""/""&amp;K573"),"https://streamtape.com/v/VBKBwe1DRPtK1a4/91380296")</f>
        <v>https://streamtape.com/v/VBKBwe1DRPtK1a4/91380296</v>
      </c>
      <c r="G573" s="10" t="e">
        <f t="shared" ca="1" si="9"/>
        <v>#NAME?</v>
      </c>
      <c r="H573" s="11" t="str">
        <f ca="1">IFERROR(__xludf.DUMMYFUNCTION("IFERROR(SUBSTITUTE(SUBSTITUTE(REGEXEXTRACT(A573, ""[^-]+- [^-]+- [^-]+ - (.+?)\.jpg""), "".jpg"", """"), ""-"", "", ""), """")"),"")</f>
        <v/>
      </c>
      <c r="I573" s="6"/>
      <c r="J573" s="7" t="str">
        <f t="shared" ca="1" si="10"/>
        <v/>
      </c>
      <c r="K573" s="7" t="str">
        <f t="shared" si="11"/>
        <v>91380296</v>
      </c>
      <c r="L573" s="12" t="s">
        <v>2939</v>
      </c>
      <c r="M573" s="13" t="str">
        <f ca="1">IFERROR(__xludf.DUMMYFUNCTION("TRIM(
  REGEXREPLACE(
    TEXTJOIN("" "",
      TRUE,
      B573,
      C573,
      embaralharLinks(E573,F573,G573),
      H573,
      """",
      J573,
      N573,
      ""#RIPNSFW""
    ),
  "",\s*"", "" "")
)"),"Erin https://lulustream.com/d/ax46xforlo05 https://doodstream.com/d/0h5l4i5f694e/91380296 https://streamtape.com/v/VBKBwe1DRPtK1a4/91380296 #teen #casting #blowjob #blonde #RIPNSFW")</f>
        <v>Erin https://lulustream.com/d/ax46xforlo05 https://doodstream.com/d/0h5l4i5f694e/91380296 https://streamtape.com/v/VBKBwe1DRPtK1a4/91380296 #teen #casting #blowjob #blonde #RIPNSFW</v>
      </c>
      <c r="N573" s="2" t="s">
        <v>2939</v>
      </c>
      <c r="O573" s="30" t="s">
        <v>2940</v>
      </c>
      <c r="P573" s="26"/>
      <c r="R573" s="23"/>
      <c r="T573" s="6"/>
      <c r="U573" s="7"/>
    </row>
    <row r="574" spans="1:27" ht="12.75">
      <c r="A574" s="12" t="s">
        <v>2941</v>
      </c>
      <c r="B574" s="6" t="s">
        <v>14</v>
      </c>
      <c r="C574" s="7" t="str">
        <f t="shared" si="8"/>
        <v xml:space="preserve">Eva Elfie </v>
      </c>
      <c r="D574" s="24" t="s">
        <v>2942</v>
      </c>
      <c r="E574" s="25" t="s">
        <v>2943</v>
      </c>
      <c r="F574" s="9" t="str">
        <f ca="1">IFERROR(__xludf.DUMMYFUNCTION("""https://streamtape.com/v/""&amp;
REGEXEXTRACT(O574,""/thumb/([^/]+)/"")&amp;
""/""&amp;K574"),"https://streamtape.com/v/aYk16KXArdcx1b6/10969325")</f>
        <v>https://streamtape.com/v/aYk16KXArdcx1b6/10969325</v>
      </c>
      <c r="G574" s="10" t="e">
        <f t="shared" ca="1" si="9"/>
        <v>#NAME?</v>
      </c>
      <c r="H574" s="11" t="str">
        <f ca="1">IFERROR(__xludf.DUMMYFUNCTION("IFERROR(SUBSTITUTE(SUBSTITUTE(REGEXEXTRACT(A574, ""[^-]+- [^-]+- [^-]+ - (.+?)\.jpg""), "".jpg"", """"), ""-"", "", ""), """")"),"")</f>
        <v/>
      </c>
      <c r="I574" s="6"/>
      <c r="J574" s="7" t="str">
        <f t="shared" ca="1" si="10"/>
        <v>(2026)</v>
      </c>
      <c r="K574" s="7" t="str">
        <f t="shared" si="11"/>
        <v>10969325</v>
      </c>
      <c r="L574" s="12" t="s">
        <v>2752</v>
      </c>
      <c r="M574" s="13" t="str">
        <f ca="1">IFERROR(__xludf.DUMMYFUNCTION("TRIM(
  REGEXREPLACE(
    TEXTJOIN("" "",
      TRUE,
      B574,
      C574,
      embaralharLinks(E574,F574,G574),
      H574,
      """",
      J574,
      N574,
      ""#RIPNSFW""
    ),
  "",\s*"", "" "")
)"),"{New} Eva Elfie https://streamtape.com/v/aYk16KXArdcx1b6/10969325 https://lulustream.com/d/u051aw0c0rbr https://doodstream.com/d/xkrnvcrefkxl/10969325 (2026) #teen #bigtits #blowjob #facial #RIPNSFW")</f>
        <v>{New} Eva Elfie https://streamtape.com/v/aYk16KXArdcx1b6/10969325 https://lulustream.com/d/u051aw0c0rbr https://doodstream.com/d/xkrnvcrefkxl/10969325 (2026) #teen #bigtits #blowjob #facial #RIPNSFW</v>
      </c>
      <c r="N574" s="2" t="s">
        <v>2752</v>
      </c>
      <c r="O574" s="30" t="s">
        <v>2944</v>
      </c>
      <c r="P574" s="26"/>
      <c r="R574" s="23"/>
    </row>
    <row r="575" spans="1:27" ht="12.75">
      <c r="A575" s="12" t="s">
        <v>2945</v>
      </c>
      <c r="B575" s="6" t="s">
        <v>14</v>
      </c>
      <c r="C575" s="7" t="str">
        <f t="shared" si="8"/>
        <v xml:space="preserve">Eva Elfie </v>
      </c>
      <c r="D575" s="27" t="s">
        <v>2946</v>
      </c>
      <c r="E575" s="28" t="s">
        <v>2947</v>
      </c>
      <c r="F575" s="9" t="str">
        <f ca="1">IFERROR(__xludf.DUMMYFUNCTION("""https://streamtape.com/v/""&amp;
REGEXEXTRACT(O575,""/thumb/([^/]+)/"")&amp;
""/""&amp;K575"),"https://streamtape.com/v/pdW6wrJeeKUrrpx/14676280")</f>
        <v>https://streamtape.com/v/pdW6wrJeeKUrrpx/14676280</v>
      </c>
      <c r="G575" s="10" t="e">
        <f t="shared" ca="1" si="9"/>
        <v>#NAME?</v>
      </c>
      <c r="H575" s="11" t="str">
        <f ca="1">IFERROR(__xludf.DUMMYFUNCTION("IFERROR(SUBSTITUTE(SUBSTITUTE(REGEXEXTRACT(A575, ""[^-]+- [^-]+- [^-]+ - (.+?)\.jpg""), "".jpg"", """"), ""-"", "", ""), """")"),"")</f>
        <v/>
      </c>
      <c r="I575" s="6"/>
      <c r="J575" s="7" t="str">
        <f t="shared" ca="1" si="10"/>
        <v>(2026)</v>
      </c>
      <c r="K575" s="7" t="str">
        <f t="shared" si="11"/>
        <v>14676280</v>
      </c>
      <c r="L575" s="12" t="s">
        <v>710</v>
      </c>
      <c r="M575" s="13" t="str">
        <f ca="1">IFERROR(__xludf.DUMMYFUNCTION("TRIM(
  REGEXREPLACE(
    TEXTJOIN("" "",
      TRUE,
      B575,
      C575,
      embaralharLinks(E575,F575,G575),
      H575,
      """",
      J575,
      N575,
      ""#RIPNSFW""
    ),
  "",\s*"", "" "")
)"),"{New} Eva Elfie https://doodstream.com/d/d9g1c42s4sob/14676280 https://lulustream.com/d/ofej9owvx5j9 https://streamtape.com/v/pdW6wrJeeKUrrpx/14676280 (2026) #BigTits #Hardcore #Teen #Blowjob #RIPNSFW")</f>
        <v>{New} Eva Elfie https://doodstream.com/d/d9g1c42s4sob/14676280 https://lulustream.com/d/ofej9owvx5j9 https://streamtape.com/v/pdW6wrJeeKUrrpx/14676280 (2026) #BigTits #Hardcore #Teen #Blowjob #RIPNSFW</v>
      </c>
      <c r="N575" s="2" t="s">
        <v>711</v>
      </c>
      <c r="O575" s="21" t="s">
        <v>2948</v>
      </c>
      <c r="P575" s="26"/>
      <c r="R575" s="23"/>
    </row>
    <row r="576" spans="1:27" ht="12.75">
      <c r="A576" s="6" t="s">
        <v>2949</v>
      </c>
      <c r="B576" s="6" t="s">
        <v>14</v>
      </c>
      <c r="C576" s="7" t="str">
        <f t="shared" si="8"/>
        <v xml:space="preserve">Eva Elfie </v>
      </c>
      <c r="D576" s="6" t="s">
        <v>2950</v>
      </c>
      <c r="E576" s="8" t="s">
        <v>2951</v>
      </c>
      <c r="F576" s="9" t="str">
        <f ca="1">IFERROR(__xludf.DUMMYFUNCTION("""https://streamtape.com/v/""&amp;
REGEXEXTRACT(O576,""/thumb/([^/]+)/"")&amp;
""/""&amp;K576"),"https://streamtape.com/v/6egr4a3JVohLrk/15309465")</f>
        <v>https://streamtape.com/v/6egr4a3JVohLrk/15309465</v>
      </c>
      <c r="G576" s="10" t="e">
        <f t="shared" ca="1" si="9"/>
        <v>#NAME?</v>
      </c>
      <c r="H576" s="11" t="str">
        <f ca="1">IFERROR(__xludf.DUMMYFUNCTION("IFERROR(SUBSTITUTE(SUBSTITUTE(REGEXEXTRACT(A576, ""[^-]+- [^-]+- [^-]+ - (.+?)\.jpg""), "".jpg"", """"), ""-"", "", ""), """")"),"")</f>
        <v/>
      </c>
      <c r="I576" s="6"/>
      <c r="J576" s="7" t="str">
        <f t="shared" ca="1" si="10"/>
        <v>(2026)</v>
      </c>
      <c r="K576" s="7" t="str">
        <f t="shared" si="11"/>
        <v>15309465</v>
      </c>
      <c r="L576" s="12" t="s">
        <v>2952</v>
      </c>
      <c r="M576" s="13" t="str">
        <f ca="1">IFERROR(__xludf.DUMMYFUNCTION("TRIM(
  REGEXREPLACE(
    TEXTJOIN("" "",
      TRUE,
      B576,
      C576,
      embaralharLinks(E576,F576,G576),
      H576,
      """",
      J576,
      N576,
      ""#RIPNSFW""
    ),
  "",\s*"", "" "")
)"),"{New} Eva Elfie https://doodstream.com/d/lqkogoju5qap/15309465 https://lulustream.com/d/bbiu3q080e32 https://streamtape.com/v/6egr4a3JVohLrk/15309465 (2026) #BigTits #Hardcore #Teen #Artporn #Teens #Blowjob #Amateur #Hotwife #RIPNSFW")</f>
        <v>{New} Eva Elfie https://doodstream.com/d/lqkogoju5qap/15309465 https://lulustream.com/d/bbiu3q080e32 https://streamtape.com/v/6egr4a3JVohLrk/15309465 (2026) #BigTits #Hardcore #Teen #Artporn #Teens #Blowjob #Amateur #Hotwife #RIPNSFW</v>
      </c>
      <c r="N576" s="14" t="s">
        <v>2953</v>
      </c>
      <c r="O576" s="15" t="s">
        <v>2954</v>
      </c>
      <c r="P576" s="14"/>
      <c r="Q576" s="6"/>
      <c r="R576" s="11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>
      <c r="A577" s="6" t="s">
        <v>2955</v>
      </c>
      <c r="B577" s="6" t="s">
        <v>14</v>
      </c>
      <c r="C577" s="7" t="str">
        <f t="shared" si="8"/>
        <v xml:space="preserve">Eva Elfie </v>
      </c>
      <c r="D577" s="24" t="s">
        <v>2956</v>
      </c>
      <c r="E577" s="25" t="s">
        <v>2957</v>
      </c>
      <c r="F577" s="9" t="str">
        <f ca="1">IFERROR(__xludf.DUMMYFUNCTION("""https://streamtape.com/v/""&amp;
REGEXEXTRACT(O577,""/thumb/([^/]+)/"")&amp;
""/""&amp;K577"),"https://streamtape.com/v/mrryqbxA7rhbbaM/16361811")</f>
        <v>https://streamtape.com/v/mrryqbxA7rhbbaM/16361811</v>
      </c>
      <c r="G577" s="10" t="e">
        <f t="shared" ca="1" si="9"/>
        <v>#NAME?</v>
      </c>
      <c r="H577" s="11" t="str">
        <f ca="1">IFERROR(__xludf.DUMMYFUNCTION("IFERROR(SUBSTITUTE(SUBSTITUTE(REGEXEXTRACT(A577, ""[^-]+- [^-]+- [^-]+ - (.+?)\.jpg""), "".jpg"", """"), ""-"", "", ""), """")"),"")</f>
        <v/>
      </c>
      <c r="I577" s="6"/>
      <c r="J577" s="7" t="str">
        <f t="shared" ca="1" si="10"/>
        <v>(2026)</v>
      </c>
      <c r="K577" s="7" t="str">
        <f t="shared" si="11"/>
        <v>16361811</v>
      </c>
      <c r="L577" s="12" t="s">
        <v>2736</v>
      </c>
      <c r="M577" s="13" t="str">
        <f ca="1">IFERROR(__xludf.DUMMYFUNCTION("TRIM(
  REGEXREPLACE(
    TEXTJOIN("" "",
      TRUE,
      B577,
      C577,
      embaralharLinks(E577,F577,G577),
      H577,
      """",
      J577,
      N577,
      ""#RIPNSFW""
    ),
  "",\s*"", "" "")
)"),"{New} Eva Elfie https://streamtape.com/v/mrryqbxA7rhbbaM/16361811 https://lulustream.com/d/0yui4z8gzga5 https://doodstream.com/d/py5k8z99xnet/16361811 (2026) #teen #bigtits #blowjob #amateur #RIPNSFW")</f>
        <v>{New} Eva Elfie https://streamtape.com/v/mrryqbxA7rhbbaM/16361811 https://lulustream.com/d/0yui4z8gzga5 https://doodstream.com/d/py5k8z99xnet/16361811 (2026) #teen #bigtits #blowjob #amateur #RIPNSFW</v>
      </c>
      <c r="N577" s="31" t="s">
        <v>2736</v>
      </c>
      <c r="O577" s="32" t="s">
        <v>2958</v>
      </c>
      <c r="P577" s="26"/>
      <c r="Q577" s="6"/>
      <c r="R577" s="11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>
      <c r="A578" s="12" t="s">
        <v>2959</v>
      </c>
      <c r="B578" s="6" t="s">
        <v>14</v>
      </c>
      <c r="C578" s="7" t="str">
        <f t="shared" si="8"/>
        <v xml:space="preserve">Eva Elfie </v>
      </c>
      <c r="D578" s="24" t="s">
        <v>2960</v>
      </c>
      <c r="E578" s="25" t="s">
        <v>2961</v>
      </c>
      <c r="F578" s="9" t="str">
        <f ca="1">IFERROR(__xludf.DUMMYFUNCTION("""https://streamtape.com/v/""&amp;
REGEXEXTRACT(O578,""/thumb/([^/]+)/"")&amp;
""/""&amp;K578"),"https://streamtape.com/v/bqWqvgkqZ7IPk40/17962206")</f>
        <v>https://streamtape.com/v/bqWqvgkqZ7IPk40/17962206</v>
      </c>
      <c r="G578" s="10" t="e">
        <f t="shared" ca="1" si="9"/>
        <v>#NAME?</v>
      </c>
      <c r="H578" s="11" t="str">
        <f ca="1">IFERROR(__xludf.DUMMYFUNCTION("IFERROR(SUBSTITUTE(SUBSTITUTE(REGEXEXTRACT(A578, ""[^-]+- [^-]+- [^-]+ - (.+?)\.jpg""), "".jpg"", """"), ""-"", "", ""), """")"),"")</f>
        <v/>
      </c>
      <c r="I578" s="6"/>
      <c r="J578" s="7" t="str">
        <f t="shared" ca="1" si="10"/>
        <v>(2026)</v>
      </c>
      <c r="K578" s="7" t="str">
        <f t="shared" si="11"/>
        <v>17962206</v>
      </c>
      <c r="L578" s="12" t="s">
        <v>2962</v>
      </c>
      <c r="M578" s="13" t="str">
        <f ca="1">IFERROR(__xludf.DUMMYFUNCTION("TRIM(
  REGEXREPLACE(
    TEXTJOIN("" "",
      TRUE,
      B578,
      C578,
      embaralharLinks(E578,F578,G578),
      H578,
      """",
      J578,
      N578,
      ""#RIPNSFW""
    ),
  "",\s*"", "" "")
)"),"{New} Eva Elfie https://doodstream.com/d/lu0oxxrjbe8z/17962206 https://lulustream.com/d/nt480k7qf3yb https://streamtape.com/v/bqWqvgkqZ7IPk40/17962206 (2026) #teen #bigtits #blonde #blowjob #RIPNSFW")</f>
        <v>{New} Eva Elfie https://doodstream.com/d/lu0oxxrjbe8z/17962206 https://lulustream.com/d/nt480k7qf3yb https://streamtape.com/v/bqWqvgkqZ7IPk40/17962206 (2026) #teen #bigtits #blonde #blowjob #RIPNSFW</v>
      </c>
      <c r="N578" s="2" t="s">
        <v>2962</v>
      </c>
      <c r="O578" s="30" t="s">
        <v>2963</v>
      </c>
      <c r="P578" s="26"/>
      <c r="R578" s="23"/>
    </row>
    <row r="579" spans="1:27" ht="12.75">
      <c r="A579" s="6" t="s">
        <v>2964</v>
      </c>
      <c r="B579" s="6" t="s">
        <v>14</v>
      </c>
      <c r="C579" s="7" t="str">
        <f t="shared" si="8"/>
        <v xml:space="preserve">Eva Elfie </v>
      </c>
      <c r="D579" s="29" t="s">
        <v>2965</v>
      </c>
      <c r="E579" s="8" t="s">
        <v>2966</v>
      </c>
      <c r="F579" s="9" t="str">
        <f ca="1">IFERROR(__xludf.DUMMYFUNCTION("""https://streamtape.com/v/""&amp;
REGEXEXTRACT(O579,""/thumb/([^/]+)/"")&amp;
""/""&amp;K579"),"https://streamtape.com/v/WX3pzRvp2dibabA/19230638")</f>
        <v>https://streamtape.com/v/WX3pzRvp2dibabA/19230638</v>
      </c>
      <c r="G579" s="10" t="e">
        <f t="shared" ca="1" si="9"/>
        <v>#NAME?</v>
      </c>
      <c r="H579" s="11" t="str">
        <f ca="1">IFERROR(__xludf.DUMMYFUNCTION("IFERROR(SUBSTITUTE(SUBSTITUTE(REGEXEXTRACT(A579, ""[^-]+- [^-]+- [^-]+ - (.+?)\.jpg""), "".jpg"", """"), ""-"", "", ""), """")"),"")</f>
        <v/>
      </c>
      <c r="I579" s="6"/>
      <c r="J579" s="7" t="str">
        <f t="shared" ca="1" si="10"/>
        <v>(2026)</v>
      </c>
      <c r="K579" s="7" t="str">
        <f t="shared" si="11"/>
        <v>19230638</v>
      </c>
      <c r="L579" s="12" t="s">
        <v>2967</v>
      </c>
      <c r="M579" s="13" t="str">
        <f ca="1">IFERROR(__xludf.DUMMYFUNCTION("TRIM(
  REGEXREPLACE(
    TEXTJOIN("" "",
      TRUE,
      B579,
      C579,
      embaralharLinks(E579,F579,G579),
      H579,
      """",
      J579,
      N579,
      ""#RIPNSFW""
    ),
  "",\s*"", "" "")
)"),"{New} Eva Elfie https://lulustream.com/d/y60pswyoeiig https://doodstream.com/d/u4br5zhafxtm/19230638 https://streamtape.com/v/WX3pzRvp2dibabA/19230638 (2026) #BigTits #Hardcore #Teen #Teens #RIPNSFW")</f>
        <v>{New} Eva Elfie https://lulustream.com/d/y60pswyoeiig https://doodstream.com/d/u4br5zhafxtm/19230638 https://streamtape.com/v/WX3pzRvp2dibabA/19230638 (2026) #BigTits #Hardcore #Teen #Teens #RIPNSFW</v>
      </c>
      <c r="N579" s="14" t="s">
        <v>2968</v>
      </c>
      <c r="O579" s="32" t="s">
        <v>2969</v>
      </c>
      <c r="P579" s="14"/>
      <c r="Q579" s="6"/>
      <c r="R579" s="11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>
      <c r="A580" s="16" t="s">
        <v>2970</v>
      </c>
      <c r="B580" s="11" t="s">
        <v>14</v>
      </c>
      <c r="C580" s="13" t="str">
        <f t="shared" si="8"/>
        <v xml:space="preserve">Eva Elfie </v>
      </c>
      <c r="D580" s="17" t="s">
        <v>2971</v>
      </c>
      <c r="E580" s="18" t="s">
        <v>2972</v>
      </c>
      <c r="F580" s="9" t="str">
        <f ca="1">IFERROR(__xludf.DUMMYFUNCTION("""https://streamtape.com/v/""&amp;
REGEXEXTRACT(O580,""/thumb/([^/]+)/"")&amp;
""/""&amp;K580"),"https://streamtape.com/v/Xg3o6oWVmJfDQXB/20301549")</f>
        <v>https://streamtape.com/v/Xg3o6oWVmJfDQXB/20301549</v>
      </c>
      <c r="G580" s="10" t="e">
        <f t="shared" ca="1" si="9"/>
        <v>#NAME?</v>
      </c>
      <c r="H580" s="11" t="str">
        <f ca="1">IFERROR(__xludf.DUMMYFUNCTION("IFERROR(SUBSTITUTE(SUBSTITUTE(REGEXEXTRACT(A580, ""[^-]+- [^-]+- [^-]+ - (.+?)\.jpg""), "".jpg"", """"), ""-"", "", ""), """")"),"")</f>
        <v/>
      </c>
      <c r="I580" s="11"/>
      <c r="J580" s="13" t="str">
        <f t="shared" ca="1" si="10"/>
        <v>(2026)</v>
      </c>
      <c r="K580" s="13" t="str">
        <f t="shared" si="11"/>
        <v>20301549</v>
      </c>
      <c r="L580" s="12" t="s">
        <v>2973</v>
      </c>
      <c r="M580" s="13" t="str">
        <f ca="1">IFERROR(__xludf.DUMMYFUNCTION("TRIM(
  REGEXREPLACE(
    TEXTJOIN("" "",
      TRUE,
      B580,
      C580,
      embaralharLinks(E580,F580,G580),
      H580,
      """",
      J580,
      N580,
      ""#RIPNSFW""
    ),
  "",\s*"", "" "")
)"),"{New} Eva Elfie https://lulustream.com/d/3ruhtvm8gsrf https://streamtape.com/v/Xg3o6oWVmJfDQXB/20301549 https://doodstream.com/d/mpqj96g6knke/20301549 (2026) #teen #blonde #bigtits #blowjob #RIPNSFW")</f>
        <v>{New} Eva Elfie https://lulustream.com/d/3ruhtvm8gsrf https://streamtape.com/v/Xg3o6oWVmJfDQXB/20301549 https://doodstream.com/d/mpqj96g6knke/20301549 (2026) #teen #blonde #bigtits #blowjob #RIPNSFW</v>
      </c>
      <c r="N580" s="20" t="s">
        <v>2973</v>
      </c>
      <c r="O580" s="30" t="s">
        <v>2974</v>
      </c>
      <c r="P580" s="26"/>
      <c r="Q580" s="16"/>
      <c r="R580" s="23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75">
      <c r="A581" s="6" t="s">
        <v>2975</v>
      </c>
      <c r="B581" s="6" t="s">
        <v>14</v>
      </c>
      <c r="C581" s="7" t="str">
        <f t="shared" si="8"/>
        <v xml:space="preserve">Eva Elfie </v>
      </c>
      <c r="D581" s="6" t="s">
        <v>2976</v>
      </c>
      <c r="E581" s="8" t="s">
        <v>2977</v>
      </c>
      <c r="F581" s="9" t="str">
        <f ca="1">IFERROR(__xludf.DUMMYFUNCTION("""https://streamtape.com/v/""&amp;
REGEXEXTRACT(O581,""/thumb/([^/]+)/"")&amp;
""/""&amp;K581"),"https://streamtape.com/v/Wr1w02x9y6hq4w/30292999")</f>
        <v>https://streamtape.com/v/Wr1w02x9y6hq4w/30292999</v>
      </c>
      <c r="G581" s="10" t="e">
        <f t="shared" ca="1" si="9"/>
        <v>#NAME?</v>
      </c>
      <c r="H581" s="11" t="str">
        <f ca="1">IFERROR(__xludf.DUMMYFUNCTION("IFERROR(SUBSTITUTE(SUBSTITUTE(REGEXEXTRACT(A581, ""[^-]+- [^-]+- [^-]+ - (.+?)\.jpg""), "".jpg"", """"), ""-"", "", ""), """")"),"")</f>
        <v/>
      </c>
      <c r="I581" s="6"/>
      <c r="J581" s="7" t="str">
        <f t="shared" ca="1" si="10"/>
        <v>(2026)</v>
      </c>
      <c r="K581" s="7" t="str">
        <f t="shared" si="11"/>
        <v>30292999</v>
      </c>
      <c r="L581" s="12" t="s">
        <v>2978</v>
      </c>
      <c r="M581" s="13" t="str">
        <f ca="1">IFERROR(__xludf.DUMMYFUNCTION("TRIM(
  REGEXREPLACE(
    TEXTJOIN("" "",
      TRUE,
      B581,
      C581,
      embaralharLinks(E581,F581,G581),
      H581,
      """",
      J581,
      N581,
      ""#RIPNSFW""
    ),
  "",\s*"", "" "")
)"),"{New} Eva Elfie https://lulustream.com/d/xy9xdmmfqu97 https://doodstream.com/d/y5woi3rrioe5/30292999 https://streamtape.com/v/Wr1w02x9y6hq4w/30292999 (2026) #BigTits #Hardcore #Teen #Blowjob #Amateur #Deepthroat #Blonde #RIPNSFW")</f>
        <v>{New} Eva Elfie https://lulustream.com/d/xy9xdmmfqu97 https://doodstream.com/d/y5woi3rrioe5/30292999 https://streamtape.com/v/Wr1w02x9y6hq4w/30292999 (2026) #BigTits #Hardcore #Teen #Blowjob #Amateur #Deepthroat #Blonde #RIPNSFW</v>
      </c>
      <c r="N581" s="14" t="s">
        <v>592</v>
      </c>
      <c r="O581" s="15" t="s">
        <v>2979</v>
      </c>
      <c r="P581" s="14"/>
      <c r="Q581" s="6"/>
      <c r="R581" s="11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>
      <c r="A582" s="12" t="s">
        <v>2980</v>
      </c>
      <c r="B582" s="6" t="s">
        <v>14</v>
      </c>
      <c r="C582" s="7" t="str">
        <f t="shared" si="8"/>
        <v xml:space="preserve">Eva Elfie </v>
      </c>
      <c r="D582" s="27" t="s">
        <v>2981</v>
      </c>
      <c r="E582" s="28" t="s">
        <v>2982</v>
      </c>
      <c r="F582" s="9" t="str">
        <f ca="1">IFERROR(__xludf.DUMMYFUNCTION("""https://streamtape.com/v/""&amp;
REGEXEXTRACT(O582,""/thumb/([^/]+)/"")&amp;
""/""&amp;K582"),"https://streamtape.com/v/YVmzlAerBoCoy6/32413746")</f>
        <v>https://streamtape.com/v/YVmzlAerBoCoy6/32413746</v>
      </c>
      <c r="G582" s="10" t="e">
        <f t="shared" ca="1" si="9"/>
        <v>#NAME?</v>
      </c>
      <c r="H582" s="11" t="str">
        <f ca="1">IFERROR(__xludf.DUMMYFUNCTION("IFERROR(SUBSTITUTE(SUBSTITUTE(REGEXEXTRACT(A582, ""[^-]+- [^-]+- [^-]+ - (.+?)\.jpg""), "".jpg"", """"), ""-"", "", ""), """")"),"")</f>
        <v/>
      </c>
      <c r="I582" s="6"/>
      <c r="J582" s="7" t="str">
        <f t="shared" ca="1" si="10"/>
        <v>(2026)</v>
      </c>
      <c r="K582" s="7" t="str">
        <f t="shared" si="11"/>
        <v>32413746</v>
      </c>
      <c r="L582" s="12" t="s">
        <v>1943</v>
      </c>
      <c r="M582" s="13" t="str">
        <f ca="1">IFERROR(__xludf.DUMMYFUNCTION("TRIM(
  REGEXREPLACE(
    TEXTJOIN("" "",
      TRUE,
      B582,
      C582,
      embaralharLinks(E582,F582,G582),
      H582,
      """",
      J582,
      N582,
      ""#RIPNSFW""
    ),
  "",\s*"", "" "")
)"),"{New} Eva Elfie https://doodstream.com/d/qnvbkphfu4r8/32413746 https://streamtape.com/v/YVmzlAerBoCoy6/32413746 https://lulustream.com/d/mbr21c5zctul (2026) #BigTits #Teen #Blowjob #Amateur #RIPNSFW")</f>
        <v>{New} Eva Elfie https://doodstream.com/d/qnvbkphfu4r8/32413746 https://streamtape.com/v/YVmzlAerBoCoy6/32413746 https://lulustream.com/d/mbr21c5zctul (2026) #BigTits #Teen #Blowjob #Amateur #RIPNSFW</v>
      </c>
      <c r="N582" s="2" t="s">
        <v>1944</v>
      </c>
      <c r="O582" s="30" t="s">
        <v>2983</v>
      </c>
      <c r="P582" s="26"/>
      <c r="R582" s="23"/>
    </row>
    <row r="583" spans="1:27" ht="12.75">
      <c r="A583" s="6" t="s">
        <v>2984</v>
      </c>
      <c r="B583" s="6" t="s">
        <v>14</v>
      </c>
      <c r="C583" s="7" t="str">
        <f t="shared" si="8"/>
        <v xml:space="preserve">Eva Elfie </v>
      </c>
      <c r="D583" s="29" t="s">
        <v>2985</v>
      </c>
      <c r="E583" s="8" t="s">
        <v>2986</v>
      </c>
      <c r="F583" s="9" t="str">
        <f ca="1">IFERROR(__xludf.DUMMYFUNCTION("""https://streamtape.com/v/""&amp;
REGEXEXTRACT(O583,""/thumb/([^/]+)/"")&amp;
""/""&amp;K583"),"https://streamtape.com/v/p434m8YX17TrmAd/33050807")</f>
        <v>https://streamtape.com/v/p434m8YX17TrmAd/33050807</v>
      </c>
      <c r="G583" s="10" t="e">
        <f t="shared" ca="1" si="9"/>
        <v>#NAME?</v>
      </c>
      <c r="H583" s="11" t="str">
        <f ca="1">IFERROR(__xludf.DUMMYFUNCTION("IFERROR(SUBSTITUTE(SUBSTITUTE(REGEXEXTRACT(A583, ""[^-]+- [^-]+- [^-]+ - (.+?)\.jpg""), "".jpg"", """"), ""-"", "", ""), """")"),"")</f>
        <v/>
      </c>
      <c r="I583" s="6"/>
      <c r="J583" s="7" t="str">
        <f t="shared" ca="1" si="10"/>
        <v>(2026)</v>
      </c>
      <c r="K583" s="7" t="str">
        <f t="shared" si="11"/>
        <v>33050807</v>
      </c>
      <c r="L583" s="12" t="s">
        <v>2987</v>
      </c>
      <c r="M583" s="13" t="str">
        <f ca="1">IFERROR(__xludf.DUMMYFUNCTION("TRIM(
  REGEXREPLACE(
    TEXTJOIN("" "",
      TRUE,
      B583,
      C583,
      embaralharLinks(E583,F583,G583),
      H583,
      """",
      J583,
      N583,
      ""#RIPNSFW""
    ),
  "",\s*"", "" "")
)"),"{New} Eva Elfie https://streamtape.com/v/p434m8YX17TrmAd/33050807 https://lulustream.com/d/q18kyfg5ob32 https://doodstream.com/d/18fmzftg65ny/33050807 (2026) #BigTits #Hardcore #Teen #Roleplay #Artporn #Blowjob #Amateur #RIPNSFW")</f>
        <v>{New} Eva Elfie https://streamtape.com/v/p434m8YX17TrmAd/33050807 https://lulustream.com/d/q18kyfg5ob32 https://doodstream.com/d/18fmzftg65ny/33050807 (2026) #BigTits #Hardcore #Teen #Roleplay #Artporn #Blowjob #Amateur #RIPNSFW</v>
      </c>
      <c r="N583" s="14" t="s">
        <v>2988</v>
      </c>
      <c r="O583" s="32" t="s">
        <v>2989</v>
      </c>
      <c r="P583" s="14"/>
      <c r="Q583" s="6"/>
      <c r="R583" s="11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>
      <c r="A584" s="6" t="s">
        <v>2990</v>
      </c>
      <c r="B584" s="6" t="s">
        <v>14</v>
      </c>
      <c r="C584" s="7" t="str">
        <f t="shared" si="8"/>
        <v xml:space="preserve">Eva Elfie </v>
      </c>
      <c r="D584" s="6" t="s">
        <v>2991</v>
      </c>
      <c r="E584" s="8" t="s">
        <v>2992</v>
      </c>
      <c r="F584" s="9" t="str">
        <f ca="1">IFERROR(__xludf.DUMMYFUNCTION("""https://streamtape.com/v/""&amp;
REGEXEXTRACT(O584,""/thumb/([^/]+)/"")&amp;
""/""&amp;K584"),"https://streamtape.com/v/DlbrxKOxr4ik70D/37883745")</f>
        <v>https://streamtape.com/v/DlbrxKOxr4ik70D/37883745</v>
      </c>
      <c r="G584" s="10" t="e">
        <f t="shared" ca="1" si="9"/>
        <v>#NAME?</v>
      </c>
      <c r="H584" s="11" t="str">
        <f ca="1">IFERROR(__xludf.DUMMYFUNCTION("IFERROR(SUBSTITUTE(SUBSTITUTE(REGEXEXTRACT(A584, ""[^-]+- [^-]+- [^-]+ - (.+?)\.jpg""), "".jpg"", """"), ""-"", "", ""), """")"),"")</f>
        <v/>
      </c>
      <c r="I584" s="6"/>
      <c r="J584" s="7" t="str">
        <f t="shared" ca="1" si="10"/>
        <v>(2026)</v>
      </c>
      <c r="K584" s="7" t="str">
        <f t="shared" si="11"/>
        <v>37883745</v>
      </c>
      <c r="L584" s="12" t="s">
        <v>2993</v>
      </c>
      <c r="M584" s="13" t="str">
        <f ca="1">IFERROR(__xludf.DUMMYFUNCTION("TRIM(
  REGEXREPLACE(
    TEXTJOIN("" "",
      TRUE,
      B584,
      C584,
      embaralharLinks(E584,F584,G584),
      H584,
      """",
      J584,
      N584,
      ""#RIPNSFW""
    ),
  "",\s*"", "" "")
)"),"{New} Eva Elfie https://lulustream.com/d/zr1szgypango https://doodstream.com/d/4q5749gt48w6/37883745 https://streamtape.com/v/DlbrxKOxr4ik70D/37883745 (2026) #BigTits #Hardcore #Teen #Blowjob #Amateur #Blonde #RIPNSFW")</f>
        <v>{New} Eva Elfie https://lulustream.com/d/zr1szgypango https://doodstream.com/d/4q5749gt48w6/37883745 https://streamtape.com/v/DlbrxKOxr4ik70D/37883745 (2026) #BigTits #Hardcore #Teen #Blowjob #Amateur #Blonde #RIPNSFW</v>
      </c>
      <c r="N584" s="14" t="s">
        <v>2994</v>
      </c>
      <c r="O584" s="15" t="s">
        <v>2995</v>
      </c>
      <c r="P584" s="14"/>
      <c r="Q584" s="6"/>
      <c r="R584" s="11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>
      <c r="A585" s="12" t="s">
        <v>2996</v>
      </c>
      <c r="B585" s="6" t="s">
        <v>14</v>
      </c>
      <c r="C585" s="7" t="str">
        <f t="shared" si="8"/>
        <v xml:space="preserve">Eva Elfie </v>
      </c>
      <c r="D585" s="24" t="s">
        <v>2997</v>
      </c>
      <c r="E585" s="25" t="s">
        <v>2998</v>
      </c>
      <c r="F585" s="9" t="str">
        <f ca="1">IFERROR(__xludf.DUMMYFUNCTION("""https://streamtape.com/v/""&amp;
REGEXEXTRACT(O585,""/thumb/([^/]+)/"")&amp;
""/""&amp;K585"),"https://streamtape.com/v/dZ1b9o8P2mtkXGk/41235226")</f>
        <v>https://streamtape.com/v/dZ1b9o8P2mtkXGk/41235226</v>
      </c>
      <c r="G585" s="10" t="e">
        <f t="shared" ca="1" si="9"/>
        <v>#NAME?</v>
      </c>
      <c r="H585" s="11" t="str">
        <f ca="1">IFERROR(__xludf.DUMMYFUNCTION("IFERROR(SUBSTITUTE(SUBSTITUTE(REGEXEXTRACT(A585, ""[^-]+- [^-]+- [^-]+ - (.+?)\.jpg""), "".jpg"", """"), ""-"", "", ""), """")"),"")</f>
        <v/>
      </c>
      <c r="I585" s="6"/>
      <c r="J585" s="7" t="str">
        <f t="shared" ca="1" si="10"/>
        <v>(2026)</v>
      </c>
      <c r="K585" s="7" t="str">
        <f t="shared" si="11"/>
        <v>41235226</v>
      </c>
      <c r="L585" s="12" t="s">
        <v>1055</v>
      </c>
      <c r="M585" s="13" t="str">
        <f ca="1">IFERROR(__xludf.DUMMYFUNCTION("TRIM(
  REGEXREPLACE(
    TEXTJOIN("" "",
      TRUE,
      B585,
      C585,
      embaralharLinks(E585,F585,G585),
      H585,
      """",
      J585,
      N585,
      ""#RIPNSFW""
    ),
  "",\s*"", "" "")
)"),"{New} Eva Elfie https://streamtape.com/v/dZ1b9o8P2mtkXGk/41235226 https://doodstream.com/d/n7ecpgm4cjql/41235226 https://lulustream.com/d/9ihrxzevvq6x (2026) #teen #bigtits #blowjob #blonde #RIPNSFW")</f>
        <v>{New} Eva Elfie https://streamtape.com/v/dZ1b9o8P2mtkXGk/41235226 https://doodstream.com/d/n7ecpgm4cjql/41235226 https://lulustream.com/d/9ihrxzevvq6x (2026) #teen #bigtits #blowjob #blonde #RIPNSFW</v>
      </c>
      <c r="N585" s="2" t="s">
        <v>1055</v>
      </c>
      <c r="O585" s="30" t="s">
        <v>2999</v>
      </c>
      <c r="P585" s="26"/>
      <c r="R585" s="23"/>
    </row>
    <row r="586" spans="1:27" ht="12.75">
      <c r="A586" s="6" t="s">
        <v>3000</v>
      </c>
      <c r="B586" s="6" t="s">
        <v>14</v>
      </c>
      <c r="C586" s="7" t="str">
        <f t="shared" si="8"/>
        <v xml:space="preserve">Eva Elfie </v>
      </c>
      <c r="D586" s="24" t="s">
        <v>3001</v>
      </c>
      <c r="E586" s="25" t="s">
        <v>3002</v>
      </c>
      <c r="F586" s="9" t="str">
        <f ca="1">IFERROR(__xludf.DUMMYFUNCTION("""https://streamtape.com/v/""&amp;
REGEXEXTRACT(O586,""/thumb/([^/]+)/"")&amp;
""/""&amp;K586"),"https://streamtape.com/v/pdVZKKXPQjIV80/42075104")</f>
        <v>https://streamtape.com/v/pdVZKKXPQjIV80/42075104</v>
      </c>
      <c r="G586" s="10" t="e">
        <f t="shared" ca="1" si="9"/>
        <v>#NAME?</v>
      </c>
      <c r="H586" s="11" t="str">
        <f ca="1">IFERROR(__xludf.DUMMYFUNCTION("IFERROR(SUBSTITUTE(SUBSTITUTE(REGEXEXTRACT(A586, ""[^-]+- [^-]+- [^-]+ - (.+?)\.jpg""), "".jpg"", """"), ""-"", "", ""), """")"),"")</f>
        <v/>
      </c>
      <c r="I586" s="6"/>
      <c r="J586" s="7" t="str">
        <f t="shared" ca="1" si="10"/>
        <v>(2026)</v>
      </c>
      <c r="K586" s="7" t="str">
        <f t="shared" si="11"/>
        <v>42075104</v>
      </c>
      <c r="L586" s="12" t="s">
        <v>3003</v>
      </c>
      <c r="M586" s="13" t="str">
        <f ca="1">IFERROR(__xludf.DUMMYFUNCTION("TRIM(
  REGEXREPLACE(
    TEXTJOIN("" "",
      TRUE,
      B586,
      C586,
      embaralharLinks(E586,F586,G586),
      H586,
      """",
      J586,
      N586,
      ""#RIPNSFW""
    ),
  "",\s*"", "" "")
)"),"{New} Eva Elfie https://lulustream.com/d/p2d0f1kle9qz https://doodstream.com/d/tmo90jstwyzz/42075104 https://streamtape.com/v/pdVZKKXPQjIV80/42075104 (2026) #teen #blowjob #bigtits #blonde #RIPNSFW")</f>
        <v>{New} Eva Elfie https://lulustream.com/d/p2d0f1kle9qz https://doodstream.com/d/tmo90jstwyzz/42075104 https://streamtape.com/v/pdVZKKXPQjIV80/42075104 (2026) #teen #blowjob #bigtits #blonde #RIPNSFW</v>
      </c>
      <c r="N586" s="31" t="s">
        <v>3003</v>
      </c>
      <c r="O586" s="32" t="s">
        <v>3004</v>
      </c>
      <c r="P586" s="26"/>
      <c r="Q586" s="6"/>
      <c r="R586" s="23"/>
      <c r="S586" s="6"/>
      <c r="T586" s="6"/>
      <c r="U586" s="7"/>
      <c r="V586" s="6"/>
      <c r="X586" s="6"/>
      <c r="Y586" s="6"/>
      <c r="Z586" s="6"/>
      <c r="AA586" s="6"/>
    </row>
    <row r="587" spans="1:27" ht="12.75">
      <c r="A587" s="12" t="s">
        <v>3005</v>
      </c>
      <c r="B587" s="6" t="s">
        <v>14</v>
      </c>
      <c r="C587" s="7" t="str">
        <f t="shared" si="8"/>
        <v xml:space="preserve">Eva Elfie </v>
      </c>
      <c r="D587" s="27" t="s">
        <v>3006</v>
      </c>
      <c r="E587" s="28" t="s">
        <v>3007</v>
      </c>
      <c r="F587" s="9" t="str">
        <f ca="1">IFERROR(__xludf.DUMMYFUNCTION("""https://streamtape.com/v/""&amp;
REGEXEXTRACT(O587,""/thumb/([^/]+)/"")&amp;
""/""&amp;K587"),"https://streamtape.com/v/W18k28q90zcee3/47114945")</f>
        <v>https://streamtape.com/v/W18k28q90zcee3/47114945</v>
      </c>
      <c r="G587" s="10" t="e">
        <f t="shared" ca="1" si="9"/>
        <v>#NAME?</v>
      </c>
      <c r="H587" s="11" t="str">
        <f ca="1">IFERROR(__xludf.DUMMYFUNCTION("IFERROR(SUBSTITUTE(SUBSTITUTE(REGEXEXTRACT(A587, ""[^-]+- [^-]+- [^-]+ - (.+?)\.jpg""), "".jpg"", """"), ""-"", "", ""), """")"),"")</f>
        <v/>
      </c>
      <c r="I587" s="6"/>
      <c r="J587" s="7" t="str">
        <f t="shared" ca="1" si="10"/>
        <v>(2026)</v>
      </c>
      <c r="K587" s="7" t="str">
        <f t="shared" si="11"/>
        <v>47114945</v>
      </c>
      <c r="L587" s="12" t="s">
        <v>710</v>
      </c>
      <c r="M587" s="13" t="str">
        <f ca="1">IFERROR(__xludf.DUMMYFUNCTION("TRIM(
  REGEXREPLACE(
    TEXTJOIN("" "",
      TRUE,
      B587,
      C587,
      embaralharLinks(E587,F587,G587),
      H587,
      """",
      J587,
      N587,
      ""#RIPNSFW""
    ),
  "",\s*"", "" "")
)"),"{New} Eva Elfie https://streamtape.com/v/W18k28q90zcee3/47114945 https://doodstream.com/d/vs2i4fp8dz5f/47114945 https://lulustream.com/d/mb7uqypc4e8w (2026) #BigTits #Hardcore #Teen #Blowjob #RIPNSFW")</f>
        <v>{New} Eva Elfie https://streamtape.com/v/W18k28q90zcee3/47114945 https://doodstream.com/d/vs2i4fp8dz5f/47114945 https://lulustream.com/d/mb7uqypc4e8w (2026) #BigTits #Hardcore #Teen #Blowjob #RIPNSFW</v>
      </c>
      <c r="N587" s="2" t="s">
        <v>711</v>
      </c>
      <c r="O587" s="21" t="s">
        <v>3008</v>
      </c>
      <c r="P587" s="26"/>
      <c r="R587" s="23"/>
    </row>
    <row r="588" spans="1:27" ht="12.75">
      <c r="A588" s="6" t="s">
        <v>3009</v>
      </c>
      <c r="B588" s="6" t="s">
        <v>14</v>
      </c>
      <c r="C588" s="7" t="str">
        <f t="shared" si="8"/>
        <v xml:space="preserve">Eva Elfie </v>
      </c>
      <c r="D588" s="6" t="s">
        <v>3010</v>
      </c>
      <c r="E588" s="8" t="s">
        <v>3011</v>
      </c>
      <c r="F588" s="9" t="str">
        <f ca="1">IFERROR(__xludf.DUMMYFUNCTION("""https://streamtape.com/v/""&amp;
REGEXEXTRACT(O588,""/thumb/([^/]+)/"")&amp;
""/""&amp;K588"),"https://streamtape.com/v/vV3bDR3L9Gu4GA0/51047553")</f>
        <v>https://streamtape.com/v/vV3bDR3L9Gu4GA0/51047553</v>
      </c>
      <c r="G588" s="10" t="e">
        <f t="shared" ca="1" si="9"/>
        <v>#NAME?</v>
      </c>
      <c r="H588" s="11" t="str">
        <f ca="1">IFERROR(__xludf.DUMMYFUNCTION("IFERROR(SUBSTITUTE(SUBSTITUTE(REGEXEXTRACT(A588, ""[^-]+- [^-]+- [^-]+ - (.+?)\.jpg""), "".jpg"", """"), ""-"", "", ""), """")"),"")</f>
        <v/>
      </c>
      <c r="I588" s="6"/>
      <c r="J588" s="7" t="str">
        <f t="shared" ca="1" si="10"/>
        <v>(2026)</v>
      </c>
      <c r="K588" s="7" t="str">
        <f t="shared" si="11"/>
        <v>51047553</v>
      </c>
      <c r="L588" s="12" t="s">
        <v>3012</v>
      </c>
      <c r="M588" s="13" t="str">
        <f ca="1">IFERROR(__xludf.DUMMYFUNCTION("TRIM(
  REGEXREPLACE(
    TEXTJOIN("" "",
      TRUE,
      B588,
      C588,
      embaralharLinks(E588,F588,G588),
      H588,
      """",
      J588,
      N588,
      ""#RIPNSFW""
    ),
  "",\s*"", "" "")
)"),"{New} Eva Elfie https://streamtape.com/v/vV3bDR3L9Gu4GA0/51047553 https://lulustream.com/d/9beuvpkonepf https://doodstream.com/d/shfhz2r9i1h3/51047553 (2026) #BigTits #Creampie #Hardcore #Teen #Roleplay #Blowjob #Amateur #Blonde #RIPNSFW")</f>
        <v>{New} Eva Elfie https://streamtape.com/v/vV3bDR3L9Gu4GA0/51047553 https://lulustream.com/d/9beuvpkonepf https://doodstream.com/d/shfhz2r9i1h3/51047553 (2026) #BigTits #Creampie #Hardcore #Teen #Roleplay #Blowjob #Amateur #Blonde #RIPNSFW</v>
      </c>
      <c r="N588" s="14" t="s">
        <v>3013</v>
      </c>
      <c r="O588" s="15" t="s">
        <v>3014</v>
      </c>
      <c r="P588" s="14"/>
      <c r="Q588" s="6"/>
      <c r="R588" s="11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>
      <c r="A589" s="6" t="s">
        <v>3015</v>
      </c>
      <c r="B589" s="6" t="s">
        <v>14</v>
      </c>
      <c r="C589" s="7" t="str">
        <f t="shared" si="8"/>
        <v xml:space="preserve">Eva Elfie </v>
      </c>
      <c r="D589" s="24" t="s">
        <v>3016</v>
      </c>
      <c r="E589" s="25" t="s">
        <v>3017</v>
      </c>
      <c r="F589" s="9" t="str">
        <f ca="1">IFERROR(__xludf.DUMMYFUNCTION("""https://streamtape.com/v/""&amp;
REGEXEXTRACT(O589,""/thumb/([^/]+)/"")&amp;
""/""&amp;K589"),"https://streamtape.com/v/oL0WAdaGqViJ8Re/51558283")</f>
        <v>https://streamtape.com/v/oL0WAdaGqViJ8Re/51558283</v>
      </c>
      <c r="G589" s="10" t="e">
        <f t="shared" ca="1" si="9"/>
        <v>#NAME?</v>
      </c>
      <c r="H589" s="11" t="str">
        <f ca="1">IFERROR(__xludf.DUMMYFUNCTION("IFERROR(SUBSTITUTE(SUBSTITUTE(REGEXEXTRACT(A589, ""[^-]+- [^-]+- [^-]+ - (.+?)\.jpg""), "".jpg"", """"), ""-"", "", ""), """")"),"")</f>
        <v/>
      </c>
      <c r="I589" s="6"/>
      <c r="J589" s="7" t="str">
        <f t="shared" ca="1" si="10"/>
        <v>(2026)</v>
      </c>
      <c r="K589" s="7" t="str">
        <f t="shared" si="11"/>
        <v>51558283</v>
      </c>
      <c r="L589" s="12" t="s">
        <v>3018</v>
      </c>
      <c r="M589" s="13" t="str">
        <f ca="1">IFERROR(__xludf.DUMMYFUNCTION("TRIM(
  REGEXREPLACE(
    TEXTJOIN("" "",
      TRUE,
      B589,
      C589,
      embaralharLinks(E589,F589,G589),
      H589,
      """",
      J589,
      N589,
      ""#RIPNSFW""
    ),
  "",\s*"", "" "")
)"),"{New} Eva Elfie https://doodstream.com/d/k9wunouuq7wh/51558283 https://lulustream.com/d/r25xcko5lw1h https://streamtape.com/v/oL0WAdaGqViJ8Re/51558283 (2026) #teen #creampie #bigtits #blowjob #RIPNSFW")</f>
        <v>{New} Eva Elfie https://doodstream.com/d/k9wunouuq7wh/51558283 https://lulustream.com/d/r25xcko5lw1h https://streamtape.com/v/oL0WAdaGqViJ8Re/51558283 (2026) #teen #creampie #bigtits #blowjob #RIPNSFW</v>
      </c>
      <c r="N589" s="31" t="s">
        <v>3018</v>
      </c>
      <c r="O589" s="32" t="s">
        <v>3019</v>
      </c>
      <c r="P589" s="26"/>
      <c r="Q589" s="6"/>
      <c r="R589" s="11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>
      <c r="A590" s="6" t="s">
        <v>3020</v>
      </c>
      <c r="B590" s="6" t="s">
        <v>14</v>
      </c>
      <c r="C590" s="7" t="str">
        <f t="shared" si="8"/>
        <v xml:space="preserve">Eva Elfie </v>
      </c>
      <c r="D590" s="24" t="s">
        <v>3021</v>
      </c>
      <c r="E590" s="25" t="s">
        <v>3022</v>
      </c>
      <c r="F590" s="9" t="str">
        <f ca="1">IFERROR(__xludf.DUMMYFUNCTION("""https://streamtape.com/v/""&amp;
REGEXEXTRACT(O590,""/thumb/([^/]+)/"")&amp;
""/""&amp;K590"),"https://streamtape.com/v/yxKYZ31LLxcwjX/55413650")</f>
        <v>https://streamtape.com/v/yxKYZ31LLxcwjX/55413650</v>
      </c>
      <c r="G590" s="10" t="e">
        <f t="shared" ca="1" si="9"/>
        <v>#NAME?</v>
      </c>
      <c r="H590" s="11" t="str">
        <f ca="1">IFERROR(__xludf.DUMMYFUNCTION("IFERROR(SUBSTITUTE(SUBSTITUTE(REGEXEXTRACT(A590, ""[^-]+- [^-]+- [^-]+ - (.+?)\.jpg""), "".jpg"", """"), ""-"", "", ""), """")"),"")</f>
        <v/>
      </c>
      <c r="I590" s="6"/>
      <c r="J590" s="7" t="str">
        <f t="shared" ca="1" si="10"/>
        <v>(2026)</v>
      </c>
      <c r="K590" s="7" t="str">
        <f t="shared" si="11"/>
        <v>55413650</v>
      </c>
      <c r="L590" s="12" t="s">
        <v>3023</v>
      </c>
      <c r="M590" s="13" t="str">
        <f ca="1">IFERROR(__xludf.DUMMYFUNCTION("TRIM(
  REGEXREPLACE(
    TEXTJOIN("" "",
      TRUE,
      B590,
      C590,
      embaralharLinks(E590,F590,G590),
      H590,
      """",
      J590,
      N590,
      ""#RIPNSFW""
    ),
  "",\s*"", "" "")
)"),"{New} Eva Elfie https://doodstream.com/d/9uf12glfj720/55413650 https://streamtape.com/v/yxKYZ31LLxcwjX/55413650 https://lulustream.com/d/4l8rfkl1jpj9 (2026) #teen #blowjob #blonde #bigtits #RIPNSFW")</f>
        <v>{New} Eva Elfie https://doodstream.com/d/9uf12glfj720/55413650 https://streamtape.com/v/yxKYZ31LLxcwjX/55413650 https://lulustream.com/d/4l8rfkl1jpj9 (2026) #teen #blowjob #blonde #bigtits #RIPNSFW</v>
      </c>
      <c r="N590" s="31" t="s">
        <v>3023</v>
      </c>
      <c r="O590" s="32" t="s">
        <v>3024</v>
      </c>
      <c r="P590" s="26"/>
      <c r="Q590" s="6"/>
      <c r="R590" s="11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>
      <c r="A591" s="12" t="s">
        <v>3025</v>
      </c>
      <c r="B591" s="6" t="s">
        <v>14</v>
      </c>
      <c r="C591" s="7" t="str">
        <f t="shared" si="8"/>
        <v xml:space="preserve">Eva Elfie </v>
      </c>
      <c r="D591" s="24" t="s">
        <v>3026</v>
      </c>
      <c r="E591" s="25" t="s">
        <v>3027</v>
      </c>
      <c r="F591" s="9" t="str">
        <f ca="1">IFERROR(__xludf.DUMMYFUNCTION("""https://streamtape.com/v/""&amp;
REGEXEXTRACT(O591,""/thumb/([^/]+)/"")&amp;
""/""&amp;K591"),"https://streamtape.com/v/AwVrpZOw24sXKM9/59206791")</f>
        <v>https://streamtape.com/v/AwVrpZOw24sXKM9/59206791</v>
      </c>
      <c r="G591" s="10" t="e">
        <f t="shared" ca="1" si="9"/>
        <v>#NAME?</v>
      </c>
      <c r="H591" s="11" t="str">
        <f ca="1">IFERROR(__xludf.DUMMYFUNCTION("IFERROR(SUBSTITUTE(SUBSTITUTE(REGEXEXTRACT(A591, ""[^-]+- [^-]+- [^-]+ - (.+?)\.jpg""), "".jpg"", """"), ""-"", "", ""), """")"),"")</f>
        <v/>
      </c>
      <c r="I591" s="6"/>
      <c r="J591" s="7" t="str">
        <f t="shared" ca="1" si="10"/>
        <v>(2026)</v>
      </c>
      <c r="K591" s="7" t="str">
        <f t="shared" si="11"/>
        <v>59206791</v>
      </c>
      <c r="L591" s="12" t="s">
        <v>2962</v>
      </c>
      <c r="M591" s="13" t="str">
        <f ca="1">IFERROR(__xludf.DUMMYFUNCTION("TRIM(
  REGEXREPLACE(
    TEXTJOIN("" "",
      TRUE,
      B591,
      C591,
      embaralharLinks(E591,F591,G591),
      H591,
      """",
      J591,
      N591,
      ""#RIPNSFW""
    ),
  "",\s*"", "" "")
)"),"{New} Eva Elfie https://lulustream.com/d/32fhlt6nuv7r https://streamtape.com/v/AwVrpZOw24sXKM9/59206791 https://doodstream.com/d/1yndlhi76gln/59206791 (2026) #teen #bigtits #blonde #blowjob #RIPNSFW")</f>
        <v>{New} Eva Elfie https://lulustream.com/d/32fhlt6nuv7r https://streamtape.com/v/AwVrpZOw24sXKM9/59206791 https://doodstream.com/d/1yndlhi76gln/59206791 (2026) #teen #bigtits #blonde #blowjob #RIPNSFW</v>
      </c>
      <c r="N591" s="2" t="s">
        <v>2962</v>
      </c>
      <c r="O591" s="30" t="s">
        <v>3028</v>
      </c>
      <c r="P591" s="26"/>
      <c r="R591" s="23"/>
    </row>
    <row r="592" spans="1:27" ht="12.75">
      <c r="A592" s="6" t="s">
        <v>3029</v>
      </c>
      <c r="B592" s="6" t="s">
        <v>14</v>
      </c>
      <c r="C592" s="7" t="str">
        <f t="shared" si="8"/>
        <v xml:space="preserve">Eva Elfie </v>
      </c>
      <c r="D592" s="24" t="s">
        <v>3030</v>
      </c>
      <c r="E592" s="25" t="s">
        <v>3031</v>
      </c>
      <c r="F592" s="9" t="str">
        <f ca="1">IFERROR(__xludf.DUMMYFUNCTION("""https://streamtape.com/v/""&amp;
REGEXEXTRACT(O592,""/thumb/([^/]+)/"")&amp;
""/""&amp;K592"),"https://streamtape.com/v/KkBPzKraXgs03gX/64057150")</f>
        <v>https://streamtape.com/v/KkBPzKraXgs03gX/64057150</v>
      </c>
      <c r="G592" s="10" t="e">
        <f t="shared" ca="1" si="9"/>
        <v>#NAME?</v>
      </c>
      <c r="H592" s="11" t="str">
        <f ca="1">IFERROR(__xludf.DUMMYFUNCTION("IFERROR(SUBSTITUTE(SUBSTITUTE(REGEXEXTRACT(A592, ""[^-]+- [^-]+- [^-]+ - (.+?)\.jpg""), "".jpg"", """"), ""-"", "", ""), """")"),"")</f>
        <v/>
      </c>
      <c r="I592" s="6"/>
      <c r="J592" s="7" t="str">
        <f t="shared" ca="1" si="10"/>
        <v>(2026)</v>
      </c>
      <c r="K592" s="7" t="str">
        <f t="shared" si="11"/>
        <v>64057150</v>
      </c>
      <c r="L592" s="12" t="s">
        <v>3003</v>
      </c>
      <c r="M592" s="13" t="str">
        <f ca="1">IFERROR(__xludf.DUMMYFUNCTION("TRIM(
  REGEXREPLACE(
    TEXTJOIN("" "",
      TRUE,
      B592,
      C592,
      embaralharLinks(E592,F592,G592),
      H592,
      """",
      J592,
      N592,
      ""#RIPNSFW""
    ),
  "",\s*"", "" "")
)"),"{New} Eva Elfie https://doodstream.com/d/9snjpl9h4gwt/64057150 https://lulustream.com/d/cjvfgaca22r0 https://streamtape.com/v/KkBPzKraXgs03gX/64057150 (2026) #teen #blowjob #bigtits #blonde #RIPNSFW")</f>
        <v>{New} Eva Elfie https://doodstream.com/d/9snjpl9h4gwt/64057150 https://lulustream.com/d/cjvfgaca22r0 https://streamtape.com/v/KkBPzKraXgs03gX/64057150 (2026) #teen #blowjob #bigtits #blonde #RIPNSFW</v>
      </c>
      <c r="N592" s="31" t="s">
        <v>3003</v>
      </c>
      <c r="O592" s="32" t="s">
        <v>3032</v>
      </c>
      <c r="P592" s="26"/>
      <c r="Q592" s="6"/>
      <c r="R592" s="11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>
      <c r="A593" s="6" t="s">
        <v>3033</v>
      </c>
      <c r="B593" s="6" t="s">
        <v>14</v>
      </c>
      <c r="C593" s="7" t="str">
        <f t="shared" si="8"/>
        <v xml:space="preserve">Eva Elfie </v>
      </c>
      <c r="D593" s="24" t="s">
        <v>3034</v>
      </c>
      <c r="E593" s="25" t="s">
        <v>3035</v>
      </c>
      <c r="F593" s="9" t="str">
        <f ca="1">IFERROR(__xludf.DUMMYFUNCTION("""https://streamtape.com/v/""&amp;
REGEXEXTRACT(O593,""/thumb/([^/]+)/"")&amp;
""/""&amp;K593"),"https://streamtape.com/v/XqWQ7VbAm4TDV23/67250856")</f>
        <v>https://streamtape.com/v/XqWQ7VbAm4TDV23/67250856</v>
      </c>
      <c r="G593" s="10" t="e">
        <f t="shared" ca="1" si="9"/>
        <v>#NAME?</v>
      </c>
      <c r="H593" s="11" t="str">
        <f ca="1">IFERROR(__xludf.DUMMYFUNCTION("IFERROR(SUBSTITUTE(SUBSTITUTE(REGEXEXTRACT(A593, ""[^-]+- [^-]+- [^-]+ - (.+?)\.jpg""), "".jpg"", """"), ""-"", "", ""), """")"),"")</f>
        <v/>
      </c>
      <c r="I593" s="6"/>
      <c r="J593" s="7" t="str">
        <f t="shared" ca="1" si="10"/>
        <v>(2026)</v>
      </c>
      <c r="K593" s="7" t="str">
        <f t="shared" si="11"/>
        <v>67250856</v>
      </c>
      <c r="L593" s="12" t="s">
        <v>2973</v>
      </c>
      <c r="M593" s="13" t="str">
        <f ca="1">IFERROR(__xludf.DUMMYFUNCTION("TRIM(
  REGEXREPLACE(
    TEXTJOIN("" "",
      TRUE,
      B593,
      C593,
      embaralharLinks(E593,F593,G593),
      H593,
      """",
      J593,
      N593,
      ""#RIPNSFW""
    ),
  "",\s*"", "" "")
)"),"{New} Eva Elfie https://lulustream.com/d/xt0r7gsqqmkp https://streamtape.com/v/XqWQ7VbAm4TDV23/67250856 https://doodstream.com/d/tjzfql4togf8/67250856 (2026) #teen #blonde #bigtits #blowjob #RIPNSFW")</f>
        <v>{New} Eva Elfie https://lulustream.com/d/xt0r7gsqqmkp https://streamtape.com/v/XqWQ7VbAm4TDV23/67250856 https://doodstream.com/d/tjzfql4togf8/67250856 (2026) #teen #blonde #bigtits #blowjob #RIPNSFW</v>
      </c>
      <c r="N593" s="31" t="s">
        <v>2973</v>
      </c>
      <c r="O593" s="32" t="s">
        <v>3036</v>
      </c>
      <c r="P593" s="26"/>
      <c r="Q593" s="6"/>
      <c r="R593" s="11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>
      <c r="A594" s="12" t="s">
        <v>3037</v>
      </c>
      <c r="B594" s="6" t="s">
        <v>14</v>
      </c>
      <c r="C594" s="7" t="str">
        <f t="shared" si="8"/>
        <v xml:space="preserve">Eva Elfie </v>
      </c>
      <c r="D594" s="24" t="s">
        <v>3038</v>
      </c>
      <c r="E594" s="25" t="s">
        <v>3039</v>
      </c>
      <c r="F594" s="9" t="str">
        <f ca="1">IFERROR(__xludf.DUMMYFUNCTION("""https://streamtape.com/v/""&amp;
REGEXEXTRACT(O594,""/thumb/([^/]+)/"")&amp;
""/""&amp;K594"),"https://streamtape.com/v/WQLzWx1aWeUbDLM/68592528")</f>
        <v>https://streamtape.com/v/WQLzWx1aWeUbDLM/68592528</v>
      </c>
      <c r="G594" s="10" t="e">
        <f t="shared" ca="1" si="9"/>
        <v>#NAME?</v>
      </c>
      <c r="H594" s="11" t="str">
        <f ca="1">IFERROR(__xludf.DUMMYFUNCTION("IFERROR(SUBSTITUTE(SUBSTITUTE(REGEXEXTRACT(A594, ""[^-]+- [^-]+- [^-]+ - (.+?)\.jpg""), "".jpg"", """"), ""-"", "", ""), """")"),"")</f>
        <v/>
      </c>
      <c r="I594" s="6"/>
      <c r="J594" s="7" t="str">
        <f t="shared" ca="1" si="10"/>
        <v>(2026)</v>
      </c>
      <c r="K594" s="7" t="str">
        <f t="shared" si="11"/>
        <v>68592528</v>
      </c>
      <c r="L594" s="12" t="s">
        <v>3023</v>
      </c>
      <c r="M594" s="13" t="str">
        <f ca="1">IFERROR(__xludf.DUMMYFUNCTION("TRIM(
  REGEXREPLACE(
    TEXTJOIN("" "",
      TRUE,
      B594,
      C594,
      embaralharLinks(E594,F594,G594),
      H594,
      """",
      J594,
      N594,
      ""#RIPNSFW""
    ),
  "",\s*"", "" "")
)"),"{New} Eva Elfie https://doodstream.com/d/ztx7jwf40h0h/68592528 https://streamtape.com/v/WQLzWx1aWeUbDLM/68592528 https://lulustream.com/d/allaa5ytfnur (2026) #teen #blowjob #blonde #bigtits #RIPNSFW")</f>
        <v>{New} Eva Elfie https://doodstream.com/d/ztx7jwf40h0h/68592528 https://streamtape.com/v/WQLzWx1aWeUbDLM/68592528 https://lulustream.com/d/allaa5ytfnur (2026) #teen #blowjob #blonde #bigtits #RIPNSFW</v>
      </c>
      <c r="N594" s="2" t="s">
        <v>3023</v>
      </c>
      <c r="O594" s="21" t="s">
        <v>3040</v>
      </c>
      <c r="P594" s="26"/>
      <c r="R594" s="23"/>
    </row>
    <row r="595" spans="1:27" ht="12.75">
      <c r="A595" s="11" t="s">
        <v>3041</v>
      </c>
      <c r="B595" s="11" t="s">
        <v>14</v>
      </c>
      <c r="C595" s="13" t="str">
        <f t="shared" si="8"/>
        <v xml:space="preserve">Eva Elfie </v>
      </c>
      <c r="D595" s="17" t="s">
        <v>3042</v>
      </c>
      <c r="E595" s="18" t="s">
        <v>3043</v>
      </c>
      <c r="F595" s="9" t="str">
        <f ca="1">IFERROR(__xludf.DUMMYFUNCTION("""https://streamtape.com/v/""&amp;
REGEXEXTRACT(O595,""/thumb/([^/]+)/"")&amp;
""/""&amp;K595"),"https://streamtape.com/v/rxrJGWj1oktbvwm/70410727")</f>
        <v>https://streamtape.com/v/rxrJGWj1oktbvwm/70410727</v>
      </c>
      <c r="G595" s="10" t="e">
        <f t="shared" ca="1" si="9"/>
        <v>#NAME?</v>
      </c>
      <c r="H595" s="11" t="str">
        <f ca="1">IFERROR(__xludf.DUMMYFUNCTION("IFERROR(SUBSTITUTE(SUBSTITUTE(REGEXEXTRACT(A595, ""[^-]+- [^-]+- [^-]+ - (.+?)\.jpg""), "".jpg"", """"), ""-"", "", ""), """")"),"")</f>
        <v/>
      </c>
      <c r="I595" s="11"/>
      <c r="J595" s="13" t="str">
        <f t="shared" ca="1" si="10"/>
        <v>(2026)</v>
      </c>
      <c r="K595" s="13" t="str">
        <f t="shared" si="11"/>
        <v>70410727</v>
      </c>
      <c r="L595" s="12" t="s">
        <v>3044</v>
      </c>
      <c r="M595" s="13" t="str">
        <f ca="1">IFERROR(__xludf.DUMMYFUNCTION("TRIM(
  REGEXREPLACE(
    TEXTJOIN("" "",
      TRUE,
      B595,
      C595,
      embaralharLinks(E595,F595,G595),
      H595,
      """",
      J595,
      N595,
      ""#RIPNSFW""
    ),
  "",\s*"", "" "")
)"),"{New} Eva Elfie https://streamtape.com/v/rxrJGWj1oktbvwm/70410727 https://doodstream.com/d/ymj69bdsbolb/70410727 https://lulustream.com/d/u646thgu0fuf (2026) #teen #creampie #bigtits #blonde #RIPNSFW")</f>
        <v>{New} Eva Elfie https://streamtape.com/v/rxrJGWj1oktbvwm/70410727 https://doodstream.com/d/ymj69bdsbolb/70410727 https://lulustream.com/d/u646thgu0fuf (2026) #teen #creampie #bigtits #blonde #RIPNSFW</v>
      </c>
      <c r="N595" s="32" t="s">
        <v>3044</v>
      </c>
      <c r="O595" s="32" t="s">
        <v>3045</v>
      </c>
      <c r="P595" s="26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2.75">
      <c r="A596" s="6" t="s">
        <v>3046</v>
      </c>
      <c r="B596" s="6" t="s">
        <v>14</v>
      </c>
      <c r="C596" s="7" t="str">
        <f t="shared" si="8"/>
        <v xml:space="preserve">Eva Elfie </v>
      </c>
      <c r="D596" s="29" t="s">
        <v>3047</v>
      </c>
      <c r="E596" s="8" t="s">
        <v>3048</v>
      </c>
      <c r="F596" s="9" t="str">
        <f ca="1">IFERROR(__xludf.DUMMYFUNCTION("""https://streamtape.com/v/""&amp;
REGEXEXTRACT(O596,""/thumb/([^/]+)/"")&amp;
""/""&amp;K596"),"https://streamtape.com/v/vrxaDmK8BjS498Z/71677812")</f>
        <v>https://streamtape.com/v/vrxaDmK8BjS498Z/71677812</v>
      </c>
      <c r="G596" s="10" t="e">
        <f t="shared" ca="1" si="9"/>
        <v>#NAME?</v>
      </c>
      <c r="H596" s="11" t="str">
        <f ca="1">IFERROR(__xludf.DUMMYFUNCTION("IFERROR(SUBSTITUTE(SUBSTITUTE(REGEXEXTRACT(A596, ""[^-]+- [^-]+- [^-]+ - (.+?)\.jpg""), "".jpg"", """"), ""-"", "", ""), """")"),"")</f>
        <v/>
      </c>
      <c r="I596" s="6"/>
      <c r="J596" s="7" t="str">
        <f t="shared" ca="1" si="10"/>
        <v>(2026)</v>
      </c>
      <c r="K596" s="7" t="str">
        <f t="shared" si="11"/>
        <v>71677812</v>
      </c>
      <c r="L596" s="12" t="s">
        <v>3049</v>
      </c>
      <c r="M596" s="13" t="str">
        <f ca="1">IFERROR(__xludf.DUMMYFUNCTION("TRIM(
  REGEXREPLACE(
    TEXTJOIN("" "",
      TRUE,
      B596,
      C596,
      embaralharLinks(E596,F596,G596),
      H596,
      """",
      J596,
      N596,
      ""#RIPNSFW""
    ),
  "",\s*"", "" "")
)"),"{New} Eva Elfie https://doodstream.com/d/jcmhnf2598z7/71677812 https://lulustream.com/d/22k4x4lg3lx7 https://streamtape.com/v/vrxaDmK8BjS498Z/71677812 (2026) #BigTits #Hardcore #Teen #Artporn #Teens #Blowjob #RIPNSFW")</f>
        <v>{New} Eva Elfie https://doodstream.com/d/jcmhnf2598z7/71677812 https://lulustream.com/d/22k4x4lg3lx7 https://streamtape.com/v/vrxaDmK8BjS498Z/71677812 (2026) #BigTits #Hardcore #Teen #Artporn #Teens #Blowjob #RIPNSFW</v>
      </c>
      <c r="N596" s="14" t="s">
        <v>3050</v>
      </c>
      <c r="O596" s="32" t="s">
        <v>3051</v>
      </c>
      <c r="P596" s="14"/>
      <c r="Q596" s="6"/>
      <c r="R596" s="11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>
      <c r="A597" s="12" t="s">
        <v>3052</v>
      </c>
      <c r="B597" s="6" t="s">
        <v>14</v>
      </c>
      <c r="C597" s="7" t="str">
        <f t="shared" si="8"/>
        <v xml:space="preserve">Eva Elfie </v>
      </c>
      <c r="D597" s="24" t="s">
        <v>3053</v>
      </c>
      <c r="E597" s="25" t="s">
        <v>3054</v>
      </c>
      <c r="F597" s="9" t="str">
        <f ca="1">IFERROR(__xludf.DUMMYFUNCTION("""https://streamtape.com/v/""&amp;
REGEXEXTRACT(O597,""/thumb/([^/]+)/"")&amp;
""/""&amp;K597"),"https://streamtape.com/v/JoPmYke6qOtjqwZ/76703582")</f>
        <v>https://streamtape.com/v/JoPmYke6qOtjqwZ/76703582</v>
      </c>
      <c r="G597" s="10" t="e">
        <f t="shared" ca="1" si="9"/>
        <v>#NAME?</v>
      </c>
      <c r="H597" s="11" t="str">
        <f ca="1">IFERROR(__xludf.DUMMYFUNCTION("IFERROR(SUBSTITUTE(SUBSTITUTE(REGEXEXTRACT(A597, ""[^-]+- [^-]+- [^-]+ - (.+?)\.jpg""), "".jpg"", """"), ""-"", "", ""), """")"),"")</f>
        <v/>
      </c>
      <c r="I597" s="6"/>
      <c r="J597" s="7" t="str">
        <f t="shared" ca="1" si="10"/>
        <v>(2026)</v>
      </c>
      <c r="K597" s="7" t="str">
        <f t="shared" si="11"/>
        <v>76703582</v>
      </c>
      <c r="L597" s="12" t="s">
        <v>3023</v>
      </c>
      <c r="M597" s="13" t="str">
        <f ca="1">IFERROR(__xludf.DUMMYFUNCTION("TRIM(
  REGEXREPLACE(
    TEXTJOIN("" "",
      TRUE,
      B597,
      C597,
      embaralharLinks(E597,F597,G597),
      H597,
      """",
      J597,
      N597,
      ""#RIPNSFW""
    ),
  "",\s*"", "" "")
)"),"{New} Eva Elfie https://doodstream.com/d/ybmksr3kfcsw/76703582 https://lulustream.com/d/q4svj2apw8eq https://streamtape.com/v/JoPmYke6qOtjqwZ/76703582 (2026) #teen #blowjob #blonde #bigtits #RIPNSFW")</f>
        <v>{New} Eva Elfie https://doodstream.com/d/ybmksr3kfcsw/76703582 https://lulustream.com/d/q4svj2apw8eq https://streamtape.com/v/JoPmYke6qOtjqwZ/76703582 (2026) #teen #blowjob #blonde #bigtits #RIPNSFW</v>
      </c>
      <c r="N597" s="2" t="s">
        <v>3023</v>
      </c>
      <c r="O597" s="30" t="s">
        <v>3055</v>
      </c>
      <c r="P597" s="26"/>
      <c r="R597" s="23"/>
      <c r="T597" s="6"/>
      <c r="U597" s="7"/>
    </row>
    <row r="598" spans="1:27" ht="12.75">
      <c r="A598" s="12" t="s">
        <v>3056</v>
      </c>
      <c r="B598" s="6" t="s">
        <v>14</v>
      </c>
      <c r="C598" s="7" t="str">
        <f t="shared" si="8"/>
        <v xml:space="preserve">Eva Elfie </v>
      </c>
      <c r="D598" s="27" t="s">
        <v>3057</v>
      </c>
      <c r="E598" s="28" t="s">
        <v>3058</v>
      </c>
      <c r="F598" s="9" t="str">
        <f ca="1">IFERROR(__xludf.DUMMYFUNCTION("""https://streamtape.com/v/""&amp;
REGEXEXTRACT(O598,""/thumb/([^/]+)/"")&amp;
""/""&amp;K598"),"https://streamtape.com/v/06mAjqZOGBsb72b/81379736")</f>
        <v>https://streamtape.com/v/06mAjqZOGBsb72b/81379736</v>
      </c>
      <c r="G598" s="10" t="e">
        <f t="shared" ca="1" si="9"/>
        <v>#NAME?</v>
      </c>
      <c r="H598" s="11" t="str">
        <f ca="1">IFERROR(__xludf.DUMMYFUNCTION("IFERROR(SUBSTITUTE(SUBSTITUTE(REGEXEXTRACT(A598, ""[^-]+- [^-]+- [^-]+ - (.+?)\.jpg""), "".jpg"", """"), ""-"", "", ""), """")"),"")</f>
        <v/>
      </c>
      <c r="I598" s="6"/>
      <c r="J598" s="7" t="str">
        <f t="shared" ca="1" si="10"/>
        <v>(2026)</v>
      </c>
      <c r="K598" s="7" t="str">
        <f t="shared" si="11"/>
        <v>81379736</v>
      </c>
      <c r="L598" s="12" t="s">
        <v>3059</v>
      </c>
      <c r="M598" s="13" t="str">
        <f ca="1">IFERROR(__xludf.DUMMYFUNCTION("TRIM(
  REGEXREPLACE(
    TEXTJOIN("" "",
      TRUE,
      B598,
      C598,
      embaralharLinks(E598,F598,G598),
      H598,
      """",
      J598,
      N598,
      ""#RIPNSFW""
    ),
  "",\s*"", "" "")
)"),"{New} Eva Elfie https://doodstream.com/d/88v6td33g9sj/81379736 https://lulustream.com/d/1b2p3ms2voay https://streamtape.com/v/06mAjqZOGBsb72b/81379736 (2026) #BigTits #Creampie #Hardcore #Teen #RIPNSFW")</f>
        <v>{New} Eva Elfie https://doodstream.com/d/88v6td33g9sj/81379736 https://lulustream.com/d/1b2p3ms2voay https://streamtape.com/v/06mAjqZOGBsb72b/81379736 (2026) #BigTits #Creampie #Hardcore #Teen #RIPNSFW</v>
      </c>
      <c r="N598" s="2" t="s">
        <v>3060</v>
      </c>
      <c r="O598" s="30" t="s">
        <v>3061</v>
      </c>
      <c r="P598" s="26"/>
      <c r="R598" s="23"/>
    </row>
    <row r="599" spans="1:27" ht="12.75">
      <c r="A599" s="6" t="s">
        <v>3062</v>
      </c>
      <c r="B599" s="6" t="s">
        <v>14</v>
      </c>
      <c r="C599" s="7" t="str">
        <f t="shared" si="8"/>
        <v xml:space="preserve">Eva Elfie </v>
      </c>
      <c r="D599" s="6" t="s">
        <v>3063</v>
      </c>
      <c r="E599" s="8" t="s">
        <v>3064</v>
      </c>
      <c r="F599" s="9" t="str">
        <f ca="1">IFERROR(__xludf.DUMMYFUNCTION("""https://streamtape.com/v/""&amp;
REGEXEXTRACT(O599,""/thumb/([^/]+)/"")&amp;
""/""&amp;K599"),"https://streamtape.com/v/JkKLg4pzDmuj1ed/83083274")</f>
        <v>https://streamtape.com/v/JkKLg4pzDmuj1ed/83083274</v>
      </c>
      <c r="G599" s="10" t="e">
        <f t="shared" ca="1" si="9"/>
        <v>#NAME?</v>
      </c>
      <c r="H599" s="11" t="str">
        <f ca="1">IFERROR(__xludf.DUMMYFUNCTION("IFERROR(SUBSTITUTE(SUBSTITUTE(REGEXEXTRACT(A599, ""[^-]+- [^-]+- [^-]+ - (.+?)\.jpg""), "".jpg"", """"), ""-"", "", ""), """")"),"")</f>
        <v/>
      </c>
      <c r="I599" s="6"/>
      <c r="J599" s="7" t="str">
        <f t="shared" ca="1" si="10"/>
        <v>(2026)</v>
      </c>
      <c r="K599" s="7" t="str">
        <f t="shared" si="11"/>
        <v>83083274</v>
      </c>
      <c r="L599" s="12" t="s">
        <v>3065</v>
      </c>
      <c r="M599" s="13" t="str">
        <f ca="1">IFERROR(__xludf.DUMMYFUNCTION("TRIM(
  REGEXREPLACE(
    TEXTJOIN("" "",
      TRUE,
      B599,
      C599,
      embaralharLinks(E599,F599,G599),
      H599,
      """",
      J599,
      N599,
      ""#RIPNSFW""
    ),
  "",\s*"", "" "")
)"),"{New} Eva Elfie https://lulustream.com/d/e4wfj9oayedz https://streamtape.com/v/JkKLg4pzDmuj1ed/83083274 https://doodstream.com/d/6yzldar3j9nd/83083274 (2026) #BigTits #Teen #Teens #Amateur #RIPNSFW")</f>
        <v>{New} Eva Elfie https://lulustream.com/d/e4wfj9oayedz https://streamtape.com/v/JkKLg4pzDmuj1ed/83083274 https://doodstream.com/d/6yzldar3j9nd/83083274 (2026) #BigTits #Teen #Teens #Amateur #RIPNSFW</v>
      </c>
      <c r="N599" s="14" t="s">
        <v>3066</v>
      </c>
      <c r="O599" s="15" t="s">
        <v>3067</v>
      </c>
      <c r="P599" s="14"/>
      <c r="Q599" s="6"/>
      <c r="R599" s="11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>
      <c r="A600" s="12" t="s">
        <v>3068</v>
      </c>
      <c r="B600" s="6" t="s">
        <v>14</v>
      </c>
      <c r="C600" s="7" t="str">
        <f t="shared" si="8"/>
        <v xml:space="preserve">Eva Elfie </v>
      </c>
      <c r="D600" s="24" t="s">
        <v>3069</v>
      </c>
      <c r="E600" s="25" t="s">
        <v>3070</v>
      </c>
      <c r="F600" s="9" t="str">
        <f ca="1">IFERROR(__xludf.DUMMYFUNCTION("""https://streamtape.com/v/""&amp;
REGEXEXTRACT(O600,""/thumb/([^/]+)/"")&amp;
""/""&amp;K600"),"https://streamtape.com/v/1xxyYbO3j6feoyY/85253171")</f>
        <v>https://streamtape.com/v/1xxyYbO3j6feoyY/85253171</v>
      </c>
      <c r="G600" s="10" t="e">
        <f t="shared" ca="1" si="9"/>
        <v>#NAME?</v>
      </c>
      <c r="H600" s="11" t="str">
        <f ca="1">IFERROR(__xludf.DUMMYFUNCTION("IFERROR(SUBSTITUTE(SUBSTITUTE(REGEXEXTRACT(A600, ""[^-]+- [^-]+- [^-]+ - (.+?)\.jpg""), "".jpg"", """"), ""-"", "", ""), """")"),"")</f>
        <v/>
      </c>
      <c r="I600" s="6"/>
      <c r="J600" s="7" t="str">
        <f t="shared" ca="1" si="10"/>
        <v>(2026)</v>
      </c>
      <c r="K600" s="7" t="str">
        <f t="shared" si="11"/>
        <v>85253171</v>
      </c>
      <c r="L600" s="12" t="s">
        <v>2962</v>
      </c>
      <c r="M600" s="13" t="str">
        <f ca="1">IFERROR(__xludf.DUMMYFUNCTION("TRIM(
  REGEXREPLACE(
    TEXTJOIN("" "",
      TRUE,
      B600,
      C600,
      embaralharLinks(E600,F600,G600),
      H600,
      """",
      J600,
      N600,
      ""#RIPNSFW""
    ),
  "",\s*"", "" "")
)"),"{New} Eva Elfie https://doodstream.com/d/yw1v81eqdmvo/85253171 https://lulustream.com/d/3jur9d9iveru https://streamtape.com/v/1xxyYbO3j6feoyY/85253171 (2026) #teen #bigtits #blonde #blowjob #RIPNSFW")</f>
        <v>{New} Eva Elfie https://doodstream.com/d/yw1v81eqdmvo/85253171 https://lulustream.com/d/3jur9d9iveru https://streamtape.com/v/1xxyYbO3j6feoyY/85253171 (2026) #teen #bigtits #blonde #blowjob #RIPNSFW</v>
      </c>
      <c r="N600" s="2" t="s">
        <v>2962</v>
      </c>
      <c r="O600" s="30" t="s">
        <v>3071</v>
      </c>
      <c r="P600" s="26"/>
      <c r="R600" s="23"/>
    </row>
    <row r="601" spans="1:27" ht="12.75">
      <c r="A601" s="12" t="s">
        <v>3072</v>
      </c>
      <c r="B601" s="6" t="s">
        <v>14</v>
      </c>
      <c r="C601" s="7" t="str">
        <f t="shared" si="8"/>
        <v xml:space="preserve">Eva Elfie </v>
      </c>
      <c r="D601" s="24" t="s">
        <v>3073</v>
      </c>
      <c r="E601" s="25" t="s">
        <v>3074</v>
      </c>
      <c r="F601" s="9" t="str">
        <f ca="1">IFERROR(__xludf.DUMMYFUNCTION("""https://streamtape.com/v/""&amp;
REGEXEXTRACT(O601,""/thumb/([^/]+)/"")&amp;
""/""&amp;K601"),"https://streamtape.com/v/8KRDlXO4j7Howjl/87988491")</f>
        <v>https://streamtape.com/v/8KRDlXO4j7Howjl/87988491</v>
      </c>
      <c r="G601" s="10" t="e">
        <f t="shared" ca="1" si="9"/>
        <v>#NAME?</v>
      </c>
      <c r="H601" s="11" t="str">
        <f ca="1">IFERROR(__xludf.DUMMYFUNCTION("IFERROR(SUBSTITUTE(SUBSTITUTE(REGEXEXTRACT(A601, ""[^-]+- [^-]+- [^-]+ - (.+?)\.jpg""), "".jpg"", """"), ""-"", "", ""), """")"),"")</f>
        <v/>
      </c>
      <c r="I601" s="6"/>
      <c r="J601" s="7" t="str">
        <f t="shared" ca="1" si="10"/>
        <v>(2026)</v>
      </c>
      <c r="K601" s="7" t="str">
        <f t="shared" si="11"/>
        <v>87988491</v>
      </c>
      <c r="L601" s="12" t="s">
        <v>3075</v>
      </c>
      <c r="M601" s="13" t="str">
        <f ca="1">IFERROR(__xludf.DUMMYFUNCTION("TRIM(
  REGEXREPLACE(
    TEXTJOIN("" "",
      TRUE,
      B601,
      C601,
      embaralharLinks(E601,F601,G601),
      H601,
      """",
      J601,
      N601,
      ""#RIPNSFW""
    ),
  "",\s*"", "" "")
)"),"{New} Eva Elfie https://doodstream.com/d/5qr98hhftg2o/87988491 https://lulustream.com/d/u6pph05yxdet https://streamtape.com/v/8KRDlXO4j7Howjl/87988491 (2026) #BigTits #Hardcore #Teen #Roleplay #RIPNSFW")</f>
        <v>{New} Eva Elfie https://doodstream.com/d/5qr98hhftg2o/87988491 https://lulustream.com/d/u6pph05yxdet https://streamtape.com/v/8KRDlXO4j7Howjl/87988491 (2026) #BigTits #Hardcore #Teen #Roleplay #RIPNSFW</v>
      </c>
      <c r="N601" s="2" t="s">
        <v>3076</v>
      </c>
      <c r="O601" s="30" t="s">
        <v>3077</v>
      </c>
      <c r="P601" s="26"/>
      <c r="R601" s="23"/>
    </row>
    <row r="602" spans="1:27" ht="12.75">
      <c r="A602" s="12" t="s">
        <v>3078</v>
      </c>
      <c r="B602" s="6" t="s">
        <v>14</v>
      </c>
      <c r="C602" s="7" t="str">
        <f t="shared" si="8"/>
        <v xml:space="preserve">Eva Elfie </v>
      </c>
      <c r="D602" s="27" t="s">
        <v>3079</v>
      </c>
      <c r="E602" s="28" t="s">
        <v>3080</v>
      </c>
      <c r="F602" s="9" t="str">
        <f ca="1">IFERROR(__xludf.DUMMYFUNCTION("""https://streamtape.com/v/""&amp;
REGEXEXTRACT(O602,""/thumb/([^/]+)/"")&amp;
""/""&amp;K602"),"https://streamtape.com/v/6jJrbowZ6VF9z7P/91672213")</f>
        <v>https://streamtape.com/v/6jJrbowZ6VF9z7P/91672213</v>
      </c>
      <c r="G602" s="10" t="e">
        <f t="shared" ca="1" si="9"/>
        <v>#NAME?</v>
      </c>
      <c r="H602" s="11" t="str">
        <f ca="1">IFERROR(__xludf.DUMMYFUNCTION("IFERROR(SUBSTITUTE(SUBSTITUTE(REGEXEXTRACT(A602, ""[^-]+- [^-]+- [^-]+ - (.+?)\.jpg""), "".jpg"", """"), ""-"", "", ""), """")"),"")</f>
        <v/>
      </c>
      <c r="I602" s="6"/>
      <c r="J602" s="7" t="str">
        <f t="shared" ca="1" si="10"/>
        <v>(2026)</v>
      </c>
      <c r="K602" s="7" t="str">
        <f t="shared" si="11"/>
        <v>91672213</v>
      </c>
      <c r="L602" s="12" t="s">
        <v>710</v>
      </c>
      <c r="M602" s="13" t="str">
        <f ca="1">IFERROR(__xludf.DUMMYFUNCTION("TRIM(
  REGEXREPLACE(
    TEXTJOIN("" "",
      TRUE,
      B602,
      C602,
      embaralharLinks(E602,F602,G602),
      H602,
      """",
      J602,
      N602,
      ""#RIPNSFW""
    ),
  "",\s*"", "" "")
)"),"{New} Eva Elfie https://streamtape.com/v/6jJrbowZ6VF9z7P/91672213 https://lulustream.com/d/77ucbn34pii7 https://doodstream.com/d/a5ct2kadwa4e/91672213 (2026) #BigTits #Hardcore #Teen #Blowjob #RIPNSFW")</f>
        <v>{New} Eva Elfie https://streamtape.com/v/6jJrbowZ6VF9z7P/91672213 https://lulustream.com/d/77ucbn34pii7 https://doodstream.com/d/a5ct2kadwa4e/91672213 (2026) #BigTits #Hardcore #Teen #Blowjob #RIPNSFW</v>
      </c>
      <c r="N602" s="2" t="s">
        <v>711</v>
      </c>
      <c r="O602" s="30" t="s">
        <v>3081</v>
      </c>
      <c r="P602" s="26"/>
      <c r="R602" s="23"/>
    </row>
    <row r="603" spans="1:27" ht="12.75">
      <c r="A603" s="12" t="s">
        <v>3082</v>
      </c>
      <c r="B603" s="6" t="s">
        <v>14</v>
      </c>
      <c r="C603" s="7" t="str">
        <f t="shared" si="8"/>
        <v xml:space="preserve">Eva Elfie </v>
      </c>
      <c r="D603" s="24" t="s">
        <v>3083</v>
      </c>
      <c r="E603" s="25" t="s">
        <v>3084</v>
      </c>
      <c r="F603" s="9" t="str">
        <f ca="1">IFERROR(__xludf.DUMMYFUNCTION("""https://streamtape.com/v/""&amp;
REGEXEXTRACT(O603,""/thumb/([^/]+)/"")&amp;
""/""&amp;K603"),"https://streamtape.com/v/8PQwRrzA7lC437/93618535")</f>
        <v>https://streamtape.com/v/8PQwRrzA7lC437/93618535</v>
      </c>
      <c r="G603" s="10" t="e">
        <f t="shared" ca="1" si="9"/>
        <v>#NAME?</v>
      </c>
      <c r="H603" s="11" t="str">
        <f ca="1">IFERROR(__xludf.DUMMYFUNCTION("IFERROR(SUBSTITUTE(SUBSTITUTE(REGEXEXTRACT(A603, ""[^-]+- [^-]+- [^-]+ - (.+?)\.jpg""), "".jpg"", """"), ""-"", "", ""), """")"),"")</f>
        <v/>
      </c>
      <c r="I603" s="6"/>
      <c r="J603" s="7" t="str">
        <f t="shared" ca="1" si="10"/>
        <v>(2026)</v>
      </c>
      <c r="K603" s="7" t="str">
        <f t="shared" si="11"/>
        <v>93618535</v>
      </c>
      <c r="L603" s="12" t="s">
        <v>1976</v>
      </c>
      <c r="M603" s="13" t="str">
        <f ca="1">IFERROR(__xludf.DUMMYFUNCTION("TRIM(
  REGEXREPLACE(
    TEXTJOIN("" "",
      TRUE,
      B603,
      C603,
      embaralharLinks(E603,F603,G603),
      H603,
      """",
      J603,
      N603,
      ""#RIPNSFW""
    ),
  "",\s*"", "" "")
)"),"{New} Eva Elfie https://lulustream.com/d/gvio1909wrru https://streamtape.com/v/8PQwRrzA7lC437/93618535 https://doodstream.com/d/un9f9k9ubcps/93618535 (2026) #anal #teen #bigtits #blowjob #RIPNSFW")</f>
        <v>{New} Eva Elfie https://lulustream.com/d/gvio1909wrru https://streamtape.com/v/8PQwRrzA7lC437/93618535 https://doodstream.com/d/un9f9k9ubcps/93618535 (2026) #anal #teen #bigtits #blowjob #RIPNSFW</v>
      </c>
      <c r="N603" s="2" t="s">
        <v>1976</v>
      </c>
      <c r="O603" s="30" t="s">
        <v>3085</v>
      </c>
      <c r="P603" s="26"/>
      <c r="R603" s="23"/>
    </row>
    <row r="604" spans="1:27" ht="12.75">
      <c r="A604" s="12" t="s">
        <v>3086</v>
      </c>
      <c r="B604" s="6" t="s">
        <v>14</v>
      </c>
      <c r="C604" s="7" t="str">
        <f t="shared" si="8"/>
        <v xml:space="preserve">Eva Elfie </v>
      </c>
      <c r="D604" s="27" t="s">
        <v>3087</v>
      </c>
      <c r="E604" s="28" t="s">
        <v>3088</v>
      </c>
      <c r="F604" s="9" t="str">
        <f ca="1">IFERROR(__xludf.DUMMYFUNCTION("""https://streamtape.com/v/""&amp;
REGEXEXTRACT(O604,""/thumb/([^/]+)/"")&amp;
""/""&amp;K604"),"https://streamtape.com/v/8VZVk26QvdCoaVV/97760224")</f>
        <v>https://streamtape.com/v/8VZVk26QvdCoaVV/97760224</v>
      </c>
      <c r="G604" s="10" t="e">
        <f t="shared" ca="1" si="9"/>
        <v>#NAME?</v>
      </c>
      <c r="H604" s="11" t="str">
        <f ca="1">IFERROR(__xludf.DUMMYFUNCTION("IFERROR(SUBSTITUTE(SUBSTITUTE(REGEXEXTRACT(A604, ""[^-]+- [^-]+- [^-]+ - (.+?)\.jpg""), "".jpg"", """"), ""-"", "", ""), """")"),"")</f>
        <v/>
      </c>
      <c r="I604" s="6"/>
      <c r="J604" s="7" t="str">
        <f t="shared" ca="1" si="10"/>
        <v>(2026)</v>
      </c>
      <c r="K604" s="7" t="str">
        <f t="shared" si="11"/>
        <v>97760224</v>
      </c>
      <c r="L604" s="12" t="s">
        <v>710</v>
      </c>
      <c r="M604" s="13" t="str">
        <f ca="1">IFERROR(__xludf.DUMMYFUNCTION("TRIM(
  REGEXREPLACE(
    TEXTJOIN("" "",
      TRUE,
      B604,
      C604,
      embaralharLinks(E604,F604,G604),
      H604,
      """",
      J604,
      N604,
      ""#RIPNSFW""
    ),
  "",\s*"", "" "")
)"),"{New} Eva Elfie https://streamtape.com/v/8VZVk26QvdCoaVV/97760224 https://doodstream.com/d/hh5by62vaqs3/97760224 https://lulustream.com/d/349p4kxoqbo0 (2026) #BigTits #Hardcore #Teen #Blowjob #RIPNSFW")</f>
        <v>{New} Eva Elfie https://streamtape.com/v/8VZVk26QvdCoaVV/97760224 https://doodstream.com/d/hh5by62vaqs3/97760224 https://lulustream.com/d/349p4kxoqbo0 (2026) #BigTits #Hardcore #Teen #Blowjob #RIPNSFW</v>
      </c>
      <c r="N604" s="2" t="s">
        <v>711</v>
      </c>
      <c r="O604" s="30" t="s">
        <v>3089</v>
      </c>
      <c r="P604" s="26"/>
      <c r="R604" s="23"/>
    </row>
    <row r="605" spans="1:27" ht="12.75">
      <c r="A605" s="16" t="s">
        <v>3090</v>
      </c>
      <c r="B605" s="11" t="s">
        <v>14</v>
      </c>
      <c r="C605" s="13" t="str">
        <f t="shared" si="8"/>
        <v xml:space="preserve">Eva Elfie </v>
      </c>
      <c r="D605" s="17" t="s">
        <v>3091</v>
      </c>
      <c r="E605" s="18" t="s">
        <v>3092</v>
      </c>
      <c r="F605" s="9" t="str">
        <f ca="1">IFERROR(__xludf.DUMMYFUNCTION("""https://streamtape.com/v/""&amp;
REGEXEXTRACT(O605,""/thumb/([^/]+)/"")&amp;
""/""&amp;K605"),"https://streamtape.com/v/ZxY31epdgQFqDrp/99259850")</f>
        <v>https://streamtape.com/v/ZxY31epdgQFqDrp/99259850</v>
      </c>
      <c r="G605" s="10" t="e">
        <f t="shared" ca="1" si="9"/>
        <v>#NAME?</v>
      </c>
      <c r="H605" s="11" t="str">
        <f ca="1">IFERROR(__xludf.DUMMYFUNCTION("IFERROR(SUBSTITUTE(SUBSTITUTE(REGEXEXTRACT(A605, ""[^-]+- [^-]+- [^-]+ - (.+?)\.jpg""), "".jpg"", """"), ""-"", "", ""), """")"),"")</f>
        <v/>
      </c>
      <c r="I605" s="11"/>
      <c r="J605" s="13" t="str">
        <f t="shared" ca="1" si="10"/>
        <v>(2026)</v>
      </c>
      <c r="K605" s="13" t="str">
        <f t="shared" si="11"/>
        <v>99259850</v>
      </c>
      <c r="L605" s="12" t="s">
        <v>3003</v>
      </c>
      <c r="M605" s="13" t="str">
        <f ca="1">IFERROR(__xludf.DUMMYFUNCTION("TRIM(
  REGEXREPLACE(
    TEXTJOIN("" "",
      TRUE,
      B605,
      C605,
      embaralharLinks(E605,F605,G605),
      H605,
      """",
      J605,
      N605,
      ""#RIPNSFW""
    ),
  "",\s*"", "" "")
)"),"{New} Eva Elfie https://streamtape.com/v/ZxY31epdgQFqDrp/99259850 https://lulustream.com/d/fytv1vavn5au https://doodstream.com/d/n1imyfx0rke8/99259850 (2026) #teen #blowjob #bigtits #blonde #RIPNSFW")</f>
        <v>{New} Eva Elfie https://streamtape.com/v/ZxY31epdgQFqDrp/99259850 https://lulustream.com/d/fytv1vavn5au https://doodstream.com/d/n1imyfx0rke8/99259850 (2026) #teen #blowjob #bigtits #blonde #RIPNSFW</v>
      </c>
      <c r="N605" s="20" t="s">
        <v>3003</v>
      </c>
      <c r="O605" s="30" t="s">
        <v>3093</v>
      </c>
      <c r="P605" s="26"/>
      <c r="Q605" s="16"/>
      <c r="R605" s="23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75">
      <c r="A606" s="12" t="s">
        <v>3094</v>
      </c>
      <c r="B606" s="6" t="s">
        <v>14</v>
      </c>
      <c r="C606" s="7" t="str">
        <f t="shared" si="8"/>
        <v xml:space="preserve">Eva Nyx </v>
      </c>
      <c r="D606" s="24" t="s">
        <v>3095</v>
      </c>
      <c r="E606" s="25" t="s">
        <v>3096</v>
      </c>
      <c r="F606" s="9" t="str">
        <f ca="1">IFERROR(__xludf.DUMMYFUNCTION("""https://streamtape.com/v/""&amp;
REGEXEXTRACT(O606,""/thumb/([^/]+)/"")&amp;
""/""&amp;K606"),"https://streamtape.com/v/Lykm2rovqAU64O/70048649")</f>
        <v>https://streamtape.com/v/Lykm2rovqAU64O/70048649</v>
      </c>
      <c r="G606" s="10" t="e">
        <f t="shared" ca="1" si="9"/>
        <v>#NAME?</v>
      </c>
      <c r="H606" s="11" t="str">
        <f ca="1">IFERROR(__xludf.DUMMYFUNCTION("IFERROR(SUBSTITUTE(SUBSTITUTE(REGEXEXTRACT(A606, ""[^-]+- [^-]+- [^-]+ - (.+?)\.jpg""), "".jpg"", """"), ""-"", "", ""), """")"),"")</f>
        <v/>
      </c>
      <c r="I606" s="6"/>
      <c r="J606" s="7" t="str">
        <f t="shared" ca="1" si="10"/>
        <v>(2026)</v>
      </c>
      <c r="K606" s="7" t="str">
        <f t="shared" si="11"/>
        <v>70048649</v>
      </c>
      <c r="L606" s="12" t="s">
        <v>3097</v>
      </c>
      <c r="M606" s="13" t="str">
        <f ca="1">IFERROR(__xludf.DUMMYFUNCTION("TRIM(
  REGEXREPLACE(
    TEXTJOIN("" "",
      TRUE,
      B606,
      C606,
      embaralharLinks(E606,F606,G606),
      H606,
      """",
      J606,
      N606,
      ""#RIPNSFW""
    ),
  "",\s*"", "" "")
)"),"{New} Eva Nyx https://doodstream.com/d/5v2o1xm1tj94/70048649 https://streamtape.com/v/Lykm2rovqAU64O/70048649 https://lulustream.com/d/yprr9sdvzo2u (2026) #blowjob #blonde #teen #amateur #RIPNSFW")</f>
        <v>{New} Eva Nyx https://doodstream.com/d/5v2o1xm1tj94/70048649 https://streamtape.com/v/Lykm2rovqAU64O/70048649 https://lulustream.com/d/yprr9sdvzo2u (2026) #blowjob #blonde #teen #amateur #RIPNSFW</v>
      </c>
      <c r="N606" s="2" t="s">
        <v>3097</v>
      </c>
      <c r="O606" s="30" t="s">
        <v>3098</v>
      </c>
      <c r="P606" s="26"/>
      <c r="R606" s="23"/>
    </row>
    <row r="607" spans="1:27" ht="12.75">
      <c r="A607" s="6" t="s">
        <v>3099</v>
      </c>
      <c r="B607" s="6" t="s">
        <v>14</v>
      </c>
      <c r="C607" s="7" t="str">
        <f t="shared" si="8"/>
        <v xml:space="preserve">Eva Nyx </v>
      </c>
      <c r="D607" s="29" t="s">
        <v>3100</v>
      </c>
      <c r="E607" s="8" t="s">
        <v>3101</v>
      </c>
      <c r="F607" s="9" t="str">
        <f ca="1">IFERROR(__xludf.DUMMYFUNCTION("""https://streamtape.com/v/""&amp;
REGEXEXTRACT(O607,""/thumb/([^/]+)/"")&amp;
""/""&amp;K607"),"https://streamtape.com/v/KQwAezGlv2hgMv/86406160")</f>
        <v>https://streamtape.com/v/KQwAezGlv2hgMv/86406160</v>
      </c>
      <c r="G607" s="10" t="e">
        <f t="shared" ca="1" si="9"/>
        <v>#NAME?</v>
      </c>
      <c r="H607" s="11" t="str">
        <f ca="1">IFERROR(__xludf.DUMMYFUNCTION("IFERROR(SUBSTITUTE(SUBSTITUTE(REGEXEXTRACT(A607, ""[^-]+- [^-]+- [^-]+ - (.+?)\.jpg""), "".jpg"", """"), ""-"", "", ""), """")"),"Charlie Forde")</f>
        <v>Charlie Forde</v>
      </c>
      <c r="I607" s="6"/>
      <c r="J607" s="7" t="str">
        <f t="shared" ca="1" si="10"/>
        <v>(2026)</v>
      </c>
      <c r="K607" s="7" t="str">
        <f t="shared" si="11"/>
        <v>86406160</v>
      </c>
      <c r="L607" s="12" t="s">
        <v>3102</v>
      </c>
      <c r="M607" s="13" t="str">
        <f ca="1">IFERROR(__xludf.DUMMYFUNCTION("TRIM(
  REGEXREPLACE(
    TEXTJOIN("" "",
      TRUE,
      B607,
      C607,
      embaralharLinks(E607,F607,G607),
      H607,
      """",
      J607,
      N607,
      ""#RIPNSFW""
    ),
  "",\s*"", "" "")
)"),"{New} Eva Nyx https://lulustream.com/d/ya75oijb484w https://doodstream.com/d/7x4liel1jfxp/86406160 https://streamtape.com/v/KQwAezGlv2hgMv/86406160 Charlie Forde (2026) #BigTits #Hardcore #Bigass #Porn #Teen #Roleplay #Teens #Blowjob #Deepthroat #Blonde #"&amp;"RIPNSFW")</f>
        <v>{New} Eva Nyx https://lulustream.com/d/ya75oijb484w https://doodstream.com/d/7x4liel1jfxp/86406160 https://streamtape.com/v/KQwAezGlv2hgMv/86406160 Charlie Forde (2026) #BigTits #Hardcore #Bigass #Porn #Teen #Roleplay #Teens #Blowjob #Deepthroat #Blonde #RIPNSFW</v>
      </c>
      <c r="N607" s="14" t="s">
        <v>3103</v>
      </c>
      <c r="O607" s="32" t="s">
        <v>3104</v>
      </c>
      <c r="P607" s="14"/>
      <c r="Q607" s="6"/>
      <c r="R607" s="11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>
      <c r="A608" s="6" t="s">
        <v>3105</v>
      </c>
      <c r="B608" s="6" t="s">
        <v>14</v>
      </c>
      <c r="C608" s="7" t="str">
        <f t="shared" si="8"/>
        <v xml:space="preserve">Gabbie Carter </v>
      </c>
      <c r="D608" s="29" t="s">
        <v>3106</v>
      </c>
      <c r="E608" s="8" t="s">
        <v>3107</v>
      </c>
      <c r="F608" s="9" t="str">
        <f ca="1">IFERROR(__xludf.DUMMYFUNCTION("""https://streamtape.com/v/""&amp;
REGEXEXTRACT(O608,""/thumb/([^/]+)/"")&amp;
""/""&amp;K608"),"https://streamtape.com/v/rgOZBbxrV6cbrML/11937242")</f>
        <v>https://streamtape.com/v/rgOZBbxrV6cbrML/11937242</v>
      </c>
      <c r="G608" s="10" t="e">
        <f t="shared" ca="1" si="9"/>
        <v>#NAME?</v>
      </c>
      <c r="H608" s="11" t="str">
        <f ca="1">IFERROR(__xludf.DUMMYFUNCTION("IFERROR(SUBSTITUTE(SUBSTITUTE(REGEXEXTRACT(A608, ""[^-]+- [^-]+- [^-]+ - (.+?)\.jpg""), "".jpg"", """"), ""-"", "", ""), """")"),"")</f>
        <v/>
      </c>
      <c r="I608" s="6"/>
      <c r="J608" s="7" t="str">
        <f t="shared" ca="1" si="10"/>
        <v>(2026)</v>
      </c>
      <c r="K608" s="7" t="str">
        <f t="shared" si="11"/>
        <v>11937242</v>
      </c>
      <c r="L608" s="12" t="s">
        <v>3108</v>
      </c>
      <c r="M608" s="13" t="str">
        <f ca="1">IFERROR(__xludf.DUMMYFUNCTION("TRIM(
  REGEXREPLACE(
    TEXTJOIN("" "",
      TRUE,
      B608,
      C608,
      embaralharLinks(E608,F608,G608),
      H608,
      """",
      J608,
      N608,
      ""#RIPNSFW""
    ),
  "",\s*"", "" "")
)"),"{New} Gabbie Carter https://lulustream.com/d/tfvrnmfl8s38 https://doodstream.com/d/0nzcmmf48qlk/11937242 https://streamtape.com/v/rgOZBbxrV6cbrML/11937242 (2026) #MILF #BigTits #Creampie #Hardcore #Artporn #Stepmom #Blowjob #Amateur #Hotwife #RIPNSFW")</f>
        <v>{New} Gabbie Carter https://lulustream.com/d/tfvrnmfl8s38 https://doodstream.com/d/0nzcmmf48qlk/11937242 https://streamtape.com/v/rgOZBbxrV6cbrML/11937242 (2026) #MILF #BigTits #Creampie #Hardcore #Artporn #Stepmom #Blowjob #Amateur #Hotwife #RIPNSFW</v>
      </c>
      <c r="N608" s="14" t="s">
        <v>3109</v>
      </c>
      <c r="O608" s="32" t="s">
        <v>3110</v>
      </c>
      <c r="P608" s="14"/>
      <c r="Q608" s="6"/>
      <c r="R608" s="11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>
      <c r="A609" s="6" t="s">
        <v>3111</v>
      </c>
      <c r="B609" s="6" t="s">
        <v>14</v>
      </c>
      <c r="C609" s="7" t="str">
        <f t="shared" si="8"/>
        <v xml:space="preserve">Gabbie Carter </v>
      </c>
      <c r="D609" s="6" t="s">
        <v>3112</v>
      </c>
      <c r="E609" s="8" t="s">
        <v>3113</v>
      </c>
      <c r="F609" s="9" t="str">
        <f ca="1">IFERROR(__xludf.DUMMYFUNCTION("""https://streamtape.com/v/""&amp;
REGEXEXTRACT(O609,""/thumb/([^/]+)/"")&amp;
""/""&amp;K609"),"https://streamtape.com/v/O4vkxZo0dgSG1Z/14177864")</f>
        <v>https://streamtape.com/v/O4vkxZo0dgSG1Z/14177864</v>
      </c>
      <c r="G609" s="10" t="e">
        <f t="shared" ca="1" si="9"/>
        <v>#NAME?</v>
      </c>
      <c r="H609" s="11" t="str">
        <f ca="1">IFERROR(__xludf.DUMMYFUNCTION("IFERROR(SUBSTITUTE(SUBSTITUTE(REGEXEXTRACT(A609, ""[^-]+- [^-]+- [^-]+ - (.+?)\.jpg""), "".jpg"", """"), ""-"", "", ""), """")"),"Little Caprice")</f>
        <v>Little Caprice</v>
      </c>
      <c r="I609" s="6"/>
      <c r="J609" s="7" t="str">
        <f t="shared" ca="1" si="10"/>
        <v>(2026)</v>
      </c>
      <c r="K609" s="7" t="str">
        <f t="shared" si="11"/>
        <v>14177864</v>
      </c>
      <c r="L609" s="12" t="s">
        <v>3114</v>
      </c>
      <c r="M609" s="13" t="str">
        <f ca="1">IFERROR(__xludf.DUMMYFUNCTION("TRIM(
  REGEXREPLACE(
    TEXTJOIN("" "",
      TRUE,
      B609,
      C609,
      embaralharLinks(E609,F609,G609),
      H609,
      """",
      J609,
      N609,
      ""#RIPNSFW""
    ),
  "",\s*"", "" "")
)"),"{New} Gabbie Carter https://streamtape.com/v/O4vkxZo0dgSG1Z/14177864 https://doodstream.com/d/zmhvqow4gajc/14177864 https://lulustream.com/d/cgh7l6v22b62 Little Caprice (2026) #BigTits #Hardcore #Porn #Teen #Teens #RIPNSFW")</f>
        <v>{New} Gabbie Carter https://streamtape.com/v/O4vkxZo0dgSG1Z/14177864 https://doodstream.com/d/zmhvqow4gajc/14177864 https://lulustream.com/d/cgh7l6v22b62 Little Caprice (2026) #BigTits #Hardcore #Porn #Teen #Teens #RIPNSFW</v>
      </c>
      <c r="N609" s="14" t="s">
        <v>3115</v>
      </c>
      <c r="O609" s="15" t="s">
        <v>3116</v>
      </c>
      <c r="P609" s="14"/>
      <c r="Q609" s="6"/>
      <c r="R609" s="11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>
      <c r="A610" s="6" t="s">
        <v>3117</v>
      </c>
      <c r="B610" s="6" t="s">
        <v>14</v>
      </c>
      <c r="C610" s="7" t="str">
        <f t="shared" si="8"/>
        <v xml:space="preserve">Gabbie Carter </v>
      </c>
      <c r="D610" s="24" t="s">
        <v>3118</v>
      </c>
      <c r="E610" s="25" t="s">
        <v>3119</v>
      </c>
      <c r="F610" s="9" t="str">
        <f ca="1">IFERROR(__xludf.DUMMYFUNCTION("""https://streamtape.com/v/""&amp;
REGEXEXTRACT(O610,""/thumb/([^/]+)/"")&amp;
""/""&amp;K610"),"https://streamtape.com/v/8Ovx63O4kJUX63/16143215")</f>
        <v>https://streamtape.com/v/8Ovx63O4kJUX63/16143215</v>
      </c>
      <c r="G610" s="10" t="e">
        <f t="shared" ca="1" si="9"/>
        <v>#NAME?</v>
      </c>
      <c r="H610" s="11" t="str">
        <f ca="1">IFERROR(__xludf.DUMMYFUNCTION("IFERROR(SUBSTITUTE(SUBSTITUTE(REGEXEXTRACT(A610, ""[^-]+- [^-]+- [^-]+ - (.+?)\.jpg""), "".jpg"", """"), ""-"", "", ""), """")"),"")</f>
        <v/>
      </c>
      <c r="I610" s="6"/>
      <c r="J610" s="7" t="str">
        <f t="shared" ca="1" si="10"/>
        <v>(2026)</v>
      </c>
      <c r="K610" s="7" t="str">
        <f t="shared" si="11"/>
        <v>16143215</v>
      </c>
      <c r="L610" s="12" t="s">
        <v>3120</v>
      </c>
      <c r="M610" s="13" t="str">
        <f ca="1">IFERROR(__xludf.DUMMYFUNCTION("TRIM(
  REGEXREPLACE(
    TEXTJOIN("" "",
      TRUE,
      B610,
      C610,
      embaralharLinks(E610,F610,G610),
      H610,
      """",
      J610,
      N610,
      ""#RIPNSFW""
    ),
  "",\s*"", "" "")
)"),"{New} Gabbie Carter https://doodstream.com/d/zhwffdmdbgzz/16143215 https://streamtape.com/v/8Ovx63O4kJUX63/16143215 https://lulustream.com/d/5bz8tisyzja1 (2026) #milf #blowjob #bigtits #blonde #RIPNSFW")</f>
        <v>{New} Gabbie Carter https://doodstream.com/d/zhwffdmdbgzz/16143215 https://streamtape.com/v/8Ovx63O4kJUX63/16143215 https://lulustream.com/d/5bz8tisyzja1 (2026) #milf #blowjob #bigtits #blonde #RIPNSFW</v>
      </c>
      <c r="N610" s="31" t="s">
        <v>3120</v>
      </c>
      <c r="O610" s="32" t="s">
        <v>3121</v>
      </c>
      <c r="P610" s="26"/>
      <c r="Q610" s="6"/>
      <c r="R610" s="23"/>
      <c r="S610" s="6"/>
      <c r="V610" s="6"/>
      <c r="X610" s="6"/>
      <c r="Y610" s="6"/>
      <c r="Z610" s="6"/>
      <c r="AA610" s="6"/>
    </row>
    <row r="611" spans="1:27" ht="12.75">
      <c r="A611" s="6" t="s">
        <v>3122</v>
      </c>
      <c r="B611" s="6" t="s">
        <v>14</v>
      </c>
      <c r="C611" s="7" t="str">
        <f t="shared" si="8"/>
        <v xml:space="preserve">Gabbie Carter </v>
      </c>
      <c r="D611" s="24" t="s">
        <v>3123</v>
      </c>
      <c r="E611" s="25" t="s">
        <v>3124</v>
      </c>
      <c r="F611" s="9" t="str">
        <f ca="1">IFERROR(__xludf.DUMMYFUNCTION("""https://streamtape.com/v/""&amp;
REGEXEXTRACT(O611,""/thumb/([^/]+)/"")&amp;
""/""&amp;K611"),"https://streamtape.com/v/MqD4zGMjvoiDy8/20538793")</f>
        <v>https://streamtape.com/v/MqD4zGMjvoiDy8/20538793</v>
      </c>
      <c r="G611" s="10" t="e">
        <f t="shared" ca="1" si="9"/>
        <v>#NAME?</v>
      </c>
      <c r="H611" s="11" t="str">
        <f ca="1">IFERROR(__xludf.DUMMYFUNCTION("IFERROR(SUBSTITUTE(SUBSTITUTE(REGEXEXTRACT(A611, ""[^-]+- [^-]+- [^-]+ - (.+?)\.jpg""), "".jpg"", """"), ""-"", "", ""), """")"),"")</f>
        <v/>
      </c>
      <c r="I611" s="6"/>
      <c r="J611" s="7" t="str">
        <f t="shared" ca="1" si="10"/>
        <v>(2026)</v>
      </c>
      <c r="K611" s="7" t="str">
        <f t="shared" si="11"/>
        <v>20538793</v>
      </c>
      <c r="L611" s="12" t="s">
        <v>3125</v>
      </c>
      <c r="M611" s="13" t="str">
        <f ca="1">IFERROR(__xludf.DUMMYFUNCTION("TRIM(
  REGEXREPLACE(
    TEXTJOIN("" "",
      TRUE,
      B611,
      C611,
      embaralharLinks(E611,F611,G611),
      H611,
      """",
      J611,
      N611,
      ""#RIPNSFW""
    ),
  "",\s*"", "" "")
)"),"{New} Gabbie Carter https://doodstream.com/d/fxtpijqu3ifu/20538793 https://streamtape.com/v/MqD4zGMjvoiDy8/20538793 https://lulustream.com/d/zzr5r4acrakr (2026) #milf #bigtits #handjob #blonde #RIPNSFW")</f>
        <v>{New} Gabbie Carter https://doodstream.com/d/fxtpijqu3ifu/20538793 https://streamtape.com/v/MqD4zGMjvoiDy8/20538793 https://lulustream.com/d/zzr5r4acrakr (2026) #milf #bigtits #handjob #blonde #RIPNSFW</v>
      </c>
      <c r="N611" s="31" t="s">
        <v>3125</v>
      </c>
      <c r="O611" s="32" t="s">
        <v>3126</v>
      </c>
      <c r="P611" s="26"/>
      <c r="Q611" s="6"/>
      <c r="R611" s="11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>
      <c r="A612" s="12" t="s">
        <v>3127</v>
      </c>
      <c r="B612" s="6" t="s">
        <v>14</v>
      </c>
      <c r="C612" s="7" t="str">
        <f t="shared" si="8"/>
        <v xml:space="preserve">Gabbie Carter </v>
      </c>
      <c r="D612" s="24" t="s">
        <v>3128</v>
      </c>
      <c r="E612" s="25" t="s">
        <v>3129</v>
      </c>
      <c r="F612" s="9" t="str">
        <f ca="1">IFERROR(__xludf.DUMMYFUNCTION("""https://streamtape.com/v/""&amp;
REGEXEXTRACT(O612,""/thumb/([^/]+)/"")&amp;
""/""&amp;K612"),"https://streamtape.com/v/1aVbWjzQLPf1z2/22251371")</f>
        <v>https://streamtape.com/v/1aVbWjzQLPf1z2/22251371</v>
      </c>
      <c r="G612" s="10" t="e">
        <f t="shared" ca="1" si="9"/>
        <v>#NAME?</v>
      </c>
      <c r="H612" s="11" t="str">
        <f ca="1">IFERROR(__xludf.DUMMYFUNCTION("IFERROR(SUBSTITUTE(SUBSTITUTE(REGEXEXTRACT(A612, ""[^-]+- [^-]+- [^-]+ - (.+?)\.jpg""), "".jpg"", """"), ""-"", "", ""), """")"),"")</f>
        <v/>
      </c>
      <c r="I612" s="6"/>
      <c r="J612" s="7" t="str">
        <f t="shared" ca="1" si="10"/>
        <v>(2026)</v>
      </c>
      <c r="K612" s="7" t="str">
        <f t="shared" si="11"/>
        <v>22251371</v>
      </c>
      <c r="L612" s="12" t="s">
        <v>3130</v>
      </c>
      <c r="M612" s="13" t="str">
        <f ca="1">IFERROR(__xludf.DUMMYFUNCTION("TRIM(
  REGEXREPLACE(
    TEXTJOIN("" "",
      TRUE,
      B612,
      C612,
      embaralharLinks(E612,F612,G612),
      H612,
      """",
      J612,
      N612,
      ""#RIPNSFW""
    ),
  "",\s*"", "" "")
)"),"{New} Gabbie Carter https://doodstream.com/d/2oeetb7483tk/22251371 https://streamtape.com/v/1aVbWjzQLPf1z2/22251371 https://lulustream.com/d/yjiayhyotstg (2026) #milf #bigtits #blonde #blowjob #RIPNSFW")</f>
        <v>{New} Gabbie Carter https://doodstream.com/d/2oeetb7483tk/22251371 https://streamtape.com/v/1aVbWjzQLPf1z2/22251371 https://lulustream.com/d/yjiayhyotstg (2026) #milf #bigtits #blonde #blowjob #RIPNSFW</v>
      </c>
      <c r="N612" s="2" t="s">
        <v>3130</v>
      </c>
      <c r="O612" s="30" t="s">
        <v>3131</v>
      </c>
      <c r="P612" s="26"/>
      <c r="R612" s="23"/>
    </row>
    <row r="613" spans="1:27" ht="12.75">
      <c r="A613" s="12" t="s">
        <v>3132</v>
      </c>
      <c r="B613" s="6" t="s">
        <v>14</v>
      </c>
      <c r="C613" s="7" t="str">
        <f t="shared" si="8"/>
        <v xml:space="preserve">Gabbie Carter </v>
      </c>
      <c r="D613" s="24" t="s">
        <v>3133</v>
      </c>
      <c r="E613" s="25" t="s">
        <v>3134</v>
      </c>
      <c r="F613" s="9" t="str">
        <f ca="1">IFERROR(__xludf.DUMMYFUNCTION("""https://streamtape.com/v/""&amp;
REGEXEXTRACT(O613,""/thumb/([^/]+)/"")&amp;
""/""&amp;K613"),"https://streamtape.com/v/9eJYbBjplGFaerj/27573005")</f>
        <v>https://streamtape.com/v/9eJYbBjplGFaerj/27573005</v>
      </c>
      <c r="G613" s="10" t="e">
        <f t="shared" ca="1" si="9"/>
        <v>#NAME?</v>
      </c>
      <c r="H613" s="11" t="str">
        <f ca="1">IFERROR(__xludf.DUMMYFUNCTION("IFERROR(SUBSTITUTE(SUBSTITUTE(REGEXEXTRACT(A613, ""[^-]+- [^-]+- [^-]+ - (.+?)\.jpg""), "".jpg"", """"), ""-"", "", ""), """")"),"")</f>
        <v/>
      </c>
      <c r="I613" s="6"/>
      <c r="J613" s="7" t="str">
        <f t="shared" ca="1" si="10"/>
        <v>(2026)</v>
      </c>
      <c r="K613" s="7" t="str">
        <f t="shared" si="11"/>
        <v>27573005</v>
      </c>
      <c r="L613" s="12" t="s">
        <v>1424</v>
      </c>
      <c r="M613" s="13" t="str">
        <f ca="1">IFERROR(__xludf.DUMMYFUNCTION("TRIM(
  REGEXREPLACE(
    TEXTJOIN("" "",
      TRUE,
      B613,
      C613,
      embaralharLinks(E613,F613,G613),
      H613,
      """",
      J613,
      N613,
      ""#RIPNSFW""
    ),
  "",\s*"", "" "")
)"),"{New} Gabbie Carter https://doodstream.com/d/y0chen13nyxj/27573005 https://streamtape.com/v/9eJYbBjplGFaerj/27573005 https://lulustream.com/d/gxmcx1fxz0i1 (2026) #milf #bigtits #blowjob #pov #RIPNSFW")</f>
        <v>{New} Gabbie Carter https://doodstream.com/d/y0chen13nyxj/27573005 https://streamtape.com/v/9eJYbBjplGFaerj/27573005 https://lulustream.com/d/gxmcx1fxz0i1 (2026) #milf #bigtits #blowjob #pov #RIPNSFW</v>
      </c>
      <c r="N613" s="2" t="s">
        <v>1424</v>
      </c>
      <c r="O613" s="30" t="s">
        <v>3135</v>
      </c>
      <c r="P613" s="26"/>
      <c r="R613" s="23"/>
    </row>
    <row r="614" spans="1:27" ht="12.75">
      <c r="A614" s="6" t="s">
        <v>3136</v>
      </c>
      <c r="B614" s="6" t="s">
        <v>14</v>
      </c>
      <c r="C614" s="7" t="str">
        <f t="shared" si="8"/>
        <v xml:space="preserve">Gabbie Carter </v>
      </c>
      <c r="D614" s="24" t="s">
        <v>3137</v>
      </c>
      <c r="E614" s="25" t="s">
        <v>3138</v>
      </c>
      <c r="F614" s="9" t="str">
        <f ca="1">IFERROR(__xludf.DUMMYFUNCTION("""https://streamtape.com/v/""&amp;
REGEXEXTRACT(O614,""/thumb/([^/]+)/"")&amp;
""/""&amp;K614"),"https://streamtape.com/v/4XxyoYe697hG0d/28724000")</f>
        <v>https://streamtape.com/v/4XxyoYe697hG0d/28724000</v>
      </c>
      <c r="G614" s="10" t="e">
        <f t="shared" ca="1" si="9"/>
        <v>#NAME?</v>
      </c>
      <c r="H614" s="11" t="str">
        <f ca="1">IFERROR(__xludf.DUMMYFUNCTION("IFERROR(SUBSTITUTE(SUBSTITUTE(REGEXEXTRACT(A614, ""[^-]+- [^-]+- [^-]+ - (.+?)\.jpg""), "".jpg"", """"), ""-"", "", ""), """")"),"")</f>
        <v/>
      </c>
      <c r="I614" s="6"/>
      <c r="J614" s="7" t="str">
        <f t="shared" ca="1" si="10"/>
        <v>(2026)</v>
      </c>
      <c r="K614" s="7" t="str">
        <f t="shared" si="11"/>
        <v>28724000</v>
      </c>
      <c r="L614" s="12" t="s">
        <v>3139</v>
      </c>
      <c r="M614" s="13" t="str">
        <f ca="1">IFERROR(__xludf.DUMMYFUNCTION("TRIM(
  REGEXREPLACE(
    TEXTJOIN("" "",
      TRUE,
      B614,
      C614,
      embaralharLinks(E614,F614,G614),
      H614,
      """",
      J614,
      N614,
      ""#RIPNSFW""
    ),
  "",\s*"", "" "")
)"),"{New} Gabbie Carter https://doodstream.com/d/vdmno181dfgg/28724000 https://streamtape.com/v/4XxyoYe697hG0d/28724000 https://lulustream.com/d/rhj7uq6844bf (2026) #blowjob #milf #pov #bigtits #RIPNSFW")</f>
        <v>{New} Gabbie Carter https://doodstream.com/d/vdmno181dfgg/28724000 https://streamtape.com/v/4XxyoYe697hG0d/28724000 https://lulustream.com/d/rhj7uq6844bf (2026) #blowjob #milf #pov #bigtits #RIPNSFW</v>
      </c>
      <c r="N614" s="31" t="s">
        <v>3139</v>
      </c>
      <c r="O614" s="32" t="s">
        <v>3140</v>
      </c>
      <c r="P614" s="26"/>
      <c r="Q614" s="6"/>
      <c r="R614" s="11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>
      <c r="A615" s="12" t="s">
        <v>3141</v>
      </c>
      <c r="B615" s="6" t="s">
        <v>14</v>
      </c>
      <c r="C615" s="7" t="str">
        <f t="shared" si="8"/>
        <v xml:space="preserve">Gabbie Carter </v>
      </c>
      <c r="D615" s="24" t="s">
        <v>3142</v>
      </c>
      <c r="E615" s="25" t="s">
        <v>3143</v>
      </c>
      <c r="F615" s="9" t="str">
        <f ca="1">IFERROR(__xludf.DUMMYFUNCTION("""https://streamtape.com/v/""&amp;
REGEXEXTRACT(O615,""/thumb/([^/]+)/"")&amp;
""/""&amp;K615"),"https://streamtape.com/v/DAzQP7g0akCkaae/33418129")</f>
        <v>https://streamtape.com/v/DAzQP7g0akCkaae/33418129</v>
      </c>
      <c r="G615" s="10" t="e">
        <f t="shared" ca="1" si="9"/>
        <v>#NAME?</v>
      </c>
      <c r="H615" s="11" t="str">
        <f ca="1">IFERROR(__xludf.DUMMYFUNCTION("IFERROR(SUBSTITUTE(SUBSTITUTE(REGEXEXTRACT(A615, ""[^-]+- [^-]+- [^-]+ - (.+?)\.jpg""), "".jpg"", """"), ""-"", "", ""), """")"),"")</f>
        <v/>
      </c>
      <c r="I615" s="6"/>
      <c r="J615" s="7" t="str">
        <f t="shared" ca="1" si="10"/>
        <v>(2026)</v>
      </c>
      <c r="K615" s="7" t="str">
        <f t="shared" si="11"/>
        <v>33418129</v>
      </c>
      <c r="L615" s="12" t="s">
        <v>3144</v>
      </c>
      <c r="M615" s="13" t="str">
        <f ca="1">IFERROR(__xludf.DUMMYFUNCTION("TRIM(
  REGEXREPLACE(
    TEXTJOIN("" "",
      TRUE,
      B615,
      C615,
      embaralharLinks(E615,F615,G615),
      H615,
      """",
      J615,
      N615,
      ""#RIPNSFW""
    ),
  "",\s*"", "" "")
)"),"{New} Gabbie Carter https://streamtape.com/v/DAzQP7g0akCkaae/33418129 https://doodstream.com/d/43whru2mf3sr/33418129 https://lulustream.com/d/wwpg0re0qfe6 (2026) #blowjob #milf #pov #blonde #RIPNSFW")</f>
        <v>{New} Gabbie Carter https://streamtape.com/v/DAzQP7g0akCkaae/33418129 https://doodstream.com/d/43whru2mf3sr/33418129 https://lulustream.com/d/wwpg0re0qfe6 (2026) #blowjob #milf #pov #blonde #RIPNSFW</v>
      </c>
      <c r="N615" s="2" t="s">
        <v>3144</v>
      </c>
      <c r="O615" s="30" t="s">
        <v>3145</v>
      </c>
      <c r="P615" s="26"/>
      <c r="R615" s="23"/>
      <c r="T615" s="6"/>
      <c r="U615" s="7"/>
    </row>
    <row r="616" spans="1:27" ht="12.75">
      <c r="A616" s="12" t="s">
        <v>3146</v>
      </c>
      <c r="B616" s="6" t="s">
        <v>14</v>
      </c>
      <c r="C616" s="7" t="str">
        <f t="shared" si="8"/>
        <v xml:space="preserve">Gabbie Carter </v>
      </c>
      <c r="D616" s="24" t="s">
        <v>3147</v>
      </c>
      <c r="E616" s="25" t="s">
        <v>3148</v>
      </c>
      <c r="F616" s="9" t="str">
        <f ca="1">IFERROR(__xludf.DUMMYFUNCTION("""https://streamtape.com/v/""&amp;
REGEXEXTRACT(O616,""/thumb/([^/]+)/"")&amp;
""/""&amp;K616"),"https://streamtape.com/v/DogZP8l6eYFkgX9/34898438")</f>
        <v>https://streamtape.com/v/DogZP8l6eYFkgX9/34898438</v>
      </c>
      <c r="G616" s="10" t="e">
        <f t="shared" ca="1" si="9"/>
        <v>#NAME?</v>
      </c>
      <c r="H616" s="11" t="str">
        <f ca="1">IFERROR(__xludf.DUMMYFUNCTION("IFERROR(SUBSTITUTE(SUBSTITUTE(REGEXEXTRACT(A616, ""[^-]+- [^-]+- [^-]+ - (.+?)\.jpg""), "".jpg"", """"), ""-"", "", ""), """")"),"")</f>
        <v/>
      </c>
      <c r="I616" s="6"/>
      <c r="J616" s="7" t="str">
        <f t="shared" ca="1" si="10"/>
        <v>(2026)</v>
      </c>
      <c r="K616" s="7" t="str">
        <f t="shared" si="11"/>
        <v>34898438</v>
      </c>
      <c r="L616" s="12" t="s">
        <v>3149</v>
      </c>
      <c r="M616" s="13" t="str">
        <f ca="1">IFERROR(__xludf.DUMMYFUNCTION("TRIM(
  REGEXREPLACE(
    TEXTJOIN("" "",
      TRUE,
      B616,
      C616,
      embaralharLinks(E616,F616,G616),
      H616,
      """",
      J616,
      N616,
      ""#RIPNSFW""
    ),
  "",\s*"", "" "")
)"),"{New} Gabbie Carter https://lulustream.com/d/ejm6gmyzdmat https://streamtape.com/v/DogZP8l6eYFkgX9/34898438 https://doodstream.com/d/1tjkhhuil1il/34898438 (2026) #milf #blonde #bigtits #milk #RIPNSFW")</f>
        <v>{New} Gabbie Carter https://lulustream.com/d/ejm6gmyzdmat https://streamtape.com/v/DogZP8l6eYFkgX9/34898438 https://doodstream.com/d/1tjkhhuil1il/34898438 (2026) #milf #blonde #bigtits #milk #RIPNSFW</v>
      </c>
      <c r="N616" s="2" t="s">
        <v>3149</v>
      </c>
      <c r="O616" s="30" t="s">
        <v>3150</v>
      </c>
      <c r="P616" s="26"/>
      <c r="R616" s="23"/>
    </row>
    <row r="617" spans="1:27" ht="12.75">
      <c r="A617" s="12" t="s">
        <v>3151</v>
      </c>
      <c r="B617" s="6" t="s">
        <v>14</v>
      </c>
      <c r="C617" s="7" t="str">
        <f t="shared" si="8"/>
        <v xml:space="preserve">Gabbie Carter </v>
      </c>
      <c r="D617" s="24" t="s">
        <v>3152</v>
      </c>
      <c r="E617" s="25" t="s">
        <v>3153</v>
      </c>
      <c r="F617" s="9" t="str">
        <f ca="1">IFERROR(__xludf.DUMMYFUNCTION("""https://streamtape.com/v/""&amp;
REGEXEXTRACT(O617,""/thumb/([^/]+)/"")&amp;
""/""&amp;K617"),"https://streamtape.com/v/yxwZoxoBZeI11ad/35121961")</f>
        <v>https://streamtape.com/v/yxwZoxoBZeI11ad/35121961</v>
      </c>
      <c r="G617" s="10" t="e">
        <f t="shared" ca="1" si="9"/>
        <v>#NAME?</v>
      </c>
      <c r="H617" s="11" t="str">
        <f ca="1">IFERROR(__xludf.DUMMYFUNCTION("IFERROR(SUBSTITUTE(SUBSTITUTE(REGEXEXTRACT(A617, ""[^-]+- [^-]+- [^-]+ - (.+?)\.jpg""), "".jpg"", """"), ""-"", "", ""), """")"),"")</f>
        <v/>
      </c>
      <c r="I617" s="6"/>
      <c r="J617" s="7" t="str">
        <f t="shared" ca="1" si="10"/>
        <v>(2026)</v>
      </c>
      <c r="K617" s="7" t="str">
        <f t="shared" si="11"/>
        <v>35121961</v>
      </c>
      <c r="L617" s="12" t="s">
        <v>3154</v>
      </c>
      <c r="M617" s="13" t="str">
        <f ca="1">IFERROR(__xludf.DUMMYFUNCTION("TRIM(
  REGEXREPLACE(
    TEXTJOIN("" "",
      TRUE,
      B617,
      C617,
      embaralharLinks(E617,F617,G617),
      H617,
      """",
      J617,
      N617,
      ""#RIPNSFW""
    ),
  "",\s*"", "" "")
)"),"{New} Gabbie Carter https://doodstream.com/d/sxs971lzeyjm/35121961 https://lulustream.com/d/ee0tekkbs1sn https://streamtape.com/v/yxwZoxoBZeI11ad/35121961 (2026) #milf #blonde #bigtits #blowjob #RIPNSFW")</f>
        <v>{New} Gabbie Carter https://doodstream.com/d/sxs971lzeyjm/35121961 https://lulustream.com/d/ee0tekkbs1sn https://streamtape.com/v/yxwZoxoBZeI11ad/35121961 (2026) #milf #blonde #bigtits #blowjob #RIPNSFW</v>
      </c>
      <c r="N617" s="2" t="s">
        <v>3154</v>
      </c>
      <c r="O617" s="30" t="s">
        <v>3155</v>
      </c>
      <c r="P617" s="26"/>
      <c r="R617" s="23"/>
    </row>
    <row r="618" spans="1:27" ht="12.75">
      <c r="A618" s="16" t="s">
        <v>3156</v>
      </c>
      <c r="B618" s="11" t="s">
        <v>14</v>
      </c>
      <c r="C618" s="13" t="str">
        <f t="shared" si="8"/>
        <v xml:space="preserve">Gabbie Carter </v>
      </c>
      <c r="D618" s="17" t="s">
        <v>3157</v>
      </c>
      <c r="E618" s="18" t="s">
        <v>3158</v>
      </c>
      <c r="F618" s="9" t="str">
        <f ca="1">IFERROR(__xludf.DUMMYFUNCTION("""https://streamtape.com/v/""&amp;
REGEXEXTRACT(O618,""/thumb/([^/]+)/"")&amp;
""/""&amp;K618"),"https://streamtape.com/v/bKkbBxmAWwtPAx9/36367348")</f>
        <v>https://streamtape.com/v/bKkbBxmAWwtPAx9/36367348</v>
      </c>
      <c r="G618" s="10" t="e">
        <f t="shared" ca="1" si="9"/>
        <v>#NAME?</v>
      </c>
      <c r="H618" s="11" t="str">
        <f ca="1">IFERROR(__xludf.DUMMYFUNCTION("IFERROR(SUBSTITUTE(SUBSTITUTE(REGEXEXTRACT(A618, ""[^-]+- [^-]+- [^-]+ - (.+?)\.jpg""), "".jpg"", """"), ""-"", "", ""), """")"),"")</f>
        <v/>
      </c>
      <c r="I618" s="11"/>
      <c r="J618" s="13" t="str">
        <f t="shared" ca="1" si="10"/>
        <v>(2026)</v>
      </c>
      <c r="K618" s="13" t="str">
        <f t="shared" si="11"/>
        <v>36367348</v>
      </c>
      <c r="L618" s="12" t="s">
        <v>3159</v>
      </c>
      <c r="M618" s="13" t="str">
        <f ca="1">IFERROR(__xludf.DUMMYFUNCTION("TRIM(
  REGEXREPLACE(
    TEXTJOIN("" "",
      TRUE,
      B618,
      C618,
      embaralharLinks(E618,F618,G618),
      H618,
      """",
      J618,
      N618,
      ""#RIPNSFW""
    ),
  "",\s*"", "" "")
)"),"{New} Gabbie Carter https://streamtape.com/v/bKkbBxmAWwtPAx9/36367348 https://doodstream.com/d/4recy2df4zwb/36367348 https://lulustream.com/d/spw3kdyzs3rk (2026) #anal #milf #bigtits #blowjob #RIPNSFW")</f>
        <v>{New} Gabbie Carter https://streamtape.com/v/bKkbBxmAWwtPAx9/36367348 https://doodstream.com/d/4recy2df4zwb/36367348 https://lulustream.com/d/spw3kdyzs3rk (2026) #anal #milf #bigtits #blowjob #RIPNSFW</v>
      </c>
      <c r="N618" s="20" t="s">
        <v>3159</v>
      </c>
      <c r="O618" s="30" t="s">
        <v>3160</v>
      </c>
      <c r="P618" s="26"/>
      <c r="Q618" s="16"/>
      <c r="R618" s="23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75">
      <c r="A619" s="6" t="s">
        <v>3161</v>
      </c>
      <c r="B619" s="6" t="s">
        <v>14</v>
      </c>
      <c r="C619" s="7" t="str">
        <f t="shared" si="8"/>
        <v xml:space="preserve">Gabbie Carter </v>
      </c>
      <c r="D619" s="6" t="s">
        <v>3162</v>
      </c>
      <c r="E619" s="8" t="s">
        <v>3163</v>
      </c>
      <c r="F619" s="9" t="str">
        <f ca="1">IFERROR(__xludf.DUMMYFUNCTION("""https://streamtape.com/v/""&amp;
REGEXEXTRACT(O619,""/thumb/([^/]+)/"")&amp;
""/""&amp;K619"),"https://streamtape.com/v/K9dmzzJxvQIoPz/38136601")</f>
        <v>https://streamtape.com/v/K9dmzzJxvQIoPz/38136601</v>
      </c>
      <c r="G619" s="10" t="e">
        <f t="shared" ca="1" si="9"/>
        <v>#NAME?</v>
      </c>
      <c r="H619" s="11" t="str">
        <f ca="1">IFERROR(__xludf.DUMMYFUNCTION("IFERROR(SUBSTITUTE(SUBSTITUTE(REGEXEXTRACT(A619, ""[^-]+- [^-]+- [^-]+ - (.+?)\.jpg""), "".jpg"", """"), ""-"", "", ""), """")"),"")</f>
        <v/>
      </c>
      <c r="I619" s="6"/>
      <c r="J619" s="7" t="str">
        <f t="shared" ca="1" si="10"/>
        <v>(2026)</v>
      </c>
      <c r="K619" s="7" t="str">
        <f t="shared" si="11"/>
        <v>38136601</v>
      </c>
      <c r="L619" s="12" t="s">
        <v>370</v>
      </c>
      <c r="M619" s="13" t="str">
        <f ca="1">IFERROR(__xludf.DUMMYFUNCTION("TRIM(
  REGEXREPLACE(
    TEXTJOIN("" "",
      TRUE,
      B619,
      C619,
      embaralharLinks(E619,F619,G619),
      H619,
      """",
      J619,
      N619,
      ""#RIPNSFW""
    ),
  "",\s*"", "" "")
)"),"{New} Gabbie Carter https://streamtape.com/v/K9dmzzJxvQIoPz/38136601 https://doodstream.com/d/6pez696pjetj/38136601 https://lulustream.com/d/tioetldcv4no (2026) #BigTits #Teen #Solo #Blonde #RIPNSFW")</f>
        <v>{New} Gabbie Carter https://streamtape.com/v/K9dmzzJxvQIoPz/38136601 https://doodstream.com/d/6pez696pjetj/38136601 https://lulustream.com/d/tioetldcv4no (2026) #BigTits #Teen #Solo #Blonde #RIPNSFW</v>
      </c>
      <c r="N619" s="14" t="s">
        <v>371</v>
      </c>
      <c r="O619" s="15" t="s">
        <v>3164</v>
      </c>
      <c r="P619" s="14"/>
      <c r="Q619" s="6"/>
      <c r="R619" s="11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>
      <c r="A620" s="6" t="s">
        <v>3165</v>
      </c>
      <c r="B620" s="6" t="s">
        <v>14</v>
      </c>
      <c r="C620" s="7" t="str">
        <f t="shared" si="8"/>
        <v xml:space="preserve">Gabbie Carter </v>
      </c>
      <c r="D620" s="6" t="s">
        <v>3166</v>
      </c>
      <c r="E620" s="8" t="s">
        <v>3167</v>
      </c>
      <c r="F620" s="9" t="str">
        <f ca="1">IFERROR(__xludf.DUMMYFUNCTION("""https://streamtape.com/v/""&amp;
REGEXEXTRACT(O620,""/thumb/([^/]+)/"")&amp;
""/""&amp;K620"),"https://streamtape.com/v/VmaZDLLRYpSzlG/39126781")</f>
        <v>https://streamtape.com/v/VmaZDLLRYpSzlG/39126781</v>
      </c>
      <c r="G620" s="10" t="e">
        <f t="shared" ca="1" si="9"/>
        <v>#NAME?</v>
      </c>
      <c r="H620" s="11" t="str">
        <f ca="1">IFERROR(__xludf.DUMMYFUNCTION("IFERROR(SUBSTITUTE(SUBSTITUTE(REGEXEXTRACT(A620, ""[^-]+- [^-]+- [^-]+ - (.+?)\.jpg""), "".jpg"", """"), ""-"", "", ""), """")"),"")</f>
        <v/>
      </c>
      <c r="I620" s="6"/>
      <c r="J620" s="7" t="str">
        <f t="shared" ca="1" si="10"/>
        <v>(2026)</v>
      </c>
      <c r="K620" s="7" t="str">
        <f t="shared" si="11"/>
        <v>39126781</v>
      </c>
      <c r="L620" s="12" t="s">
        <v>3168</v>
      </c>
      <c r="M620" s="13" t="str">
        <f ca="1">IFERROR(__xludf.DUMMYFUNCTION("TRIM(
  REGEXREPLACE(
    TEXTJOIN("" "",
      TRUE,
      B620,
      C620,
      embaralharLinks(E620,F620,G620),
      H620,
      """",
      J620,
      N620,
      ""#RIPNSFW""
    ),
  "",\s*"", "" "")
)"),"{New} Gabbie Carter https://lulustream.com/d/3zhjn9tfrtzw https://doodstream.com/d/vyp18p4jw8da/39126781 https://streamtape.com/v/VmaZDLLRYpSzlG/39126781 (2026) #BigTits #Hardcore #Black #Interracial #Porn #Teen #Blowjob #Deepthroat #Blonde #RIPNSFW")</f>
        <v>{New} Gabbie Carter https://lulustream.com/d/3zhjn9tfrtzw https://doodstream.com/d/vyp18p4jw8da/39126781 https://streamtape.com/v/VmaZDLLRYpSzlG/39126781 (2026) #BigTits #Hardcore #Black #Interracial #Porn #Teen #Blowjob #Deepthroat #Blonde #RIPNSFW</v>
      </c>
      <c r="N620" s="14" t="s">
        <v>3169</v>
      </c>
      <c r="O620" s="15" t="s">
        <v>3170</v>
      </c>
      <c r="P620" s="14"/>
      <c r="Q620" s="6"/>
      <c r="R620" s="11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>
      <c r="A621" s="6" t="s">
        <v>3171</v>
      </c>
      <c r="B621" s="6" t="s">
        <v>14</v>
      </c>
      <c r="C621" s="7" t="str">
        <f t="shared" si="8"/>
        <v xml:space="preserve">Gabbie Carter </v>
      </c>
      <c r="D621" s="6" t="s">
        <v>3172</v>
      </c>
      <c r="E621" s="8" t="s">
        <v>3173</v>
      </c>
      <c r="F621" s="9" t="str">
        <f ca="1">IFERROR(__xludf.DUMMYFUNCTION("""https://streamtape.com/v/""&amp;
REGEXEXTRACT(O621,""/thumb/([^/]+)/"")&amp;
""/""&amp;K621"),"https://streamtape.com/v/YLR9PrORRWSvDqD/40364129")</f>
        <v>https://streamtape.com/v/YLR9PrORRWSvDqD/40364129</v>
      </c>
      <c r="G621" s="10" t="e">
        <f t="shared" ca="1" si="9"/>
        <v>#NAME?</v>
      </c>
      <c r="H621" s="11" t="str">
        <f ca="1">IFERROR(__xludf.DUMMYFUNCTION("IFERROR(SUBSTITUTE(SUBSTITUTE(REGEXEXTRACT(A621, ""[^-]+- [^-]+- [^-]+ - (.+?)\.jpg""), "".jpg"", """"), ""-"", "", ""), """")"),"")</f>
        <v/>
      </c>
      <c r="I621" s="6"/>
      <c r="J621" s="7" t="str">
        <f t="shared" ca="1" si="10"/>
        <v>(2026)</v>
      </c>
      <c r="K621" s="7" t="str">
        <f t="shared" si="11"/>
        <v>40364129</v>
      </c>
      <c r="L621" s="12" t="s">
        <v>3174</v>
      </c>
      <c r="M621" s="13" t="str">
        <f ca="1">IFERROR(__xludf.DUMMYFUNCTION("TRIM(
  REGEXREPLACE(
    TEXTJOIN("" "",
      TRUE,
      B621,
      C621,
      embaralharLinks(E621,F621,G621),
      H621,
      """",
      J621,
      N621,
      ""#RIPNSFW""
    ),
  "",\s*"", "" "")
)"),"{New} Gabbie Carter https://lulustream.com/d/ngtb14qcr9a9 https://streamtape.com/v/YLR9PrORRWSvDqD/40364129 https://doodstream.com/d/39nn37xovx0a/40364129 (2026) #BigTits #Hardcore #Porn #Teen #Blowjob #Blonde #RIPNSFW")</f>
        <v>{New} Gabbie Carter https://lulustream.com/d/ngtb14qcr9a9 https://streamtape.com/v/YLR9PrORRWSvDqD/40364129 https://doodstream.com/d/39nn37xovx0a/40364129 (2026) #BigTits #Hardcore #Porn #Teen #Blowjob #Blonde #RIPNSFW</v>
      </c>
      <c r="N621" s="14" t="s">
        <v>3175</v>
      </c>
      <c r="O621" s="15" t="s">
        <v>3176</v>
      </c>
      <c r="P621" s="14"/>
      <c r="Q621" s="6"/>
      <c r="R621" s="11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>
      <c r="A622" s="6" t="s">
        <v>3177</v>
      </c>
      <c r="B622" s="6" t="s">
        <v>14</v>
      </c>
      <c r="C622" s="7" t="str">
        <f t="shared" si="8"/>
        <v xml:space="preserve">Gabbie Carter </v>
      </c>
      <c r="D622" s="6" t="s">
        <v>3178</v>
      </c>
      <c r="E622" s="8" t="s">
        <v>3179</v>
      </c>
      <c r="F622" s="9" t="str">
        <f ca="1">IFERROR(__xludf.DUMMYFUNCTION("""https://streamtape.com/v/""&amp;
REGEXEXTRACT(O622,""/thumb/([^/]+)/"")&amp;
""/""&amp;K622"),"https://streamtape.com/v/kkW7YvmDPatOGgo/40796243")</f>
        <v>https://streamtape.com/v/kkW7YvmDPatOGgo/40796243</v>
      </c>
      <c r="G622" s="10" t="e">
        <f t="shared" ca="1" si="9"/>
        <v>#NAME?</v>
      </c>
      <c r="H622" s="11" t="str">
        <f ca="1">IFERROR(__xludf.DUMMYFUNCTION("IFERROR(SUBSTITUTE(SUBSTITUTE(REGEXEXTRACT(A622, ""[^-]+- [^-]+- [^-]+ - (.+?)\.jpg""), "".jpg"", """"), ""-"", "", ""), """")"),"")</f>
        <v/>
      </c>
      <c r="I622" s="6"/>
      <c r="J622" s="7" t="str">
        <f t="shared" ca="1" si="10"/>
        <v>(2026)</v>
      </c>
      <c r="K622" s="7" t="str">
        <f t="shared" si="11"/>
        <v>40796243</v>
      </c>
      <c r="L622" s="12" t="s">
        <v>3180</v>
      </c>
      <c r="M622" s="13" t="str">
        <f ca="1">IFERROR(__xludf.DUMMYFUNCTION("TRIM(
  REGEXREPLACE(
    TEXTJOIN("" "",
      TRUE,
      B622,
      C622,
      embaralharLinks(E622,F622,G622),
      H622,
      """",
      J622,
      N622,
      ""#RIPNSFW""
    ),
  "",\s*"", "" "")
)"),"{New} Gabbie Carter https://streamtape.com/v/kkW7YvmDPatOGgo/40796243 https://lulustream.com/d/wwnuymx8qjo2 https://doodstream.com/d/fy0gbct4o8ew/40796243 (2026) #MILF #BigTits #Hardcore #Creampie #Blowjob #Amateur #Hotwife #Blonde #RIPNSFW")</f>
        <v>{New} Gabbie Carter https://streamtape.com/v/kkW7YvmDPatOGgo/40796243 https://lulustream.com/d/wwnuymx8qjo2 https://doodstream.com/d/fy0gbct4o8ew/40796243 (2026) #MILF #BigTits #Hardcore #Creampie #Blowjob #Amateur #Hotwife #Blonde #RIPNSFW</v>
      </c>
      <c r="N622" s="14" t="s">
        <v>3181</v>
      </c>
      <c r="O622" s="15" t="s">
        <v>3182</v>
      </c>
      <c r="P622" s="14"/>
      <c r="Q622" s="6"/>
      <c r="R622" s="11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>
      <c r="A623" s="11" t="s">
        <v>3183</v>
      </c>
      <c r="B623" s="11" t="s">
        <v>14</v>
      </c>
      <c r="C623" s="13" t="str">
        <f t="shared" si="8"/>
        <v xml:space="preserve">Gabbie Carter </v>
      </c>
      <c r="D623" s="17" t="s">
        <v>3184</v>
      </c>
      <c r="E623" s="18" t="s">
        <v>3185</v>
      </c>
      <c r="F623" s="9" t="str">
        <f ca="1">IFERROR(__xludf.DUMMYFUNCTION("""https://streamtape.com/v/""&amp;
REGEXEXTRACT(O623,""/thumb/([^/]+)/"")&amp;
""/""&amp;K623"),"https://streamtape.com/v/OJRp0brVGwfelQ/43063870")</f>
        <v>https://streamtape.com/v/OJRp0brVGwfelQ/43063870</v>
      </c>
      <c r="G623" s="10" t="e">
        <f t="shared" ca="1" si="9"/>
        <v>#NAME?</v>
      </c>
      <c r="H623" s="11" t="str">
        <f ca="1">IFERROR(__xludf.DUMMYFUNCTION("IFERROR(SUBSTITUTE(SUBSTITUTE(REGEXEXTRACT(A623, ""[^-]+- [^-]+- [^-]+ - (.+?)\.jpg""), "".jpg"", """"), ""-"", "", ""), """")"),"")</f>
        <v/>
      </c>
      <c r="I623" s="11"/>
      <c r="J623" s="13" t="str">
        <f t="shared" ca="1" si="10"/>
        <v>(2026)</v>
      </c>
      <c r="K623" s="13" t="str">
        <f t="shared" si="11"/>
        <v>43063870</v>
      </c>
      <c r="L623" s="12" t="s">
        <v>3186</v>
      </c>
      <c r="M623" s="13" t="str">
        <f ca="1">IFERROR(__xludf.DUMMYFUNCTION("TRIM(
  REGEXREPLACE(
    TEXTJOIN("" "",
      TRUE,
      B623,
      C623,
      embaralharLinks(E623,F623,G623),
      H623,
      """",
      J623,
      N623,
      ""#RIPNSFW""
    ),
  "",\s*"", "" "")
)"),"{New} Gabbie Carter https://doodstream.com/d/6k62zu1a6z9f/43063870 https://streamtape.com/v/OJRp0brVGwfelQ/43063870 https://lulustream.com/d/cpbyq3edv9pl (2026) #milf #blowjob #blonde #pov #RIPNSFW")</f>
        <v>{New} Gabbie Carter https://doodstream.com/d/6k62zu1a6z9f/43063870 https://streamtape.com/v/OJRp0brVGwfelQ/43063870 https://lulustream.com/d/cpbyq3edv9pl (2026) #milf #blowjob #blonde #pov #RIPNSFW</v>
      </c>
      <c r="N623" s="32" t="s">
        <v>3186</v>
      </c>
      <c r="O623" s="32" t="s">
        <v>3187</v>
      </c>
      <c r="P623" s="26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2.75">
      <c r="A624" s="12" t="s">
        <v>3188</v>
      </c>
      <c r="B624" s="6" t="s">
        <v>14</v>
      </c>
      <c r="C624" s="7" t="str">
        <f t="shared" si="8"/>
        <v xml:space="preserve">Gabbie Carter </v>
      </c>
      <c r="D624" s="24" t="s">
        <v>3189</v>
      </c>
      <c r="E624" s="25" t="s">
        <v>3190</v>
      </c>
      <c r="F624" s="9" t="str">
        <f ca="1">IFERROR(__xludf.DUMMYFUNCTION("""https://streamtape.com/v/""&amp;
REGEXEXTRACT(O624,""/thumb/([^/]+)/"")&amp;
""/""&amp;K624"),"https://streamtape.com/v/41Px8qOaX8iKYxQ/43669016")</f>
        <v>https://streamtape.com/v/41Px8qOaX8iKYxQ/43669016</v>
      </c>
      <c r="G624" s="10" t="e">
        <f t="shared" ca="1" si="9"/>
        <v>#NAME?</v>
      </c>
      <c r="H624" s="11" t="str">
        <f ca="1">IFERROR(__xludf.DUMMYFUNCTION("IFERROR(SUBSTITUTE(SUBSTITUTE(REGEXEXTRACT(A624, ""[^-]+- [^-]+- [^-]+ - (.+?)\.jpg""), "".jpg"", """"), ""-"", "", ""), """")"),"")</f>
        <v/>
      </c>
      <c r="I624" s="6"/>
      <c r="J624" s="7" t="str">
        <f t="shared" ca="1" si="10"/>
        <v>(2026)</v>
      </c>
      <c r="K624" s="7" t="str">
        <f t="shared" si="11"/>
        <v>43669016</v>
      </c>
      <c r="L624" s="12" t="s">
        <v>3191</v>
      </c>
      <c r="M624" s="13" t="str">
        <f ca="1">IFERROR(__xludf.DUMMYFUNCTION("TRIM(
  REGEXREPLACE(
    TEXTJOIN("" "",
      TRUE,
      B624,
      C624,
      embaralharLinks(E624,F624,G624),
      H624,
      """",
      J624,
      N624,
      ""#RIPNSFW""
    ),
  "",\s*"", "" "")
)"),"{New} Gabbie Carter https://doodstream.com/d/wpqdrnirst36/43669016 https://streamtape.com/v/41Px8qOaX8iKYxQ/43669016 https://lulustream.com/d/nteyxmhbrf2l (2026) #milf #bigtits #creampie #blonde #RIPNSFW")</f>
        <v>{New} Gabbie Carter https://doodstream.com/d/wpqdrnirst36/43669016 https://streamtape.com/v/41Px8qOaX8iKYxQ/43669016 https://lulustream.com/d/nteyxmhbrf2l (2026) #milf #bigtits #creampie #blonde #RIPNSFW</v>
      </c>
      <c r="N624" s="2" t="s">
        <v>3191</v>
      </c>
      <c r="O624" s="30" t="s">
        <v>3192</v>
      </c>
      <c r="P624" s="26"/>
      <c r="R624" s="23"/>
    </row>
    <row r="625" spans="1:27" ht="12.75">
      <c r="A625" s="16" t="s">
        <v>3193</v>
      </c>
      <c r="B625" s="11" t="s">
        <v>14</v>
      </c>
      <c r="C625" s="13" t="str">
        <f t="shared" si="8"/>
        <v xml:space="preserve">Gabbie Carter </v>
      </c>
      <c r="D625" s="17" t="s">
        <v>3194</v>
      </c>
      <c r="E625" s="18" t="s">
        <v>3195</v>
      </c>
      <c r="F625" s="9" t="str">
        <f ca="1">IFERROR(__xludf.DUMMYFUNCTION("""https://streamtape.com/v/""&amp;
REGEXEXTRACT(O625,""/thumb/([^/]+)/"")&amp;
""/""&amp;K625"),"https://streamtape.com/v/PDP4a7VGOgT0JGd/45387459")</f>
        <v>https://streamtape.com/v/PDP4a7VGOgT0JGd/45387459</v>
      </c>
      <c r="G625" s="10" t="e">
        <f t="shared" ca="1" si="9"/>
        <v>#NAME?</v>
      </c>
      <c r="H625" s="11" t="str">
        <f ca="1">IFERROR(__xludf.DUMMYFUNCTION("IFERROR(SUBSTITUTE(SUBSTITUTE(REGEXEXTRACT(A625, ""[^-]+- [^-]+- [^-]+ - (.+?)\.jpg""), "".jpg"", """"), ""-"", "", ""), """")"),"")</f>
        <v/>
      </c>
      <c r="I625" s="11"/>
      <c r="J625" s="13" t="str">
        <f t="shared" ca="1" si="10"/>
        <v>(2026)</v>
      </c>
      <c r="K625" s="13" t="str">
        <f t="shared" si="11"/>
        <v>45387459</v>
      </c>
      <c r="L625" s="12" t="s">
        <v>3154</v>
      </c>
      <c r="M625" s="13" t="str">
        <f ca="1">IFERROR(__xludf.DUMMYFUNCTION("TRIM(
  REGEXREPLACE(
    TEXTJOIN("" "",
      TRUE,
      B625,
      C625,
      embaralharLinks(E625,F625,G625),
      H625,
      """",
      J625,
      N625,
      ""#RIPNSFW""
    ),
  "",\s*"", "" "")
)"),"{New} Gabbie Carter https://streamtape.com/v/PDP4a7VGOgT0JGd/45387459 https://lulustream.com/d/sukd2b2j3c7v https://doodstream.com/d/3d6t1mrxkzv4/45387459 (2026) #milf #blonde #bigtits #blowjob #RIPNSFW")</f>
        <v>{New} Gabbie Carter https://streamtape.com/v/PDP4a7VGOgT0JGd/45387459 https://lulustream.com/d/sukd2b2j3c7v https://doodstream.com/d/3d6t1mrxkzv4/45387459 (2026) #milf #blonde #bigtits #blowjob #RIPNSFW</v>
      </c>
      <c r="N625" s="20" t="s">
        <v>3154</v>
      </c>
      <c r="O625" s="30" t="s">
        <v>3196</v>
      </c>
      <c r="P625" s="26"/>
      <c r="Q625" s="16"/>
      <c r="R625" s="23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75">
      <c r="A626" s="6" t="s">
        <v>3197</v>
      </c>
      <c r="B626" s="6" t="s">
        <v>14</v>
      </c>
      <c r="C626" s="7" t="str">
        <f t="shared" si="8"/>
        <v xml:space="preserve">Gabbie Carter </v>
      </c>
      <c r="D626" s="24" t="s">
        <v>3198</v>
      </c>
      <c r="E626" s="25" t="s">
        <v>3199</v>
      </c>
      <c r="F626" s="9" t="str">
        <f ca="1">IFERROR(__xludf.DUMMYFUNCTION("""https://streamtape.com/v/""&amp;
REGEXEXTRACT(O626,""/thumb/([^/]+)/"")&amp;
""/""&amp;K626"),"https://streamtape.com/v/G9eXZ8lDPYiY77/47956232")</f>
        <v>https://streamtape.com/v/G9eXZ8lDPYiY77/47956232</v>
      </c>
      <c r="G626" s="10" t="e">
        <f t="shared" ca="1" si="9"/>
        <v>#NAME?</v>
      </c>
      <c r="H626" s="11" t="str">
        <f ca="1">IFERROR(__xludf.DUMMYFUNCTION("IFERROR(SUBSTITUTE(SUBSTITUTE(REGEXEXTRACT(A626, ""[^-]+- [^-]+- [^-]+ - (.+?)\.jpg""), "".jpg"", """"), ""-"", "", ""), """")"),"")</f>
        <v/>
      </c>
      <c r="I626" s="6"/>
      <c r="J626" s="7" t="str">
        <f t="shared" ca="1" si="10"/>
        <v>(2026)</v>
      </c>
      <c r="K626" s="7" t="str">
        <f t="shared" si="11"/>
        <v>47956232</v>
      </c>
      <c r="L626" s="12" t="s">
        <v>3200</v>
      </c>
      <c r="M626" s="13" t="str">
        <f ca="1">IFERROR(__xludf.DUMMYFUNCTION("TRIM(
  REGEXREPLACE(
    TEXTJOIN("" "",
      TRUE,
      B626,
      C626,
      embaralharLinks(E626,F626,G626),
      H626,
      """",
      J626,
      N626,
      ""#RIPNSFW""
    ),
  "",\s*"", "" "")
)"),"{New} Gabbie Carter https://lulustream.com/d/8n0531nnrh0q https://doodstream.com/d/zci6iq5tzksj/47956232 https://streamtape.com/v/G9eXZ8lDPYiY77/47956232 (2026) #milf #bigtits #blowjob #creampie #RIPNSFW")</f>
        <v>{New} Gabbie Carter https://lulustream.com/d/8n0531nnrh0q https://doodstream.com/d/zci6iq5tzksj/47956232 https://streamtape.com/v/G9eXZ8lDPYiY77/47956232 (2026) #milf #bigtits #blowjob #creampie #RIPNSFW</v>
      </c>
      <c r="N626" s="31" t="s">
        <v>3200</v>
      </c>
      <c r="O626" s="32" t="s">
        <v>3201</v>
      </c>
      <c r="P626" s="26"/>
      <c r="Q626" s="6"/>
      <c r="R626" s="11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>
      <c r="A627" s="6" t="s">
        <v>3202</v>
      </c>
      <c r="B627" s="6" t="s">
        <v>14</v>
      </c>
      <c r="C627" s="7" t="str">
        <f t="shared" si="8"/>
        <v xml:space="preserve">Gabbie Carter </v>
      </c>
      <c r="D627" s="6" t="s">
        <v>3203</v>
      </c>
      <c r="E627" s="8" t="s">
        <v>3204</v>
      </c>
      <c r="F627" s="9" t="str">
        <f ca="1">IFERROR(__xludf.DUMMYFUNCTION("""https://streamtape.com/v/""&amp;
REGEXEXTRACT(O627,""/thumb/([^/]+)/"")&amp;
""/""&amp;K627"),"https://streamtape.com/v/m9l6O8RJXeSG7B/47987650")</f>
        <v>https://streamtape.com/v/m9l6O8RJXeSG7B/47987650</v>
      </c>
      <c r="G627" s="10" t="e">
        <f t="shared" ca="1" si="9"/>
        <v>#NAME?</v>
      </c>
      <c r="H627" s="11" t="str">
        <f ca="1">IFERROR(__xludf.DUMMYFUNCTION("IFERROR(SUBSTITUTE(SUBSTITUTE(REGEXEXTRACT(A627, ""[^-]+- [^-]+- [^-]+ - (.+?)\.jpg""), "".jpg"", """"), ""-"", "", ""), """")"),"")</f>
        <v/>
      </c>
      <c r="I627" s="6"/>
      <c r="J627" s="7" t="str">
        <f t="shared" ca="1" si="10"/>
        <v>(2026)</v>
      </c>
      <c r="K627" s="7" t="str">
        <f t="shared" si="11"/>
        <v>47987650</v>
      </c>
      <c r="L627" s="12" t="s">
        <v>3205</v>
      </c>
      <c r="M627" s="13" t="str">
        <f ca="1">IFERROR(__xludf.DUMMYFUNCTION("TRIM(
  REGEXREPLACE(
    TEXTJOIN("" "",
      TRUE,
      B627,
      C627,
      embaralharLinks(E627,F627,G627),
      H627,
      """",
      J627,
      N627,
      ""#RIPNSFW""
    ),
  "",\s*"", "" "")
)"),"{New} Gabbie Carter https://doodstream.com/d/tt1gklwdae4a/47987650 https://streamtape.com/v/m9l6O8RJXeSG7B/47987650 https://lulustream.com/d/y9xfbv38j6t9 (2026) #MILF #BigTits #Hardcore #Blowjob #Amateur #Hotwife #Deepthroat #RIPNSFW")</f>
        <v>{New} Gabbie Carter https://doodstream.com/d/tt1gklwdae4a/47987650 https://streamtape.com/v/m9l6O8RJXeSG7B/47987650 https://lulustream.com/d/y9xfbv38j6t9 (2026) #MILF #BigTits #Hardcore #Blowjob #Amateur #Hotwife #Deepthroat #RIPNSFW</v>
      </c>
      <c r="N627" s="14" t="s">
        <v>3206</v>
      </c>
      <c r="O627" s="15" t="s">
        <v>3207</v>
      </c>
      <c r="P627" s="14"/>
      <c r="Q627" s="6"/>
      <c r="R627" s="11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>
      <c r="A628" s="12" t="s">
        <v>3208</v>
      </c>
      <c r="B628" s="6" t="s">
        <v>14</v>
      </c>
      <c r="C628" s="7" t="str">
        <f t="shared" si="8"/>
        <v xml:space="preserve">Gabbie Carter </v>
      </c>
      <c r="D628" s="24" t="s">
        <v>3209</v>
      </c>
      <c r="E628" s="25" t="s">
        <v>3210</v>
      </c>
      <c r="F628" s="9" t="str">
        <f ca="1">IFERROR(__xludf.DUMMYFUNCTION("""https://streamtape.com/v/""&amp;
REGEXEXTRACT(O628,""/thumb/([^/]+)/"")&amp;
""/""&amp;K628"),"https://streamtape.com/v/wZWD29bOWqToAw/48558257")</f>
        <v>https://streamtape.com/v/wZWD29bOWqToAw/48558257</v>
      </c>
      <c r="G628" s="10" t="e">
        <f t="shared" ca="1" si="9"/>
        <v>#NAME?</v>
      </c>
      <c r="H628" s="11" t="str">
        <f ca="1">IFERROR(__xludf.DUMMYFUNCTION("IFERROR(SUBSTITUTE(SUBSTITUTE(REGEXEXTRACT(A628, ""[^-]+- [^-]+- [^-]+ - (.+?)\.jpg""), "".jpg"", """"), ""-"", "", ""), """")"),"")</f>
        <v/>
      </c>
      <c r="I628" s="6"/>
      <c r="J628" s="7" t="str">
        <f t="shared" ca="1" si="10"/>
        <v>(2026)</v>
      </c>
      <c r="K628" s="7" t="str">
        <f t="shared" si="11"/>
        <v>48558257</v>
      </c>
      <c r="L628" s="12" t="s">
        <v>3211</v>
      </c>
      <c r="M628" s="13" t="str">
        <f ca="1">IFERROR(__xludf.DUMMYFUNCTION("TRIM(
  REGEXREPLACE(
    TEXTJOIN("" "",
      TRUE,
      B628,
      C628,
      embaralharLinks(E628,F628,G628),
      H628,
      """",
      J628,
      N628,
      ""#RIPNSFW""
    ),
  "",\s*"", "" "")
)"),"{New} Gabbie Carter https://lulustream.com/d/xfzpzxtj16c3 https://streamtape.com/v/wZWD29bOWqToAw/48558257 https://doodstream.com/d/tq0kzz79tn45/48558257 (2026) #milf #bigtits #blonde #solo #RIPNSFW")</f>
        <v>{New} Gabbie Carter https://lulustream.com/d/xfzpzxtj16c3 https://streamtape.com/v/wZWD29bOWqToAw/48558257 https://doodstream.com/d/tq0kzz79tn45/48558257 (2026) #milf #bigtits #blonde #solo #RIPNSFW</v>
      </c>
      <c r="N628" s="2" t="s">
        <v>3211</v>
      </c>
      <c r="O628" s="30" t="s">
        <v>3212</v>
      </c>
      <c r="P628" s="26"/>
      <c r="R628" s="23"/>
    </row>
    <row r="629" spans="1:27" ht="12.75">
      <c r="A629" s="6" t="s">
        <v>3213</v>
      </c>
      <c r="B629" s="6" t="s">
        <v>14</v>
      </c>
      <c r="C629" s="7" t="str">
        <f t="shared" si="8"/>
        <v xml:space="preserve">Gabbie Carter </v>
      </c>
      <c r="D629" s="6" t="s">
        <v>3214</v>
      </c>
      <c r="E629" s="8" t="s">
        <v>3215</v>
      </c>
      <c r="F629" s="9" t="str">
        <f ca="1">IFERROR(__xludf.DUMMYFUNCTION("""https://streamtape.com/v/""&amp;
REGEXEXTRACT(O629,""/thumb/([^/]+)/"")&amp;
""/""&amp;K629"),"https://streamtape.com/v/MyY0YaXdxeIeXL/50559757")</f>
        <v>https://streamtape.com/v/MyY0YaXdxeIeXL/50559757</v>
      </c>
      <c r="G629" s="10" t="e">
        <f t="shared" ca="1" si="9"/>
        <v>#NAME?</v>
      </c>
      <c r="H629" s="11" t="str">
        <f ca="1">IFERROR(__xludf.DUMMYFUNCTION("IFERROR(SUBSTITUTE(SUBSTITUTE(REGEXEXTRACT(A629, ""[^-]+- [^-]+- [^-]+ - (.+?)\.jpg""), "".jpg"", """"), ""-"", "", ""), """")"),"")</f>
        <v/>
      </c>
      <c r="I629" s="6"/>
      <c r="J629" s="7" t="str">
        <f t="shared" ca="1" si="10"/>
        <v>(2026)</v>
      </c>
      <c r="K629" s="7" t="str">
        <f t="shared" si="11"/>
        <v>50559757</v>
      </c>
      <c r="L629" s="12" t="s">
        <v>3216</v>
      </c>
      <c r="M629" s="13" t="str">
        <f ca="1">IFERROR(__xludf.DUMMYFUNCTION("TRIM(
  REGEXREPLACE(
    TEXTJOIN("" "",
      TRUE,
      B629,
      C629,
      embaralharLinks(E629,F629,G629),
      H629,
      """",
      J629,
      N629,
      ""#RIPNSFW""
    ),
  "",\s*"", "" "")
)"),"{New} Gabbie Carter https://doodstream.com/d/7nidm1xuqrxt/50559757 https://lulustream.com/d/4x5jtj8k3hjz https://streamtape.com/v/MyY0YaXdxeIeXL/50559757 (2026) #MILF #BigTits #Roleplay #Blowjob #Blonde #RIPNSFW")</f>
        <v>{New} Gabbie Carter https://doodstream.com/d/7nidm1xuqrxt/50559757 https://lulustream.com/d/4x5jtj8k3hjz https://streamtape.com/v/MyY0YaXdxeIeXL/50559757 (2026) #MILF #BigTits #Roleplay #Blowjob #Blonde #RIPNSFW</v>
      </c>
      <c r="N629" s="14" t="s">
        <v>3217</v>
      </c>
      <c r="O629" s="15" t="s">
        <v>3218</v>
      </c>
      <c r="P629" s="14"/>
      <c r="Q629" s="6"/>
      <c r="R629" s="11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>
      <c r="A630" s="12" t="s">
        <v>3219</v>
      </c>
      <c r="B630" s="6" t="s">
        <v>14</v>
      </c>
      <c r="C630" s="7" t="str">
        <f t="shared" si="8"/>
        <v xml:space="preserve">Gabbie Carter </v>
      </c>
      <c r="D630" s="24" t="s">
        <v>3220</v>
      </c>
      <c r="E630" s="25" t="s">
        <v>3221</v>
      </c>
      <c r="F630" s="9" t="str">
        <f ca="1">IFERROR(__xludf.DUMMYFUNCTION("""https://streamtape.com/v/""&amp;
REGEXEXTRACT(O630,""/thumb/([^/]+)/"")&amp;
""/""&amp;K630"),"https://streamtape.com/v/m3ym9xkAALhVgl/57774773")</f>
        <v>https://streamtape.com/v/m3ym9xkAALhVgl/57774773</v>
      </c>
      <c r="G630" s="10" t="e">
        <f t="shared" ca="1" si="9"/>
        <v>#NAME?</v>
      </c>
      <c r="H630" s="11" t="str">
        <f ca="1">IFERROR(__xludf.DUMMYFUNCTION("IFERROR(SUBSTITUTE(SUBSTITUTE(REGEXEXTRACT(A630, ""[^-]+- [^-]+- [^-]+ - (.+?)\.jpg""), "".jpg"", """"), ""-"", "", ""), """")"),"")</f>
        <v/>
      </c>
      <c r="I630" s="6"/>
      <c r="J630" s="7" t="str">
        <f t="shared" ca="1" si="10"/>
        <v>(2026)</v>
      </c>
      <c r="K630" s="7" t="str">
        <f t="shared" si="11"/>
        <v>57774773</v>
      </c>
      <c r="L630" s="12" t="s">
        <v>3222</v>
      </c>
      <c r="M630" s="13" t="str">
        <f ca="1">IFERROR(__xludf.DUMMYFUNCTION("TRIM(
  REGEXREPLACE(
    TEXTJOIN("" "",
      TRUE,
      B630,
      C630,
      embaralharLinks(E630,F630,G630),
      H630,
      """",
      J630,
      N630,
      ""#RIPNSFW""
    ),
  "",\s*"", "" "")
)"),"{New} Gabbie Carter https://lulustream.com/d/3y1pwtdpb82g https://streamtape.com/v/m3ym9xkAALhVgl/57774773 https://doodstream.com/d/biz0bq0v51lh/57774773 (2026) #bigtits #milf #hardcore #blonde #RIPNSFW")</f>
        <v>{New} Gabbie Carter https://lulustream.com/d/3y1pwtdpb82g https://streamtape.com/v/m3ym9xkAALhVgl/57774773 https://doodstream.com/d/biz0bq0v51lh/57774773 (2026) #bigtits #milf #hardcore #blonde #RIPNSFW</v>
      </c>
      <c r="N630" s="2" t="s">
        <v>3222</v>
      </c>
      <c r="O630" s="30" t="s">
        <v>3223</v>
      </c>
      <c r="P630" s="26"/>
      <c r="R630" s="23"/>
      <c r="T630" s="6"/>
      <c r="U630" s="7"/>
    </row>
    <row r="631" spans="1:27" ht="12.75">
      <c r="A631" s="12" t="s">
        <v>3224</v>
      </c>
      <c r="B631" s="6"/>
      <c r="C631" s="7" t="str">
        <f t="shared" si="8"/>
        <v xml:space="preserve">Gabbie Carter </v>
      </c>
      <c r="D631" s="24" t="s">
        <v>3225</v>
      </c>
      <c r="E631" s="25" t="s">
        <v>3226</v>
      </c>
      <c r="F631" s="9" t="str">
        <f ca="1">IFERROR(__xludf.DUMMYFUNCTION("""https://streamtape.com/v/""&amp;
REGEXEXTRACT(O631,""/thumb/([^/]+)/"")&amp;
""/""&amp;K631"),"https://streamtape.com/v/yd2ZY0vp18UojW/57960276")</f>
        <v>https://streamtape.com/v/yd2ZY0vp18UojW/57960276</v>
      </c>
      <c r="G631" s="10" t="e">
        <f t="shared" ca="1" si="9"/>
        <v>#NAME?</v>
      </c>
      <c r="H631" s="11" t="str">
        <f ca="1">IFERROR(__xludf.DUMMYFUNCTION("IFERROR(SUBSTITUTE(SUBSTITUTE(REGEXEXTRACT(A631, ""[^-]+- [^-]+- [^-]+ - (.+?)\.jpg""), "".jpg"", """"), ""-"", "", ""), """")"),"")</f>
        <v/>
      </c>
      <c r="I631" s="6"/>
      <c r="J631" s="7" t="str">
        <f t="shared" ca="1" si="10"/>
        <v/>
      </c>
      <c r="K631" s="7" t="str">
        <f t="shared" si="11"/>
        <v>57960276</v>
      </c>
      <c r="L631" s="12" t="s">
        <v>3227</v>
      </c>
      <c r="M631" s="13" t="str">
        <f ca="1">IFERROR(__xludf.DUMMYFUNCTION("TRIM(
  REGEXREPLACE(
    TEXTJOIN("" "",
      TRUE,
      B631,
      C631,
      embaralharLinks(E631,F631,G631),
      H631,
      """",
      J631,
      N631,
      ""#RIPNSFW""
    ),
  "",\s*"", "" "")
)"),"Gabbie Carter https://doodstream.com/d/cukpofrtpknk/57960276 https://lulustream.com/d/j4hi8cupuk39 https://streamtape.com/v/yd2ZY0vp18UojW/57960276 #anal #creampie #milf #bigtits #RIPNSFW")</f>
        <v>Gabbie Carter https://doodstream.com/d/cukpofrtpknk/57960276 https://lulustream.com/d/j4hi8cupuk39 https://streamtape.com/v/yd2ZY0vp18UojW/57960276 #anal #creampie #milf #bigtits #RIPNSFW</v>
      </c>
      <c r="N631" s="2" t="s">
        <v>3227</v>
      </c>
      <c r="O631" s="30" t="s">
        <v>3228</v>
      </c>
      <c r="P631" s="26"/>
      <c r="R631" s="23"/>
      <c r="T631" s="6"/>
      <c r="U631" s="7"/>
    </row>
    <row r="632" spans="1:27" ht="12.75">
      <c r="A632" s="12" t="s">
        <v>3229</v>
      </c>
      <c r="B632" s="6" t="s">
        <v>14</v>
      </c>
      <c r="C632" s="7" t="str">
        <f t="shared" si="8"/>
        <v xml:space="preserve">Gabbie Carter </v>
      </c>
      <c r="D632" s="24" t="s">
        <v>3230</v>
      </c>
      <c r="E632" s="25" t="s">
        <v>3231</v>
      </c>
      <c r="F632" s="9" t="str">
        <f ca="1">IFERROR(__xludf.DUMMYFUNCTION("""https://streamtape.com/v/""&amp;
REGEXEXTRACT(O632,""/thumb/([^/]+)/"")&amp;
""/""&amp;K632"),"https://streamtape.com/v/8PyM1qrK29form9/59574286")</f>
        <v>https://streamtape.com/v/8PyM1qrK29form9/59574286</v>
      </c>
      <c r="G632" s="10" t="e">
        <f t="shared" ca="1" si="9"/>
        <v>#NAME?</v>
      </c>
      <c r="H632" s="11" t="str">
        <f ca="1">IFERROR(__xludf.DUMMYFUNCTION("IFERROR(SUBSTITUTE(SUBSTITUTE(REGEXEXTRACT(A632, ""[^-]+- [^-]+- [^-]+ - (.+?)\.jpg""), "".jpg"", """"), ""-"", "", ""), """")"),"")</f>
        <v/>
      </c>
      <c r="I632" s="6"/>
      <c r="J632" s="7" t="str">
        <f t="shared" ca="1" si="10"/>
        <v>(2026)</v>
      </c>
      <c r="K632" s="7" t="str">
        <f t="shared" si="11"/>
        <v>59574286</v>
      </c>
      <c r="L632" s="12" t="s">
        <v>3232</v>
      </c>
      <c r="M632" s="13" t="str">
        <f ca="1">IFERROR(__xludf.DUMMYFUNCTION("TRIM(
  REGEXREPLACE(
    TEXTJOIN("" "",
      TRUE,
      B632,
      C632,
      embaralharLinks(E632,F632,G632),
      H632,
      """",
      J632,
      N632,
      ""#RIPNSFW""
    ),
  "",\s*"", "" "")
)"),"{New} Gabbie Carter https://doodstream.com/d/bfp1vw2aenp9/59574286 https://streamtape.com/v/8PyM1qrK29form9/59574286 https://lulustream.com/d/yk9guj60hh46 (2026) #creampie #milf #bigtits #blonde #RIPNSFW")</f>
        <v>{New} Gabbie Carter https://doodstream.com/d/bfp1vw2aenp9/59574286 https://streamtape.com/v/8PyM1qrK29form9/59574286 https://lulustream.com/d/yk9guj60hh46 (2026) #creampie #milf #bigtits #blonde #RIPNSFW</v>
      </c>
      <c r="N632" s="2" t="s">
        <v>3232</v>
      </c>
      <c r="O632" s="30" t="s">
        <v>3233</v>
      </c>
      <c r="P632" s="26"/>
      <c r="R632" s="23"/>
      <c r="T632" s="6"/>
      <c r="U632" s="7"/>
    </row>
    <row r="633" spans="1:27" ht="12.75">
      <c r="A633" s="6" t="s">
        <v>3234</v>
      </c>
      <c r="B633" s="6" t="s">
        <v>14</v>
      </c>
      <c r="C633" s="7" t="str">
        <f t="shared" si="8"/>
        <v xml:space="preserve">Gabbie Carter </v>
      </c>
      <c r="D633" s="6" t="s">
        <v>3235</v>
      </c>
      <c r="E633" s="8" t="s">
        <v>3236</v>
      </c>
      <c r="F633" s="9" t="str">
        <f ca="1">IFERROR(__xludf.DUMMYFUNCTION("""https://streamtape.com/v/""&amp;
REGEXEXTRACT(O633,""/thumb/([^/]+)/"")&amp;
""/""&amp;K633"),"https://streamtape.com/v/o2YGdV0YlqfJLY7/61126965")</f>
        <v>https://streamtape.com/v/o2YGdV0YlqfJLY7/61126965</v>
      </c>
      <c r="G633" s="10" t="e">
        <f t="shared" ca="1" si="9"/>
        <v>#NAME?</v>
      </c>
      <c r="H633" s="11" t="str">
        <f ca="1">IFERROR(__xludf.DUMMYFUNCTION("IFERROR(SUBSTITUTE(SUBSTITUTE(REGEXEXTRACT(A633, ""[^-]+- [^-]+- [^-]+ - (.+?)\.jpg""), "".jpg"", """"), ""-"", "", ""), """")"),"Angel Youngs")</f>
        <v>Angel Youngs</v>
      </c>
      <c r="I633" s="6"/>
      <c r="J633" s="7" t="str">
        <f t="shared" ca="1" si="10"/>
        <v>(2026)</v>
      </c>
      <c r="K633" s="7" t="str">
        <f t="shared" si="11"/>
        <v>61126965</v>
      </c>
      <c r="L633" s="12" t="s">
        <v>3237</v>
      </c>
      <c r="M633" s="13" t="str">
        <f ca="1">IFERROR(__xludf.DUMMYFUNCTION("TRIM(
  REGEXREPLACE(
    TEXTJOIN("" "",
      TRUE,
      B633,
      C633,
      embaralharLinks(E633,F633,G633),
      H633,
      """",
      J633,
      N633,
      ""#RIPNSFW""
    ),
  "",\s*"", "" "")
)"),"{New} Gabbie Carter https://streamtape.com/v/o2YGdV0YlqfJLY7/61126965 https://doodstream.com/d/aihbrqw1xvwy/61126965 https://lulustream.com/d/jfioomjzb5mb Angel Youngs (2026) #Anal #BigTits #Creampie #Hardcore #RIPNSFW")</f>
        <v>{New} Gabbie Carter https://streamtape.com/v/o2YGdV0YlqfJLY7/61126965 https://doodstream.com/d/aihbrqw1xvwy/61126965 https://lulustream.com/d/jfioomjzb5mb Angel Youngs (2026) #Anal #BigTits #Creampie #Hardcore #RIPNSFW</v>
      </c>
      <c r="N633" s="14" t="s">
        <v>3238</v>
      </c>
      <c r="O633" s="15" t="s">
        <v>3239</v>
      </c>
      <c r="P633" s="14"/>
      <c r="Q633" s="6"/>
      <c r="R633" s="11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>
      <c r="A634" s="6" t="s">
        <v>3240</v>
      </c>
      <c r="B634" s="6" t="s">
        <v>14</v>
      </c>
      <c r="C634" s="7" t="str">
        <f t="shared" si="8"/>
        <v xml:space="preserve">Gabbie Carter </v>
      </c>
      <c r="D634" s="6" t="s">
        <v>3241</v>
      </c>
      <c r="E634" s="8" t="s">
        <v>3242</v>
      </c>
      <c r="F634" s="9" t="str">
        <f ca="1">IFERROR(__xludf.DUMMYFUNCTION("""https://streamtape.com/v/""&amp;
REGEXEXTRACT(O634,""/thumb/([^/]+)/"")&amp;
""/""&amp;K634"),"https://streamtape.com/v/yg0xLM1Y9aT1lA9/61356883")</f>
        <v>https://streamtape.com/v/yg0xLM1Y9aT1lA9/61356883</v>
      </c>
      <c r="G634" s="10" t="e">
        <f t="shared" ca="1" si="9"/>
        <v>#NAME?</v>
      </c>
      <c r="H634" s="11" t="str">
        <f ca="1">IFERROR(__xludf.DUMMYFUNCTION("IFERROR(SUBSTITUTE(SUBSTITUTE(REGEXEXTRACT(A634, ""[^-]+- [^-]+- [^-]+ - (.+?)\.jpg""), "".jpg"", """"), ""-"", "", ""), """")"),"")</f>
        <v/>
      </c>
      <c r="I634" s="6"/>
      <c r="J634" s="7" t="str">
        <f t="shared" ca="1" si="10"/>
        <v>(2026)</v>
      </c>
      <c r="K634" s="7" t="str">
        <f t="shared" si="11"/>
        <v>61356883</v>
      </c>
      <c r="L634" s="12" t="s">
        <v>3243</v>
      </c>
      <c r="M634" s="13" t="str">
        <f ca="1">IFERROR(__xludf.DUMMYFUNCTION("TRIM(
  REGEXREPLACE(
    TEXTJOIN("" "",
      TRUE,
      B634,
      C634,
      embaralharLinks(E634,F634,G634),
      H634,
      """",
      J634,
      N634,
      ""#RIPNSFW""
    ),
  "",\s*"", "" "")
)"),"{New} Gabbie Carter https://doodstream.com/d/ldkfu2zrof2b/61356883 https://lulustream.com/d/tq09wtqjmi35 https://streamtape.com/v/yg0xLM1Y9aT1lA9/61356883 (2026) #BigTits #Hardcore #Porn #Teen #Blowjob #Amateur #RIPNSFW")</f>
        <v>{New} Gabbie Carter https://doodstream.com/d/ldkfu2zrof2b/61356883 https://lulustream.com/d/tq09wtqjmi35 https://streamtape.com/v/yg0xLM1Y9aT1lA9/61356883 (2026) #BigTits #Hardcore #Porn #Teen #Blowjob #Amateur #RIPNSFW</v>
      </c>
      <c r="N634" s="14" t="s">
        <v>3244</v>
      </c>
      <c r="O634" s="15" t="s">
        <v>3245</v>
      </c>
      <c r="P634" s="14"/>
      <c r="Q634" s="6"/>
      <c r="R634" s="11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>
      <c r="A635" s="12" t="s">
        <v>3246</v>
      </c>
      <c r="B635" s="6" t="s">
        <v>14</v>
      </c>
      <c r="C635" s="7" t="str">
        <f t="shared" si="8"/>
        <v xml:space="preserve">Gabbie Carter </v>
      </c>
      <c r="D635" s="24" t="s">
        <v>3247</v>
      </c>
      <c r="E635" s="25" t="s">
        <v>3248</v>
      </c>
      <c r="F635" s="9" t="str">
        <f ca="1">IFERROR(__xludf.DUMMYFUNCTION("""https://streamtape.com/v/""&amp;
REGEXEXTRACT(O635,""/thumb/([^/]+)/"")&amp;
""/""&amp;K635"),"https://streamtape.com/v/V8aVk9OBvDhKdm3/66679080")</f>
        <v>https://streamtape.com/v/V8aVk9OBvDhKdm3/66679080</v>
      </c>
      <c r="G635" s="10" t="e">
        <f t="shared" ca="1" si="9"/>
        <v>#NAME?</v>
      </c>
      <c r="H635" s="11" t="str">
        <f ca="1">IFERROR(__xludf.DUMMYFUNCTION("IFERROR(SUBSTITUTE(SUBSTITUTE(REGEXEXTRACT(A635, ""[^-]+- [^-]+- [^-]+ - (.+?)\.jpg""), "".jpg"", """"), ""-"", "", ""), """")"),"")</f>
        <v/>
      </c>
      <c r="I635" s="6"/>
      <c r="J635" s="7" t="str">
        <f t="shared" ca="1" si="10"/>
        <v>(2026)</v>
      </c>
      <c r="K635" s="7" t="str">
        <f t="shared" si="11"/>
        <v>66679080</v>
      </c>
      <c r="L635" s="12" t="s">
        <v>3249</v>
      </c>
      <c r="M635" s="13" t="str">
        <f ca="1">IFERROR(__xludf.DUMMYFUNCTION("TRIM(
  REGEXREPLACE(
    TEXTJOIN("" "",
      TRUE,
      B635,
      C635,
      embaralharLinks(E635,F635,G635),
      H635,
      """",
      J635,
      N635,
      ""#RIPNSFW""
    ),
  "",\s*"", "" "")
)"),"{New} Gabbie Carter https://doodstream.com/d/n8z78d98y54e/66679080 https://streamtape.com/v/V8aVk9OBvDhKdm3/66679080 https://lulustream.com/d/mvphv8m0zdea (2026) #milf #bigtits #solo #blowjob #RIPNSFW")</f>
        <v>{New} Gabbie Carter https://doodstream.com/d/n8z78d98y54e/66679080 https://streamtape.com/v/V8aVk9OBvDhKdm3/66679080 https://lulustream.com/d/mvphv8m0zdea (2026) #milf #bigtits #solo #blowjob #RIPNSFW</v>
      </c>
      <c r="N635" s="2" t="s">
        <v>3249</v>
      </c>
      <c r="O635" s="30" t="s">
        <v>3250</v>
      </c>
      <c r="P635" s="26"/>
      <c r="R635" s="23"/>
      <c r="T635" s="6"/>
      <c r="U635" s="7"/>
    </row>
    <row r="636" spans="1:27" ht="12.75">
      <c r="A636" s="12" t="s">
        <v>3251</v>
      </c>
      <c r="B636" s="6" t="s">
        <v>14</v>
      </c>
      <c r="C636" s="7" t="str">
        <f t="shared" si="8"/>
        <v xml:space="preserve">Gabbie Carter </v>
      </c>
      <c r="D636" s="24" t="s">
        <v>3252</v>
      </c>
      <c r="E636" s="25" t="s">
        <v>3253</v>
      </c>
      <c r="F636" s="9" t="str">
        <f ca="1">IFERROR(__xludf.DUMMYFUNCTION("""https://streamtape.com/v/""&amp;
REGEXEXTRACT(O636,""/thumb/([^/]+)/"")&amp;
""/""&amp;K636"),"https://streamtape.com/v/KyyjvYvWBdF0qkZ/67796670")</f>
        <v>https://streamtape.com/v/KyyjvYvWBdF0qkZ/67796670</v>
      </c>
      <c r="G636" s="10" t="e">
        <f t="shared" ca="1" si="9"/>
        <v>#NAME?</v>
      </c>
      <c r="H636" s="11" t="str">
        <f ca="1">IFERROR(__xludf.DUMMYFUNCTION("IFERROR(SUBSTITUTE(SUBSTITUTE(REGEXEXTRACT(A636, ""[^-]+- [^-]+- [^-]+ - (.+?)\.jpg""), "".jpg"", """"), ""-"", "", ""), """")"),"")</f>
        <v/>
      </c>
      <c r="I636" s="6"/>
      <c r="J636" s="7" t="str">
        <f t="shared" ca="1" si="10"/>
        <v>(2026)</v>
      </c>
      <c r="K636" s="7" t="str">
        <f t="shared" si="11"/>
        <v>67796670</v>
      </c>
      <c r="L636" s="12" t="s">
        <v>1788</v>
      </c>
      <c r="M636" s="13" t="str">
        <f ca="1">IFERROR(__xludf.DUMMYFUNCTION("TRIM(
  REGEXREPLACE(
    TEXTJOIN("" "",
      TRUE,
      B636,
      C636,
      embaralharLinks(E636,F636,G636),
      H636,
      """",
      J636,
      N636,
      ""#RIPNSFW""
    ),
  "",\s*"", "" "")
)"),"{New} Gabbie Carter https://streamtape.com/v/KyyjvYvWBdF0qkZ/67796670 https://doodstream.com/d/jcqcpabmy2gq/67796670 https://lulustream.com/d/h5gnbuqw2i34 (2026) #milf #bigtits #blowjob #blonde #RIPNSFW")</f>
        <v>{New} Gabbie Carter https://streamtape.com/v/KyyjvYvWBdF0qkZ/67796670 https://doodstream.com/d/jcqcpabmy2gq/67796670 https://lulustream.com/d/h5gnbuqw2i34 (2026) #milf #bigtits #blowjob #blonde #RIPNSFW</v>
      </c>
      <c r="N636" s="2" t="s">
        <v>1788</v>
      </c>
      <c r="O636" s="30" t="s">
        <v>3254</v>
      </c>
      <c r="P636" s="26"/>
      <c r="R636" s="23"/>
      <c r="T636" s="6"/>
      <c r="U636" s="7"/>
    </row>
    <row r="637" spans="1:27" ht="12.75">
      <c r="A637" s="6" t="s">
        <v>3255</v>
      </c>
      <c r="B637" s="6" t="s">
        <v>14</v>
      </c>
      <c r="C637" s="7" t="str">
        <f t="shared" si="8"/>
        <v xml:space="preserve">Gabbie Carter </v>
      </c>
      <c r="D637" s="6" t="s">
        <v>3256</v>
      </c>
      <c r="E637" s="8" t="s">
        <v>3257</v>
      </c>
      <c r="F637" s="9" t="str">
        <f ca="1">IFERROR(__xludf.DUMMYFUNCTION("""https://streamtape.com/v/""&amp;
REGEXEXTRACT(O637,""/thumb/([^/]+)/"")&amp;
""/""&amp;K637"),"https://streamtape.com/v/Mr3RA4Q2mzimV2o/69571722")</f>
        <v>https://streamtape.com/v/Mr3RA4Q2mzimV2o/69571722</v>
      </c>
      <c r="G637" s="10" t="e">
        <f t="shared" ca="1" si="9"/>
        <v>#NAME?</v>
      </c>
      <c r="H637" s="11" t="str">
        <f ca="1">IFERROR(__xludf.DUMMYFUNCTION("IFERROR(SUBSTITUTE(SUBSTITUTE(REGEXEXTRACT(A637, ""[^-]+- [^-]+- [^-]+ - (.+?)\.jpg""), "".jpg"", """"), ""-"", "", ""), """")"),"")</f>
        <v/>
      </c>
      <c r="I637" s="6"/>
      <c r="J637" s="7" t="str">
        <f t="shared" ca="1" si="10"/>
        <v>(2026)</v>
      </c>
      <c r="K637" s="7" t="str">
        <f t="shared" si="11"/>
        <v>69571722</v>
      </c>
      <c r="L637" s="12" t="s">
        <v>3258</v>
      </c>
      <c r="M637" s="13" t="str">
        <f ca="1">IFERROR(__xludf.DUMMYFUNCTION("TRIM(
  REGEXREPLACE(
    TEXTJOIN("" "",
      TRUE,
      B637,
      C637,
      embaralharLinks(E637,F637,G637),
      H637,
      """",
      J637,
      N637,
      ""#RIPNSFW""
    ),
  "",\s*"", "" "")
)"),"{New} Gabbie Carter https://streamtape.com/v/Mr3RA4Q2mzimV2o/69571722 https://doodstream.com/d/ygx7svkh5i99/69571722 https://lulustream.com/d/4l9gguke30ty (2026) #MILF #BigTits #Hardcore #Blowjob #Amateur #Hotwife #Blonde #RIPNSFW")</f>
        <v>{New} Gabbie Carter https://streamtape.com/v/Mr3RA4Q2mzimV2o/69571722 https://doodstream.com/d/ygx7svkh5i99/69571722 https://lulustream.com/d/4l9gguke30ty (2026) #MILF #BigTits #Hardcore #Blowjob #Amateur #Hotwife #Blonde #RIPNSFW</v>
      </c>
      <c r="N637" s="14" t="s">
        <v>3259</v>
      </c>
      <c r="O637" s="15" t="s">
        <v>3260</v>
      </c>
      <c r="P637" s="14"/>
      <c r="Q637" s="6"/>
      <c r="R637" s="11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>
      <c r="A638" s="6" t="s">
        <v>3261</v>
      </c>
      <c r="B638" s="6" t="s">
        <v>14</v>
      </c>
      <c r="C638" s="7" t="str">
        <f t="shared" si="8"/>
        <v xml:space="preserve">Gabbie Carter </v>
      </c>
      <c r="D638" s="24" t="s">
        <v>3262</v>
      </c>
      <c r="E638" s="25" t="s">
        <v>3263</v>
      </c>
      <c r="F638" s="9" t="str">
        <f ca="1">IFERROR(__xludf.DUMMYFUNCTION("""https://streamtape.com/v/""&amp;
REGEXEXTRACT(O638,""/thumb/([^/]+)/"")&amp;
""/""&amp;K638"),"https://streamtape.com/v/qZeoeKBGjvsz2ga/70879136")</f>
        <v>https://streamtape.com/v/qZeoeKBGjvsz2ga/70879136</v>
      </c>
      <c r="G638" s="10" t="e">
        <f t="shared" ca="1" si="9"/>
        <v>#NAME?</v>
      </c>
      <c r="H638" s="11" t="str">
        <f ca="1">IFERROR(__xludf.DUMMYFUNCTION("IFERROR(SUBSTITUTE(SUBSTITUTE(REGEXEXTRACT(A638, ""[^-]+- [^-]+- [^-]+ - (.+?)\.jpg""), "".jpg"", """"), ""-"", "", ""), """")"),"")</f>
        <v/>
      </c>
      <c r="I638" s="6"/>
      <c r="J638" s="7" t="str">
        <f t="shared" ca="1" si="10"/>
        <v>(2026)</v>
      </c>
      <c r="K638" s="7" t="str">
        <f t="shared" si="11"/>
        <v>70879136</v>
      </c>
      <c r="L638" s="12" t="s">
        <v>3120</v>
      </c>
      <c r="M638" s="13" t="str">
        <f ca="1">IFERROR(__xludf.DUMMYFUNCTION("TRIM(
  REGEXREPLACE(
    TEXTJOIN("" "",
      TRUE,
      B638,
      C638,
      embaralharLinks(E638,F638,G638),
      H638,
      """",
      J638,
      N638,
      ""#RIPNSFW""
    ),
  "",\s*"", "" "")
)"),"{New} Gabbie Carter https://lulustream.com/d/3vv8z0fvt7is https://doodstream.com/d/o77yz4ynpqc4/70879136 https://streamtape.com/v/qZeoeKBGjvsz2ga/70879136 (2026) #milf #blowjob #bigtits #blonde #RIPNSFW")</f>
        <v>{New} Gabbie Carter https://lulustream.com/d/3vv8z0fvt7is https://doodstream.com/d/o77yz4ynpqc4/70879136 https://streamtape.com/v/qZeoeKBGjvsz2ga/70879136 (2026) #milf #blowjob #bigtits #blonde #RIPNSFW</v>
      </c>
      <c r="N638" s="31" t="s">
        <v>3120</v>
      </c>
      <c r="O638" s="32" t="s">
        <v>3264</v>
      </c>
      <c r="P638" s="26"/>
      <c r="Q638" s="6"/>
      <c r="R638" s="11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>
      <c r="A639" s="6" t="s">
        <v>3265</v>
      </c>
      <c r="B639" s="6" t="s">
        <v>14</v>
      </c>
      <c r="C639" s="7" t="str">
        <f t="shared" si="8"/>
        <v xml:space="preserve">Gabbie Carter </v>
      </c>
      <c r="D639" s="24" t="s">
        <v>3266</v>
      </c>
      <c r="E639" s="25" t="s">
        <v>3267</v>
      </c>
      <c r="F639" s="9" t="str">
        <f ca="1">IFERROR(__xludf.DUMMYFUNCTION("""https://streamtape.com/v/""&amp;
REGEXEXTRACT(O639,""/thumb/([^/]+)/"")&amp;
""/""&amp;K639"),"https://streamtape.com/v/4vZVRQboy6IKDxQ/75482473")</f>
        <v>https://streamtape.com/v/4vZVRQboy6IKDxQ/75482473</v>
      </c>
      <c r="G639" s="10" t="e">
        <f t="shared" ca="1" si="9"/>
        <v>#NAME?</v>
      </c>
      <c r="H639" s="11" t="str">
        <f ca="1">IFERROR(__xludf.DUMMYFUNCTION("IFERROR(SUBSTITUTE(SUBSTITUTE(REGEXEXTRACT(A639, ""[^-]+- [^-]+- [^-]+ - (.+?)\.jpg""), "".jpg"", """"), ""-"", "", ""), """")"),"")</f>
        <v/>
      </c>
      <c r="I639" s="6"/>
      <c r="J639" s="7" t="str">
        <f t="shared" ca="1" si="10"/>
        <v>(2026)</v>
      </c>
      <c r="K639" s="7" t="str">
        <f t="shared" si="11"/>
        <v>75482473</v>
      </c>
      <c r="L639" s="12" t="s">
        <v>3211</v>
      </c>
      <c r="M639" s="13" t="str">
        <f ca="1">IFERROR(__xludf.DUMMYFUNCTION("TRIM(
  REGEXREPLACE(
    TEXTJOIN("" "",
      TRUE,
      B639,
      C639,
      embaralharLinks(E639,F639,G639),
      H639,
      """",
      J639,
      N639,
      ""#RIPNSFW""
    ),
  "",\s*"", "" "")
)"),"{New} Gabbie Carter https://streamtape.com/v/4vZVRQboy6IKDxQ/75482473 https://doodstream.com/d/dpv41a4vkdnl/75482473 https://lulustream.com/d/eysjxvkchypq (2026) #milf #bigtits #blonde #solo #RIPNSFW")</f>
        <v>{New} Gabbie Carter https://streamtape.com/v/4vZVRQboy6IKDxQ/75482473 https://doodstream.com/d/dpv41a4vkdnl/75482473 https://lulustream.com/d/eysjxvkchypq (2026) #milf #bigtits #blonde #solo #RIPNSFW</v>
      </c>
      <c r="N639" s="31" t="s">
        <v>3211</v>
      </c>
      <c r="O639" s="32" t="s">
        <v>3268</v>
      </c>
      <c r="P639" s="26"/>
      <c r="Q639" s="6"/>
      <c r="R639" s="11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>
      <c r="A640" s="12" t="s">
        <v>3269</v>
      </c>
      <c r="B640" s="6" t="s">
        <v>14</v>
      </c>
      <c r="C640" s="7" t="str">
        <f t="shared" si="8"/>
        <v xml:space="preserve">Gabbie Carter </v>
      </c>
      <c r="D640" s="24" t="s">
        <v>3270</v>
      </c>
      <c r="E640" s="25" t="s">
        <v>3271</v>
      </c>
      <c r="F640" s="9" t="str">
        <f ca="1">IFERROR(__xludf.DUMMYFUNCTION("""https://streamtape.com/v/""&amp;
REGEXEXTRACT(O640,""/thumb/([^/]+)/"")&amp;
""/""&amp;K640"),"https://streamtape.com/v/Gp7yBv9BPai1z6Z/78356614")</f>
        <v>https://streamtape.com/v/Gp7yBv9BPai1z6Z/78356614</v>
      </c>
      <c r="G640" s="10" t="e">
        <f t="shared" ca="1" si="9"/>
        <v>#NAME?</v>
      </c>
      <c r="H640" s="11" t="str">
        <f ca="1">IFERROR(__xludf.DUMMYFUNCTION("IFERROR(SUBSTITUTE(SUBSTITUTE(REGEXEXTRACT(A640, ""[^-]+- [^-]+- [^-]+ - (.+?)\.jpg""), "".jpg"", """"), ""-"", "", ""), """")"),"")</f>
        <v/>
      </c>
      <c r="I640" s="6"/>
      <c r="J640" s="7" t="str">
        <f t="shared" ca="1" si="10"/>
        <v>(2026)</v>
      </c>
      <c r="K640" s="7" t="str">
        <f t="shared" si="11"/>
        <v>78356614</v>
      </c>
      <c r="L640" s="12" t="s">
        <v>1788</v>
      </c>
      <c r="M640" s="13" t="str">
        <f ca="1">IFERROR(__xludf.DUMMYFUNCTION("TRIM(
  REGEXREPLACE(
    TEXTJOIN("" "",
      TRUE,
      B640,
      C640,
      embaralharLinks(E640,F640,G640),
      H640,
      """",
      J640,
      N640,
      ""#RIPNSFW""
    ),
  "",\s*"", "" "")
)"),"{New} Gabbie Carter https://lulustream.com/d/2lj42119yahk https://doodstream.com/d/b35xvakju85r/78356614 https://streamtape.com/v/Gp7yBv9BPai1z6Z/78356614 (2026) #milf #bigtits #blowjob #blonde #RIPNSFW")</f>
        <v>{New} Gabbie Carter https://lulustream.com/d/2lj42119yahk https://doodstream.com/d/b35xvakju85r/78356614 https://streamtape.com/v/Gp7yBv9BPai1z6Z/78356614 (2026) #milf #bigtits #blowjob #blonde #RIPNSFW</v>
      </c>
      <c r="N640" s="2" t="s">
        <v>1788</v>
      </c>
      <c r="O640" s="30" t="s">
        <v>3272</v>
      </c>
      <c r="P640" s="26"/>
      <c r="R640" s="23"/>
      <c r="T640" s="6"/>
      <c r="U640" s="7"/>
    </row>
    <row r="641" spans="1:27" ht="12.75">
      <c r="A641" s="6" t="s">
        <v>3273</v>
      </c>
      <c r="B641" s="6" t="s">
        <v>14</v>
      </c>
      <c r="C641" s="7" t="str">
        <f t="shared" si="8"/>
        <v xml:space="preserve">Gabbie Carter </v>
      </c>
      <c r="D641" s="6" t="s">
        <v>3274</v>
      </c>
      <c r="E641" s="8" t="s">
        <v>3275</v>
      </c>
      <c r="F641" s="9" t="str">
        <f ca="1">IFERROR(__xludf.DUMMYFUNCTION("""https://streamtape.com/v/""&amp;
REGEXEXTRACT(O641,""/thumb/([^/]+)/"")&amp;
""/""&amp;K641"),"https://streamtape.com/v/8qZBV77oYWcoRk2/78580590")</f>
        <v>https://streamtape.com/v/8qZBV77oYWcoRk2/78580590</v>
      </c>
      <c r="G641" s="10" t="e">
        <f t="shared" ca="1" si="9"/>
        <v>#NAME?</v>
      </c>
      <c r="H641" s="11" t="str">
        <f ca="1">IFERROR(__xludf.DUMMYFUNCTION("IFERROR(SUBSTITUTE(SUBSTITUTE(REGEXEXTRACT(A641, ""[^-]+- [^-]+- [^-]+ - (.+?)\.jpg""), "".jpg"", """"), ""-"", "", ""), """")"),"")</f>
        <v/>
      </c>
      <c r="I641" s="6"/>
      <c r="J641" s="7" t="str">
        <f t="shared" ca="1" si="10"/>
        <v>(2026)</v>
      </c>
      <c r="K641" s="7" t="str">
        <f t="shared" si="11"/>
        <v>78580590</v>
      </c>
      <c r="L641" s="12" t="s">
        <v>3276</v>
      </c>
      <c r="M641" s="13" t="str">
        <f ca="1">IFERROR(__xludf.DUMMYFUNCTION("TRIM(
  REGEXREPLACE(
    TEXTJOIN("" "",
      TRUE,
      B641,
      C641,
      embaralharLinks(E641,F641,G641),
      H641,
      """",
      J641,
      N641,
      ""#RIPNSFW""
    ),
  "",\s*"", "" "")
)"),"{New} Gabbie Carter https://doodstream.com/d/fsrpdu92n0cm/78580590 https://lulustream.com/d/1ruv3qcts49n https://streamtape.com/v/8qZBV77oYWcoRk2/78580590 (2026) #Anal #MILF #BigTits #Creampie #Hardcore #Artporn #Blowjob #Amateur #Hotwife #Blonde #RIPNSFW")</f>
        <v>{New} Gabbie Carter https://doodstream.com/d/fsrpdu92n0cm/78580590 https://lulustream.com/d/1ruv3qcts49n https://streamtape.com/v/8qZBV77oYWcoRk2/78580590 (2026) #Anal #MILF #BigTits #Creampie #Hardcore #Artporn #Blowjob #Amateur #Hotwife #Blonde #RIPNSFW</v>
      </c>
      <c r="N641" s="14" t="s">
        <v>3277</v>
      </c>
      <c r="O641" s="15" t="s">
        <v>3278</v>
      </c>
      <c r="P641" s="14"/>
      <c r="Q641" s="6"/>
      <c r="R641" s="11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>
      <c r="A642" s="6" t="s">
        <v>3279</v>
      </c>
      <c r="B642" s="6" t="s">
        <v>14</v>
      </c>
      <c r="C642" s="7" t="str">
        <f t="shared" si="8"/>
        <v xml:space="preserve">Gabbie Carter </v>
      </c>
      <c r="D642" s="6" t="s">
        <v>3280</v>
      </c>
      <c r="E642" s="8" t="s">
        <v>3281</v>
      </c>
      <c r="F642" s="9" t="str">
        <f ca="1">IFERROR(__xludf.DUMMYFUNCTION("""https://streamtape.com/v/""&amp;
REGEXEXTRACT(O642,""/thumb/([^/]+)/"")&amp;
""/""&amp;K642"),"https://streamtape.com/v/qrVoPddRPeUz9DJ/80894194")</f>
        <v>https://streamtape.com/v/qrVoPddRPeUz9DJ/80894194</v>
      </c>
      <c r="G642" s="10" t="e">
        <f t="shared" ca="1" si="9"/>
        <v>#NAME?</v>
      </c>
      <c r="H642" s="11" t="str">
        <f ca="1">IFERROR(__xludf.DUMMYFUNCTION("IFERROR(SUBSTITUTE(SUBSTITUTE(REGEXEXTRACT(A642, ""[^-]+- [^-]+- [^-]+ - (.+?)\.jpg""), "".jpg"", """"), ""-"", "", ""), """")"),"")</f>
        <v/>
      </c>
      <c r="I642" s="6"/>
      <c r="J642" s="7" t="str">
        <f t="shared" ca="1" si="10"/>
        <v>(2026)</v>
      </c>
      <c r="K642" s="7" t="str">
        <f t="shared" si="11"/>
        <v>80894194</v>
      </c>
      <c r="L642" s="12" t="s">
        <v>686</v>
      </c>
      <c r="M642" s="13" t="str">
        <f ca="1">IFERROR(__xludf.DUMMYFUNCTION("TRIM(
  REGEXREPLACE(
    TEXTJOIN("" "",
      TRUE,
      B642,
      C642,
      embaralharLinks(E642,F642,G642),
      H642,
      """",
      J642,
      N642,
      ""#RIPNSFW""
    ),
  "",\s*"", "" "")
)"),"{New} Gabbie Carter https://streamtape.com/v/qrVoPddRPeUz9DJ/80894194 https://doodstream.com/d/cyt0oge6dljc/80894194 https://lulustream.com/d/cms0x2e2zni3 (2026) #BigTits #Hardcore #Porn #Teen #RIPNSFW")</f>
        <v>{New} Gabbie Carter https://streamtape.com/v/qrVoPddRPeUz9DJ/80894194 https://doodstream.com/d/cyt0oge6dljc/80894194 https://lulustream.com/d/cms0x2e2zni3 (2026) #BigTits #Hardcore #Porn #Teen #RIPNSFW</v>
      </c>
      <c r="N642" s="14" t="s">
        <v>687</v>
      </c>
      <c r="O642" s="15" t="s">
        <v>3282</v>
      </c>
      <c r="P642" s="14"/>
      <c r="Q642" s="6"/>
      <c r="R642" s="11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>
      <c r="A643" s="12" t="s">
        <v>3283</v>
      </c>
      <c r="B643" s="6" t="s">
        <v>14</v>
      </c>
      <c r="C643" s="7" t="str">
        <f t="shared" si="8"/>
        <v xml:space="preserve">Gabbie Carter </v>
      </c>
      <c r="D643" s="24" t="s">
        <v>3284</v>
      </c>
      <c r="E643" s="25" t="s">
        <v>3285</v>
      </c>
      <c r="F643" s="9" t="str">
        <f ca="1">IFERROR(__xludf.DUMMYFUNCTION("""https://streamtape.com/v/""&amp;
REGEXEXTRACT(O643,""/thumb/([^/]+)/"")&amp;
""/""&amp;K643"),"https://streamtape.com/v/z3mO4WYq7MfYLMV/82882024")</f>
        <v>https://streamtape.com/v/z3mO4WYq7MfYLMV/82882024</v>
      </c>
      <c r="G643" s="10" t="e">
        <f t="shared" ca="1" si="9"/>
        <v>#NAME?</v>
      </c>
      <c r="H643" s="11" t="str">
        <f ca="1">IFERROR(__xludf.DUMMYFUNCTION("IFERROR(SUBSTITUTE(SUBSTITUTE(REGEXEXTRACT(A643, ""[^-]+- [^-]+- [^-]+ - (.+?)\.jpg""), "".jpg"", """"), ""-"", "", ""), """")"),"")</f>
        <v/>
      </c>
      <c r="I643" s="6"/>
      <c r="J643" s="7" t="str">
        <f t="shared" ca="1" si="10"/>
        <v>(2026)</v>
      </c>
      <c r="K643" s="7" t="str">
        <f t="shared" si="11"/>
        <v>82882024</v>
      </c>
      <c r="L643" s="12" t="s">
        <v>3211</v>
      </c>
      <c r="M643" s="13" t="str">
        <f ca="1">IFERROR(__xludf.DUMMYFUNCTION("TRIM(
  REGEXREPLACE(
    TEXTJOIN("" "",
      TRUE,
      B643,
      C643,
      embaralharLinks(E643,F643,G643),
      H643,
      """",
      J643,
      N643,
      ""#RIPNSFW""
    ),
  "",\s*"", "" "")
)"),"{New} Gabbie Carter https://streamtape.com/v/z3mO4WYq7MfYLMV/82882024 https://lulustream.com/d/bznm586e7uoy https://doodstream.com/d/k1kygi8eihmw/82882024 (2026) #milf #bigtits #blonde #solo #RIPNSFW")</f>
        <v>{New} Gabbie Carter https://streamtape.com/v/z3mO4WYq7MfYLMV/82882024 https://lulustream.com/d/bznm586e7uoy https://doodstream.com/d/k1kygi8eihmw/82882024 (2026) #milf #bigtits #blonde #solo #RIPNSFW</v>
      </c>
      <c r="N643" s="2" t="s">
        <v>3211</v>
      </c>
      <c r="O643" s="30" t="s">
        <v>3286</v>
      </c>
      <c r="P643" s="26"/>
      <c r="R643" s="23"/>
    </row>
    <row r="644" spans="1:27" ht="12.75">
      <c r="A644" s="12" t="s">
        <v>3287</v>
      </c>
      <c r="B644" s="6" t="s">
        <v>14</v>
      </c>
      <c r="C644" s="7" t="str">
        <f t="shared" si="8"/>
        <v xml:space="preserve">Gabbie Carter </v>
      </c>
      <c r="D644" s="24" t="s">
        <v>3288</v>
      </c>
      <c r="E644" s="25" t="s">
        <v>3289</v>
      </c>
      <c r="F644" s="9" t="str">
        <f ca="1">IFERROR(__xludf.DUMMYFUNCTION("""https://streamtape.com/v/""&amp;
REGEXEXTRACT(O644,""/thumb/([^/]+)/"")&amp;
""/""&amp;K644"),"https://streamtape.com/v/r3KBLADgpMtbPRq/83252268")</f>
        <v>https://streamtape.com/v/r3KBLADgpMtbPRq/83252268</v>
      </c>
      <c r="G644" s="10" t="e">
        <f t="shared" ca="1" si="9"/>
        <v>#NAME?</v>
      </c>
      <c r="H644" s="11" t="str">
        <f ca="1">IFERROR(__xludf.DUMMYFUNCTION("IFERROR(SUBSTITUTE(SUBSTITUTE(REGEXEXTRACT(A644, ""[^-]+- [^-]+- [^-]+ - (.+?)\.jpg""), "".jpg"", """"), ""-"", "", ""), """")"),"")</f>
        <v/>
      </c>
      <c r="I644" s="6"/>
      <c r="J644" s="7" t="str">
        <f t="shared" ca="1" si="10"/>
        <v>(2026)</v>
      </c>
      <c r="K644" s="7" t="str">
        <f t="shared" si="11"/>
        <v>83252268</v>
      </c>
      <c r="L644" s="12" t="s">
        <v>3290</v>
      </c>
      <c r="M644" s="13" t="str">
        <f ca="1">IFERROR(__xludf.DUMMYFUNCTION("TRIM(
  REGEXREPLACE(
    TEXTJOIN("" "",
      TRUE,
      B644,
      C644,
      embaralharLinks(E644,F644,G644),
      H644,
      """",
      J644,
      N644,
      ""#RIPNSFW""
    ),
  "",\s*"", "" "")
)"),"{New} Gabbie Carter https://lulustream.com/d/gjqrgtjyz6xa https://streamtape.com/v/r3KBLADgpMtbPRq/83252268 https://doodstream.com/d/yp8mr8mbq9vm/83252268 (2026) #milf #handjob #bigtits #blonde #RIPNSFW")</f>
        <v>{New} Gabbie Carter https://lulustream.com/d/gjqrgtjyz6xa https://streamtape.com/v/r3KBLADgpMtbPRq/83252268 https://doodstream.com/d/yp8mr8mbq9vm/83252268 (2026) #milf #handjob #bigtits #blonde #RIPNSFW</v>
      </c>
      <c r="N644" s="2" t="s">
        <v>3290</v>
      </c>
      <c r="O644" s="30" t="s">
        <v>3291</v>
      </c>
      <c r="P644" s="26"/>
      <c r="R644" s="23"/>
    </row>
    <row r="645" spans="1:27" ht="12.75">
      <c r="A645" s="12" t="s">
        <v>3292</v>
      </c>
      <c r="B645" s="6" t="s">
        <v>14</v>
      </c>
      <c r="C645" s="7" t="str">
        <f t="shared" si="8"/>
        <v xml:space="preserve">Gabbie Carter </v>
      </c>
      <c r="D645" s="24" t="s">
        <v>3293</v>
      </c>
      <c r="E645" s="25" t="s">
        <v>3294</v>
      </c>
      <c r="F645" s="9" t="str">
        <f ca="1">IFERROR(__xludf.DUMMYFUNCTION("""https://streamtape.com/v/""&amp;
REGEXEXTRACT(O645,""/thumb/([^/]+)/"")&amp;
""/""&amp;K645"),"https://streamtape.com/v/Q0X7QvDOexu0oPa/84125752")</f>
        <v>https://streamtape.com/v/Q0X7QvDOexu0oPa/84125752</v>
      </c>
      <c r="G645" s="10" t="e">
        <f t="shared" ca="1" si="9"/>
        <v>#NAME?</v>
      </c>
      <c r="H645" s="11" t="str">
        <f ca="1">IFERROR(__xludf.DUMMYFUNCTION("IFERROR(SUBSTITUTE(SUBSTITUTE(REGEXEXTRACT(A645, ""[^-]+- [^-]+- [^-]+ - (.+?)\.jpg""), "".jpg"", """"), ""-"", "", ""), """")"),"")</f>
        <v/>
      </c>
      <c r="I645" s="6"/>
      <c r="J645" s="7" t="str">
        <f t="shared" ca="1" si="10"/>
        <v>(2026)</v>
      </c>
      <c r="K645" s="7" t="str">
        <f t="shared" si="11"/>
        <v>84125752</v>
      </c>
      <c r="L645" s="12" t="s">
        <v>3295</v>
      </c>
      <c r="M645" s="13" t="str">
        <f ca="1">IFERROR(__xludf.DUMMYFUNCTION("TRIM(
  REGEXREPLACE(
    TEXTJOIN("" "",
      TRUE,
      B645,
      C645,
      embaralharLinks(E645,F645,G645),
      H645,
      """",
      J645,
      N645,
      ""#RIPNSFW""
    ),
  "",\s*"", "" "")
)"),"{New} Gabbie Carter https://doodstream.com/d/h1ahx730f5y9/84125752 https://streamtape.com/v/Q0X7QvDOexu0oPa/84125752 https://lulustream.com/d/m8txeegx23tp (2026) #milf #bigtits #blowjob #deepthroat #RIPNSFW")</f>
        <v>{New} Gabbie Carter https://doodstream.com/d/h1ahx730f5y9/84125752 https://streamtape.com/v/Q0X7QvDOexu0oPa/84125752 https://lulustream.com/d/m8txeegx23tp (2026) #milf #bigtits #blowjob #deepthroat #RIPNSFW</v>
      </c>
      <c r="N645" s="2" t="s">
        <v>3295</v>
      </c>
      <c r="O645" s="30" t="s">
        <v>3296</v>
      </c>
      <c r="P645" s="26"/>
      <c r="R645" s="23"/>
      <c r="T645" s="6"/>
      <c r="U645" s="7"/>
    </row>
    <row r="646" spans="1:27" ht="12.75">
      <c r="A646" s="12" t="s">
        <v>3297</v>
      </c>
      <c r="B646" s="6" t="s">
        <v>14</v>
      </c>
      <c r="C646" s="7" t="str">
        <f t="shared" si="8"/>
        <v xml:space="preserve">Gabbie Carter </v>
      </c>
      <c r="D646" s="24" t="s">
        <v>3298</v>
      </c>
      <c r="E646" s="25" t="s">
        <v>3299</v>
      </c>
      <c r="F646" s="9" t="str">
        <f ca="1">IFERROR(__xludf.DUMMYFUNCTION("""https://streamtape.com/v/""&amp;
REGEXEXTRACT(O646,""/thumb/([^/]+)/"")&amp;
""/""&amp;K646"),"https://streamtape.com/v/jbxK8MovP6Fz0Mq/84416045")</f>
        <v>https://streamtape.com/v/jbxK8MovP6Fz0Mq/84416045</v>
      </c>
      <c r="G646" s="10" t="e">
        <f t="shared" ca="1" si="9"/>
        <v>#NAME?</v>
      </c>
      <c r="H646" s="11" t="str">
        <f ca="1">IFERROR(__xludf.DUMMYFUNCTION("IFERROR(SUBSTITUTE(SUBSTITUTE(REGEXEXTRACT(A646, ""[^-]+- [^-]+- [^-]+ - (.+?)\.jpg""), "".jpg"", """"), ""-"", "", ""), """")"),"")</f>
        <v/>
      </c>
      <c r="I646" s="6"/>
      <c r="J646" s="7" t="str">
        <f t="shared" ca="1" si="10"/>
        <v>(2026)</v>
      </c>
      <c r="K646" s="7" t="str">
        <f t="shared" si="11"/>
        <v>84416045</v>
      </c>
      <c r="L646" s="12" t="s">
        <v>3300</v>
      </c>
      <c r="M646" s="13" t="str">
        <f ca="1">IFERROR(__xludf.DUMMYFUNCTION("TRIM(
  REGEXREPLACE(
    TEXTJOIN("" "",
      TRUE,
      B646,
      C646,
      embaralharLinks(E646,F646,G646),
      H646,
      """",
      J646,
      N646,
      ""#RIPNSFW""
    ),
  "",\s*"", "" "")
)"),"{New} Gabbie Carter https://streamtape.com/v/jbxK8MovP6Fz0Mq/84416045 https://doodstream.com/d/8q65kx7192gy/84416045 https://lulustream.com/d/p7izqtz29g1b (2026) #milf #bigtits #creampie #blowjob #RIPNSFW")</f>
        <v>{New} Gabbie Carter https://streamtape.com/v/jbxK8MovP6Fz0Mq/84416045 https://doodstream.com/d/8q65kx7192gy/84416045 https://lulustream.com/d/p7izqtz29g1b (2026) #milf #bigtits #creampie #blowjob #RIPNSFW</v>
      </c>
      <c r="N646" s="2" t="s">
        <v>3300</v>
      </c>
      <c r="O646" s="30" t="s">
        <v>3301</v>
      </c>
      <c r="P646" s="26"/>
      <c r="R646" s="23"/>
    </row>
    <row r="647" spans="1:27" ht="12.75">
      <c r="A647" s="12" t="s">
        <v>3302</v>
      </c>
      <c r="B647" s="6" t="s">
        <v>14</v>
      </c>
      <c r="C647" s="7" t="str">
        <f t="shared" si="8"/>
        <v xml:space="preserve">Gabbie Carter </v>
      </c>
      <c r="D647" s="24" t="s">
        <v>3303</v>
      </c>
      <c r="E647" s="25" t="s">
        <v>3304</v>
      </c>
      <c r="F647" s="9" t="str">
        <f ca="1">IFERROR(__xludf.DUMMYFUNCTION("""https://streamtape.com/v/""&amp;
REGEXEXTRACT(O647,""/thumb/([^/]+)/"")&amp;
""/""&amp;K647"),"https://streamtape.com/v/88eZdyOz9xForbK/85598003")</f>
        <v>https://streamtape.com/v/88eZdyOz9xForbK/85598003</v>
      </c>
      <c r="G647" s="10" t="e">
        <f t="shared" ca="1" si="9"/>
        <v>#NAME?</v>
      </c>
      <c r="H647" s="11" t="str">
        <f ca="1">IFERROR(__xludf.DUMMYFUNCTION("IFERROR(SUBSTITUTE(SUBSTITUTE(REGEXEXTRACT(A647, ""[^-]+- [^-]+- [^-]+ - (.+?)\.jpg""), "".jpg"", """"), ""-"", "", ""), """")"),"")</f>
        <v/>
      </c>
      <c r="I647" s="6"/>
      <c r="J647" s="7" t="str">
        <f t="shared" ca="1" si="10"/>
        <v>(2026)</v>
      </c>
      <c r="K647" s="7" t="str">
        <f t="shared" si="11"/>
        <v>85598003</v>
      </c>
      <c r="L647" s="12" t="s">
        <v>1788</v>
      </c>
      <c r="M647" s="13" t="str">
        <f ca="1">IFERROR(__xludf.DUMMYFUNCTION("TRIM(
  REGEXREPLACE(
    TEXTJOIN("" "",
      TRUE,
      B647,
      C647,
      embaralharLinks(E647,F647,G647),
      H647,
      """",
      J647,
      N647,
      ""#RIPNSFW""
    ),
  "",\s*"", "" "")
)"),"{New} Gabbie Carter https://streamtape.com/v/88eZdyOz9xForbK/85598003 https://doodstream.com/d/5umdukv7o3qs/85598003 https://lulustream.com/d/3gjg6noectcr (2026) #milf #bigtits #blowjob #blonde #RIPNSFW")</f>
        <v>{New} Gabbie Carter https://streamtape.com/v/88eZdyOz9xForbK/85598003 https://doodstream.com/d/5umdukv7o3qs/85598003 https://lulustream.com/d/3gjg6noectcr (2026) #milf #bigtits #blowjob #blonde #RIPNSFW</v>
      </c>
      <c r="N647" s="2" t="s">
        <v>1788</v>
      </c>
      <c r="O647" s="30" t="s">
        <v>3305</v>
      </c>
      <c r="P647" s="26"/>
      <c r="R647" s="23"/>
    </row>
    <row r="648" spans="1:27" ht="12.75">
      <c r="A648" s="6" t="s">
        <v>3306</v>
      </c>
      <c r="B648" s="6" t="s">
        <v>14</v>
      </c>
      <c r="C648" s="7" t="str">
        <f t="shared" si="8"/>
        <v xml:space="preserve">Gabbie Carter </v>
      </c>
      <c r="D648" s="6" t="s">
        <v>3307</v>
      </c>
      <c r="E648" s="8" t="s">
        <v>3308</v>
      </c>
      <c r="F648" s="9" t="str">
        <f ca="1">IFERROR(__xludf.DUMMYFUNCTION("""https://streamtape.com/v/""&amp;
REGEXEXTRACT(O648,""/thumb/([^/]+)/"")&amp;
""/""&amp;K648"),"https://streamtape.com/v/Bv7woZbWKOUyezY/87954006")</f>
        <v>https://streamtape.com/v/Bv7woZbWKOUyezY/87954006</v>
      </c>
      <c r="G648" s="10" t="e">
        <f t="shared" ca="1" si="9"/>
        <v>#NAME?</v>
      </c>
      <c r="H648" s="11" t="str">
        <f ca="1">IFERROR(__xludf.DUMMYFUNCTION("IFERROR(SUBSTITUTE(SUBSTITUTE(REGEXEXTRACT(A648, ""[^-]+- [^-]+- [^-]+ - (.+?)\.jpg""), "".jpg"", """"), ""-"", "", ""), """")"),"")</f>
        <v/>
      </c>
      <c r="I648" s="6"/>
      <c r="J648" s="7" t="str">
        <f t="shared" ca="1" si="10"/>
        <v>(2026)</v>
      </c>
      <c r="K648" s="7" t="str">
        <f t="shared" si="11"/>
        <v>87954006</v>
      </c>
      <c r="L648" s="12" t="s">
        <v>3309</v>
      </c>
      <c r="M648" s="13" t="str">
        <f ca="1">IFERROR(__xludf.DUMMYFUNCTION("TRIM(
  REGEXREPLACE(
    TEXTJOIN("" "",
      TRUE,
      B648,
      C648,
      embaralharLinks(E648,F648,G648),
      H648,
      """",
      J648,
      N648,
      ""#RIPNSFW""
    ),
  "",\s*"", "" "")
)"),"{New} Gabbie Carter https://lulustream.com/d/l7l4ofoj04yq https://streamtape.com/v/Bv7woZbWKOUyezY/87954006 https://doodstream.com/d/ogswjra9im6i/87954006 (2026) #MILF #BigTits #Hardcore #Blowjob #Amateur #RIPNSFW")</f>
        <v>{New} Gabbie Carter https://lulustream.com/d/l7l4ofoj04yq https://streamtape.com/v/Bv7woZbWKOUyezY/87954006 https://doodstream.com/d/ogswjra9im6i/87954006 (2026) #MILF #BigTits #Hardcore #Blowjob #Amateur #RIPNSFW</v>
      </c>
      <c r="N648" s="14" t="s">
        <v>1376</v>
      </c>
      <c r="O648" s="15" t="s">
        <v>3310</v>
      </c>
      <c r="P648" s="14"/>
      <c r="Q648" s="6"/>
      <c r="R648" s="11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>
      <c r="A649" s="6" t="s">
        <v>3311</v>
      </c>
      <c r="B649" s="6" t="s">
        <v>14</v>
      </c>
      <c r="C649" s="7" t="str">
        <f t="shared" si="8"/>
        <v xml:space="preserve">Gabbie Carter </v>
      </c>
      <c r="D649" s="6" t="s">
        <v>3312</v>
      </c>
      <c r="E649" s="8" t="s">
        <v>3313</v>
      </c>
      <c r="F649" s="9" t="str">
        <f ca="1">IFERROR(__xludf.DUMMYFUNCTION("""https://streamtape.com/v/""&amp;
REGEXEXTRACT(O649,""/thumb/([^/]+)/"")&amp;
""/""&amp;K649"),"https://streamtape.com/v/0roDg3DVeatbzzy/88275932")</f>
        <v>https://streamtape.com/v/0roDg3DVeatbzzy/88275932</v>
      </c>
      <c r="G649" s="10" t="e">
        <f t="shared" ca="1" si="9"/>
        <v>#NAME?</v>
      </c>
      <c r="H649" s="11" t="str">
        <f ca="1">IFERROR(__xludf.DUMMYFUNCTION("IFERROR(SUBSTITUTE(SUBSTITUTE(REGEXEXTRACT(A649, ""[^-]+- [^-]+- [^-]+ - (.+?)\.jpg""), "".jpg"", """"), ""-"", "", ""), """")"),"")</f>
        <v/>
      </c>
      <c r="I649" s="6"/>
      <c r="J649" s="7" t="str">
        <f t="shared" ca="1" si="10"/>
        <v>(2026)</v>
      </c>
      <c r="K649" s="7" t="str">
        <f t="shared" si="11"/>
        <v>88275932</v>
      </c>
      <c r="L649" s="12" t="s">
        <v>3314</v>
      </c>
      <c r="M649" s="13" t="str">
        <f ca="1">IFERROR(__xludf.DUMMYFUNCTION("TRIM(
  REGEXREPLACE(
    TEXTJOIN("" "",
      TRUE,
      B649,
      C649,
      embaralharLinks(E649,F649,G649),
      H649,
      """",
      J649,
      N649,
      ""#RIPNSFW""
    ),
  "",\s*"", "" "")
)"),"{New} Gabbie Carter https://streamtape.com/v/0roDg3DVeatbzzy/88275932 https://lulustream.com/d/k7ng70l8c9ok https://doodstream.com/d/ur4eljw8jr14/88275932 (2026) #BigTits #Teen #Roleplay #Solo #Blonde #RIPNSFW")</f>
        <v>{New} Gabbie Carter https://streamtape.com/v/0roDg3DVeatbzzy/88275932 https://lulustream.com/d/k7ng70l8c9ok https://doodstream.com/d/ur4eljw8jr14/88275932 (2026) #BigTits #Teen #Roleplay #Solo #Blonde #RIPNSFW</v>
      </c>
      <c r="N649" s="14" t="s">
        <v>3315</v>
      </c>
      <c r="O649" s="15" t="s">
        <v>3316</v>
      </c>
      <c r="P649" s="14"/>
      <c r="Q649" s="6"/>
      <c r="R649" s="11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>
      <c r="A650" s="12" t="s">
        <v>3317</v>
      </c>
      <c r="B650" s="6" t="s">
        <v>14</v>
      </c>
      <c r="C650" s="7" t="str">
        <f t="shared" si="8"/>
        <v xml:space="preserve">Gabbie Carter </v>
      </c>
      <c r="D650" s="24" t="s">
        <v>3318</v>
      </c>
      <c r="E650" s="25" t="s">
        <v>3319</v>
      </c>
      <c r="F650" s="9" t="str">
        <f ca="1">IFERROR(__xludf.DUMMYFUNCTION("""https://streamtape.com/v/""&amp;
REGEXEXTRACT(O650,""/thumb/([^/]+)/"")&amp;
""/""&amp;K650"),"https://streamtape.com/v/GbdOzoAPg2slXb/88513952")</f>
        <v>https://streamtape.com/v/GbdOzoAPg2slXb/88513952</v>
      </c>
      <c r="G650" s="10" t="e">
        <f t="shared" ca="1" si="9"/>
        <v>#NAME?</v>
      </c>
      <c r="H650" s="11" t="str">
        <f ca="1">IFERROR(__xludf.DUMMYFUNCTION("IFERROR(SUBSTITUTE(SUBSTITUTE(REGEXEXTRACT(A650, ""[^-]+- [^-]+- [^-]+ - (.+?)\.jpg""), "".jpg"", """"), ""-"", "", ""), """")"),"")</f>
        <v/>
      </c>
      <c r="I650" s="6"/>
      <c r="J650" s="7" t="str">
        <f t="shared" ca="1" si="10"/>
        <v>(2026)</v>
      </c>
      <c r="K650" s="7" t="str">
        <f t="shared" si="11"/>
        <v>88513952</v>
      </c>
      <c r="L650" s="12" t="s">
        <v>3300</v>
      </c>
      <c r="M650" s="13" t="str">
        <f ca="1">IFERROR(__xludf.DUMMYFUNCTION("TRIM(
  REGEXREPLACE(
    TEXTJOIN("" "",
      TRUE,
      B650,
      C650,
      embaralharLinks(E650,F650,G650),
      H650,
      """",
      J650,
      N650,
      ""#RIPNSFW""
    ),
  "",\s*"", "" "")
)"),"{New} Gabbie Carter https://doodstream.com/d/g89802dekkou/88513952 https://lulustream.com/d/120uazjuxwvx https://streamtape.com/v/GbdOzoAPg2slXb/88513952 (2026) #milf #bigtits #creampie #blowjob #RIPNSFW")</f>
        <v>{New} Gabbie Carter https://doodstream.com/d/g89802dekkou/88513952 https://lulustream.com/d/120uazjuxwvx https://streamtape.com/v/GbdOzoAPg2slXb/88513952 (2026) #milf #bigtits #creampie #blowjob #RIPNSFW</v>
      </c>
      <c r="N650" s="2" t="s">
        <v>3300</v>
      </c>
      <c r="O650" s="30" t="s">
        <v>3320</v>
      </c>
      <c r="P650" s="26"/>
      <c r="R650" s="23"/>
    </row>
    <row r="651" spans="1:27" ht="12.75">
      <c r="A651" s="12" t="s">
        <v>3321</v>
      </c>
      <c r="B651" s="6"/>
      <c r="C651" s="7" t="str">
        <f t="shared" si="8"/>
        <v xml:space="preserve">Gabbie Carter </v>
      </c>
      <c r="D651" s="24" t="s">
        <v>3322</v>
      </c>
      <c r="E651" s="25" t="s">
        <v>3323</v>
      </c>
      <c r="F651" s="9" t="str">
        <f ca="1">IFERROR(__xludf.DUMMYFUNCTION("""https://streamtape.com/v/""&amp;
REGEXEXTRACT(O651,""/thumb/([^/]+)/"")&amp;
""/""&amp;K651"),"https://streamtape.com/v/6wKWlVK1Keu98Wj/91592222")</f>
        <v>https://streamtape.com/v/6wKWlVK1Keu98Wj/91592222</v>
      </c>
      <c r="G651" s="10" t="e">
        <f t="shared" ca="1" si="9"/>
        <v>#NAME?</v>
      </c>
      <c r="H651" s="11" t="str">
        <f ca="1">IFERROR(__xludf.DUMMYFUNCTION("IFERROR(SUBSTITUTE(SUBSTITUTE(REGEXEXTRACT(A651, ""[^-]+- [^-]+- [^-]+ - (.+?)\.jpg""), "".jpg"", """"), ""-"", "", ""), """")"),"")</f>
        <v/>
      </c>
      <c r="I651" s="6"/>
      <c r="J651" s="7" t="str">
        <f t="shared" ca="1" si="10"/>
        <v/>
      </c>
      <c r="K651" s="7" t="str">
        <f t="shared" si="11"/>
        <v>91592222</v>
      </c>
      <c r="L651" s="12" t="s">
        <v>3324</v>
      </c>
      <c r="M651" s="13" t="str">
        <f ca="1">IFERROR(__xludf.DUMMYFUNCTION("TRIM(
  REGEXREPLACE(
    TEXTJOIN("" "",
      TRUE,
      B651,
      C651,
      embaralharLinks(E651,F651,G651),
      H651,
      """",
      J651,
      N651,
      ""#RIPNSFW""
    ),
  "",\s*"", "" "")
)"),"Gabbie Carter https://streamtape.com/v/6wKWlVK1Keu98Wj/91592222 https://lulustream.com/d/kh6h6kbgfr0b https://doodstream.com/d/gii2udzx33b4/91592222 #milf #blonde #handjob #bigtits #RIPNSFW")</f>
        <v>Gabbie Carter https://streamtape.com/v/6wKWlVK1Keu98Wj/91592222 https://lulustream.com/d/kh6h6kbgfr0b https://doodstream.com/d/gii2udzx33b4/91592222 #milf #blonde #handjob #bigtits #RIPNSFW</v>
      </c>
      <c r="N651" s="2" t="s">
        <v>3324</v>
      </c>
      <c r="O651" s="30" t="s">
        <v>3325</v>
      </c>
      <c r="P651" s="26"/>
      <c r="R651" s="23"/>
      <c r="T651" s="6"/>
      <c r="U651" s="7"/>
    </row>
    <row r="652" spans="1:27" ht="12.75">
      <c r="A652" s="6" t="s">
        <v>3326</v>
      </c>
      <c r="B652" s="6" t="s">
        <v>14</v>
      </c>
      <c r="C652" s="7" t="str">
        <f t="shared" si="8"/>
        <v xml:space="preserve">Gabbie Carter </v>
      </c>
      <c r="D652" s="24" t="s">
        <v>3327</v>
      </c>
      <c r="E652" s="25" t="s">
        <v>3328</v>
      </c>
      <c r="F652" s="9" t="str">
        <f ca="1">IFERROR(__xludf.DUMMYFUNCTION("""https://streamtape.com/v/""&amp;
REGEXEXTRACT(O652,""/thumb/([^/]+)/"")&amp;
""/""&amp;K652"),"https://streamtape.com/v/mY1mZz7qxyUXlG/96137621")</f>
        <v>https://streamtape.com/v/mY1mZz7qxyUXlG/96137621</v>
      </c>
      <c r="G652" s="10" t="e">
        <f t="shared" ca="1" si="9"/>
        <v>#NAME?</v>
      </c>
      <c r="H652" s="11" t="str">
        <f ca="1">IFERROR(__xludf.DUMMYFUNCTION("IFERROR(SUBSTITUTE(SUBSTITUTE(REGEXEXTRACT(A652, ""[^-]+- [^-]+- [^-]+ - (.+?)\.jpg""), "".jpg"", """"), ""-"", "", ""), """")"),"")</f>
        <v/>
      </c>
      <c r="I652" s="6"/>
      <c r="J652" s="7" t="str">
        <f t="shared" ca="1" si="10"/>
        <v>(2026)</v>
      </c>
      <c r="K652" s="7" t="str">
        <f t="shared" si="11"/>
        <v>96137621</v>
      </c>
      <c r="L652" s="12" t="s">
        <v>3329</v>
      </c>
      <c r="M652" s="13" t="str">
        <f ca="1">IFERROR(__xludf.DUMMYFUNCTION("TRIM(
  REGEXREPLACE(
    TEXTJOIN("" "",
      TRUE,
      B652,
      C652,
      embaralharLinks(E652,F652,G652),
      H652,
      """",
      J652,
      N652,
      ""#RIPNSFW""
    ),
  "",\s*"", "" "")
)"),"{New} Gabbie Carter https://streamtape.com/v/mY1mZz7qxyUXlG/96137621 https://lulustream.com/d/3m8en50r81oq https://doodstream.com/d/auz1pld4ard7/96137621 (2026) #milf #milk #bigtits #blonde #RIPNSFW")</f>
        <v>{New} Gabbie Carter https://streamtape.com/v/mY1mZz7qxyUXlG/96137621 https://lulustream.com/d/3m8en50r81oq https://doodstream.com/d/auz1pld4ard7/96137621 (2026) #milf #milk #bigtits #blonde #RIPNSFW</v>
      </c>
      <c r="N652" s="31" t="s">
        <v>3329</v>
      </c>
      <c r="O652" s="32" t="s">
        <v>3330</v>
      </c>
      <c r="P652" s="26"/>
      <c r="Q652" s="6"/>
      <c r="R652" s="11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>
      <c r="A653" s="12" t="s">
        <v>3331</v>
      </c>
      <c r="B653" s="6" t="s">
        <v>14</v>
      </c>
      <c r="C653" s="7" t="str">
        <f t="shared" si="8"/>
        <v xml:space="preserve">Gabbie Carter </v>
      </c>
      <c r="D653" s="24" t="s">
        <v>3332</v>
      </c>
      <c r="E653" s="25" t="s">
        <v>3333</v>
      </c>
      <c r="F653" s="9" t="str">
        <f ca="1">IFERROR(__xludf.DUMMYFUNCTION("""https://streamtape.com/v/""&amp;
REGEXEXTRACT(O653,""/thumb/([^/]+)/"")&amp;
""/""&amp;K653"),"https://streamtape.com/v/D0DxZJpyDluwbx/98491626")</f>
        <v>https://streamtape.com/v/D0DxZJpyDluwbx/98491626</v>
      </c>
      <c r="G653" s="10" t="e">
        <f t="shared" ca="1" si="9"/>
        <v>#NAME?</v>
      </c>
      <c r="H653" s="11" t="str">
        <f ca="1">IFERROR(__xludf.DUMMYFUNCTION("IFERROR(SUBSTITUTE(SUBSTITUTE(REGEXEXTRACT(A653, ""[^-]+- [^-]+- [^-]+ - (.+?)\.jpg""), "".jpg"", """"), ""-"", "", ""), """")"),"")</f>
        <v/>
      </c>
      <c r="I653" s="6"/>
      <c r="J653" s="7" t="str">
        <f t="shared" ca="1" si="10"/>
        <v>(2026)</v>
      </c>
      <c r="K653" s="7" t="str">
        <f t="shared" si="11"/>
        <v>98491626</v>
      </c>
      <c r="L653" s="12" t="s">
        <v>1788</v>
      </c>
      <c r="M653" s="13" t="str">
        <f ca="1">IFERROR(__xludf.DUMMYFUNCTION("TRIM(
  REGEXREPLACE(
    TEXTJOIN("" "",
      TRUE,
      B653,
      C653,
      embaralharLinks(E653,F653,G653),
      H653,
      """",
      J653,
      N653,
      ""#RIPNSFW""
    ),
  "",\s*"", "" "")
)"),"{New} Gabbie Carter https://lulustream.com/d/rx5ficjdoaql https://streamtape.com/v/D0DxZJpyDluwbx/98491626 https://doodstream.com/d/0cm9ak7bfzra/98491626 (2026) #milf #bigtits #blowjob #blonde #RIPNSFW")</f>
        <v>{New} Gabbie Carter https://lulustream.com/d/rx5ficjdoaql https://streamtape.com/v/D0DxZJpyDluwbx/98491626 https://doodstream.com/d/0cm9ak7bfzra/98491626 (2026) #milf #bigtits #blowjob #blonde #RIPNSFW</v>
      </c>
      <c r="N653" s="2" t="s">
        <v>1788</v>
      </c>
      <c r="O653" s="30" t="s">
        <v>3334</v>
      </c>
      <c r="P653" s="26"/>
      <c r="R653" s="23"/>
    </row>
    <row r="654" spans="1:27" ht="12.75">
      <c r="A654" s="6" t="s">
        <v>3335</v>
      </c>
      <c r="B654" s="6" t="s">
        <v>14</v>
      </c>
      <c r="C654" s="7" t="str">
        <f t="shared" si="8"/>
        <v xml:space="preserve">Gabbie Carter </v>
      </c>
      <c r="D654" s="6" t="s">
        <v>3336</v>
      </c>
      <c r="E654" s="8" t="s">
        <v>3337</v>
      </c>
      <c r="F654" s="9" t="str">
        <f ca="1">IFERROR(__xludf.DUMMYFUNCTION("""https://streamtape.com/v/""&amp;
REGEXEXTRACT(O654,""/thumb/([^/]+)/"")&amp;
""/""&amp;K654"),"https://streamtape.com/v/oGVAzBbJW0fb8K/99789739")</f>
        <v>https://streamtape.com/v/oGVAzBbJW0fb8K/99789739</v>
      </c>
      <c r="G654" s="10" t="e">
        <f t="shared" ca="1" si="9"/>
        <v>#NAME?</v>
      </c>
      <c r="H654" s="11" t="str">
        <f ca="1">IFERROR(__xludf.DUMMYFUNCTION("IFERROR(SUBSTITUTE(SUBSTITUTE(REGEXEXTRACT(A654, ""[^-]+- [^-]+- [^-]+ - (.+?)\.jpg""), "".jpg"", """"), ""-"", "", ""), """")"),"")</f>
        <v/>
      </c>
      <c r="I654" s="6"/>
      <c r="J654" s="7" t="str">
        <f t="shared" ca="1" si="10"/>
        <v>(2026)</v>
      </c>
      <c r="K654" s="7" t="str">
        <f t="shared" si="11"/>
        <v>99789739</v>
      </c>
      <c r="L654" s="12" t="s">
        <v>3338</v>
      </c>
      <c r="M654" s="13" t="str">
        <f ca="1">IFERROR(__xludf.DUMMYFUNCTION("TRIM(
  REGEXREPLACE(
    TEXTJOIN("" "",
      TRUE,
      B654,
      C654,
      embaralharLinks(E654,F654,G654),
      H654,
      """",
      J654,
      N654,
      ""#RIPNSFW""
    ),
  "",\s*"", "" "")
)"),"{New} Gabbie Carter https://streamtape.com/v/oGVAzBbJW0fb8K/99789739 https://doodstream.com/d/qk6v094ilghh/99789739 https://lulustream.com/d/3osv6yo6psi6 (2026) #MILF #BigTits #Creampie #Hardcore #RIPNSFW")</f>
        <v>{New} Gabbie Carter https://streamtape.com/v/oGVAzBbJW0fb8K/99789739 https://doodstream.com/d/qk6v094ilghh/99789739 https://lulustream.com/d/3osv6yo6psi6 (2026) #MILF #BigTits #Creampie #Hardcore #RIPNSFW</v>
      </c>
      <c r="N654" s="14" t="s">
        <v>474</v>
      </c>
      <c r="O654" s="15" t="s">
        <v>3339</v>
      </c>
      <c r="P654" s="14"/>
      <c r="Q654" s="6"/>
      <c r="R654" s="11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>
      <c r="A655" s="6" t="s">
        <v>3340</v>
      </c>
      <c r="B655" s="6" t="s">
        <v>14</v>
      </c>
      <c r="C655" s="7" t="str">
        <f t="shared" si="8"/>
        <v xml:space="preserve">Gia Derza </v>
      </c>
      <c r="D655" s="6" t="s">
        <v>3341</v>
      </c>
      <c r="E655" s="8" t="s">
        <v>3342</v>
      </c>
      <c r="F655" s="9" t="str">
        <f ca="1">IFERROR(__xludf.DUMMYFUNCTION("""https://streamtape.com/v/""&amp;
REGEXEXTRACT(O655,""/thumb/([^/]+)/"")&amp;
""/""&amp;K655"),"https://streamtape.com/v/9WaV6r6zPZsadR2/43518026")</f>
        <v>https://streamtape.com/v/9WaV6r6zPZsadR2/43518026</v>
      </c>
      <c r="G655" s="10" t="e">
        <f t="shared" ca="1" si="9"/>
        <v>#NAME?</v>
      </c>
      <c r="H655" s="11" t="str">
        <f ca="1">IFERROR(__xludf.DUMMYFUNCTION("IFERROR(SUBSTITUTE(SUBSTITUTE(REGEXEXTRACT(A655, ""[^-]+- [^-]+- [^-]+ - (.+?)\.jpg""), "".jpg"", """"), ""-"", "", ""), """")"),"Lena the plug")</f>
        <v>Lena the plug</v>
      </c>
      <c r="I655" s="6"/>
      <c r="J655" s="7" t="str">
        <f t="shared" ca="1" si="10"/>
        <v>(2026)</v>
      </c>
      <c r="K655" s="7" t="str">
        <f t="shared" si="11"/>
        <v>43518026</v>
      </c>
      <c r="L655" s="12" t="s">
        <v>3343</v>
      </c>
      <c r="M655" s="13" t="str">
        <f ca="1">IFERROR(__xludf.DUMMYFUNCTION("TRIM(
  REGEXREPLACE(
    TEXTJOIN("" "",
      TRUE,
      B655,
      C655,
      embaralharLinks(E655,F655,G655),
      H655,
      """",
      J655,
      N655,
      ""#RIPNSFW""
    ),
  "",\s*"", "" "")
)"),"{New} Gia Derza https://streamtape.com/v/9WaV6r6zPZsadR2/43518026 https://lulustream.com/d/ze98hoyhgsny https://doodstream.com/d/r8n07finj1zi/43518026 Lena the plug (2026) #MILF #BigTits #Hardcore #Threesome #Bigass #Teen #Blowjob #Amateur #Deepthroat #Fa"&amp;"cial #RIPNSFW")</f>
        <v>{New} Gia Derza https://streamtape.com/v/9WaV6r6zPZsadR2/43518026 https://lulustream.com/d/ze98hoyhgsny https://doodstream.com/d/r8n07finj1zi/43518026 Lena the plug (2026) #MILF #BigTits #Hardcore #Threesome #Bigass #Teen #Blowjob #Amateur #Deepthroat #Facial #RIPNSFW</v>
      </c>
      <c r="N655" s="14" t="s">
        <v>3344</v>
      </c>
      <c r="O655" s="15" t="s">
        <v>3345</v>
      </c>
      <c r="P655" s="14"/>
      <c r="Q655" s="6"/>
      <c r="R655" s="11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>
      <c r="A656" s="6" t="s">
        <v>3346</v>
      </c>
      <c r="B656" s="6" t="s">
        <v>14</v>
      </c>
      <c r="C656" s="7" t="str">
        <f t="shared" si="8"/>
        <v xml:space="preserve">Gia Ohmy </v>
      </c>
      <c r="D656" s="6" t="s">
        <v>3347</v>
      </c>
      <c r="E656" s="8" t="s">
        <v>3348</v>
      </c>
      <c r="F656" s="9" t="str">
        <f ca="1">IFERROR(__xludf.DUMMYFUNCTION("""https://streamtape.com/v/""&amp;
REGEXEXTRACT(O656,""/thumb/([^/]+)/"")&amp;
""/""&amp;K656"),"https://streamtape.com/v/DMoq7VzQWAHDJP/84464192")</f>
        <v>https://streamtape.com/v/DMoq7VzQWAHDJP/84464192</v>
      </c>
      <c r="G656" s="10" t="e">
        <f t="shared" ca="1" si="9"/>
        <v>#NAME?</v>
      </c>
      <c r="H656" s="11" t="str">
        <f ca="1">IFERROR(__xludf.DUMMYFUNCTION("IFERROR(SUBSTITUTE(SUBSTITUTE(REGEXEXTRACT(A656, ""[^-]+- [^-]+- [^-]+ - (.+?)\.jpg""), "".jpg"", """"), ""-"", "", ""), """")"),"")</f>
        <v/>
      </c>
      <c r="I656" s="6"/>
      <c r="J656" s="7" t="str">
        <f t="shared" ca="1" si="10"/>
        <v>(2026)</v>
      </c>
      <c r="K656" s="7" t="str">
        <f t="shared" si="11"/>
        <v>84464192</v>
      </c>
      <c r="L656" s="12" t="s">
        <v>3349</v>
      </c>
      <c r="M656" s="13" t="str">
        <f ca="1">IFERROR(__xludf.DUMMYFUNCTION("TRIM(
  REGEXREPLACE(
    TEXTJOIN("" "",
      TRUE,
      B656,
      C656,
      embaralharLinks(E656,F656,G656),
      H656,
      """",
      J656,
      N656,
      ""#RIPNSFW""
    ),
  "",\s*"", "" "")
)"),"{New} Gia Ohmy https://lulustream.com/d/1ocs75mkkntx https://doodstream.com/d/2yjm793udtmy/84464192 https://streamtape.com/v/DMoq7VzQWAHDJP/84464192 (2026) #BigTits #Creampie #Hardcore #Bigass #Teen #Blowjob #Amateur #RIPNSFW")</f>
        <v>{New} Gia Ohmy https://lulustream.com/d/1ocs75mkkntx https://doodstream.com/d/2yjm793udtmy/84464192 https://streamtape.com/v/DMoq7VzQWAHDJP/84464192 (2026) #BigTits #Creampie #Hardcore #Bigass #Teen #Blowjob #Amateur #RIPNSFW</v>
      </c>
      <c r="N656" s="14" t="s">
        <v>213</v>
      </c>
      <c r="O656" s="15" t="s">
        <v>3350</v>
      </c>
      <c r="P656" s="14"/>
      <c r="Q656" s="6"/>
      <c r="R656" s="11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>
      <c r="A657" s="12" t="s">
        <v>3351</v>
      </c>
      <c r="B657" s="6" t="s">
        <v>14</v>
      </c>
      <c r="C657" s="7" t="str">
        <f t="shared" si="8"/>
        <v xml:space="preserve">Gianna Dior </v>
      </c>
      <c r="D657" s="24" t="s">
        <v>3352</v>
      </c>
      <c r="E657" s="25" t="s">
        <v>3353</v>
      </c>
      <c r="F657" s="9" t="str">
        <f ca="1">IFERROR(__xludf.DUMMYFUNCTION("""https://streamtape.com/v/""&amp;
REGEXEXTRACT(O657,""/thumb/([^/]+)/"")&amp;
""/""&amp;K657"),"https://streamtape.com/v/vVMXYJlg9Ofb6Q/79907199")</f>
        <v>https://streamtape.com/v/vVMXYJlg9Ofb6Q/79907199</v>
      </c>
      <c r="G657" s="10" t="e">
        <f t="shared" ca="1" si="9"/>
        <v>#NAME?</v>
      </c>
      <c r="H657" s="11" t="str">
        <f ca="1">IFERROR(__xludf.DUMMYFUNCTION("IFERROR(SUBSTITUTE(SUBSTITUTE(REGEXEXTRACT(A657, ""[^-]+- [^-]+- [^-]+ - (.+?)\.jpg""), "".jpg"", """"), ""-"", "", ""), """")"),"")</f>
        <v/>
      </c>
      <c r="I657" s="6"/>
      <c r="J657" s="7" t="str">
        <f t="shared" ca="1" si="10"/>
        <v>(2026)</v>
      </c>
      <c r="K657" s="7" t="str">
        <f t="shared" si="11"/>
        <v>79907199</v>
      </c>
      <c r="L657" s="12" t="s">
        <v>3354</v>
      </c>
      <c r="M657" s="13" t="str">
        <f ca="1">IFERROR(__xludf.DUMMYFUNCTION("TRIM(
  REGEXREPLACE(
    TEXTJOIN("" "",
      TRUE,
      B657,
      C657,
      embaralharLinks(E657,F657,G657),
      H657,
      """",
      J657,
      N657,
      ""#RIPNSFW""
    ),
  "",\s*"", "" "")
)"),"{New} Gianna Dior https://lulustream.com/d/v9mtf31yr37c https://streamtape.com/v/vVMXYJlg9Ofb6Q/79907199 https://doodstream.com/d/9htn7xwxrudx/79907199 (2026) #threesome #blonde #blowjob #smalltits #RIPNSFW")</f>
        <v>{New} Gianna Dior https://lulustream.com/d/v9mtf31yr37c https://streamtape.com/v/vVMXYJlg9Ofb6Q/79907199 https://doodstream.com/d/9htn7xwxrudx/79907199 (2026) #threesome #blonde #blowjob #smalltits #RIPNSFW</v>
      </c>
      <c r="N657" s="2" t="s">
        <v>3354</v>
      </c>
      <c r="O657" s="30" t="s">
        <v>3355</v>
      </c>
      <c r="P657" s="26"/>
      <c r="R657" s="23"/>
      <c r="T657" s="6"/>
      <c r="U657" s="7"/>
    </row>
    <row r="658" spans="1:27" ht="12.75">
      <c r="A658" s="6" t="s">
        <v>3356</v>
      </c>
      <c r="B658" s="6" t="s">
        <v>14</v>
      </c>
      <c r="C658" s="7" t="str">
        <f t="shared" si="8"/>
        <v xml:space="preserve">Gianna Michaels </v>
      </c>
      <c r="D658" s="6" t="s">
        <v>3357</v>
      </c>
      <c r="E658" s="8" t="s">
        <v>3358</v>
      </c>
      <c r="F658" s="9" t="str">
        <f ca="1">IFERROR(__xludf.DUMMYFUNCTION("""https://streamtape.com/v/""&amp;
REGEXEXTRACT(O658,""/thumb/([^/]+)/"")&amp;
""/""&amp;K658"),"https://streamtape.com/v/J92xjVd0vOTjWGR/41853666")</f>
        <v>https://streamtape.com/v/J92xjVd0vOTjWGR/41853666</v>
      </c>
      <c r="G658" s="10" t="e">
        <f t="shared" ca="1" si="9"/>
        <v>#NAME?</v>
      </c>
      <c r="H658" s="11" t="str">
        <f ca="1">IFERROR(__xludf.DUMMYFUNCTION("IFERROR(SUBSTITUTE(SUBSTITUTE(REGEXEXTRACT(A658, ""[^-]+- [^-]+- [^-]+ - (.+?)\.jpg""), "".jpg"", """"), ""-"", "", ""), """")"),"")</f>
        <v/>
      </c>
      <c r="I658" s="6"/>
      <c r="J658" s="7" t="str">
        <f t="shared" ca="1" si="10"/>
        <v>(2026)</v>
      </c>
      <c r="K658" s="7" t="str">
        <f t="shared" si="11"/>
        <v>41853666</v>
      </c>
      <c r="L658" s="12" t="s">
        <v>3359</v>
      </c>
      <c r="M658" s="13" t="str">
        <f ca="1">IFERROR(__xludf.DUMMYFUNCTION("TRIM(
  REGEXREPLACE(
    TEXTJOIN("" "",
      TRUE,
      B658,
      C658,
      embaralharLinks(E658,F658,G658),
      H658,
      """",
      J658,
      N658,
      ""#RIPNSFW""
    ),
  "",\s*"", "" "")
)"),"{New} Gianna Michaels https://streamtape.com/v/J92xjVd0vOTjWGR/41853666 https://doodstream.com/d/kea1kxy9b9uv/41853666 https://lulustream.com/d/eng4dbn3y3dk (2026) #MILF #BigTits #Hardcore #Black #Interracial #RIPNSFW")</f>
        <v>{New} Gianna Michaels https://streamtape.com/v/J92xjVd0vOTjWGR/41853666 https://doodstream.com/d/kea1kxy9b9uv/41853666 https://lulustream.com/d/eng4dbn3y3dk (2026) #MILF #BigTits #Hardcore #Black #Interracial #RIPNSFW</v>
      </c>
      <c r="N658" s="14" t="s">
        <v>770</v>
      </c>
      <c r="O658" s="15" t="s">
        <v>3360</v>
      </c>
      <c r="P658" s="14"/>
      <c r="Q658" s="6"/>
      <c r="R658" s="11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>
      <c r="A659" s="6" t="s">
        <v>3361</v>
      </c>
      <c r="B659" s="6" t="s">
        <v>14</v>
      </c>
      <c r="C659" s="7" t="str">
        <f t="shared" si="8"/>
        <v xml:space="preserve">Gianna Michaels </v>
      </c>
      <c r="D659" s="6" t="s">
        <v>3362</v>
      </c>
      <c r="E659" s="8" t="s">
        <v>3363</v>
      </c>
      <c r="F659" s="9" t="str">
        <f ca="1">IFERROR(__xludf.DUMMYFUNCTION("""https://streamtape.com/v/""&amp;
REGEXEXTRACT(O659,""/thumb/([^/]+)/"")&amp;
""/""&amp;K659"),"https://streamtape.com/v/Me1mOOaQpkCm4Kl/69804375")</f>
        <v>https://streamtape.com/v/Me1mOOaQpkCm4Kl/69804375</v>
      </c>
      <c r="G659" s="10" t="e">
        <f t="shared" ca="1" si="9"/>
        <v>#NAME?</v>
      </c>
      <c r="H659" s="11" t="str">
        <f ca="1">IFERROR(__xludf.DUMMYFUNCTION("IFERROR(SUBSTITUTE(SUBSTITUTE(REGEXEXTRACT(A659, ""[^-]+- [^-]+- [^-]+ - (.+?)\.jpg""), "".jpg"", """"), ""-"", "", ""), """")"),"")</f>
        <v/>
      </c>
      <c r="I659" s="6"/>
      <c r="J659" s="7" t="str">
        <f t="shared" ca="1" si="10"/>
        <v>(2026)</v>
      </c>
      <c r="K659" s="7" t="str">
        <f t="shared" si="11"/>
        <v>69804375</v>
      </c>
      <c r="L659" s="12" t="s">
        <v>3364</v>
      </c>
      <c r="M659" s="13" t="str">
        <f ca="1">IFERROR(__xludf.DUMMYFUNCTION("TRIM(
  REGEXREPLACE(
    TEXTJOIN("" "",
      TRUE,
      B659,
      C659,
      embaralharLinks(E659,F659,G659),
      H659,
      """",
      J659,
      N659,
      ""#RIPNSFW""
    ),
  "",\s*"", "" "")
)"),"{New} Gianna Michaels https://lulustream.com/d/as9x6ryu2nbd https://doodstream.com/d/yp8dnmuh53ce/69804375 https://streamtape.com/v/Me1mOOaQpkCm4Kl/69804375 (2026) #MILF #BigTits #Hardcore #Bigass #Porn #RIPNSFW")</f>
        <v>{New} Gianna Michaels https://lulustream.com/d/as9x6ryu2nbd https://doodstream.com/d/yp8dnmuh53ce/69804375 https://streamtape.com/v/Me1mOOaQpkCm4Kl/69804375 (2026) #MILF #BigTits #Hardcore #Bigass #Porn #RIPNSFW</v>
      </c>
      <c r="N659" s="14" t="s">
        <v>1180</v>
      </c>
      <c r="O659" s="15" t="s">
        <v>3365</v>
      </c>
      <c r="P659" s="14"/>
      <c r="Q659" s="6"/>
      <c r="R659" s="11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>
      <c r="A660" s="6" t="s">
        <v>3366</v>
      </c>
      <c r="B660" s="6" t="s">
        <v>14</v>
      </c>
      <c r="C660" s="7" t="str">
        <f t="shared" si="8"/>
        <v xml:space="preserve">Gigi Sweets </v>
      </c>
      <c r="D660" s="6" t="s">
        <v>3367</v>
      </c>
      <c r="E660" s="8" t="s">
        <v>3368</v>
      </c>
      <c r="F660" s="9" t="str">
        <f ca="1">IFERROR(__xludf.DUMMYFUNCTION("""https://streamtape.com/v/""&amp;
REGEXEXTRACT(O660,""/thumb/([^/]+)/"")&amp;
""/""&amp;K660"),"https://streamtape.com/v/0rVLRQqlGgIbjeY/35828855")</f>
        <v>https://streamtape.com/v/0rVLRQqlGgIbjeY/35828855</v>
      </c>
      <c r="G660" s="10" t="e">
        <f t="shared" ca="1" si="9"/>
        <v>#NAME?</v>
      </c>
      <c r="H660" s="11" t="str">
        <f ca="1">IFERROR(__xludf.DUMMYFUNCTION("IFERROR(SUBSTITUTE(SUBSTITUTE(REGEXEXTRACT(A660, ""[^-]+- [^-]+- [^-]+ - (.+?)\.jpg""), "".jpg"", """"), ""-"", "", ""), """")"),"")</f>
        <v/>
      </c>
      <c r="I660" s="6"/>
      <c r="J660" s="7" t="str">
        <f t="shared" ca="1" si="10"/>
        <v>(2026)</v>
      </c>
      <c r="K660" s="7" t="str">
        <f t="shared" si="11"/>
        <v>35828855</v>
      </c>
      <c r="L660" s="12" t="s">
        <v>3369</v>
      </c>
      <c r="M660" s="13" t="str">
        <f ca="1">IFERROR(__xludf.DUMMYFUNCTION("TRIM(
  REGEXREPLACE(
    TEXTJOIN("" "",
      TRUE,
      B660,
      C660,
      embaralharLinks(E660,F660,G660),
      H660,
      """",
      J660,
      N660,
      ""#RIPNSFW""
    ),
  "",\s*"", "" "")
)"),"{New} Gigi Sweets https://doodstream.com/d/fo4lhtt76b4w/35828855 https://streamtape.com/v/0rVLRQqlGgIbjeY/35828855 https://lulustream.com/d/cn1v8juwzvtb (2026) #BigTits #Hardcore #Bigass #Teen #Blowjob #Amateur #Blonde #RIPNSFW")</f>
        <v>{New} Gigi Sweets https://doodstream.com/d/fo4lhtt76b4w/35828855 https://streamtape.com/v/0rVLRQqlGgIbjeY/35828855 https://lulustream.com/d/cn1v8juwzvtb (2026) #BigTits #Hardcore #Bigass #Teen #Blowjob #Amateur #Blonde #RIPNSFW</v>
      </c>
      <c r="N660" s="14" t="s">
        <v>3370</v>
      </c>
      <c r="O660" s="15" t="s">
        <v>3371</v>
      </c>
      <c r="P660" s="14"/>
      <c r="Q660" s="6"/>
      <c r="R660" s="11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>
      <c r="A661" s="12" t="s">
        <v>3372</v>
      </c>
      <c r="B661" s="6" t="s">
        <v>14</v>
      </c>
      <c r="C661" s="7" t="str">
        <f t="shared" si="8"/>
        <v xml:space="preserve">Gigi Talamini </v>
      </c>
      <c r="D661" s="24" t="s">
        <v>3373</v>
      </c>
      <c r="E661" s="25" t="s">
        <v>3374</v>
      </c>
      <c r="F661" s="9" t="str">
        <f ca="1">IFERROR(__xludf.DUMMYFUNCTION("""https://streamtape.com/v/""&amp;
REGEXEXTRACT(O661,""/thumb/([^/]+)/"")&amp;
""/""&amp;K661"),"https://streamtape.com/v/VdkOo3bjgltKRLA/16620448")</f>
        <v>https://streamtape.com/v/VdkOo3bjgltKRLA/16620448</v>
      </c>
      <c r="G661" s="10" t="e">
        <f t="shared" ca="1" si="9"/>
        <v>#NAME?</v>
      </c>
      <c r="H661" s="11" t="str">
        <f ca="1">IFERROR(__xludf.DUMMYFUNCTION("IFERROR(SUBSTITUTE(SUBSTITUTE(REGEXEXTRACT(A661, ""[^-]+- [^-]+- [^-]+ - (.+?)\.jpg""), "".jpg"", """"), ""-"", "", ""), """")"),"")</f>
        <v/>
      </c>
      <c r="I661" s="6"/>
      <c r="J661" s="7" t="str">
        <f t="shared" ca="1" si="10"/>
        <v>(2026)</v>
      </c>
      <c r="K661" s="7" t="str">
        <f t="shared" si="11"/>
        <v>16620448</v>
      </c>
      <c r="L661" s="12" t="s">
        <v>3375</v>
      </c>
      <c r="M661" s="13" t="str">
        <f ca="1">IFERROR(__xludf.DUMMYFUNCTION("TRIM(
  REGEXREPLACE(
    TEXTJOIN("" "",
      TRUE,
      B661,
      C661,
      embaralharLinks(E661,F661,G661),
      H661,
      """",
      J661,
      N661,
      ""#RIPNSFW""
    ),
  "",\s*"", "" "")
)"),"{New} Gigi Talamini https://streamtape.com/v/VdkOo3bjgltKRLA/16620448 https://doodstream.com/d/4e4bng6xgko7/16620448 https://lulustream.com/d/7vv1zx7ubllx (2026) #teen #blonde #bigtits #latina #RIPNSFW")</f>
        <v>{New} Gigi Talamini https://streamtape.com/v/VdkOo3bjgltKRLA/16620448 https://doodstream.com/d/4e4bng6xgko7/16620448 https://lulustream.com/d/7vv1zx7ubllx (2026) #teen #blonde #bigtits #latina #RIPNSFW</v>
      </c>
      <c r="N661" s="2" t="s">
        <v>3375</v>
      </c>
      <c r="O661" s="30" t="s">
        <v>3376</v>
      </c>
      <c r="P661" s="26"/>
      <c r="R661" s="23"/>
    </row>
    <row r="662" spans="1:27" ht="12.75">
      <c r="A662" s="6" t="s">
        <v>3377</v>
      </c>
      <c r="B662" s="6" t="s">
        <v>14</v>
      </c>
      <c r="C662" s="7" t="str">
        <f t="shared" si="8"/>
        <v xml:space="preserve">Gigi Talamini </v>
      </c>
      <c r="D662" s="24" t="s">
        <v>3378</v>
      </c>
      <c r="E662" s="25" t="s">
        <v>3379</v>
      </c>
      <c r="F662" s="9" t="str">
        <f ca="1">IFERROR(__xludf.DUMMYFUNCTION("""https://streamtape.com/v/""&amp;
REGEXEXTRACT(O662,""/thumb/([^/]+)/"")&amp;
""/""&amp;K662"),"https://streamtape.com/v/ZayqJLYL7lCqaaJ/25972018")</f>
        <v>https://streamtape.com/v/ZayqJLYL7lCqaaJ/25972018</v>
      </c>
      <c r="G662" s="10" t="e">
        <f t="shared" ca="1" si="9"/>
        <v>#NAME?</v>
      </c>
      <c r="H662" s="11" t="str">
        <f ca="1">IFERROR(__xludf.DUMMYFUNCTION("IFERROR(SUBSTITUTE(SUBSTITUTE(REGEXEXTRACT(A662, ""[^-]+- [^-]+- [^-]+ - (.+?)\.jpg""), "".jpg"", """"), ""-"", "", ""), """")"),"")</f>
        <v/>
      </c>
      <c r="I662" s="6"/>
      <c r="J662" s="7" t="str">
        <f t="shared" ca="1" si="10"/>
        <v>(2026)</v>
      </c>
      <c r="K662" s="7" t="str">
        <f t="shared" si="11"/>
        <v>25972018</v>
      </c>
      <c r="L662" s="12" t="s">
        <v>3003</v>
      </c>
      <c r="M662" s="13" t="str">
        <f ca="1">IFERROR(__xludf.DUMMYFUNCTION("TRIM(
  REGEXREPLACE(
    TEXTJOIN("" "",
      TRUE,
      B662,
      C662,
      embaralharLinks(E662,F662,G662),
      H662,
      """",
      J662,
      N662,
      ""#RIPNSFW""
    ),
  "",\s*"", "" "")
)"),"{New} Gigi Talamini https://doodstream.com/d/qirtjkov4qlt/25972018 https://lulustream.com/d/8puc0fn099c8 https://streamtape.com/v/ZayqJLYL7lCqaaJ/25972018 (2026) #teen #blowjob #bigtits #blonde #RIPNSFW")</f>
        <v>{New} Gigi Talamini https://doodstream.com/d/qirtjkov4qlt/25972018 https://lulustream.com/d/8puc0fn099c8 https://streamtape.com/v/ZayqJLYL7lCqaaJ/25972018 (2026) #teen #blowjob #bigtits #blonde #RIPNSFW</v>
      </c>
      <c r="N662" s="31" t="s">
        <v>3003</v>
      </c>
      <c r="O662" s="32" t="s">
        <v>3380</v>
      </c>
      <c r="P662" s="26"/>
      <c r="Q662" s="6"/>
      <c r="R662" s="11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>
      <c r="A663" s="12" t="s">
        <v>3381</v>
      </c>
      <c r="B663" s="6" t="s">
        <v>14</v>
      </c>
      <c r="C663" s="7" t="str">
        <f t="shared" si="8"/>
        <v xml:space="preserve">Gigi Talamini </v>
      </c>
      <c r="D663" s="24" t="s">
        <v>3382</v>
      </c>
      <c r="E663" s="25" t="s">
        <v>3383</v>
      </c>
      <c r="F663" s="9" t="str">
        <f ca="1">IFERROR(__xludf.DUMMYFUNCTION("""https://streamtape.com/v/""&amp;
REGEXEXTRACT(O663,""/thumb/([^/]+)/"")&amp;
""/""&amp;K663"),"https://streamtape.com/v/jpAYJeKvAmizK12/33625937")</f>
        <v>https://streamtape.com/v/jpAYJeKvAmizK12/33625937</v>
      </c>
      <c r="G663" s="10" t="e">
        <f t="shared" ca="1" si="9"/>
        <v>#NAME?</v>
      </c>
      <c r="H663" s="11" t="str">
        <f ca="1">IFERROR(__xludf.DUMMYFUNCTION("IFERROR(SUBSTITUTE(SUBSTITUTE(REGEXEXTRACT(A663, ""[^-]+- [^-]+- [^-]+ - (.+?)\.jpg""), "".jpg"", """"), ""-"", "", ""), """")"),"")</f>
        <v/>
      </c>
      <c r="I663" s="6"/>
      <c r="J663" s="7" t="str">
        <f t="shared" ca="1" si="10"/>
        <v>(2026)</v>
      </c>
      <c r="K663" s="7" t="str">
        <f t="shared" si="11"/>
        <v>33625937</v>
      </c>
      <c r="L663" s="12" t="s">
        <v>3384</v>
      </c>
      <c r="M663" s="13" t="str">
        <f ca="1">IFERROR(__xludf.DUMMYFUNCTION("TRIM(
  REGEXREPLACE(
    TEXTJOIN("" "",
      TRUE,
      B663,
      C663,
      embaralharLinks(E663,F663,G663),
      H663,
      """",
      J663,
      N663,
      ""#RIPNSFW""
    ),
  "",\s*"", "" "")
)"),"{New} Gigi Talamini https://lulustream.com/d/wridntyed3p9 https://streamtape.com/v/jpAYJeKvAmizK12/33625937 https://doodstream.com/d/3givzolyyxme/33625937 (2026) #teen #blonde #bigtits #bigass #RIPNSFW")</f>
        <v>{New} Gigi Talamini https://lulustream.com/d/wridntyed3p9 https://streamtape.com/v/jpAYJeKvAmizK12/33625937 https://doodstream.com/d/3givzolyyxme/33625937 (2026) #teen #blonde #bigtits #bigass #RIPNSFW</v>
      </c>
      <c r="N663" s="2" t="s">
        <v>3384</v>
      </c>
      <c r="O663" s="30" t="s">
        <v>3385</v>
      </c>
      <c r="P663" s="26"/>
      <c r="R663" s="23"/>
    </row>
    <row r="664" spans="1:27" ht="12.75">
      <c r="A664" s="12" t="s">
        <v>3386</v>
      </c>
      <c r="B664" s="6" t="s">
        <v>14</v>
      </c>
      <c r="C664" s="7" t="str">
        <f t="shared" si="8"/>
        <v xml:space="preserve">Gigi Talamini </v>
      </c>
      <c r="D664" s="24" t="s">
        <v>3387</v>
      </c>
      <c r="E664" s="25" t="s">
        <v>3388</v>
      </c>
      <c r="F664" s="9" t="str">
        <f ca="1">IFERROR(__xludf.DUMMYFUNCTION("""https://streamtape.com/v/""&amp;
REGEXEXTRACT(O664,""/thumb/([^/]+)/"")&amp;
""/""&amp;K664"),"https://streamtape.com/v/rlywjKGko6ibpPQ/45883572")</f>
        <v>https://streamtape.com/v/rlywjKGko6ibpPQ/45883572</v>
      </c>
      <c r="G664" s="10" t="e">
        <f t="shared" ca="1" si="9"/>
        <v>#NAME?</v>
      </c>
      <c r="H664" s="11" t="str">
        <f ca="1">IFERROR(__xludf.DUMMYFUNCTION("IFERROR(SUBSTITUTE(SUBSTITUTE(REGEXEXTRACT(A664, ""[^-]+- [^-]+- [^-]+ - (.+?)\.jpg""), "".jpg"", """"), ""-"", "", ""), """")"),"")</f>
        <v/>
      </c>
      <c r="I664" s="6"/>
      <c r="J664" s="7" t="str">
        <f t="shared" ca="1" si="10"/>
        <v>(2026)</v>
      </c>
      <c r="K664" s="7" t="str">
        <f t="shared" si="11"/>
        <v>45883572</v>
      </c>
      <c r="L664" s="12" t="s">
        <v>1569</v>
      </c>
      <c r="M664" s="13" t="str">
        <f ca="1">IFERROR(__xludf.DUMMYFUNCTION("TRIM(
  REGEXREPLACE(
    TEXTJOIN("" "",
      TRUE,
      B664,
      C664,
      embaralharLinks(E664,F664,G664),
      H664,
      """",
      J664,
      N664,
      ""#RIPNSFW""
    ),
  "",\s*"", "" "")
)"),"{New} Gigi Talamini https://doodstream.com/d/pttvmo2c1tqz/45883572 https://streamtape.com/v/rlywjKGko6ibpPQ/45883572 https://lulustream.com/d/xvbame02h3qf (2026) #teen #bigtits #bigass #blowjob #RIPNSFW")</f>
        <v>{New} Gigi Talamini https://doodstream.com/d/pttvmo2c1tqz/45883572 https://streamtape.com/v/rlywjKGko6ibpPQ/45883572 https://lulustream.com/d/xvbame02h3qf (2026) #teen #bigtits #bigass #blowjob #RIPNSFW</v>
      </c>
      <c r="N664" s="2" t="s">
        <v>1569</v>
      </c>
      <c r="O664" s="30" t="s">
        <v>3389</v>
      </c>
      <c r="P664" s="26"/>
      <c r="R664" s="23"/>
    </row>
    <row r="665" spans="1:27" ht="12.75">
      <c r="A665" s="12" t="s">
        <v>3390</v>
      </c>
      <c r="B665" s="6" t="s">
        <v>14</v>
      </c>
      <c r="C665" s="7" t="str">
        <f t="shared" si="8"/>
        <v xml:space="preserve">Gina Valentina </v>
      </c>
      <c r="D665" s="24" t="s">
        <v>3391</v>
      </c>
      <c r="E665" s="25" t="s">
        <v>3392</v>
      </c>
      <c r="F665" s="9" t="str">
        <f ca="1">IFERROR(__xludf.DUMMYFUNCTION("""https://streamtape.com/v/""&amp;
REGEXEXTRACT(O665,""/thumb/([^/]+)/"")&amp;
""/""&amp;K665"),"https://streamtape.com/v/L1XwOrW10oIRkoM/23298130")</f>
        <v>https://streamtape.com/v/L1XwOrW10oIRkoM/23298130</v>
      </c>
      <c r="G665" s="10" t="e">
        <f t="shared" ca="1" si="9"/>
        <v>#NAME?</v>
      </c>
      <c r="H665" s="11" t="str">
        <f ca="1">IFERROR(__xludf.DUMMYFUNCTION("IFERROR(SUBSTITUTE(SUBSTITUTE(REGEXEXTRACT(A665, ""[^-]+- [^-]+- [^-]+ - (.+?)\.jpg""), "".jpg"", """"), ""-"", "", ""), """")"),"")</f>
        <v/>
      </c>
      <c r="I665" s="6"/>
      <c r="J665" s="7" t="str">
        <f t="shared" ca="1" si="10"/>
        <v>(2026)</v>
      </c>
      <c r="K665" s="7" t="str">
        <f t="shared" si="11"/>
        <v>23298130</v>
      </c>
      <c r="L665" s="12" t="s">
        <v>3393</v>
      </c>
      <c r="M665" s="13" t="str">
        <f ca="1">IFERROR(__xludf.DUMMYFUNCTION("TRIM(
  REGEXREPLACE(
    TEXTJOIN("" "",
      TRUE,
      B665,
      C665,
      embaralharLinks(E665,F665,G665),
      H665,
      """",
      J665,
      N665,
      ""#RIPNSFW""
    ),
  "",\s*"", "" "")
)"),"{New} Gina Valentina https://lulustream.com/d/ez4douahop3s https://doodstream.com/d/gvb2ohlx34jc/23298130 https://streamtape.com/v/L1XwOrW10oIRkoM/23298130 (2026) #milf #bigtits #bigass #latina #RIPNSFW")</f>
        <v>{New} Gina Valentina https://lulustream.com/d/ez4douahop3s https://doodstream.com/d/gvb2ohlx34jc/23298130 https://streamtape.com/v/L1XwOrW10oIRkoM/23298130 (2026) #milf #bigtits #bigass #latina #RIPNSFW</v>
      </c>
      <c r="N665" s="2" t="s">
        <v>3393</v>
      </c>
      <c r="O665" s="30" t="s">
        <v>3394</v>
      </c>
      <c r="P665" s="26"/>
      <c r="R665" s="23"/>
      <c r="T665" s="6"/>
      <c r="U665" s="7"/>
    </row>
    <row r="666" spans="1:27" ht="12.75">
      <c r="A666" s="6" t="s">
        <v>3395</v>
      </c>
      <c r="B666" s="6" t="s">
        <v>14</v>
      </c>
      <c r="C666" s="7" t="str">
        <f t="shared" si="8"/>
        <v xml:space="preserve">Gina Valentina </v>
      </c>
      <c r="D666" s="6" t="s">
        <v>3396</v>
      </c>
      <c r="E666" s="8" t="s">
        <v>3397</v>
      </c>
      <c r="F666" s="9" t="str">
        <f ca="1">IFERROR(__xludf.DUMMYFUNCTION("""https://streamtape.com/v/""&amp;
REGEXEXTRACT(O666,""/thumb/([^/]+)/"")&amp;
""/""&amp;K666"),"https://streamtape.com/v/eovpdK2RJxcYRxM/31761301")</f>
        <v>https://streamtape.com/v/eovpdK2RJxcYRxM/31761301</v>
      </c>
      <c r="G666" s="10" t="e">
        <f t="shared" ca="1" si="9"/>
        <v>#NAME?</v>
      </c>
      <c r="H666" s="11" t="str">
        <f ca="1">IFERROR(__xludf.DUMMYFUNCTION("IFERROR(SUBSTITUTE(SUBSTITUTE(REGEXEXTRACT(A666, ""[^-]+- [^-]+- [^-]+ - (.+?)\.jpg""), "".jpg"", """"), ""-"", "", ""), """")"),"Kali Roses")</f>
        <v>Kali Roses</v>
      </c>
      <c r="I666" s="6"/>
      <c r="J666" s="7" t="str">
        <f t="shared" ca="1" si="10"/>
        <v>(2026)</v>
      </c>
      <c r="K666" s="7" t="str">
        <f t="shared" si="11"/>
        <v>31761301</v>
      </c>
      <c r="L666" s="12" t="s">
        <v>3398</v>
      </c>
      <c r="M666" s="13" t="str">
        <f ca="1">IFERROR(__xludf.DUMMYFUNCTION("TRIM(
  REGEXREPLACE(
    TEXTJOIN("" "",
      TRUE,
      B666,
      C666,
      embaralharLinks(E666,F666,G666),
      H666,
      """",
      J666,
      N666,
      ""#RIPNSFW""
    ),
  "",\s*"", "" "")
)"),"{New} Gina Valentina https://doodstream.com/d/tlt1z41tq9d2/31761301 https://lulustream.com/d/ap1fzc9vjuu3 https://streamtape.com/v/eovpdK2RJxcYRxM/31761301 Kali Roses (2026) #MILF #BigTits #Lesbian #Bigass #Latina #RIPNSFW")</f>
        <v>{New} Gina Valentina https://doodstream.com/d/tlt1z41tq9d2/31761301 https://lulustream.com/d/ap1fzc9vjuu3 https://streamtape.com/v/eovpdK2RJxcYRxM/31761301 Kali Roses (2026) #MILF #BigTits #Lesbian #Bigass #Latina #RIPNSFW</v>
      </c>
      <c r="N666" s="14" t="s">
        <v>3399</v>
      </c>
      <c r="O666" s="15" t="s">
        <v>3400</v>
      </c>
      <c r="P666" s="14"/>
      <c r="Q666" s="6"/>
      <c r="R666" s="11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>
      <c r="A667" s="6" t="s">
        <v>3401</v>
      </c>
      <c r="B667" s="6" t="s">
        <v>14</v>
      </c>
      <c r="C667" s="7" t="str">
        <f t="shared" si="8"/>
        <v xml:space="preserve">Gina Valentina </v>
      </c>
      <c r="D667" s="6" t="s">
        <v>3402</v>
      </c>
      <c r="E667" s="8" t="s">
        <v>3403</v>
      </c>
      <c r="F667" s="9" t="str">
        <f ca="1">IFERROR(__xludf.DUMMYFUNCTION("""https://streamtape.com/v/""&amp;
REGEXEXTRACT(O667,""/thumb/([^/]+)/"")&amp;
""/""&amp;K667"),"https://streamtape.com/v/akoGlKqv9RCOOg/45654148")</f>
        <v>https://streamtape.com/v/akoGlKqv9RCOOg/45654148</v>
      </c>
      <c r="G667" s="10" t="e">
        <f t="shared" ca="1" si="9"/>
        <v>#NAME?</v>
      </c>
      <c r="H667" s="11" t="str">
        <f ca="1">IFERROR(__xludf.DUMMYFUNCTION("IFERROR(SUBSTITUTE(SUBSTITUTE(REGEXEXTRACT(A667, ""[^-]+- [^-]+- [^-]+ - (.+?)\.jpg""), "".jpg"", """"), ""-"", "", ""), """")"),"Angel Youngs")</f>
        <v>Angel Youngs</v>
      </c>
      <c r="I667" s="6"/>
      <c r="J667" s="7" t="str">
        <f t="shared" ca="1" si="10"/>
        <v>(2026)</v>
      </c>
      <c r="K667" s="7" t="str">
        <f t="shared" si="11"/>
        <v>45654148</v>
      </c>
      <c r="L667" s="12" t="s">
        <v>3404</v>
      </c>
      <c r="M667" s="13" t="str">
        <f ca="1">IFERROR(__xludf.DUMMYFUNCTION("TRIM(
  REGEXREPLACE(
    TEXTJOIN("" "",
      TRUE,
      B667,
      C667,
      embaralharLinks(E667,F667,G667),
      H667,
      """",
      J667,
      N667,
      ""#RIPNSFW""
    ),
  "",\s*"", "" "")
)"),"{New} Gina Valentina https://lulustream.com/d/s9k2utxfh0al https://streamtape.com/v/akoGlKqv9RCOOg/45654148 https://doodstream.com/d/ya348vxsenio/45654148 Angel Youngs (2026) #BigTits #Hardcore #Threesome #Bigass #Teen #Latina #Teens #Blowjob #Amateur #Ho"&amp;"twife #RIPNSFW")</f>
        <v>{New} Gina Valentina https://lulustream.com/d/s9k2utxfh0al https://streamtape.com/v/akoGlKqv9RCOOg/45654148 https://doodstream.com/d/ya348vxsenio/45654148 Angel Youngs (2026) #BigTits #Hardcore #Threesome #Bigass #Teen #Latina #Teens #Blowjob #Amateur #Hotwife #RIPNSFW</v>
      </c>
      <c r="N667" s="14" t="s">
        <v>3405</v>
      </c>
      <c r="O667" s="15" t="s">
        <v>3406</v>
      </c>
      <c r="P667" s="14"/>
      <c r="Q667" s="6"/>
      <c r="R667" s="11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>
      <c r="A668" s="6" t="s">
        <v>3407</v>
      </c>
      <c r="B668" s="6" t="s">
        <v>14</v>
      </c>
      <c r="C668" s="7" t="str">
        <f t="shared" si="8"/>
        <v xml:space="preserve">Gina Valentina </v>
      </c>
      <c r="D668" s="6" t="s">
        <v>3408</v>
      </c>
      <c r="E668" s="8" t="s">
        <v>3409</v>
      </c>
      <c r="F668" s="9" t="str">
        <f ca="1">IFERROR(__xludf.DUMMYFUNCTION("""https://streamtape.com/v/""&amp;
REGEXEXTRACT(O668,""/thumb/([^/]+)/"")&amp;
""/""&amp;K668"),"https://streamtape.com/v/1B0MQq8wwzfePYV/64377769")</f>
        <v>https://streamtape.com/v/1B0MQq8wwzfePYV/64377769</v>
      </c>
      <c r="G668" s="10" t="e">
        <f t="shared" ca="1" si="9"/>
        <v>#NAME?</v>
      </c>
      <c r="H668" s="11" t="str">
        <f ca="1">IFERROR(__xludf.DUMMYFUNCTION("IFERROR(SUBSTITUTE(SUBSTITUTE(REGEXEXTRACT(A668, ""[^-]+- [^-]+- [^-]+ - (.+?)\.jpg""), "".jpg"", """"), ""-"", "", ""), """")"),"Vanessa Sky")</f>
        <v>Vanessa Sky</v>
      </c>
      <c r="I668" s="6"/>
      <c r="J668" s="7" t="str">
        <f t="shared" ca="1" si="10"/>
        <v>(2026)</v>
      </c>
      <c r="K668" s="7" t="str">
        <f t="shared" si="11"/>
        <v>64377769</v>
      </c>
      <c r="L668" s="12" t="s">
        <v>3410</v>
      </c>
      <c r="M668" s="13" t="str">
        <f ca="1">IFERROR(__xludf.DUMMYFUNCTION("TRIM(
  REGEXREPLACE(
    TEXTJOIN("" "",
      TRUE,
      B668,
      C668,
      embaralharLinks(E668,F668,G668),
      H668,
      """",
      J668,
      N668,
      ""#RIPNSFW""
    ),
  "",\s*"", "" "")
)"),"{New} Gina Valentina https://streamtape.com/v/1B0MQq8wwzfePYV/64377769 https://lulustream.com/d/fhx9wve2xz0e https://doodstream.com/d/fs12ioy3il7d/64377769 Vanessa Sky (2026) #MILF #BigTits #Hardcore #Threesome #Bigass #Latina #Blowjob #Amateur #Hotwife #"&amp;"Deepthroat #Facial #RIPNSFW")</f>
        <v>{New} Gina Valentina https://streamtape.com/v/1B0MQq8wwzfePYV/64377769 https://lulustream.com/d/fhx9wve2xz0e https://doodstream.com/d/fs12ioy3il7d/64377769 Vanessa Sky (2026) #MILF #BigTits #Hardcore #Threesome #Bigass #Latina #Blowjob #Amateur #Hotwife #Deepthroat #Facial #RIPNSFW</v>
      </c>
      <c r="N668" s="14" t="s">
        <v>3411</v>
      </c>
      <c r="O668" s="15" t="s">
        <v>3412</v>
      </c>
      <c r="P668" s="14"/>
      <c r="Q668" s="6"/>
      <c r="R668" s="11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>
      <c r="A669" s="6" t="s">
        <v>3413</v>
      </c>
      <c r="B669" s="6" t="s">
        <v>14</v>
      </c>
      <c r="C669" s="7" t="str">
        <f t="shared" si="8"/>
        <v xml:space="preserve">GwenGwiz </v>
      </c>
      <c r="D669" s="24" t="s">
        <v>3414</v>
      </c>
      <c r="E669" s="25" t="s">
        <v>3415</v>
      </c>
      <c r="F669" s="9" t="str">
        <f ca="1">IFERROR(__xludf.DUMMYFUNCTION("""https://streamtape.com/v/""&amp;
REGEXEXTRACT(O669,""/thumb/([^/]+)/"")&amp;
""/""&amp;K669"),"https://streamtape.com/v/4XOz34y3MLFK3qV/11173292")</f>
        <v>https://streamtape.com/v/4XOz34y3MLFK3qV/11173292</v>
      </c>
      <c r="G669" s="10" t="e">
        <f t="shared" ca="1" si="9"/>
        <v>#NAME?</v>
      </c>
      <c r="H669" s="11" t="str">
        <f ca="1">IFERROR(__xludf.DUMMYFUNCTION("IFERROR(SUBSTITUTE(SUBSTITUTE(REGEXEXTRACT(A669, ""[^-]+- [^-]+- [^-]+ - (.+?)\.jpg""), "".jpg"", """"), ""-"", "", ""), """")"),"")</f>
        <v/>
      </c>
      <c r="I669" s="6"/>
      <c r="J669" s="7" t="str">
        <f t="shared" ca="1" si="10"/>
        <v>(2026)</v>
      </c>
      <c r="K669" s="7" t="str">
        <f t="shared" si="11"/>
        <v>11173292</v>
      </c>
      <c r="L669" s="12" t="s">
        <v>3416</v>
      </c>
      <c r="M669" s="13" t="str">
        <f ca="1">IFERROR(__xludf.DUMMYFUNCTION("TRIM(
  REGEXREPLACE(
    TEXTJOIN("" "",
      TRUE,
      B669,
      C669,
      embaralharLinks(E669,F669,G669),
      H669,
      """",
      J669,
      N669,
      ""#RIPNSFW""
    ),
  "",\s*"", "" "")
)"),"{New} GwenGwiz https://streamtape.com/v/4XOz34y3MLFK3qV/11173292 https://lulustream.com/d/amgnrharavg3 https://doodstream.com/d/a4nxolalc0dw/11173292 (2026) #teen #bigtits #blonde #amateur #RIPNSFW")</f>
        <v>{New} GwenGwiz https://streamtape.com/v/4XOz34y3MLFK3qV/11173292 https://lulustream.com/d/amgnrharavg3 https://doodstream.com/d/a4nxolalc0dw/11173292 (2026) #teen #bigtits #blonde #amateur #RIPNSFW</v>
      </c>
      <c r="N669" s="31" t="s">
        <v>3416</v>
      </c>
      <c r="O669" s="32" t="s">
        <v>3417</v>
      </c>
      <c r="P669" s="26"/>
      <c r="Q669" s="6"/>
      <c r="R669" s="11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>
      <c r="A670" s="12" t="s">
        <v>3418</v>
      </c>
      <c r="B670" s="6" t="s">
        <v>14</v>
      </c>
      <c r="C670" s="7" t="str">
        <f t="shared" si="8"/>
        <v xml:space="preserve">GwenGwiz </v>
      </c>
      <c r="D670" s="27" t="s">
        <v>3419</v>
      </c>
      <c r="E670" s="28" t="s">
        <v>3420</v>
      </c>
      <c r="F670" s="9" t="str">
        <f ca="1">IFERROR(__xludf.DUMMYFUNCTION("""https://streamtape.com/v/""&amp;
REGEXEXTRACT(O670,""/thumb/([^/]+)/"")&amp;
""/""&amp;K670"),"https://streamtape.com/v/kLPa6PwVYpi8jr/14451453")</f>
        <v>https://streamtape.com/v/kLPa6PwVYpi8jr/14451453</v>
      </c>
      <c r="G670" s="10" t="e">
        <f t="shared" ca="1" si="9"/>
        <v>#NAME?</v>
      </c>
      <c r="H670" s="11" t="str">
        <f ca="1">IFERROR(__xludf.DUMMYFUNCTION("IFERROR(SUBSTITUTE(SUBSTITUTE(REGEXEXTRACT(A670, ""[^-]+- [^-]+- [^-]+ - (.+?)\.jpg""), "".jpg"", """"), ""-"", "", ""), """")"),"")</f>
        <v/>
      </c>
      <c r="I670" s="6"/>
      <c r="J670" s="7" t="str">
        <f t="shared" ca="1" si="10"/>
        <v>(2026)</v>
      </c>
      <c r="K670" s="7" t="str">
        <f t="shared" si="11"/>
        <v>14451453</v>
      </c>
      <c r="L670" s="12" t="s">
        <v>3421</v>
      </c>
      <c r="M670" s="13" t="str">
        <f ca="1">IFERROR(__xludf.DUMMYFUNCTION("TRIM(
  REGEXREPLACE(
    TEXTJOIN("" "",
      TRUE,
      B670,
      C670,
      embaralharLinks(E670,F670,G670),
      H670,
      """",
      J670,
      N670,
      ""#RIPNSFW""
    ),
  "",\s*"", "" "")
)"),"{New} GwenGwiz https://streamtape.com/v/kLPa6PwVYpi8jr/14451453 https://doodstream.com/d/uqoyl0s9y53k/14451453 https://lulustream.com/d/shzyno64gqlq (2026) #BigTits #Teen #Amateur #Blowjob #RIPNSFW")</f>
        <v>{New} GwenGwiz https://streamtape.com/v/kLPa6PwVYpi8jr/14451453 https://doodstream.com/d/uqoyl0s9y53k/14451453 https://lulustream.com/d/shzyno64gqlq (2026) #BigTits #Teen #Amateur #Blowjob #RIPNSFW</v>
      </c>
      <c r="N670" s="2" t="s">
        <v>3422</v>
      </c>
      <c r="O670" s="30" t="s">
        <v>3423</v>
      </c>
      <c r="P670" s="26"/>
      <c r="R670" s="23"/>
    </row>
    <row r="671" spans="1:27" ht="12.75">
      <c r="A671" s="12" t="s">
        <v>3424</v>
      </c>
      <c r="B671" s="6" t="s">
        <v>14</v>
      </c>
      <c r="C671" s="7" t="str">
        <f t="shared" si="8"/>
        <v xml:space="preserve">GwenGwiz </v>
      </c>
      <c r="D671" s="27" t="s">
        <v>3425</v>
      </c>
      <c r="E671" s="28" t="s">
        <v>3426</v>
      </c>
      <c r="F671" s="9" t="str">
        <f ca="1">IFERROR(__xludf.DUMMYFUNCTION("""https://streamtape.com/v/""&amp;
REGEXEXTRACT(O671,""/thumb/([^/]+)/"")&amp;
""/""&amp;K671"),"https://streamtape.com/v/O4qGg3oJx6T937/19746229")</f>
        <v>https://streamtape.com/v/O4qGg3oJx6T937/19746229</v>
      </c>
      <c r="G671" s="10" t="e">
        <f t="shared" ca="1" si="9"/>
        <v>#NAME?</v>
      </c>
      <c r="H671" s="11" t="str">
        <f ca="1">IFERROR(__xludf.DUMMYFUNCTION("IFERROR(SUBSTITUTE(SUBSTITUTE(REGEXEXTRACT(A671, ""[^-]+- [^-]+- [^-]+ - (.+?)\.jpg""), "".jpg"", """"), ""-"", "", ""), """")"),"")</f>
        <v/>
      </c>
      <c r="I671" s="6"/>
      <c r="J671" s="7" t="str">
        <f t="shared" ca="1" si="10"/>
        <v>(2026)</v>
      </c>
      <c r="K671" s="7" t="str">
        <f t="shared" si="11"/>
        <v>19746229</v>
      </c>
      <c r="L671" s="12" t="s">
        <v>710</v>
      </c>
      <c r="M671" s="13" t="str">
        <f ca="1">IFERROR(__xludf.DUMMYFUNCTION("TRIM(
  REGEXREPLACE(
    TEXTJOIN("" "",
      TRUE,
      B671,
      C671,
      embaralharLinks(E671,F671,G671),
      H671,
      """",
      J671,
      N671,
      ""#RIPNSFW""
    ),
  "",\s*"", "" "")
)"),"{New} GwenGwiz https://doodstream.com/d/0fwqcehjj1hk/19746229 https://streamtape.com/v/O4qGg3oJx6T937/19746229 https://lulustream.com/d/4j2lk5jjmhhr (2026) #BigTits #Hardcore #Teen #Blowjob #RIPNSFW")</f>
        <v>{New} GwenGwiz https://doodstream.com/d/0fwqcehjj1hk/19746229 https://streamtape.com/v/O4qGg3oJx6T937/19746229 https://lulustream.com/d/4j2lk5jjmhhr (2026) #BigTits #Hardcore #Teen #Blowjob #RIPNSFW</v>
      </c>
      <c r="N671" s="2" t="s">
        <v>711</v>
      </c>
      <c r="O671" s="30" t="s">
        <v>3427</v>
      </c>
      <c r="P671" s="26"/>
      <c r="R671" s="23"/>
    </row>
    <row r="672" spans="1:27" ht="12.75">
      <c r="A672" s="12" t="s">
        <v>3428</v>
      </c>
      <c r="B672" s="6" t="s">
        <v>14</v>
      </c>
      <c r="C672" s="7" t="str">
        <f t="shared" si="8"/>
        <v xml:space="preserve">GwenGwiz </v>
      </c>
      <c r="D672" s="27" t="s">
        <v>3429</v>
      </c>
      <c r="E672" s="28" t="s">
        <v>3430</v>
      </c>
      <c r="F672" s="9" t="str">
        <f ca="1">IFERROR(__xludf.DUMMYFUNCTION("""https://streamtape.com/v/""&amp;
REGEXEXTRACT(O672,""/thumb/([^/]+)/"")&amp;
""/""&amp;K672"),"https://streamtape.com/v/belWQyqlY2sP3qx/21124761")</f>
        <v>https://streamtape.com/v/belWQyqlY2sP3qx/21124761</v>
      </c>
      <c r="G672" s="10" t="e">
        <f t="shared" ca="1" si="9"/>
        <v>#NAME?</v>
      </c>
      <c r="H672" s="11" t="str">
        <f ca="1">IFERROR(__xludf.DUMMYFUNCTION("IFERROR(SUBSTITUTE(SUBSTITUTE(REGEXEXTRACT(A672, ""[^-]+- [^-]+- [^-]+ - (.+?)\.jpg""), "".jpg"", """"), ""-"", "", ""), """")"),"")</f>
        <v/>
      </c>
      <c r="I672" s="6"/>
      <c r="J672" s="7" t="str">
        <f t="shared" ca="1" si="10"/>
        <v>(2026)</v>
      </c>
      <c r="K672" s="7" t="str">
        <f t="shared" si="11"/>
        <v>21124761</v>
      </c>
      <c r="L672" s="12" t="s">
        <v>710</v>
      </c>
      <c r="M672" s="13" t="str">
        <f ca="1">IFERROR(__xludf.DUMMYFUNCTION("TRIM(
  REGEXREPLACE(
    TEXTJOIN("" "",
      TRUE,
      B672,
      C672,
      embaralharLinks(E672,F672,G672),
      H672,
      """",
      J672,
      N672,
      ""#RIPNSFW""
    ),
  "",\s*"", "" "")
)"),"{New} GwenGwiz https://lulustream.com/d/cwp3yzp78o24 https://doodstream.com/d/mh7t663eu3ps/21124761 https://streamtape.com/v/belWQyqlY2sP3qx/21124761 (2026) #BigTits #Hardcore #Teen #Blowjob #RIPNSFW")</f>
        <v>{New} GwenGwiz https://lulustream.com/d/cwp3yzp78o24 https://doodstream.com/d/mh7t663eu3ps/21124761 https://streamtape.com/v/belWQyqlY2sP3qx/21124761 (2026) #BigTits #Hardcore #Teen #Blowjob #RIPNSFW</v>
      </c>
      <c r="N672" s="2" t="s">
        <v>711</v>
      </c>
      <c r="O672" s="30" t="s">
        <v>3431</v>
      </c>
      <c r="P672" s="26"/>
      <c r="R672" s="23"/>
    </row>
    <row r="673" spans="1:27" ht="12.75">
      <c r="A673" s="6" t="s">
        <v>3432</v>
      </c>
      <c r="B673" s="6" t="s">
        <v>14</v>
      </c>
      <c r="C673" s="7" t="str">
        <f t="shared" si="8"/>
        <v xml:space="preserve">GwenGwiz </v>
      </c>
      <c r="D673" s="24" t="s">
        <v>3433</v>
      </c>
      <c r="E673" s="25" t="s">
        <v>3434</v>
      </c>
      <c r="F673" s="9" t="str">
        <f ca="1">IFERROR(__xludf.DUMMYFUNCTION("""https://streamtape.com/v/""&amp;
REGEXEXTRACT(O673,""/thumb/([^/]+)/"")&amp;
""/""&amp;K673"),"https://streamtape.com/v/9k2Gleqqa2Hoxa/21171873")</f>
        <v>https://streamtape.com/v/9k2Gleqqa2Hoxa/21171873</v>
      </c>
      <c r="G673" s="10" t="e">
        <f t="shared" ca="1" si="9"/>
        <v>#NAME?</v>
      </c>
      <c r="H673" s="11" t="str">
        <f ca="1">IFERROR(__xludf.DUMMYFUNCTION("IFERROR(SUBSTITUTE(SUBSTITUTE(REGEXEXTRACT(A673, ""[^-]+- [^-]+- [^-]+ - (.+?)\.jpg""), "".jpg"", """"), ""-"", "", ""), """")"),"")</f>
        <v/>
      </c>
      <c r="I673" s="6"/>
      <c r="J673" s="7" t="str">
        <f t="shared" ca="1" si="10"/>
        <v>(2026)</v>
      </c>
      <c r="K673" s="7" t="str">
        <f t="shared" si="11"/>
        <v>21171873</v>
      </c>
      <c r="L673" s="12" t="s">
        <v>3435</v>
      </c>
      <c r="M673" s="13" t="str">
        <f ca="1">IFERROR(__xludf.DUMMYFUNCTION("TRIM(
  REGEXREPLACE(
    TEXTJOIN("" "",
      TRUE,
      B673,
      C673,
      embaralharLinks(E673,F673,G673),
      H673,
      """",
      J673,
      N673,
      ""#RIPNSFW""
    ),
  "",\s*"", "" "")
)"),"{New} GwenGwiz https://doodstream.com/d/9flbqbp7oxzz/21171873 https://streamtape.com/v/9k2Gleqqa2Hoxa/21171873 https://lulustream.com/d/derlm8l8qgpg (2026) #teen #bigtits #blowjob #roleplay #RIPNSFW")</f>
        <v>{New} GwenGwiz https://doodstream.com/d/9flbqbp7oxzz/21171873 https://streamtape.com/v/9k2Gleqqa2Hoxa/21171873 https://lulustream.com/d/derlm8l8qgpg (2026) #teen #bigtits #blowjob #roleplay #RIPNSFW</v>
      </c>
      <c r="N673" s="31" t="s">
        <v>3435</v>
      </c>
      <c r="O673" s="32" t="s">
        <v>3436</v>
      </c>
      <c r="P673" s="26"/>
      <c r="Q673" s="6"/>
      <c r="R673" s="11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>
      <c r="A674" s="6" t="s">
        <v>3437</v>
      </c>
      <c r="B674" s="6" t="s">
        <v>14</v>
      </c>
      <c r="C674" s="7" t="str">
        <f t="shared" si="8"/>
        <v xml:space="preserve">GwenGwiz </v>
      </c>
      <c r="D674" s="29" t="s">
        <v>3438</v>
      </c>
      <c r="E674" s="8" t="s">
        <v>3439</v>
      </c>
      <c r="F674" s="9" t="str">
        <f ca="1">IFERROR(__xludf.DUMMYFUNCTION("""https://streamtape.com/v/""&amp;
REGEXEXTRACT(O674,""/thumb/([^/]+)/"")&amp;
""/""&amp;K674"),"https://streamtape.com/v/ZoazrbG7ODhq9R4/23883767")</f>
        <v>https://streamtape.com/v/ZoazrbG7ODhq9R4/23883767</v>
      </c>
      <c r="G674" s="10" t="e">
        <f t="shared" ca="1" si="9"/>
        <v>#NAME?</v>
      </c>
      <c r="H674" s="11" t="str">
        <f ca="1">IFERROR(__xludf.DUMMYFUNCTION("IFERROR(SUBSTITUTE(SUBSTITUTE(REGEXEXTRACT(A674, ""[^-]+- [^-]+- [^-]+ - (.+?)\.jpg""), "".jpg"", """"), ""-"", "", ""), """")"),"")</f>
        <v/>
      </c>
      <c r="I674" s="6"/>
      <c r="J674" s="7" t="str">
        <f t="shared" ca="1" si="10"/>
        <v>(2026)</v>
      </c>
      <c r="K674" s="7" t="str">
        <f t="shared" si="11"/>
        <v>23883767</v>
      </c>
      <c r="L674" s="12" t="s">
        <v>3440</v>
      </c>
      <c r="M674" s="13" t="str">
        <f ca="1">IFERROR(__xludf.DUMMYFUNCTION("TRIM(
  REGEXREPLACE(
    TEXTJOIN("" "",
      TRUE,
      B674,
      C674,
      embaralharLinks(E674,F674,G674),
      H674,
      """",
      J674,
      N674,
      ""#RIPNSFW""
    ),
  "",\s*"", "" "")
)"),"{New} GwenGwiz https://lulustream.com/d/g5f38yj405d3 https://streamtape.com/v/ZoazrbG7ODhq9R4/23883767 https://doodstream.com/d/j381e5wcdy0k/23883767 (2026) #BigTits #Hardcore #Teen #Blowjob #Hotwife #RIPNSFW")</f>
        <v>{New} GwenGwiz https://lulustream.com/d/g5f38yj405d3 https://streamtape.com/v/ZoazrbG7ODhq9R4/23883767 https://doodstream.com/d/j381e5wcdy0k/23883767 (2026) #BigTits #Hardcore #Teen #Blowjob #Hotwife #RIPNSFW</v>
      </c>
      <c r="N674" s="14" t="s">
        <v>3441</v>
      </c>
      <c r="O674" s="32" t="s">
        <v>3442</v>
      </c>
      <c r="P674" s="14"/>
      <c r="Q674" s="6"/>
      <c r="R674" s="11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>
      <c r="A675" s="12" t="s">
        <v>3443</v>
      </c>
      <c r="B675" s="6" t="s">
        <v>14</v>
      </c>
      <c r="C675" s="7" t="str">
        <f t="shared" si="8"/>
        <v xml:space="preserve">GwenGwiz </v>
      </c>
      <c r="D675" s="24" t="s">
        <v>3444</v>
      </c>
      <c r="E675" s="25" t="s">
        <v>3445</v>
      </c>
      <c r="F675" s="9" t="str">
        <f ca="1">IFERROR(__xludf.DUMMYFUNCTION("""https://streamtape.com/v/""&amp;
REGEXEXTRACT(O675,""/thumb/([^/]+)/"")&amp;
""/""&amp;K675"),"https://streamtape.com/v/3JdGMloQApTdVwZ/26925539")</f>
        <v>https://streamtape.com/v/3JdGMloQApTdVwZ/26925539</v>
      </c>
      <c r="G675" s="10" t="e">
        <f t="shared" ca="1" si="9"/>
        <v>#NAME?</v>
      </c>
      <c r="H675" s="11" t="str">
        <f ca="1">IFERROR(__xludf.DUMMYFUNCTION("IFERROR(SUBSTITUTE(SUBSTITUTE(REGEXEXTRACT(A675, ""[^-]+- [^-]+- [^-]+ - (.+?)\.jpg""), "".jpg"", """"), ""-"", "", ""), """")"),"")</f>
        <v/>
      </c>
      <c r="I675" s="6"/>
      <c r="J675" s="7" t="str">
        <f t="shared" ca="1" si="10"/>
        <v>(2026)</v>
      </c>
      <c r="K675" s="7" t="str">
        <f t="shared" si="11"/>
        <v>26925539</v>
      </c>
      <c r="L675" s="12" t="s">
        <v>3059</v>
      </c>
      <c r="M675" s="13" t="str">
        <f ca="1">IFERROR(__xludf.DUMMYFUNCTION("TRIM(
  REGEXREPLACE(
    TEXTJOIN("" "",
      TRUE,
      B675,
      C675,
      embaralharLinks(E675,F675,G675),
      H675,
      """",
      J675,
      N675,
      ""#RIPNSFW""
    ),
  "",\s*"", "" "")
)"),"{New} GwenGwiz https://streamtape.com/v/3JdGMloQApTdVwZ/26925539 https://doodstream.com/d/4xtgottvyez3/26925539 https://lulustream.com/d/4rk20zvw6fpt (2026) #BigTits #Creampie #Hardcore #Teen #RIPNSFW")</f>
        <v>{New} GwenGwiz https://streamtape.com/v/3JdGMloQApTdVwZ/26925539 https://doodstream.com/d/4xtgottvyez3/26925539 https://lulustream.com/d/4rk20zvw6fpt (2026) #BigTits #Creampie #Hardcore #Teen #RIPNSFW</v>
      </c>
      <c r="N675" s="2" t="s">
        <v>3060</v>
      </c>
      <c r="O675" s="30" t="s">
        <v>3446</v>
      </c>
      <c r="P675" s="26"/>
      <c r="R675" s="23"/>
    </row>
    <row r="676" spans="1:27" ht="12.75">
      <c r="A676" s="12" t="s">
        <v>3447</v>
      </c>
      <c r="B676" s="6" t="s">
        <v>14</v>
      </c>
      <c r="C676" s="7" t="str">
        <f t="shared" si="8"/>
        <v xml:space="preserve">GwenGwiz </v>
      </c>
      <c r="D676" s="24" t="s">
        <v>3448</v>
      </c>
      <c r="E676" s="25" t="s">
        <v>3449</v>
      </c>
      <c r="F676" s="9" t="str">
        <f ca="1">IFERROR(__xludf.DUMMYFUNCTION("""https://streamtape.com/v/""&amp;
REGEXEXTRACT(O676,""/thumb/([^/]+)/"")&amp;
""/""&amp;K676"),"https://streamtape.com/v/gwxgjZdYGvCqpR4/32001059")</f>
        <v>https://streamtape.com/v/gwxgjZdYGvCqpR4/32001059</v>
      </c>
      <c r="G676" s="10" t="e">
        <f t="shared" ca="1" si="9"/>
        <v>#NAME?</v>
      </c>
      <c r="H676" s="11" t="str">
        <f ca="1">IFERROR(__xludf.DUMMYFUNCTION("IFERROR(SUBSTITUTE(SUBSTITUTE(REGEXEXTRACT(A676, ""[^-]+- [^-]+- [^-]+ - (.+?)\.jpg""), "".jpg"", """"), ""-"", "", ""), """")"),"")</f>
        <v/>
      </c>
      <c r="I676" s="6"/>
      <c r="J676" s="7" t="str">
        <f t="shared" ca="1" si="10"/>
        <v>(2026)</v>
      </c>
      <c r="K676" s="7" t="str">
        <f t="shared" si="11"/>
        <v>32001059</v>
      </c>
      <c r="L676" s="12" t="s">
        <v>3450</v>
      </c>
      <c r="M676" s="13" t="str">
        <f ca="1">IFERROR(__xludf.DUMMYFUNCTION("TRIM(
  REGEXREPLACE(
    TEXTJOIN("" "",
      TRUE,
      B676,
      C676,
      embaralharLinks(E676,F676,G676),
      H676,
      """",
      J676,
      N676,
      ""#RIPNSFW""
    ),
  "",\s*"", "" "")
)"),"{New} GwenGwiz https://streamtape.com/v/gwxgjZdYGvCqpR4/32001059 https://lulustream.com/d/o3400bth8koc https://doodstream.com/d/bj0ognqhtrzc/32001059 (2026) #teen #blonde #bigtits #amateur #RIPNSFW")</f>
        <v>{New} GwenGwiz https://streamtape.com/v/gwxgjZdYGvCqpR4/32001059 https://lulustream.com/d/o3400bth8koc https://doodstream.com/d/bj0ognqhtrzc/32001059 (2026) #teen #blonde #bigtits #amateur #RIPNSFW</v>
      </c>
      <c r="N676" s="2" t="s">
        <v>3450</v>
      </c>
      <c r="O676" s="30" t="s">
        <v>3451</v>
      </c>
      <c r="P676" s="26"/>
      <c r="R676" s="23"/>
    </row>
    <row r="677" spans="1:27" ht="12.75">
      <c r="A677" s="12" t="s">
        <v>3452</v>
      </c>
      <c r="B677" s="6" t="s">
        <v>14</v>
      </c>
      <c r="C677" s="7" t="str">
        <f t="shared" si="8"/>
        <v xml:space="preserve">GwenGwiz </v>
      </c>
      <c r="D677" s="24" t="s">
        <v>3453</v>
      </c>
      <c r="E677" s="25" t="s">
        <v>3454</v>
      </c>
      <c r="F677" s="9" t="str">
        <f ca="1">IFERROR(__xludf.DUMMYFUNCTION("""https://streamtape.com/v/""&amp;
REGEXEXTRACT(O677,""/thumb/([^/]+)/"")&amp;
""/""&amp;K677"),"https://streamtape.com/v/x1yd7kRPDzfkPVk/36201641")</f>
        <v>https://streamtape.com/v/x1yd7kRPDzfkPVk/36201641</v>
      </c>
      <c r="G677" s="10" t="e">
        <f t="shared" ca="1" si="9"/>
        <v>#NAME?</v>
      </c>
      <c r="H677" s="11" t="str">
        <f ca="1">IFERROR(__xludf.DUMMYFUNCTION("IFERROR(SUBSTITUTE(SUBSTITUTE(REGEXEXTRACT(A677, ""[^-]+- [^-]+- [^-]+ - (.+?)\.jpg""), "".jpg"", """"), ""-"", "", ""), """")"),"")</f>
        <v/>
      </c>
      <c r="I677" s="6"/>
      <c r="J677" s="7" t="str">
        <f t="shared" ca="1" si="10"/>
        <v>(2026)</v>
      </c>
      <c r="K677" s="7" t="str">
        <f t="shared" si="11"/>
        <v>36201641</v>
      </c>
      <c r="L677" s="12" t="s">
        <v>2962</v>
      </c>
      <c r="M677" s="13" t="str">
        <f ca="1">IFERROR(__xludf.DUMMYFUNCTION("TRIM(
  REGEXREPLACE(
    TEXTJOIN("" "",
      TRUE,
      B677,
      C677,
      embaralharLinks(E677,F677,G677),
      H677,
      """",
      J677,
      N677,
      ""#RIPNSFW""
    ),
  "",\s*"", "" "")
)"),"{New} GwenGwiz https://lulustream.com/d/31nozwo7ykgx https://doodstream.com/d/xa7mtojyse9q/36201641 https://streamtape.com/v/x1yd7kRPDzfkPVk/36201641 (2026) #teen #bigtits #blonde #blowjob #RIPNSFW")</f>
        <v>{New} GwenGwiz https://lulustream.com/d/31nozwo7ykgx https://doodstream.com/d/xa7mtojyse9q/36201641 https://streamtape.com/v/x1yd7kRPDzfkPVk/36201641 (2026) #teen #bigtits #blonde #blowjob #RIPNSFW</v>
      </c>
      <c r="N677" s="2" t="s">
        <v>2962</v>
      </c>
      <c r="O677" s="30" t="s">
        <v>3455</v>
      </c>
      <c r="P677" s="26"/>
      <c r="R677" s="23"/>
    </row>
    <row r="678" spans="1:27" ht="12.75">
      <c r="A678" s="12" t="s">
        <v>3456</v>
      </c>
      <c r="B678" s="6" t="s">
        <v>14</v>
      </c>
      <c r="C678" s="7" t="str">
        <f t="shared" si="8"/>
        <v xml:space="preserve">GwenGwiz </v>
      </c>
      <c r="D678" s="27" t="s">
        <v>3457</v>
      </c>
      <c r="E678" s="28" t="s">
        <v>3458</v>
      </c>
      <c r="F678" s="9" t="str">
        <f ca="1">IFERROR(__xludf.DUMMYFUNCTION("""https://streamtape.com/v/""&amp;
REGEXEXTRACT(O678,""/thumb/([^/]+)/"")&amp;
""/""&amp;K678"),"https://streamtape.com/v/kkAQBLyVp9hOqm2/40219417")</f>
        <v>https://streamtape.com/v/kkAQBLyVp9hOqm2/40219417</v>
      </c>
      <c r="G678" s="10" t="e">
        <f t="shared" ca="1" si="9"/>
        <v>#NAME?</v>
      </c>
      <c r="H678" s="11" t="str">
        <f ca="1">IFERROR(__xludf.DUMMYFUNCTION("IFERROR(SUBSTITUTE(SUBSTITUTE(REGEXEXTRACT(A678, ""[^-]+- [^-]+- [^-]+ - (.+?)\.jpg""), "".jpg"", """"), ""-"", "", ""), """")"),"")</f>
        <v/>
      </c>
      <c r="I678" s="6"/>
      <c r="J678" s="7" t="str">
        <f t="shared" ca="1" si="10"/>
        <v>(2026)</v>
      </c>
      <c r="K678" s="7" t="str">
        <f t="shared" si="11"/>
        <v>40219417</v>
      </c>
      <c r="L678" s="12" t="s">
        <v>710</v>
      </c>
      <c r="M678" s="13" t="str">
        <f ca="1">IFERROR(__xludf.DUMMYFUNCTION("TRIM(
  REGEXREPLACE(
    TEXTJOIN("" "",
      TRUE,
      B678,
      C678,
      embaralharLinks(E678,F678,G678),
      H678,
      """",
      J678,
      N678,
      ""#RIPNSFW""
    ),
  "",\s*"", "" "")
)"),"{New} GwenGwiz https://lulustream.com/d/s4mxuqnmpgpk https://doodstream.com/d/1hirojpo3zl2/40219417 https://streamtape.com/v/kkAQBLyVp9hOqm2/40219417 (2026) #BigTits #Hardcore #Teen #Blowjob #RIPNSFW")</f>
        <v>{New} GwenGwiz https://lulustream.com/d/s4mxuqnmpgpk https://doodstream.com/d/1hirojpo3zl2/40219417 https://streamtape.com/v/kkAQBLyVp9hOqm2/40219417 (2026) #BigTits #Hardcore #Teen #Blowjob #RIPNSFW</v>
      </c>
      <c r="N678" s="2" t="s">
        <v>711</v>
      </c>
      <c r="O678" s="30" t="s">
        <v>3459</v>
      </c>
      <c r="P678" s="26"/>
      <c r="R678" s="23"/>
    </row>
    <row r="679" spans="1:27" ht="12.75">
      <c r="A679" s="6" t="s">
        <v>3460</v>
      </c>
      <c r="B679" s="6" t="s">
        <v>14</v>
      </c>
      <c r="C679" s="7" t="str">
        <f t="shared" si="8"/>
        <v xml:space="preserve">GwenGwiz </v>
      </c>
      <c r="D679" s="24" t="s">
        <v>3461</v>
      </c>
      <c r="E679" s="25" t="s">
        <v>3462</v>
      </c>
      <c r="F679" s="9" t="str">
        <f ca="1">IFERROR(__xludf.DUMMYFUNCTION("""https://streamtape.com/v/""&amp;
REGEXEXTRACT(O679,""/thumb/([^/]+)/"")&amp;
""/""&amp;K679"),"https://streamtape.com/v/7YWd8QvDb0FAkdb/46825627")</f>
        <v>https://streamtape.com/v/7YWd8QvDb0FAkdb/46825627</v>
      </c>
      <c r="G679" s="10" t="e">
        <f t="shared" ca="1" si="9"/>
        <v>#NAME?</v>
      </c>
      <c r="H679" s="11" t="str">
        <f ca="1">IFERROR(__xludf.DUMMYFUNCTION("IFERROR(SUBSTITUTE(SUBSTITUTE(REGEXEXTRACT(A679, ""[^-]+- [^-]+- [^-]+ - (.+?)\.jpg""), "".jpg"", """"), ""-"", "", ""), """")"),"")</f>
        <v/>
      </c>
      <c r="I679" s="6"/>
      <c r="J679" s="7" t="str">
        <f t="shared" ca="1" si="10"/>
        <v>(2026)</v>
      </c>
      <c r="K679" s="7" t="str">
        <f t="shared" si="11"/>
        <v>46825627</v>
      </c>
      <c r="L679" s="12" t="s">
        <v>2962</v>
      </c>
      <c r="M679" s="13" t="str">
        <f ca="1">IFERROR(__xludf.DUMMYFUNCTION("TRIM(
  REGEXREPLACE(
    TEXTJOIN("" "",
      TRUE,
      B679,
      C679,
      embaralharLinks(E679,F679,G679),
      H679,
      """",
      J679,
      N679,
      ""#RIPNSFW""
    ),
  "",\s*"", "" "")
)"),"{New} GwenGwiz https://doodstream.com/d/l3txkd08lny6/46825627 https://lulustream.com/d/ydlaxgo69lo9 https://streamtape.com/v/7YWd8QvDb0FAkdb/46825627 (2026) #teen #bigtits #blonde #blowjob #RIPNSFW")</f>
        <v>{New} GwenGwiz https://doodstream.com/d/l3txkd08lny6/46825627 https://lulustream.com/d/ydlaxgo69lo9 https://streamtape.com/v/7YWd8QvDb0FAkdb/46825627 (2026) #teen #bigtits #blonde #blowjob #RIPNSFW</v>
      </c>
      <c r="N679" s="31" t="s">
        <v>2962</v>
      </c>
      <c r="O679" s="32" t="s">
        <v>3463</v>
      </c>
      <c r="P679" s="26"/>
      <c r="Q679" s="6"/>
      <c r="R679" s="11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>
      <c r="A680" s="12" t="s">
        <v>3464</v>
      </c>
      <c r="B680" s="6" t="s">
        <v>14</v>
      </c>
      <c r="C680" s="7" t="str">
        <f t="shared" si="8"/>
        <v xml:space="preserve">GwenGwiz </v>
      </c>
      <c r="D680" s="27" t="s">
        <v>3465</v>
      </c>
      <c r="E680" s="28" t="s">
        <v>3466</v>
      </c>
      <c r="F680" s="9" t="str">
        <f ca="1">IFERROR(__xludf.DUMMYFUNCTION("""https://streamtape.com/v/""&amp;
REGEXEXTRACT(O680,""/thumb/([^/]+)/"")&amp;
""/""&amp;K680"),"https://streamtape.com/v/R6oaaz0QvDFdQJm/48119909")</f>
        <v>https://streamtape.com/v/R6oaaz0QvDFdQJm/48119909</v>
      </c>
      <c r="G680" s="10" t="e">
        <f t="shared" ca="1" si="9"/>
        <v>#NAME?</v>
      </c>
      <c r="H680" s="11" t="str">
        <f ca="1">IFERROR(__xludf.DUMMYFUNCTION("IFERROR(SUBSTITUTE(SUBSTITUTE(REGEXEXTRACT(A680, ""[^-]+- [^-]+- [^-]+ - (.+?)\.jpg""), "".jpg"", """"), ""-"", "", ""), """")"),"")</f>
        <v/>
      </c>
      <c r="I680" s="6"/>
      <c r="J680" s="7" t="str">
        <f t="shared" ca="1" si="10"/>
        <v>(2026)</v>
      </c>
      <c r="K680" s="7" t="str">
        <f t="shared" si="11"/>
        <v>48119909</v>
      </c>
      <c r="L680" s="12" t="s">
        <v>710</v>
      </c>
      <c r="M680" s="13" t="str">
        <f ca="1">IFERROR(__xludf.DUMMYFUNCTION("TRIM(
  REGEXREPLACE(
    TEXTJOIN("" "",
      TRUE,
      B680,
      C680,
      embaralharLinks(E680,F680,G680),
      H680,
      """",
      J680,
      N680,
      ""#RIPNSFW""
    ),
  "",\s*"", "" "")
)"),"{New} GwenGwiz https://lulustream.com/d/7aregyu4qcb8 https://streamtape.com/v/R6oaaz0QvDFdQJm/48119909 https://doodstream.com/d/fz89c6vx68f1/48119909 (2026) #BigTits #Hardcore #Teen #Blowjob #RIPNSFW")</f>
        <v>{New} GwenGwiz https://lulustream.com/d/7aregyu4qcb8 https://streamtape.com/v/R6oaaz0QvDFdQJm/48119909 https://doodstream.com/d/fz89c6vx68f1/48119909 (2026) #BigTits #Hardcore #Teen #Blowjob #RIPNSFW</v>
      </c>
      <c r="N680" s="2" t="s">
        <v>711</v>
      </c>
      <c r="O680" s="30" t="s">
        <v>3467</v>
      </c>
      <c r="P680" s="26"/>
      <c r="R680" s="23"/>
    </row>
    <row r="681" spans="1:27" ht="12.75">
      <c r="A681" s="12" t="s">
        <v>3468</v>
      </c>
      <c r="B681" s="6" t="s">
        <v>14</v>
      </c>
      <c r="C681" s="7" t="str">
        <f t="shared" si="8"/>
        <v xml:space="preserve">GwenGwiz </v>
      </c>
      <c r="D681" s="24" t="s">
        <v>3469</v>
      </c>
      <c r="E681" s="25" t="s">
        <v>3470</v>
      </c>
      <c r="F681" s="9" t="str">
        <f ca="1">IFERROR(__xludf.DUMMYFUNCTION("""https://streamtape.com/v/""&amp;
REGEXEXTRACT(O681,""/thumb/([^/]+)/"")&amp;
""/""&amp;K681"),"https://streamtape.com/v/7pe99dOqvYiByD/53384436")</f>
        <v>https://streamtape.com/v/7pe99dOqvYiByD/53384436</v>
      </c>
      <c r="G681" s="10" t="e">
        <f t="shared" ca="1" si="9"/>
        <v>#NAME?</v>
      </c>
      <c r="H681" s="11" t="str">
        <f ca="1">IFERROR(__xludf.DUMMYFUNCTION("IFERROR(SUBSTITUTE(SUBSTITUTE(REGEXEXTRACT(A681, ""[^-]+- [^-]+- [^-]+ - (.+?)\.jpg""), "".jpg"", """"), ""-"", "", ""), """")"),"")</f>
        <v/>
      </c>
      <c r="I681" s="6"/>
      <c r="J681" s="7" t="str">
        <f t="shared" ca="1" si="10"/>
        <v>(2026)</v>
      </c>
      <c r="K681" s="7" t="str">
        <f t="shared" si="11"/>
        <v>53384436</v>
      </c>
      <c r="L681" s="12" t="s">
        <v>1055</v>
      </c>
      <c r="M681" s="13" t="str">
        <f ca="1">IFERROR(__xludf.DUMMYFUNCTION("TRIM(
  REGEXREPLACE(
    TEXTJOIN("" "",
      TRUE,
      B681,
      C681,
      embaralharLinks(E681,F681,G681),
      H681,
      """",
      J681,
      N681,
      ""#RIPNSFW""
    ),
  "",\s*"", "" "")
)"),"{New} GwenGwiz https://doodstream.com/d/2j91ytn9v1k0/53384436 https://streamtape.com/v/7pe99dOqvYiByD/53384436 https://lulustream.com/d/986dtl2e52vx (2026) #teen #bigtits #blowjob #blonde #RIPNSFW")</f>
        <v>{New} GwenGwiz https://doodstream.com/d/2j91ytn9v1k0/53384436 https://streamtape.com/v/7pe99dOqvYiByD/53384436 https://lulustream.com/d/986dtl2e52vx (2026) #teen #bigtits #blowjob #blonde #RIPNSFW</v>
      </c>
      <c r="N681" s="2" t="s">
        <v>1055</v>
      </c>
      <c r="O681" s="30" t="s">
        <v>3471</v>
      </c>
      <c r="P681" s="26"/>
      <c r="R681" s="23"/>
    </row>
    <row r="682" spans="1:27" ht="12.75">
      <c r="A682" s="12" t="s">
        <v>3472</v>
      </c>
      <c r="B682" s="6" t="s">
        <v>14</v>
      </c>
      <c r="C682" s="7" t="str">
        <f t="shared" si="8"/>
        <v xml:space="preserve">GwenGwiz </v>
      </c>
      <c r="D682" s="24" t="s">
        <v>3473</v>
      </c>
      <c r="E682" s="25" t="s">
        <v>3474</v>
      </c>
      <c r="F682" s="9" t="str">
        <f ca="1">IFERROR(__xludf.DUMMYFUNCTION("""https://streamtape.com/v/""&amp;
REGEXEXTRACT(O682,""/thumb/([^/]+)/"")&amp;
""/""&amp;K682"),"https://streamtape.com/v/DWWPYYAWAPTkJz0/65124374")</f>
        <v>https://streamtape.com/v/DWWPYYAWAPTkJz0/65124374</v>
      </c>
      <c r="G682" s="10" t="e">
        <f t="shared" ca="1" si="9"/>
        <v>#NAME?</v>
      </c>
      <c r="H682" s="11" t="str">
        <f ca="1">IFERROR(__xludf.DUMMYFUNCTION("IFERROR(SUBSTITUTE(SUBSTITUTE(REGEXEXTRACT(A682, ""[^-]+- [^-]+- [^-]+ - (.+?)\.jpg""), "".jpg"", """"), ""-"", "", ""), """")"),"")</f>
        <v/>
      </c>
      <c r="I682" s="6"/>
      <c r="J682" s="7" t="str">
        <f t="shared" ca="1" si="10"/>
        <v>(2026)</v>
      </c>
      <c r="K682" s="7" t="str">
        <f t="shared" si="11"/>
        <v>65124374</v>
      </c>
      <c r="L682" s="12" t="s">
        <v>2962</v>
      </c>
      <c r="M682" s="13" t="str">
        <f ca="1">IFERROR(__xludf.DUMMYFUNCTION("TRIM(
  REGEXREPLACE(
    TEXTJOIN("" "",
      TRUE,
      B682,
      C682,
      embaralharLinks(E682,F682,G682),
      H682,
      """",
      J682,
      N682,
      ""#RIPNSFW""
    ),
  "",\s*"", "" "")
)"),"{New} GwenGwiz https://doodstream.com/d/kx1we6vbc078/65124374 https://streamtape.com/v/DWWPYYAWAPTkJz0/65124374 https://lulustream.com/d/5wyiy7t7lxp7 (2026) #teen #bigtits #blonde #blowjob #RIPNSFW")</f>
        <v>{New} GwenGwiz https://doodstream.com/d/kx1we6vbc078/65124374 https://streamtape.com/v/DWWPYYAWAPTkJz0/65124374 https://lulustream.com/d/5wyiy7t7lxp7 (2026) #teen #bigtits #blonde #blowjob #RIPNSFW</v>
      </c>
      <c r="N682" s="2" t="s">
        <v>2962</v>
      </c>
      <c r="O682" s="30" t="s">
        <v>3475</v>
      </c>
      <c r="P682" s="26"/>
      <c r="R682" s="23"/>
    </row>
    <row r="683" spans="1:27" ht="12.75">
      <c r="A683" s="6" t="s">
        <v>3476</v>
      </c>
      <c r="B683" s="6" t="s">
        <v>14</v>
      </c>
      <c r="C683" s="7" t="str">
        <f t="shared" si="8"/>
        <v xml:space="preserve">GwenGwiz </v>
      </c>
      <c r="D683" s="29" t="s">
        <v>3477</v>
      </c>
      <c r="E683" s="8" t="s">
        <v>3478</v>
      </c>
      <c r="F683" s="9" t="str">
        <f ca="1">IFERROR(__xludf.DUMMYFUNCTION("""https://streamtape.com/v/""&amp;
REGEXEXTRACT(O683,""/thumb/([^/]+)/"")&amp;
""/""&amp;K683"),"https://streamtape.com/v/o97gmyJ024FJLX0/65805926")</f>
        <v>https://streamtape.com/v/o97gmyJ024FJLX0/65805926</v>
      </c>
      <c r="G683" s="10" t="e">
        <f t="shared" ca="1" si="9"/>
        <v>#NAME?</v>
      </c>
      <c r="H683" s="11" t="str">
        <f ca="1">IFERROR(__xludf.DUMMYFUNCTION("IFERROR(SUBSTITUTE(SUBSTITUTE(REGEXEXTRACT(A683, ""[^-]+- [^-]+- [^-]+ - (.+?)\.jpg""), "".jpg"", """"), ""-"", "", ""), """")"),"")</f>
        <v/>
      </c>
      <c r="I683" s="6"/>
      <c r="J683" s="7" t="str">
        <f t="shared" ca="1" si="10"/>
        <v>(2026)</v>
      </c>
      <c r="K683" s="7" t="str">
        <f t="shared" si="11"/>
        <v>65805926</v>
      </c>
      <c r="L683" s="12" t="s">
        <v>3479</v>
      </c>
      <c r="M683" s="13" t="str">
        <f ca="1">IFERROR(__xludf.DUMMYFUNCTION("TRIM(
  REGEXREPLACE(
    TEXTJOIN("" "",
      TRUE,
      B683,
      C683,
      embaralharLinks(E683,F683,G683),
      H683,
      """",
      J683,
      N683,
      ""#RIPNSFW""
    ),
  "",\s*"", "" "")
)"),"{New} GwenGwiz https://lulustream.com/d/ubmkgljjx9gm https://doodstream.com/d/qna0nwegkavm/65805926 https://streamtape.com/v/o97gmyJ024FJLX0/65805926 (2026) #BigTits #Hardcore #Teen #Roleplay #Artporn #Blowjob #Amateur #Hotwife #Blonde #RIPNSFW")</f>
        <v>{New} GwenGwiz https://lulustream.com/d/ubmkgljjx9gm https://doodstream.com/d/qna0nwegkavm/65805926 https://streamtape.com/v/o97gmyJ024FJLX0/65805926 (2026) #BigTits #Hardcore #Teen #Roleplay #Artporn #Blowjob #Amateur #Hotwife #Blonde #RIPNSFW</v>
      </c>
      <c r="N683" s="14" t="s">
        <v>3480</v>
      </c>
      <c r="O683" s="32" t="s">
        <v>3481</v>
      </c>
      <c r="P683" s="14"/>
      <c r="Q683" s="6"/>
      <c r="R683" s="11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>
      <c r="A684" s="6" t="s">
        <v>3482</v>
      </c>
      <c r="B684" s="6" t="s">
        <v>14</v>
      </c>
      <c r="C684" s="7" t="str">
        <f t="shared" si="8"/>
        <v xml:space="preserve">GwenGwiz </v>
      </c>
      <c r="D684" s="29" t="s">
        <v>3483</v>
      </c>
      <c r="E684" s="8" t="s">
        <v>3484</v>
      </c>
      <c r="F684" s="9" t="str">
        <f ca="1">IFERROR(__xludf.DUMMYFUNCTION("""https://streamtape.com/v/""&amp;
REGEXEXTRACT(O684,""/thumb/([^/]+)/"")&amp;
""/""&amp;K684"),"https://streamtape.com/v/eVrLBgjApKUYV0x/68168500")</f>
        <v>https://streamtape.com/v/eVrLBgjApKUYV0x/68168500</v>
      </c>
      <c r="G684" s="10" t="e">
        <f t="shared" ca="1" si="9"/>
        <v>#NAME?</v>
      </c>
      <c r="H684" s="11" t="str">
        <f ca="1">IFERROR(__xludf.DUMMYFUNCTION("IFERROR(SUBSTITUTE(SUBSTITUTE(REGEXEXTRACT(A684, ""[^-]+- [^-]+- [^-]+ - (.+?)\.jpg""), "".jpg"", """"), ""-"", "", ""), """")"),"")</f>
        <v/>
      </c>
      <c r="I684" s="6"/>
      <c r="J684" s="7" t="str">
        <f t="shared" ca="1" si="10"/>
        <v>(2026)</v>
      </c>
      <c r="K684" s="7" t="str">
        <f t="shared" si="11"/>
        <v>68168500</v>
      </c>
      <c r="L684" s="12" t="s">
        <v>3485</v>
      </c>
      <c r="M684" s="13" t="str">
        <f ca="1">IFERROR(__xludf.DUMMYFUNCTION("TRIM(
  REGEXREPLACE(
    TEXTJOIN("" "",
      TRUE,
      B684,
      C684,
      embaralharLinks(E684,F684,G684),
      H684,
      """",
      J684,
      N684,
      ""#RIPNSFW""
    ),
  "",\s*"", "" "")
)"),"{New} GwenGwiz https://doodstream.com/d/hta9t8wmefqq/68168500 https://lulustream.com/d/2ahs9kiw8s00 https://streamtape.com/v/eVrLBgjApKUYV0x/68168500 (2026) #BigTits #Creampie #Hardcore #Teen #Roleplay #Artporn #Teens #Blowjob #Amateur #Hotwife #RIPNSFW")</f>
        <v>{New} GwenGwiz https://doodstream.com/d/hta9t8wmefqq/68168500 https://lulustream.com/d/2ahs9kiw8s00 https://streamtape.com/v/eVrLBgjApKUYV0x/68168500 (2026) #BigTits #Creampie #Hardcore #Teen #Roleplay #Artporn #Teens #Blowjob #Amateur #Hotwife #RIPNSFW</v>
      </c>
      <c r="N684" s="14" t="s">
        <v>3486</v>
      </c>
      <c r="O684" s="32" t="s">
        <v>3487</v>
      </c>
      <c r="P684" s="14"/>
      <c r="Q684" s="6"/>
      <c r="R684" s="11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>
      <c r="A685" s="12" t="s">
        <v>3488</v>
      </c>
      <c r="B685" s="6" t="s">
        <v>14</v>
      </c>
      <c r="C685" s="7" t="str">
        <f t="shared" si="8"/>
        <v xml:space="preserve">GwenGwiz </v>
      </c>
      <c r="D685" s="24" t="s">
        <v>3489</v>
      </c>
      <c r="E685" s="25" t="s">
        <v>3490</v>
      </c>
      <c r="F685" s="9" t="str">
        <f ca="1">IFERROR(__xludf.DUMMYFUNCTION("""https://streamtape.com/v/""&amp;
REGEXEXTRACT(O685,""/thumb/([^/]+)/"")&amp;
""/""&amp;K685"),"https://streamtape.com/v/d82xqdWDbQskKb1/68407312")</f>
        <v>https://streamtape.com/v/d82xqdWDbQskKb1/68407312</v>
      </c>
      <c r="G685" s="10" t="e">
        <f t="shared" ca="1" si="9"/>
        <v>#NAME?</v>
      </c>
      <c r="H685" s="11" t="str">
        <f ca="1">IFERROR(__xludf.DUMMYFUNCTION("IFERROR(SUBSTITUTE(SUBSTITUTE(REGEXEXTRACT(A685, ""[^-]+- [^-]+- [^-]+ - (.+?)\.jpg""), "".jpg"", """"), ""-"", "", ""), """")"),"")</f>
        <v/>
      </c>
      <c r="I685" s="6"/>
      <c r="J685" s="7" t="str">
        <f t="shared" ca="1" si="10"/>
        <v>(2026)</v>
      </c>
      <c r="K685" s="7" t="str">
        <f t="shared" si="11"/>
        <v>68407312</v>
      </c>
      <c r="L685" s="12" t="s">
        <v>1055</v>
      </c>
      <c r="M685" s="13" t="str">
        <f ca="1">IFERROR(__xludf.DUMMYFUNCTION("TRIM(
  REGEXREPLACE(
    TEXTJOIN("" "",
      TRUE,
      B685,
      C685,
      embaralharLinks(E685,F685,G685),
      H685,
      """",
      J685,
      N685,
      ""#RIPNSFW""
    ),
  "",\s*"", "" "")
)"),"{New} GwenGwiz https://streamtape.com/v/d82xqdWDbQskKb1/68407312 https://doodstream.com/d/h8o4n5vguva0/68407312 https://lulustream.com/d/e8wavs7kvtoo (2026) #teen #bigtits #blowjob #blonde #RIPNSFW")</f>
        <v>{New} GwenGwiz https://streamtape.com/v/d82xqdWDbQskKb1/68407312 https://doodstream.com/d/h8o4n5vguva0/68407312 https://lulustream.com/d/e8wavs7kvtoo (2026) #teen #bigtits #blowjob #blonde #RIPNSFW</v>
      </c>
      <c r="N685" s="2" t="s">
        <v>1055</v>
      </c>
      <c r="O685" s="30" t="s">
        <v>3491</v>
      </c>
      <c r="P685" s="26"/>
      <c r="R685" s="23"/>
    </row>
    <row r="686" spans="1:27" ht="12.75">
      <c r="A686" s="6" t="s">
        <v>3492</v>
      </c>
      <c r="B686" s="6" t="s">
        <v>14</v>
      </c>
      <c r="C686" s="7" t="str">
        <f t="shared" si="8"/>
        <v xml:space="preserve">GwenGwiz </v>
      </c>
      <c r="D686" s="24" t="s">
        <v>3493</v>
      </c>
      <c r="E686" s="25" t="s">
        <v>3494</v>
      </c>
      <c r="F686" s="9" t="str">
        <f ca="1">IFERROR(__xludf.DUMMYFUNCTION("""https://streamtape.com/v/""&amp;
REGEXEXTRACT(O686,""/thumb/([^/]+)/"")&amp;
""/""&amp;K686"),"https://streamtape.com/v/ogK7ODYmOqSJB98/70119396")</f>
        <v>https://streamtape.com/v/ogK7ODYmOqSJB98/70119396</v>
      </c>
      <c r="G686" s="10" t="e">
        <f t="shared" ca="1" si="9"/>
        <v>#NAME?</v>
      </c>
      <c r="H686" s="11" t="str">
        <f ca="1">IFERROR(__xludf.DUMMYFUNCTION("IFERROR(SUBSTITUTE(SUBSTITUTE(REGEXEXTRACT(A686, ""[^-]+- [^-]+- [^-]+ - (.+?)\.jpg""), "".jpg"", """"), ""-"", "", ""), """")"),"")</f>
        <v/>
      </c>
      <c r="I686" s="6"/>
      <c r="J686" s="7" t="str">
        <f t="shared" ca="1" si="10"/>
        <v>(2026)</v>
      </c>
      <c r="K686" s="7" t="str">
        <f t="shared" si="11"/>
        <v>70119396</v>
      </c>
      <c r="L686" s="12" t="s">
        <v>1055</v>
      </c>
      <c r="M686" s="13" t="str">
        <f ca="1">IFERROR(__xludf.DUMMYFUNCTION("TRIM(
  REGEXREPLACE(
    TEXTJOIN("" "",
      TRUE,
      B686,
      C686,
      embaralharLinks(E686,F686,G686),
      H686,
      """",
      J686,
      N686,
      ""#RIPNSFW""
    ),
  "",\s*"", "" "")
)"),"{New} GwenGwiz https://lulustream.com/d/bbd3aap7uf62 https://streamtape.com/v/ogK7ODYmOqSJB98/70119396 https://doodstream.com/d/pwkc9ilps2of/70119396 (2026) #teen #bigtits #blowjob #blonde #RIPNSFW")</f>
        <v>{New} GwenGwiz https://lulustream.com/d/bbd3aap7uf62 https://streamtape.com/v/ogK7ODYmOqSJB98/70119396 https://doodstream.com/d/pwkc9ilps2of/70119396 (2026) #teen #bigtits #blowjob #blonde #RIPNSFW</v>
      </c>
      <c r="N686" s="31" t="s">
        <v>1055</v>
      </c>
      <c r="O686" s="32" t="s">
        <v>3495</v>
      </c>
      <c r="P686" s="26"/>
      <c r="Q686" s="6"/>
      <c r="R686" s="11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>
      <c r="A687" s="12" t="s">
        <v>3496</v>
      </c>
      <c r="B687" s="6" t="s">
        <v>14</v>
      </c>
      <c r="C687" s="7" t="str">
        <f t="shared" si="8"/>
        <v xml:space="preserve">GwenGwiz </v>
      </c>
      <c r="D687" s="27" t="s">
        <v>3497</v>
      </c>
      <c r="E687" s="28" t="s">
        <v>3498</v>
      </c>
      <c r="F687" s="9" t="str">
        <f ca="1">IFERROR(__xludf.DUMMYFUNCTION("""https://streamtape.com/v/""&amp;
REGEXEXTRACT(O687,""/thumb/([^/]+)/"")&amp;
""/""&amp;K687"),"https://streamtape.com/v/JoDer4xpgWujxa9/71208676")</f>
        <v>https://streamtape.com/v/JoDer4xpgWujxa9/71208676</v>
      </c>
      <c r="G687" s="10" t="e">
        <f t="shared" ca="1" si="9"/>
        <v>#NAME?</v>
      </c>
      <c r="H687" s="11" t="str">
        <f ca="1">IFERROR(__xludf.DUMMYFUNCTION("IFERROR(SUBSTITUTE(SUBSTITUTE(REGEXEXTRACT(A687, ""[^-]+- [^-]+- [^-]+ - (.+?)\.jpg""), "".jpg"", """"), ""-"", "", ""), """")"),"")</f>
        <v/>
      </c>
      <c r="I687" s="6"/>
      <c r="J687" s="7" t="str">
        <f t="shared" ca="1" si="10"/>
        <v>(2026)</v>
      </c>
      <c r="K687" s="7" t="str">
        <f t="shared" si="11"/>
        <v>71208676</v>
      </c>
      <c r="L687" s="12" t="s">
        <v>710</v>
      </c>
      <c r="M687" s="13" t="str">
        <f ca="1">IFERROR(__xludf.DUMMYFUNCTION("TRIM(
  REGEXREPLACE(
    TEXTJOIN("" "",
      TRUE,
      B687,
      C687,
      embaralharLinks(E687,F687,G687),
      H687,
      """",
      J687,
      N687,
      ""#RIPNSFW""
    ),
  "",\s*"", "" "")
)"),"{New} GwenGwiz https://streamtape.com/v/JoDer4xpgWujxa9/71208676 https://doodstream.com/d/pev2r8wpjhpz/71208676 https://lulustream.com/d/rrll9du2sqzt (2026) #BigTits #Hardcore #Teen #Blowjob #RIPNSFW")</f>
        <v>{New} GwenGwiz https://streamtape.com/v/JoDer4xpgWujxa9/71208676 https://doodstream.com/d/pev2r8wpjhpz/71208676 https://lulustream.com/d/rrll9du2sqzt (2026) #BigTits #Hardcore #Teen #Blowjob #RIPNSFW</v>
      </c>
      <c r="N687" s="2" t="s">
        <v>711</v>
      </c>
      <c r="O687" s="30" t="s">
        <v>3499</v>
      </c>
      <c r="P687" s="26"/>
      <c r="R687" s="23"/>
    </row>
    <row r="688" spans="1:27" ht="12.75">
      <c r="A688" s="12" t="s">
        <v>3500</v>
      </c>
      <c r="B688" s="6" t="s">
        <v>14</v>
      </c>
      <c r="C688" s="7" t="str">
        <f t="shared" si="8"/>
        <v xml:space="preserve">GwenGwiz </v>
      </c>
      <c r="D688" s="27" t="s">
        <v>3501</v>
      </c>
      <c r="E688" s="28" t="s">
        <v>3502</v>
      </c>
      <c r="F688" s="9" t="str">
        <f ca="1">IFERROR(__xludf.DUMMYFUNCTION("""https://streamtape.com/v/""&amp;
REGEXEXTRACT(O688,""/thumb/([^/]+)/"")&amp;
""/""&amp;K688"),"https://streamtape.com/v/x1x1jJlQGOTkYlR/80799513")</f>
        <v>https://streamtape.com/v/x1x1jJlQGOTkYlR/80799513</v>
      </c>
      <c r="G688" s="10" t="e">
        <f t="shared" ca="1" si="9"/>
        <v>#NAME?</v>
      </c>
      <c r="H688" s="11" t="str">
        <f ca="1">IFERROR(__xludf.DUMMYFUNCTION("IFERROR(SUBSTITUTE(SUBSTITUTE(REGEXEXTRACT(A688, ""[^-]+- [^-]+- [^-]+ - (.+?)\.jpg""), "".jpg"", """"), ""-"", "", ""), """")"),"")</f>
        <v/>
      </c>
      <c r="I688" s="6"/>
      <c r="J688" s="7" t="str">
        <f t="shared" ca="1" si="10"/>
        <v>(2026)</v>
      </c>
      <c r="K688" s="7" t="str">
        <f t="shared" si="11"/>
        <v>80799513</v>
      </c>
      <c r="L688" s="12" t="s">
        <v>1943</v>
      </c>
      <c r="M688" s="13" t="str">
        <f ca="1">IFERROR(__xludf.DUMMYFUNCTION("TRIM(
  REGEXREPLACE(
    TEXTJOIN("" "",
      TRUE,
      B688,
      C688,
      embaralharLinks(E688,F688,G688),
      H688,
      """",
      J688,
      N688,
      ""#RIPNSFW""
    ),
  "",\s*"", "" "")
)"),"{New} GwenGwiz https://lulustream.com/d/ga7i7rqrmdbz https://streamtape.com/v/x1x1jJlQGOTkYlR/80799513 https://doodstream.com/d/n8fp7pab3i6x/80799513 (2026) #BigTits #Teen #Blowjob #Amateur #RIPNSFW")</f>
        <v>{New} GwenGwiz https://lulustream.com/d/ga7i7rqrmdbz https://streamtape.com/v/x1x1jJlQGOTkYlR/80799513 https://doodstream.com/d/n8fp7pab3i6x/80799513 (2026) #BigTits #Teen #Blowjob #Amateur #RIPNSFW</v>
      </c>
      <c r="N688" s="2" t="s">
        <v>1944</v>
      </c>
      <c r="O688" s="30" t="s">
        <v>3503</v>
      </c>
      <c r="P688" s="26"/>
      <c r="R688" s="23"/>
    </row>
    <row r="689" spans="1:27" ht="12.75">
      <c r="A689" s="12" t="s">
        <v>3504</v>
      </c>
      <c r="B689" s="6" t="s">
        <v>14</v>
      </c>
      <c r="C689" s="7" t="str">
        <f t="shared" si="8"/>
        <v xml:space="preserve">GwenGwiz </v>
      </c>
      <c r="D689" s="24" t="s">
        <v>3505</v>
      </c>
      <c r="E689" s="25" t="s">
        <v>3506</v>
      </c>
      <c r="F689" s="9" t="str">
        <f ca="1">IFERROR(__xludf.DUMMYFUNCTION("""https://streamtape.com/v/""&amp;
REGEXEXTRACT(O689,""/thumb/([^/]+)/"")&amp;
""/""&amp;K689"),"https://streamtape.com/v/gdW2wolxOlHqWMP/82250884")</f>
        <v>https://streamtape.com/v/gdW2wolxOlHqWMP/82250884</v>
      </c>
      <c r="G689" s="10" t="e">
        <f t="shared" ca="1" si="9"/>
        <v>#NAME?</v>
      </c>
      <c r="H689" s="11" t="str">
        <f ca="1">IFERROR(__xludf.DUMMYFUNCTION("IFERROR(SUBSTITUTE(SUBSTITUTE(REGEXEXTRACT(A689, ""[^-]+- [^-]+- [^-]+ - (.+?)\.jpg""), "".jpg"", """"), ""-"", "", ""), """")"),"")</f>
        <v/>
      </c>
      <c r="I689" s="6"/>
      <c r="J689" s="7" t="str">
        <f t="shared" ca="1" si="10"/>
        <v>(2026)</v>
      </c>
      <c r="K689" s="7" t="str">
        <f t="shared" si="11"/>
        <v>82250884</v>
      </c>
      <c r="L689" s="12" t="s">
        <v>1055</v>
      </c>
      <c r="M689" s="13" t="str">
        <f ca="1">IFERROR(__xludf.DUMMYFUNCTION("TRIM(
  REGEXREPLACE(
    TEXTJOIN("" "",
      TRUE,
      B689,
      C689,
      embaralharLinks(E689,F689,G689),
      H689,
      """",
      J689,
      N689,
      ""#RIPNSFW""
    ),
  "",\s*"", "" "")
)"),"{New} GwenGwiz https://lulustream.com/d/n674oubcbbei https://doodstream.com/d/2panxncd9dft/82250884 https://streamtape.com/v/gdW2wolxOlHqWMP/82250884 (2026) #teen #bigtits #blowjob #blonde #RIPNSFW")</f>
        <v>{New} GwenGwiz https://lulustream.com/d/n674oubcbbei https://doodstream.com/d/2panxncd9dft/82250884 https://streamtape.com/v/gdW2wolxOlHqWMP/82250884 (2026) #teen #bigtits #blowjob #blonde #RIPNSFW</v>
      </c>
      <c r="N689" s="2" t="s">
        <v>1055</v>
      </c>
      <c r="O689" s="30" t="s">
        <v>3507</v>
      </c>
      <c r="P689" s="26"/>
      <c r="R689" s="23"/>
    </row>
    <row r="690" spans="1:27" ht="12.75">
      <c r="A690" s="12" t="s">
        <v>3508</v>
      </c>
      <c r="B690" s="6" t="s">
        <v>14</v>
      </c>
      <c r="C690" s="7" t="str">
        <f t="shared" si="8"/>
        <v xml:space="preserve">GwenGwiz </v>
      </c>
      <c r="D690" s="24" t="s">
        <v>3509</v>
      </c>
      <c r="E690" s="25" t="s">
        <v>3510</v>
      </c>
      <c r="F690" s="9" t="str">
        <f ca="1">IFERROR(__xludf.DUMMYFUNCTION("""https://streamtape.com/v/""&amp;
REGEXEXTRACT(O690,""/thumb/([^/]+)/"")&amp;
""/""&amp;K690"),"https://streamtape.com/v/mQ3Y6Gxjv1Sdv9/91197485")</f>
        <v>https://streamtape.com/v/mQ3Y6Gxjv1Sdv9/91197485</v>
      </c>
      <c r="G690" s="10" t="e">
        <f t="shared" ca="1" si="9"/>
        <v>#NAME?</v>
      </c>
      <c r="H690" s="11" t="str">
        <f ca="1">IFERROR(__xludf.DUMMYFUNCTION("IFERROR(SUBSTITUTE(SUBSTITUTE(REGEXEXTRACT(A690, ""[^-]+- [^-]+- [^-]+ - (.+?)\.jpg""), "".jpg"", """"), ""-"", "", ""), """")"),"")</f>
        <v/>
      </c>
      <c r="I690" s="6"/>
      <c r="J690" s="7" t="str">
        <f t="shared" ca="1" si="10"/>
        <v>(2026)</v>
      </c>
      <c r="K690" s="7" t="str">
        <f t="shared" si="11"/>
        <v>91197485</v>
      </c>
      <c r="L690" s="12" t="s">
        <v>2962</v>
      </c>
      <c r="M690" s="13" t="str">
        <f ca="1">IFERROR(__xludf.DUMMYFUNCTION("TRIM(
  REGEXREPLACE(
    TEXTJOIN("" "",
      TRUE,
      B690,
      C690,
      embaralharLinks(E690,F690,G690),
      H690,
      """",
      J690,
      N690,
      ""#RIPNSFW""
    ),
  "",\s*"", "" "")
)"),"{New} GwenGwiz https://streamtape.com/v/mQ3Y6Gxjv1Sdv9/91197485 https://doodstream.com/d/s0f4ydp8uigy/91197485 https://lulustream.com/d/4gakqi6dhqyo (2026) #teen #bigtits #blonde #blowjob #RIPNSFW")</f>
        <v>{New} GwenGwiz https://streamtape.com/v/mQ3Y6Gxjv1Sdv9/91197485 https://doodstream.com/d/s0f4ydp8uigy/91197485 https://lulustream.com/d/4gakqi6dhqyo (2026) #teen #bigtits #blonde #blowjob #RIPNSFW</v>
      </c>
      <c r="N690" s="2" t="s">
        <v>2962</v>
      </c>
      <c r="O690" s="30" t="s">
        <v>3511</v>
      </c>
      <c r="P690" s="26"/>
      <c r="R690" s="23"/>
    </row>
    <row r="691" spans="1:27" ht="12.75">
      <c r="A691" s="12" t="s">
        <v>3512</v>
      </c>
      <c r="B691" s="6" t="s">
        <v>14</v>
      </c>
      <c r="C691" s="7" t="str">
        <f t="shared" si="8"/>
        <v xml:space="preserve">GwenGwiz </v>
      </c>
      <c r="D691" s="27" t="s">
        <v>3513</v>
      </c>
      <c r="E691" s="28" t="s">
        <v>3514</v>
      </c>
      <c r="F691" s="9" t="str">
        <f ca="1">IFERROR(__xludf.DUMMYFUNCTION("""https://streamtape.com/v/""&amp;
REGEXEXTRACT(O691,""/thumb/([^/]+)/"")&amp;
""/""&amp;K691"),"https://streamtape.com/v/0pzLDJ80jAcbdKJ/91203069")</f>
        <v>https://streamtape.com/v/0pzLDJ80jAcbdKJ/91203069</v>
      </c>
      <c r="G691" s="10" t="e">
        <f t="shared" ca="1" si="9"/>
        <v>#NAME?</v>
      </c>
      <c r="H691" s="11" t="str">
        <f ca="1">IFERROR(__xludf.DUMMYFUNCTION("IFERROR(SUBSTITUTE(SUBSTITUTE(REGEXEXTRACT(A691, ""[^-]+- [^-]+- [^-]+ - (.+?)\.jpg""), "".jpg"", """"), ""-"", "", ""), """")"),"")</f>
        <v/>
      </c>
      <c r="I691" s="6"/>
      <c r="J691" s="7" t="str">
        <f t="shared" ca="1" si="10"/>
        <v>(2026)</v>
      </c>
      <c r="K691" s="7" t="str">
        <f t="shared" si="11"/>
        <v>91203069</v>
      </c>
      <c r="L691" s="12" t="s">
        <v>710</v>
      </c>
      <c r="M691" s="13" t="str">
        <f ca="1">IFERROR(__xludf.DUMMYFUNCTION("TRIM(
  REGEXREPLACE(
    TEXTJOIN("" "",
      TRUE,
      B691,
      C691,
      embaralharLinks(E691,F691,G691),
      H691,
      """",
      J691,
      N691,
      ""#RIPNSFW""
    ),
  "",\s*"", "" "")
)"),"{New} GwenGwiz https://lulustream.com/d/qillhorwyj5s https://streamtape.com/v/0pzLDJ80jAcbdKJ/91203069 https://doodstream.com/d/iu9s5syfkgia/91203069 (2026) #BigTits #Hardcore #Teen #Blowjob #RIPNSFW")</f>
        <v>{New} GwenGwiz https://lulustream.com/d/qillhorwyj5s https://streamtape.com/v/0pzLDJ80jAcbdKJ/91203069 https://doodstream.com/d/iu9s5syfkgia/91203069 (2026) #BigTits #Hardcore #Teen #Blowjob #RIPNSFW</v>
      </c>
      <c r="N691" s="2" t="s">
        <v>711</v>
      </c>
      <c r="O691" s="30" t="s">
        <v>3515</v>
      </c>
      <c r="P691" s="26"/>
      <c r="R691" s="23"/>
    </row>
    <row r="692" spans="1:27" ht="12.75">
      <c r="A692" s="12" t="s">
        <v>3516</v>
      </c>
      <c r="B692" s="6" t="s">
        <v>14</v>
      </c>
      <c r="C692" s="7" t="str">
        <f t="shared" si="8"/>
        <v xml:space="preserve">GwenGwiz </v>
      </c>
      <c r="D692" s="24" t="s">
        <v>3517</v>
      </c>
      <c r="E692" s="25" t="s">
        <v>3518</v>
      </c>
      <c r="F692" s="9" t="str">
        <f ca="1">IFERROR(__xludf.DUMMYFUNCTION("""https://streamtape.com/v/""&amp;
REGEXEXTRACT(O692,""/thumb/([^/]+)/"")&amp;
""/""&amp;K692"),"https://streamtape.com/v/9BxRwD7Jq7UagxD/91444182")</f>
        <v>https://streamtape.com/v/9BxRwD7Jq7UagxD/91444182</v>
      </c>
      <c r="G692" s="10" t="e">
        <f t="shared" ca="1" si="9"/>
        <v>#NAME?</v>
      </c>
      <c r="H692" s="11" t="str">
        <f ca="1">IFERROR(__xludf.DUMMYFUNCTION("IFERROR(SUBSTITUTE(SUBSTITUTE(REGEXEXTRACT(A692, ""[^-]+- [^-]+- [^-]+ - (.+?)\.jpg""), "".jpg"", """"), ""-"", "", ""), """")"),"")</f>
        <v/>
      </c>
      <c r="I692" s="6"/>
      <c r="J692" s="7" t="str">
        <f t="shared" ca="1" si="10"/>
        <v>(2026)</v>
      </c>
      <c r="K692" s="7" t="str">
        <f t="shared" si="11"/>
        <v>91444182</v>
      </c>
      <c r="L692" s="12" t="s">
        <v>2962</v>
      </c>
      <c r="M692" s="13" t="str">
        <f ca="1">IFERROR(__xludf.DUMMYFUNCTION("TRIM(
  REGEXREPLACE(
    TEXTJOIN("" "",
      TRUE,
      B692,
      C692,
      embaralharLinks(E692,F692,G692),
      H692,
      """",
      J692,
      N692,
      ""#RIPNSFW""
    ),
  "",\s*"", "" "")
)"),"{New} GwenGwiz https://streamtape.com/v/9BxRwD7Jq7UagxD/91444182 https://lulustream.com/d/5qzizhwnbspf https://doodstream.com/d/vrv33hd37hsb/91444182 (2026) #teen #bigtits #blonde #blowjob #RIPNSFW")</f>
        <v>{New} GwenGwiz https://streamtape.com/v/9BxRwD7Jq7UagxD/91444182 https://lulustream.com/d/5qzizhwnbspf https://doodstream.com/d/vrv33hd37hsb/91444182 (2026) #teen #bigtits #blonde #blowjob #RIPNSFW</v>
      </c>
      <c r="N692" s="2" t="s">
        <v>2962</v>
      </c>
      <c r="O692" s="30" t="s">
        <v>3519</v>
      </c>
      <c r="P692" s="26"/>
      <c r="R692" s="23"/>
    </row>
    <row r="693" spans="1:27" ht="12.75">
      <c r="A693" s="12" t="s">
        <v>3520</v>
      </c>
      <c r="B693" s="6" t="s">
        <v>14</v>
      </c>
      <c r="C693" s="7" t="str">
        <f t="shared" si="8"/>
        <v xml:space="preserve">GwenGwiz </v>
      </c>
      <c r="D693" s="24" t="s">
        <v>3521</v>
      </c>
      <c r="E693" s="25" t="s">
        <v>3522</v>
      </c>
      <c r="F693" s="9" t="str">
        <f ca="1">IFERROR(__xludf.DUMMYFUNCTION("""https://streamtape.com/v/""&amp;
REGEXEXTRACT(O693,""/thumb/([^/]+)/"")&amp;
""/""&amp;K693"),"https://streamtape.com/v/1B1JwwqVA9Ieoqq/92110695")</f>
        <v>https://streamtape.com/v/1B1JwwqVA9Ieoqq/92110695</v>
      </c>
      <c r="G693" s="10" t="e">
        <f t="shared" ca="1" si="9"/>
        <v>#NAME?</v>
      </c>
      <c r="H693" s="11" t="str">
        <f ca="1">IFERROR(__xludf.DUMMYFUNCTION("IFERROR(SUBSTITUTE(SUBSTITUTE(REGEXEXTRACT(A693, ""[^-]+- [^-]+- [^-]+ - (.+?)\.jpg""), "".jpg"", """"), ""-"", "", ""), """")"),"")</f>
        <v/>
      </c>
      <c r="I693" s="6"/>
      <c r="J693" s="7" t="str">
        <f t="shared" ca="1" si="10"/>
        <v>(2026)</v>
      </c>
      <c r="K693" s="7" t="str">
        <f t="shared" si="11"/>
        <v>92110695</v>
      </c>
      <c r="L693" s="12" t="s">
        <v>3523</v>
      </c>
      <c r="M693" s="13" t="str">
        <f ca="1">IFERROR(__xludf.DUMMYFUNCTION("TRIM(
  REGEXREPLACE(
    TEXTJOIN("" "",
      TRUE,
      B693,
      C693,
      embaralharLinks(E693,F693,G693),
      H693,
      """",
      J693,
      N693,
      ""#RIPNSFW""
    ),
  "",\s*"", "" "")
)"),"{New} GwenGwiz https://streamtape.com/v/1B1JwwqVA9Ieoqq/92110695 https://lulustream.com/d/g7cl0jd63ukr https://doodstream.com/d/ai82j70tu3xf/92110695 (2026) #teen #blonde #blowjob #bigtits #RIPNSFW")</f>
        <v>{New} GwenGwiz https://streamtape.com/v/1B1JwwqVA9Ieoqq/92110695 https://lulustream.com/d/g7cl0jd63ukr https://doodstream.com/d/ai82j70tu3xf/92110695 (2026) #teen #blonde #blowjob #bigtits #RIPNSFW</v>
      </c>
      <c r="N693" s="2" t="s">
        <v>3523</v>
      </c>
      <c r="O693" s="30" t="s">
        <v>3524</v>
      </c>
      <c r="P693" s="26"/>
      <c r="R693" s="23"/>
    </row>
    <row r="694" spans="1:27" ht="12.75">
      <c r="A694" s="12" t="s">
        <v>3525</v>
      </c>
      <c r="B694" s="6" t="s">
        <v>14</v>
      </c>
      <c r="C694" s="7" t="str">
        <f t="shared" si="8"/>
        <v xml:space="preserve">GwenGwiz </v>
      </c>
      <c r="D694" s="24" t="s">
        <v>3526</v>
      </c>
      <c r="E694" s="25" t="s">
        <v>3527</v>
      </c>
      <c r="F694" s="9" t="str">
        <f ca="1">IFERROR(__xludf.DUMMYFUNCTION("""https://streamtape.com/v/""&amp;
REGEXEXTRACT(O694,""/thumb/([^/]+)/"")&amp;
""/""&amp;K694"),"https://streamtape.com/v/jlRp3eo1opFGXJ/92682708")</f>
        <v>https://streamtape.com/v/jlRp3eo1opFGXJ/92682708</v>
      </c>
      <c r="G694" s="10" t="e">
        <f t="shared" ca="1" si="9"/>
        <v>#NAME?</v>
      </c>
      <c r="H694" s="11" t="str">
        <f ca="1">IFERROR(__xludf.DUMMYFUNCTION("IFERROR(SUBSTITUTE(SUBSTITUTE(REGEXEXTRACT(A694, ""[^-]+- [^-]+- [^-]+ - (.+?)\.jpg""), "".jpg"", """"), ""-"", "", ""), """")"),"")</f>
        <v/>
      </c>
      <c r="I694" s="6"/>
      <c r="J694" s="7" t="str">
        <f t="shared" ca="1" si="10"/>
        <v>(2026)</v>
      </c>
      <c r="K694" s="7" t="str">
        <f t="shared" si="11"/>
        <v>92682708</v>
      </c>
      <c r="L694" s="12" t="s">
        <v>3023</v>
      </c>
      <c r="M694" s="13" t="str">
        <f ca="1">IFERROR(__xludf.DUMMYFUNCTION("TRIM(
  REGEXREPLACE(
    TEXTJOIN("" "",
      TRUE,
      B694,
      C694,
      embaralharLinks(E694,F694,G694),
      H694,
      """",
      J694,
      N694,
      ""#RIPNSFW""
    ),
  "",\s*"", "" "")
)"),"{New} GwenGwiz https://lulustream.com/d/mf91ypibcfyu https://streamtape.com/v/jlRp3eo1opFGXJ/92682708 https://doodstream.com/d/vzxe9bt3t9xj/92682708 (2026) #teen #blowjob #blonde #bigtits #RIPNSFW")</f>
        <v>{New} GwenGwiz https://lulustream.com/d/mf91ypibcfyu https://streamtape.com/v/jlRp3eo1opFGXJ/92682708 https://doodstream.com/d/vzxe9bt3t9xj/92682708 (2026) #teen #blowjob #blonde #bigtits #RIPNSFW</v>
      </c>
      <c r="N694" s="2" t="s">
        <v>3023</v>
      </c>
      <c r="O694" s="30" t="s">
        <v>3528</v>
      </c>
      <c r="P694" s="26"/>
      <c r="R694" s="23"/>
    </row>
    <row r="695" spans="1:27" ht="12.75">
      <c r="A695" s="12" t="s">
        <v>3529</v>
      </c>
      <c r="B695" s="6" t="s">
        <v>14</v>
      </c>
      <c r="C695" s="7" t="str">
        <f t="shared" si="8"/>
        <v xml:space="preserve">Hailey Rose </v>
      </c>
      <c r="D695" s="24" t="s">
        <v>3530</v>
      </c>
      <c r="E695" s="25" t="s">
        <v>3531</v>
      </c>
      <c r="F695" s="9" t="str">
        <f ca="1">IFERROR(__xludf.DUMMYFUNCTION("""https://streamtape.com/v/""&amp;
REGEXEXTRACT(O695,""/thumb/([^/]+)/"")&amp;
""/""&amp;K695"),"https://streamtape.com/v/k3zbJ63m4lIO7px/18271884")</f>
        <v>https://streamtape.com/v/k3zbJ63m4lIO7px/18271884</v>
      </c>
      <c r="G695" s="10" t="e">
        <f t="shared" ca="1" si="9"/>
        <v>#NAME?</v>
      </c>
      <c r="H695" s="11" t="str">
        <f ca="1">IFERROR(__xludf.DUMMYFUNCTION("IFERROR(SUBSTITUTE(SUBSTITUTE(REGEXEXTRACT(A695, ""[^-]+- [^-]+- [^-]+ - (.+?)\.jpg""), "".jpg"", """"), ""-"", "", ""), """")"),"")</f>
        <v/>
      </c>
      <c r="I695" s="6"/>
      <c r="J695" s="7" t="str">
        <f t="shared" ca="1" si="10"/>
        <v>(2026)</v>
      </c>
      <c r="K695" s="7" t="str">
        <f t="shared" si="11"/>
        <v>18271884</v>
      </c>
      <c r="L695" s="12" t="s">
        <v>3532</v>
      </c>
      <c r="M695" s="13" t="str">
        <f ca="1">IFERROR(__xludf.DUMMYFUNCTION("TRIM(
  REGEXREPLACE(
    TEXTJOIN("" "",
      TRUE,
      B695,
      C695,
      embaralharLinks(E695,F695,G695),
      H695,
      """",
      J695,
      N695,
      ""#RIPNSFW""
    ),
  "",\s*"", "" "")
)"),"{New} Hailey Rose https://lulustream.com/d/8rutq4geh9mw https://streamtape.com/v/k3zbJ63m4lIO7px/18271884 https://doodstream.com/d/kbabq9z01oey/18271884 (2026) #blowjob #brunette #bigtits #halloween #RIPNSFW")</f>
        <v>{New} Hailey Rose https://lulustream.com/d/8rutq4geh9mw https://streamtape.com/v/k3zbJ63m4lIO7px/18271884 https://doodstream.com/d/kbabq9z01oey/18271884 (2026) #blowjob #brunette #bigtits #halloween #RIPNSFW</v>
      </c>
      <c r="N695" s="2" t="s">
        <v>3532</v>
      </c>
      <c r="O695" s="30" t="s">
        <v>3533</v>
      </c>
      <c r="P695" s="26"/>
      <c r="R695" s="23"/>
      <c r="T695" s="6"/>
      <c r="U695" s="7"/>
    </row>
    <row r="696" spans="1:27" ht="12.75">
      <c r="A696" s="12" t="s">
        <v>3534</v>
      </c>
      <c r="B696" s="6" t="s">
        <v>14</v>
      </c>
      <c r="C696" s="7" t="str">
        <f t="shared" si="8"/>
        <v xml:space="preserve">Hailey Rose </v>
      </c>
      <c r="D696" s="24" t="s">
        <v>3535</v>
      </c>
      <c r="E696" s="25" t="s">
        <v>3536</v>
      </c>
      <c r="F696" s="9" t="str">
        <f ca="1">IFERROR(__xludf.DUMMYFUNCTION("""https://streamtape.com/v/""&amp;
REGEXEXTRACT(O696,""/thumb/([^/]+)/"")&amp;
""/""&amp;K696"),"https://streamtape.com/v/lQGKl6Gka7U7r10/20228354")</f>
        <v>https://streamtape.com/v/lQGKl6Gka7U7r10/20228354</v>
      </c>
      <c r="G696" s="10" t="e">
        <f t="shared" ca="1" si="9"/>
        <v>#NAME?</v>
      </c>
      <c r="H696" s="11" t="str">
        <f ca="1">IFERROR(__xludf.DUMMYFUNCTION("IFERROR(SUBSTITUTE(SUBSTITUTE(REGEXEXTRACT(A696, ""[^-]+- [^-]+- [^-]+ - (.+?)\.jpg""), "".jpg"", """"), ""-"", "", ""), """")"),"Azzy Star")</f>
        <v>Azzy Star</v>
      </c>
      <c r="I696" s="6"/>
      <c r="J696" s="7" t="str">
        <f t="shared" ca="1" si="10"/>
        <v>(2026)</v>
      </c>
      <c r="K696" s="7" t="str">
        <f t="shared" si="11"/>
        <v>20228354</v>
      </c>
      <c r="L696" s="12" t="s">
        <v>3537</v>
      </c>
      <c r="M696" s="13" t="str">
        <f ca="1">IFERROR(__xludf.DUMMYFUNCTION("TRIM(
  REGEXREPLACE(
    TEXTJOIN("" "",
      TRUE,
      B696,
      C696,
      embaralharLinks(E696,F696,G696),
      H696,
      """",
      J696,
      N696,
      ""#RIPNSFW""
    ),
  "",\s*"", "" "")
)"),"{New} Hailey Rose https://doodstream.com/d/v2dh06ovb5hs/20228354 https://lulustream.com/d/bts1ytp9te3q https://streamtape.com/v/lQGKl6Gka7U7r10/20228354 Azzy Star (2026) #threesome #bigass #bigtits #brunette #RIPNSFW")</f>
        <v>{New} Hailey Rose https://doodstream.com/d/v2dh06ovb5hs/20228354 https://lulustream.com/d/bts1ytp9te3q https://streamtape.com/v/lQGKl6Gka7U7r10/20228354 Azzy Star (2026) #threesome #bigass #bigtits #brunette #RIPNSFW</v>
      </c>
      <c r="N696" s="2" t="s">
        <v>3537</v>
      </c>
      <c r="O696" s="30" t="s">
        <v>3538</v>
      </c>
      <c r="P696" s="26"/>
      <c r="R696" s="23"/>
      <c r="T696" s="6"/>
      <c r="U696" s="7"/>
    </row>
    <row r="697" spans="1:27" ht="12.75">
      <c r="A697" s="6" t="s">
        <v>3539</v>
      </c>
      <c r="B697" s="6" t="s">
        <v>14</v>
      </c>
      <c r="C697" s="7" t="str">
        <f t="shared" si="8"/>
        <v xml:space="preserve">Hailey Rose </v>
      </c>
      <c r="D697" s="6" t="s">
        <v>3540</v>
      </c>
      <c r="E697" s="8" t="s">
        <v>3541</v>
      </c>
      <c r="F697" s="9" t="str">
        <f ca="1">IFERROR(__xludf.DUMMYFUNCTION("""https://streamtape.com/v/""&amp;
REGEXEXTRACT(O697,""/thumb/([^/]+)/"")&amp;
""/""&amp;K697"),"https://streamtape.com/v/RgPY4lQzL0f7p0/23405273")</f>
        <v>https://streamtape.com/v/RgPY4lQzL0f7p0/23405273</v>
      </c>
      <c r="G697" s="10" t="e">
        <f t="shared" ca="1" si="9"/>
        <v>#NAME?</v>
      </c>
      <c r="H697" s="11" t="str">
        <f ca="1">IFERROR(__xludf.DUMMYFUNCTION("IFERROR(SUBSTITUTE(SUBSTITUTE(REGEXEXTRACT(A697, ""[^-]+- [^-]+- [^-]+ - (.+?)\.jpg""), "".jpg"", """"), ""-"", "", ""), """")"),"Victoria Peach ,  Katty Soarez")</f>
        <v>Victoria Peach ,  Katty Soarez</v>
      </c>
      <c r="I697" s="6"/>
      <c r="J697" s="7" t="str">
        <f t="shared" ca="1" si="10"/>
        <v>(2026)</v>
      </c>
      <c r="K697" s="7" t="str">
        <f t="shared" si="11"/>
        <v>23405273</v>
      </c>
      <c r="L697" s="12" t="s">
        <v>3542</v>
      </c>
      <c r="M697" s="13" t="str">
        <f ca="1">IFERROR(__xludf.DUMMYFUNCTION("TRIM(
  REGEXREPLACE(
    TEXTJOIN("" "",
      TRUE,
      B697,
      C697,
      embaralharLinks(E697,F697,G697),
      H697,
      """",
      J697,
      N697,
      ""#RIPNSFW""
    ),
  "",\s*"", "" "")
)"),"{New} Hailey Rose https://lulustream.com/d/yoopcx9m84f6 https://streamtape.com/v/RgPY4lQzL0f7p0/23405273 https://doodstream.com/d/a44shtfh071h/23405273 Victoria Peach Katty Soarez (2026) #BigTits #Hardcore #Bigass #Blowjob #Amateur #Facial #RIPNSFW")</f>
        <v>{New} Hailey Rose https://lulustream.com/d/yoopcx9m84f6 https://streamtape.com/v/RgPY4lQzL0f7p0/23405273 https://doodstream.com/d/a44shtfh071h/23405273 Victoria Peach Katty Soarez (2026) #BigTits #Hardcore #Bigass #Blowjob #Amateur #Facial #RIPNSFW</v>
      </c>
      <c r="N697" s="14" t="s">
        <v>3543</v>
      </c>
      <c r="O697" s="15" t="s">
        <v>3544</v>
      </c>
      <c r="P697" s="14"/>
      <c r="Q697" s="6"/>
      <c r="R697" s="11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>
      <c r="A698" s="12" t="s">
        <v>3545</v>
      </c>
      <c r="B698" s="6" t="s">
        <v>14</v>
      </c>
      <c r="C698" s="7" t="str">
        <f t="shared" si="8"/>
        <v xml:space="preserve">Hailey Rose </v>
      </c>
      <c r="D698" s="24" t="s">
        <v>3546</v>
      </c>
      <c r="E698" s="25" t="s">
        <v>3547</v>
      </c>
      <c r="F698" s="9" t="str">
        <f ca="1">IFERROR(__xludf.DUMMYFUNCTION("""https://streamtape.com/v/""&amp;
REGEXEXTRACT(O698,""/thumb/([^/]+)/"")&amp;
""/""&amp;K698"),"https://streamtape.com/v/DelXLPLrzbckPaP/25813053")</f>
        <v>https://streamtape.com/v/DelXLPLrzbckPaP/25813053</v>
      </c>
      <c r="G698" s="10" t="e">
        <f t="shared" ca="1" si="9"/>
        <v>#NAME?</v>
      </c>
      <c r="H698" s="11" t="str">
        <f ca="1">IFERROR(__xludf.DUMMYFUNCTION("IFERROR(SUBSTITUTE(SUBSTITUTE(REGEXEXTRACT(A698, ""[^-]+- [^-]+- [^-]+ - (.+?)\.jpg""), "".jpg"", """"), ""-"", "", ""), """")"),"Alanna Pow")</f>
        <v>Alanna Pow</v>
      </c>
      <c r="I698" s="6"/>
      <c r="J698" s="7" t="str">
        <f t="shared" ca="1" si="10"/>
        <v>(2026)</v>
      </c>
      <c r="K698" s="7" t="str">
        <f t="shared" si="11"/>
        <v>25813053</v>
      </c>
      <c r="L698" s="12" t="s">
        <v>3548</v>
      </c>
      <c r="M698" s="13" t="str">
        <f ca="1">IFERROR(__xludf.DUMMYFUNCTION("TRIM(
  REGEXREPLACE(
    TEXTJOIN("" "",
      TRUE,
      B698,
      C698,
      embaralharLinks(E698,F698,G698),
      H698,
      """",
      J698,
      N698,
      ""#RIPNSFW""
    ),
  "",\s*"", "" "")
)"),"{New} Hailey Rose https://streamtape.com/v/DelXLPLrzbckPaP/25813053 https://doodstream.com/d/bc204on1yckm/25813053 https://lulustream.com/d/982v8hqqx4nn Alanna Pow (2026) #threesome #teens #bigass #bigtits #RIPNSFW")</f>
        <v>{New} Hailey Rose https://streamtape.com/v/DelXLPLrzbckPaP/25813053 https://doodstream.com/d/bc204on1yckm/25813053 https://lulustream.com/d/982v8hqqx4nn Alanna Pow (2026) #threesome #teens #bigass #bigtits #RIPNSFW</v>
      </c>
      <c r="N698" s="2" t="s">
        <v>3548</v>
      </c>
      <c r="O698" s="21" t="s">
        <v>3549</v>
      </c>
      <c r="P698" s="26"/>
      <c r="R698" s="23"/>
      <c r="T698" s="6"/>
      <c r="U698" s="7"/>
    </row>
    <row r="699" spans="1:27" ht="12.75">
      <c r="A699" s="6" t="s">
        <v>3550</v>
      </c>
      <c r="B699" s="6" t="s">
        <v>14</v>
      </c>
      <c r="C699" s="7" t="str">
        <f t="shared" si="8"/>
        <v xml:space="preserve">Hailey Rose </v>
      </c>
      <c r="D699" s="6" t="s">
        <v>3551</v>
      </c>
      <c r="E699" s="8" t="s">
        <v>3552</v>
      </c>
      <c r="F699" s="9" t="str">
        <f ca="1">IFERROR(__xludf.DUMMYFUNCTION("""https://streamtape.com/v/""&amp;
REGEXEXTRACT(O699,""/thumb/([^/]+)/"")&amp;
""/""&amp;K699"),"https://streamtape.com/v/dPwAQe6oDVF7eO/26050788")</f>
        <v>https://streamtape.com/v/dPwAQe6oDVF7eO/26050788</v>
      </c>
      <c r="G699" s="10" t="e">
        <f t="shared" ca="1" si="9"/>
        <v>#NAME?</v>
      </c>
      <c r="H699" s="11" t="str">
        <f ca="1">IFERROR(__xludf.DUMMYFUNCTION("IFERROR(SUBSTITUTE(SUBSTITUTE(REGEXEXTRACT(A699, ""[^-]+- [^-]+- [^-]+ - (.+?)\.jpg""), "".jpg"", """"), ""-"", "", ""), """")"),"Adriana Sahar")</f>
        <v>Adriana Sahar</v>
      </c>
      <c r="I699" s="6"/>
      <c r="J699" s="7" t="str">
        <f t="shared" ca="1" si="10"/>
        <v>(2026)</v>
      </c>
      <c r="K699" s="7" t="str">
        <f t="shared" si="11"/>
        <v>26050788</v>
      </c>
      <c r="L699" s="12" t="s">
        <v>3553</v>
      </c>
      <c r="M699" s="13" t="str">
        <f ca="1">IFERROR(__xludf.DUMMYFUNCTION("TRIM(
  REGEXREPLACE(
    TEXTJOIN("" "",
      TRUE,
      B699,
      C699,
      embaralharLinks(E699,F699,G699),
      H699,
      """",
      J699,
      N699,
      ""#RIPNSFW""
    ),
  "",\s*"", "" "")
)"),"{New} Hailey Rose https://doodstream.com/d/csrvrddfg1px/26050788 https://streamtape.com/v/dPwAQe6oDVF7eO/26050788 https://lulustream.com/d/17s3s52kcuz7 Adriana Sahar (2026) #BigTits #Hardcore #Threesome #Bigass #RIPNSFW")</f>
        <v>{New} Hailey Rose https://doodstream.com/d/csrvrddfg1px/26050788 https://streamtape.com/v/dPwAQe6oDVF7eO/26050788 https://lulustream.com/d/17s3s52kcuz7 Adriana Sahar (2026) #BigTits #Hardcore #Threesome #Bigass #RIPNSFW</v>
      </c>
      <c r="N699" s="14" t="s">
        <v>3554</v>
      </c>
      <c r="O699" s="15" t="s">
        <v>3555</v>
      </c>
      <c r="P699" s="14"/>
      <c r="Q699" s="6"/>
      <c r="R699" s="11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>
      <c r="A700" s="6" t="s">
        <v>3556</v>
      </c>
      <c r="B700" s="6" t="s">
        <v>14</v>
      </c>
      <c r="C700" s="7" t="str">
        <f t="shared" si="8"/>
        <v xml:space="preserve">Hailey Rose </v>
      </c>
      <c r="D700" s="6" t="s">
        <v>3557</v>
      </c>
      <c r="E700" s="8" t="s">
        <v>3558</v>
      </c>
      <c r="F700" s="9" t="str">
        <f ca="1">IFERROR(__xludf.DUMMYFUNCTION("""https://streamtape.com/v/""&amp;
REGEXEXTRACT(O700,""/thumb/([^/]+)/"")&amp;
""/""&amp;K700"),"https://streamtape.com/v/88y8O28e0LhXPr/44879717")</f>
        <v>https://streamtape.com/v/88y8O28e0LhXPr/44879717</v>
      </c>
      <c r="G700" s="10" t="e">
        <f t="shared" ca="1" si="9"/>
        <v>#NAME?</v>
      </c>
      <c r="H700" s="11" t="str">
        <f ca="1">IFERROR(__xludf.DUMMYFUNCTION("IFERROR(SUBSTITUTE(SUBSTITUTE(REGEXEXTRACT(A700, ""[^-]+- [^-]+- [^-]+ - (.+?)\.jpg""), "".jpg"", """"), ""-"", "", ""), """")"),"Minami Airi")</f>
        <v>Minami Airi</v>
      </c>
      <c r="I700" s="6"/>
      <c r="J700" s="7" t="str">
        <f t="shared" ca="1" si="10"/>
        <v>(2026)</v>
      </c>
      <c r="K700" s="7" t="str">
        <f t="shared" si="11"/>
        <v>44879717</v>
      </c>
      <c r="L700" s="12" t="s">
        <v>3559</v>
      </c>
      <c r="M700" s="13" t="str">
        <f ca="1">IFERROR(__xludf.DUMMYFUNCTION("TRIM(
  REGEXREPLACE(
    TEXTJOIN("" "",
      TRUE,
      B700,
      C700,
      embaralharLinks(E700,F700,G700),
      H700,
      """",
      J700,
      N700,
      ""#RIPNSFW""
    ),
  "",\s*"", "" "")
)"),"{New} Hailey Rose https://lulustream.com/d/i2qbeadkw6xb https://streamtape.com/v/88y8O28e0LhXPr/44879717 https://doodstream.com/d/60d5r7bdib7o/44879717 Minami Airi (2026) #BigTits #Hardcore #Asian #Threesome #Interracial #Teen #Blowjob #Hotwife #RIPNSFW")</f>
        <v>{New} Hailey Rose https://lulustream.com/d/i2qbeadkw6xb https://streamtape.com/v/88y8O28e0LhXPr/44879717 https://doodstream.com/d/60d5r7bdib7o/44879717 Minami Airi (2026) #BigTits #Hardcore #Asian #Threesome #Interracial #Teen #Blowjob #Hotwife #RIPNSFW</v>
      </c>
      <c r="N700" s="14" t="s">
        <v>3560</v>
      </c>
      <c r="O700" s="15" t="s">
        <v>3561</v>
      </c>
      <c r="P700" s="14"/>
      <c r="Q700" s="6"/>
      <c r="R700" s="11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>
      <c r="A701" s="12" t="s">
        <v>3562</v>
      </c>
      <c r="B701" s="6" t="s">
        <v>14</v>
      </c>
      <c r="C701" s="7" t="str">
        <f t="shared" si="8"/>
        <v xml:space="preserve">Hailey Rose </v>
      </c>
      <c r="D701" s="27" t="s">
        <v>3563</v>
      </c>
      <c r="E701" s="28" t="s">
        <v>3564</v>
      </c>
      <c r="F701" s="9" t="str">
        <f ca="1">IFERROR(__xludf.DUMMYFUNCTION("""https://streamtape.com/v/""&amp;
REGEXEXTRACT(O701,""/thumb/([^/]+)/"")&amp;
""/""&amp;K701"),"https://streamtape.com/v/PrkXLOloMpf01W3/50639876")</f>
        <v>https://streamtape.com/v/PrkXLOloMpf01W3/50639876</v>
      </c>
      <c r="G701" s="10" t="e">
        <f t="shared" ca="1" si="9"/>
        <v>#NAME?</v>
      </c>
      <c r="H701" s="11" t="str">
        <f ca="1">IFERROR(__xludf.DUMMYFUNCTION("IFERROR(SUBSTITUTE(SUBSTITUTE(REGEXEXTRACT(A701, ""[^-]+- [^-]+- [^-]+ - (.+?)\.jpg""), "".jpg"", """"), ""-"", "", ""), """")"),"Toochi Kash")</f>
        <v>Toochi Kash</v>
      </c>
      <c r="I701" s="6"/>
      <c r="J701" s="7" t="str">
        <f t="shared" ca="1" si="10"/>
        <v>(2026)</v>
      </c>
      <c r="K701" s="7" t="str">
        <f t="shared" si="11"/>
        <v>50639876</v>
      </c>
      <c r="L701" s="12" t="s">
        <v>3565</v>
      </c>
      <c r="M701" s="13" t="str">
        <f ca="1">IFERROR(__xludf.DUMMYFUNCTION("TRIM(
  REGEXREPLACE(
    TEXTJOIN("" "",
      TRUE,
      B701,
      C701,
      embaralharLinks(E701,F701,G701),
      H701,
      """",
      J701,
      N701,
      ""#RIPNSFW""
    ),
  "",\s*"", "" "")
)"),"{New} Hailey Rose https://lulustream.com/d/yncwnjhu2zpt https://streamtape.com/v/PrkXLOloMpf01W3/50639876 https://doodstream.com/d/p5hhce2c1nbf/50639876 Toochi Kash (2026) #BigTits #Hardcore #Threesome #Blowjob #RIPNSFW")</f>
        <v>{New} Hailey Rose https://lulustream.com/d/yncwnjhu2zpt https://streamtape.com/v/PrkXLOloMpf01W3/50639876 https://doodstream.com/d/p5hhce2c1nbf/50639876 Toochi Kash (2026) #BigTits #Hardcore #Threesome #Blowjob #RIPNSFW</v>
      </c>
      <c r="N701" s="2" t="s">
        <v>3566</v>
      </c>
      <c r="O701" s="30" t="s">
        <v>3567</v>
      </c>
      <c r="P701" s="26"/>
      <c r="R701" s="23"/>
    </row>
    <row r="702" spans="1:27" ht="12.75">
      <c r="A702" s="6" t="s">
        <v>3568</v>
      </c>
      <c r="B702" s="6" t="s">
        <v>14</v>
      </c>
      <c r="C702" s="7" t="str">
        <f t="shared" si="8"/>
        <v xml:space="preserve">Hailey Rose </v>
      </c>
      <c r="D702" s="29" t="s">
        <v>3569</v>
      </c>
      <c r="E702" s="8" t="s">
        <v>3570</v>
      </c>
      <c r="F702" s="9" t="str">
        <f ca="1">IFERROR(__xludf.DUMMYFUNCTION("""https://streamtape.com/v/""&amp;
REGEXEXTRACT(O702,""/thumb/([^/]+)/"")&amp;
""/""&amp;K702"),"https://streamtape.com/v/VVKdagbJxDcPAq/53044248")</f>
        <v>https://streamtape.com/v/VVKdagbJxDcPAq/53044248</v>
      </c>
      <c r="G702" s="10" t="e">
        <f t="shared" ca="1" si="9"/>
        <v>#NAME?</v>
      </c>
      <c r="H702" s="11" t="str">
        <f ca="1">IFERROR(__xludf.DUMMYFUNCTION("IFERROR(SUBSTITUTE(SUBSTITUTE(REGEXEXTRACT(A702, ""[^-]+- [^-]+- [^-]+ - (.+?)\.jpg""), "".jpg"", """"), ""-"", "", ""), """")"),"")</f>
        <v/>
      </c>
      <c r="I702" s="6"/>
      <c r="J702" s="7" t="str">
        <f t="shared" ca="1" si="10"/>
        <v>(2026)</v>
      </c>
      <c r="K702" s="7" t="str">
        <f t="shared" si="11"/>
        <v>53044248</v>
      </c>
      <c r="L702" s="12" t="s">
        <v>3571</v>
      </c>
      <c r="M702" s="13" t="str">
        <f ca="1">IFERROR(__xludf.DUMMYFUNCTION("TRIM(
  REGEXREPLACE(
    TEXTJOIN("" "",
      TRUE,
      B702,
      C702,
      embaralharLinks(E702,F702,G702),
      H702,
      """",
      J702,
      N702,
      ""#RIPNSFW""
    ),
  "",\s*"", "" "")
)"),"{New} Hailey Rose https://doodstream.com/d/nwi1kuqzz7n2/53044248 https://lulustream.com/d/c5ya6z04lu24 https://streamtape.com/v/VVKdagbJxDcPAq/53044248 (2026) #BigTits #Black #Threesome #Interracial #Porn #RIPNSFW")</f>
        <v>{New} Hailey Rose https://doodstream.com/d/nwi1kuqzz7n2/53044248 https://lulustream.com/d/c5ya6z04lu24 https://streamtape.com/v/VVKdagbJxDcPAq/53044248 (2026) #BigTits #Black #Threesome #Interracial #Porn #RIPNSFW</v>
      </c>
      <c r="N702" s="14" t="s">
        <v>3572</v>
      </c>
      <c r="O702" s="32" t="s">
        <v>3573</v>
      </c>
      <c r="P702" s="14"/>
      <c r="Q702" s="6"/>
      <c r="R702" s="11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>
      <c r="A703" s="6" t="s">
        <v>3574</v>
      </c>
      <c r="B703" s="6" t="s">
        <v>14</v>
      </c>
      <c r="C703" s="7" t="str">
        <f t="shared" si="8"/>
        <v xml:space="preserve">Hailey Rose </v>
      </c>
      <c r="D703" s="6" t="s">
        <v>3575</v>
      </c>
      <c r="E703" s="8" t="s">
        <v>3576</v>
      </c>
      <c r="F703" s="9" t="str">
        <f ca="1">IFERROR(__xludf.DUMMYFUNCTION("""https://streamtape.com/v/""&amp;
REGEXEXTRACT(O703,""/thumb/([^/]+)/"")&amp;
""/""&amp;K703"),"https://streamtape.com/v/vowmpwzJGZt4ZMb/55725809")</f>
        <v>https://streamtape.com/v/vowmpwzJGZt4ZMb/55725809</v>
      </c>
      <c r="G703" s="10" t="e">
        <f t="shared" ca="1" si="9"/>
        <v>#NAME?</v>
      </c>
      <c r="H703" s="11" t="str">
        <f ca="1">IFERROR(__xludf.DUMMYFUNCTION("IFERROR(SUBSTITUTE(SUBSTITUTE(REGEXEXTRACT(A703, ""[^-]+- [^-]+- [^-]+ - (.+?)\.jpg""), "".jpg"", """"), ""-"", "", ""), """")"),"")</f>
        <v/>
      </c>
      <c r="I703" s="6"/>
      <c r="J703" s="7" t="str">
        <f t="shared" ca="1" si="10"/>
        <v>(2026)</v>
      </c>
      <c r="K703" s="7" t="str">
        <f t="shared" si="11"/>
        <v>55725809</v>
      </c>
      <c r="L703" s="12" t="s">
        <v>3577</v>
      </c>
      <c r="M703" s="13" t="str">
        <f ca="1">IFERROR(__xludf.DUMMYFUNCTION("TRIM(
  REGEXREPLACE(
    TEXTJOIN("" "",
      TRUE,
      B703,
      C703,
      embaralharLinks(E703,F703,G703),
      H703,
      """",
      J703,
      N703,
      ""#RIPNSFW""
    ),
  "",\s*"", "" "")
)"),"{New} Hailey Rose https://streamtape.com/v/vowmpwzJGZt4ZMb/55725809 https://doodstream.com/d/rqtw681tw9u0/55725809 https://lulustream.com/d/74f4n5gr0nbr (2026) #BigTits #Hardcore #Threesome #Bigass #Teen #Blowjob #RIPNSFW")</f>
        <v>{New} Hailey Rose https://streamtape.com/v/vowmpwzJGZt4ZMb/55725809 https://doodstream.com/d/rqtw681tw9u0/55725809 https://lulustream.com/d/74f4n5gr0nbr (2026) #BigTits #Hardcore #Threesome #Bigass #Teen #Blowjob #RIPNSFW</v>
      </c>
      <c r="N703" s="14" t="s">
        <v>3578</v>
      </c>
      <c r="O703" s="15" t="s">
        <v>3579</v>
      </c>
      <c r="P703" s="14"/>
      <c r="Q703" s="6"/>
      <c r="R703" s="11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>
      <c r="A704" s="6" t="s">
        <v>3580</v>
      </c>
      <c r="B704" s="6" t="s">
        <v>14</v>
      </c>
      <c r="C704" s="7" t="str">
        <f t="shared" si="8"/>
        <v xml:space="preserve">Hailey Rose </v>
      </c>
      <c r="D704" s="29" t="s">
        <v>3581</v>
      </c>
      <c r="E704" s="8" t="s">
        <v>3582</v>
      </c>
      <c r="F704" s="9" t="str">
        <f ca="1">IFERROR(__xludf.DUMMYFUNCTION("""https://streamtape.com/v/""&amp;
REGEXEXTRACT(O704,""/thumb/([^/]+)/"")&amp;
""/""&amp;K704"),"https://streamtape.com/v/3ka9BwGa47Cdyqe/57089023")</f>
        <v>https://streamtape.com/v/3ka9BwGa47Cdyqe/57089023</v>
      </c>
      <c r="G704" s="10" t="e">
        <f t="shared" ca="1" si="9"/>
        <v>#NAME?</v>
      </c>
      <c r="H704" s="11" t="str">
        <f ca="1">IFERROR(__xludf.DUMMYFUNCTION("IFERROR(SUBSTITUTE(SUBSTITUTE(REGEXEXTRACT(A704, ""[^-]+- [^-]+- [^-]+ - (.+?)\.jpg""), "".jpg"", """"), ""-"", "", ""), """")"),"")</f>
        <v/>
      </c>
      <c r="I704" s="6"/>
      <c r="J704" s="7" t="str">
        <f t="shared" ca="1" si="10"/>
        <v>(2026)</v>
      </c>
      <c r="K704" s="7" t="str">
        <f t="shared" si="11"/>
        <v>57089023</v>
      </c>
      <c r="L704" s="12" t="s">
        <v>3583</v>
      </c>
      <c r="M704" s="13" t="str">
        <f ca="1">IFERROR(__xludf.DUMMYFUNCTION("TRIM(
  REGEXREPLACE(
    TEXTJOIN("" "",
      TRUE,
      B704,
      C704,
      embaralharLinks(E704,F704,G704),
      H704,
      """",
      J704,
      N704,
      ""#RIPNSFW""
    ),
  "",\s*"", "" "")
)"),"{New} Hailey Rose https://lulustream.com/d/sqniqdotu28v https://streamtape.com/v/3ka9BwGa47Cdyqe/57089023 https://doodstream.com/d/oup0jk5e8opc/57089023 (2026) #BigTits #Hardcore #Bigass #Teen #Roleplay #RIPNSFW")</f>
        <v>{New} Hailey Rose https://lulustream.com/d/sqniqdotu28v https://streamtape.com/v/3ka9BwGa47Cdyqe/57089023 https://doodstream.com/d/oup0jk5e8opc/57089023 (2026) #BigTits #Hardcore #Bigass #Teen #Roleplay #RIPNSFW</v>
      </c>
      <c r="N704" s="14" t="s">
        <v>3584</v>
      </c>
      <c r="O704" s="32" t="s">
        <v>3585</v>
      </c>
      <c r="P704" s="14"/>
      <c r="Q704" s="6"/>
      <c r="R704" s="11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>
      <c r="A705" s="6" t="s">
        <v>3586</v>
      </c>
      <c r="B705" s="6" t="s">
        <v>14</v>
      </c>
      <c r="C705" s="7" t="str">
        <f t="shared" si="8"/>
        <v xml:space="preserve">Hailey Rose </v>
      </c>
      <c r="D705" s="6" t="s">
        <v>3587</v>
      </c>
      <c r="E705" s="8" t="s">
        <v>3588</v>
      </c>
      <c r="F705" s="9" t="str">
        <f ca="1">IFERROR(__xludf.DUMMYFUNCTION("""https://streamtape.com/v/""&amp;
REGEXEXTRACT(O705,""/thumb/([^/]+)/"")&amp;
""/""&amp;K705"),"https://streamtape.com/v/1W11qWZVGwCpmA/60474796")</f>
        <v>https://streamtape.com/v/1W11qWZVGwCpmA/60474796</v>
      </c>
      <c r="G705" s="10" t="e">
        <f t="shared" ca="1" si="9"/>
        <v>#NAME?</v>
      </c>
      <c r="H705" s="11" t="str">
        <f ca="1">IFERROR(__xludf.DUMMYFUNCTION("IFERROR(SUBSTITUTE(SUBSTITUTE(REGEXEXTRACT(A705, ""[^-]+- [^-]+- [^-]+ - (.+?)\.jpg""), "".jpg"", """"), ""-"", "", ""), """")"),"")</f>
        <v/>
      </c>
      <c r="I705" s="6"/>
      <c r="J705" s="7" t="str">
        <f t="shared" ca="1" si="10"/>
        <v>(2026)</v>
      </c>
      <c r="K705" s="7" t="str">
        <f t="shared" si="11"/>
        <v>60474796</v>
      </c>
      <c r="L705" s="12" t="s">
        <v>3589</v>
      </c>
      <c r="M705" s="13" t="str">
        <f ca="1">IFERROR(__xludf.DUMMYFUNCTION("TRIM(
  REGEXREPLACE(
    TEXTJOIN("" "",
      TRUE,
      B705,
      C705,
      embaralharLinks(E705,F705,G705),
      H705,
      """",
      J705,
      N705,
      ""#RIPNSFW""
    ),
  "",\s*"", "" "")
)"),"{New} Hailey Rose https://doodstream.com/d/2v1me9eyqtkj/60474796 https://lulustream.com/d/uvcs20naur63 https://streamtape.com/v/1W11qWZVGwCpmA/60474796 (2026) #BigTits #Hardcore #Teen #Blowjob #RIPNSFW")</f>
        <v>{New} Hailey Rose https://doodstream.com/d/2v1me9eyqtkj/60474796 https://lulustream.com/d/uvcs20naur63 https://streamtape.com/v/1W11qWZVGwCpmA/60474796 (2026) #BigTits #Hardcore #Teen #Blowjob #RIPNSFW</v>
      </c>
      <c r="N705" s="14" t="s">
        <v>711</v>
      </c>
      <c r="O705" s="15" t="s">
        <v>3590</v>
      </c>
      <c r="P705" s="14"/>
      <c r="Q705" s="6"/>
      <c r="R705" s="11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>
      <c r="A706" s="6" t="s">
        <v>3591</v>
      </c>
      <c r="B706" s="6" t="s">
        <v>14</v>
      </c>
      <c r="C706" s="7" t="str">
        <f t="shared" si="8"/>
        <v xml:space="preserve">Hailey Rose </v>
      </c>
      <c r="D706" s="6" t="s">
        <v>3592</v>
      </c>
      <c r="E706" s="8" t="s">
        <v>3593</v>
      </c>
      <c r="F706" s="9" t="str">
        <f ca="1">IFERROR(__xludf.DUMMYFUNCTION("""https://streamtape.com/v/""&amp;
REGEXEXTRACT(O706,""/thumb/([^/]+)/"")&amp;
""/""&amp;K706"),"https://streamtape.com/v/4mx2v8KbdBSKj7m/62549663")</f>
        <v>https://streamtape.com/v/4mx2v8KbdBSKj7m/62549663</v>
      </c>
      <c r="G706" s="10" t="e">
        <f t="shared" ca="1" si="9"/>
        <v>#NAME?</v>
      </c>
      <c r="H706" s="11" t="str">
        <f ca="1">IFERROR(__xludf.DUMMYFUNCTION("IFERROR(SUBSTITUTE(SUBSTITUTE(REGEXEXTRACT(A706, ""[^-]+- [^-]+- [^-]+ - (.+?)\.jpg""), "".jpg"", """"), ""-"", "", ""), """")"),"")</f>
        <v/>
      </c>
      <c r="I706" s="6"/>
      <c r="J706" s="7" t="str">
        <f t="shared" ca="1" si="10"/>
        <v>(2026)</v>
      </c>
      <c r="K706" s="7" t="str">
        <f t="shared" si="11"/>
        <v>62549663</v>
      </c>
      <c r="L706" s="12" t="s">
        <v>3594</v>
      </c>
      <c r="M706" s="13" t="str">
        <f ca="1">IFERROR(__xludf.DUMMYFUNCTION("TRIM(
  REGEXREPLACE(
    TEXTJOIN("" "",
      TRUE,
      B706,
      C706,
      embaralharLinks(E706,F706,G706),
      H706,
      """",
      J706,
      N706,
      ""#RIPNSFW""
    ),
  "",\s*"", "" "")
)"),"{New} Hailey Rose https://lulustream.com/d/tb2k0oye93pb https://streamtape.com/v/4mx2v8KbdBSKj7m/62549663 https://doodstream.com/d/vp2vod2ksnur/62549663 (2026) #BigTits #Hardcore #Teen #Blowjob #Amateur #Hotwife #Facial #RIPNSFW")</f>
        <v>{New} Hailey Rose https://lulustream.com/d/tb2k0oye93pb https://streamtape.com/v/4mx2v8KbdBSKj7m/62549663 https://doodstream.com/d/vp2vod2ksnur/62549663 (2026) #BigTits #Hardcore #Teen #Blowjob #Amateur #Hotwife #Facial #RIPNSFW</v>
      </c>
      <c r="N706" s="14" t="s">
        <v>3595</v>
      </c>
      <c r="O706" s="15" t="s">
        <v>3596</v>
      </c>
      <c r="P706" s="14"/>
      <c r="Q706" s="6"/>
      <c r="R706" s="11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>
      <c r="A707" s="6" t="s">
        <v>3597</v>
      </c>
      <c r="B707" s="6" t="s">
        <v>14</v>
      </c>
      <c r="C707" s="7" t="str">
        <f t="shared" si="8"/>
        <v xml:space="preserve">Hailey Rose </v>
      </c>
      <c r="D707" s="24" t="s">
        <v>3598</v>
      </c>
      <c r="E707" s="25" t="s">
        <v>3599</v>
      </c>
      <c r="F707" s="9" t="str">
        <f ca="1">IFERROR(__xludf.DUMMYFUNCTION("""https://streamtape.com/v/""&amp;
REGEXEXTRACT(O707,""/thumb/([^/]+)/"")&amp;
""/""&amp;K707"),"https://streamtape.com/v/9RLMgeJXv1U91V/64026964")</f>
        <v>https://streamtape.com/v/9RLMgeJXv1U91V/64026964</v>
      </c>
      <c r="G707" s="10" t="e">
        <f t="shared" ca="1" si="9"/>
        <v>#NAME?</v>
      </c>
      <c r="H707" s="11" t="str">
        <f ca="1">IFERROR(__xludf.DUMMYFUNCTION("IFERROR(SUBSTITUTE(SUBSTITUTE(REGEXEXTRACT(A707, ""[^-]+- [^-]+- [^-]+ - (.+?)\.jpg""), "".jpg"", """"), ""-"", "", ""), """")"),"")</f>
        <v/>
      </c>
      <c r="I707" s="6"/>
      <c r="J707" s="7" t="str">
        <f t="shared" ca="1" si="10"/>
        <v>(2026)</v>
      </c>
      <c r="K707" s="7" t="str">
        <f t="shared" si="11"/>
        <v>64026964</v>
      </c>
      <c r="L707" s="12" t="s">
        <v>2736</v>
      </c>
      <c r="M707" s="13" t="str">
        <f ca="1">IFERROR(__xludf.DUMMYFUNCTION("TRIM(
  REGEXREPLACE(
    TEXTJOIN("" "",
      TRUE,
      B707,
      C707,
      embaralharLinks(E707,F707,G707),
      H707,
      """",
      J707,
      N707,
      ""#RIPNSFW""
    ),
  "",\s*"", "" "")
)"),"{New} Hailey Rose https://lulustream.com/d/oio6q8sgzef5 https://doodstream.com/d/8mny4jy2tuec/64026964 https://streamtape.com/v/9RLMgeJXv1U91V/64026964 (2026) #teen #bigtits #blowjob #amateur #RIPNSFW")</f>
        <v>{New} Hailey Rose https://lulustream.com/d/oio6q8sgzef5 https://doodstream.com/d/8mny4jy2tuec/64026964 https://streamtape.com/v/9RLMgeJXv1U91V/64026964 (2026) #teen #bigtits #blowjob #amateur #RIPNSFW</v>
      </c>
      <c r="N707" s="31" t="s">
        <v>2736</v>
      </c>
      <c r="O707" s="32" t="s">
        <v>3600</v>
      </c>
      <c r="P707" s="26"/>
      <c r="Q707" s="6"/>
      <c r="R707" s="11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>
      <c r="A708" s="6" t="s">
        <v>3601</v>
      </c>
      <c r="B708" s="6" t="s">
        <v>14</v>
      </c>
      <c r="C708" s="7" t="str">
        <f t="shared" si="8"/>
        <v xml:space="preserve">Hailey Rose </v>
      </c>
      <c r="D708" s="6" t="s">
        <v>3602</v>
      </c>
      <c r="E708" s="8" t="s">
        <v>3603</v>
      </c>
      <c r="F708" s="9" t="str">
        <f ca="1">IFERROR(__xludf.DUMMYFUNCTION("""https://streamtape.com/v/""&amp;
REGEXEXTRACT(O708,""/thumb/([^/]+)/"")&amp;
""/""&amp;K708"),"https://streamtape.com/v/KL71ZqADlBs0XWb/74905403")</f>
        <v>https://streamtape.com/v/KL71ZqADlBs0XWb/74905403</v>
      </c>
      <c r="G708" s="10" t="e">
        <f t="shared" ca="1" si="9"/>
        <v>#NAME?</v>
      </c>
      <c r="H708" s="11" t="str">
        <f ca="1">IFERROR(__xludf.DUMMYFUNCTION("IFERROR(SUBSTITUTE(SUBSTITUTE(REGEXEXTRACT(A708, ""[^-]+- [^-]+- [^-]+ - (.+?)\.jpg""), "".jpg"", """"), ""-"", "", ""), """")"),"")</f>
        <v/>
      </c>
      <c r="I708" s="6"/>
      <c r="J708" s="7" t="str">
        <f t="shared" ca="1" si="10"/>
        <v>(2026)</v>
      </c>
      <c r="K708" s="7" t="str">
        <f t="shared" si="11"/>
        <v>74905403</v>
      </c>
      <c r="L708" s="12" t="s">
        <v>3604</v>
      </c>
      <c r="M708" s="13" t="str">
        <f ca="1">IFERROR(__xludf.DUMMYFUNCTION("TRIM(
  REGEXREPLACE(
    TEXTJOIN("" "",
      TRUE,
      B708,
      C708,
      embaralharLinks(E708,F708,G708),
      H708,
      """",
      J708,
      N708,
      ""#RIPNSFW""
    ),
  "",\s*"", "" "")
)"),"{New} Hailey Rose https://lulustream.com/d/gpg006kjdkqc https://doodstream.com/d/x3rrqjpk469y/74905403 https://streamtape.com/v/KL71ZqADlBs0XWb/74905403 (2026) #BigTits #Hardcore #Teen #Roleplay #RIPNSFW")</f>
        <v>{New} Hailey Rose https://lulustream.com/d/gpg006kjdkqc https://doodstream.com/d/x3rrqjpk469y/74905403 https://streamtape.com/v/KL71ZqADlBs0XWb/74905403 (2026) #BigTits #Hardcore #Teen #Roleplay #RIPNSFW</v>
      </c>
      <c r="N708" s="14" t="s">
        <v>3076</v>
      </c>
      <c r="O708" s="15" t="s">
        <v>3605</v>
      </c>
      <c r="P708" s="14"/>
      <c r="Q708" s="6"/>
      <c r="R708" s="11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>
      <c r="A709" s="6" t="s">
        <v>3606</v>
      </c>
      <c r="B709" s="6" t="s">
        <v>14</v>
      </c>
      <c r="C709" s="7" t="str">
        <f t="shared" si="8"/>
        <v xml:space="preserve">Hailey Rose </v>
      </c>
      <c r="D709" s="6" t="s">
        <v>3607</v>
      </c>
      <c r="E709" s="8" t="s">
        <v>3608</v>
      </c>
      <c r="F709" s="9" t="str">
        <f ca="1">IFERROR(__xludf.DUMMYFUNCTION("""https://streamtape.com/v/""&amp;
REGEXEXTRACT(O709,""/thumb/([^/]+)/"")&amp;
""/""&amp;K709"),"https://streamtape.com/v/dgk0Lq3vevck4dY/81200370")</f>
        <v>https://streamtape.com/v/dgk0Lq3vevck4dY/81200370</v>
      </c>
      <c r="G709" s="10" t="e">
        <f t="shared" ca="1" si="9"/>
        <v>#NAME?</v>
      </c>
      <c r="H709" s="11" t="str">
        <f ca="1">IFERROR(__xludf.DUMMYFUNCTION("IFERROR(SUBSTITUTE(SUBSTITUTE(REGEXEXTRACT(A709, ""[^-]+- [^-]+- [^-]+ - (.+?)\.jpg""), "".jpg"", """"), ""-"", "", ""), """")"),"")</f>
        <v/>
      </c>
      <c r="I709" s="6"/>
      <c r="J709" s="7" t="str">
        <f t="shared" ca="1" si="10"/>
        <v>(2026)</v>
      </c>
      <c r="K709" s="7" t="str">
        <f t="shared" si="11"/>
        <v>81200370</v>
      </c>
      <c r="L709" s="12" t="s">
        <v>3609</v>
      </c>
      <c r="M709" s="13" t="str">
        <f ca="1">IFERROR(__xludf.DUMMYFUNCTION("TRIM(
  REGEXREPLACE(
    TEXTJOIN("" "",
      TRUE,
      B709,
      C709,
      embaralharLinks(E709,F709,G709),
      H709,
      """",
      J709,
      N709,
      ""#RIPNSFW""
    ),
  "",\s*"", "" "")
)"),"{New} Hailey Rose https://doodstream.com/d/5i4na2hme0el/81200370 https://streamtape.com/v/dgk0Lq3vevck4dY/81200370 https://lulustream.com/d/1heq1rpzmor6 (2026) #BigTits #Teen #Blowjob #Amateur #Hotwife #RIPNSFW")</f>
        <v>{New} Hailey Rose https://doodstream.com/d/5i4na2hme0el/81200370 https://streamtape.com/v/dgk0Lq3vevck4dY/81200370 https://lulustream.com/d/1heq1rpzmor6 (2026) #BigTits #Teen #Blowjob #Amateur #Hotwife #RIPNSFW</v>
      </c>
      <c r="N709" s="14" t="s">
        <v>3610</v>
      </c>
      <c r="O709" s="15" t="s">
        <v>3611</v>
      </c>
      <c r="P709" s="14"/>
      <c r="Q709" s="6"/>
      <c r="R709" s="11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>
      <c r="A710" s="12" t="s">
        <v>3612</v>
      </c>
      <c r="B710" s="6" t="s">
        <v>14</v>
      </c>
      <c r="C710" s="7" t="str">
        <f t="shared" si="8"/>
        <v xml:space="preserve">Hailey Rose </v>
      </c>
      <c r="D710" s="24" t="s">
        <v>3613</v>
      </c>
      <c r="E710" s="25" t="s">
        <v>3614</v>
      </c>
      <c r="F710" s="9" t="str">
        <f ca="1">IFERROR(__xludf.DUMMYFUNCTION("""https://streamtape.com/v/""&amp;
REGEXEXTRACT(O710,""/thumb/([^/]+)/"")&amp;
""/""&amp;K710"),"https://streamtape.com/v/vgezg8goGbI4V6B/86565490")</f>
        <v>https://streamtape.com/v/vgezg8goGbI4V6B/86565490</v>
      </c>
      <c r="G710" s="10" t="e">
        <f t="shared" ca="1" si="9"/>
        <v>#NAME?</v>
      </c>
      <c r="H710" s="11" t="str">
        <f ca="1">IFERROR(__xludf.DUMMYFUNCTION("IFERROR(SUBSTITUTE(SUBSTITUTE(REGEXEXTRACT(A710, ""[^-]+- [^-]+- [^-]+ - (.+?)\.jpg""), "".jpg"", """"), ""-"", "", ""), """")"),"Sabrina Nichole")</f>
        <v>Sabrina Nichole</v>
      </c>
      <c r="I710" s="6"/>
      <c r="J710" s="7" t="str">
        <f t="shared" ca="1" si="10"/>
        <v>(2026)</v>
      </c>
      <c r="K710" s="7" t="str">
        <f t="shared" si="11"/>
        <v>86565490</v>
      </c>
      <c r="L710" s="12" t="s">
        <v>3615</v>
      </c>
      <c r="M710" s="13" t="str">
        <f ca="1">IFERROR(__xludf.DUMMYFUNCTION("TRIM(
  REGEXREPLACE(
    TEXTJOIN("" "",
      TRUE,
      B710,
      C710,
      embaralharLinks(E710,F710,G710),
      H710,
      """",
      J710,
      N710,
      ""#RIPNSFW""
    ),
  "",\s*"", "" "")
)"),"{New} Hailey Rose https://lulustream.com/d/vcvta3ey6k4m https://streamtape.com/v/vgezg8goGbI4V6B/86565490 https://doodstream.com/d/rkmoiv4r5kkk/86565490 Sabrina Nichole (2026) #bigtits #milf #creampie #threesome #RIPNSFW")</f>
        <v>{New} Hailey Rose https://lulustream.com/d/vcvta3ey6k4m https://streamtape.com/v/vgezg8goGbI4V6B/86565490 https://doodstream.com/d/rkmoiv4r5kkk/86565490 Sabrina Nichole (2026) #bigtits #milf #creampie #threesome #RIPNSFW</v>
      </c>
      <c r="N710" s="2" t="s">
        <v>3615</v>
      </c>
      <c r="O710" s="30" t="s">
        <v>3616</v>
      </c>
      <c r="P710" s="26"/>
      <c r="R710" s="23"/>
      <c r="T710" s="6"/>
      <c r="U710" s="7"/>
    </row>
    <row r="711" spans="1:27" ht="12.75">
      <c r="A711" s="12" t="s">
        <v>3617</v>
      </c>
      <c r="B711" s="6" t="s">
        <v>14</v>
      </c>
      <c r="C711" s="7" t="str">
        <f t="shared" si="8"/>
        <v xml:space="preserve">Hailey Rose </v>
      </c>
      <c r="D711" s="24" t="s">
        <v>3618</v>
      </c>
      <c r="E711" s="25" t="s">
        <v>3619</v>
      </c>
      <c r="F711" s="9" t="str">
        <f ca="1">IFERROR(__xludf.DUMMYFUNCTION("""https://streamtape.com/v/""&amp;
REGEXEXTRACT(O711,""/thumb/([^/]+)/"")&amp;
""/""&amp;K711"),"https://streamtape.com/v/yB3Mb4M8Ozc11Dp/87831195")</f>
        <v>https://streamtape.com/v/yB3Mb4M8Ozc11Dp/87831195</v>
      </c>
      <c r="G711" s="10" t="e">
        <f t="shared" ca="1" si="9"/>
        <v>#NAME?</v>
      </c>
      <c r="H711" s="11" t="str">
        <f ca="1">IFERROR(__xludf.DUMMYFUNCTION("IFERROR(SUBSTITUTE(SUBSTITUTE(REGEXEXTRACT(A711, ""[^-]+- [^-]+- [^-]+ - (.+?)\.jpg""), "".jpg"", """"), ""-"", "", ""), """")"),"")</f>
        <v/>
      </c>
      <c r="I711" s="6"/>
      <c r="J711" s="7" t="str">
        <f t="shared" ca="1" si="10"/>
        <v>(2026)</v>
      </c>
      <c r="K711" s="7" t="str">
        <f t="shared" si="11"/>
        <v>87831195</v>
      </c>
      <c r="L711" s="12" t="s">
        <v>3620</v>
      </c>
      <c r="M711" s="13" t="str">
        <f ca="1">IFERROR(__xludf.DUMMYFUNCTION("TRIM(
  REGEXREPLACE(
    TEXTJOIN("" "",
      TRUE,
      B711,
      C711,
      embaralharLinks(E711,F711,G711),
      H711,
      """",
      J711,
      N711,
      ""#RIPNSFW""
    ),
  "",\s*"", "" "")
)"),"{New} Hailey Rose https://doodstream.com/d/w5498ezwys4r/87831195 https://streamtape.com/v/yB3Mb4M8Ozc11Dp/87831195 https://lulustream.com/d/2riyd2t91ode (2026) #teen #blowjob #bigass #bigtits #RIPNSFW")</f>
        <v>{New} Hailey Rose https://doodstream.com/d/w5498ezwys4r/87831195 https://streamtape.com/v/yB3Mb4M8Ozc11Dp/87831195 https://lulustream.com/d/2riyd2t91ode (2026) #teen #blowjob #bigass #bigtits #RIPNSFW</v>
      </c>
      <c r="N711" s="2" t="s">
        <v>3620</v>
      </c>
      <c r="O711" s="30" t="s">
        <v>3621</v>
      </c>
      <c r="P711" s="26"/>
      <c r="R711" s="23"/>
      <c r="T711" s="6"/>
      <c r="U711" s="7"/>
    </row>
    <row r="712" spans="1:27" ht="12.75">
      <c r="A712" s="6" t="s">
        <v>3622</v>
      </c>
      <c r="B712" s="6" t="s">
        <v>14</v>
      </c>
      <c r="C712" s="7" t="str">
        <f t="shared" si="8"/>
        <v xml:space="preserve">Hailey Rose </v>
      </c>
      <c r="D712" s="24" t="s">
        <v>3623</v>
      </c>
      <c r="E712" s="25" t="s">
        <v>3624</v>
      </c>
      <c r="F712" s="9" t="str">
        <f ca="1">IFERROR(__xludf.DUMMYFUNCTION("""https://streamtape.com/v/""&amp;
REGEXEXTRACT(O712,""/thumb/([^/]+)/"")&amp;
""/""&amp;K712"),"https://streamtape.com/v/jkRp3Mkl43szOQz/89713763")</f>
        <v>https://streamtape.com/v/jkRp3Mkl43szOQz/89713763</v>
      </c>
      <c r="G712" s="10" t="e">
        <f t="shared" ca="1" si="9"/>
        <v>#NAME?</v>
      </c>
      <c r="H712" s="11" t="str">
        <f ca="1">IFERROR(__xludf.DUMMYFUNCTION("IFERROR(SUBSTITUTE(SUBSTITUTE(REGEXEXTRACT(A712, ""[^-]+- [^-]+- [^-]+ - (.+?)\.jpg""), "".jpg"", """"), ""-"", "", ""), """")"),"Minami Airi")</f>
        <v>Minami Airi</v>
      </c>
      <c r="I712" s="6"/>
      <c r="J712" s="7" t="str">
        <f t="shared" ca="1" si="10"/>
        <v>(2026)</v>
      </c>
      <c r="K712" s="7" t="str">
        <f t="shared" si="11"/>
        <v>89713763</v>
      </c>
      <c r="L712" s="12" t="s">
        <v>3625</v>
      </c>
      <c r="M712" s="13" t="str">
        <f ca="1">IFERROR(__xludf.DUMMYFUNCTION("TRIM(
  REGEXREPLACE(
    TEXTJOIN("" "",
      TRUE,
      B712,
      C712,
      embaralharLinks(E712,F712,G712),
      H712,
      """",
      J712,
      N712,
      ""#RIPNSFW""
    ),
  "",\s*"", "" "")
)"),"{New} Hailey Rose https://lulustream.com/d/uka32r1g1sa6 https://streamtape.com/v/jkRp3Mkl43szOQz/89713763 https://doodstream.com/d/0dg7pshjadvv/89713763 Minami Airi (2026) #blowjob #threesome #bigtits #teens #RIPNSFW")</f>
        <v>{New} Hailey Rose https://lulustream.com/d/uka32r1g1sa6 https://streamtape.com/v/jkRp3Mkl43szOQz/89713763 https://doodstream.com/d/0dg7pshjadvv/89713763 Minami Airi (2026) #blowjob #threesome #bigtits #teens #RIPNSFW</v>
      </c>
      <c r="N712" s="31" t="s">
        <v>3625</v>
      </c>
      <c r="O712" s="32" t="s">
        <v>3626</v>
      </c>
      <c r="P712" s="26"/>
      <c r="Q712" s="6"/>
      <c r="R712" s="11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>
      <c r="A713" s="6" t="s">
        <v>3627</v>
      </c>
      <c r="B713" s="6" t="s">
        <v>14</v>
      </c>
      <c r="C713" s="7" t="str">
        <f t="shared" si="8"/>
        <v xml:space="preserve">Hailey Rose </v>
      </c>
      <c r="D713" s="6" t="s">
        <v>3628</v>
      </c>
      <c r="E713" s="8" t="s">
        <v>3629</v>
      </c>
      <c r="F713" s="9" t="str">
        <f ca="1">IFERROR(__xludf.DUMMYFUNCTION("""https://streamtape.com/v/""&amp;
REGEXEXTRACT(O713,""/thumb/([^/]+)/"")&amp;
""/""&amp;K713"),"https://streamtape.com/v/7X1vMRYempUApqA/92204304")</f>
        <v>https://streamtape.com/v/7X1vMRYempUApqA/92204304</v>
      </c>
      <c r="G713" s="10" t="e">
        <f t="shared" ca="1" si="9"/>
        <v>#NAME?</v>
      </c>
      <c r="H713" s="11" t="str">
        <f ca="1">IFERROR(__xludf.DUMMYFUNCTION("IFERROR(SUBSTITUTE(SUBSTITUTE(REGEXEXTRACT(A713, ""[^-]+- [^-]+- [^-]+ - (.+?)\.jpg""), "".jpg"", """"), ""-"", "", ""), """")"),"")</f>
        <v/>
      </c>
      <c r="I713" s="6"/>
      <c r="J713" s="7" t="str">
        <f t="shared" ca="1" si="10"/>
        <v>(2026)</v>
      </c>
      <c r="K713" s="7" t="str">
        <f t="shared" si="11"/>
        <v>92204304</v>
      </c>
      <c r="L713" s="12" t="s">
        <v>3609</v>
      </c>
      <c r="M713" s="13" t="str">
        <f ca="1">IFERROR(__xludf.DUMMYFUNCTION("TRIM(
  REGEXREPLACE(
    TEXTJOIN("" "",
      TRUE,
      B713,
      C713,
      embaralharLinks(E713,F713,G713),
      H713,
      """",
      J713,
      N713,
      ""#RIPNSFW""
    ),
  "",\s*"", "" "")
)"),"{New} Hailey Rose https://doodstream.com/d/ghvohye9n2v6/92204304 https://lulustream.com/d/fdu863fjx118 https://streamtape.com/v/7X1vMRYempUApqA/92204304 (2026) #BigTits #Teen #Blowjob #Amateur #Hotwife #Deepthroat #RIPNSFW")</f>
        <v>{New} Hailey Rose https://doodstream.com/d/ghvohye9n2v6/92204304 https://lulustream.com/d/fdu863fjx118 https://streamtape.com/v/7X1vMRYempUApqA/92204304 (2026) #BigTits #Teen #Blowjob #Amateur #Hotwife #Deepthroat #RIPNSFW</v>
      </c>
      <c r="N713" s="14" t="s">
        <v>3630</v>
      </c>
      <c r="O713" s="15" t="s">
        <v>3631</v>
      </c>
      <c r="P713" s="14"/>
      <c r="Q713" s="6"/>
      <c r="R713" s="11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>
      <c r="A714" s="6" t="s">
        <v>3632</v>
      </c>
      <c r="B714" s="6" t="s">
        <v>14</v>
      </c>
      <c r="C714" s="7" t="str">
        <f t="shared" si="8"/>
        <v xml:space="preserve">Hailey Rose </v>
      </c>
      <c r="D714" s="6" t="s">
        <v>3633</v>
      </c>
      <c r="E714" s="8" t="s">
        <v>3634</v>
      </c>
      <c r="F714" s="9" t="str">
        <f ca="1">IFERROR(__xludf.DUMMYFUNCTION("""https://streamtape.com/v/""&amp;
REGEXEXTRACT(O714,""/thumb/([^/]+)/"")&amp;
""/""&amp;K714"),"https://streamtape.com/v/0ppddg7kQ9hbJX8/92309292")</f>
        <v>https://streamtape.com/v/0ppddg7kQ9hbJX8/92309292</v>
      </c>
      <c r="G714" s="10" t="e">
        <f t="shared" ca="1" si="9"/>
        <v>#NAME?</v>
      </c>
      <c r="H714" s="11" t="str">
        <f ca="1">IFERROR(__xludf.DUMMYFUNCTION("IFERROR(SUBSTITUTE(SUBSTITUTE(REGEXEXTRACT(A714, ""[^-]+- [^-]+- [^-]+ - (.+?)\.jpg""), "".jpg"", """"), ""-"", "", ""), """")"),"Penelope Woods")</f>
        <v>Penelope Woods</v>
      </c>
      <c r="I714" s="6"/>
      <c r="J714" s="7" t="str">
        <f t="shared" ca="1" si="10"/>
        <v>(2026)</v>
      </c>
      <c r="K714" s="7" t="str">
        <f t="shared" si="11"/>
        <v>92309292</v>
      </c>
      <c r="L714" s="12" t="s">
        <v>3635</v>
      </c>
      <c r="M714" s="13" t="str">
        <f ca="1">IFERROR(__xludf.DUMMYFUNCTION("TRIM(
  REGEXREPLACE(
    TEXTJOIN("" "",
      TRUE,
      B714,
      C714,
      embaralharLinks(E714,F714,G714),
      H714,
      """",
      J714,
      N714,
      ""#RIPNSFW""
    ),
  "",\s*"", "" "")
)"),"{New} Hailey Rose https://streamtape.com/v/0ppddg7kQ9hbJX8/92309292 https://doodstream.com/d/i3t0gh9ug363/92309292 https://lulustream.com/d/4lzph7xejtt9 Penelope Woods (2026) #BigTits #Creampie #Hardcore #Blowjob #RIPNSFW")</f>
        <v>{New} Hailey Rose https://streamtape.com/v/0ppddg7kQ9hbJX8/92309292 https://doodstream.com/d/i3t0gh9ug363/92309292 https://lulustream.com/d/4lzph7xejtt9 Penelope Woods (2026) #BigTits #Creampie #Hardcore #Blowjob #RIPNSFW</v>
      </c>
      <c r="N714" s="14" t="s">
        <v>3636</v>
      </c>
      <c r="O714" s="15" t="s">
        <v>3637</v>
      </c>
      <c r="P714" s="14"/>
      <c r="Q714" s="6"/>
      <c r="R714" s="11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>
      <c r="A715" s="12" t="s">
        <v>3638</v>
      </c>
      <c r="B715" s="6" t="s">
        <v>14</v>
      </c>
      <c r="C715" s="7" t="str">
        <f t="shared" si="8"/>
        <v xml:space="preserve">Hailey Rose </v>
      </c>
      <c r="D715" s="24" t="s">
        <v>3639</v>
      </c>
      <c r="E715" s="25" t="s">
        <v>3640</v>
      </c>
      <c r="F715" s="9" t="str">
        <f ca="1">IFERROR(__xludf.DUMMYFUNCTION("""https://streamtape.com/v/""&amp;
REGEXEXTRACT(O715,""/thumb/([^/]+)/"")&amp;
""/""&amp;K715"),"https://streamtape.com/v/djBY3vvyJdIkKGR/97187164")</f>
        <v>https://streamtape.com/v/djBY3vvyJdIkKGR/97187164</v>
      </c>
      <c r="G715" s="10" t="e">
        <f t="shared" ca="1" si="9"/>
        <v>#NAME?</v>
      </c>
      <c r="H715" s="11" t="str">
        <f ca="1">IFERROR(__xludf.DUMMYFUNCTION("IFERROR(SUBSTITUTE(SUBSTITUTE(REGEXEXTRACT(A715, ""[^-]+- [^-]+- [^-]+ - (.+?)\.jpg""), "".jpg"", """"), ""-"", "", ""), """")"),"Violet Myers")</f>
        <v>Violet Myers</v>
      </c>
      <c r="I715" s="6"/>
      <c r="J715" s="7" t="str">
        <f t="shared" ca="1" si="10"/>
        <v>(2026)</v>
      </c>
      <c r="K715" s="7" t="str">
        <f t="shared" si="11"/>
        <v>97187164</v>
      </c>
      <c r="L715" s="12" t="s">
        <v>3641</v>
      </c>
      <c r="M715" s="13" t="str">
        <f ca="1">IFERROR(__xludf.DUMMYFUNCTION("TRIM(
  REGEXREPLACE(
    TEXTJOIN("" "",
      TRUE,
      B715,
      C715,
      embaralharLinks(E715,F715,G715),
      H715,
      """",
      J715,
      N715,
      ""#RIPNSFW""
    ),
  "",\s*"", "" "")
)"),"{New} Hailey Rose https://doodstream.com/d/et2q65iilut3/97187164 https://lulustream.com/d/5ctr8cu9mzjo https://streamtape.com/v/djBY3vvyJdIkKGR/97187164 Violet Myers (2026) #threesome #bigtits #bigass #brunette #RIPNSFW")</f>
        <v>{New} Hailey Rose https://doodstream.com/d/et2q65iilut3/97187164 https://lulustream.com/d/5ctr8cu9mzjo https://streamtape.com/v/djBY3vvyJdIkKGR/97187164 Violet Myers (2026) #threesome #bigtits #bigass #brunette #RIPNSFW</v>
      </c>
      <c r="N715" s="2" t="s">
        <v>3641</v>
      </c>
      <c r="O715" s="30" t="s">
        <v>3642</v>
      </c>
      <c r="P715" s="26"/>
      <c r="R715" s="23"/>
      <c r="T715" s="6"/>
      <c r="U715" s="7"/>
    </row>
    <row r="716" spans="1:27" ht="12.75">
      <c r="A716" s="6" t="s">
        <v>3643</v>
      </c>
      <c r="B716" s="6" t="s">
        <v>14</v>
      </c>
      <c r="C716" s="7" t="str">
        <f t="shared" si="8"/>
        <v xml:space="preserve">Haley Reed </v>
      </c>
      <c r="D716" s="6" t="s">
        <v>3644</v>
      </c>
      <c r="E716" s="8" t="s">
        <v>3645</v>
      </c>
      <c r="F716" s="9" t="str">
        <f ca="1">IFERROR(__xludf.DUMMYFUNCTION("""https://streamtape.com/v/""&amp;
REGEXEXTRACT(O716,""/thumb/([^/]+)/"")&amp;
""/""&amp;K716"),"https://streamtape.com/v/OPjy3vgqJ0cevP/69512016")</f>
        <v>https://streamtape.com/v/OPjy3vgqJ0cevP/69512016</v>
      </c>
      <c r="G716" s="10" t="e">
        <f t="shared" ca="1" si="9"/>
        <v>#NAME?</v>
      </c>
      <c r="H716" s="11" t="str">
        <f ca="1">IFERROR(__xludf.DUMMYFUNCTION("IFERROR(SUBSTITUTE(SUBSTITUTE(REGEXEXTRACT(A716, ""[^-]+- [^-]+- [^-]+ - (.+?)\.jpg""), "".jpg"", """"), ""-"", "", ""), """")"),"")</f>
        <v/>
      </c>
      <c r="I716" s="6"/>
      <c r="J716" s="7" t="str">
        <f t="shared" ca="1" si="10"/>
        <v>(2026)</v>
      </c>
      <c r="K716" s="7" t="str">
        <f t="shared" si="11"/>
        <v>69512016</v>
      </c>
      <c r="L716" s="12" t="s">
        <v>3646</v>
      </c>
      <c r="M716" s="13" t="str">
        <f ca="1">IFERROR(__xludf.DUMMYFUNCTION("TRIM(
  REGEXREPLACE(
    TEXTJOIN("" "",
      TRUE,
      B716,
      C716,
      embaralharLinks(E716,F716,G716),
      H716,
      """",
      J716,
      N716,
      ""#RIPNSFW""
    ),
  "",\s*"", "" "")
)"),"{New} Haley Reed https://lulustream.com/d/4xyn6eoz2qjf https://doodstream.com/d/n8yfg405yjp8/69512016 https://streamtape.com/v/OPjy3vgqJ0cevP/69512016 (2026) #Hardcore #Teen #Blowjob #Porn #RIPNSFW")</f>
        <v>{New} Haley Reed https://lulustream.com/d/4xyn6eoz2qjf https://doodstream.com/d/n8yfg405yjp8/69512016 https://streamtape.com/v/OPjy3vgqJ0cevP/69512016 (2026) #Hardcore #Teen #Blowjob #Porn #RIPNSFW</v>
      </c>
      <c r="N716" s="14" t="s">
        <v>3647</v>
      </c>
      <c r="O716" s="15" t="s">
        <v>3648</v>
      </c>
      <c r="P716" s="14"/>
      <c r="Q716" s="6"/>
      <c r="R716" s="11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>
      <c r="A717" s="12" t="s">
        <v>3649</v>
      </c>
      <c r="B717" s="6" t="s">
        <v>14</v>
      </c>
      <c r="C717" s="7" t="str">
        <f t="shared" si="8"/>
        <v xml:space="preserve">Haley Spades </v>
      </c>
      <c r="D717" s="24" t="s">
        <v>3650</v>
      </c>
      <c r="E717" s="25" t="s">
        <v>3651</v>
      </c>
      <c r="F717" s="9" t="str">
        <f ca="1">IFERROR(__xludf.DUMMYFUNCTION("""https://streamtape.com/v/""&amp;
REGEXEXTRACT(O717,""/thumb/([^/]+)/"")&amp;
""/""&amp;K717"),"https://streamtape.com/v/9PRLDg2Jpaca031/10933434")</f>
        <v>https://streamtape.com/v/9PRLDg2Jpaca031/10933434</v>
      </c>
      <c r="G717" s="10" t="e">
        <f t="shared" ca="1" si="9"/>
        <v>#NAME?</v>
      </c>
      <c r="H717" s="11" t="str">
        <f ca="1">IFERROR(__xludf.DUMMYFUNCTION("IFERROR(SUBSTITUTE(SUBSTITUTE(REGEXEXTRACT(A717, ""[^-]+- [^-]+- [^-]+ - (.+?)\.jpg""), "".jpg"", """"), ""-"", "", ""), """")"),"")</f>
        <v/>
      </c>
      <c r="I717" s="6"/>
      <c r="J717" s="7" t="str">
        <f t="shared" ca="1" si="10"/>
        <v>(2026)</v>
      </c>
      <c r="K717" s="7" t="str">
        <f t="shared" si="11"/>
        <v>10933434</v>
      </c>
      <c r="L717" s="12" t="s">
        <v>3652</v>
      </c>
      <c r="M717" s="13" t="str">
        <f ca="1">IFERROR(__xludf.DUMMYFUNCTION("TRIM(
  REGEXREPLACE(
    TEXTJOIN("" "",
      TRUE,
      B717,
      C717,
      embaralharLinks(E717,F717,G717),
      H717,
      """",
      J717,
      N717,
      ""#RIPNSFW""
    ),
  "",\s*"", "" "")
)"),"{New} Haley Spades https://streamtape.com/v/9PRLDg2Jpaca031/10933434 https://doodstream.com/d/7w4960rkn2r6/10933434 https://lulustream.com/d/lu8zdzp6owqa (2026) #anal #teen #blowjob #porn #RIPNSFW")</f>
        <v>{New} Haley Spades https://streamtape.com/v/9PRLDg2Jpaca031/10933434 https://doodstream.com/d/7w4960rkn2r6/10933434 https://lulustream.com/d/lu8zdzp6owqa (2026) #anal #teen #blowjob #porn #RIPNSFW</v>
      </c>
      <c r="N717" s="2" t="s">
        <v>3652</v>
      </c>
      <c r="O717" s="30" t="s">
        <v>3653</v>
      </c>
      <c r="P717" s="26"/>
      <c r="R717" s="23"/>
    </row>
    <row r="718" spans="1:27" ht="12.75">
      <c r="A718" s="12" t="s">
        <v>3654</v>
      </c>
      <c r="B718" s="6" t="s">
        <v>14</v>
      </c>
      <c r="C718" s="7" t="str">
        <f t="shared" si="8"/>
        <v xml:space="preserve">Haley Spades </v>
      </c>
      <c r="D718" s="24" t="s">
        <v>3655</v>
      </c>
      <c r="E718" s="25" t="s">
        <v>3656</v>
      </c>
      <c r="F718" s="9" t="str">
        <f ca="1">IFERROR(__xludf.DUMMYFUNCTION("""https://streamtape.com/v/""&amp;
REGEXEXTRACT(O718,""/thumb/([^/]+)/"")&amp;
""/""&amp;K718"),"https://streamtape.com/v/klBYGqALrmuyBD/11884996")</f>
        <v>https://streamtape.com/v/klBYGqALrmuyBD/11884996</v>
      </c>
      <c r="G718" s="10" t="e">
        <f t="shared" ca="1" si="9"/>
        <v>#NAME?</v>
      </c>
      <c r="H718" s="11" t="str">
        <f ca="1">IFERROR(__xludf.DUMMYFUNCTION("IFERROR(SUBSTITUTE(SUBSTITUTE(REGEXEXTRACT(A718, ""[^-]+- [^-]+- [^-]+ - (.+?)\.jpg""), "".jpg"", """"), ""-"", "", ""), """")"),"")</f>
        <v/>
      </c>
      <c r="I718" s="6"/>
      <c r="J718" s="7" t="str">
        <f t="shared" ca="1" si="10"/>
        <v>(2026)</v>
      </c>
      <c r="K718" s="7" t="str">
        <f t="shared" si="11"/>
        <v>11884996</v>
      </c>
      <c r="L718" s="12" t="s">
        <v>3657</v>
      </c>
      <c r="M718" s="13" t="str">
        <f ca="1">IFERROR(__xludf.DUMMYFUNCTION("TRIM(
  REGEXREPLACE(
    TEXTJOIN("" "",
      TRUE,
      B718,
      C718,
      embaralharLinks(E718,F718,G718),
      H718,
      """",
      J718,
      N718,
      ""#RIPNSFW""
    ),
  "",\s*"", "" "")
)"),"{New} Haley Spades https://doodstream.com/d/2i635cumsdwm/11884996 https://lulustream.com/d/77m5ugc4uilq https://streamtape.com/v/klBYGqALrmuyBD/11884996 (2026) #teen #blowjob #blonde #bigass #RIPNSFW")</f>
        <v>{New} Haley Spades https://doodstream.com/d/2i635cumsdwm/11884996 https://lulustream.com/d/77m5ugc4uilq https://streamtape.com/v/klBYGqALrmuyBD/11884996 (2026) #teen #blowjob #blonde #bigass #RIPNSFW</v>
      </c>
      <c r="N718" s="2" t="s">
        <v>3657</v>
      </c>
      <c r="O718" s="30" t="s">
        <v>3658</v>
      </c>
      <c r="P718" s="26"/>
      <c r="R718" s="23"/>
    </row>
    <row r="719" spans="1:27" ht="12.75">
      <c r="A719" s="12" t="s">
        <v>3659</v>
      </c>
      <c r="B719" s="6" t="s">
        <v>14</v>
      </c>
      <c r="C719" s="7" t="str">
        <f t="shared" si="8"/>
        <v xml:space="preserve">Haley Spades </v>
      </c>
      <c r="D719" s="24" t="s">
        <v>3660</v>
      </c>
      <c r="E719" s="25" t="s">
        <v>3661</v>
      </c>
      <c r="F719" s="9" t="str">
        <f ca="1">IFERROR(__xludf.DUMMYFUNCTION("""https://streamtape.com/v/""&amp;
REGEXEXTRACT(O719,""/thumb/([^/]+)/"")&amp;
""/""&amp;K719"),"https://streamtape.com/v/M9387jpZP6i0aw/13165762")</f>
        <v>https://streamtape.com/v/M9387jpZP6i0aw/13165762</v>
      </c>
      <c r="G719" s="10" t="e">
        <f t="shared" ca="1" si="9"/>
        <v>#NAME?</v>
      </c>
      <c r="H719" s="11" t="str">
        <f ca="1">IFERROR(__xludf.DUMMYFUNCTION("IFERROR(SUBSTITUTE(SUBSTITUTE(REGEXEXTRACT(A719, ""[^-]+- [^-]+- [^-]+ - (.+?)\.jpg""), "".jpg"", """"), ""-"", "", ""), """")"),"")</f>
        <v/>
      </c>
      <c r="I719" s="6"/>
      <c r="J719" s="7" t="str">
        <f t="shared" ca="1" si="10"/>
        <v>(2026)</v>
      </c>
      <c r="K719" s="7" t="str">
        <f t="shared" si="11"/>
        <v>13165762</v>
      </c>
      <c r="L719" s="12" t="s">
        <v>3662</v>
      </c>
      <c r="M719" s="13" t="str">
        <f ca="1">IFERROR(__xludf.DUMMYFUNCTION("TRIM(
  REGEXREPLACE(
    TEXTJOIN("" "",
      TRUE,
      B719,
      C719,
      embaralharLinks(E719,F719,G719),
      H719,
      """",
      J719,
      N719,
      ""#RIPNSFW""
    ),
  "",\s*"", "" "")
)"),"{New} Haley Spades https://doodstream.com/d/amt58rt8q694/13165762 https://lulustream.com/d/c091xn2x67my https://streamtape.com/v/M9387jpZP6i0aw/13165762 (2026) #teen #blowjob #anal #bigass #RIPNSFW")</f>
        <v>{New} Haley Spades https://doodstream.com/d/amt58rt8q694/13165762 https://lulustream.com/d/c091xn2x67my https://streamtape.com/v/M9387jpZP6i0aw/13165762 (2026) #teen #blowjob #anal #bigass #RIPNSFW</v>
      </c>
      <c r="N719" s="2" t="s">
        <v>3662</v>
      </c>
      <c r="O719" s="30" t="s">
        <v>3663</v>
      </c>
      <c r="P719" s="26"/>
      <c r="R719" s="23"/>
    </row>
    <row r="720" spans="1:27" ht="12.75">
      <c r="A720" s="12" t="s">
        <v>3664</v>
      </c>
      <c r="B720" s="6" t="s">
        <v>14</v>
      </c>
      <c r="C720" s="7" t="str">
        <f t="shared" si="8"/>
        <v xml:space="preserve">Haley Spades </v>
      </c>
      <c r="D720" s="27" t="s">
        <v>3665</v>
      </c>
      <c r="E720" s="28" t="s">
        <v>3666</v>
      </c>
      <c r="F720" s="9" t="str">
        <f ca="1">IFERROR(__xludf.DUMMYFUNCTION("""https://streamtape.com/v/""&amp;
REGEXEXTRACT(O720,""/thumb/([^/]+)/"")&amp;
""/""&amp;K720"),"https://streamtape.com/v/zlGal1ybdytY3xk/13747519")</f>
        <v>https://streamtape.com/v/zlGal1ybdytY3xk/13747519</v>
      </c>
      <c r="G720" s="10" t="e">
        <f t="shared" ca="1" si="9"/>
        <v>#NAME?</v>
      </c>
      <c r="H720" s="11" t="str">
        <f ca="1">IFERROR(__xludf.DUMMYFUNCTION("IFERROR(SUBSTITUTE(SUBSTITUTE(REGEXEXTRACT(A720, ""[^-]+- [^-]+- [^-]+ - (.+?)\.jpg""), "".jpg"", """"), ""-"", "", ""), """")"),"")</f>
        <v/>
      </c>
      <c r="I720" s="6"/>
      <c r="J720" s="7" t="str">
        <f t="shared" ca="1" si="10"/>
        <v>(2026)</v>
      </c>
      <c r="K720" s="7" t="str">
        <f t="shared" si="11"/>
        <v>13747519</v>
      </c>
      <c r="L720" s="12" t="s">
        <v>3667</v>
      </c>
      <c r="M720" s="13" t="str">
        <f ca="1">IFERROR(__xludf.DUMMYFUNCTION("TRIM(
  REGEXREPLACE(
    TEXTJOIN("" "",
      TRUE,
      B720,
      C720,
      embaralharLinks(E720,F720,G720),
      H720,
      """",
      J720,
      N720,
      ""#RIPNSFW""
    ),
  "",\s*"", "" "")
)"),"{New} Haley Spades https://doodstream.com/d/ydd3hcikwpzc/13747519 https://streamtape.com/v/zlGal1ybdytY3xk/13747519 https://lulustream.com/d/d8a17c1ib0md (2026) #Hardcore #Bigass #Teen #Porn #RIPNSFW")</f>
        <v>{New} Haley Spades https://doodstream.com/d/ydd3hcikwpzc/13747519 https://streamtape.com/v/zlGal1ybdytY3xk/13747519 https://lulustream.com/d/d8a17c1ib0md (2026) #Hardcore #Bigass #Teen #Porn #RIPNSFW</v>
      </c>
      <c r="N720" s="2" t="s">
        <v>3668</v>
      </c>
      <c r="O720" s="30" t="s">
        <v>3669</v>
      </c>
      <c r="P720" s="26"/>
      <c r="R720" s="23"/>
    </row>
    <row r="721" spans="1:27" ht="12.75">
      <c r="A721" s="6" t="s">
        <v>3670</v>
      </c>
      <c r="B721" s="6" t="s">
        <v>14</v>
      </c>
      <c r="C721" s="7" t="str">
        <f t="shared" si="8"/>
        <v xml:space="preserve">Haley Spades </v>
      </c>
      <c r="D721" s="24" t="s">
        <v>3671</v>
      </c>
      <c r="E721" s="25" t="s">
        <v>3672</v>
      </c>
      <c r="F721" s="9" t="str">
        <f ca="1">IFERROR(__xludf.DUMMYFUNCTION("""https://streamtape.com/v/""&amp;
REGEXEXTRACT(O721,""/thumb/([^/]+)/"")&amp;
""/""&amp;K721"),"https://streamtape.com/v/ao1p8ZA6a1sx7wV/18505168")</f>
        <v>https://streamtape.com/v/ao1p8ZA6a1sx7wV/18505168</v>
      </c>
      <c r="G721" s="10" t="e">
        <f t="shared" ca="1" si="9"/>
        <v>#NAME?</v>
      </c>
      <c r="H721" s="11" t="str">
        <f ca="1">IFERROR(__xludf.DUMMYFUNCTION("IFERROR(SUBSTITUTE(SUBSTITUTE(REGEXEXTRACT(A721, ""[^-]+- [^-]+- [^-]+ - (.+?)\.jpg""), "".jpg"", """"), ""-"", "", ""), """")"),"")</f>
        <v/>
      </c>
      <c r="I721" s="6"/>
      <c r="J721" s="7" t="str">
        <f t="shared" ca="1" si="10"/>
        <v>(2026)</v>
      </c>
      <c r="K721" s="7" t="str">
        <f t="shared" si="11"/>
        <v>18505168</v>
      </c>
      <c r="L721" s="12" t="s">
        <v>3673</v>
      </c>
      <c r="M721" s="13" t="str">
        <f ca="1">IFERROR(__xludf.DUMMYFUNCTION("TRIM(
  REGEXREPLACE(
    TEXTJOIN("" "",
      TRUE,
      B721,
      C721,
      embaralharLinks(E721,F721,G721),
      H721,
      """",
      J721,
      N721,
      ""#RIPNSFW""
    ),
  "",\s*"", "" "")
)"),"{New} Haley Spades https://doodstream.com/d/2ae8n76ll27q/18505168 https://streamtape.com/v/ao1p8ZA6a1sx7wV/18505168 https://lulustream.com/d/pbpjf0xcolyu (2026) #anal #teen #blowjob #blonde #RIPNSFW")</f>
        <v>{New} Haley Spades https://doodstream.com/d/2ae8n76ll27q/18505168 https://streamtape.com/v/ao1p8ZA6a1sx7wV/18505168 https://lulustream.com/d/pbpjf0xcolyu (2026) #anal #teen #blowjob #blonde #RIPNSFW</v>
      </c>
      <c r="N721" s="31" t="s">
        <v>3673</v>
      </c>
      <c r="O721" s="32" t="s">
        <v>3674</v>
      </c>
      <c r="P721" s="26"/>
      <c r="Q721" s="6"/>
      <c r="R721" s="11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>
      <c r="A722" s="12" t="s">
        <v>3675</v>
      </c>
      <c r="B722" s="6" t="s">
        <v>14</v>
      </c>
      <c r="C722" s="7" t="str">
        <f t="shared" si="8"/>
        <v xml:space="preserve">Haley Spades </v>
      </c>
      <c r="D722" s="24" t="s">
        <v>3676</v>
      </c>
      <c r="E722" s="25" t="s">
        <v>3677</v>
      </c>
      <c r="F722" s="9" t="str">
        <f ca="1">IFERROR(__xludf.DUMMYFUNCTION("""https://streamtape.com/v/""&amp;
REGEXEXTRACT(O722,""/thumb/([^/]+)/"")&amp;
""/""&amp;K722"),"https://streamtape.com/v/MPMq7pGL7kSm4Q2/20748217")</f>
        <v>https://streamtape.com/v/MPMq7pGL7kSm4Q2/20748217</v>
      </c>
      <c r="G722" s="10" t="e">
        <f t="shared" ca="1" si="9"/>
        <v>#NAME?</v>
      </c>
      <c r="H722" s="11" t="str">
        <f ca="1">IFERROR(__xludf.DUMMYFUNCTION("IFERROR(SUBSTITUTE(SUBSTITUTE(REGEXEXTRACT(A722, ""[^-]+- [^-]+- [^-]+ - (.+?)\.jpg""), "".jpg"", """"), ""-"", "", ""), """")"),"")</f>
        <v/>
      </c>
      <c r="I722" s="6"/>
      <c r="J722" s="7" t="str">
        <f t="shared" ca="1" si="10"/>
        <v>(2026)</v>
      </c>
      <c r="K722" s="7" t="str">
        <f t="shared" si="11"/>
        <v>20748217</v>
      </c>
      <c r="L722" s="12" t="s">
        <v>3678</v>
      </c>
      <c r="M722" s="13" t="str">
        <f ca="1">IFERROR(__xludf.DUMMYFUNCTION("TRIM(
  REGEXREPLACE(
    TEXTJOIN("" "",
      TRUE,
      B722,
      C722,
      embaralharLinks(E722,F722,G722),
      H722,
      """",
      J722,
      N722,
      ""#RIPNSFW""
    ),
  "",\s*"", "" "")
)"),"{New} Haley Spades https://doodstream.com/d/b7r9f0f1wi5k/20748217 https://lulustream.com/d/vxlswrveda3u https://streamtape.com/v/MPMq7pGL7kSm4Q2/20748217 (2026) #threesome #blonde #teen #blowjob #RIPNSFW")</f>
        <v>{New} Haley Spades https://doodstream.com/d/b7r9f0f1wi5k/20748217 https://lulustream.com/d/vxlswrveda3u https://streamtape.com/v/MPMq7pGL7kSm4Q2/20748217 (2026) #threesome #blonde #teen #blowjob #RIPNSFW</v>
      </c>
      <c r="N722" s="2" t="s">
        <v>3678</v>
      </c>
      <c r="O722" s="30" t="s">
        <v>3679</v>
      </c>
      <c r="P722" s="26"/>
      <c r="R722" s="23"/>
    </row>
    <row r="723" spans="1:27" ht="12.75">
      <c r="A723" s="12" t="s">
        <v>3680</v>
      </c>
      <c r="B723" s="6" t="s">
        <v>14</v>
      </c>
      <c r="C723" s="7" t="str">
        <f t="shared" si="8"/>
        <v xml:space="preserve">Haley Spades </v>
      </c>
      <c r="D723" s="27" t="s">
        <v>3681</v>
      </c>
      <c r="E723" s="28" t="s">
        <v>3682</v>
      </c>
      <c r="F723" s="9" t="str">
        <f ca="1">IFERROR(__xludf.DUMMYFUNCTION("""https://streamtape.com/v/""&amp;
REGEXEXTRACT(O723,""/thumb/([^/]+)/"")&amp;
""/""&amp;K723"),"https://streamtape.com/v/er04ORx8yvijMv/26381060")</f>
        <v>https://streamtape.com/v/er04ORx8yvijMv/26381060</v>
      </c>
      <c r="G723" s="10" t="e">
        <f t="shared" ca="1" si="9"/>
        <v>#NAME?</v>
      </c>
      <c r="H723" s="11" t="str">
        <f ca="1">IFERROR(__xludf.DUMMYFUNCTION("IFERROR(SUBSTITUTE(SUBSTITUTE(REGEXEXTRACT(A723, ""[^-]+- [^-]+- [^-]+ - (.+?)\.jpg""), "".jpg"", """"), ""-"", "", ""), """")"),"")</f>
        <v/>
      </c>
      <c r="I723" s="6"/>
      <c r="J723" s="7" t="str">
        <f t="shared" ca="1" si="10"/>
        <v>(2026)</v>
      </c>
      <c r="K723" s="7" t="str">
        <f t="shared" si="11"/>
        <v>26381060</v>
      </c>
      <c r="L723" s="12" t="s">
        <v>3683</v>
      </c>
      <c r="M723" s="13" t="str">
        <f ca="1">IFERROR(__xludf.DUMMYFUNCTION("TRIM(
  REGEXREPLACE(
    TEXTJOIN("" "",
      TRUE,
      B723,
      C723,
      embaralharLinks(E723,F723,G723),
      H723,
      """",
      J723,
      N723,
      ""#RIPNSFW""
    ),
  "",\s*"", "" "")
)"),"{New} Haley Spades https://doodstream.com/d/9ups4h4fulih/26381060 https://lulustream.com/d/dpepq4ma5umj https://streamtape.com/v/er04ORx8yvijMv/26381060 (2026) #Hardcore #Bigass #Teen #Blowjob #RIPNSFW")</f>
        <v>{New} Haley Spades https://doodstream.com/d/9ups4h4fulih/26381060 https://lulustream.com/d/dpepq4ma5umj https://streamtape.com/v/er04ORx8yvijMv/26381060 (2026) #Hardcore #Bigass #Teen #Blowjob #RIPNSFW</v>
      </c>
      <c r="N723" s="2" t="s">
        <v>3684</v>
      </c>
      <c r="O723" s="30" t="s">
        <v>3685</v>
      </c>
      <c r="P723" s="26"/>
      <c r="R723" s="23"/>
    </row>
    <row r="724" spans="1:27" ht="12.75">
      <c r="A724" s="6" t="s">
        <v>3686</v>
      </c>
      <c r="B724" s="6" t="s">
        <v>14</v>
      </c>
      <c r="C724" s="7" t="str">
        <f t="shared" si="8"/>
        <v xml:space="preserve">Haley Spades </v>
      </c>
      <c r="D724" s="24" t="s">
        <v>3687</v>
      </c>
      <c r="E724" s="25" t="s">
        <v>3688</v>
      </c>
      <c r="F724" s="9" t="str">
        <f ca="1">IFERROR(__xludf.DUMMYFUNCTION("""https://streamtape.com/v/""&amp;
REGEXEXTRACT(O724,""/thumb/([^/]+)/"")&amp;
""/""&amp;K724"),"https://streamtape.com/v/RXgKL42BG1Uja9/26743368")</f>
        <v>https://streamtape.com/v/RXgKL42BG1Uja9/26743368</v>
      </c>
      <c r="G724" s="10" t="e">
        <f t="shared" ca="1" si="9"/>
        <v>#NAME?</v>
      </c>
      <c r="H724" s="11" t="str">
        <f ca="1">IFERROR(__xludf.DUMMYFUNCTION("IFERROR(SUBSTITUTE(SUBSTITUTE(REGEXEXTRACT(A724, ""[^-]+- [^-]+- [^-]+ - (.+?)\.jpg""), "".jpg"", """"), ""-"", "", ""), """")"),"Mia River")</f>
        <v>Mia River</v>
      </c>
      <c r="I724" s="6"/>
      <c r="J724" s="7" t="str">
        <f t="shared" ca="1" si="10"/>
        <v>(2026)</v>
      </c>
      <c r="K724" s="7" t="str">
        <f t="shared" si="11"/>
        <v>26743368</v>
      </c>
      <c r="L724" s="12" t="s">
        <v>3689</v>
      </c>
      <c r="M724" s="13" t="str">
        <f ca="1">IFERROR(__xludf.DUMMYFUNCTION("TRIM(
  REGEXREPLACE(
    TEXTJOIN("" "",
      TRUE,
      B724,
      C724,
      embaralharLinks(E724,F724,G724),
      H724,
      """",
      J724,
      N724,
      ""#RIPNSFW""
    ),
  "",\s*"", "" "")
)"),"{New} Haley Spades https://lulustream.com/d/l07pt4skgpzp https://streamtape.com/v/RXgKL42BG1Uja9/26743368 https://doodstream.com/d/b2dl1j7zommt/26743368 Mia River (2026) #teen #threesome #bigass #porn #RIPNSFW")</f>
        <v>{New} Haley Spades https://lulustream.com/d/l07pt4skgpzp https://streamtape.com/v/RXgKL42BG1Uja9/26743368 https://doodstream.com/d/b2dl1j7zommt/26743368 Mia River (2026) #teen #threesome #bigass #porn #RIPNSFW</v>
      </c>
      <c r="N724" s="31" t="s">
        <v>3689</v>
      </c>
      <c r="O724" s="32" t="s">
        <v>3690</v>
      </c>
      <c r="P724" s="26"/>
      <c r="Q724" s="6"/>
      <c r="R724" s="11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>
      <c r="A725" s="12" t="s">
        <v>3691</v>
      </c>
      <c r="B725" s="6" t="s">
        <v>14</v>
      </c>
      <c r="C725" s="7" t="str">
        <f t="shared" si="8"/>
        <v xml:space="preserve">Haley Spades </v>
      </c>
      <c r="D725" s="24" t="s">
        <v>3692</v>
      </c>
      <c r="E725" s="25" t="s">
        <v>3693</v>
      </c>
      <c r="F725" s="9" t="str">
        <f ca="1">IFERROR(__xludf.DUMMYFUNCTION("""https://streamtape.com/v/""&amp;
REGEXEXTRACT(O725,""/thumb/([^/]+)/"")&amp;
""/""&amp;K725"),"https://streamtape.com/v/z7QX7Y2ZqVTy3z/29725313")</f>
        <v>https://streamtape.com/v/z7QX7Y2ZqVTy3z/29725313</v>
      </c>
      <c r="G725" s="10" t="e">
        <f t="shared" ca="1" si="9"/>
        <v>#NAME?</v>
      </c>
      <c r="H725" s="11" t="str">
        <f ca="1">IFERROR(__xludf.DUMMYFUNCTION("IFERROR(SUBSTITUTE(SUBSTITUTE(REGEXEXTRACT(A725, ""[^-]+- [^-]+- [^-]+ - (.+?)\.jpg""), "".jpg"", """"), ""-"", "", ""), """")"),"")</f>
        <v/>
      </c>
      <c r="I725" s="6"/>
      <c r="J725" s="7" t="str">
        <f t="shared" ca="1" si="10"/>
        <v>(2026)</v>
      </c>
      <c r="K725" s="7" t="str">
        <f t="shared" si="11"/>
        <v>29725313</v>
      </c>
      <c r="L725" s="12" t="s">
        <v>3694</v>
      </c>
      <c r="M725" s="13" t="str">
        <f ca="1">IFERROR(__xludf.DUMMYFUNCTION("TRIM(
  REGEXREPLACE(
    TEXTJOIN("" "",
      TRUE,
      B725,
      C725,
      embaralharLinks(E725,F725,G725),
      H725,
      """",
      J725,
      N725,
      ""#RIPNSFW""
    ),
  "",\s*"", "" "")
)"),"{New} Haley Spades https://doodstream.com/d/196gowqkszp7/29725313 https://lulustream.com/d/grjrhyu221ia https://streamtape.com/v/z7QX7Y2ZqVTy3z/29725313 (2026) #anal #creampie #teen #bigass #RIPNSFW")</f>
        <v>{New} Haley Spades https://doodstream.com/d/196gowqkszp7/29725313 https://lulustream.com/d/grjrhyu221ia https://streamtape.com/v/z7QX7Y2ZqVTy3z/29725313 (2026) #anal #creampie #teen #bigass #RIPNSFW</v>
      </c>
      <c r="N725" s="2" t="s">
        <v>3694</v>
      </c>
      <c r="O725" s="30" t="s">
        <v>3695</v>
      </c>
      <c r="P725" s="26"/>
      <c r="R725" s="23"/>
      <c r="T725" s="6"/>
      <c r="U725" s="7"/>
    </row>
    <row r="726" spans="1:27" ht="12.75">
      <c r="A726" s="6" t="s">
        <v>3696</v>
      </c>
      <c r="B726" s="6" t="s">
        <v>14</v>
      </c>
      <c r="C726" s="7" t="str">
        <f t="shared" si="8"/>
        <v xml:space="preserve">Haley Spades </v>
      </c>
      <c r="D726" s="6" t="s">
        <v>3697</v>
      </c>
      <c r="E726" s="8" t="s">
        <v>3698</v>
      </c>
      <c r="F726" s="9" t="str">
        <f ca="1">IFERROR(__xludf.DUMMYFUNCTION("""https://streamtape.com/v/""&amp;
REGEXEXTRACT(O726,""/thumb/([^/]+)/"")&amp;
""/""&amp;K726"),"https://streamtape.com/v/eV41wJW0lQIkQj/34171606")</f>
        <v>https://streamtape.com/v/eV41wJW0lQIkQj/34171606</v>
      </c>
      <c r="G726" s="10" t="e">
        <f t="shared" ca="1" si="9"/>
        <v>#NAME?</v>
      </c>
      <c r="H726" s="11" t="str">
        <f ca="1">IFERROR(__xludf.DUMMYFUNCTION("IFERROR(SUBSTITUTE(SUBSTITUTE(REGEXEXTRACT(A726, ""[^-]+- [^-]+- [^-]+ - (.+?)\.jpg""), "".jpg"", """"), ""-"", "", ""), """")"),"")</f>
        <v/>
      </c>
      <c r="I726" s="6"/>
      <c r="J726" s="7" t="str">
        <f t="shared" ca="1" si="10"/>
        <v>(2026)</v>
      </c>
      <c r="K726" s="7" t="str">
        <f t="shared" si="11"/>
        <v>34171606</v>
      </c>
      <c r="L726" s="12" t="s">
        <v>3699</v>
      </c>
      <c r="M726" s="13" t="str">
        <f ca="1">IFERROR(__xludf.DUMMYFUNCTION("TRIM(
  REGEXREPLACE(
    TEXTJOIN("" "",
      TRUE,
      B726,
      C726,
      embaralharLinks(E726,F726,G726),
      H726,
      """",
      J726,
      N726,
      ""#RIPNSFW""
    ),
  "",\s*"", "" "")
)"),"{New} Haley Spades https://streamtape.com/v/eV41wJW0lQIkQj/34171606 https://doodstream.com/d/eiumwipil3oh/34171606 https://lulustream.com/d/kukte5t0etzx (2026) #Hardcore #Teen #Artporn #Blowjob #RIPNSFW")</f>
        <v>{New} Haley Spades https://streamtape.com/v/eV41wJW0lQIkQj/34171606 https://doodstream.com/d/eiumwipil3oh/34171606 https://lulustream.com/d/kukte5t0etzx (2026) #Hardcore #Teen #Artporn #Blowjob #RIPNSFW</v>
      </c>
      <c r="N726" s="14" t="s">
        <v>3700</v>
      </c>
      <c r="O726" s="15" t="s">
        <v>3701</v>
      </c>
      <c r="P726" s="14"/>
      <c r="Q726" s="6"/>
      <c r="R726" s="11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>
      <c r="A727" s="6" t="s">
        <v>3702</v>
      </c>
      <c r="B727" s="6" t="s">
        <v>14</v>
      </c>
      <c r="C727" s="7" t="str">
        <f t="shared" si="8"/>
        <v xml:space="preserve">Haley Spades </v>
      </c>
      <c r="D727" s="24" t="s">
        <v>3703</v>
      </c>
      <c r="E727" s="25" t="s">
        <v>3704</v>
      </c>
      <c r="F727" s="9" t="str">
        <f ca="1">IFERROR(__xludf.DUMMYFUNCTION("""https://streamtape.com/v/""&amp;
REGEXEXTRACT(O727,""/thumb/([^/]+)/"")&amp;
""/""&amp;K727"),"https://streamtape.com/v/xZYZpRJjKYTkd03/37618933")</f>
        <v>https://streamtape.com/v/xZYZpRJjKYTkd03/37618933</v>
      </c>
      <c r="G727" s="10" t="e">
        <f t="shared" ca="1" si="9"/>
        <v>#NAME?</v>
      </c>
      <c r="H727" s="11" t="str">
        <f ca="1">IFERROR(__xludf.DUMMYFUNCTION("IFERROR(SUBSTITUTE(SUBSTITUTE(REGEXEXTRACT(A727, ""[^-]+- [^-]+- [^-]+ - (.+?)\.jpg""), "".jpg"", """"), ""-"", "", ""), """")"),"")</f>
        <v/>
      </c>
      <c r="I727" s="6"/>
      <c r="J727" s="7" t="str">
        <f t="shared" ca="1" si="10"/>
        <v>(2026)</v>
      </c>
      <c r="K727" s="7" t="str">
        <f t="shared" si="11"/>
        <v>37618933</v>
      </c>
      <c r="L727" s="12" t="s">
        <v>3705</v>
      </c>
      <c r="M727" s="13" t="str">
        <f ca="1">IFERROR(__xludf.DUMMYFUNCTION("TRIM(
  REGEXREPLACE(
    TEXTJOIN("" "",
      TRUE,
      B727,
      C727,
      embaralharLinks(E727,F727,G727),
      H727,
      """",
      J727,
      N727,
      ""#RIPNSFW""
    ),
  "",\s*"", "" "")
)"),"{New} Haley Spades https://doodstream.com/d/0petmtcwhqd6/37618933 https://lulustream.com/d/2h9jkp6ip2p1 https://streamtape.com/v/xZYZpRJjKYTkd03/37618933 (2026) #teen #bigass #blonde #blowjob #RIPNSFW")</f>
        <v>{New} Haley Spades https://doodstream.com/d/0petmtcwhqd6/37618933 https://lulustream.com/d/2h9jkp6ip2p1 https://streamtape.com/v/xZYZpRJjKYTkd03/37618933 (2026) #teen #bigass #blonde #blowjob #RIPNSFW</v>
      </c>
      <c r="N727" s="31" t="s">
        <v>3705</v>
      </c>
      <c r="O727" s="32" t="s">
        <v>3706</v>
      </c>
      <c r="P727" s="26"/>
      <c r="Q727" s="6"/>
      <c r="R727" s="11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>
      <c r="A728" s="12" t="s">
        <v>3707</v>
      </c>
      <c r="B728" s="6" t="s">
        <v>14</v>
      </c>
      <c r="C728" s="7" t="str">
        <f t="shared" si="8"/>
        <v xml:space="preserve">Haley Spades </v>
      </c>
      <c r="D728" s="24" t="s">
        <v>3708</v>
      </c>
      <c r="E728" s="25" t="s">
        <v>3709</v>
      </c>
      <c r="F728" s="9" t="str">
        <f ca="1">IFERROR(__xludf.DUMMYFUNCTION("""https://streamtape.com/v/""&amp;
REGEXEXTRACT(O728,""/thumb/([^/]+)/"")&amp;
""/""&amp;K728"),"https://streamtape.com/v/G9pjMv2pmDu1xPq/38025833")</f>
        <v>https://streamtape.com/v/G9pjMv2pmDu1xPq/38025833</v>
      </c>
      <c r="G728" s="10" t="e">
        <f t="shared" ca="1" si="9"/>
        <v>#NAME?</v>
      </c>
      <c r="H728" s="11" t="str">
        <f ca="1">IFERROR(__xludf.DUMMYFUNCTION("IFERROR(SUBSTITUTE(SUBSTITUTE(REGEXEXTRACT(A728, ""[^-]+- [^-]+- [^-]+ - (.+?)\.jpg""), "".jpg"", """"), ""-"", "", ""), """")"),"")</f>
        <v/>
      </c>
      <c r="I728" s="6"/>
      <c r="J728" s="7" t="str">
        <f t="shared" ca="1" si="10"/>
        <v>(2026)</v>
      </c>
      <c r="K728" s="7" t="str">
        <f t="shared" si="11"/>
        <v>38025833</v>
      </c>
      <c r="L728" s="12" t="s">
        <v>3710</v>
      </c>
      <c r="M728" s="13" t="str">
        <f ca="1">IFERROR(__xludf.DUMMYFUNCTION("TRIM(
  REGEXREPLACE(
    TEXTJOIN("" "",
      TRUE,
      B728,
      C728,
      embaralharLinks(E728,F728,G728),
      H728,
      """",
      J728,
      N728,
      ""#RIPNSFW""
    ),
  "",\s*"", "" "")
)"),"{New} Haley Spades https://doodstream.com/d/3tv7rsf4pt8x/38025833 https://streamtape.com/v/G9pjMv2pmDu1xPq/38025833 https://lulustream.com/d/uxvcr5etgpzu (2026) #anal #teen #blowjob #bigass #RIPNSFW")</f>
        <v>{New} Haley Spades https://doodstream.com/d/3tv7rsf4pt8x/38025833 https://streamtape.com/v/G9pjMv2pmDu1xPq/38025833 https://lulustream.com/d/uxvcr5etgpzu (2026) #anal #teen #blowjob #bigass #RIPNSFW</v>
      </c>
      <c r="N728" s="2" t="s">
        <v>3710</v>
      </c>
      <c r="O728" s="30" t="s">
        <v>3711</v>
      </c>
      <c r="P728" s="26"/>
      <c r="R728" s="23"/>
      <c r="T728" s="6"/>
      <c r="U728" s="7"/>
    </row>
    <row r="729" spans="1:27" ht="12.75">
      <c r="A729" s="12" t="s">
        <v>3712</v>
      </c>
      <c r="B729" s="6" t="s">
        <v>14</v>
      </c>
      <c r="C729" s="7" t="str">
        <f t="shared" si="8"/>
        <v xml:space="preserve">Haley Spades </v>
      </c>
      <c r="D729" s="24" t="s">
        <v>3713</v>
      </c>
      <c r="E729" s="25" t="s">
        <v>3714</v>
      </c>
      <c r="F729" s="9" t="str">
        <f ca="1">IFERROR(__xludf.DUMMYFUNCTION("""https://streamtape.com/v/""&amp;
REGEXEXTRACT(O729,""/thumb/([^/]+)/"")&amp;
""/""&amp;K729"),"https://streamtape.com/v/begQ8vDVMaHo9Y/38720636")</f>
        <v>https://streamtape.com/v/begQ8vDVMaHo9Y/38720636</v>
      </c>
      <c r="G729" s="10" t="e">
        <f t="shared" ca="1" si="9"/>
        <v>#NAME?</v>
      </c>
      <c r="H729" s="11" t="str">
        <f ca="1">IFERROR(__xludf.DUMMYFUNCTION("IFERROR(SUBSTITUTE(SUBSTITUTE(REGEXEXTRACT(A729, ""[^-]+- [^-]+- [^-]+ - (.+?)\.jpg""), "".jpg"", """"), ""-"", "", ""), """")"),"")</f>
        <v/>
      </c>
      <c r="I729" s="6"/>
      <c r="J729" s="7" t="str">
        <f t="shared" ca="1" si="10"/>
        <v>(2026)</v>
      </c>
      <c r="K729" s="7" t="str">
        <f t="shared" si="11"/>
        <v>38720636</v>
      </c>
      <c r="L729" s="12" t="s">
        <v>3715</v>
      </c>
      <c r="M729" s="13" t="str">
        <f ca="1">IFERROR(__xludf.DUMMYFUNCTION("TRIM(
  REGEXREPLACE(
    TEXTJOIN("" "",
      TRUE,
      B729,
      C729,
      embaralharLinks(E729,F729,G729),
      H729,
      """",
      J729,
      N729,
      ""#RIPNSFW""
    ),
  "",\s*"", "" "")
)"),"{New} Haley Spades https://streamtape.com/v/begQ8vDVMaHo9Y/38720636 https://lulustream.com/d/vufwbw3vpddq https://doodstream.com/d/bsnptrykx048/38720636 (2026) #teen #blowjob #bigass #blonde #RIPNSFW")</f>
        <v>{New} Haley Spades https://streamtape.com/v/begQ8vDVMaHo9Y/38720636 https://lulustream.com/d/vufwbw3vpddq https://doodstream.com/d/bsnptrykx048/38720636 (2026) #teen #blowjob #bigass #blonde #RIPNSFW</v>
      </c>
      <c r="N729" s="2" t="s">
        <v>3715</v>
      </c>
      <c r="O729" s="30" t="s">
        <v>3716</v>
      </c>
      <c r="P729" s="26"/>
      <c r="R729" s="23"/>
    </row>
    <row r="730" spans="1:27" ht="12.75">
      <c r="A730" s="12" t="s">
        <v>3717</v>
      </c>
      <c r="B730" s="6" t="s">
        <v>14</v>
      </c>
      <c r="C730" s="7" t="str">
        <f t="shared" si="8"/>
        <v xml:space="preserve">Haley Spades </v>
      </c>
      <c r="D730" s="24" t="s">
        <v>3718</v>
      </c>
      <c r="E730" s="25" t="s">
        <v>3719</v>
      </c>
      <c r="F730" s="9" t="str">
        <f ca="1">IFERROR(__xludf.DUMMYFUNCTION("""https://streamtape.com/v/""&amp;
REGEXEXTRACT(O730,""/thumb/([^/]+)/"")&amp;
""/""&amp;K730"),"https://streamtape.com/v/RgGvq0zgRpHdQ1z/39361622")</f>
        <v>https://streamtape.com/v/RgGvq0zgRpHdQ1z/39361622</v>
      </c>
      <c r="G730" s="10" t="e">
        <f t="shared" ca="1" si="9"/>
        <v>#NAME?</v>
      </c>
      <c r="H730" s="11" t="str">
        <f ca="1">IFERROR(__xludf.DUMMYFUNCTION("IFERROR(SUBSTITUTE(SUBSTITUTE(REGEXEXTRACT(A730, ""[^-]+- [^-]+- [^-]+ - (.+?)\.jpg""), "".jpg"", """"), ""-"", "", ""), """")"),"")</f>
        <v/>
      </c>
      <c r="I730" s="6"/>
      <c r="J730" s="7" t="str">
        <f t="shared" ca="1" si="10"/>
        <v>(2026)</v>
      </c>
      <c r="K730" s="7" t="str">
        <f t="shared" si="11"/>
        <v>39361622</v>
      </c>
      <c r="L730" s="12" t="s">
        <v>3720</v>
      </c>
      <c r="M730" s="13" t="str">
        <f ca="1">IFERROR(__xludf.DUMMYFUNCTION("TRIM(
  REGEXREPLACE(
    TEXTJOIN("" "",
      TRUE,
      B730,
      C730,
      embaralharLinks(E730,F730,G730),
      H730,
      """",
      J730,
      N730,
      ""#RIPNSFW""
    ),
  "",\s*"", "" "")
)"),"{New} Haley Spades https://streamtape.com/v/RgGvq0zgRpHdQ1z/39361622 https://lulustream.com/d/gmqlk2t85jrw https://doodstream.com/d/8sr2khkone1y/39361622 (2026) #teen #doublepenetration #anal #bigass #RIPNSFW")</f>
        <v>{New} Haley Spades https://streamtape.com/v/RgGvq0zgRpHdQ1z/39361622 https://lulustream.com/d/gmqlk2t85jrw https://doodstream.com/d/8sr2khkone1y/39361622 (2026) #teen #doublepenetration #anal #bigass #RIPNSFW</v>
      </c>
      <c r="N730" s="2" t="s">
        <v>3720</v>
      </c>
      <c r="O730" s="30" t="s">
        <v>3721</v>
      </c>
      <c r="P730" s="26"/>
      <c r="R730" s="23"/>
    </row>
    <row r="731" spans="1:27" ht="12.75">
      <c r="A731" s="12" t="s">
        <v>3722</v>
      </c>
      <c r="B731" s="6" t="s">
        <v>14</v>
      </c>
      <c r="C731" s="7" t="str">
        <f t="shared" si="8"/>
        <v xml:space="preserve">Haley Spades </v>
      </c>
      <c r="D731" s="24" t="s">
        <v>3723</v>
      </c>
      <c r="E731" s="25" t="s">
        <v>3724</v>
      </c>
      <c r="F731" s="9" t="str">
        <f ca="1">IFERROR(__xludf.DUMMYFUNCTION("""https://streamtape.com/v/""&amp;
REGEXEXTRACT(O731,""/thumb/([^/]+)/"")&amp;
""/""&amp;K731"),"https://streamtape.com/v/PrpXZaVVjDH0KYP/39906896")</f>
        <v>https://streamtape.com/v/PrpXZaVVjDH0KYP/39906896</v>
      </c>
      <c r="G731" s="10" t="e">
        <f t="shared" ca="1" si="9"/>
        <v>#NAME?</v>
      </c>
      <c r="H731" s="11" t="str">
        <f ca="1">IFERROR(__xludf.DUMMYFUNCTION("IFERROR(SUBSTITUTE(SUBSTITUTE(REGEXEXTRACT(A731, ""[^-]+- [^-]+- [^-]+ - (.+?)\.jpg""), "".jpg"", """"), ""-"", "", ""), """")"),"")</f>
        <v/>
      </c>
      <c r="I731" s="6"/>
      <c r="J731" s="7" t="str">
        <f t="shared" ca="1" si="10"/>
        <v>(2026)</v>
      </c>
      <c r="K731" s="7" t="str">
        <f t="shared" si="11"/>
        <v>39906896</v>
      </c>
      <c r="L731" s="12" t="s">
        <v>3725</v>
      </c>
      <c r="M731" s="13" t="str">
        <f ca="1">IFERROR(__xludf.DUMMYFUNCTION("TRIM(
  REGEXREPLACE(
    TEXTJOIN("" "",
      TRUE,
      B731,
      C731,
      embaralharLinks(E731,F731,G731),
      H731,
      """",
      J731,
      N731,
      ""#RIPNSFW""
    ),
  "",\s*"", "" "")
)"),"{New} Haley Spades https://streamtape.com/v/PrpXZaVVjDH0KYP/39906896 https://doodstream.com/d/f9r6azgkc90r/39906896 https://lulustream.com/d/25fzhdzqdl4k (2026) #milf #hardcore #threesome #bigass #RIPNSFW")</f>
        <v>{New} Haley Spades https://streamtape.com/v/PrpXZaVVjDH0KYP/39906896 https://doodstream.com/d/f9r6azgkc90r/39906896 https://lulustream.com/d/25fzhdzqdl4k (2026) #milf #hardcore #threesome #bigass #RIPNSFW</v>
      </c>
      <c r="N731" s="2" t="s">
        <v>3725</v>
      </c>
      <c r="O731" s="30" t="s">
        <v>3726</v>
      </c>
      <c r="P731" s="26"/>
      <c r="R731" s="23"/>
      <c r="T731" s="6"/>
      <c r="U731" s="7"/>
    </row>
    <row r="732" spans="1:27" ht="12.75">
      <c r="A732" s="6" t="s">
        <v>3727</v>
      </c>
      <c r="B732" s="6" t="s">
        <v>14</v>
      </c>
      <c r="C732" s="7" t="str">
        <f t="shared" si="8"/>
        <v xml:space="preserve">Haley Spades </v>
      </c>
      <c r="D732" s="24" t="s">
        <v>3728</v>
      </c>
      <c r="E732" s="25" t="s">
        <v>3729</v>
      </c>
      <c r="F732" s="9" t="str">
        <f ca="1">IFERROR(__xludf.DUMMYFUNCTION("""https://streamtape.com/v/""&amp;
REGEXEXTRACT(O732,""/thumb/([^/]+)/"")&amp;
""/""&amp;K732"),"https://streamtape.com/v/BALjYL1mgzC6LY/40753305")</f>
        <v>https://streamtape.com/v/BALjYL1mgzC6LY/40753305</v>
      </c>
      <c r="G732" s="10" t="e">
        <f t="shared" ca="1" si="9"/>
        <v>#NAME?</v>
      </c>
      <c r="H732" s="11" t="str">
        <f ca="1">IFERROR(__xludf.DUMMYFUNCTION("IFERROR(SUBSTITUTE(SUBSTITUTE(REGEXEXTRACT(A732, ""[^-]+- [^-]+- [^-]+ - (.+?)\.jpg""), "".jpg"", """"), ""-"", "", ""), """")"),"")</f>
        <v/>
      </c>
      <c r="I732" s="6"/>
      <c r="J732" s="7" t="str">
        <f t="shared" ca="1" si="10"/>
        <v>(2026)</v>
      </c>
      <c r="K732" s="7" t="str">
        <f t="shared" si="11"/>
        <v>40753305</v>
      </c>
      <c r="L732" s="12" t="s">
        <v>3715</v>
      </c>
      <c r="M732" s="13" t="str">
        <f ca="1">IFERROR(__xludf.DUMMYFUNCTION("TRIM(
  REGEXREPLACE(
    TEXTJOIN("" "",
      TRUE,
      B732,
      C732,
      embaralharLinks(E732,F732,G732),
      H732,
      """",
      J732,
      N732,
      ""#RIPNSFW""
    ),
  "",\s*"", "" "")
)"),"{New} Haley Spades https://doodstream.com/d/fw0cy9w547yb/40753305 https://streamtape.com/v/BALjYL1mgzC6LY/40753305 https://lulustream.com/d/p3ryb6imde4l (2026) #teen #blowjob #bigass #blonde #RIPNSFW")</f>
        <v>{New} Haley Spades https://doodstream.com/d/fw0cy9w547yb/40753305 https://streamtape.com/v/BALjYL1mgzC6LY/40753305 https://lulustream.com/d/p3ryb6imde4l (2026) #teen #blowjob #bigass #blonde #RIPNSFW</v>
      </c>
      <c r="N732" s="31" t="s">
        <v>3715</v>
      </c>
      <c r="O732" s="32" t="s">
        <v>3730</v>
      </c>
      <c r="P732" s="26"/>
      <c r="Q732" s="6"/>
      <c r="R732" s="11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>
      <c r="A733" s="6" t="s">
        <v>3731</v>
      </c>
      <c r="B733" s="6" t="s">
        <v>14</v>
      </c>
      <c r="C733" s="7" t="str">
        <f t="shared" si="8"/>
        <v xml:space="preserve">Haley Spades </v>
      </c>
      <c r="D733" s="24" t="s">
        <v>3732</v>
      </c>
      <c r="E733" s="25" t="s">
        <v>3733</v>
      </c>
      <c r="F733" s="9" t="str">
        <f ca="1">IFERROR(__xludf.DUMMYFUNCTION("""https://streamtape.com/v/""&amp;
REGEXEXTRACT(O733,""/thumb/([^/]+)/"")&amp;
""/""&amp;K733"),"https://streamtape.com/v/XkDzaBjl4zUZPW/47547873")</f>
        <v>https://streamtape.com/v/XkDzaBjl4zUZPW/47547873</v>
      </c>
      <c r="G733" s="10" t="e">
        <f t="shared" ca="1" si="9"/>
        <v>#NAME?</v>
      </c>
      <c r="H733" s="11" t="str">
        <f ca="1">IFERROR(__xludf.DUMMYFUNCTION("IFERROR(SUBSTITUTE(SUBSTITUTE(REGEXEXTRACT(A733, ""[^-]+- [^-]+- [^-]+ - (.+?)\.jpg""), "".jpg"", """"), ""-"", "", ""), """")"),"")</f>
        <v/>
      </c>
      <c r="I733" s="6"/>
      <c r="J733" s="7" t="str">
        <f t="shared" ca="1" si="10"/>
        <v>(2026)</v>
      </c>
      <c r="K733" s="7" t="str">
        <f t="shared" si="11"/>
        <v>47547873</v>
      </c>
      <c r="L733" s="12" t="s">
        <v>3734</v>
      </c>
      <c r="M733" s="13" t="str">
        <f ca="1">IFERROR(__xludf.DUMMYFUNCTION("TRIM(
  REGEXREPLACE(
    TEXTJOIN("" "",
      TRUE,
      B733,
      C733,
      embaralharLinks(E733,F733,G733),
      H733,
      """",
      J733,
      N733,
      ""#RIPNSFW""
    ),
  "",\s*"", "" "")
)"),"{New} Haley Spades https://doodstream.com/d/xvdw5lat4h0c/47547873 https://streamtape.com/v/XkDzaBjl4zUZPW/47547873 https://lulustream.com/d/60zvt1kn15va (2026) #teen #bigass #blowjob #interracial #RIPNSFW")</f>
        <v>{New} Haley Spades https://doodstream.com/d/xvdw5lat4h0c/47547873 https://streamtape.com/v/XkDzaBjl4zUZPW/47547873 https://lulustream.com/d/60zvt1kn15va (2026) #teen #bigass #blowjob #interracial #RIPNSFW</v>
      </c>
      <c r="N733" s="31" t="s">
        <v>3734</v>
      </c>
      <c r="O733" s="15" t="s">
        <v>3735</v>
      </c>
      <c r="P733" s="26"/>
      <c r="Q733" s="6"/>
      <c r="R733" s="11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>
      <c r="A734" s="6" t="s">
        <v>3736</v>
      </c>
      <c r="B734" s="6" t="s">
        <v>14</v>
      </c>
      <c r="C734" s="7" t="str">
        <f t="shared" si="8"/>
        <v xml:space="preserve">Haley Spades </v>
      </c>
      <c r="D734" s="24" t="s">
        <v>3737</v>
      </c>
      <c r="E734" s="25" t="s">
        <v>3738</v>
      </c>
      <c r="F734" s="9" t="str">
        <f ca="1">IFERROR(__xludf.DUMMYFUNCTION("""https://streamtape.com/v/""&amp;
REGEXEXTRACT(O734,""/thumb/([^/]+)/"")&amp;
""/""&amp;K734"),"https://streamtape.com/v/LLxk7jqrydURr2O/53567199")</f>
        <v>https://streamtape.com/v/LLxk7jqrydURr2O/53567199</v>
      </c>
      <c r="G734" s="10" t="e">
        <f t="shared" ca="1" si="9"/>
        <v>#NAME?</v>
      </c>
      <c r="H734" s="11" t="str">
        <f ca="1">IFERROR(__xludf.DUMMYFUNCTION("IFERROR(SUBSTITUTE(SUBSTITUTE(REGEXEXTRACT(A734, ""[^-]+- [^-]+- [^-]+ - (.+?)\.jpg""), "".jpg"", """"), ""-"", "", ""), """")"),"")</f>
        <v/>
      </c>
      <c r="I734" s="6"/>
      <c r="J734" s="7" t="str">
        <f t="shared" ca="1" si="10"/>
        <v>(2026)</v>
      </c>
      <c r="K734" s="7" t="str">
        <f t="shared" si="11"/>
        <v>53567199</v>
      </c>
      <c r="L734" s="12" t="s">
        <v>3739</v>
      </c>
      <c r="M734" s="13" t="str">
        <f ca="1">IFERROR(__xludf.DUMMYFUNCTION("TRIM(
  REGEXREPLACE(
    TEXTJOIN("" "",
      TRUE,
      B734,
      C734,
      embaralharLinks(E734,F734,G734),
      H734,
      """",
      J734,
      N734,
      ""#RIPNSFW""
    ),
  "",\s*"", "" "")
)"),"{New} Haley Spades https://doodstream.com/d/q377p5sbxwje/53567199 https://streamtape.com/v/LLxk7jqrydURr2O/53567199 https://lulustream.com/d/lhlfecf6y4hk (2026) #doublepenetration #anal #interracial #foursome #RIPNSFW")</f>
        <v>{New} Haley Spades https://doodstream.com/d/q377p5sbxwje/53567199 https://streamtape.com/v/LLxk7jqrydURr2O/53567199 https://lulustream.com/d/lhlfecf6y4hk (2026) #doublepenetration #anal #interracial #foursome #RIPNSFW</v>
      </c>
      <c r="N734" s="31" t="s">
        <v>3739</v>
      </c>
      <c r="O734" s="32" t="s">
        <v>3740</v>
      </c>
      <c r="P734" s="26"/>
      <c r="R734" s="23"/>
      <c r="T734" s="6"/>
      <c r="U734" s="7"/>
    </row>
    <row r="735" spans="1:27" ht="12.75">
      <c r="A735" s="12" t="s">
        <v>3741</v>
      </c>
      <c r="B735" s="6" t="s">
        <v>14</v>
      </c>
      <c r="C735" s="7" t="str">
        <f t="shared" si="8"/>
        <v xml:space="preserve">Haley Spades </v>
      </c>
      <c r="D735" s="24" t="s">
        <v>3742</v>
      </c>
      <c r="E735" s="25" t="s">
        <v>3743</v>
      </c>
      <c r="F735" s="9" t="str">
        <f ca="1">IFERROR(__xludf.DUMMYFUNCTION("""https://streamtape.com/v/""&amp;
REGEXEXTRACT(O735,""/thumb/([^/]+)/"")&amp;
""/""&amp;K735"),"https://streamtape.com/v/wg6J0gjPVbhJJVp/59507747")</f>
        <v>https://streamtape.com/v/wg6J0gjPVbhJJVp/59507747</v>
      </c>
      <c r="G735" s="10" t="e">
        <f t="shared" ca="1" si="9"/>
        <v>#NAME?</v>
      </c>
      <c r="H735" s="11" t="str">
        <f ca="1">IFERROR(__xludf.DUMMYFUNCTION("IFERROR(SUBSTITUTE(SUBSTITUTE(REGEXEXTRACT(A735, ""[^-]+- [^-]+- [^-]+ - (.+?)\.jpg""), "".jpg"", """"), ""-"", "", ""), """")"),"")</f>
        <v/>
      </c>
      <c r="I735" s="6"/>
      <c r="J735" s="7" t="str">
        <f t="shared" ca="1" si="10"/>
        <v>(2026)</v>
      </c>
      <c r="K735" s="7" t="str">
        <f t="shared" si="11"/>
        <v>59507747</v>
      </c>
      <c r="L735" s="12" t="s">
        <v>3744</v>
      </c>
      <c r="M735" s="13" t="str">
        <f ca="1">IFERROR(__xludf.DUMMYFUNCTION("TRIM(
  REGEXREPLACE(
    TEXTJOIN("" "",
      TRUE,
      B735,
      C735,
      embaralharLinks(E735,F735,G735),
      H735,
      """",
      J735,
      N735,
      ""#RIPNSFW""
    ),
  "",\s*"", "" "")
)"),"{New} Haley Spades https://lulustream.com/d/chmzssrt48i5 https://doodstream.com/d/fwfp83yhcneu/59507747 https://streamtape.com/v/wg6J0gjPVbhJJVp/59507747 (2026) #doublepenetration #anal #bigass #threesome #RIPNSFW")</f>
        <v>{New} Haley Spades https://lulustream.com/d/chmzssrt48i5 https://doodstream.com/d/fwfp83yhcneu/59507747 https://streamtape.com/v/wg6J0gjPVbhJJVp/59507747 (2026) #doublepenetration #anal #bigass #threesome #RIPNSFW</v>
      </c>
      <c r="N735" s="2" t="s">
        <v>3744</v>
      </c>
      <c r="O735" s="30" t="s">
        <v>3745</v>
      </c>
      <c r="P735" s="26"/>
      <c r="R735" s="23"/>
    </row>
    <row r="736" spans="1:27" ht="12.75">
      <c r="A736" s="6" t="s">
        <v>3746</v>
      </c>
      <c r="B736" s="6" t="s">
        <v>14</v>
      </c>
      <c r="C736" s="7" t="str">
        <f t="shared" si="8"/>
        <v xml:space="preserve">Haley Spades </v>
      </c>
      <c r="D736" s="6" t="s">
        <v>3747</v>
      </c>
      <c r="E736" s="8" t="s">
        <v>3748</v>
      </c>
      <c r="F736" s="9" t="str">
        <f ca="1">IFERROR(__xludf.DUMMYFUNCTION("""https://streamtape.com/v/""&amp;
REGEXEXTRACT(O736,""/thumb/([^/]+)/"")&amp;
""/""&amp;K736"),"https://streamtape.com/v/KXjm2gwdzmc0q6j/60485003")</f>
        <v>https://streamtape.com/v/KXjm2gwdzmc0q6j/60485003</v>
      </c>
      <c r="G736" s="10" t="e">
        <f t="shared" ca="1" si="9"/>
        <v>#NAME?</v>
      </c>
      <c r="H736" s="11" t="str">
        <f ca="1">IFERROR(__xludf.DUMMYFUNCTION("IFERROR(SUBSTITUTE(SUBSTITUTE(REGEXEXTRACT(A736, ""[^-]+- [^-]+- [^-]+ - (.+?)\.jpg""), "".jpg"", """"), ""-"", "", ""), """")"),"")</f>
        <v/>
      </c>
      <c r="I736" s="6"/>
      <c r="J736" s="7" t="str">
        <f t="shared" ca="1" si="10"/>
        <v>(2026)</v>
      </c>
      <c r="K736" s="7" t="str">
        <f t="shared" si="11"/>
        <v>60485003</v>
      </c>
      <c r="L736" s="12" t="s">
        <v>3749</v>
      </c>
      <c r="M736" s="13" t="str">
        <f ca="1">IFERROR(__xludf.DUMMYFUNCTION("TRIM(
  REGEXREPLACE(
    TEXTJOIN("" "",
      TRUE,
      B736,
      C736,
      embaralharLinks(E736,F736,G736),
      H736,
      """",
      J736,
      N736,
      ""#RIPNSFW""
    ),
  "",\s*"", "" "")
)"),"{New} Haley Spades https://lulustream.com/d/7sk6sovpvuk3 https://streamtape.com/v/KXjm2gwdzmc0q6j/60485003 https://doodstream.com/d/9yzzqxfcy5hh/60485003 (2026) #Hardcore #Bigass #Porn #Teen #Blowjob #Blonde #Facial #RIPNSFW")</f>
        <v>{New} Haley Spades https://lulustream.com/d/7sk6sovpvuk3 https://streamtape.com/v/KXjm2gwdzmc0q6j/60485003 https://doodstream.com/d/9yzzqxfcy5hh/60485003 (2026) #Hardcore #Bigass #Porn #Teen #Blowjob #Blonde #Facial #RIPNSFW</v>
      </c>
      <c r="N736" s="14" t="s">
        <v>3750</v>
      </c>
      <c r="O736" s="15" t="s">
        <v>3751</v>
      </c>
      <c r="P736" s="14"/>
      <c r="Q736" s="6"/>
      <c r="R736" s="11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>
      <c r="A737" s="6" t="s">
        <v>3752</v>
      </c>
      <c r="B737" s="6" t="s">
        <v>14</v>
      </c>
      <c r="C737" s="7" t="str">
        <f t="shared" si="8"/>
        <v xml:space="preserve">Haley Spades </v>
      </c>
      <c r="D737" s="6" t="s">
        <v>3753</v>
      </c>
      <c r="E737" s="8" t="s">
        <v>3754</v>
      </c>
      <c r="F737" s="9" t="str">
        <f ca="1">IFERROR(__xludf.DUMMYFUNCTION("""https://streamtape.com/v/""&amp;
REGEXEXTRACT(O737,""/thumb/([^/]+)/"")&amp;
""/""&amp;K737"),"https://streamtape.com/v/A4RL1rmLJkSXYvp/60845164")</f>
        <v>https://streamtape.com/v/A4RL1rmLJkSXYvp/60845164</v>
      </c>
      <c r="G737" s="10" t="e">
        <f t="shared" ca="1" si="9"/>
        <v>#NAME?</v>
      </c>
      <c r="H737" s="11" t="str">
        <f ca="1">IFERROR(__xludf.DUMMYFUNCTION("IFERROR(SUBSTITUTE(SUBSTITUTE(REGEXEXTRACT(A737, ""[^-]+- [^-]+- [^-]+ - (.+?)\.jpg""), "".jpg"", """"), ""-"", "", ""), """")"),"")</f>
        <v/>
      </c>
      <c r="I737" s="6"/>
      <c r="J737" s="7" t="str">
        <f t="shared" ca="1" si="10"/>
        <v>(2026)</v>
      </c>
      <c r="K737" s="7" t="str">
        <f t="shared" si="11"/>
        <v>60845164</v>
      </c>
      <c r="L737" s="12" t="s">
        <v>3755</v>
      </c>
      <c r="M737" s="13" t="str">
        <f ca="1">IFERROR(__xludf.DUMMYFUNCTION("TRIM(
  REGEXREPLACE(
    TEXTJOIN("" "",
      TRUE,
      B737,
      C737,
      embaralharLinks(E737,F737,G737),
      H737,
      """",
      J737,
      N737,
      ""#RIPNSFW""
    ),
  "",\s*"", "" "")
)"),"{New} Haley Spades https://doodstream.com/d/gkd3layv5nq5/60845164 https://streamtape.com/v/A4RL1rmLJkSXYvp/60845164 https://lulustream.com/d/hbxdiqtassvi (2026) #Hardcore #Bigass #Teen #Artporn #Blowjob #Amateur #Deepthroat #Blonde #Facial #RIPNSFW")</f>
        <v>{New} Haley Spades https://doodstream.com/d/gkd3layv5nq5/60845164 https://streamtape.com/v/A4RL1rmLJkSXYvp/60845164 https://lulustream.com/d/hbxdiqtassvi (2026) #Hardcore #Bigass #Teen #Artporn #Blowjob #Amateur #Deepthroat #Blonde #Facial #RIPNSFW</v>
      </c>
      <c r="N737" s="14" t="s">
        <v>3756</v>
      </c>
      <c r="O737" s="21" t="s">
        <v>3757</v>
      </c>
      <c r="P737" s="14"/>
      <c r="Q737" s="6"/>
      <c r="R737" s="11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>
      <c r="A738" s="12" t="s">
        <v>3758</v>
      </c>
      <c r="B738" s="6" t="s">
        <v>14</v>
      </c>
      <c r="C738" s="7" t="str">
        <f t="shared" si="8"/>
        <v xml:space="preserve">Haley Spades </v>
      </c>
      <c r="D738" s="24" t="s">
        <v>3759</v>
      </c>
      <c r="E738" s="25" t="s">
        <v>3760</v>
      </c>
      <c r="F738" s="9" t="str">
        <f ca="1">IFERROR(__xludf.DUMMYFUNCTION("""https://streamtape.com/v/""&amp;
REGEXEXTRACT(O738,""/thumb/([^/]+)/"")&amp;
""/""&amp;K738"),"https://streamtape.com/v/p71KkabodmfraJX/62164664")</f>
        <v>https://streamtape.com/v/p71KkabodmfraJX/62164664</v>
      </c>
      <c r="G738" s="10" t="e">
        <f t="shared" ca="1" si="9"/>
        <v>#NAME?</v>
      </c>
      <c r="H738" s="11" t="str">
        <f ca="1">IFERROR(__xludf.DUMMYFUNCTION("IFERROR(SUBSTITUTE(SUBSTITUTE(REGEXEXTRACT(A738, ""[^-]+- [^-]+- [^-]+ - (.+?)\.jpg""), "".jpg"", """"), ""-"", "", ""), """")"),"")</f>
        <v/>
      </c>
      <c r="I738" s="6"/>
      <c r="J738" s="7" t="str">
        <f t="shared" ca="1" si="10"/>
        <v>(2026)</v>
      </c>
      <c r="K738" s="7" t="str">
        <f t="shared" si="11"/>
        <v>62164664</v>
      </c>
      <c r="L738" s="12" t="s">
        <v>3761</v>
      </c>
      <c r="M738" s="13" t="str">
        <f ca="1">IFERROR(__xludf.DUMMYFUNCTION("TRIM(
  REGEXREPLACE(
    TEXTJOIN("" "",
      TRUE,
      B738,
      C738,
      embaralharLinks(E738,F738,G738),
      H738,
      """",
      J738,
      N738,
      ""#RIPNSFW""
    ),
  "",\s*"", "" "")
)"),"{New} Haley Spades https://doodstream.com/d/kaa4h3gfjz59/62164664 https://streamtape.com/v/p71KkabodmfraJX/62164664 https://lulustream.com/d/e0r23alinyr6 (2026) #teen #anal #bigass #blonde #RIPNSFW")</f>
        <v>{New} Haley Spades https://doodstream.com/d/kaa4h3gfjz59/62164664 https://streamtape.com/v/p71KkabodmfraJX/62164664 https://lulustream.com/d/e0r23alinyr6 (2026) #teen #anal #bigass #blonde #RIPNSFW</v>
      </c>
      <c r="N738" s="2" t="s">
        <v>3761</v>
      </c>
      <c r="O738" s="30" t="s">
        <v>3762</v>
      </c>
      <c r="P738" s="26"/>
      <c r="R738" s="23"/>
    </row>
    <row r="739" spans="1:27" ht="12.75">
      <c r="A739" s="12" t="s">
        <v>3763</v>
      </c>
      <c r="B739" s="6" t="s">
        <v>14</v>
      </c>
      <c r="C739" s="7" t="str">
        <f t="shared" si="8"/>
        <v xml:space="preserve">Haley Spades </v>
      </c>
      <c r="D739" s="24" t="s">
        <v>3764</v>
      </c>
      <c r="E739" s="25" t="s">
        <v>3765</v>
      </c>
      <c r="F739" s="9" t="str">
        <f ca="1">IFERROR(__xludf.DUMMYFUNCTION("""https://streamtape.com/v/""&amp;
REGEXEXTRACT(O739,""/thumb/([^/]+)/"")&amp;
""/""&amp;K739"),"https://streamtape.com/v/w6KW6J8QBvIJObL/62687412")</f>
        <v>https://streamtape.com/v/w6KW6J8QBvIJObL/62687412</v>
      </c>
      <c r="G739" s="10" t="e">
        <f t="shared" ca="1" si="9"/>
        <v>#NAME?</v>
      </c>
      <c r="H739" s="11" t="str">
        <f ca="1">IFERROR(__xludf.DUMMYFUNCTION("IFERROR(SUBSTITUTE(SUBSTITUTE(REGEXEXTRACT(A739, ""[^-]+- [^-]+- [^-]+ - (.+?)\.jpg""), "".jpg"", """"), ""-"", "", ""), """")"),"")</f>
        <v/>
      </c>
      <c r="I739" s="6"/>
      <c r="J739" s="7" t="str">
        <f t="shared" ca="1" si="10"/>
        <v>(2026)</v>
      </c>
      <c r="K739" s="7" t="str">
        <f t="shared" si="11"/>
        <v>62687412</v>
      </c>
      <c r="L739" s="12" t="s">
        <v>3766</v>
      </c>
      <c r="M739" s="13" t="str">
        <f ca="1">IFERROR(__xludf.DUMMYFUNCTION("TRIM(
  REGEXREPLACE(
    TEXTJOIN("" "",
      TRUE,
      B739,
      C739,
      embaralharLinks(E739,F739,G739),
      H739,
      """",
      J739,
      N739,
      ""#RIPNSFW""
    ),
  "",\s*"", "" "")
)"),"{New} Haley Spades https://lulustream.com/d/960aqdpv9cee https://streamtape.com/v/w6KW6J8QBvIJObL/62687412 https://doodstream.com/d/gmve0y9pklp8/62687412 (2026) #teen #bigass #blowjob #blonde #RIPNSFW")</f>
        <v>{New} Haley Spades https://lulustream.com/d/960aqdpv9cee https://streamtape.com/v/w6KW6J8QBvIJObL/62687412 https://doodstream.com/d/gmve0y9pklp8/62687412 (2026) #teen #bigass #blowjob #blonde #RIPNSFW</v>
      </c>
      <c r="N739" s="2" t="s">
        <v>3766</v>
      </c>
      <c r="O739" s="30" t="s">
        <v>3767</v>
      </c>
      <c r="P739" s="26"/>
      <c r="R739" s="23"/>
    </row>
    <row r="740" spans="1:27" ht="12.75">
      <c r="A740" s="12" t="s">
        <v>3768</v>
      </c>
      <c r="B740" s="6" t="s">
        <v>14</v>
      </c>
      <c r="C740" s="7" t="str">
        <f t="shared" si="8"/>
        <v xml:space="preserve">Haley Spades </v>
      </c>
      <c r="D740" s="24" t="s">
        <v>3769</v>
      </c>
      <c r="E740" s="25" t="s">
        <v>3770</v>
      </c>
      <c r="F740" s="9" t="str">
        <f ca="1">IFERROR(__xludf.DUMMYFUNCTION("""https://streamtape.com/v/""&amp;
REGEXEXTRACT(O740,""/thumb/([^/]+)/"")&amp;
""/""&amp;K740"),"https://streamtape.com/v/eAo1rp4Pxlt22G/70700659")</f>
        <v>https://streamtape.com/v/eAo1rp4Pxlt22G/70700659</v>
      </c>
      <c r="G740" s="10" t="e">
        <f t="shared" ca="1" si="9"/>
        <v>#NAME?</v>
      </c>
      <c r="H740" s="11" t="str">
        <f ca="1">IFERROR(__xludf.DUMMYFUNCTION("IFERROR(SUBSTITUTE(SUBSTITUTE(REGEXEXTRACT(A740, ""[^-]+- [^-]+- [^-]+ - (.+?)\.jpg""), "".jpg"", """"), ""-"", "", ""), """")"),"")</f>
        <v/>
      </c>
      <c r="I740" s="6"/>
      <c r="J740" s="7" t="str">
        <f t="shared" ca="1" si="10"/>
        <v>(2026)</v>
      </c>
      <c r="K740" s="7" t="str">
        <f t="shared" si="11"/>
        <v>70700659</v>
      </c>
      <c r="L740" s="12" t="s">
        <v>3771</v>
      </c>
      <c r="M740" s="13" t="str">
        <f ca="1">IFERROR(__xludf.DUMMYFUNCTION("TRIM(
  REGEXREPLACE(
    TEXTJOIN("" "",
      TRUE,
      B740,
      C740,
      embaralharLinks(E740,F740,G740),
      H740,
      """",
      J740,
      N740,
      ""#RIPNSFW""
    ),
  "",\s*"", "" "")
)"),"{New} Haley Spades https://lulustream.com/d/rhgmypkrm366 https://doodstream.com/d/iep2i9o0qka8/70700659 https://streamtape.com/v/eAo1rp4Pxlt22G/70700659 (2026) #anal #hardcore #porn #teen #RIPNSFW")</f>
        <v>{New} Haley Spades https://lulustream.com/d/rhgmypkrm366 https://doodstream.com/d/iep2i9o0qka8/70700659 https://streamtape.com/v/eAo1rp4Pxlt22G/70700659 (2026) #anal #hardcore #porn #teen #RIPNSFW</v>
      </c>
      <c r="N740" s="2" t="s">
        <v>3771</v>
      </c>
      <c r="O740" s="30" t="s">
        <v>3772</v>
      </c>
      <c r="P740" s="26"/>
      <c r="R740" s="23"/>
      <c r="T740" s="6"/>
      <c r="U740" s="7"/>
    </row>
    <row r="741" spans="1:27" ht="12.75">
      <c r="A741" s="12" t="s">
        <v>3773</v>
      </c>
      <c r="B741" s="6" t="s">
        <v>14</v>
      </c>
      <c r="C741" s="7" t="str">
        <f t="shared" si="8"/>
        <v xml:space="preserve">Haley Spades </v>
      </c>
      <c r="D741" s="27" t="s">
        <v>3774</v>
      </c>
      <c r="E741" s="28" t="s">
        <v>3775</v>
      </c>
      <c r="F741" s="9" t="str">
        <f ca="1">IFERROR(__xludf.DUMMYFUNCTION("""https://streamtape.com/v/""&amp;
REGEXEXTRACT(O741,""/thumb/([^/]+)/"")&amp;
""/""&amp;K741"),"https://streamtape.com/v/QkQjYW9APet0O73/75230723")</f>
        <v>https://streamtape.com/v/QkQjYW9APet0O73/75230723</v>
      </c>
      <c r="G741" s="10" t="e">
        <f t="shared" ca="1" si="9"/>
        <v>#NAME?</v>
      </c>
      <c r="H741" s="11" t="str">
        <f ca="1">IFERROR(__xludf.DUMMYFUNCTION("IFERROR(SUBSTITUTE(SUBSTITUTE(REGEXEXTRACT(A741, ""[^-]+- [^-]+- [^-]+ - (.+?)\.jpg""), "".jpg"", """"), ""-"", "", ""), """")"),"")</f>
        <v/>
      </c>
      <c r="I741" s="6"/>
      <c r="J741" s="7" t="str">
        <f t="shared" ca="1" si="10"/>
        <v>(2026)</v>
      </c>
      <c r="K741" s="7" t="str">
        <f t="shared" si="11"/>
        <v>75230723</v>
      </c>
      <c r="L741" s="12" t="s">
        <v>3683</v>
      </c>
      <c r="M741" s="13" t="str">
        <f ca="1">IFERROR(__xludf.DUMMYFUNCTION("TRIM(
  REGEXREPLACE(
    TEXTJOIN("" "",
      TRUE,
      B741,
      C741,
      embaralharLinks(E741,F741,G741),
      H741,
      """",
      J741,
      N741,
      ""#RIPNSFW""
    ),
  "",\s*"", "" "")
)"),"{New} Haley Spades https://streamtape.com/v/QkQjYW9APet0O73/75230723 https://doodstream.com/d/vjiih07ltmu4/75230723 https://lulustream.com/d/95dwae81tt0b (2026) #Hardcore #Bigass #Teen #Blowjob #RIPNSFW")</f>
        <v>{New} Haley Spades https://streamtape.com/v/QkQjYW9APet0O73/75230723 https://doodstream.com/d/vjiih07ltmu4/75230723 https://lulustream.com/d/95dwae81tt0b (2026) #Hardcore #Bigass #Teen #Blowjob #RIPNSFW</v>
      </c>
      <c r="N741" s="2" t="s">
        <v>3684</v>
      </c>
      <c r="O741" s="30" t="s">
        <v>3776</v>
      </c>
      <c r="P741" s="26"/>
      <c r="R741" s="23"/>
    </row>
    <row r="742" spans="1:27" ht="12.75">
      <c r="A742" s="12" t="s">
        <v>3777</v>
      </c>
      <c r="B742" s="6" t="s">
        <v>14</v>
      </c>
      <c r="C742" s="7" t="str">
        <f t="shared" si="8"/>
        <v xml:space="preserve">Haley Spades </v>
      </c>
      <c r="D742" s="24" t="s">
        <v>3778</v>
      </c>
      <c r="E742" s="25" t="s">
        <v>3779</v>
      </c>
      <c r="F742" s="9" t="str">
        <f ca="1">IFERROR(__xludf.DUMMYFUNCTION("""https://streamtape.com/v/""&amp;
REGEXEXTRACT(O742,""/thumb/([^/]+)/"")&amp;
""/""&amp;K742"),"https://streamtape.com/v/wG7Q73jBDLuJ9Vy/82044382")</f>
        <v>https://streamtape.com/v/wG7Q73jBDLuJ9Vy/82044382</v>
      </c>
      <c r="G742" s="10" t="e">
        <f t="shared" ca="1" si="9"/>
        <v>#NAME?</v>
      </c>
      <c r="H742" s="11" t="str">
        <f ca="1">IFERROR(__xludf.DUMMYFUNCTION("IFERROR(SUBSTITUTE(SUBSTITUTE(REGEXEXTRACT(A742, ""[^-]+- [^-]+- [^-]+ - (.+?)\.jpg""), "".jpg"", """"), ""-"", "", ""), """")"),"")</f>
        <v/>
      </c>
      <c r="I742" s="6"/>
      <c r="J742" s="7" t="str">
        <f t="shared" ca="1" si="10"/>
        <v>(2026)</v>
      </c>
      <c r="K742" s="7" t="str">
        <f t="shared" si="11"/>
        <v>82044382</v>
      </c>
      <c r="L742" s="12" t="s">
        <v>3780</v>
      </c>
      <c r="M742" s="13" t="str">
        <f ca="1">IFERROR(__xludf.DUMMYFUNCTION("TRIM(
  REGEXREPLACE(
    TEXTJOIN("" "",
      TRUE,
      B742,
      C742,
      embaralharLinks(E742,F742,G742),
      H742,
      """",
      J742,
      N742,
      ""#RIPNSFW""
    ),
  "",\s*"", "" "")
)"),"{New} Haley Spades https://doodstream.com/d/hngxsfs8qywz/82044382 https://streamtape.com/v/wG7Q73jBDLuJ9Vy/82044382 https://lulustream.com/d/oohfdtdv0wtv (2026) #anal #hardcore #threesome #bigass #RIPNSFW")</f>
        <v>{New} Haley Spades https://doodstream.com/d/hngxsfs8qywz/82044382 https://streamtape.com/v/wG7Q73jBDLuJ9Vy/82044382 https://lulustream.com/d/oohfdtdv0wtv (2026) #anal #hardcore #threesome #bigass #RIPNSFW</v>
      </c>
      <c r="N742" s="2" t="s">
        <v>3780</v>
      </c>
      <c r="O742" s="30" t="s">
        <v>3781</v>
      </c>
      <c r="P742" s="26"/>
      <c r="R742" s="23"/>
      <c r="T742" s="6"/>
      <c r="U742" s="7"/>
      <c r="Z742" s="12"/>
      <c r="AA742" s="12"/>
    </row>
    <row r="743" spans="1:27" ht="12.75">
      <c r="A743" s="12" t="s">
        <v>3782</v>
      </c>
      <c r="B743" s="6" t="s">
        <v>14</v>
      </c>
      <c r="C743" s="7" t="str">
        <f t="shared" si="8"/>
        <v xml:space="preserve">Haley Spades </v>
      </c>
      <c r="D743" s="24" t="s">
        <v>3783</v>
      </c>
      <c r="E743" s="25" t="s">
        <v>3784</v>
      </c>
      <c r="F743" s="9" t="str">
        <f ca="1">IFERROR(__xludf.DUMMYFUNCTION("""https://streamtape.com/v/""&amp;
REGEXEXTRACT(O743,""/thumb/([^/]+)/"")&amp;
""/""&amp;K743"),"https://streamtape.com/v/YgwMpdQYqWFvAZA/84254722")</f>
        <v>https://streamtape.com/v/YgwMpdQYqWFvAZA/84254722</v>
      </c>
      <c r="G743" s="10" t="e">
        <f t="shared" ca="1" si="9"/>
        <v>#NAME?</v>
      </c>
      <c r="H743" s="11" t="str">
        <f ca="1">IFERROR(__xludf.DUMMYFUNCTION("IFERROR(SUBSTITUTE(SUBSTITUTE(REGEXEXTRACT(A743, ""[^-]+- [^-]+- [^-]+ - (.+?)\.jpg""), "".jpg"", """"), ""-"", "", ""), """")"),"")</f>
        <v/>
      </c>
      <c r="I743" s="6"/>
      <c r="J743" s="7" t="str">
        <f t="shared" ca="1" si="10"/>
        <v>(2026)</v>
      </c>
      <c r="K743" s="7" t="str">
        <f t="shared" si="11"/>
        <v>84254722</v>
      </c>
      <c r="L743" s="12" t="s">
        <v>3785</v>
      </c>
      <c r="M743" s="13" t="str">
        <f ca="1">IFERROR(__xludf.DUMMYFUNCTION("TRIM(
  REGEXREPLACE(
    TEXTJOIN("" "",
      TRUE,
      B743,
      C743,
      embaralharLinks(E743,F743,G743),
      H743,
      """",
      J743,
      N743,
      ""#RIPNSFW""
    ),
  "",\s*"", "" "")
)"),"{New} Haley Spades https://doodstream.com/d/rmkaveoimnho/84254722 https://streamtape.com/v/YgwMpdQYqWFvAZA/84254722 https://lulustream.com/d/2nnzbq7grc4x (2026) #teen #anal #bigass #doublepenetration #RIPNSFW")</f>
        <v>{New} Haley Spades https://doodstream.com/d/rmkaveoimnho/84254722 https://streamtape.com/v/YgwMpdQYqWFvAZA/84254722 https://lulustream.com/d/2nnzbq7grc4x (2026) #teen #anal #bigass #doublepenetration #RIPNSFW</v>
      </c>
      <c r="N743" s="2" t="s">
        <v>3785</v>
      </c>
      <c r="O743" s="30" t="s">
        <v>3786</v>
      </c>
      <c r="P743" s="26"/>
      <c r="R743" s="23"/>
    </row>
    <row r="744" spans="1:27" ht="12.75">
      <c r="A744" s="12" t="s">
        <v>3787</v>
      </c>
      <c r="B744" s="6" t="s">
        <v>14</v>
      </c>
      <c r="C744" s="7" t="str">
        <f t="shared" si="8"/>
        <v xml:space="preserve">Haley Spades </v>
      </c>
      <c r="D744" s="24" t="s">
        <v>3788</v>
      </c>
      <c r="E744" s="25" t="s">
        <v>3789</v>
      </c>
      <c r="F744" s="9" t="str">
        <f ca="1">IFERROR(__xludf.DUMMYFUNCTION("""https://streamtape.com/v/""&amp;
REGEXEXTRACT(O744,""/thumb/([^/]+)/"")&amp;
""/""&amp;K744"),"https://streamtape.com/v/DAY49grZ9kck1Mg/89312649")</f>
        <v>https://streamtape.com/v/DAY49grZ9kck1Mg/89312649</v>
      </c>
      <c r="G744" s="10" t="e">
        <f t="shared" ca="1" si="9"/>
        <v>#NAME?</v>
      </c>
      <c r="H744" s="11" t="str">
        <f ca="1">IFERROR(__xludf.DUMMYFUNCTION("IFERROR(SUBSTITUTE(SUBSTITUTE(REGEXEXTRACT(A744, ""[^-]+- [^-]+- [^-]+ - (.+?)\.jpg""), "".jpg"", """"), ""-"", "", ""), """")"),"")</f>
        <v/>
      </c>
      <c r="I744" s="6"/>
      <c r="J744" s="7" t="str">
        <f t="shared" ca="1" si="10"/>
        <v>(2026)</v>
      </c>
      <c r="K744" s="7" t="str">
        <f t="shared" si="11"/>
        <v>89312649</v>
      </c>
      <c r="L744" s="12" t="s">
        <v>3790</v>
      </c>
      <c r="M744" s="13" t="str">
        <f ca="1">IFERROR(__xludf.DUMMYFUNCTION("TRIM(
  REGEXREPLACE(
    TEXTJOIN("" "",
      TRUE,
      B744,
      C744,
      embaralharLinks(E744,F744,G744),
      H744,
      """",
      J744,
      N744,
      ""#RIPNSFW""
    ),
  "",\s*"", "" "")
)"),"{New} Haley Spades https://streamtape.com/v/DAY49grZ9kck1Mg/89312649 https://doodstream.com/d/tcyti6ez89ra/89312649 https://lulustream.com/d/6q7u0hpqzcxq (2026) #Anal #Creampie #Hardcore #Bigass #RIPNSFW")</f>
        <v>{New} Haley Spades https://streamtape.com/v/DAY49grZ9kck1Mg/89312649 https://doodstream.com/d/tcyti6ez89ra/89312649 https://lulustream.com/d/6q7u0hpqzcxq (2026) #Anal #Creampie #Hardcore #Bigass #RIPNSFW</v>
      </c>
      <c r="N744" s="2" t="s">
        <v>3791</v>
      </c>
      <c r="O744" s="30" t="s">
        <v>3792</v>
      </c>
      <c r="P744" s="26"/>
      <c r="R744" s="23"/>
    </row>
    <row r="745" spans="1:27" ht="12.75">
      <c r="A745" s="6" t="s">
        <v>3793</v>
      </c>
      <c r="B745" s="6" t="s">
        <v>14</v>
      </c>
      <c r="C745" s="7" t="str">
        <f t="shared" si="8"/>
        <v xml:space="preserve">Haley Spades </v>
      </c>
      <c r="D745" s="24" t="s">
        <v>3794</v>
      </c>
      <c r="E745" s="25" t="s">
        <v>3795</v>
      </c>
      <c r="F745" s="9" t="str">
        <f ca="1">IFERROR(__xludf.DUMMYFUNCTION("""https://streamtape.com/v/""&amp;
REGEXEXTRACT(O745,""/thumb/([^/]+)/"")&amp;
""/""&amp;K745"),"https://streamtape.com/v/y2J9GbKe70t1WO4/89642695")</f>
        <v>https://streamtape.com/v/y2J9GbKe70t1WO4/89642695</v>
      </c>
      <c r="G745" s="10" t="e">
        <f t="shared" ca="1" si="9"/>
        <v>#NAME?</v>
      </c>
      <c r="H745" s="11" t="str">
        <f ca="1">IFERROR(__xludf.DUMMYFUNCTION("IFERROR(SUBSTITUTE(SUBSTITUTE(REGEXEXTRACT(A745, ""[^-]+- [^-]+- [^-]+ - (.+?)\.jpg""), "".jpg"", """"), ""-"", "", ""), """")"),"")</f>
        <v/>
      </c>
      <c r="I745" s="6"/>
      <c r="J745" s="7" t="str">
        <f t="shared" ca="1" si="10"/>
        <v>(2026)</v>
      </c>
      <c r="K745" s="7" t="str">
        <f t="shared" si="11"/>
        <v>89642695</v>
      </c>
      <c r="L745" s="12" t="s">
        <v>3796</v>
      </c>
      <c r="M745" s="13" t="str">
        <f ca="1">IFERROR(__xludf.DUMMYFUNCTION("TRIM(
  REGEXREPLACE(
    TEXTJOIN("" "",
      TRUE,
      B745,
      C745,
      embaralharLinks(E745,F745,G745),
      H745,
      """",
      J745,
      N745,
      ""#RIPNSFW""
    ),
  "",\s*"", "" "")
)"),"{New} Haley Spades https://doodstream.com/d/6a7ycx6yzg38/89642695 https://lulustream.com/d/atb073tp5tbl https://streamtape.com/v/y2J9GbKe70t1WO4/89642695 (2026) #teen #blonde #bigass #blowjob #RIPNSFW")</f>
        <v>{New} Haley Spades https://doodstream.com/d/6a7ycx6yzg38/89642695 https://lulustream.com/d/atb073tp5tbl https://streamtape.com/v/y2J9GbKe70t1WO4/89642695 (2026) #teen #blonde #bigass #blowjob #RIPNSFW</v>
      </c>
      <c r="N745" s="31" t="s">
        <v>3796</v>
      </c>
      <c r="O745" s="15" t="s">
        <v>3797</v>
      </c>
      <c r="P745" s="26"/>
      <c r="Q745" s="6"/>
      <c r="R745" s="11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>
      <c r="A746" s="12" t="s">
        <v>3798</v>
      </c>
      <c r="B746" s="6" t="s">
        <v>14</v>
      </c>
      <c r="C746" s="7" t="str">
        <f t="shared" si="8"/>
        <v xml:space="preserve">Haley Spades </v>
      </c>
      <c r="D746" s="24" t="s">
        <v>3799</v>
      </c>
      <c r="E746" s="25" t="s">
        <v>3800</v>
      </c>
      <c r="F746" s="9" t="str">
        <f ca="1">IFERROR(__xludf.DUMMYFUNCTION("""https://streamtape.com/v/""&amp;
REGEXEXTRACT(O746,""/thumb/([^/]+)/"")&amp;
""/""&amp;K746"),"https://streamtape.com/v/kvLQMRJV8PfYeO/94148243")</f>
        <v>https://streamtape.com/v/kvLQMRJV8PfYeO/94148243</v>
      </c>
      <c r="G746" s="10" t="e">
        <f t="shared" ca="1" si="9"/>
        <v>#NAME?</v>
      </c>
      <c r="H746" s="11" t="str">
        <f ca="1">IFERROR(__xludf.DUMMYFUNCTION("IFERROR(SUBSTITUTE(SUBSTITUTE(REGEXEXTRACT(A746, ""[^-]+- [^-]+- [^-]+ - (.+?)\.jpg""), "".jpg"", """"), ""-"", "", ""), """")"),"")</f>
        <v/>
      </c>
      <c r="I746" s="6"/>
      <c r="J746" s="7" t="str">
        <f t="shared" ca="1" si="10"/>
        <v>(2026)</v>
      </c>
      <c r="K746" s="7" t="str">
        <f t="shared" si="11"/>
        <v>94148243</v>
      </c>
      <c r="L746" s="12" t="s">
        <v>3801</v>
      </c>
      <c r="M746" s="13" t="str">
        <f ca="1">IFERROR(__xludf.DUMMYFUNCTION("TRIM(
  REGEXREPLACE(
    TEXTJOIN("" "",
      TRUE,
      B746,
      C746,
      embaralharLinks(E746,F746,G746),
      H746,
      """",
      J746,
      N746,
      ""#RIPNSFW""
    ),
  "",\s*"", "" "")
)"),"{New} Haley Spades https://lulustream.com/d/bpsqv9dy8a3b https://streamtape.com/v/kvLQMRJV8PfYeO/94148243 https://doodstream.com/d/xks5bzsb4v69/94148243 (2026) #teen #blowjob #blonde #porn #RIPNSFW")</f>
        <v>{New} Haley Spades https://lulustream.com/d/bpsqv9dy8a3b https://streamtape.com/v/kvLQMRJV8PfYeO/94148243 https://doodstream.com/d/xks5bzsb4v69/94148243 (2026) #teen #blowjob #blonde #porn #RIPNSFW</v>
      </c>
      <c r="N746" s="2" t="s">
        <v>3801</v>
      </c>
      <c r="O746" s="30" t="s">
        <v>3802</v>
      </c>
      <c r="P746" s="26"/>
      <c r="R746" s="23"/>
    </row>
    <row r="747" spans="1:27" ht="12.75">
      <c r="A747" s="12" t="s">
        <v>3803</v>
      </c>
      <c r="B747" s="6" t="s">
        <v>14</v>
      </c>
      <c r="C747" s="7" t="str">
        <f t="shared" si="8"/>
        <v xml:space="preserve">Haley Spades </v>
      </c>
      <c r="D747" s="27" t="s">
        <v>3804</v>
      </c>
      <c r="E747" s="28" t="s">
        <v>3805</v>
      </c>
      <c r="F747" s="9" t="str">
        <f ca="1">IFERROR(__xludf.DUMMYFUNCTION("""https://streamtape.com/v/""&amp;
REGEXEXTRACT(O747,""/thumb/([^/]+)/"")&amp;
""/""&amp;K747"),"https://streamtape.com/v/xr2W8pak3kUkG9a/94852051")</f>
        <v>https://streamtape.com/v/xr2W8pak3kUkG9a/94852051</v>
      </c>
      <c r="G747" s="10" t="e">
        <f t="shared" ca="1" si="9"/>
        <v>#NAME?</v>
      </c>
      <c r="H747" s="11" t="str">
        <f ca="1">IFERROR(__xludf.DUMMYFUNCTION("IFERROR(SUBSTITUTE(SUBSTITUTE(REGEXEXTRACT(A747, ""[^-]+- [^-]+- [^-]+ - (.+?)\.jpg""), "".jpg"", """"), ""-"", "", ""), """")"),"Jewelz Blu")</f>
        <v>Jewelz Blu</v>
      </c>
      <c r="I747" s="6"/>
      <c r="J747" s="7" t="str">
        <f t="shared" ca="1" si="10"/>
        <v>(2026)</v>
      </c>
      <c r="K747" s="7" t="str">
        <f t="shared" si="11"/>
        <v>94852051</v>
      </c>
      <c r="L747" s="12" t="s">
        <v>3806</v>
      </c>
      <c r="M747" s="13" t="str">
        <f ca="1">IFERROR(__xludf.DUMMYFUNCTION("TRIM(
  REGEXREPLACE(
    TEXTJOIN("" "",
      TRUE,
      B747,
      C747,
      embaralharLinks(E747,F747,G747),
      H747,
      """",
      J747,
      N747,
      ""#RIPNSFW""
    ),
  "",\s*"", "" "")
)"),"{New} Haley Spades https://doodstream.com/d/uosaea2clt7w/94852051 https://streamtape.com/v/xr2W8pak3kUkG9a/94852051 https://lulustream.com/d/m7rhg9oygyv9 Jewelz Blu (2026) #BigTits #Hardcore #Threesome #Bigass #RIPNSFW")</f>
        <v>{New} Haley Spades https://doodstream.com/d/uosaea2clt7w/94852051 https://streamtape.com/v/xr2W8pak3kUkG9a/94852051 https://lulustream.com/d/m7rhg9oygyv9 Jewelz Blu (2026) #BigTits #Hardcore #Threesome #Bigass #RIPNSFW</v>
      </c>
      <c r="N747" s="2" t="s">
        <v>3554</v>
      </c>
      <c r="O747" s="30" t="s">
        <v>3807</v>
      </c>
      <c r="P747" s="26"/>
      <c r="R747" s="23"/>
    </row>
    <row r="748" spans="1:27" ht="12.75">
      <c r="A748" s="12" t="s">
        <v>3808</v>
      </c>
      <c r="B748" s="6" t="s">
        <v>14</v>
      </c>
      <c r="C748" s="7" t="str">
        <f t="shared" si="8"/>
        <v xml:space="preserve">Haley Spades </v>
      </c>
      <c r="D748" s="24" t="s">
        <v>3809</v>
      </c>
      <c r="E748" s="25" t="s">
        <v>3810</v>
      </c>
      <c r="F748" s="9" t="str">
        <f ca="1">IFERROR(__xludf.DUMMYFUNCTION("""https://streamtape.com/v/""&amp;
REGEXEXTRACT(O748,""/thumb/([^/]+)/"")&amp;
""/""&amp;K748"),"https://streamtape.com/v/aYe84mqjLetx7ZJ/96147019")</f>
        <v>https://streamtape.com/v/aYe84mqjLetx7ZJ/96147019</v>
      </c>
      <c r="G748" s="10" t="e">
        <f t="shared" ca="1" si="9"/>
        <v>#NAME?</v>
      </c>
      <c r="H748" s="11" t="str">
        <f ca="1">IFERROR(__xludf.DUMMYFUNCTION("IFERROR(SUBSTITUTE(SUBSTITUTE(REGEXEXTRACT(A748, ""[^-]+- [^-]+- [^-]+ - (.+?)\.jpg""), "".jpg"", """"), ""-"", "", ""), """")"),"")</f>
        <v/>
      </c>
      <c r="I748" s="6"/>
      <c r="J748" s="7" t="str">
        <f t="shared" ca="1" si="10"/>
        <v>(2026)</v>
      </c>
      <c r="K748" s="7" t="str">
        <f t="shared" si="11"/>
        <v>96147019</v>
      </c>
      <c r="L748" s="12" t="s">
        <v>3811</v>
      </c>
      <c r="M748" s="13" t="str">
        <f ca="1">IFERROR(__xludf.DUMMYFUNCTION("TRIM(
  REGEXREPLACE(
    TEXTJOIN("" "",
      TRUE,
      B748,
      C748,
      embaralharLinks(E748,F748,G748),
      H748,
      """",
      J748,
      N748,
      ""#RIPNSFW""
    ),
  "",\s*"", "" "")
)"),"{New} Haley Spades https://doodstream.com/d/y8cme36nhv7e/96147019 https://streamtape.com/v/aYe84mqjLetx7ZJ/96147019 https://lulustream.com/d/u4eeviemm50d (2026) #creampie #teen #interracial #blowjob #RIPNSFW")</f>
        <v>{New} Haley Spades https://doodstream.com/d/y8cme36nhv7e/96147019 https://streamtape.com/v/aYe84mqjLetx7ZJ/96147019 https://lulustream.com/d/u4eeviemm50d (2026) #creampie #teen #interracial #blowjob #RIPNSFW</v>
      </c>
      <c r="N748" s="2" t="s">
        <v>3811</v>
      </c>
      <c r="O748" s="30" t="s">
        <v>3812</v>
      </c>
      <c r="P748" s="26"/>
      <c r="R748" s="23"/>
      <c r="T748" s="6"/>
      <c r="U748" s="7"/>
    </row>
    <row r="749" spans="1:27" ht="12.75">
      <c r="A749" s="6" t="s">
        <v>3813</v>
      </c>
      <c r="B749" s="6" t="s">
        <v>14</v>
      </c>
      <c r="C749" s="7" t="str">
        <f t="shared" si="8"/>
        <v xml:space="preserve">Haley Spades </v>
      </c>
      <c r="D749" s="6" t="s">
        <v>3814</v>
      </c>
      <c r="E749" s="8" t="s">
        <v>3815</v>
      </c>
      <c r="F749" s="9" t="str">
        <f ca="1">IFERROR(__xludf.DUMMYFUNCTION("""https://streamtape.com/v/""&amp;
REGEXEXTRACT(O749,""/thumb/([^/]+)/"")&amp;
""/""&amp;K749"),"https://streamtape.com/v/K9PKvWoM87U0QMP/97355912")</f>
        <v>https://streamtape.com/v/K9PKvWoM87U0QMP/97355912</v>
      </c>
      <c r="G749" s="10" t="e">
        <f t="shared" ca="1" si="9"/>
        <v>#NAME?</v>
      </c>
      <c r="H749" s="11" t="str">
        <f ca="1">IFERROR(__xludf.DUMMYFUNCTION("IFERROR(SUBSTITUTE(SUBSTITUTE(REGEXEXTRACT(A749, ""[^-]+- [^-]+- [^-]+ - (.+?)\.jpg""), "".jpg"", """"), ""-"", "", ""), """")"),"")</f>
        <v/>
      </c>
      <c r="I749" s="6"/>
      <c r="J749" s="7" t="str">
        <f t="shared" ca="1" si="10"/>
        <v>(2026)</v>
      </c>
      <c r="K749" s="7" t="str">
        <f t="shared" si="11"/>
        <v>97355912</v>
      </c>
      <c r="L749" s="12" t="s">
        <v>3816</v>
      </c>
      <c r="M749" s="13" t="str">
        <f ca="1">IFERROR(__xludf.DUMMYFUNCTION("TRIM(
  REGEXREPLACE(
    TEXTJOIN("" "",
      TRUE,
      B749,
      C749,
      embaralharLinks(E749,F749,G749),
      H749,
      """",
      J749,
      N749,
      ""#RIPNSFW""
    ),
  "",\s*"", "" "")
)"),"{New} Haley Spades https://lulustream.com/d/qwfsnfh985ei https://doodstream.com/d/sy1tumdssnjw/97355912 https://streamtape.com/v/K9PKvWoM87U0QMP/97355912 (2026) #Anal #Hardcore #Black #Threesome #Interracial #Bigass #RIPNSFW")</f>
        <v>{New} Haley Spades https://lulustream.com/d/qwfsnfh985ei https://doodstream.com/d/sy1tumdssnjw/97355912 https://streamtape.com/v/K9PKvWoM87U0QMP/97355912 (2026) #Anal #Hardcore #Black #Threesome #Interracial #Bigass #RIPNSFW</v>
      </c>
      <c r="N749" s="14" t="s">
        <v>3817</v>
      </c>
      <c r="O749" s="15" t="s">
        <v>3818</v>
      </c>
      <c r="P749" s="14"/>
      <c r="Q749" s="6"/>
      <c r="R749" s="11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>
      <c r="A750" s="6" t="s">
        <v>3819</v>
      </c>
      <c r="B750" s="6" t="s">
        <v>14</v>
      </c>
      <c r="C750" s="7" t="str">
        <f t="shared" si="8"/>
        <v xml:space="preserve">Happy_Yulia </v>
      </c>
      <c r="D750" s="24" t="s">
        <v>3820</v>
      </c>
      <c r="E750" s="25" t="s">
        <v>3821</v>
      </c>
      <c r="F750" s="9" t="str">
        <f ca="1">IFERROR(__xludf.DUMMYFUNCTION("""https://streamtape.com/v/""&amp;
REGEXEXTRACT(O750,""/thumb/([^/]+)/"")&amp;
""/""&amp;K750"),"https://streamtape.com/v/r4ozdklLM1CbjDJ/78859240")</f>
        <v>https://streamtape.com/v/r4ozdklLM1CbjDJ/78859240</v>
      </c>
      <c r="G750" s="10" t="e">
        <f t="shared" ca="1" si="9"/>
        <v>#NAME?</v>
      </c>
      <c r="H750" s="11" t="str">
        <f ca="1">IFERROR(__xludf.DUMMYFUNCTION("IFERROR(SUBSTITUTE(SUBSTITUTE(REGEXEXTRACT(A750, ""[^-]+- [^-]+- [^-]+ - (.+?)\.jpg""), "".jpg"", """"), ""-"", "", ""), """")"),"")</f>
        <v/>
      </c>
      <c r="I750" s="6"/>
      <c r="J750" s="7" t="str">
        <f t="shared" ca="1" si="10"/>
        <v>(2026)</v>
      </c>
      <c r="K750" s="7" t="str">
        <f t="shared" si="11"/>
        <v>78859240</v>
      </c>
      <c r="L750" s="12" t="s">
        <v>3822</v>
      </c>
      <c r="M750" s="13" t="str">
        <f ca="1">IFERROR(__xludf.DUMMYFUNCTION("TRIM(
  REGEXREPLACE(
    TEXTJOIN("" "",
      TRUE,
      B750,
      C750,
      embaralharLinks(E750,F750,G750),
      H750,
      """",
      J750,
      N750,
      ""#RIPNSFW""
    ),
  "",\s*"", "" "")
)"),"{New} Happy_Yulia https://doodstream.com/d/rl5p2mmsfvbv/78859240 https://lulustream.com/d/uqpk1exye70x https://streamtape.com/v/r4ozdklLM1CbjDJ/78859240 (2026) #teen #blonde #bigtits #facial #RIPNSFW")</f>
        <v>{New} Happy_Yulia https://doodstream.com/d/rl5p2mmsfvbv/78859240 https://lulustream.com/d/uqpk1exye70x https://streamtape.com/v/r4ozdklLM1CbjDJ/78859240 (2026) #teen #blonde #bigtits #facial #RIPNSFW</v>
      </c>
      <c r="N750" s="31" t="s">
        <v>3822</v>
      </c>
      <c r="O750" s="32" t="s">
        <v>3823</v>
      </c>
      <c r="P750" s="26"/>
      <c r="Q750" s="6"/>
      <c r="R750" s="23"/>
      <c r="S750" s="6"/>
      <c r="T750" s="6"/>
      <c r="U750" s="7"/>
      <c r="V750" s="6"/>
      <c r="X750" s="6"/>
      <c r="Y750" s="6"/>
      <c r="Z750" s="6"/>
      <c r="AA750" s="6"/>
    </row>
    <row r="751" spans="1:27" ht="12.75">
      <c r="A751" s="12" t="s">
        <v>3824</v>
      </c>
      <c r="B751" s="6"/>
      <c r="C751" s="7" t="str">
        <f t="shared" si="8"/>
        <v xml:space="preserve">Hayley Davies </v>
      </c>
      <c r="D751" s="24" t="s">
        <v>3825</v>
      </c>
      <c r="E751" s="25" t="s">
        <v>3826</v>
      </c>
      <c r="F751" s="9" t="str">
        <f ca="1">IFERROR(__xludf.DUMMYFUNCTION("""https://streamtape.com/v/""&amp;
REGEXEXTRACT(O751,""/thumb/([^/]+)/"")&amp;
""/""&amp;K751"),"https://streamtape.com/v/Vyz1BAmjV9hKpBL/15229591")</f>
        <v>https://streamtape.com/v/Vyz1BAmjV9hKpBL/15229591</v>
      </c>
      <c r="G751" s="10" t="e">
        <f t="shared" ca="1" si="9"/>
        <v>#NAME?</v>
      </c>
      <c r="H751" s="11" t="str">
        <f ca="1">IFERROR(__xludf.DUMMYFUNCTION("IFERROR(SUBSTITUTE(SUBSTITUTE(REGEXEXTRACT(A751, ""[^-]+- [^-]+- [^-]+ - (.+?)\.jpg""), "".jpg"", """"), ""-"", "", ""), """")"),"")</f>
        <v/>
      </c>
      <c r="I751" s="6"/>
      <c r="J751" s="7" t="str">
        <f t="shared" ca="1" si="10"/>
        <v/>
      </c>
      <c r="K751" s="7" t="str">
        <f t="shared" si="11"/>
        <v>15229591</v>
      </c>
      <c r="L751" s="12" t="s">
        <v>3827</v>
      </c>
      <c r="M751" s="13" t="str">
        <f ca="1">IFERROR(__xludf.DUMMYFUNCTION("TRIM(
  REGEXREPLACE(
    TEXTJOIN("" "",
      TRUE,
      B751,
      C751,
      embaralharLinks(E751,F751,G751),
      H751,
      """",
      J751,
      N751,
      ""#RIPNSFW""
    ),
  "",\s*"", "" "")
)"),"Hayley Davies https://streamtape.com/v/Vyz1BAmjV9hKpBL/15229591 https://lulustream.com/d/sq95lh7vln9f https://doodstream.com/d/p64gtgqkcjrq/15229591 #milf #blonde #bigtits #bigass #RIPNSFW")</f>
        <v>Hayley Davies https://streamtape.com/v/Vyz1BAmjV9hKpBL/15229591 https://lulustream.com/d/sq95lh7vln9f https://doodstream.com/d/p64gtgqkcjrq/15229591 #milf #blonde #bigtits #bigass #RIPNSFW</v>
      </c>
      <c r="N751" s="2" t="s">
        <v>3827</v>
      </c>
      <c r="O751" s="30" t="s">
        <v>3828</v>
      </c>
      <c r="P751" s="26"/>
      <c r="R751" s="23"/>
      <c r="T751" s="6"/>
      <c r="U751" s="7"/>
    </row>
    <row r="752" spans="1:27" ht="12.75">
      <c r="A752" s="12" t="s">
        <v>3829</v>
      </c>
      <c r="B752" s="6" t="s">
        <v>14</v>
      </c>
      <c r="C752" s="7" t="str">
        <f t="shared" si="8"/>
        <v xml:space="preserve">Hayley Davies </v>
      </c>
      <c r="D752" s="24" t="s">
        <v>3830</v>
      </c>
      <c r="E752" s="25" t="s">
        <v>3831</v>
      </c>
      <c r="F752" s="9" t="str">
        <f ca="1">IFERROR(__xludf.DUMMYFUNCTION("""https://streamtape.com/v/""&amp;
REGEXEXTRACT(O752,""/thumb/([^/]+)/"")&amp;
""/""&amp;K752"),"https://streamtape.com/v/oAK73Pwrjrsbmq/26666486")</f>
        <v>https://streamtape.com/v/oAK73Pwrjrsbmq/26666486</v>
      </c>
      <c r="G752" s="10" t="e">
        <f t="shared" ca="1" si="9"/>
        <v>#NAME?</v>
      </c>
      <c r="H752" s="11" t="str">
        <f ca="1">IFERROR(__xludf.DUMMYFUNCTION("IFERROR(SUBSTITUTE(SUBSTITUTE(REGEXEXTRACT(A752, ""[^-]+- [^-]+- [^-]+ - (.+?)\.jpg""), "".jpg"", """"), ""-"", "", ""), """")"),"")</f>
        <v/>
      </c>
      <c r="I752" s="6"/>
      <c r="J752" s="7" t="str">
        <f t="shared" ca="1" si="10"/>
        <v>(2026)</v>
      </c>
      <c r="K752" s="7" t="str">
        <f t="shared" si="11"/>
        <v>26666486</v>
      </c>
      <c r="L752" s="12" t="s">
        <v>3827</v>
      </c>
      <c r="M752" s="13" t="str">
        <f ca="1">IFERROR(__xludf.DUMMYFUNCTION("TRIM(
  REGEXREPLACE(
    TEXTJOIN("" "",
      TRUE,
      B752,
      C752,
      embaralharLinks(E752,F752,G752),
      H752,
      """",
      J752,
      N752,
      ""#RIPNSFW""
    ),
  "",\s*"", "" "")
)"),"{New} Hayley Davies https://lulustream.com/d/r12a6fvunjfa https://streamtape.com/v/oAK73Pwrjrsbmq/26666486 https://doodstream.com/d/cs42jvgvz0wc/26666486 (2026) #milf #blonde #bigtits #bigass #RIPNSFW")</f>
        <v>{New} Hayley Davies https://lulustream.com/d/r12a6fvunjfa https://streamtape.com/v/oAK73Pwrjrsbmq/26666486 https://doodstream.com/d/cs42jvgvz0wc/26666486 (2026) #milf #blonde #bigtits #bigass #RIPNSFW</v>
      </c>
      <c r="N752" s="2" t="s">
        <v>3827</v>
      </c>
      <c r="O752" s="21" t="s">
        <v>3832</v>
      </c>
      <c r="P752" s="26"/>
      <c r="R752" s="23"/>
      <c r="T752" s="6"/>
      <c r="U752" s="7"/>
    </row>
    <row r="753" spans="1:27" ht="12.75">
      <c r="A753" s="12" t="s">
        <v>3833</v>
      </c>
      <c r="B753" s="6" t="s">
        <v>14</v>
      </c>
      <c r="C753" s="7" t="str">
        <f t="shared" si="8"/>
        <v xml:space="preserve">Hayley Davies </v>
      </c>
      <c r="D753" s="27" t="s">
        <v>3834</v>
      </c>
      <c r="E753" s="28" t="s">
        <v>3835</v>
      </c>
      <c r="F753" s="9" t="str">
        <f ca="1">IFERROR(__xludf.DUMMYFUNCTION("""https://streamtape.com/v/""&amp;
REGEXEXTRACT(O753,""/thumb/([^/]+)/"")&amp;
""/""&amp;K753"),"https://streamtape.com/v/q8yMX9qgzocLA2/43204677")</f>
        <v>https://streamtape.com/v/q8yMX9qgzocLA2/43204677</v>
      </c>
      <c r="G753" s="10" t="e">
        <f t="shared" ca="1" si="9"/>
        <v>#NAME?</v>
      </c>
      <c r="H753" s="11" t="str">
        <f ca="1">IFERROR(__xludf.DUMMYFUNCTION("IFERROR(SUBSTITUTE(SUBSTITUTE(REGEXEXTRACT(A753, ""[^-]+- [^-]+- [^-]+ - (.+?)\.jpg""), "".jpg"", """"), ""-"", "", ""), """")"),"")</f>
        <v/>
      </c>
      <c r="I753" s="6"/>
      <c r="J753" s="7" t="str">
        <f t="shared" ca="1" si="10"/>
        <v>(2026)</v>
      </c>
      <c r="K753" s="7" t="str">
        <f t="shared" si="11"/>
        <v>43204677</v>
      </c>
      <c r="L753" s="12" t="s">
        <v>127</v>
      </c>
      <c r="M753" s="13" t="str">
        <f ca="1">IFERROR(__xludf.DUMMYFUNCTION("TRIM(
  REGEXREPLACE(
    TEXTJOIN("" "",
      TRUE,
      B753,
      C753,
      embaralharLinks(E753,F753,G753),
      H753,
      """",
      J753,
      N753,
      ""#RIPNSFW""
    ),
  "",\s*"", "" "")
)"),"{New} Hayley Davies https://doodstream.com/d/s6skgozww4fk/43204677 https://streamtape.com/v/q8yMX9qgzocLA2/43204677 https://lulustream.com/d/a6l0bm4j4omv (2026) #MILF #BigTits #Hardcore #Bigass #RIPNSFW")</f>
        <v>{New} Hayley Davies https://doodstream.com/d/s6skgozww4fk/43204677 https://streamtape.com/v/q8yMX9qgzocLA2/43204677 https://lulustream.com/d/a6l0bm4j4omv (2026) #MILF #BigTits #Hardcore #Bigass #RIPNSFW</v>
      </c>
      <c r="N753" s="2" t="s">
        <v>128</v>
      </c>
      <c r="O753" s="30" t="s">
        <v>3836</v>
      </c>
      <c r="P753" s="26"/>
      <c r="R753" s="23"/>
    </row>
    <row r="754" spans="1:27" ht="12.75">
      <c r="A754" s="12" t="s">
        <v>3837</v>
      </c>
      <c r="B754" s="6" t="s">
        <v>14</v>
      </c>
      <c r="C754" s="7" t="str">
        <f t="shared" si="8"/>
        <v xml:space="preserve">Hayley Davies </v>
      </c>
      <c r="D754" s="24" t="s">
        <v>3838</v>
      </c>
      <c r="E754" s="25" t="s">
        <v>3839</v>
      </c>
      <c r="F754" s="9" t="str">
        <f ca="1">IFERROR(__xludf.DUMMYFUNCTION("""https://streamtape.com/v/""&amp;
REGEXEXTRACT(O754,""/thumb/([^/]+)/"")&amp;
""/""&amp;K754"),"https://streamtape.com/v/kLZ0BbMrYrhOLl4/99348682")</f>
        <v>https://streamtape.com/v/kLZ0BbMrYrhOLl4/99348682</v>
      </c>
      <c r="G754" s="10" t="e">
        <f t="shared" ca="1" si="9"/>
        <v>#NAME?</v>
      </c>
      <c r="H754" s="11" t="str">
        <f ca="1">IFERROR(__xludf.DUMMYFUNCTION("IFERROR(SUBSTITUTE(SUBSTITUTE(REGEXEXTRACT(A754, ""[^-]+- [^-]+- [^-]+ - (.+?)\.jpg""), "".jpg"", """"), ""-"", "", ""), """")"),"Violet Myers")</f>
        <v>Violet Myers</v>
      </c>
      <c r="I754" s="6"/>
      <c r="J754" s="7" t="str">
        <f t="shared" ca="1" si="10"/>
        <v>(2026)</v>
      </c>
      <c r="K754" s="7" t="str">
        <f t="shared" si="11"/>
        <v>99348682</v>
      </c>
      <c r="L754" s="12" t="s">
        <v>2909</v>
      </c>
      <c r="M754" s="13" t="str">
        <f ca="1">IFERROR(__xludf.DUMMYFUNCTION("TRIM(
  REGEXREPLACE(
    TEXTJOIN("" "",
      TRUE,
      B754,
      C754,
      embaralharLinks(E754,F754,G754),
      H754,
      """",
      J754,
      N754,
      ""#RIPNSFW""
    ),
  "",\s*"", "" "")
)"),"{New} Hayley Davies https://streamtape.com/v/kLZ0BbMrYrhOLl4/99348682 https://lulustream.com/d/83m8de2jsa4k https://doodstream.com/d/iajkm5k5sron/99348682 Violet Myers (2026) #milf #threesome #bigtits #bigass #RIPNSFW")</f>
        <v>{New} Hayley Davies https://streamtape.com/v/kLZ0BbMrYrhOLl4/99348682 https://lulustream.com/d/83m8de2jsa4k https://doodstream.com/d/iajkm5k5sron/99348682 Violet Myers (2026) #milf #threesome #bigtits #bigass #RIPNSFW</v>
      </c>
      <c r="N754" s="2" t="s">
        <v>2909</v>
      </c>
      <c r="O754" s="30" t="s">
        <v>3840</v>
      </c>
      <c r="P754" s="26"/>
      <c r="R754" s="23"/>
    </row>
    <row r="755" spans="1:27" ht="12.75">
      <c r="A755" s="6" t="s">
        <v>3841</v>
      </c>
      <c r="B755" s="6" t="s">
        <v>14</v>
      </c>
      <c r="C755" s="7" t="str">
        <f t="shared" si="8"/>
        <v xml:space="preserve">Hinatakio </v>
      </c>
      <c r="D755" s="29" t="s">
        <v>3842</v>
      </c>
      <c r="E755" s="8" t="s">
        <v>3843</v>
      </c>
      <c r="F755" s="9" t="str">
        <f ca="1">IFERROR(__xludf.DUMMYFUNCTION("""https://streamtape.com/v/""&amp;
REGEXEXTRACT(O755,""/thumb/([^/]+)/"")&amp;
""/""&amp;K755"),"https://streamtape.com/v/w4OV62mbVZFJZpJ/84111829")</f>
        <v>https://streamtape.com/v/w4OV62mbVZFJZpJ/84111829</v>
      </c>
      <c r="G755" s="10" t="e">
        <f t="shared" ca="1" si="9"/>
        <v>#NAME?</v>
      </c>
      <c r="H755" s="11" t="str">
        <f ca="1">IFERROR(__xludf.DUMMYFUNCTION("IFERROR(SUBSTITUTE(SUBSTITUTE(REGEXEXTRACT(A755, ""[^-]+- [^-]+- [^-]+ - (.+?)\.jpg""), "".jpg"", """"), ""-"", "", ""), """")"),"")</f>
        <v/>
      </c>
      <c r="I755" s="6"/>
      <c r="J755" s="7" t="str">
        <f t="shared" ca="1" si="10"/>
        <v>(2026)</v>
      </c>
      <c r="K755" s="7" t="str">
        <f t="shared" si="11"/>
        <v>84111829</v>
      </c>
      <c r="L755" s="12" t="s">
        <v>3844</v>
      </c>
      <c r="M755" s="13" t="str">
        <f ca="1">IFERROR(__xludf.DUMMYFUNCTION("TRIM(
  REGEXREPLACE(
    TEXTJOIN("" "",
      TRUE,
      B755,
      C755,
      embaralharLinks(E755,F755,G755),
      H755,
      """",
      J755,
      N755,
      ""#RIPNSFW""
    ),
  "",\s*"", "" "")
)"),"{New} Hinatakio https://streamtape.com/v/w4OV62mbVZFJZpJ/84111829 https://doodstream.com/d/xuwbe9198wvx/84111829 https://lulustream.com/d/2qo53k7cmjkj (2026) #Teen #Teens #Blowjob #Amateur #Deepthroat #Facial #RIPNSFW")</f>
        <v>{New} Hinatakio https://streamtape.com/v/w4OV62mbVZFJZpJ/84111829 https://doodstream.com/d/xuwbe9198wvx/84111829 https://lulustream.com/d/2qo53k7cmjkj (2026) #Teen #Teens #Blowjob #Amateur #Deepthroat #Facial #RIPNSFW</v>
      </c>
      <c r="N755" s="14" t="s">
        <v>3845</v>
      </c>
      <c r="O755" s="32" t="s">
        <v>3846</v>
      </c>
      <c r="P755" s="14"/>
      <c r="Q755" s="6"/>
      <c r="R755" s="11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>
      <c r="A756" s="6" t="s">
        <v>3847</v>
      </c>
      <c r="B756" s="6" t="s">
        <v>14</v>
      </c>
      <c r="C756" s="7" t="str">
        <f t="shared" si="8"/>
        <v xml:space="preserve">Honey Sasha </v>
      </c>
      <c r="D756" s="29" t="s">
        <v>3848</v>
      </c>
      <c r="E756" s="8" t="s">
        <v>3849</v>
      </c>
      <c r="F756" s="9" t="str">
        <f ca="1">IFERROR(__xludf.DUMMYFUNCTION("""https://streamtape.com/v/""&amp;
REGEXEXTRACT(O756,""/thumb/([^/]+)/"")&amp;
""/""&amp;K756"),"https://streamtape.com/v/9ODMLD6bqaIOxG/71637373")</f>
        <v>https://streamtape.com/v/9ODMLD6bqaIOxG/71637373</v>
      </c>
      <c r="G756" s="10" t="e">
        <f t="shared" ca="1" si="9"/>
        <v>#NAME?</v>
      </c>
      <c r="H756" s="11" t="str">
        <f ca="1">IFERROR(__xludf.DUMMYFUNCTION("IFERROR(SUBSTITUTE(SUBSTITUTE(REGEXEXTRACT(A756, ""[^-]+- [^-]+- [^-]+ - (.+?)\.jpg""), "".jpg"", """"), ""-"", "", ""), """")"),"")</f>
        <v/>
      </c>
      <c r="I756" s="6"/>
      <c r="J756" s="7" t="str">
        <f t="shared" ca="1" si="10"/>
        <v>(2026)</v>
      </c>
      <c r="K756" s="7" t="str">
        <f t="shared" si="11"/>
        <v>71637373</v>
      </c>
      <c r="L756" s="12" t="s">
        <v>3850</v>
      </c>
      <c r="M756" s="13" t="str">
        <f ca="1">IFERROR(__xludf.DUMMYFUNCTION("TRIM(
  REGEXREPLACE(
    TEXTJOIN("" "",
      TRUE,
      B756,
      C756,
      embaralharLinks(E756,F756,G756),
      H756,
      """",
      J756,
      N756,
      ""#RIPNSFW""
    ),
  "",\s*"", "" "")
)"),"{New} Honey Sasha https://doodstream.com/d/luxrgnea8m4u/71637373 https://streamtape.com/v/9ODMLD6bqaIOxG/71637373 https://lulustream.com/d/x0i7044rmb26 (2026) #BigTits #Hardcore #Bigass #Teen #Artporn #Teens #Blowjob #Amateur #RIPNSFW")</f>
        <v>{New} Honey Sasha https://doodstream.com/d/luxrgnea8m4u/71637373 https://streamtape.com/v/9ODMLD6bqaIOxG/71637373 https://lulustream.com/d/x0i7044rmb26 (2026) #BigTits #Hardcore #Bigass #Teen #Artporn #Teens #Blowjob #Amateur #RIPNSFW</v>
      </c>
      <c r="N756" s="14" t="s">
        <v>498</v>
      </c>
      <c r="O756" s="32" t="s">
        <v>3851</v>
      </c>
      <c r="P756" s="14"/>
      <c r="Q756" s="6"/>
      <c r="R756" s="11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>
      <c r="A757" s="12" t="s">
        <v>3852</v>
      </c>
      <c r="B757" s="6" t="s">
        <v>14</v>
      </c>
      <c r="C757" s="7" t="str">
        <f t="shared" si="8"/>
        <v xml:space="preserve">Indica Flower </v>
      </c>
      <c r="D757" s="27" t="s">
        <v>3853</v>
      </c>
      <c r="E757" s="28" t="s">
        <v>3854</v>
      </c>
      <c r="F757" s="9" t="str">
        <f ca="1">IFERROR(__xludf.DUMMYFUNCTION("""https://streamtape.com/v/""&amp;
REGEXEXTRACT(O757,""/thumb/([^/]+)/"")&amp;
""/""&amp;K757"),"https://streamtape.com/v/klablQbOpkf6lo/40171471")</f>
        <v>https://streamtape.com/v/klablQbOpkf6lo/40171471</v>
      </c>
      <c r="G757" s="10" t="e">
        <f t="shared" ca="1" si="9"/>
        <v>#NAME?</v>
      </c>
      <c r="H757" s="11" t="str">
        <f ca="1">IFERROR(__xludf.DUMMYFUNCTION("IFERROR(SUBSTITUTE(SUBSTITUTE(REGEXEXTRACT(A757, ""[^-]+- [^-]+- [^-]+ - (.+?)\.jpg""), "".jpg"", """"), ""-"", "", ""), """")"),"")</f>
        <v/>
      </c>
      <c r="I757" s="6"/>
      <c r="J757" s="7" t="str">
        <f t="shared" ca="1" si="10"/>
        <v>(2026)</v>
      </c>
      <c r="K757" s="7" t="str">
        <f t="shared" si="11"/>
        <v>40171471</v>
      </c>
      <c r="L757" s="12" t="s">
        <v>680</v>
      </c>
      <c r="M757" s="13" t="str">
        <f ca="1">IFERROR(__xludf.DUMMYFUNCTION("TRIM(
  REGEXREPLACE(
    TEXTJOIN("" "",
      TRUE,
      B757,
      C757,
      embaralharLinks(E757,F757,G757),
      H757,
      """",
      J757,
      N757,
      ""#RIPNSFW""
    ),
  "",\s*"", "" "")
)"),"{New} Indica Flower https://doodstream.com/d/6feu0fkgq71i/40171471 https://streamtape.com/v/klablQbOpkf6lo/40171471 https://lulustream.com/d/yt24slj3d59c (2026) #MILF #BigTits #Hardcore #Black #RIPNSFW")</f>
        <v>{New} Indica Flower https://doodstream.com/d/6feu0fkgq71i/40171471 https://streamtape.com/v/klablQbOpkf6lo/40171471 https://lulustream.com/d/yt24slj3d59c (2026) #MILF #BigTits #Hardcore #Black #RIPNSFW</v>
      </c>
      <c r="N757" s="2" t="s">
        <v>681</v>
      </c>
      <c r="O757" s="21" t="s">
        <v>3855</v>
      </c>
      <c r="P757" s="26"/>
      <c r="R757" s="23"/>
    </row>
    <row r="758" spans="1:27" ht="12.75">
      <c r="A758" s="12" t="s">
        <v>3856</v>
      </c>
      <c r="B758" s="6" t="s">
        <v>14</v>
      </c>
      <c r="C758" s="7" t="str">
        <f t="shared" si="8"/>
        <v xml:space="preserve">Indica Flower </v>
      </c>
      <c r="D758" s="24" t="s">
        <v>3857</v>
      </c>
      <c r="E758" s="25" t="s">
        <v>3858</v>
      </c>
      <c r="F758" s="9" t="str">
        <f ca="1">IFERROR(__xludf.DUMMYFUNCTION("""https://streamtape.com/v/""&amp;
REGEXEXTRACT(O758,""/thumb/([^/]+)/"")&amp;
""/""&amp;K758"),"https://streamtape.com/v/2689VZL3M2sRb6/43277129")</f>
        <v>https://streamtape.com/v/2689VZL3M2sRb6/43277129</v>
      </c>
      <c r="G758" s="10" t="e">
        <f t="shared" ca="1" si="9"/>
        <v>#NAME?</v>
      </c>
      <c r="H758" s="11" t="str">
        <f ca="1">IFERROR(__xludf.DUMMYFUNCTION("IFERROR(SUBSTITUTE(SUBSTITUTE(REGEXEXTRACT(A758, ""[^-]+- [^-]+- [^-]+ - (.+?)\.jpg""), "".jpg"", """"), ""-"", "", ""), """")"),"")</f>
        <v/>
      </c>
      <c r="I758" s="6"/>
      <c r="J758" s="7" t="str">
        <f t="shared" ca="1" si="10"/>
        <v>(2026)</v>
      </c>
      <c r="K758" s="7" t="str">
        <f t="shared" si="11"/>
        <v>43277129</v>
      </c>
      <c r="L758" s="12" t="s">
        <v>1478</v>
      </c>
      <c r="M758" s="13" t="str">
        <f ca="1">IFERROR(__xludf.DUMMYFUNCTION("TRIM(
  REGEXREPLACE(
    TEXTJOIN("" "",
      TRUE,
      B758,
      C758,
      embaralharLinks(E758,F758,G758),
      H758,
      """",
      J758,
      N758,
      ""#RIPNSFW""
    ),
  "",\s*"", "" "")
)"),"{New} Indica Flower https://lulustream.com/d/99r6jv9nw70o https://doodstream.com/d/ynpqaeb2utwj/43277129 https://streamtape.com/v/2689VZL3M2sRb6/43277129 (2026) #milf #blowjob #bigtits #bigass #RIPNSFW")</f>
        <v>{New} Indica Flower https://lulustream.com/d/99r6jv9nw70o https://doodstream.com/d/ynpqaeb2utwj/43277129 https://streamtape.com/v/2689VZL3M2sRb6/43277129 (2026) #milf #blowjob #bigtits #bigass #RIPNSFW</v>
      </c>
      <c r="N758" s="2" t="s">
        <v>1478</v>
      </c>
      <c r="O758" s="30" t="s">
        <v>3859</v>
      </c>
      <c r="P758" s="26"/>
      <c r="R758" s="23"/>
    </row>
    <row r="759" spans="1:27" ht="12.75">
      <c r="A759" s="12" t="s">
        <v>3860</v>
      </c>
      <c r="B759" s="6" t="s">
        <v>14</v>
      </c>
      <c r="C759" s="7" t="str">
        <f t="shared" si="8"/>
        <v xml:space="preserve">Indica Flower </v>
      </c>
      <c r="D759" s="24" t="s">
        <v>3861</v>
      </c>
      <c r="E759" s="25" t="s">
        <v>3862</v>
      </c>
      <c r="F759" s="9" t="str">
        <f ca="1">IFERROR(__xludf.DUMMYFUNCTION("""https://streamtape.com/v/""&amp;
REGEXEXTRACT(O759,""/thumb/([^/]+)/"")&amp;
""/""&amp;K759"),"https://streamtape.com/v/k2QkbPJPD1TOGlb/49136859")</f>
        <v>https://streamtape.com/v/k2QkbPJPD1TOGlb/49136859</v>
      </c>
      <c r="G759" s="10" t="e">
        <f t="shared" ca="1" si="9"/>
        <v>#NAME?</v>
      </c>
      <c r="H759" s="11" t="str">
        <f ca="1">IFERROR(__xludf.DUMMYFUNCTION("IFERROR(SUBSTITUTE(SUBSTITUTE(REGEXEXTRACT(A759, ""[^-]+- [^-]+- [^-]+ - (.+?)\.jpg""), "".jpg"", """"), ""-"", "", ""), """")"),"")</f>
        <v/>
      </c>
      <c r="I759" s="6"/>
      <c r="J759" s="7" t="str">
        <f t="shared" ca="1" si="10"/>
        <v>(2026)</v>
      </c>
      <c r="K759" s="7" t="str">
        <f t="shared" si="11"/>
        <v>49136859</v>
      </c>
      <c r="L759" s="12" t="s">
        <v>1462</v>
      </c>
      <c r="M759" s="13" t="str">
        <f ca="1">IFERROR(__xludf.DUMMYFUNCTION("TRIM(
  REGEXREPLACE(
    TEXTJOIN("" "",
      TRUE,
      B759,
      C759,
      embaralharLinks(E759,F759,G759),
      H759,
      """",
      J759,
      N759,
      ""#RIPNSFW""
    ),
  "",\s*"", "" "")
)"),"{New} Indica Flower https://streamtape.com/v/k2QkbPJPD1TOGlb/49136859 https://doodstream.com/d/ls08fniogi62/49136859 https://lulustream.com/d/y4deodmubrh5 (2026) #milf #bigtits #bigass #blowjob #RIPNSFW")</f>
        <v>{New} Indica Flower https://streamtape.com/v/k2QkbPJPD1TOGlb/49136859 https://doodstream.com/d/ls08fniogi62/49136859 https://lulustream.com/d/y4deodmubrh5 (2026) #milf #bigtits #bigass #blowjob #RIPNSFW</v>
      </c>
      <c r="N759" s="2" t="s">
        <v>1462</v>
      </c>
      <c r="O759" s="30" t="s">
        <v>3863</v>
      </c>
      <c r="P759" s="26"/>
      <c r="R759" s="23"/>
    </row>
    <row r="760" spans="1:27" ht="12.75">
      <c r="A760" s="6" t="s">
        <v>3864</v>
      </c>
      <c r="B760" s="6" t="s">
        <v>14</v>
      </c>
      <c r="C760" s="7" t="str">
        <f t="shared" si="8"/>
        <v xml:space="preserve">Indica Flower </v>
      </c>
      <c r="D760" s="24" t="s">
        <v>3865</v>
      </c>
      <c r="E760" s="25" t="s">
        <v>3866</v>
      </c>
      <c r="F760" s="9" t="str">
        <f ca="1">IFERROR(__xludf.DUMMYFUNCTION("""https://streamtape.com/v/""&amp;
REGEXEXTRACT(O760,""/thumb/([^/]+)/"")&amp;
""/""&amp;K760"),"https://streamtape.com/v/e4pgKDpvObIkBe/52696210")</f>
        <v>https://streamtape.com/v/e4pgKDpvObIkBe/52696210</v>
      </c>
      <c r="G760" s="10" t="e">
        <f t="shared" ca="1" si="9"/>
        <v>#NAME?</v>
      </c>
      <c r="H760" s="11" t="str">
        <f ca="1">IFERROR(__xludf.DUMMYFUNCTION("IFERROR(SUBSTITUTE(SUBSTITUTE(REGEXEXTRACT(A760, ""[^-]+- [^-]+- [^-]+ - (.+?)\.jpg""), "".jpg"", """"), ""-"", "", ""), """")"),"")</f>
        <v/>
      </c>
      <c r="I760" s="6"/>
      <c r="J760" s="7" t="str">
        <f t="shared" ca="1" si="10"/>
        <v>(2026)</v>
      </c>
      <c r="K760" s="7" t="str">
        <f t="shared" si="11"/>
        <v>52696210</v>
      </c>
      <c r="L760" s="12" t="s">
        <v>1462</v>
      </c>
      <c r="M760" s="13" t="str">
        <f ca="1">IFERROR(__xludf.DUMMYFUNCTION("TRIM(
  REGEXREPLACE(
    TEXTJOIN("" "",
      TRUE,
      B760,
      C760,
      embaralharLinks(E760,F760,G760),
      H760,
      """",
      J760,
      N760,
      ""#RIPNSFW""
    ),
  "",\s*"", "" "")
)"),"{New} Indica Flower https://doodstream.com/d/l6hv76ccucyw/52696210 https://streamtape.com/v/e4pgKDpvObIkBe/52696210 https://lulustream.com/d/3pyzkyzbrg1y (2026) #milf #bigtits #bigass #blowjob #RIPNSFW")</f>
        <v>{New} Indica Flower https://doodstream.com/d/l6hv76ccucyw/52696210 https://streamtape.com/v/e4pgKDpvObIkBe/52696210 https://lulustream.com/d/3pyzkyzbrg1y (2026) #milf #bigtits #bigass #blowjob #RIPNSFW</v>
      </c>
      <c r="N760" s="31" t="s">
        <v>1462</v>
      </c>
      <c r="O760" s="15" t="s">
        <v>3867</v>
      </c>
      <c r="P760" s="26"/>
      <c r="Q760" s="6"/>
      <c r="R760" s="11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>
      <c r="A761" s="12" t="s">
        <v>3868</v>
      </c>
      <c r="B761" s="6"/>
      <c r="C761" s="7" t="str">
        <f t="shared" si="8"/>
        <v xml:space="preserve">Indica Flower </v>
      </c>
      <c r="D761" s="24" t="s">
        <v>3869</v>
      </c>
      <c r="E761" s="25" t="s">
        <v>3870</v>
      </c>
      <c r="F761" s="9" t="str">
        <f ca="1">IFERROR(__xludf.DUMMYFUNCTION("""https://streamtape.com/v/""&amp;
REGEXEXTRACT(O761,""/thumb/([^/]+)/"")&amp;
""/""&amp;K761"),"https://streamtape.com/v/rkaYdl1Bb4ibQGB/66160100")</f>
        <v>https://streamtape.com/v/rkaYdl1Bb4ibQGB/66160100</v>
      </c>
      <c r="G761" s="10" t="e">
        <f t="shared" ca="1" si="9"/>
        <v>#NAME?</v>
      </c>
      <c r="H761" s="11" t="str">
        <f ca="1">IFERROR(__xludf.DUMMYFUNCTION("IFERROR(SUBSTITUTE(SUBSTITUTE(REGEXEXTRACT(A761, ""[^-]+- [^-]+- [^-]+ - (.+?)\.jpg""), "".jpg"", """"), ""-"", "", ""), """")"),"")</f>
        <v/>
      </c>
      <c r="I761" s="6"/>
      <c r="J761" s="7" t="str">
        <f t="shared" ca="1" si="10"/>
        <v/>
      </c>
      <c r="K761" s="7" t="str">
        <f t="shared" si="11"/>
        <v>66160100</v>
      </c>
      <c r="L761" s="12" t="s">
        <v>1478</v>
      </c>
      <c r="M761" s="13" t="str">
        <f ca="1">IFERROR(__xludf.DUMMYFUNCTION("TRIM(
  REGEXREPLACE(
    TEXTJOIN("" "",
      TRUE,
      B761,
      C761,
      embaralharLinks(E761,F761,G761),
      H761,
      """",
      J761,
      N761,
      ""#RIPNSFW""
    ),
  "",\s*"", "" "")
)"),"Indica Flower https://streamtape.com/v/rkaYdl1Bb4ibQGB/66160100 https://lulustream.com/d/60464yqizfdi https://doodstream.com/d/y9970uhpend9/66160100 #milf #blowjob #bigtits #bigass #RIPNSFW")</f>
        <v>Indica Flower https://streamtape.com/v/rkaYdl1Bb4ibQGB/66160100 https://lulustream.com/d/60464yqizfdi https://doodstream.com/d/y9970uhpend9/66160100 #milf #blowjob #bigtits #bigass #RIPNSFW</v>
      </c>
      <c r="N761" s="2" t="s">
        <v>1478</v>
      </c>
      <c r="O761" s="21" t="s">
        <v>3871</v>
      </c>
      <c r="P761" s="26"/>
      <c r="R761" s="23"/>
      <c r="T761" s="6"/>
      <c r="U761" s="7"/>
    </row>
    <row r="762" spans="1:27" ht="12.75">
      <c r="A762" s="12" t="s">
        <v>3872</v>
      </c>
      <c r="B762" s="6" t="s">
        <v>14</v>
      </c>
      <c r="C762" s="7" t="str">
        <f t="shared" si="8"/>
        <v xml:space="preserve">Indica Flower </v>
      </c>
      <c r="D762" s="24" t="s">
        <v>3873</v>
      </c>
      <c r="E762" s="25" t="s">
        <v>3874</v>
      </c>
      <c r="F762" s="9" t="str">
        <f ca="1">IFERROR(__xludf.DUMMYFUNCTION("""https://streamtape.com/v/""&amp;
REGEXEXTRACT(O762,""/thumb/([^/]+)/"")&amp;
""/""&amp;K762"),"https://streamtape.com/v/9p4qeo4DL1HaxbO/76022716")</f>
        <v>https://streamtape.com/v/9p4qeo4DL1HaxbO/76022716</v>
      </c>
      <c r="G762" s="10" t="e">
        <f t="shared" ca="1" si="9"/>
        <v>#NAME?</v>
      </c>
      <c r="H762" s="11" t="str">
        <f ca="1">IFERROR(__xludf.DUMMYFUNCTION("IFERROR(SUBSTITUTE(SUBSTITUTE(REGEXEXTRACT(A762, ""[^-]+- [^-]+- [^-]+ - (.+?)\.jpg""), "".jpg"", """"), ""-"", "", ""), """")"),"")</f>
        <v/>
      </c>
      <c r="I762" s="6"/>
      <c r="J762" s="7" t="str">
        <f t="shared" ca="1" si="10"/>
        <v>(2026)</v>
      </c>
      <c r="K762" s="7" t="str">
        <f t="shared" si="11"/>
        <v>76022716</v>
      </c>
      <c r="L762" s="12" t="s">
        <v>2291</v>
      </c>
      <c r="M762" s="13" t="str">
        <f ca="1">IFERROR(__xludf.DUMMYFUNCTION("TRIM(
  REGEXREPLACE(
    TEXTJOIN("" "",
      TRUE,
      B762,
      C762,
      embaralharLinks(E762,F762,G762),
      H762,
      """",
      J762,
      N762,
      ""#RIPNSFW""
    ),
  "",\s*"", "" "")
)"),"{New} Indica Flower https://streamtape.com/v/9p4qeo4DL1HaxbO/76022716 https://lulustream.com/d/bjjn5qqgykw7 https://doodstream.com/d/ug7lv4bj6e4k/76022716 (2026) #milf #bigtits #blowjob #bigass #RIPNSFW")</f>
        <v>{New} Indica Flower https://streamtape.com/v/9p4qeo4DL1HaxbO/76022716 https://lulustream.com/d/bjjn5qqgykw7 https://doodstream.com/d/ug7lv4bj6e4k/76022716 (2026) #milf #bigtits #blowjob #bigass #RIPNSFW</v>
      </c>
      <c r="N762" s="2" t="s">
        <v>2291</v>
      </c>
      <c r="O762" s="21" t="s">
        <v>3875</v>
      </c>
      <c r="P762" s="26"/>
      <c r="R762" s="23"/>
      <c r="T762" s="6"/>
      <c r="U762" s="7"/>
    </row>
    <row r="763" spans="1:27" ht="12.75">
      <c r="A763" s="12" t="s">
        <v>3876</v>
      </c>
      <c r="B763" s="6" t="s">
        <v>14</v>
      </c>
      <c r="C763" s="7" t="str">
        <f t="shared" si="8"/>
        <v xml:space="preserve">Indica Flower </v>
      </c>
      <c r="D763" s="24" t="s">
        <v>3877</v>
      </c>
      <c r="E763" s="25" t="s">
        <v>3878</v>
      </c>
      <c r="F763" s="9" t="str">
        <f ca="1">IFERROR(__xludf.DUMMYFUNCTION("""https://streamtape.com/v/""&amp;
REGEXEXTRACT(O763,""/thumb/([^/]+)/"")&amp;
""/""&amp;K763"),"https://streamtape.com/v/wO2yOmBLg2tJzgz/77303400")</f>
        <v>https://streamtape.com/v/wO2yOmBLg2tJzgz/77303400</v>
      </c>
      <c r="G763" s="10" t="e">
        <f t="shared" ca="1" si="9"/>
        <v>#NAME?</v>
      </c>
      <c r="H763" s="11" t="str">
        <f ca="1">IFERROR(__xludf.DUMMYFUNCTION("IFERROR(SUBSTITUTE(SUBSTITUTE(REGEXEXTRACT(A763, ""[^-]+- [^-]+- [^-]+ - (.+?)\.jpg""), "".jpg"", """"), ""-"", "", ""), """")"),"Angela White")</f>
        <v>Angela White</v>
      </c>
      <c r="I763" s="6"/>
      <c r="J763" s="7" t="str">
        <f t="shared" ca="1" si="10"/>
        <v>(2026)</v>
      </c>
      <c r="K763" s="7" t="str">
        <f t="shared" si="11"/>
        <v>77303400</v>
      </c>
      <c r="L763" s="12" t="s">
        <v>2909</v>
      </c>
      <c r="M763" s="13" t="str">
        <f ca="1">IFERROR(__xludf.DUMMYFUNCTION("TRIM(
  REGEXREPLACE(
    TEXTJOIN("" "",
      TRUE,
      B763,
      C763,
      embaralharLinks(E763,F763,G763),
      H763,
      """",
      J763,
      N763,
      ""#RIPNSFW""
    ),
  "",\s*"", "" "")
)"),"{New} Indica Flower https://streamtape.com/v/wO2yOmBLg2tJzgz/77303400 https://doodstream.com/d/94tnfilouaxz/77303400 https://lulustream.com/d/uvrf1lxwqpbg Angela White (2026) #milf #threesome #bigtits #bigass #RIPNSFW")</f>
        <v>{New} Indica Flower https://streamtape.com/v/wO2yOmBLg2tJzgz/77303400 https://doodstream.com/d/94tnfilouaxz/77303400 https://lulustream.com/d/uvrf1lxwqpbg Angela White (2026) #milf #threesome #bigtits #bigass #RIPNSFW</v>
      </c>
      <c r="N763" s="2" t="s">
        <v>2909</v>
      </c>
      <c r="O763" s="21" t="s">
        <v>3879</v>
      </c>
      <c r="P763" s="26"/>
      <c r="R763" s="23"/>
    </row>
    <row r="764" spans="1:27" ht="12.75">
      <c r="A764" s="12" t="s">
        <v>3880</v>
      </c>
      <c r="B764" s="6" t="s">
        <v>14</v>
      </c>
      <c r="C764" s="7" t="str">
        <f t="shared" si="8"/>
        <v xml:space="preserve">Indica Flower </v>
      </c>
      <c r="D764" s="24" t="s">
        <v>3881</v>
      </c>
      <c r="E764" s="25" t="s">
        <v>3882</v>
      </c>
      <c r="F764" s="9" t="str">
        <f ca="1">IFERROR(__xludf.DUMMYFUNCTION("""https://streamtape.com/v/""&amp;
REGEXEXTRACT(O764,""/thumb/([^/]+)/"")&amp;
""/""&amp;K764"),"https://streamtape.com/v/PDpwWo1PQMiW9w/86487740")</f>
        <v>https://streamtape.com/v/PDpwWo1PQMiW9w/86487740</v>
      </c>
      <c r="G764" s="10" t="e">
        <f t="shared" ca="1" si="9"/>
        <v>#NAME?</v>
      </c>
      <c r="H764" s="11" t="str">
        <f ca="1">IFERROR(__xludf.DUMMYFUNCTION("IFERROR(SUBSTITUTE(SUBSTITUTE(REGEXEXTRACT(A764, ""[^-]+- [^-]+- [^-]+ - (.+?)\.jpg""), "".jpg"", """"), ""-"", "", ""), """")"),"")</f>
        <v/>
      </c>
      <c r="I764" s="6"/>
      <c r="J764" s="7" t="str">
        <f t="shared" ca="1" si="10"/>
        <v>(2026)</v>
      </c>
      <c r="K764" s="7" t="str">
        <f t="shared" si="11"/>
        <v>86487740</v>
      </c>
      <c r="L764" s="12" t="s">
        <v>3883</v>
      </c>
      <c r="M764" s="13" t="str">
        <f ca="1">IFERROR(__xludf.DUMMYFUNCTION("TRIM(
  REGEXREPLACE(
    TEXTJOIN("" "",
      TRUE,
      B764,
      C764,
      embaralharLinks(E764,F764,G764),
      H764,
      """",
      J764,
      N764,
      ""#RIPNSFW""
    ),
  "",\s*"", "" "")
)"),"{New} Indica Flower https://lulustream.com/d/fdr2cpi0v0g9 https://streamtape.com/v/PDpwWo1PQMiW9w/86487740 https://doodstream.com/d/rsdax3sre2ue/86487740 (2026) #bigtits #milf #hardcore #bigass #RIPNSFW")</f>
        <v>{New} Indica Flower https://lulustream.com/d/fdr2cpi0v0g9 https://streamtape.com/v/PDpwWo1PQMiW9w/86487740 https://doodstream.com/d/rsdax3sre2ue/86487740 (2026) #bigtits #milf #hardcore #bigass #RIPNSFW</v>
      </c>
      <c r="N764" s="2" t="s">
        <v>3883</v>
      </c>
      <c r="O764" s="30" t="s">
        <v>3884</v>
      </c>
      <c r="P764" s="26"/>
      <c r="R764" s="23"/>
      <c r="T764" s="6"/>
      <c r="U764" s="7"/>
    </row>
    <row r="765" spans="1:27" ht="12.75">
      <c r="A765" s="12" t="s">
        <v>3885</v>
      </c>
      <c r="B765" s="6" t="s">
        <v>14</v>
      </c>
      <c r="C765" s="7" t="str">
        <f t="shared" si="8"/>
        <v xml:space="preserve">Indica Flower </v>
      </c>
      <c r="D765" s="24" t="s">
        <v>3886</v>
      </c>
      <c r="E765" s="25" t="s">
        <v>3887</v>
      </c>
      <c r="F765" s="9" t="str">
        <f ca="1">IFERROR(__xludf.DUMMYFUNCTION("""https://streamtape.com/v/""&amp;
REGEXEXTRACT(O765,""/thumb/([^/]+)/"")&amp;
""/""&amp;K765"),"https://streamtape.com/v/vwQeepvqrQSa7j/91384409")</f>
        <v>https://streamtape.com/v/vwQeepvqrQSa7j/91384409</v>
      </c>
      <c r="G765" s="10" t="e">
        <f t="shared" ca="1" si="9"/>
        <v>#NAME?</v>
      </c>
      <c r="H765" s="11" t="str">
        <f ca="1">IFERROR(__xludf.DUMMYFUNCTION("IFERROR(SUBSTITUTE(SUBSTITUTE(REGEXEXTRACT(A765, ""[^-]+- [^-]+- [^-]+ - (.+?)\.jpg""), "".jpg"", """"), ""-"", "", ""), """")"),"")</f>
        <v/>
      </c>
      <c r="I765" s="6"/>
      <c r="J765" s="7" t="str">
        <f t="shared" ca="1" si="10"/>
        <v>(2026)</v>
      </c>
      <c r="K765" s="7" t="str">
        <f t="shared" si="11"/>
        <v>91384409</v>
      </c>
      <c r="L765" s="12" t="s">
        <v>2291</v>
      </c>
      <c r="M765" s="13" t="str">
        <f ca="1">IFERROR(__xludf.DUMMYFUNCTION("TRIM(
  REGEXREPLACE(
    TEXTJOIN("" "",
      TRUE,
      B765,
      C765,
      embaralharLinks(E765,F765,G765),
      H765,
      """",
      J765,
      N765,
      ""#RIPNSFW""
    ),
  "",\s*"", "" "")
)"),"{New} Indica Flower https://streamtape.com/v/vwQeepvqrQSa7j/91384409 https://doodstream.com/d/gntvpuwt2n06/91384409 https://lulustream.com/d/vbvt98hnpnpb (2026) #milf #bigtits #blowjob #bigass #RIPNSFW")</f>
        <v>{New} Indica Flower https://streamtape.com/v/vwQeepvqrQSa7j/91384409 https://doodstream.com/d/gntvpuwt2n06/91384409 https://lulustream.com/d/vbvt98hnpnpb (2026) #milf #bigtits #blowjob #bigass #RIPNSFW</v>
      </c>
      <c r="N765" s="2" t="s">
        <v>2291</v>
      </c>
      <c r="O765" s="30" t="s">
        <v>3888</v>
      </c>
      <c r="P765" s="26"/>
      <c r="R765" s="23"/>
      <c r="T765" s="6"/>
      <c r="U765" s="7"/>
    </row>
    <row r="766" spans="1:27" ht="12.75">
      <c r="A766" s="12" t="s">
        <v>3889</v>
      </c>
      <c r="B766" s="6" t="s">
        <v>14</v>
      </c>
      <c r="C766" s="7" t="str">
        <f t="shared" si="8"/>
        <v xml:space="preserve">Indica Flower </v>
      </c>
      <c r="D766" s="24" t="s">
        <v>3890</v>
      </c>
      <c r="E766" s="25" t="s">
        <v>3891</v>
      </c>
      <c r="F766" s="9" t="str">
        <f ca="1">IFERROR(__xludf.DUMMYFUNCTION("""https://streamtape.com/v/""&amp;
REGEXEXTRACT(O766,""/thumb/([^/]+)/"")&amp;
""/""&amp;K766"),"https://streamtape.com/v/pbM6L06aZoHrMOK/92908779")</f>
        <v>https://streamtape.com/v/pbM6L06aZoHrMOK/92908779</v>
      </c>
      <c r="G766" s="10" t="e">
        <f t="shared" ca="1" si="9"/>
        <v>#NAME?</v>
      </c>
      <c r="H766" s="11" t="str">
        <f ca="1">IFERROR(__xludf.DUMMYFUNCTION("IFERROR(SUBSTITUTE(SUBSTITUTE(REGEXEXTRACT(A766, ""[^-]+- [^-]+- [^-]+ - (.+?)\.jpg""), "".jpg"", """"), ""-"", "", ""), """")"),"")</f>
        <v/>
      </c>
      <c r="I766" s="6"/>
      <c r="J766" s="7" t="str">
        <f t="shared" ca="1" si="10"/>
        <v>(2026)</v>
      </c>
      <c r="K766" s="7" t="str">
        <f t="shared" si="11"/>
        <v>92908779</v>
      </c>
      <c r="L766" s="12" t="s">
        <v>1462</v>
      </c>
      <c r="M766" s="13" t="str">
        <f ca="1">IFERROR(__xludf.DUMMYFUNCTION("TRIM(
  REGEXREPLACE(
    TEXTJOIN("" "",
      TRUE,
      B766,
      C766,
      embaralharLinks(E766,F766,G766),
      H766,
      """",
      J766,
      N766,
      ""#RIPNSFW""
    ),
  "",\s*"", "" "")
)"),"{New} Indica Flower https://lulustream.com/d/c9sxoryotjnz https://doodstream.com/d/klulovnudtln/92908779 https://streamtape.com/v/pbM6L06aZoHrMOK/92908779 (2026) #milf #bigtits #bigass #blowjob #RIPNSFW")</f>
        <v>{New} Indica Flower https://lulustream.com/d/c9sxoryotjnz https://doodstream.com/d/klulovnudtln/92908779 https://streamtape.com/v/pbM6L06aZoHrMOK/92908779 (2026) #milf #bigtits #bigass #blowjob #RIPNSFW</v>
      </c>
      <c r="N766" s="2" t="s">
        <v>1462</v>
      </c>
      <c r="O766" s="30" t="s">
        <v>3892</v>
      </c>
      <c r="P766" s="26"/>
      <c r="R766" s="23"/>
    </row>
    <row r="767" spans="1:27" ht="12.75">
      <c r="A767" s="6" t="s">
        <v>3893</v>
      </c>
      <c r="B767" s="6" t="s">
        <v>14</v>
      </c>
      <c r="C767" s="7" t="str">
        <f t="shared" ref="C767:C1021" si="12">LEFT(A767,FIND("-",A767)-1)</f>
        <v xml:space="preserve">Indica Flower </v>
      </c>
      <c r="D767" s="24" t="s">
        <v>3894</v>
      </c>
      <c r="E767" s="25" t="s">
        <v>3895</v>
      </c>
      <c r="F767" s="9" t="str">
        <f ca="1">IFERROR(__xludf.DUMMYFUNCTION("""https://streamtape.com/v/""&amp;
REGEXEXTRACT(O767,""/thumb/([^/]+)/"")&amp;
""/""&amp;K767"),"https://streamtape.com/v/8OLJZbwG6DioVAe/93773610")</f>
        <v>https://streamtape.com/v/8OLJZbwG6DioVAe/93773610</v>
      </c>
      <c r="G767" s="10" t="e">
        <f t="shared" ref="G767:G1021" ca="1" si="13">_xludf.CONCAT(D767,K767)</f>
        <v>#NAME?</v>
      </c>
      <c r="H767" s="11" t="str">
        <f ca="1">IFERROR(__xludf.DUMMYFUNCTION("IFERROR(SUBSTITUTE(SUBSTITUTE(REGEXEXTRACT(A767, ""[^-]+- [^-]+- [^-]+ - (.+?)\.jpg""), "".jpg"", """"), ""-"", "", ""), """")"),"")</f>
        <v/>
      </c>
      <c r="I767" s="6"/>
      <c r="J767" s="7" t="str">
        <f t="shared" ref="J767:J1021" ca="1" si="14">IF(B767="{New}", "(" &amp; YEAR(TODAY()) &amp; ")", "")</f>
        <v>(2026)</v>
      </c>
      <c r="K767" s="7" t="str">
        <f t="shared" ref="K767:K1021" si="15">MID(A767,FIND("-",A767)+2,8)</f>
        <v>93773610</v>
      </c>
      <c r="L767" s="12" t="s">
        <v>3896</v>
      </c>
      <c r="M767" s="13" t="str">
        <f ca="1">IFERROR(__xludf.DUMMYFUNCTION("TRIM(
  REGEXREPLACE(
    TEXTJOIN("" "",
      TRUE,
      B767,
      C767,
      embaralharLinks(E767,F767,G767),
      H767,
      """",
      J767,
      N767,
      ""#RIPNSFW""
    ),
  "",\s*"", "" "")
)"),"{New} Indica Flower https://lulustream.com/d/kszu9la1jt02 https://streamtape.com/v/8OLJZbwG6DioVAe/93773610 https://doodstream.com/d/f42vj2rxm6bp/93773610 (2026) #milf #blowjob #bigtits #brunette #RIPNSFW")</f>
        <v>{New} Indica Flower https://lulustream.com/d/kszu9la1jt02 https://streamtape.com/v/8OLJZbwG6DioVAe/93773610 https://doodstream.com/d/f42vj2rxm6bp/93773610 (2026) #milf #blowjob #bigtits #brunette #RIPNSFW</v>
      </c>
      <c r="N767" s="31" t="s">
        <v>3896</v>
      </c>
      <c r="O767" s="32" t="s">
        <v>3897</v>
      </c>
      <c r="P767" s="26"/>
      <c r="Q767" s="6"/>
      <c r="R767" s="23"/>
      <c r="S767" s="6"/>
      <c r="T767" s="6"/>
      <c r="U767" s="7"/>
      <c r="V767" s="6"/>
      <c r="X767" s="6"/>
      <c r="Y767" s="6"/>
      <c r="Z767" s="6"/>
      <c r="AA767" s="6"/>
    </row>
    <row r="768" spans="1:27" ht="12.75">
      <c r="A768" s="12" t="s">
        <v>3898</v>
      </c>
      <c r="B768" s="6" t="s">
        <v>14</v>
      </c>
      <c r="C768" s="7" t="str">
        <f t="shared" si="12"/>
        <v xml:space="preserve">Indica Flower </v>
      </c>
      <c r="D768" s="24" t="s">
        <v>3899</v>
      </c>
      <c r="E768" s="25" t="s">
        <v>3900</v>
      </c>
      <c r="F768" s="9" t="str">
        <f ca="1">IFERROR(__xludf.DUMMYFUNCTION("""https://streamtape.com/v/""&amp;
REGEXEXTRACT(O768,""/thumb/([^/]+)/"")&amp;
""/""&amp;K768"),"https://streamtape.com/v/AXe3Gzm27OsX7LZ/94126261")</f>
        <v>https://streamtape.com/v/AXe3Gzm27OsX7LZ/94126261</v>
      </c>
      <c r="G768" s="10" t="e">
        <f t="shared" ca="1" si="13"/>
        <v>#NAME?</v>
      </c>
      <c r="H768" s="11" t="str">
        <f ca="1">IFERROR(__xludf.DUMMYFUNCTION("IFERROR(SUBSTITUTE(SUBSTITUTE(REGEXEXTRACT(A768, ""[^-]+- [^-]+- [^-]+ - (.+?)\.jpg""), "".jpg"", """"), ""-"", "", ""), """")"),"")</f>
        <v/>
      </c>
      <c r="I768" s="6"/>
      <c r="J768" s="7" t="str">
        <f t="shared" ca="1" si="14"/>
        <v>(2026)</v>
      </c>
      <c r="K768" s="7" t="str">
        <f t="shared" si="15"/>
        <v>94126261</v>
      </c>
      <c r="L768" s="12" t="s">
        <v>1462</v>
      </c>
      <c r="M768" s="13" t="str">
        <f ca="1">IFERROR(__xludf.DUMMYFUNCTION("TRIM(
  REGEXREPLACE(
    TEXTJOIN("" "",
      TRUE,
      B768,
      C768,
      embaralharLinks(E768,F768,G768),
      H768,
      """",
      J768,
      N768,
      ""#RIPNSFW""
    ),
  "",\s*"", "" "")
)"),"{New} Indica Flower https://streamtape.com/v/AXe3Gzm27OsX7LZ/94126261 https://lulustream.com/d/6plaqmussr0s https://doodstream.com/d/xt2hm0qau8uk/94126261 (2026) #milf #bigtits #bigass #blowjob #RIPNSFW")</f>
        <v>{New} Indica Flower https://streamtape.com/v/AXe3Gzm27OsX7LZ/94126261 https://lulustream.com/d/6plaqmussr0s https://doodstream.com/d/xt2hm0qau8uk/94126261 (2026) #milf #bigtits #bigass #blowjob #RIPNSFW</v>
      </c>
      <c r="N768" s="2" t="s">
        <v>1462</v>
      </c>
      <c r="O768" s="30" t="s">
        <v>3901</v>
      </c>
      <c r="P768" s="26"/>
      <c r="R768" s="23"/>
    </row>
    <row r="769" spans="1:27" ht="12.75">
      <c r="A769" s="16" t="s">
        <v>3902</v>
      </c>
      <c r="B769" s="11" t="s">
        <v>14</v>
      </c>
      <c r="C769" s="13" t="str">
        <f t="shared" si="12"/>
        <v xml:space="preserve">Indica Flower </v>
      </c>
      <c r="D769" s="17" t="s">
        <v>3903</v>
      </c>
      <c r="E769" s="18" t="s">
        <v>3904</v>
      </c>
      <c r="F769" s="9" t="str">
        <f ca="1">IFERROR(__xludf.DUMMYFUNCTION("""https://streamtape.com/v/""&amp;
REGEXEXTRACT(O769,""/thumb/([^/]+)/"")&amp;
""/""&amp;K769"),"https://streamtape.com/v/9jLABaLgAgIybJ/97821652")</f>
        <v>https://streamtape.com/v/9jLABaLgAgIybJ/97821652</v>
      </c>
      <c r="G769" s="19" t="e">
        <f t="shared" ca="1" si="13"/>
        <v>#NAME?</v>
      </c>
      <c r="H769" s="11" t="str">
        <f ca="1">IFERROR(__xludf.DUMMYFUNCTION("IFERROR(SUBSTITUTE(SUBSTITUTE(REGEXEXTRACT(A769, ""[^-]+- [^-]+- [^-]+ - (.+?)\.jpg""), "".jpg"", """"), ""-"", "", ""), """")"),"")</f>
        <v/>
      </c>
      <c r="I769" s="11"/>
      <c r="J769" s="13" t="str">
        <f t="shared" ca="1" si="14"/>
        <v>(2026)</v>
      </c>
      <c r="K769" s="13" t="str">
        <f t="shared" si="15"/>
        <v>97821652</v>
      </c>
      <c r="L769" s="16" t="s">
        <v>1711</v>
      </c>
      <c r="M769" s="13" t="str">
        <f ca="1">IFERROR(__xludf.DUMMYFUNCTION("TRIM(
  REGEXREPLACE(
    TEXTJOIN("" "",
      TRUE,
      B769,
      C769,
      embaralharLinks(E769,F769,G769),
      H769,
      """",
      J769,
      N769,
      ""#RIPNSFW""
    ),
  "",\s*"", "" "")
)"),"{New} Indica Flower https://doodstream.com/d/doxbl254fwfl/97821652 https://streamtape.com/v/9jLABaLgAgIybJ/97821652 https://lulustream.com/d/4j6z4gujyoez (2026) #milf #bigass #bigtits #blowjob #RIPNSFW")</f>
        <v>{New} Indica Flower https://doodstream.com/d/doxbl254fwfl/97821652 https://streamtape.com/v/9jLABaLgAgIybJ/97821652 https://lulustream.com/d/4j6z4gujyoez (2026) #milf #bigass #bigtits #blowjob #RIPNSFW</v>
      </c>
      <c r="N769" s="20" t="s">
        <v>1711</v>
      </c>
      <c r="O769" s="30" t="s">
        <v>3905</v>
      </c>
      <c r="P769" s="22"/>
      <c r="Q769" s="16"/>
      <c r="R769" s="23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75">
      <c r="A770" s="12" t="s">
        <v>3906</v>
      </c>
      <c r="B770" s="6" t="s">
        <v>14</v>
      </c>
      <c r="C770" s="7" t="str">
        <f t="shared" si="12"/>
        <v xml:space="preserve">Irisxjase </v>
      </c>
      <c r="D770" s="27" t="s">
        <v>3907</v>
      </c>
      <c r="E770" s="28" t="s">
        <v>3908</v>
      </c>
      <c r="F770" s="9" t="str">
        <f ca="1">IFERROR(__xludf.DUMMYFUNCTION("""https://streamtape.com/v/""&amp;
REGEXEXTRACT(O770,""/thumb/([^/]+)/"")&amp;
""/""&amp;K770"),"https://streamtape.com/v/LYrl0Pm4LVhyJ8/87281834")</f>
        <v>https://streamtape.com/v/LYrl0Pm4LVhyJ8/87281834</v>
      </c>
      <c r="G770" s="10" t="e">
        <f t="shared" ca="1" si="13"/>
        <v>#NAME?</v>
      </c>
      <c r="H770" s="11" t="str">
        <f ca="1">IFERROR(__xludf.DUMMYFUNCTION("IFERROR(SUBSTITUTE(SUBSTITUTE(REGEXEXTRACT(A770, ""[^-]+- [^-]+- [^-]+ - (.+?)\.jpg""), "".jpg"", """"), ""-"", "", ""), """")"),"")</f>
        <v/>
      </c>
      <c r="I770" s="6"/>
      <c r="J770" s="7" t="str">
        <f t="shared" ca="1" si="14"/>
        <v>(2026)</v>
      </c>
      <c r="K770" s="7" t="str">
        <f t="shared" si="15"/>
        <v>87281834</v>
      </c>
      <c r="L770" s="12" t="s">
        <v>3909</v>
      </c>
      <c r="M770" s="13" t="str">
        <f ca="1">IFERROR(__xludf.DUMMYFUNCTION("TRIM(
  REGEXREPLACE(
    TEXTJOIN("" "",
      TRUE,
      B770,
      C770,
      embaralharLinks(E770,F770,G770),
      H770,
      """",
      J770,
      N770,
      ""#RIPNSFW""
    ),
  "",\s*"", "" "")
)"),"{New} Irisxjase https://lulustream.com/d/htc811zylvdx https://streamtape.com/v/LYrl0Pm4LVhyJ8/87281834 https://doodstream.com/d/tf3deflt8iaf/87281834 (2026) #Hardcore #Threesome #Teen #Blowjob #RIPNSFW")</f>
        <v>{New} Irisxjase https://lulustream.com/d/htc811zylvdx https://streamtape.com/v/LYrl0Pm4LVhyJ8/87281834 https://doodstream.com/d/tf3deflt8iaf/87281834 (2026) #Hardcore #Threesome #Teen #Blowjob #RIPNSFW</v>
      </c>
      <c r="N770" s="2" t="s">
        <v>3910</v>
      </c>
      <c r="O770" s="30" t="s">
        <v>3911</v>
      </c>
      <c r="P770" s="26"/>
      <c r="R770" s="23"/>
    </row>
    <row r="771" spans="1:27" ht="12.75">
      <c r="A771" s="12" t="s">
        <v>3912</v>
      </c>
      <c r="B771" s="6" t="s">
        <v>14</v>
      </c>
      <c r="C771" s="7" t="str">
        <f t="shared" si="12"/>
        <v xml:space="preserve">Ivy Lebelle </v>
      </c>
      <c r="D771" s="24" t="s">
        <v>3913</v>
      </c>
      <c r="E771" s="25" t="s">
        <v>3914</v>
      </c>
      <c r="F771" s="9" t="str">
        <f ca="1">IFERROR(__xludf.DUMMYFUNCTION("""https://streamtape.com/v/""&amp;
REGEXEXTRACT(O771,""/thumb/([^/]+)/"")&amp;
""/""&amp;K771"),"https://streamtape.com/v/dRyyw9jZ29ikq2x/22706899")</f>
        <v>https://streamtape.com/v/dRyyw9jZ29ikq2x/22706899</v>
      </c>
      <c r="G771" s="10" t="e">
        <f t="shared" ca="1" si="13"/>
        <v>#NAME?</v>
      </c>
      <c r="H771" s="11" t="str">
        <f ca="1">IFERROR(__xludf.DUMMYFUNCTION("IFERROR(SUBSTITUTE(SUBSTITUTE(REGEXEXTRACT(A771, ""[^-]+- [^-]+- [^-]+ - (.+?)\.jpg""), "".jpg"", """"), ""-"", "", ""), """")"),"")</f>
        <v/>
      </c>
      <c r="I771" s="6"/>
      <c r="J771" s="7" t="str">
        <f t="shared" ca="1" si="14"/>
        <v>(2026)</v>
      </c>
      <c r="K771" s="7" t="str">
        <f t="shared" si="15"/>
        <v>22706899</v>
      </c>
      <c r="L771" s="12" t="s">
        <v>1711</v>
      </c>
      <c r="M771" s="13" t="str">
        <f ca="1">IFERROR(__xludf.DUMMYFUNCTION("TRIM(
  REGEXREPLACE(
    TEXTJOIN("" "",
      TRUE,
      B771,
      C771,
      embaralharLinks(E771,F771,G771),
      H771,
      """",
      J771,
      N771,
      ""#RIPNSFW""
    ),
  "",\s*"", "" "")
)"),"{New} Ivy Lebelle https://streamtape.com/v/dRyyw9jZ29ikq2x/22706899 https://doodstream.com/d/ljhgklso13k4/22706899 https://lulustream.com/d/3clmzxvfo60r (2026) #milf #bigass #bigtits #blowjob #RIPNSFW")</f>
        <v>{New} Ivy Lebelle https://streamtape.com/v/dRyyw9jZ29ikq2x/22706899 https://doodstream.com/d/ljhgklso13k4/22706899 https://lulustream.com/d/3clmzxvfo60r (2026) #milf #bigass #bigtits #blowjob #RIPNSFW</v>
      </c>
      <c r="N771" s="2" t="s">
        <v>1711</v>
      </c>
      <c r="O771" s="30" t="s">
        <v>3915</v>
      </c>
      <c r="P771" s="26"/>
      <c r="R771" s="23"/>
      <c r="T771" s="6"/>
      <c r="U771" s="7"/>
    </row>
    <row r="772" spans="1:27" ht="12.75">
      <c r="A772" s="12" t="s">
        <v>3916</v>
      </c>
      <c r="B772" s="6" t="s">
        <v>14</v>
      </c>
      <c r="C772" s="7" t="str">
        <f t="shared" si="12"/>
        <v xml:space="preserve">Ivy Lebelle </v>
      </c>
      <c r="D772" s="27" t="s">
        <v>3917</v>
      </c>
      <c r="E772" s="28" t="s">
        <v>3918</v>
      </c>
      <c r="F772" s="9" t="str">
        <f ca="1">IFERROR(__xludf.DUMMYFUNCTION("""https://streamtape.com/v/""&amp;
REGEXEXTRACT(O772,""/thumb/([^/]+)/"")&amp;
""/""&amp;K772"),"https://streamtape.com/v/17VmwYkxo3SeOLx/30820563")</f>
        <v>https://streamtape.com/v/17VmwYkxo3SeOLx/30820563</v>
      </c>
      <c r="G772" s="10" t="e">
        <f t="shared" ca="1" si="13"/>
        <v>#NAME?</v>
      </c>
      <c r="H772" s="11" t="str">
        <f ca="1">IFERROR(__xludf.DUMMYFUNCTION("IFERROR(SUBSTITUTE(SUBSTITUTE(REGEXEXTRACT(A772, ""[^-]+- [^-]+- [^-]+ - (.+?)\.jpg""), "".jpg"", """"), ""-"", "", ""), """")"),"")</f>
        <v/>
      </c>
      <c r="I772" s="6"/>
      <c r="J772" s="7" t="str">
        <f t="shared" ca="1" si="14"/>
        <v>(2026)</v>
      </c>
      <c r="K772" s="7" t="str">
        <f t="shared" si="15"/>
        <v>30820563</v>
      </c>
      <c r="L772" s="12" t="s">
        <v>71</v>
      </c>
      <c r="M772" s="13" t="str">
        <f ca="1">IFERROR(__xludf.DUMMYFUNCTION("TRIM(
  REGEXREPLACE(
    TEXTJOIN("" "",
      TRUE,
      B772,
      C772,
      embaralharLinks(E772,F772,G772),
      H772,
      """",
      J772,
      N772,
      ""#RIPNSFW""
    ),
  "",\s*"", "" "")
)"),"{New} Ivy Lebelle https://lulustream.com/d/wdnz8kcedvuk https://streamtape.com/v/17VmwYkxo3SeOLx/30820563 https://doodstream.com/d/w6m9q68zuizh/30820563 (2026) #Anal #MILF #BigTits #Hardcore #RIPNSFW")</f>
        <v>{New} Ivy Lebelle https://lulustream.com/d/wdnz8kcedvuk https://streamtape.com/v/17VmwYkxo3SeOLx/30820563 https://doodstream.com/d/w6m9q68zuizh/30820563 (2026) #Anal #MILF #BigTits #Hardcore #RIPNSFW</v>
      </c>
      <c r="N772" s="2" t="s">
        <v>72</v>
      </c>
      <c r="O772" s="30" t="s">
        <v>3919</v>
      </c>
      <c r="P772" s="26"/>
      <c r="R772" s="23"/>
    </row>
    <row r="773" spans="1:27" ht="12.75">
      <c r="A773" s="12" t="s">
        <v>3920</v>
      </c>
      <c r="B773" s="6" t="s">
        <v>14</v>
      </c>
      <c r="C773" s="7" t="str">
        <f t="shared" si="12"/>
        <v xml:space="preserve">Ivy Lebelle </v>
      </c>
      <c r="D773" s="36" t="s">
        <v>3921</v>
      </c>
      <c r="E773" s="25" t="s">
        <v>3922</v>
      </c>
      <c r="F773" s="9" t="str">
        <f ca="1">IFERROR(__xludf.DUMMYFUNCTION("""https://streamtape.com/v/""&amp;
REGEXEXTRACT(O773,""/thumb/([^/]+)/"")&amp;
""/""&amp;K773"),"https://streamtape.com/v/bkjr6D4VGqSPkML/42093081")</f>
        <v>https://streamtape.com/v/bkjr6D4VGqSPkML/42093081</v>
      </c>
      <c r="G773" s="10" t="e">
        <f t="shared" ca="1" si="13"/>
        <v>#NAME?</v>
      </c>
      <c r="H773" s="11" t="str">
        <f ca="1">IFERROR(__xludf.DUMMYFUNCTION("IFERROR(SUBSTITUTE(SUBSTITUTE(REGEXEXTRACT(A773, ""[^-]+- [^-]+- [^-]+ - (.+?)\.jpg""), "".jpg"", """"), ""-"", "", ""), """")"),"")</f>
        <v/>
      </c>
      <c r="I773" s="6"/>
      <c r="J773" s="7" t="str">
        <f t="shared" ca="1" si="14"/>
        <v>(2026)</v>
      </c>
      <c r="K773" s="7" t="str">
        <f t="shared" si="15"/>
        <v>42093081</v>
      </c>
      <c r="L773" s="12" t="s">
        <v>3923</v>
      </c>
      <c r="M773" s="13" t="str">
        <f ca="1">IFERROR(__xludf.DUMMYFUNCTION("TRIM(
  REGEXREPLACE(
    TEXTJOIN("" "",
      TRUE,
      B773,
      C773,
      embaralharLinks(E773,F773,G773),
      H773,
      """",
      J773,
      N773,
      ""#RIPNSFW""
    ),
  "",\s*"", "" "")
)"),"{New} Ivy Lebelle https://lulustream.com/d/fvbprlazjetg https://streamtape.com/v/bkjr6D4VGqSPkML/42093081 https://doodstream.com/d/p7ypucc7c8qe/42093081 (2026) #doublepenetration #anal #milf #bigtits #RIPNSFW")</f>
        <v>{New} Ivy Lebelle https://lulustream.com/d/fvbprlazjetg https://streamtape.com/v/bkjr6D4VGqSPkML/42093081 https://doodstream.com/d/p7ypucc7c8qe/42093081 (2026) #doublepenetration #anal #milf #bigtits #RIPNSFW</v>
      </c>
      <c r="N773" s="2" t="s">
        <v>3923</v>
      </c>
      <c r="O773" s="30" t="s">
        <v>3924</v>
      </c>
      <c r="P773" s="26"/>
      <c r="R773" s="23"/>
      <c r="T773" s="6"/>
      <c r="U773" s="7"/>
    </row>
    <row r="774" spans="1:27" ht="12.75">
      <c r="A774" s="12" t="s">
        <v>3925</v>
      </c>
      <c r="B774" s="6" t="s">
        <v>14</v>
      </c>
      <c r="C774" s="7" t="str">
        <f t="shared" si="12"/>
        <v xml:space="preserve">Ivy Lebelle </v>
      </c>
      <c r="D774" s="24" t="s">
        <v>3926</v>
      </c>
      <c r="E774" s="25" t="s">
        <v>3927</v>
      </c>
      <c r="F774" s="9" t="str">
        <f ca="1">IFERROR(__xludf.DUMMYFUNCTION("""https://streamtape.com/v/""&amp;
REGEXEXTRACT(O774,""/thumb/([^/]+)/"")&amp;
""/""&amp;K774"),"https://streamtape.com/v/OdrORGKPAls7b6/99143196")</f>
        <v>https://streamtape.com/v/OdrORGKPAls7b6/99143196</v>
      </c>
      <c r="G774" s="10" t="e">
        <f t="shared" ca="1" si="13"/>
        <v>#NAME?</v>
      </c>
      <c r="H774" s="11" t="str">
        <f ca="1">IFERROR(__xludf.DUMMYFUNCTION("IFERROR(SUBSTITUTE(SUBSTITUTE(REGEXEXTRACT(A774, ""[^-]+- [^-]+- [^-]+ - (.+?)\.jpg""), "".jpg"", """"), ""-"", "", ""), """")"),"")</f>
        <v/>
      </c>
      <c r="I774" s="6"/>
      <c r="J774" s="7" t="str">
        <f t="shared" ca="1" si="14"/>
        <v>(2026)</v>
      </c>
      <c r="K774" s="7" t="str">
        <f t="shared" si="15"/>
        <v>99143196</v>
      </c>
      <c r="L774" s="12" t="s">
        <v>3928</v>
      </c>
      <c r="M774" s="13" t="str">
        <f ca="1">IFERROR(__xludf.DUMMYFUNCTION("TRIM(
  REGEXREPLACE(
    TEXTJOIN("" "",
      TRUE,
      B774,
      C774,
      embaralharLinks(E774,F774,G774),
      H774,
      """",
      J774,
      N774,
      ""#RIPNSFW""
    ),
  "",\s*"", "" "")
)"),"{New} Ivy Lebelle https://streamtape.com/v/OdrORGKPAls7b6/99143196 https://lulustream.com/d/csmobz2ink0c https://doodstream.com/d/3r18oimpe194/99143196 (2026) #bigtits #milf #hardcore #black #RIPNSFW")</f>
        <v>{New} Ivy Lebelle https://streamtape.com/v/OdrORGKPAls7b6/99143196 https://lulustream.com/d/csmobz2ink0c https://doodstream.com/d/3r18oimpe194/99143196 (2026) #bigtits #milf #hardcore #black #RIPNSFW</v>
      </c>
      <c r="N774" s="2" t="s">
        <v>3928</v>
      </c>
      <c r="O774" s="30" t="s">
        <v>3929</v>
      </c>
      <c r="P774" s="26"/>
      <c r="R774" s="23"/>
      <c r="T774" s="6"/>
      <c r="U774" s="7"/>
    </row>
    <row r="775" spans="1:27" ht="12.75">
      <c r="A775" s="12" t="s">
        <v>3930</v>
      </c>
      <c r="B775" s="6"/>
      <c r="C775" s="7" t="str">
        <f t="shared" si="12"/>
        <v xml:space="preserve">Izzy </v>
      </c>
      <c r="D775" s="24" t="s">
        <v>3931</v>
      </c>
      <c r="E775" s="25" t="s">
        <v>3932</v>
      </c>
      <c r="F775" s="9" t="str">
        <f ca="1">IFERROR(__xludf.DUMMYFUNCTION("""https://streamtape.com/v/""&amp;
REGEXEXTRACT(O775,""/thumb/([^/]+)/"")&amp;
""/""&amp;K775"),"https://streamtape.com/v/gVwYQAg3A3uq07J/68912986")</f>
        <v>https://streamtape.com/v/gVwYQAg3A3uq07J/68912986</v>
      </c>
      <c r="G775" s="10" t="e">
        <f t="shared" ca="1" si="13"/>
        <v>#NAME?</v>
      </c>
      <c r="H775" s="11" t="str">
        <f ca="1">IFERROR(__xludf.DUMMYFUNCTION("IFERROR(SUBSTITUTE(SUBSTITUTE(REGEXEXTRACT(A775, ""[^-]+- [^-]+- [^-]+ - (.+?)\.jpg""), "".jpg"", """"), ""-"", "", ""), """")"),"")</f>
        <v/>
      </c>
      <c r="I775" s="6"/>
      <c r="J775" s="7" t="str">
        <f t="shared" ca="1" si="14"/>
        <v/>
      </c>
      <c r="K775" s="7" t="str">
        <f t="shared" si="15"/>
        <v>68912986</v>
      </c>
      <c r="L775" s="12" t="s">
        <v>2939</v>
      </c>
      <c r="M775" s="13" t="str">
        <f ca="1">IFERROR(__xludf.DUMMYFUNCTION("TRIM(
  REGEXREPLACE(
    TEXTJOIN("" "",
      TRUE,
      B775,
      C775,
      embaralharLinks(E775,F775,G775),
      H775,
      """",
      J775,
      N775,
      ""#RIPNSFW""
    ),
  "",\s*"", "" "")
)"),"Izzy https://streamtape.com/v/gVwYQAg3A3uq07J/68912986 https://doodstream.com/d/l2rvikni8ujl/68912986 https://lulustream.com/d/qygkj6ehqos8 #teen #casting #blowjob #blonde #RIPNSFW")</f>
        <v>Izzy https://streamtape.com/v/gVwYQAg3A3uq07J/68912986 https://doodstream.com/d/l2rvikni8ujl/68912986 https://lulustream.com/d/qygkj6ehqos8 #teen #casting #blowjob #blonde #RIPNSFW</v>
      </c>
      <c r="N775" s="2" t="s">
        <v>2939</v>
      </c>
      <c r="O775" s="30" t="s">
        <v>3933</v>
      </c>
      <c r="P775" s="26"/>
      <c r="R775" s="23"/>
      <c r="T775" s="6"/>
      <c r="U775" s="7"/>
    </row>
    <row r="776" spans="1:27" ht="12.75">
      <c r="A776" s="12" t="s">
        <v>3934</v>
      </c>
      <c r="B776" s="6" t="s">
        <v>14</v>
      </c>
      <c r="C776" s="7" t="str">
        <f t="shared" si="12"/>
        <v xml:space="preserve">JackandJill </v>
      </c>
      <c r="D776" s="24" t="s">
        <v>3935</v>
      </c>
      <c r="E776" s="25" t="s">
        <v>3936</v>
      </c>
      <c r="F776" s="9" t="str">
        <f ca="1">IFERROR(__xludf.DUMMYFUNCTION("""https://streamtape.com/v/""&amp;
REGEXEXTRACT(O776,""/thumb/([^/]+)/"")&amp;
""/""&amp;K776"),"https://streamtape.com/v/BkXe6v2BG1I97v/30452349")</f>
        <v>https://streamtape.com/v/BkXe6v2BG1I97v/30452349</v>
      </c>
      <c r="G776" s="10" t="e">
        <f t="shared" ca="1" si="13"/>
        <v>#NAME?</v>
      </c>
      <c r="H776" s="11" t="str">
        <f ca="1">IFERROR(__xludf.DUMMYFUNCTION("IFERROR(SUBSTITUTE(SUBSTITUTE(REGEXEXTRACT(A776, ""[^-]+- [^-]+- [^-]+ - (.+?)\.jpg""), "".jpg"", """"), ""-"", "", ""), """")"),"Olivia Madison ,  Vivi Vicious")</f>
        <v>Olivia Madison ,  Vivi Vicious</v>
      </c>
      <c r="I776" s="6"/>
      <c r="J776" s="7" t="str">
        <f t="shared" ca="1" si="14"/>
        <v>(2026)</v>
      </c>
      <c r="K776" s="7" t="str">
        <f t="shared" si="15"/>
        <v>30452349</v>
      </c>
      <c r="L776" s="12" t="s">
        <v>3937</v>
      </c>
      <c r="M776" s="13" t="str">
        <f ca="1">IFERROR(__xludf.DUMMYFUNCTION("TRIM(
  REGEXREPLACE(
    TEXTJOIN("" "",
      TRUE,
      B776,
      C776,
      embaralharLinks(E776,F776,G776),
      H776,
      """",
      J776,
      N776,
      ""#RIPNSFW""
    ),
  "",\s*"", "" "")
)"),"{New} JackandJill https://streamtape.com/v/BkXe6v2BG1I97v/30452349 https://lulustream.com/d/sj9rk6z2qa0z https://doodstream.com/d/5395wxwmlk02/30452349 Olivia Madison Vivi Vicious (2026) #teens #threesome #brunette #blowjob #RIPNSFW")</f>
        <v>{New} JackandJill https://streamtape.com/v/BkXe6v2BG1I97v/30452349 https://lulustream.com/d/sj9rk6z2qa0z https://doodstream.com/d/5395wxwmlk02/30452349 Olivia Madison Vivi Vicious (2026) #teens #threesome #brunette #blowjob #RIPNSFW</v>
      </c>
      <c r="N776" s="2" t="s">
        <v>3937</v>
      </c>
      <c r="O776" s="30" t="s">
        <v>3938</v>
      </c>
      <c r="P776" s="26"/>
      <c r="R776" s="23"/>
    </row>
    <row r="777" spans="1:27" ht="12.75">
      <c r="A777" s="6" t="s">
        <v>3939</v>
      </c>
      <c r="B777" s="6" t="s">
        <v>14</v>
      </c>
      <c r="C777" s="7" t="str">
        <f t="shared" si="12"/>
        <v xml:space="preserve">JackandJill </v>
      </c>
      <c r="D777" s="6" t="s">
        <v>3940</v>
      </c>
      <c r="E777" s="8" t="s">
        <v>3941</v>
      </c>
      <c r="F777" s="9" t="str">
        <f ca="1">IFERROR(__xludf.DUMMYFUNCTION("""https://streamtape.com/v/""&amp;
REGEXEXTRACT(O777,""/thumb/([^/]+)/"")&amp;
""/""&amp;K777"),"https://streamtape.com/v/Gp36w1qMwZhYQM/34651195")</f>
        <v>https://streamtape.com/v/Gp36w1qMwZhYQM/34651195</v>
      </c>
      <c r="G777" s="10" t="e">
        <f t="shared" ca="1" si="13"/>
        <v>#NAME?</v>
      </c>
      <c r="H777" s="11" t="str">
        <f ca="1">IFERROR(__xludf.DUMMYFUNCTION("IFERROR(SUBSTITUTE(SUBSTITUTE(REGEXEXTRACT(A777, ""[^-]+- [^-]+- [^-]+ - (.+?)\.jpg""), "".jpg"", """"), ""-"", "", ""), """")"),"Luna Luxe")</f>
        <v>Luna Luxe</v>
      </c>
      <c r="I777" s="6"/>
      <c r="J777" s="7" t="str">
        <f t="shared" ca="1" si="14"/>
        <v>(2026)</v>
      </c>
      <c r="K777" s="7" t="str">
        <f t="shared" si="15"/>
        <v>34651195</v>
      </c>
      <c r="L777" s="12" t="s">
        <v>3942</v>
      </c>
      <c r="M777" s="13" t="str">
        <f ca="1">IFERROR(__xludf.DUMMYFUNCTION("TRIM(
  REGEXREPLACE(
    TEXTJOIN("" "",
      TRUE,
      B777,
      C777,
      embaralharLinks(E777,F777,G777),
      H777,
      """",
      J777,
      N777,
      ""#RIPNSFW""
    ),
  "",\s*"", "" "")
)"),"{New} JackandJill https://doodstream.com/d/n3qemlx9orhw/34651195 https://lulustream.com/d/75rchft27mqp https://streamtape.com/v/Gp36w1qMwZhYQM/34651195 Luna Luxe (2026) #MILF #BigTits #Creampie #Hardcore #RIPNSFW")</f>
        <v>{New} JackandJill https://doodstream.com/d/n3qemlx9orhw/34651195 https://lulustream.com/d/75rchft27mqp https://streamtape.com/v/Gp36w1qMwZhYQM/34651195 Luna Luxe (2026) #MILF #BigTits #Creampie #Hardcore #RIPNSFW</v>
      </c>
      <c r="N777" s="14" t="s">
        <v>474</v>
      </c>
      <c r="O777" s="15" t="s">
        <v>3943</v>
      </c>
      <c r="P777" s="14"/>
      <c r="Q777" s="6"/>
      <c r="R777" s="11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>
      <c r="A778" s="12" t="s">
        <v>3944</v>
      </c>
      <c r="B778" s="6" t="s">
        <v>14</v>
      </c>
      <c r="C778" s="7" t="str">
        <f t="shared" si="12"/>
        <v xml:space="preserve">JackandJill </v>
      </c>
      <c r="D778" s="24" t="s">
        <v>3945</v>
      </c>
      <c r="E778" s="25" t="s">
        <v>3946</v>
      </c>
      <c r="F778" s="9" t="str">
        <f ca="1">IFERROR(__xludf.DUMMYFUNCTION("""https://streamtape.com/v/""&amp;
REGEXEXTRACT(O778,""/thumb/([^/]+)/"")&amp;
""/""&amp;K778"),"https://streamtape.com/v/7daVdxoBZ0FAZj8/42997212")</f>
        <v>https://streamtape.com/v/7daVdxoBZ0FAZj8/42997212</v>
      </c>
      <c r="G778" s="10" t="e">
        <f t="shared" ca="1" si="13"/>
        <v>#NAME?</v>
      </c>
      <c r="H778" s="11" t="str">
        <f ca="1">IFERROR(__xludf.DUMMYFUNCTION("IFERROR(SUBSTITUTE(SUBSTITUTE(REGEXEXTRACT(A778, ""[^-]+- [^-]+- [^-]+ - (.+?)\.jpg""), "".jpg"", """"), ""-"", "", ""), """")"),"")</f>
        <v/>
      </c>
      <c r="I778" s="6"/>
      <c r="J778" s="7" t="str">
        <f t="shared" ca="1" si="14"/>
        <v>(2026)</v>
      </c>
      <c r="K778" s="7" t="str">
        <f t="shared" si="15"/>
        <v>42997212</v>
      </c>
      <c r="L778" s="12" t="s">
        <v>3947</v>
      </c>
      <c r="M778" s="13" t="str">
        <f ca="1">IFERROR(__xludf.DUMMYFUNCTION("TRIM(
  REGEXREPLACE(
    TEXTJOIN("" "",
      TRUE,
      B778,
      C778,
      embaralharLinks(E778,F778,G778),
      H778,
      """",
      J778,
      N778,
      ""#RIPNSFW""
    ),
  "",\s*"", "" "")
)"),"{New} JackandJill https://lulustream.com/d/qolyevomkv2x https://streamtape.com/v/7daVdxoBZ0FAZj8/42997212 https://doodstream.com/d/39tmezrej4mb/42997212 (2026) #porn #teen #blowjob #teens #RIPNSFW")</f>
        <v>{New} JackandJill https://lulustream.com/d/qolyevomkv2x https://streamtape.com/v/7daVdxoBZ0FAZj8/42997212 https://doodstream.com/d/39tmezrej4mb/42997212 (2026) #porn #teen #blowjob #teens #RIPNSFW</v>
      </c>
      <c r="N778" s="2" t="s">
        <v>3947</v>
      </c>
      <c r="O778" s="30" t="s">
        <v>3948</v>
      </c>
      <c r="P778" s="26"/>
      <c r="R778" s="23"/>
      <c r="T778" s="6"/>
      <c r="U778" s="7"/>
    </row>
    <row r="779" spans="1:27" ht="12.75">
      <c r="A779" s="12" t="s">
        <v>3949</v>
      </c>
      <c r="B779" s="6" t="s">
        <v>14</v>
      </c>
      <c r="C779" s="7" t="str">
        <f t="shared" si="12"/>
        <v xml:space="preserve">JackandJill </v>
      </c>
      <c r="D779" s="24" t="s">
        <v>3950</v>
      </c>
      <c r="E779" s="25" t="s">
        <v>3951</v>
      </c>
      <c r="F779" s="9" t="str">
        <f ca="1">IFERROR(__xludf.DUMMYFUNCTION("""https://streamtape.com/v/""&amp;
REGEXEXTRACT(O779,""/thumb/([^/]+)/"")&amp;
""/""&amp;K779"),"https://streamtape.com/v/wZjxY0vagWuJdMa/47820545")</f>
        <v>https://streamtape.com/v/wZjxY0vagWuJdMa/47820545</v>
      </c>
      <c r="G779" s="10" t="e">
        <f t="shared" ca="1" si="13"/>
        <v>#NAME?</v>
      </c>
      <c r="H779" s="11" t="str">
        <f ca="1">IFERROR(__xludf.DUMMYFUNCTION("IFERROR(SUBSTITUTE(SUBSTITUTE(REGEXEXTRACT(A779, ""[^-]+- [^-]+- [^-]+ - (.+?)\.jpg""), "".jpg"", """"), ""-"", "", ""), """")"),"Sami Hayes ,  BadBarbiePriv")</f>
        <v>Sami Hayes ,  BadBarbiePriv</v>
      </c>
      <c r="I779" s="6"/>
      <c r="J779" s="7" t="str">
        <f t="shared" ca="1" si="14"/>
        <v>(2026)</v>
      </c>
      <c r="K779" s="7" t="str">
        <f t="shared" si="15"/>
        <v>47820545</v>
      </c>
      <c r="L779" s="12" t="s">
        <v>3952</v>
      </c>
      <c r="M779" s="13" t="str">
        <f ca="1">IFERROR(__xludf.DUMMYFUNCTION("TRIM(
  REGEXREPLACE(
    TEXTJOIN("" "",
      TRUE,
      B779,
      C779,
      embaralharLinks(E779,F779,G779),
      H779,
      """",
      J779,
      N779,
      ""#RIPNSFW""
    ),
  "",\s*"", "" "")
)"),"{New} JackandJill https://streamtape.com/v/wZjxY0vagWuJdMa/47820545 https://doodstream.com/d/j06qqm21ncjx/47820545 https://lulustream.com/d/fujywz3q2tjr Sami Hayes BadBarbiePriv (2026) #foursome #bigtits #bigass #teens #RIPNSFW")</f>
        <v>{New} JackandJill https://streamtape.com/v/wZjxY0vagWuJdMa/47820545 https://doodstream.com/d/j06qqm21ncjx/47820545 https://lulustream.com/d/fujywz3q2tjr Sami Hayes BadBarbiePriv (2026) #foursome #bigtits #bigass #teens #RIPNSFW</v>
      </c>
      <c r="N779" s="2" t="s">
        <v>3952</v>
      </c>
      <c r="O779" s="30" t="s">
        <v>3953</v>
      </c>
      <c r="P779" s="26"/>
      <c r="R779" s="23"/>
    </row>
    <row r="780" spans="1:27" ht="12.75">
      <c r="A780" s="6" t="s">
        <v>3954</v>
      </c>
      <c r="B780" s="6" t="s">
        <v>14</v>
      </c>
      <c r="C780" s="7" t="str">
        <f t="shared" si="12"/>
        <v xml:space="preserve">JackandJill </v>
      </c>
      <c r="D780" s="6" t="s">
        <v>3955</v>
      </c>
      <c r="E780" s="8" t="s">
        <v>3956</v>
      </c>
      <c r="F780" s="9" t="str">
        <f ca="1">IFERROR(__xludf.DUMMYFUNCTION("""https://streamtape.com/v/""&amp;
REGEXEXTRACT(O780,""/thumb/([^/]+)/"")&amp;
""/""&amp;K780"),"https://streamtape.com/v/mY4yeZvO2PfbA70/89492404")</f>
        <v>https://streamtape.com/v/mY4yeZvO2PfbA70/89492404</v>
      </c>
      <c r="G780" s="10" t="e">
        <f t="shared" ca="1" si="13"/>
        <v>#NAME?</v>
      </c>
      <c r="H780" s="11" t="str">
        <f ca="1">IFERROR(__xludf.DUMMYFUNCTION("IFERROR(SUBSTITUTE(SUBSTITUTE(REGEXEXTRACT(A780, ""[^-]+- [^-]+- [^-]+ - (.+?)\.jpg""), "".jpg"", """"), ""-"", "", ""), """")"),"")</f>
        <v/>
      </c>
      <c r="I780" s="6"/>
      <c r="J780" s="7" t="str">
        <f t="shared" ca="1" si="14"/>
        <v>(2026)</v>
      </c>
      <c r="K780" s="7" t="str">
        <f t="shared" si="15"/>
        <v>89492404</v>
      </c>
      <c r="L780" s="12" t="s">
        <v>3957</v>
      </c>
      <c r="M780" s="13" t="str">
        <f ca="1">IFERROR(__xludf.DUMMYFUNCTION("TRIM(
  REGEXREPLACE(
    TEXTJOIN("" "",
      TRUE,
      B780,
      C780,
      embaralharLinks(E780,F780,G780),
      H780,
      """",
      J780,
      N780,
      ""#RIPNSFW""
    ),
  "",\s*"", "" "")
)"),"{New} JackandJill https://streamtape.com/v/mY4yeZvO2PfbA70/89492404 https://lulustream.com/d/j387tsu5oz0s https://doodstream.com/d/jubiyhqengcm/89492404 (2026) #MILF #BigTits #Creampie #Hardcore #RIPNSFW")</f>
        <v>{New} JackandJill https://streamtape.com/v/mY4yeZvO2PfbA70/89492404 https://lulustream.com/d/j387tsu5oz0s https://doodstream.com/d/jubiyhqengcm/89492404 (2026) #MILF #BigTits #Creampie #Hardcore #RIPNSFW</v>
      </c>
      <c r="N780" s="14" t="s">
        <v>474</v>
      </c>
      <c r="O780" s="15" t="s">
        <v>3958</v>
      </c>
      <c r="P780" s="14"/>
      <c r="Q780" s="6"/>
      <c r="R780" s="11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>
      <c r="A781" s="6" t="s">
        <v>3959</v>
      </c>
      <c r="B781" s="6" t="s">
        <v>14</v>
      </c>
      <c r="C781" s="7" t="str">
        <f t="shared" si="12"/>
        <v xml:space="preserve">JadeTeen </v>
      </c>
      <c r="D781" s="6" t="s">
        <v>3960</v>
      </c>
      <c r="E781" s="8" t="s">
        <v>3961</v>
      </c>
      <c r="F781" s="9" t="str">
        <f ca="1">IFERROR(__xludf.DUMMYFUNCTION("""https://streamtape.com/v/""&amp;
REGEXEXTRACT(O781,""/thumb/([^/]+)/"")&amp;
""/""&amp;K781"),"https://streamtape.com/v/OkJqvK2XoOHZRpW/12508665")</f>
        <v>https://streamtape.com/v/OkJqvK2XoOHZRpW/12508665</v>
      </c>
      <c r="G781" s="10" t="e">
        <f t="shared" ca="1" si="13"/>
        <v>#NAME?</v>
      </c>
      <c r="H781" s="11" t="str">
        <f ca="1">IFERROR(__xludf.DUMMYFUNCTION("IFERROR(SUBSTITUTE(SUBSTITUTE(REGEXEXTRACT(A781, ""[^-]+- [^-]+- [^-]+ - (.+?)\.jpg""), "".jpg"", """"), ""-"", "", ""), """")"),"Lena the plug")</f>
        <v>Lena the plug</v>
      </c>
      <c r="I781" s="6"/>
      <c r="J781" s="7" t="str">
        <f t="shared" ca="1" si="14"/>
        <v>(2026)</v>
      </c>
      <c r="K781" s="7" t="str">
        <f t="shared" si="15"/>
        <v>12508665</v>
      </c>
      <c r="L781" s="12" t="s">
        <v>23</v>
      </c>
      <c r="M781" s="13" t="str">
        <f ca="1">IFERROR(__xludf.DUMMYFUNCTION("TRIM(
  REGEXREPLACE(
    TEXTJOIN("" "",
      TRUE,
      B781,
      C781,
      embaralharLinks(E781,F781,G781),
      H781,
      """",
      J781,
      N781,
      ""#RIPNSFW""
    ),
  "",\s*"", "" "")
)"),"{New} JadeTeen https://lulustream.com/d/qsz82p94rszv https://streamtape.com/v/OkJqvK2XoOHZRpW/12508665 https://doodstream.com/d/fdkom49rkcz9/12508665 Lena the plug (2026) #BigTits #Creampie #Hardcore #Bigass #Teen #Blowjob #RIPNSFW")</f>
        <v>{New} JadeTeen https://lulustream.com/d/qsz82p94rszv https://streamtape.com/v/OkJqvK2XoOHZRpW/12508665 https://doodstream.com/d/fdkom49rkcz9/12508665 Lena the plug (2026) #BigTits #Creampie #Hardcore #Bigass #Teen #Blowjob #RIPNSFW</v>
      </c>
      <c r="N781" s="14" t="s">
        <v>24</v>
      </c>
      <c r="O781" s="15" t="s">
        <v>3962</v>
      </c>
      <c r="P781" s="14"/>
      <c r="Q781" s="6"/>
      <c r="R781" s="11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>
      <c r="A782" s="12" t="s">
        <v>3963</v>
      </c>
      <c r="B782" s="6" t="s">
        <v>14</v>
      </c>
      <c r="C782" s="7" t="str">
        <f t="shared" si="12"/>
        <v xml:space="preserve">JadeTeen </v>
      </c>
      <c r="D782" s="24" t="s">
        <v>3964</v>
      </c>
      <c r="E782" s="25" t="s">
        <v>3965</v>
      </c>
      <c r="F782" s="9" t="str">
        <f ca="1">IFERROR(__xludf.DUMMYFUNCTION("""https://streamtape.com/v/""&amp;
REGEXEXTRACT(O782,""/thumb/([^/]+)/"")&amp;
""/""&amp;K782"),"https://streamtape.com/v/eVlLzmGvYPuYv3b/83448182")</f>
        <v>https://streamtape.com/v/eVlLzmGvYPuYv3b/83448182</v>
      </c>
      <c r="G782" s="10" t="e">
        <f t="shared" ca="1" si="13"/>
        <v>#NAME?</v>
      </c>
      <c r="H782" s="11" t="str">
        <f ca="1">IFERROR(__xludf.DUMMYFUNCTION("IFERROR(SUBSTITUTE(SUBSTITUTE(REGEXEXTRACT(A782, ""[^-]+- [^-]+- [^-]+ - (.+?)\.jpg""), "".jpg"", """"), ""-"", "", ""), """")"),"")</f>
        <v/>
      </c>
      <c r="I782" s="6"/>
      <c r="J782" s="7" t="str">
        <f t="shared" ca="1" si="14"/>
        <v>(2026)</v>
      </c>
      <c r="K782" s="7" t="str">
        <f t="shared" si="15"/>
        <v>83448182</v>
      </c>
      <c r="L782" s="12" t="s">
        <v>3966</v>
      </c>
      <c r="M782" s="13" t="str">
        <f ca="1">IFERROR(__xludf.DUMMYFUNCTION("TRIM(
  REGEXREPLACE(
    TEXTJOIN("" "",
      TRUE,
      B782,
      C782,
      embaralharLinks(E782,F782,G782),
      H782,
      """",
      J782,
      N782,
      ""#RIPNSFW""
    ),
  "",\s*"", "" "")
)"),"{New} JadeTeen https://lulustream.com/d/nv2k4o1tc98e https://doodstream.com/d/i2nzt7p3scx8/83448182 https://streamtape.com/v/eVlLzmGvYPuYv3b/83448182 (2026) #creampie #teen #bigtits #blowjob #RIPNSFW")</f>
        <v>{New} JadeTeen https://lulustream.com/d/nv2k4o1tc98e https://doodstream.com/d/i2nzt7p3scx8/83448182 https://streamtape.com/v/eVlLzmGvYPuYv3b/83448182 (2026) #creampie #teen #bigtits #blowjob #RIPNSFW</v>
      </c>
      <c r="N782" s="2" t="s">
        <v>3966</v>
      </c>
      <c r="O782" s="30" t="s">
        <v>3967</v>
      </c>
      <c r="P782" s="26"/>
      <c r="R782" s="23"/>
      <c r="T782" s="6"/>
      <c r="U782" s="7"/>
    </row>
    <row r="783" spans="1:27" ht="12.75">
      <c r="A783" s="6" t="s">
        <v>3968</v>
      </c>
      <c r="B783" s="6" t="s">
        <v>14</v>
      </c>
      <c r="C783" s="7" t="str">
        <f t="shared" si="12"/>
        <v xml:space="preserve">Jamie Young </v>
      </c>
      <c r="D783" s="29" t="s">
        <v>3969</v>
      </c>
      <c r="E783" s="8" t="s">
        <v>3970</v>
      </c>
      <c r="F783" s="9" t="str">
        <f ca="1">IFERROR(__xludf.DUMMYFUNCTION("""https://streamtape.com/v/""&amp;
REGEXEXTRACT(O783,""/thumb/([^/]+)/"")&amp;
""/""&amp;K783"),"https://streamtape.com/v/pD2dZGOl9gSr3pD/43184780")</f>
        <v>https://streamtape.com/v/pD2dZGOl9gSr3pD/43184780</v>
      </c>
      <c r="G783" s="10" t="e">
        <f t="shared" ca="1" si="13"/>
        <v>#NAME?</v>
      </c>
      <c r="H783" s="11" t="str">
        <f ca="1">IFERROR(__xludf.DUMMYFUNCTION("IFERROR(SUBSTITUTE(SUBSTITUTE(REGEXEXTRACT(A783, ""[^-]+- [^-]+- [^-]+ - (.+?)\.jpg""), "".jpg"", """"), ""-"", "", ""), """")"),"")</f>
        <v/>
      </c>
      <c r="I783" s="6"/>
      <c r="J783" s="7" t="str">
        <f t="shared" ca="1" si="14"/>
        <v>(2026)</v>
      </c>
      <c r="K783" s="7" t="str">
        <f t="shared" si="15"/>
        <v>43184780</v>
      </c>
      <c r="L783" s="12" t="s">
        <v>3971</v>
      </c>
      <c r="M783" s="13" t="str">
        <f ca="1">IFERROR(__xludf.DUMMYFUNCTION("TRIM(
  REGEXREPLACE(
    TEXTJOIN("" "",
      TRUE,
      B783,
      C783,
      embaralharLinks(E783,F783,G783),
      H783,
      """",
      J783,
      N783,
      ""#RIPNSFW""
    ),
  "",\s*"", "" "")
)"),"{New} Jamie Young https://lulustream.com/d/1c9ggspj6tg0 https://streamtape.com/v/pD2dZGOl9gSr3pD/43184780 https://doodstream.com/d/j52e7l55ir2l/43184780 (2026) #Hardcore #Bigass #Teen #Artporn #Blowjob #Teens #Amateur #Hotwife #RIPNSFW")</f>
        <v>{New} Jamie Young https://lulustream.com/d/1c9ggspj6tg0 https://streamtape.com/v/pD2dZGOl9gSr3pD/43184780 https://doodstream.com/d/j52e7l55ir2l/43184780 (2026) #Hardcore #Bigass #Teen #Artporn #Blowjob #Teens #Amateur #Hotwife #RIPNSFW</v>
      </c>
      <c r="N783" s="14" t="s">
        <v>3972</v>
      </c>
      <c r="O783" s="32" t="s">
        <v>3973</v>
      </c>
      <c r="P783" s="14"/>
      <c r="Q783" s="6"/>
      <c r="R783" s="11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>
      <c r="A784" s="6" t="s">
        <v>3974</v>
      </c>
      <c r="B784" s="6" t="s">
        <v>14</v>
      </c>
      <c r="C784" s="7" t="str">
        <f t="shared" si="12"/>
        <v xml:space="preserve">Jamie Young </v>
      </c>
      <c r="D784" s="24" t="s">
        <v>3975</v>
      </c>
      <c r="E784" s="25" t="s">
        <v>3976</v>
      </c>
      <c r="F784" s="9" t="str">
        <f ca="1">IFERROR(__xludf.DUMMYFUNCTION("""https://streamtape.com/v/""&amp;
REGEXEXTRACT(O784,""/thumb/([^/]+)/"")&amp;
""/""&amp;K784"),"https://streamtape.com/v/Q2KqJ0ve8vs0zKb/43293327")</f>
        <v>https://streamtape.com/v/Q2KqJ0ve8vs0zKb/43293327</v>
      </c>
      <c r="G784" s="10" t="e">
        <f t="shared" ca="1" si="13"/>
        <v>#NAME?</v>
      </c>
      <c r="H784" s="11" t="str">
        <f ca="1">IFERROR(__xludf.DUMMYFUNCTION("IFERROR(SUBSTITUTE(SUBSTITUTE(REGEXEXTRACT(A784, ""[^-]+- [^-]+- [^-]+ - (.+?)\.jpg""), "".jpg"", """"), ""-"", "", ""), """")"),"")</f>
        <v/>
      </c>
      <c r="I784" s="6"/>
      <c r="J784" s="7" t="str">
        <f t="shared" ca="1" si="14"/>
        <v>(2026)</v>
      </c>
      <c r="K784" s="7" t="str">
        <f t="shared" si="15"/>
        <v>43293327</v>
      </c>
      <c r="L784" s="12" t="s">
        <v>3977</v>
      </c>
      <c r="M784" s="13" t="str">
        <f ca="1">IFERROR(__xludf.DUMMYFUNCTION("TRIM(
  REGEXREPLACE(
    TEXTJOIN("" "",
      TRUE,
      B784,
      C784,
      embaralharLinks(E784,F784,G784),
      H784,
      """",
      J784,
      N784,
      ""#RIPNSFW""
    ),
  "",\s*"", "" "")
)"),"{New} Jamie Young https://streamtape.com/v/Q2KqJ0ve8vs0zKb/43293327 https://lulustream.com/d/v9ctz96ytk59 https://doodstream.com/d/rg4zlg9q815d/43293327 (2026) #teen #blowjob #bigass #brunette #RIPNSFW")</f>
        <v>{New} Jamie Young https://streamtape.com/v/Q2KqJ0ve8vs0zKb/43293327 https://lulustream.com/d/v9ctz96ytk59 https://doodstream.com/d/rg4zlg9q815d/43293327 (2026) #teen #blowjob #bigass #brunette #RIPNSFW</v>
      </c>
      <c r="N784" s="31" t="s">
        <v>3977</v>
      </c>
      <c r="O784" s="32" t="s">
        <v>3978</v>
      </c>
      <c r="P784" s="26"/>
      <c r="Q784" s="6"/>
      <c r="R784" s="11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>
      <c r="A785" s="6" t="s">
        <v>3979</v>
      </c>
      <c r="B785" s="6" t="s">
        <v>14</v>
      </c>
      <c r="C785" s="7" t="str">
        <f t="shared" si="12"/>
        <v xml:space="preserve">Jamie Young </v>
      </c>
      <c r="D785" s="6" t="s">
        <v>3980</v>
      </c>
      <c r="E785" s="8" t="s">
        <v>3981</v>
      </c>
      <c r="F785" s="9" t="str">
        <f ca="1">IFERROR(__xludf.DUMMYFUNCTION("""https://streamtape.com/v/""&amp;
REGEXEXTRACT(O785,""/thumb/([^/]+)/"")&amp;
""/""&amp;K785"),"https://streamtape.com/v/GwjQdqpaWWs9aQ/45331849")</f>
        <v>https://streamtape.com/v/GwjQdqpaWWs9aQ/45331849</v>
      </c>
      <c r="G785" s="10" t="e">
        <f t="shared" ca="1" si="13"/>
        <v>#NAME?</v>
      </c>
      <c r="H785" s="11" t="str">
        <f ca="1">IFERROR(__xludf.DUMMYFUNCTION("IFERROR(SUBSTITUTE(SUBSTITUTE(REGEXEXTRACT(A785, ""[^-]+- [^-]+- [^-]+ - (.+?)\.jpg""), "".jpg"", """"), ""-"", "", ""), """")"),"")</f>
        <v/>
      </c>
      <c r="I785" s="6"/>
      <c r="J785" s="7" t="str">
        <f t="shared" ca="1" si="14"/>
        <v>(2026)</v>
      </c>
      <c r="K785" s="7" t="str">
        <f t="shared" si="15"/>
        <v>45331849</v>
      </c>
      <c r="L785" s="12" t="s">
        <v>3982</v>
      </c>
      <c r="M785" s="13" t="str">
        <f ca="1">IFERROR(__xludf.DUMMYFUNCTION("TRIM(
  REGEXREPLACE(
    TEXTJOIN("" "",
      TRUE,
      B785,
      C785,
      embaralharLinks(E785,F785,G785),
      H785,
      """",
      J785,
      N785,
      ""#RIPNSFW""
    ),
  "",\s*"", "" "")
)"),"{New} Jamie Young https://streamtape.com/v/GwjQdqpaWWs9aQ/45331849 https://doodstream.com/d/ns0cqtta321j/45331849 https://lulustream.com/d/si1vcp9xkm0h (2026) #Anal #Hardcore #Piss #Bigass #RIPNSFW")</f>
        <v>{New} Jamie Young https://streamtape.com/v/GwjQdqpaWWs9aQ/45331849 https://doodstream.com/d/ns0cqtta321j/45331849 https://lulustream.com/d/si1vcp9xkm0h (2026) #Anal #Hardcore #Piss #Bigass #RIPNSFW</v>
      </c>
      <c r="N785" s="14" t="s">
        <v>3983</v>
      </c>
      <c r="O785" s="15" t="s">
        <v>3984</v>
      </c>
      <c r="P785" s="14"/>
      <c r="Q785" s="6"/>
      <c r="R785" s="11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>
      <c r="A786" s="12" t="s">
        <v>3985</v>
      </c>
      <c r="B786" s="6" t="s">
        <v>14</v>
      </c>
      <c r="C786" s="7" t="str">
        <f t="shared" si="12"/>
        <v xml:space="preserve">Jamie Young </v>
      </c>
      <c r="D786" s="24" t="s">
        <v>3986</v>
      </c>
      <c r="E786" s="25" t="s">
        <v>3987</v>
      </c>
      <c r="F786" s="9" t="str">
        <f ca="1">IFERROR(__xludf.DUMMYFUNCTION("""https://streamtape.com/v/""&amp;
REGEXEXTRACT(O786,""/thumb/([^/]+)/"")&amp;
""/""&amp;K786"),"https://streamtape.com/v/M6XV7mkdPXFwy7/45711223")</f>
        <v>https://streamtape.com/v/M6XV7mkdPXFwy7/45711223</v>
      </c>
      <c r="G786" s="10" t="e">
        <f t="shared" ca="1" si="13"/>
        <v>#NAME?</v>
      </c>
      <c r="H786" s="11" t="str">
        <f ca="1">IFERROR(__xludf.DUMMYFUNCTION("IFERROR(SUBSTITUTE(SUBSTITUTE(REGEXEXTRACT(A786, ""[^-]+- [^-]+- [^-]+ - (.+?)\.jpg""), "".jpg"", """"), ""-"", "", ""), """")"),"")</f>
        <v/>
      </c>
      <c r="I786" s="6"/>
      <c r="J786" s="7" t="str">
        <f t="shared" ca="1" si="14"/>
        <v>(2026)</v>
      </c>
      <c r="K786" s="7" t="str">
        <f t="shared" si="15"/>
        <v>45711223</v>
      </c>
      <c r="L786" s="12" t="s">
        <v>3988</v>
      </c>
      <c r="M786" s="13" t="str">
        <f ca="1">IFERROR(__xludf.DUMMYFUNCTION("TRIM(
  REGEXREPLACE(
    TEXTJOIN("" "",
      TRUE,
      B786,
      C786,
      embaralharLinks(E786,F786,G786),
      H786,
      """",
      J786,
      N786,
      ""#RIPNSFW""
    ),
  "",\s*"", "" "")
)"),"{New} Jamie Young https://lulustream.com/d/5b7gkwba7drx https://streamtape.com/v/M6XV7mkdPXFwy7/45711223 https://doodstream.com/d/0o7irfxaa6ax/45711223 (2026) #teen #blowjob #pov #brunette #RIPNSFW")</f>
        <v>{New} Jamie Young https://lulustream.com/d/5b7gkwba7drx https://streamtape.com/v/M6XV7mkdPXFwy7/45711223 https://doodstream.com/d/0o7irfxaa6ax/45711223 (2026) #teen #blowjob #pov #brunette #RIPNSFW</v>
      </c>
      <c r="N786" s="2" t="s">
        <v>3988</v>
      </c>
      <c r="O786" s="30" t="s">
        <v>3989</v>
      </c>
      <c r="P786" s="26"/>
      <c r="R786" s="23"/>
    </row>
    <row r="787" spans="1:27" ht="12.75">
      <c r="A787" s="6" t="s">
        <v>3990</v>
      </c>
      <c r="B787" s="6" t="s">
        <v>14</v>
      </c>
      <c r="C787" s="7" t="str">
        <f t="shared" si="12"/>
        <v xml:space="preserve">Jamie Young </v>
      </c>
      <c r="D787" s="24" t="s">
        <v>3991</v>
      </c>
      <c r="E787" s="25" t="s">
        <v>3992</v>
      </c>
      <c r="F787" s="9" t="str">
        <f ca="1">IFERROR(__xludf.DUMMYFUNCTION("""https://streamtape.com/v/""&amp;
REGEXEXTRACT(O787,""/thumb/([^/]+)/"")&amp;
""/""&amp;K787"),"https://streamtape.com/v/d3XJ76em1AI1xZ/51707129")</f>
        <v>https://streamtape.com/v/d3XJ76em1AI1xZ/51707129</v>
      </c>
      <c r="G787" s="10" t="e">
        <f t="shared" ca="1" si="13"/>
        <v>#NAME?</v>
      </c>
      <c r="H787" s="11" t="str">
        <f ca="1">IFERROR(__xludf.DUMMYFUNCTION("IFERROR(SUBSTITUTE(SUBSTITUTE(REGEXEXTRACT(A787, ""[^-]+- [^-]+- [^-]+ - (.+?)\.jpg""), "".jpg"", """"), ""-"", "", ""), """")"),"")</f>
        <v/>
      </c>
      <c r="I787" s="6"/>
      <c r="J787" s="7" t="str">
        <f t="shared" ca="1" si="14"/>
        <v>(2026)</v>
      </c>
      <c r="K787" s="7" t="str">
        <f t="shared" si="15"/>
        <v>51707129</v>
      </c>
      <c r="L787" s="12" t="s">
        <v>3993</v>
      </c>
      <c r="M787" s="13" t="str">
        <f ca="1">IFERROR(__xludf.DUMMYFUNCTION("TRIM(
  REGEXREPLACE(
    TEXTJOIN("" "",
      TRUE,
      B787,
      C787,
      embaralharLinks(E787,F787,G787),
      H787,
      """",
      J787,
      N787,
      ""#RIPNSFW""
    ),
  "",\s*"", "" "")
)"),"{New} Jamie Young https://streamtape.com/v/d3XJ76em1AI1xZ/51707129 https://doodstream.com/d/h103alsng1vw/51707129 https://lulustream.com/d/mlsqeawc6vqp (2026) #teen #bigass #brunette #blowjob #RIPNSFW")</f>
        <v>{New} Jamie Young https://streamtape.com/v/d3XJ76em1AI1xZ/51707129 https://doodstream.com/d/h103alsng1vw/51707129 https://lulustream.com/d/mlsqeawc6vqp (2026) #teen #bigass #brunette #blowjob #RIPNSFW</v>
      </c>
      <c r="N787" s="31" t="s">
        <v>3993</v>
      </c>
      <c r="O787" s="32" t="s">
        <v>3994</v>
      </c>
      <c r="P787" s="26"/>
      <c r="Q787" s="6"/>
      <c r="R787" s="11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>
      <c r="A788" s="12" t="s">
        <v>3995</v>
      </c>
      <c r="B788" s="6" t="s">
        <v>14</v>
      </c>
      <c r="C788" s="7" t="str">
        <f t="shared" si="12"/>
        <v xml:space="preserve">Jamie Young </v>
      </c>
      <c r="D788" s="27" t="s">
        <v>3996</v>
      </c>
      <c r="E788" s="28" t="s">
        <v>3997</v>
      </c>
      <c r="F788" s="9" t="str">
        <f ca="1">IFERROR(__xludf.DUMMYFUNCTION("""https://streamtape.com/v/""&amp;
REGEXEXTRACT(O788,""/thumb/([^/]+)/"")&amp;
""/""&amp;K788"),"https://streamtape.com/v/wl8y4rv8V7TJ9Wk/58168938")</f>
        <v>https://streamtape.com/v/wl8y4rv8V7TJ9Wk/58168938</v>
      </c>
      <c r="G788" s="10" t="e">
        <f t="shared" ca="1" si="13"/>
        <v>#NAME?</v>
      </c>
      <c r="H788" s="11" t="str">
        <f ca="1">IFERROR(__xludf.DUMMYFUNCTION("IFERROR(SUBSTITUTE(SUBSTITUTE(REGEXEXTRACT(A788, ""[^-]+- [^-]+- [^-]+ - (.+?)\.jpg""), "".jpg"", """"), ""-"", "", ""), """")"),"")</f>
        <v/>
      </c>
      <c r="I788" s="6"/>
      <c r="J788" s="7" t="str">
        <f t="shared" ca="1" si="14"/>
        <v>(2026)</v>
      </c>
      <c r="K788" s="7" t="str">
        <f t="shared" si="15"/>
        <v>58168938</v>
      </c>
      <c r="L788" s="12" t="s">
        <v>3998</v>
      </c>
      <c r="M788" s="13" t="str">
        <f ca="1">IFERROR(__xludf.DUMMYFUNCTION("TRIM(
  REGEXREPLACE(
    TEXTJOIN("" "",
      TRUE,
      B788,
      C788,
      embaralharLinks(E788,F788,G788),
      H788,
      """",
      J788,
      N788,
      ""#RIPNSFW""
    ),
  "",\s*"", "" "")
)"),"{New} Jamie Young https://doodstream.com/d/d3aikemlx4e5/58168938 https://lulustream.com/d/aknjxpmi8zps https://streamtape.com/v/wl8y4rv8V7TJ9Wk/58168938 (2026) #Bigass #Teen #Blowjob #Amateur #RIPNSFW")</f>
        <v>{New} Jamie Young https://doodstream.com/d/d3aikemlx4e5/58168938 https://lulustream.com/d/aknjxpmi8zps https://streamtape.com/v/wl8y4rv8V7TJ9Wk/58168938 (2026) #Bigass #Teen #Blowjob #Amateur #RIPNSFW</v>
      </c>
      <c r="N788" s="2" t="s">
        <v>3999</v>
      </c>
      <c r="O788" s="30" t="s">
        <v>4000</v>
      </c>
      <c r="P788" s="26"/>
      <c r="R788" s="23"/>
    </row>
    <row r="789" spans="1:27" ht="12.75">
      <c r="A789" s="6" t="s">
        <v>4001</v>
      </c>
      <c r="B789" s="6" t="s">
        <v>14</v>
      </c>
      <c r="C789" s="7" t="str">
        <f t="shared" si="12"/>
        <v xml:space="preserve">Jamie Young </v>
      </c>
      <c r="D789" s="6" t="s">
        <v>4002</v>
      </c>
      <c r="E789" s="8" t="s">
        <v>4003</v>
      </c>
      <c r="F789" s="9" t="str">
        <f ca="1">IFERROR(__xludf.DUMMYFUNCTION("""https://streamtape.com/v/""&amp;
REGEXEXTRACT(O789,""/thumb/([^/]+)/"")&amp;
""/""&amp;K789"),"https://streamtape.com/v/BJmp2dA10zsyoYw/60153011")</f>
        <v>https://streamtape.com/v/BJmp2dA10zsyoYw/60153011</v>
      </c>
      <c r="G789" s="10" t="e">
        <f t="shared" ca="1" si="13"/>
        <v>#NAME?</v>
      </c>
      <c r="H789" s="11" t="str">
        <f ca="1">IFERROR(__xludf.DUMMYFUNCTION("IFERROR(SUBSTITUTE(SUBSTITUTE(REGEXEXTRACT(A789, ""[^-]+- [^-]+- [^-]+ - (.+?)\.jpg""), "".jpg"", """"), ""-"", "", ""), """")"),"")</f>
        <v/>
      </c>
      <c r="I789" s="6"/>
      <c r="J789" s="7" t="str">
        <f t="shared" ca="1" si="14"/>
        <v>(2026)</v>
      </c>
      <c r="K789" s="7" t="str">
        <f t="shared" si="15"/>
        <v>60153011</v>
      </c>
      <c r="L789" s="12" t="s">
        <v>4004</v>
      </c>
      <c r="M789" s="13" t="str">
        <f ca="1">IFERROR(__xludf.DUMMYFUNCTION("TRIM(
  REGEXREPLACE(
    TEXTJOIN("" "",
      TRUE,
      B789,
      C789,
      embaralharLinks(E789,F789,G789),
      H789,
      """",
      J789,
      N789,
      ""#RIPNSFW""
    ),
  "",\s*"", "" "")
)"),"{New} Jamie Young https://lulustream.com/d/1rfrm84wxrkt https://doodstream.com/d/nw8tfhxr0b71/60153011 https://streamtape.com/v/BJmp2dA10zsyoYw/60153011 (2026) #Creampie #Hardcore #Teen #Teens #RIPNSFW")</f>
        <v>{New} Jamie Young https://lulustream.com/d/1rfrm84wxrkt https://doodstream.com/d/nw8tfhxr0b71/60153011 https://streamtape.com/v/BJmp2dA10zsyoYw/60153011 (2026) #Creampie #Hardcore #Teen #Teens #RIPNSFW</v>
      </c>
      <c r="N789" s="14" t="s">
        <v>4005</v>
      </c>
      <c r="O789" s="15" t="s">
        <v>4006</v>
      </c>
      <c r="P789" s="14"/>
      <c r="Q789" s="6"/>
      <c r="R789" s="11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>
      <c r="A790" s="6" t="s">
        <v>4007</v>
      </c>
      <c r="B790" s="6" t="s">
        <v>14</v>
      </c>
      <c r="C790" s="7" t="str">
        <f t="shared" si="12"/>
        <v xml:space="preserve">Jamie Young </v>
      </c>
      <c r="D790" s="6" t="s">
        <v>4008</v>
      </c>
      <c r="E790" s="8" t="s">
        <v>4009</v>
      </c>
      <c r="F790" s="9" t="str">
        <f ca="1">IFERROR(__xludf.DUMMYFUNCTION("""https://streamtape.com/v/""&amp;
REGEXEXTRACT(O790,""/thumb/([^/]+)/"")&amp;
""/""&amp;K790"),"https://streamtape.com/v/Doqvey7bxKhdDg/61411359")</f>
        <v>https://streamtape.com/v/Doqvey7bxKhdDg/61411359</v>
      </c>
      <c r="G790" s="10" t="e">
        <f t="shared" ca="1" si="13"/>
        <v>#NAME?</v>
      </c>
      <c r="H790" s="11" t="str">
        <f ca="1">IFERROR(__xludf.DUMMYFUNCTION("IFERROR(SUBSTITUTE(SUBSTITUTE(REGEXEXTRACT(A790, ""[^-]+- [^-]+- [^-]+ - (.+?)\.jpg""), "".jpg"", """"), ""-"", "", ""), """")"),"")</f>
        <v/>
      </c>
      <c r="I790" s="6"/>
      <c r="J790" s="7" t="str">
        <f t="shared" ca="1" si="14"/>
        <v>(2026)</v>
      </c>
      <c r="K790" s="7" t="str">
        <f t="shared" si="15"/>
        <v>61411359</v>
      </c>
      <c r="L790" s="12" t="s">
        <v>4010</v>
      </c>
      <c r="M790" s="13" t="str">
        <f ca="1">IFERROR(__xludf.DUMMYFUNCTION("TRIM(
  REGEXREPLACE(
    TEXTJOIN("" "",
      TRUE,
      B790,
      C790,
      embaralharLinks(E790,F790,G790),
      H790,
      """",
      J790,
      N790,
      ""#RIPNSFW""
    ),
  "",\s*"", "" "")
)"),"{New} Jamie Young https://doodstream.com/d/31haxkxu5xsh/61411359 https://streamtape.com/v/Doqvey7bxKhdDg/61411359 https://lulustream.com/d/7g7mysyw11dn (2026) #Hardcore #Bigass #Teen #Blowjob #RIPNSFW")</f>
        <v>{New} Jamie Young https://doodstream.com/d/31haxkxu5xsh/61411359 https://streamtape.com/v/Doqvey7bxKhdDg/61411359 https://lulustream.com/d/7g7mysyw11dn (2026) #Hardcore #Bigass #Teen #Blowjob #RIPNSFW</v>
      </c>
      <c r="N790" s="14" t="s">
        <v>3684</v>
      </c>
      <c r="O790" s="15" t="s">
        <v>4011</v>
      </c>
      <c r="P790" s="14"/>
      <c r="Q790" s="6"/>
      <c r="R790" s="11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>
      <c r="A791" s="6" t="s">
        <v>4012</v>
      </c>
      <c r="B791" s="6" t="s">
        <v>14</v>
      </c>
      <c r="C791" s="7" t="str">
        <f t="shared" si="12"/>
        <v xml:space="preserve">Jamie Young </v>
      </c>
      <c r="D791" s="6" t="s">
        <v>4013</v>
      </c>
      <c r="E791" s="8" t="s">
        <v>4014</v>
      </c>
      <c r="F791" s="9" t="str">
        <f ca="1">IFERROR(__xludf.DUMMYFUNCTION("""https://streamtape.com/v/""&amp;
REGEXEXTRACT(O791,""/thumb/([^/]+)/"")&amp;
""/""&amp;K791"),"https://streamtape.com/v/Xqk12QWL2wID7zG/65180743")</f>
        <v>https://streamtape.com/v/Xqk12QWL2wID7zG/65180743</v>
      </c>
      <c r="G791" s="10" t="e">
        <f t="shared" ca="1" si="13"/>
        <v>#NAME?</v>
      </c>
      <c r="H791" s="11" t="str">
        <f ca="1">IFERROR(__xludf.DUMMYFUNCTION("IFERROR(SUBSTITUTE(SUBSTITUTE(REGEXEXTRACT(A791, ""[^-]+- [^-]+- [^-]+ - (.+?)\.jpg""), "".jpg"", """"), ""-"", "", ""), """")"),"")</f>
        <v/>
      </c>
      <c r="I791" s="6"/>
      <c r="J791" s="7" t="str">
        <f t="shared" ca="1" si="14"/>
        <v>(2026)</v>
      </c>
      <c r="K791" s="7" t="str">
        <f t="shared" si="15"/>
        <v>65180743</v>
      </c>
      <c r="L791" s="12" t="s">
        <v>4015</v>
      </c>
      <c r="M791" s="13" t="str">
        <f ca="1">IFERROR(__xludf.DUMMYFUNCTION("TRIM(
  REGEXREPLACE(
    TEXTJOIN("" "",
      TRUE,
      B791,
      C791,
      embaralharLinks(E791,F791,G791),
      H791,
      """",
      J791,
      N791,
      ""#RIPNSFW""
    ),
  "",\s*"", "" "")
)"),"{New} Jamie Young https://lulustream.com/d/f3675gknh77p https://streamtape.com/v/Xqk12QWL2wID7zG/65180743 https://doodstream.com/d/jaowukxhbms3/65180743 (2026) #Hardcore #Creampie #Bigass #Teen #Blowjob #Amateur #Deepthroat #RIPNSFW")</f>
        <v>{New} Jamie Young https://lulustream.com/d/f3675gknh77p https://streamtape.com/v/Xqk12QWL2wID7zG/65180743 https://doodstream.com/d/jaowukxhbms3/65180743 (2026) #Hardcore #Creampie #Bigass #Teen #Blowjob #Amateur #Deepthroat #RIPNSFW</v>
      </c>
      <c r="N791" s="14" t="s">
        <v>4016</v>
      </c>
      <c r="O791" s="15" t="s">
        <v>4017</v>
      </c>
      <c r="P791" s="14"/>
      <c r="Q791" s="6"/>
      <c r="R791" s="11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>
      <c r="A792" s="6" t="s">
        <v>4018</v>
      </c>
      <c r="B792" s="6" t="s">
        <v>14</v>
      </c>
      <c r="C792" s="7" t="str">
        <f t="shared" si="12"/>
        <v xml:space="preserve">Jamie Young </v>
      </c>
      <c r="D792" s="6" t="s">
        <v>4019</v>
      </c>
      <c r="E792" s="8" t="s">
        <v>4020</v>
      </c>
      <c r="F792" s="9" t="str">
        <f ca="1">IFERROR(__xludf.DUMMYFUNCTION("""https://streamtape.com/v/""&amp;
REGEXEXTRACT(O792,""/thumb/([^/]+)/"")&amp;
""/""&amp;K792"),"https://streamtape.com/v/1LxXJq6oMPSxpJ/65261396")</f>
        <v>https://streamtape.com/v/1LxXJq6oMPSxpJ/65261396</v>
      </c>
      <c r="G792" s="10" t="e">
        <f t="shared" ca="1" si="13"/>
        <v>#NAME?</v>
      </c>
      <c r="H792" s="11" t="str">
        <f ca="1">IFERROR(__xludf.DUMMYFUNCTION("IFERROR(SUBSTITUTE(SUBSTITUTE(REGEXEXTRACT(A792, ""[^-]+- [^-]+- [^-]+ - (.+?)\.jpg""), "".jpg"", """"), ""-"", "", ""), """")"),"")</f>
        <v/>
      </c>
      <c r="I792" s="6"/>
      <c r="J792" s="7" t="str">
        <f t="shared" ca="1" si="14"/>
        <v>(2026)</v>
      </c>
      <c r="K792" s="7" t="str">
        <f t="shared" si="15"/>
        <v>65261396</v>
      </c>
      <c r="L792" s="12" t="s">
        <v>4021</v>
      </c>
      <c r="M792" s="13" t="str">
        <f ca="1">IFERROR(__xludf.DUMMYFUNCTION("TRIM(
  REGEXREPLACE(
    TEXTJOIN("" "",
      TRUE,
      B792,
      C792,
      embaralharLinks(E792,F792,G792),
      H792,
      """",
      J792,
      N792,
      ""#RIPNSFW""
    ),
  "",\s*"", "" "")
)"),"{New} Jamie Young https://streamtape.com/v/1LxXJq6oMPSxpJ/65261396 https://lulustream.com/d/wkhzp78bwnjn https://doodstream.com/d/cgwn6yh9facp/65261396 (2026) #Hardcore #Teen #Artporn #Amateur #Teens #Blowjob #RIPNSFW")</f>
        <v>{New} Jamie Young https://streamtape.com/v/1LxXJq6oMPSxpJ/65261396 https://lulustream.com/d/wkhzp78bwnjn https://doodstream.com/d/cgwn6yh9facp/65261396 (2026) #Hardcore #Teen #Artporn #Amateur #Teens #Blowjob #RIPNSFW</v>
      </c>
      <c r="N792" s="14" t="s">
        <v>4022</v>
      </c>
      <c r="O792" s="15" t="s">
        <v>4023</v>
      </c>
      <c r="P792" s="14"/>
      <c r="Q792" s="6"/>
      <c r="R792" s="11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>
      <c r="A793" s="12" t="s">
        <v>4024</v>
      </c>
      <c r="B793" s="6" t="s">
        <v>14</v>
      </c>
      <c r="C793" s="7" t="str">
        <f t="shared" si="12"/>
        <v xml:space="preserve">Jamie Young </v>
      </c>
      <c r="D793" s="24" t="s">
        <v>4025</v>
      </c>
      <c r="E793" s="25" t="s">
        <v>4026</v>
      </c>
      <c r="F793" s="9" t="str">
        <f ca="1">IFERROR(__xludf.DUMMYFUNCTION("""https://streamtape.com/v/""&amp;
REGEXEXTRACT(O793,""/thumb/([^/]+)/"")&amp;
""/""&amp;K793"),"https://streamtape.com/v/xlDdy7x9bvHDoL/72170116")</f>
        <v>https://streamtape.com/v/xlDdy7x9bvHDoL/72170116</v>
      </c>
      <c r="G793" s="10" t="e">
        <f t="shared" ca="1" si="13"/>
        <v>#NAME?</v>
      </c>
      <c r="H793" s="11" t="str">
        <f ca="1">IFERROR(__xludf.DUMMYFUNCTION("IFERROR(SUBSTITUTE(SUBSTITUTE(REGEXEXTRACT(A793, ""[^-]+- [^-]+- [^-]+ - (.+?)\.jpg""), "".jpg"", """"), ""-"", "", ""), """")"),"")</f>
        <v/>
      </c>
      <c r="I793" s="6"/>
      <c r="J793" s="7" t="str">
        <f t="shared" ca="1" si="14"/>
        <v>(2026)</v>
      </c>
      <c r="K793" s="7" t="str">
        <f t="shared" si="15"/>
        <v>72170116</v>
      </c>
      <c r="L793" s="12" t="s">
        <v>4027</v>
      </c>
      <c r="M793" s="13" t="str">
        <f ca="1">IFERROR(__xludf.DUMMYFUNCTION("TRIM(
  REGEXREPLACE(
    TEXTJOIN("" "",
      TRUE,
      B793,
      C793,
      embaralharLinks(E793,F793,G793),
      H793,
      """",
      J793,
      N793,
      ""#RIPNSFW""
    ),
  "",\s*"", "" "")
)"),"{New} Jamie Young https://doodstream.com/d/4ng8kg4pqkms/72170116 https://streamtape.com/v/xlDdy7x9bvHDoL/72170116 https://lulustream.com/d/sw0vc5lwtesy (2026) #teen #blowjob #brunette #bigass #RIPNSFW")</f>
        <v>{New} Jamie Young https://doodstream.com/d/4ng8kg4pqkms/72170116 https://streamtape.com/v/xlDdy7x9bvHDoL/72170116 https://lulustream.com/d/sw0vc5lwtesy (2026) #teen #blowjob #brunette #bigass #RIPNSFW</v>
      </c>
      <c r="N793" s="2" t="s">
        <v>4027</v>
      </c>
      <c r="O793" s="30" t="s">
        <v>4028</v>
      </c>
      <c r="P793" s="26"/>
      <c r="R793" s="23"/>
    </row>
    <row r="794" spans="1:27" ht="12.75">
      <c r="A794" s="12" t="s">
        <v>4029</v>
      </c>
      <c r="B794" s="6" t="s">
        <v>14</v>
      </c>
      <c r="C794" s="7" t="str">
        <f t="shared" si="12"/>
        <v xml:space="preserve">Jamie Young </v>
      </c>
      <c r="D794" s="24" t="s">
        <v>4030</v>
      </c>
      <c r="E794" s="25" t="s">
        <v>4031</v>
      </c>
      <c r="F794" s="9" t="str">
        <f ca="1">IFERROR(__xludf.DUMMYFUNCTION("""https://streamtape.com/v/""&amp;
REGEXEXTRACT(O794,""/thumb/([^/]+)/"")&amp;
""/""&amp;K794"),"https://streamtape.com/v/78VMboqvY3TAqaQ/73885756")</f>
        <v>https://streamtape.com/v/78VMboqvY3TAqaQ/73885756</v>
      </c>
      <c r="G794" s="10" t="e">
        <f t="shared" ca="1" si="13"/>
        <v>#NAME?</v>
      </c>
      <c r="H794" s="11" t="str">
        <f ca="1">IFERROR(__xludf.DUMMYFUNCTION("IFERROR(SUBSTITUTE(SUBSTITUTE(REGEXEXTRACT(A794, ""[^-]+- [^-]+- [^-]+ - (.+?)\.jpg""), "".jpg"", """"), ""-"", "", ""), """")"),"")</f>
        <v/>
      </c>
      <c r="I794" s="6"/>
      <c r="J794" s="7" t="str">
        <f t="shared" ca="1" si="14"/>
        <v>(2026)</v>
      </c>
      <c r="K794" s="7" t="str">
        <f t="shared" si="15"/>
        <v>73885756</v>
      </c>
      <c r="L794" s="12" t="s">
        <v>3977</v>
      </c>
      <c r="M794" s="13" t="str">
        <f ca="1">IFERROR(__xludf.DUMMYFUNCTION("TRIM(
  REGEXREPLACE(
    TEXTJOIN("" "",
      TRUE,
      B794,
      C794,
      embaralharLinks(E794,F794,G794),
      H794,
      """",
      J794,
      N794,
      ""#RIPNSFW""
    ),
  "",\s*"", "" "")
)"),"{New} Jamie Young https://doodstream.com/d/hvreyfahc9w5/73885756 https://streamtape.com/v/78VMboqvY3TAqaQ/73885756 https://lulustream.com/d/cab3gdbdzo79 (2026) #teen #blowjob #bigass #brunette #RIPNSFW")</f>
        <v>{New} Jamie Young https://doodstream.com/d/hvreyfahc9w5/73885756 https://streamtape.com/v/78VMboqvY3TAqaQ/73885756 https://lulustream.com/d/cab3gdbdzo79 (2026) #teen #blowjob #bigass #brunette #RIPNSFW</v>
      </c>
      <c r="N794" s="2" t="s">
        <v>3977</v>
      </c>
      <c r="O794" s="30" t="s">
        <v>4032</v>
      </c>
      <c r="P794" s="26"/>
      <c r="R794" s="23"/>
    </row>
    <row r="795" spans="1:27" ht="12.75">
      <c r="A795" s="12" t="s">
        <v>4033</v>
      </c>
      <c r="B795" s="6" t="s">
        <v>14</v>
      </c>
      <c r="C795" s="7" t="str">
        <f t="shared" si="12"/>
        <v xml:space="preserve">Jamie Young </v>
      </c>
      <c r="D795" s="24" t="s">
        <v>4034</v>
      </c>
      <c r="E795" s="25" t="s">
        <v>4035</v>
      </c>
      <c r="F795" s="9" t="str">
        <f ca="1">IFERROR(__xludf.DUMMYFUNCTION("""https://streamtape.com/v/""&amp;
REGEXEXTRACT(O795,""/thumb/([^/]+)/"")&amp;
""/""&amp;K795"),"https://streamtape.com/v/xmWJ8wrGYMckMYO/74870486")</f>
        <v>https://streamtape.com/v/xmWJ8wrGYMckMYO/74870486</v>
      </c>
      <c r="G795" s="10" t="e">
        <f t="shared" ca="1" si="13"/>
        <v>#NAME?</v>
      </c>
      <c r="H795" s="11" t="str">
        <f ca="1">IFERROR(__xludf.DUMMYFUNCTION("IFERROR(SUBSTITUTE(SUBSTITUTE(REGEXEXTRACT(A795, ""[^-]+- [^-]+- [^-]+ - (.+?)\.jpg""), "".jpg"", """"), ""-"", "", ""), """")"),"")</f>
        <v/>
      </c>
      <c r="I795" s="6"/>
      <c r="J795" s="7" t="str">
        <f t="shared" ca="1" si="14"/>
        <v>(2026)</v>
      </c>
      <c r="K795" s="7" t="str">
        <f t="shared" si="15"/>
        <v>74870486</v>
      </c>
      <c r="L795" s="12" t="s">
        <v>4036</v>
      </c>
      <c r="M795" s="13" t="str">
        <f ca="1">IFERROR(__xludf.DUMMYFUNCTION("TRIM(
  REGEXREPLACE(
    TEXTJOIN("" "",
      TRUE,
      B795,
      C795,
      embaralharLinks(E795,F795,G795),
      H795,
      """",
      J795,
      N795,
      ""#RIPNSFW""
    ),
  "",\s*"", "" "")
)"),"{New} Jamie Young https://doodstream.com/d/5t9qe26uqd22/74870486 https://streamtape.com/v/xmWJ8wrGYMckMYO/74870486 https://lulustream.com/d/i4p4mpwy37f5 (2026) #teen #bigass #blowjob #brunette #RIPNSFW")</f>
        <v>{New} Jamie Young https://doodstream.com/d/5t9qe26uqd22/74870486 https://streamtape.com/v/xmWJ8wrGYMckMYO/74870486 https://lulustream.com/d/i4p4mpwy37f5 (2026) #teen #bigass #blowjob #brunette #RIPNSFW</v>
      </c>
      <c r="N795" s="2" t="s">
        <v>4036</v>
      </c>
      <c r="O795" s="30" t="s">
        <v>4037</v>
      </c>
      <c r="P795" s="26"/>
      <c r="R795" s="23"/>
    </row>
    <row r="796" spans="1:27" ht="12.75">
      <c r="A796" s="12" t="s">
        <v>4038</v>
      </c>
      <c r="B796" s="6" t="s">
        <v>14</v>
      </c>
      <c r="C796" s="7" t="str">
        <f t="shared" si="12"/>
        <v xml:space="preserve">Jamie Young </v>
      </c>
      <c r="D796" s="24" t="s">
        <v>4039</v>
      </c>
      <c r="E796" s="25" t="s">
        <v>4040</v>
      </c>
      <c r="F796" s="9" t="str">
        <f ca="1">IFERROR(__xludf.DUMMYFUNCTION("""https://streamtape.com/v/""&amp;
REGEXEXTRACT(O796,""/thumb/([^/]+)/"")&amp;
""/""&amp;K796"),"https://streamtape.com/v/1WrxMGJ6BOIezLO/77619579")</f>
        <v>https://streamtape.com/v/1WrxMGJ6BOIezLO/77619579</v>
      </c>
      <c r="G796" s="10" t="e">
        <f t="shared" ca="1" si="13"/>
        <v>#NAME?</v>
      </c>
      <c r="H796" s="11" t="str">
        <f ca="1">IFERROR(__xludf.DUMMYFUNCTION("IFERROR(SUBSTITUTE(SUBSTITUTE(REGEXEXTRACT(A796, ""[^-]+- [^-]+- [^-]+ - (.+?)\.jpg""), "".jpg"", """"), ""-"", "", ""), """")"),"")</f>
        <v/>
      </c>
      <c r="I796" s="6"/>
      <c r="J796" s="7" t="str">
        <f t="shared" ca="1" si="14"/>
        <v>(2026)</v>
      </c>
      <c r="K796" s="7" t="str">
        <f t="shared" si="15"/>
        <v>77619579</v>
      </c>
      <c r="L796" s="12" t="s">
        <v>2629</v>
      </c>
      <c r="M796" s="13" t="str">
        <f ca="1">IFERROR(__xludf.DUMMYFUNCTION("TRIM(
  REGEXREPLACE(
    TEXTJOIN("" "",
      TRUE,
      B796,
      C796,
      embaralharLinks(E796,F796,G796),
      H796,
      """",
      J796,
      N796,
      ""#RIPNSFW""
    ),
  "",\s*"", "" "")
)"),"{New} Jamie Young https://doodstream.com/d/9gqqfmwde6le/77619579 https://streamtape.com/v/1WrxMGJ6BOIezLO/77619579 https://lulustream.com/d/hs1pdkr98yr8 (2026) #teen #blowjob #amateur #brunette #RIPNSFW")</f>
        <v>{New} Jamie Young https://doodstream.com/d/9gqqfmwde6le/77619579 https://streamtape.com/v/1WrxMGJ6BOIezLO/77619579 https://lulustream.com/d/hs1pdkr98yr8 (2026) #teen #blowjob #amateur #brunette #RIPNSFW</v>
      </c>
      <c r="N796" s="2" t="s">
        <v>2629</v>
      </c>
      <c r="O796" s="30" t="s">
        <v>4041</v>
      </c>
      <c r="P796" s="26"/>
      <c r="R796" s="23"/>
    </row>
    <row r="797" spans="1:27" ht="12.75">
      <c r="A797" s="12" t="s">
        <v>4042</v>
      </c>
      <c r="B797" s="6" t="s">
        <v>14</v>
      </c>
      <c r="C797" s="7" t="str">
        <f t="shared" si="12"/>
        <v xml:space="preserve">Jamie Young </v>
      </c>
      <c r="D797" s="24" t="s">
        <v>4043</v>
      </c>
      <c r="E797" s="25" t="s">
        <v>4044</v>
      </c>
      <c r="F797" s="9" t="str">
        <f ca="1">IFERROR(__xludf.DUMMYFUNCTION("""https://streamtape.com/v/""&amp;
REGEXEXTRACT(O797,""/thumb/([^/]+)/"")&amp;
""/""&amp;K797"),"https://streamtape.com/v/e36B3eL8OWsogp/84155640")</f>
        <v>https://streamtape.com/v/e36B3eL8OWsogp/84155640</v>
      </c>
      <c r="G797" s="10" t="e">
        <f t="shared" ca="1" si="13"/>
        <v>#NAME?</v>
      </c>
      <c r="H797" s="11" t="str">
        <f ca="1">IFERROR(__xludf.DUMMYFUNCTION("IFERROR(SUBSTITUTE(SUBSTITUTE(REGEXEXTRACT(A797, ""[^-]+- [^-]+- [^-]+ - (.+?)\.jpg""), "".jpg"", """"), ""-"", "", ""), """")"),"")</f>
        <v/>
      </c>
      <c r="I797" s="6"/>
      <c r="J797" s="7" t="str">
        <f t="shared" ca="1" si="14"/>
        <v>(2026)</v>
      </c>
      <c r="K797" s="7" t="str">
        <f t="shared" si="15"/>
        <v>84155640</v>
      </c>
      <c r="L797" s="12" t="s">
        <v>3662</v>
      </c>
      <c r="M797" s="13" t="str">
        <f ca="1">IFERROR(__xludf.DUMMYFUNCTION("TRIM(
  REGEXREPLACE(
    TEXTJOIN("" "",
      TRUE,
      B797,
      C797,
      embaralharLinks(E797,F797,G797),
      H797,
      """",
      J797,
      N797,
      ""#RIPNSFW""
    ),
  "",\s*"", "" "")
)"),"{New} Jamie Young https://streamtape.com/v/e36B3eL8OWsogp/84155640 https://doodstream.com/d/4ialt60ud0wf/84155640 https://lulustream.com/d/oghlgvxly645 (2026) #teen #blowjob #anal #bigass #RIPNSFW")</f>
        <v>{New} Jamie Young https://streamtape.com/v/e36B3eL8OWsogp/84155640 https://doodstream.com/d/4ialt60ud0wf/84155640 https://lulustream.com/d/oghlgvxly645 (2026) #teen #blowjob #anal #bigass #RIPNSFW</v>
      </c>
      <c r="N797" s="2" t="s">
        <v>3662</v>
      </c>
      <c r="O797" s="30" t="s">
        <v>4045</v>
      </c>
      <c r="P797" s="26"/>
      <c r="R797" s="23"/>
    </row>
    <row r="798" spans="1:27" ht="12.75">
      <c r="A798" s="12" t="s">
        <v>4046</v>
      </c>
      <c r="B798" s="6" t="s">
        <v>14</v>
      </c>
      <c r="C798" s="7" t="str">
        <f t="shared" si="12"/>
        <v xml:space="preserve">Jamie Young </v>
      </c>
      <c r="D798" s="24" t="s">
        <v>4047</v>
      </c>
      <c r="E798" s="25" t="s">
        <v>4048</v>
      </c>
      <c r="F798" s="9" t="str">
        <f ca="1">IFERROR(__xludf.DUMMYFUNCTION("""https://streamtape.com/v/""&amp;
REGEXEXTRACT(O798,""/thumb/([^/]+)/"")&amp;
""/""&amp;K798"),"https://streamtape.com/v/2BaOvD8OariZY6y/84390953")</f>
        <v>https://streamtape.com/v/2BaOvD8OariZY6y/84390953</v>
      </c>
      <c r="G798" s="10" t="e">
        <f t="shared" ca="1" si="13"/>
        <v>#NAME?</v>
      </c>
      <c r="H798" s="11" t="str">
        <f ca="1">IFERROR(__xludf.DUMMYFUNCTION("IFERROR(SUBSTITUTE(SUBSTITUTE(REGEXEXTRACT(A798, ""[^-]+- [^-]+- [^-]+ - (.+?)\.jpg""), "".jpg"", """"), ""-"", "", ""), """")"),"")</f>
        <v/>
      </c>
      <c r="I798" s="6"/>
      <c r="J798" s="7" t="str">
        <f t="shared" ca="1" si="14"/>
        <v>(2026)</v>
      </c>
      <c r="K798" s="7" t="str">
        <f t="shared" si="15"/>
        <v>84390953</v>
      </c>
      <c r="L798" s="12" t="s">
        <v>4049</v>
      </c>
      <c r="M798" s="13" t="str">
        <f ca="1">IFERROR(__xludf.DUMMYFUNCTION("TRIM(
  REGEXREPLACE(
    TEXTJOIN("" "",
      TRUE,
      B798,
      C798,
      embaralharLinks(E798,F798,G798),
      H798,
      """",
      J798,
      N798,
      ""#RIPNSFW""
    ),
  "",\s*"", "" "")
)"),"{New} Jamie Young https://doodstream.com/d/m9aoqidy3f6y/84390953 https://lulustream.com/d/9og8qy39ecwt https://streamtape.com/v/2BaOvD8OariZY6y/84390953 (2026) #teen #blowjob #bigass #amateur #RIPNSFW")</f>
        <v>{New} Jamie Young https://doodstream.com/d/m9aoqidy3f6y/84390953 https://lulustream.com/d/9og8qy39ecwt https://streamtape.com/v/2BaOvD8OariZY6y/84390953 (2026) #teen #blowjob #bigass #amateur #RIPNSFW</v>
      </c>
      <c r="N798" s="2" t="s">
        <v>4049</v>
      </c>
      <c r="O798" s="30" t="s">
        <v>4050</v>
      </c>
      <c r="P798" s="26"/>
      <c r="R798" s="23"/>
    </row>
    <row r="799" spans="1:27" ht="12.75">
      <c r="A799" s="6" t="s">
        <v>4051</v>
      </c>
      <c r="B799" s="6" t="s">
        <v>14</v>
      </c>
      <c r="C799" s="7" t="str">
        <f t="shared" si="12"/>
        <v xml:space="preserve">Jamie Young </v>
      </c>
      <c r="D799" s="24" t="s">
        <v>4052</v>
      </c>
      <c r="E799" s="25" t="s">
        <v>4053</v>
      </c>
      <c r="F799" s="9" t="str">
        <f ca="1">IFERROR(__xludf.DUMMYFUNCTION("""https://streamtape.com/v/""&amp;
REGEXEXTRACT(O799,""/thumb/([^/]+)/"")&amp;
""/""&amp;K799"),"https://streamtape.com/v/DkrgOly36VhGba/88118699")</f>
        <v>https://streamtape.com/v/DkrgOly36VhGba/88118699</v>
      </c>
      <c r="G799" s="10" t="e">
        <f t="shared" ca="1" si="13"/>
        <v>#NAME?</v>
      </c>
      <c r="H799" s="11" t="str">
        <f ca="1">IFERROR(__xludf.DUMMYFUNCTION("IFERROR(SUBSTITUTE(SUBSTITUTE(REGEXEXTRACT(A799, ""[^-]+- [^-]+- [^-]+ - (.+?)\.jpg""), "".jpg"", """"), ""-"", "", ""), """")"),"")</f>
        <v/>
      </c>
      <c r="I799" s="6"/>
      <c r="J799" s="7" t="str">
        <f t="shared" ca="1" si="14"/>
        <v>(2026)</v>
      </c>
      <c r="K799" s="7" t="str">
        <f t="shared" si="15"/>
        <v>88118699</v>
      </c>
      <c r="L799" s="12" t="s">
        <v>4054</v>
      </c>
      <c r="M799" s="13" t="str">
        <f ca="1">IFERROR(__xludf.DUMMYFUNCTION("TRIM(
  REGEXREPLACE(
    TEXTJOIN("" "",
      TRUE,
      B799,
      C799,
      embaralharLinks(E799,F799,G799),
      H799,
      """",
      J799,
      N799,
      ""#RIPNSFW""
    ),
  "",\s*"", "" "")
)"),"{New} Jamie Young https://lulustream.com/d/c8vfnxkucccj https://streamtape.com/v/DkrgOly36VhGba/88118699 https://doodstream.com/d/wv4zfcwugw9z/88118699 (2026) #blowjob #teen #bigass #brunette #RIPNSFW")</f>
        <v>{New} Jamie Young https://lulustream.com/d/c8vfnxkucccj https://streamtape.com/v/DkrgOly36VhGba/88118699 https://doodstream.com/d/wv4zfcwugw9z/88118699 (2026) #blowjob #teen #bigass #brunette #RIPNSFW</v>
      </c>
      <c r="N799" s="31" t="s">
        <v>4054</v>
      </c>
      <c r="O799" s="32" t="s">
        <v>4055</v>
      </c>
      <c r="P799" s="26"/>
      <c r="Q799" s="6"/>
      <c r="R799" s="11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>
      <c r="A800" s="12" t="s">
        <v>4056</v>
      </c>
      <c r="B800" s="6" t="s">
        <v>14</v>
      </c>
      <c r="C800" s="7" t="str">
        <f t="shared" si="12"/>
        <v xml:space="preserve">Jamie Young </v>
      </c>
      <c r="D800" s="27" t="s">
        <v>4057</v>
      </c>
      <c r="E800" s="28" t="s">
        <v>4058</v>
      </c>
      <c r="F800" s="9" t="str">
        <f ca="1">IFERROR(__xludf.DUMMYFUNCTION("""https://streamtape.com/v/""&amp;
REGEXEXTRACT(O800,""/thumb/([^/]+)/"")&amp;
""/""&amp;K800"),"https://streamtape.com/v/z7obL3RK76CYAZX/88859495")</f>
        <v>https://streamtape.com/v/z7obL3RK76CYAZX/88859495</v>
      </c>
      <c r="G800" s="10" t="e">
        <f t="shared" ca="1" si="13"/>
        <v>#NAME?</v>
      </c>
      <c r="H800" s="11" t="str">
        <f ca="1">IFERROR(__xludf.DUMMYFUNCTION("IFERROR(SUBSTITUTE(SUBSTITUTE(REGEXEXTRACT(A800, ""[^-]+- [^-]+- [^-]+ - (.+?)\.jpg""), "".jpg"", """"), ""-"", "", ""), """")"),"")</f>
        <v/>
      </c>
      <c r="I800" s="6"/>
      <c r="J800" s="7" t="str">
        <f t="shared" ca="1" si="14"/>
        <v>(2026)</v>
      </c>
      <c r="K800" s="7" t="str">
        <f t="shared" si="15"/>
        <v>88859495</v>
      </c>
      <c r="L800" s="12" t="s">
        <v>3683</v>
      </c>
      <c r="M800" s="13" t="str">
        <f ca="1">IFERROR(__xludf.DUMMYFUNCTION("TRIM(
  REGEXREPLACE(
    TEXTJOIN("" "",
      TRUE,
      B800,
      C800,
      embaralharLinks(E800,F800,G800),
      H800,
      """",
      J800,
      N800,
      ""#RIPNSFW""
    ),
  "",\s*"", "" "")
)"),"{New} Jamie Young https://doodstream.com/d/st12kao7d5tr/88859495 https://streamtape.com/v/z7obL3RK76CYAZX/88859495 https://lulustream.com/d/6lumnujfe5yy (2026) #Hardcore #Bigass #Teen #Blowjob #RIPNSFW")</f>
        <v>{New} Jamie Young https://doodstream.com/d/st12kao7d5tr/88859495 https://streamtape.com/v/z7obL3RK76CYAZX/88859495 https://lulustream.com/d/6lumnujfe5yy (2026) #Hardcore #Bigass #Teen #Blowjob #RIPNSFW</v>
      </c>
      <c r="N800" s="2" t="s">
        <v>3684</v>
      </c>
      <c r="O800" s="30" t="s">
        <v>4059</v>
      </c>
      <c r="P800" s="26"/>
      <c r="R800" s="23"/>
    </row>
    <row r="801" spans="1:27" ht="12.75">
      <c r="A801" s="12" t="s">
        <v>4060</v>
      </c>
      <c r="B801" s="6" t="s">
        <v>14</v>
      </c>
      <c r="C801" s="7" t="str">
        <f t="shared" si="12"/>
        <v xml:space="preserve">Jamie Young </v>
      </c>
      <c r="D801" s="24" t="s">
        <v>4061</v>
      </c>
      <c r="E801" s="25" t="s">
        <v>4062</v>
      </c>
      <c r="F801" s="9" t="str">
        <f ca="1">IFERROR(__xludf.DUMMYFUNCTION("""https://streamtape.com/v/""&amp;
REGEXEXTRACT(O801,""/thumb/([^/]+)/"")&amp;
""/""&amp;K801"),"https://streamtape.com/v/jAYev0bJdrUg80/92950989")</f>
        <v>https://streamtape.com/v/jAYev0bJdrUg80/92950989</v>
      </c>
      <c r="G801" s="10" t="e">
        <f t="shared" ca="1" si="13"/>
        <v>#NAME?</v>
      </c>
      <c r="H801" s="11" t="str">
        <f ca="1">IFERROR(__xludf.DUMMYFUNCTION("IFERROR(SUBSTITUTE(SUBSTITUTE(REGEXEXTRACT(A801, ""[^-]+- [^-]+- [^-]+ - (.+?)\.jpg""), "".jpg"", """"), ""-"", "", ""), """")"),"")</f>
        <v/>
      </c>
      <c r="I801" s="6"/>
      <c r="J801" s="7" t="str">
        <f t="shared" ca="1" si="14"/>
        <v>(2026)</v>
      </c>
      <c r="K801" s="7" t="str">
        <f t="shared" si="15"/>
        <v>92950989</v>
      </c>
      <c r="L801" s="12" t="s">
        <v>4027</v>
      </c>
      <c r="M801" s="13" t="str">
        <f ca="1">IFERROR(__xludf.DUMMYFUNCTION("TRIM(
  REGEXREPLACE(
    TEXTJOIN("" "",
      TRUE,
      B801,
      C801,
      embaralharLinks(E801,F801,G801),
      H801,
      """",
      J801,
      N801,
      ""#RIPNSFW""
    ),
  "",\s*"", "" "")
)"),"{New} Jamie Young https://doodstream.com/d/ood6e82gedjh/92950989 https://lulustream.com/d/mhji5azrlxk4 https://streamtape.com/v/jAYev0bJdrUg80/92950989 (2026) #teen #blowjob #brunette #bigass #RIPNSFW")</f>
        <v>{New} Jamie Young https://doodstream.com/d/ood6e82gedjh/92950989 https://lulustream.com/d/mhji5azrlxk4 https://streamtape.com/v/jAYev0bJdrUg80/92950989 (2026) #teen #blowjob #brunette #bigass #RIPNSFW</v>
      </c>
      <c r="N801" s="2" t="s">
        <v>4027</v>
      </c>
      <c r="O801" s="30" t="s">
        <v>4063</v>
      </c>
      <c r="P801" s="26"/>
      <c r="R801" s="23"/>
    </row>
    <row r="802" spans="1:27" ht="12.75">
      <c r="A802" s="12" t="s">
        <v>4064</v>
      </c>
      <c r="B802" s="6" t="s">
        <v>14</v>
      </c>
      <c r="C802" s="7" t="str">
        <f t="shared" si="12"/>
        <v xml:space="preserve">Jamie Young </v>
      </c>
      <c r="D802" s="24" t="s">
        <v>4065</v>
      </c>
      <c r="E802" s="25" t="s">
        <v>4066</v>
      </c>
      <c r="F802" s="9" t="str">
        <f ca="1">IFERROR(__xludf.DUMMYFUNCTION("""https://streamtape.com/v/""&amp;
REGEXEXTRACT(O802,""/thumb/([^/]+)/"")&amp;
""/""&amp;K802"),"https://streamtape.com/v/JYJV3zbJJbSj04z/96691307")</f>
        <v>https://streamtape.com/v/JYJV3zbJJbSj04z/96691307</v>
      </c>
      <c r="G802" s="10" t="e">
        <f t="shared" ca="1" si="13"/>
        <v>#NAME?</v>
      </c>
      <c r="H802" s="11" t="str">
        <f ca="1">IFERROR(__xludf.DUMMYFUNCTION("IFERROR(SUBSTITUTE(SUBSTITUTE(REGEXEXTRACT(A802, ""[^-]+- [^-]+- [^-]+ - (.+?)\.jpg""), "".jpg"", """"), ""-"", "", ""), """")"),"")</f>
        <v/>
      </c>
      <c r="I802" s="6"/>
      <c r="J802" s="7" t="str">
        <f t="shared" ca="1" si="14"/>
        <v>(2026)</v>
      </c>
      <c r="K802" s="7" t="str">
        <f t="shared" si="15"/>
        <v>96691307</v>
      </c>
      <c r="L802" s="12" t="s">
        <v>3977</v>
      </c>
      <c r="M802" s="13" t="str">
        <f ca="1">IFERROR(__xludf.DUMMYFUNCTION("TRIM(
  REGEXREPLACE(
    TEXTJOIN("" "",
      TRUE,
      B802,
      C802,
      embaralharLinks(E802,F802,G802),
      H802,
      """",
      J802,
      N802,
      ""#RIPNSFW""
    ),
  "",\s*"", "" "")
)"),"{New} Jamie Young https://doodstream.com/d/hcsqpuljjftl/96691307 https://lulustream.com/d/w6d4dq6sr1xk https://streamtape.com/v/JYJV3zbJJbSj04z/96691307 (2026) #teen #blowjob #bigass #brunette #RIPNSFW")</f>
        <v>{New} Jamie Young https://doodstream.com/d/hcsqpuljjftl/96691307 https://lulustream.com/d/w6d4dq6sr1xk https://streamtape.com/v/JYJV3zbJJbSj04z/96691307 (2026) #teen #blowjob #bigass #brunette #RIPNSFW</v>
      </c>
      <c r="N802" s="2" t="s">
        <v>3977</v>
      </c>
      <c r="O802" s="30" t="s">
        <v>4067</v>
      </c>
      <c r="P802" s="26"/>
      <c r="R802" s="23"/>
    </row>
    <row r="803" spans="1:27" ht="12.75">
      <c r="A803" s="6" t="s">
        <v>4068</v>
      </c>
      <c r="B803" s="6" t="s">
        <v>14</v>
      </c>
      <c r="C803" s="7" t="str">
        <f t="shared" si="12"/>
        <v xml:space="preserve">Jane Wilde </v>
      </c>
      <c r="D803" s="6" t="s">
        <v>4069</v>
      </c>
      <c r="E803" s="8" t="s">
        <v>4070</v>
      </c>
      <c r="F803" s="9" t="str">
        <f ca="1">IFERROR(__xludf.DUMMYFUNCTION("""https://streamtape.com/v/""&amp;
REGEXEXTRACT(O803,""/thumb/([^/]+)/"")&amp;
""/""&amp;K803"),"https://streamtape.com/v/rb0mmmBx1MibvPL/74586510")</f>
        <v>https://streamtape.com/v/rb0mmmBx1MibvPL/74586510</v>
      </c>
      <c r="G803" s="10" t="e">
        <f t="shared" ca="1" si="13"/>
        <v>#NAME?</v>
      </c>
      <c r="H803" s="11" t="str">
        <f ca="1">IFERROR(__xludf.DUMMYFUNCTION("IFERROR(SUBSTITUTE(SUBSTITUTE(REGEXEXTRACT(A803, ""[^-]+- [^-]+- [^-]+ - (.+?)\.jpg""), "".jpg"", """"), ""-"", "", ""), """")"),"")</f>
        <v/>
      </c>
      <c r="I803" s="6"/>
      <c r="J803" s="7" t="str">
        <f t="shared" ca="1" si="14"/>
        <v>(2026)</v>
      </c>
      <c r="K803" s="7" t="str">
        <f t="shared" si="15"/>
        <v>74586510</v>
      </c>
      <c r="L803" s="12" t="s">
        <v>4071</v>
      </c>
      <c r="M803" s="13" t="str">
        <f ca="1">IFERROR(__xludf.DUMMYFUNCTION("TRIM(
  REGEXREPLACE(
    TEXTJOIN("" "",
      TRUE,
      B803,
      C803,
      embaralharLinks(E803,F803,G803),
      H803,
      """",
      J803,
      N803,
      ""#RIPNSFW""
    ),
  "",\s*"", "" "")
)"),"{New} Jane Wilde https://doodstream.com/d/sebsn33te5de/74586510 https://lulustream.com/d/4hj59jf1nb7e https://streamtape.com/v/rb0mmmBx1MibvPL/74586510 (2026) #Hardcore #Bigass #Teen #Blowjob #Amateur #Deepthroat #Facial #RIPNSFW")</f>
        <v>{New} Jane Wilde https://doodstream.com/d/sebsn33te5de/74586510 https://lulustream.com/d/4hj59jf1nb7e https://streamtape.com/v/rb0mmmBx1MibvPL/74586510 (2026) #Hardcore #Bigass #Teen #Blowjob #Amateur #Deepthroat #Facial #RIPNSFW</v>
      </c>
      <c r="N803" s="14" t="s">
        <v>4072</v>
      </c>
      <c r="O803" s="15" t="s">
        <v>4073</v>
      </c>
      <c r="P803" s="14"/>
      <c r="Q803" s="6"/>
      <c r="R803" s="11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>
      <c r="A804" s="6" t="s">
        <v>4074</v>
      </c>
      <c r="B804" s="6" t="s">
        <v>14</v>
      </c>
      <c r="C804" s="7" t="str">
        <f t="shared" si="12"/>
        <v xml:space="preserve">Jane Wilde </v>
      </c>
      <c r="D804" s="6" t="s">
        <v>4075</v>
      </c>
      <c r="E804" s="8" t="s">
        <v>4076</v>
      </c>
      <c r="F804" s="9" t="str">
        <f ca="1">IFERROR(__xludf.DUMMYFUNCTION("""https://streamtape.com/v/""&amp;
REGEXEXTRACT(O804,""/thumb/([^/]+)/"")&amp;
""/""&amp;K804"),"https://streamtape.com/v/MY6QjZxjqWsBB8/76008701")</f>
        <v>https://streamtape.com/v/MY6QjZxjqWsBB8/76008701</v>
      </c>
      <c r="G804" s="10" t="e">
        <f t="shared" ca="1" si="13"/>
        <v>#NAME?</v>
      </c>
      <c r="H804" s="11" t="str">
        <f ca="1">IFERROR(__xludf.DUMMYFUNCTION("IFERROR(SUBSTITUTE(SUBSTITUTE(REGEXEXTRACT(A804, ""[^-]+- [^-]+- [^-]+ - (.+?)\.jpg""), "".jpg"", """"), ""-"", "", ""), """")"),"")</f>
        <v/>
      </c>
      <c r="I804" s="6"/>
      <c r="J804" s="7" t="str">
        <f t="shared" ca="1" si="14"/>
        <v>(2026)</v>
      </c>
      <c r="K804" s="7" t="str">
        <f t="shared" si="15"/>
        <v>76008701</v>
      </c>
      <c r="L804" s="12" t="s">
        <v>4077</v>
      </c>
      <c r="M804" s="13" t="str">
        <f ca="1">IFERROR(__xludf.DUMMYFUNCTION("TRIM(
  REGEXREPLACE(
    TEXTJOIN("" "",
      TRUE,
      B804,
      C804,
      embaralharLinks(E804,F804,G804),
      H804,
      """",
      J804,
      N804,
      ""#RIPNSFW""
    ),
  "",\s*"", "" "")
)"),"{New} Jane Wilde https://lulustream.com/d/eeeqfdymnnea https://doodstream.com/d/nrgvncoeyhl7/76008701 https://streamtape.com/v/MY6QjZxjqWsBB8/76008701 (2026) #MILF #Hardcore #Bigass #Blowjob #Amateur #Deepthroat #RIPNSFW")</f>
        <v>{New} Jane Wilde https://lulustream.com/d/eeeqfdymnnea https://doodstream.com/d/nrgvncoeyhl7/76008701 https://streamtape.com/v/MY6QjZxjqWsBB8/76008701 (2026) #MILF #Hardcore #Bigass #Blowjob #Amateur #Deepthroat #RIPNSFW</v>
      </c>
      <c r="N804" s="14" t="s">
        <v>4078</v>
      </c>
      <c r="O804" s="15" t="s">
        <v>4079</v>
      </c>
      <c r="P804" s="14"/>
      <c r="Q804" s="6"/>
      <c r="R804" s="11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>
      <c r="A805" s="12" t="s">
        <v>4080</v>
      </c>
      <c r="B805" s="6" t="s">
        <v>14</v>
      </c>
      <c r="C805" s="7" t="str">
        <f t="shared" si="12"/>
        <v xml:space="preserve">Jenna Starr </v>
      </c>
      <c r="D805" s="24" t="s">
        <v>4081</v>
      </c>
      <c r="E805" s="25" t="s">
        <v>4082</v>
      </c>
      <c r="F805" s="9" t="str">
        <f ca="1">IFERROR(__xludf.DUMMYFUNCTION("""https://streamtape.com/v/""&amp;
REGEXEXTRACT(O805,""/thumb/([^/]+)/"")&amp;
""/""&amp;K805"),"https://streamtape.com/v/ggOXOzVgKKfqDJO/52331648")</f>
        <v>https://streamtape.com/v/ggOXOzVgKKfqDJO/52331648</v>
      </c>
      <c r="G805" s="10" t="e">
        <f t="shared" ca="1" si="13"/>
        <v>#NAME?</v>
      </c>
      <c r="H805" s="11" t="str">
        <f ca="1">IFERROR(__xludf.DUMMYFUNCTION("IFERROR(SUBSTITUTE(SUBSTITUTE(REGEXEXTRACT(A805, ""[^-]+- [^-]+- [^-]+ - (.+?)\.jpg""), "".jpg"", """"), ""-"", "", ""), """")"),"")</f>
        <v/>
      </c>
      <c r="I805" s="6"/>
      <c r="J805" s="7" t="str">
        <f t="shared" ca="1" si="14"/>
        <v>(2026)</v>
      </c>
      <c r="K805" s="7" t="str">
        <f t="shared" si="15"/>
        <v>52331648</v>
      </c>
      <c r="L805" s="12" t="s">
        <v>3827</v>
      </c>
      <c r="M805" s="13" t="str">
        <f ca="1">IFERROR(__xludf.DUMMYFUNCTION("TRIM(
  REGEXREPLACE(
    TEXTJOIN("" "",
      TRUE,
      B805,
      C805,
      embaralharLinks(E805,F805,G805),
      H805,
      """",
      J805,
      N805,
      ""#RIPNSFW""
    ),
  "",\s*"", "" "")
)"),"{New} Jenna Starr https://streamtape.com/v/ggOXOzVgKKfqDJO/52331648 https://doodstream.com/d/h6ttqelnvf24/52331648 https://lulustream.com/d/3f7jsybr3k1t (2026) #milf #blonde #bigtits #bigass #RIPNSFW")</f>
        <v>{New} Jenna Starr https://streamtape.com/v/ggOXOzVgKKfqDJO/52331648 https://doodstream.com/d/h6ttqelnvf24/52331648 https://lulustream.com/d/3f7jsybr3k1t (2026) #milf #blonde #bigtits #bigass #RIPNSFW</v>
      </c>
      <c r="N805" s="2" t="s">
        <v>3827</v>
      </c>
      <c r="O805" s="30" t="s">
        <v>4083</v>
      </c>
      <c r="P805" s="26"/>
      <c r="R805" s="23"/>
    </row>
    <row r="806" spans="1:27" ht="12.75">
      <c r="A806" s="12" t="s">
        <v>4084</v>
      </c>
      <c r="B806" s="6" t="s">
        <v>14</v>
      </c>
      <c r="C806" s="7" t="str">
        <f t="shared" si="12"/>
        <v xml:space="preserve">Jenna Starr </v>
      </c>
      <c r="D806" s="24" t="s">
        <v>4085</v>
      </c>
      <c r="E806" s="25" t="s">
        <v>4086</v>
      </c>
      <c r="F806" s="9" t="str">
        <f ca="1">IFERROR(__xludf.DUMMYFUNCTION("""https://streamtape.com/v/""&amp;
REGEXEXTRACT(O806,""/thumb/([^/]+)/"")&amp;
""/""&amp;K806"),"https://streamtape.com/v/Xq8K4dae6jsDD7D/87417242")</f>
        <v>https://streamtape.com/v/Xq8K4dae6jsDD7D/87417242</v>
      </c>
      <c r="G806" s="10" t="e">
        <f t="shared" ca="1" si="13"/>
        <v>#NAME?</v>
      </c>
      <c r="H806" s="11" t="str">
        <f ca="1">IFERROR(__xludf.DUMMYFUNCTION("IFERROR(SUBSTITUTE(SUBSTITUTE(REGEXEXTRACT(A806, ""[^-]+- [^-]+- [^-]+ - (.+?)\.jpg""), "".jpg"", """"), ""-"", "", ""), """")"),"")</f>
        <v/>
      </c>
      <c r="I806" s="6"/>
      <c r="J806" s="7" t="str">
        <f t="shared" ca="1" si="14"/>
        <v>(2026)</v>
      </c>
      <c r="K806" s="7" t="str">
        <f t="shared" si="15"/>
        <v>87417242</v>
      </c>
      <c r="L806" s="12" t="s">
        <v>4087</v>
      </c>
      <c r="M806" s="13" t="str">
        <f ca="1">IFERROR(__xludf.DUMMYFUNCTION("TRIM(
  REGEXREPLACE(
    TEXTJOIN("" "",
      TRUE,
      B806,
      C806,
      embaralharLinks(E806,F806,G806),
      H806,
      """",
      J806,
      N806,
      ""#RIPNSFW""
    ),
  "",\s*"", "" "")
)"),"{New} Jenna Starr https://streamtape.com/v/Xq8K4dae6jsDD7D/87417242 https://doodstream.com/d/r7cg0mo6xnu7/87417242 https://lulustream.com/d/0ef9j5998k6w (2026) #milf #bigtits #bigass #interracial #RIPNSFW")</f>
        <v>{New} Jenna Starr https://streamtape.com/v/Xq8K4dae6jsDD7D/87417242 https://doodstream.com/d/r7cg0mo6xnu7/87417242 https://lulustream.com/d/0ef9j5998k6w (2026) #milf #bigtits #bigass #interracial #RIPNSFW</v>
      </c>
      <c r="N806" s="2" t="s">
        <v>4087</v>
      </c>
      <c r="O806" s="30" t="s">
        <v>4088</v>
      </c>
      <c r="P806" s="26"/>
      <c r="R806" s="23"/>
    </row>
    <row r="807" spans="1:27" ht="12.75">
      <c r="A807" s="6" t="s">
        <v>4089</v>
      </c>
      <c r="B807" s="6" t="s">
        <v>14</v>
      </c>
      <c r="C807" s="7" t="str">
        <f t="shared" si="12"/>
        <v xml:space="preserve">Jessica Starling </v>
      </c>
      <c r="D807" s="6" t="s">
        <v>4090</v>
      </c>
      <c r="E807" s="8" t="s">
        <v>4091</v>
      </c>
      <c r="F807" s="9" t="str">
        <f ca="1">IFERROR(__xludf.DUMMYFUNCTION("""https://streamtape.com/v/""&amp;
REGEXEXTRACT(O807,""/thumb/([^/]+)/"")&amp;
""/""&amp;K807"),"https://streamtape.com/v/ykAwlBQVPMIyDB/32235557")</f>
        <v>https://streamtape.com/v/ykAwlBQVPMIyDB/32235557</v>
      </c>
      <c r="G807" s="10" t="e">
        <f t="shared" ca="1" si="13"/>
        <v>#NAME?</v>
      </c>
      <c r="H807" s="11" t="str">
        <f ca="1">IFERROR(__xludf.DUMMYFUNCTION("IFERROR(SUBSTITUTE(SUBSTITUTE(REGEXEXTRACT(A807, ""[^-]+- [^-]+- [^-]+ - (.+?)\.jpg""), "".jpg"", """"), ""-"", "", ""), """")"),"")</f>
        <v/>
      </c>
      <c r="I807" s="6"/>
      <c r="J807" s="7" t="str">
        <f t="shared" ca="1" si="14"/>
        <v>(2026)</v>
      </c>
      <c r="K807" s="7" t="str">
        <f t="shared" si="15"/>
        <v>32235557</v>
      </c>
      <c r="L807" s="12" t="s">
        <v>4092</v>
      </c>
      <c r="M807" s="13" t="str">
        <f ca="1">IFERROR(__xludf.DUMMYFUNCTION("TRIM(
  REGEXREPLACE(
    TEXTJOIN("" "",
      TRUE,
      B807,
      C807,
      embaralharLinks(E807,F807,G807),
      H807,
      """",
      J807,
      N807,
      ""#RIPNSFW""
    ),
  "",\s*"", "" "")
)"),"{New} Jessica Starling https://lulustream.com/d/mq8j2sho12uz https://streamtape.com/v/ykAwlBQVPMIyDB/32235557 https://doodstream.com/d/kkfx9j9myocu/32235557 (2026) #BigTits #Hardcore #Black #Interracial #Bigass #Porn #Teen #Blowjob #Deepthroat #Blonde #RI"&amp;"PNSFW")</f>
        <v>{New} Jessica Starling https://lulustream.com/d/mq8j2sho12uz https://streamtape.com/v/ykAwlBQVPMIyDB/32235557 https://doodstream.com/d/kkfx9j9myocu/32235557 (2026) #BigTits #Hardcore #Black #Interracial #Bigass #Porn #Teen #Blowjob #Deepthroat #Blonde #RIPNSFW</v>
      </c>
      <c r="N807" s="14" t="s">
        <v>4093</v>
      </c>
      <c r="O807" s="15" t="s">
        <v>4094</v>
      </c>
      <c r="P807" s="14"/>
      <c r="Q807" s="6"/>
      <c r="R807" s="11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>
      <c r="A808" s="6" t="s">
        <v>4095</v>
      </c>
      <c r="B808" s="6" t="s">
        <v>14</v>
      </c>
      <c r="C808" s="7" t="str">
        <f t="shared" si="12"/>
        <v xml:space="preserve">Jessica Starling </v>
      </c>
      <c r="D808" s="6" t="s">
        <v>4096</v>
      </c>
      <c r="E808" s="8" t="s">
        <v>4097</v>
      </c>
      <c r="F808" s="9" t="str">
        <f ca="1">IFERROR(__xludf.DUMMYFUNCTION("""https://streamtape.com/v/""&amp;
REGEXEXTRACT(O808,""/thumb/([^/]+)/"")&amp;
""/""&amp;K808"),"https://streamtape.com/v/Ly8pxrdwykI7Jg/34422315")</f>
        <v>https://streamtape.com/v/Ly8pxrdwykI7Jg/34422315</v>
      </c>
      <c r="G808" s="10" t="e">
        <f t="shared" ca="1" si="13"/>
        <v>#NAME?</v>
      </c>
      <c r="H808" s="11" t="str">
        <f ca="1">IFERROR(__xludf.DUMMYFUNCTION("IFERROR(SUBSTITUTE(SUBSTITUTE(REGEXEXTRACT(A808, ""[^-]+- [^-]+- [^-]+ - (.+?)\.jpg""), "".jpg"", """"), ""-"", "", ""), """")"),"")</f>
        <v/>
      </c>
      <c r="I808" s="6"/>
      <c r="J808" s="7" t="str">
        <f t="shared" ca="1" si="14"/>
        <v>(2026)</v>
      </c>
      <c r="K808" s="7" t="str">
        <f t="shared" si="15"/>
        <v>34422315</v>
      </c>
      <c r="L808" s="12" t="s">
        <v>4098</v>
      </c>
      <c r="M808" s="13" t="str">
        <f ca="1">IFERROR(__xludf.DUMMYFUNCTION("TRIM(
  REGEXREPLACE(
    TEXTJOIN("" "",
      TRUE,
      B808,
      C808,
      embaralharLinks(E808,F808,G808),
      H808,
      """",
      J808,
      N808,
      ""#RIPNSFW""
    ),
  "",\s*"", "" "")
)"),"{New} Jessica Starling https://streamtape.com/v/Ly8pxrdwykI7Jg/34422315 https://doodstream.com/d/extsv39k9k5e/34422315 https://lulustream.com/d/nynr85ghcisf (2026) #Anal #BigTits #Creampie #Hardcore #Bigass #Teen #Blowjob #Amateur #RIPNSFW")</f>
        <v>{New} Jessica Starling https://streamtape.com/v/Ly8pxrdwykI7Jg/34422315 https://doodstream.com/d/extsv39k9k5e/34422315 https://lulustream.com/d/nynr85ghcisf (2026) #Anal #BigTits #Creampie #Hardcore #Bigass #Teen #Blowjob #Amateur #RIPNSFW</v>
      </c>
      <c r="N808" s="14" t="s">
        <v>4099</v>
      </c>
      <c r="O808" s="15" t="s">
        <v>4100</v>
      </c>
      <c r="P808" s="14"/>
      <c r="Q808" s="6"/>
      <c r="R808" s="11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>
      <c r="A809" s="6" t="s">
        <v>4101</v>
      </c>
      <c r="B809" s="6" t="s">
        <v>14</v>
      </c>
      <c r="C809" s="7" t="str">
        <f t="shared" si="12"/>
        <v xml:space="preserve">Jessica Starling </v>
      </c>
      <c r="D809" s="6" t="s">
        <v>4102</v>
      </c>
      <c r="E809" s="8" t="s">
        <v>4103</v>
      </c>
      <c r="F809" s="9" t="str">
        <f ca="1">IFERROR(__xludf.DUMMYFUNCTION("""https://streamtape.com/v/""&amp;
REGEXEXTRACT(O809,""/thumb/([^/]+)/"")&amp;
""/""&amp;K809"),"https://streamtape.com/v/yd0vrm4MMzs1zle/43868467")</f>
        <v>https://streamtape.com/v/yd0vrm4MMzs1zle/43868467</v>
      </c>
      <c r="G809" s="10" t="e">
        <f t="shared" ca="1" si="13"/>
        <v>#NAME?</v>
      </c>
      <c r="H809" s="11" t="str">
        <f ca="1">IFERROR(__xludf.DUMMYFUNCTION("IFERROR(SUBSTITUTE(SUBSTITUTE(REGEXEXTRACT(A809, ""[^-]+- [^-]+- [^-]+ - (.+?)\.jpg""), "".jpg"", """"), ""-"", "", ""), """")"),"")</f>
        <v/>
      </c>
      <c r="I809" s="6"/>
      <c r="J809" s="7" t="str">
        <f t="shared" ca="1" si="14"/>
        <v>(2026)</v>
      </c>
      <c r="K809" s="7" t="str">
        <f t="shared" si="15"/>
        <v>43868467</v>
      </c>
      <c r="L809" s="12" t="s">
        <v>3349</v>
      </c>
      <c r="M809" s="13" t="str">
        <f ca="1">IFERROR(__xludf.DUMMYFUNCTION("TRIM(
  REGEXREPLACE(
    TEXTJOIN("" "",
      TRUE,
      B809,
      C809,
      embaralharLinks(E809,F809,G809),
      H809,
      """",
      J809,
      N809,
      ""#RIPNSFW""
    ),
  "",\s*"", "" "")
)"),"{New} Jessica Starling https://streamtape.com/v/yd0vrm4MMzs1zle/43868467 https://doodstream.com/d/a9uyyvir9psf/43868467 https://lulustream.com/d/ya8n440rb4jw (2026) #BigTits #Creampie #Hardcore #Bigass #RIPNSFW")</f>
        <v>{New} Jessica Starling https://streamtape.com/v/yd0vrm4MMzs1zle/43868467 https://doodstream.com/d/a9uyyvir9psf/43868467 https://lulustream.com/d/ya8n440rb4jw (2026) #BigTits #Creampie #Hardcore #Bigass #RIPNSFW</v>
      </c>
      <c r="N809" s="14" t="s">
        <v>108</v>
      </c>
      <c r="O809" s="15" t="s">
        <v>4104</v>
      </c>
      <c r="P809" s="14"/>
      <c r="Q809" s="6"/>
      <c r="R809" s="11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>
      <c r="A810" s="6" t="s">
        <v>4105</v>
      </c>
      <c r="B810" s="6" t="s">
        <v>14</v>
      </c>
      <c r="C810" s="7" t="str">
        <f t="shared" si="12"/>
        <v xml:space="preserve">Jessica Starling </v>
      </c>
      <c r="D810" s="6" t="s">
        <v>4106</v>
      </c>
      <c r="E810" s="8" t="s">
        <v>4107</v>
      </c>
      <c r="F810" s="9" t="str">
        <f ca="1">IFERROR(__xludf.DUMMYFUNCTION("""https://streamtape.com/v/""&amp;
REGEXEXTRACT(O810,""/thumb/([^/]+)/"")&amp;
""/""&amp;K810"),"https://streamtape.com/v/YqzrAVyGDVuvMom/79453596")</f>
        <v>https://streamtape.com/v/YqzrAVyGDVuvMom/79453596</v>
      </c>
      <c r="G810" s="10" t="e">
        <f t="shared" ca="1" si="13"/>
        <v>#NAME?</v>
      </c>
      <c r="H810" s="11" t="str">
        <f ca="1">IFERROR(__xludf.DUMMYFUNCTION("IFERROR(SUBSTITUTE(SUBSTITUTE(REGEXEXTRACT(A810, ""[^-]+- [^-]+- [^-]+ - (.+?)\.jpg""), "".jpg"", """"), ""-"", "", ""), """")"),"")</f>
        <v/>
      </c>
      <c r="I810" s="6"/>
      <c r="J810" s="7" t="str">
        <f t="shared" ca="1" si="14"/>
        <v>(2026)</v>
      </c>
      <c r="K810" s="7" t="str">
        <f t="shared" si="15"/>
        <v>79453596</v>
      </c>
      <c r="L810" s="12" t="s">
        <v>4108</v>
      </c>
      <c r="M810" s="13" t="str">
        <f ca="1">IFERROR(__xludf.DUMMYFUNCTION("TRIM(
  REGEXREPLACE(
    TEXTJOIN("" "",
      TRUE,
      B810,
      C810,
      embaralharLinks(E810,F810,G810),
      H810,
      """",
      J810,
      N810,
      ""#RIPNSFW""
    ),
  "",\s*"", "" "")
)"),"{New} Jessica Starling https://lulustream.com/d/0bmu9s51i4v5 https://doodstream.com/d/d13m12nbbt8a/79453596 https://streamtape.com/v/YqzrAVyGDVuvMom/79453596 (2026) #Anal #BigTits #Creampie #Hardcore #Bigass #Teen #Blowjob #RIPNSFW")</f>
        <v>{New} Jessica Starling https://lulustream.com/d/0bmu9s51i4v5 https://doodstream.com/d/d13m12nbbt8a/79453596 https://streamtape.com/v/YqzrAVyGDVuvMom/79453596 (2026) #Anal #BigTits #Creampie #Hardcore #Bigass #Teen #Blowjob #RIPNSFW</v>
      </c>
      <c r="N810" s="14" t="s">
        <v>4109</v>
      </c>
      <c r="O810" s="15" t="s">
        <v>4110</v>
      </c>
      <c r="P810" s="14"/>
      <c r="Q810" s="6"/>
      <c r="R810" s="11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>
      <c r="A811" s="12" t="s">
        <v>4111</v>
      </c>
      <c r="B811" s="6" t="s">
        <v>14</v>
      </c>
      <c r="C811" s="7" t="str">
        <f t="shared" si="12"/>
        <v xml:space="preserve">Jessie Rogers </v>
      </c>
      <c r="D811" s="24" t="s">
        <v>4112</v>
      </c>
      <c r="E811" s="25" t="s">
        <v>4113</v>
      </c>
      <c r="F811" s="9" t="str">
        <f ca="1">IFERROR(__xludf.DUMMYFUNCTION("""https://streamtape.com/v/""&amp;
REGEXEXTRACT(O811,""/thumb/([^/]+)/"")&amp;
""/""&amp;K811"),"https://streamtape.com/v/gPO7myVywpCqWBA/10648497")</f>
        <v>https://streamtape.com/v/gPO7myVywpCqWBA/10648497</v>
      </c>
      <c r="G811" s="10" t="e">
        <f t="shared" ca="1" si="13"/>
        <v>#NAME?</v>
      </c>
      <c r="H811" s="11" t="str">
        <f ca="1">IFERROR(__xludf.DUMMYFUNCTION("IFERROR(SUBSTITUTE(SUBSTITUTE(REGEXEXTRACT(A811, ""[^-]+- [^-]+- [^-]+ - (.+?)\.jpg""), "".jpg"", """"), ""-"", "", ""), """")"),"")</f>
        <v/>
      </c>
      <c r="I811" s="6"/>
      <c r="J811" s="7" t="str">
        <f t="shared" ca="1" si="14"/>
        <v>(2026)</v>
      </c>
      <c r="K811" s="7" t="str">
        <f t="shared" si="15"/>
        <v>10648497</v>
      </c>
      <c r="L811" s="12" t="s">
        <v>1462</v>
      </c>
      <c r="M811" s="13" t="str">
        <f ca="1">IFERROR(__xludf.DUMMYFUNCTION("TRIM(
  REGEXREPLACE(
    TEXTJOIN("" "",
      TRUE,
      B811,
      C811,
      embaralharLinks(E811,F811,G811),
      H811,
      """",
      J811,
      N811,
      ""#RIPNSFW""
    ),
  "",\s*"", "" "")
)"),"{New} Jessie Rogers https://streamtape.com/v/gPO7myVywpCqWBA/10648497 https://lulustream.com/d/losqdpug1d6l https://doodstream.com/d/jzaerifv7tan/10648497 (2026) #milf #bigtits #bigass #blowjob #RIPNSFW")</f>
        <v>{New} Jessie Rogers https://streamtape.com/v/gPO7myVywpCqWBA/10648497 https://lulustream.com/d/losqdpug1d6l https://doodstream.com/d/jzaerifv7tan/10648497 (2026) #milf #bigtits #bigass #blowjob #RIPNSFW</v>
      </c>
      <c r="N811" s="2" t="s">
        <v>1462</v>
      </c>
      <c r="O811" s="21" t="s">
        <v>4114</v>
      </c>
      <c r="P811" s="26"/>
      <c r="R811" s="23"/>
    </row>
    <row r="812" spans="1:27" ht="12.75">
      <c r="A812" s="12" t="s">
        <v>4115</v>
      </c>
      <c r="B812" s="6" t="s">
        <v>14</v>
      </c>
      <c r="C812" s="7" t="str">
        <f t="shared" si="12"/>
        <v xml:space="preserve">Jessie Rogers </v>
      </c>
      <c r="D812" s="24" t="s">
        <v>4116</v>
      </c>
      <c r="E812" s="25" t="s">
        <v>4117</v>
      </c>
      <c r="F812" s="9" t="str">
        <f ca="1">IFERROR(__xludf.DUMMYFUNCTION("""https://streamtape.com/v/""&amp;
REGEXEXTRACT(O812,""/thumb/([^/]+)/"")&amp;
""/""&amp;K812"),"https://streamtape.com/v/wgxa1OMA0BIJOlW/11640804")</f>
        <v>https://streamtape.com/v/wgxa1OMA0BIJOlW/11640804</v>
      </c>
      <c r="G812" s="10" t="e">
        <f t="shared" ca="1" si="13"/>
        <v>#NAME?</v>
      </c>
      <c r="H812" s="11" t="str">
        <f ca="1">IFERROR(__xludf.DUMMYFUNCTION("IFERROR(SUBSTITUTE(SUBSTITUTE(REGEXEXTRACT(A812, ""[^-]+- [^-]+- [^-]+ - (.+?)\.jpg""), "".jpg"", """"), ""-"", "", ""), """")"),"")</f>
        <v/>
      </c>
      <c r="I812" s="6"/>
      <c r="J812" s="7" t="str">
        <f t="shared" ca="1" si="14"/>
        <v>(2026)</v>
      </c>
      <c r="K812" s="7" t="str">
        <f t="shared" si="15"/>
        <v>11640804</v>
      </c>
      <c r="L812" s="12" t="s">
        <v>127</v>
      </c>
      <c r="M812" s="13" t="str">
        <f ca="1">IFERROR(__xludf.DUMMYFUNCTION("TRIM(
  REGEXREPLACE(
    TEXTJOIN("" "",
      TRUE,
      B812,
      C812,
      embaralharLinks(E812,F812,G812),
      H812,
      """",
      J812,
      N812,
      ""#RIPNSFW""
    ),
  "",\s*"", "" "")
)"),"{New} Jessie Rogers https://streamtape.com/v/wgxa1OMA0BIJOlW/11640804 https://lulustream.com/d/14i3s5nfh9t1 https://doodstream.com/d/zlgp8yyru8cl/11640804 (2026) #MILF #BigTits #Hardcore #Bigass #RIPNSFW")</f>
        <v>{New} Jessie Rogers https://streamtape.com/v/wgxa1OMA0BIJOlW/11640804 https://lulustream.com/d/14i3s5nfh9t1 https://doodstream.com/d/zlgp8yyru8cl/11640804 (2026) #MILF #BigTits #Hardcore #Bigass #RIPNSFW</v>
      </c>
      <c r="N812" s="2" t="s">
        <v>128</v>
      </c>
      <c r="O812" s="30" t="s">
        <v>4118</v>
      </c>
      <c r="P812" s="26"/>
      <c r="R812" s="23"/>
    </row>
    <row r="813" spans="1:27" ht="12.75">
      <c r="A813" s="12" t="s">
        <v>4119</v>
      </c>
      <c r="B813" s="6" t="s">
        <v>14</v>
      </c>
      <c r="C813" s="7" t="str">
        <f t="shared" si="12"/>
        <v xml:space="preserve">Jessie Rogers </v>
      </c>
      <c r="D813" s="27" t="s">
        <v>4120</v>
      </c>
      <c r="E813" s="28" t="s">
        <v>4121</v>
      </c>
      <c r="F813" s="9" t="str">
        <f ca="1">IFERROR(__xludf.DUMMYFUNCTION("""https://streamtape.com/v/""&amp;
REGEXEXTRACT(O813,""/thumb/([^/]+)/"")&amp;
""/""&amp;K813"),"https://streamtape.com/v/jYkWkYp3wVtzZ19/13653644")</f>
        <v>https://streamtape.com/v/jYkWkYp3wVtzZ19/13653644</v>
      </c>
      <c r="G813" s="10" t="e">
        <f t="shared" ca="1" si="13"/>
        <v>#NAME?</v>
      </c>
      <c r="H813" s="11" t="str">
        <f ca="1">IFERROR(__xludf.DUMMYFUNCTION("IFERROR(SUBSTITUTE(SUBSTITUTE(REGEXEXTRACT(A813, ""[^-]+- [^-]+- [^-]+ - (.+?)\.jpg""), "".jpg"", """"), ""-"", "", ""), """")"),"")</f>
        <v/>
      </c>
      <c r="I813" s="6"/>
      <c r="J813" s="7" t="str">
        <f t="shared" ca="1" si="14"/>
        <v>(2026)</v>
      </c>
      <c r="K813" s="7" t="str">
        <f t="shared" si="15"/>
        <v>13653644</v>
      </c>
      <c r="L813" s="12" t="s">
        <v>127</v>
      </c>
      <c r="M813" s="13" t="str">
        <f ca="1">IFERROR(__xludf.DUMMYFUNCTION("TRIM(
  REGEXREPLACE(
    TEXTJOIN("" "",
      TRUE,
      B813,
      C813,
      embaralharLinks(E813,F813,G813),
      H813,
      """",
      J813,
      N813,
      ""#RIPNSFW""
    ),
  "",\s*"", "" "")
)"),"{New} Jessie Rogers https://doodstream.com/d/3uflyqxtqsx0/13653644 https://streamtape.com/v/jYkWkYp3wVtzZ19/13653644 https://lulustream.com/d/enku4im9cizy (2026) #MILF #BigTits #Hardcore #Bigass #RIPNSFW")</f>
        <v>{New} Jessie Rogers https://doodstream.com/d/3uflyqxtqsx0/13653644 https://streamtape.com/v/jYkWkYp3wVtzZ19/13653644 https://lulustream.com/d/enku4im9cizy (2026) #MILF #BigTits #Hardcore #Bigass #RIPNSFW</v>
      </c>
      <c r="N813" s="2" t="s">
        <v>128</v>
      </c>
      <c r="O813" s="30" t="s">
        <v>4122</v>
      </c>
      <c r="P813" s="26"/>
      <c r="R813" s="23"/>
    </row>
    <row r="814" spans="1:27" ht="12.75">
      <c r="A814" s="12" t="s">
        <v>4123</v>
      </c>
      <c r="B814" s="6" t="s">
        <v>14</v>
      </c>
      <c r="C814" s="7" t="str">
        <f t="shared" si="12"/>
        <v xml:space="preserve">Jessie Rogers </v>
      </c>
      <c r="D814" s="24" t="s">
        <v>4124</v>
      </c>
      <c r="E814" s="25" t="s">
        <v>4125</v>
      </c>
      <c r="F814" s="9" t="str">
        <f ca="1">IFERROR(__xludf.DUMMYFUNCTION("""https://streamtape.com/v/""&amp;
REGEXEXTRACT(O814,""/thumb/([^/]+)/"")&amp;
""/""&amp;K814"),"https://streamtape.com/v/mllggqPRPos6Mr/14908342")</f>
        <v>https://streamtape.com/v/mllggqPRPos6Mr/14908342</v>
      </c>
      <c r="G814" s="10" t="e">
        <f t="shared" ca="1" si="13"/>
        <v>#NAME?</v>
      </c>
      <c r="H814" s="11" t="str">
        <f ca="1">IFERROR(__xludf.DUMMYFUNCTION("IFERROR(SUBSTITUTE(SUBSTITUTE(REGEXEXTRACT(A814, ""[^-]+- [^-]+- [^-]+ - (.+?)\.jpg""), "".jpg"", """"), ""-"", "", ""), """")"),"")</f>
        <v/>
      </c>
      <c r="I814" s="6"/>
      <c r="J814" s="7" t="str">
        <f t="shared" ca="1" si="14"/>
        <v>(2026)</v>
      </c>
      <c r="K814" s="7" t="str">
        <f t="shared" si="15"/>
        <v>14908342</v>
      </c>
      <c r="L814" s="12" t="s">
        <v>4126</v>
      </c>
      <c r="M814" s="13" t="str">
        <f ca="1">IFERROR(__xludf.DUMMYFUNCTION("TRIM(
  REGEXREPLACE(
    TEXTJOIN("" "",
      TRUE,
      B814,
      C814,
      embaralharLinks(E814,F814,G814),
      H814,
      """",
      J814,
      N814,
      ""#RIPNSFW""
    ),
  "",\s*"", "" "")
)"),"{New} Jessie Rogers https://streamtape.com/v/mllggqPRPos6Mr/14908342 https://doodstream.com/d/59ch98uwuped/14908342 https://lulustream.com/d/5w7ribny22rn (2026) #milf #blowjob #porn #bigass #RIPNSFW")</f>
        <v>{New} Jessie Rogers https://streamtape.com/v/mllggqPRPos6Mr/14908342 https://doodstream.com/d/59ch98uwuped/14908342 https://lulustream.com/d/5w7ribny22rn (2026) #milf #blowjob #porn #bigass #RIPNSFW</v>
      </c>
      <c r="N814" s="2" t="s">
        <v>4126</v>
      </c>
      <c r="O814" s="30" t="s">
        <v>4127</v>
      </c>
      <c r="P814" s="26"/>
      <c r="R814" s="23"/>
    </row>
    <row r="815" spans="1:27" ht="12.75">
      <c r="A815" s="12" t="s">
        <v>4128</v>
      </c>
      <c r="B815" s="6" t="s">
        <v>14</v>
      </c>
      <c r="C815" s="7" t="str">
        <f t="shared" si="12"/>
        <v xml:space="preserve">Jessie Rogers </v>
      </c>
      <c r="D815" s="27" t="s">
        <v>4129</v>
      </c>
      <c r="E815" s="28" t="s">
        <v>4130</v>
      </c>
      <c r="F815" s="9" t="str">
        <f ca="1">IFERROR(__xludf.DUMMYFUNCTION("""https://streamtape.com/v/""&amp;
REGEXEXTRACT(O815,""/thumb/([^/]+)/"")&amp;
""/""&amp;K815"),"https://streamtape.com/v/9XqZ86P4LbUaeY3/20897311")</f>
        <v>https://streamtape.com/v/9XqZ86P4LbUaeY3/20897311</v>
      </c>
      <c r="G815" s="10" t="e">
        <f t="shared" ca="1" si="13"/>
        <v>#NAME?</v>
      </c>
      <c r="H815" s="11" t="str">
        <f ca="1">IFERROR(__xludf.DUMMYFUNCTION("IFERROR(SUBSTITUTE(SUBSTITUTE(REGEXEXTRACT(A815, ""[^-]+- [^-]+- [^-]+ - (.+?)\.jpg""), "".jpg"", """"), ""-"", "", ""), """")"),"")</f>
        <v/>
      </c>
      <c r="I815" s="6"/>
      <c r="J815" s="7" t="str">
        <f t="shared" ca="1" si="14"/>
        <v>(2026)</v>
      </c>
      <c r="K815" s="7" t="str">
        <f t="shared" si="15"/>
        <v>20897311</v>
      </c>
      <c r="L815" s="12" t="s">
        <v>127</v>
      </c>
      <c r="M815" s="13" t="str">
        <f ca="1">IFERROR(__xludf.DUMMYFUNCTION("TRIM(
  REGEXREPLACE(
    TEXTJOIN("" "",
      TRUE,
      B815,
      C815,
      embaralharLinks(E815,F815,G815),
      H815,
      """",
      J815,
      N815,
      ""#RIPNSFW""
    ),
  "",\s*"", "" "")
)"),"{New} Jessie Rogers https://streamtape.com/v/9XqZ86P4LbUaeY3/20897311 https://doodstream.com/d/8bhl9o5dntp9/20897311 https://lulustream.com/d/2qhf7nr01wqg (2026) #MILF #BigTits #Hardcore #Bigass #RIPNSFW")</f>
        <v>{New} Jessie Rogers https://streamtape.com/v/9XqZ86P4LbUaeY3/20897311 https://doodstream.com/d/8bhl9o5dntp9/20897311 https://lulustream.com/d/2qhf7nr01wqg (2026) #MILF #BigTits #Hardcore #Bigass #RIPNSFW</v>
      </c>
      <c r="N815" s="2" t="s">
        <v>128</v>
      </c>
      <c r="O815" s="30" t="s">
        <v>4131</v>
      </c>
      <c r="P815" s="26"/>
      <c r="R815" s="23"/>
    </row>
    <row r="816" spans="1:27" ht="12.75">
      <c r="A816" s="12" t="s">
        <v>4132</v>
      </c>
      <c r="B816" s="6" t="s">
        <v>14</v>
      </c>
      <c r="C816" s="7" t="str">
        <f t="shared" si="12"/>
        <v xml:space="preserve">Jessie Rogers </v>
      </c>
      <c r="D816" s="27" t="s">
        <v>4133</v>
      </c>
      <c r="E816" s="28" t="s">
        <v>4134</v>
      </c>
      <c r="F816" s="9" t="str">
        <f ca="1">IFERROR(__xludf.DUMMYFUNCTION("""https://streamtape.com/v/""&amp;
REGEXEXTRACT(O816,""/thumb/([^/]+)/"")&amp;
""/""&amp;K816"),"https://streamtape.com/v/WbBqma2Q7XCb3wx/22580865")</f>
        <v>https://streamtape.com/v/WbBqma2Q7XCb3wx/22580865</v>
      </c>
      <c r="G816" s="10" t="e">
        <f t="shared" ca="1" si="13"/>
        <v>#NAME?</v>
      </c>
      <c r="H816" s="11" t="str">
        <f ca="1">IFERROR(__xludf.DUMMYFUNCTION("IFERROR(SUBSTITUTE(SUBSTITUTE(REGEXEXTRACT(A816, ""[^-]+- [^-]+- [^-]+ - (.+?)\.jpg""), "".jpg"", """"), ""-"", "", ""), """")"),"")</f>
        <v/>
      </c>
      <c r="I816" s="6"/>
      <c r="J816" s="7" t="str">
        <f t="shared" ca="1" si="14"/>
        <v>(2026)</v>
      </c>
      <c r="K816" s="7" t="str">
        <f t="shared" si="15"/>
        <v>22580865</v>
      </c>
      <c r="L816" s="12" t="s">
        <v>127</v>
      </c>
      <c r="M816" s="13" t="str">
        <f ca="1">IFERROR(__xludf.DUMMYFUNCTION("TRIM(
  REGEXREPLACE(
    TEXTJOIN("" "",
      TRUE,
      B816,
      C816,
      embaralharLinks(E816,F816,G816),
      H816,
      """",
      J816,
      N816,
      ""#RIPNSFW""
    ),
  "",\s*"", "" "")
)"),"{New} Jessie Rogers https://streamtape.com/v/WbBqma2Q7XCb3wx/22580865 https://lulustream.com/d/80lf8shm7b5q https://doodstream.com/d/vwlueisdok43/22580865 (2026) #MILF #BigTits #Hardcore #Bigass #RIPNSFW")</f>
        <v>{New} Jessie Rogers https://streamtape.com/v/WbBqma2Q7XCb3wx/22580865 https://lulustream.com/d/80lf8shm7b5q https://doodstream.com/d/vwlueisdok43/22580865 (2026) #MILF #BigTits #Hardcore #Bigass #RIPNSFW</v>
      </c>
      <c r="N816" s="2" t="s">
        <v>128</v>
      </c>
      <c r="O816" s="30" t="s">
        <v>4135</v>
      </c>
      <c r="P816" s="26"/>
      <c r="R816" s="23"/>
    </row>
    <row r="817" spans="1:27" ht="12.75">
      <c r="A817" s="12" t="s">
        <v>4136</v>
      </c>
      <c r="B817" s="6" t="s">
        <v>14</v>
      </c>
      <c r="C817" s="7" t="str">
        <f t="shared" si="12"/>
        <v xml:space="preserve">Jessie Rogers </v>
      </c>
      <c r="D817" s="24" t="s">
        <v>4137</v>
      </c>
      <c r="E817" s="25" t="s">
        <v>4138</v>
      </c>
      <c r="F817" s="9" t="str">
        <f ca="1">IFERROR(__xludf.DUMMYFUNCTION("""https://streamtape.com/v/""&amp;
REGEXEXTRACT(O817,""/thumb/([^/]+)/"")&amp;
""/""&amp;K817"),"https://streamtape.com/v/J06o1MZYa0CjWmb/23206176")</f>
        <v>https://streamtape.com/v/J06o1MZYa0CjWmb/23206176</v>
      </c>
      <c r="G817" s="10" t="e">
        <f t="shared" ca="1" si="13"/>
        <v>#NAME?</v>
      </c>
      <c r="H817" s="11" t="str">
        <f ca="1">IFERROR(__xludf.DUMMYFUNCTION("IFERROR(SUBSTITUTE(SUBSTITUTE(REGEXEXTRACT(A817, ""[^-]+- [^-]+- [^-]+ - (.+?)\.jpg""), "".jpg"", """"), ""-"", "", ""), """")"),"")</f>
        <v/>
      </c>
      <c r="I817" s="6"/>
      <c r="J817" s="7" t="str">
        <f t="shared" ca="1" si="14"/>
        <v>(2026)</v>
      </c>
      <c r="K817" s="7" t="str">
        <f t="shared" si="15"/>
        <v>23206176</v>
      </c>
      <c r="L817" s="12" t="s">
        <v>4139</v>
      </c>
      <c r="M817" s="13" t="str">
        <f ca="1">IFERROR(__xludf.DUMMYFUNCTION("TRIM(
  REGEXREPLACE(
    TEXTJOIN("" "",
      TRUE,
      B817,
      C817,
      embaralharLinks(E817,F817,G817),
      H817,
      """",
      J817,
      N817,
      ""#RIPNSFW""
    ),
  "",\s*"", "" "")
)"),"{New} Jessie Rogers https://lulustream.com/d/3ruyjh4s9grd https://doodstream.com/d/wf2psnicdm8y/23206176 https://streamtape.com/v/J06o1MZYa0CjWmb/23206176 (2026) #anal #milf #bigtits #bigass #RIPNSFW")</f>
        <v>{New} Jessie Rogers https://lulustream.com/d/3ruyjh4s9grd https://doodstream.com/d/wf2psnicdm8y/23206176 https://streamtape.com/v/J06o1MZYa0CjWmb/23206176 (2026) #anal #milf #bigtits #bigass #RIPNSFW</v>
      </c>
      <c r="N817" s="2" t="s">
        <v>4139</v>
      </c>
      <c r="O817" s="30" t="s">
        <v>4140</v>
      </c>
      <c r="P817" s="26"/>
      <c r="R817" s="23"/>
    </row>
    <row r="818" spans="1:27" ht="12.75">
      <c r="A818" s="6" t="s">
        <v>4141</v>
      </c>
      <c r="B818" s="6" t="s">
        <v>14</v>
      </c>
      <c r="C818" s="7" t="str">
        <f t="shared" si="12"/>
        <v xml:space="preserve">Jessie Rogers </v>
      </c>
      <c r="D818" s="24" t="s">
        <v>4142</v>
      </c>
      <c r="E818" s="25" t="s">
        <v>4143</v>
      </c>
      <c r="F818" s="9" t="str">
        <f ca="1">IFERROR(__xludf.DUMMYFUNCTION("""https://streamtape.com/v/""&amp;
REGEXEXTRACT(O818,""/thumb/([^/]+)/"")&amp;
""/""&amp;K818"),"https://streamtape.com/v/rdvdzkLdjbUbmqp/23837155")</f>
        <v>https://streamtape.com/v/rdvdzkLdjbUbmqp/23837155</v>
      </c>
      <c r="G818" s="10" t="e">
        <f t="shared" ca="1" si="13"/>
        <v>#NAME?</v>
      </c>
      <c r="H818" s="11" t="str">
        <f ca="1">IFERROR(__xludf.DUMMYFUNCTION("IFERROR(SUBSTITUTE(SUBSTITUTE(REGEXEXTRACT(A818, ""[^-]+- [^-]+- [^-]+ - (.+?)\.jpg""), "".jpg"", """"), ""-"", "", ""), """")"),"")</f>
        <v/>
      </c>
      <c r="I818" s="6"/>
      <c r="J818" s="7" t="str">
        <f t="shared" ca="1" si="14"/>
        <v>(2026)</v>
      </c>
      <c r="K818" s="7" t="str">
        <f t="shared" si="15"/>
        <v>23837155</v>
      </c>
      <c r="L818" s="12" t="s">
        <v>4144</v>
      </c>
      <c r="M818" s="13" t="str">
        <f ca="1">IFERROR(__xludf.DUMMYFUNCTION("TRIM(
  REGEXREPLACE(
    TEXTJOIN("" "",
      TRUE,
      B818,
      C818,
      embaralharLinks(E818,F818,G818),
      H818,
      """",
      J818,
      N818,
      ""#RIPNSFW""
    ),
  "",\s*"", "" "")
)"),"{New} Jessie Rogers https://streamtape.com/v/rdvdzkLdjbUbmqp/23837155 https://doodstream.com/d/ns8vasixddvq/23837155 https://lulustream.com/d/ehfiysg0uk7j (2026) #milf #bigtits #interracial #bigass #RIPNSFW")</f>
        <v>{New} Jessie Rogers https://streamtape.com/v/rdvdzkLdjbUbmqp/23837155 https://doodstream.com/d/ns8vasixddvq/23837155 https://lulustream.com/d/ehfiysg0uk7j (2026) #milf #bigtits #interracial #bigass #RIPNSFW</v>
      </c>
      <c r="N818" s="31" t="s">
        <v>4144</v>
      </c>
      <c r="O818" s="32" t="s">
        <v>4145</v>
      </c>
      <c r="P818" s="26"/>
      <c r="Q818" s="6"/>
      <c r="R818" s="11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>
      <c r="A819" s="12" t="s">
        <v>4146</v>
      </c>
      <c r="B819" s="6" t="s">
        <v>14</v>
      </c>
      <c r="C819" s="7" t="str">
        <f t="shared" si="12"/>
        <v xml:space="preserve">Jessie Rogers </v>
      </c>
      <c r="D819" s="27" t="s">
        <v>4147</v>
      </c>
      <c r="E819" s="28" t="s">
        <v>4148</v>
      </c>
      <c r="F819" s="9" t="str">
        <f ca="1">IFERROR(__xludf.DUMMYFUNCTION("""https://streamtape.com/v/""&amp;
REGEXEXTRACT(O819,""/thumb/([^/]+)/"")&amp;
""/""&amp;K819"),"https://streamtape.com/v/el9P7QdqRwimyX/25028555")</f>
        <v>https://streamtape.com/v/el9P7QdqRwimyX/25028555</v>
      </c>
      <c r="G819" s="10" t="e">
        <f t="shared" ca="1" si="13"/>
        <v>#NAME?</v>
      </c>
      <c r="H819" s="11" t="str">
        <f ca="1">IFERROR(__xludf.DUMMYFUNCTION("IFERROR(SUBSTITUTE(SUBSTITUTE(REGEXEXTRACT(A819, ""[^-]+- [^-]+- [^-]+ - (.+?)\.jpg""), "".jpg"", """"), ""-"", "", ""), """")"),"Tommy King")</f>
        <v>Tommy King</v>
      </c>
      <c r="I819" s="6"/>
      <c r="J819" s="7" t="str">
        <f t="shared" ca="1" si="14"/>
        <v>(2026)</v>
      </c>
      <c r="K819" s="7" t="str">
        <f t="shared" si="15"/>
        <v>25028555</v>
      </c>
      <c r="L819" s="12" t="s">
        <v>71</v>
      </c>
      <c r="M819" s="13" t="str">
        <f ca="1">IFERROR(__xludf.DUMMYFUNCTION("TRIM(
  REGEXREPLACE(
    TEXTJOIN("" "",
      TRUE,
      B819,
      C819,
      embaralharLinks(E819,F819,G819),
      H819,
      """",
      J819,
      N819,
      ""#RIPNSFW""
    ),
  "",\s*"", "" "")
)"),"{New} Jessie Rogers https://doodstream.com/d/09piocc6sxqz/25028555 https://streamtape.com/v/el9P7QdqRwimyX/25028555 https://lulustream.com/d/p3bdes8hx371 Tommy King (2026) #Anal #MILF #BigTits #Hardcore #RIPNSFW")</f>
        <v>{New} Jessie Rogers https://doodstream.com/d/09piocc6sxqz/25028555 https://streamtape.com/v/el9P7QdqRwimyX/25028555 https://lulustream.com/d/p3bdes8hx371 Tommy King (2026) #Anal #MILF #BigTits #Hardcore #RIPNSFW</v>
      </c>
      <c r="N819" s="2" t="s">
        <v>72</v>
      </c>
      <c r="O819" s="21" t="s">
        <v>4149</v>
      </c>
      <c r="P819" s="26"/>
      <c r="R819" s="23"/>
    </row>
    <row r="820" spans="1:27" ht="12.75">
      <c r="A820" s="6" t="s">
        <v>4150</v>
      </c>
      <c r="B820" s="6" t="s">
        <v>14</v>
      </c>
      <c r="C820" s="7" t="str">
        <f t="shared" si="12"/>
        <v xml:space="preserve">Jessie Rogers </v>
      </c>
      <c r="D820" s="29" t="s">
        <v>4151</v>
      </c>
      <c r="E820" s="8" t="s">
        <v>4152</v>
      </c>
      <c r="F820" s="9" t="str">
        <f ca="1">IFERROR(__xludf.DUMMYFUNCTION("""https://streamtape.com/v/""&amp;
REGEXEXTRACT(O820,""/thumb/([^/]+)/"")&amp;
""/""&amp;K820"),"https://streamtape.com/v/bjAkr9lQOOhLo9/27969728")</f>
        <v>https://streamtape.com/v/bjAkr9lQOOhLo9/27969728</v>
      </c>
      <c r="G820" s="10" t="e">
        <f t="shared" ca="1" si="13"/>
        <v>#NAME?</v>
      </c>
      <c r="H820" s="11" t="str">
        <f ca="1">IFERROR(__xludf.DUMMYFUNCTION("IFERROR(SUBSTITUTE(SUBSTITUTE(REGEXEXTRACT(A820, ""[^-]+- [^-]+- [^-]+ - (.+?)\.jpg""), "".jpg"", """"), ""-"", "", ""), """")"),"")</f>
        <v/>
      </c>
      <c r="I820" s="6"/>
      <c r="J820" s="7" t="str">
        <f t="shared" ca="1" si="14"/>
        <v>(2026)</v>
      </c>
      <c r="K820" s="7" t="str">
        <f t="shared" si="15"/>
        <v>27969728</v>
      </c>
      <c r="L820" s="12" t="s">
        <v>4153</v>
      </c>
      <c r="M820" s="13" t="str">
        <f ca="1">IFERROR(__xludf.DUMMYFUNCTION("TRIM(
  REGEXREPLACE(
    TEXTJOIN("" "",
      TRUE,
      B820,
      C820,
      embaralharLinks(E820,F820,G820),
      H820,
      """",
      J820,
      N820,
      ""#RIPNSFW""
    ),
  "",\s*"", "" "")
)"),"{New} Jessie Rogers https://streamtape.com/v/bjAkr9lQOOhLo9/27969728 https://lulustream.com/d/2w9yid4ielh5 https://doodstream.com/d/c33zy6aev2bn/27969728 (2026) #MILF #BigTits #Hardcore #Bigass #Porn #Latina #Stepmom #Blowjob #Hotwife #RIPNSFW")</f>
        <v>{New} Jessie Rogers https://streamtape.com/v/bjAkr9lQOOhLo9/27969728 https://lulustream.com/d/2w9yid4ielh5 https://doodstream.com/d/c33zy6aev2bn/27969728 (2026) #MILF #BigTits #Hardcore #Bigass #Porn #Latina #Stepmom #Blowjob #Hotwife #RIPNSFW</v>
      </c>
      <c r="N820" s="14" t="s">
        <v>4154</v>
      </c>
      <c r="O820" s="32" t="s">
        <v>4155</v>
      </c>
      <c r="P820" s="14"/>
      <c r="Q820" s="6"/>
      <c r="R820" s="11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>
      <c r="A821" s="6" t="s">
        <v>4156</v>
      </c>
      <c r="B821" s="6" t="s">
        <v>14</v>
      </c>
      <c r="C821" s="7" t="str">
        <f t="shared" si="12"/>
        <v xml:space="preserve">Jessie Rogers </v>
      </c>
      <c r="D821" s="24" t="s">
        <v>4157</v>
      </c>
      <c r="E821" s="25" t="s">
        <v>4158</v>
      </c>
      <c r="F821" s="9" t="str">
        <f ca="1">IFERROR(__xludf.DUMMYFUNCTION("""https://streamtape.com/v/""&amp;
REGEXEXTRACT(O821,""/thumb/([^/]+)/"")&amp;
""/""&amp;K821"),"https://streamtape.com/v/Qgbmm393aes0PgJ/29227295")</f>
        <v>https://streamtape.com/v/Qgbmm393aes0PgJ/29227295</v>
      </c>
      <c r="G821" s="10" t="e">
        <f t="shared" ca="1" si="13"/>
        <v>#NAME?</v>
      </c>
      <c r="H821" s="11" t="str">
        <f ca="1">IFERROR(__xludf.DUMMYFUNCTION("IFERROR(SUBSTITUTE(SUBSTITUTE(REGEXEXTRACT(A821, ""[^-]+- [^-]+- [^-]+ - (.+?)\.jpg""), "".jpg"", """"), ""-"", "", ""), """")"),"")</f>
        <v/>
      </c>
      <c r="I821" s="6"/>
      <c r="J821" s="7" t="str">
        <f t="shared" ca="1" si="14"/>
        <v>(2026)</v>
      </c>
      <c r="K821" s="7" t="str">
        <f t="shared" si="15"/>
        <v>29227295</v>
      </c>
      <c r="L821" s="12" t="s">
        <v>1462</v>
      </c>
      <c r="M821" s="13" t="str">
        <f ca="1">IFERROR(__xludf.DUMMYFUNCTION("TRIM(
  REGEXREPLACE(
    TEXTJOIN("" "",
      TRUE,
      B821,
      C821,
      embaralharLinks(E821,F821,G821),
      H821,
      """",
      J821,
      N821,
      ""#RIPNSFW""
    ),
  "",\s*"", "" "")
)"),"{New} Jessie Rogers https://doodstream.com/d/7il96nm6t6zf/29227295 https://streamtape.com/v/Qgbmm393aes0PgJ/29227295 https://lulustream.com/d/avlpfrh6vx15 (2026) #milf #bigtits #bigass #blowjob #RIPNSFW")</f>
        <v>{New} Jessie Rogers https://doodstream.com/d/7il96nm6t6zf/29227295 https://streamtape.com/v/Qgbmm393aes0PgJ/29227295 https://lulustream.com/d/avlpfrh6vx15 (2026) #milf #bigtits #bigass #blowjob #RIPNSFW</v>
      </c>
      <c r="N821" s="31" t="s">
        <v>1462</v>
      </c>
      <c r="O821" s="32" t="s">
        <v>4159</v>
      </c>
      <c r="P821" s="26"/>
      <c r="Q821" s="6"/>
      <c r="R821" s="11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>
      <c r="A822" s="12" t="s">
        <v>4160</v>
      </c>
      <c r="B822" s="6" t="s">
        <v>14</v>
      </c>
      <c r="C822" s="7" t="str">
        <f t="shared" si="12"/>
        <v xml:space="preserve">Jessie Rogers </v>
      </c>
      <c r="D822" s="27" t="s">
        <v>4161</v>
      </c>
      <c r="E822" s="28" t="s">
        <v>4162</v>
      </c>
      <c r="F822" s="9" t="str">
        <f ca="1">IFERROR(__xludf.DUMMYFUNCTION("""https://streamtape.com/v/""&amp;
REGEXEXTRACT(O822,""/thumb/([^/]+)/"")&amp;
""/""&amp;K822"),"https://streamtape.com/v/wZYXGDYgljIJ9g8/30802683")</f>
        <v>https://streamtape.com/v/wZYXGDYgljIJ9g8/30802683</v>
      </c>
      <c r="G822" s="10" t="e">
        <f t="shared" ca="1" si="13"/>
        <v>#NAME?</v>
      </c>
      <c r="H822" s="11" t="str">
        <f ca="1">IFERROR(__xludf.DUMMYFUNCTION("IFERROR(SUBSTITUTE(SUBSTITUTE(REGEXEXTRACT(A822, ""[^-]+- [^-]+- [^-]+ - (.+?)\.jpg""), "".jpg"", """"), ""-"", "", ""), """")"),"")</f>
        <v/>
      </c>
      <c r="I822" s="6"/>
      <c r="J822" s="7" t="str">
        <f t="shared" ca="1" si="14"/>
        <v>(2026)</v>
      </c>
      <c r="K822" s="7" t="str">
        <f t="shared" si="15"/>
        <v>30802683</v>
      </c>
      <c r="L822" s="12" t="s">
        <v>71</v>
      </c>
      <c r="M822" s="13" t="str">
        <f ca="1">IFERROR(__xludf.DUMMYFUNCTION("TRIM(
  REGEXREPLACE(
    TEXTJOIN("" "",
      TRUE,
      B822,
      C822,
      embaralharLinks(E822,F822,G822),
      H822,
      """",
      J822,
      N822,
      ""#RIPNSFW""
    ),
  "",\s*"", "" "")
)"),"{New} Jessie Rogers https://streamtape.com/v/wZYXGDYgljIJ9g8/30802683 https://doodstream.com/d/8ll5uoag21rb/30802683 https://lulustream.com/d/ig1y9agczz9f (2026) #Anal #MILF #BigTits #Hardcore #RIPNSFW")</f>
        <v>{New} Jessie Rogers https://streamtape.com/v/wZYXGDYgljIJ9g8/30802683 https://doodstream.com/d/8ll5uoag21rb/30802683 https://lulustream.com/d/ig1y9agczz9f (2026) #Anal #MILF #BigTits #Hardcore #RIPNSFW</v>
      </c>
      <c r="N822" s="2" t="s">
        <v>72</v>
      </c>
      <c r="O822" s="30" t="s">
        <v>4163</v>
      </c>
      <c r="P822" s="26"/>
      <c r="R822" s="23"/>
    </row>
    <row r="823" spans="1:27" ht="12.75">
      <c r="A823" s="11" t="s">
        <v>4164</v>
      </c>
      <c r="B823" s="11" t="s">
        <v>14</v>
      </c>
      <c r="C823" s="13" t="str">
        <f t="shared" si="12"/>
        <v xml:space="preserve">Jessie Rogers </v>
      </c>
      <c r="D823" s="17" t="s">
        <v>4165</v>
      </c>
      <c r="E823" s="18" t="s">
        <v>4166</v>
      </c>
      <c r="F823" s="9" t="str">
        <f ca="1">IFERROR(__xludf.DUMMYFUNCTION("""https://streamtape.com/v/""&amp;
REGEXEXTRACT(O823,""/thumb/([^/]+)/"")&amp;
""/""&amp;K823"),"https://streamtape.com/v/KyzbZ3GlWMs0xpk/30904958")</f>
        <v>https://streamtape.com/v/KyzbZ3GlWMs0xpk/30904958</v>
      </c>
      <c r="G823" s="10" t="e">
        <f t="shared" ca="1" si="13"/>
        <v>#NAME?</v>
      </c>
      <c r="H823" s="11" t="str">
        <f ca="1">IFERROR(__xludf.DUMMYFUNCTION("IFERROR(SUBSTITUTE(SUBSTITUTE(REGEXEXTRACT(A823, ""[^-]+- [^-]+- [^-]+ - (.+?)\.jpg""), "".jpg"", """"), ""-"", "", ""), """")"),"")</f>
        <v/>
      </c>
      <c r="I823" s="11"/>
      <c r="J823" s="13" t="str">
        <f t="shared" ca="1" si="14"/>
        <v>(2026)</v>
      </c>
      <c r="K823" s="13" t="str">
        <f t="shared" si="15"/>
        <v>30904958</v>
      </c>
      <c r="L823" s="12" t="s">
        <v>4139</v>
      </c>
      <c r="M823" s="13" t="str">
        <f ca="1">IFERROR(__xludf.DUMMYFUNCTION("TRIM(
  REGEXREPLACE(
    TEXTJOIN("" "",
      TRUE,
      B823,
      C823,
      embaralharLinks(E823,F823,G823),
      H823,
      """",
      J823,
      N823,
      ""#RIPNSFW""
    ),
  "",\s*"", "" "")
)"),"{New} Jessie Rogers https://streamtape.com/v/KyzbZ3GlWMs0xpk/30904958 https://lulustream.com/d/rayhaf3100r6 https://doodstream.com/d/2f5x3v903w4s/30904958 (2026) #anal #milf #bigtits #bigass #RIPNSFW")</f>
        <v>{New} Jessie Rogers https://streamtape.com/v/KyzbZ3GlWMs0xpk/30904958 https://lulustream.com/d/rayhaf3100r6 https://doodstream.com/d/2f5x3v903w4s/30904958 (2026) #anal #milf #bigtits #bigass #RIPNSFW</v>
      </c>
      <c r="N823" s="32" t="s">
        <v>4139</v>
      </c>
      <c r="O823" s="32" t="s">
        <v>4167</v>
      </c>
      <c r="P823" s="26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2.75">
      <c r="A824" s="12" t="s">
        <v>4168</v>
      </c>
      <c r="B824" s="6" t="s">
        <v>14</v>
      </c>
      <c r="C824" s="7" t="str">
        <f t="shared" si="12"/>
        <v xml:space="preserve">Jessie Rogers </v>
      </c>
      <c r="D824" s="24" t="s">
        <v>4169</v>
      </c>
      <c r="E824" s="25" t="s">
        <v>4170</v>
      </c>
      <c r="F824" s="9" t="str">
        <f ca="1">IFERROR(__xludf.DUMMYFUNCTION("""https://streamtape.com/v/""&amp;
REGEXEXTRACT(O824,""/thumb/([^/]+)/"")&amp;
""/""&amp;K824"),"https://streamtape.com/v/wa77pe1PJyCJkKK/32575602")</f>
        <v>https://streamtape.com/v/wa77pe1PJyCJkKK/32575602</v>
      </c>
      <c r="G824" s="10" t="e">
        <f t="shared" ca="1" si="13"/>
        <v>#NAME?</v>
      </c>
      <c r="H824" s="11" t="str">
        <f ca="1">IFERROR(__xludf.DUMMYFUNCTION("IFERROR(SUBSTITUTE(SUBSTITUTE(REGEXEXTRACT(A824, ""[^-]+- [^-]+- [^-]+ - (.+?)\.jpg""), "".jpg"", """"), ""-"", "", ""), """")"),"")</f>
        <v/>
      </c>
      <c r="I824" s="6"/>
      <c r="J824" s="7" t="str">
        <f t="shared" ca="1" si="14"/>
        <v>(2026)</v>
      </c>
      <c r="K824" s="7" t="str">
        <f t="shared" si="15"/>
        <v>32575602</v>
      </c>
      <c r="L824" s="12" t="s">
        <v>2634</v>
      </c>
      <c r="M824" s="13" t="str">
        <f ca="1">IFERROR(__xludf.DUMMYFUNCTION("TRIM(
  REGEXREPLACE(
    TEXTJOIN("" "",
      TRUE,
      B824,
      C824,
      embaralharLinks(E824,F824,G824),
      H824,
      """",
      J824,
      N824,
      ""#RIPNSFW""
    ),
  "",\s*"", "" "")
)"),"{New} Jessie Rogers https://streamtape.com/v/wa77pe1PJyCJkKK/32575602 https://doodstream.com/d/axjeo2uno6mk/32575602 https://lulustream.com/d/qefp33yb2o9x (2026) #milf #blowjob #hardcore #bigass #RIPNSFW")</f>
        <v>{New} Jessie Rogers https://streamtape.com/v/wa77pe1PJyCJkKK/32575602 https://doodstream.com/d/axjeo2uno6mk/32575602 https://lulustream.com/d/qefp33yb2o9x (2026) #milf #blowjob #hardcore #bigass #RIPNSFW</v>
      </c>
      <c r="N824" s="2" t="s">
        <v>2634</v>
      </c>
      <c r="O824" s="30" t="s">
        <v>4171</v>
      </c>
      <c r="P824" s="26"/>
      <c r="R824" s="23"/>
      <c r="T824" s="6"/>
      <c r="U824" s="7"/>
    </row>
    <row r="825" spans="1:27" ht="12.75">
      <c r="A825" s="12" t="s">
        <v>4172</v>
      </c>
      <c r="B825" s="6" t="s">
        <v>14</v>
      </c>
      <c r="C825" s="7" t="str">
        <f t="shared" si="12"/>
        <v xml:space="preserve">Jessie Rogers </v>
      </c>
      <c r="D825" s="24" t="s">
        <v>4173</v>
      </c>
      <c r="E825" s="25" t="s">
        <v>4174</v>
      </c>
      <c r="F825" s="9" t="str">
        <f ca="1">IFERROR(__xludf.DUMMYFUNCTION("""https://streamtape.com/v/""&amp;
REGEXEXTRACT(O825,""/thumb/([^/]+)/"")&amp;
""/""&amp;K825"),"https://streamtape.com/v/ea1GX6w1pYUYPld/32870489")</f>
        <v>https://streamtape.com/v/ea1GX6w1pYUYPld/32870489</v>
      </c>
      <c r="G825" s="10" t="e">
        <f t="shared" ca="1" si="13"/>
        <v>#NAME?</v>
      </c>
      <c r="H825" s="11" t="str">
        <f ca="1">IFERROR(__xludf.DUMMYFUNCTION("IFERROR(SUBSTITUTE(SUBSTITUTE(REGEXEXTRACT(A825, ""[^-]+- [^-]+- [^-]+ - (.+?)\.jpg""), "".jpg"", """"), ""-"", "", ""), """")"),"")</f>
        <v/>
      </c>
      <c r="I825" s="6"/>
      <c r="J825" s="7" t="str">
        <f t="shared" ca="1" si="14"/>
        <v>(2026)</v>
      </c>
      <c r="K825" s="7" t="str">
        <f t="shared" si="15"/>
        <v>32870489</v>
      </c>
      <c r="L825" s="12" t="s">
        <v>4175</v>
      </c>
      <c r="M825" s="13" t="str">
        <f ca="1">IFERROR(__xludf.DUMMYFUNCTION("TRIM(
  REGEXREPLACE(
    TEXTJOIN("" "",
      TRUE,
      B825,
      C825,
      embaralharLinks(E825,F825,G825),
      H825,
      """",
      J825,
      N825,
      ""#RIPNSFW""
    ),
  "",\s*"", "" "")
)"),"{New} Jessie Rogers https://lulustream.com/d/n2yfnhk4a283 https://streamtape.com/v/ea1GX6w1pYUYPld/32870489 https://doodstream.com/d/cq1udx9moc2k/32870489 (2026) #milf #anal #bigtits #bigass #RIPNSFW")</f>
        <v>{New} Jessie Rogers https://lulustream.com/d/n2yfnhk4a283 https://streamtape.com/v/ea1GX6w1pYUYPld/32870489 https://doodstream.com/d/cq1udx9moc2k/32870489 (2026) #milf #anal #bigtits #bigass #RIPNSFW</v>
      </c>
      <c r="N825" s="2" t="s">
        <v>4175</v>
      </c>
      <c r="O825" s="30" t="s">
        <v>4176</v>
      </c>
      <c r="P825" s="26"/>
      <c r="R825" s="23"/>
    </row>
    <row r="826" spans="1:27" ht="12.75">
      <c r="A826" s="12" t="s">
        <v>4177</v>
      </c>
      <c r="B826" s="6" t="s">
        <v>14</v>
      </c>
      <c r="C826" s="7" t="str">
        <f t="shared" si="12"/>
        <v xml:space="preserve">Jessie Rogers </v>
      </c>
      <c r="D826" s="24" t="s">
        <v>4178</v>
      </c>
      <c r="E826" s="25" t="s">
        <v>4179</v>
      </c>
      <c r="F826" s="9" t="str">
        <f ca="1">IFERROR(__xludf.DUMMYFUNCTION("""https://streamtape.com/v/""&amp;
REGEXEXTRACT(O826,""/thumb/([^/]+)/"")&amp;
""/""&amp;K826"),"https://streamtape.com/v/GX9WgpZGmxT1egd/38320444")</f>
        <v>https://streamtape.com/v/GX9WgpZGmxT1egd/38320444</v>
      </c>
      <c r="G826" s="10" t="e">
        <f t="shared" ca="1" si="13"/>
        <v>#NAME?</v>
      </c>
      <c r="H826" s="11" t="str">
        <f ca="1">IFERROR(__xludf.DUMMYFUNCTION("IFERROR(SUBSTITUTE(SUBSTITUTE(REGEXEXTRACT(A826, ""[^-]+- [^-]+- [^-]+ - (.+?)\.jpg""), "".jpg"", """"), ""-"", "", ""), """")"),"")</f>
        <v/>
      </c>
      <c r="I826" s="6"/>
      <c r="J826" s="7" t="str">
        <f t="shared" ca="1" si="14"/>
        <v>(2026)</v>
      </c>
      <c r="K826" s="7" t="str">
        <f t="shared" si="15"/>
        <v>38320444</v>
      </c>
      <c r="L826" s="12" t="s">
        <v>4180</v>
      </c>
      <c r="M826" s="13" t="str">
        <f ca="1">IFERROR(__xludf.DUMMYFUNCTION("TRIM(
  REGEXREPLACE(
    TEXTJOIN("" "",
      TRUE,
      B826,
      C826,
      embaralharLinks(E826,F826,G826),
      H826,
      """",
      J826,
      N826,
      ""#RIPNSFW""
    ),
  "",\s*"", "" "")
)"),"{New} Jessie Rogers https://doodstream.com/d/91qin3l7c1kj/38320444 https://lulustream.com/d/zo1y3phcsnby https://streamtape.com/v/GX9WgpZGmxT1egd/38320444 (2026) #anal #bigass #bigtits #interracial #RIPNSFW")</f>
        <v>{New} Jessie Rogers https://doodstream.com/d/91qin3l7c1kj/38320444 https://lulustream.com/d/zo1y3phcsnby https://streamtape.com/v/GX9WgpZGmxT1egd/38320444 (2026) #anal #bigass #bigtits #interracial #RIPNSFW</v>
      </c>
      <c r="N826" s="2" t="s">
        <v>4180</v>
      </c>
      <c r="O826" s="30" t="s">
        <v>4181</v>
      </c>
      <c r="P826" s="26"/>
      <c r="R826" s="23"/>
      <c r="T826" s="6"/>
      <c r="U826" s="7"/>
    </row>
    <row r="827" spans="1:27" ht="12.75">
      <c r="A827" s="12" t="s">
        <v>4182</v>
      </c>
      <c r="B827" s="6" t="s">
        <v>14</v>
      </c>
      <c r="C827" s="7" t="str">
        <f t="shared" si="12"/>
        <v xml:space="preserve">Jessie Rogers </v>
      </c>
      <c r="D827" s="27" t="s">
        <v>4183</v>
      </c>
      <c r="E827" s="28" t="s">
        <v>4184</v>
      </c>
      <c r="F827" s="9" t="str">
        <f ca="1">IFERROR(__xludf.DUMMYFUNCTION("""https://streamtape.com/v/""&amp;
REGEXEXTRACT(O827,""/thumb/([^/]+)/"")&amp;
""/""&amp;K827"),"https://streamtape.com/v/6pQXRxdvz8ueBz/38677225")</f>
        <v>https://streamtape.com/v/6pQXRxdvz8ueBz/38677225</v>
      </c>
      <c r="G827" s="10" t="e">
        <f t="shared" ca="1" si="13"/>
        <v>#NAME?</v>
      </c>
      <c r="H827" s="11" t="str">
        <f ca="1">IFERROR(__xludf.DUMMYFUNCTION("IFERROR(SUBSTITUTE(SUBSTITUTE(REGEXEXTRACT(A827, ""[^-]+- [^-]+- [^-]+ - (.+?)\.jpg""), "".jpg"", """"), ""-"", "", ""), """")"),"")</f>
        <v/>
      </c>
      <c r="I827" s="6"/>
      <c r="J827" s="7" t="str">
        <f t="shared" ca="1" si="14"/>
        <v>(2026)</v>
      </c>
      <c r="K827" s="7" t="str">
        <f t="shared" si="15"/>
        <v>38677225</v>
      </c>
      <c r="L827" s="12" t="s">
        <v>71</v>
      </c>
      <c r="M827" s="13" t="str">
        <f ca="1">IFERROR(__xludf.DUMMYFUNCTION("TRIM(
  REGEXREPLACE(
    TEXTJOIN("" "",
      TRUE,
      B827,
      C827,
      embaralharLinks(E827,F827,G827),
      H827,
      """",
      J827,
      N827,
      ""#RIPNSFW""
    ),
  "",\s*"", "" "")
)"),"{New} Jessie Rogers https://doodstream.com/d/mnxijrxaz7pz/38677225 https://streamtape.com/v/6pQXRxdvz8ueBz/38677225 https://lulustream.com/d/59j1remf74ej (2026) #Anal #MILF #BigTits #Hardcore #RIPNSFW")</f>
        <v>{New} Jessie Rogers https://doodstream.com/d/mnxijrxaz7pz/38677225 https://streamtape.com/v/6pQXRxdvz8ueBz/38677225 https://lulustream.com/d/59j1remf74ej (2026) #Anal #MILF #BigTits #Hardcore #RIPNSFW</v>
      </c>
      <c r="N827" s="2" t="s">
        <v>72</v>
      </c>
      <c r="O827" s="21" t="s">
        <v>4185</v>
      </c>
      <c r="P827" s="26"/>
      <c r="R827" s="23"/>
    </row>
    <row r="828" spans="1:27" ht="12.75">
      <c r="A828" s="6" t="s">
        <v>4186</v>
      </c>
      <c r="B828" s="6" t="s">
        <v>14</v>
      </c>
      <c r="C828" s="7" t="str">
        <f t="shared" si="12"/>
        <v xml:space="preserve">Jessie Rogers </v>
      </c>
      <c r="D828" s="24" t="s">
        <v>4187</v>
      </c>
      <c r="E828" s="25" t="s">
        <v>4188</v>
      </c>
      <c r="F828" s="9" t="str">
        <f ca="1">IFERROR(__xludf.DUMMYFUNCTION("""https://streamtape.com/v/""&amp;
REGEXEXTRACT(O828,""/thumb/([^/]+)/"")&amp;
""/""&amp;K828"),"https://streamtape.com/v/LXzbmOdwY8faaW/45681547")</f>
        <v>https://streamtape.com/v/LXzbmOdwY8faaW/45681547</v>
      </c>
      <c r="G828" s="10" t="e">
        <f t="shared" ca="1" si="13"/>
        <v>#NAME?</v>
      </c>
      <c r="H828" s="11" t="str">
        <f ca="1">IFERROR(__xludf.DUMMYFUNCTION("IFERROR(SUBSTITUTE(SUBSTITUTE(REGEXEXTRACT(A828, ""[^-]+- [^-]+- [^-]+ - (.+?)\.jpg""), "".jpg"", """"), ""-"", "", ""), """")"),"")</f>
        <v/>
      </c>
      <c r="I828" s="6"/>
      <c r="J828" s="7" t="str">
        <f t="shared" ca="1" si="14"/>
        <v>(2026)</v>
      </c>
      <c r="K828" s="7" t="str">
        <f t="shared" si="15"/>
        <v>45681547</v>
      </c>
      <c r="L828" s="12" t="s">
        <v>4189</v>
      </c>
      <c r="M828" s="13" t="str">
        <f ca="1">IFERROR(__xludf.DUMMYFUNCTION("TRIM(
  REGEXREPLACE(
    TEXTJOIN("" "",
      TRUE,
      B828,
      C828,
      embaralharLinks(E828,F828,G828),
      H828,
      """",
      J828,
      N828,
      ""#RIPNSFW""
    ),
  "",\s*"", "" "")
)"),"{New} Jessie Rogers https://doodstream.com/d/eqgdg6savno9/45681547 https://lulustream.com/d/wpzbmfbaoohu https://streamtape.com/v/LXzbmOdwY8faaW/45681547 (2026) #blowjob #milf #bigtits #bigass #RIPNSFW")</f>
        <v>{New} Jessie Rogers https://doodstream.com/d/eqgdg6savno9/45681547 https://lulustream.com/d/wpzbmfbaoohu https://streamtape.com/v/LXzbmOdwY8faaW/45681547 (2026) #blowjob #milf #bigtits #bigass #RIPNSFW</v>
      </c>
      <c r="N828" s="31" t="s">
        <v>4189</v>
      </c>
      <c r="O828" s="32" t="s">
        <v>4190</v>
      </c>
      <c r="P828" s="26"/>
      <c r="Q828" s="6"/>
      <c r="R828" s="11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>
      <c r="A829" s="6" t="s">
        <v>4191</v>
      </c>
      <c r="B829" s="6" t="s">
        <v>14</v>
      </c>
      <c r="C829" s="7" t="str">
        <f t="shared" si="12"/>
        <v xml:space="preserve">Jessie Rogers </v>
      </c>
      <c r="D829" s="29" t="s">
        <v>4192</v>
      </c>
      <c r="E829" s="8" t="s">
        <v>4193</v>
      </c>
      <c r="F829" s="9" t="str">
        <f ca="1">IFERROR(__xludf.DUMMYFUNCTION("""https://streamtape.com/v/""&amp;
REGEXEXTRACT(O829,""/thumb/([^/]+)/"")&amp;
""/""&amp;K829"),"https://streamtape.com/v/P3DV4bk6vdfx73/46655415")</f>
        <v>https://streamtape.com/v/P3DV4bk6vdfx73/46655415</v>
      </c>
      <c r="G829" s="10" t="e">
        <f t="shared" ca="1" si="13"/>
        <v>#NAME?</v>
      </c>
      <c r="H829" s="11" t="str">
        <f ca="1">IFERROR(__xludf.DUMMYFUNCTION("IFERROR(SUBSTITUTE(SUBSTITUTE(REGEXEXTRACT(A829, ""[^-]+- [^-]+- [^-]+ - (.+?)\.jpg""), "".jpg"", """"), ""-"", "", ""), """")"),"")</f>
        <v/>
      </c>
      <c r="I829" s="6"/>
      <c r="J829" s="7" t="str">
        <f t="shared" ca="1" si="14"/>
        <v>(2026)</v>
      </c>
      <c r="K829" s="7" t="str">
        <f t="shared" si="15"/>
        <v>46655415</v>
      </c>
      <c r="L829" s="12" t="s">
        <v>4194</v>
      </c>
      <c r="M829" s="13" t="str">
        <f ca="1">IFERROR(__xludf.DUMMYFUNCTION("TRIM(
  REGEXREPLACE(
    TEXTJOIN("" "",
      TRUE,
      B829,
      C829,
      embaralharLinks(E829,F829,G829),
      H829,
      """",
      J829,
      N829,
      ""#RIPNSFW""
    ),
  "",\s*"", "" "")
)"),"{New} Jessie Rogers https://doodstream.com/d/blhb05iyqdp2/46655415 https://lulustream.com/d/eb2eff3i7exd https://streamtape.com/v/P3DV4bk6vdfx73/46655415 (2026) #MILF #BigTits #Hardcore #Bigass #Latina #RIPNSFW")</f>
        <v>{New} Jessie Rogers https://doodstream.com/d/blhb05iyqdp2/46655415 https://lulustream.com/d/eb2eff3i7exd https://streamtape.com/v/P3DV4bk6vdfx73/46655415 (2026) #MILF #BigTits #Hardcore #Bigass #Latina #RIPNSFW</v>
      </c>
      <c r="N829" s="14" t="s">
        <v>4195</v>
      </c>
      <c r="O829" s="32" t="s">
        <v>4196</v>
      </c>
      <c r="P829" s="14"/>
      <c r="Q829" s="6"/>
      <c r="R829" s="11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>
      <c r="A830" s="12" t="s">
        <v>4197</v>
      </c>
      <c r="B830" s="6" t="s">
        <v>14</v>
      </c>
      <c r="C830" s="7" t="str">
        <f t="shared" si="12"/>
        <v xml:space="preserve">Jessie Rogers </v>
      </c>
      <c r="D830" s="24" t="s">
        <v>4198</v>
      </c>
      <c r="E830" s="25" t="s">
        <v>4199</v>
      </c>
      <c r="F830" s="9" t="str">
        <f ca="1">IFERROR(__xludf.DUMMYFUNCTION("""https://streamtape.com/v/""&amp;
REGEXEXTRACT(O830,""/thumb/([^/]+)/"")&amp;
""/""&amp;K830"),"https://streamtape.com/v/R7vAmVodxdUdvGD/52486299")</f>
        <v>https://streamtape.com/v/R7vAmVodxdUdvGD/52486299</v>
      </c>
      <c r="G830" s="10" t="e">
        <f t="shared" ca="1" si="13"/>
        <v>#NAME?</v>
      </c>
      <c r="H830" s="11" t="str">
        <f ca="1">IFERROR(__xludf.DUMMYFUNCTION("IFERROR(SUBSTITUTE(SUBSTITUTE(REGEXEXTRACT(A830, ""[^-]+- [^-]+- [^-]+ - (.+?)\.jpg""), "".jpg"", """"), ""-"", "", ""), """")"),"")</f>
        <v/>
      </c>
      <c r="I830" s="6"/>
      <c r="J830" s="7" t="str">
        <f t="shared" ca="1" si="14"/>
        <v>(2026)</v>
      </c>
      <c r="K830" s="7" t="str">
        <f t="shared" si="15"/>
        <v>52486299</v>
      </c>
      <c r="L830" s="12" t="s">
        <v>1798</v>
      </c>
      <c r="M830" s="13" t="str">
        <f ca="1">IFERROR(__xludf.DUMMYFUNCTION("TRIM(
  REGEXREPLACE(
    TEXTJOIN("" "",
      TRUE,
      B830,
      C830,
      embaralharLinks(E830,F830,G830),
      H830,
      """",
      J830,
      N830,
      ""#RIPNSFW""
    ),
  "",\s*"", "" "")
)"),"{New} Jessie Rogers https://doodstream.com/d/mqv380qaepvh/52486299 https://lulustream.com/d/ag094ez03oc8 https://streamtape.com/v/R7vAmVodxdUdvGD/52486299 (2026) #milf #bigtits #hardcore #bigass #RIPNSFW")</f>
        <v>{New} Jessie Rogers https://doodstream.com/d/mqv380qaepvh/52486299 https://lulustream.com/d/ag094ez03oc8 https://streamtape.com/v/R7vAmVodxdUdvGD/52486299 (2026) #milf #bigtits #hardcore #bigass #RIPNSFW</v>
      </c>
      <c r="N830" s="2" t="s">
        <v>1798</v>
      </c>
      <c r="O830" s="30" t="s">
        <v>4200</v>
      </c>
      <c r="P830" s="26"/>
      <c r="R830" s="23"/>
      <c r="T830" s="6"/>
      <c r="U830" s="7"/>
      <c r="Z830" s="12"/>
      <c r="AA830" s="12"/>
    </row>
    <row r="831" spans="1:27" ht="12.75">
      <c r="A831" s="6" t="s">
        <v>4201</v>
      </c>
      <c r="B831" s="6" t="s">
        <v>14</v>
      </c>
      <c r="C831" s="7" t="str">
        <f t="shared" si="12"/>
        <v xml:space="preserve">Jessie Rogers </v>
      </c>
      <c r="D831" s="6" t="s">
        <v>4202</v>
      </c>
      <c r="E831" s="8" t="s">
        <v>4203</v>
      </c>
      <c r="F831" s="9" t="str">
        <f ca="1">IFERROR(__xludf.DUMMYFUNCTION("""https://streamtape.com/v/""&amp;
REGEXEXTRACT(O831,""/thumb/([^/]+)/"")&amp;
""/""&amp;K831"),"https://streamtape.com/v/BB6Y2mOXPvSyB3O/52589270")</f>
        <v>https://streamtape.com/v/BB6Y2mOXPvSyB3O/52589270</v>
      </c>
      <c r="G831" s="10" t="e">
        <f t="shared" ca="1" si="13"/>
        <v>#NAME?</v>
      </c>
      <c r="H831" s="11" t="str">
        <f ca="1">IFERROR(__xludf.DUMMYFUNCTION("IFERROR(SUBSTITUTE(SUBSTITUTE(REGEXEXTRACT(A831, ""[^-]+- [^-]+- [^-]+ - (.+?)\.jpg""), "".jpg"", """"), ""-"", "", ""), """")"),"")</f>
        <v/>
      </c>
      <c r="I831" s="6"/>
      <c r="J831" s="7" t="str">
        <f t="shared" ca="1" si="14"/>
        <v>(2026)</v>
      </c>
      <c r="K831" s="7" t="str">
        <f t="shared" si="15"/>
        <v>52589270</v>
      </c>
      <c r="L831" s="12" t="s">
        <v>4204</v>
      </c>
      <c r="M831" s="13" t="str">
        <f ca="1">IFERROR(__xludf.DUMMYFUNCTION("TRIM(
  REGEXREPLACE(
    TEXTJOIN("" "",
      TRUE,
      B831,
      C831,
      embaralharLinks(E831,F831,G831),
      H831,
      """",
      J831,
      N831,
      ""#RIPNSFW""
    ),
  "",\s*"", "" "")
)"),"{New} Jessie Rogers https://streamtape.com/v/BB6Y2mOXPvSyB3O/52589270 https://lulustream.com/d/hzcfmli43850 https://doodstream.com/d/gpiu7sp0fxd3/52589270 (2026) #MILF #BigTits #Hardcore #Black #Interracial #Bigass #Porn #Latina #RIPNSFW")</f>
        <v>{New} Jessie Rogers https://streamtape.com/v/BB6Y2mOXPvSyB3O/52589270 https://lulustream.com/d/hzcfmli43850 https://doodstream.com/d/gpiu7sp0fxd3/52589270 (2026) #MILF #BigTits #Hardcore #Black #Interracial #Bigass #Porn #Latina #RIPNSFW</v>
      </c>
      <c r="N831" s="14" t="s">
        <v>4205</v>
      </c>
      <c r="O831" s="15" t="s">
        <v>4206</v>
      </c>
      <c r="P831" s="14"/>
      <c r="Q831" s="6"/>
      <c r="R831" s="11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>
      <c r="A832" s="12" t="s">
        <v>4207</v>
      </c>
      <c r="B832" s="6" t="s">
        <v>14</v>
      </c>
      <c r="C832" s="7" t="str">
        <f t="shared" si="12"/>
        <v xml:space="preserve">Jessie Rogers </v>
      </c>
      <c r="D832" s="24" t="s">
        <v>4208</v>
      </c>
      <c r="E832" s="25" t="s">
        <v>4209</v>
      </c>
      <c r="F832" s="9" t="str">
        <f ca="1">IFERROR(__xludf.DUMMYFUNCTION("""https://streamtape.com/v/""&amp;
REGEXEXTRACT(O832,""/thumb/([^/]+)/"")&amp;
""/""&amp;K832"),"https://streamtape.com/v/KPAY2GggjzH0O8W/52690104")</f>
        <v>https://streamtape.com/v/KPAY2GggjzH0O8W/52690104</v>
      </c>
      <c r="G832" s="10" t="e">
        <f t="shared" ca="1" si="13"/>
        <v>#NAME?</v>
      </c>
      <c r="H832" s="11" t="str">
        <f ca="1">IFERROR(__xludf.DUMMYFUNCTION("IFERROR(SUBSTITUTE(SUBSTITUTE(REGEXEXTRACT(A832, ""[^-]+- [^-]+- [^-]+ - (.+?)\.jpg""), "".jpg"", """"), ""-"", "", ""), """")"),"")</f>
        <v/>
      </c>
      <c r="I832" s="6"/>
      <c r="J832" s="7" t="str">
        <f t="shared" ca="1" si="14"/>
        <v>(2026)</v>
      </c>
      <c r="K832" s="7" t="str">
        <f t="shared" si="15"/>
        <v>52690104</v>
      </c>
      <c r="L832" s="12" t="s">
        <v>4210</v>
      </c>
      <c r="M832" s="13" t="str">
        <f ca="1">IFERROR(__xludf.DUMMYFUNCTION("TRIM(
  REGEXREPLACE(
    TEXTJOIN("" "",
      TRUE,
      B832,
      C832,
      embaralharLinks(E832,F832,G832),
      H832,
      """",
      J832,
      N832,
      ""#RIPNSFW""
    ),
  "",\s*"", "" "")
)"),"{New} Jessie Rogers https://doodstream.com/d/zk9ge0h48vhz/52690104 https://streamtape.com/v/KPAY2GggjzH0O8W/52690104 https://lulustream.com/d/vzqm0k0oklxx (2026) #anal #milf #bigass #bigtits #RIPNSFW")</f>
        <v>{New} Jessie Rogers https://doodstream.com/d/zk9ge0h48vhz/52690104 https://streamtape.com/v/KPAY2GggjzH0O8W/52690104 https://lulustream.com/d/vzqm0k0oklxx (2026) #anal #milf #bigass #bigtits #RIPNSFW</v>
      </c>
      <c r="N832" s="2" t="s">
        <v>4210</v>
      </c>
      <c r="O832" s="30" t="s">
        <v>4211</v>
      </c>
      <c r="P832" s="26"/>
      <c r="R832" s="23"/>
      <c r="T832" s="6"/>
      <c r="U832" s="7"/>
    </row>
    <row r="833" spans="1:27" ht="12.75">
      <c r="A833" s="12" t="s">
        <v>4212</v>
      </c>
      <c r="B833" s="6"/>
      <c r="C833" s="7" t="str">
        <f t="shared" si="12"/>
        <v xml:space="preserve">Jessie Rogers </v>
      </c>
      <c r="D833" s="24" t="s">
        <v>4213</v>
      </c>
      <c r="E833" s="25" t="s">
        <v>4214</v>
      </c>
      <c r="F833" s="9" t="str">
        <f ca="1">IFERROR(__xludf.DUMMYFUNCTION("""https://streamtape.com/v/""&amp;
REGEXEXTRACT(O833,""/thumb/([^/]+)/"")&amp;
""/""&amp;K833"),"https://streamtape.com/v/kWPaArjmZOUOdOm/57572969")</f>
        <v>https://streamtape.com/v/kWPaArjmZOUOdOm/57572969</v>
      </c>
      <c r="G833" s="10" t="e">
        <f t="shared" ca="1" si="13"/>
        <v>#NAME?</v>
      </c>
      <c r="H833" s="11" t="str">
        <f ca="1">IFERROR(__xludf.DUMMYFUNCTION("IFERROR(SUBSTITUTE(SUBSTITUTE(REGEXEXTRACT(A833, ""[^-]+- [^-]+- [^-]+ - (.+?)\.jpg""), "".jpg"", """"), ""-"", "", ""), """")"),"")</f>
        <v/>
      </c>
      <c r="I833" s="6"/>
      <c r="J833" s="7" t="str">
        <f t="shared" ca="1" si="14"/>
        <v/>
      </c>
      <c r="K833" s="7" t="str">
        <f t="shared" si="15"/>
        <v>57572969</v>
      </c>
      <c r="L833" s="12" t="s">
        <v>3827</v>
      </c>
      <c r="M833" s="13" t="str">
        <f ca="1">IFERROR(__xludf.DUMMYFUNCTION("TRIM(
  REGEXREPLACE(
    TEXTJOIN("" "",
      TRUE,
      B833,
      C833,
      embaralharLinks(E833,F833,G833),
      H833,
      """",
      J833,
      N833,
      ""#RIPNSFW""
    ),
  "",\s*"", "" "")
)"),"Jessie Rogers https://doodstream.com/d/ndhdght17u82/57572969 https://streamtape.com/v/kWPaArjmZOUOdOm/57572969 https://lulustream.com/d/vkmey7qcqbxq #milf #blonde #bigtits #bigass #RIPNSFW")</f>
        <v>Jessie Rogers https://doodstream.com/d/ndhdght17u82/57572969 https://streamtape.com/v/kWPaArjmZOUOdOm/57572969 https://lulustream.com/d/vkmey7qcqbxq #milf #blonde #bigtits #bigass #RIPNSFW</v>
      </c>
      <c r="N833" s="2" t="s">
        <v>3827</v>
      </c>
      <c r="O833" s="30" t="s">
        <v>4215</v>
      </c>
      <c r="P833" s="26"/>
      <c r="R833" s="23"/>
      <c r="T833" s="6"/>
      <c r="U833" s="7"/>
    </row>
    <row r="834" spans="1:27" ht="12.75">
      <c r="A834" s="12" t="s">
        <v>4216</v>
      </c>
      <c r="B834" s="6" t="s">
        <v>14</v>
      </c>
      <c r="C834" s="7" t="str">
        <f t="shared" si="12"/>
        <v xml:space="preserve">Jessie Rogers </v>
      </c>
      <c r="D834" s="24" t="s">
        <v>4217</v>
      </c>
      <c r="E834" s="25" t="s">
        <v>4218</v>
      </c>
      <c r="F834" s="9" t="str">
        <f ca="1">IFERROR(__xludf.DUMMYFUNCTION("""https://streamtape.com/v/""&amp;
REGEXEXTRACT(O834,""/thumb/([^/]+)/"")&amp;
""/""&amp;K834"),"https://streamtape.com/v/kDZVYWe34BCOVvx/58009051")</f>
        <v>https://streamtape.com/v/kDZVYWe34BCOVvx/58009051</v>
      </c>
      <c r="G834" s="10" t="e">
        <f t="shared" ca="1" si="13"/>
        <v>#NAME?</v>
      </c>
      <c r="H834" s="11" t="str">
        <f ca="1">IFERROR(__xludf.DUMMYFUNCTION("IFERROR(SUBSTITUTE(SUBSTITUTE(REGEXEXTRACT(A834, ""[^-]+- [^-]+- [^-]+ - (.+?)\.jpg""), "".jpg"", """"), ""-"", "", ""), """")"),"")</f>
        <v/>
      </c>
      <c r="I834" s="6"/>
      <c r="J834" s="7" t="str">
        <f t="shared" ca="1" si="14"/>
        <v>(2026)</v>
      </c>
      <c r="K834" s="7" t="str">
        <f t="shared" si="15"/>
        <v>58009051</v>
      </c>
      <c r="L834" s="12" t="s">
        <v>4219</v>
      </c>
      <c r="M834" s="13" t="str">
        <f ca="1">IFERROR(__xludf.DUMMYFUNCTION("TRIM(
  REGEXREPLACE(
    TEXTJOIN("" "",
      TRUE,
      B834,
      C834,
      embaralharLinks(E834,F834,G834),
      H834,
      """",
      J834,
      N834,
      ""#RIPNSFW""
    ),
  "",\s*"", "" "")
)"),"{New} Jessie Rogers https://streamtape.com/v/kDZVYWe34BCOVvx/58009051 https://lulustream.com/d/py2ohol5uowk https://doodstream.com/d/uz7oez73rade/58009051 (2026) #milf #bigtits #hardcore #black #RIPNSFW")</f>
        <v>{New} Jessie Rogers https://streamtape.com/v/kDZVYWe34BCOVvx/58009051 https://lulustream.com/d/py2ohol5uowk https://doodstream.com/d/uz7oez73rade/58009051 (2026) #milf #bigtits #hardcore #black #RIPNSFW</v>
      </c>
      <c r="N834" s="2" t="s">
        <v>4219</v>
      </c>
      <c r="O834" s="30" t="s">
        <v>4220</v>
      </c>
      <c r="P834" s="26"/>
      <c r="R834" s="23"/>
      <c r="T834" s="6"/>
      <c r="U834" s="7"/>
      <c r="Z834" s="12"/>
      <c r="AA834" s="12"/>
    </row>
    <row r="835" spans="1:27" ht="12.75">
      <c r="A835" s="12" t="s">
        <v>4221</v>
      </c>
      <c r="B835" s="6" t="s">
        <v>14</v>
      </c>
      <c r="C835" s="7" t="str">
        <f t="shared" si="12"/>
        <v xml:space="preserve">Jessie Rogers </v>
      </c>
      <c r="D835" s="24" t="s">
        <v>4222</v>
      </c>
      <c r="E835" s="25" t="s">
        <v>4223</v>
      </c>
      <c r="F835" s="9" t="str">
        <f ca="1">IFERROR(__xludf.DUMMYFUNCTION("""https://streamtape.com/v/""&amp;
REGEXEXTRACT(O835,""/thumb/([^/]+)/"")&amp;
""/""&amp;K835"),"https://streamtape.com/v/xOVDW8bPgWikb2d/64518286")</f>
        <v>https://streamtape.com/v/xOVDW8bPgWikb2d/64518286</v>
      </c>
      <c r="G835" s="10" t="e">
        <f t="shared" ca="1" si="13"/>
        <v>#NAME?</v>
      </c>
      <c r="H835" s="11" t="str">
        <f ca="1">IFERROR(__xludf.DUMMYFUNCTION("IFERROR(SUBSTITUTE(SUBSTITUTE(REGEXEXTRACT(A835, ""[^-]+- [^-]+- [^-]+ - (.+?)\.jpg""), "".jpg"", """"), ""-"", "", ""), """")"),"")</f>
        <v/>
      </c>
      <c r="I835" s="6"/>
      <c r="J835" s="7" t="str">
        <f t="shared" ca="1" si="14"/>
        <v>(2026)</v>
      </c>
      <c r="K835" s="7" t="str">
        <f t="shared" si="15"/>
        <v>64518286</v>
      </c>
      <c r="L835" s="12" t="s">
        <v>4224</v>
      </c>
      <c r="M835" s="13" t="str">
        <f ca="1">IFERROR(__xludf.DUMMYFUNCTION("TRIM(
  REGEXREPLACE(
    TEXTJOIN("" "",
      TRUE,
      B835,
      C835,
      embaralharLinks(E835,F835,G835),
      H835,
      """",
      J835,
      N835,
      ""#RIPNSFW""
    ),
  "",\s*"", "" "")
)"),"{New} Jessie Rogers https://streamtape.com/v/xOVDW8bPgWikb2d/64518286 https://doodstream.com/d/6y89fdbb3au4/64518286 https://lulustream.com/d/onwmervp2zab (2026) #milf #bigass #bigtits #pool #RIPNSFW")</f>
        <v>{New} Jessie Rogers https://streamtape.com/v/xOVDW8bPgWikb2d/64518286 https://doodstream.com/d/6y89fdbb3au4/64518286 https://lulustream.com/d/onwmervp2zab (2026) #milf #bigass #bigtits #pool #RIPNSFW</v>
      </c>
      <c r="N835" s="2" t="s">
        <v>4224</v>
      </c>
      <c r="O835" s="30" t="s">
        <v>4225</v>
      </c>
      <c r="P835" s="26"/>
      <c r="R835" s="23"/>
      <c r="T835" s="6"/>
      <c r="U835" s="7"/>
    </row>
    <row r="836" spans="1:27" ht="12.75">
      <c r="A836" s="6" t="s">
        <v>4226</v>
      </c>
      <c r="B836" s="6" t="s">
        <v>14</v>
      </c>
      <c r="C836" s="7" t="str">
        <f t="shared" si="12"/>
        <v xml:space="preserve">Jessie Rogers </v>
      </c>
      <c r="D836" s="29" t="s">
        <v>4227</v>
      </c>
      <c r="E836" s="8" t="s">
        <v>4228</v>
      </c>
      <c r="F836" s="9" t="str">
        <f ca="1">IFERROR(__xludf.DUMMYFUNCTION("""https://streamtape.com/v/""&amp;
REGEXEXTRACT(O836,""/thumb/([^/]+)/"")&amp;
""/""&amp;K836"),"https://streamtape.com/v/koka77OqdwiOx4z/67186969")</f>
        <v>https://streamtape.com/v/koka77OqdwiOx4z/67186969</v>
      </c>
      <c r="G836" s="10" t="e">
        <f t="shared" ca="1" si="13"/>
        <v>#NAME?</v>
      </c>
      <c r="H836" s="11" t="str">
        <f ca="1">IFERROR(__xludf.DUMMYFUNCTION("IFERROR(SUBSTITUTE(SUBSTITUTE(REGEXEXTRACT(A836, ""[^-]+- [^-]+- [^-]+ - (.+?)\.jpg""), "".jpg"", """"), ""-"", "", ""), """")"),"")</f>
        <v/>
      </c>
      <c r="I836" s="6"/>
      <c r="J836" s="7" t="str">
        <f t="shared" ca="1" si="14"/>
        <v>(2026)</v>
      </c>
      <c r="K836" s="7" t="str">
        <f t="shared" si="15"/>
        <v>67186969</v>
      </c>
      <c r="L836" s="12" t="s">
        <v>4229</v>
      </c>
      <c r="M836" s="13" t="str">
        <f ca="1">IFERROR(__xludf.DUMMYFUNCTION("TRIM(
  REGEXREPLACE(
    TEXTJOIN("" "",
      TRUE,
      B836,
      C836,
      embaralharLinks(E836,F836,G836),
      H836,
      """",
      J836,
      N836,
      ""#RIPNSFW""
    ),
  "",\s*"", "" "")
)"),"{New} Jessie Rogers https://lulustream.com/d/60a1ttfyijhh https://streamtape.com/v/koka77OqdwiOx4z/67186969 https://doodstream.com/d/tur0mckezxc9/67186969 (2026) #Anal #MILF #BigTits #Hardcore #Black #Interracial #Bigass #RIPNSFW")</f>
        <v>{New} Jessie Rogers https://lulustream.com/d/60a1ttfyijhh https://streamtape.com/v/koka77OqdwiOx4z/67186969 https://doodstream.com/d/tur0mckezxc9/67186969 (2026) #Anal #MILF #BigTits #Hardcore #Black #Interracial #Bigass #RIPNSFW</v>
      </c>
      <c r="N836" s="14" t="s">
        <v>4230</v>
      </c>
      <c r="O836" s="32" t="s">
        <v>4231</v>
      </c>
      <c r="P836" s="14"/>
      <c r="Q836" s="6"/>
      <c r="R836" s="11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>
      <c r="A837" s="12" t="s">
        <v>4232</v>
      </c>
      <c r="B837" s="6" t="s">
        <v>14</v>
      </c>
      <c r="C837" s="7" t="str">
        <f t="shared" si="12"/>
        <v xml:space="preserve">Jessie Rogers </v>
      </c>
      <c r="D837" s="27" t="s">
        <v>4233</v>
      </c>
      <c r="E837" s="28" t="s">
        <v>4234</v>
      </c>
      <c r="F837" s="9" t="str">
        <f ca="1">IFERROR(__xludf.DUMMYFUNCTION("""https://streamtape.com/v/""&amp;
REGEXEXTRACT(O837,""/thumb/([^/]+)/"")&amp;
""/""&amp;K837"),"https://streamtape.com/v/8XBq7rl4lBFXPp/71295357")</f>
        <v>https://streamtape.com/v/8XBq7rl4lBFXPp/71295357</v>
      </c>
      <c r="G837" s="10" t="e">
        <f t="shared" ca="1" si="13"/>
        <v>#NAME?</v>
      </c>
      <c r="H837" s="11" t="str">
        <f ca="1">IFERROR(__xludf.DUMMYFUNCTION("IFERROR(SUBSTITUTE(SUBSTITUTE(REGEXEXTRACT(A837, ""[^-]+- [^-]+- [^-]+ - (.+?)\.jpg""), "".jpg"", """"), ""-"", "", ""), """")"),"")</f>
        <v/>
      </c>
      <c r="I837" s="6"/>
      <c r="J837" s="7" t="str">
        <f t="shared" ca="1" si="14"/>
        <v>(2026)</v>
      </c>
      <c r="K837" s="7" t="str">
        <f t="shared" si="15"/>
        <v>71295357</v>
      </c>
      <c r="L837" s="12" t="s">
        <v>2100</v>
      </c>
      <c r="M837" s="13" t="str">
        <f ca="1">IFERROR(__xludf.DUMMYFUNCTION("TRIM(
  REGEXREPLACE(
    TEXTJOIN("" "",
      TRUE,
      B837,
      C837,
      embaralharLinks(E837,F837,G837),
      H837,
      """",
      J837,
      N837,
      ""#RIPNSFW""
    ),
  "",\s*"", "" "")
)"),"{New} Jessie Rogers https://streamtape.com/v/8XBq7rl4lBFXPp/71295357 https://lulustream.com/d/celbs46xbu9l https://doodstream.com/d/gva3kils6zlz/71295357 (2026) #MILF #BigTits #Bigass #Solo #RIPNSFW")</f>
        <v>{New} Jessie Rogers https://streamtape.com/v/8XBq7rl4lBFXPp/71295357 https://lulustream.com/d/celbs46xbu9l https://doodstream.com/d/gva3kils6zlz/71295357 (2026) #MILF #BigTits #Bigass #Solo #RIPNSFW</v>
      </c>
      <c r="N837" s="2" t="s">
        <v>2101</v>
      </c>
      <c r="O837" s="30" t="s">
        <v>4235</v>
      </c>
      <c r="P837" s="26"/>
      <c r="R837" s="23"/>
    </row>
    <row r="838" spans="1:27" ht="12.75">
      <c r="A838" s="6" t="s">
        <v>4236</v>
      </c>
      <c r="B838" s="6" t="s">
        <v>14</v>
      </c>
      <c r="C838" s="7" t="str">
        <f t="shared" si="12"/>
        <v xml:space="preserve">Jessie Rogers </v>
      </c>
      <c r="D838" s="24" t="s">
        <v>4237</v>
      </c>
      <c r="E838" s="25" t="s">
        <v>4238</v>
      </c>
      <c r="F838" s="9" t="str">
        <f ca="1">IFERROR(__xludf.DUMMYFUNCTION("""https://streamtape.com/v/""&amp;
REGEXEXTRACT(O838,""/thumb/([^/]+)/"")&amp;
""/""&amp;K838"),"https://streamtape.com/v/dpbaxqzQBlckkJD/72664390")</f>
        <v>https://streamtape.com/v/dpbaxqzQBlckkJD/72664390</v>
      </c>
      <c r="G838" s="10" t="e">
        <f t="shared" ca="1" si="13"/>
        <v>#NAME?</v>
      </c>
      <c r="H838" s="11" t="str">
        <f ca="1">IFERROR(__xludf.DUMMYFUNCTION("IFERROR(SUBSTITUTE(SUBSTITUTE(REGEXEXTRACT(A838, ""[^-]+- [^-]+- [^-]+ - (.+?)\.jpg""), "".jpg"", """"), ""-"", "", ""), """")"),"")</f>
        <v/>
      </c>
      <c r="I838" s="6"/>
      <c r="J838" s="7" t="str">
        <f t="shared" ca="1" si="14"/>
        <v>(2026)</v>
      </c>
      <c r="K838" s="7" t="str">
        <f t="shared" si="15"/>
        <v>72664390</v>
      </c>
      <c r="L838" s="12" t="s">
        <v>4239</v>
      </c>
      <c r="M838" s="13" t="str">
        <f ca="1">IFERROR(__xludf.DUMMYFUNCTION("TRIM(
  REGEXREPLACE(
    TEXTJOIN("" "",
      TRUE,
      B838,
      C838,
      embaralharLinks(E838,F838,G838),
      H838,
      """",
      J838,
      N838,
      ""#RIPNSFW""
    ),
  "",\s*"", "" "")
)"),"{New} Jessie Rogers https://doodstream.com/d/eoqpma24365o/72664390 https://lulustream.com/d/faxjox6f3yoz https://streamtape.com/v/dpbaxqzQBlckkJD/72664390 (2026) #milf #interracial #bigtits #bigass #RIPNSFW")</f>
        <v>{New} Jessie Rogers https://doodstream.com/d/eoqpma24365o/72664390 https://lulustream.com/d/faxjox6f3yoz https://streamtape.com/v/dpbaxqzQBlckkJD/72664390 (2026) #milf #interracial #bigtits #bigass #RIPNSFW</v>
      </c>
      <c r="N838" s="31" t="s">
        <v>4239</v>
      </c>
      <c r="O838" s="32" t="s">
        <v>4240</v>
      </c>
      <c r="P838" s="26"/>
      <c r="Q838" s="6"/>
      <c r="R838" s="11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>
      <c r="A839" s="6" t="s">
        <v>4241</v>
      </c>
      <c r="B839" s="6" t="s">
        <v>14</v>
      </c>
      <c r="C839" s="7" t="str">
        <f t="shared" si="12"/>
        <v xml:space="preserve">Jessie Rogers </v>
      </c>
      <c r="D839" s="24" t="s">
        <v>4242</v>
      </c>
      <c r="E839" s="25" t="s">
        <v>4243</v>
      </c>
      <c r="F839" s="9" t="str">
        <f ca="1">IFERROR(__xludf.DUMMYFUNCTION("""https://streamtape.com/v/""&amp;
REGEXEXTRACT(O839,""/thumb/([^/]+)/"")&amp;
""/""&amp;K839"),"https://streamtape.com/v/rrjoAprGLPcbbRy/78269518")</f>
        <v>https://streamtape.com/v/rrjoAprGLPcbbRy/78269518</v>
      </c>
      <c r="G839" s="10" t="e">
        <f t="shared" ca="1" si="13"/>
        <v>#NAME?</v>
      </c>
      <c r="H839" s="11" t="str">
        <f ca="1">IFERROR(__xludf.DUMMYFUNCTION("IFERROR(SUBSTITUTE(SUBSTITUTE(REGEXEXTRACT(A839, ""[^-]+- [^-]+- [^-]+ - (.+?)\.jpg""), "".jpg"", """"), ""-"", "", ""), """")"),"")</f>
        <v/>
      </c>
      <c r="I839" s="6"/>
      <c r="J839" s="7" t="str">
        <f t="shared" ca="1" si="14"/>
        <v>(2026)</v>
      </c>
      <c r="K839" s="7" t="str">
        <f t="shared" si="15"/>
        <v>78269518</v>
      </c>
      <c r="L839" s="12" t="s">
        <v>1478</v>
      </c>
      <c r="M839" s="13" t="str">
        <f ca="1">IFERROR(__xludf.DUMMYFUNCTION("TRIM(
  REGEXREPLACE(
    TEXTJOIN("" "",
      TRUE,
      B839,
      C839,
      embaralharLinks(E839,F839,G839),
      H839,
      """",
      J839,
      N839,
      ""#RIPNSFW""
    ),
  "",\s*"", "" "")
)"),"{New} Jessie Rogers https://lulustream.com/d/d6ulih3epqjb https://streamtape.com/v/rrjoAprGLPcbbRy/78269518 https://doodstream.com/d/y8c3v7uuliht/78269518 (2026) #milf #blowjob #bigtits #bigass #RIPNSFW")</f>
        <v>{New} Jessie Rogers https://lulustream.com/d/d6ulih3epqjb https://streamtape.com/v/rrjoAprGLPcbbRy/78269518 https://doodstream.com/d/y8c3v7uuliht/78269518 (2026) #milf #blowjob #bigtits #bigass #RIPNSFW</v>
      </c>
      <c r="N839" s="31" t="s">
        <v>1478</v>
      </c>
      <c r="O839" s="32" t="s">
        <v>4244</v>
      </c>
      <c r="P839" s="26"/>
      <c r="Q839" s="6"/>
      <c r="R839" s="23"/>
      <c r="S839" s="6"/>
      <c r="T839" s="6"/>
      <c r="U839" s="7"/>
      <c r="V839" s="6"/>
      <c r="X839" s="6"/>
      <c r="Y839" s="6"/>
      <c r="Z839" s="6"/>
      <c r="AA839" s="6"/>
    </row>
    <row r="840" spans="1:27" ht="12.75">
      <c r="A840" s="12" t="s">
        <v>4245</v>
      </c>
      <c r="B840" s="6" t="s">
        <v>14</v>
      </c>
      <c r="C840" s="7" t="str">
        <f t="shared" si="12"/>
        <v xml:space="preserve">Jessie Rogers </v>
      </c>
      <c r="D840" s="24" t="s">
        <v>4246</v>
      </c>
      <c r="E840" s="25" t="s">
        <v>4247</v>
      </c>
      <c r="F840" s="9" t="str">
        <f ca="1">IFERROR(__xludf.DUMMYFUNCTION("""https://streamtape.com/v/""&amp;
REGEXEXTRACT(O840,""/thumb/([^/]+)/"")&amp;
""/""&amp;K840"),"https://streamtape.com/v/DlXKLGW81JSkkm3/79785667")</f>
        <v>https://streamtape.com/v/DlXKLGW81JSkkm3/79785667</v>
      </c>
      <c r="G840" s="10" t="e">
        <f t="shared" ca="1" si="13"/>
        <v>#NAME?</v>
      </c>
      <c r="H840" s="11" t="str">
        <f ca="1">IFERROR(__xludf.DUMMYFUNCTION("IFERROR(SUBSTITUTE(SUBSTITUTE(REGEXEXTRACT(A840, ""[^-]+- [^-]+- [^-]+ - (.+?)\.jpg""), "".jpg"", """"), ""-"", "", ""), """")"),"")</f>
        <v/>
      </c>
      <c r="I840" s="6"/>
      <c r="J840" s="7" t="str">
        <f t="shared" ca="1" si="14"/>
        <v>(2026)</v>
      </c>
      <c r="K840" s="7" t="str">
        <f t="shared" si="15"/>
        <v>79785667</v>
      </c>
      <c r="L840" s="12" t="s">
        <v>4248</v>
      </c>
      <c r="M840" s="13" t="str">
        <f ca="1">IFERROR(__xludf.DUMMYFUNCTION("TRIM(
  REGEXREPLACE(
    TEXTJOIN("" "",
      TRUE,
      B840,
      C840,
      embaralharLinks(E840,F840,G840),
      H840,
      """",
      J840,
      N840,
      ""#RIPNSFW""
    ),
  "",\s*"", "" "")
)"),"{New} Jessie Rogers https://doodstream.com/d/nuzb3o7jfqab/79785667 https://streamtape.com/v/DlXKLGW81JSkkm3/79785667 https://lulustream.com/d/eqvd9fu3rqv3 (2026) #milf #doublepenetration #anal #bigass #RIPNSFW")</f>
        <v>{New} Jessie Rogers https://doodstream.com/d/nuzb3o7jfqab/79785667 https://streamtape.com/v/DlXKLGW81JSkkm3/79785667 https://lulustream.com/d/eqvd9fu3rqv3 (2026) #milf #doublepenetration #anal #bigass #RIPNSFW</v>
      </c>
      <c r="N840" s="2" t="s">
        <v>4248</v>
      </c>
      <c r="O840" s="30" t="s">
        <v>4249</v>
      </c>
      <c r="P840" s="26"/>
      <c r="R840" s="23"/>
    </row>
    <row r="841" spans="1:27" ht="12.75">
      <c r="A841" s="12" t="s">
        <v>4250</v>
      </c>
      <c r="B841" s="6" t="s">
        <v>14</v>
      </c>
      <c r="C841" s="7" t="str">
        <f t="shared" si="12"/>
        <v xml:space="preserve">Jessie Rogers </v>
      </c>
      <c r="D841" s="24" t="s">
        <v>4251</v>
      </c>
      <c r="E841" s="25" t="s">
        <v>4252</v>
      </c>
      <c r="F841" s="9" t="str">
        <f ca="1">IFERROR(__xludf.DUMMYFUNCTION("""https://streamtape.com/v/""&amp;
REGEXEXTRACT(O841,""/thumb/([^/]+)/"")&amp;
""/""&amp;K841"),"https://streamtape.com/v/X2YvmBBa9khDex7/84263564")</f>
        <v>https://streamtape.com/v/X2YvmBBa9khDex7/84263564</v>
      </c>
      <c r="G841" s="10" t="e">
        <f t="shared" ca="1" si="13"/>
        <v>#NAME?</v>
      </c>
      <c r="H841" s="11" t="str">
        <f ca="1">IFERROR(__xludf.DUMMYFUNCTION("IFERROR(SUBSTITUTE(SUBSTITUTE(REGEXEXTRACT(A841, ""[^-]+- [^-]+- [^-]+ - (.+?)\.jpg""), "".jpg"", """"), ""-"", "", ""), """")"),"")</f>
        <v/>
      </c>
      <c r="I841" s="6"/>
      <c r="J841" s="7" t="str">
        <f t="shared" ca="1" si="14"/>
        <v>(2026)</v>
      </c>
      <c r="K841" s="7" t="str">
        <f t="shared" si="15"/>
        <v>84263564</v>
      </c>
      <c r="L841" s="12" t="s">
        <v>4139</v>
      </c>
      <c r="M841" s="13" t="str">
        <f ca="1">IFERROR(__xludf.DUMMYFUNCTION("TRIM(
  REGEXREPLACE(
    TEXTJOIN("" "",
      TRUE,
      B841,
      C841,
      embaralharLinks(E841,F841,G841),
      H841,
      """",
      J841,
      N841,
      ""#RIPNSFW""
    ),
  "",\s*"", "" "")
)"),"{New} Jessie Rogers https://streamtape.com/v/X2YvmBBa9khDex7/84263564 https://doodstream.com/d/3xfcskoayz6i/84263564 https://lulustream.com/d/3h80vhtq1hpv (2026) #anal #milf #bigtits #bigass #RIPNSFW")</f>
        <v>{New} Jessie Rogers https://streamtape.com/v/X2YvmBBa9khDex7/84263564 https://doodstream.com/d/3xfcskoayz6i/84263564 https://lulustream.com/d/3h80vhtq1hpv (2026) #anal #milf #bigtits #bigass #RIPNSFW</v>
      </c>
      <c r="N841" s="2" t="s">
        <v>4139</v>
      </c>
      <c r="O841" s="30" t="s">
        <v>4253</v>
      </c>
      <c r="P841" s="26"/>
      <c r="R841" s="23"/>
    </row>
    <row r="842" spans="1:27" ht="12.75">
      <c r="A842" s="6" t="s">
        <v>4254</v>
      </c>
      <c r="B842" s="6" t="s">
        <v>14</v>
      </c>
      <c r="C842" s="7" t="str">
        <f t="shared" si="12"/>
        <v xml:space="preserve">Jessie Rogers </v>
      </c>
      <c r="D842" s="24" t="s">
        <v>4255</v>
      </c>
      <c r="E842" s="25" t="s">
        <v>4256</v>
      </c>
      <c r="F842" s="9" t="str">
        <f ca="1">IFERROR(__xludf.DUMMYFUNCTION("""https://streamtape.com/v/""&amp;
REGEXEXTRACT(O842,""/thumb/([^/]+)/"")&amp;
""/""&amp;K842"),"https://streamtape.com/v/g1OWOkBO1jiq1zm/87103916")</f>
        <v>https://streamtape.com/v/g1OWOkBO1jiq1zm/87103916</v>
      </c>
      <c r="G842" s="10" t="e">
        <f t="shared" ca="1" si="13"/>
        <v>#NAME?</v>
      </c>
      <c r="H842" s="11" t="str">
        <f ca="1">IFERROR(__xludf.DUMMYFUNCTION("IFERROR(SUBSTITUTE(SUBSTITUTE(REGEXEXTRACT(A842, ""[^-]+- [^-]+- [^-]+ - (.+?)\.jpg""), "".jpg"", """"), ""-"", "", ""), """")"),"Violet Myers")</f>
        <v>Violet Myers</v>
      </c>
      <c r="I842" s="6"/>
      <c r="J842" s="7" t="str">
        <f t="shared" ca="1" si="14"/>
        <v>(2026)</v>
      </c>
      <c r="K842" s="7" t="str">
        <f t="shared" si="15"/>
        <v>87103916</v>
      </c>
      <c r="L842" s="12" t="s">
        <v>2909</v>
      </c>
      <c r="M842" s="13" t="str">
        <f ca="1">IFERROR(__xludf.DUMMYFUNCTION("TRIM(
  REGEXREPLACE(
    TEXTJOIN("" "",
      TRUE,
      B842,
      C842,
      embaralharLinks(E842,F842,G842),
      H842,
      """",
      J842,
      N842,
      ""#RIPNSFW""
    ),
  "",\s*"", "" "")
)"),"{New} Jessie Rogers https://doodstream.com/d/e3p386vhr02j/87103916 https://lulustream.com/d/kimozw1tpgcs https://streamtape.com/v/g1OWOkBO1jiq1zm/87103916 Violet Myers (2026) #milf #threesome #bigtits #bigass #RIPNSFW")</f>
        <v>{New} Jessie Rogers https://doodstream.com/d/e3p386vhr02j/87103916 https://lulustream.com/d/kimozw1tpgcs https://streamtape.com/v/g1OWOkBO1jiq1zm/87103916 Violet Myers (2026) #milf #threesome #bigtits #bigass #RIPNSFW</v>
      </c>
      <c r="N842" s="31" t="s">
        <v>2909</v>
      </c>
      <c r="O842" s="32" t="s">
        <v>4257</v>
      </c>
      <c r="P842" s="26"/>
      <c r="Q842" s="6"/>
      <c r="R842" s="23"/>
      <c r="S842" s="6"/>
      <c r="T842" s="6"/>
      <c r="U842" s="7"/>
      <c r="V842" s="6"/>
      <c r="X842" s="6"/>
      <c r="Y842" s="6"/>
      <c r="Z842" s="6"/>
      <c r="AA842" s="6"/>
    </row>
    <row r="843" spans="1:27" ht="12.75">
      <c r="A843" s="6" t="s">
        <v>4258</v>
      </c>
      <c r="B843" s="6" t="s">
        <v>14</v>
      </c>
      <c r="C843" s="7" t="str">
        <f t="shared" si="12"/>
        <v xml:space="preserve">Jessie Rogers </v>
      </c>
      <c r="D843" s="24" t="s">
        <v>4259</v>
      </c>
      <c r="E843" s="25" t="s">
        <v>4260</v>
      </c>
      <c r="F843" s="9" t="str">
        <f ca="1">IFERROR(__xludf.DUMMYFUNCTION("""https://streamtape.com/v/""&amp;
REGEXEXTRACT(O843,""/thumb/([^/]+)/"")&amp;
""/""&amp;K843"),"https://streamtape.com/v/vW18Dj7beBF411d/89289006")</f>
        <v>https://streamtape.com/v/vW18Dj7beBF411d/89289006</v>
      </c>
      <c r="G843" s="10" t="e">
        <f t="shared" ca="1" si="13"/>
        <v>#NAME?</v>
      </c>
      <c r="H843" s="11" t="str">
        <f ca="1">IFERROR(__xludf.DUMMYFUNCTION("IFERROR(SUBSTITUTE(SUBSTITUTE(REGEXEXTRACT(A843, ""[^-]+- [^-]+- [^-]+ - (.+?)\.jpg""), "".jpg"", """"), ""-"", "", ""), """")"),"")</f>
        <v/>
      </c>
      <c r="I843" s="6"/>
      <c r="J843" s="7" t="str">
        <f t="shared" ca="1" si="14"/>
        <v>(2026)</v>
      </c>
      <c r="K843" s="7" t="str">
        <f t="shared" si="15"/>
        <v>89289006</v>
      </c>
      <c r="L843" s="12" t="s">
        <v>1462</v>
      </c>
      <c r="M843" s="13" t="str">
        <f ca="1">IFERROR(__xludf.DUMMYFUNCTION("TRIM(
  REGEXREPLACE(
    TEXTJOIN("" "",
      TRUE,
      B843,
      C843,
      embaralharLinks(E843,F843,G843),
      H843,
      """",
      J843,
      N843,
      ""#RIPNSFW""
    ),
  "",\s*"", "" "")
)"),"{New} Jessie Rogers https://streamtape.com/v/vW18Dj7beBF411d/89289006 https://lulustream.com/d/fvlw9wtsqn1w https://doodstream.com/d/4l2rrmd2znk4/89289006 (2026) #milf #bigtits #bigass #blowjob #RIPNSFW")</f>
        <v>{New} Jessie Rogers https://streamtape.com/v/vW18Dj7beBF411d/89289006 https://lulustream.com/d/fvlw9wtsqn1w https://doodstream.com/d/4l2rrmd2znk4/89289006 (2026) #milf #bigtits #bigass #blowjob #RIPNSFW</v>
      </c>
      <c r="N843" s="31" t="s">
        <v>1462</v>
      </c>
      <c r="O843" s="32" t="s">
        <v>4261</v>
      </c>
      <c r="P843" s="26"/>
      <c r="Q843" s="6"/>
      <c r="R843" s="11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>
      <c r="A844" s="12" t="s">
        <v>4262</v>
      </c>
      <c r="B844" s="6" t="s">
        <v>14</v>
      </c>
      <c r="C844" s="7" t="str">
        <f t="shared" si="12"/>
        <v xml:space="preserve">Jessie Rogers </v>
      </c>
      <c r="D844" s="24" t="s">
        <v>4263</v>
      </c>
      <c r="E844" s="25" t="s">
        <v>4264</v>
      </c>
      <c r="F844" s="9" t="str">
        <f ca="1">IFERROR(__xludf.DUMMYFUNCTION("""https://streamtape.com/v/""&amp;
REGEXEXTRACT(O844,""/thumb/([^/]+)/"")&amp;
""/""&amp;K844"),"https://streamtape.com/v/YGRxbQz7VdFBl1/92786766")</f>
        <v>https://streamtape.com/v/YGRxbQz7VdFBl1/92786766</v>
      </c>
      <c r="G844" s="10" t="e">
        <f t="shared" ca="1" si="13"/>
        <v>#NAME?</v>
      </c>
      <c r="H844" s="11" t="str">
        <f ca="1">IFERROR(__xludf.DUMMYFUNCTION("IFERROR(SUBSTITUTE(SUBSTITUTE(REGEXEXTRACT(A844, ""[^-]+- [^-]+- [^-]+ - (.+?)\.jpg""), "".jpg"", """"), ""-"", "", ""), """")"),"")</f>
        <v/>
      </c>
      <c r="I844" s="6"/>
      <c r="J844" s="7" t="str">
        <f t="shared" ca="1" si="14"/>
        <v>(2026)</v>
      </c>
      <c r="K844" s="7" t="str">
        <f t="shared" si="15"/>
        <v>92786766</v>
      </c>
      <c r="L844" s="12" t="s">
        <v>4265</v>
      </c>
      <c r="M844" s="13" t="str">
        <f ca="1">IFERROR(__xludf.DUMMYFUNCTION("TRIM(
  REGEXREPLACE(
    TEXTJOIN("" "",
      TRUE,
      B844,
      C844,
      embaralharLinks(E844,F844,G844),
      H844,
      """",
      J844,
      N844,
      ""#RIPNSFW""
    ),
  "",\s*"", "" "")
)"),"{New} Jessie Rogers https://doodstream.com/d/vjmwyb4xxuik/92786766 https://streamtape.com/v/YGRxbQz7VdFBl1/92786766 https://lulustream.com/d/f2d5gqraizbd (2026) #anal #bigtits #milf #bigass #RIPNSFW")</f>
        <v>{New} Jessie Rogers https://doodstream.com/d/vjmwyb4xxuik/92786766 https://streamtape.com/v/YGRxbQz7VdFBl1/92786766 https://lulustream.com/d/f2d5gqraizbd (2026) #anal #bigtits #milf #bigass #RIPNSFW</v>
      </c>
      <c r="N844" s="2" t="s">
        <v>4265</v>
      </c>
      <c r="O844" s="30" t="s">
        <v>4266</v>
      </c>
      <c r="P844" s="26"/>
      <c r="R844" s="23"/>
    </row>
    <row r="845" spans="1:27" ht="12.75">
      <c r="A845" s="12" t="s">
        <v>4267</v>
      </c>
      <c r="B845" s="6" t="s">
        <v>14</v>
      </c>
      <c r="C845" s="7" t="str">
        <f t="shared" si="12"/>
        <v xml:space="preserve">Jessie Rogers </v>
      </c>
      <c r="D845" s="24" t="s">
        <v>4268</v>
      </c>
      <c r="E845" s="25" t="s">
        <v>4269</v>
      </c>
      <c r="F845" s="9" t="str">
        <f ca="1">IFERROR(__xludf.DUMMYFUNCTION("""https://streamtape.com/v/""&amp;
REGEXEXTRACT(O845,""/thumb/([^/]+)/"")&amp;
""/""&amp;K845"),"https://streamtape.com/v/3DD1pppzxdhdgzR/94536611")</f>
        <v>https://streamtape.com/v/3DD1pppzxdhdgzR/94536611</v>
      </c>
      <c r="G845" s="10" t="e">
        <f t="shared" ca="1" si="13"/>
        <v>#NAME?</v>
      </c>
      <c r="H845" s="11" t="str">
        <f ca="1">IFERROR(__xludf.DUMMYFUNCTION("IFERROR(SUBSTITUTE(SUBSTITUTE(REGEXEXTRACT(A845, ""[^-]+- [^-]+- [^-]+ - (.+?)\.jpg""), "".jpg"", """"), ""-"", "", ""), """")"),"")</f>
        <v/>
      </c>
      <c r="I845" s="6"/>
      <c r="J845" s="7" t="str">
        <f t="shared" ca="1" si="14"/>
        <v>(2026)</v>
      </c>
      <c r="K845" s="7" t="str">
        <f t="shared" si="15"/>
        <v>94536611</v>
      </c>
      <c r="L845" s="12" t="s">
        <v>4270</v>
      </c>
      <c r="M845" s="13" t="str">
        <f ca="1">IFERROR(__xludf.DUMMYFUNCTION("TRIM(
  REGEXREPLACE(
    TEXTJOIN("" "",
      TRUE,
      B845,
      C845,
      embaralharLinks(E845,F845,G845),
      H845,
      """",
      J845,
      N845,
      ""#RIPNSFW""
    ),
  "",\s*"", "" "")
)"),"{New} Jessie Rogers https://doodstream.com/d/x61mp7gmx6p7/94536611 https://lulustream.com/d/6rarqk2niyj0 https://streamtape.com/v/3DD1pppzxdhdgzR/94536611 (2026) #milf #bigass #bigtits #blonde #RIPNSFW")</f>
        <v>{New} Jessie Rogers https://doodstream.com/d/x61mp7gmx6p7/94536611 https://lulustream.com/d/6rarqk2niyj0 https://streamtape.com/v/3DD1pppzxdhdgzR/94536611 (2026) #milf #bigass #bigtits #blonde #RIPNSFW</v>
      </c>
      <c r="N845" s="2" t="s">
        <v>4270</v>
      </c>
      <c r="O845" s="30" t="s">
        <v>4271</v>
      </c>
      <c r="P845" s="26"/>
      <c r="R845" s="23"/>
    </row>
    <row r="846" spans="1:27" ht="12.75">
      <c r="A846" s="6" t="s">
        <v>4272</v>
      </c>
      <c r="B846" s="6" t="s">
        <v>14</v>
      </c>
      <c r="C846" s="7" t="str">
        <f t="shared" si="12"/>
        <v xml:space="preserve">Jessie Rogers </v>
      </c>
      <c r="D846" s="24" t="s">
        <v>4273</v>
      </c>
      <c r="E846" s="25" t="s">
        <v>4274</v>
      </c>
      <c r="F846" s="9" t="str">
        <f ca="1">IFERROR(__xludf.DUMMYFUNCTION("""https://streamtape.com/v/""&amp;
REGEXEXTRACT(O846,""/thumb/([^/]+)/"")&amp;
""/""&amp;K846"),"https://streamtape.com/v/We3e9LrqGMSWA1/98919097")</f>
        <v>https://streamtape.com/v/We3e9LrqGMSWA1/98919097</v>
      </c>
      <c r="G846" s="10" t="e">
        <f t="shared" ca="1" si="13"/>
        <v>#NAME?</v>
      </c>
      <c r="H846" s="11" t="str">
        <f ca="1">IFERROR(__xludf.DUMMYFUNCTION("IFERROR(SUBSTITUTE(SUBSTITUTE(REGEXEXTRACT(A846, ""[^-]+- [^-]+- [^-]+ - (.+?)\.jpg""), "".jpg"", """"), ""-"", "", ""), """")"),"")</f>
        <v/>
      </c>
      <c r="I846" s="6"/>
      <c r="J846" s="7" t="str">
        <f t="shared" ca="1" si="14"/>
        <v>(2026)</v>
      </c>
      <c r="K846" s="7" t="str">
        <f t="shared" si="15"/>
        <v>98919097</v>
      </c>
      <c r="L846" s="12" t="s">
        <v>1462</v>
      </c>
      <c r="M846" s="13" t="str">
        <f ca="1">IFERROR(__xludf.DUMMYFUNCTION("TRIM(
  REGEXREPLACE(
    TEXTJOIN("" "",
      TRUE,
      B846,
      C846,
      embaralharLinks(E846,F846,G846),
      H846,
      """",
      J846,
      N846,
      ""#RIPNSFW""
    ),
  "",\s*"", "" "")
)"),"{New} Jessie Rogers https://doodstream.com/d/wystdx52ykr5/98919097 https://streamtape.com/v/We3e9LrqGMSWA1/98919097 https://lulustream.com/d/3dahty829kdw (2026) #milf #bigtits #bigass #blowjob #RIPNSFW")</f>
        <v>{New} Jessie Rogers https://doodstream.com/d/wystdx52ykr5/98919097 https://streamtape.com/v/We3e9LrqGMSWA1/98919097 https://lulustream.com/d/3dahty829kdw (2026) #milf #bigtits #bigass #blowjob #RIPNSFW</v>
      </c>
      <c r="N846" s="31" t="s">
        <v>1462</v>
      </c>
      <c r="O846" s="32" t="s">
        <v>4275</v>
      </c>
      <c r="P846" s="26"/>
      <c r="Q846" s="6"/>
      <c r="R846" s="11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>
      <c r="A847" s="12" t="s">
        <v>4276</v>
      </c>
      <c r="B847" s="6" t="s">
        <v>14</v>
      </c>
      <c r="C847" s="7" t="str">
        <f t="shared" si="12"/>
        <v xml:space="preserve">Jessie Rogers </v>
      </c>
      <c r="D847" s="24" t="s">
        <v>4277</v>
      </c>
      <c r="E847" s="25" t="s">
        <v>4278</v>
      </c>
      <c r="F847" s="9" t="str">
        <f ca="1">IFERROR(__xludf.DUMMYFUNCTION("""https://streamtape.com/v/""&amp;
REGEXEXTRACT(O847,""/thumb/([^/]+)/"")&amp;
""/""&amp;K847"),"https://streamtape.com/v/PrMqYV10Y2c04A6/99017284")</f>
        <v>https://streamtape.com/v/PrMqYV10Y2c04A6/99017284</v>
      </c>
      <c r="G847" s="10" t="e">
        <f t="shared" ca="1" si="13"/>
        <v>#NAME?</v>
      </c>
      <c r="H847" s="11" t="str">
        <f ca="1">IFERROR(__xludf.DUMMYFUNCTION("IFERROR(SUBSTITUTE(SUBSTITUTE(REGEXEXTRACT(A847, ""[^-]+- [^-]+- [^-]+ - (.+?)\.jpg""), "".jpg"", """"), ""-"", "", ""), """")"),"Lola Rose")</f>
        <v>Lola Rose</v>
      </c>
      <c r="I847" s="6"/>
      <c r="J847" s="7" t="str">
        <f t="shared" ca="1" si="14"/>
        <v>(2026)</v>
      </c>
      <c r="K847" s="7" t="str">
        <f t="shared" si="15"/>
        <v>99017284</v>
      </c>
      <c r="L847" s="12" t="s">
        <v>4279</v>
      </c>
      <c r="M847" s="13" t="str">
        <f ca="1">IFERROR(__xludf.DUMMYFUNCTION("TRIM(
  REGEXREPLACE(
    TEXTJOIN("" "",
      TRUE,
      B847,
      C847,
      embaralharLinks(E847,F847,G847),
      H847,
      """",
      J847,
      N847,
      ""#RIPNSFW""
    ),
  "",\s*"", "" "")
)"),"{New} Jessie Rogers https://lulustream.com/d/49rg49w45x9c https://doodstream.com/d/hsb7sx3q7zo1/99017284 https://streamtape.com/v/PrMqYV10Y2c04A6/99017284 Lola Rose (2026) #threesome #bigtits #bigass #milf #RIPNSFW")</f>
        <v>{New} Jessie Rogers https://lulustream.com/d/49rg49w45x9c https://doodstream.com/d/hsb7sx3q7zo1/99017284 https://streamtape.com/v/PrMqYV10Y2c04A6/99017284 Lola Rose (2026) #threesome #bigtits #bigass #milf #RIPNSFW</v>
      </c>
      <c r="N847" s="2" t="s">
        <v>4279</v>
      </c>
      <c r="O847" s="30" t="s">
        <v>4280</v>
      </c>
      <c r="P847" s="26"/>
      <c r="R847" s="23"/>
      <c r="T847" s="6"/>
      <c r="U847" s="7"/>
    </row>
    <row r="848" spans="1:27" ht="12.75">
      <c r="A848" s="16" t="s">
        <v>4281</v>
      </c>
      <c r="B848" s="11" t="s">
        <v>14</v>
      </c>
      <c r="C848" s="13" t="str">
        <f t="shared" si="12"/>
        <v xml:space="preserve">Jessie Rogers </v>
      </c>
      <c r="D848" s="17" t="s">
        <v>4282</v>
      </c>
      <c r="E848" s="18" t="s">
        <v>4283</v>
      </c>
      <c r="F848" s="9" t="str">
        <f ca="1">IFERROR(__xludf.DUMMYFUNCTION("""https://streamtape.com/v/""&amp;
REGEXEXTRACT(O848,""/thumb/([^/]+)/"")&amp;
""/""&amp;K848"),"https://streamtape.com/v/gr1A08jojBUYlr/99753692")</f>
        <v>https://streamtape.com/v/gr1A08jojBUYlr/99753692</v>
      </c>
      <c r="G848" s="10" t="e">
        <f t="shared" ca="1" si="13"/>
        <v>#NAME?</v>
      </c>
      <c r="H848" s="11" t="str">
        <f ca="1">IFERROR(__xludf.DUMMYFUNCTION("IFERROR(SUBSTITUTE(SUBSTITUTE(REGEXEXTRACT(A848, ""[^-]+- [^-]+- [^-]+ - (.+?)\.jpg""), "".jpg"", """"), ""-"", "", ""), """")"),"")</f>
        <v/>
      </c>
      <c r="I848" s="11"/>
      <c r="J848" s="13" t="str">
        <f t="shared" ca="1" si="14"/>
        <v>(2026)</v>
      </c>
      <c r="K848" s="13" t="str">
        <f t="shared" si="15"/>
        <v>99753692</v>
      </c>
      <c r="L848" s="12" t="s">
        <v>3393</v>
      </c>
      <c r="M848" s="13" t="str">
        <f ca="1">IFERROR(__xludf.DUMMYFUNCTION("TRIM(
  REGEXREPLACE(
    TEXTJOIN("" "",
      TRUE,
      B848,
      C848,
      embaralharLinks(E848,F848,G848),
      H848,
      """",
      J848,
      N848,
      ""#RIPNSFW""
    ),
  "",\s*"", "" "")
)"),"{New} Jessie Rogers https://doodstream.com/d/gn38tg40ze79/99753692 https://streamtape.com/v/gr1A08jojBUYlr/99753692 https://lulustream.com/d/uww7nycxc6sf (2026) #milf #bigtits #bigass #latina #RIPNSFW")</f>
        <v>{New} Jessie Rogers https://doodstream.com/d/gn38tg40ze79/99753692 https://streamtape.com/v/gr1A08jojBUYlr/99753692 https://lulustream.com/d/uww7nycxc6sf (2026) #milf #bigtits #bigass #latina #RIPNSFW</v>
      </c>
      <c r="N848" s="20" t="s">
        <v>3393</v>
      </c>
      <c r="O848" s="30" t="s">
        <v>4284</v>
      </c>
      <c r="P848" s="26"/>
      <c r="Q848" s="16"/>
      <c r="R848" s="23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75">
      <c r="A849" s="12" t="s">
        <v>4285</v>
      </c>
      <c r="B849" s="6" t="s">
        <v>14</v>
      </c>
      <c r="C849" s="7" t="str">
        <f t="shared" si="12"/>
        <v xml:space="preserve">Jewelz Blu </v>
      </c>
      <c r="D849" s="24" t="s">
        <v>4286</v>
      </c>
      <c r="E849" s="25" t="s">
        <v>4287</v>
      </c>
      <c r="F849" s="9" t="str">
        <f ca="1">IFERROR(__xludf.DUMMYFUNCTION("""https://streamtape.com/v/""&amp;
REGEXEXTRACT(O849,""/thumb/([^/]+)/"")&amp;
""/""&amp;K849"),"https://streamtape.com/v/PbdX0zBo8VI0KzX/03348831")</f>
        <v>https://streamtape.com/v/PbdX0zBo8VI0KzX/03348831</v>
      </c>
      <c r="G849" s="10" t="e">
        <f t="shared" ca="1" si="13"/>
        <v>#NAME?</v>
      </c>
      <c r="H849" s="11" t="str">
        <f ca="1">IFERROR(__xludf.DUMMYFUNCTION("IFERROR(SUBSTITUTE(SUBSTITUTE(REGEXEXTRACT(A849, ""[^-]+- [^-]+- [^-]+ - (.+?)\.jpg""), "".jpg"", """"), ""-"", "", ""), """")"),"")</f>
        <v/>
      </c>
      <c r="I849" s="6"/>
      <c r="J849" s="7" t="str">
        <f t="shared" ca="1" si="14"/>
        <v>(2026)</v>
      </c>
      <c r="K849" s="7" t="str">
        <f t="shared" si="15"/>
        <v>03348831</v>
      </c>
      <c r="L849" s="12" t="s">
        <v>4288</v>
      </c>
      <c r="M849" s="13" t="str">
        <f ca="1">IFERROR(__xludf.DUMMYFUNCTION("TRIM(
  REGEXREPLACE(
    TEXTJOIN("" "",
      TRUE,
      B849,
      C849,
      embaralharLinks(E849,F849,G849),
      H849,
      """",
      J849,
      N849,
      ""#RIPNSFW""
    ),
  "",\s*"", "" "")
)"),"{New} Jewelz Blu https://streamtape.com/v/PbdX0zBo8VI0KzX/03348831 https://lulustream.com/d/jpgouz8gojvt https://doodstream.com/d/6jx4cu9xh3ou/03348831 (2026) #anal #milf #bigtits #hardcore #RIPNSFW")</f>
        <v>{New} Jewelz Blu https://streamtape.com/v/PbdX0zBo8VI0KzX/03348831 https://lulustream.com/d/jpgouz8gojvt https://doodstream.com/d/6jx4cu9xh3ou/03348831 (2026) #anal #milf #bigtits #hardcore #RIPNSFW</v>
      </c>
      <c r="N849" s="2" t="s">
        <v>4288</v>
      </c>
      <c r="O849" s="30" t="s">
        <v>4289</v>
      </c>
      <c r="P849" s="26"/>
      <c r="R849" s="23"/>
      <c r="T849" s="6"/>
      <c r="U849" s="7"/>
    </row>
    <row r="850" spans="1:27" ht="12.75">
      <c r="A850" s="6" t="s">
        <v>4290</v>
      </c>
      <c r="B850" s="6" t="s">
        <v>14</v>
      </c>
      <c r="C850" s="7" t="str">
        <f t="shared" si="12"/>
        <v xml:space="preserve">Jewelz Blu </v>
      </c>
      <c r="D850" s="6" t="s">
        <v>4291</v>
      </c>
      <c r="E850" s="8" t="s">
        <v>4292</v>
      </c>
      <c r="F850" s="9" t="str">
        <f ca="1">IFERROR(__xludf.DUMMYFUNCTION("""https://streamtape.com/v/""&amp;
REGEXEXTRACT(O850,""/thumb/([^/]+)/"")&amp;
""/""&amp;K850"),"https://streamtape.com/v/OVby94P3Bwf6K1/10839415")</f>
        <v>https://streamtape.com/v/OVby94P3Bwf6K1/10839415</v>
      </c>
      <c r="G850" s="10" t="e">
        <f t="shared" ca="1" si="13"/>
        <v>#NAME?</v>
      </c>
      <c r="H850" s="11" t="str">
        <f ca="1">IFERROR(__xludf.DUMMYFUNCTION("IFERROR(SUBSTITUTE(SUBSTITUTE(REGEXEXTRACT(A850, ""[^-]+- [^-]+- [^-]+ - (.+?)\.jpg""), "".jpg"", """"), ""-"", "", ""), """")"),"")</f>
        <v/>
      </c>
      <c r="I850" s="6"/>
      <c r="J850" s="7" t="str">
        <f t="shared" ca="1" si="14"/>
        <v>(2026)</v>
      </c>
      <c r="K850" s="7" t="str">
        <f t="shared" si="15"/>
        <v>10839415</v>
      </c>
      <c r="L850" s="12" t="s">
        <v>4293</v>
      </c>
      <c r="M850" s="13" t="str">
        <f ca="1">IFERROR(__xludf.DUMMYFUNCTION("TRIM(
  REGEXREPLACE(
    TEXTJOIN("" "",
      TRUE,
      B850,
      C850,
      embaralharLinks(E850,F850,G850),
      H850,
      """",
      J850,
      N850,
      ""#RIPNSFW""
    ),
  "",\s*"", "" "")
)"),"{New} Jewelz Blu https://doodstream.com/d/q6povpr7ssd8/10839415 https://streamtape.com/v/OVby94P3Bwf6K1/10839415 https://lulustream.com/d/c5j2zl1cxmmw (2026) #MILF #BigTits #Hardcore #Bigass #Blowjob #RIPNSFW")</f>
        <v>{New} Jewelz Blu https://doodstream.com/d/q6povpr7ssd8/10839415 https://streamtape.com/v/OVby94P3Bwf6K1/10839415 https://lulustream.com/d/c5j2zl1cxmmw (2026) #MILF #BigTits #Hardcore #Bigass #Blowjob #RIPNSFW</v>
      </c>
      <c r="N850" s="14" t="s">
        <v>1410</v>
      </c>
      <c r="O850" s="15" t="s">
        <v>4294</v>
      </c>
      <c r="P850" s="14"/>
      <c r="Q850" s="6"/>
      <c r="R850" s="11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>
      <c r="A851" s="12" t="s">
        <v>4295</v>
      </c>
      <c r="B851" s="6" t="s">
        <v>14</v>
      </c>
      <c r="C851" s="7" t="str">
        <f t="shared" si="12"/>
        <v xml:space="preserve">Jewelz Blu </v>
      </c>
      <c r="D851" s="27" t="s">
        <v>4296</v>
      </c>
      <c r="E851" s="28" t="s">
        <v>4297</v>
      </c>
      <c r="F851" s="9" t="str">
        <f ca="1">IFERROR(__xludf.DUMMYFUNCTION("""https://streamtape.com/v/""&amp;
REGEXEXTRACT(O851,""/thumb/([^/]+)/"")&amp;
""/""&amp;K851"),"https://streamtape.com/v/4vvRlgoPQPFKPRW/12758288")</f>
        <v>https://streamtape.com/v/4vvRlgoPQPFKPRW/12758288</v>
      </c>
      <c r="G851" s="10" t="e">
        <f t="shared" ca="1" si="13"/>
        <v>#NAME?</v>
      </c>
      <c r="H851" s="11" t="str">
        <f ca="1">IFERROR(__xludf.DUMMYFUNCTION("IFERROR(SUBSTITUTE(SUBSTITUTE(REGEXEXTRACT(A851, ""[^-]+- [^-]+- [^-]+ - (.+?)\.jpg""), "".jpg"", """"), ""-"", "", ""), """")"),"")</f>
        <v/>
      </c>
      <c r="I851" s="6"/>
      <c r="J851" s="7" t="str">
        <f t="shared" ca="1" si="14"/>
        <v>(2026)</v>
      </c>
      <c r="K851" s="7" t="str">
        <f t="shared" si="15"/>
        <v>12758288</v>
      </c>
      <c r="L851" s="12" t="s">
        <v>2163</v>
      </c>
      <c r="M851" s="13" t="str">
        <f ca="1">IFERROR(__xludf.DUMMYFUNCTION("TRIM(
  REGEXREPLACE(
    TEXTJOIN("" "",
      TRUE,
      B851,
      C851,
      embaralharLinks(E851,F851,G851),
      H851,
      """",
      J851,
      N851,
      ""#RIPNSFW""
    ),
  "",\s*"", "" "")
)"),"{New} Jewelz Blu https://doodstream.com/d/n792ri8g9v8u/12758288 https://lulustream.com/d/l92c0lvaxt9v https://streamtape.com/v/4vvRlgoPQPFKPRW/12758288 (2026) #MILF #BigTits #Bigass #Blowjob #RIPNSFW")</f>
        <v>{New} Jewelz Blu https://doodstream.com/d/n792ri8g9v8u/12758288 https://lulustream.com/d/l92c0lvaxt9v https://streamtape.com/v/4vvRlgoPQPFKPRW/12758288 (2026) #MILF #BigTits #Bigass #Blowjob #RIPNSFW</v>
      </c>
      <c r="N851" s="2" t="s">
        <v>2135</v>
      </c>
      <c r="O851" s="30" t="s">
        <v>4298</v>
      </c>
      <c r="P851" s="26"/>
      <c r="R851" s="23"/>
    </row>
    <row r="852" spans="1:27" ht="12.75">
      <c r="A852" s="6" t="s">
        <v>4299</v>
      </c>
      <c r="B852" s="6" t="s">
        <v>14</v>
      </c>
      <c r="C852" s="7" t="str">
        <f t="shared" si="12"/>
        <v xml:space="preserve">Jewelz Blu </v>
      </c>
      <c r="D852" s="29" t="s">
        <v>4300</v>
      </c>
      <c r="E852" s="8" t="s">
        <v>4301</v>
      </c>
      <c r="F852" s="9" t="str">
        <f ca="1">IFERROR(__xludf.DUMMYFUNCTION("""https://streamtape.com/v/""&amp;
REGEXEXTRACT(O852,""/thumb/([^/]+)/"")&amp;
""/""&amp;K852"),"https://streamtape.com/v/l26Bk1Wqd4H7Y3q/14290187")</f>
        <v>https://streamtape.com/v/l26Bk1Wqd4H7Y3q/14290187</v>
      </c>
      <c r="G852" s="10" t="e">
        <f t="shared" ca="1" si="13"/>
        <v>#NAME?</v>
      </c>
      <c r="H852" s="11" t="str">
        <f ca="1">IFERROR(__xludf.DUMMYFUNCTION("IFERROR(SUBSTITUTE(SUBSTITUTE(REGEXEXTRACT(A852, ""[^-]+- [^-]+- [^-]+ - (.+?)\.jpg""), "".jpg"", """"), ""-"", "", ""), """")"),"")</f>
        <v/>
      </c>
      <c r="I852" s="6"/>
      <c r="J852" s="7" t="str">
        <f t="shared" ca="1" si="14"/>
        <v>(2026)</v>
      </c>
      <c r="K852" s="7" t="str">
        <f t="shared" si="15"/>
        <v>14290187</v>
      </c>
      <c r="L852" s="12" t="s">
        <v>4302</v>
      </c>
      <c r="M852" s="13" t="str">
        <f ca="1">IFERROR(__xludf.DUMMYFUNCTION("TRIM(
  REGEXREPLACE(
    TEXTJOIN("" "",
      TRUE,
      B852,
      C852,
      embaralharLinks(E852,F852,G852),
      H852,
      """",
      J852,
      N852,
      ""#RIPNSFW""
    ),
  "",\s*"", "" "")
)"),"{New} Jewelz Blu https://streamtape.com/v/l26Bk1Wqd4H7Y3q/14290187 https://doodstream.com/d/slh3a6v7d6iq/14290187 https://lulustream.com/d/ewnh8cs3hw12 (2026) #MILF #BigTits #Creampie #Hardcore #Threesome #RIPNSFW")</f>
        <v>{New} Jewelz Blu https://streamtape.com/v/l26Bk1Wqd4H7Y3q/14290187 https://doodstream.com/d/slh3a6v7d6iq/14290187 https://lulustream.com/d/ewnh8cs3hw12 (2026) #MILF #BigTits #Creampie #Hardcore #Threesome #RIPNSFW</v>
      </c>
      <c r="N852" s="14" t="s">
        <v>4303</v>
      </c>
      <c r="O852" s="32" t="s">
        <v>4304</v>
      </c>
      <c r="P852" s="14"/>
      <c r="Q852" s="6"/>
      <c r="R852" s="11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>
      <c r="A853" s="12" t="s">
        <v>4305</v>
      </c>
      <c r="B853" s="6" t="s">
        <v>14</v>
      </c>
      <c r="C853" s="7" t="str">
        <f t="shared" si="12"/>
        <v xml:space="preserve">Jewelz Blu </v>
      </c>
      <c r="D853" s="24" t="s">
        <v>4306</v>
      </c>
      <c r="E853" s="25" t="s">
        <v>4307</v>
      </c>
      <c r="F853" s="9" t="str">
        <f ca="1">IFERROR(__xludf.DUMMYFUNCTION("""https://streamtape.com/v/""&amp;
REGEXEXTRACT(O853,""/thumb/([^/]+)/"")&amp;
""/""&amp;K853"),"https://streamtape.com/v/wGabXjep0rtVk0/15090517")</f>
        <v>https://streamtape.com/v/wGabXjep0rtVk0/15090517</v>
      </c>
      <c r="G853" s="10" t="e">
        <f t="shared" ca="1" si="13"/>
        <v>#NAME?</v>
      </c>
      <c r="H853" s="11" t="str">
        <f ca="1">IFERROR(__xludf.DUMMYFUNCTION("IFERROR(SUBSTITUTE(SUBSTITUTE(REGEXEXTRACT(A853, ""[^-]+- [^-]+- [^-]+ - (.+?)\.jpg""), "".jpg"", """"), ""-"", "", ""), """")"),"")</f>
        <v/>
      </c>
      <c r="I853" s="6"/>
      <c r="J853" s="7" t="str">
        <f t="shared" ca="1" si="14"/>
        <v>(2026)</v>
      </c>
      <c r="K853" s="7" t="str">
        <f t="shared" si="15"/>
        <v>15090517</v>
      </c>
      <c r="L853" s="12" t="s">
        <v>4308</v>
      </c>
      <c r="M853" s="13" t="str">
        <f ca="1">IFERROR(__xludf.DUMMYFUNCTION("TRIM(
  REGEXREPLACE(
    TEXTJOIN("" "",
      TRUE,
      B853,
      C853,
      embaralharLinks(E853,F853,G853),
      H853,
      """",
      J853,
      N853,
      ""#RIPNSFW""
    ),
  "",\s*"", "" "")
)"),"{New} Jewelz Blu https://lulustream.com/d/gt21c8hsil1d https://doodstream.com/d/fca9d9n926cz/15090517 https://streamtape.com/v/wGabXjep0rtVk0/15090517 (2026) #milf #bigtits #hardcore #porn #RIPNSFW")</f>
        <v>{New} Jewelz Blu https://lulustream.com/d/gt21c8hsil1d https://doodstream.com/d/fca9d9n926cz/15090517 https://streamtape.com/v/wGabXjep0rtVk0/15090517 (2026) #milf #bigtits #hardcore #porn #RIPNSFW</v>
      </c>
      <c r="N853" s="2" t="s">
        <v>4308</v>
      </c>
      <c r="O853" s="30" t="s">
        <v>4309</v>
      </c>
      <c r="P853" s="26"/>
      <c r="R853" s="23"/>
      <c r="T853" s="6"/>
      <c r="U853" s="7"/>
      <c r="Z853" s="12"/>
      <c r="AA853" s="12"/>
    </row>
    <row r="854" spans="1:27" ht="12.75">
      <c r="A854" s="6" t="s">
        <v>4310</v>
      </c>
      <c r="B854" s="6" t="s">
        <v>14</v>
      </c>
      <c r="C854" s="7" t="str">
        <f t="shared" si="12"/>
        <v xml:space="preserve">Jewelz Blu </v>
      </c>
      <c r="D854" s="6" t="s">
        <v>4311</v>
      </c>
      <c r="E854" s="8" t="s">
        <v>4312</v>
      </c>
      <c r="F854" s="9" t="str">
        <f ca="1">IFERROR(__xludf.DUMMYFUNCTION("""https://streamtape.com/v/""&amp;
REGEXEXTRACT(O854,""/thumb/([^/]+)/"")&amp;
""/""&amp;K854"),"https://streamtape.com/v/VBV7Z1vKzWIOJx/15848151")</f>
        <v>https://streamtape.com/v/VBV7Z1vKzWIOJx/15848151</v>
      </c>
      <c r="G854" s="10" t="e">
        <f t="shared" ca="1" si="13"/>
        <v>#NAME?</v>
      </c>
      <c r="H854" s="11" t="str">
        <f ca="1">IFERROR(__xludf.DUMMYFUNCTION("IFERROR(SUBSTITUTE(SUBSTITUTE(REGEXEXTRACT(A854, ""[^-]+- [^-]+- [^-]+ - (.+?)\.jpg""), "".jpg"", """"), ""-"", "", ""), """")"),"")</f>
        <v/>
      </c>
      <c r="I854" s="6"/>
      <c r="J854" s="7" t="str">
        <f t="shared" ca="1" si="14"/>
        <v>(2026)</v>
      </c>
      <c r="K854" s="7" t="str">
        <f t="shared" si="15"/>
        <v>15848151</v>
      </c>
      <c r="L854" s="12" t="s">
        <v>4313</v>
      </c>
      <c r="M854" s="13" t="str">
        <f ca="1">IFERROR(__xludf.DUMMYFUNCTION("TRIM(
  REGEXREPLACE(
    TEXTJOIN("" "",
      TRUE,
      B854,
      C854,
      embaralharLinks(E854,F854,G854),
      H854,
      """",
      J854,
      N854,
      ""#RIPNSFW""
    ),
  "",\s*"", "" "")
)"),"{New} Jewelz Blu https://lulustream.com/d/dbfune560sdl https://doodstream.com/d/vktfg1pbt2gk/15848151 https://streamtape.com/v/VBV7Z1vKzWIOJx/15848151 (2026) #MILF #BigTits #Creampie #Hardcore #Bigass #Blowjob #Amateur #RIPNSFW")</f>
        <v>{New} Jewelz Blu https://lulustream.com/d/dbfune560sdl https://doodstream.com/d/vktfg1pbt2gk/15848151 https://streamtape.com/v/VBV7Z1vKzWIOJx/15848151 (2026) #MILF #BigTits #Creampie #Hardcore #Bigass #Blowjob #Amateur #RIPNSFW</v>
      </c>
      <c r="N854" s="14" t="s">
        <v>2496</v>
      </c>
      <c r="O854" s="15" t="s">
        <v>4314</v>
      </c>
      <c r="P854" s="14"/>
      <c r="Q854" s="6"/>
      <c r="R854" s="11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>
      <c r="A855" s="12" t="s">
        <v>4315</v>
      </c>
      <c r="B855" s="6" t="s">
        <v>14</v>
      </c>
      <c r="C855" s="7" t="str">
        <f t="shared" si="12"/>
        <v xml:space="preserve">Jewelz Blu </v>
      </c>
      <c r="D855" s="24" t="s">
        <v>4316</v>
      </c>
      <c r="E855" s="25" t="s">
        <v>4317</v>
      </c>
      <c r="F855" s="9" t="str">
        <f ca="1">IFERROR(__xludf.DUMMYFUNCTION("""https://streamtape.com/v/""&amp;
REGEXEXTRACT(O855,""/thumb/([^/]+)/"")&amp;
""/""&amp;K855"),"https://streamtape.com/v/Y7PqdMz96pSpV0/20027318")</f>
        <v>https://streamtape.com/v/Y7PqdMz96pSpV0/20027318</v>
      </c>
      <c r="G855" s="10" t="e">
        <f t="shared" ca="1" si="13"/>
        <v>#NAME?</v>
      </c>
      <c r="H855" s="11" t="str">
        <f ca="1">IFERROR(__xludf.DUMMYFUNCTION("IFERROR(SUBSTITUTE(SUBSTITUTE(REGEXEXTRACT(A855, ""[^-]+- [^-]+- [^-]+ - (.+?)\.jpg""), "".jpg"", """"), ""-"", "", ""), """")"),"")</f>
        <v/>
      </c>
      <c r="I855" s="6"/>
      <c r="J855" s="7" t="str">
        <f t="shared" ca="1" si="14"/>
        <v>(2026)</v>
      </c>
      <c r="K855" s="7" t="str">
        <f t="shared" si="15"/>
        <v>20027318</v>
      </c>
      <c r="L855" s="12" t="s">
        <v>1462</v>
      </c>
      <c r="M855" s="13" t="str">
        <f ca="1">IFERROR(__xludf.DUMMYFUNCTION("TRIM(
  REGEXREPLACE(
    TEXTJOIN("" "",
      TRUE,
      B855,
      C855,
      embaralharLinks(E855,F855,G855),
      H855,
      """",
      J855,
      N855,
      ""#RIPNSFW""
    ),
  "",\s*"", "" "")
)"),"{New} Jewelz Blu https://lulustream.com/d/lwwsdqz2dkng https://doodstream.com/d/q2q30866mkot/20027318 https://streamtape.com/v/Y7PqdMz96pSpV0/20027318 (2026) #milf #bigtits #bigass #blowjob #RIPNSFW")</f>
        <v>{New} Jewelz Blu https://lulustream.com/d/lwwsdqz2dkng https://doodstream.com/d/q2q30866mkot/20027318 https://streamtape.com/v/Y7PqdMz96pSpV0/20027318 (2026) #milf #bigtits #bigass #blowjob #RIPNSFW</v>
      </c>
      <c r="N855" s="2" t="s">
        <v>1462</v>
      </c>
      <c r="O855" s="30" t="s">
        <v>4318</v>
      </c>
      <c r="P855" s="26"/>
      <c r="R855" s="23"/>
    </row>
    <row r="856" spans="1:27" ht="12.75">
      <c r="A856" s="12" t="s">
        <v>4319</v>
      </c>
      <c r="B856" s="6" t="s">
        <v>14</v>
      </c>
      <c r="C856" s="7" t="str">
        <f t="shared" si="12"/>
        <v xml:space="preserve">Jewelz Blu </v>
      </c>
      <c r="D856" s="24" t="s">
        <v>4320</v>
      </c>
      <c r="E856" s="25" t="s">
        <v>4321</v>
      </c>
      <c r="F856" s="9" t="str">
        <f ca="1">IFERROR(__xludf.DUMMYFUNCTION("""https://streamtape.com/v/""&amp;
REGEXEXTRACT(O856,""/thumb/([^/]+)/"")&amp;
""/""&amp;K856"),"https://streamtape.com/v/LM8qx71aa1uR00B/20774899")</f>
        <v>https://streamtape.com/v/LM8qx71aa1uR00B/20774899</v>
      </c>
      <c r="G856" s="10" t="e">
        <f t="shared" ca="1" si="13"/>
        <v>#NAME?</v>
      </c>
      <c r="H856" s="11" t="str">
        <f ca="1">IFERROR(__xludf.DUMMYFUNCTION("IFERROR(SUBSTITUTE(SUBSTITUTE(REGEXEXTRACT(A856, ""[^-]+- [^-]+- [^-]+ - (.+?)\.jpg""), "".jpg"", """"), ""-"", "", ""), """")"),"")</f>
        <v/>
      </c>
      <c r="I856" s="6"/>
      <c r="J856" s="7" t="str">
        <f t="shared" ca="1" si="14"/>
        <v>(2026)</v>
      </c>
      <c r="K856" s="7" t="str">
        <f t="shared" si="15"/>
        <v>20774899</v>
      </c>
      <c r="L856" s="12" t="s">
        <v>1711</v>
      </c>
      <c r="M856" s="13" t="str">
        <f ca="1">IFERROR(__xludf.DUMMYFUNCTION("TRIM(
  REGEXREPLACE(
    TEXTJOIN("" "",
      TRUE,
      B856,
      C856,
      embaralharLinks(E856,F856,G856),
      H856,
      """",
      J856,
      N856,
      ""#RIPNSFW""
    ),
  "",\s*"", "" "")
)"),"{New} Jewelz Blu https://lulustream.com/d/4ca486qglbh8 https://doodstream.com/d/x2jt5xo886i0/20774899 https://streamtape.com/v/LM8qx71aa1uR00B/20774899 (2026) #milf #bigass #bigtits #blowjob #RIPNSFW")</f>
        <v>{New} Jewelz Blu https://lulustream.com/d/4ca486qglbh8 https://doodstream.com/d/x2jt5xo886i0/20774899 https://streamtape.com/v/LM8qx71aa1uR00B/20774899 (2026) #milf #bigass #bigtits #blowjob #RIPNSFW</v>
      </c>
      <c r="N856" s="2" t="s">
        <v>1711</v>
      </c>
      <c r="O856" s="30" t="s">
        <v>4322</v>
      </c>
      <c r="P856" s="26"/>
      <c r="R856" s="23"/>
    </row>
    <row r="857" spans="1:27" ht="12.75">
      <c r="A857" s="6" t="s">
        <v>4323</v>
      </c>
      <c r="B857" s="6" t="s">
        <v>14</v>
      </c>
      <c r="C857" s="7" t="str">
        <f t="shared" si="12"/>
        <v xml:space="preserve">Jewelz Blu </v>
      </c>
      <c r="D857" s="6" t="s">
        <v>4324</v>
      </c>
      <c r="E857" s="8" t="s">
        <v>4325</v>
      </c>
      <c r="F857" s="9" t="str">
        <f ca="1">IFERROR(__xludf.DUMMYFUNCTION("""https://streamtape.com/v/""&amp;
REGEXEXTRACT(O857,""/thumb/([^/]+)/"")&amp;
""/""&amp;K857"),"https://streamtape.com/v/K0XlAwjrOLS0QO2/23674481")</f>
        <v>https://streamtape.com/v/K0XlAwjrOLS0QO2/23674481</v>
      </c>
      <c r="G857" s="10" t="e">
        <f t="shared" ca="1" si="13"/>
        <v>#NAME?</v>
      </c>
      <c r="H857" s="11" t="str">
        <f ca="1">IFERROR(__xludf.DUMMYFUNCTION("IFERROR(SUBSTITUTE(SUBSTITUTE(REGEXEXTRACT(A857, ""[^-]+- [^-]+- [^-]+ - (.+?)\.jpg""), "".jpg"", """"), ""-"", "", ""), """")"),"")</f>
        <v/>
      </c>
      <c r="I857" s="6"/>
      <c r="J857" s="7" t="str">
        <f t="shared" ca="1" si="14"/>
        <v>(2026)</v>
      </c>
      <c r="K857" s="7" t="str">
        <f t="shared" si="15"/>
        <v>23674481</v>
      </c>
      <c r="L857" s="12" t="s">
        <v>4326</v>
      </c>
      <c r="M857" s="13" t="str">
        <f ca="1">IFERROR(__xludf.DUMMYFUNCTION("TRIM(
  REGEXREPLACE(
    TEXTJOIN("" "",
      TRUE,
      B857,
      C857,
      embaralharLinks(E857,F857,G857),
      H857,
      """",
      J857,
      N857,
      ""#RIPNSFW""
    ),
  "",\s*"", "" "")
)"),"{New} Jewelz Blu https://doodstream.com/d/z80osgpyzsn3/23674481 https://lulustream.com/d/k040tue07ld1 https://streamtape.com/v/K0XlAwjrOLS0QO2/23674481 (2026) #MILF #BigTits #Hardcore #Bigass #Roleplay #Blowjob #RIPNSFW")</f>
        <v>{New} Jewelz Blu https://doodstream.com/d/z80osgpyzsn3/23674481 https://lulustream.com/d/k040tue07ld1 https://streamtape.com/v/K0XlAwjrOLS0QO2/23674481 (2026) #MILF #BigTits #Hardcore #Bigass #Roleplay #Blowjob #RIPNSFW</v>
      </c>
      <c r="N857" s="14" t="s">
        <v>4327</v>
      </c>
      <c r="O857" s="15" t="s">
        <v>4328</v>
      </c>
      <c r="P857" s="14"/>
      <c r="Q857" s="6"/>
      <c r="R857" s="11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>
      <c r="A858" s="6" t="s">
        <v>4329</v>
      </c>
      <c r="B858" s="6" t="s">
        <v>14</v>
      </c>
      <c r="C858" s="7" t="str">
        <f t="shared" si="12"/>
        <v xml:space="preserve">Jewelz Blu </v>
      </c>
      <c r="D858" s="29" t="s">
        <v>4330</v>
      </c>
      <c r="E858" s="8" t="s">
        <v>4331</v>
      </c>
      <c r="F858" s="9" t="str">
        <f ca="1">IFERROR(__xludf.DUMMYFUNCTION("""https://streamtape.com/v/""&amp;
REGEXEXTRACT(O858,""/thumb/([^/]+)/"")&amp;
""/""&amp;K858"),"https://streamtape.com/v/OkQgRa4DzJt132/24941599")</f>
        <v>https://streamtape.com/v/OkQgRa4DzJt132/24941599</v>
      </c>
      <c r="G858" s="10" t="e">
        <f t="shared" ca="1" si="13"/>
        <v>#NAME?</v>
      </c>
      <c r="H858" s="11" t="str">
        <f ca="1">IFERROR(__xludf.DUMMYFUNCTION("IFERROR(SUBSTITUTE(SUBSTITUTE(REGEXEXTRACT(A858, ""[^-]+- [^-]+- [^-]+ - (.+?)\.jpg""), "".jpg"", """"), ""-"", "", ""), """")"),"")</f>
        <v/>
      </c>
      <c r="I858" s="6"/>
      <c r="J858" s="7" t="str">
        <f t="shared" ca="1" si="14"/>
        <v>(2026)</v>
      </c>
      <c r="K858" s="7" t="str">
        <f t="shared" si="15"/>
        <v>24941599</v>
      </c>
      <c r="L858" s="12" t="s">
        <v>4332</v>
      </c>
      <c r="M858" s="13" t="str">
        <f ca="1">IFERROR(__xludf.DUMMYFUNCTION("TRIM(
  REGEXREPLACE(
    TEXTJOIN("" "",
      TRUE,
      B858,
      C858,
      embaralharLinks(E858,F858,G858),
      H858,
      """",
      J858,
      N858,
      ""#RIPNSFW""
    ),
  "",\s*"", "" "")
)"),"{New} Jewelz Blu https://lulustream.com/d/igq1ia8qalyx https://streamtape.com/v/OkQgRa4DzJt132/24941599 https://doodstream.com/d/dhvoj348w3fi/24941599 (2026) #MILF #BigTits #Creampie #Hardcore #Bigass #RIPNSFW")</f>
        <v>{New} Jewelz Blu https://lulustream.com/d/igq1ia8qalyx https://streamtape.com/v/OkQgRa4DzJt132/24941599 https://doodstream.com/d/dhvoj348w3fi/24941599 (2026) #MILF #BigTits #Creampie #Hardcore #Bigass #RIPNSFW</v>
      </c>
      <c r="N858" s="14" t="s">
        <v>1436</v>
      </c>
      <c r="O858" s="32" t="s">
        <v>4333</v>
      </c>
      <c r="P858" s="14"/>
      <c r="Q858" s="6"/>
      <c r="R858" s="11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>
      <c r="A859" s="12" t="s">
        <v>4334</v>
      </c>
      <c r="B859" s="6" t="s">
        <v>14</v>
      </c>
      <c r="C859" s="7" t="str">
        <f t="shared" si="12"/>
        <v xml:space="preserve">Jewelz Blu </v>
      </c>
      <c r="D859" s="24" t="s">
        <v>4335</v>
      </c>
      <c r="E859" s="25" t="s">
        <v>4336</v>
      </c>
      <c r="F859" s="9" t="str">
        <f ca="1">IFERROR(__xludf.DUMMYFUNCTION("""https://streamtape.com/v/""&amp;
REGEXEXTRACT(O859,""/thumb/([^/]+)/"")&amp;
""/""&amp;K859"),"https://streamtape.com/v/RyxV9B8k0gfddD8/27017887")</f>
        <v>https://streamtape.com/v/RyxV9B8k0gfddD8/27017887</v>
      </c>
      <c r="G859" s="10" t="e">
        <f t="shared" ca="1" si="13"/>
        <v>#NAME?</v>
      </c>
      <c r="H859" s="11" t="str">
        <f ca="1">IFERROR(__xludf.DUMMYFUNCTION("IFERROR(SUBSTITUTE(SUBSTITUTE(REGEXEXTRACT(A859, ""[^-]+- [^-]+- [^-]+ - (.+?)\.jpg""), "".jpg"", """"), ""-"", "", ""), """")"),"")</f>
        <v/>
      </c>
      <c r="I859" s="6"/>
      <c r="J859" s="7" t="str">
        <f t="shared" ca="1" si="14"/>
        <v>(2026)</v>
      </c>
      <c r="K859" s="7" t="str">
        <f t="shared" si="15"/>
        <v>27017887</v>
      </c>
      <c r="L859" s="12" t="s">
        <v>1462</v>
      </c>
      <c r="M859" s="13" t="str">
        <f ca="1">IFERROR(__xludf.DUMMYFUNCTION("TRIM(
  REGEXREPLACE(
    TEXTJOIN("" "",
      TRUE,
      B859,
      C859,
      embaralharLinks(E859,F859,G859),
      H859,
      """",
      J859,
      N859,
      ""#RIPNSFW""
    ),
  "",\s*"", "" "")
)"),"{New} Jewelz Blu https://lulustream.com/d/j7h8a6gx4pss https://streamtape.com/v/RyxV9B8k0gfddD8/27017887 https://doodstream.com/d/7t5q26x20nin/27017887 (2026) #milf #bigtits #bigass #blowjob #RIPNSFW")</f>
        <v>{New} Jewelz Blu https://lulustream.com/d/j7h8a6gx4pss https://streamtape.com/v/RyxV9B8k0gfddD8/27017887 https://doodstream.com/d/7t5q26x20nin/27017887 (2026) #milf #bigtits #bigass #blowjob #RIPNSFW</v>
      </c>
      <c r="N859" s="2" t="s">
        <v>1462</v>
      </c>
      <c r="O859" s="30" t="s">
        <v>4337</v>
      </c>
      <c r="P859" s="26"/>
      <c r="R859" s="23"/>
    </row>
    <row r="860" spans="1:27" ht="12.75">
      <c r="A860" s="6" t="s">
        <v>4338</v>
      </c>
      <c r="B860" s="6" t="s">
        <v>14</v>
      </c>
      <c r="C860" s="7" t="str">
        <f t="shared" si="12"/>
        <v xml:space="preserve">Jewelz Blu </v>
      </c>
      <c r="D860" s="6" t="s">
        <v>4339</v>
      </c>
      <c r="E860" s="8" t="s">
        <v>4340</v>
      </c>
      <c r="F860" s="9" t="str">
        <f ca="1">IFERROR(__xludf.DUMMYFUNCTION("""https://streamtape.com/v/""&amp;
REGEXEXTRACT(O860,""/thumb/([^/]+)/"")&amp;
""/""&amp;K860"),"https://streamtape.com/v/P9BDYWjXDKi04PD/27463836")</f>
        <v>https://streamtape.com/v/P9BDYWjXDKi04PD/27463836</v>
      </c>
      <c r="G860" s="10" t="e">
        <f t="shared" ca="1" si="13"/>
        <v>#NAME?</v>
      </c>
      <c r="H860" s="11" t="str">
        <f ca="1">IFERROR(__xludf.DUMMYFUNCTION("IFERROR(SUBSTITUTE(SUBSTITUTE(REGEXEXTRACT(A860, ""[^-]+- [^-]+- [^-]+ - (.+?)\.jpg""), "".jpg"", """"), ""-"", "", ""), """")"),"")</f>
        <v/>
      </c>
      <c r="I860" s="6"/>
      <c r="J860" s="7" t="str">
        <f t="shared" ca="1" si="14"/>
        <v>(2026)</v>
      </c>
      <c r="K860" s="7" t="str">
        <f t="shared" si="15"/>
        <v>27463836</v>
      </c>
      <c r="L860" s="12" t="s">
        <v>4341</v>
      </c>
      <c r="M860" s="13" t="str">
        <f ca="1">IFERROR(__xludf.DUMMYFUNCTION("TRIM(
  REGEXREPLACE(
    TEXTJOIN("" "",
      TRUE,
      B860,
      C860,
      embaralharLinks(E860,F860,G860),
      H860,
      """",
      J860,
      N860,
      ""#RIPNSFW""
    ),
  "",\s*"", "" "")
)"),"{New} Jewelz Blu https://doodstream.com/d/yd1hk8th1yry/27463836 https://lulustream.com/d/qxqd8iec97g7 https://streamtape.com/v/P9BDYWjXDKi04PD/27463836 (2026) #MILF #BigTits #Hardcore #Black #Interracial #Bigass #RIPNSFW")</f>
        <v>{New} Jewelz Blu https://doodstream.com/d/yd1hk8th1yry/27463836 https://lulustream.com/d/qxqd8iec97g7 https://streamtape.com/v/P9BDYWjXDKi04PD/27463836 (2026) #MILF #BigTits #Hardcore #Black #Interracial #Bigass #RIPNSFW</v>
      </c>
      <c r="N860" s="14" t="s">
        <v>4342</v>
      </c>
      <c r="O860" s="15" t="s">
        <v>4343</v>
      </c>
      <c r="P860" s="14"/>
      <c r="Q860" s="6"/>
      <c r="R860" s="11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>
      <c r="A861" s="12" t="s">
        <v>4344</v>
      </c>
      <c r="B861" s="6" t="s">
        <v>14</v>
      </c>
      <c r="C861" s="7" t="str">
        <f t="shared" si="12"/>
        <v xml:space="preserve">Jewelz Blu </v>
      </c>
      <c r="D861" s="24" t="s">
        <v>4345</v>
      </c>
      <c r="E861" s="25" t="s">
        <v>4346</v>
      </c>
      <c r="F861" s="9" t="str">
        <f ca="1">IFERROR(__xludf.DUMMYFUNCTION("""https://streamtape.com/v/""&amp;
REGEXEXTRACT(O861,""/thumb/([^/]+)/"")&amp;
""/""&amp;K861"),"https://streamtape.com/v/9ve3wl9bJySawAy/27488131")</f>
        <v>https://streamtape.com/v/9ve3wl9bJySawAy/27488131</v>
      </c>
      <c r="G861" s="10" t="e">
        <f t="shared" ca="1" si="13"/>
        <v>#NAME?</v>
      </c>
      <c r="H861" s="11" t="str">
        <f ca="1">IFERROR(__xludf.DUMMYFUNCTION("IFERROR(SUBSTITUTE(SUBSTITUTE(REGEXEXTRACT(A861, ""[^-]+- [^-]+- [^-]+ - (.+?)\.jpg""), "".jpg"", """"), ""-"", "", ""), """")"),"")</f>
        <v/>
      </c>
      <c r="I861" s="6"/>
      <c r="J861" s="7" t="str">
        <f t="shared" ca="1" si="14"/>
        <v>(2026)</v>
      </c>
      <c r="K861" s="7" t="str">
        <f t="shared" si="15"/>
        <v>27488131</v>
      </c>
      <c r="L861" s="12" t="s">
        <v>4347</v>
      </c>
      <c r="M861" s="13" t="str">
        <f ca="1">IFERROR(__xludf.DUMMYFUNCTION("TRIM(
  REGEXREPLACE(
    TEXTJOIN("" "",
      TRUE,
      B861,
      C861,
      embaralharLinks(E861,F861,G861),
      H861,
      """",
      J861,
      N861,
      ""#RIPNSFW""
    ),
  "",\s*"", "" "")
)"),"{New} Jewelz Blu https://doodstream.com/d/7d1a66vxlquo/27488131 https://lulustream.com/d/2z5xemnlug82 https://streamtape.com/v/9ve3wl9bJySawAy/27488131 (2026) #milf #bigtits #blowjob #facial #RIPNSFW")</f>
        <v>{New} Jewelz Blu https://doodstream.com/d/7d1a66vxlquo/27488131 https://lulustream.com/d/2z5xemnlug82 https://streamtape.com/v/9ve3wl9bJySawAy/27488131 (2026) #milf #bigtits #blowjob #facial #RIPNSFW</v>
      </c>
      <c r="N861" s="2" t="s">
        <v>4347</v>
      </c>
      <c r="O861" s="30" t="s">
        <v>4348</v>
      </c>
      <c r="P861" s="26"/>
      <c r="R861" s="23"/>
      <c r="T861" s="6"/>
      <c r="U861" s="7"/>
    </row>
    <row r="862" spans="1:27" ht="12.75">
      <c r="A862" s="12" t="s">
        <v>4349</v>
      </c>
      <c r="B862" s="6" t="s">
        <v>14</v>
      </c>
      <c r="C862" s="7" t="str">
        <f t="shared" si="12"/>
        <v xml:space="preserve">Jewelz Blu </v>
      </c>
      <c r="D862" s="24" t="s">
        <v>4350</v>
      </c>
      <c r="E862" s="25" t="s">
        <v>4351</v>
      </c>
      <c r="F862" s="9" t="str">
        <f ca="1">IFERROR(__xludf.DUMMYFUNCTION("""https://streamtape.com/v/""&amp;
REGEXEXTRACT(O862,""/thumb/([^/]+)/"")&amp;
""/""&amp;K862"),"https://streamtape.com/v/g3DJ0XKJXdhqbRD/27700665")</f>
        <v>https://streamtape.com/v/g3DJ0XKJXdhqbRD/27700665</v>
      </c>
      <c r="G862" s="10" t="e">
        <f t="shared" ca="1" si="13"/>
        <v>#NAME?</v>
      </c>
      <c r="H862" s="11" t="str">
        <f ca="1">IFERROR(__xludf.DUMMYFUNCTION("IFERROR(SUBSTITUTE(SUBSTITUTE(REGEXEXTRACT(A862, ""[^-]+- [^-]+- [^-]+ - (.+?)\.jpg""), "".jpg"", """"), ""-"", "", ""), """")"),"")</f>
        <v/>
      </c>
      <c r="I862" s="6"/>
      <c r="J862" s="7" t="str">
        <f t="shared" ca="1" si="14"/>
        <v>(2026)</v>
      </c>
      <c r="K862" s="7" t="str">
        <f t="shared" si="15"/>
        <v>27700665</v>
      </c>
      <c r="L862" s="12" t="s">
        <v>4352</v>
      </c>
      <c r="M862" s="13" t="str">
        <f ca="1">IFERROR(__xludf.DUMMYFUNCTION("TRIM(
  REGEXREPLACE(
    TEXTJOIN("" "",
      TRUE,
      B862,
      C862,
      embaralharLinks(E862,F862,G862),
      H862,
      """",
      J862,
      N862,
      ""#RIPNSFW""
    ),
  "",\s*"", "" "")
)"),"{New} Jewelz Blu https://lulustream.com/d/ltnk08zjjcki https://doodstream.com/d/9apllhm0rrko/27700665 https://streamtape.com/v/g3DJ0XKJXdhqbRD/27700665 (2026) #milf #blowjob #interracial #bigtits #RIPNSFW")</f>
        <v>{New} Jewelz Blu https://lulustream.com/d/ltnk08zjjcki https://doodstream.com/d/9apllhm0rrko/27700665 https://streamtape.com/v/g3DJ0XKJXdhqbRD/27700665 (2026) #milf #blowjob #interracial #bigtits #RIPNSFW</v>
      </c>
      <c r="N862" s="2" t="s">
        <v>4352</v>
      </c>
      <c r="O862" s="21" t="s">
        <v>4353</v>
      </c>
      <c r="P862" s="26"/>
      <c r="R862" s="23"/>
    </row>
    <row r="863" spans="1:27" ht="12.75">
      <c r="A863" s="6" t="s">
        <v>4354</v>
      </c>
      <c r="B863" s="6" t="s">
        <v>14</v>
      </c>
      <c r="C863" s="7" t="str">
        <f t="shared" si="12"/>
        <v xml:space="preserve">Jewelz Blu </v>
      </c>
      <c r="D863" s="29" t="s">
        <v>4355</v>
      </c>
      <c r="E863" s="8" t="s">
        <v>4356</v>
      </c>
      <c r="F863" s="9" t="str">
        <f ca="1">IFERROR(__xludf.DUMMYFUNCTION("""https://streamtape.com/v/""&amp;
REGEXEXTRACT(O863,""/thumb/([^/]+)/"")&amp;
""/""&amp;K863"),"https://streamtape.com/v/1bx1m6VPdYSekz6/28736983")</f>
        <v>https://streamtape.com/v/1bx1m6VPdYSekz6/28736983</v>
      </c>
      <c r="G863" s="10" t="e">
        <f t="shared" ca="1" si="13"/>
        <v>#NAME?</v>
      </c>
      <c r="H863" s="11" t="str">
        <f ca="1">IFERROR(__xludf.DUMMYFUNCTION("IFERROR(SUBSTITUTE(SUBSTITUTE(REGEXEXTRACT(A863, ""[^-]+- [^-]+- [^-]+ - (.+?)\.jpg""), "".jpg"", """"), ""-"", "", ""), """")"),"")</f>
        <v/>
      </c>
      <c r="I863" s="6"/>
      <c r="J863" s="7" t="str">
        <f t="shared" ca="1" si="14"/>
        <v>(2026)</v>
      </c>
      <c r="K863" s="7" t="str">
        <f t="shared" si="15"/>
        <v>28736983</v>
      </c>
      <c r="L863" s="12" t="s">
        <v>4357</v>
      </c>
      <c r="M863" s="13" t="str">
        <f ca="1">IFERROR(__xludf.DUMMYFUNCTION("TRIM(
  REGEXREPLACE(
    TEXTJOIN("" "",
      TRUE,
      B863,
      C863,
      embaralharLinks(E863,F863,G863),
      H863,
      """",
      J863,
      N863,
      ""#RIPNSFW""
    ),
  "",\s*"", "" "")
)"),"{New} Jewelz Blu https://streamtape.com/v/1bx1m6VPdYSekz6/28736983 https://doodstream.com/d/e03yscuf9enj/28736983 https://lulustream.com/d/xrkq08lqal2z (2026) #MILF #BigTits #Creampie #Hardcore #Bigass #Artporn #RIPNSFW")</f>
        <v>{New} Jewelz Blu https://streamtape.com/v/1bx1m6VPdYSekz6/28736983 https://doodstream.com/d/e03yscuf9enj/28736983 https://lulustream.com/d/xrkq08lqal2z (2026) #MILF #BigTits #Creampie #Hardcore #Bigass #Artporn #RIPNSFW</v>
      </c>
      <c r="N863" s="14" t="s">
        <v>4358</v>
      </c>
      <c r="O863" s="15" t="s">
        <v>4359</v>
      </c>
      <c r="P863" s="14"/>
      <c r="Q863" s="6"/>
      <c r="R863" s="11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>
      <c r="A864" s="6" t="s">
        <v>4360</v>
      </c>
      <c r="B864" s="6" t="s">
        <v>14</v>
      </c>
      <c r="C864" s="7" t="str">
        <f t="shared" si="12"/>
        <v xml:space="preserve">Jewelz Blu </v>
      </c>
      <c r="D864" s="6" t="s">
        <v>4361</v>
      </c>
      <c r="E864" s="8" t="s">
        <v>4362</v>
      </c>
      <c r="F864" s="9" t="str">
        <f ca="1">IFERROR(__xludf.DUMMYFUNCTION("""https://streamtape.com/v/""&amp;
REGEXEXTRACT(O864,""/thumb/([^/]+)/"")&amp;
""/""&amp;K864"),"https://streamtape.com/v/1PbpJRPlmzfePBd/30487695")</f>
        <v>https://streamtape.com/v/1PbpJRPlmzfePBd/30487695</v>
      </c>
      <c r="G864" s="10" t="e">
        <f t="shared" ca="1" si="13"/>
        <v>#NAME?</v>
      </c>
      <c r="H864" s="11" t="str">
        <f ca="1">IFERROR(__xludf.DUMMYFUNCTION("IFERROR(SUBSTITUTE(SUBSTITUTE(REGEXEXTRACT(A864, ""[^-]+- [^-]+- [^-]+ - (.+?)\.jpg""), "".jpg"", """"), ""-"", "", ""), """")"),"")</f>
        <v/>
      </c>
      <c r="I864" s="6"/>
      <c r="J864" s="7" t="str">
        <f t="shared" ca="1" si="14"/>
        <v>(2026)</v>
      </c>
      <c r="K864" s="7" t="str">
        <f t="shared" si="15"/>
        <v>30487695</v>
      </c>
      <c r="L864" s="12" t="s">
        <v>965</v>
      </c>
      <c r="M864" s="13" t="str">
        <f ca="1">IFERROR(__xludf.DUMMYFUNCTION("TRIM(
  REGEXREPLACE(
    TEXTJOIN("" "",
      TRUE,
      B864,
      C864,
      embaralharLinks(E864,F864,G864),
      H864,
      """",
      J864,
      N864,
      ""#RIPNSFW""
    ),
  "",\s*"", "" "")
)"),"{New} Jewelz Blu https://streamtape.com/v/1PbpJRPlmzfePBd/30487695 https://doodstream.com/d/a4lw3n1xkf2o/30487695 https://lulustream.com/d/wjamdwx11sbn (2026) #MILF #BigTits #Bigass #Blowjob #Amateur #RIPNSFW")</f>
        <v>{New} Jewelz Blu https://streamtape.com/v/1PbpJRPlmzfePBd/30487695 https://doodstream.com/d/a4lw3n1xkf2o/30487695 https://lulustream.com/d/wjamdwx11sbn (2026) #MILF #BigTits #Bigass #Blowjob #Amateur #RIPNSFW</v>
      </c>
      <c r="N864" s="14" t="s">
        <v>1326</v>
      </c>
      <c r="O864" s="15" t="s">
        <v>4363</v>
      </c>
      <c r="P864" s="14"/>
      <c r="Q864" s="6"/>
      <c r="R864" s="11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>
      <c r="A865" s="12" t="s">
        <v>4364</v>
      </c>
      <c r="B865" s="6" t="s">
        <v>14</v>
      </c>
      <c r="C865" s="7" t="str">
        <f t="shared" si="12"/>
        <v xml:space="preserve">Jewelz Blu </v>
      </c>
      <c r="D865" s="24" t="s">
        <v>4365</v>
      </c>
      <c r="E865" s="25" t="s">
        <v>4366</v>
      </c>
      <c r="F865" s="9" t="str">
        <f ca="1">IFERROR(__xludf.DUMMYFUNCTION("""https://streamtape.com/v/""&amp;
REGEXEXTRACT(O865,""/thumb/([^/]+)/"")&amp;
""/""&amp;K865"),"https://streamtape.com/v/GpLo93rVMpi1pD0/30652345")</f>
        <v>https://streamtape.com/v/GpLo93rVMpi1pD0/30652345</v>
      </c>
      <c r="G865" s="10" t="e">
        <f t="shared" ca="1" si="13"/>
        <v>#NAME?</v>
      </c>
      <c r="H865" s="11" t="str">
        <f ca="1">IFERROR(__xludf.DUMMYFUNCTION("IFERROR(SUBSTITUTE(SUBSTITUTE(REGEXEXTRACT(A865, ""[^-]+- [^-]+- [^-]+ - (.+?)\.jpg""), "".jpg"", """"), ""-"", "", ""), """")"),"")</f>
        <v/>
      </c>
      <c r="I865" s="6"/>
      <c r="J865" s="7" t="str">
        <f t="shared" ca="1" si="14"/>
        <v>(2026)</v>
      </c>
      <c r="K865" s="7" t="str">
        <f t="shared" si="15"/>
        <v>30652345</v>
      </c>
      <c r="L865" s="12" t="s">
        <v>2163</v>
      </c>
      <c r="M865" s="13" t="str">
        <f ca="1">IFERROR(__xludf.DUMMYFUNCTION("TRIM(
  REGEXREPLACE(
    TEXTJOIN("" "",
      TRUE,
      B865,
      C865,
      embaralharLinks(E865,F865,G865),
      H865,
      """",
      J865,
      N865,
      ""#RIPNSFW""
    ),
  "",\s*"", "" "")
)"),"{New} Jewelz Blu https://doodstream.com/d/n69zr8asaqt1/30652345 https://lulustream.com/d/g9cb1pppbc0a https://streamtape.com/v/GpLo93rVMpi1pD0/30652345 (2026) #MILF #BigTits #Bigass #Blowjob #RIPNSFW")</f>
        <v>{New} Jewelz Blu https://doodstream.com/d/n69zr8asaqt1/30652345 https://lulustream.com/d/g9cb1pppbc0a https://streamtape.com/v/GpLo93rVMpi1pD0/30652345 (2026) #MILF #BigTits #Bigass #Blowjob #RIPNSFW</v>
      </c>
      <c r="N865" s="2" t="s">
        <v>2135</v>
      </c>
      <c r="O865" s="30" t="s">
        <v>4367</v>
      </c>
      <c r="P865" s="26"/>
      <c r="R865" s="23"/>
    </row>
    <row r="866" spans="1:27" ht="12.75">
      <c r="A866" s="12" t="s">
        <v>4368</v>
      </c>
      <c r="B866" s="6" t="s">
        <v>14</v>
      </c>
      <c r="C866" s="7" t="str">
        <f t="shared" si="12"/>
        <v xml:space="preserve">Jewelz Blu </v>
      </c>
      <c r="D866" s="24" t="s">
        <v>4369</v>
      </c>
      <c r="E866" s="25" t="s">
        <v>4370</v>
      </c>
      <c r="F866" s="9" t="str">
        <f ca="1">IFERROR(__xludf.DUMMYFUNCTION("""https://streamtape.com/v/""&amp;
REGEXEXTRACT(O866,""/thumb/([^/]+)/"")&amp;
""/""&amp;K866"),"https://streamtape.com/v/VGmz6MoQAXHK1e3/30969940")</f>
        <v>https://streamtape.com/v/VGmz6MoQAXHK1e3/30969940</v>
      </c>
      <c r="G866" s="10" t="e">
        <f t="shared" ca="1" si="13"/>
        <v>#NAME?</v>
      </c>
      <c r="H866" s="11" t="str">
        <f ca="1">IFERROR(__xludf.DUMMYFUNCTION("IFERROR(SUBSTITUTE(SUBSTITUTE(REGEXEXTRACT(A866, ""[^-]+- [^-]+- [^-]+ - (.+?)\.jpg""), "".jpg"", """"), ""-"", "", ""), """")"),"")</f>
        <v/>
      </c>
      <c r="I866" s="6"/>
      <c r="J866" s="7" t="str">
        <f t="shared" ca="1" si="14"/>
        <v>(2026)</v>
      </c>
      <c r="K866" s="7" t="str">
        <f t="shared" si="15"/>
        <v>30969940</v>
      </c>
      <c r="L866" s="12" t="s">
        <v>4126</v>
      </c>
      <c r="M866" s="13" t="str">
        <f ca="1">IFERROR(__xludf.DUMMYFUNCTION("TRIM(
  REGEXREPLACE(
    TEXTJOIN("" "",
      TRUE,
      B866,
      C866,
      embaralharLinks(E866,F866,G866),
      H866,
      """",
      J866,
      N866,
      ""#RIPNSFW""
    ),
  "",\s*"", "" "")
)"),"{New} Jewelz Blu https://doodstream.com/d/7vyk7tt1ws0p/30969940 https://streamtape.com/v/VGmz6MoQAXHK1e3/30969940 https://lulustream.com/d/759td9jv8ygk (2026) #milf #blowjob #porn #bigass #RIPNSFW")</f>
        <v>{New} Jewelz Blu https://doodstream.com/d/7vyk7tt1ws0p/30969940 https://streamtape.com/v/VGmz6MoQAXHK1e3/30969940 https://lulustream.com/d/759td9jv8ygk (2026) #milf #blowjob #porn #bigass #RIPNSFW</v>
      </c>
      <c r="N866" s="2" t="s">
        <v>4126</v>
      </c>
      <c r="O866" s="30" t="s">
        <v>4371</v>
      </c>
      <c r="P866" s="26"/>
      <c r="R866" s="23"/>
    </row>
    <row r="867" spans="1:27" ht="12.75">
      <c r="A867" s="6" t="s">
        <v>4372</v>
      </c>
      <c r="B867" s="6" t="s">
        <v>14</v>
      </c>
      <c r="C867" s="7" t="str">
        <f t="shared" si="12"/>
        <v xml:space="preserve">Jewelz Blu </v>
      </c>
      <c r="D867" s="6" t="s">
        <v>4373</v>
      </c>
      <c r="E867" s="8" t="s">
        <v>4374</v>
      </c>
      <c r="F867" s="9" t="str">
        <f ca="1">IFERROR(__xludf.DUMMYFUNCTION("""https://streamtape.com/v/""&amp;
REGEXEXTRACT(O867,""/thumb/([^/]+)/"")&amp;
""/""&amp;K867"),"https://streamtape.com/v/mDP0xWRz62HbKKB/31562178")</f>
        <v>https://streamtape.com/v/mDP0xWRz62HbKKB/31562178</v>
      </c>
      <c r="G867" s="10" t="e">
        <f t="shared" ca="1" si="13"/>
        <v>#NAME?</v>
      </c>
      <c r="H867" s="11" t="str">
        <f ca="1">IFERROR(__xludf.DUMMYFUNCTION("IFERROR(SUBSTITUTE(SUBSTITUTE(REGEXEXTRACT(A867, ""[^-]+- [^-]+- [^-]+ - (.+?)\.jpg""), "".jpg"", """"), ""-"", "", ""), """")"),"")</f>
        <v/>
      </c>
      <c r="I867" s="6"/>
      <c r="J867" s="7" t="str">
        <f t="shared" ca="1" si="14"/>
        <v>(2026)</v>
      </c>
      <c r="K867" s="7" t="str">
        <f t="shared" si="15"/>
        <v>31562178</v>
      </c>
      <c r="L867" s="12" t="s">
        <v>4375</v>
      </c>
      <c r="M867" s="13" t="str">
        <f ca="1">IFERROR(__xludf.DUMMYFUNCTION("TRIM(
  REGEXREPLACE(
    TEXTJOIN("" "",
      TRUE,
      B867,
      C867,
      embaralharLinks(E867,F867,G867),
      H867,
      """",
      J867,
      N867,
      ""#RIPNSFW""
    ),
  "",\s*"", "" "")
)"),"{New} Jewelz Blu https://doodstream.com/d/eput9z2g9t18/31562178 https://lulustream.com/d/twmygrnvi4zb https://streamtape.com/v/mDP0xWRz62HbKKB/31562178 (2026) #MILF #BigTits #Bigass #Roleplay #Blowjob #RIPNSFW")</f>
        <v>{New} Jewelz Blu https://doodstream.com/d/eput9z2g9t18/31562178 https://lulustream.com/d/twmygrnvi4zb https://streamtape.com/v/mDP0xWRz62HbKKB/31562178 (2026) #MILF #BigTits #Bigass #Roleplay #Blowjob #RIPNSFW</v>
      </c>
      <c r="N867" s="14" t="s">
        <v>4376</v>
      </c>
      <c r="O867" s="15" t="s">
        <v>4377</v>
      </c>
      <c r="P867" s="14"/>
      <c r="Q867" s="6"/>
      <c r="R867" s="11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>
      <c r="A868" s="16" t="s">
        <v>4378</v>
      </c>
      <c r="B868" s="11" t="s">
        <v>14</v>
      </c>
      <c r="C868" s="13" t="str">
        <f t="shared" si="12"/>
        <v xml:space="preserve">Jewelz Blu </v>
      </c>
      <c r="D868" s="17" t="s">
        <v>4379</v>
      </c>
      <c r="E868" s="18" t="s">
        <v>4380</v>
      </c>
      <c r="F868" s="9" t="str">
        <f ca="1">IFERROR(__xludf.DUMMYFUNCTION("""https://streamtape.com/v/""&amp;
REGEXEXTRACT(O868,""/thumb/([^/]+)/"")&amp;
""/""&amp;K868"),"https://streamtape.com/v/k0Ro7MWD12IOwrM/32850979")</f>
        <v>https://streamtape.com/v/k0Ro7MWD12IOwrM/32850979</v>
      </c>
      <c r="G868" s="10" t="e">
        <f t="shared" ca="1" si="13"/>
        <v>#NAME?</v>
      </c>
      <c r="H868" s="11" t="str">
        <f ca="1">IFERROR(__xludf.DUMMYFUNCTION("IFERROR(SUBSTITUTE(SUBSTITUTE(REGEXEXTRACT(A868, ""[^-]+- [^-]+- [^-]+ - (.+?)\.jpg""), "".jpg"", """"), ""-"", "", ""), """")"),"")</f>
        <v/>
      </c>
      <c r="I868" s="11"/>
      <c r="J868" s="13" t="str">
        <f t="shared" ca="1" si="14"/>
        <v>(2026)</v>
      </c>
      <c r="K868" s="13" t="str">
        <f t="shared" si="15"/>
        <v>32850979</v>
      </c>
      <c r="L868" s="12" t="s">
        <v>1398</v>
      </c>
      <c r="M868" s="13" t="str">
        <f ca="1">IFERROR(__xludf.DUMMYFUNCTION("TRIM(
  REGEXREPLACE(
    TEXTJOIN("" "",
      TRUE,
      B868,
      C868,
      embaralharLinks(E868,F868,G868),
      H868,
      """",
      J868,
      N868,
      ""#RIPNSFW""
    ),
  "",\s*"", "" "")
)"),"{New} Jewelz Blu https://streamtape.com/v/k0Ro7MWD12IOwrM/32850979 https://doodstream.com/d/fdo0vkfrmpp5/32850979 https://lulustream.com/d/auvdv44nurgu (2026) #milf #bigtits #blowjob #amateur #RIPNSFW")</f>
        <v>{New} Jewelz Blu https://streamtape.com/v/k0Ro7MWD12IOwrM/32850979 https://doodstream.com/d/fdo0vkfrmpp5/32850979 https://lulustream.com/d/auvdv44nurgu (2026) #milf #bigtits #blowjob #amateur #RIPNSFW</v>
      </c>
      <c r="N868" s="20" t="s">
        <v>1398</v>
      </c>
      <c r="O868" s="30" t="s">
        <v>4381</v>
      </c>
      <c r="P868" s="26"/>
      <c r="Q868" s="16"/>
      <c r="R868" s="23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75">
      <c r="A869" s="12" t="s">
        <v>4382</v>
      </c>
      <c r="B869" s="6" t="s">
        <v>14</v>
      </c>
      <c r="C869" s="7" t="str">
        <f t="shared" si="12"/>
        <v xml:space="preserve">Jewelz Blu </v>
      </c>
      <c r="D869" s="24" t="s">
        <v>4383</v>
      </c>
      <c r="E869" s="25" t="s">
        <v>4384</v>
      </c>
      <c r="F869" s="9" t="str">
        <f ca="1">IFERROR(__xludf.DUMMYFUNCTION("""https://streamtape.com/v/""&amp;
REGEXEXTRACT(O869,""/thumb/([^/]+)/"")&amp;
""/""&amp;K869"),"https://streamtape.com/v/eVvW0d2OpdhYvlV/34265757")</f>
        <v>https://streamtape.com/v/eVvW0d2OpdhYvlV/34265757</v>
      </c>
      <c r="G869" s="10" t="e">
        <f t="shared" ca="1" si="13"/>
        <v>#NAME?</v>
      </c>
      <c r="H869" s="11" t="str">
        <f ca="1">IFERROR(__xludf.DUMMYFUNCTION("IFERROR(SUBSTITUTE(SUBSTITUTE(REGEXEXTRACT(A869, ""[^-]+- [^-]+- [^-]+ - (.+?)\.jpg""), "".jpg"", """"), ""-"", "", ""), """")"),"")</f>
        <v/>
      </c>
      <c r="I869" s="6"/>
      <c r="J869" s="7" t="str">
        <f t="shared" ca="1" si="14"/>
        <v>(2026)</v>
      </c>
      <c r="K869" s="7" t="str">
        <f t="shared" si="15"/>
        <v>34265757</v>
      </c>
      <c r="L869" s="12" t="s">
        <v>4385</v>
      </c>
      <c r="M869" s="13" t="str">
        <f ca="1">IFERROR(__xludf.DUMMYFUNCTION("TRIM(
  REGEXREPLACE(
    TEXTJOIN("" "",
      TRUE,
      B869,
      C869,
      embaralharLinks(E869,F869,G869),
      H869,
      """",
      J869,
      N869,
      ""#RIPNSFW""
    ),
  "",\s*"", "" "")
)"),"{New} Jewelz Blu https://lulustream.com/d/gxl01ifrordi https://doodstream.com/d/2cpmrjno8vxn/34265757 https://streamtape.com/v/eVvW0d2OpdhYvlV/34265757 (2026) #milf #bigtits #bigass #threesome #RIPNSFW")</f>
        <v>{New} Jewelz Blu https://lulustream.com/d/gxl01ifrordi https://doodstream.com/d/2cpmrjno8vxn/34265757 https://streamtape.com/v/eVvW0d2OpdhYvlV/34265757 (2026) #milf #bigtits #bigass #threesome #RIPNSFW</v>
      </c>
      <c r="N869" s="2" t="s">
        <v>4385</v>
      </c>
      <c r="O869" s="30" t="s">
        <v>4386</v>
      </c>
      <c r="P869" s="26"/>
      <c r="R869" s="23"/>
    </row>
    <row r="870" spans="1:27" ht="12.75">
      <c r="A870" s="12" t="s">
        <v>4387</v>
      </c>
      <c r="B870" s="6" t="s">
        <v>14</v>
      </c>
      <c r="C870" s="7" t="str">
        <f t="shared" si="12"/>
        <v xml:space="preserve">Jewelz Blu </v>
      </c>
      <c r="D870" s="38" t="s">
        <v>4388</v>
      </c>
      <c r="E870" s="28" t="s">
        <v>4389</v>
      </c>
      <c r="F870" s="9" t="str">
        <f ca="1">IFERROR(__xludf.DUMMYFUNCTION("""https://streamtape.com/v/""&amp;
REGEXEXTRACT(O870,""/thumb/([^/]+)/"")&amp;
""/""&amp;K870"),"https://streamtape.com/v/z696bWWWx8TYMP6/34444545")</f>
        <v>https://streamtape.com/v/z696bWWWx8TYMP6/34444545</v>
      </c>
      <c r="G870" s="10" t="e">
        <f t="shared" ca="1" si="13"/>
        <v>#NAME?</v>
      </c>
      <c r="H870" s="11" t="str">
        <f ca="1">IFERROR(__xludf.DUMMYFUNCTION("IFERROR(SUBSTITUTE(SUBSTITUTE(REGEXEXTRACT(A870, ""[^-]+- [^-]+- [^-]+ - (.+?)\.jpg""), "".jpg"", """"), ""-"", "", ""), """")"),"")</f>
        <v/>
      </c>
      <c r="I870" s="6"/>
      <c r="J870" s="7" t="str">
        <f t="shared" ca="1" si="14"/>
        <v>(2026)</v>
      </c>
      <c r="K870" s="7" t="str">
        <f t="shared" si="15"/>
        <v>34444545</v>
      </c>
      <c r="L870" s="12" t="s">
        <v>769</v>
      </c>
      <c r="M870" s="13" t="str">
        <f ca="1">IFERROR(__xludf.DUMMYFUNCTION("TRIM(
  REGEXREPLACE(
    TEXTJOIN("" "",
      TRUE,
      B870,
      C870,
      embaralharLinks(E870,F870,G870),
      H870,
      """",
      J870,
      N870,
      ""#RIPNSFW""
    ),
  "",\s*"", "" "")
)"),"{New} Jewelz Blu https://streamtape.com/v/z696bWWWx8TYMP6/34444545 https://lulustream.com/d/2gupoew9ych6 https://doodstream.com/d/l6k3drp9op4j/34444545 (2026) #MILF #BigTits #Hardcore #Black #Interracial #Bigass #Blowjob #Amateur #RIPNSFW")</f>
        <v>{New} Jewelz Blu https://streamtape.com/v/z696bWWWx8TYMP6/34444545 https://lulustream.com/d/2gupoew9ych6 https://doodstream.com/d/l6k3drp9op4j/34444545 (2026) #MILF #BigTits #Hardcore #Black #Interracial #Bigass #Blowjob #Amateur #RIPNSFW</v>
      </c>
      <c r="N870" s="2" t="s">
        <v>4390</v>
      </c>
      <c r="O870" s="21" t="s">
        <v>4391</v>
      </c>
      <c r="P870" s="26"/>
      <c r="R870" s="23"/>
    </row>
    <row r="871" spans="1:27" ht="12.75">
      <c r="A871" s="12" t="s">
        <v>4392</v>
      </c>
      <c r="B871" s="6" t="s">
        <v>14</v>
      </c>
      <c r="C871" s="7" t="str">
        <f t="shared" si="12"/>
        <v xml:space="preserve">Jewelz Blu </v>
      </c>
      <c r="D871" s="27" t="s">
        <v>4393</v>
      </c>
      <c r="E871" s="28" t="s">
        <v>4394</v>
      </c>
      <c r="F871" s="9" t="str">
        <f ca="1">IFERROR(__xludf.DUMMYFUNCTION("""https://streamtape.com/v/""&amp;
REGEXEXTRACT(O871,""/thumb/([^/]+)/"")&amp;
""/""&amp;K871"),"https://streamtape.com/v/Wp0xevdQzYCpWP/35535447")</f>
        <v>https://streamtape.com/v/Wp0xevdQzYCpWP/35535447</v>
      </c>
      <c r="G871" s="10" t="e">
        <f t="shared" ca="1" si="13"/>
        <v>#NAME?</v>
      </c>
      <c r="H871" s="11" t="str">
        <f ca="1">IFERROR(__xludf.DUMMYFUNCTION("IFERROR(SUBSTITUTE(SUBSTITUTE(REGEXEXTRACT(A871, ""[^-]+- [^-]+- [^-]+ - (.+?)\.jpg""), "".jpg"", """"), ""-"", "", ""), """")"),"")</f>
        <v/>
      </c>
      <c r="I871" s="6"/>
      <c r="J871" s="7" t="str">
        <f t="shared" ca="1" si="14"/>
        <v>(2026)</v>
      </c>
      <c r="K871" s="7" t="str">
        <f t="shared" si="15"/>
        <v>35535447</v>
      </c>
      <c r="L871" s="12" t="s">
        <v>127</v>
      </c>
      <c r="M871" s="13" t="str">
        <f ca="1">IFERROR(__xludf.DUMMYFUNCTION("TRIM(
  REGEXREPLACE(
    TEXTJOIN("" "",
      TRUE,
      B871,
      C871,
      embaralharLinks(E871,F871,G871),
      H871,
      """",
      J871,
      N871,
      ""#RIPNSFW""
    ),
  "",\s*"", "" "")
)"),"{New} Jewelz Blu https://doodstream.com/d/l6e2aijp9dup/35535447 https://streamtape.com/v/Wp0xevdQzYCpWP/35535447 https://lulustream.com/d/1kq07wbunprl (2026) #MILF #BigTits #Hardcore #Bigass #RIPNSFW")</f>
        <v>{New} Jewelz Blu https://doodstream.com/d/l6e2aijp9dup/35535447 https://streamtape.com/v/Wp0xevdQzYCpWP/35535447 https://lulustream.com/d/1kq07wbunprl (2026) #MILF #BigTits #Hardcore #Bigass #RIPNSFW</v>
      </c>
      <c r="N871" s="2" t="s">
        <v>128</v>
      </c>
      <c r="O871" s="30" t="s">
        <v>4395</v>
      </c>
      <c r="P871" s="26"/>
      <c r="R871" s="23"/>
    </row>
    <row r="872" spans="1:27" ht="12.75">
      <c r="A872" s="6" t="s">
        <v>4396</v>
      </c>
      <c r="B872" s="6" t="s">
        <v>14</v>
      </c>
      <c r="C872" s="7" t="str">
        <f t="shared" si="12"/>
        <v xml:space="preserve">Jewelz Blu </v>
      </c>
      <c r="D872" s="6" t="s">
        <v>4397</v>
      </c>
      <c r="E872" s="8" t="s">
        <v>4398</v>
      </c>
      <c r="F872" s="9" t="str">
        <f ca="1">IFERROR(__xludf.DUMMYFUNCTION("""https://streamtape.com/v/""&amp;
REGEXEXTRACT(O872,""/thumb/([^/]+)/"")&amp;
""/""&amp;K872"),"https://streamtape.com/v/lOGqDb3dD2c7rz0/36422262")</f>
        <v>https://streamtape.com/v/lOGqDb3dD2c7rz0/36422262</v>
      </c>
      <c r="G872" s="10" t="e">
        <f t="shared" ca="1" si="13"/>
        <v>#NAME?</v>
      </c>
      <c r="H872" s="11" t="str">
        <f ca="1">IFERROR(__xludf.DUMMYFUNCTION("IFERROR(SUBSTITUTE(SUBSTITUTE(REGEXEXTRACT(A872, ""[^-]+- [^-]+- [^-]+ - (.+?)\.jpg""), "".jpg"", """"), ""-"", "", ""), """")"),"")</f>
        <v/>
      </c>
      <c r="I872" s="6"/>
      <c r="J872" s="7" t="str">
        <f t="shared" ca="1" si="14"/>
        <v>(2026)</v>
      </c>
      <c r="K872" s="7" t="str">
        <f t="shared" si="15"/>
        <v>36422262</v>
      </c>
      <c r="L872" s="12" t="s">
        <v>4399</v>
      </c>
      <c r="M872" s="13" t="str">
        <f ca="1">IFERROR(__xludf.DUMMYFUNCTION("TRIM(
  REGEXREPLACE(
    TEXTJOIN("" "",
      TRUE,
      B872,
      C872,
      embaralharLinks(E872,F872,G872),
      H872,
      """",
      J872,
      N872,
      ""#RIPNSFW""
    ),
  "",\s*"", "" "")
)"),"{New} Jewelz Blu https://lulustream.com/d/pr5ynbprs1w5 https://streamtape.com/v/lOGqDb3dD2c7rz0/36422262 https://doodstream.com/d/sbmropkevtt6/36422262 (2026) #Anal #MILF #BigTits #Creampie #Hardcore #Bigass #Porn #Blowjob #RIPNSFW")</f>
        <v>{New} Jewelz Blu https://lulustream.com/d/pr5ynbprs1w5 https://streamtape.com/v/lOGqDb3dD2c7rz0/36422262 https://doodstream.com/d/sbmropkevtt6/36422262 (2026) #Anal #MILF #BigTits #Creampie #Hardcore #Bigass #Porn #Blowjob #RIPNSFW</v>
      </c>
      <c r="N872" s="14" t="s">
        <v>4400</v>
      </c>
      <c r="O872" s="15" t="s">
        <v>4401</v>
      </c>
      <c r="P872" s="14"/>
      <c r="Q872" s="6"/>
      <c r="R872" s="11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>
      <c r="A873" s="12" t="s">
        <v>4402</v>
      </c>
      <c r="B873" s="6" t="s">
        <v>14</v>
      </c>
      <c r="C873" s="7" t="str">
        <f t="shared" si="12"/>
        <v xml:space="preserve">Jewelz Blu </v>
      </c>
      <c r="D873" s="24" t="s">
        <v>4403</v>
      </c>
      <c r="E873" s="25" t="s">
        <v>4404</v>
      </c>
      <c r="F873" s="9" t="str">
        <f ca="1">IFERROR(__xludf.DUMMYFUNCTION("""https://streamtape.com/v/""&amp;
REGEXEXTRACT(O873,""/thumb/([^/]+)/"")&amp;
""/""&amp;K873"),"https://streamtape.com/v/Qak29jxWoqf0D16/37745917")</f>
        <v>https://streamtape.com/v/Qak29jxWoqf0D16/37745917</v>
      </c>
      <c r="G873" s="10" t="e">
        <f t="shared" ca="1" si="13"/>
        <v>#NAME?</v>
      </c>
      <c r="H873" s="11" t="str">
        <f ca="1">IFERROR(__xludf.DUMMYFUNCTION("IFERROR(SUBSTITUTE(SUBSTITUTE(REGEXEXTRACT(A873, ""[^-]+- [^-]+- [^-]+ - (.+?)\.jpg""), "".jpg"", """"), ""-"", "", ""), """")"),"")</f>
        <v/>
      </c>
      <c r="I873" s="6"/>
      <c r="J873" s="7" t="str">
        <f t="shared" ca="1" si="14"/>
        <v>(2026)</v>
      </c>
      <c r="K873" s="7" t="str">
        <f t="shared" si="15"/>
        <v>37745917</v>
      </c>
      <c r="L873" s="12" t="s">
        <v>4347</v>
      </c>
      <c r="M873" s="13" t="str">
        <f ca="1">IFERROR(__xludf.DUMMYFUNCTION("TRIM(
  REGEXREPLACE(
    TEXTJOIN("" "",
      TRUE,
      B873,
      C873,
      embaralharLinks(E873,F873,G873),
      H873,
      """",
      J873,
      N873,
      ""#RIPNSFW""
    ),
  "",\s*"", "" "")
)"),"{New} Jewelz Blu https://lulustream.com/d/6g2kcuumkwcc https://doodstream.com/d/b2ymeldspfiz/37745917 https://streamtape.com/v/Qak29jxWoqf0D16/37745917 (2026) #milf #bigtits #blowjob #facial #RIPNSFW")</f>
        <v>{New} Jewelz Blu https://lulustream.com/d/6g2kcuumkwcc https://doodstream.com/d/b2ymeldspfiz/37745917 https://streamtape.com/v/Qak29jxWoqf0D16/37745917 (2026) #milf #bigtits #blowjob #facial #RIPNSFW</v>
      </c>
      <c r="N873" s="2" t="s">
        <v>4347</v>
      </c>
      <c r="O873" s="30" t="s">
        <v>4405</v>
      </c>
      <c r="P873" s="26"/>
      <c r="R873" s="23"/>
    </row>
    <row r="874" spans="1:27" ht="12.75">
      <c r="A874" s="12" t="s">
        <v>4406</v>
      </c>
      <c r="B874" s="6" t="s">
        <v>14</v>
      </c>
      <c r="C874" s="7" t="str">
        <f t="shared" si="12"/>
        <v xml:space="preserve">Jewelz Blu </v>
      </c>
      <c r="D874" s="27" t="s">
        <v>4407</v>
      </c>
      <c r="E874" s="28" t="s">
        <v>4408</v>
      </c>
      <c r="F874" s="9" t="str">
        <f ca="1">IFERROR(__xludf.DUMMYFUNCTION("""https://streamtape.com/v/""&amp;
REGEXEXTRACT(O874,""/thumb/([^/]+)/"")&amp;
""/""&amp;K874"),"https://streamtape.com/v/oA7Vao2QDjIJyz9/39366961")</f>
        <v>https://streamtape.com/v/oA7Vao2QDjIJyz9/39366961</v>
      </c>
      <c r="G874" s="10" t="e">
        <f t="shared" ca="1" si="13"/>
        <v>#NAME?</v>
      </c>
      <c r="H874" s="11" t="str">
        <f ca="1">IFERROR(__xludf.DUMMYFUNCTION("IFERROR(SUBSTITUTE(SUBSTITUTE(REGEXEXTRACT(A874, ""[^-]+- [^-]+- [^-]+ - (.+?)\.jpg""), "".jpg"", """"), ""-"", "", ""), """")"),"")</f>
        <v/>
      </c>
      <c r="I874" s="6"/>
      <c r="J874" s="7" t="str">
        <f t="shared" ca="1" si="14"/>
        <v>(2026)</v>
      </c>
      <c r="K874" s="7" t="str">
        <f t="shared" si="15"/>
        <v>39366961</v>
      </c>
      <c r="L874" s="12" t="s">
        <v>2163</v>
      </c>
      <c r="M874" s="13" t="str">
        <f ca="1">IFERROR(__xludf.DUMMYFUNCTION("TRIM(
  REGEXREPLACE(
    TEXTJOIN("" "",
      TRUE,
      B874,
      C874,
      embaralharLinks(E874,F874,G874),
      H874,
      """",
      J874,
      N874,
      ""#RIPNSFW""
    ),
  "",\s*"", "" "")
)"),"{New} Jewelz Blu https://doodstream.com/d/odslbwpxmv7h/39366961 https://streamtape.com/v/oA7Vao2QDjIJyz9/39366961 https://lulustream.com/d/xrq6hxl7fft2 (2026) #MILF #BigTits #Bigass #Blowjob #RIPNSFW")</f>
        <v>{New} Jewelz Blu https://doodstream.com/d/odslbwpxmv7h/39366961 https://streamtape.com/v/oA7Vao2QDjIJyz9/39366961 https://lulustream.com/d/xrq6hxl7fft2 (2026) #MILF #BigTits #Bigass #Blowjob #RIPNSFW</v>
      </c>
      <c r="N874" s="2" t="s">
        <v>2135</v>
      </c>
      <c r="O874" s="30" t="s">
        <v>4409</v>
      </c>
      <c r="P874" s="26"/>
      <c r="R874" s="23"/>
    </row>
    <row r="875" spans="1:27" ht="12.75">
      <c r="A875" s="12" t="s">
        <v>4410</v>
      </c>
      <c r="B875" s="6" t="s">
        <v>14</v>
      </c>
      <c r="C875" s="7" t="str">
        <f t="shared" si="12"/>
        <v xml:space="preserve">Jewelz Blu </v>
      </c>
      <c r="D875" s="24" t="s">
        <v>4411</v>
      </c>
      <c r="E875" s="25" t="s">
        <v>4412</v>
      </c>
      <c r="F875" s="9" t="str">
        <f ca="1">IFERROR(__xludf.DUMMYFUNCTION("""https://streamtape.com/v/""&amp;
REGEXEXTRACT(O875,""/thumb/([^/]+)/"")&amp;
""/""&amp;K875"),"https://streamtape.com/v/9elV8MvBx2FaxBX/41229618")</f>
        <v>https://streamtape.com/v/9elV8MvBx2FaxBX/41229618</v>
      </c>
      <c r="G875" s="10" t="e">
        <f t="shared" ca="1" si="13"/>
        <v>#NAME?</v>
      </c>
      <c r="H875" s="11" t="str">
        <f ca="1">IFERROR(__xludf.DUMMYFUNCTION("IFERROR(SUBSTITUTE(SUBSTITUTE(REGEXEXTRACT(A875, ""[^-]+- [^-]+- [^-]+ - (.+?)\.jpg""), "".jpg"", """"), ""-"", "", ""), """")"),"")</f>
        <v/>
      </c>
      <c r="I875" s="6"/>
      <c r="J875" s="7" t="str">
        <f t="shared" ca="1" si="14"/>
        <v>(2026)</v>
      </c>
      <c r="K875" s="7" t="str">
        <f t="shared" si="15"/>
        <v>41229618</v>
      </c>
      <c r="L875" s="12" t="s">
        <v>4413</v>
      </c>
      <c r="M875" s="13" t="str">
        <f ca="1">IFERROR(__xludf.DUMMYFUNCTION("TRIM(
  REGEXREPLACE(
    TEXTJOIN("" "",
      TRUE,
      B875,
      C875,
      embaralharLinks(E875,F875,G875),
      H875,
      """",
      J875,
      N875,
      ""#RIPNSFW""
    ),
  "",\s*"", "" "")
)"),"#ERROR!")</f>
        <v>#ERROR!</v>
      </c>
      <c r="N875" s="2" t="s">
        <v>4413</v>
      </c>
      <c r="O875" s="30" t="s">
        <v>4414</v>
      </c>
      <c r="P875" s="26"/>
      <c r="R875" s="23"/>
      <c r="T875" s="6"/>
      <c r="U875" s="7"/>
    </row>
    <row r="876" spans="1:27" ht="12.75">
      <c r="A876" s="6" t="s">
        <v>4415</v>
      </c>
      <c r="B876" s="6" t="s">
        <v>14</v>
      </c>
      <c r="C876" s="7" t="str">
        <f t="shared" si="12"/>
        <v xml:space="preserve">Jewelz Blu </v>
      </c>
      <c r="D876" s="6" t="s">
        <v>4416</v>
      </c>
      <c r="E876" s="8" t="s">
        <v>4417</v>
      </c>
      <c r="F876" s="9" t="str">
        <f ca="1">IFERROR(__xludf.DUMMYFUNCTION("""https://streamtape.com/v/""&amp;
REGEXEXTRACT(O876,""/thumb/([^/]+)/"")&amp;
""/""&amp;K876"),"https://streamtape.com/v/17ZvXzjdLpHeAkD/41266259")</f>
        <v>https://streamtape.com/v/17ZvXzjdLpHeAkD/41266259</v>
      </c>
      <c r="G876" s="10" t="e">
        <f t="shared" ca="1" si="13"/>
        <v>#NAME?</v>
      </c>
      <c r="H876" s="11" t="str">
        <f ca="1">IFERROR(__xludf.DUMMYFUNCTION("IFERROR(SUBSTITUTE(SUBSTITUTE(REGEXEXTRACT(A876, ""[^-]+- [^-]+- [^-]+ - (.+?)\.jpg""), "".jpg"", """"), ""-"", "", ""), """")"),"")</f>
        <v/>
      </c>
      <c r="I876" s="6"/>
      <c r="J876" s="7" t="str">
        <f t="shared" ca="1" si="14"/>
        <v>(2026)</v>
      </c>
      <c r="K876" s="7" t="str">
        <f t="shared" si="15"/>
        <v>41266259</v>
      </c>
      <c r="L876" s="12" t="s">
        <v>4313</v>
      </c>
      <c r="M876" s="13" t="str">
        <f ca="1">IFERROR(__xludf.DUMMYFUNCTION("TRIM(
  REGEXREPLACE(
    TEXTJOIN("" "",
      TRUE,
      B876,
      C876,
      embaralharLinks(E876,F876,G876),
      H876,
      """",
      J876,
      N876,
      ""#RIPNSFW""
    ),
  "",\s*"", "" "")
)"),"{New} Jewelz Blu https://doodstream.com/d/okx48ykcc6j2/41266259 https://lulustream.com/d/8pjsv394ncte https://streamtape.com/v/17ZvXzjdLpHeAkD/41266259 (2026) #MILF #BigTits #Creampie #Hardcore #Bigass #Blowjob #Amateur #Deepthroat #RIPNSFW")</f>
        <v>{New} Jewelz Blu https://doodstream.com/d/okx48ykcc6j2/41266259 https://lulustream.com/d/8pjsv394ncte https://streamtape.com/v/17ZvXzjdLpHeAkD/41266259 (2026) #MILF #BigTits #Creampie #Hardcore #Bigass #Blowjob #Amateur #Deepthroat #RIPNSFW</v>
      </c>
      <c r="N876" s="14" t="s">
        <v>4418</v>
      </c>
      <c r="O876" s="15" t="s">
        <v>4419</v>
      </c>
      <c r="P876" s="14"/>
      <c r="Q876" s="6"/>
      <c r="R876" s="11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>
      <c r="A877" s="6" t="s">
        <v>4420</v>
      </c>
      <c r="B877" s="6" t="s">
        <v>14</v>
      </c>
      <c r="C877" s="7" t="str">
        <f t="shared" si="12"/>
        <v xml:space="preserve">Jewelz Blu </v>
      </c>
      <c r="D877" s="6" t="s">
        <v>4421</v>
      </c>
      <c r="E877" s="8" t="s">
        <v>4422</v>
      </c>
      <c r="F877" s="9" t="str">
        <f ca="1">IFERROR(__xludf.DUMMYFUNCTION("""https://streamtape.com/v/""&amp;
REGEXEXTRACT(O877,""/thumb/([^/]+)/"")&amp;
""/""&amp;K877"),"https://streamtape.com/v/OoYmVwb1z1uZVZm/42869335")</f>
        <v>https://streamtape.com/v/OoYmVwb1z1uZVZm/42869335</v>
      </c>
      <c r="G877" s="10" t="e">
        <f t="shared" ca="1" si="13"/>
        <v>#NAME?</v>
      </c>
      <c r="H877" s="11" t="str">
        <f ca="1">IFERROR(__xludf.DUMMYFUNCTION("IFERROR(SUBSTITUTE(SUBSTITUTE(REGEXEXTRACT(A877, ""[^-]+- [^-]+- [^-]+ - (.+?)\.jpg""), "".jpg"", """"), ""-"", "", ""), """")"),"")</f>
        <v/>
      </c>
      <c r="I877" s="6"/>
      <c r="J877" s="7" t="str">
        <f t="shared" ca="1" si="14"/>
        <v>(2026)</v>
      </c>
      <c r="K877" s="7" t="str">
        <f t="shared" si="15"/>
        <v>42869335</v>
      </c>
      <c r="L877" s="12" t="s">
        <v>4293</v>
      </c>
      <c r="M877" s="13" t="str">
        <f ca="1">IFERROR(__xludf.DUMMYFUNCTION("TRIM(
  REGEXREPLACE(
    TEXTJOIN("" "",
      TRUE,
      B877,
      C877,
      embaralharLinks(E877,F877,G877),
      H877,
      """",
      J877,
      N877,
      ""#RIPNSFW""
    ),
  "",\s*"", "" "")
)"),"{New} Jewelz Blu https://lulustream.com/d/ka3onfa1g1m6 https://doodstream.com/d/6curfocbrgia/42869335 https://streamtape.com/v/OoYmVwb1z1uZVZm/42869335 (2026) #MILF #BigTits #Hardcore #Bigass #Blowjob #RIPNSFW")</f>
        <v>{New} Jewelz Blu https://lulustream.com/d/ka3onfa1g1m6 https://doodstream.com/d/6curfocbrgia/42869335 https://streamtape.com/v/OoYmVwb1z1uZVZm/42869335 (2026) #MILF #BigTits #Hardcore #Bigass #Blowjob #RIPNSFW</v>
      </c>
      <c r="N877" s="14" t="s">
        <v>1410</v>
      </c>
      <c r="O877" s="15" t="s">
        <v>4423</v>
      </c>
      <c r="P877" s="14"/>
      <c r="Q877" s="6"/>
      <c r="R877" s="11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>
      <c r="A878" s="6" t="s">
        <v>4424</v>
      </c>
      <c r="B878" s="6" t="s">
        <v>14</v>
      </c>
      <c r="C878" s="7" t="str">
        <f t="shared" si="12"/>
        <v xml:space="preserve">Jewelz Blu </v>
      </c>
      <c r="D878" s="6" t="s">
        <v>4425</v>
      </c>
      <c r="E878" s="8" t="s">
        <v>4426</v>
      </c>
      <c r="F878" s="9" t="str">
        <f ca="1">IFERROR(__xludf.DUMMYFUNCTION("""https://streamtape.com/v/""&amp;
REGEXEXTRACT(O878,""/thumb/([^/]+)/"")&amp;
""/""&amp;K878"),"https://streamtape.com/v/Gka8bx1AZgtoPl/43064399")</f>
        <v>https://streamtape.com/v/Gka8bx1AZgtoPl/43064399</v>
      </c>
      <c r="G878" s="10" t="e">
        <f t="shared" ca="1" si="13"/>
        <v>#NAME?</v>
      </c>
      <c r="H878" s="11" t="str">
        <f ca="1">IFERROR(__xludf.DUMMYFUNCTION("IFERROR(SUBSTITUTE(SUBSTITUTE(REGEXEXTRACT(A878, ""[^-]+- [^-]+- [^-]+ - (.+?)\.jpg""), "".jpg"", """"), ""-"", "", ""), """")"),"")</f>
        <v/>
      </c>
      <c r="I878" s="6"/>
      <c r="J878" s="7" t="str">
        <f t="shared" ca="1" si="14"/>
        <v>(2026)</v>
      </c>
      <c r="K878" s="7" t="str">
        <f t="shared" si="15"/>
        <v>43064399</v>
      </c>
      <c r="L878" s="12" t="s">
        <v>4293</v>
      </c>
      <c r="M878" s="13" t="str">
        <f ca="1">IFERROR(__xludf.DUMMYFUNCTION("TRIM(
  REGEXREPLACE(
    TEXTJOIN("" "",
      TRUE,
      B878,
      C878,
      embaralharLinks(E878,F878,G878),
      H878,
      """",
      J878,
      N878,
      ""#RIPNSFW""
    ),
  "",\s*"", "" "")
)"),"{New} Jewelz Blu https://streamtape.com/v/Gka8bx1AZgtoPl/43064399 https://doodstream.com/d/dmsihaf2qahv/43064399 https://lulustream.com/d/0h6kea9ag1yd (2026) #MILF #BigTits #Hardcore #Bigass #Blowjob #RIPNSFW")</f>
        <v>{New} Jewelz Blu https://streamtape.com/v/Gka8bx1AZgtoPl/43064399 https://doodstream.com/d/dmsihaf2qahv/43064399 https://lulustream.com/d/0h6kea9ag1yd (2026) #MILF #BigTits #Hardcore #Bigass #Blowjob #RIPNSFW</v>
      </c>
      <c r="N878" s="14" t="s">
        <v>1410</v>
      </c>
      <c r="O878" s="15" t="s">
        <v>4427</v>
      </c>
      <c r="P878" s="14"/>
      <c r="Q878" s="6"/>
      <c r="R878" s="11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>
      <c r="A879" s="6" t="s">
        <v>4428</v>
      </c>
      <c r="B879" s="6" t="s">
        <v>14</v>
      </c>
      <c r="C879" s="7" t="str">
        <f t="shared" si="12"/>
        <v xml:space="preserve">Jewelz Blu </v>
      </c>
      <c r="D879" s="6" t="s">
        <v>4429</v>
      </c>
      <c r="E879" s="8" t="s">
        <v>4430</v>
      </c>
      <c r="F879" s="9" t="str">
        <f ca="1">IFERROR(__xludf.DUMMYFUNCTION("""https://streamtape.com/v/""&amp;
REGEXEXTRACT(O879,""/thumb/([^/]+)/"")&amp;
""/""&amp;K879"),"https://streamtape.com/v/796JZ91mgRsxxr/43818937")</f>
        <v>https://streamtape.com/v/796JZ91mgRsxxr/43818937</v>
      </c>
      <c r="G879" s="10" t="e">
        <f t="shared" ca="1" si="13"/>
        <v>#NAME?</v>
      </c>
      <c r="H879" s="11" t="str">
        <f ca="1">IFERROR(__xludf.DUMMYFUNCTION("IFERROR(SUBSTITUTE(SUBSTITUTE(REGEXEXTRACT(A879, ""[^-]+- [^-]+- [^-]+ - (.+?)\.jpg""), "".jpg"", """"), ""-"", "", ""), """")"),"")</f>
        <v/>
      </c>
      <c r="I879" s="6"/>
      <c r="J879" s="7" t="str">
        <f t="shared" ca="1" si="14"/>
        <v>(2026)</v>
      </c>
      <c r="K879" s="7" t="str">
        <f t="shared" si="15"/>
        <v>43818937</v>
      </c>
      <c r="L879" s="12" t="s">
        <v>4431</v>
      </c>
      <c r="M879" s="13" t="str">
        <f ca="1">IFERROR(__xludf.DUMMYFUNCTION("TRIM(
  REGEXREPLACE(
    TEXTJOIN("" "",
      TRUE,
      B879,
      C879,
      embaralharLinks(E879,F879,G879),
      H879,
      """",
      J879,
      N879,
      ""#RIPNSFW""
    ),
  "",\s*"", "" "")
)"),"{New} Jewelz Blu https://streamtape.com/v/796JZ91mgRsxxr/43818937 https://lulustream.com/d/w4tbswq0mmhh https://doodstream.com/d/ckh8n9b61dgs/43818937 (2026) #MILF #BigTits #Creampie #Hardcore #Bigass #Roleplay #Blowjob #Amateur #Deepthroat #RIPNSFW")</f>
        <v>{New} Jewelz Blu https://streamtape.com/v/796JZ91mgRsxxr/43818937 https://lulustream.com/d/w4tbswq0mmhh https://doodstream.com/d/ckh8n9b61dgs/43818937 (2026) #MILF #BigTits #Creampie #Hardcore #Bigass #Roleplay #Blowjob #Amateur #Deepthroat #RIPNSFW</v>
      </c>
      <c r="N879" s="14" t="s">
        <v>4432</v>
      </c>
      <c r="O879" s="15" t="s">
        <v>4433</v>
      </c>
      <c r="P879" s="14"/>
      <c r="Q879" s="6"/>
      <c r="R879" s="11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>
      <c r="A880" s="12" t="s">
        <v>4434</v>
      </c>
      <c r="B880" s="6" t="s">
        <v>14</v>
      </c>
      <c r="C880" s="7" t="str">
        <f t="shared" si="12"/>
        <v xml:space="preserve">Jewelz Blu </v>
      </c>
      <c r="D880" s="24" t="s">
        <v>4435</v>
      </c>
      <c r="E880" s="25" t="s">
        <v>4436</v>
      </c>
      <c r="F880" s="9" t="str">
        <f ca="1">IFERROR(__xludf.DUMMYFUNCTION("""https://streamtape.com/v/""&amp;
REGEXEXTRACT(O880,""/thumb/([^/]+)/"")&amp;
""/""&amp;K880"),"https://streamtape.com/v/dKKjDK4GPDCZKq/44600385")</f>
        <v>https://streamtape.com/v/dKKjDK4GPDCZKq/44600385</v>
      </c>
      <c r="G880" s="10" t="e">
        <f t="shared" ca="1" si="13"/>
        <v>#NAME?</v>
      </c>
      <c r="H880" s="11" t="str">
        <f ca="1">IFERROR(__xludf.DUMMYFUNCTION("IFERROR(SUBSTITUTE(SUBSTITUTE(REGEXEXTRACT(A880, ""[^-]+- [^-]+- [^-]+ - (.+?)\.jpg""), "".jpg"", """"), ""-"", "", ""), """")"),"")</f>
        <v/>
      </c>
      <c r="I880" s="6"/>
      <c r="J880" s="7" t="str">
        <f t="shared" ca="1" si="14"/>
        <v>(2026)</v>
      </c>
      <c r="K880" s="7" t="str">
        <f t="shared" si="15"/>
        <v>44600385</v>
      </c>
      <c r="L880" s="12" t="s">
        <v>1462</v>
      </c>
      <c r="M880" s="13" t="str">
        <f ca="1">IFERROR(__xludf.DUMMYFUNCTION("TRIM(
  REGEXREPLACE(
    TEXTJOIN("" "",
      TRUE,
      B880,
      C880,
      embaralharLinks(E880,F880,G880),
      H880,
      """",
      J880,
      N880,
      ""#RIPNSFW""
    ),
  "",\s*"", "" "")
)"),"{New} Jewelz Blu https://streamtape.com/v/dKKjDK4GPDCZKq/44600385 https://lulustream.com/d/9hjitkqbdn7r https://doodstream.com/d/yof0mtnzbrnl/44600385 (2026) #milf #bigtits #bigass #blowjob #RIPNSFW")</f>
        <v>{New} Jewelz Blu https://streamtape.com/v/dKKjDK4GPDCZKq/44600385 https://lulustream.com/d/9hjitkqbdn7r https://doodstream.com/d/yof0mtnzbrnl/44600385 (2026) #milf #bigtits #bigass #blowjob #RIPNSFW</v>
      </c>
      <c r="N880" s="2" t="s">
        <v>1462</v>
      </c>
      <c r="O880" s="30" t="s">
        <v>4437</v>
      </c>
      <c r="P880" s="26"/>
      <c r="R880" s="23"/>
    </row>
    <row r="881" spans="1:27" ht="12.75">
      <c r="A881" s="6" t="s">
        <v>4438</v>
      </c>
      <c r="B881" s="6" t="s">
        <v>14</v>
      </c>
      <c r="C881" s="7" t="str">
        <f t="shared" si="12"/>
        <v xml:space="preserve">Jewelz Blu </v>
      </c>
      <c r="D881" s="6" t="s">
        <v>4439</v>
      </c>
      <c r="E881" s="8" t="s">
        <v>4440</v>
      </c>
      <c r="F881" s="9" t="str">
        <f ca="1">IFERROR(__xludf.DUMMYFUNCTION("""https://streamtape.com/v/""&amp;
REGEXEXTRACT(O881,""/thumb/([^/]+)/"")&amp;
""/""&amp;K881"),"https://streamtape.com/v/y2r9YkwQZQS1qqK/45114530")</f>
        <v>https://streamtape.com/v/y2r9YkwQZQS1qqK/45114530</v>
      </c>
      <c r="G881" s="10" t="e">
        <f t="shared" ca="1" si="13"/>
        <v>#NAME?</v>
      </c>
      <c r="H881" s="11" t="str">
        <f ca="1">IFERROR(__xludf.DUMMYFUNCTION("IFERROR(SUBSTITUTE(SUBSTITUTE(REGEXEXTRACT(A881, ""[^-]+- [^-]+- [^-]+ - (.+?)\.jpg""), "".jpg"", """"), ""-"", "", ""), """")"),"")</f>
        <v/>
      </c>
      <c r="I881" s="6"/>
      <c r="J881" s="7" t="str">
        <f t="shared" ca="1" si="14"/>
        <v>(2026)</v>
      </c>
      <c r="K881" s="7" t="str">
        <f t="shared" si="15"/>
        <v>45114530</v>
      </c>
      <c r="L881" s="12" t="s">
        <v>3364</v>
      </c>
      <c r="M881" s="13" t="str">
        <f ca="1">IFERROR(__xludf.DUMMYFUNCTION("TRIM(
  REGEXREPLACE(
    TEXTJOIN("" "",
      TRUE,
      B881,
      C881,
      embaralharLinks(E881,F881,G881),
      H881,
      """",
      J881,
      N881,
      ""#RIPNSFW""
    ),
  "",\s*"", "" "")
)"),"{New} Jewelz Blu https://lulustream.com/d/npsol25wr1sc https://doodstream.com/d/661a9sphu99r/45114530 https://streamtape.com/v/y2r9YkwQZQS1qqK/45114530 (2026) #MILF #BigTits #Hardcore #Bigass #Porn #RIPNSFW")</f>
        <v>{New} Jewelz Blu https://lulustream.com/d/npsol25wr1sc https://doodstream.com/d/661a9sphu99r/45114530 https://streamtape.com/v/y2r9YkwQZQS1qqK/45114530 (2026) #MILF #BigTits #Hardcore #Bigass #Porn #RIPNSFW</v>
      </c>
      <c r="N881" s="14" t="s">
        <v>1180</v>
      </c>
      <c r="O881" s="15" t="s">
        <v>4441</v>
      </c>
      <c r="P881" s="14"/>
      <c r="Q881" s="6"/>
      <c r="R881" s="11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>
      <c r="A882" s="6" t="s">
        <v>4442</v>
      </c>
      <c r="B882" s="6" t="s">
        <v>14</v>
      </c>
      <c r="C882" s="7" t="str">
        <f t="shared" si="12"/>
        <v xml:space="preserve">Jewelz Blu </v>
      </c>
      <c r="D882" s="6" t="s">
        <v>4443</v>
      </c>
      <c r="E882" s="8" t="s">
        <v>4444</v>
      </c>
      <c r="F882" s="9" t="str">
        <f ca="1">IFERROR(__xludf.DUMMYFUNCTION("""https://streamtape.com/v/""&amp;
REGEXEXTRACT(O882,""/thumb/([^/]+)/"")&amp;
""/""&amp;K882"),"https://streamtape.com/v/m30rz674oqCbYQy/45536058")</f>
        <v>https://streamtape.com/v/m30rz674oqCbYQy/45536058</v>
      </c>
      <c r="G882" s="10" t="e">
        <f t="shared" ca="1" si="13"/>
        <v>#NAME?</v>
      </c>
      <c r="H882" s="11" t="str">
        <f ca="1">IFERROR(__xludf.DUMMYFUNCTION("IFERROR(SUBSTITUTE(SUBSTITUTE(REGEXEXTRACT(A882, ""[^-]+- [^-]+- [^-]+ - (.+?)\.jpg""), "".jpg"", """"), ""-"", "", ""), """")"),"Haley Spades")</f>
        <v>Haley Spades</v>
      </c>
      <c r="I882" s="6"/>
      <c r="J882" s="7" t="str">
        <f t="shared" ca="1" si="14"/>
        <v>(2026)</v>
      </c>
      <c r="K882" s="7" t="str">
        <f t="shared" si="15"/>
        <v>45536058</v>
      </c>
      <c r="L882" s="12" t="s">
        <v>4445</v>
      </c>
      <c r="M882" s="13" t="str">
        <f ca="1">IFERROR(__xludf.DUMMYFUNCTION("TRIM(
  REGEXREPLACE(
    TEXTJOIN("" "",
      TRUE,
      B882,
      C882,
      embaralharLinks(E882,F882,G882),
      H882,
      """",
      J882,
      N882,
      ""#RIPNSFW""
    ),
  "",\s*"", "" "")
)"),"{New} Jewelz Blu https://doodstream.com/d/7dzuaurvbici/45536058 https://streamtape.com/v/m30rz674oqCbYQy/45536058 https://lulustream.com/d/zjicly017rti Haley Spades (2026) #BigTits #Hardcore #Bigass #Teen #Roleplay #Artporn #Blowjob #Amateur #Blonde #RIPN"&amp;"SFW")</f>
        <v>{New} Jewelz Blu https://doodstream.com/d/7dzuaurvbici/45536058 https://streamtape.com/v/m30rz674oqCbYQy/45536058 https://lulustream.com/d/zjicly017rti Haley Spades (2026) #BigTits #Hardcore #Bigass #Teen #Roleplay #Artporn #Blowjob #Amateur #Blonde #RIPNSFW</v>
      </c>
      <c r="N882" s="14" t="s">
        <v>4446</v>
      </c>
      <c r="O882" s="15" t="s">
        <v>4447</v>
      </c>
      <c r="P882" s="14"/>
      <c r="Q882" s="6"/>
      <c r="R882" s="11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>
      <c r="A883" s="12" t="s">
        <v>4448</v>
      </c>
      <c r="B883" s="6" t="s">
        <v>14</v>
      </c>
      <c r="C883" s="7" t="str">
        <f t="shared" si="12"/>
        <v xml:space="preserve">Jewelz Blu </v>
      </c>
      <c r="D883" s="24" t="s">
        <v>4449</v>
      </c>
      <c r="E883" s="25" t="s">
        <v>4450</v>
      </c>
      <c r="F883" s="9" t="str">
        <f ca="1">IFERROR(__xludf.DUMMYFUNCTION("""https://streamtape.com/v/""&amp;
REGEXEXTRACT(O883,""/thumb/([^/]+)/"")&amp;
""/""&amp;K883"),"https://streamtape.com/v/gLd2jXMjDaIJz9/45802958")</f>
        <v>https://streamtape.com/v/gLd2jXMjDaIJz9/45802958</v>
      </c>
      <c r="G883" s="10" t="e">
        <f t="shared" ca="1" si="13"/>
        <v>#NAME?</v>
      </c>
      <c r="H883" s="11" t="str">
        <f ca="1">IFERROR(__xludf.DUMMYFUNCTION("IFERROR(SUBSTITUTE(SUBSTITUTE(REGEXEXTRACT(A883, ""[^-]+- [^-]+- [^-]+ - (.+?)\.jpg""), "".jpg"", """"), ""-"", "", ""), """")"),"")</f>
        <v/>
      </c>
      <c r="I883" s="6"/>
      <c r="J883" s="7" t="str">
        <f t="shared" ca="1" si="14"/>
        <v>(2026)</v>
      </c>
      <c r="K883" s="7" t="str">
        <f t="shared" si="15"/>
        <v>45802958</v>
      </c>
      <c r="L883" s="12" t="s">
        <v>4451</v>
      </c>
      <c r="M883" s="13" t="str">
        <f ca="1">IFERROR(__xludf.DUMMYFUNCTION("TRIM(
  REGEXREPLACE(
    TEXTJOIN("" "",
      TRUE,
      B883,
      C883,
      embaralharLinks(E883,F883,G883),
      H883,
      """",
      J883,
      N883,
      ""#RIPNSFW""
    ),
  "",\s*"", "" "")
)"),"#ERROR!")</f>
        <v>#ERROR!</v>
      </c>
      <c r="N883" s="2" t="s">
        <v>4451</v>
      </c>
      <c r="O883" s="30" t="s">
        <v>4452</v>
      </c>
      <c r="P883" s="26"/>
      <c r="R883" s="23"/>
    </row>
    <row r="884" spans="1:27" ht="12.75">
      <c r="A884" s="6" t="s">
        <v>4453</v>
      </c>
      <c r="B884" s="6" t="s">
        <v>14</v>
      </c>
      <c r="C884" s="7" t="str">
        <f t="shared" si="12"/>
        <v xml:space="preserve">Jewelz Blu </v>
      </c>
      <c r="D884" s="24" t="s">
        <v>4454</v>
      </c>
      <c r="E884" s="25" t="s">
        <v>4455</v>
      </c>
      <c r="F884" s="9" t="str">
        <f ca="1">IFERROR(__xludf.DUMMYFUNCTION("""https://streamtape.com/v/""&amp;
REGEXEXTRACT(O884,""/thumb/([^/]+)/"")&amp;
""/""&amp;K884"),"https://streamtape.com/v/69w36vvXgAI9YjA/46115763")</f>
        <v>https://streamtape.com/v/69w36vvXgAI9YjA/46115763</v>
      </c>
      <c r="G884" s="10" t="e">
        <f t="shared" ca="1" si="13"/>
        <v>#NAME?</v>
      </c>
      <c r="H884" s="11" t="str">
        <f ca="1">IFERROR(__xludf.DUMMYFUNCTION("IFERROR(SUBSTITUTE(SUBSTITUTE(REGEXEXTRACT(A884, ""[^-]+- [^-]+- [^-]+ - (.+?)\.jpg""), "".jpg"", """"), ""-"", "", ""), """")"),"")</f>
        <v/>
      </c>
      <c r="I884" s="6"/>
      <c r="J884" s="7" t="str">
        <f t="shared" ca="1" si="14"/>
        <v>(2026)</v>
      </c>
      <c r="K884" s="7" t="str">
        <f t="shared" si="15"/>
        <v>46115763</v>
      </c>
      <c r="L884" s="12" t="s">
        <v>4456</v>
      </c>
      <c r="M884" s="13" t="str">
        <f ca="1">IFERROR(__xludf.DUMMYFUNCTION("TRIM(
  REGEXREPLACE(
    TEXTJOIN("" "",
      TRUE,
      B884,
      C884,
      embaralharLinks(E884,F884,G884),
      H884,
      """",
      J884,
      N884,
      ""#RIPNSFW""
    ),
  "",\s*"", "" "")
)"),"{New} Jewelz Blu https://streamtape.com/v/69w36vvXgAI9YjA/46115763 https://lulustream.com/d/pwf99stubz0j https://doodstream.com/d/ll5ak9l1fwbv/46115763 (2026) #milf #bigass #bigtits #joi #RIPNSFW")</f>
        <v>{New} Jewelz Blu https://streamtape.com/v/69w36vvXgAI9YjA/46115763 https://lulustream.com/d/pwf99stubz0j https://doodstream.com/d/ll5ak9l1fwbv/46115763 (2026) #milf #bigass #bigtits #joi #RIPNSFW</v>
      </c>
      <c r="N884" s="31" t="s">
        <v>4456</v>
      </c>
      <c r="O884" s="32" t="s">
        <v>4457</v>
      </c>
      <c r="P884" s="26"/>
      <c r="Q884" s="6"/>
      <c r="R884" s="11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>
      <c r="A885" s="12" t="s">
        <v>4458</v>
      </c>
      <c r="B885" s="6" t="s">
        <v>14</v>
      </c>
      <c r="C885" s="7" t="str">
        <f t="shared" si="12"/>
        <v xml:space="preserve">Jewelz Blu </v>
      </c>
      <c r="D885" s="24" t="s">
        <v>4459</v>
      </c>
      <c r="E885" s="25" t="s">
        <v>4460</v>
      </c>
      <c r="F885" s="9" t="str">
        <f ca="1">IFERROR(__xludf.DUMMYFUNCTION("""https://streamtape.com/v/""&amp;
REGEXEXTRACT(O885,""/thumb/([^/]+)/"")&amp;
""/""&amp;K885"),"https://streamtape.com/v/94MAvqW08OiolX/48982150")</f>
        <v>https://streamtape.com/v/94MAvqW08OiolX/48982150</v>
      </c>
      <c r="G885" s="10" t="e">
        <f t="shared" ca="1" si="13"/>
        <v>#NAME?</v>
      </c>
      <c r="H885" s="11" t="str">
        <f ca="1">IFERROR(__xludf.DUMMYFUNCTION("IFERROR(SUBSTITUTE(SUBSTITUTE(REGEXEXTRACT(A885, ""[^-]+- [^-]+- [^-]+ - (.+?)\.jpg""), "".jpg"", """"), ""-"", "", ""), """")"),"")</f>
        <v/>
      </c>
      <c r="I885" s="6"/>
      <c r="J885" s="7" t="str">
        <f t="shared" ca="1" si="14"/>
        <v>(2026)</v>
      </c>
      <c r="K885" s="7" t="str">
        <f t="shared" si="15"/>
        <v>48982150</v>
      </c>
      <c r="L885" s="12" t="s">
        <v>4175</v>
      </c>
      <c r="M885" s="13" t="str">
        <f ca="1">IFERROR(__xludf.DUMMYFUNCTION("TRIM(
  REGEXREPLACE(
    TEXTJOIN("" "",
      TRUE,
      B885,
      C885,
      embaralharLinks(E885,F885,G885),
      H885,
      """",
      J885,
      N885,
      ""#RIPNSFW""
    ),
  "",\s*"", "" "")
)"),"{New} Jewelz Blu https://streamtape.com/v/94MAvqW08OiolX/48982150 https://doodstream.com/d/ltjo7hng9v3b/48982150 https://lulustream.com/d/s017q29h3cq4 (2026) #milf #anal #bigtits #bigass #RIPNSFW")</f>
        <v>{New} Jewelz Blu https://streamtape.com/v/94MAvqW08OiolX/48982150 https://doodstream.com/d/ltjo7hng9v3b/48982150 https://lulustream.com/d/s017q29h3cq4 (2026) #milf #anal #bigtits #bigass #RIPNSFW</v>
      </c>
      <c r="N885" s="2" t="s">
        <v>4175</v>
      </c>
      <c r="O885" s="30" t="s">
        <v>4461</v>
      </c>
      <c r="P885" s="26"/>
      <c r="R885" s="23"/>
    </row>
    <row r="886" spans="1:27" ht="12.75">
      <c r="A886" s="12" t="s">
        <v>4462</v>
      </c>
      <c r="B886" s="6" t="s">
        <v>14</v>
      </c>
      <c r="C886" s="7" t="str">
        <f t="shared" si="12"/>
        <v xml:space="preserve">Jewelz Blu </v>
      </c>
      <c r="D886" s="24" t="s">
        <v>4463</v>
      </c>
      <c r="E886" s="25" t="s">
        <v>4464</v>
      </c>
      <c r="F886" s="9" t="str">
        <f ca="1">IFERROR(__xludf.DUMMYFUNCTION("""https://streamtape.com/v/""&amp;
REGEXEXTRACT(O886,""/thumb/([^/]+)/"")&amp;
""/""&amp;K886"),"https://streamtape.com/v/YLlaap4Z9KsvMLg/49589158")</f>
        <v>https://streamtape.com/v/YLlaap4Z9KsvMLg/49589158</v>
      </c>
      <c r="G886" s="10" t="e">
        <f t="shared" ca="1" si="13"/>
        <v>#NAME?</v>
      </c>
      <c r="H886" s="11" t="str">
        <f ca="1">IFERROR(__xludf.DUMMYFUNCTION("IFERROR(SUBSTITUTE(SUBSTITUTE(REGEXEXTRACT(A886, ""[^-]+- [^-]+- [^-]+ - (.+?)\.jpg""), "".jpg"", """"), ""-"", "", ""), """")"),"")</f>
        <v/>
      </c>
      <c r="I886" s="6"/>
      <c r="J886" s="7" t="str">
        <f t="shared" ca="1" si="14"/>
        <v>(2026)</v>
      </c>
      <c r="K886" s="7" t="str">
        <f t="shared" si="15"/>
        <v>49589158</v>
      </c>
      <c r="L886" s="12" t="s">
        <v>1462</v>
      </c>
      <c r="M886" s="13" t="str">
        <f ca="1">IFERROR(__xludf.DUMMYFUNCTION("TRIM(
  REGEXREPLACE(
    TEXTJOIN("" "",
      TRUE,
      B886,
      C886,
      embaralharLinks(E886,F886,G886),
      H886,
      """",
      J886,
      N886,
      ""#RIPNSFW""
    ),
  "",\s*"", "" "")
)"),"{New} Jewelz Blu https://streamtape.com/v/YLlaap4Z9KsvMLg/49589158 https://doodstream.com/d/wyb34xpfp0ps/49589158 https://lulustream.com/d/6uba5bez22ht (2026) #milf #bigtits #bigass #blowjob #RIPNSFW")</f>
        <v>{New} Jewelz Blu https://streamtape.com/v/YLlaap4Z9KsvMLg/49589158 https://doodstream.com/d/wyb34xpfp0ps/49589158 https://lulustream.com/d/6uba5bez22ht (2026) #milf #bigtits #bigass #blowjob #RIPNSFW</v>
      </c>
      <c r="N886" s="2" t="s">
        <v>1462</v>
      </c>
      <c r="O886" s="30" t="s">
        <v>4465</v>
      </c>
      <c r="P886" s="26"/>
      <c r="R886" s="23"/>
    </row>
    <row r="887" spans="1:27" ht="12.75">
      <c r="A887" s="12" t="s">
        <v>4466</v>
      </c>
      <c r="B887" s="6" t="s">
        <v>14</v>
      </c>
      <c r="C887" s="7" t="str">
        <f t="shared" si="12"/>
        <v xml:space="preserve">Jewelz Blu </v>
      </c>
      <c r="D887" s="24" t="s">
        <v>4467</v>
      </c>
      <c r="E887" s="25" t="s">
        <v>4468</v>
      </c>
      <c r="F887" s="9" t="str">
        <f ca="1">IFERROR(__xludf.DUMMYFUNCTION("""https://streamtape.com/v/""&amp;
REGEXEXTRACT(O887,""/thumb/([^/]+)/"")&amp;
""/""&amp;K887"),"https://streamtape.com/v/kbV0d0WQVySOgM7/51031582")</f>
        <v>https://streamtape.com/v/kbV0d0WQVySOgM7/51031582</v>
      </c>
      <c r="G887" s="10" t="e">
        <f t="shared" ca="1" si="13"/>
        <v>#NAME?</v>
      </c>
      <c r="H887" s="11" t="str">
        <f ca="1">IFERROR(__xludf.DUMMYFUNCTION("IFERROR(SUBSTITUTE(SUBSTITUTE(REGEXEXTRACT(A887, ""[^-]+- [^-]+- [^-]+ - (.+?)\.jpg""), "".jpg"", """"), ""-"", "", ""), """")"),"")</f>
        <v/>
      </c>
      <c r="I887" s="6"/>
      <c r="J887" s="7" t="str">
        <f t="shared" ca="1" si="14"/>
        <v>(2026)</v>
      </c>
      <c r="K887" s="7" t="str">
        <f t="shared" si="15"/>
        <v>51031582</v>
      </c>
      <c r="L887" s="12" t="s">
        <v>4139</v>
      </c>
      <c r="M887" s="13" t="str">
        <f ca="1">IFERROR(__xludf.DUMMYFUNCTION("TRIM(
  REGEXREPLACE(
    TEXTJOIN("" "",
      TRUE,
      B887,
      C887,
      embaralharLinks(E887,F887,G887),
      H887,
      """",
      J887,
      N887,
      ""#RIPNSFW""
    ),
  "",\s*"", "" "")
)"),"{New} Jewelz Blu https://doodstream.com/d/5yz3xwv9c3o6/51031582 https://lulustream.com/d/e0eflh069aco https://streamtape.com/v/kbV0d0WQVySOgM7/51031582 (2026) #anal #milf #bigtits #bigass #RIPNSFW")</f>
        <v>{New} Jewelz Blu https://doodstream.com/d/5yz3xwv9c3o6/51031582 https://lulustream.com/d/e0eflh069aco https://streamtape.com/v/kbV0d0WQVySOgM7/51031582 (2026) #anal #milf #bigtits #bigass #RIPNSFW</v>
      </c>
      <c r="N887" s="2" t="s">
        <v>4139</v>
      </c>
      <c r="O887" s="30" t="s">
        <v>4469</v>
      </c>
      <c r="P887" s="26"/>
      <c r="R887" s="23"/>
      <c r="T887" s="6"/>
      <c r="U887" s="7"/>
    </row>
    <row r="888" spans="1:27" ht="12.75">
      <c r="A888" s="6" t="s">
        <v>4470</v>
      </c>
      <c r="B888" s="6" t="s">
        <v>14</v>
      </c>
      <c r="C888" s="7" t="str">
        <f t="shared" si="12"/>
        <v xml:space="preserve">Jewelz Blu </v>
      </c>
      <c r="D888" s="24" t="s">
        <v>4471</v>
      </c>
      <c r="E888" s="25" t="s">
        <v>4472</v>
      </c>
      <c r="F888" s="9" t="str">
        <f ca="1">IFERROR(__xludf.DUMMYFUNCTION("""https://streamtape.com/v/""&amp;
REGEXEXTRACT(O888,""/thumb/([^/]+)/"")&amp;
""/""&amp;K888"),"https://streamtape.com/v/Q2ZPKMLbrghrXg/51129751")</f>
        <v>https://streamtape.com/v/Q2ZPKMLbrghrXg/51129751</v>
      </c>
      <c r="G888" s="10" t="e">
        <f t="shared" ca="1" si="13"/>
        <v>#NAME?</v>
      </c>
      <c r="H888" s="11" t="str">
        <f ca="1">IFERROR(__xludf.DUMMYFUNCTION("IFERROR(SUBSTITUTE(SUBSTITUTE(REGEXEXTRACT(A888, ""[^-]+- [^-]+- [^-]+ - (.+?)\.jpg""), "".jpg"", """"), ""-"", "", ""), """")"),"")</f>
        <v/>
      </c>
      <c r="I888" s="6"/>
      <c r="J888" s="7" t="str">
        <f t="shared" ca="1" si="14"/>
        <v>(2026)</v>
      </c>
      <c r="K888" s="7" t="str">
        <f t="shared" si="15"/>
        <v>51129751</v>
      </c>
      <c r="L888" s="12" t="s">
        <v>4473</v>
      </c>
      <c r="M888" s="13" t="str">
        <f ca="1">IFERROR(__xludf.DUMMYFUNCTION("TRIM(
  REGEXREPLACE(
    TEXTJOIN("" "",
      TRUE,
      B888,
      C888,
      embaralharLinks(E888,F888,G888),
      H888,
      """",
      J888,
      N888,
      ""#RIPNSFW""
    ),
  "",\s*"", "" "")
)"),"{New} Jewelz Blu https://streamtape.com/v/Q2ZPKMLbrghrXg/51129751 https://doodstream.com/d/wn9jxxvcmwtj/51129751 https://lulustream.com/d/89jccszu9zr5 (2026) #creampie #bigtits #milf #bigass #RIPNSFW")</f>
        <v>{New} Jewelz Blu https://streamtape.com/v/Q2ZPKMLbrghrXg/51129751 https://doodstream.com/d/wn9jxxvcmwtj/51129751 https://lulustream.com/d/89jccszu9zr5 (2026) #creampie #bigtits #milf #bigass #RIPNSFW</v>
      </c>
      <c r="N888" s="31" t="s">
        <v>4473</v>
      </c>
      <c r="O888" s="32" t="s">
        <v>4474</v>
      </c>
      <c r="P888" s="26"/>
      <c r="Q888" s="6"/>
      <c r="R888" s="11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>
      <c r="A889" s="6" t="s">
        <v>4475</v>
      </c>
      <c r="B889" s="6" t="s">
        <v>14</v>
      </c>
      <c r="C889" s="7" t="str">
        <f t="shared" si="12"/>
        <v xml:space="preserve">Jewelz Blu </v>
      </c>
      <c r="D889" s="6" t="s">
        <v>4476</v>
      </c>
      <c r="E889" s="8" t="s">
        <v>4477</v>
      </c>
      <c r="F889" s="9" t="str">
        <f ca="1">IFERROR(__xludf.DUMMYFUNCTION("""https://streamtape.com/v/""&amp;
REGEXEXTRACT(O889,""/thumb/([^/]+)/"")&amp;
""/""&amp;K889"),"https://streamtape.com/v/VW97aaBVzXCz0g/52346238")</f>
        <v>https://streamtape.com/v/VW97aaBVzXCz0g/52346238</v>
      </c>
      <c r="G889" s="10" t="e">
        <f t="shared" ca="1" si="13"/>
        <v>#NAME?</v>
      </c>
      <c r="H889" s="11" t="str">
        <f ca="1">IFERROR(__xludf.DUMMYFUNCTION("IFERROR(SUBSTITUTE(SUBSTITUTE(REGEXEXTRACT(A889, ""[^-]+- [^-]+- [^-]+ - (.+?)\.jpg""), "".jpg"", """"), ""-"", "", ""), """")"),"")</f>
        <v/>
      </c>
      <c r="I889" s="6"/>
      <c r="J889" s="7" t="str">
        <f t="shared" ca="1" si="14"/>
        <v>(2026)</v>
      </c>
      <c r="K889" s="7" t="str">
        <f t="shared" si="15"/>
        <v>52346238</v>
      </c>
      <c r="L889" s="12" t="s">
        <v>4478</v>
      </c>
      <c r="M889" s="13" t="str">
        <f ca="1">IFERROR(__xludf.DUMMYFUNCTION("TRIM(
  REGEXREPLACE(
    TEXTJOIN("" "",
      TRUE,
      B889,
      C889,
      embaralharLinks(E889,F889,G889),
      H889,
      """",
      J889,
      N889,
      ""#RIPNSFW""
    ),
  "",\s*"", "" "")
)"),"{New} Jewelz Blu https://lulustream.com/d/9qvrdig0e66s https://streamtape.com/v/VW97aaBVzXCz0g/52346238 https://doodstream.com/d/pabj2v92uw7p/52346238 (2026) #MILF #BigTits #Hardcore #Bigass #RIPNSFW")</f>
        <v>{New} Jewelz Blu https://lulustream.com/d/9qvrdig0e66s https://streamtape.com/v/VW97aaBVzXCz0g/52346238 https://doodstream.com/d/pabj2v92uw7p/52346238 (2026) #MILF #BigTits #Hardcore #Bigass #RIPNSFW</v>
      </c>
      <c r="N889" s="14" t="s">
        <v>128</v>
      </c>
      <c r="O889" s="15" t="s">
        <v>4479</v>
      </c>
      <c r="P889" s="14"/>
      <c r="Q889" s="6"/>
      <c r="R889" s="11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>
      <c r="A890" s="12" t="s">
        <v>4480</v>
      </c>
      <c r="B890" s="6" t="s">
        <v>14</v>
      </c>
      <c r="C890" s="7" t="str">
        <f t="shared" si="12"/>
        <v xml:space="preserve">Jewelz Blu </v>
      </c>
      <c r="D890" s="24" t="s">
        <v>4481</v>
      </c>
      <c r="E890" s="25" t="s">
        <v>4482</v>
      </c>
      <c r="F890" s="9" t="str">
        <f ca="1">IFERROR(__xludf.DUMMYFUNCTION("""https://streamtape.com/v/""&amp;
REGEXEXTRACT(O890,""/thumb/([^/]+)/"")&amp;
""/""&amp;K890"),"https://streamtape.com/v/zM3JZrgwxkcYar0/54539806")</f>
        <v>https://streamtape.com/v/zM3JZrgwxkcYar0/54539806</v>
      </c>
      <c r="G890" s="10" t="e">
        <f t="shared" ca="1" si="13"/>
        <v>#NAME?</v>
      </c>
      <c r="H890" s="11" t="str">
        <f ca="1">IFERROR(__xludf.DUMMYFUNCTION("IFERROR(SUBSTITUTE(SUBSTITUTE(REGEXEXTRACT(A890, ""[^-]+- [^-]+- [^-]+ - (.+?)\.jpg""), "".jpg"", """"), ""-"", "", ""), """")"),"")</f>
        <v/>
      </c>
      <c r="I890" s="6"/>
      <c r="J890" s="7" t="str">
        <f t="shared" ca="1" si="14"/>
        <v>(2026)</v>
      </c>
      <c r="K890" s="7" t="str">
        <f t="shared" si="15"/>
        <v>54539806</v>
      </c>
      <c r="L890" s="12" t="s">
        <v>2200</v>
      </c>
      <c r="M890" s="13" t="str">
        <f ca="1">IFERROR(__xludf.DUMMYFUNCTION("TRIM(
  REGEXREPLACE(
    TEXTJOIN("" "",
      TRUE,
      B890,
      C890,
      embaralharLinks(E890,F890,G890),
      H890,
      """",
      J890,
      N890,
      ""#RIPNSFW""
    ),
  "",\s*"", "" "")
)"),"{New} Jewelz Blu https://streamtape.com/v/zM3JZrgwxkcYar0/54539806 https://doodstream.com/d/1awuhyzax9ki/54539806 https://lulustream.com/d/s57zhaz6ud7p (2026) #milf #bigtits #creampie #bigass #RIPNSFW")</f>
        <v>{New} Jewelz Blu https://streamtape.com/v/zM3JZrgwxkcYar0/54539806 https://doodstream.com/d/1awuhyzax9ki/54539806 https://lulustream.com/d/s57zhaz6ud7p (2026) #milf #bigtits #creampie #bigass #RIPNSFW</v>
      </c>
      <c r="N890" s="2" t="s">
        <v>2200</v>
      </c>
      <c r="O890" s="30" t="s">
        <v>4483</v>
      </c>
      <c r="P890" s="26"/>
      <c r="R890" s="23"/>
    </row>
    <row r="891" spans="1:27" ht="12.75">
      <c r="A891" s="12" t="s">
        <v>4484</v>
      </c>
      <c r="B891" s="6" t="s">
        <v>14</v>
      </c>
      <c r="C891" s="7" t="str">
        <f t="shared" si="12"/>
        <v xml:space="preserve">Jewelz Blu </v>
      </c>
      <c r="D891" s="24" t="s">
        <v>4485</v>
      </c>
      <c r="E891" s="25" t="s">
        <v>4486</v>
      </c>
      <c r="F891" s="9" t="str">
        <f ca="1">IFERROR(__xludf.DUMMYFUNCTION("""https://streamtape.com/v/""&amp;
REGEXEXTRACT(O891,""/thumb/([^/]+)/"")&amp;
""/""&amp;K891"),"https://streamtape.com/v/dpxR2PP2OgckYaR/56129913")</f>
        <v>https://streamtape.com/v/dpxR2PP2OgckYaR/56129913</v>
      </c>
      <c r="G891" s="10" t="e">
        <f t="shared" ca="1" si="13"/>
        <v>#NAME?</v>
      </c>
      <c r="H891" s="11" t="str">
        <f ca="1">IFERROR(__xludf.DUMMYFUNCTION("IFERROR(SUBSTITUTE(SUBSTITUTE(REGEXEXTRACT(A891, ""[^-]+- [^-]+- [^-]+ - (.+?)\.jpg""), "".jpg"", """"), ""-"", "", ""), """")"),"")</f>
        <v/>
      </c>
      <c r="I891" s="6"/>
      <c r="J891" s="7" t="str">
        <f t="shared" ca="1" si="14"/>
        <v>(2026)</v>
      </c>
      <c r="K891" s="7" t="str">
        <f t="shared" si="15"/>
        <v>56129913</v>
      </c>
      <c r="L891" s="12" t="s">
        <v>4487</v>
      </c>
      <c r="M891" s="13" t="str">
        <f ca="1">IFERROR(__xludf.DUMMYFUNCTION("TRIM(
  REGEXREPLACE(
    TEXTJOIN("" "",
      TRUE,
      B891,
      C891,
      embaralharLinks(E891,F891,G891),
      H891,
      """",
      J891,
      N891,
      ""#RIPNSFW""
    ),
  "",\s*"", "" "")
)"),"{New} Jewelz Blu https://lulustream.com/d/2b9ufwo8xb7z https://doodstream.com/d/yo0d19762b02/56129913 https://streamtape.com/v/dpxR2PP2OgckYaR/56129913 (2026) #milf #bigass #bigtits #doggystyle #RIPNSFW")</f>
        <v>{New} Jewelz Blu https://lulustream.com/d/2b9ufwo8xb7z https://doodstream.com/d/yo0d19762b02/56129913 https://streamtape.com/v/dpxR2PP2OgckYaR/56129913 (2026) #milf #bigass #bigtits #doggystyle #RIPNSFW</v>
      </c>
      <c r="N891" s="2" t="s">
        <v>4487</v>
      </c>
      <c r="O891" s="30" t="s">
        <v>4488</v>
      </c>
      <c r="P891" s="26"/>
      <c r="R891" s="23"/>
      <c r="T891" s="6"/>
      <c r="U891" s="7"/>
    </row>
    <row r="892" spans="1:27" ht="12.75">
      <c r="A892" s="6" t="s">
        <v>4489</v>
      </c>
      <c r="B892" s="6" t="s">
        <v>14</v>
      </c>
      <c r="C892" s="7" t="str">
        <f t="shared" si="12"/>
        <v xml:space="preserve">Jewelz Blu </v>
      </c>
      <c r="D892" s="6" t="s">
        <v>4490</v>
      </c>
      <c r="E892" s="8" t="s">
        <v>4491</v>
      </c>
      <c r="F892" s="9" t="str">
        <f ca="1">IFERROR(__xludf.DUMMYFUNCTION("""https://streamtape.com/v/""&amp;
REGEXEXTRACT(O892,""/thumb/([^/]+)/"")&amp;
""/""&amp;K892"),"https://streamtape.com/v/lg8XQpYv1gU7klx/56335032")</f>
        <v>https://streamtape.com/v/lg8XQpYv1gU7klx/56335032</v>
      </c>
      <c r="G892" s="10" t="e">
        <f t="shared" ca="1" si="13"/>
        <v>#NAME?</v>
      </c>
      <c r="H892" s="11" t="str">
        <f ca="1">IFERROR(__xludf.DUMMYFUNCTION("IFERROR(SUBSTITUTE(SUBSTITUTE(REGEXEXTRACT(A892, ""[^-]+- [^-]+- [^-]+ - (.+?)\.jpg""), "".jpg"", """"), ""-"", "", ""), """")"),"")</f>
        <v/>
      </c>
      <c r="I892" s="6"/>
      <c r="J892" s="7" t="str">
        <f t="shared" ca="1" si="14"/>
        <v>(2026)</v>
      </c>
      <c r="K892" s="7" t="str">
        <f t="shared" si="15"/>
        <v>56335032</v>
      </c>
      <c r="L892" s="12" t="s">
        <v>4431</v>
      </c>
      <c r="M892" s="13" t="str">
        <f ca="1">IFERROR(__xludf.DUMMYFUNCTION("TRIM(
  REGEXREPLACE(
    TEXTJOIN("" "",
      TRUE,
      B892,
      C892,
      embaralharLinks(E892,F892,G892),
      H892,
      """",
      J892,
      N892,
      ""#RIPNSFW""
    ),
  "",\s*"", "" "")
)"),"{New} Jewelz Blu https://doodstream.com/d/c8vfye9ynl78/56335032 https://lulustream.com/d/akzdpjnuw9am https://streamtape.com/v/lg8XQpYv1gU7klx/56335032 (2026) #MILF #BigTits #Creampie #Hardcore #RIPNSFW")</f>
        <v>{New} Jewelz Blu https://doodstream.com/d/c8vfye9ynl78/56335032 https://lulustream.com/d/akzdpjnuw9am https://streamtape.com/v/lg8XQpYv1gU7klx/56335032 (2026) #MILF #BigTits #Creampie #Hardcore #RIPNSFW</v>
      </c>
      <c r="N892" s="14" t="s">
        <v>474</v>
      </c>
      <c r="O892" s="15" t="s">
        <v>4492</v>
      </c>
      <c r="P892" s="14"/>
      <c r="Q892" s="6"/>
      <c r="R892" s="11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>
      <c r="A893" s="6" t="s">
        <v>4493</v>
      </c>
      <c r="B893" s="6" t="s">
        <v>14</v>
      </c>
      <c r="C893" s="7" t="str">
        <f t="shared" si="12"/>
        <v xml:space="preserve">Jewelz Blu </v>
      </c>
      <c r="D893" s="29" t="s">
        <v>4494</v>
      </c>
      <c r="E893" s="8" t="s">
        <v>4495</v>
      </c>
      <c r="F893" s="9" t="str">
        <f ca="1">IFERROR(__xludf.DUMMYFUNCTION("""https://streamtape.com/v/""&amp;
REGEXEXTRACT(O893,""/thumb/([^/]+)/"")&amp;
""/""&amp;K893"),"https://streamtape.com/v/p4YJeo84oxTW6y/56464578")</f>
        <v>https://streamtape.com/v/p4YJeo84oxTW6y/56464578</v>
      </c>
      <c r="G893" s="10" t="e">
        <f t="shared" ca="1" si="13"/>
        <v>#NAME?</v>
      </c>
      <c r="H893" s="11" t="str">
        <f ca="1">IFERROR(__xludf.DUMMYFUNCTION("IFERROR(SUBSTITUTE(SUBSTITUTE(REGEXEXTRACT(A893, ""[^-]+- [^-]+- [^-]+ - (.+?)\.jpg""), "".jpg"", """"), ""-"", "", ""), """")"),"")</f>
        <v/>
      </c>
      <c r="I893" s="6"/>
      <c r="J893" s="7" t="str">
        <f t="shared" ca="1" si="14"/>
        <v>(2026)</v>
      </c>
      <c r="K893" s="7" t="str">
        <f t="shared" si="15"/>
        <v>56464578</v>
      </c>
      <c r="L893" s="12" t="s">
        <v>4496</v>
      </c>
      <c r="M893" s="13" t="str">
        <f ca="1">IFERROR(__xludf.DUMMYFUNCTION("TRIM(
  REGEXREPLACE(
    TEXTJOIN("" "",
      TRUE,
      B893,
      C893,
      embaralharLinks(E893,F893,G893),
      H893,
      """",
      J893,
      N893,
      ""#RIPNSFW""
    ),
  "",\s*"", "" "")
)"),"{New} Jewelz Blu https://doodstream.com/d/mweezfbupuo9/56464578 https://lulustream.com/d/8a959zc4bxm1 https://streamtape.com/v/p4YJeo84oxTW6y/56464578 (2026) #MILF #BigTits #Hardcore #Black #RIPNSFW")</f>
        <v>{New} Jewelz Blu https://doodstream.com/d/mweezfbupuo9/56464578 https://lulustream.com/d/8a959zc4bxm1 https://streamtape.com/v/p4YJeo84oxTW6y/56464578 (2026) #MILF #BigTits #Hardcore #Black #RIPNSFW</v>
      </c>
      <c r="N893" s="14" t="s">
        <v>681</v>
      </c>
      <c r="O893" s="32" t="s">
        <v>4497</v>
      </c>
      <c r="P893" s="14"/>
      <c r="Q893" s="6"/>
      <c r="R893" s="11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>
      <c r="A894" s="12" t="s">
        <v>4498</v>
      </c>
      <c r="B894" s="6" t="s">
        <v>14</v>
      </c>
      <c r="C894" s="7" t="str">
        <f t="shared" si="12"/>
        <v xml:space="preserve">Jewelz Blu </v>
      </c>
      <c r="D894" s="27" t="s">
        <v>4499</v>
      </c>
      <c r="E894" s="28" t="s">
        <v>4500</v>
      </c>
      <c r="F894" s="9" t="str">
        <f ca="1">IFERROR(__xludf.DUMMYFUNCTION("""https://streamtape.com/v/""&amp;
REGEXEXTRACT(O894,""/thumb/([^/]+)/"")&amp;
""/""&amp;K894"),"https://streamtape.com/v/A1mZKZgLGJtXy3A/56933664")</f>
        <v>https://streamtape.com/v/A1mZKZgLGJtXy3A/56933664</v>
      </c>
      <c r="G894" s="10" t="e">
        <f t="shared" ca="1" si="13"/>
        <v>#NAME?</v>
      </c>
      <c r="H894" s="11" t="str">
        <f ca="1">IFERROR(__xludf.DUMMYFUNCTION("IFERROR(SUBSTITUTE(SUBSTITUTE(REGEXEXTRACT(A894, ""[^-]+- [^-]+- [^-]+ - (.+?)\.jpg""), "".jpg"", """"), ""-"", "", ""), """")"),"")</f>
        <v/>
      </c>
      <c r="I894" s="6"/>
      <c r="J894" s="7" t="str">
        <f t="shared" ca="1" si="14"/>
        <v>(2026)</v>
      </c>
      <c r="K894" s="7" t="str">
        <f t="shared" si="15"/>
        <v>56933664</v>
      </c>
      <c r="L894" s="12" t="s">
        <v>680</v>
      </c>
      <c r="M894" s="13" t="str">
        <f ca="1">IFERROR(__xludf.DUMMYFUNCTION("TRIM(
  REGEXREPLACE(
    TEXTJOIN("" "",
      TRUE,
      B894,
      C894,
      embaralharLinks(E894,F894,G894),
      H894,
      """",
      J894,
      N894,
      ""#RIPNSFW""
    ),
  "",\s*"", "" "")
)"),"{New} Jewelz Blu https://streamtape.com/v/A1mZKZgLGJtXy3A/56933664 https://lulustream.com/d/56f0o5t5tpp3 https://doodstream.com/d/7c5ezk4p1nzl/56933664 (2026) #MILF #BigTits #Hardcore #Black #RIPNSFW")</f>
        <v>{New} Jewelz Blu https://streamtape.com/v/A1mZKZgLGJtXy3A/56933664 https://lulustream.com/d/56f0o5t5tpp3 https://doodstream.com/d/7c5ezk4p1nzl/56933664 (2026) #MILF #BigTits #Hardcore #Black #RIPNSFW</v>
      </c>
      <c r="N894" s="2" t="s">
        <v>681</v>
      </c>
      <c r="O894" s="30" t="s">
        <v>4501</v>
      </c>
      <c r="P894" s="26"/>
      <c r="R894" s="23"/>
    </row>
    <row r="895" spans="1:27" ht="12.75">
      <c r="A895" s="12" t="s">
        <v>4502</v>
      </c>
      <c r="B895" s="6" t="s">
        <v>14</v>
      </c>
      <c r="C895" s="7" t="str">
        <f t="shared" si="12"/>
        <v xml:space="preserve">Jewelz Blu </v>
      </c>
      <c r="D895" s="24" t="s">
        <v>4503</v>
      </c>
      <c r="E895" s="25" t="s">
        <v>4504</v>
      </c>
      <c r="F895" s="9" t="str">
        <f ca="1">IFERROR(__xludf.DUMMYFUNCTION("""https://streamtape.com/v/""&amp;
REGEXEXTRACT(O895,""/thumb/([^/]+)/"")&amp;
""/""&amp;K895"),"https://streamtape.com/v/A1krXjZJBXH4dj/57450602")</f>
        <v>https://streamtape.com/v/A1krXjZJBXH4dj/57450602</v>
      </c>
      <c r="G895" s="10" t="e">
        <f t="shared" ca="1" si="13"/>
        <v>#NAME?</v>
      </c>
      <c r="H895" s="11" t="str">
        <f ca="1">IFERROR(__xludf.DUMMYFUNCTION("IFERROR(SUBSTITUTE(SUBSTITUTE(REGEXEXTRACT(A895, ""[^-]+- [^-]+- [^-]+ - (.+?)\.jpg""), "".jpg"", """"), ""-"", "", ""), """")"),"")</f>
        <v/>
      </c>
      <c r="I895" s="6"/>
      <c r="J895" s="7" t="str">
        <f t="shared" ca="1" si="14"/>
        <v>(2026)</v>
      </c>
      <c r="K895" s="7" t="str">
        <f t="shared" si="15"/>
        <v>57450602</v>
      </c>
      <c r="L895" s="12" t="s">
        <v>1711</v>
      </c>
      <c r="M895" s="13" t="str">
        <f ca="1">IFERROR(__xludf.DUMMYFUNCTION("TRIM(
  REGEXREPLACE(
    TEXTJOIN("" "",
      TRUE,
      B895,
      C895,
      embaralharLinks(E895,F895,G895),
      H895,
      """",
      J895,
      N895,
      ""#RIPNSFW""
    ),
  "",\s*"", "" "")
)"),"{New} Jewelz Blu https://lulustream.com/d/xzmh6516kp1j https://streamtape.com/v/A1krXjZJBXH4dj/57450602 https://doodstream.com/d/17yy55aiemm7/57450602 (2026) #milf #bigass #bigtits #blowjob #RIPNSFW")</f>
        <v>{New} Jewelz Blu https://lulustream.com/d/xzmh6516kp1j https://streamtape.com/v/A1krXjZJBXH4dj/57450602 https://doodstream.com/d/17yy55aiemm7/57450602 (2026) #milf #bigass #bigtits #blowjob #RIPNSFW</v>
      </c>
      <c r="N895" s="2" t="s">
        <v>1711</v>
      </c>
      <c r="O895" s="30" t="s">
        <v>4505</v>
      </c>
      <c r="P895" s="26"/>
      <c r="R895" s="23"/>
    </row>
    <row r="896" spans="1:27" ht="12.75">
      <c r="A896" s="6" t="s">
        <v>4506</v>
      </c>
      <c r="B896" s="6" t="s">
        <v>14</v>
      </c>
      <c r="C896" s="7" t="str">
        <f t="shared" si="12"/>
        <v xml:space="preserve">Jewelz Blu </v>
      </c>
      <c r="D896" s="6" t="s">
        <v>4507</v>
      </c>
      <c r="E896" s="8" t="s">
        <v>4508</v>
      </c>
      <c r="F896" s="9" t="str">
        <f ca="1">IFERROR(__xludf.DUMMYFUNCTION("""https://streamtape.com/v/""&amp;
REGEXEXTRACT(O896,""/thumb/([^/]+)/"")&amp;
""/""&amp;K896"),"https://streamtape.com/v/kLvJyQDDoZUOzlp/57592298")</f>
        <v>https://streamtape.com/v/kLvJyQDDoZUOzlp/57592298</v>
      </c>
      <c r="G896" s="10" t="e">
        <f t="shared" ca="1" si="13"/>
        <v>#NAME?</v>
      </c>
      <c r="H896" s="11" t="str">
        <f ca="1">IFERROR(__xludf.DUMMYFUNCTION("IFERROR(SUBSTITUTE(SUBSTITUTE(REGEXEXTRACT(A896, ""[^-]+- [^-]+- [^-]+ - (.+?)\.jpg""), "".jpg"", """"), ""-"", "", ""), """")"),"")</f>
        <v/>
      </c>
      <c r="I896" s="6"/>
      <c r="J896" s="7" t="str">
        <f t="shared" ca="1" si="14"/>
        <v>(2026)</v>
      </c>
      <c r="K896" s="7" t="str">
        <f t="shared" si="15"/>
        <v>57592298</v>
      </c>
      <c r="L896" s="12" t="s">
        <v>4431</v>
      </c>
      <c r="M896" s="13" t="str">
        <f ca="1">IFERROR(__xludf.DUMMYFUNCTION("TRIM(
  REGEXREPLACE(
    TEXTJOIN("" "",
      TRUE,
      B896,
      C896,
      embaralharLinks(E896,F896,G896),
      H896,
      """",
      J896,
      N896,
      ""#RIPNSFW""
    ),
  "",\s*"", "" "")
)"),"{New} Jewelz Blu https://streamtape.com/v/kLvJyQDDoZUOzlp/57592298 https://doodstream.com/d/j3ah11o031aj/57592298 https://lulustream.com/d/7z28297k5omt (2026) #MILF #BigTits #Creampie #Hardcore #Bigass #RIPNSFW")</f>
        <v>{New} Jewelz Blu https://streamtape.com/v/kLvJyQDDoZUOzlp/57592298 https://doodstream.com/d/j3ah11o031aj/57592298 https://lulustream.com/d/7z28297k5omt (2026) #MILF #BigTits #Creampie #Hardcore #Bigass #RIPNSFW</v>
      </c>
      <c r="N896" s="14" t="s">
        <v>1436</v>
      </c>
      <c r="O896" s="15" t="s">
        <v>4509</v>
      </c>
      <c r="P896" s="14"/>
      <c r="Q896" s="6"/>
      <c r="R896" s="11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>
      <c r="A897" s="6" t="s">
        <v>4510</v>
      </c>
      <c r="B897" s="6" t="s">
        <v>14</v>
      </c>
      <c r="C897" s="7" t="str">
        <f t="shared" si="12"/>
        <v xml:space="preserve">Jewelz Blu </v>
      </c>
      <c r="D897" s="29" t="s">
        <v>4511</v>
      </c>
      <c r="E897" s="8" t="s">
        <v>4512</v>
      </c>
      <c r="F897" s="9" t="str">
        <f ca="1">IFERROR(__xludf.DUMMYFUNCTION("""https://streamtape.com/v/""&amp;
REGEXEXTRACT(O897,""/thumb/([^/]+)/"")&amp;
""/""&amp;K897"),"https://streamtape.com/v/Aq9yrZRW2qsmm1/58378785")</f>
        <v>https://streamtape.com/v/Aq9yrZRW2qsmm1/58378785</v>
      </c>
      <c r="G897" s="10" t="e">
        <f t="shared" ca="1" si="13"/>
        <v>#NAME?</v>
      </c>
      <c r="H897" s="11" t="str">
        <f ca="1">IFERROR(__xludf.DUMMYFUNCTION("IFERROR(SUBSTITUTE(SUBSTITUTE(REGEXEXTRACT(A897, ""[^-]+- [^-]+- [^-]+ - (.+?)\.jpg""), "".jpg"", """"), ""-"", "", ""), """")"),"")</f>
        <v/>
      </c>
      <c r="I897" s="6"/>
      <c r="J897" s="7" t="str">
        <f t="shared" ca="1" si="14"/>
        <v>(2026)</v>
      </c>
      <c r="K897" s="7" t="str">
        <f t="shared" si="15"/>
        <v>58378785</v>
      </c>
      <c r="L897" s="12" t="s">
        <v>4513</v>
      </c>
      <c r="M897" s="13" t="str">
        <f ca="1">IFERROR(__xludf.DUMMYFUNCTION("TRIM(
  REGEXREPLACE(
    TEXTJOIN("" "",
      TRUE,
      B897,
      C897,
      embaralharLinks(E897,F897,G897),
      H897,
      """",
      J897,
      N897,
      ""#RIPNSFW""
    ),
  "",\s*"", "" "")
)"),"{New} Jewelz Blu https://doodstream.com/d/1hcchzv94df9/58378785 https://lulustream.com/d/c08v66120ih4 https://streamtape.com/v/Aq9yrZRW2qsmm1/58378785 (2026) #Anal #BigTits #Hardcore #Bigass #Teen #Artporn #Blowjob #RIPNSFW")</f>
        <v>{New} Jewelz Blu https://doodstream.com/d/1hcchzv94df9/58378785 https://lulustream.com/d/c08v66120ih4 https://streamtape.com/v/Aq9yrZRW2qsmm1/58378785 (2026) #Anal #BigTits #Hardcore #Bigass #Teen #Artporn #Blowjob #RIPNSFW</v>
      </c>
      <c r="N897" s="14" t="s">
        <v>4514</v>
      </c>
      <c r="O897" s="32" t="s">
        <v>4515</v>
      </c>
      <c r="P897" s="14"/>
      <c r="Q897" s="6"/>
      <c r="R897" s="11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>
      <c r="A898" s="12" t="s">
        <v>4516</v>
      </c>
      <c r="B898" s="6" t="s">
        <v>14</v>
      </c>
      <c r="C898" s="7" t="str">
        <f t="shared" si="12"/>
        <v xml:space="preserve">Jewelz Blu </v>
      </c>
      <c r="D898" s="24" t="s">
        <v>4517</v>
      </c>
      <c r="E898" s="25" t="s">
        <v>4518</v>
      </c>
      <c r="F898" s="9" t="str">
        <f ca="1">IFERROR(__xludf.DUMMYFUNCTION("""https://streamtape.com/v/""&amp;
REGEXEXTRACT(O898,""/thumb/([^/]+)/"")&amp;
""/""&amp;K898"),"https://streamtape.com/v/bRMgdRlZXbhP9Dw/59133561")</f>
        <v>https://streamtape.com/v/bRMgdRlZXbhP9Dw/59133561</v>
      </c>
      <c r="G898" s="10" t="e">
        <f t="shared" ca="1" si="13"/>
        <v>#NAME?</v>
      </c>
      <c r="H898" s="11" t="str">
        <f ca="1">IFERROR(__xludf.DUMMYFUNCTION("IFERROR(SUBSTITUTE(SUBSTITUTE(REGEXEXTRACT(A898, ""[^-]+- [^-]+- [^-]+ - (.+?)\.jpg""), "".jpg"", """"), ""-"", "", ""), """")"),"")</f>
        <v/>
      </c>
      <c r="I898" s="6"/>
      <c r="J898" s="7" t="str">
        <f t="shared" ca="1" si="14"/>
        <v>(2026)</v>
      </c>
      <c r="K898" s="7" t="str">
        <f t="shared" si="15"/>
        <v>59133561</v>
      </c>
      <c r="L898" s="12" t="s">
        <v>1462</v>
      </c>
      <c r="M898" s="13" t="str">
        <f ca="1">IFERROR(__xludf.DUMMYFUNCTION("TRIM(
  REGEXREPLACE(
    TEXTJOIN("" "",
      TRUE,
      B898,
      C898,
      embaralharLinks(E898,F898,G898),
      H898,
      """",
      J898,
      N898,
      ""#RIPNSFW""
    ),
  "",\s*"", "" "")
)"),"{New} Jewelz Blu https://streamtape.com/v/bRMgdRlZXbhP9Dw/59133561 https://lulustream.com/d/59fjfonxzav7 https://doodstream.com/d/tmxlhqp362zb/59133561 (2026) #milf #bigtits #bigass #blowjob #RIPNSFW")</f>
        <v>{New} Jewelz Blu https://streamtape.com/v/bRMgdRlZXbhP9Dw/59133561 https://lulustream.com/d/59fjfonxzav7 https://doodstream.com/d/tmxlhqp362zb/59133561 (2026) #milf #bigtits #bigass #blowjob #RIPNSFW</v>
      </c>
      <c r="N898" s="2" t="s">
        <v>1462</v>
      </c>
      <c r="O898" s="30" t="s">
        <v>4519</v>
      </c>
      <c r="P898" s="26"/>
      <c r="R898" s="23"/>
    </row>
    <row r="899" spans="1:27" ht="12.75">
      <c r="A899" s="6" t="s">
        <v>4520</v>
      </c>
      <c r="B899" s="6" t="s">
        <v>14</v>
      </c>
      <c r="C899" s="7" t="str">
        <f t="shared" si="12"/>
        <v xml:space="preserve">Jewelz Blu </v>
      </c>
      <c r="D899" s="6" t="s">
        <v>4521</v>
      </c>
      <c r="E899" s="8" t="s">
        <v>4522</v>
      </c>
      <c r="F899" s="9" t="str">
        <f ca="1">IFERROR(__xludf.DUMMYFUNCTION("""https://streamtape.com/v/""&amp;
REGEXEXTRACT(O899,""/thumb/([^/]+)/"")&amp;
""/""&amp;K899"),"https://streamtape.com/v/1Oo3z7zXq3ieOJ6/59999160")</f>
        <v>https://streamtape.com/v/1Oo3z7zXq3ieOJ6/59999160</v>
      </c>
      <c r="G899" s="10" t="e">
        <f t="shared" ca="1" si="13"/>
        <v>#NAME?</v>
      </c>
      <c r="H899" s="11" t="str">
        <f ca="1">IFERROR(__xludf.DUMMYFUNCTION("IFERROR(SUBSTITUTE(SUBSTITUTE(REGEXEXTRACT(A899, ""[^-]+- [^-]+- [^-]+ - (.+?)\.jpg""), "".jpg"", """"), ""-"", "", ""), """")"),"Catherine Knight")</f>
        <v>Catherine Knight</v>
      </c>
      <c r="I899" s="6"/>
      <c r="J899" s="7" t="str">
        <f t="shared" ca="1" si="14"/>
        <v>(2026)</v>
      </c>
      <c r="K899" s="7" t="str">
        <f t="shared" si="15"/>
        <v>59999160</v>
      </c>
      <c r="L899" s="12" t="s">
        <v>838</v>
      </c>
      <c r="M899" s="13" t="str">
        <f ca="1">IFERROR(__xludf.DUMMYFUNCTION("TRIM(
  REGEXREPLACE(
    TEXTJOIN("" "",
      TRUE,
      B899,
      C899,
      embaralharLinks(E899,F899,G899),
      H899,
      """",
      J899,
      N899,
      ""#RIPNSFW""
    ),
  "",\s*"", "" "")
)"),"{New} Jewelz Blu https://lulustream.com/d/qmlumtlhky2k https://doodstream.com/d/80eu0r3p8iuk/59999160 https://streamtape.com/v/1Oo3z7zXq3ieOJ6/59999160 Catherine Knight (2026) #MILF #BigTits #Hardcore #Threesome #Bigass #RIPNSFW")</f>
        <v>{New} Jewelz Blu https://lulustream.com/d/qmlumtlhky2k https://doodstream.com/d/80eu0r3p8iuk/59999160 https://streamtape.com/v/1Oo3z7zXq3ieOJ6/59999160 Catherine Knight (2026) #MILF #BigTits #Hardcore #Threesome #Bigass #RIPNSFW</v>
      </c>
      <c r="N899" s="14" t="s">
        <v>1706</v>
      </c>
      <c r="O899" s="15" t="s">
        <v>4523</v>
      </c>
      <c r="P899" s="14"/>
      <c r="Q899" s="6"/>
      <c r="R899" s="11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>
      <c r="A900" s="12" t="s">
        <v>4524</v>
      </c>
      <c r="B900" s="6" t="s">
        <v>14</v>
      </c>
      <c r="C900" s="7" t="str">
        <f t="shared" si="12"/>
        <v xml:space="preserve">Jewelz Blu </v>
      </c>
      <c r="D900" s="27" t="s">
        <v>4525</v>
      </c>
      <c r="E900" s="28" t="s">
        <v>4526</v>
      </c>
      <c r="F900" s="9" t="str">
        <f ca="1">IFERROR(__xludf.DUMMYFUNCTION("""https://streamtape.com/v/""&amp;
REGEXEXTRACT(O900,""/thumb/([^/]+)/"")&amp;
""/""&amp;K900"),"https://streamtape.com/v/0BpOblY4lzubdWV/65838320")</f>
        <v>https://streamtape.com/v/0BpOblY4lzubdWV/65838320</v>
      </c>
      <c r="G900" s="10" t="e">
        <f t="shared" ca="1" si="13"/>
        <v>#NAME?</v>
      </c>
      <c r="H900" s="11" t="str">
        <f ca="1">IFERROR(__xludf.DUMMYFUNCTION("IFERROR(SUBSTITUTE(SUBSTITUTE(REGEXEXTRACT(A900, ""[^-]+- [^-]+- [^-]+ - (.+?)\.jpg""), "".jpg"", """"), ""-"", "", ""), """")"),"")</f>
        <v/>
      </c>
      <c r="I900" s="6"/>
      <c r="J900" s="7" t="str">
        <f t="shared" ca="1" si="14"/>
        <v>(2026)</v>
      </c>
      <c r="K900" s="7" t="str">
        <f t="shared" si="15"/>
        <v>65838320</v>
      </c>
      <c r="L900" s="12" t="s">
        <v>4527</v>
      </c>
      <c r="M900" s="13" t="str">
        <f ca="1">IFERROR(__xludf.DUMMYFUNCTION("TRIM(
  REGEXREPLACE(
    TEXTJOIN("" "",
      TRUE,
      B900,
      C900,
      embaralharLinks(E900,F900,G900),
      H900,
      """",
      J900,
      N900,
      ""#RIPNSFW""
    ),
  "",\s*"", "" "")
)"),"{New} Jewelz Blu https://doodstream.com/d/hvln2fpes6j3/65838320 https://streamtape.com/v/0BpOblY4lzubdWV/65838320 https://lulustream.com/d/4x3sqhyjbo7p (2026) #MILF #BigTits #Creampie #Hardcore #RIPNSFW")</f>
        <v>{New} Jewelz Blu https://doodstream.com/d/hvln2fpes6j3/65838320 https://streamtape.com/v/0BpOblY4lzubdWV/65838320 https://lulustream.com/d/4x3sqhyjbo7p (2026) #MILF #BigTits #Creampie #Hardcore #RIPNSFW</v>
      </c>
      <c r="N900" s="2" t="s">
        <v>474</v>
      </c>
      <c r="O900" s="30" t="s">
        <v>4528</v>
      </c>
      <c r="P900" s="26"/>
      <c r="R900" s="23"/>
    </row>
    <row r="901" spans="1:27" ht="12.75">
      <c r="A901" s="12" t="s">
        <v>4529</v>
      </c>
      <c r="B901" s="6" t="s">
        <v>14</v>
      </c>
      <c r="C901" s="7" t="str">
        <f t="shared" si="12"/>
        <v xml:space="preserve">Jewelz Blu </v>
      </c>
      <c r="D901" s="24" t="s">
        <v>4530</v>
      </c>
      <c r="E901" s="25" t="s">
        <v>4531</v>
      </c>
      <c r="F901" s="9" t="str">
        <f ca="1">IFERROR(__xludf.DUMMYFUNCTION("""https://streamtape.com/v/""&amp;
REGEXEXTRACT(O901,""/thumb/([^/]+)/"")&amp;
""/""&amp;K901"),"https://streamtape.com/v/XW74pZObA7FD8rB/66365849")</f>
        <v>https://streamtape.com/v/XW74pZObA7FD8rB/66365849</v>
      </c>
      <c r="G901" s="10" t="e">
        <f t="shared" ca="1" si="13"/>
        <v>#NAME?</v>
      </c>
      <c r="H901" s="11" t="str">
        <f ca="1">IFERROR(__xludf.DUMMYFUNCTION("IFERROR(SUBSTITUTE(SUBSTITUTE(REGEXEXTRACT(A901, ""[^-]+- [^-]+- [^-]+ - (.+?)\.jpg""), "".jpg"", """"), ""-"", "", ""), """")"),"")</f>
        <v/>
      </c>
      <c r="I901" s="6"/>
      <c r="J901" s="7" t="str">
        <f t="shared" ca="1" si="14"/>
        <v>(2026)</v>
      </c>
      <c r="K901" s="7" t="str">
        <f t="shared" si="15"/>
        <v>66365849</v>
      </c>
      <c r="L901" s="12" t="s">
        <v>4532</v>
      </c>
      <c r="M901" s="13" t="str">
        <f ca="1">IFERROR(__xludf.DUMMYFUNCTION("TRIM(
  REGEXREPLACE(
    TEXTJOIN("" "",
      TRUE,
      B901,
      C901,
      embaralharLinks(E901,F901,G901),
      H901,
      """",
      J901,
      N901,
      ""#RIPNSFW""
    ),
  "",\s*"", "" "")
)"),"{New} Jewelz Blu https://doodstream.com/d/315cluyoefa4/66365849 https://lulustream.com/d/ep0c6abxp40a https://streamtape.com/v/XW74pZObA7FD8rB/66365849 (2026) #doublepenetration #anal #bigtits #milf #RIPNSFW")</f>
        <v>{New} Jewelz Blu https://doodstream.com/d/315cluyoefa4/66365849 https://lulustream.com/d/ep0c6abxp40a https://streamtape.com/v/XW74pZObA7FD8rB/66365849 (2026) #doublepenetration #anal #bigtits #milf #RIPNSFW</v>
      </c>
      <c r="N901" s="2" t="s">
        <v>4532</v>
      </c>
      <c r="O901" s="30" t="s">
        <v>4533</v>
      </c>
      <c r="P901" s="26"/>
      <c r="R901" s="23"/>
    </row>
    <row r="902" spans="1:27" ht="12.75">
      <c r="A902" s="12" t="s">
        <v>4534</v>
      </c>
      <c r="B902" s="6" t="s">
        <v>14</v>
      </c>
      <c r="C902" s="7" t="str">
        <f t="shared" si="12"/>
        <v xml:space="preserve">Jewelz Blu </v>
      </c>
      <c r="D902" s="36" t="s">
        <v>4535</v>
      </c>
      <c r="E902" s="25" t="s">
        <v>4536</v>
      </c>
      <c r="F902" s="9" t="str">
        <f ca="1">IFERROR(__xludf.DUMMYFUNCTION("""https://streamtape.com/v/""&amp;
REGEXEXTRACT(O902,""/thumb/([^/]+)/"")&amp;
""/""&amp;K902"),"https://streamtape.com/v/O1PQmpmA31SZ4YO/66368610")</f>
        <v>https://streamtape.com/v/O1PQmpmA31SZ4YO/66368610</v>
      </c>
      <c r="G902" s="10" t="e">
        <f t="shared" ca="1" si="13"/>
        <v>#NAME?</v>
      </c>
      <c r="H902" s="11" t="str">
        <f ca="1">IFERROR(__xludf.DUMMYFUNCTION("IFERROR(SUBSTITUTE(SUBSTITUTE(REGEXEXTRACT(A902, ""[^-]+- [^-]+- [^-]+ - (.+?)\.jpg""), "".jpg"", """"), ""-"", "", ""), """")"),"")</f>
        <v/>
      </c>
      <c r="I902" s="6"/>
      <c r="J902" s="7" t="str">
        <f t="shared" ca="1" si="14"/>
        <v>(2026)</v>
      </c>
      <c r="K902" s="7" t="str">
        <f t="shared" si="15"/>
        <v>66368610</v>
      </c>
      <c r="L902" s="12" t="s">
        <v>4341</v>
      </c>
      <c r="M902" s="13" t="str">
        <f ca="1">IFERROR(__xludf.DUMMYFUNCTION("TRIM(
  REGEXREPLACE(
    TEXTJOIN("" "",
      TRUE,
      B902,
      C902,
      embaralharLinks(E902,F902,G902),
      H902,
      """",
      J902,
      N902,
      ""#RIPNSFW""
    ),
  "",\s*"", "" "")
)"),"{New} Jewelz Blu https://doodstream.com/d/t72ds542b50g/66368610 https://streamtape.com/v/O1PQmpmA31SZ4YO/66368610 https://lulustream.com/d/q6q19pni0pxp (2026) #MILF #BigTits #Hardcore #Black #Interracial #RIPNSFW")</f>
        <v>{New} Jewelz Blu https://doodstream.com/d/t72ds542b50g/66368610 https://streamtape.com/v/O1PQmpmA31SZ4YO/66368610 https://lulustream.com/d/q6q19pni0pxp (2026) #MILF #BigTits #Hardcore #Black #Interracial #RIPNSFW</v>
      </c>
      <c r="N902" s="2" t="s">
        <v>770</v>
      </c>
      <c r="O902" s="21" t="s">
        <v>4537</v>
      </c>
      <c r="P902" s="26"/>
      <c r="R902" s="23"/>
    </row>
    <row r="903" spans="1:27" ht="12.75">
      <c r="A903" s="12" t="s">
        <v>4538</v>
      </c>
      <c r="B903" s="6" t="s">
        <v>14</v>
      </c>
      <c r="C903" s="7" t="str">
        <f t="shared" si="12"/>
        <v xml:space="preserve">Jewelz Blu </v>
      </c>
      <c r="D903" s="24" t="s">
        <v>4539</v>
      </c>
      <c r="E903" s="25" t="s">
        <v>4540</v>
      </c>
      <c r="F903" s="9" t="str">
        <f ca="1">IFERROR(__xludf.DUMMYFUNCTION("""https://streamtape.com/v/""&amp;
REGEXEXTRACT(O903,""/thumb/([^/]+)/"")&amp;
""/""&amp;K903"),"https://streamtape.com/v/9eB191rGwrUaXrp/68292768")</f>
        <v>https://streamtape.com/v/9eB191rGwrUaXrp/68292768</v>
      </c>
      <c r="G903" s="10" t="e">
        <f t="shared" ca="1" si="13"/>
        <v>#NAME?</v>
      </c>
      <c r="H903" s="11" t="str">
        <f ca="1">IFERROR(__xludf.DUMMYFUNCTION("IFERROR(SUBSTITUTE(SUBSTITUTE(REGEXEXTRACT(A903, ""[^-]+- [^-]+- [^-]+ - (.+?)\.jpg""), "".jpg"", """"), ""-"", "", ""), """")"),"")</f>
        <v/>
      </c>
      <c r="I903" s="6"/>
      <c r="J903" s="7" t="str">
        <f t="shared" ca="1" si="14"/>
        <v>(2026)</v>
      </c>
      <c r="K903" s="7" t="str">
        <f t="shared" si="15"/>
        <v>68292768</v>
      </c>
      <c r="L903" s="12" t="s">
        <v>1711</v>
      </c>
      <c r="M903" s="13" t="str">
        <f ca="1">IFERROR(__xludf.DUMMYFUNCTION("TRIM(
  REGEXREPLACE(
    TEXTJOIN("" "",
      TRUE,
      B903,
      C903,
      embaralharLinks(E903,F903,G903),
      H903,
      """",
      J903,
      N903,
      ""#RIPNSFW""
    ),
  "",\s*"", "" "")
)"),"{New} Jewelz Blu https://doodstream.com/d/x0cfbqvyxh4u/68292768 https://streamtape.com/v/9eB191rGwrUaXrp/68292768 https://lulustream.com/d/kx4rj1qziqco (2026) #milf #bigass #bigtits #blowjob #RIPNSFW")</f>
        <v>{New} Jewelz Blu https://doodstream.com/d/x0cfbqvyxh4u/68292768 https://streamtape.com/v/9eB191rGwrUaXrp/68292768 https://lulustream.com/d/kx4rj1qziqco (2026) #milf #bigass #bigtits #blowjob #RIPNSFW</v>
      </c>
      <c r="N903" s="2" t="s">
        <v>1711</v>
      </c>
      <c r="O903" s="30" t="s">
        <v>4541</v>
      </c>
      <c r="P903" s="26"/>
      <c r="R903" s="23"/>
    </row>
    <row r="904" spans="1:27" ht="12.75">
      <c r="A904" s="6" t="s">
        <v>4542</v>
      </c>
      <c r="B904" s="6" t="s">
        <v>14</v>
      </c>
      <c r="C904" s="7" t="str">
        <f t="shared" si="12"/>
        <v xml:space="preserve">Jewelz Blu </v>
      </c>
      <c r="D904" s="6" t="s">
        <v>4543</v>
      </c>
      <c r="E904" s="8" t="s">
        <v>4544</v>
      </c>
      <c r="F904" s="9" t="str">
        <f ca="1">IFERROR(__xludf.DUMMYFUNCTION("""https://streamtape.com/v/""&amp;
REGEXEXTRACT(O904,""/thumb/([^/]+)/"")&amp;
""/""&amp;K904"),"https://streamtape.com/v/46336o6jaRtKDXv/68434400")</f>
        <v>https://streamtape.com/v/46336o6jaRtKDXv/68434400</v>
      </c>
      <c r="G904" s="10" t="e">
        <f t="shared" ca="1" si="13"/>
        <v>#NAME?</v>
      </c>
      <c r="H904" s="11" t="str">
        <f ca="1">IFERROR(__xludf.DUMMYFUNCTION("IFERROR(SUBSTITUTE(SUBSTITUTE(REGEXEXTRACT(A904, ""[^-]+- [^-]+- [^-]+ - (.+?)\.jpg""), "".jpg"", """"), ""-"", "", ""), """")"),"")</f>
        <v/>
      </c>
      <c r="I904" s="6"/>
      <c r="J904" s="7" t="str">
        <f t="shared" ca="1" si="14"/>
        <v>(2026)</v>
      </c>
      <c r="K904" s="7" t="str">
        <f t="shared" si="15"/>
        <v>68434400</v>
      </c>
      <c r="L904" s="12" t="s">
        <v>4545</v>
      </c>
      <c r="M904" s="13" t="str">
        <f ca="1">IFERROR(__xludf.DUMMYFUNCTION("TRIM(
  REGEXREPLACE(
    TEXTJOIN("" "",
      TRUE,
      B904,
      C904,
      embaralharLinks(E904,F904,G904),
      H904,
      """",
      J904,
      N904,
      ""#RIPNSFW""
    ),
  "",\s*"", "" "")
)"),"{New} Jewelz Blu https://lulustream.com/d/in5ghjkfy0a7 https://streamtape.com/v/46336o6jaRtKDXv/68434400 https://doodstream.com/d/g1xc9kybxwjo/68434400 (2026) #MILF #BigTits #Hardcore #Bigass #RIPNSFW")</f>
        <v>{New} Jewelz Blu https://lulustream.com/d/in5ghjkfy0a7 https://streamtape.com/v/46336o6jaRtKDXv/68434400 https://doodstream.com/d/g1xc9kybxwjo/68434400 (2026) #MILF #BigTits #Hardcore #Bigass #RIPNSFW</v>
      </c>
      <c r="N904" s="14" t="s">
        <v>128</v>
      </c>
      <c r="O904" s="15" t="s">
        <v>4546</v>
      </c>
      <c r="P904" s="14"/>
      <c r="Q904" s="6"/>
      <c r="R904" s="11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>
      <c r="A905" s="6" t="s">
        <v>4547</v>
      </c>
      <c r="B905" s="6" t="s">
        <v>14</v>
      </c>
      <c r="C905" s="7" t="str">
        <f t="shared" si="12"/>
        <v xml:space="preserve">Jewelz Blu </v>
      </c>
      <c r="D905" s="6" t="s">
        <v>4548</v>
      </c>
      <c r="E905" s="8" t="s">
        <v>4549</v>
      </c>
      <c r="F905" s="9" t="str">
        <f ca="1">IFERROR(__xludf.DUMMYFUNCTION("""https://streamtape.com/v/""&amp;
REGEXEXTRACT(O905,""/thumb/([^/]+)/"")&amp;
""/""&amp;K905"),"https://streamtape.com/v/Vmel4AGzJruKlrP/68644221")</f>
        <v>https://streamtape.com/v/Vmel4AGzJruKlrP/68644221</v>
      </c>
      <c r="G905" s="10" t="e">
        <f t="shared" ca="1" si="13"/>
        <v>#NAME?</v>
      </c>
      <c r="H905" s="11" t="str">
        <f ca="1">IFERROR(__xludf.DUMMYFUNCTION("IFERROR(SUBSTITUTE(SUBSTITUTE(REGEXEXTRACT(A905, ""[^-]+- [^-]+- [^-]+ - (.+?)\.jpg""), "".jpg"", """"), ""-"", "", ""), """")"),"")</f>
        <v/>
      </c>
      <c r="I905" s="6"/>
      <c r="J905" s="7" t="str">
        <f t="shared" ca="1" si="14"/>
        <v>(2026)</v>
      </c>
      <c r="K905" s="7" t="str">
        <f t="shared" si="15"/>
        <v>68644221</v>
      </c>
      <c r="L905" s="12" t="s">
        <v>4431</v>
      </c>
      <c r="M905" s="13" t="str">
        <f ca="1">IFERROR(__xludf.DUMMYFUNCTION("TRIM(
  REGEXREPLACE(
    TEXTJOIN("" "",
      TRUE,
      B905,
      C905,
      embaralharLinks(E905,F905,G905),
      H905,
      """",
      J905,
      N905,
      ""#RIPNSFW""
    ),
  "",\s*"", "" "")
)"),"{New} Jewelz Blu https://lulustream.com/d/vgpksriddpyd https://streamtape.com/v/Vmel4AGzJruKlrP/68644221 https://doodstream.com/d/kyicgtel1l3p/68644221 (2026) #MILF #BigTits #Creampie #Hardcore #Bigass #RIPNSFW")</f>
        <v>{New} Jewelz Blu https://lulustream.com/d/vgpksriddpyd https://streamtape.com/v/Vmel4AGzJruKlrP/68644221 https://doodstream.com/d/kyicgtel1l3p/68644221 (2026) #MILF #BigTits #Creampie #Hardcore #Bigass #RIPNSFW</v>
      </c>
      <c r="N905" s="14" t="s">
        <v>1436</v>
      </c>
      <c r="O905" s="15" t="s">
        <v>4550</v>
      </c>
      <c r="P905" s="14"/>
      <c r="Q905" s="6"/>
      <c r="R905" s="11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>
      <c r="A906" s="12" t="s">
        <v>4551</v>
      </c>
      <c r="B906" s="6" t="s">
        <v>14</v>
      </c>
      <c r="C906" s="7" t="str">
        <f t="shared" si="12"/>
        <v xml:space="preserve">Jewelz Blu </v>
      </c>
      <c r="D906" s="24" t="s">
        <v>4552</v>
      </c>
      <c r="E906" s="25" t="s">
        <v>4553</v>
      </c>
      <c r="F906" s="9" t="str">
        <f ca="1">IFERROR(__xludf.DUMMYFUNCTION("""https://streamtape.com/v/""&amp;
REGEXEXTRACT(O906,""/thumb/([^/]+)/"")&amp;
""/""&amp;K906"),"https://streamtape.com/v/9v0Qy326KvuOKD/71833873")</f>
        <v>https://streamtape.com/v/9v0Qy326KvuOKD/71833873</v>
      </c>
      <c r="G906" s="10" t="e">
        <f t="shared" ca="1" si="13"/>
        <v>#NAME?</v>
      </c>
      <c r="H906" s="11" t="str">
        <f ca="1">IFERROR(__xludf.DUMMYFUNCTION("IFERROR(SUBSTITUTE(SUBSTITUTE(REGEXEXTRACT(A906, ""[^-]+- [^-]+- [^-]+ - (.+?)\.jpg""), "".jpg"", """"), ""-"", "", ""), """")"),"")</f>
        <v/>
      </c>
      <c r="I906" s="6"/>
      <c r="J906" s="7" t="str">
        <f t="shared" ca="1" si="14"/>
        <v>(2026)</v>
      </c>
      <c r="K906" s="7" t="str">
        <f t="shared" si="15"/>
        <v>71833873</v>
      </c>
      <c r="L906" s="12" t="s">
        <v>4175</v>
      </c>
      <c r="M906" s="13" t="str">
        <f ca="1">IFERROR(__xludf.DUMMYFUNCTION("TRIM(
  REGEXREPLACE(
    TEXTJOIN("" "",
      TRUE,
      B906,
      C906,
      embaralharLinks(E906,F906,G906),
      H906,
      """",
      J906,
      N906,
      ""#RIPNSFW""
    ),
  "",\s*"", "" "")
)"),"{New} Jewelz Blu https://streamtape.com/v/9v0Qy326KvuOKD/71833873 https://doodstream.com/d/v5ht1sjpj9bd/71833873 https://lulustream.com/d/uozcitoor2k5 (2026) #milf #anal #bigtits #bigass #RIPNSFW")</f>
        <v>{New} Jewelz Blu https://streamtape.com/v/9v0Qy326KvuOKD/71833873 https://doodstream.com/d/v5ht1sjpj9bd/71833873 https://lulustream.com/d/uozcitoor2k5 (2026) #milf #anal #bigtits #bigass #RIPNSFW</v>
      </c>
      <c r="N906" s="2" t="s">
        <v>4175</v>
      </c>
      <c r="O906" s="30" t="s">
        <v>4554</v>
      </c>
      <c r="P906" s="26"/>
      <c r="R906" s="23"/>
    </row>
    <row r="907" spans="1:27" ht="12.75">
      <c r="A907" s="6" t="s">
        <v>4555</v>
      </c>
      <c r="B907" s="6" t="s">
        <v>14</v>
      </c>
      <c r="C907" s="7" t="str">
        <f t="shared" si="12"/>
        <v xml:space="preserve">Jewelz Blu </v>
      </c>
      <c r="D907" s="6" t="s">
        <v>4556</v>
      </c>
      <c r="E907" s="8" t="s">
        <v>4557</v>
      </c>
      <c r="F907" s="9" t="str">
        <f ca="1">IFERROR(__xludf.DUMMYFUNCTION("""https://streamtape.com/v/""&amp;
REGEXEXTRACT(O907,""/thumb/([^/]+)/"")&amp;
""/""&amp;K907"),"https://streamtape.com/v/AQjlQOaYj8F4Ll/75107883")</f>
        <v>https://streamtape.com/v/AQjlQOaYj8F4Ll/75107883</v>
      </c>
      <c r="G907" s="10" t="e">
        <f t="shared" ca="1" si="13"/>
        <v>#NAME?</v>
      </c>
      <c r="H907" s="11" t="str">
        <f ca="1">IFERROR(__xludf.DUMMYFUNCTION("IFERROR(SUBSTITUTE(SUBSTITUTE(REGEXEXTRACT(A907, ""[^-]+- [^-]+- [^-]+ - (.+?)\.jpg""), "".jpg"", """"), ""-"", "", ""), """")"),"")</f>
        <v/>
      </c>
      <c r="I907" s="6"/>
      <c r="J907" s="7" t="str">
        <f t="shared" ca="1" si="14"/>
        <v>(2026)</v>
      </c>
      <c r="K907" s="7" t="str">
        <f t="shared" si="15"/>
        <v>75107883</v>
      </c>
      <c r="L907" s="12" t="s">
        <v>4293</v>
      </c>
      <c r="M907" s="13" t="str">
        <f ca="1">IFERROR(__xludf.DUMMYFUNCTION("TRIM(
  REGEXREPLACE(
    TEXTJOIN("" "",
      TRUE,
      B907,
      C907,
      embaralharLinks(E907,F907,G907),
      H907,
      """",
      J907,
      N907,
      ""#RIPNSFW""
    ),
  "",\s*"", "" "")
)"),"{New} Jewelz Blu https://doodstream.com/d/vipugvzqzyk1/75107883 https://lulustream.com/d/obrlgzv2zd8w https://streamtape.com/v/AQjlQOaYj8F4Ll/75107883 (2026) #MILF #BigTits #Hardcore #Bigass #Blowjob #Amateur #RIPNSFW")</f>
        <v>{New} Jewelz Blu https://doodstream.com/d/vipugvzqzyk1/75107883 https://lulustream.com/d/obrlgzv2zd8w https://streamtape.com/v/AQjlQOaYj8F4Ll/75107883 (2026) #MILF #BigTits #Hardcore #Bigass #Blowjob #Amateur #RIPNSFW</v>
      </c>
      <c r="N907" s="14" t="s">
        <v>999</v>
      </c>
      <c r="O907" s="15" t="s">
        <v>4558</v>
      </c>
      <c r="P907" s="14"/>
      <c r="Q907" s="6"/>
      <c r="R907" s="11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>
      <c r="A908" s="6" t="s">
        <v>4559</v>
      </c>
      <c r="B908" s="6" t="s">
        <v>14</v>
      </c>
      <c r="C908" s="7" t="str">
        <f t="shared" si="12"/>
        <v xml:space="preserve">Jewelz Blu </v>
      </c>
      <c r="D908" s="6" t="s">
        <v>4560</v>
      </c>
      <c r="E908" s="8" t="s">
        <v>4561</v>
      </c>
      <c r="F908" s="9" t="str">
        <f ca="1">IFERROR(__xludf.DUMMYFUNCTION("""https://streamtape.com/v/""&amp;
REGEXEXTRACT(O908,""/thumb/([^/]+)/"")&amp;
""/""&amp;K908"),"https://streamtape.com/v/R7VaLvAWbGcdAqK/76658060")</f>
        <v>https://streamtape.com/v/R7VaLvAWbGcdAqK/76658060</v>
      </c>
      <c r="G908" s="10" t="e">
        <f t="shared" ca="1" si="13"/>
        <v>#NAME?</v>
      </c>
      <c r="H908" s="11" t="str">
        <f ca="1">IFERROR(__xludf.DUMMYFUNCTION("IFERROR(SUBSTITUTE(SUBSTITUTE(REGEXEXTRACT(A908, ""[^-]+- [^-]+- [^-]+ - (.+?)\.jpg""), "".jpg"", """"), ""-"", "", ""), """")"),"")</f>
        <v/>
      </c>
      <c r="I908" s="6"/>
      <c r="J908" s="7" t="str">
        <f t="shared" ca="1" si="14"/>
        <v>(2026)</v>
      </c>
      <c r="K908" s="7" t="str">
        <f t="shared" si="15"/>
        <v>76658060</v>
      </c>
      <c r="L908" s="12" t="s">
        <v>4293</v>
      </c>
      <c r="M908" s="13" t="str">
        <f ca="1">IFERROR(__xludf.DUMMYFUNCTION("TRIM(
  REGEXREPLACE(
    TEXTJOIN("" "",
      TRUE,
      B908,
      C908,
      embaralharLinks(E908,F908,G908),
      H908,
      """",
      J908,
      N908,
      ""#RIPNSFW""
    ),
  "",\s*"", "" "")
)"),"{New} Jewelz Blu https://streamtape.com/v/R7VaLvAWbGcdAqK/76658060 https://lulustream.com/d/ufzy371qwgu5 https://doodstream.com/d/vy2iy5sr8bvq/76658060 (2026) #MILF #BigTits #Hardcore #Bigass #RIPNSFW")</f>
        <v>{New} Jewelz Blu https://streamtape.com/v/R7VaLvAWbGcdAqK/76658060 https://lulustream.com/d/ufzy371qwgu5 https://doodstream.com/d/vy2iy5sr8bvq/76658060 (2026) #MILF #BigTits #Hardcore #Bigass #RIPNSFW</v>
      </c>
      <c r="N908" s="14" t="s">
        <v>128</v>
      </c>
      <c r="O908" s="15" t="s">
        <v>4562</v>
      </c>
      <c r="P908" s="14"/>
      <c r="Q908" s="6"/>
      <c r="R908" s="11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>
      <c r="A909" s="12" t="s">
        <v>4563</v>
      </c>
      <c r="B909" s="6" t="s">
        <v>14</v>
      </c>
      <c r="C909" s="7" t="str">
        <f t="shared" si="12"/>
        <v xml:space="preserve">Jewelz Blu </v>
      </c>
      <c r="D909" s="27" t="s">
        <v>4564</v>
      </c>
      <c r="E909" s="28" t="s">
        <v>4565</v>
      </c>
      <c r="F909" s="9" t="str">
        <f ca="1">IFERROR(__xludf.DUMMYFUNCTION("""https://streamtape.com/v/""&amp;
REGEXEXTRACT(O909,""/thumb/([^/]+)/"")&amp;
""/""&amp;K909"),"https://streamtape.com/v/wal9GxGQw9IJ3Rb/78824960")</f>
        <v>https://streamtape.com/v/wal9GxGQw9IJ3Rb/78824960</v>
      </c>
      <c r="G909" s="10" t="e">
        <f t="shared" ca="1" si="13"/>
        <v>#NAME?</v>
      </c>
      <c r="H909" s="11" t="str">
        <f ca="1">IFERROR(__xludf.DUMMYFUNCTION("IFERROR(SUBSTITUTE(SUBSTITUTE(REGEXEXTRACT(A909, ""[^-]+- [^-]+- [^-]+ - (.+?)\.jpg""), "".jpg"", """"), ""-"", "", ""), """")"),"")</f>
        <v/>
      </c>
      <c r="I909" s="6"/>
      <c r="J909" s="7" t="str">
        <f t="shared" ca="1" si="14"/>
        <v>(2026)</v>
      </c>
      <c r="K909" s="7" t="str">
        <f t="shared" si="15"/>
        <v>78824960</v>
      </c>
      <c r="L909" s="12" t="s">
        <v>2163</v>
      </c>
      <c r="M909" s="13" t="str">
        <f ca="1">IFERROR(__xludf.DUMMYFUNCTION("TRIM(
  REGEXREPLACE(
    TEXTJOIN("" "",
      TRUE,
      B909,
      C909,
      embaralharLinks(E909,F909,G909),
      H909,
      """",
      J909,
      N909,
      ""#RIPNSFW""
    ),
  "",\s*"", "" "")
)"),"{New} Jewelz Blu https://streamtape.com/v/wal9GxGQw9IJ3Rb/78824960 https://doodstream.com/d/ikl3tejoou2d/78824960 https://lulustream.com/d/cpqan4ary7c6 (2026) #MILF #BigTits #Bigass #Blowjob #RIPNSFW")</f>
        <v>{New} Jewelz Blu https://streamtape.com/v/wal9GxGQw9IJ3Rb/78824960 https://doodstream.com/d/ikl3tejoou2d/78824960 https://lulustream.com/d/cpqan4ary7c6 (2026) #MILF #BigTits #Bigass #Blowjob #RIPNSFW</v>
      </c>
      <c r="N909" s="2" t="s">
        <v>2135</v>
      </c>
      <c r="O909" s="30" t="s">
        <v>4566</v>
      </c>
      <c r="P909" s="26"/>
      <c r="R909" s="23"/>
    </row>
    <row r="910" spans="1:27" ht="12.75">
      <c r="A910" s="12" t="s">
        <v>4567</v>
      </c>
      <c r="B910" s="6" t="s">
        <v>14</v>
      </c>
      <c r="C910" s="7" t="str">
        <f t="shared" si="12"/>
        <v xml:space="preserve">Jewelz Blu </v>
      </c>
      <c r="D910" s="24" t="s">
        <v>4568</v>
      </c>
      <c r="E910" s="25" t="s">
        <v>4569</v>
      </c>
      <c r="F910" s="9" t="str">
        <f ca="1">IFERROR(__xludf.DUMMYFUNCTION("""https://streamtape.com/v/""&amp;
REGEXEXTRACT(O910,""/thumb/([^/]+)/"")&amp;
""/""&amp;K910"),"https://streamtape.com/v/6QaQP3Xby4I4xj/80080009")</f>
        <v>https://streamtape.com/v/6QaQP3Xby4I4xj/80080009</v>
      </c>
      <c r="G910" s="10" t="e">
        <f t="shared" ca="1" si="13"/>
        <v>#NAME?</v>
      </c>
      <c r="H910" s="11" t="str">
        <f ca="1">IFERROR(__xludf.DUMMYFUNCTION("IFERROR(SUBSTITUTE(SUBSTITUTE(REGEXEXTRACT(A910, ""[^-]+- [^-]+- [^-]+ - (.+?)\.jpg""), "".jpg"", """"), ""-"", "", ""), """")"),"")</f>
        <v/>
      </c>
      <c r="I910" s="6"/>
      <c r="J910" s="7" t="str">
        <f t="shared" ca="1" si="14"/>
        <v>(2026)</v>
      </c>
      <c r="K910" s="7" t="str">
        <f t="shared" si="15"/>
        <v>80080009</v>
      </c>
      <c r="L910" s="12" t="s">
        <v>2291</v>
      </c>
      <c r="M910" s="13" t="str">
        <f ca="1">IFERROR(__xludf.DUMMYFUNCTION("TRIM(
  REGEXREPLACE(
    TEXTJOIN("" "",
      TRUE,
      B910,
      C910,
      embaralharLinks(E910,F910,G910),
      H910,
      """",
      J910,
      N910,
      ""#RIPNSFW""
    ),
  "",\s*"", "" "")
)"),"{New} Jewelz Blu https://lulustream.com/d/14qglm82goif https://streamtape.com/v/6QaQP3Xby4I4xj/80080009 https://doodstream.com/d/wz2jjirgdg02/80080009 (2026) #milf #bigtits #blowjob #bigass #RIPNSFW")</f>
        <v>{New} Jewelz Blu https://lulustream.com/d/14qglm82goif https://streamtape.com/v/6QaQP3Xby4I4xj/80080009 https://doodstream.com/d/wz2jjirgdg02/80080009 (2026) #milf #bigtits #blowjob #bigass #RIPNSFW</v>
      </c>
      <c r="N910" s="2" t="s">
        <v>2291</v>
      </c>
      <c r="O910" s="30" t="s">
        <v>4570</v>
      </c>
      <c r="P910" s="26"/>
      <c r="R910" s="23"/>
      <c r="T910" s="6"/>
      <c r="U910" s="7"/>
    </row>
    <row r="911" spans="1:27" ht="12.75">
      <c r="A911" s="12" t="s">
        <v>4571</v>
      </c>
      <c r="B911" s="6" t="s">
        <v>14</v>
      </c>
      <c r="C911" s="7" t="str">
        <f t="shared" si="12"/>
        <v xml:space="preserve">Jewelz Blu </v>
      </c>
      <c r="D911" s="24" t="s">
        <v>4572</v>
      </c>
      <c r="E911" s="25" t="s">
        <v>4573</v>
      </c>
      <c r="F911" s="9" t="str">
        <f ca="1">IFERROR(__xludf.DUMMYFUNCTION("""https://streamtape.com/v/""&amp;
REGEXEXTRACT(O911,""/thumb/([^/]+)/"")&amp;
""/""&amp;K911"),"https://streamtape.com/v/8Vj29z9lJ0fobpq/80880139")</f>
        <v>https://streamtape.com/v/8Vj29z9lJ0fobpq/80880139</v>
      </c>
      <c r="G911" s="10" t="e">
        <f t="shared" ca="1" si="13"/>
        <v>#NAME?</v>
      </c>
      <c r="H911" s="11" t="str">
        <f ca="1">IFERROR(__xludf.DUMMYFUNCTION("IFERROR(SUBSTITUTE(SUBSTITUTE(REGEXEXTRACT(A911, ""[^-]+- [^-]+- [^-]+ - (.+?)\.jpg""), "".jpg"", """"), ""-"", "", ""), """")"),"")</f>
        <v/>
      </c>
      <c r="I911" s="6"/>
      <c r="J911" s="7" t="str">
        <f t="shared" ca="1" si="14"/>
        <v>(2026)</v>
      </c>
      <c r="K911" s="7" t="str">
        <f t="shared" si="15"/>
        <v>80880139</v>
      </c>
      <c r="L911" s="12" t="s">
        <v>1738</v>
      </c>
      <c r="M911" s="13" t="str">
        <f ca="1">IFERROR(__xludf.DUMMYFUNCTION("TRIM(
  REGEXREPLACE(
    TEXTJOIN("" "",
      TRUE,
      B911,
      C911,
      embaralharLinks(E911,F911,G911),
      H911,
      """",
      J911,
      N911,
      ""#RIPNSFW""
    ),
  "",\s*"", "" "")
)"),"{New} Jewelz Blu https://streamtape.com/v/8Vj29z9lJ0fobpq/80880139 https://lulustream.com/d/1c1agb2gy7b1 https://doodstream.com/d/vcf19fnhv1wb/80880139 (2026) #teen #bigtits #blowjob #bigass #RIPNSFW")</f>
        <v>{New} Jewelz Blu https://streamtape.com/v/8Vj29z9lJ0fobpq/80880139 https://lulustream.com/d/1c1agb2gy7b1 https://doodstream.com/d/vcf19fnhv1wb/80880139 (2026) #teen #bigtits #blowjob #bigass #RIPNSFW</v>
      </c>
      <c r="N911" s="2" t="s">
        <v>1738</v>
      </c>
      <c r="O911" s="30" t="s">
        <v>4574</v>
      </c>
      <c r="P911" s="26"/>
      <c r="R911" s="23"/>
    </row>
    <row r="912" spans="1:27" ht="12.75">
      <c r="A912" s="6" t="s">
        <v>4575</v>
      </c>
      <c r="B912" s="6" t="s">
        <v>14</v>
      </c>
      <c r="C912" s="7" t="str">
        <f t="shared" si="12"/>
        <v xml:space="preserve">Jewelz Blu </v>
      </c>
      <c r="D912" s="6" t="s">
        <v>4576</v>
      </c>
      <c r="E912" s="8" t="s">
        <v>4577</v>
      </c>
      <c r="F912" s="9" t="str">
        <f ca="1">IFERROR(__xludf.DUMMYFUNCTION("""https://streamtape.com/v/""&amp;
REGEXEXTRACT(O912,""/thumb/([^/]+)/"")&amp;
""/""&amp;K912"),"https://streamtape.com/v/7jXBjMReARUAAkw/82173814")</f>
        <v>https://streamtape.com/v/7jXBjMReARUAAkw/82173814</v>
      </c>
      <c r="G912" s="10" t="e">
        <f t="shared" ca="1" si="13"/>
        <v>#NAME?</v>
      </c>
      <c r="H912" s="11" t="str">
        <f ca="1">IFERROR(__xludf.DUMMYFUNCTION("IFERROR(SUBSTITUTE(SUBSTITUTE(REGEXEXTRACT(A912, ""[^-]+- [^-]+- [^-]+ - (.+?)\.jpg""), "".jpg"", """"), ""-"", "", ""), """")"),"")</f>
        <v/>
      </c>
      <c r="I912" s="6"/>
      <c r="J912" s="7" t="str">
        <f t="shared" ca="1" si="14"/>
        <v>(2026)</v>
      </c>
      <c r="K912" s="7" t="str">
        <f t="shared" si="15"/>
        <v>82173814</v>
      </c>
      <c r="L912" s="12" t="s">
        <v>2599</v>
      </c>
      <c r="M912" s="13" t="str">
        <f ca="1">IFERROR(__xludf.DUMMYFUNCTION("TRIM(
  REGEXREPLACE(
    TEXTJOIN("" "",
      TRUE,
      B912,
      C912,
      embaralharLinks(E912,F912,G912),
      H912,
      """",
      J912,
      N912,
      ""#RIPNSFW""
    ),
  "",\s*"", "" "")
)"),"{New} Jewelz Blu https://doodstream.com/d/odj5nv3iptf7/82173814 https://streamtape.com/v/7jXBjMReARUAAkw/82173814 https://lulustream.com/d/0x23z09n89h4 (2026) #MILF #BigTits #Hardcore #Bigass #RIPNSFW")</f>
        <v>{New} Jewelz Blu https://doodstream.com/d/odj5nv3iptf7/82173814 https://streamtape.com/v/7jXBjMReARUAAkw/82173814 https://lulustream.com/d/0x23z09n89h4 (2026) #MILF #BigTits #Hardcore #Bigass #RIPNSFW</v>
      </c>
      <c r="N912" s="14" t="s">
        <v>128</v>
      </c>
      <c r="O912" s="15" t="s">
        <v>4578</v>
      </c>
      <c r="P912" s="14"/>
      <c r="Q912" s="6"/>
      <c r="R912" s="11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>
      <c r="A913" s="6" t="s">
        <v>4579</v>
      </c>
      <c r="B913" s="6" t="s">
        <v>14</v>
      </c>
      <c r="C913" s="7" t="str">
        <f t="shared" si="12"/>
        <v xml:space="preserve">Jewelz Blu </v>
      </c>
      <c r="D913" s="6" t="s">
        <v>4580</v>
      </c>
      <c r="E913" s="8" t="s">
        <v>4581</v>
      </c>
      <c r="F913" s="9" t="str">
        <f ca="1">IFERROR(__xludf.DUMMYFUNCTION("""https://streamtape.com/v/""&amp;
REGEXEXTRACT(O913,""/thumb/([^/]+)/"")&amp;
""/""&amp;K913"),"https://streamtape.com/v/Vr2p8gAQ1xTKpMy/82714956")</f>
        <v>https://streamtape.com/v/Vr2p8gAQ1xTKpMy/82714956</v>
      </c>
      <c r="G913" s="10" t="e">
        <f t="shared" ca="1" si="13"/>
        <v>#NAME?</v>
      </c>
      <c r="H913" s="11" t="str">
        <f ca="1">IFERROR(__xludf.DUMMYFUNCTION("IFERROR(SUBSTITUTE(SUBSTITUTE(REGEXEXTRACT(A913, ""[^-]+- [^-]+- [^-]+ - (.+?)\.jpg""), "".jpg"", """"), ""-"", "", ""), """")"),"")</f>
        <v/>
      </c>
      <c r="I913" s="6"/>
      <c r="J913" s="7" t="str">
        <f t="shared" ca="1" si="14"/>
        <v>(2026)</v>
      </c>
      <c r="K913" s="7" t="str">
        <f t="shared" si="15"/>
        <v>82714956</v>
      </c>
      <c r="L913" s="12" t="s">
        <v>4332</v>
      </c>
      <c r="M913" s="13" t="str">
        <f ca="1">IFERROR(__xludf.DUMMYFUNCTION("TRIM(
  REGEXREPLACE(
    TEXTJOIN("" "",
      TRUE,
      B913,
      C913,
      embaralharLinks(E913,F913,G913),
      H913,
      """",
      J913,
      N913,
      ""#RIPNSFW""
    ),
  "",\s*"", "" "")
)"),"{New} Jewelz Blu https://streamtape.com/v/Vr2p8gAQ1xTKpMy/82714956 https://lulustream.com/d/clt5277wmejx https://doodstream.com/d/p5n3cyoan8ke/82714956 (2026) #MILF #BigTits #Creampie #Hardcore #Bigass #Blowjob #Amateur #RIPNSFW")</f>
        <v>{New} Jewelz Blu https://streamtape.com/v/Vr2p8gAQ1xTKpMy/82714956 https://lulustream.com/d/clt5277wmejx https://doodstream.com/d/p5n3cyoan8ke/82714956 (2026) #MILF #BigTits #Creampie #Hardcore #Bigass #Blowjob #Amateur #RIPNSFW</v>
      </c>
      <c r="N913" s="14" t="s">
        <v>2496</v>
      </c>
      <c r="O913" s="15" t="s">
        <v>4582</v>
      </c>
      <c r="P913" s="14"/>
      <c r="Q913" s="6"/>
      <c r="R913" s="11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>
      <c r="A914" s="16" t="s">
        <v>4583</v>
      </c>
      <c r="B914" s="11" t="s">
        <v>14</v>
      </c>
      <c r="C914" s="13" t="str">
        <f t="shared" si="12"/>
        <v xml:space="preserve">Jewelz Blu </v>
      </c>
      <c r="D914" s="17" t="s">
        <v>4584</v>
      </c>
      <c r="E914" s="18" t="s">
        <v>4585</v>
      </c>
      <c r="F914" s="9" t="str">
        <f ca="1">IFERROR(__xludf.DUMMYFUNCTION("""https://streamtape.com/v/""&amp;
REGEXEXTRACT(O914,""/thumb/([^/]+)/"")&amp;
""/""&amp;K914"),"https://streamtape.com/v/pbwd3Rex1Lir9x8/83258517")</f>
        <v>https://streamtape.com/v/pbwd3Rex1Lir9x8/83258517</v>
      </c>
      <c r="G914" s="10" t="e">
        <f t="shared" ca="1" si="13"/>
        <v>#NAME?</v>
      </c>
      <c r="H914" s="11" t="str">
        <f ca="1">IFERROR(__xludf.DUMMYFUNCTION("IFERROR(SUBSTITUTE(SUBSTITUTE(REGEXEXTRACT(A914, ""[^-]+- [^-]+- [^-]+ - (.+?)\.jpg""), "".jpg"", """"), ""-"", "", ""), """")"),"")</f>
        <v/>
      </c>
      <c r="I914" s="11"/>
      <c r="J914" s="13" t="str">
        <f t="shared" ca="1" si="14"/>
        <v>(2026)</v>
      </c>
      <c r="K914" s="13" t="str">
        <f t="shared" si="15"/>
        <v>83258517</v>
      </c>
      <c r="L914" s="12" t="s">
        <v>2200</v>
      </c>
      <c r="M914" s="13" t="str">
        <f ca="1">IFERROR(__xludf.DUMMYFUNCTION("TRIM(
  REGEXREPLACE(
    TEXTJOIN("" "",
      TRUE,
      B914,
      C914,
      embaralharLinks(E914,F914,G914),
      H914,
      """",
      J914,
      N914,
      ""#RIPNSFW""
    ),
  "",\s*"", "" "")
)"),"{New} Jewelz Blu https://lulustream.com/d/hunloop0w2au https://doodstream.com/d/cvai1xs1l6aa/83258517 https://streamtape.com/v/pbwd3Rex1Lir9x8/83258517 (2026) #milf #bigtits #creampie #bigass #RIPNSFW")</f>
        <v>{New} Jewelz Blu https://lulustream.com/d/hunloop0w2au https://doodstream.com/d/cvai1xs1l6aa/83258517 https://streamtape.com/v/pbwd3Rex1Lir9x8/83258517 (2026) #milf #bigtits #creampie #bigass #RIPNSFW</v>
      </c>
      <c r="N914" s="20" t="s">
        <v>2200</v>
      </c>
      <c r="O914" s="30" t="s">
        <v>4586</v>
      </c>
      <c r="P914" s="26"/>
      <c r="Q914" s="16"/>
      <c r="R914" s="23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75">
      <c r="A915" s="6" t="s">
        <v>4587</v>
      </c>
      <c r="B915" s="6" t="s">
        <v>14</v>
      </c>
      <c r="C915" s="7" t="str">
        <f t="shared" si="12"/>
        <v xml:space="preserve">Jewelz Blu </v>
      </c>
      <c r="D915" s="6" t="s">
        <v>4588</v>
      </c>
      <c r="E915" s="8" t="s">
        <v>4589</v>
      </c>
      <c r="F915" s="9" t="str">
        <f ca="1">IFERROR(__xludf.DUMMYFUNCTION("""https://streamtape.com/v/""&amp;
REGEXEXTRACT(O915,""/thumb/([^/]+)/"")&amp;
""/""&amp;K915"),"https://streamtape.com/v/Y8OmGpmQrDHvQ0W/83310030")</f>
        <v>https://streamtape.com/v/Y8OmGpmQrDHvQ0W/83310030</v>
      </c>
      <c r="G915" s="10" t="e">
        <f t="shared" ca="1" si="13"/>
        <v>#NAME?</v>
      </c>
      <c r="H915" s="11" t="str">
        <f ca="1">IFERROR(__xludf.DUMMYFUNCTION("IFERROR(SUBSTITUTE(SUBSTITUTE(REGEXEXTRACT(A915, ""[^-]+- [^-]+- [^-]+ - (.+?)\.jpg""), "".jpg"", """"), ""-"", "", ""), """")"),"")</f>
        <v/>
      </c>
      <c r="I915" s="6"/>
      <c r="J915" s="7" t="str">
        <f t="shared" ca="1" si="14"/>
        <v>(2026)</v>
      </c>
      <c r="K915" s="7" t="str">
        <f t="shared" si="15"/>
        <v>83310030</v>
      </c>
      <c r="L915" s="12" t="s">
        <v>4293</v>
      </c>
      <c r="M915" s="13" t="str">
        <f ca="1">IFERROR(__xludf.DUMMYFUNCTION("TRIM(
  REGEXREPLACE(
    TEXTJOIN("" "",
      TRUE,
      B915,
      C915,
      embaralharLinks(E915,F915,G915),
      H915,
      """",
      J915,
      N915,
      ""#RIPNSFW""
    ),
  "",\s*"", "" "")
)"),"{New} Jewelz Blu https://streamtape.com/v/Y8OmGpmQrDHvQ0W/83310030 https://lulustream.com/d/pi7hjy171bsy https://doodstream.com/d/21d4lqx3igm7/83310030 (2026) #MILF #BigTits #Hardcore #Bigass #Blowjob #Amateur #Deepthroat #Facial #RIPNSFW")</f>
        <v>{New} Jewelz Blu https://streamtape.com/v/Y8OmGpmQrDHvQ0W/83310030 https://lulustream.com/d/pi7hjy171bsy https://doodstream.com/d/21d4lqx3igm7/83310030 (2026) #MILF #BigTits #Hardcore #Bigass #Blowjob #Amateur #Deepthroat #Facial #RIPNSFW</v>
      </c>
      <c r="N915" s="14" t="s">
        <v>4590</v>
      </c>
      <c r="O915" s="15" t="s">
        <v>4591</v>
      </c>
      <c r="P915" s="14"/>
      <c r="Q915" s="6"/>
      <c r="R915" s="11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>
      <c r="A916" s="6" t="s">
        <v>4592</v>
      </c>
      <c r="B916" s="6" t="s">
        <v>14</v>
      </c>
      <c r="C916" s="7" t="str">
        <f t="shared" si="12"/>
        <v xml:space="preserve">Jewelz Blu </v>
      </c>
      <c r="D916" s="29" t="s">
        <v>4593</v>
      </c>
      <c r="E916" s="8" t="s">
        <v>4594</v>
      </c>
      <c r="F916" s="9" t="str">
        <f ca="1">IFERROR(__xludf.DUMMYFUNCTION("""https://streamtape.com/v/""&amp;
REGEXEXTRACT(O916,""/thumb/([^/]+)/"")&amp;
""/""&amp;K916"),"https://streamtape.com/v/yPaBx2YBKjtkPR/84014328")</f>
        <v>https://streamtape.com/v/yPaBx2YBKjtkPR/84014328</v>
      </c>
      <c r="G916" s="10" t="e">
        <f t="shared" ca="1" si="13"/>
        <v>#NAME?</v>
      </c>
      <c r="H916" s="11" t="str">
        <f ca="1">IFERROR(__xludf.DUMMYFUNCTION("IFERROR(SUBSTITUTE(SUBSTITUTE(REGEXEXTRACT(A916, ""[^-]+- [^-]+- [^-]+ - (.+?)\.jpg""), "".jpg"", """"), ""-"", "", ""), """")"),"")</f>
        <v/>
      </c>
      <c r="I916" s="6"/>
      <c r="J916" s="7" t="str">
        <f t="shared" ca="1" si="14"/>
        <v>(2026)</v>
      </c>
      <c r="K916" s="7" t="str">
        <f t="shared" si="15"/>
        <v>84014328</v>
      </c>
      <c r="L916" s="12" t="s">
        <v>762</v>
      </c>
      <c r="M916" s="13" t="str">
        <f ca="1">IFERROR(__xludf.DUMMYFUNCTION("TRIM(
  REGEXREPLACE(
    TEXTJOIN("" "",
      TRUE,
      B916,
      C916,
      embaralharLinks(E916,F916,G916),
      H916,
      """",
      J916,
      N916,
      ""#RIPNSFW""
    ),
  "",\s*"", "" "")
)"),"{New} Jewelz Blu https://streamtape.com/v/yPaBx2YBKjtkPR/84014328 https://doodstream.com/d/knjamsymfr3z/84014328 https://lulustream.com/d/f68adjt9ergr (2026) #BigTits #Hardcore #Bigass #Porn #RIPNSFW")</f>
        <v>{New} Jewelz Blu https://streamtape.com/v/yPaBx2YBKjtkPR/84014328 https://doodstream.com/d/knjamsymfr3z/84014328 https://lulustream.com/d/f68adjt9ergr (2026) #BigTits #Hardcore #Bigass #Porn #RIPNSFW</v>
      </c>
      <c r="N916" s="14" t="s">
        <v>606</v>
      </c>
      <c r="O916" s="32" t="s">
        <v>4595</v>
      </c>
      <c r="P916" s="14"/>
      <c r="Q916" s="6"/>
      <c r="R916" s="11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>
      <c r="A917" s="12" t="s">
        <v>4596</v>
      </c>
      <c r="B917" s="6" t="s">
        <v>14</v>
      </c>
      <c r="C917" s="7" t="str">
        <f t="shared" si="12"/>
        <v xml:space="preserve">Jewelz Blu </v>
      </c>
      <c r="D917" s="36" t="s">
        <v>4597</v>
      </c>
      <c r="E917" s="25" t="s">
        <v>4598</v>
      </c>
      <c r="F917" s="9" t="str">
        <f ca="1">IFERROR(__xludf.DUMMYFUNCTION("""https://streamtape.com/v/""&amp;
REGEXEXTRACT(O917,""/thumb/([^/]+)/"")&amp;
""/""&amp;K917"),"https://streamtape.com/v/3kP148P1KDcaVW/85600588")</f>
        <v>https://streamtape.com/v/3kP148P1KDcaVW/85600588</v>
      </c>
      <c r="G917" s="10" t="e">
        <f t="shared" ca="1" si="13"/>
        <v>#NAME?</v>
      </c>
      <c r="H917" s="11" t="str">
        <f ca="1">IFERROR(__xludf.DUMMYFUNCTION("IFERROR(SUBSTITUTE(SUBSTITUTE(REGEXEXTRACT(A917, ""[^-]+- [^-]+- [^-]+ - (.+?)\.jpg""), "".jpg"", """"), ""-"", "", ""), """")"),"")</f>
        <v/>
      </c>
      <c r="I917" s="6"/>
      <c r="J917" s="7" t="str">
        <f t="shared" ca="1" si="14"/>
        <v>(2026)</v>
      </c>
      <c r="K917" s="7" t="str">
        <f t="shared" si="15"/>
        <v>85600588</v>
      </c>
      <c r="L917" s="12" t="s">
        <v>1462</v>
      </c>
      <c r="M917" s="13" t="str">
        <f ca="1">IFERROR(__xludf.DUMMYFUNCTION("TRIM(
  REGEXREPLACE(
    TEXTJOIN("" "",
      TRUE,
      B917,
      C917,
      embaralharLinks(E917,F917,G917),
      H917,
      """",
      J917,
      N917,
      ""#RIPNSFW""
    ),
  "",\s*"", "" "")
)"),"{New} Jewelz Blu https://lulustream.com/d/367a89s9a1oz https://doodstream.com/d/f1h4d5vriibi/85600588 https://streamtape.com/v/3kP148P1KDcaVW/85600588 (2026) #milf #bigtits #bigass #blowjob #RIPNSFW")</f>
        <v>{New} Jewelz Blu https://lulustream.com/d/367a89s9a1oz https://doodstream.com/d/f1h4d5vriibi/85600588 https://streamtape.com/v/3kP148P1KDcaVW/85600588 (2026) #milf #bigtits #bigass #blowjob #RIPNSFW</v>
      </c>
      <c r="N917" s="2" t="s">
        <v>1462</v>
      </c>
      <c r="O917" s="21" t="s">
        <v>4599</v>
      </c>
      <c r="P917" s="26"/>
      <c r="R917" s="23"/>
    </row>
    <row r="918" spans="1:27" ht="12.75">
      <c r="A918" s="6" t="s">
        <v>4600</v>
      </c>
      <c r="B918" s="6" t="s">
        <v>14</v>
      </c>
      <c r="C918" s="7" t="str">
        <f t="shared" si="12"/>
        <v xml:space="preserve">Jewelz Blu </v>
      </c>
      <c r="D918" s="24" t="s">
        <v>4601</v>
      </c>
      <c r="E918" s="25" t="s">
        <v>4602</v>
      </c>
      <c r="F918" s="9" t="str">
        <f ca="1">IFERROR(__xludf.DUMMYFUNCTION("""https://streamtape.com/v/""&amp;
REGEXEXTRACT(O918,""/thumb/([^/]+)/"")&amp;
""/""&amp;K918"),"https://streamtape.com/v/23OoJjXMeXTzB6/86541323")</f>
        <v>https://streamtape.com/v/23OoJjXMeXTzB6/86541323</v>
      </c>
      <c r="G918" s="10" t="e">
        <f t="shared" ca="1" si="13"/>
        <v>#NAME?</v>
      </c>
      <c r="H918" s="11" t="str">
        <f ca="1">IFERROR(__xludf.DUMMYFUNCTION("IFERROR(SUBSTITUTE(SUBSTITUTE(REGEXEXTRACT(A918, ""[^-]+- [^-]+- [^-]+ - (.+?)\.jpg""), "".jpg"", """"), ""-"", "", ""), """")"),"")</f>
        <v/>
      </c>
      <c r="I918" s="6"/>
      <c r="J918" s="7" t="str">
        <f t="shared" ca="1" si="14"/>
        <v>(2026)</v>
      </c>
      <c r="K918" s="7" t="str">
        <f t="shared" si="15"/>
        <v>86541323</v>
      </c>
      <c r="L918" s="12" t="s">
        <v>1462</v>
      </c>
      <c r="M918" s="13" t="str">
        <f ca="1">IFERROR(__xludf.DUMMYFUNCTION("TRIM(
  REGEXREPLACE(
    TEXTJOIN("" "",
      TRUE,
      B918,
      C918,
      embaralharLinks(E918,F918,G918),
      H918,
      """",
      J918,
      N918,
      ""#RIPNSFW""
    ),
  "",\s*"", "" "")
)"),"{New} Jewelz Blu https://lulustream.com/d/k2z87hhpqagp https://doodstream.com/d/2szg4ypw5jak/86541323 https://streamtape.com/v/23OoJjXMeXTzB6/86541323 (2026) #milf #bigtits #bigass #blowjob #RIPNSFW")</f>
        <v>{New} Jewelz Blu https://lulustream.com/d/k2z87hhpqagp https://doodstream.com/d/2szg4ypw5jak/86541323 https://streamtape.com/v/23OoJjXMeXTzB6/86541323 (2026) #milf #bigtits #bigass #blowjob #RIPNSFW</v>
      </c>
      <c r="N918" s="31" t="s">
        <v>1462</v>
      </c>
      <c r="O918" s="32" t="s">
        <v>4603</v>
      </c>
      <c r="P918" s="26"/>
      <c r="Q918" s="6"/>
      <c r="R918" s="11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>
      <c r="A919" s="6" t="s">
        <v>4604</v>
      </c>
      <c r="B919" s="6" t="s">
        <v>14</v>
      </c>
      <c r="C919" s="7" t="str">
        <f t="shared" si="12"/>
        <v xml:space="preserve">Jewelz Blu </v>
      </c>
      <c r="D919" s="6" t="s">
        <v>4605</v>
      </c>
      <c r="E919" s="8" t="s">
        <v>4606</v>
      </c>
      <c r="F919" s="9" t="str">
        <f ca="1">IFERROR(__xludf.DUMMYFUNCTION("""https://streamtape.com/v/""&amp;
REGEXEXTRACT(O919,""/thumb/([^/]+)/"")&amp;
""/""&amp;K919"),"https://streamtape.com/v/DGg2yyLWMAskk7Z/86873906")</f>
        <v>https://streamtape.com/v/DGg2yyLWMAskk7Z/86873906</v>
      </c>
      <c r="G919" s="10" t="e">
        <f t="shared" ca="1" si="13"/>
        <v>#NAME?</v>
      </c>
      <c r="H919" s="11" t="str">
        <f ca="1">IFERROR(__xludf.DUMMYFUNCTION("IFERROR(SUBSTITUTE(SUBSTITUTE(REGEXEXTRACT(A919, ""[^-]+- [^-]+- [^-]+ - (.+?)\.jpg""), "".jpg"", """"), ""-"", "", ""), """")"),"")</f>
        <v/>
      </c>
      <c r="I919" s="6"/>
      <c r="J919" s="7" t="str">
        <f t="shared" ca="1" si="14"/>
        <v>(2026)</v>
      </c>
      <c r="K919" s="7" t="str">
        <f t="shared" si="15"/>
        <v>86873906</v>
      </c>
      <c r="L919" s="12" t="s">
        <v>4607</v>
      </c>
      <c r="M919" s="13" t="str">
        <f ca="1">IFERROR(__xludf.DUMMYFUNCTION("TRIM(
  REGEXREPLACE(
    TEXTJOIN("" "",
      TRUE,
      B919,
      C919,
      embaralharLinks(E919,F919,G919),
      H919,
      """",
      J919,
      N919,
      ""#RIPNSFW""
    ),
  "",\s*"", "" "")
)"),"{New} Jewelz Blu https://lulustream.com/d/dnratt0jy4ss https://doodstream.com/d/p7qhndm8wv04/86873906 https://streamtape.com/v/DGg2yyLWMAskk7Z/86873906 (2026) #MILF #BigTits #Roleplay #Amateur #RIPNSFW")</f>
        <v>{New} Jewelz Blu https://lulustream.com/d/dnratt0jy4ss https://doodstream.com/d/p7qhndm8wv04/86873906 https://streamtape.com/v/DGg2yyLWMAskk7Z/86873906 (2026) #MILF #BigTits #Roleplay #Amateur #RIPNSFW</v>
      </c>
      <c r="N919" s="14" t="s">
        <v>4608</v>
      </c>
      <c r="O919" s="15" t="s">
        <v>4609</v>
      </c>
      <c r="P919" s="14"/>
      <c r="Q919" s="6"/>
      <c r="R919" s="11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>
      <c r="A920" s="6" t="s">
        <v>4610</v>
      </c>
      <c r="B920" s="6" t="s">
        <v>14</v>
      </c>
      <c r="C920" s="7" t="str">
        <f t="shared" si="12"/>
        <v xml:space="preserve">Jewelz Blu </v>
      </c>
      <c r="D920" s="6" t="s">
        <v>4611</v>
      </c>
      <c r="E920" s="8" t="s">
        <v>4612</v>
      </c>
      <c r="F920" s="9" t="str">
        <f ca="1">IFERROR(__xludf.DUMMYFUNCTION("""https://streamtape.com/v/""&amp;
REGEXEXTRACT(O920,""/thumb/([^/]+)/"")&amp;
""/""&amp;K920"),"https://streamtape.com/v/YVJ246A93XcLjG/90632680")</f>
        <v>https://streamtape.com/v/YVJ246A93XcLjG/90632680</v>
      </c>
      <c r="G920" s="10" t="e">
        <f t="shared" ca="1" si="13"/>
        <v>#NAME?</v>
      </c>
      <c r="H920" s="11" t="str">
        <f ca="1">IFERROR(__xludf.DUMMYFUNCTION("IFERROR(SUBSTITUTE(SUBSTITUTE(REGEXEXTRACT(A920, ""[^-]+- [^-]+- [^-]+ - (.+?)\.jpg""), "".jpg"", """"), ""-"", "", ""), """")"),"")</f>
        <v/>
      </c>
      <c r="I920" s="6"/>
      <c r="J920" s="7" t="str">
        <f t="shared" ca="1" si="14"/>
        <v>(2026)</v>
      </c>
      <c r="K920" s="7" t="str">
        <f t="shared" si="15"/>
        <v>90632680</v>
      </c>
      <c r="L920" s="12" t="s">
        <v>4613</v>
      </c>
      <c r="M920" s="13" t="str">
        <f ca="1">IFERROR(__xludf.DUMMYFUNCTION("TRIM(
  REGEXREPLACE(
    TEXTJOIN("" "",
      TRUE,
      B920,
      C920,
      embaralharLinks(E920,F920,G920),
      H920,
      """",
      J920,
      N920,
      ""#RIPNSFW""
    ),
  "",\s*"", "" "")
)"),"{New} Jewelz Blu https://doodstream.com/d/aezc0uxyeknr/90632680 https://lulustream.com/d/xnepfpbjve2q https://streamtape.com/v/YVJ246A93XcLjG/90632680 (2026) #MILF #BigTits #Bigass #Blowjob #RIPNSFW")</f>
        <v>{New} Jewelz Blu https://doodstream.com/d/aezc0uxyeknr/90632680 https://lulustream.com/d/xnepfpbjve2q https://streamtape.com/v/YVJ246A93XcLjG/90632680 (2026) #MILF #BigTits #Bigass #Blowjob #RIPNSFW</v>
      </c>
      <c r="N920" s="14" t="s">
        <v>2135</v>
      </c>
      <c r="O920" s="15" t="s">
        <v>4614</v>
      </c>
      <c r="P920" s="14"/>
      <c r="Q920" s="6"/>
      <c r="R920" s="11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>
      <c r="A921" s="6" t="s">
        <v>4615</v>
      </c>
      <c r="B921" s="6" t="s">
        <v>14</v>
      </c>
      <c r="C921" s="7" t="str">
        <f t="shared" si="12"/>
        <v xml:space="preserve">Jewelz Blu </v>
      </c>
      <c r="D921" s="6" t="s">
        <v>4616</v>
      </c>
      <c r="E921" s="8" t="s">
        <v>4617</v>
      </c>
      <c r="F921" s="9" t="str">
        <f ca="1">IFERROR(__xludf.DUMMYFUNCTION("""https://streamtape.com/v/""&amp;
REGEXEXTRACT(O921,""/thumb/([^/]+)/"")&amp;
""/""&amp;K921"),"https://streamtape.com/v/0zdG4JpBqRCb7L2/91004697")</f>
        <v>https://streamtape.com/v/0zdG4JpBqRCb7L2/91004697</v>
      </c>
      <c r="G921" s="10" t="e">
        <f t="shared" ca="1" si="13"/>
        <v>#NAME?</v>
      </c>
      <c r="H921" s="11" t="str">
        <f ca="1">IFERROR(__xludf.DUMMYFUNCTION("IFERROR(SUBSTITUTE(SUBSTITUTE(REGEXEXTRACT(A921, ""[^-]+- [^-]+- [^-]+ - (.+?)\.jpg""), "".jpg"", """"), ""-"", "", ""), """")"),"")</f>
        <v/>
      </c>
      <c r="I921" s="6"/>
      <c r="J921" s="7" t="str">
        <f t="shared" ca="1" si="14"/>
        <v>(2026)</v>
      </c>
      <c r="K921" s="7" t="str">
        <f t="shared" si="15"/>
        <v>91004697</v>
      </c>
      <c r="L921" s="12" t="s">
        <v>4332</v>
      </c>
      <c r="M921" s="13" t="str">
        <f ca="1">IFERROR(__xludf.DUMMYFUNCTION("TRIM(
  REGEXREPLACE(
    TEXTJOIN("" "",
      TRUE,
      B921,
      C921,
      embaralharLinks(E921,F921,G921),
      H921,
      """",
      J921,
      N921,
      ""#RIPNSFW""
    ),
  "",\s*"", "" "")
)"),"{New} Jewelz Blu https://lulustream.com/d/npyhdtawmaz5 https://doodstream.com/d/y1fgh4lj7izr/91004697 https://streamtape.com/v/0zdG4JpBqRCb7L2/91004697 (2026) #MILF #BigTits #Creampie #Hardcore #RIPNSFW")</f>
        <v>{New} Jewelz Blu https://lulustream.com/d/npyhdtawmaz5 https://doodstream.com/d/y1fgh4lj7izr/91004697 https://streamtape.com/v/0zdG4JpBqRCb7L2/91004697 (2026) #MILF #BigTits #Creampie #Hardcore #RIPNSFW</v>
      </c>
      <c r="N921" s="14" t="s">
        <v>474</v>
      </c>
      <c r="O921" s="15" t="s">
        <v>4618</v>
      </c>
      <c r="P921" s="14"/>
      <c r="Q921" s="6"/>
      <c r="R921" s="11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>
      <c r="A922" s="12" t="s">
        <v>4619</v>
      </c>
      <c r="B922" s="6" t="s">
        <v>14</v>
      </c>
      <c r="C922" s="7" t="str">
        <f t="shared" si="12"/>
        <v xml:space="preserve">Jewelz Blu </v>
      </c>
      <c r="D922" s="24" t="s">
        <v>4620</v>
      </c>
      <c r="E922" s="25" t="s">
        <v>4621</v>
      </c>
      <c r="F922" s="9" t="str">
        <f ca="1">IFERROR(__xludf.DUMMYFUNCTION("""https://streamtape.com/v/""&amp;
REGEXEXTRACT(O922,""/thumb/([^/]+)/"")&amp;
""/""&amp;K922"),"https://streamtape.com/v/l7zX2AAdb2F7xem/91066475")</f>
        <v>https://streamtape.com/v/l7zX2AAdb2F7xem/91066475</v>
      </c>
      <c r="G922" s="10" t="e">
        <f t="shared" ca="1" si="13"/>
        <v>#NAME?</v>
      </c>
      <c r="H922" s="11" t="str">
        <f ca="1">IFERROR(__xludf.DUMMYFUNCTION("IFERROR(SUBSTITUTE(SUBSTITUTE(REGEXEXTRACT(A922, ""[^-]+- [^-]+- [^-]+ - (.+?)\.jpg""), "".jpg"", """"), ""-"", "", ""), """")"),"")</f>
        <v/>
      </c>
      <c r="I922" s="6"/>
      <c r="J922" s="7" t="str">
        <f t="shared" ca="1" si="14"/>
        <v>(2026)</v>
      </c>
      <c r="K922" s="7" t="str">
        <f t="shared" si="15"/>
        <v>91066475</v>
      </c>
      <c r="L922" s="12" t="s">
        <v>4622</v>
      </c>
      <c r="M922" s="13" t="str">
        <f ca="1">IFERROR(__xludf.DUMMYFUNCTION("TRIM(
  REGEXREPLACE(
    TEXTJOIN("" "",
      TRUE,
      B922,
      C922,
      embaralharLinks(E922,F922,G922),
      H922,
      """",
      J922,
      N922,
      ""#RIPNSFW""
    ),
  "",\s*"", "" "")
)"),"{New} Jewelz Blu https://doodstream.com/d/72x8zdgie2oj/91066475 https://lulustream.com/d/jf7cp4dpyqy9 https://streamtape.com/v/l7zX2AAdb2F7xem/91066475 (2026) #creampie #milf #bigtits #blowjob #RIPNSFW")</f>
        <v>{New} Jewelz Blu https://doodstream.com/d/72x8zdgie2oj/91066475 https://lulustream.com/d/jf7cp4dpyqy9 https://streamtape.com/v/l7zX2AAdb2F7xem/91066475 (2026) #creampie #milf #bigtits #blowjob #RIPNSFW</v>
      </c>
      <c r="N922" s="2" t="s">
        <v>4622</v>
      </c>
      <c r="O922" s="30" t="s">
        <v>4623</v>
      </c>
      <c r="P922" s="26"/>
      <c r="R922" s="23"/>
      <c r="T922" s="6"/>
      <c r="U922" s="7"/>
    </row>
    <row r="923" spans="1:27" ht="12.75">
      <c r="A923" s="12" t="s">
        <v>4624</v>
      </c>
      <c r="B923" s="6" t="s">
        <v>14</v>
      </c>
      <c r="C923" s="7" t="str">
        <f t="shared" si="12"/>
        <v xml:space="preserve">Jewelz Blu </v>
      </c>
      <c r="D923" s="24" t="s">
        <v>4625</v>
      </c>
      <c r="E923" s="25" t="s">
        <v>4626</v>
      </c>
      <c r="F923" s="9" t="str">
        <f ca="1">IFERROR(__xludf.DUMMYFUNCTION("""https://streamtape.com/v/""&amp;
REGEXEXTRACT(O923,""/thumb/([^/]+)/"")&amp;
""/""&amp;K923"),"https://streamtape.com/v/QD4RmYoPg9tJAO/91464913")</f>
        <v>https://streamtape.com/v/QD4RmYoPg9tJAO/91464913</v>
      </c>
      <c r="G923" s="10" t="e">
        <f t="shared" ca="1" si="13"/>
        <v>#NAME?</v>
      </c>
      <c r="H923" s="11" t="str">
        <f ca="1">IFERROR(__xludf.DUMMYFUNCTION("IFERROR(SUBSTITUTE(SUBSTITUTE(REGEXEXTRACT(A923, ""[^-]+- [^-]+- [^-]+ - (.+?)\.jpg""), "".jpg"", """"), ""-"", "", ""), """")"),"")</f>
        <v/>
      </c>
      <c r="I923" s="6"/>
      <c r="J923" s="7" t="str">
        <f t="shared" ca="1" si="14"/>
        <v>(2026)</v>
      </c>
      <c r="K923" s="7" t="str">
        <f t="shared" si="15"/>
        <v>91464913</v>
      </c>
      <c r="L923" s="12" t="s">
        <v>4627</v>
      </c>
      <c r="M923" s="13" t="str">
        <f ca="1">IFERROR(__xludf.DUMMYFUNCTION("TRIM(
  REGEXREPLACE(
    TEXTJOIN("" "",
      TRUE,
      B923,
      C923,
      embaralharLinks(E923,F923,G923),
      H923,
      """",
      J923,
      N923,
      ""#RIPNSFW""
    ),
  "",\s*"", "" "")
)"),"{New} Jewelz Blu https://streamtape.com/v/QD4RmYoPg9tJAO/91464913 https://lulustream.com/d/vfmdejqsyw3a https://doodstream.com/d/u68sjwmvpmhy/91464913 (2026) #milf #bigass #bigtits #creampie #RIPNSFW")</f>
        <v>{New} Jewelz Blu https://streamtape.com/v/QD4RmYoPg9tJAO/91464913 https://lulustream.com/d/vfmdejqsyw3a https://doodstream.com/d/u68sjwmvpmhy/91464913 (2026) #milf #bigass #bigtits #creampie #RIPNSFW</v>
      </c>
      <c r="N923" s="2" t="s">
        <v>4627</v>
      </c>
      <c r="O923" s="30" t="s">
        <v>4628</v>
      </c>
      <c r="P923" s="26"/>
      <c r="R923" s="23"/>
    </row>
    <row r="924" spans="1:27" ht="12.75">
      <c r="A924" s="12" t="s">
        <v>4629</v>
      </c>
      <c r="B924" s="6" t="s">
        <v>14</v>
      </c>
      <c r="C924" s="7" t="str">
        <f t="shared" si="12"/>
        <v xml:space="preserve">Jewelz Blu </v>
      </c>
      <c r="D924" s="24" t="s">
        <v>4630</v>
      </c>
      <c r="E924" s="25" t="s">
        <v>4631</v>
      </c>
      <c r="F924" s="9" t="str">
        <f ca="1">IFERROR(__xludf.DUMMYFUNCTION("""https://streamtape.com/v/""&amp;
REGEXEXTRACT(O924,""/thumb/([^/]+)/"")&amp;
""/""&amp;K924"),"https://streamtape.com/v/pjBQGpP6RJUryzJ/92919613")</f>
        <v>https://streamtape.com/v/pjBQGpP6RJUryzJ/92919613</v>
      </c>
      <c r="G924" s="10" t="e">
        <f t="shared" ca="1" si="13"/>
        <v>#NAME?</v>
      </c>
      <c r="H924" s="11" t="str">
        <f ca="1">IFERROR(__xludf.DUMMYFUNCTION("IFERROR(SUBSTITUTE(SUBSTITUTE(REGEXEXTRACT(A924, ""[^-]+- [^-]+- [^-]+ - (.+?)\.jpg""), "".jpg"", """"), ""-"", "", ""), """")"),"")</f>
        <v/>
      </c>
      <c r="I924" s="6"/>
      <c r="J924" s="7" t="str">
        <f t="shared" ca="1" si="14"/>
        <v>(2026)</v>
      </c>
      <c r="K924" s="7" t="str">
        <f t="shared" si="15"/>
        <v>92919613</v>
      </c>
      <c r="L924" s="12" t="s">
        <v>2291</v>
      </c>
      <c r="M924" s="13" t="str">
        <f ca="1">IFERROR(__xludf.DUMMYFUNCTION("TRIM(
  REGEXREPLACE(
    TEXTJOIN("" "",
      TRUE,
      B924,
      C924,
      embaralharLinks(E924,F924,G924),
      H924,
      """",
      J924,
      N924,
      ""#RIPNSFW""
    ),
  "",\s*"", "" "")
)"),"{New} Jewelz Blu https://streamtape.com/v/pjBQGpP6RJUryzJ/92919613 https://lulustream.com/d/3j5zmavkb6za https://doodstream.com/d/2rr9v7p2jxqf/92919613 (2026) #milf #bigtits #blowjob #bigass #RIPNSFW")</f>
        <v>{New} Jewelz Blu https://streamtape.com/v/pjBQGpP6RJUryzJ/92919613 https://lulustream.com/d/3j5zmavkb6za https://doodstream.com/d/2rr9v7p2jxqf/92919613 (2026) #milf #bigtits #blowjob #bigass #RIPNSFW</v>
      </c>
      <c r="N924" s="2" t="s">
        <v>2291</v>
      </c>
      <c r="O924" s="30" t="s">
        <v>4632</v>
      </c>
      <c r="P924" s="26"/>
      <c r="R924" s="23"/>
      <c r="T924" s="6"/>
      <c r="U924" s="7"/>
    </row>
    <row r="925" spans="1:27" ht="12.75">
      <c r="A925" s="12" t="s">
        <v>4633</v>
      </c>
      <c r="B925" s="6" t="s">
        <v>14</v>
      </c>
      <c r="C925" s="7" t="str">
        <f t="shared" si="12"/>
        <v xml:space="preserve">Jewelz Blu </v>
      </c>
      <c r="D925" s="24" t="s">
        <v>4634</v>
      </c>
      <c r="E925" s="25" t="s">
        <v>4635</v>
      </c>
      <c r="F925" s="9" t="str">
        <f ca="1">IFERROR(__xludf.DUMMYFUNCTION("""https://streamtape.com/v/""&amp;
REGEXEXTRACT(O925,""/thumb/([^/]+)/"")&amp;
""/""&amp;K925"),"https://streamtape.com/v/KZD12ymYYOi0GLB/93410711")</f>
        <v>https://streamtape.com/v/KZD12ymYYOi0GLB/93410711</v>
      </c>
      <c r="G925" s="10" t="e">
        <f t="shared" ca="1" si="13"/>
        <v>#NAME?</v>
      </c>
      <c r="H925" s="11" t="str">
        <f ca="1">IFERROR(__xludf.DUMMYFUNCTION("IFERROR(SUBSTITUTE(SUBSTITUTE(REGEXEXTRACT(A925, ""[^-]+- [^-]+- [^-]+ - (.+?)\.jpg""), "".jpg"", """"), ""-"", "", ""), """")"),"")</f>
        <v/>
      </c>
      <c r="I925" s="6"/>
      <c r="J925" s="7" t="str">
        <f t="shared" ca="1" si="14"/>
        <v>(2026)</v>
      </c>
      <c r="K925" s="7" t="str">
        <f t="shared" si="15"/>
        <v>93410711</v>
      </c>
      <c r="L925" s="12" t="s">
        <v>1711</v>
      </c>
      <c r="M925" s="13" t="str">
        <f ca="1">IFERROR(__xludf.DUMMYFUNCTION("TRIM(
  REGEXREPLACE(
    TEXTJOIN("" "",
      TRUE,
      B925,
      C925,
      embaralharLinks(E925,F925,G925),
      H925,
      """",
      J925,
      N925,
      ""#RIPNSFW""
    ),
  "",\s*"", "" "")
)"),"{New} Jewelz Blu https://lulustream.com/d/gvn5qikl10vj https://streamtape.com/v/KZD12ymYYOi0GLB/93410711 https://doodstream.com/d/8kncmbqdtl6l/93410711 (2026) #milf #bigass #bigtits #blowjob #RIPNSFW")</f>
        <v>{New} Jewelz Blu https://lulustream.com/d/gvn5qikl10vj https://streamtape.com/v/KZD12ymYYOi0GLB/93410711 https://doodstream.com/d/8kncmbqdtl6l/93410711 (2026) #milf #bigass #bigtits #blowjob #RIPNSFW</v>
      </c>
      <c r="N925" s="2" t="s">
        <v>1711</v>
      </c>
      <c r="O925" s="30" t="s">
        <v>4636</v>
      </c>
      <c r="P925" s="26"/>
      <c r="R925" s="23"/>
      <c r="T925" s="6"/>
      <c r="U925" s="7"/>
    </row>
    <row r="926" spans="1:27" ht="12.75">
      <c r="A926" s="12" t="s">
        <v>4637</v>
      </c>
      <c r="B926" s="6" t="s">
        <v>14</v>
      </c>
      <c r="C926" s="7" t="str">
        <f t="shared" si="12"/>
        <v xml:space="preserve">Jewelz Blu </v>
      </c>
      <c r="D926" s="27" t="s">
        <v>4638</v>
      </c>
      <c r="E926" s="28" t="s">
        <v>4639</v>
      </c>
      <c r="F926" s="9" t="str">
        <f ca="1">IFERROR(__xludf.DUMMYFUNCTION("""https://streamtape.com/v/""&amp;
REGEXEXTRACT(O926,""/thumb/([^/]+)/"")&amp;
""/""&amp;K926"),"https://streamtape.com/v/ajDe3xaoAjtxD4R/93619322")</f>
        <v>https://streamtape.com/v/ajDe3xaoAjtxD4R/93619322</v>
      </c>
      <c r="G926" s="10" t="e">
        <f t="shared" ca="1" si="13"/>
        <v>#NAME?</v>
      </c>
      <c r="H926" s="11" t="str">
        <f ca="1">IFERROR(__xludf.DUMMYFUNCTION("IFERROR(SUBSTITUTE(SUBSTITUTE(REGEXEXTRACT(A926, ""[^-]+- [^-]+- [^-]+ - (.+?)\.jpg""), "".jpg"", """"), ""-"", "", ""), """")"),"Haley Spades")</f>
        <v>Haley Spades</v>
      </c>
      <c r="I926" s="6"/>
      <c r="J926" s="7" t="str">
        <f t="shared" ca="1" si="14"/>
        <v>(2026)</v>
      </c>
      <c r="K926" s="7" t="str">
        <f t="shared" si="15"/>
        <v>93619322</v>
      </c>
      <c r="L926" s="12" t="s">
        <v>4640</v>
      </c>
      <c r="M926" s="13" t="str">
        <f ca="1">IFERROR(__xludf.DUMMYFUNCTION("TRIM(
  REGEXREPLACE(
    TEXTJOIN("" "",
      TRUE,
      B926,
      C926,
      embaralharLinks(E926,F926,G926),
      H926,
      """",
      J926,
      N926,
      ""#RIPNSFW""
    ),
  "",\s*"", "" "")
)"),"{New} Jewelz Blu https://lulustream.com/d/t165ikhn5wof https://streamtape.com/v/ajDe3xaoAjtxD4R/93619322 https://doodstream.com/d/lctbx4f2jfy0/93619322 Haley Spades (2026) #BigTits #MILF #Hardcore #Threesome #RIPNSFW")</f>
        <v>{New} Jewelz Blu https://lulustream.com/d/t165ikhn5wof https://streamtape.com/v/ajDe3xaoAjtxD4R/93619322 https://doodstream.com/d/lctbx4f2jfy0/93619322 Haley Spades (2026) #BigTits #MILF #Hardcore #Threesome #RIPNSFW</v>
      </c>
      <c r="N926" s="2" t="s">
        <v>4641</v>
      </c>
      <c r="O926" s="30" t="s">
        <v>4642</v>
      </c>
      <c r="P926" s="26"/>
      <c r="R926" s="23"/>
    </row>
    <row r="927" spans="1:27" ht="12.75">
      <c r="A927" s="6" t="s">
        <v>4643</v>
      </c>
      <c r="B927" s="6" t="s">
        <v>14</v>
      </c>
      <c r="C927" s="7" t="str">
        <f t="shared" si="12"/>
        <v xml:space="preserve">Jewelz Blu </v>
      </c>
      <c r="D927" s="24" t="s">
        <v>4644</v>
      </c>
      <c r="E927" s="25" t="s">
        <v>4645</v>
      </c>
      <c r="F927" s="9" t="str">
        <f ca="1">IFERROR(__xludf.DUMMYFUNCTION("""https://streamtape.com/v/""&amp;
REGEXEXTRACT(O927,""/thumb/([^/]+)/"")&amp;
""/""&amp;K927"),"https://streamtape.com/v/vK8372R72Af4yLb/95336352")</f>
        <v>https://streamtape.com/v/vK8372R72Af4yLb/95336352</v>
      </c>
      <c r="G927" s="10" t="e">
        <f t="shared" ca="1" si="13"/>
        <v>#NAME?</v>
      </c>
      <c r="H927" s="11" t="str">
        <f ca="1">IFERROR(__xludf.DUMMYFUNCTION("IFERROR(SUBSTITUTE(SUBSTITUTE(REGEXEXTRACT(A927, ""[^-]+- [^-]+- [^-]+ - (.+?)\.jpg""), "".jpg"", """"), ""-"", "", ""), """")"),"")</f>
        <v/>
      </c>
      <c r="I927" s="6"/>
      <c r="J927" s="7" t="str">
        <f t="shared" ca="1" si="14"/>
        <v>(2026)</v>
      </c>
      <c r="K927" s="7" t="str">
        <f t="shared" si="15"/>
        <v>95336352</v>
      </c>
      <c r="L927" s="12" t="s">
        <v>1462</v>
      </c>
      <c r="M927" s="13" t="str">
        <f ca="1">IFERROR(__xludf.DUMMYFUNCTION("TRIM(
  REGEXREPLACE(
    TEXTJOIN("" "",
      TRUE,
      B927,
      C927,
      embaralharLinks(E927,F927,G927),
      H927,
      """",
      J927,
      N927,
      ""#RIPNSFW""
    ),
  "",\s*"", "" "")
)"),"{New} Jewelz Blu https://lulustream.com/d/1lob685s69m2 https://streamtape.com/v/vK8372R72Af4yLb/95336352 https://doodstream.com/d/fif6l3m96vtg/95336352 (2026) #milf #bigtits #bigass #blowjob #RIPNSFW")</f>
        <v>{New} Jewelz Blu https://lulustream.com/d/1lob685s69m2 https://streamtape.com/v/vK8372R72Af4yLb/95336352 https://doodstream.com/d/fif6l3m96vtg/95336352 (2026) #milf #bigtits #bigass #blowjob #RIPNSFW</v>
      </c>
      <c r="N927" s="31" t="s">
        <v>1462</v>
      </c>
      <c r="O927" s="32" t="s">
        <v>4646</v>
      </c>
      <c r="P927" s="26"/>
      <c r="Q927" s="6"/>
      <c r="R927" s="11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>
      <c r="A928" s="6" t="s">
        <v>4647</v>
      </c>
      <c r="B928" s="6" t="s">
        <v>14</v>
      </c>
      <c r="C928" s="7" t="str">
        <f t="shared" si="12"/>
        <v xml:space="preserve">Jewelz Blu </v>
      </c>
      <c r="D928" s="6" t="s">
        <v>4648</v>
      </c>
      <c r="E928" s="8" t="s">
        <v>4649</v>
      </c>
      <c r="F928" s="9" t="str">
        <f ca="1">IFERROR(__xludf.DUMMYFUNCTION("""https://streamtape.com/v/""&amp;
REGEXEXTRACT(O928,""/thumb/([^/]+)/"")&amp;
""/""&amp;K928"),"https://streamtape.com/v/8Wq99vaJDzU6MG/95623353")</f>
        <v>https://streamtape.com/v/8Wq99vaJDzU6MG/95623353</v>
      </c>
      <c r="G928" s="10" t="e">
        <f t="shared" ca="1" si="13"/>
        <v>#NAME?</v>
      </c>
      <c r="H928" s="11" t="str">
        <f ca="1">IFERROR(__xludf.DUMMYFUNCTION("IFERROR(SUBSTITUTE(SUBSTITUTE(REGEXEXTRACT(A928, ""[^-]+- [^-]+- [^-]+ - (.+?)\.jpg""), "".jpg"", """"), ""-"", "", ""), """")"),"")</f>
        <v/>
      </c>
      <c r="I928" s="6"/>
      <c r="J928" s="7" t="str">
        <f t="shared" ca="1" si="14"/>
        <v>(2026)</v>
      </c>
      <c r="K928" s="7" t="str">
        <f t="shared" si="15"/>
        <v>95623353</v>
      </c>
      <c r="L928" s="12" t="s">
        <v>4332</v>
      </c>
      <c r="M928" s="13" t="str">
        <f ca="1">IFERROR(__xludf.DUMMYFUNCTION("TRIM(
  REGEXREPLACE(
    TEXTJOIN("" "",
      TRUE,
      B928,
      C928,
      embaralharLinks(E928,F928,G928),
      H928,
      """",
      J928,
      N928,
      ""#RIPNSFW""
    ),
  "",\s*"", "" "")
)"),"{New} Jewelz Blu https://lulustream.com/d/etss5d4caxgy https://doodstream.com/d/pjravdvq94vu/95623353 https://streamtape.com/v/8Wq99vaJDzU6MG/95623353 (2026) #MILF #BigTits #Creampie #Hardcore #Bigass #RIPNSFW")</f>
        <v>{New} Jewelz Blu https://lulustream.com/d/etss5d4caxgy https://doodstream.com/d/pjravdvq94vu/95623353 https://streamtape.com/v/8Wq99vaJDzU6MG/95623353 (2026) #MILF #BigTits #Creampie #Hardcore #Bigass #RIPNSFW</v>
      </c>
      <c r="N928" s="14" t="s">
        <v>1436</v>
      </c>
      <c r="O928" s="15" t="s">
        <v>4650</v>
      </c>
      <c r="P928" s="14"/>
      <c r="Q928" s="6"/>
      <c r="R928" s="11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>
      <c r="A929" s="12" t="s">
        <v>4651</v>
      </c>
      <c r="B929" s="6" t="s">
        <v>14</v>
      </c>
      <c r="C929" s="7" t="str">
        <f t="shared" si="12"/>
        <v xml:space="preserve">Jewelz Blu </v>
      </c>
      <c r="D929" s="24" t="s">
        <v>4652</v>
      </c>
      <c r="E929" s="25" t="s">
        <v>4653</v>
      </c>
      <c r="F929" s="9" t="str">
        <f ca="1">IFERROR(__xludf.DUMMYFUNCTION("""https://streamtape.com/v/""&amp;
REGEXEXTRACT(O929,""/thumb/([^/]+)/"")&amp;
""/""&amp;K929"),"https://streamtape.com/v/Ba61BM4eVPSyoVA/95638896")</f>
        <v>https://streamtape.com/v/Ba61BM4eVPSyoVA/95638896</v>
      </c>
      <c r="G929" s="10" t="e">
        <f t="shared" ca="1" si="13"/>
        <v>#NAME?</v>
      </c>
      <c r="H929" s="11" t="str">
        <f ca="1">IFERROR(__xludf.DUMMYFUNCTION("IFERROR(SUBSTITUTE(SUBSTITUTE(REGEXEXTRACT(A929, ""[^-]+- [^-]+- [^-]+ - (.+?)\.jpg""), "".jpg"", """"), ""-"", "", ""), """")"),"Hailey Rose")</f>
        <v>Hailey Rose</v>
      </c>
      <c r="I929" s="6"/>
      <c r="J929" s="7" t="str">
        <f t="shared" ca="1" si="14"/>
        <v>(2026)</v>
      </c>
      <c r="K929" s="7" t="str">
        <f t="shared" si="15"/>
        <v>95638896</v>
      </c>
      <c r="L929" s="12" t="s">
        <v>4654</v>
      </c>
      <c r="M929" s="13" t="str">
        <f ca="1">IFERROR(__xludf.DUMMYFUNCTION("TRIM(
  REGEXREPLACE(
    TEXTJOIN("" "",
      TRUE,
      B929,
      C929,
      embaralharLinks(E929,F929,G929),
      H929,
      """",
      J929,
      N929,
      ""#RIPNSFW""
    ),
  "",\s*"", "" "")
)"),"{New} Jewelz Blu https://streamtape.com/v/Ba61BM4eVPSyoVA/95638896 https://doodstream.com/d/ry2tb94edr5e/95638896 https://lulustream.com/d/7wvjblezwnu6 Hailey Rose (2026) #bigtits #bigass #threesome #blowjob #RIPNSFW")</f>
        <v>{New} Jewelz Blu https://streamtape.com/v/Ba61BM4eVPSyoVA/95638896 https://doodstream.com/d/ry2tb94edr5e/95638896 https://lulustream.com/d/7wvjblezwnu6 Hailey Rose (2026) #bigtits #bigass #threesome #blowjob #RIPNSFW</v>
      </c>
      <c r="N929" s="2" t="s">
        <v>4654</v>
      </c>
      <c r="O929" s="30" t="s">
        <v>4655</v>
      </c>
      <c r="P929" s="26"/>
      <c r="R929" s="23"/>
      <c r="T929" s="6"/>
      <c r="U929" s="7"/>
    </row>
    <row r="930" spans="1:27" ht="12.75">
      <c r="A930" s="6" t="s">
        <v>4656</v>
      </c>
      <c r="B930" s="6" t="s">
        <v>14</v>
      </c>
      <c r="C930" s="7" t="str">
        <f t="shared" si="12"/>
        <v xml:space="preserve">Jewelz Blu </v>
      </c>
      <c r="D930" s="24" t="s">
        <v>4657</v>
      </c>
      <c r="E930" s="25" t="s">
        <v>4658</v>
      </c>
      <c r="F930" s="9" t="str">
        <f ca="1">IFERROR(__xludf.DUMMYFUNCTION("""https://streamtape.com/v/""&amp;
REGEXEXTRACT(O930,""/thumb/([^/]+)/"")&amp;
""/""&amp;K930"),"https://streamtape.com/v/q8O30zqXPKIzqx0/96252943")</f>
        <v>https://streamtape.com/v/q8O30zqXPKIzqx0/96252943</v>
      </c>
      <c r="G930" s="10" t="e">
        <f t="shared" ca="1" si="13"/>
        <v>#NAME?</v>
      </c>
      <c r="H930" s="11" t="str">
        <f ca="1">IFERROR(__xludf.DUMMYFUNCTION("IFERROR(SUBSTITUTE(SUBSTITUTE(REGEXEXTRACT(A930, ""[^-]+- [^-]+- [^-]+ - (.+?)\.jpg""), "".jpg"", """"), ""-"", "", ""), """")"),"")</f>
        <v/>
      </c>
      <c r="I930" s="6"/>
      <c r="J930" s="7" t="str">
        <f t="shared" ca="1" si="14"/>
        <v>(2026)</v>
      </c>
      <c r="K930" s="7" t="str">
        <f t="shared" si="15"/>
        <v>96252943</v>
      </c>
      <c r="L930" s="12" t="s">
        <v>4659</v>
      </c>
      <c r="M930" s="13" t="str">
        <f ca="1">IFERROR(__xludf.DUMMYFUNCTION("TRIM(
  REGEXREPLACE(
    TEXTJOIN("" "",
      TRUE,
      B930,
      C930,
      embaralharLinks(E930,F930,G930),
      H930,
      """",
      J930,
      N930,
      ""#RIPNSFW""
    ),
  "",\s*"", "" "")
)"),"{New} Jewelz Blu https://streamtape.com/v/q8O30zqXPKIzqx0/96252943 https://lulustream.com/d/2topeuz3uvpf https://doodstream.com/d/obrop5v3v82t/96252943 (2026) #anal #bigtits #doublepenetration #bigass #RIPNSFW")</f>
        <v>{New} Jewelz Blu https://streamtape.com/v/q8O30zqXPKIzqx0/96252943 https://lulustream.com/d/2topeuz3uvpf https://doodstream.com/d/obrop5v3v82t/96252943 (2026) #anal #bigtits #doublepenetration #bigass #RIPNSFW</v>
      </c>
      <c r="N930" s="31" t="s">
        <v>4659</v>
      </c>
      <c r="O930" s="32" t="s">
        <v>4660</v>
      </c>
      <c r="P930" s="26"/>
      <c r="Q930" s="6"/>
      <c r="R930" s="11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>
      <c r="A931" s="6" t="s">
        <v>4661</v>
      </c>
      <c r="B931" s="6" t="s">
        <v>14</v>
      </c>
      <c r="C931" s="7" t="str">
        <f t="shared" si="12"/>
        <v xml:space="preserve">Jewelz Blu </v>
      </c>
      <c r="D931" s="24" t="s">
        <v>4662</v>
      </c>
      <c r="E931" s="25" t="s">
        <v>4663</v>
      </c>
      <c r="F931" s="9" t="str">
        <f ca="1">IFERROR(__xludf.DUMMYFUNCTION("""https://streamtape.com/v/""&amp;
REGEXEXTRACT(O931,""/thumb/([^/]+)/"")&amp;
""/""&amp;K931"),"https://streamtape.com/v/X1yPWzDRMwSDY6B/96624921")</f>
        <v>https://streamtape.com/v/X1yPWzDRMwSDY6B/96624921</v>
      </c>
      <c r="G931" s="10" t="e">
        <f t="shared" ca="1" si="13"/>
        <v>#NAME?</v>
      </c>
      <c r="H931" s="11" t="str">
        <f ca="1">IFERROR(__xludf.DUMMYFUNCTION("IFERROR(SUBSTITUTE(SUBSTITUTE(REGEXEXTRACT(A931, ""[^-]+- [^-]+- [^-]+ - (.+?)\.jpg""), "".jpg"", """"), ""-"", "", ""), """")"),"")</f>
        <v/>
      </c>
      <c r="I931" s="6"/>
      <c r="J931" s="7" t="str">
        <f t="shared" ca="1" si="14"/>
        <v>(2026)</v>
      </c>
      <c r="K931" s="7" t="str">
        <f t="shared" si="15"/>
        <v>96624921</v>
      </c>
      <c r="L931" s="12" t="s">
        <v>4664</v>
      </c>
      <c r="M931" s="13" t="str">
        <f ca="1">IFERROR(__xludf.DUMMYFUNCTION("TRIM(
  REGEXREPLACE(
    TEXTJOIN("" "",
      TRUE,
      B931,
      C931,
      embaralharLinks(E931,F931,G931),
      H931,
      """",
      J931,
      N931,
      ""#RIPNSFW""
    ),
  "",\s*"", "" "")
)"),"{New} Jewelz Blu https://lulustream.com/d/zhwbu0521mxc https://doodstream.com/d/4qjtx2h715gq/96624921 https://streamtape.com/v/X1yPWzDRMwSDY6B/96624921 (2026) #bigass #blowjob #bigtits #facial #RIPNSFW")</f>
        <v>{New} Jewelz Blu https://lulustream.com/d/zhwbu0521mxc https://doodstream.com/d/4qjtx2h715gq/96624921 https://streamtape.com/v/X1yPWzDRMwSDY6B/96624921 (2026) #bigass #blowjob #bigtits #facial #RIPNSFW</v>
      </c>
      <c r="N931" s="31" t="s">
        <v>4664</v>
      </c>
      <c r="O931" s="32" t="s">
        <v>4665</v>
      </c>
      <c r="P931" s="26"/>
      <c r="R931" s="23"/>
      <c r="T931" s="6"/>
      <c r="U931" s="7"/>
    </row>
    <row r="932" spans="1:27" ht="12.75">
      <c r="A932" s="12" t="s">
        <v>4666</v>
      </c>
      <c r="B932" s="6" t="s">
        <v>14</v>
      </c>
      <c r="C932" s="7" t="str">
        <f t="shared" si="12"/>
        <v xml:space="preserve">Jewelz Blu </v>
      </c>
      <c r="D932" s="24" t="s">
        <v>4667</v>
      </c>
      <c r="E932" s="25" t="s">
        <v>4668</v>
      </c>
      <c r="F932" s="9" t="str">
        <f ca="1">IFERROR(__xludf.DUMMYFUNCTION("""https://streamtape.com/v/""&amp;
REGEXEXTRACT(O932,""/thumb/([^/]+)/"")&amp;
""/""&amp;K932"),"https://streamtape.com/v/wZebwzRQOpfJm8w/96870764")</f>
        <v>https://streamtape.com/v/wZebwzRQOpfJm8w/96870764</v>
      </c>
      <c r="G932" s="10" t="e">
        <f t="shared" ca="1" si="13"/>
        <v>#NAME?</v>
      </c>
      <c r="H932" s="11" t="str">
        <f ca="1">IFERROR(__xludf.DUMMYFUNCTION("IFERROR(SUBSTITUTE(SUBSTITUTE(REGEXEXTRACT(A932, ""[^-]+- [^-]+- [^-]+ - (.+?)\.jpg""), "".jpg"", """"), ""-"", "", ""), """")"),"")</f>
        <v/>
      </c>
      <c r="I932" s="6"/>
      <c r="J932" s="7" t="str">
        <f t="shared" ca="1" si="14"/>
        <v>(2026)</v>
      </c>
      <c r="K932" s="7" t="str">
        <f t="shared" si="15"/>
        <v>96870764</v>
      </c>
      <c r="L932" s="12" t="s">
        <v>4669</v>
      </c>
      <c r="M932" s="13" t="str">
        <f ca="1">IFERROR(__xludf.DUMMYFUNCTION("TRIM(
  REGEXREPLACE(
    TEXTJOIN("" "",
      TRUE,
      B932,
      C932,
      embaralharLinks(E932,F932,G932),
      H932,
      """",
      J932,
      N932,
      ""#RIPNSFW""
    ),
  "",\s*"", "" "")
)"),"{New} Jewelz Blu https://streamtape.com/v/wZebwzRQOpfJm8w/96870764 https://lulustream.com/d/z4vy18lgdcck https://doodstream.com/d/31r4pk8hj9yf/96870764 (2026) #bigtits #milf #creampie #hardcore #RIPNSFW")</f>
        <v>{New} Jewelz Blu https://streamtape.com/v/wZebwzRQOpfJm8w/96870764 https://lulustream.com/d/z4vy18lgdcck https://doodstream.com/d/31r4pk8hj9yf/96870764 (2026) #bigtits #milf #creampie #hardcore #RIPNSFW</v>
      </c>
      <c r="N932" s="2" t="s">
        <v>4669</v>
      </c>
      <c r="O932" s="30" t="s">
        <v>4670</v>
      </c>
      <c r="P932" s="26"/>
      <c r="R932" s="23"/>
      <c r="T932" s="6"/>
      <c r="U932" s="7"/>
    </row>
    <row r="933" spans="1:27" ht="12.75">
      <c r="A933" s="12" t="s">
        <v>4671</v>
      </c>
      <c r="B933" s="6"/>
      <c r="C933" s="7" t="str">
        <f t="shared" si="12"/>
        <v xml:space="preserve">Juniper </v>
      </c>
      <c r="D933" s="24" t="s">
        <v>4672</v>
      </c>
      <c r="E933" s="25" t="s">
        <v>4673</v>
      </c>
      <c r="F933" s="9" t="str">
        <f ca="1">IFERROR(__xludf.DUMMYFUNCTION("""https://streamtape.com/v/""&amp;
REGEXEXTRACT(O933,""/thumb/([^/]+)/"")&amp;
""/""&amp;K933"),"https://streamtape.com/v/lqDLl8dkwLs7pgl/73596562")</f>
        <v>https://streamtape.com/v/lqDLl8dkwLs7pgl/73596562</v>
      </c>
      <c r="G933" s="10" t="e">
        <f t="shared" ca="1" si="13"/>
        <v>#NAME?</v>
      </c>
      <c r="H933" s="11" t="str">
        <f ca="1">IFERROR(__xludf.DUMMYFUNCTION("IFERROR(SUBSTITUTE(SUBSTITUTE(REGEXEXTRACT(A933, ""[^-]+- [^-]+- [^-]+ - (.+?)\.jpg""), "".jpg"", """"), ""-"", "", ""), """")"),"")</f>
        <v/>
      </c>
      <c r="I933" s="6"/>
      <c r="J933" s="7" t="str">
        <f t="shared" ca="1" si="14"/>
        <v/>
      </c>
      <c r="K933" s="7" t="str">
        <f t="shared" si="15"/>
        <v>73596562</v>
      </c>
      <c r="L933" s="12" t="s">
        <v>4674</v>
      </c>
      <c r="M933" s="13" t="str">
        <f ca="1">IFERROR(__xludf.DUMMYFUNCTION("TRIM(
  REGEXREPLACE(
    TEXTJOIN("" "",
      TRUE,
      B933,
      C933,
      embaralharLinks(E933,F933,G933),
      H933,
      """",
      J933,
      N933,
      ""#RIPNSFW""
    ),
  "",\s*"", "" "")
)"),"Juniper https://streamtape.com/v/lqDLl8dkwLs7pgl/73596562 https://lulustream.com/d/anpcytfrr3p3 https://doodstream.com/d/xd6lljg5mkpn/73596562 #anal #teen #creampie #casting #RIPNSFW")</f>
        <v>Juniper https://streamtape.com/v/lqDLl8dkwLs7pgl/73596562 https://lulustream.com/d/anpcytfrr3p3 https://doodstream.com/d/xd6lljg5mkpn/73596562 #anal #teen #creampie #casting #RIPNSFW</v>
      </c>
      <c r="N933" s="2" t="s">
        <v>4674</v>
      </c>
      <c r="O933" s="30" t="s">
        <v>4675</v>
      </c>
      <c r="P933" s="26"/>
      <c r="R933" s="23"/>
      <c r="T933" s="6"/>
      <c r="U933" s="7"/>
    </row>
    <row r="934" spans="1:27" ht="12.75">
      <c r="A934" s="12" t="s">
        <v>4676</v>
      </c>
      <c r="B934" s="6" t="s">
        <v>14</v>
      </c>
      <c r="C934" s="7" t="str">
        <f t="shared" si="12"/>
        <v xml:space="preserve">Juniper Ren </v>
      </c>
      <c r="D934" s="27" t="s">
        <v>4677</v>
      </c>
      <c r="E934" s="28" t="s">
        <v>4678</v>
      </c>
      <c r="F934" s="9" t="str">
        <f ca="1">IFERROR(__xludf.DUMMYFUNCTION("""https://streamtape.com/v/""&amp;
REGEXEXTRACT(O934,""/thumb/([^/]+)/"")&amp;
""/""&amp;K934"),"https://streamtape.com/v/lAqeVVBWa7u71e9/12323656")</f>
        <v>https://streamtape.com/v/lAqeVVBWa7u71e9/12323656</v>
      </c>
      <c r="G934" s="10" t="e">
        <f t="shared" ca="1" si="13"/>
        <v>#NAME?</v>
      </c>
      <c r="H934" s="11" t="str">
        <f ca="1">IFERROR(__xludf.DUMMYFUNCTION("IFERROR(SUBSTITUTE(SUBSTITUTE(REGEXEXTRACT(A934, ""[^-]+- [^-]+- [^-]+ - (.+?)\.jpg""), "".jpg"", """"), ""-"", "", ""), """")"),"")</f>
        <v/>
      </c>
      <c r="I934" s="6"/>
      <c r="J934" s="7" t="str">
        <f t="shared" ca="1" si="14"/>
        <v>(2026)</v>
      </c>
      <c r="K934" s="7" t="str">
        <f t="shared" si="15"/>
        <v>12323656</v>
      </c>
      <c r="L934" s="12" t="s">
        <v>4679</v>
      </c>
      <c r="M934" s="13" t="str">
        <f ca="1">IFERROR(__xludf.DUMMYFUNCTION("TRIM(
  REGEXREPLACE(
    TEXTJOIN("" "",
      TRUE,
      B934,
      C934,
      embaralharLinks(E934,F934,G934),
      H934,
      """",
      J934,
      N934,
      ""#RIPNSFW""
    ),
  "",\s*"", "" "")
)"),"{New} Juniper Ren https://doodstream.com/d/zzvruh3fq9yu/12323656 https://streamtape.com/v/lAqeVVBWa7u71e9/12323656 https://lulustream.com/d/teu9t1u899bn (2026) #Anal #Hardcore #Porn #Teen #RIPNSFW")</f>
        <v>{New} Juniper Ren https://doodstream.com/d/zzvruh3fq9yu/12323656 https://streamtape.com/v/lAqeVVBWa7u71e9/12323656 https://lulustream.com/d/teu9t1u899bn (2026) #Anal #Hardcore #Porn #Teen #RIPNSFW</v>
      </c>
      <c r="N934" s="2" t="s">
        <v>1675</v>
      </c>
      <c r="O934" s="30" t="s">
        <v>4680</v>
      </c>
      <c r="P934" s="26"/>
      <c r="R934" s="23"/>
    </row>
    <row r="935" spans="1:27" ht="12.75">
      <c r="A935" s="6" t="s">
        <v>4681</v>
      </c>
      <c r="B935" s="6" t="s">
        <v>14</v>
      </c>
      <c r="C935" s="7" t="str">
        <f t="shared" si="12"/>
        <v xml:space="preserve">Juniper Ren </v>
      </c>
      <c r="D935" s="6" t="s">
        <v>4682</v>
      </c>
      <c r="E935" s="8" t="s">
        <v>4683</v>
      </c>
      <c r="F935" s="9" t="str">
        <f ca="1">IFERROR(__xludf.DUMMYFUNCTION("""https://streamtape.com/v/""&amp;
REGEXEXTRACT(O935,""/thumb/([^/]+)/"")&amp;
""/""&amp;K935"),"https://streamtape.com/v/M9o4zVM1eDSmXLo/14825639")</f>
        <v>https://streamtape.com/v/M9o4zVM1eDSmXLo/14825639</v>
      </c>
      <c r="G935" s="10" t="e">
        <f t="shared" ca="1" si="13"/>
        <v>#NAME?</v>
      </c>
      <c r="H935" s="11" t="str">
        <f ca="1">IFERROR(__xludf.DUMMYFUNCTION("IFERROR(SUBSTITUTE(SUBSTITUTE(REGEXEXTRACT(A935, ""[^-]+- [^-]+- [^-]+ - (.+?)\.jpg""), "".jpg"", """"), ""-"", "", ""), """")"),"")</f>
        <v/>
      </c>
      <c r="I935" s="6"/>
      <c r="J935" s="7" t="str">
        <f t="shared" ca="1" si="14"/>
        <v>(2026)</v>
      </c>
      <c r="K935" s="7" t="str">
        <f t="shared" si="15"/>
        <v>14825639</v>
      </c>
      <c r="L935" s="12" t="s">
        <v>4684</v>
      </c>
      <c r="M935" s="13" t="str">
        <f ca="1">IFERROR(__xludf.DUMMYFUNCTION("TRIM(
  REGEXREPLACE(
    TEXTJOIN("" "",
      TRUE,
      B935,
      C935,
      embaralharLinks(E935,F935,G935),
      H935,
      """",
      J935,
      N935,
      ""#RIPNSFW""
    ),
  "",\s*"", "" "")
)"),"{New} Juniper Ren https://doodstream.com/d/t1g7hj18ht0t/14825639 https://streamtape.com/v/M9o4zVM1eDSmXLo/14825639 https://lulustream.com/d/u7xlh9v7c8t0 (2026) #Hardcore #Porn #Teen #Artporn #Blowjob #RIPNSFW")</f>
        <v>{New} Juniper Ren https://doodstream.com/d/t1g7hj18ht0t/14825639 https://streamtape.com/v/M9o4zVM1eDSmXLo/14825639 https://lulustream.com/d/u7xlh9v7c8t0 (2026) #Hardcore #Porn #Teen #Artporn #Blowjob #RIPNSFW</v>
      </c>
      <c r="N935" s="14" t="s">
        <v>4685</v>
      </c>
      <c r="O935" s="15" t="s">
        <v>4686</v>
      </c>
      <c r="P935" s="14"/>
      <c r="Q935" s="6"/>
      <c r="R935" s="11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>
      <c r="A936" s="6" t="s">
        <v>4687</v>
      </c>
      <c r="B936" s="6" t="s">
        <v>14</v>
      </c>
      <c r="C936" s="7" t="str">
        <f t="shared" si="12"/>
        <v xml:space="preserve">Juniper Ren </v>
      </c>
      <c r="D936" s="6" t="s">
        <v>4688</v>
      </c>
      <c r="E936" s="8" t="s">
        <v>4689</v>
      </c>
      <c r="F936" s="9" t="str">
        <f ca="1">IFERROR(__xludf.DUMMYFUNCTION("""https://streamtape.com/v/""&amp;
REGEXEXTRACT(O936,""/thumb/([^/]+)/"")&amp;
""/""&amp;K936"),"https://streamtape.com/v/4mLA0V1Og8cKvbV/57287679")</f>
        <v>https://streamtape.com/v/4mLA0V1Og8cKvbV/57287679</v>
      </c>
      <c r="G936" s="10" t="e">
        <f t="shared" ca="1" si="13"/>
        <v>#NAME?</v>
      </c>
      <c r="H936" s="11" t="str">
        <f ca="1">IFERROR(__xludf.DUMMYFUNCTION("IFERROR(SUBSTITUTE(SUBSTITUTE(REGEXEXTRACT(A936, ""[^-]+- [^-]+- [^-]+ - (.+?)\.jpg""), "".jpg"", """"), ""-"", "", ""), """")"),"")</f>
        <v/>
      </c>
      <c r="I936" s="6"/>
      <c r="J936" s="7" t="str">
        <f t="shared" ca="1" si="14"/>
        <v>(2026)</v>
      </c>
      <c r="K936" s="7" t="str">
        <f t="shared" si="15"/>
        <v>57287679</v>
      </c>
      <c r="L936" s="12" t="s">
        <v>4690</v>
      </c>
      <c r="M936" s="13" t="str">
        <f ca="1">IFERROR(__xludf.DUMMYFUNCTION("TRIM(
  REGEXREPLACE(
    TEXTJOIN("" "",
      TRUE,
      B936,
      C936,
      embaralharLinks(E936,F936,G936),
      H936,
      """",
      J936,
      N936,
      ""#RIPNSFW""
    ),
  "",\s*"", "" "")
)"),"{New} Juniper Ren https://streamtape.com/v/4mLA0V1Og8cKvbV/57287679 https://doodstream.com/d/lhn7w16k9pro/57287679 https://lulustream.com/d/3bgzwf0nquro (2026) #Hardcore #Teen #Porn #Blowjob #RIPNSFW")</f>
        <v>{New} Juniper Ren https://streamtape.com/v/4mLA0V1Og8cKvbV/57287679 https://doodstream.com/d/lhn7w16k9pro/57287679 https://lulustream.com/d/3bgzwf0nquro (2026) #Hardcore #Teen #Porn #Blowjob #RIPNSFW</v>
      </c>
      <c r="N936" s="14" t="s">
        <v>4691</v>
      </c>
      <c r="O936" s="15" t="s">
        <v>4692</v>
      </c>
      <c r="P936" s="14"/>
      <c r="Q936" s="6"/>
      <c r="R936" s="11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>
      <c r="A937" s="6" t="s">
        <v>4693</v>
      </c>
      <c r="B937" s="6" t="s">
        <v>14</v>
      </c>
      <c r="C937" s="7" t="str">
        <f t="shared" si="12"/>
        <v xml:space="preserve">Juniper Ren </v>
      </c>
      <c r="D937" s="6" t="s">
        <v>4694</v>
      </c>
      <c r="E937" s="8" t="s">
        <v>4695</v>
      </c>
      <c r="F937" s="9" t="str">
        <f ca="1">IFERROR(__xludf.DUMMYFUNCTION("""https://streamtape.com/v/""&amp;
REGEXEXTRACT(O937,""/thumb/([^/]+)/"")&amp;
""/""&amp;K937"),"https://streamtape.com/v/A6130WApKMSD2M/96086342")</f>
        <v>https://streamtape.com/v/A6130WApKMSD2M/96086342</v>
      </c>
      <c r="G937" s="10" t="e">
        <f t="shared" ca="1" si="13"/>
        <v>#NAME?</v>
      </c>
      <c r="H937" s="11" t="str">
        <f ca="1">IFERROR(__xludf.DUMMYFUNCTION("IFERROR(SUBSTITUTE(SUBSTITUTE(REGEXEXTRACT(A937, ""[^-]+- [^-]+- [^-]+ - (.+?)\.jpg""), "".jpg"", """"), ""-"", "", ""), """")"),"")</f>
        <v/>
      </c>
      <c r="I937" s="6"/>
      <c r="J937" s="7" t="str">
        <f t="shared" ca="1" si="14"/>
        <v>(2026)</v>
      </c>
      <c r="K937" s="7" t="str">
        <f t="shared" si="15"/>
        <v>96086342</v>
      </c>
      <c r="L937" s="12" t="s">
        <v>4696</v>
      </c>
      <c r="M937" s="13" t="str">
        <f ca="1">IFERROR(__xludf.DUMMYFUNCTION("TRIM(
  REGEXREPLACE(
    TEXTJOIN("" "",
      TRUE,
      B937,
      C937,
      embaralharLinks(E937,F937,G937),
      H937,
      """",
      J937,
      N937,
      ""#RIPNSFW""
    ),
  "",\s*"", "" "")
)"),"{New} Juniper Ren https://lulustream.com/d/9eg1fv0wmpdy https://streamtape.com/v/A6130WApKMSD2M/96086342 https://doodstream.com/d/48bv1mu8zp1e/96086342 (2026) #Anal #Hardcore #Porn #Teen #Blowjob #Deepthroat #RIPNSFW")</f>
        <v>{New} Juniper Ren https://lulustream.com/d/9eg1fv0wmpdy https://streamtape.com/v/A6130WApKMSD2M/96086342 https://doodstream.com/d/48bv1mu8zp1e/96086342 (2026) #Anal #Hardcore #Porn #Teen #Blowjob #Deepthroat #RIPNSFW</v>
      </c>
      <c r="N937" s="14" t="s">
        <v>4697</v>
      </c>
      <c r="O937" s="15" t="s">
        <v>4698</v>
      </c>
      <c r="P937" s="14"/>
      <c r="Q937" s="6"/>
      <c r="R937" s="11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>
      <c r="A938" s="6" t="s">
        <v>4699</v>
      </c>
      <c r="B938" s="6" t="s">
        <v>14</v>
      </c>
      <c r="C938" s="7" t="str">
        <f t="shared" si="12"/>
        <v xml:space="preserve">Juniper Ren </v>
      </c>
      <c r="D938" s="6" t="s">
        <v>4700</v>
      </c>
      <c r="E938" s="8" t="s">
        <v>4701</v>
      </c>
      <c r="F938" s="9" t="str">
        <f ca="1">IFERROR(__xludf.DUMMYFUNCTION("""https://streamtape.com/v/""&amp;
REGEXEXTRACT(O938,""/thumb/([^/]+)/"")&amp;
""/""&amp;K938"),"https://streamtape.com/v/XWOjxbd4DZSDO2P/96325718")</f>
        <v>https://streamtape.com/v/XWOjxbd4DZSDO2P/96325718</v>
      </c>
      <c r="G938" s="10" t="e">
        <f t="shared" ca="1" si="13"/>
        <v>#NAME?</v>
      </c>
      <c r="H938" s="11" t="str">
        <f ca="1">IFERROR(__xludf.DUMMYFUNCTION("IFERROR(SUBSTITUTE(SUBSTITUTE(REGEXEXTRACT(A938, ""[^-]+- [^-]+- [^-]+ - (.+?)\.jpg""), "".jpg"", """"), ""-"", "", ""), """")"),"")</f>
        <v/>
      </c>
      <c r="I938" s="6"/>
      <c r="J938" s="7" t="str">
        <f t="shared" ca="1" si="14"/>
        <v>(2026)</v>
      </c>
      <c r="K938" s="7" t="str">
        <f t="shared" si="15"/>
        <v>96325718</v>
      </c>
      <c r="L938" s="12" t="s">
        <v>4702</v>
      </c>
      <c r="M938" s="13" t="str">
        <f ca="1">IFERROR(__xludf.DUMMYFUNCTION("TRIM(
  REGEXREPLACE(
    TEXTJOIN("" "",
      TRUE,
      B938,
      C938,
      embaralharLinks(E938,F938,G938),
      H938,
      """",
      J938,
      N938,
      ""#RIPNSFW""
    ),
  "",\s*"", "" "")
)"),"{New} Juniper Ren https://doodstream.com/d/ftynklarbaxv/96325718 https://lulustream.com/d/n1te8u2gf5e4 https://streamtape.com/v/XWOjxbd4DZSDO2P/96325718 (2026) #Hardcore #Teen #Blowjob #Porn #RIPNSFW")</f>
        <v>{New} Juniper Ren https://doodstream.com/d/ftynklarbaxv/96325718 https://lulustream.com/d/n1te8u2gf5e4 https://streamtape.com/v/XWOjxbd4DZSDO2P/96325718 (2026) #Hardcore #Teen #Blowjob #Porn #RIPNSFW</v>
      </c>
      <c r="N938" s="14" t="s">
        <v>3647</v>
      </c>
      <c r="O938" s="15" t="s">
        <v>4703</v>
      </c>
      <c r="P938" s="14"/>
      <c r="Q938" s="6"/>
      <c r="R938" s="11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>
      <c r="A939" s="6" t="s">
        <v>4704</v>
      </c>
      <c r="B939" s="6" t="s">
        <v>14</v>
      </c>
      <c r="C939" s="7" t="str">
        <f t="shared" si="12"/>
        <v xml:space="preserve">Juniper Ren </v>
      </c>
      <c r="D939" s="6" t="s">
        <v>4705</v>
      </c>
      <c r="E939" s="8" t="s">
        <v>4706</v>
      </c>
      <c r="F939" s="9" t="str">
        <f ca="1">IFERROR(__xludf.DUMMYFUNCTION("""https://streamtape.com/v/""&amp;
REGEXEXTRACT(O939,""/thumb/([^/]+)/"")&amp;
""/""&amp;K939"),"https://streamtape.com/v/WeqrBb31xaibxRv/99851979")</f>
        <v>https://streamtape.com/v/WeqrBb31xaibxRv/99851979</v>
      </c>
      <c r="G939" s="10" t="e">
        <f t="shared" ca="1" si="13"/>
        <v>#NAME?</v>
      </c>
      <c r="H939" s="11" t="str">
        <f ca="1">IFERROR(__xludf.DUMMYFUNCTION("IFERROR(SUBSTITUTE(SUBSTITUTE(REGEXEXTRACT(A939, ""[^-]+- [^-]+- [^-]+ - (.+?)\.jpg""), "".jpg"", """"), ""-"", "", ""), """")"),"")</f>
        <v/>
      </c>
      <c r="I939" s="6"/>
      <c r="J939" s="7" t="str">
        <f t="shared" ca="1" si="14"/>
        <v>(2026)</v>
      </c>
      <c r="K939" s="7" t="str">
        <f t="shared" si="15"/>
        <v>99851979</v>
      </c>
      <c r="L939" s="12" t="s">
        <v>4707</v>
      </c>
      <c r="M939" s="13" t="str">
        <f ca="1">IFERROR(__xludf.DUMMYFUNCTION("TRIM(
  REGEXREPLACE(
    TEXTJOIN("" "",
      TRUE,
      B939,
      C939,
      embaralharLinks(E939,F939,G939),
      H939,
      """",
      J939,
      N939,
      ""#RIPNSFW""
    ),
  "",\s*"", "" "")
)"),"{New} Juniper Ren https://doodstream.com/d/vdsigh23strk/99851979 https://lulustream.com/d/5f0208ns9lmn https://streamtape.com/v/WeqrBb31xaibxRv/99851979 (2026) #Hardcore #Black #Interracial #Porn #Teen #Blowjob #RIPNSFW")</f>
        <v>{New} Juniper Ren https://doodstream.com/d/vdsigh23strk/99851979 https://lulustream.com/d/5f0208ns9lmn https://streamtape.com/v/WeqrBb31xaibxRv/99851979 (2026) #Hardcore #Black #Interracial #Porn #Teen #Blowjob #RIPNSFW</v>
      </c>
      <c r="N939" s="14" t="s">
        <v>4708</v>
      </c>
      <c r="O939" s="15" t="s">
        <v>4709</v>
      </c>
      <c r="P939" s="14"/>
      <c r="Q939" s="6"/>
      <c r="R939" s="11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>
      <c r="A940" s="6" t="s">
        <v>4710</v>
      </c>
      <c r="B940" s="6" t="s">
        <v>14</v>
      </c>
      <c r="C940" s="7" t="str">
        <f t="shared" si="12"/>
        <v xml:space="preserve">Kagney Linn Karter </v>
      </c>
      <c r="D940" s="6" t="s">
        <v>4711</v>
      </c>
      <c r="E940" s="8" t="s">
        <v>4712</v>
      </c>
      <c r="F940" s="9" t="str">
        <f ca="1">IFERROR(__xludf.DUMMYFUNCTION("""https://streamtape.com/v/""&amp;
REGEXEXTRACT(O940,""/thumb/([^/]+)/"")&amp;
""/""&amp;K940"),"https://streamtape.com/v/493Jw8y1apIKwOd/55994241")</f>
        <v>https://streamtape.com/v/493Jw8y1apIKwOd/55994241</v>
      </c>
      <c r="G940" s="10" t="e">
        <f t="shared" ca="1" si="13"/>
        <v>#NAME?</v>
      </c>
      <c r="H940" s="11" t="str">
        <f ca="1">IFERROR(__xludf.DUMMYFUNCTION("IFERROR(SUBSTITUTE(SUBSTITUTE(REGEXEXTRACT(A940, ""[^-]+- [^-]+- [^-]+ - (.+?)\.jpg""), "".jpg"", """"), ""-"", "", ""), """")"),"")</f>
        <v/>
      </c>
      <c r="I940" s="6"/>
      <c r="J940" s="7" t="str">
        <f t="shared" ca="1" si="14"/>
        <v>(2026)</v>
      </c>
      <c r="K940" s="7" t="str">
        <f t="shared" si="15"/>
        <v>55994241</v>
      </c>
      <c r="L940" s="12" t="s">
        <v>4713</v>
      </c>
      <c r="M940" s="13" t="str">
        <f ca="1">IFERROR(__xludf.DUMMYFUNCTION("TRIM(
  REGEXREPLACE(
    TEXTJOIN("" "",
      TRUE,
      B940,
      C940,
      embaralharLinks(E940,F940,G940),
      H940,
      """",
      J940,
      N940,
      ""#RIPNSFW""
    ),
  "",\s*"", "" "")
)"),"{New} Kagney Linn Karter https://streamtape.com/v/493Jw8y1apIKwOd/55994241 https://lulustream.com/d/jrfsmgwrphr5 https://doodstream.com/d/ie73pu0so6bv/55994241 (2026) #Anal #BigTits #Hardcore #Bigass #Porn #Teen #Blowjob #RIPNSFW")</f>
        <v>{New} Kagney Linn Karter https://streamtape.com/v/493Jw8y1apIKwOd/55994241 https://lulustream.com/d/jrfsmgwrphr5 https://doodstream.com/d/ie73pu0so6bv/55994241 (2026) #Anal #BigTits #Hardcore #Bigass #Porn #Teen #Blowjob #RIPNSFW</v>
      </c>
      <c r="N940" s="14" t="s">
        <v>1018</v>
      </c>
      <c r="O940" s="15" t="s">
        <v>4714</v>
      </c>
      <c r="P940" s="14"/>
      <c r="Q940" s="6"/>
      <c r="R940" s="11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>
      <c r="A941" s="12" t="s">
        <v>4715</v>
      </c>
      <c r="B941" s="6" t="s">
        <v>14</v>
      </c>
      <c r="C941" s="7" t="str">
        <f t="shared" si="12"/>
        <v xml:space="preserve">Kali Roses </v>
      </c>
      <c r="D941" s="24" t="s">
        <v>4716</v>
      </c>
      <c r="E941" s="25" t="s">
        <v>4717</v>
      </c>
      <c r="F941" s="9" t="str">
        <f ca="1">IFERROR(__xludf.DUMMYFUNCTION("""https://streamtape.com/v/""&amp;
REGEXEXTRACT(O941,""/thumb/([^/]+)/"")&amp;
""/""&amp;K941"),"https://streamtape.com/v/2PzlR9bLW0cQ18/27700551")</f>
        <v>https://streamtape.com/v/2PzlR9bLW0cQ18/27700551</v>
      </c>
      <c r="G941" s="10" t="e">
        <f t="shared" ca="1" si="13"/>
        <v>#NAME?</v>
      </c>
      <c r="H941" s="11" t="str">
        <f ca="1">IFERROR(__xludf.DUMMYFUNCTION("IFERROR(SUBSTITUTE(SUBSTITUTE(REGEXEXTRACT(A941, ""[^-]+- [^-]+- [^-]+ - (.+?)\.jpg""), "".jpg"", """"), ""-"", "", ""), """")"),"")</f>
        <v/>
      </c>
      <c r="I941" s="6"/>
      <c r="J941" s="7" t="str">
        <f t="shared" ca="1" si="14"/>
        <v>(2026)</v>
      </c>
      <c r="K941" s="7" t="str">
        <f t="shared" si="15"/>
        <v>27700551</v>
      </c>
      <c r="L941" s="12" t="s">
        <v>1462</v>
      </c>
      <c r="M941" s="13" t="str">
        <f ca="1">IFERROR(__xludf.DUMMYFUNCTION("TRIM(
  REGEXREPLACE(
    TEXTJOIN("" "",
      TRUE,
      B941,
      C941,
      embaralharLinks(E941,F941,G941),
      H941,
      """",
      J941,
      N941,
      ""#RIPNSFW""
    ),
  "",\s*"", "" "")
)"),"{New} Kali Roses https://lulustream.com/d/8rqsvkg15dxn https://doodstream.com/d/b2z9qxn6u0i3/27700551 https://streamtape.com/v/2PzlR9bLW0cQ18/27700551 (2026) #milf #bigtits #bigass #blowjob #RIPNSFW")</f>
        <v>{New} Kali Roses https://lulustream.com/d/8rqsvkg15dxn https://doodstream.com/d/b2z9qxn6u0i3/27700551 https://streamtape.com/v/2PzlR9bLW0cQ18/27700551 (2026) #milf #bigtits #bigass #blowjob #RIPNSFW</v>
      </c>
      <c r="N941" s="2" t="s">
        <v>1462</v>
      </c>
      <c r="O941" s="30" t="s">
        <v>4718</v>
      </c>
      <c r="P941" s="26"/>
      <c r="R941" s="23"/>
      <c r="T941" s="6"/>
      <c r="U941" s="7"/>
    </row>
    <row r="942" spans="1:27" ht="12.75">
      <c r="A942" s="12" t="s">
        <v>4719</v>
      </c>
      <c r="B942" s="6" t="s">
        <v>14</v>
      </c>
      <c r="C942" s="7" t="str">
        <f t="shared" si="12"/>
        <v xml:space="preserve">Kali Roses </v>
      </c>
      <c r="D942" s="24" t="s">
        <v>4720</v>
      </c>
      <c r="E942" s="25" t="s">
        <v>4721</v>
      </c>
      <c r="F942" s="9" t="str">
        <f ca="1">IFERROR(__xludf.DUMMYFUNCTION("""https://streamtape.com/v/""&amp;
REGEXEXTRACT(O942,""/thumb/([^/]+)/"")&amp;
""/""&amp;K942"),"https://streamtape.com/v/MxrVwbRBPVHmK3p/28586276")</f>
        <v>https://streamtape.com/v/MxrVwbRBPVHmK3p/28586276</v>
      </c>
      <c r="G942" s="10" t="e">
        <f t="shared" ca="1" si="13"/>
        <v>#NAME?</v>
      </c>
      <c r="H942" s="11" t="str">
        <f ca="1">IFERROR(__xludf.DUMMYFUNCTION("IFERROR(SUBSTITUTE(SUBSTITUTE(REGEXEXTRACT(A942, ""[^-]+- [^-]+- [^-]+ - (.+?)\.jpg""), "".jpg"", """"), ""-"", "", ""), """")"),"Ali Rose")</f>
        <v>Ali Rose</v>
      </c>
      <c r="I942" s="6"/>
      <c r="J942" s="7" t="str">
        <f t="shared" ca="1" si="14"/>
        <v>(2026)</v>
      </c>
      <c r="K942" s="7" t="str">
        <f t="shared" si="15"/>
        <v>28586276</v>
      </c>
      <c r="L942" s="12" t="s">
        <v>4722</v>
      </c>
      <c r="M942" s="13" t="str">
        <f ca="1">IFERROR(__xludf.DUMMYFUNCTION("TRIM(
  REGEXREPLACE(
    TEXTJOIN("" "",
      TRUE,
      B942,
      C942,
      embaralharLinks(E942,F942,G942),
      H942,
      """",
      J942,
      N942,
      ""#RIPNSFW""
    ),
  "",\s*"", "" "")
)"),"{New} Kali Roses https://lulustream.com/d/lztsspreqn1z https://doodstream.com/d/mziyqhkmpcrv/28586276 https://streamtape.com/v/MxrVwbRBPVHmK3p/28586276 Ali Rose (2026) #milf #bigtits #hardcore #threesome #RIPNSFW")</f>
        <v>{New} Kali Roses https://lulustream.com/d/lztsspreqn1z https://doodstream.com/d/mziyqhkmpcrv/28586276 https://streamtape.com/v/MxrVwbRBPVHmK3p/28586276 Ali Rose (2026) #milf #bigtits #hardcore #threesome #RIPNSFW</v>
      </c>
      <c r="N942" s="2" t="s">
        <v>4722</v>
      </c>
      <c r="O942" s="30" t="s">
        <v>4723</v>
      </c>
      <c r="P942" s="26"/>
      <c r="R942" s="23"/>
      <c r="T942" s="6"/>
      <c r="U942" s="7"/>
    </row>
    <row r="943" spans="1:27" ht="12.75">
      <c r="A943" s="6" t="s">
        <v>4724</v>
      </c>
      <c r="B943" s="6" t="s">
        <v>14</v>
      </c>
      <c r="C943" s="7" t="str">
        <f t="shared" si="12"/>
        <v xml:space="preserve">Kali Roses </v>
      </c>
      <c r="D943" s="6" t="s">
        <v>4725</v>
      </c>
      <c r="E943" s="8" t="s">
        <v>4726</v>
      </c>
      <c r="F943" s="9" t="str">
        <f ca="1">IFERROR(__xludf.DUMMYFUNCTION("""https://streamtape.com/v/""&amp;
REGEXEXTRACT(O943,""/thumb/([^/]+)/"")&amp;
""/""&amp;K943"),"https://streamtape.com/v/7bomMZd8ayuAK4K/33146055")</f>
        <v>https://streamtape.com/v/7bomMZd8ayuAK4K/33146055</v>
      </c>
      <c r="G943" s="10" t="e">
        <f t="shared" ca="1" si="13"/>
        <v>#NAME?</v>
      </c>
      <c r="H943" s="11" t="str">
        <f ca="1">IFERROR(__xludf.DUMMYFUNCTION("IFERROR(SUBSTITUTE(SUBSTITUTE(REGEXEXTRACT(A943, ""[^-]+- [^-]+- [^-]+ - (.+?)\.jpg""), "".jpg"", """"), ""-"", "", ""), """")"),"")</f>
        <v/>
      </c>
      <c r="I943" s="6"/>
      <c r="J943" s="7" t="str">
        <f t="shared" ca="1" si="14"/>
        <v>(2026)</v>
      </c>
      <c r="K943" s="7" t="str">
        <f t="shared" si="15"/>
        <v>33146055</v>
      </c>
      <c r="L943" s="12" t="s">
        <v>1409</v>
      </c>
      <c r="M943" s="13" t="str">
        <f ca="1">IFERROR(__xludf.DUMMYFUNCTION("TRIM(
  REGEXREPLACE(
    TEXTJOIN("" "",
      TRUE,
      B943,
      C943,
      embaralharLinks(E943,F943,G943),
      H943,
      """",
      J943,
      N943,
      ""#RIPNSFW""
    ),
  "",\s*"", "" "")
)"),"{New} Kali Roses https://doodstream.com/d/n35kdmeb9s6z/33146055 https://streamtape.com/v/7bomMZd8ayuAK4K/33146055 https://lulustream.com/d/yn3jhvyijuh5 (2026) #MILF #BigTits #Hardcore #Bigass #Blowjob #Amateur #RIPNSFW")</f>
        <v>{New} Kali Roses https://doodstream.com/d/n35kdmeb9s6z/33146055 https://streamtape.com/v/7bomMZd8ayuAK4K/33146055 https://lulustream.com/d/yn3jhvyijuh5 (2026) #MILF #BigTits #Hardcore #Bigass #Blowjob #Amateur #RIPNSFW</v>
      </c>
      <c r="N943" s="14" t="s">
        <v>999</v>
      </c>
      <c r="O943" s="15" t="s">
        <v>4727</v>
      </c>
      <c r="P943" s="14"/>
      <c r="Q943" s="6"/>
      <c r="R943" s="11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>
      <c r="A944" s="12" t="s">
        <v>4728</v>
      </c>
      <c r="B944" s="6" t="s">
        <v>14</v>
      </c>
      <c r="C944" s="7" t="str">
        <f t="shared" si="12"/>
        <v xml:space="preserve">Kali Roses </v>
      </c>
      <c r="D944" s="27" t="s">
        <v>4729</v>
      </c>
      <c r="E944" s="28" t="s">
        <v>4730</v>
      </c>
      <c r="F944" s="9" t="str">
        <f ca="1">IFERROR(__xludf.DUMMYFUNCTION("""https://streamtape.com/v/""&amp;
REGEXEXTRACT(O944,""/thumb/([^/]+)/"")&amp;
""/""&amp;K944"),"https://streamtape.com/v/glLX62LbdBCq0Gk/34740220")</f>
        <v>https://streamtape.com/v/glLX62LbdBCq0Gk/34740220</v>
      </c>
      <c r="G944" s="10" t="e">
        <f t="shared" ca="1" si="13"/>
        <v>#NAME?</v>
      </c>
      <c r="H944" s="11" t="str">
        <f ca="1">IFERROR(__xludf.DUMMYFUNCTION("IFERROR(SUBSTITUTE(SUBSTITUTE(REGEXEXTRACT(A944, ""[^-]+- [^-]+- [^-]+ - (.+?)\.jpg""), "".jpg"", """"), ""-"", "", ""), """")"),"")</f>
        <v/>
      </c>
      <c r="I944" s="6"/>
      <c r="J944" s="7" t="str">
        <f t="shared" ca="1" si="14"/>
        <v>(2026)</v>
      </c>
      <c r="K944" s="7" t="str">
        <f t="shared" si="15"/>
        <v>34740220</v>
      </c>
      <c r="L944" s="12" t="s">
        <v>47</v>
      </c>
      <c r="M944" s="13" t="str">
        <f ca="1">IFERROR(__xludf.DUMMYFUNCTION("TRIM(
  REGEXREPLACE(
    TEXTJOIN("" "",
      TRUE,
      B944,
      C944,
      embaralharLinks(E944,F944,G944),
      H944,
      """",
      J944,
      N944,
      ""#RIPNSFW""
    ),
  "",\s*"", "" "")
)"),"{New} Kali Roses https://doodstream.com/d/f022tu51enlz/34740220 https://lulustream.com/d/t579nmqall3e https://streamtape.com/v/glLX62LbdBCq0Gk/34740220 (2026) #MILF #BigTits #Hardcore #Threesome #RIPNSFW")</f>
        <v>{New} Kali Roses https://doodstream.com/d/f022tu51enlz/34740220 https://lulustream.com/d/t579nmqall3e https://streamtape.com/v/glLX62LbdBCq0Gk/34740220 (2026) #MILF #BigTits #Hardcore #Threesome #RIPNSFW</v>
      </c>
      <c r="N944" s="2" t="s">
        <v>48</v>
      </c>
      <c r="O944" s="21" t="s">
        <v>4731</v>
      </c>
      <c r="P944" s="26"/>
      <c r="R944" s="23"/>
    </row>
    <row r="945" spans="1:27" ht="12.75">
      <c r="A945" s="12" t="s">
        <v>4732</v>
      </c>
      <c r="B945" s="6" t="s">
        <v>14</v>
      </c>
      <c r="C945" s="7" t="str">
        <f t="shared" si="12"/>
        <v xml:space="preserve">Kali Roses </v>
      </c>
      <c r="D945" s="24" t="s">
        <v>4733</v>
      </c>
      <c r="E945" s="25" t="s">
        <v>4734</v>
      </c>
      <c r="F945" s="9" t="str">
        <f ca="1">IFERROR(__xludf.DUMMYFUNCTION("""https://streamtape.com/v/""&amp;
REGEXEXTRACT(O945,""/thumb/([^/]+)/"")&amp;
""/""&amp;K945"),"https://streamtape.com/v/Qyb9prvvazI0YPm/38472992")</f>
        <v>https://streamtape.com/v/Qyb9prvvazI0YPm/38472992</v>
      </c>
      <c r="G945" s="10" t="e">
        <f t="shared" ca="1" si="13"/>
        <v>#NAME?</v>
      </c>
      <c r="H945" s="11" t="str">
        <f ca="1">IFERROR(__xludf.DUMMYFUNCTION("IFERROR(SUBSTITUTE(SUBSTITUTE(REGEXEXTRACT(A945, ""[^-]+- [^-]+- [^-]+ - (.+?)\.jpg""), "".jpg"", """"), ""-"", "", ""), """")"),"")</f>
        <v/>
      </c>
      <c r="I945" s="6"/>
      <c r="J945" s="7" t="str">
        <f t="shared" ca="1" si="14"/>
        <v>(2026)</v>
      </c>
      <c r="K945" s="7" t="str">
        <f t="shared" si="15"/>
        <v>38472992</v>
      </c>
      <c r="L945" s="12" t="s">
        <v>4735</v>
      </c>
      <c r="M945" s="13" t="str">
        <f ca="1">IFERROR(__xludf.DUMMYFUNCTION("TRIM(
  REGEXREPLACE(
    TEXTJOIN("" "",
      TRUE,
      B945,
      C945,
      embaralharLinks(E945,F945,G945),
      H945,
      """",
      J945,
      N945,
      ""#RIPNSFW""
    ),
  "",\s*"", "" "")
)"),"{New} Kali Roses https://streamtape.com/v/Qyb9prvvazI0YPm/38472992 https://lulustream.com/d/cx2itdjo478m https://doodstream.com/d/qobcrtsysfhz/38472992 (2026) #milf #bigtits #bigass #blonde #RIPNSFW")</f>
        <v>{New} Kali Roses https://streamtape.com/v/Qyb9prvvazI0YPm/38472992 https://lulustream.com/d/cx2itdjo478m https://doodstream.com/d/qobcrtsysfhz/38472992 (2026) #milf #bigtits #bigass #blonde #RIPNSFW</v>
      </c>
      <c r="N945" s="2" t="s">
        <v>4735</v>
      </c>
      <c r="O945" s="30" t="s">
        <v>4736</v>
      </c>
      <c r="P945" s="26"/>
      <c r="R945" s="23"/>
    </row>
    <row r="946" spans="1:27" ht="12.75">
      <c r="A946" s="12" t="s">
        <v>4737</v>
      </c>
      <c r="B946" s="6" t="s">
        <v>14</v>
      </c>
      <c r="C946" s="7" t="str">
        <f t="shared" si="12"/>
        <v xml:space="preserve">Kali Roses </v>
      </c>
      <c r="D946" s="24" t="s">
        <v>4738</v>
      </c>
      <c r="E946" s="25" t="s">
        <v>4739</v>
      </c>
      <c r="F946" s="9" t="str">
        <f ca="1">IFERROR(__xludf.DUMMYFUNCTION("""https://streamtape.com/v/""&amp;
REGEXEXTRACT(O946,""/thumb/([^/]+)/"")&amp;
""/""&amp;K946"),"https://streamtape.com/v/OW184ZRlGkSZAy0/44828043")</f>
        <v>https://streamtape.com/v/OW184ZRlGkSZAy0/44828043</v>
      </c>
      <c r="G946" s="10" t="e">
        <f t="shared" ca="1" si="13"/>
        <v>#NAME?</v>
      </c>
      <c r="H946" s="11" t="str">
        <f ca="1">IFERROR(__xludf.DUMMYFUNCTION("IFERROR(SUBSTITUTE(SUBSTITUTE(REGEXEXTRACT(A946, ""[^-]+- [^-]+- [^-]+ - (.+?)\.jpg""), "".jpg"", """"), ""-"", "", ""), """")"),"Elana Bunnz")</f>
        <v>Elana Bunnz</v>
      </c>
      <c r="I946" s="6"/>
      <c r="J946" s="7" t="str">
        <f t="shared" ca="1" si="14"/>
        <v>(2026)</v>
      </c>
      <c r="K946" s="7" t="str">
        <f t="shared" si="15"/>
        <v>44828043</v>
      </c>
      <c r="L946" s="12" t="s">
        <v>4740</v>
      </c>
      <c r="M946" s="13" t="str">
        <f ca="1">IFERROR(__xludf.DUMMYFUNCTION("TRIM(
  REGEXREPLACE(
    TEXTJOIN("" "",
      TRUE,
      B946,
      C946,
      embaralharLinks(E946,F946,G946),
      H946,
      """",
      J946,
      N946,
      ""#RIPNSFW""
    ),
  "",\s*"", "" "")
)"),"{New} Kali Roses https://doodstream.com/d/01qf3ik9js82/44828043 https://streamtape.com/v/OW184ZRlGkSZAy0/44828043 https://lulustream.com/d/oigzci7gnbqq Elana Bunnz (2026) #threesome #bigass #blowjob #pov #RIPNSFW")</f>
        <v>{New} Kali Roses https://doodstream.com/d/01qf3ik9js82/44828043 https://streamtape.com/v/OW184ZRlGkSZAy0/44828043 https://lulustream.com/d/oigzci7gnbqq Elana Bunnz (2026) #threesome #bigass #blowjob #pov #RIPNSFW</v>
      </c>
      <c r="N946" s="2" t="s">
        <v>4740</v>
      </c>
      <c r="O946" s="30" t="s">
        <v>4741</v>
      </c>
      <c r="P946" s="26"/>
      <c r="R946" s="23"/>
      <c r="T946" s="6"/>
      <c r="U946" s="7"/>
    </row>
    <row r="947" spans="1:27" ht="12.75">
      <c r="A947" s="6" t="s">
        <v>4742</v>
      </c>
      <c r="B947" s="6" t="s">
        <v>14</v>
      </c>
      <c r="C947" s="7" t="str">
        <f t="shared" si="12"/>
        <v xml:space="preserve">Kali Roses </v>
      </c>
      <c r="D947" s="6" t="s">
        <v>4743</v>
      </c>
      <c r="E947" s="8" t="s">
        <v>4744</v>
      </c>
      <c r="F947" s="9" t="str">
        <f ca="1">IFERROR(__xludf.DUMMYFUNCTION("""https://streamtape.com/v/""&amp;
REGEXEXTRACT(O947,""/thumb/([^/]+)/"")&amp;
""/""&amp;K947"),"https://streamtape.com/v/zG0A30Q0kGfYLGR/45948552")</f>
        <v>https://streamtape.com/v/zG0A30Q0kGfYLGR/45948552</v>
      </c>
      <c r="G947" s="10" t="e">
        <f t="shared" ca="1" si="13"/>
        <v>#NAME?</v>
      </c>
      <c r="H947" s="11" t="str">
        <f ca="1">IFERROR(__xludf.DUMMYFUNCTION("IFERROR(SUBSTITUTE(SUBSTITUTE(REGEXEXTRACT(A947, ""[^-]+- [^-]+- [^-]+ - (.+?)\.jpg""), "".jpg"", """"), ""-"", "", ""), """")"),"")</f>
        <v/>
      </c>
      <c r="I947" s="6"/>
      <c r="J947" s="7" t="str">
        <f t="shared" ca="1" si="14"/>
        <v>(2026)</v>
      </c>
      <c r="K947" s="7" t="str">
        <f t="shared" si="15"/>
        <v>45948552</v>
      </c>
      <c r="L947" s="12" t="s">
        <v>4745</v>
      </c>
      <c r="M947" s="13" t="str">
        <f ca="1">IFERROR(__xludf.DUMMYFUNCTION("TRIM(
  REGEXREPLACE(
    TEXTJOIN("" "",
      TRUE,
      B947,
      C947,
      embaralharLinks(E947,F947,G947),
      H947,
      """",
      J947,
      N947,
      ""#RIPNSFW""
    ),
  "",\s*"", "" "")
)"),"{New} Kali Roses https://doodstream.com/d/xndbdpxvh10n/45948552 https://lulustream.com/d/gmw4jex01vic https://streamtape.com/v/zG0A30Q0kGfYLGR/45948552 (2026) #MILF #BigTits #Hardcore #Black #Interracial #Bigass #Porn #Blowjob #Deepthroat #Blonde #Facial "&amp;"#RIPNSFW")</f>
        <v>{New} Kali Roses https://doodstream.com/d/xndbdpxvh10n/45948552 https://lulustream.com/d/gmw4jex01vic https://streamtape.com/v/zG0A30Q0kGfYLGR/45948552 (2026) #MILF #BigTits #Hardcore #Black #Interracial #Bigass #Porn #Blowjob #Deepthroat #Blonde #Facial #RIPNSFW</v>
      </c>
      <c r="N947" s="14" t="s">
        <v>4746</v>
      </c>
      <c r="O947" s="15" t="s">
        <v>4747</v>
      </c>
      <c r="P947" s="14"/>
      <c r="Q947" s="6"/>
      <c r="R947" s="11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>
      <c r="A948" s="12" t="s">
        <v>4748</v>
      </c>
      <c r="B948" s="6" t="s">
        <v>14</v>
      </c>
      <c r="C948" s="7" t="str">
        <f t="shared" si="12"/>
        <v xml:space="preserve">Kali Roses </v>
      </c>
      <c r="D948" s="24" t="s">
        <v>4749</v>
      </c>
      <c r="E948" s="25" t="s">
        <v>4750</v>
      </c>
      <c r="F948" s="9" t="str">
        <f ca="1">IFERROR(__xludf.DUMMYFUNCTION("""https://streamtape.com/v/""&amp;
REGEXEXTRACT(O948,""/thumb/([^/]+)/"")&amp;
""/""&amp;K948"),"https://streamtape.com/v/ylm9zWBDwgF14XA/56029035")</f>
        <v>https://streamtape.com/v/ylm9zWBDwgF14XA/56029035</v>
      </c>
      <c r="G948" s="10" t="e">
        <f t="shared" ca="1" si="13"/>
        <v>#NAME?</v>
      </c>
      <c r="H948" s="11" t="str">
        <f ca="1">IFERROR(__xludf.DUMMYFUNCTION("IFERROR(SUBSTITUTE(SUBSTITUTE(REGEXEXTRACT(A948, ""[^-]+- [^-]+- [^-]+ - (.+?)\.jpg""), "".jpg"", """"), ""-"", "", ""), """")"),"")</f>
        <v/>
      </c>
      <c r="I948" s="6"/>
      <c r="J948" s="7" t="str">
        <f t="shared" ca="1" si="14"/>
        <v>(2026)</v>
      </c>
      <c r="K948" s="7" t="str">
        <f t="shared" si="15"/>
        <v>56029035</v>
      </c>
      <c r="L948" s="12" t="s">
        <v>4751</v>
      </c>
      <c r="M948" s="13" t="str">
        <f ca="1">IFERROR(__xludf.DUMMYFUNCTION("TRIM(
  REGEXREPLACE(
    TEXTJOIN("" "",
      TRUE,
      B948,
      C948,
      embaralharLinks(E948,F948,G948),
      H948,
      """",
      J948,
      N948,
      ""#RIPNSFW""
    ),
  "",\s*"", "" "")
)"),"{New} Kali Roses https://doodstream.com/d/cnpdpid5jzpf/56029035 https://lulustream.com/d/e8mwseludofe https://streamtape.com/v/ylm9zWBDwgF14XA/56029035 (2026) #milf #bigtits #blonde #bigass #RIPNSFW")</f>
        <v>{New} Kali Roses https://doodstream.com/d/cnpdpid5jzpf/56029035 https://lulustream.com/d/e8mwseludofe https://streamtape.com/v/ylm9zWBDwgF14XA/56029035 (2026) #milf #bigtits #blonde #bigass #RIPNSFW</v>
      </c>
      <c r="N948" s="2" t="s">
        <v>4751</v>
      </c>
      <c r="O948" s="30" t="s">
        <v>4752</v>
      </c>
      <c r="P948" s="26"/>
      <c r="R948" s="23"/>
    </row>
    <row r="949" spans="1:27" ht="12.75">
      <c r="A949" s="6" t="s">
        <v>4753</v>
      </c>
      <c r="B949" s="6" t="s">
        <v>14</v>
      </c>
      <c r="C949" s="7" t="str">
        <f t="shared" si="12"/>
        <v xml:space="preserve">Kali Roses </v>
      </c>
      <c r="D949" s="6" t="s">
        <v>4754</v>
      </c>
      <c r="E949" s="8" t="s">
        <v>4755</v>
      </c>
      <c r="F949" s="9" t="str">
        <f ca="1">IFERROR(__xludf.DUMMYFUNCTION("""https://streamtape.com/v/""&amp;
REGEXEXTRACT(O949,""/thumb/([^/]+)/"")&amp;
""/""&amp;K949"),"https://streamtape.com/v/WwXkgrxD6gCbVea/56530419")</f>
        <v>https://streamtape.com/v/WwXkgrxD6gCbVea/56530419</v>
      </c>
      <c r="G949" s="10" t="e">
        <f t="shared" ca="1" si="13"/>
        <v>#NAME?</v>
      </c>
      <c r="H949" s="11" t="str">
        <f ca="1">IFERROR(__xludf.DUMMYFUNCTION("IFERROR(SUBSTITUTE(SUBSTITUTE(REGEXEXTRACT(A949, ""[^-]+- [^-]+- [^-]+ - (.+?)\.jpg""), "".jpg"", """"), ""-"", "", ""), """")"),"Ashley Alexander ,  Madalina Moon")</f>
        <v>Ashley Alexander ,  Madalina Moon</v>
      </c>
      <c r="I949" s="6"/>
      <c r="J949" s="7" t="str">
        <f t="shared" ca="1" si="14"/>
        <v>(2026)</v>
      </c>
      <c r="K949" s="7" t="str">
        <f t="shared" si="15"/>
        <v>56530419</v>
      </c>
      <c r="L949" s="12" t="s">
        <v>4756</v>
      </c>
      <c r="M949" s="13" t="str">
        <f ca="1">IFERROR(__xludf.DUMMYFUNCTION("TRIM(
  REGEXREPLACE(
    TEXTJOIN("" "",
      TRUE,
      B949,
      C949,
      embaralharLinks(E949,F949,G949),
      H949,
      """",
      J949,
      N949,
      ""#RIPNSFW""
    ),
  "",\s*"", "" "")
)"),"{New} Kali Roses https://doodstream.com/d/bqnboq6tbgui/56530419 https://streamtape.com/v/WwXkgrxD6gCbVea/56530419 https://lulustream.com/d/tlxq4gr7p42t Ashley Alexander Madalina Moon (2026) #MILF #BigTits #Hardcore #Bigass #Blowjob #RIPNSFW")</f>
        <v>{New} Kali Roses https://doodstream.com/d/bqnboq6tbgui/56530419 https://streamtape.com/v/WwXkgrxD6gCbVea/56530419 https://lulustream.com/d/tlxq4gr7p42t Ashley Alexander Madalina Moon (2026) #MILF #BigTits #Hardcore #Bigass #Blowjob #RIPNSFW</v>
      </c>
      <c r="N949" s="14" t="s">
        <v>1410</v>
      </c>
      <c r="O949" s="15" t="s">
        <v>4757</v>
      </c>
      <c r="P949" s="14"/>
      <c r="Q949" s="6"/>
      <c r="R949" s="11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>
      <c r="A950" s="6" t="s">
        <v>4758</v>
      </c>
      <c r="B950" s="6" t="s">
        <v>14</v>
      </c>
      <c r="C950" s="7" t="str">
        <f t="shared" si="12"/>
        <v xml:space="preserve">Kali Roses </v>
      </c>
      <c r="D950" s="29" t="s">
        <v>4759</v>
      </c>
      <c r="E950" s="8" t="s">
        <v>4760</v>
      </c>
      <c r="F950" s="9" t="str">
        <f ca="1">IFERROR(__xludf.DUMMYFUNCTION("""https://streamtape.com/v/""&amp;
REGEXEXTRACT(O950,""/thumb/([^/]+)/"")&amp;
""/""&amp;K950"),"https://streamtape.com/v/k9WjOylqD2sOxGk/63542067")</f>
        <v>https://streamtape.com/v/k9WjOylqD2sOxGk/63542067</v>
      </c>
      <c r="G950" s="10" t="e">
        <f t="shared" ca="1" si="13"/>
        <v>#NAME?</v>
      </c>
      <c r="H950" s="11" t="str">
        <f ca="1">IFERROR(__xludf.DUMMYFUNCTION("IFERROR(SUBSTITUTE(SUBSTITUTE(REGEXEXTRACT(A950, ""[^-]+- [^-]+- [^-]+ - (.+?)\.jpg""), "".jpg"", """"), ""-"", "", ""), """")"),"")</f>
        <v/>
      </c>
      <c r="I950" s="6"/>
      <c r="J950" s="7" t="str">
        <f t="shared" ca="1" si="14"/>
        <v>(2026)</v>
      </c>
      <c r="K950" s="7" t="str">
        <f t="shared" si="15"/>
        <v>63542067</v>
      </c>
      <c r="L950" s="12" t="s">
        <v>4761</v>
      </c>
      <c r="M950" s="13" t="str">
        <f ca="1">IFERROR(__xludf.DUMMYFUNCTION("TRIM(
  REGEXREPLACE(
    TEXTJOIN("" "",
      TRUE,
      B950,
      C950,
      embaralharLinks(E950,F950,G950),
      H950,
      """",
      J950,
      N950,
      ""#RIPNSFW""
    ),
  "",\s*"", "" "")
)"),"{New} Kali Roses https://lulustream.com/d/vabx6qn8cipa https://streamtape.com/v/k9WjOylqD2sOxGk/63542067 https://doodstream.com/d/axjb74svwbwm/63542067 (2026) #MILF #BigTits #Hardcore #Bigass #Artporn #Stepmom #Blowjob #RIPNSFW")</f>
        <v>{New} Kali Roses https://lulustream.com/d/vabx6qn8cipa https://streamtape.com/v/k9WjOylqD2sOxGk/63542067 https://doodstream.com/d/axjb74svwbwm/63542067 (2026) #MILF #BigTits #Hardcore #Bigass #Artporn #Stepmom #Blowjob #RIPNSFW</v>
      </c>
      <c r="N950" s="14" t="s">
        <v>1722</v>
      </c>
      <c r="O950" s="32" t="s">
        <v>4762</v>
      </c>
      <c r="P950" s="14"/>
      <c r="Q950" s="6"/>
      <c r="R950" s="11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>
      <c r="A951" s="16" t="s">
        <v>4763</v>
      </c>
      <c r="B951" s="11" t="s">
        <v>14</v>
      </c>
      <c r="C951" s="13" t="str">
        <f t="shared" si="12"/>
        <v xml:space="preserve">Kali Roses </v>
      </c>
      <c r="D951" s="17" t="s">
        <v>4764</v>
      </c>
      <c r="E951" s="18" t="s">
        <v>4765</v>
      </c>
      <c r="F951" s="9" t="str">
        <f ca="1">IFERROR(__xludf.DUMMYFUNCTION("""https://streamtape.com/v/""&amp;
REGEXEXTRACT(O951,""/thumb/([^/]+)/"")&amp;
""/""&amp;K951"),"https://streamtape.com/v/KZQXRwzLLYU0O6k/69966088")</f>
        <v>https://streamtape.com/v/KZQXRwzLLYU0O6k/69966088</v>
      </c>
      <c r="G951" s="10" t="e">
        <f t="shared" ca="1" si="13"/>
        <v>#NAME?</v>
      </c>
      <c r="H951" s="11" t="str">
        <f ca="1">IFERROR(__xludf.DUMMYFUNCTION("IFERROR(SUBSTITUTE(SUBSTITUTE(REGEXEXTRACT(A951, ""[^-]+- [^-]+- [^-]+ - (.+?)\.jpg""), "".jpg"", """"), ""-"", "", ""), """")"),"")</f>
        <v/>
      </c>
      <c r="I951" s="11"/>
      <c r="J951" s="7" t="str">
        <f t="shared" ca="1" si="14"/>
        <v>(2026)</v>
      </c>
      <c r="K951" s="13" t="str">
        <f t="shared" si="15"/>
        <v>69966088</v>
      </c>
      <c r="L951" s="12" t="s">
        <v>4766</v>
      </c>
      <c r="M951" s="13" t="str">
        <f ca="1">IFERROR(__xludf.DUMMYFUNCTION("TRIM(
  REGEXREPLACE(
    TEXTJOIN("" "",
      TRUE,
      B951,
      C951,
      embaralharLinks(E951,F951,G951),
      H951,
      """",
      J951,
      N951,
      ""#RIPNSFW""
    ),
  "",\s*"", "" "")
)"),"{New} Kali Roses https://streamtape.com/v/KZQXRwzLLYU0O6k/69966088 https://lulustream.com/d/3c5u3xkuj7ub https://doodstream.com/d/zn0dsx6gez1a/69966088 (2026) #milf #threesome #blowjob #bigass #RIPNSFW")</f>
        <v>{New} Kali Roses https://streamtape.com/v/KZQXRwzLLYU0O6k/69966088 https://lulustream.com/d/3c5u3xkuj7ub https://doodstream.com/d/zn0dsx6gez1a/69966088 (2026) #milf #threesome #blowjob #bigass #RIPNSFW</v>
      </c>
      <c r="N951" s="2" t="s">
        <v>4766</v>
      </c>
      <c r="O951" s="30" t="s">
        <v>4767</v>
      </c>
      <c r="P951" s="26"/>
      <c r="R951" s="23"/>
      <c r="T951" s="11"/>
      <c r="U951" s="13"/>
    </row>
    <row r="952" spans="1:27" ht="12.75">
      <c r="A952" s="12" t="s">
        <v>4768</v>
      </c>
      <c r="B952" s="6" t="s">
        <v>14</v>
      </c>
      <c r="C952" s="7" t="str">
        <f t="shared" si="12"/>
        <v xml:space="preserve">Kali Roses </v>
      </c>
      <c r="D952" s="24" t="s">
        <v>4769</v>
      </c>
      <c r="E952" s="25" t="s">
        <v>4770</v>
      </c>
      <c r="F952" s="9" t="str">
        <f ca="1">IFERROR(__xludf.DUMMYFUNCTION("""https://streamtape.com/v/""&amp;
REGEXEXTRACT(O952,""/thumb/([^/]+)/"")&amp;
""/""&amp;K952"),"https://streamtape.com/v/Y7MbKbZ9GXHBmx/73978346")</f>
        <v>https://streamtape.com/v/Y7MbKbZ9GXHBmx/73978346</v>
      </c>
      <c r="G952" s="10" t="e">
        <f t="shared" ca="1" si="13"/>
        <v>#NAME?</v>
      </c>
      <c r="H952" s="11" t="str">
        <f ca="1">IFERROR(__xludf.DUMMYFUNCTION("IFERROR(SUBSTITUTE(SUBSTITUTE(REGEXEXTRACT(A952, ""[^-]+- [^-]+- [^-]+ - (.+?)\.jpg""), "".jpg"", """"), ""-"", "", ""), """")"),"")</f>
        <v/>
      </c>
      <c r="I952" s="6"/>
      <c r="J952" s="7" t="str">
        <f t="shared" ca="1" si="14"/>
        <v>(2026)</v>
      </c>
      <c r="K952" s="7" t="str">
        <f t="shared" si="15"/>
        <v>73978346</v>
      </c>
      <c r="L952" s="12" t="s">
        <v>1711</v>
      </c>
      <c r="M952" s="13" t="str">
        <f ca="1">IFERROR(__xludf.DUMMYFUNCTION("TRIM(
  REGEXREPLACE(
    TEXTJOIN("" "",
      TRUE,
      B952,
      C952,
      embaralharLinks(E952,F952,G952),
      H952,
      """",
      J952,
      N952,
      ""#RIPNSFW""
    ),
  "",\s*"", "" "")
)"),"{New} Kali Roses https://lulustream.com/d/rs5txgl4dcag https://doodstream.com/d/j16uevadoll3/73978346 https://streamtape.com/v/Y7MbKbZ9GXHBmx/73978346 (2026) #milf #bigass #bigtits #blowjob #RIPNSFW")</f>
        <v>{New} Kali Roses https://lulustream.com/d/rs5txgl4dcag https://doodstream.com/d/j16uevadoll3/73978346 https://streamtape.com/v/Y7MbKbZ9GXHBmx/73978346 (2026) #milf #bigass #bigtits #blowjob #RIPNSFW</v>
      </c>
      <c r="N952" s="2" t="s">
        <v>1711</v>
      </c>
      <c r="O952" s="30" t="s">
        <v>4771</v>
      </c>
      <c r="P952" s="26"/>
      <c r="R952" s="23"/>
    </row>
    <row r="953" spans="1:27" ht="12.75">
      <c r="A953" s="12" t="s">
        <v>4772</v>
      </c>
      <c r="B953" s="6" t="s">
        <v>14</v>
      </c>
      <c r="C953" s="7" t="str">
        <f t="shared" si="12"/>
        <v xml:space="preserve">Kali Roses </v>
      </c>
      <c r="D953" s="24" t="s">
        <v>4773</v>
      </c>
      <c r="E953" s="25" t="s">
        <v>4774</v>
      </c>
      <c r="F953" s="9" t="str">
        <f ca="1">IFERROR(__xludf.DUMMYFUNCTION("""https://streamtape.com/v/""&amp;
REGEXEXTRACT(O953,""/thumb/([^/]+)/"")&amp;
""/""&amp;K953"),"https://streamtape.com/v/brxya0mGe8TdGk/74222197")</f>
        <v>https://streamtape.com/v/brxya0mGe8TdGk/74222197</v>
      </c>
      <c r="G953" s="10" t="e">
        <f t="shared" ca="1" si="13"/>
        <v>#NAME?</v>
      </c>
      <c r="H953" s="11" t="str">
        <f ca="1">IFERROR(__xludf.DUMMYFUNCTION("IFERROR(SUBSTITUTE(SUBSTITUTE(REGEXEXTRACT(A953, ""[^-]+- [^-]+- [^-]+ - (.+?)\.jpg""), "".jpg"", """"), ""-"", "", ""), """")"),"Jenna Starr")</f>
        <v>Jenna Starr</v>
      </c>
      <c r="I953" s="6"/>
      <c r="J953" s="7" t="str">
        <f t="shared" ca="1" si="14"/>
        <v>(2026)</v>
      </c>
      <c r="K953" s="7" t="str">
        <f t="shared" si="15"/>
        <v>74222197</v>
      </c>
      <c r="L953" s="12" t="s">
        <v>4775</v>
      </c>
      <c r="M953" s="13" t="str">
        <f ca="1">IFERROR(__xludf.DUMMYFUNCTION("TRIM(
  REGEXREPLACE(
    TEXTJOIN("" "",
      TRUE,
      B953,
      C953,
      embaralharLinks(E953,F953,G953),
      H953,
      """",
      J953,
      N953,
      ""#RIPNSFW""
    ),
  "",\s*"", "" "")
)"),"{New} Kali Roses https://streamtape.com/v/brxya0mGe8TdGk/74222197 https://doodstream.com/d/50mbdotpn3p9/74222197 https://lulustream.com/d/04i9oe6mmsu6 Jenna Starr (2026) #milf #threesome #bigass #bigtits #RIPNSFW")</f>
        <v>{New} Kali Roses https://streamtape.com/v/brxya0mGe8TdGk/74222197 https://doodstream.com/d/50mbdotpn3p9/74222197 https://lulustream.com/d/04i9oe6mmsu6 Jenna Starr (2026) #milf #threesome #bigass #bigtits #RIPNSFW</v>
      </c>
      <c r="N953" s="2" t="s">
        <v>4775</v>
      </c>
      <c r="O953" s="21" t="s">
        <v>4776</v>
      </c>
      <c r="P953" s="26"/>
      <c r="R953" s="23"/>
      <c r="T953" s="6"/>
      <c r="U953" s="7"/>
    </row>
    <row r="954" spans="1:27" ht="12.75">
      <c r="A954" s="6" t="s">
        <v>4777</v>
      </c>
      <c r="B954" s="6" t="s">
        <v>14</v>
      </c>
      <c r="C954" s="7" t="str">
        <f t="shared" si="12"/>
        <v xml:space="preserve">Kali Roses </v>
      </c>
      <c r="D954" s="6" t="s">
        <v>4778</v>
      </c>
      <c r="E954" s="8" t="s">
        <v>4779</v>
      </c>
      <c r="F954" s="9" t="str">
        <f ca="1">IFERROR(__xludf.DUMMYFUNCTION("""https://streamtape.com/v/""&amp;
REGEXEXTRACT(O954,""/thumb/([^/]+)/"")&amp;
""/""&amp;K954"),"https://streamtape.com/v/wGDR1RWqB1SJyZl/76067349")</f>
        <v>https://streamtape.com/v/wGDR1RWqB1SJyZl/76067349</v>
      </c>
      <c r="G954" s="10" t="e">
        <f t="shared" ca="1" si="13"/>
        <v>#NAME?</v>
      </c>
      <c r="H954" s="11" t="str">
        <f ca="1">IFERROR(__xludf.DUMMYFUNCTION("IFERROR(SUBSTITUTE(SUBSTITUTE(REGEXEXTRACT(A954, ""[^-]+- [^-]+- [^-]+ - (.+?)\.jpg""), "".jpg"", """"), ""-"", "", ""), """")"),"")</f>
        <v/>
      </c>
      <c r="I954" s="6"/>
      <c r="J954" s="7" t="str">
        <f t="shared" ca="1" si="14"/>
        <v>(2026)</v>
      </c>
      <c r="K954" s="7" t="str">
        <f t="shared" si="15"/>
        <v>76067349</v>
      </c>
      <c r="L954" s="12" t="s">
        <v>1473</v>
      </c>
      <c r="M954" s="13" t="str">
        <f ca="1">IFERROR(__xludf.DUMMYFUNCTION("TRIM(
  REGEXREPLACE(
    TEXTJOIN("" "",
      TRUE,
      B954,
      C954,
      embaralharLinks(E954,F954,G954),
      H954,
      """",
      J954,
      N954,
      ""#RIPNSFW""
    ),
  "",\s*"", "" "")
)"),"{New} Kali Roses https://doodstream.com/d/w93ju2kv76pf/76067349 https://lulustream.com/d/k9hgak7rh1md https://streamtape.com/v/wGDR1RWqB1SJyZl/76067349 (2026) #MILF #BigTits #Hardcore #Bigass #Porn #Blowjob #RIPNSFW")</f>
        <v>{New} Kali Roses https://doodstream.com/d/w93ju2kv76pf/76067349 https://lulustream.com/d/k9hgak7rh1md https://streamtape.com/v/wGDR1RWqB1SJyZl/76067349 (2026) #MILF #BigTits #Hardcore #Bigass #Porn #Blowjob #RIPNSFW</v>
      </c>
      <c r="N954" s="14" t="s">
        <v>4780</v>
      </c>
      <c r="O954" s="15" t="s">
        <v>4781</v>
      </c>
      <c r="P954" s="14"/>
      <c r="Q954" s="6"/>
      <c r="R954" s="11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>
      <c r="A955" s="6" t="s">
        <v>4782</v>
      </c>
      <c r="B955" s="6" t="s">
        <v>14</v>
      </c>
      <c r="C955" s="7" t="str">
        <f t="shared" si="12"/>
        <v xml:space="preserve">Kali Roses </v>
      </c>
      <c r="D955" s="6" t="s">
        <v>4783</v>
      </c>
      <c r="E955" s="8" t="s">
        <v>4784</v>
      </c>
      <c r="F955" s="9" t="str">
        <f ca="1">IFERROR(__xludf.DUMMYFUNCTION("""https://streamtape.com/v/""&amp;
REGEXEXTRACT(O955,""/thumb/([^/]+)/"")&amp;
""/""&amp;K955"),"https://streamtape.com/v/zxzYqJvm3GSYa0v/79105797")</f>
        <v>https://streamtape.com/v/zxzYqJvm3GSYa0v/79105797</v>
      </c>
      <c r="G955" s="10" t="e">
        <f t="shared" ca="1" si="13"/>
        <v>#NAME?</v>
      </c>
      <c r="H955" s="11" t="str">
        <f ca="1">IFERROR(__xludf.DUMMYFUNCTION("IFERROR(SUBSTITUTE(SUBSTITUTE(REGEXEXTRACT(A955, ""[^-]+- [^-]+- [^-]+ - (.+?)\.jpg""), "".jpg"", """"), ""-"", "", ""), """")"),"")</f>
        <v/>
      </c>
      <c r="I955" s="6"/>
      <c r="J955" s="7" t="str">
        <f t="shared" ca="1" si="14"/>
        <v>(2026)</v>
      </c>
      <c r="K955" s="7" t="str">
        <f t="shared" si="15"/>
        <v>79105797</v>
      </c>
      <c r="L955" s="12" t="s">
        <v>1473</v>
      </c>
      <c r="M955" s="13" t="str">
        <f ca="1">IFERROR(__xludf.DUMMYFUNCTION("TRIM(
  REGEXREPLACE(
    TEXTJOIN("" "",
      TRUE,
      B955,
      C955,
      embaralharLinks(E955,F955,G955),
      H955,
      """",
      J955,
      N955,
      ""#RIPNSFW""
    ),
  "",\s*"", "" "")
)"),"{New} Kali Roses https://streamtape.com/v/zxzYqJvm3GSYa0v/79105797 https://doodstream.com/d/q9n7td7rnfoi/79105797 https://lulustream.com/d/gwh6zowbwy80 (2026) #MILF #BigTits #Hardcore #Bigass #RIPNSFW")</f>
        <v>{New} Kali Roses https://streamtape.com/v/zxzYqJvm3GSYa0v/79105797 https://doodstream.com/d/q9n7td7rnfoi/79105797 https://lulustream.com/d/gwh6zowbwy80 (2026) #MILF #BigTits #Hardcore #Bigass #RIPNSFW</v>
      </c>
      <c r="N955" s="14" t="s">
        <v>128</v>
      </c>
      <c r="O955" s="15" t="s">
        <v>4785</v>
      </c>
      <c r="P955" s="14"/>
      <c r="Q955" s="6"/>
      <c r="R955" s="11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>
      <c r="A956" s="6" t="s">
        <v>4786</v>
      </c>
      <c r="B956" s="6" t="s">
        <v>14</v>
      </c>
      <c r="C956" s="7" t="str">
        <f t="shared" si="12"/>
        <v xml:space="preserve">Kali Roses </v>
      </c>
      <c r="D956" s="29" t="s">
        <v>4787</v>
      </c>
      <c r="E956" s="8" t="s">
        <v>4788</v>
      </c>
      <c r="F956" s="9" t="str">
        <f ca="1">IFERROR(__xludf.DUMMYFUNCTION("""https://streamtape.com/v/""&amp;
REGEXEXTRACT(O956,""/thumb/([^/]+)/"")&amp;
""/""&amp;K956"),"https://streamtape.com/v/bQwXlKjBx2cPkJl/80756120")</f>
        <v>https://streamtape.com/v/bQwXlKjBx2cPkJl/80756120</v>
      </c>
      <c r="G956" s="10" t="e">
        <f t="shared" ca="1" si="13"/>
        <v>#NAME?</v>
      </c>
      <c r="H956" s="11" t="str">
        <f ca="1">IFERROR(__xludf.DUMMYFUNCTION("IFERROR(SUBSTITUTE(SUBSTITUTE(REGEXEXTRACT(A956, ""[^-]+- [^-]+- [^-]+ - (.+?)\.jpg""), "".jpg"", """"), ""-"", "", ""), """")"),"")</f>
        <v/>
      </c>
      <c r="I956" s="6"/>
      <c r="J956" s="7" t="str">
        <f t="shared" ca="1" si="14"/>
        <v>(2026)</v>
      </c>
      <c r="K956" s="7" t="str">
        <f t="shared" si="15"/>
        <v>80756120</v>
      </c>
      <c r="L956" s="12" t="s">
        <v>4789</v>
      </c>
      <c r="M956" s="13" t="str">
        <f ca="1">IFERROR(__xludf.DUMMYFUNCTION("TRIM(
  REGEXREPLACE(
    TEXTJOIN("" "",
      TRUE,
      B956,
      C956,
      embaralharLinks(E956,F956,G956),
      H956,
      """",
      J956,
      N956,
      ""#RIPNSFW""
    ),
  "",\s*"", "" "")
)"),"{New} Kali Roses https://doodstream.com/d/82w6cbad4qal/80756120 https://streamtape.com/v/bQwXlKjBx2cPkJl/80756120 https://lulustream.com/d/xq5n3hahzap6 (2026) #MILF #BigTits #Hardcore #Bigass #Porn #Blowjob #Stepmom #Hotwife #RIPNSFW")</f>
        <v>{New} Kali Roses https://doodstream.com/d/82w6cbad4qal/80756120 https://streamtape.com/v/bQwXlKjBx2cPkJl/80756120 https://lulustream.com/d/xq5n3hahzap6 (2026) #MILF #BigTits #Hardcore #Bigass #Porn #Blowjob #Stepmom #Hotwife #RIPNSFW</v>
      </c>
      <c r="N956" s="14" t="s">
        <v>4790</v>
      </c>
      <c r="O956" s="32" t="s">
        <v>4791</v>
      </c>
      <c r="P956" s="14"/>
      <c r="Q956" s="6"/>
      <c r="R956" s="11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>
      <c r="A957" s="6" t="s">
        <v>4792</v>
      </c>
      <c r="B957" s="6" t="s">
        <v>14</v>
      </c>
      <c r="C957" s="7" t="str">
        <f t="shared" si="12"/>
        <v xml:space="preserve">Kali Roses </v>
      </c>
      <c r="D957" s="6" t="s">
        <v>4793</v>
      </c>
      <c r="E957" s="8" t="s">
        <v>4794</v>
      </c>
      <c r="F957" s="9" t="str">
        <f ca="1">IFERROR(__xludf.DUMMYFUNCTION("""https://streamtape.com/v/""&amp;
REGEXEXTRACT(O957,""/thumb/([^/]+)/"")&amp;
""/""&amp;K957"),"https://streamtape.com/v/zK107avd9jTYBvP/87655058")</f>
        <v>https://streamtape.com/v/zK107avd9jTYBvP/87655058</v>
      </c>
      <c r="G957" s="10" t="e">
        <f t="shared" ca="1" si="13"/>
        <v>#NAME?</v>
      </c>
      <c r="H957" s="11" t="str">
        <f ca="1">IFERROR(__xludf.DUMMYFUNCTION("IFERROR(SUBSTITUTE(SUBSTITUTE(REGEXEXTRACT(A957, ""[^-]+- [^-]+- [^-]+ - (.+?)\.jpg""), "".jpg"", """"), ""-"", "", ""), """")"),"")</f>
        <v/>
      </c>
      <c r="I957" s="6"/>
      <c r="J957" s="7" t="str">
        <f t="shared" ca="1" si="14"/>
        <v>(2026)</v>
      </c>
      <c r="K957" s="7" t="str">
        <f t="shared" si="15"/>
        <v>87655058</v>
      </c>
      <c r="L957" s="12" t="s">
        <v>4795</v>
      </c>
      <c r="M957" s="13" t="str">
        <f ca="1">IFERROR(__xludf.DUMMYFUNCTION("TRIM(
  REGEXREPLACE(
    TEXTJOIN("" "",
      TRUE,
      B957,
      C957,
      embaralharLinks(E957,F957,G957),
      H957,
      """",
      J957,
      N957,
      ""#RIPNSFW""
    ),
  "",\s*"", "" "")
)"),"{New} Kali Roses https://doodstream.com/d/iohbs5mgo3zm/87655058 https://streamtape.com/v/zK107avd9jTYBvP/87655058 https://lulustream.com/d/wu91grwm4ec0 (2026) #MILF #BigTits #Hardcore #Bigass #Blowjob #RIPNSFW")</f>
        <v>{New} Kali Roses https://doodstream.com/d/iohbs5mgo3zm/87655058 https://streamtape.com/v/zK107avd9jTYBvP/87655058 https://lulustream.com/d/wu91grwm4ec0 (2026) #MILF #BigTits #Hardcore #Bigass #Blowjob #RIPNSFW</v>
      </c>
      <c r="N957" s="14" t="s">
        <v>1410</v>
      </c>
      <c r="O957" s="15" t="s">
        <v>4796</v>
      </c>
      <c r="P957" s="14"/>
      <c r="Q957" s="6"/>
      <c r="R957" s="11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>
      <c r="A958" s="12" t="s">
        <v>4797</v>
      </c>
      <c r="B958" s="6" t="s">
        <v>14</v>
      </c>
      <c r="C958" s="7" t="str">
        <f t="shared" si="12"/>
        <v xml:space="preserve">Kali Roses </v>
      </c>
      <c r="D958" s="24" t="s">
        <v>4798</v>
      </c>
      <c r="E958" s="25" t="s">
        <v>4799</v>
      </c>
      <c r="F958" s="9" t="str">
        <f ca="1">IFERROR(__xludf.DUMMYFUNCTION("""https://streamtape.com/v/""&amp;
REGEXEXTRACT(O958,""/thumb/([^/]+)/"")&amp;
""/""&amp;K958"),"https://streamtape.com/v/4RG7y64kYmIVYg/89846730")</f>
        <v>https://streamtape.com/v/4RG7y64kYmIVYg/89846730</v>
      </c>
      <c r="G958" s="10" t="e">
        <f t="shared" ca="1" si="13"/>
        <v>#NAME?</v>
      </c>
      <c r="H958" s="11" t="str">
        <f ca="1">IFERROR(__xludf.DUMMYFUNCTION("IFERROR(SUBSTITUTE(SUBSTITUTE(REGEXEXTRACT(A958, ""[^-]+- [^-]+- [^-]+ - (.+?)\.jpg""), "".jpg"", """"), ""-"", "", ""), """")"),"")</f>
        <v/>
      </c>
      <c r="I958" s="6"/>
      <c r="J958" s="7" t="str">
        <f t="shared" ca="1" si="14"/>
        <v>(2026)</v>
      </c>
      <c r="K958" s="7" t="str">
        <f t="shared" si="15"/>
        <v>89846730</v>
      </c>
      <c r="L958" s="12" t="s">
        <v>4270</v>
      </c>
      <c r="M958" s="13" t="str">
        <f ca="1">IFERROR(__xludf.DUMMYFUNCTION("TRIM(
  REGEXREPLACE(
    TEXTJOIN("" "",
      TRUE,
      B958,
      C958,
      embaralharLinks(E958,F958,G958),
      H958,
      """",
      J958,
      N958,
      ""#RIPNSFW""
    ),
  "",\s*"", "" "")
)"),"{New} Kali Roses https://doodstream.com/d/5zwshia2jb7y/89846730 https://streamtape.com/v/4RG7y64kYmIVYg/89846730 https://lulustream.com/d/8xkyd6urcvqa (2026) #milf #bigass #bigtits #blonde #RIPNSFW")</f>
        <v>{New} Kali Roses https://doodstream.com/d/5zwshia2jb7y/89846730 https://streamtape.com/v/4RG7y64kYmIVYg/89846730 https://lulustream.com/d/8xkyd6urcvqa (2026) #milf #bigass #bigtits #blonde #RIPNSFW</v>
      </c>
      <c r="N958" s="2" t="s">
        <v>4270</v>
      </c>
      <c r="O958" s="21" t="s">
        <v>4800</v>
      </c>
      <c r="P958" s="26"/>
      <c r="R958" s="23"/>
      <c r="T958" s="6"/>
      <c r="U958" s="7"/>
    </row>
    <row r="959" spans="1:27" ht="12.75">
      <c r="A959" s="12" t="s">
        <v>4801</v>
      </c>
      <c r="B959" s="6" t="s">
        <v>14</v>
      </c>
      <c r="C959" s="7" t="str">
        <f t="shared" si="12"/>
        <v xml:space="preserve">Kali Roses </v>
      </c>
      <c r="D959" s="24" t="s">
        <v>4802</v>
      </c>
      <c r="E959" s="25" t="s">
        <v>4803</v>
      </c>
      <c r="F959" s="9" t="str">
        <f ca="1">IFERROR(__xludf.DUMMYFUNCTION("""https://streamtape.com/v/""&amp;
REGEXEXTRACT(O959,""/thumb/([^/]+)/"")&amp;
""/""&amp;K959"),"https://streamtape.com/v/Pjjr9Kg6LatbYd/97216217")</f>
        <v>https://streamtape.com/v/Pjjr9Kg6LatbYd/97216217</v>
      </c>
      <c r="G959" s="10" t="e">
        <f t="shared" ca="1" si="13"/>
        <v>#NAME?</v>
      </c>
      <c r="H959" s="11" t="str">
        <f ca="1">IFERROR(__xludf.DUMMYFUNCTION("IFERROR(SUBSTITUTE(SUBSTITUTE(REGEXEXTRACT(A959, ""[^-]+- [^-]+- [^-]+ - (.+?)\.jpg""), "".jpg"", """"), ""-"", "", ""), """")"),"")</f>
        <v/>
      </c>
      <c r="I959" s="6"/>
      <c r="J959" s="7" t="str">
        <f t="shared" ca="1" si="14"/>
        <v>(2026)</v>
      </c>
      <c r="K959" s="7" t="str">
        <f t="shared" si="15"/>
        <v>97216217</v>
      </c>
      <c r="L959" s="12" t="s">
        <v>2066</v>
      </c>
      <c r="M959" s="13" t="str">
        <f ca="1">IFERROR(__xludf.DUMMYFUNCTION("TRIM(
  REGEXREPLACE(
    TEXTJOIN("" "",
      TRUE,
      B959,
      C959,
      embaralharLinks(E959,F959,G959),
      H959,
      """",
      J959,
      N959,
      ""#RIPNSFW""
    ),
  "",\s*"", "" "")
)"),"{New} Kali Roses https://doodstream.com/d/8iq9zjb8cj69/97216217 https://streamtape.com/v/Pjjr9Kg6LatbYd/97216217 https://lulustream.com/d/ppdygwvgxwaf (2026) #milf #bigass #blowjob #bigtits #RIPNSFW")</f>
        <v>{New} Kali Roses https://doodstream.com/d/8iq9zjb8cj69/97216217 https://streamtape.com/v/Pjjr9Kg6LatbYd/97216217 https://lulustream.com/d/ppdygwvgxwaf (2026) #milf #bigass #blowjob #bigtits #RIPNSFW</v>
      </c>
      <c r="N959" s="2" t="s">
        <v>2066</v>
      </c>
      <c r="O959" s="30" t="s">
        <v>4804</v>
      </c>
      <c r="P959" s="26"/>
      <c r="R959" s="23"/>
    </row>
    <row r="960" spans="1:27" ht="12.75">
      <c r="A960" s="12" t="s">
        <v>4805</v>
      </c>
      <c r="B960" s="6" t="s">
        <v>14</v>
      </c>
      <c r="C960" s="7" t="str">
        <f t="shared" si="12"/>
        <v xml:space="preserve">Kali Roses </v>
      </c>
      <c r="D960" s="27" t="s">
        <v>4806</v>
      </c>
      <c r="E960" s="28" t="s">
        <v>4807</v>
      </c>
      <c r="F960" s="9" t="str">
        <f ca="1">IFERROR(__xludf.DUMMYFUNCTION("""https://streamtape.com/v/""&amp;
REGEXEXTRACT(O960,""/thumb/([^/]+)/"")&amp;
""/""&amp;K960"),"https://streamtape.com/v/Z1Y0oL23XkH7Zd/97546975")</f>
        <v>https://streamtape.com/v/Z1Y0oL23XkH7Zd/97546975</v>
      </c>
      <c r="G960" s="10" t="e">
        <f t="shared" ca="1" si="13"/>
        <v>#NAME?</v>
      </c>
      <c r="H960" s="11" t="str">
        <f ca="1">IFERROR(__xludf.DUMMYFUNCTION("IFERROR(SUBSTITUTE(SUBSTITUTE(REGEXEXTRACT(A960, ""[^-]+- [^-]+- [^-]+ - (.+?)\.jpg""), "".jpg"", """"), ""-"", "", ""), """")"),"")</f>
        <v/>
      </c>
      <c r="I960" s="6"/>
      <c r="J960" s="7" t="str">
        <f t="shared" ca="1" si="14"/>
        <v>(2026)</v>
      </c>
      <c r="K960" s="7" t="str">
        <f t="shared" si="15"/>
        <v>97546975</v>
      </c>
      <c r="L960" s="12" t="s">
        <v>127</v>
      </c>
      <c r="M960" s="13" t="str">
        <f ca="1">IFERROR(__xludf.DUMMYFUNCTION("TRIM(
  REGEXREPLACE(
    TEXTJOIN("" "",
      TRUE,
      B960,
      C960,
      embaralharLinks(E960,F960,G960),
      H960,
      """",
      J960,
      N960,
      ""#RIPNSFW""
    ),
  "",\s*"", "" "")
)"),"{New} Kali Roses https://lulustream.com/d/qh3aamjw6yxb https://streamtape.com/v/Z1Y0oL23XkH7Zd/97546975 https://doodstream.com/d/v1sst3ecnr9h/97546975 (2026) #MILF #BigTits #Hardcore #Bigass #RIPNSFW")</f>
        <v>{New} Kali Roses https://lulustream.com/d/qh3aamjw6yxb https://streamtape.com/v/Z1Y0oL23XkH7Zd/97546975 https://doodstream.com/d/v1sst3ecnr9h/97546975 (2026) #MILF #BigTits #Hardcore #Bigass #RIPNSFW</v>
      </c>
      <c r="N960" s="2" t="s">
        <v>128</v>
      </c>
      <c r="O960" s="30" t="s">
        <v>4808</v>
      </c>
      <c r="P960" s="26"/>
      <c r="R960" s="23"/>
    </row>
    <row r="961" spans="1:27" ht="12.75">
      <c r="A961" s="6" t="s">
        <v>4809</v>
      </c>
      <c r="B961" s="6" t="s">
        <v>14</v>
      </c>
      <c r="C961" s="7" t="str">
        <f t="shared" si="12"/>
        <v xml:space="preserve">Kali Roses </v>
      </c>
      <c r="D961" s="6" t="s">
        <v>4810</v>
      </c>
      <c r="E961" s="8" t="s">
        <v>4811</v>
      </c>
      <c r="F961" s="9" t="str">
        <f ca="1">IFERROR(__xludf.DUMMYFUNCTION("""https://streamtape.com/v/""&amp;
REGEXEXTRACT(O961,""/thumb/([^/]+)/"")&amp;
""/""&amp;K961"),"https://streamtape.com/v/1J8031aXwxIewAx/99506561")</f>
        <v>https://streamtape.com/v/1J8031aXwxIewAx/99506561</v>
      </c>
      <c r="G961" s="10" t="e">
        <f t="shared" ca="1" si="13"/>
        <v>#NAME?</v>
      </c>
      <c r="H961" s="11" t="str">
        <f ca="1">IFERROR(__xludf.DUMMYFUNCTION("IFERROR(SUBSTITUTE(SUBSTITUTE(REGEXEXTRACT(A961, ""[^-]+- [^-]+- [^-]+ - (.+?)\.jpg""), "".jpg"", """"), ""-"", "", ""), """")"),"")</f>
        <v/>
      </c>
      <c r="I961" s="6"/>
      <c r="J961" s="7" t="str">
        <f t="shared" ca="1" si="14"/>
        <v>(2026)</v>
      </c>
      <c r="K961" s="7" t="str">
        <f t="shared" si="15"/>
        <v>99506561</v>
      </c>
      <c r="L961" s="12" t="s">
        <v>1415</v>
      </c>
      <c r="M961" s="13" t="str">
        <f ca="1">IFERROR(__xludf.DUMMYFUNCTION("TRIM(
  REGEXREPLACE(
    TEXTJOIN("" "",
      TRUE,
      B961,
      C961,
      embaralharLinks(E961,F961,G961),
      H961,
      """",
      J961,
      N961,
      ""#RIPNSFW""
    ),
  "",\s*"", "" "")
)"),"{New} Kali Roses https://doodstream.com/d/jz7h9scdb1xf/99506561 https://lulustream.com/d/g9lk6qb7g1l3 https://streamtape.com/v/1J8031aXwxIewAx/99506561 (2026) #MILF #BigTits #Hardcore #Bigass #Blowjob #RIPNSFW")</f>
        <v>{New} Kali Roses https://doodstream.com/d/jz7h9scdb1xf/99506561 https://lulustream.com/d/g9lk6qb7g1l3 https://streamtape.com/v/1J8031aXwxIewAx/99506561 (2026) #MILF #BigTits #Hardcore #Bigass #Blowjob #RIPNSFW</v>
      </c>
      <c r="N961" s="14" t="s">
        <v>1410</v>
      </c>
      <c r="O961" s="15" t="s">
        <v>4812</v>
      </c>
      <c r="P961" s="14"/>
      <c r="Q961" s="6"/>
      <c r="R961" s="11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>
      <c r="A962" s="12" t="s">
        <v>4813</v>
      </c>
      <c r="B962" s="6" t="s">
        <v>14</v>
      </c>
      <c r="C962" s="7" t="str">
        <f t="shared" si="12"/>
        <v xml:space="preserve">Kate Kuray </v>
      </c>
      <c r="D962" s="24" t="s">
        <v>4814</v>
      </c>
      <c r="E962" s="25" t="s">
        <v>4815</v>
      </c>
      <c r="F962" s="9" t="str">
        <f ca="1">IFERROR(__xludf.DUMMYFUNCTION("""https://streamtape.com/v/""&amp;
REGEXEXTRACT(O962,""/thumb/([^/]+)/"")&amp;
""/""&amp;K962"),"https://streamtape.com/v/lP32w6el7Pi7XOD/11114763")</f>
        <v>https://streamtape.com/v/lP32w6el7Pi7XOD/11114763</v>
      </c>
      <c r="G962" s="10" t="e">
        <f t="shared" ca="1" si="13"/>
        <v>#NAME?</v>
      </c>
      <c r="H962" s="11" t="str">
        <f ca="1">IFERROR(__xludf.DUMMYFUNCTION("IFERROR(SUBSTITUTE(SUBSTITUTE(REGEXEXTRACT(A962, ""[^-]+- [^-]+- [^-]+ - (.+?)\.jpg""), "".jpg"", """"), ""-"", "", ""), """")"),"")</f>
        <v/>
      </c>
      <c r="I962" s="6"/>
      <c r="J962" s="7" t="str">
        <f t="shared" ca="1" si="14"/>
        <v>(2026)</v>
      </c>
      <c r="K962" s="7" t="str">
        <f t="shared" si="15"/>
        <v>11114763</v>
      </c>
      <c r="L962" s="12" t="s">
        <v>3715</v>
      </c>
      <c r="M962" s="13" t="str">
        <f ca="1">IFERROR(__xludf.DUMMYFUNCTION("TRIM(
  REGEXREPLACE(
    TEXTJOIN("" "",
      TRUE,
      B962,
      C962,
      embaralharLinks(E962,F962,G962),
      H962,
      """",
      J962,
      N962,
      ""#RIPNSFW""
    ),
  "",\s*"", "" "")
)"),"{New} Kate Kuray https://doodstream.com/d/viofy070o04j/11114763 https://streamtape.com/v/lP32w6el7Pi7XOD/11114763 https://lulustream.com/d/hglr8zj793ch (2026) #teen #blowjob #bigass #blonde #RIPNSFW")</f>
        <v>{New} Kate Kuray https://doodstream.com/d/viofy070o04j/11114763 https://streamtape.com/v/lP32w6el7Pi7XOD/11114763 https://lulustream.com/d/hglr8zj793ch (2026) #teen #blowjob #bigass #blonde #RIPNSFW</v>
      </c>
      <c r="N962" s="2" t="s">
        <v>3715</v>
      </c>
      <c r="O962" s="30" t="s">
        <v>4816</v>
      </c>
      <c r="P962" s="26"/>
      <c r="R962" s="23"/>
    </row>
    <row r="963" spans="1:27" ht="12.75">
      <c r="A963" s="6" t="s">
        <v>4817</v>
      </c>
      <c r="B963" s="6" t="s">
        <v>14</v>
      </c>
      <c r="C963" s="7" t="str">
        <f t="shared" si="12"/>
        <v xml:space="preserve">Kate Kuray </v>
      </c>
      <c r="D963" s="6" t="s">
        <v>4818</v>
      </c>
      <c r="E963" s="8" t="s">
        <v>4819</v>
      </c>
      <c r="F963" s="9" t="str">
        <f ca="1">IFERROR(__xludf.DUMMYFUNCTION("""https://streamtape.com/v/""&amp;
REGEXEXTRACT(O963,""/thumb/([^/]+)/"")&amp;
""/""&amp;K963"),"https://streamtape.com/v/o9BapAr9KKiJLdd/14559380")</f>
        <v>https://streamtape.com/v/o9BapAr9KKiJLdd/14559380</v>
      </c>
      <c r="G963" s="10" t="e">
        <f t="shared" ca="1" si="13"/>
        <v>#NAME?</v>
      </c>
      <c r="H963" s="11" t="str">
        <f ca="1">IFERROR(__xludf.DUMMYFUNCTION("IFERROR(SUBSTITUTE(SUBSTITUTE(REGEXEXTRACT(A963, ""[^-]+- [^-]+- [^-]+ - (.+?)\.jpg""), "".jpg"", """"), ""-"", "", ""), """")"),"")</f>
        <v/>
      </c>
      <c r="I963" s="6"/>
      <c r="J963" s="7" t="str">
        <f t="shared" ca="1" si="14"/>
        <v>(2026)</v>
      </c>
      <c r="K963" s="7" t="str">
        <f t="shared" si="15"/>
        <v>14559380</v>
      </c>
      <c r="L963" s="12" t="s">
        <v>4820</v>
      </c>
      <c r="M963" s="13" t="str">
        <f ca="1">IFERROR(__xludf.DUMMYFUNCTION("TRIM(
  REGEXREPLACE(
    TEXTJOIN("" "",
      TRUE,
      B963,
      C963,
      embaralharLinks(E963,F963,G963),
      H963,
      """",
      J963,
      N963,
      ""#RIPNSFW""
    ),
  "",\s*"", "" "")
)"),"{New} Kate Kuray https://doodstream.com/d/vmuffk0fgsr8/14559380 https://lulustream.com/d/6npq1jx6c34i https://streamtape.com/v/o9BapAr9KKiJLdd/14559380 (2026) #Hardcore #Bigass #Teen #Amateur #RIPNSFW")</f>
        <v>{New} Kate Kuray https://doodstream.com/d/vmuffk0fgsr8/14559380 https://lulustream.com/d/6npq1jx6c34i https://streamtape.com/v/o9BapAr9KKiJLdd/14559380 (2026) #Hardcore #Bigass #Teen #Amateur #RIPNSFW</v>
      </c>
      <c r="N963" s="14" t="s">
        <v>4821</v>
      </c>
      <c r="O963" s="15" t="s">
        <v>4822</v>
      </c>
      <c r="P963" s="14"/>
      <c r="Q963" s="6"/>
      <c r="R963" s="11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>
      <c r="A964" s="6" t="s">
        <v>4823</v>
      </c>
      <c r="B964" s="6" t="s">
        <v>14</v>
      </c>
      <c r="C964" s="7" t="str">
        <f t="shared" si="12"/>
        <v xml:space="preserve">Kate Kuray </v>
      </c>
      <c r="D964" s="6" t="s">
        <v>4824</v>
      </c>
      <c r="E964" s="8" t="s">
        <v>4825</v>
      </c>
      <c r="F964" s="9" t="str">
        <f ca="1">IFERROR(__xludf.DUMMYFUNCTION("""https://streamtape.com/v/""&amp;
REGEXEXTRACT(O964,""/thumb/([^/]+)/"")&amp;
""/""&amp;K964"),"https://streamtape.com/v/2VZeM3pLreHZgYM/15467800")</f>
        <v>https://streamtape.com/v/2VZeM3pLreHZgYM/15467800</v>
      </c>
      <c r="G964" s="10" t="e">
        <f t="shared" ca="1" si="13"/>
        <v>#NAME?</v>
      </c>
      <c r="H964" s="11" t="str">
        <f ca="1">IFERROR(__xludf.DUMMYFUNCTION("IFERROR(SUBSTITUTE(SUBSTITUTE(REGEXEXTRACT(A964, ""[^-]+- [^-]+- [^-]+ - (.+?)\.jpg""), "".jpg"", """"), ""-"", "", ""), """")"),"")</f>
        <v/>
      </c>
      <c r="I964" s="6"/>
      <c r="J964" s="7" t="str">
        <f t="shared" ca="1" si="14"/>
        <v>(2026)</v>
      </c>
      <c r="K964" s="7" t="str">
        <f t="shared" si="15"/>
        <v>15467800</v>
      </c>
      <c r="L964" s="12" t="s">
        <v>4826</v>
      </c>
      <c r="M964" s="13" t="str">
        <f ca="1">IFERROR(__xludf.DUMMYFUNCTION("TRIM(
  REGEXREPLACE(
    TEXTJOIN("" "",
      TRUE,
      B964,
      C964,
      embaralharLinks(E964,F964,G964),
      H964,
      """",
      J964,
      N964,
      ""#RIPNSFW""
    ),
  "",\s*"", "" "")
)"),"{New} Kate Kuray https://doodstream.com/d/mlifxx52zpoz/15467800 https://lulustream.com/d/rzxyqe9d7z49 https://streamtape.com/v/2VZeM3pLreHZgYM/15467800 (2026) #Bigass #Teen #Blowjob #Amateur #RIPNSFW")</f>
        <v>{New} Kate Kuray https://doodstream.com/d/mlifxx52zpoz/15467800 https://lulustream.com/d/rzxyqe9d7z49 https://streamtape.com/v/2VZeM3pLreHZgYM/15467800 (2026) #Bigass #Teen #Blowjob #Amateur #RIPNSFW</v>
      </c>
      <c r="N964" s="14" t="s">
        <v>3999</v>
      </c>
      <c r="O964" s="15" t="s">
        <v>4827</v>
      </c>
      <c r="P964" s="14"/>
      <c r="Q964" s="6"/>
      <c r="R964" s="11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>
      <c r="A965" s="6" t="s">
        <v>4828</v>
      </c>
      <c r="B965" s="6" t="s">
        <v>14</v>
      </c>
      <c r="C965" s="7" t="str">
        <f t="shared" si="12"/>
        <v xml:space="preserve">Kate Kuray </v>
      </c>
      <c r="D965" s="6" t="s">
        <v>4829</v>
      </c>
      <c r="E965" s="8" t="s">
        <v>4830</v>
      </c>
      <c r="F965" s="9" t="str">
        <f ca="1">IFERROR(__xludf.DUMMYFUNCTION("""https://streamtape.com/v/""&amp;
REGEXEXTRACT(O965,""/thumb/([^/]+)/"")&amp;
""/""&amp;K965"),"https://streamtape.com/v/Ogxr3jDYRlcZv8p/17186286")</f>
        <v>https://streamtape.com/v/Ogxr3jDYRlcZv8p/17186286</v>
      </c>
      <c r="G965" s="10" t="e">
        <f t="shared" ca="1" si="13"/>
        <v>#NAME?</v>
      </c>
      <c r="H965" s="11" t="str">
        <f ca="1">IFERROR(__xludf.DUMMYFUNCTION("IFERROR(SUBSTITUTE(SUBSTITUTE(REGEXEXTRACT(A965, ""[^-]+- [^-]+- [^-]+ - (.+?)\.jpg""), "".jpg"", """"), ""-"", "", ""), """")"),"")</f>
        <v/>
      </c>
      <c r="I965" s="6"/>
      <c r="J965" s="7" t="str">
        <f t="shared" ca="1" si="14"/>
        <v>(2026)</v>
      </c>
      <c r="K965" s="7" t="str">
        <f t="shared" si="15"/>
        <v>17186286</v>
      </c>
      <c r="L965" s="12" t="s">
        <v>4831</v>
      </c>
      <c r="M965" s="13" t="str">
        <f ca="1">IFERROR(__xludf.DUMMYFUNCTION("TRIM(
  REGEXREPLACE(
    TEXTJOIN("" "",
      TRUE,
      B965,
      C965,
      embaralharLinks(E965,F965,G965),
      H965,
      """",
      J965,
      N965,
      ""#RIPNSFW""
    ),
  "",\s*"", "" "")
)"),"{New} Kate Kuray https://lulustream.com/d/9zttyodb0ktl https://streamtape.com/v/Ogxr3jDYRlcZv8p/17186286 https://doodstream.com/d/jrqowx65bvcv/17186286 (2026) #Bigass #Teen #Teens #Blowjob #RIPNSFW")</f>
        <v>{New} Kate Kuray https://lulustream.com/d/9zttyodb0ktl https://streamtape.com/v/Ogxr3jDYRlcZv8p/17186286 https://doodstream.com/d/jrqowx65bvcv/17186286 (2026) #Bigass #Teen #Teens #Blowjob #RIPNSFW</v>
      </c>
      <c r="N965" s="14" t="s">
        <v>4832</v>
      </c>
      <c r="O965" s="15" t="s">
        <v>4833</v>
      </c>
      <c r="P965" s="14"/>
      <c r="Q965" s="6"/>
      <c r="R965" s="11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>
      <c r="A966" s="6" t="s">
        <v>4834</v>
      </c>
      <c r="B966" s="6" t="s">
        <v>14</v>
      </c>
      <c r="C966" s="7" t="str">
        <f t="shared" si="12"/>
        <v xml:space="preserve">Kate Kuray </v>
      </c>
      <c r="D966" s="6" t="s">
        <v>4835</v>
      </c>
      <c r="E966" s="8" t="s">
        <v>4836</v>
      </c>
      <c r="F966" s="9" t="str">
        <f ca="1">IFERROR(__xludf.DUMMYFUNCTION("""https://streamtape.com/v/""&amp;
REGEXEXTRACT(O966,""/thumb/([^/]+)/"")&amp;
""/""&amp;K966"),"https://streamtape.com/v/6mVe7x8W0ai92m8/17709481")</f>
        <v>https://streamtape.com/v/6mVe7x8W0ai92m8/17709481</v>
      </c>
      <c r="G966" s="10" t="e">
        <f t="shared" ca="1" si="13"/>
        <v>#NAME?</v>
      </c>
      <c r="H966" s="11" t="str">
        <f ca="1">IFERROR(__xludf.DUMMYFUNCTION("IFERROR(SUBSTITUTE(SUBSTITUTE(REGEXEXTRACT(A966, ""[^-]+- [^-]+- [^-]+ - (.+?)\.jpg""), "".jpg"", """"), ""-"", "", ""), """")"),"")</f>
        <v/>
      </c>
      <c r="I966" s="6"/>
      <c r="J966" s="7" t="str">
        <f t="shared" ca="1" si="14"/>
        <v>(2026)</v>
      </c>
      <c r="K966" s="7" t="str">
        <f t="shared" si="15"/>
        <v>17709481</v>
      </c>
      <c r="L966" s="12" t="s">
        <v>4837</v>
      </c>
      <c r="M966" s="13" t="str">
        <f ca="1">IFERROR(__xludf.DUMMYFUNCTION("TRIM(
  REGEXREPLACE(
    TEXTJOIN("" "",
      TRUE,
      B966,
      C966,
      embaralharLinks(E966,F966,G966),
      H966,
      """",
      J966,
      N966,
      ""#RIPNSFW""
    ),
  "",\s*"", "" "")
)"),"{New} Kate Kuray https://doodstream.com/d/crpxp8apn1p6/17709481 https://lulustream.com/d/51lru033ipub https://streamtape.com/v/6mVe7x8W0ai92m8/17709481 (2026) #Hardcore #Bigass #Teen #Blowjob #RIPNSFW")</f>
        <v>{New} Kate Kuray https://doodstream.com/d/crpxp8apn1p6/17709481 https://lulustream.com/d/51lru033ipub https://streamtape.com/v/6mVe7x8W0ai92m8/17709481 (2026) #Hardcore #Bigass #Teen #Blowjob #RIPNSFW</v>
      </c>
      <c r="N966" s="14" t="s">
        <v>3684</v>
      </c>
      <c r="O966" s="15" t="s">
        <v>4838</v>
      </c>
      <c r="P966" s="14"/>
      <c r="Q966" s="6"/>
      <c r="R966" s="11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>
      <c r="A967" s="12" t="s">
        <v>4839</v>
      </c>
      <c r="B967" s="6" t="s">
        <v>14</v>
      </c>
      <c r="C967" s="7" t="str">
        <f t="shared" si="12"/>
        <v xml:space="preserve">Kate Kuray </v>
      </c>
      <c r="D967" s="27" t="s">
        <v>4840</v>
      </c>
      <c r="E967" s="28" t="s">
        <v>4841</v>
      </c>
      <c r="F967" s="9" t="str">
        <f ca="1">IFERROR(__xludf.DUMMYFUNCTION("""https://streamtape.com/v/""&amp;
REGEXEXTRACT(O967,""/thumb/([^/]+)/"")&amp;
""/""&amp;K967"),"https://streamtape.com/v/3dw94KbwQdcdkoj/20257771")</f>
        <v>https://streamtape.com/v/3dw94KbwQdcdkoj/20257771</v>
      </c>
      <c r="G967" s="10" t="e">
        <f t="shared" ca="1" si="13"/>
        <v>#NAME?</v>
      </c>
      <c r="H967" s="11" t="str">
        <f ca="1">IFERROR(__xludf.DUMMYFUNCTION("IFERROR(SUBSTITUTE(SUBSTITUTE(REGEXEXTRACT(A967, ""[^-]+- [^-]+- [^-]+ - (.+?)\.jpg""), "".jpg"", """"), ""-"", "", ""), """")"),"")</f>
        <v/>
      </c>
      <c r="I967" s="6"/>
      <c r="J967" s="7" t="str">
        <f t="shared" ca="1" si="14"/>
        <v>(2026)</v>
      </c>
      <c r="K967" s="7" t="str">
        <f t="shared" si="15"/>
        <v>20257771</v>
      </c>
      <c r="L967" s="12" t="s">
        <v>3683</v>
      </c>
      <c r="M967" s="13" t="str">
        <f ca="1">IFERROR(__xludf.DUMMYFUNCTION("TRIM(
  REGEXREPLACE(
    TEXTJOIN("" "",
      TRUE,
      B967,
      C967,
      embaralharLinks(E967,F967,G967),
      H967,
      """",
      J967,
      N967,
      ""#RIPNSFW""
    ),
  "",\s*"", "" "")
)"),"{New} Kate Kuray https://lulustream.com/d/svl3dmp5ajhp https://doodstream.com/d/583bsr9bm1o9/20257771 https://streamtape.com/v/3dw94KbwQdcdkoj/20257771 (2026) #Hardcore #Bigass #Teen #Blowjob #RIPNSFW")</f>
        <v>{New} Kate Kuray https://lulustream.com/d/svl3dmp5ajhp https://doodstream.com/d/583bsr9bm1o9/20257771 https://streamtape.com/v/3dw94KbwQdcdkoj/20257771 (2026) #Hardcore #Bigass #Teen #Blowjob #RIPNSFW</v>
      </c>
      <c r="N967" s="2" t="s">
        <v>3684</v>
      </c>
      <c r="O967" s="21" t="s">
        <v>4842</v>
      </c>
      <c r="P967" s="26"/>
      <c r="R967" s="23"/>
    </row>
    <row r="968" spans="1:27" ht="12.75">
      <c r="A968" s="6" t="s">
        <v>4843</v>
      </c>
      <c r="B968" s="6" t="s">
        <v>14</v>
      </c>
      <c r="C968" s="7" t="str">
        <f t="shared" si="12"/>
        <v xml:space="preserve">Kate Kuray </v>
      </c>
      <c r="D968" s="6" t="s">
        <v>4844</v>
      </c>
      <c r="E968" s="8" t="s">
        <v>4845</v>
      </c>
      <c r="F968" s="9" t="str">
        <f ca="1">IFERROR(__xludf.DUMMYFUNCTION("""https://streamtape.com/v/""&amp;
REGEXEXTRACT(O968,""/thumb/([^/]+)/"")&amp;
""/""&amp;K968"),"https://streamtape.com/v/XP9YDLgp9PiDJJ3/24990642")</f>
        <v>https://streamtape.com/v/XP9YDLgp9PiDJJ3/24990642</v>
      </c>
      <c r="G968" s="10" t="e">
        <f t="shared" ca="1" si="13"/>
        <v>#NAME?</v>
      </c>
      <c r="H968" s="11" t="str">
        <f ca="1">IFERROR(__xludf.DUMMYFUNCTION("IFERROR(SUBSTITUTE(SUBSTITUTE(REGEXEXTRACT(A968, ""[^-]+- [^-]+- [^-]+ - (.+?)\.jpg""), "".jpg"", """"), ""-"", "", ""), """")"),"")</f>
        <v/>
      </c>
      <c r="I968" s="6"/>
      <c r="J968" s="7" t="str">
        <f t="shared" ca="1" si="14"/>
        <v>(2026)</v>
      </c>
      <c r="K968" s="7" t="str">
        <f t="shared" si="15"/>
        <v>24990642</v>
      </c>
      <c r="L968" s="12" t="s">
        <v>4846</v>
      </c>
      <c r="M968" s="13" t="str">
        <f ca="1">IFERROR(__xludf.DUMMYFUNCTION("TRIM(
  REGEXREPLACE(
    TEXTJOIN("" "",
      TRUE,
      B968,
      C968,
      embaralharLinks(E968,F968,G968),
      H968,
      """",
      J968,
      N968,
      ""#RIPNSFW""
    ),
  "",\s*"", "" "")
)"),"{New} Kate Kuray https://doodstream.com/d/vkib769z68ww/24990642 https://lulustream.com/d/sht0dm1icrge https://streamtape.com/v/XP9YDLgp9PiDJJ3/24990642 (2026) #BigTits #Bigass #Teen #Teens #Amateur #RIPNSFW")</f>
        <v>{New} Kate Kuray https://doodstream.com/d/vkib769z68ww/24990642 https://lulustream.com/d/sht0dm1icrge https://streamtape.com/v/XP9YDLgp9PiDJJ3/24990642 (2026) #BigTits #Bigass #Teen #Teens #Amateur #RIPNSFW</v>
      </c>
      <c r="N968" s="14" t="s">
        <v>4847</v>
      </c>
      <c r="O968" s="15" t="s">
        <v>4848</v>
      </c>
      <c r="P968" s="14"/>
      <c r="Q968" s="6"/>
      <c r="R968" s="11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>
      <c r="A969" s="12" t="s">
        <v>4849</v>
      </c>
      <c r="B969" s="6" t="s">
        <v>14</v>
      </c>
      <c r="C969" s="7" t="str">
        <f t="shared" si="12"/>
        <v xml:space="preserve">Kate Kuray </v>
      </c>
      <c r="D969" s="24" t="s">
        <v>4850</v>
      </c>
      <c r="E969" s="25" t="s">
        <v>4851</v>
      </c>
      <c r="F969" s="9" t="str">
        <f ca="1">IFERROR(__xludf.DUMMYFUNCTION("""https://streamtape.com/v/""&amp;
REGEXEXTRACT(O969,""/thumb/([^/]+)/"")&amp;
""/""&amp;K969"),"https://streamtape.com/v/BzXePbOLyBUyxba/25748212")</f>
        <v>https://streamtape.com/v/BzXePbOLyBUyxba/25748212</v>
      </c>
      <c r="G969" s="10" t="e">
        <f t="shared" ca="1" si="13"/>
        <v>#NAME?</v>
      </c>
      <c r="H969" s="11" t="str">
        <f ca="1">IFERROR(__xludf.DUMMYFUNCTION("IFERROR(SUBSTITUTE(SUBSTITUTE(REGEXEXTRACT(A969, ""[^-]+- [^-]+- [^-]+ - (.+?)\.jpg""), "".jpg"", """"), ""-"", "", ""), """")"),"")</f>
        <v/>
      </c>
      <c r="I969" s="6"/>
      <c r="J969" s="7" t="str">
        <f t="shared" ca="1" si="14"/>
        <v>(2026)</v>
      </c>
      <c r="K969" s="7" t="str">
        <f t="shared" si="15"/>
        <v>25748212</v>
      </c>
      <c r="L969" s="12" t="s">
        <v>3715</v>
      </c>
      <c r="M969" s="13" t="str">
        <f ca="1">IFERROR(__xludf.DUMMYFUNCTION("TRIM(
  REGEXREPLACE(
    TEXTJOIN("" "",
      TRUE,
      B969,
      C969,
      embaralharLinks(E969,F969,G969),
      H969,
      """",
      J969,
      N969,
      ""#RIPNSFW""
    ),
  "",\s*"", "" "")
)"),"{New} Kate Kuray https://lulustream.com/d/o0xd83ye106j https://doodstream.com/d/zrwdfgm4sgcn/25748212 https://streamtape.com/v/BzXePbOLyBUyxba/25748212 (2026) #teen #blowjob #bigass #blonde #RIPNSFW")</f>
        <v>{New} Kate Kuray https://lulustream.com/d/o0xd83ye106j https://doodstream.com/d/zrwdfgm4sgcn/25748212 https://streamtape.com/v/BzXePbOLyBUyxba/25748212 (2026) #teen #blowjob #bigass #blonde #RIPNSFW</v>
      </c>
      <c r="N969" s="2" t="s">
        <v>3715</v>
      </c>
      <c r="O969" s="30" t="s">
        <v>4852</v>
      </c>
      <c r="P969" s="26"/>
      <c r="R969" s="23"/>
    </row>
    <row r="970" spans="1:27" ht="12.75">
      <c r="A970" s="6" t="s">
        <v>4853</v>
      </c>
      <c r="B970" s="6" t="s">
        <v>14</v>
      </c>
      <c r="C970" s="7" t="str">
        <f t="shared" si="12"/>
        <v xml:space="preserve">Kate Kuray </v>
      </c>
      <c r="D970" s="29" t="s">
        <v>4854</v>
      </c>
      <c r="E970" s="8" t="s">
        <v>4855</v>
      </c>
      <c r="F970" s="9" t="str">
        <f ca="1">IFERROR(__xludf.DUMMYFUNCTION("""https://streamtape.com/v/""&amp;
REGEXEXTRACT(O970,""/thumb/([^/]+)/"")&amp;
""/""&amp;K970"),"https://streamtape.com/v/4m1Ap3MW28fKwQ2/27058445")</f>
        <v>https://streamtape.com/v/4m1Ap3MW28fKwQ2/27058445</v>
      </c>
      <c r="G970" s="10" t="e">
        <f t="shared" ca="1" si="13"/>
        <v>#NAME?</v>
      </c>
      <c r="H970" s="11" t="str">
        <f ca="1">IFERROR(__xludf.DUMMYFUNCTION("IFERROR(SUBSTITUTE(SUBSTITUTE(REGEXEXTRACT(A970, ""[^-]+- [^-]+- [^-]+ - (.+?)\.jpg""), "".jpg"", """"), ""-"", "", ""), """")"),"")</f>
        <v/>
      </c>
      <c r="I970" s="6"/>
      <c r="J970" s="7" t="str">
        <f t="shared" ca="1" si="14"/>
        <v>(2026)</v>
      </c>
      <c r="K970" s="7" t="str">
        <f t="shared" si="15"/>
        <v>27058445</v>
      </c>
      <c r="L970" s="12" t="s">
        <v>4856</v>
      </c>
      <c r="M970" s="13" t="str">
        <f ca="1">IFERROR(__xludf.DUMMYFUNCTION("TRIM(
  REGEXREPLACE(
    TEXTJOIN("" "",
      TRUE,
      B970,
      C970,
      embaralharLinks(E970,F970,G970),
      H970,
      """",
      J970,
      N970,
      ""#RIPNSFW""
    ),
  "",\s*"", "" "")
)"),"{New} Kate Kuray https://doodstream.com/d/1sf8ufgc7g2r/27058445 https://lulustream.com/d/75pt1um24s4u https://streamtape.com/v/4m1Ap3MW28fKwQ2/27058445 (2026) #Hardcore #Bigass #Teen #Roleplay #Amateur #Blowjob #Teens #Blonde #RIPNSFW")</f>
        <v>{New} Kate Kuray https://doodstream.com/d/1sf8ufgc7g2r/27058445 https://lulustream.com/d/75pt1um24s4u https://streamtape.com/v/4m1Ap3MW28fKwQ2/27058445 (2026) #Hardcore #Bigass #Teen #Roleplay #Amateur #Blowjob #Teens #Blonde #RIPNSFW</v>
      </c>
      <c r="N970" s="14" t="s">
        <v>4857</v>
      </c>
      <c r="O970" s="32" t="s">
        <v>4858</v>
      </c>
      <c r="P970" s="14"/>
      <c r="Q970" s="6"/>
      <c r="R970" s="11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>
      <c r="A971" s="12" t="s">
        <v>4859</v>
      </c>
      <c r="B971" s="6" t="s">
        <v>14</v>
      </c>
      <c r="C971" s="7" t="str">
        <f t="shared" si="12"/>
        <v xml:space="preserve">Kate Kuray </v>
      </c>
      <c r="D971" s="27" t="s">
        <v>4860</v>
      </c>
      <c r="E971" s="28" t="s">
        <v>4861</v>
      </c>
      <c r="F971" s="9" t="str">
        <f ca="1">IFERROR(__xludf.DUMMYFUNCTION("""https://streamtape.com/v/""&amp;
REGEXEXTRACT(O971,""/thumb/([^/]+)/"")&amp;
""/""&amp;K971"),"https://streamtape.com/v/doL3z9A1LztgBm/29107362")</f>
        <v>https://streamtape.com/v/doL3z9A1LztgBm/29107362</v>
      </c>
      <c r="G971" s="10" t="e">
        <f t="shared" ca="1" si="13"/>
        <v>#NAME?</v>
      </c>
      <c r="H971" s="11" t="str">
        <f ca="1">IFERROR(__xludf.DUMMYFUNCTION("IFERROR(SUBSTITUTE(SUBSTITUTE(REGEXEXTRACT(A971, ""[^-]+- [^-]+- [^-]+ - (.+?)\.jpg""), "".jpg"", """"), ""-"", "", ""), """")"),"")</f>
        <v/>
      </c>
      <c r="I971" s="6"/>
      <c r="J971" s="7" t="str">
        <f t="shared" ca="1" si="14"/>
        <v>(2026)</v>
      </c>
      <c r="K971" s="7" t="str">
        <f t="shared" si="15"/>
        <v>29107362</v>
      </c>
      <c r="L971" s="12" t="s">
        <v>3683</v>
      </c>
      <c r="M971" s="13" t="str">
        <f ca="1">IFERROR(__xludf.DUMMYFUNCTION("TRIM(
  REGEXREPLACE(
    TEXTJOIN("" "",
      TRUE,
      B971,
      C971,
      embaralharLinks(E971,F971,G971),
      H971,
      """",
      J971,
      N971,
      ""#RIPNSFW""
    ),
  "",\s*"", "" "")
)"),"{New} Kate Kuray https://lulustream.com/d/dauoykzezqdb https://doodstream.com/d/ihu6irp8wigs/29107362 https://streamtape.com/v/doL3z9A1LztgBm/29107362 (2026) #Hardcore #Bigass #Teen #Blowjob #RIPNSFW")</f>
        <v>{New} Kate Kuray https://lulustream.com/d/dauoykzezqdb https://doodstream.com/d/ihu6irp8wigs/29107362 https://streamtape.com/v/doL3z9A1LztgBm/29107362 (2026) #Hardcore #Bigass #Teen #Blowjob #RIPNSFW</v>
      </c>
      <c r="N971" s="2" t="s">
        <v>3684</v>
      </c>
      <c r="O971" s="30" t="s">
        <v>4862</v>
      </c>
      <c r="P971" s="26"/>
      <c r="R971" s="23"/>
    </row>
    <row r="972" spans="1:27" ht="12.75">
      <c r="A972" s="6" t="s">
        <v>4863</v>
      </c>
      <c r="B972" s="6" t="s">
        <v>14</v>
      </c>
      <c r="C972" s="7" t="str">
        <f t="shared" si="12"/>
        <v xml:space="preserve">Kate Kuray </v>
      </c>
      <c r="D972" s="6" t="s">
        <v>4864</v>
      </c>
      <c r="E972" s="8" t="s">
        <v>4865</v>
      </c>
      <c r="F972" s="9" t="str">
        <f ca="1">IFERROR(__xludf.DUMMYFUNCTION("""https://streamtape.com/v/""&amp;
REGEXEXTRACT(O972,""/thumb/([^/]+)/"")&amp;
""/""&amp;K972"),"https://streamtape.com/v/OdJwDRvlRLhZPbG/30761773")</f>
        <v>https://streamtape.com/v/OdJwDRvlRLhZPbG/30761773</v>
      </c>
      <c r="G972" s="10" t="e">
        <f t="shared" ca="1" si="13"/>
        <v>#NAME?</v>
      </c>
      <c r="H972" s="11" t="str">
        <f ca="1">IFERROR(__xludf.DUMMYFUNCTION("IFERROR(SUBSTITUTE(SUBSTITUTE(REGEXEXTRACT(A972, ""[^-]+- [^-]+- [^-]+ - (.+?)\.jpg""), "".jpg"", """"), ""-"", "", ""), """")"),"")</f>
        <v/>
      </c>
      <c r="I972" s="6"/>
      <c r="J972" s="7" t="str">
        <f t="shared" ca="1" si="14"/>
        <v>(2026)</v>
      </c>
      <c r="K972" s="7" t="str">
        <f t="shared" si="15"/>
        <v>30761773</v>
      </c>
      <c r="L972" s="12" t="s">
        <v>4866</v>
      </c>
      <c r="M972" s="13" t="str">
        <f ca="1">IFERROR(__xludf.DUMMYFUNCTION("TRIM(
  REGEXREPLACE(
    TEXTJOIN("" "",
      TRUE,
      B972,
      C972,
      embaralharLinks(E972,F972,G972),
      H972,
      """",
      J972,
      N972,
      ""#RIPNSFW""
    ),
  "",\s*"", "" "")
)"),"{New} Kate Kuray https://lulustream.com/d/d6g5oqy9gd7l https://streamtape.com/v/OdJwDRvlRLhZPbG/30761773 https://doodstream.com/d/ghkjq7k7xze0/30761773 (2026) #Creampie #Hardcore #Teen #Artporn #RIPNSFW")</f>
        <v>{New} Kate Kuray https://lulustream.com/d/d6g5oqy9gd7l https://streamtape.com/v/OdJwDRvlRLhZPbG/30761773 https://doodstream.com/d/ghkjq7k7xze0/30761773 (2026) #Creampie #Hardcore #Teen #Artporn #RIPNSFW</v>
      </c>
      <c r="N972" s="14" t="s">
        <v>4867</v>
      </c>
      <c r="O972" s="15" t="s">
        <v>4868</v>
      </c>
      <c r="P972" s="14"/>
      <c r="Q972" s="6"/>
      <c r="R972" s="11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>
      <c r="A973" s="6" t="s">
        <v>4869</v>
      </c>
      <c r="B973" s="6" t="s">
        <v>14</v>
      </c>
      <c r="C973" s="7" t="str">
        <f t="shared" si="12"/>
        <v xml:space="preserve">Kate Kuray </v>
      </c>
      <c r="D973" s="6" t="s">
        <v>4870</v>
      </c>
      <c r="E973" s="8" t="s">
        <v>4871</v>
      </c>
      <c r="F973" s="9" t="str">
        <f ca="1">IFERROR(__xludf.DUMMYFUNCTION("""https://streamtape.com/v/""&amp;
REGEXEXTRACT(O973,""/thumb/([^/]+)/"")&amp;
""/""&amp;K973"),"https://streamtape.com/v/LXbBOWWewOfRpey/31200598")</f>
        <v>https://streamtape.com/v/LXbBOWWewOfRpey/31200598</v>
      </c>
      <c r="G973" s="10" t="e">
        <f t="shared" ca="1" si="13"/>
        <v>#NAME?</v>
      </c>
      <c r="H973" s="11" t="str">
        <f ca="1">IFERROR(__xludf.DUMMYFUNCTION("IFERROR(SUBSTITUTE(SUBSTITUTE(REGEXEXTRACT(A973, ""[^-]+- [^-]+- [^-]+ - (.+?)\.jpg""), "".jpg"", """"), ""-"", "", ""), """")"),"")</f>
        <v/>
      </c>
      <c r="I973" s="6"/>
      <c r="J973" s="7" t="str">
        <f t="shared" ca="1" si="14"/>
        <v>(2026)</v>
      </c>
      <c r="K973" s="7" t="str">
        <f t="shared" si="15"/>
        <v>31200598</v>
      </c>
      <c r="L973" s="12" t="s">
        <v>4872</v>
      </c>
      <c r="M973" s="13" t="str">
        <f ca="1">IFERROR(__xludf.DUMMYFUNCTION("TRIM(
  REGEXREPLACE(
    TEXTJOIN("" "",
      TRUE,
      B973,
      C973,
      embaralharLinks(E973,F973,G973),
      H973,
      """",
      J973,
      N973,
      ""#RIPNSFW""
    ),
  "",\s*"", "" "")
)"),"{New} Kate Kuray https://doodstream.com/d/0ff4k32rebng/31200598 https://lulustream.com/d/k6krfgcbpvwq https://streamtape.com/v/LXbBOWWewOfRpey/31200598 (2026) #Bigass #Teen #Teens #Blowjob #Amateur #Deepthroat #RIPNSFW")</f>
        <v>{New} Kate Kuray https://doodstream.com/d/0ff4k32rebng/31200598 https://lulustream.com/d/k6krfgcbpvwq https://streamtape.com/v/LXbBOWWewOfRpey/31200598 (2026) #Bigass #Teen #Teens #Blowjob #Amateur #Deepthroat #RIPNSFW</v>
      </c>
      <c r="N973" s="14" t="s">
        <v>4873</v>
      </c>
      <c r="O973" s="15" t="s">
        <v>4874</v>
      </c>
      <c r="P973" s="14"/>
      <c r="Q973" s="6"/>
      <c r="R973" s="11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>
      <c r="A974" s="6" t="s">
        <v>4875</v>
      </c>
      <c r="B974" s="6" t="s">
        <v>14</v>
      </c>
      <c r="C974" s="7" t="str">
        <f t="shared" si="12"/>
        <v xml:space="preserve">Kate Kuray </v>
      </c>
      <c r="D974" s="6" t="s">
        <v>4876</v>
      </c>
      <c r="E974" s="8" t="s">
        <v>4877</v>
      </c>
      <c r="F974" s="9" t="str">
        <f ca="1">IFERROR(__xludf.DUMMYFUNCTION("""https://streamtape.com/v/""&amp;
REGEXEXTRACT(O974,""/thumb/([^/]+)/"")&amp;
""/""&amp;K974"),"https://streamtape.com/v/DAl4Lw2vK6Ckood/31360985")</f>
        <v>https://streamtape.com/v/DAl4Lw2vK6Ckood/31360985</v>
      </c>
      <c r="G974" s="10" t="e">
        <f t="shared" ca="1" si="13"/>
        <v>#NAME?</v>
      </c>
      <c r="H974" s="11" t="str">
        <f ca="1">IFERROR(__xludf.DUMMYFUNCTION("IFERROR(SUBSTITUTE(SUBSTITUTE(REGEXEXTRACT(A974, ""[^-]+- [^-]+- [^-]+ - (.+?)\.jpg""), "".jpg"", """"), ""-"", "", ""), """")"),"")</f>
        <v/>
      </c>
      <c r="I974" s="6"/>
      <c r="J974" s="7" t="str">
        <f t="shared" ca="1" si="14"/>
        <v>(2026)</v>
      </c>
      <c r="K974" s="7" t="str">
        <f t="shared" si="15"/>
        <v>31360985</v>
      </c>
      <c r="L974" s="12" t="s">
        <v>4878</v>
      </c>
      <c r="M974" s="13" t="str">
        <f ca="1">IFERROR(__xludf.DUMMYFUNCTION("TRIM(
  REGEXREPLACE(
    TEXTJOIN("" "",
      TRUE,
      B974,
      C974,
      embaralharLinks(E974,F974,G974),
      H974,
      """",
      J974,
      N974,
      ""#RIPNSFW""
    ),
  "",\s*"", "" "")
)"),"{New} Kate Kuray https://streamtape.com/v/DAl4Lw2vK6Ckood/31360985 https://doodstream.com/d/7vfursytw2u9/31360985 https://lulustream.com/d/9jpcmtn2qbh5 (2026) #Bigass #Teen #Blowjob #Amateur #Blonde #RIPNSFW")</f>
        <v>{New} Kate Kuray https://streamtape.com/v/DAl4Lw2vK6Ckood/31360985 https://doodstream.com/d/7vfursytw2u9/31360985 https://lulustream.com/d/9jpcmtn2qbh5 (2026) #Bigass #Teen #Blowjob #Amateur #Blonde #RIPNSFW</v>
      </c>
      <c r="N974" s="14" t="s">
        <v>4879</v>
      </c>
      <c r="O974" s="15" t="s">
        <v>4880</v>
      </c>
      <c r="P974" s="14"/>
      <c r="Q974" s="6"/>
      <c r="R974" s="11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>
      <c r="A975" s="6" t="s">
        <v>4881</v>
      </c>
      <c r="B975" s="6" t="s">
        <v>14</v>
      </c>
      <c r="C975" s="7" t="str">
        <f t="shared" si="12"/>
        <v xml:space="preserve">Kate Kuray </v>
      </c>
      <c r="D975" s="6" t="s">
        <v>4882</v>
      </c>
      <c r="E975" s="8" t="s">
        <v>4883</v>
      </c>
      <c r="F975" s="9" t="str">
        <f ca="1">IFERROR(__xludf.DUMMYFUNCTION("""https://streamtape.com/v/""&amp;
REGEXEXTRACT(O975,""/thumb/([^/]+)/"")&amp;
""/""&amp;K975"),"https://streamtape.com/v/WqvqDyrrMJCbvW9/31548926")</f>
        <v>https://streamtape.com/v/WqvqDyrrMJCbvW9/31548926</v>
      </c>
      <c r="G975" s="10" t="e">
        <f t="shared" ca="1" si="13"/>
        <v>#NAME?</v>
      </c>
      <c r="H975" s="11" t="str">
        <f ca="1">IFERROR(__xludf.DUMMYFUNCTION("IFERROR(SUBSTITUTE(SUBSTITUTE(REGEXEXTRACT(A975, ""[^-]+- [^-]+- [^-]+ - (.+?)\.jpg""), "".jpg"", """"), ""-"", "", ""), """")"),"")</f>
        <v/>
      </c>
      <c r="I975" s="6"/>
      <c r="J975" s="7" t="str">
        <f t="shared" ca="1" si="14"/>
        <v>(2026)</v>
      </c>
      <c r="K975" s="7" t="str">
        <f t="shared" si="15"/>
        <v>31548926</v>
      </c>
      <c r="L975" s="12" t="s">
        <v>4884</v>
      </c>
      <c r="M975" s="13" t="str">
        <f ca="1">IFERROR(__xludf.DUMMYFUNCTION("TRIM(
  REGEXREPLACE(
    TEXTJOIN("" "",
      TRUE,
      B975,
      C975,
      embaralharLinks(E975,F975,G975),
      H975,
      """",
      J975,
      N975,
      ""#RIPNSFW""
    ),
  "",\s*"", "" "")
)"),"{New} Kate Kuray https://streamtape.com/v/WqvqDyrrMJCbvW9/31548926 https://lulustream.com/d/l1wttue2rx7l https://doodstream.com/d/cas5g6ssaw3g/31548926 (2026) #Hardcore #Bigass #Teen #Blowjob #Amateur #Hotwife #Deepthroat #Blonde #Facial #RIPNSFW")</f>
        <v>{New} Kate Kuray https://streamtape.com/v/WqvqDyrrMJCbvW9/31548926 https://lulustream.com/d/l1wttue2rx7l https://doodstream.com/d/cas5g6ssaw3g/31548926 (2026) #Hardcore #Bigass #Teen #Blowjob #Amateur #Hotwife #Deepthroat #Blonde #Facial #RIPNSFW</v>
      </c>
      <c r="N975" s="14" t="s">
        <v>4885</v>
      </c>
      <c r="O975" s="15" t="s">
        <v>4886</v>
      </c>
      <c r="P975" s="14"/>
      <c r="Q975" s="6"/>
      <c r="R975" s="11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75">
      <c r="A976" s="6" t="s">
        <v>4887</v>
      </c>
      <c r="B976" s="6" t="s">
        <v>14</v>
      </c>
      <c r="C976" s="7" t="str">
        <f t="shared" si="12"/>
        <v xml:space="preserve">Kate Kuray </v>
      </c>
      <c r="D976" s="6" t="s">
        <v>4888</v>
      </c>
      <c r="E976" s="8" t="s">
        <v>4889</v>
      </c>
      <c r="F976" s="9" t="str">
        <f ca="1">IFERROR(__xludf.DUMMYFUNCTION("""https://streamtape.com/v/""&amp;
REGEXEXTRACT(O976,""/thumb/([^/]+)/"")&amp;
""/""&amp;K976"),"https://streamtape.com/v/jkOpgQAOl0CJO3/31937039")</f>
        <v>https://streamtape.com/v/jkOpgQAOl0CJO3/31937039</v>
      </c>
      <c r="G976" s="10" t="e">
        <f t="shared" ca="1" si="13"/>
        <v>#NAME?</v>
      </c>
      <c r="H976" s="11" t="str">
        <f ca="1">IFERROR(__xludf.DUMMYFUNCTION("IFERROR(SUBSTITUTE(SUBSTITUTE(REGEXEXTRACT(A976, ""[^-]+- [^-]+- [^-]+ - (.+?)\.jpg""), "".jpg"", """"), ""-"", "", ""), """")"),"")</f>
        <v/>
      </c>
      <c r="I976" s="6"/>
      <c r="J976" s="7" t="str">
        <f t="shared" ca="1" si="14"/>
        <v>(2026)</v>
      </c>
      <c r="K976" s="7" t="str">
        <f t="shared" si="15"/>
        <v>31937039</v>
      </c>
      <c r="L976" s="12" t="s">
        <v>4890</v>
      </c>
      <c r="M976" s="13" t="str">
        <f ca="1">IFERROR(__xludf.DUMMYFUNCTION("TRIM(
  REGEXREPLACE(
    TEXTJOIN("" "",
      TRUE,
      B976,
      C976,
      embaralharLinks(E976,F976,G976),
      H976,
      """",
      J976,
      N976,
      ""#RIPNSFW""
    ),
  "",\s*"", "" "")
)"),"{New} Kate Kuray https://lulustream.com/d/ck6mo086wufy https://streamtape.com/v/jkOpgQAOl0CJO3/31937039 https://doodstream.com/d/2txl1v52cxum/31937039 (2026) #Bigass #Teen #Teens #Blowjob #Amateur #RIPNSFW")</f>
        <v>{New} Kate Kuray https://lulustream.com/d/ck6mo086wufy https://streamtape.com/v/jkOpgQAOl0CJO3/31937039 https://doodstream.com/d/2txl1v52cxum/31937039 (2026) #Bigass #Teen #Teens #Blowjob #Amateur #RIPNSFW</v>
      </c>
      <c r="N976" s="14" t="s">
        <v>4891</v>
      </c>
      <c r="O976" s="15" t="s">
        <v>4892</v>
      </c>
      <c r="P976" s="14"/>
      <c r="Q976" s="6"/>
      <c r="R976" s="11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75">
      <c r="A977" s="12" t="s">
        <v>4893</v>
      </c>
      <c r="B977" s="6" t="s">
        <v>14</v>
      </c>
      <c r="C977" s="7" t="str">
        <f t="shared" si="12"/>
        <v xml:space="preserve">Kate Kuray </v>
      </c>
      <c r="D977" s="24" t="s">
        <v>4894</v>
      </c>
      <c r="E977" s="25" t="s">
        <v>4895</v>
      </c>
      <c r="F977" s="9" t="str">
        <f ca="1">IFERROR(__xludf.DUMMYFUNCTION("""https://streamtape.com/v/""&amp;
REGEXEXTRACT(O977,""/thumb/([^/]+)/"")&amp;
""/""&amp;K977"),"https://streamtape.com/v/3o6pGBx27aUaBy/32292220")</f>
        <v>https://streamtape.com/v/3o6pGBx27aUaBy/32292220</v>
      </c>
      <c r="G977" s="10" t="e">
        <f t="shared" ca="1" si="13"/>
        <v>#NAME?</v>
      </c>
      <c r="H977" s="11" t="str">
        <f ca="1">IFERROR(__xludf.DUMMYFUNCTION("IFERROR(SUBSTITUTE(SUBSTITUTE(REGEXEXTRACT(A977, ""[^-]+- [^-]+- [^-]+ - (.+?)\.jpg""), "".jpg"", """"), ""-"", "", ""), """")"),"")</f>
        <v/>
      </c>
      <c r="I977" s="6"/>
      <c r="J977" s="7" t="str">
        <f t="shared" ca="1" si="14"/>
        <v>(2026)</v>
      </c>
      <c r="K977" s="7" t="str">
        <f t="shared" si="15"/>
        <v>32292220</v>
      </c>
      <c r="L977" s="12" t="s">
        <v>3977</v>
      </c>
      <c r="M977" s="13" t="str">
        <f ca="1">IFERROR(__xludf.DUMMYFUNCTION("TRIM(
  REGEXREPLACE(
    TEXTJOIN("" "",
      TRUE,
      B977,
      C977,
      embaralharLinks(E977,F977,G977),
      H977,
      """",
      J977,
      N977,
      ""#RIPNSFW""
    ),
  "",\s*"", "" "")
)"),"{New} Kate Kuray https://streamtape.com/v/3o6pGBx27aUaBy/32292220 https://lulustream.com/d/1kb88l89a3zh https://doodstream.com/d/y4sauszeayqc/32292220 (2026) #teen #blowjob #bigass #brunette #RIPNSFW")</f>
        <v>{New} Kate Kuray https://streamtape.com/v/3o6pGBx27aUaBy/32292220 https://lulustream.com/d/1kb88l89a3zh https://doodstream.com/d/y4sauszeayqc/32292220 (2026) #teen #blowjob #bigass #brunette #RIPNSFW</v>
      </c>
      <c r="N977" s="2" t="s">
        <v>3977</v>
      </c>
      <c r="O977" s="30" t="s">
        <v>4896</v>
      </c>
      <c r="P977" s="26"/>
      <c r="R977" s="23"/>
    </row>
    <row r="978" spans="1:27" ht="12.75">
      <c r="A978" s="6" t="s">
        <v>4897</v>
      </c>
      <c r="B978" s="6" t="s">
        <v>14</v>
      </c>
      <c r="C978" s="7" t="str">
        <f t="shared" si="12"/>
        <v xml:space="preserve">Kate Kuray </v>
      </c>
      <c r="D978" s="24" t="s">
        <v>4898</v>
      </c>
      <c r="E978" s="25" t="s">
        <v>4899</v>
      </c>
      <c r="F978" s="9" t="str">
        <f ca="1">IFERROR(__xludf.DUMMYFUNCTION("""https://streamtape.com/v/""&amp;
REGEXEXTRACT(O978,""/thumb/([^/]+)/"")&amp;
""/""&amp;K978"),"https://streamtape.com/v/VBd1Vwo2LaHK7jB/37514322")</f>
        <v>https://streamtape.com/v/VBd1Vwo2LaHK7jB/37514322</v>
      </c>
      <c r="G978" s="10" t="e">
        <f t="shared" ca="1" si="13"/>
        <v>#NAME?</v>
      </c>
      <c r="H978" s="11" t="str">
        <f ca="1">IFERROR(__xludf.DUMMYFUNCTION("IFERROR(SUBSTITUTE(SUBSTITUTE(REGEXEXTRACT(A978, ""[^-]+- [^-]+- [^-]+ - (.+?)\.jpg""), "".jpg"", """"), ""-"", "", ""), """")"),"")</f>
        <v/>
      </c>
      <c r="I978" s="6"/>
      <c r="J978" s="7" t="str">
        <f t="shared" ca="1" si="14"/>
        <v>(2026)</v>
      </c>
      <c r="K978" s="7" t="str">
        <f t="shared" si="15"/>
        <v>37514322</v>
      </c>
      <c r="L978" s="12" t="s">
        <v>3977</v>
      </c>
      <c r="M978" s="13" t="str">
        <f ca="1">IFERROR(__xludf.DUMMYFUNCTION("TRIM(
  REGEXREPLACE(
    TEXTJOIN("" "",
      TRUE,
      B978,
      C978,
      embaralharLinks(E978,F978,G978),
      H978,
      """",
      J978,
      N978,
      ""#RIPNSFW""
    ),
  "",\s*"", "" "")
)"),"{New} Kate Kuray https://doodstream.com/d/uqqemngqfkqx/37514322 https://lulustream.com/d/zm8w89xzu9ft https://streamtape.com/v/VBd1Vwo2LaHK7jB/37514322 (2026) #teen #blowjob #bigass #brunette #RIPNSFW")</f>
        <v>{New} Kate Kuray https://doodstream.com/d/uqqemngqfkqx/37514322 https://lulustream.com/d/zm8w89xzu9ft https://streamtape.com/v/VBd1Vwo2LaHK7jB/37514322 (2026) #teen #blowjob #bigass #brunette #RIPNSFW</v>
      </c>
      <c r="N978" s="31" t="s">
        <v>3977</v>
      </c>
      <c r="O978" s="32" t="s">
        <v>4900</v>
      </c>
      <c r="P978" s="26"/>
      <c r="Q978" s="6"/>
      <c r="R978" s="11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75">
      <c r="A979" s="12" t="s">
        <v>4901</v>
      </c>
      <c r="B979" s="6" t="s">
        <v>14</v>
      </c>
      <c r="C979" s="7" t="str">
        <f t="shared" si="12"/>
        <v xml:space="preserve">Kate Kuray </v>
      </c>
      <c r="D979" s="24" t="s">
        <v>4902</v>
      </c>
      <c r="E979" s="25" t="s">
        <v>4903</v>
      </c>
      <c r="F979" s="9" t="str">
        <f ca="1">IFERROR(__xludf.DUMMYFUNCTION("""https://streamtape.com/v/""&amp;
REGEXEXTRACT(O979,""/thumb/([^/]+)/"")&amp;
""/""&amp;K979"),"https://streamtape.com/v/belrdJx3RqfPeXj/37527639")</f>
        <v>https://streamtape.com/v/belrdJx3RqfPeXj/37527639</v>
      </c>
      <c r="G979" s="10" t="e">
        <f t="shared" ca="1" si="13"/>
        <v>#NAME?</v>
      </c>
      <c r="H979" s="11" t="str">
        <f ca="1">IFERROR(__xludf.DUMMYFUNCTION("IFERROR(SUBSTITUTE(SUBSTITUTE(REGEXEXTRACT(A979, ""[^-]+- [^-]+- [^-]+ - (.+?)\.jpg""), "".jpg"", """"), ""-"", "", ""), """")"),"")</f>
        <v/>
      </c>
      <c r="I979" s="6"/>
      <c r="J979" s="7" t="str">
        <f t="shared" ca="1" si="14"/>
        <v>(2026)</v>
      </c>
      <c r="K979" s="7" t="str">
        <f t="shared" si="15"/>
        <v>37527639</v>
      </c>
      <c r="L979" s="12" t="s">
        <v>4904</v>
      </c>
      <c r="M979" s="13" t="str">
        <f ca="1">IFERROR(__xludf.DUMMYFUNCTION("TRIM(
  REGEXREPLACE(
    TEXTJOIN("" "",
      TRUE,
      B979,
      C979,
      embaralharLinks(E979,F979,G979),
      H979,
      """",
      J979,
      N979,
      ""#RIPNSFW""
    ),
  "",\s*"", "" "")
)"),"{New} Kate Kuray https://doodstream.com/d/ny9w3z15ok6d/37527639 https://lulustream.com/d/huv3v4ochw1z https://streamtape.com/v/belrdJx3RqfPeXj/37527639 (2026) #creampie #teen #blowjob #bigass #RIPNSFW")</f>
        <v>{New} Kate Kuray https://doodstream.com/d/ny9w3z15ok6d/37527639 https://lulustream.com/d/huv3v4ochw1z https://streamtape.com/v/belrdJx3RqfPeXj/37527639 (2026) #creampie #teen #blowjob #bigass #RIPNSFW</v>
      </c>
      <c r="N979" s="2" t="s">
        <v>4904</v>
      </c>
      <c r="O979" s="30" t="s">
        <v>4905</v>
      </c>
      <c r="P979" s="26"/>
      <c r="R979" s="23"/>
    </row>
    <row r="980" spans="1:27" ht="12.75">
      <c r="A980" s="6" t="s">
        <v>4906</v>
      </c>
      <c r="B980" s="6" t="s">
        <v>14</v>
      </c>
      <c r="C980" s="7" t="str">
        <f t="shared" si="12"/>
        <v xml:space="preserve">Kate Kuray </v>
      </c>
      <c r="D980" s="6" t="s">
        <v>4907</v>
      </c>
      <c r="E980" s="8" t="s">
        <v>4908</v>
      </c>
      <c r="F980" s="9" t="str">
        <f ca="1">IFERROR(__xludf.DUMMYFUNCTION("""https://streamtape.com/v/""&amp;
REGEXEXTRACT(O980,""/thumb/([^/]+)/"")&amp;
""/""&amp;K980"),"https://streamtape.com/v/yDq4PzzbxeI1prz/37661671")</f>
        <v>https://streamtape.com/v/yDq4PzzbxeI1prz/37661671</v>
      </c>
      <c r="G980" s="10" t="e">
        <f t="shared" ca="1" si="13"/>
        <v>#NAME?</v>
      </c>
      <c r="H980" s="11" t="str">
        <f ca="1">IFERROR(__xludf.DUMMYFUNCTION("IFERROR(SUBSTITUTE(SUBSTITUTE(REGEXEXTRACT(A980, ""[^-]+- [^-]+- [^-]+ - (.+?)\.jpg""), "".jpg"", """"), ""-"", "", ""), """")"),"")</f>
        <v/>
      </c>
      <c r="I980" s="6"/>
      <c r="J980" s="7" t="str">
        <f t="shared" ca="1" si="14"/>
        <v>(2026)</v>
      </c>
      <c r="K980" s="7" t="str">
        <f t="shared" si="15"/>
        <v>37661671</v>
      </c>
      <c r="L980" s="12" t="s">
        <v>4909</v>
      </c>
      <c r="M980" s="13" t="str">
        <f ca="1">IFERROR(__xludf.DUMMYFUNCTION("TRIM(
  REGEXREPLACE(
    TEXTJOIN("" "",
      TRUE,
      B980,
      C980,
      embaralharLinks(E980,F980,G980),
      H980,
      """",
      J980,
      N980,
      ""#RIPNSFW""
    ),
  "",\s*"", "" "")
)"),"{New} Kate Kuray https://lulustream.com/d/s1ylyok9bt6p https://doodstream.com/d/6seqn0xjgz07/37661671 https://streamtape.com/v/yDq4PzzbxeI1prz/37661671 (2026) #Hardcore #Bigass #Teen #Blowjob #Amateur #Deepthroat #RIPNSFW")</f>
        <v>{New} Kate Kuray https://lulustream.com/d/s1ylyok9bt6p https://doodstream.com/d/6seqn0xjgz07/37661671 https://streamtape.com/v/yDq4PzzbxeI1prz/37661671 (2026) #Hardcore #Bigass #Teen #Blowjob #Amateur #Deepthroat #RIPNSFW</v>
      </c>
      <c r="N980" s="14" t="s">
        <v>4910</v>
      </c>
      <c r="O980" s="15" t="s">
        <v>4911</v>
      </c>
      <c r="P980" s="14"/>
      <c r="Q980" s="6"/>
      <c r="R980" s="11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75">
      <c r="A981" s="6" t="s">
        <v>4912</v>
      </c>
      <c r="B981" s="6" t="s">
        <v>14</v>
      </c>
      <c r="C981" s="7" t="str">
        <f t="shared" si="12"/>
        <v xml:space="preserve">Kate Kuray </v>
      </c>
      <c r="D981" s="6" t="s">
        <v>4913</v>
      </c>
      <c r="E981" s="8" t="s">
        <v>4914</v>
      </c>
      <c r="F981" s="9" t="str">
        <f ca="1">IFERROR(__xludf.DUMMYFUNCTION("""https://streamtape.com/v/""&amp;
REGEXEXTRACT(O981,""/thumb/([^/]+)/"")&amp;
""/""&amp;K981"),"https://streamtape.com/v/QgpkopkByKh9D7/38454928")</f>
        <v>https://streamtape.com/v/QgpkopkByKh9D7/38454928</v>
      </c>
      <c r="G981" s="10" t="e">
        <f t="shared" ca="1" si="13"/>
        <v>#NAME?</v>
      </c>
      <c r="H981" s="11" t="str">
        <f ca="1">IFERROR(__xludf.DUMMYFUNCTION("IFERROR(SUBSTITUTE(SUBSTITUTE(REGEXEXTRACT(A981, ""[^-]+- [^-]+- [^-]+ - (.+?)\.jpg""), "".jpg"", """"), ""-"", "", ""), """")"),"")</f>
        <v/>
      </c>
      <c r="I981" s="6"/>
      <c r="J981" s="7" t="str">
        <f t="shared" ca="1" si="14"/>
        <v>(2026)</v>
      </c>
      <c r="K981" s="7" t="str">
        <f t="shared" si="15"/>
        <v>38454928</v>
      </c>
      <c r="L981" s="12" t="s">
        <v>4915</v>
      </c>
      <c r="M981" s="13" t="str">
        <f ca="1">IFERROR(__xludf.DUMMYFUNCTION("TRIM(
  REGEXREPLACE(
    TEXTJOIN("" "",
      TRUE,
      B981,
      C981,
      embaralharLinks(E981,F981,G981),
      H981,
      """",
      J981,
      N981,
      ""#RIPNSFW""
    ),
  "",\s*"", "" "")
)"),"{New} Kate Kuray https://streamtape.com/v/QgpkopkByKh9D7/38454928 https://doodstream.com/d/4v6xa2anxhzx/38454928 https://lulustream.com/d/012f785ltgw8 (2026) #Anal #Creampie #Hardcore #Bigass #RIPNSFW")</f>
        <v>{New} Kate Kuray https://streamtape.com/v/QgpkopkByKh9D7/38454928 https://doodstream.com/d/4v6xa2anxhzx/38454928 https://lulustream.com/d/012f785ltgw8 (2026) #Anal #Creampie #Hardcore #Bigass #RIPNSFW</v>
      </c>
      <c r="N981" s="14" t="s">
        <v>3791</v>
      </c>
      <c r="O981" s="15" t="s">
        <v>4916</v>
      </c>
      <c r="P981" s="14"/>
      <c r="Q981" s="6"/>
      <c r="R981" s="11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75">
      <c r="A982" s="6" t="s">
        <v>4917</v>
      </c>
      <c r="B982" s="6" t="s">
        <v>14</v>
      </c>
      <c r="C982" s="7" t="str">
        <f t="shared" si="12"/>
        <v xml:space="preserve">Kate Kuray </v>
      </c>
      <c r="D982" s="29" t="s">
        <v>4918</v>
      </c>
      <c r="E982" s="8" t="s">
        <v>4919</v>
      </c>
      <c r="F982" s="9" t="str">
        <f ca="1">IFERROR(__xludf.DUMMYFUNCTION("""https://streamtape.com/v/""&amp;
REGEXEXTRACT(O982,""/thumb/([^/]+)/"")&amp;
""/""&amp;K982"),"https://streamtape.com/v/g1olDOMYgQfqKR2/39524310")</f>
        <v>https://streamtape.com/v/g1olDOMYgQfqKR2/39524310</v>
      </c>
      <c r="G982" s="10" t="e">
        <f t="shared" ca="1" si="13"/>
        <v>#NAME?</v>
      </c>
      <c r="H982" s="11" t="str">
        <f ca="1">IFERROR(__xludf.DUMMYFUNCTION("IFERROR(SUBSTITUTE(SUBSTITUTE(REGEXEXTRACT(A982, ""[^-]+- [^-]+- [^-]+ - (.+?)\.jpg""), "".jpg"", """"), ""-"", "", ""), """")"),"")</f>
        <v/>
      </c>
      <c r="I982" s="6"/>
      <c r="J982" s="7" t="str">
        <f t="shared" ca="1" si="14"/>
        <v>(2026)</v>
      </c>
      <c r="K982" s="7" t="str">
        <f t="shared" si="15"/>
        <v>39524310</v>
      </c>
      <c r="L982" s="12" t="s">
        <v>4920</v>
      </c>
      <c r="M982" s="13" t="str">
        <f ca="1">IFERROR(__xludf.DUMMYFUNCTION("TRIM(
  REGEXREPLACE(
    TEXTJOIN("" "",
      TRUE,
      B982,
      C982,
      embaralharLinks(E982,F982,G982),
      H982,
      """",
      J982,
      N982,
      ""#RIPNSFW""
    ),
  "",\s*"", "" "")
)"),"{New} Kate Kuray https://lulustream.com/d/3kgqqix912ix https://streamtape.com/v/g1olDOMYgQfqKR2/39524310 https://doodstream.com/d/rcu1gjmzfra1/39524310 (2026) #Hardcore #Bigass #Teen #Artporn #Teens #Blowjob #Amateur #Deepthroat #Blonde #RIPNSFW")</f>
        <v>{New} Kate Kuray https://lulustream.com/d/3kgqqix912ix https://streamtape.com/v/g1olDOMYgQfqKR2/39524310 https://doodstream.com/d/rcu1gjmzfra1/39524310 (2026) #Hardcore #Bigass #Teen #Artporn #Teens #Blowjob #Amateur #Deepthroat #Blonde #RIPNSFW</v>
      </c>
      <c r="N982" s="14" t="s">
        <v>4921</v>
      </c>
      <c r="O982" s="32" t="s">
        <v>4922</v>
      </c>
      <c r="P982" s="14"/>
      <c r="Q982" s="6"/>
      <c r="R982" s="11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75">
      <c r="A983" s="12" t="s">
        <v>4923</v>
      </c>
      <c r="B983" s="6" t="s">
        <v>14</v>
      </c>
      <c r="C983" s="7" t="str">
        <f t="shared" si="12"/>
        <v xml:space="preserve">Kate Kuray </v>
      </c>
      <c r="D983" s="27" t="s">
        <v>4924</v>
      </c>
      <c r="E983" s="28" t="s">
        <v>4925</v>
      </c>
      <c r="F983" s="9" t="str">
        <f ca="1">IFERROR(__xludf.DUMMYFUNCTION("""https://streamtape.com/v/""&amp;
REGEXEXTRACT(O983,""/thumb/([^/]+)/"")&amp;
""/""&amp;K983"),"https://streamtape.com/v/BbG22m8ea8Syorl/42296364")</f>
        <v>https://streamtape.com/v/BbG22m8ea8Syorl/42296364</v>
      </c>
      <c r="G983" s="10" t="e">
        <f t="shared" ca="1" si="13"/>
        <v>#NAME?</v>
      </c>
      <c r="H983" s="11" t="str">
        <f ca="1">IFERROR(__xludf.DUMMYFUNCTION("IFERROR(SUBSTITUTE(SUBSTITUTE(REGEXEXTRACT(A983, ""[^-]+- [^-]+- [^-]+ - (.+?)\.jpg""), "".jpg"", """"), ""-"", "", ""), """")"),"")</f>
        <v/>
      </c>
      <c r="I983" s="6"/>
      <c r="J983" s="7" t="str">
        <f t="shared" ca="1" si="14"/>
        <v>(2026)</v>
      </c>
      <c r="K983" s="7" t="str">
        <f t="shared" si="15"/>
        <v>42296364</v>
      </c>
      <c r="L983" s="12" t="s">
        <v>4926</v>
      </c>
      <c r="M983" s="13" t="str">
        <f ca="1">IFERROR(__xludf.DUMMYFUNCTION("TRIM(
  REGEXREPLACE(
    TEXTJOIN("" "",
      TRUE,
      B983,
      C983,
      embaralharLinks(E983,F983,G983),
      H983,
      """",
      J983,
      N983,
      ""#RIPNSFW""
    ),
  "",\s*"", "" "")
)"),"{New} Kate Kuray https://streamtape.com/v/BbG22m8ea8Syorl/42296364 https://doodstream.com/d/q8ctqib73tt5/42296364 https://lulustream.com/d/9mz873tk4hgz (2026) #Creampie #Hardcore #Bigass #Teen #RIPNSFW")</f>
        <v>{New} Kate Kuray https://streamtape.com/v/BbG22m8ea8Syorl/42296364 https://doodstream.com/d/q8ctqib73tt5/42296364 https://lulustream.com/d/9mz873tk4hgz (2026) #Creampie #Hardcore #Bigass #Teen #RIPNSFW</v>
      </c>
      <c r="N983" s="2" t="s">
        <v>4927</v>
      </c>
      <c r="O983" s="30" t="s">
        <v>4928</v>
      </c>
      <c r="P983" s="26"/>
      <c r="R983" s="23"/>
    </row>
    <row r="984" spans="1:27" ht="12.75">
      <c r="A984" s="6" t="s">
        <v>4929</v>
      </c>
      <c r="B984" s="6" t="s">
        <v>14</v>
      </c>
      <c r="C984" s="7" t="str">
        <f t="shared" si="12"/>
        <v xml:space="preserve">Kate Kuray </v>
      </c>
      <c r="D984" s="6" t="s">
        <v>4930</v>
      </c>
      <c r="E984" s="8" t="s">
        <v>4931</v>
      </c>
      <c r="F984" s="9" t="str">
        <f ca="1">IFERROR(__xludf.DUMMYFUNCTION("""https://streamtape.com/v/""&amp;
REGEXEXTRACT(O984,""/thumb/([^/]+)/"")&amp;
""/""&amp;K984"),"https://streamtape.com/v/2BwG1lJjvJSZv8G/44819980")</f>
        <v>https://streamtape.com/v/2BwG1lJjvJSZv8G/44819980</v>
      </c>
      <c r="G984" s="10" t="e">
        <f t="shared" ca="1" si="13"/>
        <v>#NAME?</v>
      </c>
      <c r="H984" s="11" t="str">
        <f ca="1">IFERROR(__xludf.DUMMYFUNCTION("IFERROR(SUBSTITUTE(SUBSTITUTE(REGEXEXTRACT(A984, ""[^-]+- [^-]+- [^-]+ - (.+?)\.jpg""), "".jpg"", """"), ""-"", "", ""), """")"),"")</f>
        <v/>
      </c>
      <c r="I984" s="6"/>
      <c r="J984" s="7" t="str">
        <f t="shared" ca="1" si="14"/>
        <v>(2026)</v>
      </c>
      <c r="K984" s="7" t="str">
        <f t="shared" si="15"/>
        <v>44819980</v>
      </c>
      <c r="L984" s="12" t="s">
        <v>4932</v>
      </c>
      <c r="M984" s="13" t="str">
        <f ca="1">IFERROR(__xludf.DUMMYFUNCTION("TRIM(
  REGEXREPLACE(
    TEXTJOIN("" "",
      TRUE,
      B984,
      C984,
      embaralharLinks(E984,F984,G984),
      H984,
      """",
      J984,
      N984,
      ""#RIPNSFW""
    ),
  "",\s*"", "" "")
)"),"{New} Kate Kuray https://streamtape.com/v/2BwG1lJjvJSZv8G/44819980 https://doodstream.com/d/gwtkbduspt4s/44819980 https://lulustream.com/d/ccg18omah7o7 (2026) #Bigass #Teen #Blowjob #Amateur #Deepthroat #RIPNSFW")</f>
        <v>{New} Kate Kuray https://streamtape.com/v/2BwG1lJjvJSZv8G/44819980 https://doodstream.com/d/gwtkbduspt4s/44819980 https://lulustream.com/d/ccg18omah7o7 (2026) #Bigass #Teen #Blowjob #Amateur #Deepthroat #RIPNSFW</v>
      </c>
      <c r="N984" s="14" t="s">
        <v>4933</v>
      </c>
      <c r="O984" s="15" t="s">
        <v>4934</v>
      </c>
      <c r="P984" s="14"/>
      <c r="Q984" s="6"/>
      <c r="R984" s="11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75">
      <c r="A985" s="12" t="s">
        <v>4935</v>
      </c>
      <c r="B985" s="6" t="s">
        <v>14</v>
      </c>
      <c r="C985" s="7" t="str">
        <f t="shared" si="12"/>
        <v xml:space="preserve">Kate Kuray </v>
      </c>
      <c r="D985" s="24" t="s">
        <v>4936</v>
      </c>
      <c r="E985" s="25" t="s">
        <v>4937</v>
      </c>
      <c r="F985" s="9" t="str">
        <f ca="1">IFERROR(__xludf.DUMMYFUNCTION("""https://streamtape.com/v/""&amp;
REGEXEXTRACT(O985,""/thumb/([^/]+)/"")&amp;
""/""&amp;K985"),"https://streamtape.com/v/beD3pVvr6QfP36G/48954158")</f>
        <v>https://streamtape.com/v/beD3pVvr6QfP36G/48954158</v>
      </c>
      <c r="G985" s="10" t="e">
        <f t="shared" ca="1" si="13"/>
        <v>#NAME?</v>
      </c>
      <c r="H985" s="11" t="str">
        <f ca="1">IFERROR(__xludf.DUMMYFUNCTION("IFERROR(SUBSTITUTE(SUBSTITUTE(REGEXEXTRACT(A985, ""[^-]+- [^-]+- [^-]+ - (.+?)\.jpg""), "".jpg"", """"), ""-"", "", ""), """")"),"")</f>
        <v/>
      </c>
      <c r="I985" s="6"/>
      <c r="J985" s="7" t="str">
        <f t="shared" ca="1" si="14"/>
        <v>(2026)</v>
      </c>
      <c r="K985" s="7" t="str">
        <f t="shared" si="15"/>
        <v>48954158</v>
      </c>
      <c r="L985" s="12" t="s">
        <v>4036</v>
      </c>
      <c r="M985" s="13" t="str">
        <f ca="1">IFERROR(__xludf.DUMMYFUNCTION("TRIM(
  REGEXREPLACE(
    TEXTJOIN("" "",
      TRUE,
      B985,
      C985,
      embaralharLinks(E985,F985,G985),
      H985,
      """",
      J985,
      N985,
      ""#RIPNSFW""
    ),
  "",\s*"", "" "")
)"),"{New} Kate Kuray https://doodstream.com/d/vfqpth0ottje/48954158 https://streamtape.com/v/beD3pVvr6QfP36G/48954158 https://lulustream.com/d/eek7lvbbsczk (2026) #teen #bigass #blowjob #brunette #RIPNSFW")</f>
        <v>{New} Kate Kuray https://doodstream.com/d/vfqpth0ottje/48954158 https://streamtape.com/v/beD3pVvr6QfP36G/48954158 https://lulustream.com/d/eek7lvbbsczk (2026) #teen #bigass #blowjob #brunette #RIPNSFW</v>
      </c>
      <c r="N985" s="2" t="s">
        <v>4036</v>
      </c>
      <c r="O985" s="30" t="s">
        <v>4938</v>
      </c>
      <c r="P985" s="26"/>
      <c r="R985" s="23"/>
    </row>
    <row r="986" spans="1:27" ht="12.75">
      <c r="A986" s="6" t="s">
        <v>4939</v>
      </c>
      <c r="B986" s="6" t="s">
        <v>14</v>
      </c>
      <c r="C986" s="7" t="str">
        <f t="shared" si="12"/>
        <v xml:space="preserve">Kate Kuray </v>
      </c>
      <c r="D986" s="29" t="s">
        <v>4940</v>
      </c>
      <c r="E986" s="8" t="s">
        <v>4941</v>
      </c>
      <c r="F986" s="9" t="str">
        <f ca="1">IFERROR(__xludf.DUMMYFUNCTION("""https://streamtape.com/v/""&amp;
REGEXEXTRACT(O986,""/thumb/([^/]+)/"")&amp;
""/""&amp;K986"),"https://streamtape.com/v/080pPGJWQwsbblV/49501513")</f>
        <v>https://streamtape.com/v/080pPGJWQwsbblV/49501513</v>
      </c>
      <c r="G986" s="10" t="e">
        <f t="shared" ca="1" si="13"/>
        <v>#NAME?</v>
      </c>
      <c r="H986" s="11" t="str">
        <f ca="1">IFERROR(__xludf.DUMMYFUNCTION("IFERROR(SUBSTITUTE(SUBSTITUTE(REGEXEXTRACT(A986, ""[^-]+- [^-]+- [^-]+ - (.+?)\.jpg""), "".jpg"", """"), ""-"", "", ""), """")"),"")</f>
        <v/>
      </c>
      <c r="I986" s="6"/>
      <c r="J986" s="7" t="str">
        <f t="shared" ca="1" si="14"/>
        <v>(2026)</v>
      </c>
      <c r="K986" s="7" t="str">
        <f t="shared" si="15"/>
        <v>49501513</v>
      </c>
      <c r="L986" s="12" t="s">
        <v>4942</v>
      </c>
      <c r="M986" s="13" t="str">
        <f ca="1">IFERROR(__xludf.DUMMYFUNCTION("TRIM(
  REGEXREPLACE(
    TEXTJOIN("" "",
      TRUE,
      B986,
      C986,
      embaralharLinks(E986,F986,G986),
      H986,
      """",
      J986,
      N986,
      ""#RIPNSFW""
    ),
  "",\s*"", "" "")
)"),"{New} Kate Kuray https://lulustream.com/d/jkmwf0a9xd1q https://streamtape.com/v/080pPGJWQwsbblV/49501513 https://doodstream.com/d/yse1n5sx58jl/49501513 (2026) #BigTits #Bigass #Teen #Artporn #Blowjob #Teens #RIPNSFW")</f>
        <v>{New} Kate Kuray https://lulustream.com/d/jkmwf0a9xd1q https://streamtape.com/v/080pPGJWQwsbblV/49501513 https://doodstream.com/d/yse1n5sx58jl/49501513 (2026) #BigTits #Bigass #Teen #Artporn #Blowjob #Teens #RIPNSFW</v>
      </c>
      <c r="N986" s="14" t="s">
        <v>4943</v>
      </c>
      <c r="O986" s="32" t="s">
        <v>4944</v>
      </c>
      <c r="P986" s="14"/>
      <c r="Q986" s="6"/>
      <c r="R986" s="11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75">
      <c r="A987" s="6" t="s">
        <v>4945</v>
      </c>
      <c r="B987" s="6" t="s">
        <v>14</v>
      </c>
      <c r="C987" s="7" t="str">
        <f t="shared" si="12"/>
        <v xml:space="preserve">Kate Kuray </v>
      </c>
      <c r="D987" s="29" t="s">
        <v>4946</v>
      </c>
      <c r="E987" s="8" t="s">
        <v>4947</v>
      </c>
      <c r="F987" s="9" t="str">
        <f ca="1">IFERROR(__xludf.DUMMYFUNCTION("""https://streamtape.com/v/""&amp;
REGEXEXTRACT(O987,""/thumb/([^/]+)/"")&amp;
""/""&amp;K987"),"https://streamtape.com/v/61GBwXDO4zi9wWZ/50681885")</f>
        <v>https://streamtape.com/v/61GBwXDO4zi9wWZ/50681885</v>
      </c>
      <c r="G987" s="10" t="e">
        <f t="shared" ca="1" si="13"/>
        <v>#NAME?</v>
      </c>
      <c r="H987" s="11" t="str">
        <f ca="1">IFERROR(__xludf.DUMMYFUNCTION("IFERROR(SUBSTITUTE(SUBSTITUTE(REGEXEXTRACT(A987, ""[^-]+- [^-]+- [^-]+ - (.+?)\.jpg""), "".jpg"", """"), ""-"", "", ""), """")"),"")</f>
        <v/>
      </c>
      <c r="I987" s="6"/>
      <c r="J987" s="7" t="str">
        <f t="shared" ca="1" si="14"/>
        <v>(2026)</v>
      </c>
      <c r="K987" s="7" t="str">
        <f t="shared" si="15"/>
        <v>50681885</v>
      </c>
      <c r="L987" s="12" t="s">
        <v>4948</v>
      </c>
      <c r="M987" s="13" t="str">
        <f ca="1">IFERROR(__xludf.DUMMYFUNCTION("TRIM(
  REGEXREPLACE(
    TEXTJOIN("" "",
      TRUE,
      B987,
      C987,
      embaralharLinks(E987,F987,G987),
      H987,
      """",
      J987,
      N987,
      ""#RIPNSFW""
    ),
  "",\s*"", "" "")
)"),"{New} Kate Kuray https://streamtape.com/v/61GBwXDO4zi9wWZ/50681885 https://doodstream.com/d/tfnbhzzsv4ef/50681885 https://lulustream.com/d/yn9yteacmj55 (2026) #BigTits #Bigass #Teen #Teens #Blowjob #Amateur #Deepthroat #RIPNSFW")</f>
        <v>{New} Kate Kuray https://streamtape.com/v/61GBwXDO4zi9wWZ/50681885 https://doodstream.com/d/tfnbhzzsv4ef/50681885 https://lulustream.com/d/yn9yteacmj55 (2026) #BigTits #Bigass #Teen #Teens #Blowjob #Amateur #Deepthroat #RIPNSFW</v>
      </c>
      <c r="N987" s="14" t="s">
        <v>4949</v>
      </c>
      <c r="O987" s="32" t="s">
        <v>4950</v>
      </c>
      <c r="P987" s="14"/>
      <c r="Q987" s="6"/>
      <c r="R987" s="11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75">
      <c r="A988" s="6" t="s">
        <v>4951</v>
      </c>
      <c r="B988" s="6" t="s">
        <v>14</v>
      </c>
      <c r="C988" s="7" t="str">
        <f t="shared" si="12"/>
        <v xml:space="preserve">Kate Kuray </v>
      </c>
      <c r="D988" s="6" t="s">
        <v>4952</v>
      </c>
      <c r="E988" s="8" t="s">
        <v>4953</v>
      </c>
      <c r="F988" s="9" t="str">
        <f ca="1">IFERROR(__xludf.DUMMYFUNCTION("""https://streamtape.com/v/""&amp;
REGEXEXTRACT(O988,""/thumb/([^/]+)/"")&amp;
""/""&amp;K988"),"https://streamtape.com/v/LDq0oyabWQcb1o/52712442")</f>
        <v>https://streamtape.com/v/LDq0oyabWQcb1o/52712442</v>
      </c>
      <c r="G988" s="10" t="e">
        <f t="shared" ca="1" si="13"/>
        <v>#NAME?</v>
      </c>
      <c r="H988" s="11" t="str">
        <f ca="1">IFERROR(__xludf.DUMMYFUNCTION("IFERROR(SUBSTITUTE(SUBSTITUTE(REGEXEXTRACT(A988, ""[^-]+- [^-]+- [^-]+ - (.+?)\.jpg""), "".jpg"", """"), ""-"", "", ""), """")"),"")</f>
        <v/>
      </c>
      <c r="I988" s="6"/>
      <c r="J988" s="7" t="str">
        <f t="shared" ca="1" si="14"/>
        <v>(2026)</v>
      </c>
      <c r="K988" s="7" t="str">
        <f t="shared" si="15"/>
        <v>52712442</v>
      </c>
      <c r="L988" s="12" t="s">
        <v>4954</v>
      </c>
      <c r="M988" s="13" t="str">
        <f ca="1">IFERROR(__xludf.DUMMYFUNCTION("TRIM(
  REGEXREPLACE(
    TEXTJOIN("" "",
      TRUE,
      B988,
      C988,
      embaralharLinks(E988,F988,G988),
      H988,
      """",
      J988,
      N988,
      ""#RIPNSFW""
    ),
  "",\s*"", "" "")
)"),"{New} Kate Kuray https://doodstream.com/d/yjdqytl18s0m/52712442 https://streamtape.com/v/LDq0oyabWQcb1o/52712442 https://lulustream.com/d/nm5t9u4e5k4u (2026) #Bigass #Teen #Blowjob #Amateur #Hotwife #Deepthroat #Blonde #Facial #RIPNSFW")</f>
        <v>{New} Kate Kuray https://doodstream.com/d/yjdqytl18s0m/52712442 https://streamtape.com/v/LDq0oyabWQcb1o/52712442 https://lulustream.com/d/nm5t9u4e5k4u (2026) #Bigass #Teen #Blowjob #Amateur #Hotwife #Deepthroat #Blonde #Facial #RIPNSFW</v>
      </c>
      <c r="N988" s="14" t="s">
        <v>4955</v>
      </c>
      <c r="O988" s="15" t="s">
        <v>4956</v>
      </c>
      <c r="P988" s="14"/>
      <c r="Q988" s="6"/>
      <c r="R988" s="11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.75">
      <c r="A989" s="6" t="s">
        <v>4957</v>
      </c>
      <c r="B989" s="6" t="s">
        <v>14</v>
      </c>
      <c r="C989" s="7" t="str">
        <f t="shared" si="12"/>
        <v xml:space="preserve">Kate Kuray </v>
      </c>
      <c r="D989" s="6" t="s">
        <v>4958</v>
      </c>
      <c r="E989" s="8" t="s">
        <v>4959</v>
      </c>
      <c r="F989" s="9" t="str">
        <f ca="1">IFERROR(__xludf.DUMMYFUNCTION("""https://streamtape.com/v/""&amp;
REGEXEXTRACT(O989,""/thumb/([^/]+)/"")&amp;
""/""&amp;K989"),"https://streamtape.com/v/koo7y9ZbxDseq2/52743841")</f>
        <v>https://streamtape.com/v/koo7y9ZbxDseq2/52743841</v>
      </c>
      <c r="G989" s="10" t="e">
        <f t="shared" ca="1" si="13"/>
        <v>#NAME?</v>
      </c>
      <c r="H989" s="11" t="str">
        <f ca="1">IFERROR(__xludf.DUMMYFUNCTION("IFERROR(SUBSTITUTE(SUBSTITUTE(REGEXEXTRACT(A989, ""[^-]+- [^-]+- [^-]+ - (.+?)\.jpg""), "".jpg"", """"), ""-"", "", ""), """")"),"")</f>
        <v/>
      </c>
      <c r="I989" s="6"/>
      <c r="J989" s="7" t="str">
        <f t="shared" ca="1" si="14"/>
        <v>(2026)</v>
      </c>
      <c r="K989" s="7" t="str">
        <f t="shared" si="15"/>
        <v>52743841</v>
      </c>
      <c r="L989" s="12" t="s">
        <v>4960</v>
      </c>
      <c r="M989" s="13" t="str">
        <f ca="1">IFERROR(__xludf.DUMMYFUNCTION("TRIM(
  REGEXREPLACE(
    TEXTJOIN("" "",
      TRUE,
      B989,
      C989,
      embaralharLinks(E989,F989,G989),
      H989,
      """",
      J989,
      N989,
      ""#RIPNSFW""
    ),
  "",\s*"", "" "")
)"),"{New} Kate Kuray https://lulustream.com/d/i14oywiuftip https://doodstream.com/d/pq6iadvmq55w/52743841 https://streamtape.com/v/koo7y9ZbxDseq2/52743841 (2026) #Bigass #Teen #Blowjob #Amateur #RIPNSFW")</f>
        <v>{New} Kate Kuray https://lulustream.com/d/i14oywiuftip https://doodstream.com/d/pq6iadvmq55w/52743841 https://streamtape.com/v/koo7y9ZbxDseq2/52743841 (2026) #Bigass #Teen #Blowjob #Amateur #RIPNSFW</v>
      </c>
      <c r="N989" s="14" t="s">
        <v>3999</v>
      </c>
      <c r="O989" s="15" t="s">
        <v>4961</v>
      </c>
      <c r="P989" s="14"/>
      <c r="Q989" s="6"/>
      <c r="R989" s="11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.75">
      <c r="A990" s="6" t="s">
        <v>4962</v>
      </c>
      <c r="B990" s="6" t="s">
        <v>14</v>
      </c>
      <c r="C990" s="7" t="str">
        <f t="shared" si="12"/>
        <v xml:space="preserve">Kate Kuray </v>
      </c>
      <c r="D990" s="6" t="s">
        <v>4963</v>
      </c>
      <c r="E990" s="8" t="s">
        <v>4964</v>
      </c>
      <c r="F990" s="9" t="str">
        <f ca="1">IFERROR(__xludf.DUMMYFUNCTION("""https://streamtape.com/v/""&amp;
REGEXEXTRACT(O990,""/thumb/([^/]+)/"")&amp;
""/""&amp;K990"),"https://streamtape.com/v/9vDALWMD37HawL9/53810882")</f>
        <v>https://streamtape.com/v/9vDALWMD37HawL9/53810882</v>
      </c>
      <c r="G990" s="10" t="e">
        <f t="shared" ca="1" si="13"/>
        <v>#NAME?</v>
      </c>
      <c r="H990" s="11" t="str">
        <f ca="1">IFERROR(__xludf.DUMMYFUNCTION("IFERROR(SUBSTITUTE(SUBSTITUTE(REGEXEXTRACT(A990, ""[^-]+- [^-]+- [^-]+ - (.+?)\.jpg""), "".jpg"", """"), ""-"", "", ""), """")"),"")</f>
        <v/>
      </c>
      <c r="I990" s="6"/>
      <c r="J990" s="7" t="str">
        <f t="shared" ca="1" si="14"/>
        <v>(2026)</v>
      </c>
      <c r="K990" s="7" t="str">
        <f t="shared" si="15"/>
        <v>53810882</v>
      </c>
      <c r="L990" s="12" t="s">
        <v>4965</v>
      </c>
      <c r="M990" s="13" t="str">
        <f ca="1">IFERROR(__xludf.DUMMYFUNCTION("TRIM(
  REGEXREPLACE(
    TEXTJOIN("" "",
      TRUE,
      B990,
      C990,
      embaralharLinks(E990,F990,G990),
      H990,
      """",
      J990,
      N990,
      ""#RIPNSFW""
    ),
  "",\s*"", "" "")
)"),"{New} Kate Kuray https://doodstream.com/d/joi07753kyaw/53810882 https://lulustream.com/d/wjfar0371rx3 https://streamtape.com/v/9vDALWMD37HawL9/53810882 (2026) #Hardcore #Bigass #Teen #Artporn #Blowjob #Amateur #RIPNSFW")</f>
        <v>{New} Kate Kuray https://doodstream.com/d/joi07753kyaw/53810882 https://lulustream.com/d/wjfar0371rx3 https://streamtape.com/v/9vDALWMD37HawL9/53810882 (2026) #Hardcore #Bigass #Teen #Artporn #Blowjob #Amateur #RIPNSFW</v>
      </c>
      <c r="N990" s="14" t="s">
        <v>4966</v>
      </c>
      <c r="O990" s="15" t="s">
        <v>4967</v>
      </c>
      <c r="P990" s="14"/>
      <c r="Q990" s="6"/>
      <c r="R990" s="11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.75">
      <c r="A991" s="12" t="s">
        <v>4968</v>
      </c>
      <c r="B991" s="6" t="s">
        <v>14</v>
      </c>
      <c r="C991" s="7" t="str">
        <f t="shared" si="12"/>
        <v xml:space="preserve">Kate Kuray </v>
      </c>
      <c r="D991" s="24" t="s">
        <v>4969</v>
      </c>
      <c r="E991" s="25" t="s">
        <v>4970</v>
      </c>
      <c r="F991" s="9" t="str">
        <f ca="1">IFERROR(__xludf.DUMMYFUNCTION("""https://streamtape.com/v/""&amp;
REGEXEXTRACT(O991,""/thumb/([^/]+)/"")&amp;
""/""&amp;K991"),"https://streamtape.com/v/JAMadBWPplcrpx/57812832")</f>
        <v>https://streamtape.com/v/JAMadBWPplcrpx/57812832</v>
      </c>
      <c r="G991" s="10" t="e">
        <f t="shared" ca="1" si="13"/>
        <v>#NAME?</v>
      </c>
      <c r="H991" s="11" t="str">
        <f ca="1">IFERROR(__xludf.DUMMYFUNCTION("IFERROR(SUBSTITUTE(SUBSTITUTE(REGEXEXTRACT(A991, ""[^-]+- [^-]+- [^-]+ - (.+?)\.jpg""), "".jpg"", """"), ""-"", "", ""), """")"),"")</f>
        <v/>
      </c>
      <c r="I991" s="6"/>
      <c r="J991" s="7" t="str">
        <f t="shared" ca="1" si="14"/>
        <v>(2026)</v>
      </c>
      <c r="K991" s="7" t="str">
        <f t="shared" si="15"/>
        <v>57812832</v>
      </c>
      <c r="L991" s="12" t="s">
        <v>3977</v>
      </c>
      <c r="M991" s="13" t="str">
        <f ca="1">IFERROR(__xludf.DUMMYFUNCTION("TRIM(
  REGEXREPLACE(
    TEXTJOIN("" "",
      TRUE,
      B991,
      C991,
      embaralharLinks(E991,F991,G991),
      H991,
      """",
      J991,
      N991,
      ""#RIPNSFW""
    ),
  "",\s*"", "" "")
)"),"{New} Kate Kuray https://doodstream.com/d/62gdphooydhl/57812832 https://lulustream.com/d/rtgpiczlyk3z https://streamtape.com/v/JAMadBWPplcrpx/57812832 (2026) #teen #blowjob #bigass #brunette #RIPNSFW")</f>
        <v>{New} Kate Kuray https://doodstream.com/d/62gdphooydhl/57812832 https://lulustream.com/d/rtgpiczlyk3z https://streamtape.com/v/JAMadBWPplcrpx/57812832 (2026) #teen #blowjob #bigass #brunette #RIPNSFW</v>
      </c>
      <c r="N991" s="2" t="s">
        <v>3977</v>
      </c>
      <c r="O991" s="30" t="s">
        <v>4971</v>
      </c>
      <c r="P991" s="26"/>
      <c r="R991" s="23"/>
    </row>
    <row r="992" spans="1:27" ht="12.75">
      <c r="A992" s="12" t="s">
        <v>4972</v>
      </c>
      <c r="B992" s="6" t="s">
        <v>14</v>
      </c>
      <c r="C992" s="7" t="str">
        <f t="shared" si="12"/>
        <v xml:space="preserve">Kate Kuray </v>
      </c>
      <c r="D992" s="27" t="s">
        <v>4973</v>
      </c>
      <c r="E992" s="28" t="s">
        <v>4974</v>
      </c>
      <c r="F992" s="9" t="str">
        <f ca="1">IFERROR(__xludf.DUMMYFUNCTION("""https://streamtape.com/v/""&amp;
REGEXEXTRACT(O992,""/thumb/([^/]+)/"")&amp;
""/""&amp;K992"),"https://streamtape.com/v/XxwLKYMDdaTDQ0q/58954014")</f>
        <v>https://streamtape.com/v/XxwLKYMDdaTDQ0q/58954014</v>
      </c>
      <c r="G992" s="10" t="e">
        <f t="shared" ca="1" si="13"/>
        <v>#NAME?</v>
      </c>
      <c r="H992" s="11" t="str">
        <f ca="1">IFERROR(__xludf.DUMMYFUNCTION("IFERROR(SUBSTITUTE(SUBSTITUTE(REGEXEXTRACT(A992, ""[^-]+- [^-]+- [^-]+ - (.+?)\.jpg""), "".jpg"", """"), ""-"", "", ""), """")"),"")</f>
        <v/>
      </c>
      <c r="I992" s="6"/>
      <c r="J992" s="7" t="str">
        <f t="shared" ca="1" si="14"/>
        <v>(2026)</v>
      </c>
      <c r="K992" s="7" t="str">
        <f t="shared" si="15"/>
        <v>58954014</v>
      </c>
      <c r="L992" s="12" t="s">
        <v>3683</v>
      </c>
      <c r="M992" s="13" t="str">
        <f ca="1">IFERROR(__xludf.DUMMYFUNCTION("TRIM(
  REGEXREPLACE(
    TEXTJOIN("" "",
      TRUE,
      B992,
      C992,
      embaralharLinks(E992,F992,G992),
      H992,
      """",
      J992,
      N992,
      ""#RIPNSFW""
    ),
  "",\s*"", "" "")
)"),"{New} Kate Kuray https://lulustream.com/d/1d2yo27asb4o https://streamtape.com/v/XxwLKYMDdaTDQ0q/58954014 https://doodstream.com/d/z4wt62z2vw72/58954014 (2026) #Hardcore #Bigass #Teen #Blowjob #RIPNSFW")</f>
        <v>{New} Kate Kuray https://lulustream.com/d/1d2yo27asb4o https://streamtape.com/v/XxwLKYMDdaTDQ0q/58954014 https://doodstream.com/d/z4wt62z2vw72/58954014 (2026) #Hardcore #Bigass #Teen #Blowjob #RIPNSFW</v>
      </c>
      <c r="N992" s="2" t="s">
        <v>3684</v>
      </c>
      <c r="O992" s="30" t="s">
        <v>4975</v>
      </c>
      <c r="P992" s="26"/>
      <c r="R992" s="23"/>
    </row>
    <row r="993" spans="1:27" ht="12.75">
      <c r="A993" s="6" t="s">
        <v>4976</v>
      </c>
      <c r="B993" s="6" t="s">
        <v>14</v>
      </c>
      <c r="C993" s="7" t="str">
        <f t="shared" si="12"/>
        <v xml:space="preserve">Kate Kuray </v>
      </c>
      <c r="D993" s="6" t="s">
        <v>4977</v>
      </c>
      <c r="E993" s="8" t="s">
        <v>4978</v>
      </c>
      <c r="F993" s="9" t="str">
        <f ca="1">IFERROR(__xludf.DUMMYFUNCTION("""https://streamtape.com/v/""&amp;
REGEXEXTRACT(O993,""/thumb/([^/]+)/"")&amp;
""/""&amp;K993"),"https://streamtape.com/v/bZaBlyJ6qxhPPAe/59471136")</f>
        <v>https://streamtape.com/v/bZaBlyJ6qxhPPAe/59471136</v>
      </c>
      <c r="G993" s="10" t="e">
        <f t="shared" ca="1" si="13"/>
        <v>#NAME?</v>
      </c>
      <c r="H993" s="11" t="str">
        <f ca="1">IFERROR(__xludf.DUMMYFUNCTION("IFERROR(SUBSTITUTE(SUBSTITUTE(REGEXEXTRACT(A993, ""[^-]+- [^-]+- [^-]+ - (.+?)\.jpg""), "".jpg"", """"), ""-"", "", ""), """")"),"")</f>
        <v/>
      </c>
      <c r="I993" s="6"/>
      <c r="J993" s="7" t="str">
        <f t="shared" ca="1" si="14"/>
        <v>(2026)</v>
      </c>
      <c r="K993" s="7" t="str">
        <f t="shared" si="15"/>
        <v>59471136</v>
      </c>
      <c r="L993" s="12" t="s">
        <v>1108</v>
      </c>
      <c r="M993" s="13" t="str">
        <f ca="1">IFERROR(__xludf.DUMMYFUNCTION("TRIM(
  REGEXREPLACE(
    TEXTJOIN("" "",
      TRUE,
      B993,
      C993,
      embaralharLinks(E993,F993,G993),
      H993,
      """",
      J993,
      N993,
      ""#RIPNSFW""
    ),
  "",\s*"", "" "")
)"),"{New} Kate Kuray https://streamtape.com/v/bZaBlyJ6qxhPPAe/59471136 https://lulustream.com/d/lxpa3wy489e3 https://doodstream.com/d/npw93us0ki9g/59471136 (2026) #Teen #Blowjob #Amateur #Blonde #Facial #RIPNSFW")</f>
        <v>{New} Kate Kuray https://streamtape.com/v/bZaBlyJ6qxhPPAe/59471136 https://lulustream.com/d/lxpa3wy489e3 https://doodstream.com/d/npw93us0ki9g/59471136 (2026) #Teen #Blowjob #Amateur #Blonde #Facial #RIPNSFW</v>
      </c>
      <c r="N993" s="14" t="s">
        <v>1109</v>
      </c>
      <c r="O993" s="15" t="s">
        <v>4979</v>
      </c>
      <c r="P993" s="14"/>
      <c r="Q993" s="6"/>
      <c r="R993" s="11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2.75">
      <c r="A994" s="12" t="s">
        <v>4980</v>
      </c>
      <c r="B994" s="6" t="s">
        <v>14</v>
      </c>
      <c r="C994" s="7" t="str">
        <f t="shared" si="12"/>
        <v xml:space="preserve">Kate Kuray </v>
      </c>
      <c r="D994" s="24" t="s">
        <v>4981</v>
      </c>
      <c r="E994" s="25" t="s">
        <v>4982</v>
      </c>
      <c r="F994" s="9" t="str">
        <f ca="1">IFERROR(__xludf.DUMMYFUNCTION("""https://streamtape.com/v/""&amp;
REGEXEXTRACT(O994,""/thumb/([^/]+)/"")&amp;
""/""&amp;K994"),"https://streamtape.com/v/xPJg9mL01qfDJ1/60539133")</f>
        <v>https://streamtape.com/v/xPJg9mL01qfDJ1/60539133</v>
      </c>
      <c r="G994" s="10" t="e">
        <f t="shared" ca="1" si="13"/>
        <v>#NAME?</v>
      </c>
      <c r="H994" s="11" t="str">
        <f ca="1">IFERROR(__xludf.DUMMYFUNCTION("IFERROR(SUBSTITUTE(SUBSTITUTE(REGEXEXTRACT(A994, ""[^-]+- [^-]+- [^-]+ - (.+?)\.jpg""), "".jpg"", """"), ""-"", "", ""), """")"),"")</f>
        <v/>
      </c>
      <c r="I994" s="6"/>
      <c r="J994" s="7" t="str">
        <f t="shared" ca="1" si="14"/>
        <v>(2026)</v>
      </c>
      <c r="K994" s="7" t="str">
        <f t="shared" si="15"/>
        <v>60539133</v>
      </c>
      <c r="L994" s="12" t="s">
        <v>3977</v>
      </c>
      <c r="M994" s="13" t="str">
        <f ca="1">IFERROR(__xludf.DUMMYFUNCTION("TRIM(
  REGEXREPLACE(
    TEXTJOIN("" "",
      TRUE,
      B994,
      C994,
      embaralharLinks(E994,F994,G994),
      H994,
      """",
      J994,
      N994,
      ""#RIPNSFW""
    ),
  "",\s*"", "" "")
)"),"{New} Kate Kuray https://doodstream.com/d/vvcptqf88skx/60539133 https://streamtape.com/v/xPJg9mL01qfDJ1/60539133 https://lulustream.com/d/3gcc5t09s2em (2026) #teen #blowjob #bigass #brunette #RIPNSFW")</f>
        <v>{New} Kate Kuray https://doodstream.com/d/vvcptqf88skx/60539133 https://streamtape.com/v/xPJg9mL01qfDJ1/60539133 https://lulustream.com/d/3gcc5t09s2em (2026) #teen #blowjob #bigass #brunette #RIPNSFW</v>
      </c>
      <c r="N994" s="2" t="s">
        <v>3977</v>
      </c>
      <c r="O994" s="30" t="s">
        <v>4983</v>
      </c>
      <c r="P994" s="26"/>
      <c r="R994" s="23"/>
    </row>
    <row r="995" spans="1:27" ht="12.75">
      <c r="A995" s="12" t="s">
        <v>4984</v>
      </c>
      <c r="B995" s="6" t="s">
        <v>14</v>
      </c>
      <c r="C995" s="7" t="str">
        <f t="shared" si="12"/>
        <v xml:space="preserve">Kate Kuray </v>
      </c>
      <c r="D995" s="24" t="s">
        <v>4985</v>
      </c>
      <c r="E995" s="25" t="s">
        <v>4986</v>
      </c>
      <c r="F995" s="9" t="str">
        <f ca="1">IFERROR(__xludf.DUMMYFUNCTION("""https://streamtape.com/v/""&amp;
REGEXEXTRACT(O995,""/thumb/([^/]+)/"")&amp;
""/""&amp;K995"),"https://streamtape.com/v/dP6YYvydp9UkWJp/61565501")</f>
        <v>https://streamtape.com/v/dP6YYvydp9UkWJp/61565501</v>
      </c>
      <c r="G995" s="10" t="e">
        <f t="shared" ca="1" si="13"/>
        <v>#NAME?</v>
      </c>
      <c r="H995" s="11" t="str">
        <f ca="1">IFERROR(__xludf.DUMMYFUNCTION("IFERROR(SUBSTITUTE(SUBSTITUTE(REGEXEXTRACT(A995, ""[^-]+- [^-]+- [^-]+ - (.+?)\.jpg""), "".jpg"", """"), ""-"", "", ""), """")"),"")</f>
        <v/>
      </c>
      <c r="I995" s="6"/>
      <c r="J995" s="7" t="str">
        <f t="shared" ca="1" si="14"/>
        <v>(2026)</v>
      </c>
      <c r="K995" s="7" t="str">
        <f t="shared" si="15"/>
        <v>61565501</v>
      </c>
      <c r="L995" s="12" t="s">
        <v>4987</v>
      </c>
      <c r="M995" s="13" t="str">
        <f ca="1">IFERROR(__xludf.DUMMYFUNCTION("TRIM(
  REGEXREPLACE(
    TEXTJOIN("" "",
      TRUE,
      B995,
      C995,
      embaralharLinks(E995,F995,G995),
      H995,
      """",
      J995,
      N995,
      ""#RIPNSFW""
    ),
  "",\s*"", "" "")
)"),"{New} Kate Kuray https://lulustream.com/d/vp926m8xgb5o https://streamtape.com/v/dP6YYvydp9UkWJp/61565501 https://doodstream.com/d/i9jbsk4pz1w1/61565501 (2026) #bigass #teen #blowjob #amateur #RIPNSFW")</f>
        <v>{New} Kate Kuray https://lulustream.com/d/vp926m8xgb5o https://streamtape.com/v/dP6YYvydp9UkWJp/61565501 https://doodstream.com/d/i9jbsk4pz1w1/61565501 (2026) #bigass #teen #blowjob #amateur #RIPNSFW</v>
      </c>
      <c r="N995" s="2" t="s">
        <v>4987</v>
      </c>
      <c r="O995" s="30" t="s">
        <v>4988</v>
      </c>
      <c r="P995" s="26"/>
      <c r="R995" s="23"/>
      <c r="T995" s="6"/>
      <c r="U995" s="7"/>
      <c r="Z995" s="12"/>
      <c r="AA995" s="12"/>
    </row>
    <row r="996" spans="1:27" ht="12.75">
      <c r="A996" s="12" t="s">
        <v>4989</v>
      </c>
      <c r="B996" s="6" t="s">
        <v>14</v>
      </c>
      <c r="C996" s="7" t="str">
        <f t="shared" si="12"/>
        <v xml:space="preserve">Kate Kuray </v>
      </c>
      <c r="D996" s="24" t="s">
        <v>4990</v>
      </c>
      <c r="E996" s="25" t="s">
        <v>4991</v>
      </c>
      <c r="F996" s="9" t="str">
        <f ca="1">IFERROR(__xludf.DUMMYFUNCTION("""https://streamtape.com/v/""&amp;
REGEXEXTRACT(O996,""/thumb/([^/]+)/"")&amp;
""/""&amp;K996"),"https://streamtape.com/v/WX3aDWVVAdibDzP/62037694")</f>
        <v>https://streamtape.com/v/WX3aDWVVAdibDzP/62037694</v>
      </c>
      <c r="G996" s="10" t="e">
        <f t="shared" ca="1" si="13"/>
        <v>#NAME?</v>
      </c>
      <c r="H996" s="11" t="str">
        <f ca="1">IFERROR(__xludf.DUMMYFUNCTION("IFERROR(SUBSTITUTE(SUBSTITUTE(REGEXEXTRACT(A996, ""[^-]+- [^-]+- [^-]+ - (.+?)\.jpg""), "".jpg"", """"), ""-"", "", ""), """")"),"")</f>
        <v/>
      </c>
      <c r="I996" s="6"/>
      <c r="J996" s="7" t="str">
        <f t="shared" ca="1" si="14"/>
        <v>(2026)</v>
      </c>
      <c r="K996" s="7" t="str">
        <f t="shared" si="15"/>
        <v>62037694</v>
      </c>
      <c r="L996" s="12" t="s">
        <v>4992</v>
      </c>
      <c r="M996" s="13" t="str">
        <f ca="1">IFERROR(__xludf.DUMMYFUNCTION("TRIM(
  REGEXREPLACE(
    TEXTJOIN("" "",
      TRUE,
      B996,
      C996,
      embaralharLinks(E996,F996,G996),
      H996,
      """",
      J996,
      N996,
      ""#RIPNSFW""
    ),
  "",\s*"", "" "")
)"),"{New} Kate Kuray https://lulustream.com/d/qm7pr27sptut https://streamtape.com/v/WX3aDWVVAdibDzP/62037694 https://doodstream.com/d/kta6y0tag77h/62037694 (2026) #teen #bigass #blowjob #facial #RIPNSFW")</f>
        <v>{New} Kate Kuray https://lulustream.com/d/qm7pr27sptut https://streamtape.com/v/WX3aDWVVAdibDzP/62037694 https://doodstream.com/d/kta6y0tag77h/62037694 (2026) #teen #bigass #blowjob #facial #RIPNSFW</v>
      </c>
      <c r="N996" s="2" t="s">
        <v>4992</v>
      </c>
      <c r="O996" s="21" t="s">
        <v>4993</v>
      </c>
      <c r="P996" s="26"/>
      <c r="R996" s="23"/>
      <c r="T996" s="6"/>
      <c r="U996" s="7"/>
    </row>
    <row r="997" spans="1:27" ht="12.75">
      <c r="A997" s="6" t="s">
        <v>4994</v>
      </c>
      <c r="B997" s="6" t="s">
        <v>14</v>
      </c>
      <c r="C997" s="7" t="str">
        <f t="shared" si="12"/>
        <v xml:space="preserve">Kate Kuray </v>
      </c>
      <c r="D997" s="6" t="s">
        <v>4995</v>
      </c>
      <c r="E997" s="8" t="s">
        <v>4996</v>
      </c>
      <c r="F997" s="9" t="str">
        <f ca="1">IFERROR(__xludf.DUMMYFUNCTION("""https://streamtape.com/v/""&amp;
REGEXEXTRACT(O997,""/thumb/([^/]+)/"")&amp;
""/""&amp;K997"),"https://streamtape.com/v/Yew13xea0Jsvlql/62851207")</f>
        <v>https://streamtape.com/v/Yew13xea0Jsvlql/62851207</v>
      </c>
      <c r="G997" s="10" t="e">
        <f t="shared" ca="1" si="13"/>
        <v>#NAME?</v>
      </c>
      <c r="H997" s="11" t="str">
        <f ca="1">IFERROR(__xludf.DUMMYFUNCTION("IFERROR(SUBSTITUTE(SUBSTITUTE(REGEXEXTRACT(A997, ""[^-]+- [^-]+- [^-]+ - (.+?)\.jpg""), "".jpg"", """"), ""-"", "", ""), """")"),"")</f>
        <v/>
      </c>
      <c r="I997" s="6"/>
      <c r="J997" s="7" t="str">
        <f t="shared" ca="1" si="14"/>
        <v>(2026)</v>
      </c>
      <c r="K997" s="7" t="str">
        <f t="shared" si="15"/>
        <v>62851207</v>
      </c>
      <c r="L997" s="12" t="s">
        <v>4997</v>
      </c>
      <c r="M997" s="13" t="str">
        <f ca="1">IFERROR(__xludf.DUMMYFUNCTION("TRIM(
  REGEXREPLACE(
    TEXTJOIN("" "",
      TRUE,
      B997,
      C997,
      embaralharLinks(E997,F997,G997),
      H997,
      """",
      J997,
      N997,
      ""#RIPNSFW""
    ),
  "",\s*"", "" "")
)"),"{New} Kate Kuray https://doodstream.com/d/9tqgizbw027n/62851207 https://streamtape.com/v/Yew13xea0Jsvlql/62851207 https://lulustream.com/d/jqlxs3swdrte (2026) #Anal #Hardcore #Bigass #Teen #Blowjob #Amateur #Deepthroat #RIPNSFW")</f>
        <v>{New} Kate Kuray https://doodstream.com/d/9tqgizbw027n/62851207 https://streamtape.com/v/Yew13xea0Jsvlql/62851207 https://lulustream.com/d/jqlxs3swdrte (2026) #Anal #Hardcore #Bigass #Teen #Blowjob #Amateur #Deepthroat #RIPNSFW</v>
      </c>
      <c r="N997" s="14" t="s">
        <v>4998</v>
      </c>
      <c r="O997" s="15" t="s">
        <v>4999</v>
      </c>
      <c r="P997" s="14"/>
      <c r="Q997" s="6"/>
      <c r="R997" s="11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2.75">
      <c r="A998" s="6" t="s">
        <v>5000</v>
      </c>
      <c r="B998" s="6" t="s">
        <v>14</v>
      </c>
      <c r="C998" s="7" t="str">
        <f t="shared" si="12"/>
        <v xml:space="preserve">Kate Kuray </v>
      </c>
      <c r="D998" s="6" t="s">
        <v>5001</v>
      </c>
      <c r="E998" s="8" t="s">
        <v>5002</v>
      </c>
      <c r="F998" s="9" t="str">
        <f ca="1">IFERROR(__xludf.DUMMYFUNCTION("""https://streamtape.com/v/""&amp;
REGEXEXTRACT(O998,""/thumb/([^/]+)/"")&amp;
""/""&amp;K998"),"https://streamtape.com/v/P3YwqdGJ8PT07gZ/63865212")</f>
        <v>https://streamtape.com/v/P3YwqdGJ8PT07gZ/63865212</v>
      </c>
      <c r="G998" s="10" t="e">
        <f t="shared" ca="1" si="13"/>
        <v>#NAME?</v>
      </c>
      <c r="H998" s="11" t="str">
        <f ca="1">IFERROR(__xludf.DUMMYFUNCTION("IFERROR(SUBSTITUTE(SUBSTITUTE(REGEXEXTRACT(A998, ""[^-]+- [^-]+- [^-]+ - (.+?)\.jpg""), "".jpg"", """"), ""-"", "", ""), """")"),"")</f>
        <v/>
      </c>
      <c r="I998" s="6"/>
      <c r="J998" s="7" t="str">
        <f t="shared" ca="1" si="14"/>
        <v>(2026)</v>
      </c>
      <c r="K998" s="7" t="str">
        <f t="shared" si="15"/>
        <v>63865212</v>
      </c>
      <c r="L998" s="12" t="s">
        <v>5003</v>
      </c>
      <c r="M998" s="13" t="str">
        <f ca="1">IFERROR(__xludf.DUMMYFUNCTION("TRIM(
  REGEXREPLACE(
    TEXTJOIN("" "",
      TRUE,
      B998,
      C998,
      embaralharLinks(E998,F998,G998),
      H998,
      """",
      J998,
      N998,
      ""#RIPNSFW""
    ),
  "",\s*"", "" "")
)"),"{New} Kate Kuray https://doodstream.com/d/dv4u05xaf4ky/63865212 https://streamtape.com/v/P3YwqdGJ8PT07gZ/63865212 https://lulustream.com/d/239zrm70b2sx (2026) #Bigass #Teen #Blowjob #Amateur #Blonde #RIPNSFW")</f>
        <v>{New} Kate Kuray https://doodstream.com/d/dv4u05xaf4ky/63865212 https://streamtape.com/v/P3YwqdGJ8PT07gZ/63865212 https://lulustream.com/d/239zrm70b2sx (2026) #Bigass #Teen #Blowjob #Amateur #Blonde #RIPNSFW</v>
      </c>
      <c r="N998" s="14" t="s">
        <v>4879</v>
      </c>
      <c r="O998" s="15" t="s">
        <v>5004</v>
      </c>
      <c r="P998" s="14"/>
      <c r="Q998" s="6"/>
      <c r="R998" s="11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2.75">
      <c r="A999" s="6" t="s">
        <v>5005</v>
      </c>
      <c r="B999" s="6" t="s">
        <v>14</v>
      </c>
      <c r="C999" s="7" t="str">
        <f t="shared" si="12"/>
        <v xml:space="preserve">Kate Kuray </v>
      </c>
      <c r="D999" s="6" t="s">
        <v>5006</v>
      </c>
      <c r="E999" s="8" t="s">
        <v>5007</v>
      </c>
      <c r="F999" s="9" t="str">
        <f ca="1">IFERROR(__xludf.DUMMYFUNCTION("""https://streamtape.com/v/""&amp;
REGEXEXTRACT(O999,""/thumb/([^/]+)/"")&amp;
""/""&amp;K999"),"https://streamtape.com/v/xg9PxgkZLoikdaz/65130339")</f>
        <v>https://streamtape.com/v/xg9PxgkZLoikdaz/65130339</v>
      </c>
      <c r="G999" s="10" t="e">
        <f t="shared" ca="1" si="13"/>
        <v>#NAME?</v>
      </c>
      <c r="H999" s="11" t="str">
        <f ca="1">IFERROR(__xludf.DUMMYFUNCTION("IFERROR(SUBSTITUTE(SUBSTITUTE(REGEXEXTRACT(A999, ""[^-]+- [^-]+- [^-]+ - (.+?)\.jpg""), "".jpg"", """"), ""-"", "", ""), """")"),"")</f>
        <v/>
      </c>
      <c r="I999" s="6"/>
      <c r="J999" s="7" t="str">
        <f t="shared" ca="1" si="14"/>
        <v>(2026)</v>
      </c>
      <c r="K999" s="7" t="str">
        <f t="shared" si="15"/>
        <v>65130339</v>
      </c>
      <c r="L999" s="12" t="s">
        <v>3349</v>
      </c>
      <c r="M999" s="13" t="str">
        <f ca="1">IFERROR(__xludf.DUMMYFUNCTION("TRIM(
  REGEXREPLACE(
    TEXTJOIN("" "",
      TRUE,
      B999,
      C999,
      embaralharLinks(E999,F999,G999),
      H999,
      """",
      J999,
      N999,
      ""#RIPNSFW""
    ),
  "",\s*"", "" "")
)"),"{New} Kate Kuray https://lulustream.com/d/uicl5f3k5co3 https://streamtape.com/v/xg9PxgkZLoikdaz/65130339 https://doodstream.com/d/ku2l088wjx3w/65130339 (2026) #BigTits #Creampie #Hardcore #Bigass #Teen #Blowjob #Amateur #Deepthroat #Blonde #RIPNSFW")</f>
        <v>{New} Kate Kuray https://lulustream.com/d/uicl5f3k5co3 https://streamtape.com/v/xg9PxgkZLoikdaz/65130339 https://doodstream.com/d/ku2l088wjx3w/65130339 (2026) #BigTits #Creampie #Hardcore #Bigass #Teen #Blowjob #Amateur #Deepthroat #Blonde #RIPNSFW</v>
      </c>
      <c r="N999" s="14" t="s">
        <v>5008</v>
      </c>
      <c r="O999" s="15" t="s">
        <v>5009</v>
      </c>
      <c r="P999" s="14"/>
      <c r="Q999" s="6"/>
      <c r="R999" s="11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2.75">
      <c r="A1000" s="12" t="s">
        <v>5010</v>
      </c>
      <c r="B1000" s="6" t="s">
        <v>14</v>
      </c>
      <c r="C1000" s="7" t="str">
        <f t="shared" si="12"/>
        <v xml:space="preserve">Kate Kuray </v>
      </c>
      <c r="D1000" s="24" t="s">
        <v>5011</v>
      </c>
      <c r="E1000" s="25" t="s">
        <v>5012</v>
      </c>
      <c r="F1000" s="9" t="str">
        <f ca="1">IFERROR(__xludf.DUMMYFUNCTION("""https://streamtape.com/v/""&amp;
REGEXEXTRACT(O1000,""/thumb/([^/]+)/"")&amp;
""/""&amp;K1000"),"https://streamtape.com/v/XYBwAY4k92TDDr1/65746870")</f>
        <v>https://streamtape.com/v/XYBwAY4k92TDDr1/65746870</v>
      </c>
      <c r="G1000" s="10" t="e">
        <f t="shared" ca="1" si="13"/>
        <v>#NAME?</v>
      </c>
      <c r="H1000" s="11" t="str">
        <f ca="1">IFERROR(__xludf.DUMMYFUNCTION("IFERROR(SUBSTITUTE(SUBSTITUTE(REGEXEXTRACT(A1000, ""[^-]+- [^-]+- [^-]+ - (.+?)\.jpg""), "".jpg"", """"), ""-"", "", ""), """")"),"")</f>
        <v/>
      </c>
      <c r="I1000" s="6"/>
      <c r="J1000" s="7" t="str">
        <f t="shared" ca="1" si="14"/>
        <v>(2026)</v>
      </c>
      <c r="K1000" s="7" t="str">
        <f t="shared" si="15"/>
        <v>65746870</v>
      </c>
      <c r="L1000" s="12" t="s">
        <v>4036</v>
      </c>
      <c r="M1000" s="13" t="str">
        <f ca="1">IFERROR(__xludf.DUMMYFUNCTION("TRIM(
  REGEXREPLACE(
    TEXTJOIN("" "",
      TRUE,
      B1000,
      C1000,
      embaralharLinks(E1000,F1000,G1000),
      H1000,
      """",
      J1000,
      N1000,
      ""#RIPNSFW""
    ),
  "",\s*"", "" "")
)"),"{New} Kate Kuray https://streamtape.com/v/XYBwAY4k92TDDr1/65746870 https://doodstream.com/d/80lxo8o7dxph/65746870 https://lulustream.com/d/d7ybpi4cc3im (2026) #teen #bigass #blowjob #brunette #RIPNSFW")</f>
        <v>{New} Kate Kuray https://streamtape.com/v/XYBwAY4k92TDDr1/65746870 https://doodstream.com/d/80lxo8o7dxph/65746870 https://lulustream.com/d/d7ybpi4cc3im (2026) #teen #bigass #blowjob #brunette #RIPNSFW</v>
      </c>
      <c r="N1000" s="2" t="s">
        <v>4036</v>
      </c>
      <c r="O1000" s="30" t="s">
        <v>5013</v>
      </c>
      <c r="P1000" s="26"/>
      <c r="R1000" s="23"/>
    </row>
    <row r="1001" spans="1:27" ht="12.75">
      <c r="A1001" s="6" t="s">
        <v>5014</v>
      </c>
      <c r="B1001" s="6" t="s">
        <v>14</v>
      </c>
      <c r="C1001" s="7" t="str">
        <f t="shared" si="12"/>
        <v xml:space="preserve">Kate Kuray </v>
      </c>
      <c r="D1001" s="6" t="s">
        <v>5015</v>
      </c>
      <c r="E1001" s="8" t="s">
        <v>5016</v>
      </c>
      <c r="F1001" s="9" t="str">
        <f ca="1">IFERROR(__xludf.DUMMYFUNCTION("""https://streamtape.com/v/""&amp;
REGEXEXTRACT(O1001,""/thumb/([^/]+)/"")&amp;
""/""&amp;K1001"),"https://streamtape.com/v/WeVomeamBdUbb2e/65754293")</f>
        <v>https://streamtape.com/v/WeVomeamBdUbb2e/65754293</v>
      </c>
      <c r="G1001" s="10" t="e">
        <f t="shared" ca="1" si="13"/>
        <v>#NAME?</v>
      </c>
      <c r="H1001" s="11" t="str">
        <f ca="1">IFERROR(__xludf.DUMMYFUNCTION("IFERROR(SUBSTITUTE(SUBSTITUTE(REGEXEXTRACT(A1001, ""[^-]+- [^-]+- [^-]+ - (.+?)\.jpg""), "".jpg"", """"), ""-"", "", ""), """")"),"")</f>
        <v/>
      </c>
      <c r="I1001" s="6"/>
      <c r="J1001" s="7" t="str">
        <f t="shared" ca="1" si="14"/>
        <v>(2026)</v>
      </c>
      <c r="K1001" s="7" t="str">
        <f t="shared" si="15"/>
        <v>65754293</v>
      </c>
      <c r="L1001" s="12" t="s">
        <v>5017</v>
      </c>
      <c r="M1001" s="13" t="str">
        <f ca="1">IFERROR(__xludf.DUMMYFUNCTION("TRIM(
  REGEXREPLACE(
    TEXTJOIN("" "",
      TRUE,
      B1001,
      C1001,
      embaralharLinks(E1001,F1001,G1001),
      H1001,
      """",
      J1001,
      N1001,
      ""#RIPNSFW""
    ),
  "",\s*"", "" "")
)"),"{New} Kate Kuray https://lulustream.com/d/2pgmq1nws0fl https://streamtape.com/v/WeVomeamBdUbb2e/65754293 https://doodstream.com/d/u7qt41csbwnd/65754293 (2026) #Bigass #Teen #Artporn #Blowjob #Amateur #RIPNSFW")</f>
        <v>{New} Kate Kuray https://lulustream.com/d/2pgmq1nws0fl https://streamtape.com/v/WeVomeamBdUbb2e/65754293 https://doodstream.com/d/u7qt41csbwnd/65754293 (2026) #Bigass #Teen #Artporn #Blowjob #Amateur #RIPNSFW</v>
      </c>
      <c r="N1001" s="14" t="s">
        <v>5018</v>
      </c>
      <c r="O1001" s="15" t="s">
        <v>5019</v>
      </c>
      <c r="P1001" s="14"/>
      <c r="Q1001" s="6"/>
      <c r="R1001" s="11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2.75">
      <c r="A1002" s="6" t="s">
        <v>5020</v>
      </c>
      <c r="B1002" s="6" t="s">
        <v>14</v>
      </c>
      <c r="C1002" s="7" t="str">
        <f t="shared" si="12"/>
        <v xml:space="preserve">Kate Kuray </v>
      </c>
      <c r="D1002" s="6" t="s">
        <v>5021</v>
      </c>
      <c r="E1002" s="8" t="s">
        <v>5022</v>
      </c>
      <c r="F1002" s="9" t="str">
        <f ca="1">IFERROR(__xludf.DUMMYFUNCTION("""https://streamtape.com/v/""&amp;
REGEXEXTRACT(O1002,""/thumb/([^/]+)/"")&amp;
""/""&amp;K1002"),"https://streamtape.com/v/6Kj13P41qOS92vD/68895176")</f>
        <v>https://streamtape.com/v/6Kj13P41qOS92vD/68895176</v>
      </c>
      <c r="G1002" s="10" t="e">
        <f t="shared" ca="1" si="13"/>
        <v>#NAME?</v>
      </c>
      <c r="H1002" s="11" t="str">
        <f ca="1">IFERROR(__xludf.DUMMYFUNCTION("IFERROR(SUBSTITUTE(SUBSTITUTE(REGEXEXTRACT(A1002, ""[^-]+- [^-]+- [^-]+ - (.+?)\.jpg""), "".jpg"", """"), ""-"", "", ""), """")"),"")</f>
        <v/>
      </c>
      <c r="I1002" s="6"/>
      <c r="J1002" s="7" t="str">
        <f t="shared" ca="1" si="14"/>
        <v>(2026)</v>
      </c>
      <c r="K1002" s="7" t="str">
        <f t="shared" si="15"/>
        <v>68895176</v>
      </c>
      <c r="L1002" s="12" t="s">
        <v>5023</v>
      </c>
      <c r="M1002" s="13" t="str">
        <f ca="1">IFERROR(__xludf.DUMMYFUNCTION("TRIM(
  REGEXREPLACE(
    TEXTJOIN("" "",
      TRUE,
      B1002,
      C1002,
      embaralharLinks(E1002,F1002,G1002),
      H1002,
      """",
      J1002,
      N1002,
      ""#RIPNSFW""
    ),
  "",\s*"", "" "")
)"),"{New} Kate Kuray https://doodstream.com/d/o0vn7d8r4bhs/68895176 https://streamtape.com/v/6Kj13P41qOS92vD/68895176 https://lulustream.com/d/evgh1gvv9k89 (2026) #BigTits #Creampie #Hardcore #Teen #Blowjob #Amateur #RIPNSFW")</f>
        <v>{New} Kate Kuray https://doodstream.com/d/o0vn7d8r4bhs/68895176 https://streamtape.com/v/6Kj13P41qOS92vD/68895176 https://lulustream.com/d/evgh1gvv9k89 (2026) #BigTits #Creampie #Hardcore #Teen #Blowjob #Amateur #RIPNSFW</v>
      </c>
      <c r="N1002" s="14" t="s">
        <v>2857</v>
      </c>
      <c r="O1002" s="15" t="s">
        <v>5024</v>
      </c>
      <c r="P1002" s="14"/>
      <c r="Q1002" s="6"/>
      <c r="R1002" s="11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2.75">
      <c r="A1003" s="12" t="s">
        <v>5025</v>
      </c>
      <c r="B1003" s="6" t="s">
        <v>14</v>
      </c>
      <c r="C1003" s="7" t="str">
        <f t="shared" si="12"/>
        <v xml:space="preserve">Kate Kuray </v>
      </c>
      <c r="D1003" s="24" t="s">
        <v>5026</v>
      </c>
      <c r="E1003" s="25" t="s">
        <v>5027</v>
      </c>
      <c r="F1003" s="9" t="str">
        <f ca="1">IFERROR(__xludf.DUMMYFUNCTION("""https://streamtape.com/v/""&amp;
REGEXEXTRACT(O1003,""/thumb/([^/]+)/"")&amp;
""/""&amp;K1003"),"https://streamtape.com/v/RAdD3qOe7Kcdb43/69887722")</f>
        <v>https://streamtape.com/v/RAdD3qOe7Kcdb43/69887722</v>
      </c>
      <c r="G1003" s="10" t="e">
        <f t="shared" ca="1" si="13"/>
        <v>#NAME?</v>
      </c>
      <c r="H1003" s="11" t="str">
        <f ca="1">IFERROR(__xludf.DUMMYFUNCTION("IFERROR(SUBSTITUTE(SUBSTITUTE(REGEXEXTRACT(A1003, ""[^-]+- [^-]+- [^-]+ - (.+?)\.jpg""), "".jpg"", """"), ""-"", "", ""), """")"),"")</f>
        <v/>
      </c>
      <c r="I1003" s="6"/>
      <c r="J1003" s="7" t="str">
        <f t="shared" ca="1" si="14"/>
        <v>(2026)</v>
      </c>
      <c r="K1003" s="7" t="str">
        <f t="shared" si="15"/>
        <v>69887722</v>
      </c>
      <c r="L1003" s="12" t="s">
        <v>4027</v>
      </c>
      <c r="M1003" s="13" t="str">
        <f ca="1">IFERROR(__xludf.DUMMYFUNCTION("TRIM(
  REGEXREPLACE(
    TEXTJOIN("" "",
      TRUE,
      B1003,
      C1003,
      embaralharLinks(E1003,F1003,G1003),
      H1003,
      """",
      J1003,
      N1003,
      ""#RIPNSFW""
    ),
  "",\s*"", "" "")
)"),"{New} Kate Kuray https://streamtape.com/v/RAdD3qOe7Kcdb43/69887722 https://doodstream.com/d/kl4zfgh5lnmc/69887722 https://lulustream.com/d/2mb6tll4ahe3 (2026) #teen #blowjob #brunette #bigass #RIPNSFW")</f>
        <v>{New} Kate Kuray https://streamtape.com/v/RAdD3qOe7Kcdb43/69887722 https://doodstream.com/d/kl4zfgh5lnmc/69887722 https://lulustream.com/d/2mb6tll4ahe3 (2026) #teen #blowjob #brunette #bigass #RIPNSFW</v>
      </c>
      <c r="N1003" s="2" t="s">
        <v>4027</v>
      </c>
      <c r="O1003" s="21" t="s">
        <v>5028</v>
      </c>
      <c r="P1003" s="26"/>
      <c r="R1003" s="23"/>
    </row>
    <row r="1004" spans="1:27" ht="12.75">
      <c r="A1004" s="12" t="s">
        <v>5029</v>
      </c>
      <c r="B1004" s="6" t="s">
        <v>14</v>
      </c>
      <c r="C1004" s="7" t="str">
        <f t="shared" si="12"/>
        <v xml:space="preserve">Kate Kuray </v>
      </c>
      <c r="D1004" s="36" t="s">
        <v>5030</v>
      </c>
      <c r="E1004" s="25" t="s">
        <v>5031</v>
      </c>
      <c r="F1004" s="9" t="str">
        <f ca="1">IFERROR(__xludf.DUMMYFUNCTION("""https://streamtape.com/v/""&amp;
REGEXEXTRACT(O1004,""/thumb/([^/]+)/"")&amp;
""/""&amp;K1004"),"https://streamtape.com/v/XyKxgDKBZqFWJ7/70244559")</f>
        <v>https://streamtape.com/v/XyKxgDKBZqFWJ7/70244559</v>
      </c>
      <c r="G1004" s="10" t="e">
        <f t="shared" ca="1" si="13"/>
        <v>#NAME?</v>
      </c>
      <c r="H1004" s="11" t="str">
        <f ca="1">IFERROR(__xludf.DUMMYFUNCTION("IFERROR(SUBSTITUTE(SUBSTITUTE(REGEXEXTRACT(A1004, ""[^-]+- [^-]+- [^-]+ - (.+?)\.jpg""), "".jpg"", """"), ""-"", "", ""), """")"),"")</f>
        <v/>
      </c>
      <c r="I1004" s="6"/>
      <c r="J1004" s="7" t="str">
        <f t="shared" ca="1" si="14"/>
        <v>(2026)</v>
      </c>
      <c r="K1004" s="7" t="str">
        <f t="shared" si="15"/>
        <v>70244559</v>
      </c>
      <c r="L1004" s="12" t="s">
        <v>5032</v>
      </c>
      <c r="M1004" s="13" t="str">
        <f ca="1">IFERROR(__xludf.DUMMYFUNCTION("TRIM(
  REGEXREPLACE(
    TEXTJOIN("" "",
      TRUE,
      B1004,
      C1004,
      embaralharLinks(E1004,F1004,G1004),
      H1004,
      """",
      J1004,
      N1004,
      ""#RIPNSFW""
    ),
  "",\s*"", "" "")
)"),"{New} Kate Kuray https://lulustream.com/d/sdofevtmn6b2 https://streamtape.com/v/XyKxgDKBZqFWJ7/70244559 https://doodstream.com/d/0y35tj1piir8/70244559 (2026) #Hardcore #Bigass #Teen #Blowjob #Roleplay #Amateur #Hotwife #RIPNSFW")</f>
        <v>{New} Kate Kuray https://lulustream.com/d/sdofevtmn6b2 https://streamtape.com/v/XyKxgDKBZqFWJ7/70244559 https://doodstream.com/d/0y35tj1piir8/70244559 (2026) #Hardcore #Bigass #Teen #Blowjob #Roleplay #Amateur #Hotwife #RIPNSFW</v>
      </c>
      <c r="N1004" s="2" t="s">
        <v>5033</v>
      </c>
      <c r="O1004" s="21" t="s">
        <v>5034</v>
      </c>
      <c r="P1004" s="26"/>
      <c r="R1004" s="23"/>
    </row>
    <row r="1005" spans="1:27" ht="12.75">
      <c r="A1005" s="12" t="s">
        <v>5035</v>
      </c>
      <c r="B1005" s="6" t="s">
        <v>14</v>
      </c>
      <c r="C1005" s="7" t="str">
        <f t="shared" si="12"/>
        <v xml:space="preserve">Kate Kuray </v>
      </c>
      <c r="D1005" s="24" t="s">
        <v>5036</v>
      </c>
      <c r="E1005" s="25" t="s">
        <v>5037</v>
      </c>
      <c r="F1005" s="9" t="str">
        <f ca="1">IFERROR(__xludf.DUMMYFUNCTION("""https://streamtape.com/v/""&amp;
REGEXEXTRACT(O1005,""/thumb/([^/]+)/"")&amp;
""/""&amp;K1005"),"https://streamtape.com/v/QezAxzo3vDH07X3/73815915")</f>
        <v>https://streamtape.com/v/QezAxzo3vDH07X3/73815915</v>
      </c>
      <c r="G1005" s="10" t="e">
        <f t="shared" ca="1" si="13"/>
        <v>#NAME?</v>
      </c>
      <c r="H1005" s="11" t="str">
        <f ca="1">IFERROR(__xludf.DUMMYFUNCTION("IFERROR(SUBSTITUTE(SUBSTITUTE(REGEXEXTRACT(A1005, ""[^-]+- [^-]+- [^-]+ - (.+?)\.jpg""), "".jpg"", """"), ""-"", "", ""), """")"),"")</f>
        <v/>
      </c>
      <c r="I1005" s="6"/>
      <c r="J1005" s="7" t="str">
        <f t="shared" ca="1" si="14"/>
        <v>(2026)</v>
      </c>
      <c r="K1005" s="7" t="str">
        <f t="shared" si="15"/>
        <v>73815915</v>
      </c>
      <c r="L1005" s="12" t="s">
        <v>4049</v>
      </c>
      <c r="M1005" s="13" t="str">
        <f ca="1">IFERROR(__xludf.DUMMYFUNCTION("TRIM(
  REGEXREPLACE(
    TEXTJOIN("" "",
      TRUE,
      B1005,
      C1005,
      embaralharLinks(E1005,F1005,G1005),
      H1005,
      """",
      J1005,
      N1005,
      ""#RIPNSFW""
    ),
  "",\s*"", "" "")
)"),"{New} Kate Kuray https://doodstream.com/d/g9fvxqcvlgc6/73815915 https://lulustream.com/d/81qc1mmqaawx https://streamtape.com/v/QezAxzo3vDH07X3/73815915 (2026) #teen #blowjob #bigass #amateur #RIPNSFW")</f>
        <v>{New} Kate Kuray https://doodstream.com/d/g9fvxqcvlgc6/73815915 https://lulustream.com/d/81qc1mmqaawx https://streamtape.com/v/QezAxzo3vDH07X3/73815915 (2026) #teen #blowjob #bigass #amateur #RIPNSFW</v>
      </c>
      <c r="N1005" s="2" t="s">
        <v>4049</v>
      </c>
      <c r="O1005" s="30" t="s">
        <v>5038</v>
      </c>
      <c r="P1005" s="26"/>
      <c r="R1005" s="23"/>
    </row>
    <row r="1006" spans="1:27" ht="12.75">
      <c r="A1006" s="12" t="s">
        <v>5039</v>
      </c>
      <c r="B1006" s="6" t="s">
        <v>14</v>
      </c>
      <c r="C1006" s="7" t="str">
        <f t="shared" si="12"/>
        <v xml:space="preserve">Kate Kuray </v>
      </c>
      <c r="D1006" s="27" t="s">
        <v>5040</v>
      </c>
      <c r="E1006" s="28" t="s">
        <v>5041</v>
      </c>
      <c r="F1006" s="9" t="str">
        <f ca="1">IFERROR(__xludf.DUMMYFUNCTION("""https://streamtape.com/v/""&amp;
REGEXEXTRACT(O1006,""/thumb/([^/]+)/"")&amp;
""/""&amp;K1006"),"https://streamtape.com/v/LOYVz3kXKBS6j4/74101637")</f>
        <v>https://streamtape.com/v/LOYVz3kXKBS6j4/74101637</v>
      </c>
      <c r="G1006" s="10" t="e">
        <f t="shared" ca="1" si="13"/>
        <v>#NAME?</v>
      </c>
      <c r="H1006" s="11" t="str">
        <f ca="1">IFERROR(__xludf.DUMMYFUNCTION("IFERROR(SUBSTITUTE(SUBSTITUTE(REGEXEXTRACT(A1006, ""[^-]+- [^-]+- [^-]+ - (.+?)\.jpg""), "".jpg"", """"), ""-"", "", ""), """")"),"")</f>
        <v/>
      </c>
      <c r="I1006" s="6"/>
      <c r="J1006" s="7" t="str">
        <f t="shared" ca="1" si="14"/>
        <v>(2026)</v>
      </c>
      <c r="K1006" s="7" t="str">
        <f t="shared" si="15"/>
        <v>74101637</v>
      </c>
      <c r="L1006" s="12" t="s">
        <v>3683</v>
      </c>
      <c r="M1006" s="13" t="str">
        <f ca="1">IFERROR(__xludf.DUMMYFUNCTION("TRIM(
  REGEXREPLACE(
    TEXTJOIN("" "",
      TRUE,
      B1006,
      C1006,
      embaralharLinks(E1006,F1006,G1006),
      H1006,
      """",
      J1006,
      N1006,
      ""#RIPNSFW""
    ),
  "",\s*"", "" "")
)"),"{New} Kate Kuray https://lulustream.com/d/etpcv5maze6h https://doodstream.com/d/dyn8fiyzwead/74101637 https://streamtape.com/v/LOYVz3kXKBS6j4/74101637 (2026) #Hardcore #Bigass #Teen #Blowjob #RIPNSFW")</f>
        <v>{New} Kate Kuray https://lulustream.com/d/etpcv5maze6h https://doodstream.com/d/dyn8fiyzwead/74101637 https://streamtape.com/v/LOYVz3kXKBS6j4/74101637 (2026) #Hardcore #Bigass #Teen #Blowjob #RIPNSFW</v>
      </c>
      <c r="N1006" s="2" t="s">
        <v>3684</v>
      </c>
      <c r="O1006" s="30" t="s">
        <v>5042</v>
      </c>
      <c r="P1006" s="26"/>
      <c r="R1006" s="23"/>
    </row>
    <row r="1007" spans="1:27" ht="12.75">
      <c r="A1007" s="12" t="s">
        <v>5043</v>
      </c>
      <c r="B1007" s="6" t="s">
        <v>14</v>
      </c>
      <c r="C1007" s="7" t="str">
        <f t="shared" si="12"/>
        <v xml:space="preserve">Kate Kuray </v>
      </c>
      <c r="D1007" s="24" t="s">
        <v>5044</v>
      </c>
      <c r="E1007" s="25" t="s">
        <v>5045</v>
      </c>
      <c r="F1007" s="9" t="str">
        <f ca="1">IFERROR(__xludf.DUMMYFUNCTION("""https://streamtape.com/v/""&amp;
REGEXEXTRACT(O1007,""/thumb/([^/]+)/"")&amp;
""/""&amp;K1007"),"https://streamtape.com/v/mPQAprJKXDcbxob/75592039")</f>
        <v>https://streamtape.com/v/mPQAprJKXDcbxob/75592039</v>
      </c>
      <c r="G1007" s="10" t="e">
        <f t="shared" ca="1" si="13"/>
        <v>#NAME?</v>
      </c>
      <c r="H1007" s="11" t="str">
        <f ca="1">IFERROR(__xludf.DUMMYFUNCTION("IFERROR(SUBSTITUTE(SUBSTITUTE(REGEXEXTRACT(A1007, ""[^-]+- [^-]+- [^-]+ - (.+?)\.jpg""), "".jpg"", """"), ""-"", "", ""), """")"),"")</f>
        <v/>
      </c>
      <c r="I1007" s="6"/>
      <c r="J1007" s="7" t="str">
        <f t="shared" ca="1" si="14"/>
        <v>(2026)</v>
      </c>
      <c r="K1007" s="7" t="str">
        <f t="shared" si="15"/>
        <v>75592039</v>
      </c>
      <c r="L1007" s="12" t="s">
        <v>5046</v>
      </c>
      <c r="M1007" s="13" t="str">
        <f ca="1">IFERROR(__xludf.DUMMYFUNCTION("TRIM(
  REGEXREPLACE(
    TEXTJOIN("" "",
      TRUE,
      B1007,
      C1007,
      embaralharLinks(E1007,F1007,G1007),
      H1007,
      """",
      J1007,
      N1007,
      ""#RIPNSFW""
    ),
  "",\s*"", "" "")
)"),"{New} Kate Kuray https://doodstream.com/d/1g78j3vkijdh/75592039 https://lulustream.com/d/fn3tpgeo9abf https://streamtape.com/v/mPQAprJKXDcbxob/75592039 (2026) #anal #teen #bigass #blowjob #RIPNSFW")</f>
        <v>{New} Kate Kuray https://doodstream.com/d/1g78j3vkijdh/75592039 https://lulustream.com/d/fn3tpgeo9abf https://streamtape.com/v/mPQAprJKXDcbxob/75592039 (2026) #anal #teen #bigass #blowjob #RIPNSFW</v>
      </c>
      <c r="N1007" s="2" t="s">
        <v>5046</v>
      </c>
      <c r="O1007" s="30" t="s">
        <v>5047</v>
      </c>
      <c r="P1007" s="26"/>
      <c r="R1007" s="23"/>
    </row>
    <row r="1008" spans="1:27" ht="12.75">
      <c r="A1008" s="12" t="s">
        <v>5048</v>
      </c>
      <c r="B1008" s="6" t="s">
        <v>14</v>
      </c>
      <c r="C1008" s="7" t="str">
        <f t="shared" si="12"/>
        <v xml:space="preserve">Kate Kuray </v>
      </c>
      <c r="D1008" s="27" t="s">
        <v>5049</v>
      </c>
      <c r="E1008" s="28" t="s">
        <v>5050</v>
      </c>
      <c r="F1008" s="9" t="str">
        <f ca="1">IFERROR(__xludf.DUMMYFUNCTION("""https://streamtape.com/v/""&amp;
REGEXEXTRACT(O1008,""/thumb/([^/]+)/"")&amp;
""/""&amp;K1008"),"https://streamtape.com/v/k2gaY8BwKLsOKXz/76061384")</f>
        <v>https://streamtape.com/v/k2gaY8BwKLsOKXz/76061384</v>
      </c>
      <c r="G1008" s="10" t="e">
        <f t="shared" ca="1" si="13"/>
        <v>#NAME?</v>
      </c>
      <c r="H1008" s="11" t="str">
        <f ca="1">IFERROR(__xludf.DUMMYFUNCTION("IFERROR(SUBSTITUTE(SUBSTITUTE(REGEXEXTRACT(A1008, ""[^-]+- [^-]+- [^-]+ - (.+?)\.jpg""), "".jpg"", """"), ""-"", "", ""), """")"),"")</f>
        <v/>
      </c>
      <c r="I1008" s="6"/>
      <c r="J1008" s="7" t="str">
        <f t="shared" ca="1" si="14"/>
        <v>(2026)</v>
      </c>
      <c r="K1008" s="7" t="str">
        <f t="shared" si="15"/>
        <v>76061384</v>
      </c>
      <c r="L1008" s="12" t="s">
        <v>5051</v>
      </c>
      <c r="M1008" s="13" t="str">
        <f ca="1">IFERROR(__xludf.DUMMYFUNCTION("TRIM(
  REGEXREPLACE(
    TEXTJOIN("" "",
      TRUE,
      B1008,
      C1008,
      embaralharLinks(E1008,F1008,G1008),
      H1008,
      """",
      J1008,
      N1008,
      ""#RIPNSFW""
    ),
  "",\s*"", "" "")
)"),"{New} Kate Kuray https://lulustream.com/d/htdcwcgkudox https://doodstream.com/d/cfmun7f7iuec/76061384 https://streamtape.com/v/k2gaY8BwKLsOKXz/76061384 (2026) #Anal #Bigass #Teen #Blowjob #RIPNSFW")</f>
        <v>{New} Kate Kuray https://lulustream.com/d/htdcwcgkudox https://doodstream.com/d/cfmun7f7iuec/76061384 https://streamtape.com/v/k2gaY8BwKLsOKXz/76061384 (2026) #Anal #Bigass #Teen #Blowjob #RIPNSFW</v>
      </c>
      <c r="N1008" s="2" t="s">
        <v>5052</v>
      </c>
      <c r="O1008" s="30" t="s">
        <v>5053</v>
      </c>
      <c r="P1008" s="26"/>
      <c r="R1008" s="23"/>
    </row>
    <row r="1009" spans="1:27" ht="12.75">
      <c r="A1009" s="6" t="s">
        <v>5054</v>
      </c>
      <c r="B1009" s="6" t="s">
        <v>14</v>
      </c>
      <c r="C1009" s="7" t="str">
        <f t="shared" si="12"/>
        <v xml:space="preserve">Kate Kuray </v>
      </c>
      <c r="D1009" s="24" t="s">
        <v>5055</v>
      </c>
      <c r="E1009" s="25" t="s">
        <v>5056</v>
      </c>
      <c r="F1009" s="9" t="str">
        <f ca="1">IFERROR(__xludf.DUMMYFUNCTION("""https://streamtape.com/v/""&amp;
REGEXEXTRACT(O1009,""/thumb/([^/]+)/"")&amp;
""/""&amp;K1009"),"https://streamtape.com/v/GKOKGl6rJ4cA73/76518279")</f>
        <v>https://streamtape.com/v/GKOKGl6rJ4cA73/76518279</v>
      </c>
      <c r="G1009" s="10" t="e">
        <f t="shared" ca="1" si="13"/>
        <v>#NAME?</v>
      </c>
      <c r="H1009" s="11" t="str">
        <f ca="1">IFERROR(__xludf.DUMMYFUNCTION("IFERROR(SUBSTITUTE(SUBSTITUTE(REGEXEXTRACT(A1009, ""[^-]+- [^-]+- [^-]+ - (.+?)\.jpg""), "".jpg"", """"), ""-"", "", ""), """")"),"")</f>
        <v/>
      </c>
      <c r="I1009" s="6"/>
      <c r="J1009" s="7" t="str">
        <f t="shared" ca="1" si="14"/>
        <v>(2026)</v>
      </c>
      <c r="K1009" s="7" t="str">
        <f t="shared" si="15"/>
        <v>76518279</v>
      </c>
      <c r="L1009" s="12" t="s">
        <v>3766</v>
      </c>
      <c r="M1009" s="13" t="str">
        <f ca="1">IFERROR(__xludf.DUMMYFUNCTION("TRIM(
  REGEXREPLACE(
    TEXTJOIN("" "",
      TRUE,
      B1009,
      C1009,
      embaralharLinks(E1009,F1009,G1009),
      H1009,
      """",
      J1009,
      N1009,
      ""#RIPNSFW""
    ),
  "",\s*"", "" "")
)"),"{New} Kate Kuray https://lulustream.com/d/18vu7f8fgp9e https://doodstream.com/d/rax86kyr80dw/76518279 https://streamtape.com/v/GKOKGl6rJ4cA73/76518279 (2026) #teen #bigass #blowjob #blonde #RIPNSFW")</f>
        <v>{New} Kate Kuray https://lulustream.com/d/18vu7f8fgp9e https://doodstream.com/d/rax86kyr80dw/76518279 https://streamtape.com/v/GKOKGl6rJ4cA73/76518279 (2026) #teen #bigass #blowjob #blonde #RIPNSFW</v>
      </c>
      <c r="N1009" s="31" t="s">
        <v>3766</v>
      </c>
      <c r="O1009" s="32" t="s">
        <v>5057</v>
      </c>
      <c r="P1009" s="26"/>
      <c r="Q1009" s="6"/>
      <c r="R1009" s="11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2.75">
      <c r="A1010" s="6" t="s">
        <v>5058</v>
      </c>
      <c r="B1010" s="6" t="s">
        <v>14</v>
      </c>
      <c r="C1010" s="7" t="str">
        <f t="shared" si="12"/>
        <v xml:space="preserve">Kate Kuray </v>
      </c>
      <c r="D1010" s="6" t="s">
        <v>5059</v>
      </c>
      <c r="E1010" s="8" t="s">
        <v>5060</v>
      </c>
      <c r="F1010" s="9" t="str">
        <f ca="1">IFERROR(__xludf.DUMMYFUNCTION("""https://streamtape.com/v/""&amp;
REGEXEXTRACT(O1010,""/thumb/([^/]+)/"")&amp;
""/""&amp;K1010"),"https://streamtape.com/v/QgklOrdApWS923/78248963")</f>
        <v>https://streamtape.com/v/QgklOrdApWS923/78248963</v>
      </c>
      <c r="G1010" s="10" t="e">
        <f t="shared" ca="1" si="13"/>
        <v>#NAME?</v>
      </c>
      <c r="H1010" s="11" t="str">
        <f ca="1">IFERROR(__xludf.DUMMYFUNCTION("IFERROR(SUBSTITUTE(SUBSTITUTE(REGEXEXTRACT(A1010, ""[^-]+- [^-]+- [^-]+ - (.+?)\.jpg""), "".jpg"", """"), ""-"", "", ""), """")"),"")</f>
        <v/>
      </c>
      <c r="I1010" s="6"/>
      <c r="J1010" s="7" t="str">
        <f t="shared" ca="1" si="14"/>
        <v>(2026)</v>
      </c>
      <c r="K1010" s="7" t="str">
        <f t="shared" si="15"/>
        <v>78248963</v>
      </c>
      <c r="L1010" s="12" t="s">
        <v>5061</v>
      </c>
      <c r="M1010" s="13" t="str">
        <f ca="1">IFERROR(__xludf.DUMMYFUNCTION("TRIM(
  REGEXREPLACE(
    TEXTJOIN("" "",
      TRUE,
      B1010,
      C1010,
      embaralharLinks(E1010,F1010,G1010),
      H1010,
      """",
      J1010,
      N1010,
      ""#RIPNSFW""
    ),
  "",\s*"", "" "")
)"),"{New} Kate Kuray https://doodstream.com/d/fxgxn989a6p1/78248963 https://lulustream.com/d/mc49w6laxdfc https://streamtape.com/v/QgklOrdApWS923/78248963 (2026) #Hardcore #Bigass #Artporn #Teen #Blowjob #Amateur #Blonde #RIPNSFW")</f>
        <v>{New} Kate Kuray https://doodstream.com/d/fxgxn989a6p1/78248963 https://lulustream.com/d/mc49w6laxdfc https://streamtape.com/v/QgklOrdApWS923/78248963 (2026) #Hardcore #Bigass #Artporn #Teen #Blowjob #Amateur #Blonde #RIPNSFW</v>
      </c>
      <c r="N1010" s="14" t="s">
        <v>5062</v>
      </c>
      <c r="O1010" s="15" t="s">
        <v>5063</v>
      </c>
      <c r="P1010" s="14"/>
      <c r="Q1010" s="6"/>
      <c r="R1010" s="11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2.75">
      <c r="A1011" s="6" t="s">
        <v>5064</v>
      </c>
      <c r="B1011" s="6" t="s">
        <v>14</v>
      </c>
      <c r="C1011" s="7" t="str">
        <f t="shared" si="12"/>
        <v xml:space="preserve">Kate Kuray </v>
      </c>
      <c r="D1011" s="6" t="s">
        <v>5065</v>
      </c>
      <c r="E1011" s="8" t="s">
        <v>5066</v>
      </c>
      <c r="F1011" s="9" t="str">
        <f ca="1">IFERROR(__xludf.DUMMYFUNCTION("""https://streamtape.com/v/""&amp;
REGEXEXTRACT(O1011,""/thumb/([^/]+)/"")&amp;
""/""&amp;K1011"),"https://streamtape.com/v/GkMzYaabbwF1pZL/78384396")</f>
        <v>https://streamtape.com/v/GkMzYaabbwF1pZL/78384396</v>
      </c>
      <c r="G1011" s="10" t="e">
        <f t="shared" ca="1" si="13"/>
        <v>#NAME?</v>
      </c>
      <c r="H1011" s="11" t="str">
        <f ca="1">IFERROR(__xludf.DUMMYFUNCTION("IFERROR(SUBSTITUTE(SUBSTITUTE(REGEXEXTRACT(A1011, ""[^-]+- [^-]+- [^-]+ - (.+?)\.jpg""), "".jpg"", """"), ""-"", "", ""), """")"),"")</f>
        <v/>
      </c>
      <c r="I1011" s="6"/>
      <c r="J1011" s="7" t="str">
        <f t="shared" ca="1" si="14"/>
        <v>(2026)</v>
      </c>
      <c r="K1011" s="7" t="str">
        <f t="shared" si="15"/>
        <v>78384396</v>
      </c>
      <c r="L1011" s="12" t="s">
        <v>5067</v>
      </c>
      <c r="M1011" s="13" t="str">
        <f ca="1">IFERROR(__xludf.DUMMYFUNCTION("TRIM(
  REGEXREPLACE(
    TEXTJOIN("" "",
      TRUE,
      B1011,
      C1011,
      embaralharLinks(E1011,F1011,G1011),
      H1011,
      """",
      J1011,
      N1011,
      ""#RIPNSFW""
    ),
  "",\s*"", "" "")
)"),"{New} Kate Kuray https://streamtape.com/v/GkMzYaabbwF1pZL/78384396 https://doodstream.com/d/p18kcup3yc7t/78384396 https://lulustream.com/d/nouxuapd245u (2026) #BigTits #Hardcore #Bigass #Teen #Roleplay #RIPNSFW")</f>
        <v>{New} Kate Kuray https://streamtape.com/v/GkMzYaabbwF1pZL/78384396 https://doodstream.com/d/p18kcup3yc7t/78384396 https://lulustream.com/d/nouxuapd245u (2026) #BigTits #Hardcore #Bigass #Teen #Roleplay #RIPNSFW</v>
      </c>
      <c r="N1011" s="14" t="s">
        <v>3584</v>
      </c>
      <c r="O1011" s="15" t="s">
        <v>5068</v>
      </c>
      <c r="P1011" s="14"/>
      <c r="Q1011" s="6"/>
      <c r="R1011" s="11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2.75">
      <c r="A1012" s="6" t="s">
        <v>5069</v>
      </c>
      <c r="B1012" s="6" t="s">
        <v>14</v>
      </c>
      <c r="C1012" s="7" t="str">
        <f t="shared" si="12"/>
        <v xml:space="preserve">Kate Kuray </v>
      </c>
      <c r="D1012" s="24" t="s">
        <v>5070</v>
      </c>
      <c r="E1012" s="25" t="s">
        <v>5071</v>
      </c>
      <c r="F1012" s="9" t="str">
        <f ca="1">IFERROR(__xludf.DUMMYFUNCTION("""https://streamtape.com/v/""&amp;
REGEXEXTRACT(O1012,""/thumb/([^/]+)/"")&amp;
""/""&amp;K1012"),"https://streamtape.com/v/1qd4BQgDJ6ueKol/78674480")</f>
        <v>https://streamtape.com/v/1qd4BQgDJ6ueKol/78674480</v>
      </c>
      <c r="G1012" s="10" t="e">
        <f t="shared" ca="1" si="13"/>
        <v>#NAME?</v>
      </c>
      <c r="H1012" s="11" t="str">
        <f ca="1">IFERROR(__xludf.DUMMYFUNCTION("IFERROR(SUBSTITUTE(SUBSTITUTE(REGEXEXTRACT(A1012, ""[^-]+- [^-]+- [^-]+ - (.+?)\.jpg""), "".jpg"", """"), ""-"", "", ""), """")"),"")</f>
        <v/>
      </c>
      <c r="I1012" s="6"/>
      <c r="J1012" s="7" t="str">
        <f t="shared" ca="1" si="14"/>
        <v>(2026)</v>
      </c>
      <c r="K1012" s="7" t="str">
        <f t="shared" si="15"/>
        <v>78674480</v>
      </c>
      <c r="L1012" s="12" t="s">
        <v>5072</v>
      </c>
      <c r="M1012" s="13" t="str">
        <f ca="1">IFERROR(__xludf.DUMMYFUNCTION("TRIM(
  REGEXREPLACE(
    TEXTJOIN("" "",
      TRUE,
      B1012,
      C1012,
      embaralharLinks(E1012,F1012,G1012),
      H1012,
      """",
      J1012,
      N1012,
      ""#RIPNSFW""
    ),
  "",\s*"", "" "")
)"),"{New} Kate Kuray https://lulustream.com/d/3spfqyycu49k https://doodstream.com/d/23qmpr28qqld/78674480 https://streamtape.com/v/1qd4BQgDJ6ueKol/78674480 (2026) #teen #bigass #blowjob #amateur #RIPNSFW")</f>
        <v>{New} Kate Kuray https://lulustream.com/d/3spfqyycu49k https://doodstream.com/d/23qmpr28qqld/78674480 https://streamtape.com/v/1qd4BQgDJ6ueKol/78674480 (2026) #teen #bigass #blowjob #amateur #RIPNSFW</v>
      </c>
      <c r="N1012" s="31" t="s">
        <v>5072</v>
      </c>
      <c r="O1012" s="32" t="s">
        <v>5073</v>
      </c>
      <c r="P1012" s="26"/>
      <c r="Q1012" s="6"/>
      <c r="R1012" s="11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2.75">
      <c r="A1013" s="6" t="s">
        <v>5074</v>
      </c>
      <c r="B1013" s="6" t="s">
        <v>14</v>
      </c>
      <c r="C1013" s="7" t="str">
        <f t="shared" si="12"/>
        <v xml:space="preserve">Kate Kuray </v>
      </c>
      <c r="D1013" s="6" t="s">
        <v>5075</v>
      </c>
      <c r="E1013" s="8" t="s">
        <v>5076</v>
      </c>
      <c r="F1013" s="9" t="str">
        <f ca="1">IFERROR(__xludf.DUMMYFUNCTION("""https://streamtape.com/v/""&amp;
REGEXEXTRACT(O1013,""/thumb/([^/]+)/"")&amp;
""/""&amp;K1013"),"https://streamtape.com/v/Zo6b1y4YlWhqlAZ/81849938")</f>
        <v>https://streamtape.com/v/Zo6b1y4YlWhqlAZ/81849938</v>
      </c>
      <c r="G1013" s="10" t="e">
        <f t="shared" ca="1" si="13"/>
        <v>#NAME?</v>
      </c>
      <c r="H1013" s="11" t="str">
        <f ca="1">IFERROR(__xludf.DUMMYFUNCTION("IFERROR(SUBSTITUTE(SUBSTITUTE(REGEXEXTRACT(A1013, ""[^-]+- [^-]+- [^-]+ - (.+?)\.jpg""), "".jpg"", """"), ""-"", "", ""), """")"),"")</f>
        <v/>
      </c>
      <c r="I1013" s="6"/>
      <c r="J1013" s="7" t="str">
        <f t="shared" ca="1" si="14"/>
        <v>(2026)</v>
      </c>
      <c r="K1013" s="7" t="str">
        <f t="shared" si="15"/>
        <v>81849938</v>
      </c>
      <c r="L1013" s="12" t="s">
        <v>4890</v>
      </c>
      <c r="M1013" s="13" t="str">
        <f ca="1">IFERROR(__xludf.DUMMYFUNCTION("TRIM(
  REGEXREPLACE(
    TEXTJOIN("" "",
      TRUE,
      B1013,
      C1013,
      embaralharLinks(E1013,F1013,G1013),
      H1013,
      """",
      J1013,
      N1013,
      ""#RIPNSFW""
    ),
  "",\s*"", "" "")
)"),"{New} Kate Kuray https://doodstream.com/d/m5quzl81i0gf/81849938 https://lulustream.com/d/scq8bf4u40w9 https://streamtape.com/v/Zo6b1y4YlWhqlAZ/81849938 (2026) #Bigass #Teen #Teens #Blowjob #Amateur #Deepthroat #Blonde #RIPNSFW")</f>
        <v>{New} Kate Kuray https://doodstream.com/d/m5quzl81i0gf/81849938 https://lulustream.com/d/scq8bf4u40w9 https://streamtape.com/v/Zo6b1y4YlWhqlAZ/81849938 (2026) #Bigass #Teen #Teens #Blowjob #Amateur #Deepthroat #Blonde #RIPNSFW</v>
      </c>
      <c r="N1013" s="14" t="s">
        <v>5077</v>
      </c>
      <c r="O1013" s="15" t="s">
        <v>5078</v>
      </c>
      <c r="P1013" s="14"/>
      <c r="Q1013" s="6"/>
      <c r="R1013" s="11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2.75">
      <c r="A1014" s="6" t="s">
        <v>5079</v>
      </c>
      <c r="B1014" s="6" t="s">
        <v>14</v>
      </c>
      <c r="C1014" s="7" t="str">
        <f t="shared" si="12"/>
        <v xml:space="preserve">Kate Kuray </v>
      </c>
      <c r="D1014" s="6" t="s">
        <v>5080</v>
      </c>
      <c r="E1014" s="8" t="s">
        <v>5081</v>
      </c>
      <c r="F1014" s="9" t="str">
        <f ca="1">IFERROR(__xludf.DUMMYFUNCTION("""https://streamtape.com/v/""&amp;
REGEXEXTRACT(O1014,""/thumb/([^/]+)/"")&amp;
""/""&amp;K1014"),"https://streamtape.com/v/xPlgyvVDZ0Fl0X/84468850")</f>
        <v>https://streamtape.com/v/xPlgyvVDZ0Fl0X/84468850</v>
      </c>
      <c r="G1014" s="10" t="e">
        <f t="shared" ca="1" si="13"/>
        <v>#NAME?</v>
      </c>
      <c r="H1014" s="11" t="str">
        <f ca="1">IFERROR(__xludf.DUMMYFUNCTION("IFERROR(SUBSTITUTE(SUBSTITUTE(REGEXEXTRACT(A1014, ""[^-]+- [^-]+- [^-]+ - (.+?)\.jpg""), "".jpg"", """"), ""-"", "", ""), """")"),"")</f>
        <v/>
      </c>
      <c r="I1014" s="6"/>
      <c r="J1014" s="7" t="str">
        <f t="shared" ca="1" si="14"/>
        <v>(2026)</v>
      </c>
      <c r="K1014" s="7" t="str">
        <f t="shared" si="15"/>
        <v>84468850</v>
      </c>
      <c r="L1014" s="12" t="s">
        <v>5082</v>
      </c>
      <c r="M1014" s="13" t="str">
        <f ca="1">IFERROR(__xludf.DUMMYFUNCTION("TRIM(
  REGEXREPLACE(
    TEXTJOIN("" "",
      TRUE,
      B1014,
      C1014,
      embaralharLinks(E1014,F1014,G1014),
      H1014,
      """",
      J1014,
      N1014,
      ""#RIPNSFW""
    ),
  "",\s*"", "" "")
)"),"{New} Kate Kuray https://doodstream.com/d/hnbrjdq1bjhm/84468850 https://lulustream.com/d/7iiirq7x1mov https://streamtape.com/v/xPlgyvVDZ0Fl0X/84468850 (2026) #Hardcore #Bigass #Teen #Blowjob #RIPNSFW")</f>
        <v>{New} Kate Kuray https://doodstream.com/d/hnbrjdq1bjhm/84468850 https://lulustream.com/d/7iiirq7x1mov https://streamtape.com/v/xPlgyvVDZ0Fl0X/84468850 (2026) #Hardcore #Bigass #Teen #Blowjob #RIPNSFW</v>
      </c>
      <c r="N1014" s="14" t="s">
        <v>3684</v>
      </c>
      <c r="O1014" s="15" t="s">
        <v>5083</v>
      </c>
      <c r="P1014" s="14"/>
      <c r="Q1014" s="6"/>
      <c r="R1014" s="11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2.75">
      <c r="A1015" s="6" t="s">
        <v>5084</v>
      </c>
      <c r="B1015" s="6" t="s">
        <v>14</v>
      </c>
      <c r="C1015" s="7" t="str">
        <f t="shared" si="12"/>
        <v xml:space="preserve">Kate Kuray </v>
      </c>
      <c r="D1015" s="24" t="s">
        <v>5085</v>
      </c>
      <c r="E1015" s="25" t="s">
        <v>5086</v>
      </c>
      <c r="F1015" s="9" t="str">
        <f ca="1">IFERROR(__xludf.DUMMYFUNCTION("""https://streamtape.com/v/""&amp;
REGEXEXTRACT(O1015,""/thumb/([^/]+)/"")&amp;
""/""&amp;K1015"),"https://streamtape.com/v/glQv4em9odcYRo/87376874")</f>
        <v>https://streamtape.com/v/glQv4em9odcYRo/87376874</v>
      </c>
      <c r="G1015" s="10" t="e">
        <f t="shared" ca="1" si="13"/>
        <v>#NAME?</v>
      </c>
      <c r="H1015" s="11" t="str">
        <f ca="1">IFERROR(__xludf.DUMMYFUNCTION("IFERROR(SUBSTITUTE(SUBSTITUTE(REGEXEXTRACT(A1015, ""[^-]+- [^-]+- [^-]+ - (.+?)\.jpg""), "".jpg"", """"), ""-"", "", ""), """")"),"")</f>
        <v/>
      </c>
      <c r="I1015" s="6"/>
      <c r="J1015" s="7" t="str">
        <f t="shared" ca="1" si="14"/>
        <v>(2026)</v>
      </c>
      <c r="K1015" s="7" t="str">
        <f t="shared" si="15"/>
        <v>87376874</v>
      </c>
      <c r="L1015" s="12" t="s">
        <v>4049</v>
      </c>
      <c r="M1015" s="13" t="str">
        <f ca="1">IFERROR(__xludf.DUMMYFUNCTION("TRIM(
  REGEXREPLACE(
    TEXTJOIN("" "",
      TRUE,
      B1015,
      C1015,
      embaralharLinks(E1015,F1015,G1015),
      H1015,
      """",
      J1015,
      N1015,
      ""#RIPNSFW""
    ),
  "",\s*"", "" "")
)"),"{New} Kate Kuray https://lulustream.com/d/kvhj3yb9w8rd https://doodstream.com/d/gwbf93wj9vwe/87376874 https://streamtape.com/v/glQv4em9odcYRo/87376874 (2026) #teen #blowjob #bigass #amateur #RIPNSFW")</f>
        <v>{New} Kate Kuray https://lulustream.com/d/kvhj3yb9w8rd https://doodstream.com/d/gwbf93wj9vwe/87376874 https://streamtape.com/v/glQv4em9odcYRo/87376874 (2026) #teen #blowjob #bigass #amateur #RIPNSFW</v>
      </c>
      <c r="N1015" s="31" t="s">
        <v>4049</v>
      </c>
      <c r="O1015" s="32" t="s">
        <v>5087</v>
      </c>
      <c r="P1015" s="26"/>
      <c r="Q1015" s="6"/>
      <c r="R1015" s="11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2.75">
      <c r="A1016" s="12" t="s">
        <v>5088</v>
      </c>
      <c r="B1016" s="6" t="s">
        <v>14</v>
      </c>
      <c r="C1016" s="7" t="str">
        <f t="shared" si="12"/>
        <v xml:space="preserve">Kate Kuray </v>
      </c>
      <c r="D1016" s="24" t="s">
        <v>5089</v>
      </c>
      <c r="E1016" s="25" t="s">
        <v>5090</v>
      </c>
      <c r="F1016" s="9" t="str">
        <f ca="1">IFERROR(__xludf.DUMMYFUNCTION("""https://streamtape.com/v/""&amp;
REGEXEXTRACT(O1016,""/thumb/([^/]+)/"")&amp;
""/""&amp;K1016"),"https://streamtape.com/v/aYXmgDzw3muQKZ/88073470")</f>
        <v>https://streamtape.com/v/aYXmgDzw3muQKZ/88073470</v>
      </c>
      <c r="G1016" s="10" t="e">
        <f t="shared" ca="1" si="13"/>
        <v>#NAME?</v>
      </c>
      <c r="H1016" s="11" t="str">
        <f ca="1">IFERROR(__xludf.DUMMYFUNCTION("IFERROR(SUBSTITUTE(SUBSTITUTE(REGEXEXTRACT(A1016, ""[^-]+- [^-]+- [^-]+ - (.+?)\.jpg""), "".jpg"", """"), ""-"", "", ""), """")"),"")</f>
        <v/>
      </c>
      <c r="I1016" s="6"/>
      <c r="J1016" s="7" t="str">
        <f t="shared" ca="1" si="14"/>
        <v>(2026)</v>
      </c>
      <c r="K1016" s="7" t="str">
        <f t="shared" si="15"/>
        <v>88073470</v>
      </c>
      <c r="L1016" s="12" t="s">
        <v>3715</v>
      </c>
      <c r="M1016" s="13" t="str">
        <f ca="1">IFERROR(__xludf.DUMMYFUNCTION("TRIM(
  REGEXREPLACE(
    TEXTJOIN("" "",
      TRUE,
      B1016,
      C1016,
      embaralharLinks(E1016,F1016,G1016),
      H1016,
      """",
      J1016,
      N1016,
      ""#RIPNSFW""
    ),
  "",\s*"", "" "")
)"),"{New} Kate Kuray https://doodstream.com/d/1yrqvk7dyu5k/88073470 https://streamtape.com/v/aYXmgDzw3muQKZ/88073470 https://lulustream.com/d/btlpe1dpfwce (2026) #teen #blowjob #bigass #blonde #RIPNSFW")</f>
        <v>{New} Kate Kuray https://doodstream.com/d/1yrqvk7dyu5k/88073470 https://streamtape.com/v/aYXmgDzw3muQKZ/88073470 https://lulustream.com/d/btlpe1dpfwce (2026) #teen #blowjob #bigass #blonde #RIPNSFW</v>
      </c>
      <c r="N1016" s="2" t="s">
        <v>3715</v>
      </c>
      <c r="O1016" s="30" t="s">
        <v>5091</v>
      </c>
      <c r="P1016" s="26"/>
      <c r="R1016" s="23"/>
    </row>
    <row r="1017" spans="1:27" ht="12.75">
      <c r="A1017" s="6" t="s">
        <v>5092</v>
      </c>
      <c r="B1017" s="6" t="s">
        <v>14</v>
      </c>
      <c r="C1017" s="7" t="str">
        <f t="shared" si="12"/>
        <v xml:space="preserve">Kate Kuray </v>
      </c>
      <c r="D1017" s="6" t="s">
        <v>5093</v>
      </c>
      <c r="E1017" s="8" t="s">
        <v>5094</v>
      </c>
      <c r="F1017" s="9" t="str">
        <f ca="1">IFERROR(__xludf.DUMMYFUNCTION("""https://streamtape.com/v/""&amp;
REGEXEXTRACT(O1017,""/thumb/([^/]+)/"")&amp;
""/""&amp;K1017"),"https://streamtape.com/v/4djQM6GXmRiK6rq/88789994")</f>
        <v>https://streamtape.com/v/4djQM6GXmRiK6rq/88789994</v>
      </c>
      <c r="G1017" s="10" t="e">
        <f t="shared" ca="1" si="13"/>
        <v>#NAME?</v>
      </c>
      <c r="H1017" s="11" t="str">
        <f ca="1">IFERROR(__xludf.DUMMYFUNCTION("IFERROR(SUBSTITUTE(SUBSTITUTE(REGEXEXTRACT(A1017, ""[^-]+- [^-]+- [^-]+ - (.+?)\.jpg""), "".jpg"", """"), ""-"", "", ""), """")"),"")</f>
        <v/>
      </c>
      <c r="I1017" s="6"/>
      <c r="J1017" s="7" t="str">
        <f t="shared" ca="1" si="14"/>
        <v>(2026)</v>
      </c>
      <c r="K1017" s="7" t="str">
        <f t="shared" si="15"/>
        <v>88789994</v>
      </c>
      <c r="L1017" s="12" t="s">
        <v>5082</v>
      </c>
      <c r="M1017" s="13" t="str">
        <f ca="1">IFERROR(__xludf.DUMMYFUNCTION("TRIM(
  REGEXREPLACE(
    TEXTJOIN("" "",
      TRUE,
      B1017,
      C1017,
      embaralharLinks(E1017,F1017,G1017),
      H1017,
      """",
      J1017,
      N1017,
      ""#RIPNSFW""
    ),
  "",\s*"", "" "")
)"),"{New} Kate Kuray https://lulustream.com/d/c2i4aoi3mp0y https://doodstream.com/d/rxzqcrp5h9db/88789994 https://streamtape.com/v/4djQM6GXmRiK6rq/88789994 (2026) #Hardcore #Bigass #Teen #Blowjob #Amateur #RIPNSFW")</f>
        <v>{New} Kate Kuray https://lulustream.com/d/c2i4aoi3mp0y https://doodstream.com/d/rxzqcrp5h9db/88789994 https://streamtape.com/v/4djQM6GXmRiK6rq/88789994 (2026) #Hardcore #Bigass #Teen #Blowjob #Amateur #RIPNSFW</v>
      </c>
      <c r="N1017" s="14" t="s">
        <v>5095</v>
      </c>
      <c r="O1017" s="15" t="s">
        <v>5096</v>
      </c>
      <c r="P1017" s="14"/>
      <c r="Q1017" s="6"/>
      <c r="R1017" s="11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2.75">
      <c r="A1018" s="6" t="s">
        <v>5097</v>
      </c>
      <c r="B1018" s="6" t="s">
        <v>14</v>
      </c>
      <c r="C1018" s="7" t="str">
        <f t="shared" si="12"/>
        <v xml:space="preserve">Kate Kuray </v>
      </c>
      <c r="D1018" s="6" t="s">
        <v>5098</v>
      </c>
      <c r="E1018" s="8" t="s">
        <v>5099</v>
      </c>
      <c r="F1018" s="9" t="str">
        <f ca="1">IFERROR(__xludf.DUMMYFUNCTION("""https://streamtape.com/v/""&amp;
REGEXEXTRACT(O1018,""/thumb/([^/]+)/"")&amp;
""/""&amp;K1018"),"https://streamtape.com/v/aPMbQQR7ZlsbOz/89667345")</f>
        <v>https://streamtape.com/v/aPMbQQR7ZlsbOz/89667345</v>
      </c>
      <c r="G1018" s="10" t="e">
        <f t="shared" ca="1" si="13"/>
        <v>#NAME?</v>
      </c>
      <c r="H1018" s="11" t="str">
        <f ca="1">IFERROR(__xludf.DUMMYFUNCTION("IFERROR(SUBSTITUTE(SUBSTITUTE(REGEXEXTRACT(A1018, ""[^-]+- [^-]+- [^-]+ - (.+?)\.jpg""), "".jpg"", """"), ""-"", "", ""), """")"),"")</f>
        <v/>
      </c>
      <c r="I1018" s="6"/>
      <c r="J1018" s="7" t="str">
        <f t="shared" ca="1" si="14"/>
        <v>(2026)</v>
      </c>
      <c r="K1018" s="7" t="str">
        <f t="shared" si="15"/>
        <v>89667345</v>
      </c>
      <c r="L1018" s="12" t="s">
        <v>5100</v>
      </c>
      <c r="M1018" s="13" t="str">
        <f ca="1">IFERROR(__xludf.DUMMYFUNCTION("TRIM(
  REGEXREPLACE(
    TEXTJOIN("" "",
      TRUE,
      B1018,
      C1018,
      embaralharLinks(E1018,F1018,G1018),
      H1018,
      """",
      J1018,
      N1018,
      ""#RIPNSFW""
    ),
  "",\s*"", "" "")
)"),"{New} Kate Kuray https://lulustream.com/d/s0hnwcypp26r https://doodstream.com/d/8xt7fx21vfrt/89667345 https://streamtape.com/v/aPMbQQR7ZlsbOz/89667345 (2026) #Hardcore #Bigass #Teen #Roleplay #Blowjob #Amateur #RIPNSFW")</f>
        <v>{New} Kate Kuray https://lulustream.com/d/s0hnwcypp26r https://doodstream.com/d/8xt7fx21vfrt/89667345 https://streamtape.com/v/aPMbQQR7ZlsbOz/89667345 (2026) #Hardcore #Bigass #Teen #Roleplay #Blowjob #Amateur #RIPNSFW</v>
      </c>
      <c r="N1018" s="14" t="s">
        <v>5101</v>
      </c>
      <c r="O1018" s="15" t="s">
        <v>5102</v>
      </c>
      <c r="P1018" s="14"/>
      <c r="Q1018" s="6"/>
      <c r="R1018" s="11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2.75">
      <c r="A1019" s="6" t="s">
        <v>5103</v>
      </c>
      <c r="B1019" s="6" t="s">
        <v>14</v>
      </c>
      <c r="C1019" s="7" t="str">
        <f t="shared" si="12"/>
        <v xml:space="preserve">Kate Kuray </v>
      </c>
      <c r="D1019" s="6" t="s">
        <v>5104</v>
      </c>
      <c r="E1019" s="8" t="s">
        <v>5105</v>
      </c>
      <c r="F1019" s="9" t="str">
        <f ca="1">IFERROR(__xludf.DUMMYFUNCTION("""https://streamtape.com/v/""&amp;
REGEXEXTRACT(O1019,""/thumb/([^/]+)/"")&amp;
""/""&amp;K1019"),"https://streamtape.com/v/OdJWZqpoPauZQxp/90036586")</f>
        <v>https://streamtape.com/v/OdJWZqpoPauZQxp/90036586</v>
      </c>
      <c r="G1019" s="10" t="e">
        <f t="shared" ca="1" si="13"/>
        <v>#NAME?</v>
      </c>
      <c r="H1019" s="11" t="str">
        <f ca="1">IFERROR(__xludf.DUMMYFUNCTION("IFERROR(SUBSTITUTE(SUBSTITUTE(REGEXEXTRACT(A1019, ""[^-]+- [^-]+- [^-]+ - (.+?)\.jpg""), "".jpg"", """"), ""-"", "", ""), """")"),"")</f>
        <v/>
      </c>
      <c r="I1019" s="6"/>
      <c r="J1019" s="7" t="str">
        <f t="shared" ca="1" si="14"/>
        <v>(2026)</v>
      </c>
      <c r="K1019" s="7" t="str">
        <f t="shared" si="15"/>
        <v>90036586</v>
      </c>
      <c r="L1019" s="12" t="s">
        <v>4932</v>
      </c>
      <c r="M1019" s="13" t="str">
        <f ca="1">IFERROR(__xludf.DUMMYFUNCTION("TRIM(
  REGEXREPLACE(
    TEXTJOIN("" "",
      TRUE,
      B1019,
      C1019,
      embaralharLinks(E1019,F1019,G1019),
      H1019,
      """",
      J1019,
      N1019,
      ""#RIPNSFW""
    ),
  "",\s*"", "" "")
)"),"{New} Kate Kuray https://streamtape.com/v/OdJWZqpoPauZQxp/90036586 https://doodstream.com/d/jlzlffhnc1wq/90036586 https://lulustream.com/d/qkhw9rvh37gw (2026) #Bigass #Teen #Blowjob #Amateur #Deepthroat #Blonde #Facial #RIPNSFW")</f>
        <v>{New} Kate Kuray https://streamtape.com/v/OdJWZqpoPauZQxp/90036586 https://doodstream.com/d/jlzlffhnc1wq/90036586 https://lulustream.com/d/qkhw9rvh37gw (2026) #Bigass #Teen #Blowjob #Amateur #Deepthroat #Blonde #Facial #RIPNSFW</v>
      </c>
      <c r="N1019" s="14" t="s">
        <v>5106</v>
      </c>
      <c r="O1019" s="15" t="s">
        <v>5107</v>
      </c>
      <c r="P1019" s="14"/>
      <c r="Q1019" s="6"/>
      <c r="R1019" s="11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2.75">
      <c r="A1020" s="6" t="s">
        <v>5108</v>
      </c>
      <c r="B1020" s="6" t="s">
        <v>14</v>
      </c>
      <c r="C1020" s="7" t="str">
        <f t="shared" si="12"/>
        <v xml:space="preserve">Kate Kuray </v>
      </c>
      <c r="D1020" s="6" t="s">
        <v>5109</v>
      </c>
      <c r="E1020" s="8" t="s">
        <v>5110</v>
      </c>
      <c r="F1020" s="9" t="str">
        <f ca="1">IFERROR(__xludf.DUMMYFUNCTION("""https://streamtape.com/v/""&amp;
REGEXEXTRACT(O1020,""/thumb/([^/]+)/"")&amp;
""/""&amp;K1020"),"https://streamtape.com/v/7Dyjw3pa9ziA3KX/91405663")</f>
        <v>https://streamtape.com/v/7Dyjw3pa9ziA3KX/91405663</v>
      </c>
      <c r="G1020" s="10" t="e">
        <f t="shared" ca="1" si="13"/>
        <v>#NAME?</v>
      </c>
      <c r="H1020" s="11" t="str">
        <f ca="1">IFERROR(__xludf.DUMMYFUNCTION("IFERROR(SUBSTITUTE(SUBSTITUTE(REGEXEXTRACT(A1020, ""[^-]+- [^-]+- [^-]+ - (.+?)\.jpg""), "".jpg"", """"), ""-"", "", ""), """")"),"")</f>
        <v/>
      </c>
      <c r="I1020" s="6"/>
      <c r="J1020" s="7" t="str">
        <f t="shared" ca="1" si="14"/>
        <v>(2026)</v>
      </c>
      <c r="K1020" s="7" t="str">
        <f t="shared" si="15"/>
        <v>91405663</v>
      </c>
      <c r="L1020" s="12" t="s">
        <v>5082</v>
      </c>
      <c r="M1020" s="13" t="str">
        <f ca="1">IFERROR(__xludf.DUMMYFUNCTION("TRIM(
  REGEXREPLACE(
    TEXTJOIN("" "",
      TRUE,
      B1020,
      C1020,
      embaralharLinks(E1020,F1020,G1020),
      H1020,
      """",
      J1020,
      N1020,
      ""#RIPNSFW""
    ),
  "",\s*"", "" "")
)"),"{New} Kate Kuray https://streamtape.com/v/7Dyjw3pa9ziA3KX/91405663 https://lulustream.com/d/mwl7epohtihq https://doodstream.com/d/sqbbdfkp2xhj/91405663 (2026) #Hardcore #Bigass #Teen #Blowjob #Amateur #RIPNSFW")</f>
        <v>{New} Kate Kuray https://streamtape.com/v/7Dyjw3pa9ziA3KX/91405663 https://lulustream.com/d/mwl7epohtihq https://doodstream.com/d/sqbbdfkp2xhj/91405663 (2026) #Hardcore #Bigass #Teen #Blowjob #Amateur #RIPNSFW</v>
      </c>
      <c r="N1020" s="14" t="s">
        <v>5095</v>
      </c>
      <c r="O1020" s="15" t="s">
        <v>5111</v>
      </c>
      <c r="P1020" s="14"/>
      <c r="Q1020" s="6"/>
      <c r="R1020" s="11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2.75">
      <c r="A1021" s="12" t="s">
        <v>5112</v>
      </c>
      <c r="B1021" s="6" t="s">
        <v>14</v>
      </c>
      <c r="C1021" s="7" t="str">
        <f t="shared" si="12"/>
        <v xml:space="preserve">Kate Kuray </v>
      </c>
      <c r="D1021" s="24" t="s">
        <v>5113</v>
      </c>
      <c r="E1021" s="25" t="s">
        <v>5114</v>
      </c>
      <c r="F1021" s="9" t="str">
        <f ca="1">IFERROR(__xludf.DUMMYFUNCTION("""https://streamtape.com/v/""&amp;
REGEXEXTRACT(O1021,""/thumb/([^/]+)/"")&amp;
""/""&amp;K1021"),"https://streamtape.com/v/3dMx6vRPJ3s6DP/94016805")</f>
        <v>https://streamtape.com/v/3dMx6vRPJ3s6DP/94016805</v>
      </c>
      <c r="G1021" s="10" t="e">
        <f t="shared" ca="1" si="13"/>
        <v>#NAME?</v>
      </c>
      <c r="H1021" s="11" t="str">
        <f ca="1">IFERROR(__xludf.DUMMYFUNCTION("IFERROR(SUBSTITUTE(SUBSTITUTE(REGEXEXTRACT(A1021, ""[^-]+- [^-]+- [^-]+ - (.+?)\.jpg""), "".jpg"", """"), ""-"", "", ""), """")"),"")</f>
        <v/>
      </c>
      <c r="I1021" s="6"/>
      <c r="J1021" s="7" t="str">
        <f t="shared" ca="1" si="14"/>
        <v>(2026)</v>
      </c>
      <c r="K1021" s="7" t="str">
        <f t="shared" si="15"/>
        <v>94016805</v>
      </c>
      <c r="L1021" s="12" t="s">
        <v>4054</v>
      </c>
      <c r="M1021" s="13" t="str">
        <f ca="1">IFERROR(__xludf.DUMMYFUNCTION("TRIM(
  REGEXREPLACE(
    TEXTJOIN("" "",
      TRUE,
      B1021,
      C1021,
      embaralharLinks(E1021,F1021,G1021),
      H1021,
      """",
      J1021,
      N1021,
      ""#RIPNSFW""
    ),
  "",\s*"", "" "")
)"),"{New} Kate Kuray https://lulustream.com/d/h2ukvzlf9rc8 https://streamtape.com/v/3dMx6vRPJ3s6DP/94016805 https://doodstream.com/d/mltj2zet8kpk/94016805 (2026) #blowjob #teen #bigass #brunette #RIPNSFW")</f>
        <v>{New} Kate Kuray https://lulustream.com/d/h2ukvzlf9rc8 https://streamtape.com/v/3dMx6vRPJ3s6DP/94016805 https://doodstream.com/d/mltj2zet8kpk/94016805 (2026) #blowjob #teen #bigass #brunette #RIPNSFW</v>
      </c>
      <c r="N1021" s="2" t="s">
        <v>4054</v>
      </c>
      <c r="O1021" s="30" t="s">
        <v>5115</v>
      </c>
      <c r="P1021" s="26"/>
      <c r="R1021" s="23"/>
      <c r="T1021" s="6"/>
      <c r="U1021" s="7"/>
    </row>
    <row r="1022" spans="1:27" ht="12.75">
      <c r="A1022" s="6" t="s">
        <v>5116</v>
      </c>
      <c r="B1022" s="6" t="s">
        <v>14</v>
      </c>
      <c r="C1022" s="7" t="str">
        <f t="shared" ref="C1022:C1276" si="16">LEFT(A1022,FIND("-",A1022)-1)</f>
        <v xml:space="preserve">Kate Kuray </v>
      </c>
      <c r="D1022" s="6" t="s">
        <v>5117</v>
      </c>
      <c r="E1022" s="8" t="s">
        <v>5118</v>
      </c>
      <c r="F1022" s="9" t="str">
        <f ca="1">IFERROR(__xludf.DUMMYFUNCTION("""https://streamtape.com/v/""&amp;
REGEXEXTRACT(O1022,""/thumb/([^/]+)/"")&amp;
""/""&amp;K1022"),"https://streamtape.com/v/KWJxV1D2VjU01L7/95200301")</f>
        <v>https://streamtape.com/v/KWJxV1D2VjU01L7/95200301</v>
      </c>
      <c r="G1022" s="10" t="e">
        <f t="shared" ref="G1022:G1276" ca="1" si="17">_xludf.CONCAT(D1022,K1022)</f>
        <v>#NAME?</v>
      </c>
      <c r="H1022" s="11" t="str">
        <f ca="1">IFERROR(__xludf.DUMMYFUNCTION("IFERROR(SUBSTITUTE(SUBSTITUTE(REGEXEXTRACT(A1022, ""[^-]+- [^-]+- [^-]+ - (.+?)\.jpg""), "".jpg"", """"), ""-"", "", ""), """")"),"")</f>
        <v/>
      </c>
      <c r="I1022" s="6"/>
      <c r="J1022" s="7" t="str">
        <f t="shared" ref="J1022:J1276" ca="1" si="18">IF(B1022="{New}", "(" &amp; YEAR(TODAY()) &amp; ")", "")</f>
        <v>(2026)</v>
      </c>
      <c r="K1022" s="7" t="str">
        <f t="shared" ref="K1022:K1276" si="19">MID(A1022,FIND("-",A1022)+2,8)</f>
        <v>95200301</v>
      </c>
      <c r="L1022" s="12" t="s">
        <v>5119</v>
      </c>
      <c r="M1022" s="13" t="str">
        <f ca="1">IFERROR(__xludf.DUMMYFUNCTION("TRIM(
  REGEXREPLACE(
    TEXTJOIN("" "",
      TRUE,
      B1022,
      C1022,
      embaralharLinks(E1022,F1022,G1022),
      H1022,
      """",
      J1022,
      N1022,
      ""#RIPNSFW""
    ),
  "",\s*"", "" "")
)"),"{New} Kate Kuray https://lulustream.com/d/a0jde5pn0h4t https://streamtape.com/v/KWJxV1D2VjU01L7/95200301 https://doodstream.com/d/addn1wj4jhju/95200301 (2026) #Hardcore #Bigass #Teen #Blowjob #Amateur #Deepthroat #Blonde #Facial #RIPNSFW")</f>
        <v>{New} Kate Kuray https://lulustream.com/d/a0jde5pn0h4t https://streamtape.com/v/KWJxV1D2VjU01L7/95200301 https://doodstream.com/d/addn1wj4jhju/95200301 (2026) #Hardcore #Bigass #Teen #Blowjob #Amateur #Deepthroat #Blonde #Facial #RIPNSFW</v>
      </c>
      <c r="N1022" s="14" t="s">
        <v>5120</v>
      </c>
      <c r="O1022" s="15" t="s">
        <v>5121</v>
      </c>
      <c r="P1022" s="14"/>
      <c r="Q1022" s="6"/>
      <c r="R1022" s="11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2.75">
      <c r="A1023" s="12" t="s">
        <v>5122</v>
      </c>
      <c r="B1023" s="6" t="s">
        <v>14</v>
      </c>
      <c r="C1023" s="7" t="str">
        <f t="shared" si="16"/>
        <v xml:space="preserve">Kate Kuray </v>
      </c>
      <c r="D1023" s="24" t="s">
        <v>5123</v>
      </c>
      <c r="E1023" s="25" t="s">
        <v>5124</v>
      </c>
      <c r="F1023" s="9" t="str">
        <f ca="1">IFERROR(__xludf.DUMMYFUNCTION("""https://streamtape.com/v/""&amp;
REGEXEXTRACT(O1023,""/thumb/([^/]+)/"")&amp;
""/""&amp;K1023"),"https://streamtape.com/v/0W62ZBO6YKhbo6k/95934097")</f>
        <v>https://streamtape.com/v/0W62ZBO6YKhbo6k/95934097</v>
      </c>
      <c r="G1023" s="10" t="e">
        <f t="shared" ca="1" si="17"/>
        <v>#NAME?</v>
      </c>
      <c r="H1023" s="11" t="str">
        <f ca="1">IFERROR(__xludf.DUMMYFUNCTION("IFERROR(SUBSTITUTE(SUBSTITUTE(REGEXEXTRACT(A1023, ""[^-]+- [^-]+- [^-]+ - (.+?)\.jpg""), "".jpg"", """"), ""-"", "", ""), """")"),"")</f>
        <v/>
      </c>
      <c r="I1023" s="6"/>
      <c r="J1023" s="7" t="str">
        <f t="shared" ca="1" si="18"/>
        <v>(2026)</v>
      </c>
      <c r="K1023" s="7" t="str">
        <f t="shared" si="19"/>
        <v>95934097</v>
      </c>
      <c r="L1023" s="12" t="s">
        <v>5125</v>
      </c>
      <c r="M1023" s="13" t="str">
        <f ca="1">IFERROR(__xludf.DUMMYFUNCTION("TRIM(
  REGEXREPLACE(
    TEXTJOIN("" "",
      TRUE,
      B1023,
      C1023,
      embaralharLinks(E1023,F1023,G1023),
      H1023,
      """",
      J1023,
      N1023,
      ""#RIPNSFW""
    ),
  "",\s*"", "" "")
)"),"{New} Kate Kuray https://doodstream.com/d/t19ffz012si8/95934097 https://lulustream.com/d/iili9x6podqj https://streamtape.com/v/0W62ZBO6YKhbo6k/95934097 (2026) #Hardcore #Bigass #Teen #Artporn #RIPNSFW")</f>
        <v>{New} Kate Kuray https://doodstream.com/d/t19ffz012si8/95934097 https://lulustream.com/d/iili9x6podqj https://streamtape.com/v/0W62ZBO6YKhbo6k/95934097 (2026) #Hardcore #Bigass #Teen #Artporn #RIPNSFW</v>
      </c>
      <c r="N1023" s="2" t="s">
        <v>5126</v>
      </c>
      <c r="O1023" s="30" t="s">
        <v>5127</v>
      </c>
      <c r="P1023" s="26"/>
      <c r="R1023" s="23"/>
    </row>
    <row r="1024" spans="1:27" ht="12.75">
      <c r="A1024" s="6" t="s">
        <v>5128</v>
      </c>
      <c r="B1024" s="6" t="s">
        <v>14</v>
      </c>
      <c r="C1024" s="7" t="str">
        <f t="shared" si="16"/>
        <v xml:space="preserve">Kate Kuray </v>
      </c>
      <c r="D1024" s="6" t="s">
        <v>5129</v>
      </c>
      <c r="E1024" s="8" t="s">
        <v>5130</v>
      </c>
      <c r="F1024" s="9" t="str">
        <f ca="1">IFERROR(__xludf.DUMMYFUNCTION("""https://streamtape.com/v/""&amp;
REGEXEXTRACT(O1024,""/thumb/([^/]+)/"")&amp;
""/""&amp;K1024"),"https://streamtape.com/v/wG9aADBM8OsJXmX/99654390")</f>
        <v>https://streamtape.com/v/wG9aADBM8OsJXmX/99654390</v>
      </c>
      <c r="G1024" s="10" t="e">
        <f t="shared" ca="1" si="17"/>
        <v>#NAME?</v>
      </c>
      <c r="H1024" s="11" t="str">
        <f ca="1">IFERROR(__xludf.DUMMYFUNCTION("IFERROR(SUBSTITUTE(SUBSTITUTE(REGEXEXTRACT(A1024, ""[^-]+- [^-]+- [^-]+ - (.+?)\.jpg""), "".jpg"", """"), ""-"", "", ""), """")"),"")</f>
        <v/>
      </c>
      <c r="I1024" s="6"/>
      <c r="J1024" s="7" t="str">
        <f t="shared" ca="1" si="18"/>
        <v>(2026)</v>
      </c>
      <c r="K1024" s="7" t="str">
        <f t="shared" si="19"/>
        <v>99654390</v>
      </c>
      <c r="L1024" s="12" t="s">
        <v>5131</v>
      </c>
      <c r="M1024" s="13" t="str">
        <f ca="1">IFERROR(__xludf.DUMMYFUNCTION("TRIM(
  REGEXREPLACE(
    TEXTJOIN("" "",
      TRUE,
      B1024,
      C1024,
      embaralharLinks(E1024,F1024,G1024),
      H1024,
      """",
      J1024,
      N1024,
      ""#RIPNSFW""
    ),
  "",\s*"", "" "")
)"),"{New} Kate Kuray https://doodstream.com/d/f34g9pdivafz/99654390 https://streamtape.com/v/wG9aADBM8OsJXmX/99654390 https://lulustream.com/d/5oeyvjzn7yty (2026) #Hardcore #Bigass #Teen #Roleplay #Teens #RIPNSFW")</f>
        <v>{New} Kate Kuray https://doodstream.com/d/f34g9pdivafz/99654390 https://streamtape.com/v/wG9aADBM8OsJXmX/99654390 https://lulustream.com/d/5oeyvjzn7yty (2026) #Hardcore #Bigass #Teen #Roleplay #Teens #RIPNSFW</v>
      </c>
      <c r="N1024" s="14" t="s">
        <v>5132</v>
      </c>
      <c r="O1024" s="15" t="s">
        <v>5133</v>
      </c>
      <c r="P1024" s="14"/>
      <c r="Q1024" s="6"/>
      <c r="R1024" s="11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2.75">
      <c r="A1025" s="6" t="s">
        <v>5134</v>
      </c>
      <c r="B1025" s="6" t="s">
        <v>14</v>
      </c>
      <c r="C1025" s="7" t="str">
        <f t="shared" si="16"/>
        <v xml:space="preserve">Kate Kuray </v>
      </c>
      <c r="D1025" s="6" t="s">
        <v>5135</v>
      </c>
      <c r="E1025" s="8" t="s">
        <v>5136</v>
      </c>
      <c r="F1025" s="9" t="str">
        <f ca="1">IFERROR(__xludf.DUMMYFUNCTION("""https://streamtape.com/v/""&amp;
REGEXEXTRACT(O1025,""/thumb/([^/]+)/"")&amp;
""/""&amp;K1025"),"https://streamtape.com/v/ggXjZBQvmmiqKPL/99849017")</f>
        <v>https://streamtape.com/v/ggXjZBQvmmiqKPL/99849017</v>
      </c>
      <c r="G1025" s="10" t="e">
        <f t="shared" ca="1" si="17"/>
        <v>#NAME?</v>
      </c>
      <c r="H1025" s="11" t="str">
        <f ca="1">IFERROR(__xludf.DUMMYFUNCTION("IFERROR(SUBSTITUTE(SUBSTITUTE(REGEXEXTRACT(A1025, ""[^-]+- [^-]+- [^-]+ - (.+?)\.jpg""), "".jpg"", """"), ""-"", "", ""), """")"),"")</f>
        <v/>
      </c>
      <c r="I1025" s="6"/>
      <c r="J1025" s="7" t="str">
        <f t="shared" ca="1" si="18"/>
        <v>(2026)</v>
      </c>
      <c r="K1025" s="7" t="str">
        <f t="shared" si="19"/>
        <v>99849017</v>
      </c>
      <c r="L1025" s="12" t="s">
        <v>5137</v>
      </c>
      <c r="M1025" s="13" t="str">
        <f ca="1">IFERROR(__xludf.DUMMYFUNCTION("TRIM(
  REGEXREPLACE(
    TEXTJOIN("" "",
      TRUE,
      B1025,
      C1025,
      embaralharLinks(E1025,F1025,G1025),
      H1025,
      """",
      J1025,
      N1025,
      ""#RIPNSFW""
    ),
  "",\s*"", "" "")
)"),"{New} Kate Kuray https://lulustream.com/d/xf1qypln5o9m https://doodstream.com/d/wumiq9uo45p1/99849017 https://streamtape.com/v/ggXjZBQvmmiqKPL/99849017 (2026) #BigTits #Hardcore #Bigass #Teen #Teens #Blowjob #Amateur #RIPNSFW")</f>
        <v>{New} Kate Kuray https://lulustream.com/d/xf1qypln5o9m https://doodstream.com/d/wumiq9uo45p1/99849017 https://streamtape.com/v/ggXjZBQvmmiqKPL/99849017 (2026) #BigTits #Hardcore #Bigass #Teen #Teens #Blowjob #Amateur #RIPNSFW</v>
      </c>
      <c r="N1025" s="14" t="s">
        <v>5138</v>
      </c>
      <c r="O1025" s="15" t="s">
        <v>5139</v>
      </c>
      <c r="P1025" s="14"/>
      <c r="Q1025" s="6"/>
      <c r="R1025" s="11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2.75">
      <c r="A1026" s="12" t="s">
        <v>5140</v>
      </c>
      <c r="B1026" s="6" t="s">
        <v>14</v>
      </c>
      <c r="C1026" s="7" t="str">
        <f t="shared" si="16"/>
        <v xml:space="preserve">Katerina </v>
      </c>
      <c r="D1026" s="24" t="s">
        <v>5141</v>
      </c>
      <c r="E1026" s="25" t="s">
        <v>5142</v>
      </c>
      <c r="F1026" s="9" t="str">
        <f ca="1">IFERROR(__xludf.DUMMYFUNCTION("""https://streamtape.com/v/""&amp;
REGEXEXTRACT(O1026,""/thumb/([^/]+)/"")&amp;
""/""&amp;K1026"),"https://streamtape.com/v/4PprXjX0VviVWL/58905159")</f>
        <v>https://streamtape.com/v/4PprXjX0VviVWL/58905159</v>
      </c>
      <c r="G1026" s="10" t="e">
        <f t="shared" ca="1" si="17"/>
        <v>#NAME?</v>
      </c>
      <c r="H1026" s="11" t="str">
        <f ca="1">IFERROR(__xludf.DUMMYFUNCTION("IFERROR(SUBSTITUTE(SUBSTITUTE(REGEXEXTRACT(A1026, ""[^-]+- [^-]+- [^-]+ - (.+?)\.jpg""), "".jpg"", """"), ""-"", "", ""), """")"),"")</f>
        <v/>
      </c>
      <c r="I1026" s="6"/>
      <c r="J1026" s="7" t="str">
        <f t="shared" ca="1" si="18"/>
        <v>(2026)</v>
      </c>
      <c r="K1026" s="7" t="str">
        <f t="shared" si="19"/>
        <v>58905159</v>
      </c>
      <c r="L1026" s="12" t="s">
        <v>5143</v>
      </c>
      <c r="M1026" s="13" t="str">
        <f ca="1">IFERROR(__xludf.DUMMYFUNCTION("TRIM(
  REGEXREPLACE(
    TEXTJOIN("" "",
      TRUE,
      B1026,
      C1026,
      embaralharLinks(E1026,F1026,G1026),
      H1026,
      """",
      J1026,
      N1026,
      ""#RIPNSFW""
    ),
  "",\s*"", "" "")
)"),"{New} Katerina https://lulustream.com/d/l7l7fmb4lc38 https://doodstream.com/d/63ekfaec6835/58905159 https://streamtape.com/v/4PprXjX0VviVWL/58905159 (2026) #teen #bigtits #anal #casting #RIPNSFW")</f>
        <v>{New} Katerina https://lulustream.com/d/l7l7fmb4lc38 https://doodstream.com/d/63ekfaec6835/58905159 https://streamtape.com/v/4PprXjX0VviVWL/58905159 (2026) #teen #bigtits #anal #casting #RIPNSFW</v>
      </c>
      <c r="N1026" s="2" t="s">
        <v>5143</v>
      </c>
      <c r="O1026" s="30" t="s">
        <v>5144</v>
      </c>
      <c r="P1026" s="26"/>
      <c r="R1026" s="23"/>
      <c r="T1026" s="6"/>
      <c r="U1026" s="7"/>
    </row>
    <row r="1027" spans="1:27" ht="12.75">
      <c r="A1027" s="6" t="s">
        <v>5145</v>
      </c>
      <c r="B1027" s="6" t="s">
        <v>14</v>
      </c>
      <c r="C1027" s="7" t="str">
        <f t="shared" si="16"/>
        <v xml:space="preserve">Katie </v>
      </c>
      <c r="D1027" s="6" t="s">
        <v>5146</v>
      </c>
      <c r="E1027" s="8" t="s">
        <v>5147</v>
      </c>
      <c r="F1027" s="9" t="str">
        <f ca="1">IFERROR(__xludf.DUMMYFUNCTION("""https://streamtape.com/v/""&amp;
REGEXEXTRACT(O1027,""/thumb/([^/]+)/"")&amp;
""/""&amp;K1027"),"https://streamtape.com/v/olveAvd1mPsJ6qX/32786172")</f>
        <v>https://streamtape.com/v/olveAvd1mPsJ6qX/32786172</v>
      </c>
      <c r="G1027" s="10" t="e">
        <f t="shared" ca="1" si="17"/>
        <v>#NAME?</v>
      </c>
      <c r="H1027" s="11" t="str">
        <f ca="1">IFERROR(__xludf.DUMMYFUNCTION("IFERROR(SUBSTITUTE(SUBSTITUTE(REGEXEXTRACT(A1027, ""[^-]+- [^-]+- [^-]+ - (.+?)\.jpg""), "".jpg"", """"), ""-"", "", ""), """")"),"")</f>
        <v/>
      </c>
      <c r="I1027" s="6"/>
      <c r="J1027" s="7" t="str">
        <f t="shared" ca="1" si="18"/>
        <v>(2026)</v>
      </c>
      <c r="K1027" s="7" t="str">
        <f t="shared" si="19"/>
        <v>32786172</v>
      </c>
      <c r="L1027" s="12" t="s">
        <v>5148</v>
      </c>
      <c r="M1027" s="13" t="str">
        <f ca="1">IFERROR(__xludf.DUMMYFUNCTION("TRIM(
  REGEXREPLACE(
    TEXTJOIN("" "",
      TRUE,
      B1027,
      C1027,
      embaralharLinks(E1027,F1027,G1027),
      H1027,
      """",
      J1027,
      N1027,
      ""#RIPNSFW""
    ),
  "",\s*"", "" "")
)"),"{New} Katie https://lulustream.com/d/mu2h1vhtr4by https://streamtape.com/v/olveAvd1mPsJ6qX/32786172 https://doodstream.com/d/oo4zzxu70bd0/32786172 (2026) #Anal #BigTits #Creampie #Hardcore #Bigass #Porn #RIPNSFW")</f>
        <v>{New} Katie https://lulustream.com/d/mu2h1vhtr4by https://streamtape.com/v/olveAvd1mPsJ6qX/32786172 https://doodstream.com/d/oo4zzxu70bd0/32786172 (2026) #Anal #BigTits #Creampie #Hardcore #Bigass #Porn #RIPNSFW</v>
      </c>
      <c r="N1027" s="14" t="s">
        <v>5149</v>
      </c>
      <c r="O1027" s="15" t="s">
        <v>5150</v>
      </c>
      <c r="P1027" s="14"/>
      <c r="Q1027" s="6"/>
      <c r="R1027" s="11"/>
      <c r="S1027" s="6"/>
      <c r="T1027" s="6"/>
      <c r="U1027" s="6"/>
      <c r="V1027" s="6"/>
      <c r="W1027" s="6"/>
      <c r="X1027" s="6"/>
      <c r="Y1027" s="6"/>
      <c r="Z1027" s="6"/>
      <c r="AA1027" s="6"/>
    </row>
    <row r="1028" spans="1:27" ht="12.75">
      <c r="A1028" s="6" t="s">
        <v>5151</v>
      </c>
      <c r="B1028" s="6" t="s">
        <v>14</v>
      </c>
      <c r="C1028" s="7" t="str">
        <f t="shared" si="16"/>
        <v xml:space="preserve">Katie Karr </v>
      </c>
      <c r="D1028" s="6" t="s">
        <v>5152</v>
      </c>
      <c r="E1028" s="8" t="s">
        <v>5153</v>
      </c>
      <c r="F1028" s="9" t="str">
        <f ca="1">IFERROR(__xludf.DUMMYFUNCTION("""https://streamtape.com/v/""&amp;
REGEXEXTRACT(O1028,""/thumb/([^/]+)/"")&amp;
""/""&amp;K1028"),"https://streamtape.com/v/wxVbew74vetJrL1/62455009")</f>
        <v>https://streamtape.com/v/wxVbew74vetJrL1/62455009</v>
      </c>
      <c r="G1028" s="10" t="e">
        <f t="shared" ca="1" si="17"/>
        <v>#NAME?</v>
      </c>
      <c r="H1028" s="11" t="str">
        <f ca="1">IFERROR(__xludf.DUMMYFUNCTION("IFERROR(SUBSTITUTE(SUBSTITUTE(REGEXEXTRACT(A1028, ""[^-]+- [^-]+- [^-]+ - (.+?)\.jpg""), "".jpg"", """"), ""-"", "", ""), """")"),"")</f>
        <v/>
      </c>
      <c r="I1028" s="6"/>
      <c r="J1028" s="7" t="str">
        <f t="shared" ca="1" si="18"/>
        <v>(2026)</v>
      </c>
      <c r="K1028" s="7" t="str">
        <f t="shared" si="19"/>
        <v>62455009</v>
      </c>
      <c r="L1028" s="12" t="s">
        <v>5154</v>
      </c>
      <c r="M1028" s="13" t="str">
        <f ca="1">IFERROR(__xludf.DUMMYFUNCTION("TRIM(
  REGEXREPLACE(
    TEXTJOIN("" "",
      TRUE,
      B1028,
      C1028,
      embaralharLinks(E1028,F1028,G1028),
      H1028,
      """",
      J1028,
      N1028,
      ""#RIPNSFW""
    ),
  "",\s*"", "" "")
)"),"{New} Katie Karr https://streamtape.com/v/wxVbew74vetJrL1/62455009 https://lulustream.com/d/rqryazwahpgf https://doodstream.com/d/aqeiv8cr6f8t/62455009 (2026) #Creampie #Hardcore #Teen #Blowjob #Amateur #Deepthroat #Blonde #RIPNSFW")</f>
        <v>{New} Katie Karr https://streamtape.com/v/wxVbew74vetJrL1/62455009 https://lulustream.com/d/rqryazwahpgf https://doodstream.com/d/aqeiv8cr6f8t/62455009 (2026) #Creampie #Hardcore #Teen #Blowjob #Amateur #Deepthroat #Blonde #RIPNSFW</v>
      </c>
      <c r="N1028" s="14" t="s">
        <v>5155</v>
      </c>
      <c r="O1028" s="15" t="s">
        <v>5156</v>
      </c>
      <c r="P1028" s="14"/>
      <c r="Q1028" s="6"/>
      <c r="R1028" s="11"/>
      <c r="S1028" s="6"/>
      <c r="T1028" s="6"/>
      <c r="U1028" s="6"/>
      <c r="V1028" s="6"/>
      <c r="W1028" s="6"/>
      <c r="X1028" s="6"/>
      <c r="Y1028" s="6"/>
      <c r="Z1028" s="6"/>
      <c r="AA1028" s="6"/>
    </row>
    <row r="1029" spans="1:27" ht="12.75">
      <c r="A1029" s="12" t="s">
        <v>5157</v>
      </c>
      <c r="B1029" s="6" t="s">
        <v>14</v>
      </c>
      <c r="C1029" s="7" t="str">
        <f t="shared" si="16"/>
        <v xml:space="preserve">Kayley Gunner </v>
      </c>
      <c r="D1029" s="27" t="s">
        <v>5158</v>
      </c>
      <c r="E1029" s="28" t="s">
        <v>5159</v>
      </c>
      <c r="F1029" s="9" t="str">
        <f ca="1">IFERROR(__xludf.DUMMYFUNCTION("""https://streamtape.com/v/""&amp;
REGEXEXTRACT(O1029,""/thumb/([^/]+)/"")&amp;
""/""&amp;K1029"),"https://streamtape.com/v/jWrOr4RaKqczWjB/14062820")</f>
        <v>https://streamtape.com/v/jWrOr4RaKqczWjB/14062820</v>
      </c>
      <c r="G1029" s="10" t="e">
        <f t="shared" ca="1" si="17"/>
        <v>#NAME?</v>
      </c>
      <c r="H1029" s="11" t="str">
        <f ca="1">IFERROR(__xludf.DUMMYFUNCTION("IFERROR(SUBSTITUTE(SUBSTITUTE(REGEXEXTRACT(A1029, ""[^-]+- [^-]+- [^-]+ - (.+?)\.jpg""), "".jpg"", """"), ""-"", "", ""), """")"),"")</f>
        <v/>
      </c>
      <c r="I1029" s="6"/>
      <c r="J1029" s="7" t="str">
        <f t="shared" ca="1" si="18"/>
        <v>(2026)</v>
      </c>
      <c r="K1029" s="7" t="str">
        <f t="shared" si="19"/>
        <v>14062820</v>
      </c>
      <c r="L1029" s="12" t="s">
        <v>680</v>
      </c>
      <c r="M1029" s="13" t="str">
        <f ca="1">IFERROR(__xludf.DUMMYFUNCTION("TRIM(
  REGEXREPLACE(
    TEXTJOIN("" "",
      TRUE,
      B1029,
      C1029,
      embaralharLinks(E1029,F1029,G1029),
      H1029,
      """",
      J1029,
      N1029,
      ""#RIPNSFW""
    ),
  "",\s*"", "" "")
)"),"{New} Kayley Gunner https://streamtape.com/v/jWrOr4RaKqczWjB/14062820 https://doodstream.com/d/krwb52iya7mc/14062820 https://lulustream.com/d/22cn60rlb3mc (2026) #MILF #BigTits #Hardcore #Black #RIPNSFW")</f>
        <v>{New} Kayley Gunner https://streamtape.com/v/jWrOr4RaKqczWjB/14062820 https://doodstream.com/d/krwb52iya7mc/14062820 https://lulustream.com/d/22cn60rlb3mc (2026) #MILF #BigTits #Hardcore #Black #RIPNSFW</v>
      </c>
      <c r="N1029" s="2" t="s">
        <v>681</v>
      </c>
      <c r="O1029" s="30" t="s">
        <v>5160</v>
      </c>
      <c r="P1029" s="26"/>
      <c r="R1029" s="23"/>
    </row>
    <row r="1030" spans="1:27" ht="12.75">
      <c r="A1030" s="12" t="s">
        <v>5161</v>
      </c>
      <c r="B1030" s="6" t="s">
        <v>14</v>
      </c>
      <c r="C1030" s="7" t="str">
        <f t="shared" si="16"/>
        <v xml:space="preserve">Kayley Gunner </v>
      </c>
      <c r="D1030" s="24" t="s">
        <v>5162</v>
      </c>
      <c r="E1030" s="25" t="s">
        <v>5163</v>
      </c>
      <c r="F1030" s="9" t="str">
        <f ca="1">IFERROR(__xludf.DUMMYFUNCTION("""https://streamtape.com/v/""&amp;
REGEXEXTRACT(O1030,""/thumb/([^/]+)/"")&amp;
""/""&amp;K1030"),"https://streamtape.com/v/9q0r97JWVwHae7r/25869219")</f>
        <v>https://streamtape.com/v/9q0r97JWVwHae7r/25869219</v>
      </c>
      <c r="G1030" s="10" t="e">
        <f t="shared" ca="1" si="17"/>
        <v>#NAME?</v>
      </c>
      <c r="H1030" s="11" t="str">
        <f ca="1">IFERROR(__xludf.DUMMYFUNCTION("IFERROR(SUBSTITUTE(SUBSTITUTE(REGEXEXTRACT(A1030, ""[^-]+- [^-]+- [^-]+ - (.+?)\.jpg""), "".jpg"", """"), ""-"", "", ""), """")"),"The Official Egypt")</f>
        <v>The Official Egypt</v>
      </c>
      <c r="I1030" s="6"/>
      <c r="J1030" s="7" t="str">
        <f t="shared" ca="1" si="18"/>
        <v>(2026)</v>
      </c>
      <c r="K1030" s="7" t="str">
        <f t="shared" si="19"/>
        <v>25869219</v>
      </c>
      <c r="L1030" s="12" t="s">
        <v>5164</v>
      </c>
      <c r="M1030" s="13" t="str">
        <f ca="1">IFERROR(__xludf.DUMMYFUNCTION("TRIM(
  REGEXREPLACE(
    TEXTJOIN("" "",
      TRUE,
      B1030,
      C1030,
      embaralharLinks(E1030,F1030,G1030),
      H1030,
      """",
      J1030,
      N1030,
      ""#RIPNSFW""
    ),
  "",\s*"", "" "")
)"),"{New} Kayley Gunner https://streamtape.com/v/9q0r97JWVwHae7r/25869219 https://lulustream.com/d/xtbur4l4jnrf https://doodstream.com/d/696aj6oi8uzb/25869219 The Official Egypt (2026) #threesome #interracial #bigass #bigtits #RIPNSFW")</f>
        <v>{New} Kayley Gunner https://streamtape.com/v/9q0r97JWVwHae7r/25869219 https://lulustream.com/d/xtbur4l4jnrf https://doodstream.com/d/696aj6oi8uzb/25869219 The Official Egypt (2026) #threesome #interracial #bigass #bigtits #RIPNSFW</v>
      </c>
      <c r="N1030" s="2" t="s">
        <v>5164</v>
      </c>
      <c r="O1030" s="21" t="s">
        <v>5165</v>
      </c>
      <c r="P1030" s="26"/>
      <c r="R1030" s="23"/>
      <c r="T1030" s="6"/>
      <c r="U1030" s="7"/>
    </row>
    <row r="1031" spans="1:27" ht="12.75">
      <c r="A1031" s="12" t="s">
        <v>5166</v>
      </c>
      <c r="B1031" s="6" t="s">
        <v>14</v>
      </c>
      <c r="C1031" s="7" t="str">
        <f t="shared" si="16"/>
        <v xml:space="preserve">Kayley Gunner </v>
      </c>
      <c r="D1031" s="24" t="s">
        <v>5167</v>
      </c>
      <c r="E1031" s="25" t="s">
        <v>5168</v>
      </c>
      <c r="F1031" s="9" t="str">
        <f ca="1">IFERROR(__xludf.DUMMYFUNCTION("""https://streamtape.com/v/""&amp;
REGEXEXTRACT(O1031,""/thumb/([^/]+)/"")&amp;
""/""&amp;K1031"),"https://streamtape.com/v/q31M7o3Aolizz60/26141834")</f>
        <v>https://streamtape.com/v/q31M7o3Aolizz60/26141834</v>
      </c>
      <c r="G1031" s="10" t="e">
        <f t="shared" ca="1" si="17"/>
        <v>#NAME?</v>
      </c>
      <c r="H1031" s="11" t="str">
        <f ca="1">IFERROR(__xludf.DUMMYFUNCTION("IFERROR(SUBSTITUTE(SUBSTITUTE(REGEXEXTRACT(A1031, ""[^-]+- [^-]+- [^-]+ - (.+?)\.jpg""), "".jpg"", """"), ""-"", "", ""), """")"),"")</f>
        <v/>
      </c>
      <c r="I1031" s="6"/>
      <c r="J1031" s="7" t="str">
        <f t="shared" ca="1" si="18"/>
        <v>(2026)</v>
      </c>
      <c r="K1031" s="7" t="str">
        <f t="shared" si="19"/>
        <v>26141834</v>
      </c>
      <c r="L1031" s="12" t="s">
        <v>5169</v>
      </c>
      <c r="M1031" s="13" t="str">
        <f ca="1">IFERROR(__xludf.DUMMYFUNCTION("TRIM(
  REGEXREPLACE(
    TEXTJOIN("" "",
      TRUE,
      B1031,
      C1031,
      embaralharLinks(E1031,F1031,G1031),
      H1031,
      """",
      J1031,
      N1031,
      ""#RIPNSFW""
    ),
  "",\s*"", "" "")
)"),"{New} Kayley Gunner https://lulustream.com/d/2z3ke5absxnm https://doodstream.com/d/7x9wwze74u09/26141834 https://streamtape.com/v/q31M7o3Aolizz60/26141834 (2026) #threesome #bigtits #milf #creampie #RIPNSFW")</f>
        <v>{New} Kayley Gunner https://lulustream.com/d/2z3ke5absxnm https://doodstream.com/d/7x9wwze74u09/26141834 https://streamtape.com/v/q31M7o3Aolizz60/26141834 (2026) #threesome #bigtits #milf #creampie #RIPNSFW</v>
      </c>
      <c r="N1031" s="2" t="s">
        <v>5169</v>
      </c>
      <c r="O1031" s="30" t="s">
        <v>5170</v>
      </c>
      <c r="P1031" s="26"/>
      <c r="R1031" s="23"/>
      <c r="T1031" s="6"/>
      <c r="U1031" s="7"/>
    </row>
    <row r="1032" spans="1:27" ht="12.75">
      <c r="A1032" s="12" t="s">
        <v>5171</v>
      </c>
      <c r="B1032" s="6" t="s">
        <v>14</v>
      </c>
      <c r="C1032" s="7" t="str">
        <f t="shared" si="16"/>
        <v xml:space="preserve">Kayley Gunner </v>
      </c>
      <c r="D1032" s="24" t="s">
        <v>5172</v>
      </c>
      <c r="E1032" s="25" t="s">
        <v>5173</v>
      </c>
      <c r="F1032" s="9" t="str">
        <f ca="1">IFERROR(__xludf.DUMMYFUNCTION("""https://streamtape.com/v/""&amp;
REGEXEXTRACT(O1032,""/thumb/([^/]+)/"")&amp;
""/""&amp;K1032"),"https://streamtape.com/v/Zj48DAym0ecqABz/26358645")</f>
        <v>https://streamtape.com/v/Zj48DAym0ecqABz/26358645</v>
      </c>
      <c r="G1032" s="10" t="e">
        <f t="shared" ca="1" si="17"/>
        <v>#NAME?</v>
      </c>
      <c r="H1032" s="11" t="str">
        <f ca="1">IFERROR(__xludf.DUMMYFUNCTION("IFERROR(SUBSTITUTE(SUBSTITUTE(REGEXEXTRACT(A1032, ""[^-]+- [^-]+- [^-]+ - (.+?)\.jpg""), "".jpg"", """"), ""-"", "", ""), """")"),"Joanna Angel")</f>
        <v>Joanna Angel</v>
      </c>
      <c r="I1032" s="6"/>
      <c r="J1032" s="7" t="str">
        <f t="shared" ca="1" si="18"/>
        <v>(2026)</v>
      </c>
      <c r="K1032" s="7" t="str">
        <f t="shared" si="19"/>
        <v>26358645</v>
      </c>
      <c r="L1032" s="12" t="s">
        <v>5174</v>
      </c>
      <c r="M1032" s="13" t="str">
        <f ca="1">IFERROR(__xludf.DUMMYFUNCTION("TRIM(
  REGEXREPLACE(
    TEXTJOIN("" "",
      TRUE,
      B1032,
      C1032,
      embaralharLinks(E1032,F1032,G1032),
      H1032,
      """",
      J1032,
      N1032,
      ""#RIPNSFW""
    ),
  "",\s*"", "" "")
)"),"{New} Kayley Gunner https://lulustream.com/d/q6vwlgz1nalv https://streamtape.com/v/Zj48DAym0ecqABz/26358645 https://doodstream.com/d/9swytzidt9z8/26358645 Joanna Angel (2026) #threesome #bigass #bigtits #blowjob #RIPNSFW")</f>
        <v>{New} Kayley Gunner https://lulustream.com/d/q6vwlgz1nalv https://streamtape.com/v/Zj48DAym0ecqABz/26358645 https://doodstream.com/d/9swytzidt9z8/26358645 Joanna Angel (2026) #threesome #bigass #bigtits #blowjob #RIPNSFW</v>
      </c>
      <c r="N1032" s="2" t="s">
        <v>5174</v>
      </c>
      <c r="O1032" s="21" t="s">
        <v>5175</v>
      </c>
      <c r="P1032" s="26"/>
      <c r="R1032" s="23"/>
      <c r="T1032" s="6"/>
      <c r="U1032" s="7"/>
    </row>
    <row r="1033" spans="1:27" ht="12.75">
      <c r="A1033" s="6" t="s">
        <v>5176</v>
      </c>
      <c r="B1033" s="6" t="s">
        <v>14</v>
      </c>
      <c r="C1033" s="7" t="str">
        <f t="shared" si="16"/>
        <v xml:space="preserve">Kayley Gunner </v>
      </c>
      <c r="D1033" s="6" t="s">
        <v>5177</v>
      </c>
      <c r="E1033" s="8" t="s">
        <v>5178</v>
      </c>
      <c r="F1033" s="9" t="str">
        <f ca="1">IFERROR(__xludf.DUMMYFUNCTION("""https://streamtape.com/v/""&amp;
REGEXEXTRACT(O1033,""/thumb/([^/]+)/"")&amp;
""/""&amp;K1033"),"https://streamtape.com/v/JKoxAV7kgocjW8b/31825963")</f>
        <v>https://streamtape.com/v/JKoxAV7kgocjW8b/31825963</v>
      </c>
      <c r="G1033" s="10" t="e">
        <f t="shared" ca="1" si="17"/>
        <v>#NAME?</v>
      </c>
      <c r="H1033" s="11" t="str">
        <f ca="1">IFERROR(__xludf.DUMMYFUNCTION("IFERROR(SUBSTITUTE(SUBSTITUTE(REGEXEXTRACT(A1033, ""[^-]+- [^-]+- [^-]+ - (.+?)\.jpg""), "".jpg"", """"), ""-"", "", ""), """")"),"Savannah Bond")</f>
        <v>Savannah Bond</v>
      </c>
      <c r="I1033" s="6"/>
      <c r="J1033" s="7" t="str">
        <f t="shared" ca="1" si="18"/>
        <v>(2026)</v>
      </c>
      <c r="K1033" s="7" t="str">
        <f t="shared" si="19"/>
        <v>31825963</v>
      </c>
      <c r="L1033" s="12" t="s">
        <v>2589</v>
      </c>
      <c r="M1033" s="13" t="str">
        <f ca="1">IFERROR(__xludf.DUMMYFUNCTION("TRIM(
  REGEXREPLACE(
    TEXTJOIN("" "",
      TRUE,
      B1033,
      C1033,
      embaralharLinks(E1033,F1033,G1033),
      H1033,
      """",
      J1033,
      N1033,
      ""#RIPNSFW""
    ),
  "",\s*"", "" "")
)"),"{New} Kayley Gunner https://lulustream.com/d/g9p539vele5i https://streamtape.com/v/JKoxAV7kgocjW8b/31825963 https://doodstream.com/d/wk45jz9qijku/31825963 Savannah Bond (2026) #MILF #BigTits #Hardcore #Threesome #Bigass #Blowjob #Amateur #Deepthroat #Blon"&amp;"de #Facial #RIPNSFW")</f>
        <v>{New} Kayley Gunner https://lulustream.com/d/g9p539vele5i https://streamtape.com/v/JKoxAV7kgocjW8b/31825963 https://doodstream.com/d/wk45jz9qijku/31825963 Savannah Bond (2026) #MILF #BigTits #Hardcore #Threesome #Bigass #Blowjob #Amateur #Deepthroat #Blonde #Facial #RIPNSFW</v>
      </c>
      <c r="N1033" s="14" t="s">
        <v>5179</v>
      </c>
      <c r="O1033" s="15" t="s">
        <v>5180</v>
      </c>
      <c r="P1033" s="14"/>
      <c r="Q1033" s="6"/>
      <c r="R1033" s="11"/>
      <c r="S1033" s="6"/>
      <c r="T1033" s="6"/>
      <c r="U1033" s="6"/>
      <c r="V1033" s="6"/>
      <c r="W1033" s="6"/>
      <c r="X1033" s="6"/>
      <c r="Y1033" s="6"/>
      <c r="Z1033" s="6"/>
      <c r="AA1033" s="6"/>
    </row>
    <row r="1034" spans="1:27" ht="12.75">
      <c r="A1034" s="6" t="s">
        <v>5181</v>
      </c>
      <c r="B1034" s="6" t="s">
        <v>14</v>
      </c>
      <c r="C1034" s="7" t="str">
        <f t="shared" si="16"/>
        <v xml:space="preserve">Kayley Gunner </v>
      </c>
      <c r="D1034" s="6" t="s">
        <v>5182</v>
      </c>
      <c r="E1034" s="8" t="s">
        <v>5183</v>
      </c>
      <c r="F1034" s="9" t="str">
        <f ca="1">IFERROR(__xludf.DUMMYFUNCTION("""https://streamtape.com/v/""&amp;
REGEXEXTRACT(O1034,""/thumb/([^/]+)/"")&amp;
""/""&amp;K1034"),"https://streamtape.com/v/wrrL4M7qQxIjYM/34173244")</f>
        <v>https://streamtape.com/v/wrrL4M7qQxIjYM/34173244</v>
      </c>
      <c r="G1034" s="10" t="e">
        <f t="shared" ca="1" si="17"/>
        <v>#NAME?</v>
      </c>
      <c r="H1034" s="11" t="str">
        <f ca="1">IFERROR(__xludf.DUMMYFUNCTION("IFERROR(SUBSTITUTE(SUBSTITUTE(REGEXEXTRACT(A1034, ""[^-]+- [^-]+- [^-]+ - (.+?)\.jpg""), "".jpg"", """"), ""-"", "", ""), """")"),"")</f>
        <v/>
      </c>
      <c r="I1034" s="6"/>
      <c r="J1034" s="7" t="str">
        <f t="shared" ca="1" si="18"/>
        <v>(2026)</v>
      </c>
      <c r="K1034" s="7" t="str">
        <f t="shared" si="19"/>
        <v>34173244</v>
      </c>
      <c r="L1034" s="12" t="s">
        <v>605</v>
      </c>
      <c r="M1034" s="13" t="str">
        <f ca="1">IFERROR(__xludf.DUMMYFUNCTION("TRIM(
  REGEXREPLACE(
    TEXTJOIN("" "",
      TRUE,
      B1034,
      C1034,
      embaralharLinks(E1034,F1034,G1034),
      H1034,
      """",
      J1034,
      N1034,
      ""#RIPNSFW""
    ),
  "",\s*"", "" "")
)"),"{New} Kayley Gunner https://doodstream.com/d/cmsa8n5z9enl/34173244 https://lulustream.com/d/qysnzb75ym9m https://streamtape.com/v/wrrL4M7qQxIjYM/34173244 (2026) #BigTits #Hardcore #Bigass #Porn #Teen #Blowjob #RIPNSFW")</f>
        <v>{New} Kayley Gunner https://doodstream.com/d/cmsa8n5z9enl/34173244 https://lulustream.com/d/qysnzb75ym9m https://streamtape.com/v/wrrL4M7qQxIjYM/34173244 (2026) #BigTits #Hardcore #Bigass #Porn #Teen #Blowjob #RIPNSFW</v>
      </c>
      <c r="N1034" s="14" t="s">
        <v>486</v>
      </c>
      <c r="O1034" s="15" t="s">
        <v>5184</v>
      </c>
      <c r="P1034" s="14"/>
      <c r="Q1034" s="6"/>
      <c r="R1034" s="11"/>
      <c r="S1034" s="6"/>
      <c r="T1034" s="6"/>
      <c r="U1034" s="6"/>
      <c r="V1034" s="6"/>
      <c r="W1034" s="6"/>
      <c r="X1034" s="6"/>
      <c r="Y1034" s="6"/>
      <c r="Z1034" s="6"/>
      <c r="AA1034" s="6"/>
    </row>
    <row r="1035" spans="1:27" ht="12.75">
      <c r="A1035" s="12" t="s">
        <v>5185</v>
      </c>
      <c r="B1035" s="6" t="s">
        <v>14</v>
      </c>
      <c r="C1035" s="7" t="str">
        <f t="shared" si="16"/>
        <v xml:space="preserve">Kayley Gunner </v>
      </c>
      <c r="D1035" s="24" t="s">
        <v>5186</v>
      </c>
      <c r="E1035" s="25" t="s">
        <v>5187</v>
      </c>
      <c r="F1035" s="9" t="str">
        <f ca="1">IFERROR(__xludf.DUMMYFUNCTION("""https://streamtape.com/v/""&amp;
REGEXEXTRACT(O1035,""/thumb/([^/]+)/"")&amp;
""/""&amp;K1035"),"https://streamtape.com/v/Vml7yveaWrFKM16/35561716")</f>
        <v>https://streamtape.com/v/Vml7yveaWrFKM16/35561716</v>
      </c>
      <c r="G1035" s="10" t="e">
        <f t="shared" ca="1" si="17"/>
        <v>#NAME?</v>
      </c>
      <c r="H1035" s="11" t="str">
        <f ca="1">IFERROR(__xludf.DUMMYFUNCTION("IFERROR(SUBSTITUTE(SUBSTITUTE(REGEXEXTRACT(A1035, ""[^-]+- [^-]+- [^-]+ - (.+?)\.jpg""), "".jpg"", """"), ""-"", "", ""), """")"),"")</f>
        <v/>
      </c>
      <c r="I1035" s="6"/>
      <c r="J1035" s="7" t="str">
        <f t="shared" ca="1" si="18"/>
        <v>(2026)</v>
      </c>
      <c r="K1035" s="7" t="str">
        <f t="shared" si="19"/>
        <v>35561716</v>
      </c>
      <c r="L1035" s="12" t="s">
        <v>5188</v>
      </c>
      <c r="M1035" s="13" t="str">
        <f ca="1">IFERROR(__xludf.DUMMYFUNCTION("TRIM(
  REGEXREPLACE(
    TEXTJOIN("" "",
      TRUE,
      B1035,
      C1035,
      embaralharLinks(E1035,F1035,G1035),
      H1035,
      """",
      J1035,
      N1035,
      ""#RIPNSFW""
    ),
  "",\s*"", "" "")
)"),"{New} Kayley Gunner https://doodstream.com/d/wwh3xyc6rlrx/35561716 https://streamtape.com/v/Vml7yveaWrFKM16/35561716 https://lulustream.com/d/kxao1uf4obch (2026) #bigass #bigtits #blonde #interracial #RIPNSFW")</f>
        <v>{New} Kayley Gunner https://doodstream.com/d/wwh3xyc6rlrx/35561716 https://streamtape.com/v/Vml7yveaWrFKM16/35561716 https://lulustream.com/d/kxao1uf4obch (2026) #bigass #bigtits #blonde #interracial #RIPNSFW</v>
      </c>
      <c r="N1035" s="2" t="s">
        <v>5188</v>
      </c>
      <c r="O1035" s="30" t="s">
        <v>5189</v>
      </c>
      <c r="P1035" s="26"/>
      <c r="R1035" s="23"/>
      <c r="T1035" s="6"/>
      <c r="U1035" s="7"/>
    </row>
    <row r="1036" spans="1:27" ht="12.75">
      <c r="A1036" s="16" t="s">
        <v>5190</v>
      </c>
      <c r="B1036" s="11" t="s">
        <v>14</v>
      </c>
      <c r="C1036" s="13" t="str">
        <f t="shared" si="16"/>
        <v xml:space="preserve">Kayley Gunner </v>
      </c>
      <c r="D1036" s="17" t="s">
        <v>5191</v>
      </c>
      <c r="E1036" s="18" t="s">
        <v>5192</v>
      </c>
      <c r="F1036" s="9" t="str">
        <f ca="1">IFERROR(__xludf.DUMMYFUNCTION("""https://streamtape.com/v/""&amp;
REGEXEXTRACT(O1036,""/thumb/([^/]+)/"")&amp;
""/""&amp;K1036"),"https://streamtape.com/v/wrqoQDk7KRfWx7/36112750")</f>
        <v>https://streamtape.com/v/wrqoQDk7KRfWx7/36112750</v>
      </c>
      <c r="G1036" s="10" t="e">
        <f t="shared" ca="1" si="17"/>
        <v>#NAME?</v>
      </c>
      <c r="H1036" s="11" t="str">
        <f ca="1">IFERROR(__xludf.DUMMYFUNCTION("IFERROR(SUBSTITUTE(SUBSTITUTE(REGEXEXTRACT(A1036, ""[^-]+- [^-]+- [^-]+ - (.+?)\.jpg""), "".jpg"", """"), ""-"", "", ""), """")"),"Angel Youngs")</f>
        <v>Angel Youngs</v>
      </c>
      <c r="I1036" s="11"/>
      <c r="J1036" s="13" t="str">
        <f t="shared" ca="1" si="18"/>
        <v>(2026)</v>
      </c>
      <c r="K1036" s="13" t="str">
        <f t="shared" si="19"/>
        <v>36112750</v>
      </c>
      <c r="L1036" s="12" t="s">
        <v>1398</v>
      </c>
      <c r="M1036" s="13" t="str">
        <f ca="1">IFERROR(__xludf.DUMMYFUNCTION("TRIM(
  REGEXREPLACE(
    TEXTJOIN("" "",
      TRUE,
      B1036,
      C1036,
      embaralharLinks(E1036,F1036,G1036),
      H1036,
      """",
      J1036,
      N1036,
      ""#RIPNSFW""
    ),
  "",\s*"", "" "")
)"),"{New} Kayley Gunner https://doodstream.com/d/qqj01px5sn95/36112750 https://lulustream.com/d/k5sbbvghi3sx https://streamtape.com/v/wrqoQDk7KRfWx7/36112750 Angel Youngs (2026) #milf #bigtits #blowjob #amateur #RIPNSFW")</f>
        <v>{New} Kayley Gunner https://doodstream.com/d/qqj01px5sn95/36112750 https://lulustream.com/d/k5sbbvghi3sx https://streamtape.com/v/wrqoQDk7KRfWx7/36112750 Angel Youngs (2026) #milf #bigtits #blowjob #amateur #RIPNSFW</v>
      </c>
      <c r="N1036" s="20" t="s">
        <v>1398</v>
      </c>
      <c r="O1036" s="30" t="s">
        <v>5193</v>
      </c>
      <c r="P1036" s="26"/>
      <c r="Q1036" s="16"/>
      <c r="R1036" s="23"/>
      <c r="S1036" s="16"/>
      <c r="T1036" s="16"/>
      <c r="U1036" s="16"/>
      <c r="V1036" s="16"/>
      <c r="W1036" s="16"/>
      <c r="X1036" s="16"/>
      <c r="Y1036" s="16"/>
      <c r="Z1036" s="16"/>
      <c r="AA1036" s="16"/>
    </row>
    <row r="1037" spans="1:27" ht="12.75">
      <c r="A1037" s="12" t="s">
        <v>5194</v>
      </c>
      <c r="B1037" s="6" t="s">
        <v>14</v>
      </c>
      <c r="C1037" s="7" t="str">
        <f t="shared" si="16"/>
        <v xml:space="preserve">Kayley Gunner </v>
      </c>
      <c r="D1037" s="24" t="s">
        <v>5195</v>
      </c>
      <c r="E1037" s="25" t="s">
        <v>5196</v>
      </c>
      <c r="F1037" s="9" t="str">
        <f ca="1">IFERROR(__xludf.DUMMYFUNCTION("""https://streamtape.com/v/""&amp;
REGEXEXTRACT(O1037,""/thumb/([^/]+)/"")&amp;
""/""&amp;K1037"),"https://streamtape.com/v/Mkjq3lzWXdImjMZ/37877312")</f>
        <v>https://streamtape.com/v/Mkjq3lzWXdImjMZ/37877312</v>
      </c>
      <c r="G1037" s="10" t="e">
        <f t="shared" ca="1" si="17"/>
        <v>#NAME?</v>
      </c>
      <c r="H1037" s="11" t="str">
        <f ca="1">IFERROR(__xludf.DUMMYFUNCTION("IFERROR(SUBSTITUTE(SUBSTITUTE(REGEXEXTRACT(A1037, ""[^-]+- [^-]+- [^-]+ - (.+?)\.jpg""), "".jpg"", """"), ""-"", "", ""), """")"),"")</f>
        <v/>
      </c>
      <c r="I1037" s="6"/>
      <c r="J1037" s="7" t="str">
        <f t="shared" ca="1" si="18"/>
        <v>(2026)</v>
      </c>
      <c r="K1037" s="7" t="str">
        <f t="shared" si="19"/>
        <v>37877312</v>
      </c>
      <c r="L1037" s="12" t="s">
        <v>5197</v>
      </c>
      <c r="M1037" s="13" t="str">
        <f ca="1">IFERROR(__xludf.DUMMYFUNCTION("TRIM(
  REGEXREPLACE(
    TEXTJOIN("" "",
      TRUE,
      B1037,
      C1037,
      embaralharLinks(E1037,F1037,G1037),
      H1037,
      """",
      J1037,
      N1037,
      ""#RIPNSFW""
    ),
  "",\s*"", "" "")
)"),"{New} Kayley Gunner https://lulustream.com/d/02v7d9i7dfn7 https://doodstream.com/d/ie4y20516d6i/37877312 https://streamtape.com/v/Mkjq3lzWXdImjMZ/37877312 (2026) #bigtits #milf #interracial #bigass #RIPNSFW")</f>
        <v>{New} Kayley Gunner https://lulustream.com/d/02v7d9i7dfn7 https://doodstream.com/d/ie4y20516d6i/37877312 https://streamtape.com/v/Mkjq3lzWXdImjMZ/37877312 (2026) #bigtits #milf #interracial #bigass #RIPNSFW</v>
      </c>
      <c r="N1037" s="2" t="s">
        <v>5197</v>
      </c>
      <c r="O1037" s="30" t="s">
        <v>5198</v>
      </c>
      <c r="P1037" s="26"/>
      <c r="R1037" s="23"/>
      <c r="T1037" s="6"/>
      <c r="U1037" s="7"/>
    </row>
    <row r="1038" spans="1:27" ht="12.75">
      <c r="A1038" s="6" t="s">
        <v>5199</v>
      </c>
      <c r="B1038" s="6" t="s">
        <v>14</v>
      </c>
      <c r="C1038" s="7" t="str">
        <f t="shared" si="16"/>
        <v xml:space="preserve">Kayley Gunner </v>
      </c>
      <c r="D1038" s="6" t="s">
        <v>5200</v>
      </c>
      <c r="E1038" s="8" t="s">
        <v>5201</v>
      </c>
      <c r="F1038" s="9" t="str">
        <f ca="1">IFERROR(__xludf.DUMMYFUNCTION("""https://streamtape.com/v/""&amp;
REGEXEXTRACT(O1038,""/thumb/([^/]+)/"")&amp;
""/""&amp;K1038"),"https://streamtape.com/v/287M96wX1viZ0Z1/44734993")</f>
        <v>https://streamtape.com/v/287M96wX1viZ0Z1/44734993</v>
      </c>
      <c r="G1038" s="10" t="e">
        <f t="shared" ca="1" si="17"/>
        <v>#NAME?</v>
      </c>
      <c r="H1038" s="11" t="str">
        <f ca="1">IFERROR(__xludf.DUMMYFUNCTION("IFERROR(SUBSTITUTE(SUBSTITUTE(REGEXEXTRACT(A1038, ""[^-]+- [^-]+- [^-]+ - (.+?)\.jpg""), "".jpg"", """"), ""-"", "", ""), """")"),"")</f>
        <v/>
      </c>
      <c r="I1038" s="6"/>
      <c r="J1038" s="7" t="str">
        <f t="shared" ca="1" si="18"/>
        <v>(2026)</v>
      </c>
      <c r="K1038" s="7" t="str">
        <f t="shared" si="19"/>
        <v>44734993</v>
      </c>
      <c r="L1038" s="12" t="s">
        <v>5202</v>
      </c>
      <c r="M1038" s="13" t="str">
        <f ca="1">IFERROR(__xludf.DUMMYFUNCTION("TRIM(
  REGEXREPLACE(
    TEXTJOIN("" "",
      TRUE,
      B1038,
      C1038,
      embaralharLinks(E1038,F1038,G1038),
      H1038,
      """",
      J1038,
      N1038,
      ""#RIPNSFW""
    ),
  "",\s*"", "" "")
)"),"{New} Kayley Gunner https://lulustream.com/d/5te5big4r1y0 https://doodstream.com/d/whi2am97b942/44734993 https://streamtape.com/v/287M96wX1viZ0Z1/44734993 (2026) #MILF #BigTits #Hardcore #Black #Interracial #Bigass #RIPNSFW")</f>
        <v>{New} Kayley Gunner https://lulustream.com/d/5te5big4r1y0 https://doodstream.com/d/whi2am97b942/44734993 https://streamtape.com/v/287M96wX1viZ0Z1/44734993 (2026) #MILF #BigTits #Hardcore #Black #Interracial #Bigass #RIPNSFW</v>
      </c>
      <c r="N1038" s="14" t="s">
        <v>4342</v>
      </c>
      <c r="O1038" s="15" t="s">
        <v>5203</v>
      </c>
      <c r="P1038" s="14"/>
      <c r="Q1038" s="6"/>
      <c r="R1038" s="11"/>
      <c r="S1038" s="6"/>
      <c r="T1038" s="6"/>
      <c r="U1038" s="6"/>
      <c r="V1038" s="6"/>
      <c r="W1038" s="6"/>
      <c r="X1038" s="6"/>
      <c r="Y1038" s="6"/>
      <c r="Z1038" s="6"/>
      <c r="AA1038" s="6"/>
    </row>
    <row r="1039" spans="1:27" ht="12.75">
      <c r="A1039" s="6" t="s">
        <v>5204</v>
      </c>
      <c r="B1039" s="6" t="s">
        <v>14</v>
      </c>
      <c r="C1039" s="7" t="str">
        <f t="shared" si="16"/>
        <v xml:space="preserve">Kayley Gunner </v>
      </c>
      <c r="D1039" s="24" t="s">
        <v>5205</v>
      </c>
      <c r="E1039" s="25" t="s">
        <v>5206</v>
      </c>
      <c r="F1039" s="9" t="str">
        <f ca="1">IFERROR(__xludf.DUMMYFUNCTION("""https://streamtape.com/v/""&amp;
REGEXEXTRACT(O1039,""/thumb/([^/]+)/"")&amp;
""/""&amp;K1039"),"https://streamtape.com/v/xmxMeGlJakukBQl/45117258")</f>
        <v>https://streamtape.com/v/xmxMeGlJakukBQl/45117258</v>
      </c>
      <c r="G1039" s="10" t="e">
        <f t="shared" ca="1" si="17"/>
        <v>#NAME?</v>
      </c>
      <c r="H1039" s="11" t="str">
        <f ca="1">IFERROR(__xludf.DUMMYFUNCTION("IFERROR(SUBSTITUTE(SUBSTITUTE(REGEXEXTRACT(A1039, ""[^-]+- [^-]+- [^-]+ - (.+?)\.jpg""), "".jpg"", """"), ""-"", "", ""), """")"),"Savannah Bond")</f>
        <v>Savannah Bond</v>
      </c>
      <c r="I1039" s="6"/>
      <c r="J1039" s="7" t="str">
        <f t="shared" ca="1" si="18"/>
        <v>(2026)</v>
      </c>
      <c r="K1039" s="7" t="str">
        <f t="shared" si="19"/>
        <v>45117258</v>
      </c>
      <c r="L1039" s="12" t="s">
        <v>5207</v>
      </c>
      <c r="M1039" s="13" t="str">
        <f ca="1">IFERROR(__xludf.DUMMYFUNCTION("TRIM(
  REGEXREPLACE(
    TEXTJOIN("" "",
      TRUE,
      B1039,
      C1039,
      embaralharLinks(E1039,F1039,G1039),
      H1039,
      """",
      J1039,
      N1039,
      ""#RIPNSFW""
    ),
  "",\s*"", "" "")
)"),"{New} Kayley Gunner https://lulustream.com/d/w5otr12peo55 https://streamtape.com/v/xmxMeGlJakukBQl/45117258 https://doodstream.com/d/kroiaxqxxv7h/45117258 Savannah Bond (2026) #milf #threesome #blonde #bigtits #RIPNSFW")</f>
        <v>{New} Kayley Gunner https://lulustream.com/d/w5otr12peo55 https://streamtape.com/v/xmxMeGlJakukBQl/45117258 https://doodstream.com/d/kroiaxqxxv7h/45117258 Savannah Bond (2026) #milf #threesome #blonde #bigtits #RIPNSFW</v>
      </c>
      <c r="N1039" s="31" t="s">
        <v>5207</v>
      </c>
      <c r="O1039" s="15" t="s">
        <v>5208</v>
      </c>
      <c r="P1039" s="26"/>
      <c r="Q1039" s="6"/>
      <c r="R1039" s="11"/>
      <c r="S1039" s="6"/>
      <c r="T1039" s="6"/>
      <c r="U1039" s="6"/>
      <c r="V1039" s="6"/>
      <c r="W1039" s="6"/>
      <c r="X1039" s="6"/>
      <c r="Y1039" s="6"/>
      <c r="Z1039" s="6"/>
      <c r="AA1039" s="6"/>
    </row>
    <row r="1040" spans="1:27" ht="12.75">
      <c r="A1040" s="12" t="s">
        <v>5209</v>
      </c>
      <c r="B1040" s="6" t="s">
        <v>14</v>
      </c>
      <c r="C1040" s="7" t="str">
        <f t="shared" si="16"/>
        <v xml:space="preserve">Kayley Gunner </v>
      </c>
      <c r="D1040" s="24" t="s">
        <v>5210</v>
      </c>
      <c r="E1040" s="25" t="s">
        <v>5211</v>
      </c>
      <c r="F1040" s="9" t="str">
        <f ca="1">IFERROR(__xludf.DUMMYFUNCTION("""https://streamtape.com/v/""&amp;
REGEXEXTRACT(O1040,""/thumb/([^/]+)/"")&amp;
""/""&amp;K1040"),"https://streamtape.com/v/k0YKK4gOWpiOVVy/54758611")</f>
        <v>https://streamtape.com/v/k0YKK4gOWpiOVVy/54758611</v>
      </c>
      <c r="G1040" s="10" t="e">
        <f t="shared" ca="1" si="17"/>
        <v>#NAME?</v>
      </c>
      <c r="H1040" s="11" t="str">
        <f ca="1">IFERROR(__xludf.DUMMYFUNCTION("IFERROR(SUBSTITUTE(SUBSTITUTE(REGEXEXTRACT(A1040, ""[^-]+- [^-]+- [^-]+ - (.+?)\.jpg""), "".jpg"", """"), ""-"", "", ""), """")"),"")</f>
        <v/>
      </c>
      <c r="I1040" s="6"/>
      <c r="J1040" s="7" t="str">
        <f t="shared" ca="1" si="18"/>
        <v>(2026)</v>
      </c>
      <c r="K1040" s="7" t="str">
        <f t="shared" si="19"/>
        <v>54758611</v>
      </c>
      <c r="L1040" s="12" t="s">
        <v>4775</v>
      </c>
      <c r="M1040" s="13" t="str">
        <f ca="1">IFERROR(__xludf.DUMMYFUNCTION("TRIM(
  REGEXREPLACE(
    TEXTJOIN("" "",
      TRUE,
      B1040,
      C1040,
      embaralharLinks(E1040,F1040,G1040),
      H1040,
      """",
      J1040,
      N1040,
      ""#RIPNSFW""
    ),
  "",\s*"", "" "")
)"),"{New} Kayley Gunner https://lulustream.com/d/xxfwlkpy5lvl https://doodstream.com/d/6naftc8hc9om/54758611 https://streamtape.com/v/k0YKK4gOWpiOVVy/54758611 (2026) #milf #threesome #bigass #bigtits #RIPNSFW")</f>
        <v>{New} Kayley Gunner https://lulustream.com/d/xxfwlkpy5lvl https://doodstream.com/d/6naftc8hc9om/54758611 https://streamtape.com/v/k0YKK4gOWpiOVVy/54758611 (2026) #milf #threesome #bigass #bigtits #RIPNSFW</v>
      </c>
      <c r="N1040" s="2" t="s">
        <v>4775</v>
      </c>
      <c r="O1040" s="30" t="s">
        <v>5212</v>
      </c>
      <c r="P1040" s="26"/>
      <c r="R1040" s="23"/>
      <c r="T1040" s="6"/>
      <c r="U1040" s="7"/>
    </row>
    <row r="1041" spans="1:27" ht="12.75">
      <c r="A1041" s="6" t="s">
        <v>5213</v>
      </c>
      <c r="B1041" s="6" t="s">
        <v>14</v>
      </c>
      <c r="C1041" s="7" t="str">
        <f t="shared" si="16"/>
        <v xml:space="preserve">Kayley Gunner </v>
      </c>
      <c r="D1041" s="6" t="s">
        <v>5214</v>
      </c>
      <c r="E1041" s="8" t="s">
        <v>5215</v>
      </c>
      <c r="F1041" s="9" t="str">
        <f ca="1">IFERROR(__xludf.DUMMYFUNCTION("""https://streamtape.com/v/""&amp;
REGEXEXTRACT(O1041,""/thumb/([^/]+)/"")&amp;
""/""&amp;K1041"),"https://streamtape.com/v/bRKm0wVwdgFdeb/69343220")</f>
        <v>https://streamtape.com/v/bRKm0wVwdgFdeb/69343220</v>
      </c>
      <c r="G1041" s="10" t="e">
        <f t="shared" ca="1" si="17"/>
        <v>#NAME?</v>
      </c>
      <c r="H1041" s="11" t="str">
        <f ca="1">IFERROR(__xludf.DUMMYFUNCTION("IFERROR(SUBSTITUTE(SUBSTITUTE(REGEXEXTRACT(A1041, ""[^-]+- [^-]+- [^-]+ - (.+?)\.jpg""), "".jpg"", """"), ""-"", "", ""), """")"),"")</f>
        <v/>
      </c>
      <c r="I1041" s="6"/>
      <c r="J1041" s="7" t="str">
        <f t="shared" ca="1" si="18"/>
        <v>(2026)</v>
      </c>
      <c r="K1041" s="7" t="str">
        <f t="shared" si="19"/>
        <v>69343220</v>
      </c>
      <c r="L1041" s="12" t="s">
        <v>1252</v>
      </c>
      <c r="M1041" s="13" t="str">
        <f ca="1">IFERROR(__xludf.DUMMYFUNCTION("TRIM(
  REGEXREPLACE(
    TEXTJOIN("" "",
      TRUE,
      B1041,
      C1041,
      embaralharLinks(E1041,F1041,G1041),
      H1041,
      """",
      J1041,
      N1041,
      ""#RIPNSFW""
    ),
  "",\s*"", "" "")
)"),"#ERROR!")</f>
        <v>#ERROR!</v>
      </c>
      <c r="N1041" s="14" t="s">
        <v>999</v>
      </c>
      <c r="O1041" s="15" t="s">
        <v>5216</v>
      </c>
      <c r="P1041" s="14"/>
      <c r="Q1041" s="6"/>
      <c r="R1041" s="11"/>
      <c r="S1041" s="6"/>
      <c r="T1041" s="6"/>
      <c r="U1041" s="6"/>
      <c r="V1041" s="6"/>
      <c r="W1041" s="6"/>
      <c r="X1041" s="6"/>
      <c r="Y1041" s="6"/>
      <c r="Z1041" s="6"/>
      <c r="AA1041" s="6"/>
    </row>
    <row r="1042" spans="1:27" ht="12.75">
      <c r="A1042" s="12" t="s">
        <v>5217</v>
      </c>
      <c r="B1042" s="6" t="s">
        <v>14</v>
      </c>
      <c r="C1042" s="7" t="str">
        <f t="shared" si="16"/>
        <v xml:space="preserve">Kayley Gunner </v>
      </c>
      <c r="D1042" s="24" t="s">
        <v>5218</v>
      </c>
      <c r="E1042" s="25" t="s">
        <v>5219</v>
      </c>
      <c r="F1042" s="9" t="str">
        <f ca="1">IFERROR(__xludf.DUMMYFUNCTION("""https://streamtape.com/v/""&amp;
REGEXEXTRACT(O1042,""/thumb/([^/]+)/"")&amp;
""/""&amp;K1042"),"https://streamtape.com/v/BvaLjr8O3juVW0/71875781")</f>
        <v>https://streamtape.com/v/BvaLjr8O3juVW0/71875781</v>
      </c>
      <c r="G1042" s="10" t="e">
        <f t="shared" ca="1" si="17"/>
        <v>#NAME?</v>
      </c>
      <c r="H1042" s="11" t="str">
        <f ca="1">IFERROR(__xludf.DUMMYFUNCTION("IFERROR(SUBSTITUTE(SUBSTITUTE(REGEXEXTRACT(A1042, ""[^-]+- [^-]+- [^-]+ - (.+?)\.jpg""), "".jpg"", """"), ""-"", "", ""), """")"),"Hailey Rose")</f>
        <v>Hailey Rose</v>
      </c>
      <c r="I1042" s="6"/>
      <c r="J1042" s="7" t="str">
        <f t="shared" ca="1" si="18"/>
        <v>(2026)</v>
      </c>
      <c r="K1042" s="7" t="str">
        <f t="shared" si="19"/>
        <v>71875781</v>
      </c>
      <c r="L1042" s="12" t="s">
        <v>5220</v>
      </c>
      <c r="M1042" s="13" t="str">
        <f ca="1">IFERROR(__xludf.DUMMYFUNCTION("TRIM(
  REGEXREPLACE(
    TEXTJOIN("" "",
      TRUE,
      B1042,
      C1042,
      embaralharLinks(E1042,F1042,G1042),
      H1042,
      """",
      J1042,
      N1042,
      ""#RIPNSFW""
    ),
  "",\s*"", "" "")
)"),"{New} Kayley Gunner https://doodstream.com/d/yvv8vnhho7zt/71875781 https://lulustream.com/d/jul1aw0v9a9r https://streamtape.com/v/BvaLjr8O3juVW0/71875781 Hailey Rose (2026) #threesome #bigtits #bigass #blowjob #RIPNSFW")</f>
        <v>{New} Kayley Gunner https://doodstream.com/d/yvv8vnhho7zt/71875781 https://lulustream.com/d/jul1aw0v9a9r https://streamtape.com/v/BvaLjr8O3juVW0/71875781 Hailey Rose (2026) #threesome #bigtits #bigass #blowjob #RIPNSFW</v>
      </c>
      <c r="N1042" s="2" t="s">
        <v>5220</v>
      </c>
      <c r="O1042" s="30" t="s">
        <v>5221</v>
      </c>
      <c r="P1042" s="26"/>
      <c r="R1042" s="23"/>
      <c r="T1042" s="11"/>
      <c r="U1042" s="13"/>
    </row>
    <row r="1043" spans="1:27" ht="12.75">
      <c r="A1043" s="16" t="s">
        <v>5222</v>
      </c>
      <c r="B1043" s="11" t="s">
        <v>14</v>
      </c>
      <c r="C1043" s="13" t="str">
        <f t="shared" si="16"/>
        <v xml:space="preserve">Kayley Gunner </v>
      </c>
      <c r="D1043" s="17" t="s">
        <v>5223</v>
      </c>
      <c r="E1043" s="18" t="s">
        <v>5224</v>
      </c>
      <c r="F1043" s="9" t="str">
        <f ca="1">IFERROR(__xludf.DUMMYFUNCTION("""https://streamtape.com/v/""&amp;
REGEXEXTRACT(O1043,""/thumb/([^/]+)/"")&amp;
""/""&amp;K1043"),"https://streamtape.com/v/W6xoJKe8QOFbaPv/85945135")</f>
        <v>https://streamtape.com/v/W6xoJKe8QOFbaPv/85945135</v>
      </c>
      <c r="G1043" s="10" t="e">
        <f t="shared" ca="1" si="17"/>
        <v>#NAME?</v>
      </c>
      <c r="H1043" s="11" t="str">
        <f ca="1">IFERROR(__xludf.DUMMYFUNCTION("IFERROR(SUBSTITUTE(SUBSTITUTE(REGEXEXTRACT(A1043, ""[^-]+- [^-]+- [^-]+ - (.+?)\.jpg""), "".jpg"", """"), ""-"", "", ""), """")"),"")</f>
        <v/>
      </c>
      <c r="I1043" s="11"/>
      <c r="J1043" s="7" t="str">
        <f t="shared" ca="1" si="18"/>
        <v>(2026)</v>
      </c>
      <c r="K1043" s="13" t="str">
        <f t="shared" si="19"/>
        <v>85945135</v>
      </c>
      <c r="L1043" s="12" t="s">
        <v>4270</v>
      </c>
      <c r="M1043" s="13" t="str">
        <f ca="1">IFERROR(__xludf.DUMMYFUNCTION("TRIM(
  REGEXREPLACE(
    TEXTJOIN("" "",
      TRUE,
      B1043,
      C1043,
      embaralharLinks(E1043,F1043,G1043),
      H1043,
      """",
      J1043,
      N1043,
      ""#RIPNSFW""
    ),
  "",\s*"", "" "")
)"),"{New} Kayley Gunner https://lulustream.com/d/ktcu2hlwgab2 https://doodstream.com/d/avtlikmgxxfc/85945135 https://streamtape.com/v/W6xoJKe8QOFbaPv/85945135 (2026) #milf #bigass #bigtits #blonde #RIPNSFW")</f>
        <v>{New} Kayley Gunner https://lulustream.com/d/ktcu2hlwgab2 https://doodstream.com/d/avtlikmgxxfc/85945135 https://streamtape.com/v/W6xoJKe8QOFbaPv/85945135 (2026) #milf #bigass #bigtits #blonde #RIPNSFW</v>
      </c>
      <c r="N1043" s="2" t="s">
        <v>4270</v>
      </c>
      <c r="O1043" s="30" t="s">
        <v>5225</v>
      </c>
      <c r="P1043" s="26"/>
      <c r="R1043" s="23"/>
      <c r="T1043" s="6"/>
      <c r="U1043" s="7"/>
    </row>
    <row r="1044" spans="1:27" ht="12.75">
      <c r="A1044" s="12" t="s">
        <v>5226</v>
      </c>
      <c r="B1044" s="6" t="s">
        <v>14</v>
      </c>
      <c r="C1044" s="7" t="str">
        <f t="shared" si="16"/>
        <v xml:space="preserve">Kayley Gunner </v>
      </c>
      <c r="D1044" s="24" t="s">
        <v>5227</v>
      </c>
      <c r="E1044" s="25" t="s">
        <v>5228</v>
      </c>
      <c r="F1044" s="9" t="str">
        <f ca="1">IFERROR(__xludf.DUMMYFUNCTION("""https://streamtape.com/v/""&amp;
REGEXEXTRACT(O1044,""/thumb/([^/]+)/"")&amp;
""/""&amp;K1044"),"https://streamtape.com/v/pl9vvo317LtBV7/86509715")</f>
        <v>https://streamtape.com/v/pl9vvo317LtBV7/86509715</v>
      </c>
      <c r="G1044" s="10" t="e">
        <f t="shared" ca="1" si="17"/>
        <v>#NAME?</v>
      </c>
      <c r="H1044" s="11" t="str">
        <f ca="1">IFERROR(__xludf.DUMMYFUNCTION("IFERROR(SUBSTITUTE(SUBSTITUTE(REGEXEXTRACT(A1044, ""[^-]+- [^-]+- [^-]+ - (.+?)\.jpg""), "".jpg"", """"), ""-"", "", ""), """")"),"")</f>
        <v/>
      </c>
      <c r="I1044" s="6"/>
      <c r="J1044" s="7" t="str">
        <f t="shared" ca="1" si="18"/>
        <v>(2026)</v>
      </c>
      <c r="K1044" s="7" t="str">
        <f t="shared" si="19"/>
        <v>86509715</v>
      </c>
      <c r="L1044" s="12" t="s">
        <v>5229</v>
      </c>
      <c r="M1044" s="13" t="str">
        <f ca="1">IFERROR(__xludf.DUMMYFUNCTION("TRIM(
  REGEXREPLACE(
    TEXTJOIN("" "",
      TRUE,
      B1044,
      C1044,
      embaralharLinks(E1044,F1044,G1044),
      H1044,
      """",
      J1044,
      N1044,
      ""#RIPNSFW""
    ),
  "",\s*"", "" "")
)"),"{New} Kayley Gunner https://lulustream.com/d/coe51fvothk6 https://doodstream.com/d/0slg4fywbhbh/86509715 https://streamtape.com/v/pl9vvo317LtBV7/86509715 (2026) #blonde #milf #bigtits #blowjob #RIPNSFW")</f>
        <v>{New} Kayley Gunner https://lulustream.com/d/coe51fvothk6 https://doodstream.com/d/0slg4fywbhbh/86509715 https://streamtape.com/v/pl9vvo317LtBV7/86509715 (2026) #blonde #milf #bigtits #blowjob #RIPNSFW</v>
      </c>
      <c r="N1044" s="2" t="s">
        <v>5229</v>
      </c>
      <c r="O1044" s="30" t="s">
        <v>5230</v>
      </c>
      <c r="P1044" s="26"/>
      <c r="R1044" s="23"/>
      <c r="T1044" s="6"/>
      <c r="U1044" s="7"/>
    </row>
    <row r="1045" spans="1:27" ht="12.75">
      <c r="A1045" s="12" t="s">
        <v>5231</v>
      </c>
      <c r="B1045" s="6" t="s">
        <v>14</v>
      </c>
      <c r="C1045" s="7" t="str">
        <f t="shared" si="16"/>
        <v xml:space="preserve">Kayley Gunner </v>
      </c>
      <c r="D1045" s="24" t="s">
        <v>5232</v>
      </c>
      <c r="E1045" s="25" t="s">
        <v>5233</v>
      </c>
      <c r="F1045" s="9" t="str">
        <f ca="1">IFERROR(__xludf.DUMMYFUNCTION("""https://streamtape.com/v/""&amp;
REGEXEXTRACT(O1045,""/thumb/([^/]+)/"")&amp;
""/""&amp;K1045"),"https://streamtape.com/v/QbAXYDqlVls9pB/97434221")</f>
        <v>https://streamtape.com/v/QbAXYDqlVls9pB/97434221</v>
      </c>
      <c r="G1045" s="10" t="e">
        <f t="shared" ca="1" si="17"/>
        <v>#NAME?</v>
      </c>
      <c r="H1045" s="11" t="str">
        <f ca="1">IFERROR(__xludf.DUMMYFUNCTION("IFERROR(SUBSTITUTE(SUBSTITUTE(REGEXEXTRACT(A1045, ""[^-]+- [^-]+- [^-]+ - (.+?)\.jpg""), "".jpg"", """"), ""-"", "", ""), """")"),"")</f>
        <v/>
      </c>
      <c r="I1045" s="6"/>
      <c r="J1045" s="7" t="str">
        <f t="shared" ca="1" si="18"/>
        <v>(2026)</v>
      </c>
      <c r="K1045" s="7" t="str">
        <f t="shared" si="19"/>
        <v>97434221</v>
      </c>
      <c r="L1045" s="12" t="s">
        <v>5234</v>
      </c>
      <c r="M1045" s="13" t="str">
        <f ca="1">IFERROR(__xludf.DUMMYFUNCTION("TRIM(
  REGEXREPLACE(
    TEXTJOIN("" "",
      TRUE,
      B1045,
      C1045,
      embaralharLinks(E1045,F1045,G1045),
      H1045,
      """",
      J1045,
      N1045,
      ""#RIPNSFW""
    ),
  "",\s*"", "" "")
)"),"{New} Kayley Gunner https://lulustream.com/d/t0cqkmdqekdc https://streamtape.com/v/QbAXYDqlVls9pB/97434221 https://doodstream.com/d/a6mgllygbbl6/97434221 (2026) #creampie #milf #bigass #bigtits #RIPNSFW")</f>
        <v>{New} Kayley Gunner https://lulustream.com/d/t0cqkmdqekdc https://streamtape.com/v/QbAXYDqlVls9pB/97434221 https://doodstream.com/d/a6mgllygbbl6/97434221 (2026) #creampie #milf #bigass #bigtits #RIPNSFW</v>
      </c>
      <c r="N1045" s="2" t="s">
        <v>5234</v>
      </c>
      <c r="O1045" s="30" t="s">
        <v>5235</v>
      </c>
      <c r="P1045" s="26"/>
      <c r="R1045" s="23"/>
      <c r="T1045" s="6"/>
      <c r="U1045" s="7"/>
    </row>
    <row r="1046" spans="1:27" ht="12.75">
      <c r="A1046" s="6" t="s">
        <v>5236</v>
      </c>
      <c r="B1046" s="6" t="s">
        <v>14</v>
      </c>
      <c r="C1046" s="7" t="str">
        <f t="shared" si="16"/>
        <v xml:space="preserve">Kayley Gunner </v>
      </c>
      <c r="D1046" s="29" t="s">
        <v>5237</v>
      </c>
      <c r="E1046" s="8" t="s">
        <v>5238</v>
      </c>
      <c r="F1046" s="9" t="str">
        <f ca="1">IFERROR(__xludf.DUMMYFUNCTION("""https://streamtape.com/v/""&amp;
REGEXEXTRACT(O1046,""/thumb/([^/]+)/"")&amp;
""/""&amp;K1046"),"https://streamtape.com/v/vl7jBQlAlei4kBO/97772911")</f>
        <v>https://streamtape.com/v/vl7jBQlAlei4kBO/97772911</v>
      </c>
      <c r="G1046" s="10" t="e">
        <f t="shared" ca="1" si="17"/>
        <v>#NAME?</v>
      </c>
      <c r="H1046" s="11" t="str">
        <f ca="1">IFERROR(__xludf.DUMMYFUNCTION("IFERROR(SUBSTITUTE(SUBSTITUTE(REGEXEXTRACT(A1046, ""[^-]+- [^-]+- [^-]+ - (.+?)\.jpg""), "".jpg"", """"), ""-"", "", ""), """")"),"")</f>
        <v/>
      </c>
      <c r="I1046" s="6"/>
      <c r="J1046" s="7" t="str">
        <f t="shared" ca="1" si="18"/>
        <v>(2026)</v>
      </c>
      <c r="K1046" s="7" t="str">
        <f t="shared" si="19"/>
        <v>97772911</v>
      </c>
      <c r="L1046" s="12" t="s">
        <v>5239</v>
      </c>
      <c r="M1046" s="13" t="str">
        <f ca="1">IFERROR(__xludf.DUMMYFUNCTION("TRIM(
  REGEXREPLACE(
    TEXTJOIN("" "",
      TRUE,
      B1046,
      C1046,
      embaralharLinks(E1046,F1046,G1046),
      H1046,
      """",
      J1046,
      N1046,
      ""#RIPNSFW""
    ),
  "",\s*"", "" "")
)"),"{New} Kayley Gunner https://streamtape.com/v/vl7jBQlAlei4kBO/97772911 https://doodstream.com/d/7r5b6qdh45o5/97772911 https://lulustream.com/d/0kz2q1j0mewm (2026) #MILF #BigTits #Hardcore #Black #Interracial #RIPNSFW")</f>
        <v>{New} Kayley Gunner https://streamtape.com/v/vl7jBQlAlei4kBO/97772911 https://doodstream.com/d/7r5b6qdh45o5/97772911 https://lulustream.com/d/0kz2q1j0mewm (2026) #MILF #BigTits #Hardcore #Black #Interracial #RIPNSFW</v>
      </c>
      <c r="N1046" s="14" t="s">
        <v>770</v>
      </c>
      <c r="O1046" s="32" t="s">
        <v>5240</v>
      </c>
      <c r="P1046" s="14"/>
      <c r="Q1046" s="6"/>
      <c r="R1046" s="11"/>
      <c r="S1046" s="6"/>
      <c r="T1046" s="6"/>
      <c r="U1046" s="6"/>
      <c r="V1046" s="6"/>
      <c r="W1046" s="6"/>
      <c r="X1046" s="6"/>
      <c r="Y1046" s="6"/>
      <c r="Z1046" s="6"/>
      <c r="AA1046" s="6"/>
    </row>
    <row r="1047" spans="1:27" ht="12.75">
      <c r="A1047" s="6" t="s">
        <v>5241</v>
      </c>
      <c r="B1047" s="6" t="s">
        <v>14</v>
      </c>
      <c r="C1047" s="7" t="str">
        <f t="shared" si="16"/>
        <v xml:space="preserve">Kelsi Monroe </v>
      </c>
      <c r="D1047" s="29" t="s">
        <v>5242</v>
      </c>
      <c r="E1047" s="8" t="s">
        <v>5243</v>
      </c>
      <c r="F1047" s="9" t="str">
        <f ca="1">IFERROR(__xludf.DUMMYFUNCTION("""https://streamtape.com/v/""&amp;
REGEXEXTRACT(O1047,""/thumb/([^/]+)/"")&amp;
""/""&amp;K1047"),"https://streamtape.com/v/Dqaw61kr3kcDvb/33753675")</f>
        <v>https://streamtape.com/v/Dqaw61kr3kcDvb/33753675</v>
      </c>
      <c r="G1047" s="10" t="e">
        <f t="shared" ca="1" si="17"/>
        <v>#NAME?</v>
      </c>
      <c r="H1047" s="11" t="str">
        <f ca="1">IFERROR(__xludf.DUMMYFUNCTION("IFERROR(SUBSTITUTE(SUBSTITUTE(REGEXEXTRACT(A1047, ""[^-]+- [^-]+- [^-]+ - (.+?)\.jpg""), "".jpg"", """"), ""-"", "", ""), """")"),"")</f>
        <v/>
      </c>
      <c r="I1047" s="6"/>
      <c r="J1047" s="7" t="str">
        <f t="shared" ca="1" si="18"/>
        <v>(2026)</v>
      </c>
      <c r="K1047" s="7" t="str">
        <f t="shared" si="19"/>
        <v>33753675</v>
      </c>
      <c r="L1047" s="12" t="s">
        <v>5244</v>
      </c>
      <c r="M1047" s="13" t="str">
        <f ca="1">IFERROR(__xludf.DUMMYFUNCTION("TRIM(
  REGEXREPLACE(
    TEXTJOIN("" "",
      TRUE,
      B1047,
      C1047,
      embaralharLinks(E1047,F1047,G1047),
      H1047,
      """",
      J1047,
      N1047,
      ""#RIPNSFW""
    ),
  "",\s*"", "" "")
)"),"{New} Kelsi Monroe https://lulustream.com/d/ytx0keyiz4tc https://streamtape.com/v/Dqaw61kr3kcDvb/33753675 https://doodstream.com/d/4lbj22p1icqo/33753675 (2026) #MILF #Hardcore #Bigass #Artporn #Stepmom #Blowjob #Amateur #Mature #Hotwife #Deepthroat #Facia"&amp;"l #Massage #RIPNSFW")</f>
        <v>{New} Kelsi Monroe https://lulustream.com/d/ytx0keyiz4tc https://streamtape.com/v/Dqaw61kr3kcDvb/33753675 https://doodstream.com/d/4lbj22p1icqo/33753675 (2026) #MILF #Hardcore #Bigass #Artporn #Stepmom #Blowjob #Amateur #Mature #Hotwife #Deepthroat #Facial #Massage #RIPNSFW</v>
      </c>
      <c r="N1047" s="14" t="s">
        <v>5245</v>
      </c>
      <c r="O1047" s="32" t="s">
        <v>5246</v>
      </c>
      <c r="P1047" s="14"/>
      <c r="Q1047" s="6"/>
      <c r="R1047" s="11"/>
      <c r="S1047" s="6"/>
      <c r="T1047" s="6"/>
      <c r="U1047" s="6"/>
      <c r="V1047" s="6"/>
      <c r="W1047" s="6"/>
      <c r="X1047" s="6"/>
      <c r="Y1047" s="6"/>
      <c r="Z1047" s="6"/>
      <c r="AA1047" s="6"/>
    </row>
    <row r="1048" spans="1:27" ht="12.75">
      <c r="A1048" s="6" t="s">
        <v>5247</v>
      </c>
      <c r="B1048" s="6" t="s">
        <v>14</v>
      </c>
      <c r="C1048" s="7" t="str">
        <f t="shared" si="16"/>
        <v xml:space="preserve">Kelsi Monroe </v>
      </c>
      <c r="D1048" s="6" t="s">
        <v>5248</v>
      </c>
      <c r="E1048" s="8" t="s">
        <v>5249</v>
      </c>
      <c r="F1048" s="9" t="str">
        <f ca="1">IFERROR(__xludf.DUMMYFUNCTION("""https://streamtape.com/v/""&amp;
REGEXEXTRACT(O1048,""/thumb/([^/]+)/"")&amp;
""/""&amp;K1048"),"https://streamtape.com/v/YgGe3OOlYofvxAy/51056603")</f>
        <v>https://streamtape.com/v/YgGe3OOlYofvxAy/51056603</v>
      </c>
      <c r="G1048" s="10" t="e">
        <f t="shared" ca="1" si="17"/>
        <v>#NAME?</v>
      </c>
      <c r="H1048" s="11" t="str">
        <f ca="1">IFERROR(__xludf.DUMMYFUNCTION("IFERROR(SUBSTITUTE(SUBSTITUTE(REGEXEXTRACT(A1048, ""[^-]+- [^-]+- [^-]+ - (.+?)\.jpg""), "".jpg"", """"), ""-"", "", ""), """")"),"")</f>
        <v/>
      </c>
      <c r="I1048" s="6"/>
      <c r="J1048" s="7" t="str">
        <f t="shared" ca="1" si="18"/>
        <v>(2026)</v>
      </c>
      <c r="K1048" s="7" t="str">
        <f t="shared" si="19"/>
        <v>51056603</v>
      </c>
      <c r="L1048" s="12" t="s">
        <v>5250</v>
      </c>
      <c r="M1048" s="13" t="str">
        <f ca="1">IFERROR(__xludf.DUMMYFUNCTION("TRIM(
  REGEXREPLACE(
    TEXTJOIN("" "",
      TRUE,
      B1048,
      C1048,
      embaralharLinks(E1048,F1048,G1048),
      H1048,
      """",
      J1048,
      N1048,
      ""#RIPNSFW""
    ),
  "",\s*"", "" "")
)"),"{New} Kelsi Monroe https://streamtape.com/v/YgGe3OOlYofvxAy/51056603 https://doodstream.com/d/j5yml4itbczj/51056603 https://lulustream.com/d/7h5syphua1y9 (2026) #MILF #Hardcore #Bigass #Blowjob #RIPNSFW")</f>
        <v>{New} Kelsi Monroe https://streamtape.com/v/YgGe3OOlYofvxAy/51056603 https://doodstream.com/d/j5yml4itbczj/51056603 https://lulustream.com/d/7h5syphua1y9 (2026) #MILF #Hardcore #Bigass #Blowjob #RIPNSFW</v>
      </c>
      <c r="N1048" s="14" t="s">
        <v>5251</v>
      </c>
      <c r="O1048" s="15" t="s">
        <v>5252</v>
      </c>
      <c r="P1048" s="14"/>
      <c r="Q1048" s="6"/>
      <c r="R1048" s="11"/>
      <c r="S1048" s="6"/>
      <c r="T1048" s="6"/>
      <c r="U1048" s="6"/>
      <c r="V1048" s="6"/>
      <c r="W1048" s="6"/>
      <c r="X1048" s="6"/>
      <c r="Y1048" s="6"/>
      <c r="Z1048" s="6"/>
      <c r="AA1048" s="6"/>
    </row>
    <row r="1049" spans="1:27" ht="12.75">
      <c r="A1049" s="6" t="s">
        <v>5253</v>
      </c>
      <c r="B1049" s="6" t="s">
        <v>14</v>
      </c>
      <c r="C1049" s="7" t="str">
        <f t="shared" si="16"/>
        <v xml:space="preserve">Kelsi Monroe </v>
      </c>
      <c r="D1049" s="6" t="s">
        <v>5254</v>
      </c>
      <c r="E1049" s="8" t="s">
        <v>5255</v>
      </c>
      <c r="F1049" s="9" t="str">
        <f ca="1">IFERROR(__xludf.DUMMYFUNCTION("""https://streamtape.com/v/""&amp;
REGEXEXTRACT(O1049,""/thumb/([^/]+)/"")&amp;
""/""&amp;K1049"),"https://streamtape.com/v/xevB1Q8lW1ikdwj/62295398")</f>
        <v>https://streamtape.com/v/xevB1Q8lW1ikdwj/62295398</v>
      </c>
      <c r="G1049" s="10" t="e">
        <f t="shared" ca="1" si="17"/>
        <v>#NAME?</v>
      </c>
      <c r="H1049" s="11" t="str">
        <f ca="1">IFERROR(__xludf.DUMMYFUNCTION("IFERROR(SUBSTITUTE(SUBSTITUTE(REGEXEXTRACT(A1049, ""[^-]+- [^-]+- [^-]+ - (.+?)\.jpg""), "".jpg"", """"), ""-"", "", ""), """")"),"")</f>
        <v/>
      </c>
      <c r="I1049" s="6"/>
      <c r="J1049" s="7" t="str">
        <f t="shared" ca="1" si="18"/>
        <v>(2026)</v>
      </c>
      <c r="K1049" s="7" t="str">
        <f t="shared" si="19"/>
        <v>62295398</v>
      </c>
      <c r="L1049" s="12" t="s">
        <v>5256</v>
      </c>
      <c r="M1049" s="13" t="str">
        <f ca="1">IFERROR(__xludf.DUMMYFUNCTION("TRIM(
  REGEXREPLACE(
    TEXTJOIN("" "",
      TRUE,
      B1049,
      C1049,
      embaralharLinks(E1049,F1049,G1049),
      H1049,
      """",
      J1049,
      N1049,
      ""#RIPNSFW""
    ),
  "",\s*"", "" "")
)"),"{New} Kelsi Monroe https://doodstream.com/d/nj2a8uiyhyse/62295398 https://lulustream.com/d/mo5mpclkumlb https://streamtape.com/v/xevB1Q8lW1ikdwj/62295398 (2026) #MILF #Hardcore #Bigass #Porn #RIPNSFW")</f>
        <v>{New} Kelsi Monroe https://doodstream.com/d/nj2a8uiyhyse/62295398 https://lulustream.com/d/mo5mpclkumlb https://streamtape.com/v/xevB1Q8lW1ikdwj/62295398 (2026) #MILF #Hardcore #Bigass #Porn #RIPNSFW</v>
      </c>
      <c r="N1049" s="14" t="s">
        <v>5257</v>
      </c>
      <c r="O1049" s="15" t="s">
        <v>5258</v>
      </c>
      <c r="P1049" s="14"/>
      <c r="Q1049" s="6"/>
      <c r="R1049" s="11"/>
      <c r="S1049" s="6"/>
      <c r="T1049" s="6"/>
      <c r="U1049" s="6"/>
      <c r="V1049" s="6"/>
      <c r="W1049" s="6"/>
      <c r="X1049" s="6"/>
      <c r="Y1049" s="6"/>
      <c r="Z1049" s="6"/>
      <c r="AA1049" s="6"/>
    </row>
    <row r="1050" spans="1:27" ht="12.75">
      <c r="A1050" s="6" t="s">
        <v>5259</v>
      </c>
      <c r="B1050" s="6" t="s">
        <v>14</v>
      </c>
      <c r="C1050" s="7" t="str">
        <f t="shared" si="16"/>
        <v xml:space="preserve">Kendra Lust </v>
      </c>
      <c r="D1050" s="24" t="s">
        <v>5260</v>
      </c>
      <c r="E1050" s="25" t="s">
        <v>5261</v>
      </c>
      <c r="F1050" s="9" t="str">
        <f ca="1">IFERROR(__xludf.DUMMYFUNCTION("""https://streamtape.com/v/""&amp;
REGEXEXTRACT(O1050,""/thumb/([^/]+)/"")&amp;
""/""&amp;K1050"),"https://streamtape.com/v/mej7L1L0LOSb3P2/60592294")</f>
        <v>https://streamtape.com/v/mej7L1L0LOSb3P2/60592294</v>
      </c>
      <c r="G1050" s="10" t="e">
        <f t="shared" ca="1" si="17"/>
        <v>#NAME?</v>
      </c>
      <c r="H1050" s="11" t="str">
        <f ca="1">IFERROR(__xludf.DUMMYFUNCTION("IFERROR(SUBSTITUTE(SUBSTITUTE(REGEXEXTRACT(A1050, ""[^-]+- [^-]+- [^-]+ - (.+?)\.jpg""), "".jpg"", """"), ""-"", "", ""), """")"),"")</f>
        <v/>
      </c>
      <c r="I1050" s="6"/>
      <c r="J1050" s="7" t="str">
        <f t="shared" ca="1" si="18"/>
        <v>(2026)</v>
      </c>
      <c r="K1050" s="7" t="str">
        <f t="shared" si="19"/>
        <v>60592294</v>
      </c>
      <c r="L1050" s="12" t="s">
        <v>5262</v>
      </c>
      <c r="M1050" s="13" t="str">
        <f ca="1">IFERROR(__xludf.DUMMYFUNCTION("TRIM(
  REGEXREPLACE(
    TEXTJOIN("" "",
      TRUE,
      B1050,
      C1050,
      embaralharLinks(E1050,F1050,G1050),
      H1050,
      """",
      J1050,
      N1050,
      ""#RIPNSFW""
    ),
  "",\s*"", "" "")
)"),"{New} Kendra Lust https://doodstream.com/d/i1t1cb7dgalm/60592294 https://lulustream.com/d/5wdzehgsiofi https://streamtape.com/v/mej7L1L0LOSb3P2/60592294 (2026) #blowjob #milf #bigass #anal #RIPNSFW")</f>
        <v>{New} Kendra Lust https://doodstream.com/d/i1t1cb7dgalm/60592294 https://lulustream.com/d/5wdzehgsiofi https://streamtape.com/v/mej7L1L0LOSb3P2/60592294 (2026) #blowjob #milf #bigass #anal #RIPNSFW</v>
      </c>
      <c r="N1050" s="31" t="s">
        <v>5262</v>
      </c>
      <c r="O1050" s="32" t="s">
        <v>5263</v>
      </c>
      <c r="P1050" s="26"/>
      <c r="Q1050" s="6"/>
      <c r="R1050" s="11"/>
      <c r="S1050" s="6"/>
      <c r="T1050" s="6"/>
      <c r="U1050" s="6"/>
      <c r="V1050" s="6"/>
      <c r="W1050" s="6"/>
      <c r="X1050" s="6"/>
      <c r="Y1050" s="6"/>
      <c r="Z1050" s="6"/>
      <c r="AA1050" s="6"/>
    </row>
    <row r="1051" spans="1:27" ht="12.75">
      <c r="A1051" s="6" t="s">
        <v>5264</v>
      </c>
      <c r="B1051" s="6" t="s">
        <v>14</v>
      </c>
      <c r="C1051" s="7" t="str">
        <f t="shared" si="16"/>
        <v xml:space="preserve">Kendra Lust </v>
      </c>
      <c r="D1051" s="6" t="s">
        <v>5265</v>
      </c>
      <c r="E1051" s="8" t="s">
        <v>5266</v>
      </c>
      <c r="F1051" s="9" t="str">
        <f ca="1">IFERROR(__xludf.DUMMYFUNCTION("""https://streamtape.com/v/""&amp;
REGEXEXTRACT(O1051,""/thumb/([^/]+)/"")&amp;
""/""&amp;K1051"),"https://streamtape.com/v/QJyp1bJ7LJF0ZXb/74014139")</f>
        <v>https://streamtape.com/v/QJyp1bJ7LJF0ZXb/74014139</v>
      </c>
      <c r="G1051" s="10" t="e">
        <f t="shared" ca="1" si="17"/>
        <v>#NAME?</v>
      </c>
      <c r="H1051" s="11" t="str">
        <f ca="1">IFERROR(__xludf.DUMMYFUNCTION("IFERROR(SUBSTITUTE(SUBSTITUTE(REGEXEXTRACT(A1051, ""[^-]+- [^-]+- [^-]+ - (.+?)\.jpg""), "".jpg"", """"), ""-"", "", ""), """")"),"")</f>
        <v/>
      </c>
      <c r="I1051" s="6"/>
      <c r="J1051" s="7" t="str">
        <f t="shared" ca="1" si="18"/>
        <v>(2026)</v>
      </c>
      <c r="K1051" s="7" t="str">
        <f t="shared" si="19"/>
        <v>74014139</v>
      </c>
      <c r="L1051" s="12" t="s">
        <v>5267</v>
      </c>
      <c r="M1051" s="13" t="str">
        <f ca="1">IFERROR(__xludf.DUMMYFUNCTION("TRIM(
  REGEXREPLACE(
    TEXTJOIN("" "",
      TRUE,
      B1051,
      C1051,
      embaralharLinks(E1051,F1051,G1051),
      H1051,
      """",
      J1051,
      N1051,
      ""#RIPNSFW""
    ),
  "",\s*"", "" "")
)"),"{New} Kendra Lust https://streamtape.com/v/QJyp1bJ7LJF0ZXb/74014139 https://lulustream.com/d/vsrder36bdfa https://doodstream.com/d/0axd7exg0w05/74014139 (2026) #MILF #BigTits #Bigass #Stepmom #Mature #RIPNSFW")</f>
        <v>{New} Kendra Lust https://streamtape.com/v/QJyp1bJ7LJF0ZXb/74014139 https://lulustream.com/d/vsrder36bdfa https://doodstream.com/d/0axd7exg0w05/74014139 (2026) #MILF #BigTits #Bigass #Stepmom #Mature #RIPNSFW</v>
      </c>
      <c r="N1051" s="14" t="s">
        <v>5268</v>
      </c>
      <c r="O1051" s="15" t="s">
        <v>5269</v>
      </c>
      <c r="P1051" s="14"/>
      <c r="Q1051" s="6"/>
      <c r="R1051" s="11"/>
      <c r="S1051" s="6"/>
      <c r="T1051" s="6"/>
      <c r="U1051" s="6"/>
      <c r="V1051" s="6"/>
      <c r="W1051" s="6"/>
      <c r="X1051" s="6"/>
      <c r="Y1051" s="6"/>
      <c r="Z1051" s="6"/>
      <c r="AA1051" s="6"/>
    </row>
    <row r="1052" spans="1:27" ht="12.75">
      <c r="A1052" s="6" t="s">
        <v>5270</v>
      </c>
      <c r="B1052" s="6" t="s">
        <v>14</v>
      </c>
      <c r="C1052" s="7" t="str">
        <f t="shared" si="16"/>
        <v xml:space="preserve">Kendra Lust </v>
      </c>
      <c r="D1052" s="29" t="s">
        <v>5271</v>
      </c>
      <c r="E1052" s="8" t="s">
        <v>5272</v>
      </c>
      <c r="F1052" s="9" t="str">
        <f ca="1">IFERROR(__xludf.DUMMYFUNCTION("""https://streamtape.com/v/""&amp;
REGEXEXTRACT(O1052,""/thumb/([^/]+)/"")&amp;
""/""&amp;K1052"),"https://streamtape.com/v/a404AGK78xsxLlj/76519840")</f>
        <v>https://streamtape.com/v/a404AGK78xsxLlj/76519840</v>
      </c>
      <c r="G1052" s="10" t="e">
        <f t="shared" ca="1" si="17"/>
        <v>#NAME?</v>
      </c>
      <c r="H1052" s="11" t="str">
        <f ca="1">IFERROR(__xludf.DUMMYFUNCTION("IFERROR(SUBSTITUTE(SUBSTITUTE(REGEXEXTRACT(A1052, ""[^-]+- [^-]+- [^-]+ - (.+?)\.jpg""), "".jpg"", """"), ""-"", "", ""), """")"),"")</f>
        <v/>
      </c>
      <c r="I1052" s="6"/>
      <c r="J1052" s="7" t="str">
        <f t="shared" ca="1" si="18"/>
        <v>(2026)</v>
      </c>
      <c r="K1052" s="7" t="str">
        <f t="shared" si="19"/>
        <v>76519840</v>
      </c>
      <c r="L1052" s="12" t="s">
        <v>316</v>
      </c>
      <c r="M1052" s="13" t="str">
        <f ca="1">IFERROR(__xludf.DUMMYFUNCTION("TRIM(
  REGEXREPLACE(
    TEXTJOIN("" "",
      TRUE,
      B1052,
      C1052,
      embaralharLinks(E1052,F1052,G1052),
      H1052,
      """",
      J1052,
      N1052,
      ""#RIPNSFW""
    ),
  "",\s*"", "" "")
)"),"#ERROR!")</f>
        <v>#ERROR!</v>
      </c>
      <c r="N1052" s="14" t="s">
        <v>128</v>
      </c>
      <c r="O1052" s="15" t="s">
        <v>5273</v>
      </c>
      <c r="P1052" s="14"/>
      <c r="Q1052" s="6"/>
      <c r="R1052" s="11"/>
      <c r="S1052" s="6"/>
      <c r="T1052" s="6"/>
      <c r="U1052" s="6"/>
      <c r="V1052" s="6"/>
      <c r="W1052" s="6"/>
      <c r="X1052" s="6"/>
      <c r="Y1052" s="6"/>
      <c r="Z1052" s="6"/>
      <c r="AA1052" s="6"/>
    </row>
    <row r="1053" spans="1:27" ht="12.75">
      <c r="A1053" s="6" t="s">
        <v>5274</v>
      </c>
      <c r="B1053" s="6" t="s">
        <v>14</v>
      </c>
      <c r="C1053" s="7" t="str">
        <f t="shared" si="16"/>
        <v xml:space="preserve">Kendra Lust </v>
      </c>
      <c r="D1053" s="6" t="s">
        <v>5275</v>
      </c>
      <c r="E1053" s="8" t="s">
        <v>5276</v>
      </c>
      <c r="F1053" s="9" t="str">
        <f ca="1">IFERROR(__xludf.DUMMYFUNCTION("""https://streamtape.com/v/""&amp;
REGEXEXTRACT(O1053,""/thumb/([^/]+)/"")&amp;
""/""&amp;K1053"),"https://streamtape.com/v/z13MYZ4V3YHG6J/91121829")</f>
        <v>https://streamtape.com/v/z13MYZ4V3YHG6J/91121829</v>
      </c>
      <c r="G1053" s="10" t="e">
        <f t="shared" ca="1" si="17"/>
        <v>#NAME?</v>
      </c>
      <c r="H1053" s="11" t="str">
        <f ca="1">IFERROR(__xludf.DUMMYFUNCTION("IFERROR(SUBSTITUTE(SUBSTITUTE(REGEXEXTRACT(A1053, ""[^-]+- [^-]+- [^-]+ - (.+?)\.jpg""), "".jpg"", """"), ""-"", "", ""), """")"),"")</f>
        <v/>
      </c>
      <c r="I1053" s="6"/>
      <c r="J1053" s="7" t="str">
        <f t="shared" ca="1" si="18"/>
        <v>(2026)</v>
      </c>
      <c r="K1053" s="7" t="str">
        <f t="shared" si="19"/>
        <v>91121829</v>
      </c>
      <c r="L1053" s="12" t="s">
        <v>5277</v>
      </c>
      <c r="M1053" s="13" t="str">
        <f ca="1">IFERROR(__xludf.DUMMYFUNCTION("TRIM(
  REGEXREPLACE(
    TEXTJOIN("" "",
      TRUE,
      B1053,
      C1053,
      embaralharLinks(E1053,F1053,G1053),
      H1053,
      """",
      J1053,
      N1053,
      ""#RIPNSFW""
    ),
  "",\s*"", "" "")
)"),"{New} Kendra Lust https://streamtape.com/v/z13MYZ4V3YHG6J/91121829 https://doodstream.com/d/701xqhtb2fow/91121829 https://lulustream.com/d/88xb0phcjn7u (2026) #MILF #BigTits #Hardcore #Bigass #Porn #RIPNSFW")</f>
        <v>{New} Kendra Lust https://streamtape.com/v/z13MYZ4V3YHG6J/91121829 https://doodstream.com/d/701xqhtb2fow/91121829 https://lulustream.com/d/88xb0phcjn7u (2026) #MILF #BigTits #Hardcore #Bigass #Porn #RIPNSFW</v>
      </c>
      <c r="N1053" s="14" t="s">
        <v>1180</v>
      </c>
      <c r="O1053" s="15" t="s">
        <v>5278</v>
      </c>
      <c r="P1053" s="14"/>
      <c r="Q1053" s="6"/>
      <c r="R1053" s="11"/>
      <c r="S1053" s="6"/>
      <c r="T1053" s="6"/>
      <c r="U1053" s="6"/>
      <c r="V1053" s="6"/>
      <c r="W1053" s="6"/>
      <c r="X1053" s="6"/>
      <c r="Y1053" s="6"/>
      <c r="Z1053" s="6"/>
      <c r="AA1053" s="6"/>
    </row>
    <row r="1054" spans="1:27" ht="12.75">
      <c r="A1054" s="6" t="s">
        <v>5279</v>
      </c>
      <c r="B1054" s="6" t="s">
        <v>14</v>
      </c>
      <c r="C1054" s="7" t="str">
        <f t="shared" si="16"/>
        <v xml:space="preserve">Kendra Sunderland </v>
      </c>
      <c r="D1054" s="6" t="s">
        <v>5280</v>
      </c>
      <c r="E1054" s="8" t="s">
        <v>5281</v>
      </c>
      <c r="F1054" s="9" t="str">
        <f ca="1">IFERROR(__xludf.DUMMYFUNCTION("""https://streamtape.com/v/""&amp;
REGEXEXTRACT(O1054,""/thumb/([^/]+)/"")&amp;
""/""&amp;K1054"),"https://streamtape.com/v/m3xJp3AjBvCb1QX/57529324")</f>
        <v>https://streamtape.com/v/m3xJp3AjBvCb1QX/57529324</v>
      </c>
      <c r="G1054" s="10" t="e">
        <f t="shared" ca="1" si="17"/>
        <v>#NAME?</v>
      </c>
      <c r="H1054" s="11" t="str">
        <f ca="1">IFERROR(__xludf.DUMMYFUNCTION("IFERROR(SUBSTITUTE(SUBSTITUTE(REGEXEXTRACT(A1054, ""[^-]+- [^-]+- [^-]+ - (.+?)\.jpg""), "".jpg"", """"), ""-"", "", ""), """")"),"")</f>
        <v/>
      </c>
      <c r="I1054" s="6"/>
      <c r="J1054" s="7" t="str">
        <f t="shared" ca="1" si="18"/>
        <v>(2026)</v>
      </c>
      <c r="K1054" s="7" t="str">
        <f t="shared" si="19"/>
        <v>57529324</v>
      </c>
      <c r="L1054" s="12" t="s">
        <v>605</v>
      </c>
      <c r="M1054" s="13" t="str">
        <f ca="1">IFERROR(__xludf.DUMMYFUNCTION("TRIM(
  REGEXREPLACE(
    TEXTJOIN("" "",
      TRUE,
      B1054,
      C1054,
      embaralharLinks(E1054,F1054,G1054),
      H1054,
      """",
      J1054,
      N1054,
      ""#RIPNSFW""
    ),
  "",\s*"", "" "")
)"),"{New} Kendra Sunderland https://doodstream.com/d/jxfangisd3cj/57529324 https://lulustream.com/d/oq1u0yqr6w4m https://streamtape.com/v/m3xJp3AjBvCb1QX/57529324 (2026) #BigTits #Hardcore #Bigass #Porn #Teen #Blowjob #RIPNSFW")</f>
        <v>{New} Kendra Sunderland https://doodstream.com/d/jxfangisd3cj/57529324 https://lulustream.com/d/oq1u0yqr6w4m https://streamtape.com/v/m3xJp3AjBvCb1QX/57529324 (2026) #BigTits #Hardcore #Bigass #Porn #Teen #Blowjob #RIPNSFW</v>
      </c>
      <c r="N1054" s="14" t="s">
        <v>486</v>
      </c>
      <c r="O1054" s="15" t="s">
        <v>5282</v>
      </c>
      <c r="P1054" s="14"/>
      <c r="Q1054" s="6"/>
      <c r="R1054" s="11"/>
      <c r="S1054" s="6"/>
      <c r="T1054" s="6"/>
      <c r="U1054" s="6"/>
      <c r="V1054" s="6"/>
      <c r="W1054" s="6"/>
      <c r="X1054" s="6"/>
      <c r="Y1054" s="6"/>
      <c r="Z1054" s="6"/>
      <c r="AA1054" s="6"/>
    </row>
    <row r="1055" spans="1:27" ht="12.75">
      <c r="A1055" s="12" t="s">
        <v>5283</v>
      </c>
      <c r="B1055" s="6" t="s">
        <v>14</v>
      </c>
      <c r="C1055" s="7" t="str">
        <f t="shared" si="16"/>
        <v xml:space="preserve">Kendra Sunderland </v>
      </c>
      <c r="D1055" s="27" t="s">
        <v>5284</v>
      </c>
      <c r="E1055" s="28" t="s">
        <v>5285</v>
      </c>
      <c r="F1055" s="9" t="str">
        <f ca="1">IFERROR(__xludf.DUMMYFUNCTION("""https://streamtape.com/v/""&amp;
REGEXEXTRACT(O1055,""/thumb/([^/]+)/"")&amp;
""/""&amp;K1055"),"https://streamtape.com/v/M7kMdVPJLLimqZ2/62925139")</f>
        <v>https://streamtape.com/v/M7kMdVPJLLimqZ2/62925139</v>
      </c>
      <c r="G1055" s="10" t="e">
        <f t="shared" ca="1" si="17"/>
        <v>#NAME?</v>
      </c>
      <c r="H1055" s="11" t="str">
        <f ca="1">IFERROR(__xludf.DUMMYFUNCTION("IFERROR(SUBSTITUTE(SUBSTITUTE(REGEXEXTRACT(A1055, ""[^-]+- [^-]+- [^-]+ - (.+?)\.jpg""), "".jpg"", """"), ""-"", "", ""), """")"),"")</f>
        <v/>
      </c>
      <c r="I1055" s="6"/>
      <c r="J1055" s="7" t="str">
        <f t="shared" ca="1" si="18"/>
        <v>(2026)</v>
      </c>
      <c r="K1055" s="7" t="str">
        <f t="shared" si="19"/>
        <v>62925139</v>
      </c>
      <c r="L1055" s="12" t="s">
        <v>585</v>
      </c>
      <c r="M1055" s="13" t="str">
        <f ca="1">IFERROR(__xludf.DUMMYFUNCTION("TRIM(
  REGEXREPLACE(
    TEXTJOIN("" "",
      TRUE,
      B1055,
      C1055,
      embaralharLinks(E1055,F1055,G1055),
      H1055,
      """",
      J1055,
      N1055,
      ""#RIPNSFW""
    ),
  "",\s*"", "" "")
)"),"{New} Kendra Sunderland https://lulustream.com/d/dvdl4zcb99vg https://doodstream.com/d/gqho4gpddykl/62925139 https://streamtape.com/v/M7kMdVPJLLimqZ2/62925139 (2026) #BigTits #Hardcore #Interracial #Teen #RIPNSFW")</f>
        <v>{New} Kendra Sunderland https://lulustream.com/d/dvdl4zcb99vg https://doodstream.com/d/gqho4gpddykl/62925139 https://streamtape.com/v/M7kMdVPJLLimqZ2/62925139 (2026) #BigTits #Hardcore #Interracial #Teen #RIPNSFW</v>
      </c>
      <c r="N1055" s="2" t="s">
        <v>586</v>
      </c>
      <c r="O1055" s="30" t="s">
        <v>5286</v>
      </c>
      <c r="P1055" s="26"/>
      <c r="R1055" s="23"/>
    </row>
    <row r="1056" spans="1:27" ht="12.75">
      <c r="A1056" s="6" t="s">
        <v>5287</v>
      </c>
      <c r="B1056" s="6" t="s">
        <v>14</v>
      </c>
      <c r="C1056" s="7" t="str">
        <f t="shared" si="16"/>
        <v xml:space="preserve">Kendra Sunderland </v>
      </c>
      <c r="D1056" s="6" t="s">
        <v>5288</v>
      </c>
      <c r="E1056" s="8" t="s">
        <v>5289</v>
      </c>
      <c r="F1056" s="9" t="str">
        <f ca="1">IFERROR(__xludf.DUMMYFUNCTION("""https://streamtape.com/v/""&amp;
REGEXEXTRACT(O1056,""/thumb/([^/]+)/"")&amp;
""/""&amp;K1056"),"https://streamtape.com/v/LpxwvBKdBefbdg/77896881")</f>
        <v>https://streamtape.com/v/LpxwvBKdBefbdg/77896881</v>
      </c>
      <c r="G1056" s="10" t="e">
        <f t="shared" ca="1" si="17"/>
        <v>#NAME?</v>
      </c>
      <c r="H1056" s="11" t="str">
        <f ca="1">IFERROR(__xludf.DUMMYFUNCTION("IFERROR(SUBSTITUTE(SUBSTITUTE(REGEXEXTRACT(A1056, ""[^-]+- [^-]+- [^-]+ - (.+?)\.jpg""), "".jpg"", """"), ""-"", "", ""), """")"),"")</f>
        <v/>
      </c>
      <c r="I1056" s="6"/>
      <c r="J1056" s="7" t="str">
        <f t="shared" ca="1" si="18"/>
        <v>(2026)</v>
      </c>
      <c r="K1056" s="7" t="str">
        <f t="shared" si="19"/>
        <v>77896881</v>
      </c>
      <c r="L1056" s="12" t="s">
        <v>5290</v>
      </c>
      <c r="M1056" s="13" t="str">
        <f ca="1">IFERROR(__xludf.DUMMYFUNCTION("TRIM(
  REGEXREPLACE(
    TEXTJOIN("" "",
      TRUE,
      B1056,
      C1056,
      embaralharLinks(E1056,F1056,G1056),
      H1056,
      """",
      J1056,
      N1056,
      ""#RIPNSFW""
    ),
  "",\s*"", "" "")
)"),"{New} Kendra Sunderland https://lulustream.com/d/zj2wptrv6g51 https://doodstream.com/d/tmicww8ay2e3/77896881 https://streamtape.com/v/LpxwvBKdBefbdg/77896881 (2026) #BigTits #Hardcore #Black #Interracial #Bigass #Teen #Blowjob #Amateur #Deepthroat #RIPNSF"&amp;"W")</f>
        <v>{New} Kendra Sunderland https://lulustream.com/d/zj2wptrv6g51 https://doodstream.com/d/tmicww8ay2e3/77896881 https://streamtape.com/v/LpxwvBKdBefbdg/77896881 (2026) #BigTits #Hardcore #Black #Interracial #Bigass #Teen #Blowjob #Amateur #Deepthroat #RIPNSFW</v>
      </c>
      <c r="N1056" s="14" t="s">
        <v>5291</v>
      </c>
      <c r="O1056" s="15" t="s">
        <v>5292</v>
      </c>
      <c r="P1056" s="14"/>
      <c r="Q1056" s="6"/>
      <c r="R1056" s="11"/>
      <c r="S1056" s="6"/>
      <c r="T1056" s="6"/>
      <c r="U1056" s="6"/>
      <c r="V1056" s="6"/>
      <c r="W1056" s="6"/>
      <c r="X1056" s="6"/>
      <c r="Y1056" s="6"/>
      <c r="Z1056" s="6"/>
      <c r="AA1056" s="6"/>
    </row>
    <row r="1057" spans="1:27" ht="12.75">
      <c r="A1057" s="12" t="s">
        <v>5293</v>
      </c>
      <c r="B1057" s="6" t="s">
        <v>14</v>
      </c>
      <c r="C1057" s="7" t="str">
        <f t="shared" si="16"/>
        <v xml:space="preserve">Kianna Dior </v>
      </c>
      <c r="D1057" s="24" t="s">
        <v>5294</v>
      </c>
      <c r="E1057" s="25" t="s">
        <v>5295</v>
      </c>
      <c r="F1057" s="9" t="str">
        <f ca="1">IFERROR(__xludf.DUMMYFUNCTION("""https://streamtape.com/v/""&amp;
REGEXEXTRACT(O1057,""/thumb/([^/]+)/"")&amp;
""/""&amp;K1057"),"https://streamtape.com/v/P9Yv89K4D1u0qvj/67759608")</f>
        <v>https://streamtape.com/v/P9Yv89K4D1u0qvj/67759608</v>
      </c>
      <c r="G1057" s="10" t="e">
        <f t="shared" ca="1" si="17"/>
        <v>#NAME?</v>
      </c>
      <c r="H1057" s="11" t="str">
        <f ca="1">IFERROR(__xludf.DUMMYFUNCTION("IFERROR(SUBSTITUTE(SUBSTITUTE(REGEXEXTRACT(A1057, ""[^-]+- [^-]+- [^-]+ - (.+?)\.jpg""), "".jpg"", """"), ""-"", "", ""), """")"),"")</f>
        <v/>
      </c>
      <c r="I1057" s="6"/>
      <c r="J1057" s="7" t="str">
        <f t="shared" ca="1" si="18"/>
        <v>(2026)</v>
      </c>
      <c r="K1057" s="7" t="str">
        <f t="shared" si="19"/>
        <v>67759608</v>
      </c>
      <c r="L1057" s="12" t="s">
        <v>5296</v>
      </c>
      <c r="M1057" s="13" t="str">
        <f ca="1">IFERROR(__xludf.DUMMYFUNCTION("TRIM(
  REGEXREPLACE(
    TEXTJOIN("" "",
      TRUE,
      B1057,
      C1057,
      embaralharLinks(E1057,F1057,G1057),
      H1057,
      """",
      J1057,
      N1057,
      ""#RIPNSFW""
    ),
  "",\s*"", "" "")
)"),"{New} Kianna Dior https://doodstream.com/d/hyq6v5j1m5qi/67759608 https://streamtape.com/v/P9Yv89K4D1u0qvj/67759608 https://lulustream.com/d/fxpbkaggqjxw (2026) #milf #asian #blowjob #bigass #RIPNSFW")</f>
        <v>{New} Kianna Dior https://doodstream.com/d/hyq6v5j1m5qi/67759608 https://streamtape.com/v/P9Yv89K4D1u0qvj/67759608 https://lulustream.com/d/fxpbkaggqjxw (2026) #milf #asian #blowjob #bigass #RIPNSFW</v>
      </c>
      <c r="N1057" s="2" t="s">
        <v>5296</v>
      </c>
      <c r="O1057" s="30" t="s">
        <v>5297</v>
      </c>
      <c r="P1057" s="26"/>
      <c r="R1057" s="23"/>
    </row>
    <row r="1058" spans="1:27" ht="12.75">
      <c r="A1058" s="12" t="s">
        <v>5298</v>
      </c>
      <c r="B1058" s="6" t="s">
        <v>14</v>
      </c>
      <c r="C1058" s="7" t="str">
        <f t="shared" si="16"/>
        <v xml:space="preserve">Kianna Dior </v>
      </c>
      <c r="D1058" s="24" t="s">
        <v>5299</v>
      </c>
      <c r="E1058" s="25" t="s">
        <v>5300</v>
      </c>
      <c r="F1058" s="9" t="str">
        <f ca="1">IFERROR(__xludf.DUMMYFUNCTION("""https://streamtape.com/v/""&amp;
REGEXEXTRACT(O1058,""/thumb/([^/]+)/"")&amp;
""/""&amp;K1058"),"https://streamtape.com/v/zka84MKvJ0HYRwX/72268823")</f>
        <v>https://streamtape.com/v/zka84MKvJ0HYRwX/72268823</v>
      </c>
      <c r="G1058" s="10" t="e">
        <f t="shared" ca="1" si="17"/>
        <v>#NAME?</v>
      </c>
      <c r="H1058" s="11" t="str">
        <f ca="1">IFERROR(__xludf.DUMMYFUNCTION("IFERROR(SUBSTITUTE(SUBSTITUTE(REGEXEXTRACT(A1058, ""[^-]+- [^-]+- [^-]+ - (.+?)\.jpg""), "".jpg"", """"), ""-"", "", ""), """")"),"Hailey Rose")</f>
        <v>Hailey Rose</v>
      </c>
      <c r="I1058" s="6"/>
      <c r="J1058" s="7" t="str">
        <f t="shared" ca="1" si="18"/>
        <v>(2026)</v>
      </c>
      <c r="K1058" s="7" t="str">
        <f t="shared" si="19"/>
        <v>72268823</v>
      </c>
      <c r="L1058" s="12" t="s">
        <v>5301</v>
      </c>
      <c r="M1058" s="13" t="str">
        <f ca="1">IFERROR(__xludf.DUMMYFUNCTION("TRIM(
  REGEXREPLACE(
    TEXTJOIN("" "",
      TRUE,
      B1058,
      C1058,
      embaralharLinks(E1058,F1058,G1058),
      H1058,
      """",
      J1058,
      N1058,
      ""#RIPNSFW""
    ),
  "",\s*"", "" "")
)"),"{New} Kianna Dior https://doodstream.com/d/g35ytbhpec2h/72268823 https://lulustream.com/d/7owe977syf00 https://streamtape.com/v/zka84MKvJ0HYRwX/72268823 Hailey Rose (2026) #milf #bigtits #threesome #bigass #RIPNSFW")</f>
        <v>{New} Kianna Dior https://doodstream.com/d/g35ytbhpec2h/72268823 https://lulustream.com/d/7owe977syf00 https://streamtape.com/v/zka84MKvJ0HYRwX/72268823 Hailey Rose (2026) #milf #bigtits #threesome #bigass #RIPNSFW</v>
      </c>
      <c r="N1058" s="2" t="s">
        <v>5301</v>
      </c>
      <c r="O1058" s="30" t="s">
        <v>5302</v>
      </c>
      <c r="P1058" s="26"/>
      <c r="R1058" s="23"/>
      <c r="T1058" s="6"/>
      <c r="U1058" s="7"/>
      <c r="Z1058" s="12"/>
      <c r="AA1058" s="12"/>
    </row>
    <row r="1059" spans="1:27" ht="12.75">
      <c r="A1059" s="6" t="s">
        <v>5303</v>
      </c>
      <c r="B1059" s="6" t="s">
        <v>14</v>
      </c>
      <c r="C1059" s="7" t="str">
        <f t="shared" si="16"/>
        <v xml:space="preserve">Kianna Dior </v>
      </c>
      <c r="D1059" s="6" t="s">
        <v>5304</v>
      </c>
      <c r="E1059" s="8" t="s">
        <v>5305</v>
      </c>
      <c r="F1059" s="9" t="str">
        <f ca="1">IFERROR(__xludf.DUMMYFUNCTION("""https://streamtape.com/v/""&amp;
REGEXEXTRACT(O1059,""/thumb/([^/]+)/"")&amp;
""/""&amp;K1059"),"https://streamtape.com/v/ervXzVw8YwfYPqV/96284360")</f>
        <v>https://streamtape.com/v/ervXzVw8YwfYPqV/96284360</v>
      </c>
      <c r="G1059" s="10" t="e">
        <f t="shared" ca="1" si="17"/>
        <v>#NAME?</v>
      </c>
      <c r="H1059" s="11" t="str">
        <f ca="1">IFERROR(__xludf.DUMMYFUNCTION("IFERROR(SUBSTITUTE(SUBSTITUTE(REGEXEXTRACT(A1059, ""[^-]+- [^-]+- [^-]+ - (.+?)\.jpg""), "".jpg"", """"), ""-"", "", ""), """")"),"")</f>
        <v/>
      </c>
      <c r="I1059" s="6"/>
      <c r="J1059" s="7" t="str">
        <f t="shared" ca="1" si="18"/>
        <v>(2026)</v>
      </c>
      <c r="K1059" s="7" t="str">
        <f t="shared" si="19"/>
        <v>96284360</v>
      </c>
      <c r="L1059" s="12" t="s">
        <v>5306</v>
      </c>
      <c r="M1059" s="13" t="str">
        <f ca="1">IFERROR(__xludf.DUMMYFUNCTION("TRIM(
  REGEXREPLACE(
    TEXTJOIN("" "",
      TRUE,
      B1059,
      C1059,
      embaralharLinks(E1059,F1059,G1059),
      H1059,
      """",
      J1059,
      N1059,
      ""#RIPNSFW""
    ),
  "",\s*"", "" "")
)"),"{New} Kianna Dior https://lulustream.com/d/84ezwewmseme https://streamtape.com/v/ervXzVw8YwfYPqV/96284360 https://doodstream.com/d/wmo0531aluhv/96284360 (2026) #MILF #BigTits #Hardcore #Black #Interracial #Bigass #Blowjob #RIPNSFW")</f>
        <v>{New} Kianna Dior https://lulustream.com/d/84ezwewmseme https://streamtape.com/v/ervXzVw8YwfYPqV/96284360 https://doodstream.com/d/wmo0531aluhv/96284360 (2026) #MILF #BigTits #Hardcore #Black #Interracial #Bigass #Blowjob #RIPNSFW</v>
      </c>
      <c r="N1059" s="14" t="s">
        <v>1404</v>
      </c>
      <c r="O1059" s="15" t="s">
        <v>5307</v>
      </c>
      <c r="P1059" s="14"/>
      <c r="Q1059" s="6"/>
      <c r="R1059" s="11"/>
      <c r="S1059" s="6"/>
      <c r="T1059" s="6"/>
      <c r="U1059" s="6"/>
      <c r="V1059" s="6"/>
      <c r="W1059" s="6"/>
      <c r="X1059" s="6"/>
      <c r="Y1059" s="6"/>
      <c r="Z1059" s="6"/>
      <c r="AA1059" s="6"/>
    </row>
    <row r="1060" spans="1:27" ht="12.75">
      <c r="A1060" s="6" t="s">
        <v>5308</v>
      </c>
      <c r="B1060" s="6" t="s">
        <v>14</v>
      </c>
      <c r="C1060" s="7" t="str">
        <f t="shared" si="16"/>
        <v xml:space="preserve">Kimmy Granger </v>
      </c>
      <c r="D1060" s="24" t="s">
        <v>5309</v>
      </c>
      <c r="E1060" s="25" t="s">
        <v>5310</v>
      </c>
      <c r="F1060" s="9" t="str">
        <f ca="1">IFERROR(__xludf.DUMMYFUNCTION("""https://streamtape.com/v/""&amp;
REGEXEXTRACT(O1060,""/thumb/([^/]+)/"")&amp;
""/""&amp;K1060"),"https://streamtape.com/v/A0K8MZYDXXSXXXP/30878325")</f>
        <v>https://streamtape.com/v/A0K8MZYDXXSXXXP/30878325</v>
      </c>
      <c r="G1060" s="10" t="e">
        <f t="shared" ca="1" si="17"/>
        <v>#NAME?</v>
      </c>
      <c r="H1060" s="11" t="str">
        <f ca="1">IFERROR(__xludf.DUMMYFUNCTION("IFERROR(SUBSTITUTE(SUBSTITUTE(REGEXEXTRACT(A1060, ""[^-]+- [^-]+- [^-]+ - (.+?)\.jpg""), "".jpg"", """"), ""-"", "", ""), """")"),"")</f>
        <v/>
      </c>
      <c r="I1060" s="6"/>
      <c r="J1060" s="7" t="str">
        <f t="shared" ca="1" si="18"/>
        <v>(2026)</v>
      </c>
      <c r="K1060" s="7" t="str">
        <f t="shared" si="19"/>
        <v>30878325</v>
      </c>
      <c r="L1060" s="12" t="s">
        <v>4622</v>
      </c>
      <c r="M1060" s="13" t="str">
        <f ca="1">IFERROR(__xludf.DUMMYFUNCTION("TRIM(
  REGEXREPLACE(
    TEXTJOIN("" "",
      TRUE,
      B1060,
      C1060,
      embaralharLinks(E1060,F1060,G1060),
      H1060,
      """",
      J1060,
      N1060,
      ""#RIPNSFW""
    ),
  "",\s*"", "" "")
)"),"{New} Kimmy Granger https://lulustream.com/d/re00y23psatx https://doodstream.com/d/ymiaqfagxpt7/30878325 https://streamtape.com/v/A0K8MZYDXXSXXXP/30878325 (2026) #creampie #milf #bigtits #blowjob #RIPNSFW")</f>
        <v>{New} Kimmy Granger https://lulustream.com/d/re00y23psatx https://doodstream.com/d/ymiaqfagxpt7/30878325 https://streamtape.com/v/A0K8MZYDXXSXXXP/30878325 (2026) #creampie #milf #bigtits #blowjob #RIPNSFW</v>
      </c>
      <c r="N1060" s="31" t="s">
        <v>4622</v>
      </c>
      <c r="O1060" s="15" t="s">
        <v>5311</v>
      </c>
      <c r="P1060" s="26"/>
      <c r="Q1060" s="6"/>
      <c r="R1060" s="11"/>
      <c r="S1060" s="6"/>
      <c r="T1060" s="6"/>
      <c r="U1060" s="6"/>
      <c r="V1060" s="6"/>
      <c r="W1060" s="6"/>
      <c r="X1060" s="6"/>
      <c r="Y1060" s="6"/>
      <c r="Z1060" s="6"/>
      <c r="AA1060" s="6"/>
    </row>
    <row r="1061" spans="1:27" ht="12.75">
      <c r="A1061" s="6" t="s">
        <v>5312</v>
      </c>
      <c r="B1061" s="6" t="s">
        <v>14</v>
      </c>
      <c r="C1061" s="7" t="str">
        <f t="shared" si="16"/>
        <v xml:space="preserve">Kimmy Granger </v>
      </c>
      <c r="D1061" s="6" t="s">
        <v>5313</v>
      </c>
      <c r="E1061" s="8" t="s">
        <v>5314</v>
      </c>
      <c r="F1061" s="9" t="str">
        <f ca="1">IFERROR(__xludf.DUMMYFUNCTION("""https://streamtape.com/v/""&amp;
REGEXEXTRACT(O1061,""/thumb/([^/]+)/"")&amp;
""/""&amp;K1061"),"https://streamtape.com/v/ZKPzygo46phqaOY/35557187")</f>
        <v>https://streamtape.com/v/ZKPzygo46phqaOY/35557187</v>
      </c>
      <c r="G1061" s="10" t="e">
        <f t="shared" ca="1" si="17"/>
        <v>#NAME?</v>
      </c>
      <c r="H1061" s="11" t="str">
        <f ca="1">IFERROR(__xludf.DUMMYFUNCTION("IFERROR(SUBSTITUTE(SUBSTITUTE(REGEXEXTRACT(A1061, ""[^-]+- [^-]+- [^-]+ - (.+?)\.jpg""), "".jpg"", """"), ""-"", "", ""), """")"),"")</f>
        <v/>
      </c>
      <c r="I1061" s="6"/>
      <c r="J1061" s="7" t="str">
        <f t="shared" ca="1" si="18"/>
        <v>(2026)</v>
      </c>
      <c r="K1061" s="7" t="str">
        <f t="shared" si="19"/>
        <v>35557187</v>
      </c>
      <c r="L1061" s="12" t="s">
        <v>5315</v>
      </c>
      <c r="M1061" s="13" t="str">
        <f ca="1">IFERROR(__xludf.DUMMYFUNCTION("TRIM(
  REGEXREPLACE(
    TEXTJOIN("" "",
      TRUE,
      B1061,
      C1061,
      embaralharLinks(E1061,F1061,G1061),
      H1061,
      """",
      J1061,
      N1061,
      ""#RIPNSFW""
    ),
  "",\s*"", "" "")
)"),"{New} Kimmy Granger https://streamtape.com/v/ZKPzygo46phqaOY/35557187 https://lulustream.com/d/foyheah6fq4x https://doodstream.com/d/j7m36w1jdfgw/35557187 (2026) #MILF #BigTits #Creampie #Hardcore #Artporn #Blowjob #Amateur #Hotwife #Blonde #RIPNSFW")</f>
        <v>{New} Kimmy Granger https://streamtape.com/v/ZKPzygo46phqaOY/35557187 https://lulustream.com/d/foyheah6fq4x https://doodstream.com/d/j7m36w1jdfgw/35557187 (2026) #MILF #BigTits #Creampie #Hardcore #Artporn #Blowjob #Amateur #Hotwife #Blonde #RIPNSFW</v>
      </c>
      <c r="N1061" s="14" t="s">
        <v>5316</v>
      </c>
      <c r="O1061" s="15" t="s">
        <v>5317</v>
      </c>
      <c r="P1061" s="14"/>
      <c r="Q1061" s="6"/>
      <c r="R1061" s="11"/>
      <c r="S1061" s="6"/>
      <c r="T1061" s="6"/>
      <c r="U1061" s="6"/>
      <c r="V1061" s="6"/>
      <c r="W1061" s="6"/>
      <c r="X1061" s="6"/>
      <c r="Y1061" s="6"/>
      <c r="Z1061" s="6"/>
      <c r="AA1061" s="6"/>
    </row>
    <row r="1062" spans="1:27" ht="15" customHeight="1">
      <c r="A1062" s="6" t="s">
        <v>5318</v>
      </c>
      <c r="B1062" s="6" t="s">
        <v>14</v>
      </c>
      <c r="C1062" s="7" t="str">
        <f t="shared" si="16"/>
        <v xml:space="preserve">Kinechan </v>
      </c>
      <c r="D1062" s="29" t="s">
        <v>5319</v>
      </c>
      <c r="E1062" s="8" t="s">
        <v>5320</v>
      </c>
      <c r="F1062" s="9" t="str">
        <f ca="1">IFERROR(__xludf.DUMMYFUNCTION("""https://streamtape.com/v/""&amp;
REGEXEXTRACT(O1062,""/thumb/([^/]+)/"")&amp;
""/""&amp;K1062"),"https://streamtape.com/v/Bq0gAjeMgkiye7L/60680314")</f>
        <v>https://streamtape.com/v/Bq0gAjeMgkiye7L/60680314</v>
      </c>
      <c r="G1062" s="10" t="e">
        <f t="shared" ca="1" si="17"/>
        <v>#NAME?</v>
      </c>
      <c r="H1062" s="11" t="str">
        <f ca="1">IFERROR(__xludf.DUMMYFUNCTION("IFERROR(SUBSTITUTE(SUBSTITUTE(REGEXEXTRACT(A1062, ""[^-]+- [^-]+- [^-]+ - (.+?)\.jpg""), "".jpg"", """"), ""-"", "", ""), """")"),"")</f>
        <v/>
      </c>
      <c r="I1062" s="6"/>
      <c r="J1062" s="7" t="str">
        <f t="shared" ca="1" si="18"/>
        <v>(2026)</v>
      </c>
      <c r="K1062" s="7" t="str">
        <f t="shared" si="19"/>
        <v>60680314</v>
      </c>
      <c r="L1062" s="12" t="s">
        <v>5321</v>
      </c>
      <c r="M1062" s="13" t="str">
        <f ca="1">IFERROR(__xludf.DUMMYFUNCTION("TRIM(
  REGEXREPLACE(
    TEXTJOIN("" "",
      TRUE,
      B1062,
      C1062,
      embaralharLinks(E1062,F1062,G1062),
      H1062,
      """",
      J1062,
      N1062,
      ""#RIPNSFW""
    ),
  "",\s*"", "" "")
)"),"{New} Kinechan https://streamtape.com/v/Bq0gAjeMgkiye7L/60680314 https://lulustream.com/d/3xh1isl2h1w6 https://doodstream.com/d/1gaj652batg4/60680314 (2026) #Anal #BigTits #Creampie #Hardcore #RIPNSFW")</f>
        <v>{New} Kinechan https://streamtape.com/v/Bq0gAjeMgkiye7L/60680314 https://lulustream.com/d/3xh1isl2h1w6 https://doodstream.com/d/1gaj652batg4/60680314 (2026) #Anal #BigTits #Creampie #Hardcore #RIPNSFW</v>
      </c>
      <c r="N1062" s="14" t="s">
        <v>3238</v>
      </c>
      <c r="O1062" s="32" t="s">
        <v>5322</v>
      </c>
      <c r="P1062" s="14"/>
      <c r="Q1062" s="6"/>
      <c r="R1062" s="11"/>
      <c r="S1062" s="6"/>
      <c r="T1062" s="6"/>
      <c r="U1062" s="6"/>
      <c r="V1062" s="6"/>
      <c r="W1062" s="6"/>
      <c r="X1062" s="6"/>
      <c r="Y1062" s="6"/>
      <c r="Z1062" s="6"/>
      <c r="AA1062" s="6"/>
    </row>
    <row r="1063" spans="1:27" ht="15" customHeight="1">
      <c r="A1063" s="6" t="s">
        <v>5323</v>
      </c>
      <c r="B1063" s="6" t="s">
        <v>14</v>
      </c>
      <c r="C1063" s="7" t="str">
        <f t="shared" si="16"/>
        <v xml:space="preserve">Kylie Rocket </v>
      </c>
      <c r="D1063" s="6" t="s">
        <v>5324</v>
      </c>
      <c r="E1063" s="8" t="s">
        <v>5325</v>
      </c>
      <c r="F1063" s="9" t="str">
        <f ca="1">IFERROR(__xludf.DUMMYFUNCTION("""https://streamtape.com/v/""&amp;
REGEXEXTRACT(O1063,""/thumb/([^/]+)/"")&amp;
""/""&amp;K1063"),"https://streamtape.com/v/er4PblwaKZCYlX7/78173618")</f>
        <v>https://streamtape.com/v/er4PblwaKZCYlX7/78173618</v>
      </c>
      <c r="G1063" s="10" t="e">
        <f t="shared" ca="1" si="17"/>
        <v>#NAME?</v>
      </c>
      <c r="H1063" s="11" t="str">
        <f ca="1">IFERROR(__xludf.DUMMYFUNCTION("IFERROR(SUBSTITUTE(SUBSTITUTE(REGEXEXTRACT(A1063, ""[^-]+- [^-]+- [^-]+ - (.+?)\.jpg""), "".jpg"", """"), ""-"", "", ""), """")"),"Lena the plug")</f>
        <v>Lena the plug</v>
      </c>
      <c r="I1063" s="6"/>
      <c r="J1063" s="7" t="str">
        <f t="shared" ca="1" si="18"/>
        <v>(2026)</v>
      </c>
      <c r="K1063" s="7" t="str">
        <f t="shared" si="19"/>
        <v>78173618</v>
      </c>
      <c r="L1063" s="12" t="s">
        <v>5326</v>
      </c>
      <c r="M1063" s="13" t="str">
        <f ca="1">IFERROR(__xludf.DUMMYFUNCTION("TRIM(
  REGEXREPLACE(
    TEXTJOIN("" "",
      TRUE,
      B1063,
      C1063,
      embaralharLinks(E1063,F1063,G1063),
      H1063,
      """",
      J1063,
      N1063,
      ""#RIPNSFW""
    ),
  "",\s*"", "" "")
)"),"{New} Kylie Rocket https://doodstream.com/d/ohmiahymaqny/78173618 https://lulustream.com/d/t7xcxd5ynmc9 https://streamtape.com/v/er4PblwaKZCYlX7/78173618 Lena the plug (2026) #MILF #BigTits #Hardcore #Threesome #Bigass #RIPNSFW")</f>
        <v>{New} Kylie Rocket https://doodstream.com/d/ohmiahymaqny/78173618 https://lulustream.com/d/t7xcxd5ynmc9 https://streamtape.com/v/er4PblwaKZCYlX7/78173618 Lena the plug (2026) #MILF #BigTits #Hardcore #Threesome #Bigass #RIPNSFW</v>
      </c>
      <c r="N1063" s="14" t="s">
        <v>1706</v>
      </c>
      <c r="O1063" s="15" t="s">
        <v>5327</v>
      </c>
      <c r="P1063" s="14"/>
      <c r="Q1063" s="6"/>
      <c r="R1063" s="11"/>
      <c r="S1063" s="6"/>
      <c r="T1063" s="6"/>
      <c r="U1063" s="6"/>
      <c r="V1063" s="6"/>
      <c r="W1063" s="6"/>
      <c r="X1063" s="6"/>
      <c r="Y1063" s="6"/>
      <c r="Z1063" s="6"/>
      <c r="AA1063" s="6"/>
    </row>
    <row r="1064" spans="1:27" ht="15" customHeight="1">
      <c r="A1064" s="6" t="s">
        <v>5328</v>
      </c>
      <c r="B1064" s="6" t="s">
        <v>14</v>
      </c>
      <c r="C1064" s="7" t="str">
        <f t="shared" si="16"/>
        <v xml:space="preserve">Lacee Rose </v>
      </c>
      <c r="D1064" s="6" t="s">
        <v>5329</v>
      </c>
      <c r="E1064" s="8" t="s">
        <v>5330</v>
      </c>
      <c r="F1064" s="9" t="str">
        <f ca="1">IFERROR(__xludf.DUMMYFUNCTION("""https://streamtape.com/v/""&amp;
REGEXEXTRACT(O1064,""/thumb/([^/]+)/"")&amp;
""/""&amp;K1064"),"https://streamtape.com/v/egOmPOx4xXSZxl/50621497")</f>
        <v>https://streamtape.com/v/egOmPOx4xXSZxl/50621497</v>
      </c>
      <c r="G1064" s="10" t="e">
        <f t="shared" ca="1" si="17"/>
        <v>#NAME?</v>
      </c>
      <c r="H1064" s="11" t="str">
        <f ca="1">IFERROR(__xludf.DUMMYFUNCTION("IFERROR(SUBSTITUTE(SUBSTITUTE(REGEXEXTRACT(A1064, ""[^-]+- [^-]+- [^-]+ - (.+?)\.jpg""), "".jpg"", """"), ""-"", "", ""), """")"),"")</f>
        <v/>
      </c>
      <c r="I1064" s="6"/>
      <c r="J1064" s="7" t="str">
        <f t="shared" ca="1" si="18"/>
        <v>(2026)</v>
      </c>
      <c r="K1064" s="7" t="str">
        <f t="shared" si="19"/>
        <v>50621497</v>
      </c>
      <c r="L1064" s="12" t="s">
        <v>5331</v>
      </c>
      <c r="M1064" s="13" t="str">
        <f ca="1">IFERROR(__xludf.DUMMYFUNCTION("TRIM(
  REGEXREPLACE(
    TEXTJOIN("" "",
      TRUE,
      B1064,
      C1064,
      embaralharLinks(E1064,F1064,G1064),
      H1064,
      """",
      J1064,
      N1064,
      ""#RIPNSFW""
    ),
  "",\s*"", "" "")
)"),"{New} Lacee Rose https://lulustream.com/d/j6s6hvmb8mec https://streamtape.com/v/egOmPOx4xXSZxl/50621497 https://doodstream.com/d/g12f11ou71z8/50621497 (2026) #Casting #Creampie #Hardcore #Porn #Teen #RIPNSFW")</f>
        <v>{New} Lacee Rose https://lulustream.com/d/j6s6hvmb8mec https://streamtape.com/v/egOmPOx4xXSZxl/50621497 https://doodstream.com/d/g12f11ou71z8/50621497 (2026) #Casting #Creampie #Hardcore #Porn #Teen #RIPNSFW</v>
      </c>
      <c r="N1064" s="14" t="s">
        <v>5332</v>
      </c>
      <c r="O1064" s="15" t="s">
        <v>5333</v>
      </c>
      <c r="P1064" s="14"/>
      <c r="Q1064" s="6"/>
      <c r="R1064" s="11"/>
      <c r="S1064" s="6"/>
      <c r="T1064" s="6"/>
      <c r="U1064" s="6"/>
      <c r="V1064" s="6"/>
      <c r="W1064" s="6"/>
      <c r="X1064" s="6"/>
      <c r="Y1064" s="6"/>
      <c r="Z1064" s="6"/>
      <c r="AA1064" s="6"/>
    </row>
    <row r="1065" spans="1:27" ht="15" customHeight="1">
      <c r="A1065" s="6" t="s">
        <v>5334</v>
      </c>
      <c r="B1065" s="6" t="s">
        <v>14</v>
      </c>
      <c r="C1065" s="7" t="str">
        <f t="shared" si="16"/>
        <v xml:space="preserve">Lady Lorreign </v>
      </c>
      <c r="D1065" s="6" t="s">
        <v>5335</v>
      </c>
      <c r="E1065" s="8" t="s">
        <v>5336</v>
      </c>
      <c r="F1065" s="9" t="str">
        <f ca="1">IFERROR(__xludf.DUMMYFUNCTION("""https://streamtape.com/v/""&amp;
REGEXEXTRACT(O1065,""/thumb/([^/]+)/"")&amp;
""/""&amp;K1065"),"https://streamtape.com/v/6akd9d18g2HvkO/23688987")</f>
        <v>https://streamtape.com/v/6akd9d18g2HvkO/23688987</v>
      </c>
      <c r="G1065" s="10" t="e">
        <f t="shared" ca="1" si="17"/>
        <v>#NAME?</v>
      </c>
      <c r="H1065" s="11" t="str">
        <f ca="1">IFERROR(__xludf.DUMMYFUNCTION("IFERROR(SUBSTITUTE(SUBSTITUTE(REGEXEXTRACT(A1065, ""[^-]+- [^-]+- [^-]+ - (.+?)\.jpg""), "".jpg"", """"), ""-"", "", ""), """")"),"")</f>
        <v/>
      </c>
      <c r="I1065" s="6"/>
      <c r="J1065" s="7" t="str">
        <f t="shared" ca="1" si="18"/>
        <v>(2026)</v>
      </c>
      <c r="K1065" s="7" t="str">
        <f t="shared" si="19"/>
        <v>23688987</v>
      </c>
      <c r="L1065" s="12" t="s">
        <v>5337</v>
      </c>
      <c r="M1065" s="13" t="str">
        <f ca="1">IFERROR(__xludf.DUMMYFUNCTION("TRIM(
  REGEXREPLACE(
    TEXTJOIN("" "",
      TRUE,
      B1065,
      C1065,
      embaralharLinks(E1065,F1065,G1065),
      H1065,
      """",
      J1065,
      N1065,
      ""#RIPNSFW""
    ),
  "",\s*"", "" "")
)"),"{New} Lady Lorreign https://doodstream.com/d/ykzqsqyl7lv0/23688987 https://lulustream.com/d/5po5z844oscs https://streamtape.com/v/6akd9d18g2HvkO/23688987 (2026) #Anal #MILF #BigTits #Creampie #Hardcore #Interracial #Porn #RIPNSFW")</f>
        <v>{New} Lady Lorreign https://doodstream.com/d/ykzqsqyl7lv0/23688987 https://lulustream.com/d/5po5z844oscs https://streamtape.com/v/6akd9d18g2HvkO/23688987 (2026) #Anal #MILF #BigTits #Creampie #Hardcore #Interracial #Porn #RIPNSFW</v>
      </c>
      <c r="N1065" s="14" t="s">
        <v>5338</v>
      </c>
      <c r="O1065" s="15" t="s">
        <v>5339</v>
      </c>
      <c r="P1065" s="14"/>
      <c r="Q1065" s="6"/>
      <c r="R1065" s="11"/>
      <c r="S1065" s="6"/>
      <c r="T1065" s="6"/>
      <c r="U1065" s="6"/>
      <c r="V1065" s="6"/>
      <c r="W1065" s="6"/>
      <c r="X1065" s="6"/>
      <c r="Y1065" s="6"/>
      <c r="Z1065" s="6"/>
      <c r="AA1065" s="6"/>
    </row>
    <row r="1066" spans="1:27" ht="15" customHeight="1">
      <c r="A1066" s="12" t="s">
        <v>5340</v>
      </c>
      <c r="B1066" s="6" t="s">
        <v>14</v>
      </c>
      <c r="C1066" s="7" t="str">
        <f t="shared" si="16"/>
        <v xml:space="preserve">Lana Rhoades </v>
      </c>
      <c r="D1066" s="24" t="s">
        <v>5341</v>
      </c>
      <c r="E1066" s="25" t="s">
        <v>5342</v>
      </c>
      <c r="F1066" s="9" t="str">
        <f ca="1">IFERROR(__xludf.DUMMYFUNCTION("""https://streamtape.com/v/""&amp;
REGEXEXTRACT(O1066,""/thumb/([^/]+)/"")&amp;
""/""&amp;K1066"),"https://streamtape.com/v/7kww2LgDA1f4Ad/54819397")</f>
        <v>https://streamtape.com/v/7kww2LgDA1f4Ad/54819397</v>
      </c>
      <c r="G1066" s="10" t="e">
        <f t="shared" ca="1" si="17"/>
        <v>#NAME?</v>
      </c>
      <c r="H1066" s="11" t="str">
        <f ca="1">IFERROR(__xludf.DUMMYFUNCTION("IFERROR(SUBSTITUTE(SUBSTITUTE(REGEXEXTRACT(A1066, ""[^-]+- [^-]+- [^-]+ - (.+?)\.jpg""), "".jpg"", """"), ""-"", "", ""), """")"),"")</f>
        <v/>
      </c>
      <c r="I1066" s="6"/>
      <c r="J1066" s="7" t="str">
        <f t="shared" ca="1" si="18"/>
        <v>(2026)</v>
      </c>
      <c r="K1066" s="7" t="str">
        <f t="shared" si="19"/>
        <v>54819397</v>
      </c>
      <c r="L1066" s="12" t="s">
        <v>1858</v>
      </c>
      <c r="M1066" s="13" t="str">
        <f ca="1">IFERROR(__xludf.DUMMYFUNCTION("TRIM(
  REGEXREPLACE(
    TEXTJOIN("" "",
      TRUE,
      B1066,
      C1066,
      embaralharLinks(E1066,F1066,G1066),
      H1066,
      """",
      J1066,
      N1066,
      ""#RIPNSFW""
    ),
  "",\s*"", "" "")
)"),"{New} Lana Rhoades https://streamtape.com/v/7kww2LgDA1f4Ad/54819397 https://lulustream.com/d/do7yzuwqfayk https://doodstream.com/d/kkb3pj1ok0q4/54819397 (2026) #anal #teen #bigtits #bigass #RIPNSFW")</f>
        <v>{New} Lana Rhoades https://streamtape.com/v/7kww2LgDA1f4Ad/54819397 https://lulustream.com/d/do7yzuwqfayk https://doodstream.com/d/kkb3pj1ok0q4/54819397 (2026) #anal #teen #bigtits #bigass #RIPNSFW</v>
      </c>
      <c r="N1066" s="2" t="s">
        <v>1858</v>
      </c>
      <c r="O1066" s="30" t="s">
        <v>5343</v>
      </c>
      <c r="P1066" s="26"/>
      <c r="R1066" s="23"/>
    </row>
    <row r="1067" spans="1:27" ht="15" customHeight="1">
      <c r="A1067" s="12" t="s">
        <v>5344</v>
      </c>
      <c r="B1067" s="6"/>
      <c r="C1067" s="7" t="str">
        <f t="shared" si="16"/>
        <v xml:space="preserve">Lana Rhoades </v>
      </c>
      <c r="D1067" s="24" t="s">
        <v>5345</v>
      </c>
      <c r="E1067" s="25" t="s">
        <v>5346</v>
      </c>
      <c r="F1067" s="9" t="str">
        <f ca="1">IFERROR(__xludf.DUMMYFUNCTION("""https://streamtape.com/v/""&amp;
REGEXEXTRACT(O1067,""/thumb/([^/]+)/"")&amp;
""/""&amp;K1067"),"https://streamtape.com/v/WQjYVbOB7yUgo6/88485313")</f>
        <v>https://streamtape.com/v/WQjYVbOB7yUgo6/88485313</v>
      </c>
      <c r="G1067" s="10" t="e">
        <f t="shared" ca="1" si="17"/>
        <v>#NAME?</v>
      </c>
      <c r="H1067" s="11" t="str">
        <f ca="1">IFERROR(__xludf.DUMMYFUNCTION("IFERROR(SUBSTITUTE(SUBSTITUTE(REGEXEXTRACT(A1067, ""[^-]+- [^-]+- [^-]+ - (.+?)\.jpg""), "".jpg"", """"), ""-"", "", ""), """")"),"")</f>
        <v/>
      </c>
      <c r="I1067" s="6"/>
      <c r="J1067" s="7" t="str">
        <f t="shared" ca="1" si="18"/>
        <v/>
      </c>
      <c r="K1067" s="7" t="str">
        <f t="shared" si="19"/>
        <v>88485313</v>
      </c>
      <c r="L1067" s="12" t="s">
        <v>5347</v>
      </c>
      <c r="M1067" s="13" t="str">
        <f ca="1">IFERROR(__xludf.DUMMYFUNCTION("TRIM(
  REGEXREPLACE(
    TEXTJOIN("" "",
      TRUE,
      B1067,
      C1067,
      embaralharLinks(E1067,F1067,G1067),
      H1067,
      """",
      J1067,
      N1067,
      ""#RIPNSFW""
    ),
  "",\s*"", "" "")
)"),"Lana Rhoades https://doodstream.com/d/zwqej4hkfdu9/88485313 https://lulustream.com/d/8n664uzd5btv https://streamtape.com/v/WQjYVbOB7yUgo6/88485313 #teen #brunette #blowjob #amateur #RIPNSFW")</f>
        <v>Lana Rhoades https://doodstream.com/d/zwqej4hkfdu9/88485313 https://lulustream.com/d/8n664uzd5btv https://streamtape.com/v/WQjYVbOB7yUgo6/88485313 #teen #brunette #blowjob #amateur #RIPNSFW</v>
      </c>
      <c r="N1067" s="2" t="s">
        <v>5347</v>
      </c>
      <c r="O1067" s="30" t="s">
        <v>5348</v>
      </c>
      <c r="P1067" s="26"/>
      <c r="R1067" s="23"/>
      <c r="T1067" s="6"/>
      <c r="U1067" s="7"/>
    </row>
    <row r="1068" spans="1:27" ht="15" customHeight="1">
      <c r="A1068" s="6" t="s">
        <v>5349</v>
      </c>
      <c r="B1068" s="6" t="s">
        <v>14</v>
      </c>
      <c r="C1068" s="7" t="str">
        <f t="shared" si="16"/>
        <v xml:space="preserve">Lana Rhoades </v>
      </c>
      <c r="D1068" s="6" t="s">
        <v>5350</v>
      </c>
      <c r="E1068" s="8" t="s">
        <v>5351</v>
      </c>
      <c r="F1068" s="9" t="str">
        <f ca="1">IFERROR(__xludf.DUMMYFUNCTION("""https://streamtape.com/v/""&amp;
REGEXEXTRACT(O1068,""/thumb/([^/]+)/"")&amp;
""/""&amp;K1068"),"https://streamtape.com/v/LM6aaLYJ1YHRk1G/95202033")</f>
        <v>https://streamtape.com/v/LM6aaLYJ1YHRk1G/95202033</v>
      </c>
      <c r="G1068" s="10" t="e">
        <f t="shared" ca="1" si="17"/>
        <v>#NAME?</v>
      </c>
      <c r="H1068" s="11" t="str">
        <f ca="1">IFERROR(__xludf.DUMMYFUNCTION("IFERROR(SUBSTITUTE(SUBSTITUTE(REGEXEXTRACT(A1068, ""[^-]+- [^-]+- [^-]+ - (.+?)\.jpg""), "".jpg"", """"), ""-"", "", ""), """")"),"")</f>
        <v/>
      </c>
      <c r="I1068" s="6"/>
      <c r="J1068" s="7" t="str">
        <f t="shared" ca="1" si="18"/>
        <v>(2026)</v>
      </c>
      <c r="K1068" s="7" t="str">
        <f t="shared" si="19"/>
        <v>95202033</v>
      </c>
      <c r="L1068" s="12" t="s">
        <v>5352</v>
      </c>
      <c r="M1068" s="13" t="str">
        <f ca="1">IFERROR(__xludf.DUMMYFUNCTION("TRIM(
  REGEXREPLACE(
    TEXTJOIN("" "",
      TRUE,
      B1068,
      C1068,
      embaralharLinks(E1068,F1068,G1068),
      H1068,
      """",
      J1068,
      N1068,
      ""#RIPNSFW""
    ),
  "",\s*"", "" "")
)"),"{New} Lana Rhoades https://lulustream.com/d/g7a2muj131ae https://streamtape.com/v/LM6aaLYJ1YHRk1G/95202033 https://doodstream.com/d/jwzutubqbw1q/95202033 (2026) #Anal #BigTits #Creampie #Hardcore #Bigass #RIPNSFW")</f>
        <v>{New} Lana Rhoades https://lulustream.com/d/g7a2muj131ae https://streamtape.com/v/LM6aaLYJ1YHRk1G/95202033 https://doodstream.com/d/jwzutubqbw1q/95202033 (2026) #Anal #BigTits #Creampie #Hardcore #Bigass #RIPNSFW</v>
      </c>
      <c r="N1068" s="14" t="s">
        <v>5353</v>
      </c>
      <c r="O1068" s="15" t="s">
        <v>5354</v>
      </c>
      <c r="P1068" s="14"/>
      <c r="Q1068" s="6"/>
      <c r="R1068" s="11"/>
      <c r="S1068" s="6"/>
      <c r="T1068" s="6"/>
      <c r="U1068" s="6"/>
      <c r="V1068" s="6"/>
      <c r="W1068" s="6"/>
      <c r="X1068" s="6"/>
      <c r="Y1068" s="6"/>
      <c r="Z1068" s="6"/>
      <c r="AA1068" s="6"/>
    </row>
    <row r="1069" spans="1:27" ht="15" customHeight="1">
      <c r="A1069" s="6" t="s">
        <v>5355</v>
      </c>
      <c r="B1069" s="6" t="s">
        <v>14</v>
      </c>
      <c r="C1069" s="7" t="str">
        <f t="shared" si="16"/>
        <v xml:space="preserve">Lanie Morgan </v>
      </c>
      <c r="D1069" s="6" t="s">
        <v>5356</v>
      </c>
      <c r="E1069" s="8" t="s">
        <v>5357</v>
      </c>
      <c r="F1069" s="9" t="str">
        <f ca="1">IFERROR(__xludf.DUMMYFUNCTION("""https://streamtape.com/v/""&amp;
REGEXEXTRACT(O1069,""/thumb/([^/]+)/"")&amp;
""/""&amp;K1069"),"https://streamtape.com/v/aY10XbDoBMTd46/99629422")</f>
        <v>https://streamtape.com/v/aY10XbDoBMTd46/99629422</v>
      </c>
      <c r="G1069" s="10" t="e">
        <f t="shared" ca="1" si="17"/>
        <v>#NAME?</v>
      </c>
      <c r="H1069" s="11" t="str">
        <f ca="1">IFERROR(__xludf.DUMMYFUNCTION("IFERROR(SUBSTITUTE(SUBSTITUTE(REGEXEXTRACT(A1069, ""[^-]+- [^-]+- [^-]+ - (.+?)\.jpg""), "".jpg"", """"), ""-"", "", ""), """")"),"")</f>
        <v/>
      </c>
      <c r="I1069" s="6"/>
      <c r="J1069" s="7" t="str">
        <f t="shared" ca="1" si="18"/>
        <v>(2026)</v>
      </c>
      <c r="K1069" s="7" t="str">
        <f t="shared" si="19"/>
        <v>99629422</v>
      </c>
      <c r="L1069" s="12" t="s">
        <v>5358</v>
      </c>
      <c r="M1069" s="13" t="str">
        <f ca="1">IFERROR(__xludf.DUMMYFUNCTION("TRIM(
  REGEXREPLACE(
    TEXTJOIN("" "",
      TRUE,
      B1069,
      C1069,
      embaralharLinks(E1069,F1069,G1069),
      H1069,
      """",
      J1069,
      N1069,
      ""#RIPNSFW""
    ),
  "",\s*"", "" "")
)"),"{New} Lanie Morgan https://doodstream.com/d/umbnde71eher/99629422 https://lulustream.com/d/433396slyt07 https://streamtape.com/v/aY10XbDoBMTd46/99629422 (2026) #BigTits #Hardcore #Creampie #Teen #Roleplay #Artporn #Blowjob #RIPNSFW")</f>
        <v>{New} Lanie Morgan https://doodstream.com/d/umbnde71eher/99629422 https://lulustream.com/d/433396slyt07 https://streamtape.com/v/aY10XbDoBMTd46/99629422 (2026) #BigTits #Hardcore #Creampie #Teen #Roleplay #Artporn #Blowjob #RIPNSFW</v>
      </c>
      <c r="N1069" s="14" t="s">
        <v>5359</v>
      </c>
      <c r="O1069" s="15" t="s">
        <v>5360</v>
      </c>
      <c r="P1069" s="14"/>
      <c r="Q1069" s="6"/>
      <c r="R1069" s="11"/>
      <c r="S1069" s="6"/>
      <c r="T1069" s="6"/>
      <c r="U1069" s="6"/>
      <c r="V1069" s="6"/>
      <c r="W1069" s="6"/>
      <c r="X1069" s="6"/>
      <c r="Y1069" s="6"/>
      <c r="Z1069" s="6"/>
      <c r="AA1069" s="6"/>
    </row>
    <row r="1070" spans="1:27" ht="15" customHeight="1">
      <c r="A1070" s="6" t="s">
        <v>5361</v>
      </c>
      <c r="B1070" s="6" t="s">
        <v>14</v>
      </c>
      <c r="C1070" s="7" t="str">
        <f t="shared" si="16"/>
        <v xml:space="preserve">LaSirena69 </v>
      </c>
      <c r="D1070" s="6" t="s">
        <v>5362</v>
      </c>
      <c r="E1070" s="8" t="s">
        <v>5363</v>
      </c>
      <c r="F1070" s="9" t="str">
        <f ca="1">IFERROR(__xludf.DUMMYFUNCTION("""https://streamtape.com/v/""&amp;
REGEXEXTRACT(O1070,""/thumb/([^/]+)/"")&amp;
""/""&amp;K1070"),"https://streamtape.com/v/6BKj82jlYvS99qz/20115278")</f>
        <v>https://streamtape.com/v/6BKj82jlYvS99qz/20115278</v>
      </c>
      <c r="G1070" s="10" t="e">
        <f t="shared" ca="1" si="17"/>
        <v>#NAME?</v>
      </c>
      <c r="H1070" s="11" t="str">
        <f ca="1">IFERROR(__xludf.DUMMYFUNCTION("IFERROR(SUBSTITUTE(SUBSTITUTE(REGEXEXTRACT(A1070, ""[^-]+- [^-]+- [^-]+ - (.+?)\.jpg""), "".jpg"", """"), ""-"", "", ""), """")"),"Keisha Grey")</f>
        <v>Keisha Grey</v>
      </c>
      <c r="I1070" s="6"/>
      <c r="J1070" s="7" t="str">
        <f t="shared" ca="1" si="18"/>
        <v>(2026)</v>
      </c>
      <c r="K1070" s="7" t="str">
        <f t="shared" si="19"/>
        <v>20115278</v>
      </c>
      <c r="L1070" s="12" t="s">
        <v>5364</v>
      </c>
      <c r="M1070" s="13" t="str">
        <f ca="1">IFERROR(__xludf.DUMMYFUNCTION("TRIM(
  REGEXREPLACE(
    TEXTJOIN("" "",
      TRUE,
      B1070,
      C1070,
      embaralharLinks(E1070,F1070,G1070),
      H1070,
      """",
      J1070,
      N1070,
      ""#RIPNSFW""
    ),
  "",\s*"", "" "")
)"),"{New} LaSirena69 https://lulustream.com/d/ug6dfdg12xv2 https://streamtape.com/v/6BKj82jlYvS99qz/20115278 https://doodstream.com/d/37t5g1t9g21w/20115278 Keisha Grey (2026) #MILF #BigTits #Hardcore #Threesome #Bigass #Latina #Blowjob #RIPNSFW")</f>
        <v>{New} LaSirena69 https://lulustream.com/d/ug6dfdg12xv2 https://streamtape.com/v/6BKj82jlYvS99qz/20115278 https://doodstream.com/d/37t5g1t9g21w/20115278 Keisha Grey (2026) #MILF #BigTits #Hardcore #Threesome #Bigass #Latina #Blowjob #RIPNSFW</v>
      </c>
      <c r="N1070" s="14" t="s">
        <v>5365</v>
      </c>
      <c r="O1070" s="15" t="s">
        <v>5366</v>
      </c>
      <c r="P1070" s="14"/>
      <c r="Q1070" s="6"/>
      <c r="R1070" s="11"/>
      <c r="S1070" s="6"/>
      <c r="T1070" s="6"/>
      <c r="U1070" s="6"/>
      <c r="V1070" s="6"/>
      <c r="W1070" s="6"/>
      <c r="X1070" s="6"/>
      <c r="Y1070" s="6"/>
      <c r="Z1070" s="6"/>
      <c r="AA1070" s="6"/>
    </row>
    <row r="1071" spans="1:27" ht="15" customHeight="1">
      <c r="A1071" s="6" t="s">
        <v>5367</v>
      </c>
      <c r="B1071" s="6" t="s">
        <v>14</v>
      </c>
      <c r="C1071" s="7" t="str">
        <f t="shared" si="16"/>
        <v xml:space="preserve">LaSirena69 </v>
      </c>
      <c r="D1071" s="6" t="s">
        <v>5368</v>
      </c>
      <c r="E1071" s="8" t="s">
        <v>5369</v>
      </c>
      <c r="F1071" s="9" t="str">
        <f ca="1">IFERROR(__xludf.DUMMYFUNCTION("""https://streamtape.com/v/""&amp;
REGEXEXTRACT(O1071,""/thumb/([^/]+)/"")&amp;
""/""&amp;K1071"),"https://streamtape.com/v/LDQx07O2zXhRoaX/22949278")</f>
        <v>https://streamtape.com/v/LDQx07O2zXhRoaX/22949278</v>
      </c>
      <c r="G1071" s="10" t="e">
        <f t="shared" ca="1" si="17"/>
        <v>#NAME?</v>
      </c>
      <c r="H1071" s="11" t="str">
        <f ca="1">IFERROR(__xludf.DUMMYFUNCTION("IFERROR(SUBSTITUTE(SUBSTITUTE(REGEXEXTRACT(A1071, ""[^-]+- [^-]+- [^-]+ - (.+?)\.jpg""), "".jpg"", """"), ""-"", "", ""), """")"),"")</f>
        <v/>
      </c>
      <c r="I1071" s="6"/>
      <c r="J1071" s="7" t="str">
        <f t="shared" ca="1" si="18"/>
        <v>(2026)</v>
      </c>
      <c r="K1071" s="7" t="str">
        <f t="shared" si="19"/>
        <v>22949278</v>
      </c>
      <c r="L1071" s="12" t="s">
        <v>5370</v>
      </c>
      <c r="M1071" s="13" t="str">
        <f ca="1">IFERROR(__xludf.DUMMYFUNCTION("TRIM(
  REGEXREPLACE(
    TEXTJOIN("" "",
      TRUE,
      B1071,
      C1071,
      embaralharLinks(E1071,F1071,G1071),
      H1071,
      """",
      J1071,
      N1071,
      ""#RIPNSFW""
    ),
  "",\s*"", "" "")
)"),"{New} LaSirena69 https://doodstream.com/d/6mt8vg9tyoba/22949278 https://streamtape.com/v/LDQx07O2zXhRoaX/22949278 https://lulustream.com/d/2uux38n9r9p6 (2026) #MILF #BigTits #Hardcore #Bigass #RIPNSFW")</f>
        <v>{New} LaSirena69 https://doodstream.com/d/6mt8vg9tyoba/22949278 https://streamtape.com/v/LDQx07O2zXhRoaX/22949278 https://lulustream.com/d/2uux38n9r9p6 (2026) #MILF #BigTits #Hardcore #Bigass #RIPNSFW</v>
      </c>
      <c r="N1071" s="14" t="s">
        <v>128</v>
      </c>
      <c r="O1071" s="15" t="s">
        <v>5371</v>
      </c>
      <c r="P1071" s="14"/>
      <c r="Q1071" s="6"/>
      <c r="R1071" s="11"/>
      <c r="S1071" s="6"/>
      <c r="T1071" s="6"/>
      <c r="U1071" s="6"/>
      <c r="V1071" s="6"/>
      <c r="W1071" s="6"/>
      <c r="X1071" s="6"/>
      <c r="Y1071" s="6"/>
      <c r="Z1071" s="6"/>
      <c r="AA1071" s="6"/>
    </row>
    <row r="1072" spans="1:27" ht="15" customHeight="1">
      <c r="A1072" s="6" t="s">
        <v>5372</v>
      </c>
      <c r="B1072" s="6" t="s">
        <v>14</v>
      </c>
      <c r="C1072" s="7" t="str">
        <f t="shared" si="16"/>
        <v xml:space="preserve">LaSirena69 </v>
      </c>
      <c r="D1072" s="6" t="s">
        <v>5373</v>
      </c>
      <c r="E1072" s="8" t="s">
        <v>5374</v>
      </c>
      <c r="F1072" s="9" t="str">
        <f ca="1">IFERROR(__xludf.DUMMYFUNCTION("""https://streamtape.com/v/""&amp;
REGEXEXTRACT(O1072,""/thumb/([^/]+)/"")&amp;
""/""&amp;K1072"),"https://streamtape.com/v/MXBlXmzegdSmW9G/35812000")</f>
        <v>https://streamtape.com/v/MXBlXmzegdSmW9G/35812000</v>
      </c>
      <c r="G1072" s="10" t="e">
        <f t="shared" ca="1" si="17"/>
        <v>#NAME?</v>
      </c>
      <c r="H1072" s="11" t="str">
        <f ca="1">IFERROR(__xludf.DUMMYFUNCTION("IFERROR(SUBSTITUTE(SUBSTITUTE(REGEXEXTRACT(A1072, ""[^-]+- [^-]+- [^-]+ - (.+?)\.jpg""), "".jpg"", """"), ""-"", "", ""), """")"),"")</f>
        <v/>
      </c>
      <c r="I1072" s="6"/>
      <c r="J1072" s="7" t="str">
        <f t="shared" ca="1" si="18"/>
        <v>(2026)</v>
      </c>
      <c r="K1072" s="7" t="str">
        <f t="shared" si="19"/>
        <v>35812000</v>
      </c>
      <c r="L1072" s="12" t="s">
        <v>5375</v>
      </c>
      <c r="M1072" s="13" t="str">
        <f ca="1">IFERROR(__xludf.DUMMYFUNCTION("TRIM(
  REGEXREPLACE(
    TEXTJOIN("" "",
      TRUE,
      B1072,
      C1072,
      embaralharLinks(E1072,F1072,G1072),
      H1072,
      """",
      J1072,
      N1072,
      ""#RIPNSFW""
    ),
  "",\s*"", "" "")
)"),"{New} LaSirena69 https://doodstream.com/d/4dggl4q59loj/35812000 https://streamtape.com/v/MXBlXmzegdSmW9G/35812000 https://lulustream.com/d/vvhc51aphy1j (2026) #Anal #MILF #BigTits #Creampie #Hardcore #Bigass #Latina #Blowjob #Stepmom #Amateur #RIPNSFW")</f>
        <v>{New} LaSirena69 https://doodstream.com/d/4dggl4q59loj/35812000 https://streamtape.com/v/MXBlXmzegdSmW9G/35812000 https://lulustream.com/d/vvhc51aphy1j (2026) #Anal #MILF #BigTits #Creampie #Hardcore #Bigass #Latina #Blowjob #Stepmom #Amateur #RIPNSFW</v>
      </c>
      <c r="N1072" s="14" t="s">
        <v>5376</v>
      </c>
      <c r="O1072" s="15" t="s">
        <v>5377</v>
      </c>
      <c r="P1072" s="14"/>
      <c r="Q1072" s="6"/>
      <c r="R1072" s="11"/>
      <c r="S1072" s="6"/>
      <c r="T1072" s="6"/>
      <c r="U1072" s="6"/>
      <c r="V1072" s="6"/>
      <c r="W1072" s="6"/>
      <c r="X1072" s="6"/>
      <c r="Y1072" s="6"/>
      <c r="Z1072" s="6"/>
      <c r="AA1072" s="6"/>
    </row>
    <row r="1073" spans="1:27" ht="15" customHeight="1">
      <c r="A1073" s="6" t="s">
        <v>5378</v>
      </c>
      <c r="B1073" s="6" t="s">
        <v>14</v>
      </c>
      <c r="C1073" s="7" t="str">
        <f t="shared" si="16"/>
        <v xml:space="preserve">LaSirena69 </v>
      </c>
      <c r="D1073" s="6" t="s">
        <v>5379</v>
      </c>
      <c r="E1073" s="8" t="s">
        <v>5380</v>
      </c>
      <c r="F1073" s="9" t="str">
        <f ca="1">IFERROR(__xludf.DUMMYFUNCTION("""https://streamtape.com/v/""&amp;
REGEXEXTRACT(O1073,""/thumb/([^/]+)/"")&amp;
""/""&amp;K1073"),"https://streamtape.com/v/jVgyw9aV9yT2Qy/42144025")</f>
        <v>https://streamtape.com/v/jVgyw9aV9yT2Qy/42144025</v>
      </c>
      <c r="G1073" s="10" t="e">
        <f t="shared" ca="1" si="17"/>
        <v>#NAME?</v>
      </c>
      <c r="H1073" s="11" t="str">
        <f ca="1">IFERROR(__xludf.DUMMYFUNCTION("IFERROR(SUBSTITUTE(SUBSTITUTE(REGEXEXTRACT(A1073, ""[^-]+- [^-]+- [^-]+ - (.+?)\.jpg""), "".jpg"", """"), ""-"", "", ""), """")"),"")</f>
        <v/>
      </c>
      <c r="I1073" s="6"/>
      <c r="J1073" s="7" t="str">
        <f t="shared" ca="1" si="18"/>
        <v>(2026)</v>
      </c>
      <c r="K1073" s="7" t="str">
        <f t="shared" si="19"/>
        <v>42144025</v>
      </c>
      <c r="L1073" s="12" t="s">
        <v>5381</v>
      </c>
      <c r="M1073" s="13" t="str">
        <f ca="1">IFERROR(__xludf.DUMMYFUNCTION("TRIM(
  REGEXREPLACE(
    TEXTJOIN("" "",
      TRUE,
      B1073,
      C1073,
      embaralharLinks(E1073,F1073,G1073),
      H1073,
      """",
      J1073,
      N1073,
      ""#RIPNSFW""
    ),
  "",\s*"", "" "")
)"),"{New} LaSirena69 https://lulustream.com/d/2w7lf82l7yi1 https://doodstream.com/d/1uguistzryoh/42144025 https://streamtape.com/v/jVgyw9aV9yT2Qy/42144025 (2026) #MILF #BigTits #Hardcore #Bigass #Latina #Roleplay #Blowjob #RIPNSFW")</f>
        <v>{New} LaSirena69 https://lulustream.com/d/2w7lf82l7yi1 https://doodstream.com/d/1uguistzryoh/42144025 https://streamtape.com/v/jVgyw9aV9yT2Qy/42144025 (2026) #MILF #BigTits #Hardcore #Bigass #Latina #Roleplay #Blowjob #RIPNSFW</v>
      </c>
      <c r="N1073" s="14" t="s">
        <v>5382</v>
      </c>
      <c r="O1073" s="15" t="s">
        <v>5383</v>
      </c>
      <c r="P1073" s="14"/>
      <c r="Q1073" s="6"/>
      <c r="R1073" s="11"/>
      <c r="S1073" s="6"/>
      <c r="T1073" s="6"/>
      <c r="U1073" s="6"/>
      <c r="V1073" s="6"/>
      <c r="W1073" s="6"/>
      <c r="X1073" s="6"/>
      <c r="Y1073" s="6"/>
      <c r="Z1073" s="6"/>
      <c r="AA1073" s="6"/>
    </row>
    <row r="1074" spans="1:27" ht="12.75">
      <c r="A1074" s="12" t="s">
        <v>5384</v>
      </c>
      <c r="B1074" s="6" t="s">
        <v>14</v>
      </c>
      <c r="C1074" s="7" t="str">
        <f t="shared" si="16"/>
        <v xml:space="preserve">LaSirena69 </v>
      </c>
      <c r="D1074" s="24" t="s">
        <v>5385</v>
      </c>
      <c r="E1074" s="25" t="s">
        <v>5386</v>
      </c>
      <c r="F1074" s="9" t="str">
        <f ca="1">IFERROR(__xludf.DUMMYFUNCTION("""https://streamtape.com/v/""&amp;
REGEXEXTRACT(O1074,""/thumb/([^/]+)/"")&amp;
""/""&amp;K1074"),"https://streamtape.com/v/zDk4LO6YJvsX0B/51141387")</f>
        <v>https://streamtape.com/v/zDk4LO6YJvsX0B/51141387</v>
      </c>
      <c r="G1074" s="10" t="e">
        <f t="shared" ca="1" si="17"/>
        <v>#NAME?</v>
      </c>
      <c r="H1074" s="11" t="str">
        <f ca="1">IFERROR(__xludf.DUMMYFUNCTION("IFERROR(SUBSTITUTE(SUBSTITUTE(REGEXEXTRACT(A1074, ""[^-]+- [^-]+- [^-]+ - (.+?)\.jpg""), "".jpg"", """"), ""-"", "", ""), """")"),"")</f>
        <v/>
      </c>
      <c r="I1074" s="6"/>
      <c r="J1074" s="7" t="str">
        <f t="shared" ca="1" si="18"/>
        <v>(2026)</v>
      </c>
      <c r="K1074" s="7" t="str">
        <f t="shared" si="19"/>
        <v>51141387</v>
      </c>
      <c r="L1074" s="12" t="s">
        <v>5387</v>
      </c>
      <c r="M1074" s="13" t="str">
        <f ca="1">IFERROR(__xludf.DUMMYFUNCTION("TRIM(
  REGEXREPLACE(
    TEXTJOIN("" "",
      TRUE,
      B1074,
      C1074,
      embaralharLinks(E1074,F1074,G1074),
      H1074,
      """",
      J1074,
      N1074,
      ""#RIPNSFW""
    ),
  "",\s*"", "" "")
)"),"{New} LaSirena69 https://streamtape.com/v/zDk4LO6YJvsX0B/51141387 https://doodstream.com/d/u0y83df6m8b1/51141387 https://lulustream.com/d/hiccwmsigyvq (2026) #milf #pov #blowjob #brunette #RIPNSFW")</f>
        <v>{New} LaSirena69 https://streamtape.com/v/zDk4LO6YJvsX0B/51141387 https://doodstream.com/d/u0y83df6m8b1/51141387 https://lulustream.com/d/hiccwmsigyvq (2026) #milf #pov #blowjob #brunette #RIPNSFW</v>
      </c>
      <c r="N1074" s="2" t="s">
        <v>5387</v>
      </c>
      <c r="O1074" s="21" t="s">
        <v>5388</v>
      </c>
      <c r="P1074" s="26"/>
      <c r="R1074" s="23"/>
    </row>
    <row r="1075" spans="1:27" ht="12.75">
      <c r="A1075" s="6" t="s">
        <v>5389</v>
      </c>
      <c r="B1075" s="6" t="s">
        <v>14</v>
      </c>
      <c r="C1075" s="7" t="str">
        <f t="shared" si="16"/>
        <v xml:space="preserve">LaSirena69 </v>
      </c>
      <c r="D1075" s="6" t="s">
        <v>5390</v>
      </c>
      <c r="E1075" s="8" t="s">
        <v>5391</v>
      </c>
      <c r="F1075" s="9" t="str">
        <f ca="1">IFERROR(__xludf.DUMMYFUNCTION("""https://streamtape.com/v/""&amp;
REGEXEXTRACT(O1075,""/thumb/([^/]+)/"")&amp;
""/""&amp;K1075"),"https://streamtape.com/v/81j8jOGwjaFogal/54968486")</f>
        <v>https://streamtape.com/v/81j8jOGwjaFogal/54968486</v>
      </c>
      <c r="G1075" s="10" t="e">
        <f t="shared" ca="1" si="17"/>
        <v>#NAME?</v>
      </c>
      <c r="H1075" s="11" t="str">
        <f ca="1">IFERROR(__xludf.DUMMYFUNCTION("IFERROR(SUBSTITUTE(SUBSTITUTE(REGEXEXTRACT(A1075, ""[^-]+- [^-]+- [^-]+ - (.+?)\.jpg""), "".jpg"", """"), ""-"", "", ""), """")"),"Lena the plug")</f>
        <v>Lena the plug</v>
      </c>
      <c r="I1075" s="6"/>
      <c r="J1075" s="7" t="str">
        <f t="shared" ca="1" si="18"/>
        <v>(2026)</v>
      </c>
      <c r="K1075" s="7" t="str">
        <f t="shared" si="19"/>
        <v>54968486</v>
      </c>
      <c r="L1075" s="12" t="s">
        <v>5392</v>
      </c>
      <c r="M1075" s="13" t="str">
        <f ca="1">IFERROR(__xludf.DUMMYFUNCTION("TRIM(
  REGEXREPLACE(
    TEXTJOIN("" "",
      TRUE,
      B1075,
      C1075,
      embaralharLinks(E1075,F1075,G1075),
      H1075,
      """",
      J1075,
      N1075,
      ""#RIPNSFW""
    ),
  "",\s*"", "" "")
)"),"{New} LaSirena69 https://doodstream.com/d/y2bxr0naqv2n/54968486 https://lulustream.com/d/swcjioeh648y https://streamtape.com/v/81j8jOGwjaFogal/54968486 Lena the plug (2026) #MILF #BigTits #Hardcore #Threesome #Bigass #Latina #Amateur #Facial #Blowjob #RIP"&amp;"NSFW")</f>
        <v>{New} LaSirena69 https://doodstream.com/d/y2bxr0naqv2n/54968486 https://lulustream.com/d/swcjioeh648y https://streamtape.com/v/81j8jOGwjaFogal/54968486 Lena the plug (2026) #MILF #BigTits #Hardcore #Threesome #Bigass #Latina #Amateur #Facial #Blowjob #RIPNSFW</v>
      </c>
      <c r="N1075" s="14" t="s">
        <v>5393</v>
      </c>
      <c r="O1075" s="15" t="s">
        <v>5394</v>
      </c>
      <c r="P1075" s="14"/>
      <c r="Q1075" s="6"/>
      <c r="R1075" s="11"/>
      <c r="S1075" s="6"/>
      <c r="T1075" s="6"/>
      <c r="U1075" s="6"/>
      <c r="V1075" s="6"/>
      <c r="W1075" s="6"/>
      <c r="X1075" s="6"/>
      <c r="Y1075" s="6"/>
      <c r="Z1075" s="6"/>
      <c r="AA1075" s="6"/>
    </row>
    <row r="1076" spans="1:27" ht="12.75">
      <c r="A1076" s="6" t="s">
        <v>5395</v>
      </c>
      <c r="B1076" s="6" t="s">
        <v>14</v>
      </c>
      <c r="C1076" s="7" t="str">
        <f t="shared" si="16"/>
        <v xml:space="preserve">LaSirena69 </v>
      </c>
      <c r="D1076" s="6" t="s">
        <v>5396</v>
      </c>
      <c r="E1076" s="8" t="s">
        <v>5397</v>
      </c>
      <c r="F1076" s="9" t="str">
        <f ca="1">IFERROR(__xludf.DUMMYFUNCTION("""https://streamtape.com/v/""&amp;
REGEXEXTRACT(O1076,""/thumb/([^/]+)/"")&amp;
""/""&amp;K1076"),"https://streamtape.com/v/8XBj3k4GJWcoBPl/61463431")</f>
        <v>https://streamtape.com/v/8XBj3k4GJWcoBPl/61463431</v>
      </c>
      <c r="G1076" s="10" t="e">
        <f t="shared" ca="1" si="17"/>
        <v>#NAME?</v>
      </c>
      <c r="H1076" s="11" t="str">
        <f ca="1">IFERROR(__xludf.DUMMYFUNCTION("IFERROR(SUBSTITUTE(SUBSTITUTE(REGEXEXTRACT(A1076, ""[^-]+- [^-]+- [^-]+ - (.+?)\.jpg""), "".jpg"", """"), ""-"", "", ""), """")"),"")</f>
        <v/>
      </c>
      <c r="I1076" s="6"/>
      <c r="J1076" s="7" t="str">
        <f t="shared" ca="1" si="18"/>
        <v>(2026)</v>
      </c>
      <c r="K1076" s="7" t="str">
        <f t="shared" si="19"/>
        <v>61463431</v>
      </c>
      <c r="L1076" s="12" t="s">
        <v>5398</v>
      </c>
      <c r="M1076" s="13" t="str">
        <f ca="1">IFERROR(__xludf.DUMMYFUNCTION("TRIM(
  REGEXREPLACE(
    TEXTJOIN("" "",
      TRUE,
      B1076,
      C1076,
      embaralharLinks(E1076,F1076,G1076),
      H1076,
      """",
      J1076,
      N1076,
      ""#RIPNSFW""
    ),
  "",\s*"", "" "")
)"),"{New} LaSirena69 https://streamtape.com/v/8XBj3k4GJWcoBPl/61463431 https://lulustream.com/d/2a197z6v0yal https://doodstream.com/d/jhlo6j6xqbhr/61463431 (2026) #MILF #BigTits #Hardcore #Black #Threesome #Interracial #RIPNSFW")</f>
        <v>{New} LaSirena69 https://streamtape.com/v/8XBj3k4GJWcoBPl/61463431 https://lulustream.com/d/2a197z6v0yal https://doodstream.com/d/jhlo6j6xqbhr/61463431 (2026) #MILF #BigTits #Hardcore #Black #Threesome #Interracial #RIPNSFW</v>
      </c>
      <c r="N1076" s="14" t="s">
        <v>5399</v>
      </c>
      <c r="O1076" s="15" t="s">
        <v>5400</v>
      </c>
      <c r="P1076" s="14"/>
      <c r="Q1076" s="6"/>
      <c r="R1076" s="11"/>
      <c r="S1076" s="6"/>
      <c r="T1076" s="6"/>
      <c r="U1076" s="6"/>
      <c r="V1076" s="6"/>
      <c r="W1076" s="6"/>
      <c r="X1076" s="6"/>
      <c r="Y1076" s="6"/>
      <c r="Z1076" s="6"/>
      <c r="AA1076" s="6"/>
    </row>
    <row r="1077" spans="1:27" ht="12.75">
      <c r="A1077" s="6" t="s">
        <v>5401</v>
      </c>
      <c r="B1077" s="6" t="s">
        <v>14</v>
      </c>
      <c r="C1077" s="7" t="str">
        <f t="shared" si="16"/>
        <v xml:space="preserve">LaSirena69 </v>
      </c>
      <c r="D1077" s="6" t="s">
        <v>5402</v>
      </c>
      <c r="E1077" s="8" t="s">
        <v>5403</v>
      </c>
      <c r="F1077" s="9" t="str">
        <f ca="1">IFERROR(__xludf.DUMMYFUNCTION("""https://streamtape.com/v/""&amp;
REGEXEXTRACT(O1077,""/thumb/([^/]+)/"")&amp;
""/""&amp;K1077"),"https://streamtape.com/v/9jVZJM6DmkFaaq4/78164881")</f>
        <v>https://streamtape.com/v/9jVZJM6DmkFaaq4/78164881</v>
      </c>
      <c r="G1077" s="10" t="e">
        <f t="shared" ca="1" si="17"/>
        <v>#NAME?</v>
      </c>
      <c r="H1077" s="11" t="str">
        <f ca="1">IFERROR(__xludf.DUMMYFUNCTION("IFERROR(SUBSTITUTE(SUBSTITUTE(REGEXEXTRACT(A1077, ""[^-]+- [^-]+- [^-]+ - (.+?)\.jpg""), "".jpg"", """"), ""-"", "", ""), """")"),"")</f>
        <v/>
      </c>
      <c r="I1077" s="6"/>
      <c r="J1077" s="7" t="str">
        <f t="shared" ca="1" si="18"/>
        <v>(2026)</v>
      </c>
      <c r="K1077" s="7" t="str">
        <f t="shared" si="19"/>
        <v>78164881</v>
      </c>
      <c r="L1077" s="12" t="s">
        <v>5370</v>
      </c>
      <c r="M1077" s="13" t="str">
        <f ca="1">IFERROR(__xludf.DUMMYFUNCTION("TRIM(
  REGEXREPLACE(
    TEXTJOIN("" "",
      TRUE,
      B1077,
      C1077,
      embaralharLinks(E1077,F1077,G1077),
      H1077,
      """",
      J1077,
      N1077,
      ""#RIPNSFW""
    ),
  "",\s*"", "" "")
)"),"{New} LaSirena69 https://doodstream.com/d/8ue93x3b799w/78164881 https://lulustream.com/d/fh9pivuncijh https://streamtape.com/v/9jVZJM6DmkFaaq4/78164881 (2026) #MILF #BigTits #Hardcore #Bigass #Latina #Blowjob #Amateur #Facial #RIPNSFW")</f>
        <v>{New} LaSirena69 https://doodstream.com/d/8ue93x3b799w/78164881 https://lulustream.com/d/fh9pivuncijh https://streamtape.com/v/9jVZJM6DmkFaaq4/78164881 (2026) #MILF #BigTits #Hardcore #Bigass #Latina #Blowjob #Amateur #Facial #RIPNSFW</v>
      </c>
      <c r="N1077" s="14" t="s">
        <v>5404</v>
      </c>
      <c r="O1077" s="15" t="s">
        <v>5405</v>
      </c>
      <c r="P1077" s="14"/>
      <c r="Q1077" s="6"/>
      <c r="R1077" s="11"/>
      <c r="S1077" s="6"/>
      <c r="T1077" s="6"/>
      <c r="U1077" s="6"/>
      <c r="V1077" s="6"/>
      <c r="W1077" s="6"/>
      <c r="X1077" s="6"/>
      <c r="Y1077" s="6"/>
      <c r="Z1077" s="6"/>
      <c r="AA1077" s="6"/>
    </row>
    <row r="1078" spans="1:27" ht="12.75">
      <c r="A1078" s="6" t="s">
        <v>5406</v>
      </c>
      <c r="B1078" s="6" t="s">
        <v>14</v>
      </c>
      <c r="C1078" s="7" t="str">
        <f t="shared" si="16"/>
        <v xml:space="preserve">LaSirena69 </v>
      </c>
      <c r="D1078" s="6" t="s">
        <v>5407</v>
      </c>
      <c r="E1078" s="8" t="s">
        <v>5408</v>
      </c>
      <c r="F1078" s="9" t="str">
        <f ca="1">IFERROR(__xludf.DUMMYFUNCTION("""https://streamtape.com/v/""&amp;
REGEXEXTRACT(O1078,""/thumb/([^/]+)/"")&amp;
""/""&amp;K1078"),"https://streamtape.com/v/a2qWWQlpdytxqpx/91388699")</f>
        <v>https://streamtape.com/v/a2qWWQlpdytxqpx/91388699</v>
      </c>
      <c r="G1078" s="10" t="e">
        <f t="shared" ca="1" si="17"/>
        <v>#NAME?</v>
      </c>
      <c r="H1078" s="11" t="str">
        <f ca="1">IFERROR(__xludf.DUMMYFUNCTION("IFERROR(SUBSTITUTE(SUBSTITUTE(REGEXEXTRACT(A1078, ""[^-]+- [^-]+- [^-]+ - (.+?)\.jpg""), "".jpg"", """"), ""-"", "", ""), """")"),"")</f>
        <v/>
      </c>
      <c r="I1078" s="6"/>
      <c r="J1078" s="7" t="str">
        <f t="shared" ca="1" si="18"/>
        <v>(2026)</v>
      </c>
      <c r="K1078" s="7" t="str">
        <f t="shared" si="19"/>
        <v>91388699</v>
      </c>
      <c r="L1078" s="12" t="s">
        <v>5409</v>
      </c>
      <c r="M1078" s="13" t="str">
        <f ca="1">IFERROR(__xludf.DUMMYFUNCTION("TRIM(
  REGEXREPLACE(
    TEXTJOIN("" "",
      TRUE,
      B1078,
      C1078,
      embaralharLinks(E1078,F1078,G1078),
      H1078,
      """",
      J1078,
      N1078,
      ""#RIPNSFW""
    ),
  "",\s*"", "" "")
)"),"{New} LaSirena69 https://lulustream.com/d/m0trvrmye187 https://doodstream.com/d/7sto15l1aa8j/91388699 https://streamtape.com/v/a2qWWQlpdytxqpx/91388699 (2026) #MILF #BigTits #Anal #Hardcore #Bigass #Latina #Blowjob #RIPNSFW")</f>
        <v>{New} LaSirena69 https://lulustream.com/d/m0trvrmye187 https://doodstream.com/d/7sto15l1aa8j/91388699 https://streamtape.com/v/a2qWWQlpdytxqpx/91388699 (2026) #MILF #BigTits #Anal #Hardcore #Bigass #Latina #Blowjob #RIPNSFW</v>
      </c>
      <c r="N1078" s="14" t="s">
        <v>5410</v>
      </c>
      <c r="O1078" s="15" t="s">
        <v>5411</v>
      </c>
      <c r="P1078" s="14"/>
      <c r="Q1078" s="6"/>
      <c r="R1078" s="11"/>
      <c r="S1078" s="6"/>
      <c r="T1078" s="6"/>
      <c r="U1078" s="6"/>
      <c r="V1078" s="6"/>
      <c r="W1078" s="6"/>
      <c r="X1078" s="6"/>
      <c r="Y1078" s="6"/>
      <c r="Z1078" s="6"/>
      <c r="AA1078" s="6"/>
    </row>
    <row r="1079" spans="1:27" ht="12.75">
      <c r="A1079" s="6" t="s">
        <v>5412</v>
      </c>
      <c r="B1079" s="6" t="s">
        <v>14</v>
      </c>
      <c r="C1079" s="7" t="str">
        <f t="shared" si="16"/>
        <v xml:space="preserve">Laura </v>
      </c>
      <c r="D1079" s="6" t="s">
        <v>5413</v>
      </c>
      <c r="E1079" s="8" t="s">
        <v>5414</v>
      </c>
      <c r="F1079" s="9" t="str">
        <f ca="1">IFERROR(__xludf.DUMMYFUNCTION("""https://streamtape.com/v/""&amp;
REGEXEXTRACT(O1079,""/thumb/([^/]+)/"")&amp;
""/""&amp;K1079"),"https://streamtape.com/v/jOolWryOmVFDG9/60887387")</f>
        <v>https://streamtape.com/v/jOolWryOmVFDG9/60887387</v>
      </c>
      <c r="G1079" s="10" t="e">
        <f t="shared" ca="1" si="17"/>
        <v>#NAME?</v>
      </c>
      <c r="H1079" s="11" t="str">
        <f ca="1">IFERROR(__xludf.DUMMYFUNCTION("IFERROR(SUBSTITUTE(SUBSTITUTE(REGEXEXTRACT(A1079, ""[^-]+- [^-]+- [^-]+ - (.+?)\.jpg""), "".jpg"", """"), ""-"", "", ""), """")"),"")</f>
        <v/>
      </c>
      <c r="I1079" s="6"/>
      <c r="J1079" s="7" t="str">
        <f t="shared" ca="1" si="18"/>
        <v>(2026)</v>
      </c>
      <c r="K1079" s="7" t="str">
        <f t="shared" si="19"/>
        <v>60887387</v>
      </c>
      <c r="L1079" s="12" t="s">
        <v>5415</v>
      </c>
      <c r="M1079" s="13" t="str">
        <f ca="1">IFERROR(__xludf.DUMMYFUNCTION("TRIM(
  REGEXREPLACE(
    TEXTJOIN("" "",
      TRUE,
      B1079,
      C1079,
      embaralharLinks(E1079,F1079,G1079),
      H1079,
      """",
      J1079,
      N1079,
      ""#RIPNSFW""
    ),
  "",\s*"", "" "")
)"),"{New} Laura https://doodstream.com/d/5iq2n58ufh4l/60887387 https://lulustream.com/d/gek3vp15apdx https://streamtape.com/v/jOolWryOmVFDG9/60887387 (2026) #Anal #MILF #BigTits #Creampie #Hardcore #Bigass #RIPNSFW")</f>
        <v>{New} Laura https://doodstream.com/d/5iq2n58ufh4l/60887387 https://lulustream.com/d/gek3vp15apdx https://streamtape.com/v/jOolWryOmVFDG9/60887387 (2026) #Anal #MILF #BigTits #Creampie #Hardcore #Bigass #RIPNSFW</v>
      </c>
      <c r="N1079" s="14" t="s">
        <v>5416</v>
      </c>
      <c r="O1079" s="15" t="s">
        <v>5417</v>
      </c>
      <c r="P1079" s="14"/>
      <c r="Q1079" s="6"/>
      <c r="R1079" s="11"/>
      <c r="S1079" s="6"/>
      <c r="T1079" s="6"/>
      <c r="U1079" s="6"/>
      <c r="V1079" s="6"/>
      <c r="W1079" s="6"/>
      <c r="X1079" s="6"/>
      <c r="Y1079" s="6"/>
      <c r="Z1079" s="6"/>
      <c r="AA1079" s="6"/>
    </row>
    <row r="1080" spans="1:27" ht="12.75">
      <c r="A1080" s="12" t="s">
        <v>5418</v>
      </c>
      <c r="B1080" s="6" t="s">
        <v>14</v>
      </c>
      <c r="C1080" s="7" t="str">
        <f t="shared" si="16"/>
        <v xml:space="preserve">Lauren Phillips </v>
      </c>
      <c r="D1080" s="24" t="s">
        <v>5419</v>
      </c>
      <c r="E1080" s="25" t="s">
        <v>5420</v>
      </c>
      <c r="F1080" s="9" t="str">
        <f ca="1">IFERROR(__xludf.DUMMYFUNCTION("""https://streamtape.com/v/""&amp;
REGEXEXTRACT(O1080,""/thumb/([^/]+)/"")&amp;
""/""&amp;K1080"),"https://streamtape.com/v/kowyqKdelPTOqww/11178968")</f>
        <v>https://streamtape.com/v/kowyqKdelPTOqww/11178968</v>
      </c>
      <c r="G1080" s="10" t="e">
        <f t="shared" ca="1" si="17"/>
        <v>#NAME?</v>
      </c>
      <c r="H1080" s="11" t="str">
        <f ca="1">IFERROR(__xludf.DUMMYFUNCTION("IFERROR(SUBSTITUTE(SUBSTITUTE(REGEXEXTRACT(A1080, ""[^-]+- [^-]+- [^-]+ - (.+?)\.jpg""), "".jpg"", """"), ""-"", "", ""), """")"),"")</f>
        <v/>
      </c>
      <c r="I1080" s="6"/>
      <c r="J1080" s="7" t="str">
        <f t="shared" ca="1" si="18"/>
        <v>(2026)</v>
      </c>
      <c r="K1080" s="7" t="str">
        <f t="shared" si="19"/>
        <v>11178968</v>
      </c>
      <c r="L1080" s="12" t="s">
        <v>2291</v>
      </c>
      <c r="M1080" s="13" t="str">
        <f ca="1">IFERROR(__xludf.DUMMYFUNCTION("TRIM(
  REGEXREPLACE(
    TEXTJOIN("" "",
      TRUE,
      B1080,
      C1080,
      embaralharLinks(E1080,F1080,G1080),
      H1080,
      """",
      J1080,
      N1080,
      ""#RIPNSFW""
    ),
  "",\s*"", "" "")
)"),"{New} Lauren Phillips https://streamtape.com/v/kowyqKdelPTOqww/11178968 https://doodstream.com/d/2e3p0aidtj5m/11178968 https://lulustream.com/d/q5m6p4bem1oz (2026) #milf #bigtits #blowjob #bigass #RIPNSFW")</f>
        <v>{New} Lauren Phillips https://streamtape.com/v/kowyqKdelPTOqww/11178968 https://doodstream.com/d/2e3p0aidtj5m/11178968 https://lulustream.com/d/q5m6p4bem1oz (2026) #milf #bigtits #blowjob #bigass #RIPNSFW</v>
      </c>
      <c r="N1080" s="2" t="s">
        <v>2291</v>
      </c>
      <c r="O1080" s="21" t="s">
        <v>5421</v>
      </c>
      <c r="P1080" s="26"/>
      <c r="R1080" s="23"/>
    </row>
    <row r="1081" spans="1:27" ht="12.75">
      <c r="A1081" s="6" t="s">
        <v>5422</v>
      </c>
      <c r="B1081" s="6" t="s">
        <v>14</v>
      </c>
      <c r="C1081" s="7" t="str">
        <f t="shared" si="16"/>
        <v xml:space="preserve">Lauren Phillips </v>
      </c>
      <c r="D1081" s="6" t="s">
        <v>5423</v>
      </c>
      <c r="E1081" s="8" t="s">
        <v>5424</v>
      </c>
      <c r="F1081" s="9" t="str">
        <f ca="1">IFERROR(__xludf.DUMMYFUNCTION("""https://streamtape.com/v/""&amp;
REGEXEXTRACT(O1081,""/thumb/([^/]+)/"")&amp;
""/""&amp;K1081"),"https://streamtape.com/v/QA3w9WedM7sJ9b/11919211")</f>
        <v>https://streamtape.com/v/QA3w9WedM7sJ9b/11919211</v>
      </c>
      <c r="G1081" s="10" t="e">
        <f t="shared" ca="1" si="17"/>
        <v>#NAME?</v>
      </c>
      <c r="H1081" s="11" t="str">
        <f ca="1">IFERROR(__xludf.DUMMYFUNCTION("IFERROR(SUBSTITUTE(SUBSTITUTE(REGEXEXTRACT(A1081, ""[^-]+- [^-]+- [^-]+ - (.+?)\.jpg""), "".jpg"", """"), ""-"", "", ""), """")"),"")</f>
        <v/>
      </c>
      <c r="I1081" s="6"/>
      <c r="J1081" s="7" t="str">
        <f t="shared" ca="1" si="18"/>
        <v>(2026)</v>
      </c>
      <c r="K1081" s="7" t="str">
        <f t="shared" si="19"/>
        <v>11919211</v>
      </c>
      <c r="L1081" s="12" t="s">
        <v>3364</v>
      </c>
      <c r="M1081" s="13" t="str">
        <f ca="1">IFERROR(__xludf.DUMMYFUNCTION("TRIM(
  REGEXREPLACE(
    TEXTJOIN("" "",
      TRUE,
      B1081,
      C1081,
      embaralharLinks(E1081,F1081,G1081),
      H1081,
      """",
      J1081,
      N1081,
      ""#RIPNSFW""
    ),
  "",\s*"", "" "")
)"),"{New} Lauren Phillips https://streamtape.com/v/QA3w9WedM7sJ9b/11919211 https://lulustream.com/d/xu3gwgbqo76w https://doodstream.com/d/p56p69igsdd1/11919211 (2026) #MILF #BigTits #Hardcore #Bigass #Porn #RIPNSFW")</f>
        <v>{New} Lauren Phillips https://streamtape.com/v/QA3w9WedM7sJ9b/11919211 https://lulustream.com/d/xu3gwgbqo76w https://doodstream.com/d/p56p69igsdd1/11919211 (2026) #MILF #BigTits #Hardcore #Bigass #Porn #RIPNSFW</v>
      </c>
      <c r="N1081" s="14" t="s">
        <v>1180</v>
      </c>
      <c r="O1081" s="15" t="s">
        <v>5425</v>
      </c>
      <c r="P1081" s="14"/>
      <c r="Q1081" s="6"/>
      <c r="R1081" s="11"/>
      <c r="S1081" s="6"/>
      <c r="T1081" s="6"/>
      <c r="U1081" s="6"/>
      <c r="V1081" s="6"/>
      <c r="W1081" s="6"/>
      <c r="X1081" s="6"/>
      <c r="Y1081" s="6"/>
      <c r="Z1081" s="6"/>
      <c r="AA1081" s="6"/>
    </row>
    <row r="1082" spans="1:27" ht="12.75">
      <c r="A1082" s="12" t="s">
        <v>5426</v>
      </c>
      <c r="B1082" s="6" t="s">
        <v>14</v>
      </c>
      <c r="C1082" s="7" t="str">
        <f t="shared" si="16"/>
        <v xml:space="preserve">Lauren Phillips </v>
      </c>
      <c r="D1082" s="24" t="s">
        <v>5427</v>
      </c>
      <c r="E1082" s="25" t="s">
        <v>5428</v>
      </c>
      <c r="F1082" s="9" t="str">
        <f ca="1">IFERROR(__xludf.DUMMYFUNCTION("""https://streamtape.com/v/""&amp;
REGEXEXTRACT(O1082,""/thumb/([^/]+)/"")&amp;
""/""&amp;K1082"),"https://streamtape.com/v/1W3VylWlBYTeZAB/25755399")</f>
        <v>https://streamtape.com/v/1W3VylWlBYTeZAB/25755399</v>
      </c>
      <c r="G1082" s="10" t="e">
        <f t="shared" ca="1" si="17"/>
        <v>#NAME?</v>
      </c>
      <c r="H1082" s="11" t="str">
        <f ca="1">IFERROR(__xludf.DUMMYFUNCTION("IFERROR(SUBSTITUTE(SUBSTITUTE(REGEXEXTRACT(A1082, ""[^-]+- [^-]+- [^-]+ - (.+?)\.jpg""), "".jpg"", """"), ""-"", "", ""), """")"),"")</f>
        <v/>
      </c>
      <c r="I1082" s="6"/>
      <c r="J1082" s="7" t="str">
        <f t="shared" ca="1" si="18"/>
        <v>(2026)</v>
      </c>
      <c r="K1082" s="7" t="str">
        <f t="shared" si="19"/>
        <v>25755399</v>
      </c>
      <c r="L1082" s="12" t="s">
        <v>5429</v>
      </c>
      <c r="M1082" s="13" t="str">
        <f ca="1">IFERROR(__xludf.DUMMYFUNCTION("TRIM(
  REGEXREPLACE(
    TEXTJOIN("" "",
      TRUE,
      B1082,
      C1082,
      embaralharLinks(E1082,F1082,G1082),
      H1082,
      """",
      J1082,
      N1082,
      ""#RIPNSFW""
    ),
  "",\s*"", "" "")
)"),"{New} Lauren Phillips https://lulustream.com/d/apuqydathhdk https://streamtape.com/v/1W3VylWlBYTeZAB/25755399 https://doodstream.com/d/exdt9lhdn7h2/25755399 (2026) #milf #bigtits #bigass #porn #RIPNSFW")</f>
        <v>{New} Lauren Phillips https://lulustream.com/d/apuqydathhdk https://streamtape.com/v/1W3VylWlBYTeZAB/25755399 https://doodstream.com/d/exdt9lhdn7h2/25755399 (2026) #milf #bigtits #bigass #porn #RIPNSFW</v>
      </c>
      <c r="N1082" s="2" t="s">
        <v>5429</v>
      </c>
      <c r="O1082" s="21" t="s">
        <v>5430</v>
      </c>
      <c r="P1082" s="26"/>
      <c r="R1082" s="23"/>
    </row>
    <row r="1083" spans="1:27" ht="12.75">
      <c r="A1083" s="12" t="s">
        <v>5431</v>
      </c>
      <c r="B1083" s="6" t="s">
        <v>14</v>
      </c>
      <c r="C1083" s="7" t="str">
        <f t="shared" si="16"/>
        <v xml:space="preserve">Lauren Phillips </v>
      </c>
      <c r="D1083" s="24" t="s">
        <v>5432</v>
      </c>
      <c r="E1083" s="25" t="s">
        <v>5433</v>
      </c>
      <c r="F1083" s="9" t="str">
        <f ca="1">IFERROR(__xludf.DUMMYFUNCTION("""https://streamtape.com/v/""&amp;
REGEXEXTRACT(O1083,""/thumb/([^/]+)/"")&amp;
""/""&amp;K1083"),"https://streamtape.com/v/ZjjADd7d1BIwZ2/39940867")</f>
        <v>https://streamtape.com/v/ZjjADd7d1BIwZ2/39940867</v>
      </c>
      <c r="G1083" s="10" t="e">
        <f t="shared" ca="1" si="17"/>
        <v>#NAME?</v>
      </c>
      <c r="H1083" s="11" t="str">
        <f ca="1">IFERROR(__xludf.DUMMYFUNCTION("IFERROR(SUBSTITUTE(SUBSTITUTE(REGEXEXTRACT(A1083, ""[^-]+- [^-]+- [^-]+ - (.+?)\.jpg""), "".jpg"", """"), ""-"", "", ""), """")"),"")</f>
        <v/>
      </c>
      <c r="I1083" s="6"/>
      <c r="J1083" s="7" t="str">
        <f t="shared" ca="1" si="18"/>
        <v>(2026)</v>
      </c>
      <c r="K1083" s="7" t="str">
        <f t="shared" si="19"/>
        <v>39940867</v>
      </c>
      <c r="L1083" s="12" t="s">
        <v>1711</v>
      </c>
      <c r="M1083" s="13" t="str">
        <f ca="1">IFERROR(__xludf.DUMMYFUNCTION("TRIM(
  REGEXREPLACE(
    TEXTJOIN("" "",
      TRUE,
      B1083,
      C1083,
      embaralharLinks(E1083,F1083,G1083),
      H1083,
      """",
      J1083,
      N1083,
      ""#RIPNSFW""
    ),
  "",\s*"", "" "")
)"),"{New} Lauren Phillips https://doodstream.com/d/ckb4cvgbsx2o/39940867 https://streamtape.com/v/ZjjADd7d1BIwZ2/39940867 https://lulustream.com/d/z68j13ji3uj6 (2026) #milf #bigass #bigtits #blowjob #RIPNSFW")</f>
        <v>{New} Lauren Phillips https://doodstream.com/d/ckb4cvgbsx2o/39940867 https://streamtape.com/v/ZjjADd7d1BIwZ2/39940867 https://lulustream.com/d/z68j13ji3uj6 (2026) #milf #bigass #bigtits #blowjob #RIPNSFW</v>
      </c>
      <c r="N1083" s="2" t="s">
        <v>1711</v>
      </c>
      <c r="O1083" s="21" t="s">
        <v>5434</v>
      </c>
      <c r="P1083" s="26"/>
      <c r="R1083" s="23"/>
      <c r="T1083" s="6"/>
      <c r="U1083" s="7"/>
    </row>
    <row r="1084" spans="1:27" ht="12.75">
      <c r="A1084" s="6" t="s">
        <v>5435</v>
      </c>
      <c r="B1084" s="6" t="s">
        <v>14</v>
      </c>
      <c r="C1084" s="7" t="str">
        <f t="shared" si="16"/>
        <v xml:space="preserve">Lauren Phillips </v>
      </c>
      <c r="D1084" s="29" t="s">
        <v>5436</v>
      </c>
      <c r="E1084" s="8" t="s">
        <v>5437</v>
      </c>
      <c r="F1084" s="9" t="str">
        <f ca="1">IFERROR(__xludf.DUMMYFUNCTION("""https://streamtape.com/v/""&amp;
REGEXEXTRACT(O1084,""/thumb/([^/]+)/"")&amp;
""/""&amp;K1084"),"https://streamtape.com/v/A6jo748V12FDGm/43962331")</f>
        <v>https://streamtape.com/v/A6jo748V12FDGm/43962331</v>
      </c>
      <c r="G1084" s="10" t="e">
        <f t="shared" ca="1" si="17"/>
        <v>#NAME?</v>
      </c>
      <c r="H1084" s="11" t="str">
        <f ca="1">IFERROR(__xludf.DUMMYFUNCTION("IFERROR(SUBSTITUTE(SUBSTITUTE(REGEXEXTRACT(A1084, ""[^-]+- [^-]+- [^-]+ - (.+?)\.jpg""), "".jpg"", """"), ""-"", "", ""), """")"),"")</f>
        <v/>
      </c>
      <c r="I1084" s="6"/>
      <c r="J1084" s="7" t="str">
        <f t="shared" ca="1" si="18"/>
        <v>(2026)</v>
      </c>
      <c r="K1084" s="7" t="str">
        <f t="shared" si="19"/>
        <v>43962331</v>
      </c>
      <c r="L1084" s="12" t="s">
        <v>5438</v>
      </c>
      <c r="M1084" s="13" t="str">
        <f ca="1">IFERROR(__xludf.DUMMYFUNCTION("TRIM(
  REGEXREPLACE(
    TEXTJOIN("" "",
      TRUE,
      B1084,
      C1084,
      embaralharLinks(E1084,F1084,G1084),
      H1084,
      """",
      J1084,
      N1084,
      ""#RIPNSFW""
    ),
  "",\s*"", "" "")
)"),"{New} Lauren Phillips https://lulustream.com/d/9jjckeggp6pb https://streamtape.com/v/A6jo748V12FDGm/43962331 https://doodstream.com/d/xbzbo1h7u966/43962331 (2026) #Anal #MILF #BigTits #Hardcore #Threesome #Bigass #Porn #Stepmom #Blowjob #Amateur #Hotwife "&amp;"#Deepthroat #RIPNSFW")</f>
        <v>{New} Lauren Phillips https://lulustream.com/d/9jjckeggp6pb https://streamtape.com/v/A6jo748V12FDGm/43962331 https://doodstream.com/d/xbzbo1h7u966/43962331 (2026) #Anal #MILF #BigTits #Hardcore #Threesome #Bigass #Porn #Stepmom #Blowjob #Amateur #Hotwife #Deepthroat #RIPNSFW</v>
      </c>
      <c r="N1084" s="14" t="s">
        <v>5439</v>
      </c>
      <c r="O1084" s="15" t="s">
        <v>5440</v>
      </c>
      <c r="P1084" s="14"/>
      <c r="Q1084" s="6"/>
      <c r="R1084" s="11"/>
      <c r="S1084" s="6"/>
      <c r="T1084" s="6"/>
      <c r="U1084" s="6"/>
      <c r="V1084" s="6"/>
      <c r="W1084" s="6"/>
      <c r="X1084" s="6"/>
      <c r="Y1084" s="6"/>
      <c r="Z1084" s="6"/>
      <c r="AA1084" s="6"/>
    </row>
    <row r="1085" spans="1:27" ht="12.75">
      <c r="A1085" s="6" t="s">
        <v>5441</v>
      </c>
      <c r="B1085" s="6" t="s">
        <v>14</v>
      </c>
      <c r="C1085" s="7" t="str">
        <f t="shared" si="16"/>
        <v xml:space="preserve">Lauren Phillips </v>
      </c>
      <c r="D1085" s="24" t="s">
        <v>5442</v>
      </c>
      <c r="E1085" s="25" t="s">
        <v>5443</v>
      </c>
      <c r="F1085" s="9" t="str">
        <f ca="1">IFERROR(__xludf.DUMMYFUNCTION("""https://streamtape.com/v/""&amp;
REGEXEXTRACT(O1085,""/thumb/([^/]+)/"")&amp;
""/""&amp;K1085"),"https://streamtape.com/v/3w1eWOKgDXUa4R/44561077")</f>
        <v>https://streamtape.com/v/3w1eWOKgDXUa4R/44561077</v>
      </c>
      <c r="G1085" s="10" t="e">
        <f t="shared" ca="1" si="17"/>
        <v>#NAME?</v>
      </c>
      <c r="H1085" s="11" t="str">
        <f ca="1">IFERROR(__xludf.DUMMYFUNCTION("IFERROR(SUBSTITUTE(SUBSTITUTE(REGEXEXTRACT(A1085, ""[^-]+- [^-]+- [^-]+ - (.+?)\.jpg""), "".jpg"", """"), ""-"", "", ""), """")"),"Molly Little")</f>
        <v>Molly Little</v>
      </c>
      <c r="I1085" s="6"/>
      <c r="J1085" s="7" t="str">
        <f t="shared" ca="1" si="18"/>
        <v>(2026)</v>
      </c>
      <c r="K1085" s="7" t="str">
        <f t="shared" si="19"/>
        <v>44561077</v>
      </c>
      <c r="L1085" s="12" t="s">
        <v>5444</v>
      </c>
      <c r="M1085" s="13" t="str">
        <f ca="1">IFERROR(__xludf.DUMMYFUNCTION("TRIM(
  REGEXREPLACE(
    TEXTJOIN("" "",
      TRUE,
      B1085,
      C1085,
      embaralharLinks(E1085,F1085,G1085),
      H1085,
      """",
      J1085,
      N1085,
      ""#RIPNSFW""
    ),
  "",\s*"", "" "")
)"),"{New} Lauren Phillips https://streamtape.com/v/3w1eWOKgDXUa4R/44561077 https://doodstream.com/d/nvj9x0qislwk/44561077 https://lulustream.com/d/nasaq9nvwiu7 Molly Little (2026) #milf #blowjob #bigtits #threesome #RIPNSFW")</f>
        <v>{New} Lauren Phillips https://streamtape.com/v/3w1eWOKgDXUa4R/44561077 https://doodstream.com/d/nvj9x0qislwk/44561077 https://lulustream.com/d/nasaq9nvwiu7 Molly Little (2026) #milf #blowjob #bigtits #threesome #RIPNSFW</v>
      </c>
      <c r="N1085" s="31" t="s">
        <v>5444</v>
      </c>
      <c r="O1085" s="15" t="s">
        <v>5445</v>
      </c>
      <c r="P1085" s="26"/>
      <c r="Q1085" s="6"/>
      <c r="R1085" s="11"/>
      <c r="S1085" s="6"/>
      <c r="T1085" s="6"/>
      <c r="U1085" s="6"/>
      <c r="V1085" s="6"/>
      <c r="W1085" s="6"/>
      <c r="X1085" s="6"/>
      <c r="Y1085" s="6"/>
      <c r="Z1085" s="6"/>
      <c r="AA1085" s="6"/>
    </row>
    <row r="1086" spans="1:27" ht="12.75">
      <c r="A1086" s="6" t="s">
        <v>5446</v>
      </c>
      <c r="B1086" s="6" t="s">
        <v>14</v>
      </c>
      <c r="C1086" s="7" t="str">
        <f t="shared" si="16"/>
        <v xml:space="preserve">Lauren Phillips </v>
      </c>
      <c r="D1086" s="6" t="s">
        <v>5447</v>
      </c>
      <c r="E1086" s="8" t="s">
        <v>5448</v>
      </c>
      <c r="F1086" s="9" t="str">
        <f ca="1">IFERROR(__xludf.DUMMYFUNCTION("""https://streamtape.com/v/""&amp;
REGEXEXTRACT(O1086,""/thumb/([^/]+)/"")&amp;
""/""&amp;K1086"),"https://streamtape.com/v/D93Pbwr9kWtkOjo/50946753")</f>
        <v>https://streamtape.com/v/D93Pbwr9kWtkOjo/50946753</v>
      </c>
      <c r="G1086" s="10" t="e">
        <f t="shared" ca="1" si="17"/>
        <v>#NAME?</v>
      </c>
      <c r="H1086" s="11" t="str">
        <f ca="1">IFERROR(__xludf.DUMMYFUNCTION("IFERROR(SUBSTITUTE(SUBSTITUTE(REGEXEXTRACT(A1086, ""[^-]+- [^-]+- [^-]+ - (.+?)\.jpg""), "".jpg"", """"), ""-"", "", ""), """")"),"")</f>
        <v/>
      </c>
      <c r="I1086" s="6"/>
      <c r="J1086" s="7" t="str">
        <f t="shared" ca="1" si="18"/>
        <v>(2026)</v>
      </c>
      <c r="K1086" s="7" t="str">
        <f t="shared" si="19"/>
        <v>50946753</v>
      </c>
      <c r="L1086" s="12" t="s">
        <v>1179</v>
      </c>
      <c r="M1086" s="13" t="str">
        <f ca="1">IFERROR(__xludf.DUMMYFUNCTION("TRIM(
  REGEXREPLACE(
    TEXTJOIN("" "",
      TRUE,
      B1086,
      C1086,
      embaralharLinks(E1086,F1086,G1086),
      H1086,
      """",
      J1086,
      N1086,
      ""#RIPNSFW""
    ),
  "",\s*"", "" "")
)"),"{New} Lauren Phillips https://streamtape.com/v/D93Pbwr9kWtkOjo/50946753 https://lulustream.com/d/nftfm5r3s6ra https://doodstream.com/d/0vgnj34uct4j/50946753 (2026) #MILF #BigTits #Hardcore #Bigass #Porn #RIPNSFW")</f>
        <v>{New} Lauren Phillips https://streamtape.com/v/D93Pbwr9kWtkOjo/50946753 https://lulustream.com/d/nftfm5r3s6ra https://doodstream.com/d/0vgnj34uct4j/50946753 (2026) #MILF #BigTits #Hardcore #Bigass #Porn #RIPNSFW</v>
      </c>
      <c r="N1086" s="14" t="s">
        <v>1180</v>
      </c>
      <c r="O1086" s="15" t="s">
        <v>5449</v>
      </c>
      <c r="P1086" s="14"/>
      <c r="Q1086" s="6"/>
      <c r="R1086" s="11"/>
      <c r="S1086" s="6"/>
      <c r="T1086" s="6"/>
      <c r="U1086" s="6"/>
      <c r="V1086" s="6"/>
      <c r="W1086" s="6"/>
      <c r="X1086" s="6"/>
      <c r="Y1086" s="6"/>
      <c r="Z1086" s="6"/>
      <c r="AA1086" s="6"/>
    </row>
    <row r="1087" spans="1:27" ht="12.75">
      <c r="A1087" s="12" t="s">
        <v>5450</v>
      </c>
      <c r="B1087" s="6" t="s">
        <v>14</v>
      </c>
      <c r="C1087" s="7" t="str">
        <f t="shared" si="16"/>
        <v xml:space="preserve">Lauren Phillips </v>
      </c>
      <c r="D1087" s="24" t="s">
        <v>5451</v>
      </c>
      <c r="E1087" s="25" t="s">
        <v>5452</v>
      </c>
      <c r="F1087" s="9" t="str">
        <f ca="1">IFERROR(__xludf.DUMMYFUNCTION("""https://streamtape.com/v/""&amp;
REGEXEXTRACT(O1087,""/thumb/([^/]+)/"")&amp;
""/""&amp;K1087"),"https://streamtape.com/v/Jp3j7xwvBVfj12a/56919928")</f>
        <v>https://streamtape.com/v/Jp3j7xwvBVfj12a/56919928</v>
      </c>
      <c r="G1087" s="10" t="e">
        <f t="shared" ca="1" si="17"/>
        <v>#NAME?</v>
      </c>
      <c r="H1087" s="11" t="str">
        <f ca="1">IFERROR(__xludf.DUMMYFUNCTION("IFERROR(SUBSTITUTE(SUBSTITUTE(REGEXEXTRACT(A1087, ""[^-]+- [^-]+- [^-]+ - (.+?)\.jpg""), "".jpg"", """"), ""-"", "", ""), """")"),"")</f>
        <v/>
      </c>
      <c r="I1087" s="6"/>
      <c r="J1087" s="7" t="str">
        <f t="shared" ca="1" si="18"/>
        <v>(2026)</v>
      </c>
      <c r="K1087" s="7" t="str">
        <f t="shared" si="19"/>
        <v>56919928</v>
      </c>
      <c r="L1087" s="12" t="s">
        <v>1304</v>
      </c>
      <c r="M1087" s="13" t="str">
        <f ca="1">IFERROR(__xludf.DUMMYFUNCTION("TRIM(
  REGEXREPLACE(
    TEXTJOIN("" "",
      TRUE,
      B1087,
      C1087,
      embaralharLinks(E1087,F1087,G1087),
      H1087,
      """",
      J1087,
      N1087,
      ""#RIPNSFW""
    ),
  "",\s*"", "" "")
)"),"{New} Lauren Phillips https://doodstream.com/d/i38go9px2hqt/56919928 https://streamtape.com/v/Jp3j7xwvBVfj12a/56919928 https://lulustream.com/d/izk56x0euqb7 (2026) #milf #bigass #bigtits #pov #RIPNSFW")</f>
        <v>{New} Lauren Phillips https://doodstream.com/d/i38go9px2hqt/56919928 https://streamtape.com/v/Jp3j7xwvBVfj12a/56919928 https://lulustream.com/d/izk56x0euqb7 (2026) #milf #bigass #bigtits #pov #RIPNSFW</v>
      </c>
      <c r="N1087" s="2" t="s">
        <v>1304</v>
      </c>
      <c r="O1087" s="21" t="s">
        <v>5453</v>
      </c>
      <c r="P1087" s="26"/>
      <c r="R1087" s="23"/>
      <c r="T1087" s="6"/>
      <c r="U1087" s="7"/>
    </row>
    <row r="1088" spans="1:27" ht="12.75">
      <c r="A1088" s="12" t="s">
        <v>5454</v>
      </c>
      <c r="B1088" s="6" t="s">
        <v>14</v>
      </c>
      <c r="C1088" s="7" t="str">
        <f t="shared" si="16"/>
        <v xml:space="preserve">Lauren Phillips </v>
      </c>
      <c r="D1088" s="24" t="s">
        <v>5455</v>
      </c>
      <c r="E1088" s="25" t="s">
        <v>5456</v>
      </c>
      <c r="F1088" s="9" t="str">
        <f ca="1">IFERROR(__xludf.DUMMYFUNCTION("""https://streamtape.com/v/""&amp;
REGEXEXTRACT(O1088,""/thumb/([^/]+)/"")&amp;
""/""&amp;K1088"),"https://streamtape.com/v/9v63axLZ2Of9ML/59454267")</f>
        <v>https://streamtape.com/v/9v63axLZ2Of9ML/59454267</v>
      </c>
      <c r="G1088" s="10" t="e">
        <f t="shared" ca="1" si="17"/>
        <v>#NAME?</v>
      </c>
      <c r="H1088" s="11" t="str">
        <f ca="1">IFERROR(__xludf.DUMMYFUNCTION("IFERROR(SUBSTITUTE(SUBSTITUTE(REGEXEXTRACT(A1088, ""[^-]+- [^-]+- [^-]+ - (.+?)\.jpg""), "".jpg"", """"), ""-"", "", ""), """")"),"")</f>
        <v/>
      </c>
      <c r="I1088" s="6"/>
      <c r="J1088" s="7" t="str">
        <f t="shared" ca="1" si="18"/>
        <v>(2026)</v>
      </c>
      <c r="K1088" s="7" t="str">
        <f t="shared" si="19"/>
        <v>59454267</v>
      </c>
      <c r="L1088" s="12" t="s">
        <v>5457</v>
      </c>
      <c r="M1088" s="13" t="str">
        <f ca="1">IFERROR(__xludf.DUMMYFUNCTION("TRIM(
  REGEXREPLACE(
    TEXTJOIN("" "",
      TRUE,
      B1088,
      C1088,
      embaralharLinks(E1088,F1088,G1088),
      H1088,
      """",
      J1088,
      N1088,
      ""#RIPNSFW""
    ),
  "",\s*"", "" "")
)"),"{New} Lauren Phillips https://streamtape.com/v/9v63axLZ2Of9ML/59454267 https://lulustream.com/d/nfahj9voadgy https://doodstream.com/d/4x51qhhz966i/59454267 (2026) #milf #anal #bigtits #doublepenetration #RIPNSFW")</f>
        <v>{New} Lauren Phillips https://streamtape.com/v/9v63axLZ2Of9ML/59454267 https://lulustream.com/d/nfahj9voadgy https://doodstream.com/d/4x51qhhz966i/59454267 (2026) #milf #anal #bigtits #doublepenetration #RIPNSFW</v>
      </c>
      <c r="N1088" s="2" t="s">
        <v>5457</v>
      </c>
      <c r="O1088" s="21" t="s">
        <v>5458</v>
      </c>
      <c r="P1088" s="26"/>
      <c r="R1088" s="23"/>
    </row>
    <row r="1089" spans="1:27" ht="12.75">
      <c r="A1089" s="6" t="s">
        <v>5459</v>
      </c>
      <c r="B1089" s="6" t="s">
        <v>14</v>
      </c>
      <c r="C1089" s="7" t="str">
        <f t="shared" si="16"/>
        <v xml:space="preserve">Lauren Phillips </v>
      </c>
      <c r="D1089" s="6" t="s">
        <v>5460</v>
      </c>
      <c r="E1089" s="8" t="s">
        <v>5461</v>
      </c>
      <c r="F1089" s="9" t="str">
        <f ca="1">IFERROR(__xludf.DUMMYFUNCTION("""https://streamtape.com/v/""&amp;
REGEXEXTRACT(O1089,""/thumb/([^/]+)/"")&amp;
""/""&amp;K1089"),"https://streamtape.com/v/dOp3KqyQlQt7Ky/60929494")</f>
        <v>https://streamtape.com/v/dOp3KqyQlQt7Ky/60929494</v>
      </c>
      <c r="G1089" s="10" t="e">
        <f t="shared" ca="1" si="17"/>
        <v>#NAME?</v>
      </c>
      <c r="H1089" s="11" t="str">
        <f ca="1">IFERROR(__xludf.DUMMYFUNCTION("IFERROR(SUBSTITUTE(SUBSTITUTE(REGEXEXTRACT(A1089, ""[^-]+- [^-]+- [^-]+ - (.+?)\.jpg""), "".jpg"", """"), ""-"", "", ""), """")"),"")</f>
        <v/>
      </c>
      <c r="I1089" s="6"/>
      <c r="J1089" s="7" t="str">
        <f t="shared" ca="1" si="18"/>
        <v>(2026)</v>
      </c>
      <c r="K1089" s="7" t="str">
        <f t="shared" si="19"/>
        <v>60929494</v>
      </c>
      <c r="L1089" s="12" t="s">
        <v>3364</v>
      </c>
      <c r="M1089" s="13" t="str">
        <f ca="1">IFERROR(__xludf.DUMMYFUNCTION("TRIM(
  REGEXREPLACE(
    TEXTJOIN("" "",
      TRUE,
      B1089,
      C1089,
      embaralharLinks(E1089,F1089,G1089),
      H1089,
      """",
      J1089,
      N1089,
      ""#RIPNSFW""
    ),
  "",\s*"", "" "")
)"),"{New} Lauren Phillips https://streamtape.com/v/dOp3KqyQlQt7Ky/60929494 https://lulustream.com/d/prqe7tfeao0e https://doodstream.com/d/inpp8go9o5k4/60929494 (2026) #MILF #BigTits #Hardcore #Bigass #Porn #RIPNSFW")</f>
        <v>{New} Lauren Phillips https://streamtape.com/v/dOp3KqyQlQt7Ky/60929494 https://lulustream.com/d/prqe7tfeao0e https://doodstream.com/d/inpp8go9o5k4/60929494 (2026) #MILF #BigTits #Hardcore #Bigass #Porn #RIPNSFW</v>
      </c>
      <c r="N1089" s="14" t="s">
        <v>1180</v>
      </c>
      <c r="O1089" s="15" t="s">
        <v>5462</v>
      </c>
      <c r="P1089" s="14"/>
      <c r="Q1089" s="6"/>
      <c r="R1089" s="11"/>
      <c r="S1089" s="6"/>
      <c r="T1089" s="6"/>
      <c r="U1089" s="6"/>
      <c r="V1089" s="6"/>
      <c r="W1089" s="6"/>
      <c r="X1089" s="6"/>
      <c r="Y1089" s="6"/>
      <c r="Z1089" s="6"/>
      <c r="AA1089" s="6"/>
    </row>
    <row r="1090" spans="1:27" ht="12.75">
      <c r="A1090" s="6" t="s">
        <v>5463</v>
      </c>
      <c r="B1090" s="6" t="s">
        <v>14</v>
      </c>
      <c r="C1090" s="7" t="str">
        <f t="shared" si="16"/>
        <v xml:space="preserve">Lauren Phillips </v>
      </c>
      <c r="D1090" s="24" t="s">
        <v>5464</v>
      </c>
      <c r="E1090" s="25" t="s">
        <v>5465</v>
      </c>
      <c r="F1090" s="9" t="str">
        <f ca="1">IFERROR(__xludf.DUMMYFUNCTION("""https://streamtape.com/v/""&amp;
REGEXEXTRACT(O1090,""/thumb/([^/]+)/"")&amp;
""/""&amp;K1090"),"https://streamtape.com/v/3w1eWOKgDXUa4R/61130047")</f>
        <v>https://streamtape.com/v/3w1eWOKgDXUa4R/61130047</v>
      </c>
      <c r="G1090" s="10" t="e">
        <f t="shared" ca="1" si="17"/>
        <v>#NAME?</v>
      </c>
      <c r="H1090" s="11" t="str">
        <f ca="1">IFERROR(__xludf.DUMMYFUNCTION("IFERROR(SUBSTITUTE(SUBSTITUTE(REGEXEXTRACT(A1090, ""[^-]+- [^-]+- [^-]+ - (.+?)\.jpg""), "".jpg"", """"), ""-"", "", ""), """")"),"")</f>
        <v/>
      </c>
      <c r="I1090" s="6"/>
      <c r="J1090" s="7" t="str">
        <f t="shared" ca="1" si="18"/>
        <v>(2026)</v>
      </c>
      <c r="K1090" s="7" t="str">
        <f t="shared" si="19"/>
        <v>61130047</v>
      </c>
      <c r="L1090" s="12" t="s">
        <v>2177</v>
      </c>
      <c r="M1090" s="13" t="str">
        <f ca="1">IFERROR(__xludf.DUMMYFUNCTION("TRIM(
  REGEXREPLACE(
    TEXTJOIN("" "",
      TRUE,
      B1090,
      C1090,
      embaralharLinks(E1090,F1090,G1090),
      H1090,
      """",
      J1090,
      N1090,
      ""#RIPNSFW""
    ),
  "",\s*"", "" "")
)"),"{New} Lauren Phillips https://lulustream.com/d/xka1ah5m76n2 https://doodstream.com/d/nixcsk2rry22/61130047 https://streamtape.com/v/3w1eWOKgDXUa4R/61130047 (2026) #milf #bigtits #creampie #hardcore #RIPNSFW")</f>
        <v>{New} Lauren Phillips https://lulustream.com/d/xka1ah5m76n2 https://doodstream.com/d/nixcsk2rry22/61130047 https://streamtape.com/v/3w1eWOKgDXUa4R/61130047 (2026) #milf #bigtits #creampie #hardcore #RIPNSFW</v>
      </c>
      <c r="N1090" s="31" t="s">
        <v>2177</v>
      </c>
      <c r="O1090" s="15" t="s">
        <v>5445</v>
      </c>
      <c r="P1090" s="26"/>
      <c r="R1090" s="23"/>
      <c r="T1090" s="6"/>
      <c r="U1090" s="7"/>
    </row>
    <row r="1091" spans="1:27" ht="12.75">
      <c r="A1091" s="6" t="s">
        <v>5466</v>
      </c>
      <c r="B1091" s="6" t="s">
        <v>14</v>
      </c>
      <c r="C1091" s="7" t="str">
        <f t="shared" si="16"/>
        <v xml:space="preserve">Lauren Phillips </v>
      </c>
      <c r="D1091" s="6" t="s">
        <v>5467</v>
      </c>
      <c r="E1091" s="8" t="s">
        <v>5468</v>
      </c>
      <c r="F1091" s="9" t="str">
        <f ca="1">IFERROR(__xludf.DUMMYFUNCTION("""https://streamtape.com/v/""&amp;
REGEXEXTRACT(O1091,""/thumb/([^/]+)/"")&amp;
""/""&amp;K1091"),"https://streamtape.com/v/apky1VzD4RHx1Kl/77774724")</f>
        <v>https://streamtape.com/v/apky1VzD4RHx1Kl/77774724</v>
      </c>
      <c r="G1091" s="10" t="e">
        <f t="shared" ca="1" si="17"/>
        <v>#NAME?</v>
      </c>
      <c r="H1091" s="11" t="str">
        <f ca="1">IFERROR(__xludf.DUMMYFUNCTION("IFERROR(SUBSTITUTE(SUBSTITUTE(REGEXEXTRACT(A1091, ""[^-]+- [^-]+- [^-]+ - (.+?)\.jpg""), "".jpg"", """"), ""-"", "", ""), """")"),"")</f>
        <v/>
      </c>
      <c r="I1091" s="6"/>
      <c r="J1091" s="7" t="str">
        <f t="shared" ca="1" si="18"/>
        <v>(2026)</v>
      </c>
      <c r="K1091" s="7" t="str">
        <f t="shared" si="19"/>
        <v>77774724</v>
      </c>
      <c r="L1091" s="12" t="s">
        <v>5469</v>
      </c>
      <c r="M1091" s="13" t="str">
        <f ca="1">IFERROR(__xludf.DUMMYFUNCTION("TRIM(
  REGEXREPLACE(
    TEXTJOIN("" "",
      TRUE,
      B1091,
      C1091,
      embaralharLinks(E1091,F1091,G1091),
      H1091,
      """",
      J1091,
      N1091,
      ""#RIPNSFW""
    ),
  "",\s*"", "" "")
)"),"{New} Lauren Phillips https://streamtape.com/v/apky1VzD4RHx1Kl/77774724 https://lulustream.com/d/o75kl08myy2d https://doodstream.com/d/jn7asgjqh6y8/77774724 (2026) #MILF #BigTits #Hardcore #Black #Interracial #Threesome #Bigass #Porn #Blowjob #DoublePenet"&amp;"ration #Deepthroat #Facial #RIPNSFW")</f>
        <v>{New} Lauren Phillips https://streamtape.com/v/apky1VzD4RHx1Kl/77774724 https://lulustream.com/d/o75kl08myy2d https://doodstream.com/d/jn7asgjqh6y8/77774724 (2026) #MILF #BigTits #Hardcore #Black #Interracial #Threesome #Bigass #Porn #Blowjob #DoublePenetration #Deepthroat #Facial #RIPNSFW</v>
      </c>
      <c r="N1091" s="14" t="s">
        <v>5470</v>
      </c>
      <c r="O1091" s="15" t="s">
        <v>5471</v>
      </c>
      <c r="P1091" s="14"/>
      <c r="Q1091" s="6"/>
      <c r="R1091" s="11"/>
      <c r="S1091" s="6"/>
      <c r="T1091" s="6"/>
      <c r="U1091" s="6"/>
      <c r="V1091" s="6"/>
      <c r="W1091" s="6"/>
      <c r="X1091" s="6"/>
      <c r="Y1091" s="6"/>
      <c r="Z1091" s="6"/>
      <c r="AA1091" s="6"/>
    </row>
    <row r="1092" spans="1:27" ht="12.75">
      <c r="A1092" s="12" t="s">
        <v>5472</v>
      </c>
      <c r="B1092" s="6" t="s">
        <v>14</v>
      </c>
      <c r="C1092" s="7" t="str">
        <f t="shared" si="16"/>
        <v xml:space="preserve">Lauren Phillips </v>
      </c>
      <c r="D1092" s="27" t="s">
        <v>5473</v>
      </c>
      <c r="E1092" s="28" t="s">
        <v>5474</v>
      </c>
      <c r="F1092" s="9" t="str">
        <f ca="1">IFERROR(__xludf.DUMMYFUNCTION("""https://streamtape.com/v/""&amp;
REGEXEXTRACT(O1092,""/thumb/([^/]+)/"")&amp;
""/""&amp;K1092"),"https://streamtape.com/v/8WPjW6m7A6SovKo/82716686")</f>
        <v>https://streamtape.com/v/8WPjW6m7A6SovKo/82716686</v>
      </c>
      <c r="G1092" s="10" t="e">
        <f t="shared" ca="1" si="17"/>
        <v>#NAME?</v>
      </c>
      <c r="H1092" s="11" t="str">
        <f ca="1">IFERROR(__xludf.DUMMYFUNCTION("IFERROR(SUBSTITUTE(SUBSTITUTE(REGEXEXTRACT(A1092, ""[^-]+- [^-]+- [^-]+ - (.+?)\.jpg""), "".jpg"", """"), ""-"", "", ""), """")"),"")</f>
        <v/>
      </c>
      <c r="I1092" s="6"/>
      <c r="J1092" s="7" t="str">
        <f t="shared" ca="1" si="18"/>
        <v>(2026)</v>
      </c>
      <c r="K1092" s="7" t="str">
        <f t="shared" si="19"/>
        <v>82716686</v>
      </c>
      <c r="L1092" s="12" t="s">
        <v>127</v>
      </c>
      <c r="M1092" s="13" t="str">
        <f ca="1">IFERROR(__xludf.DUMMYFUNCTION("TRIM(
  REGEXREPLACE(
    TEXTJOIN("" "",
      TRUE,
      B1092,
      C1092,
      embaralharLinks(E1092,F1092,G1092),
      H1092,
      """",
      J1092,
      N1092,
      ""#RIPNSFW""
    ),
  "",\s*"", "" "")
)"),"{New} Lauren Phillips https://streamtape.com/v/8WPjW6m7A6SovKo/82716686 https://lulustream.com/d/372l2rfp5yky https://doodstream.com/d/ruin6avlwzgu/82716686 (2026) #MILF #BigTits #Hardcore #Bigass #RIPNSFW")</f>
        <v>{New} Lauren Phillips https://streamtape.com/v/8WPjW6m7A6SovKo/82716686 https://lulustream.com/d/372l2rfp5yky https://doodstream.com/d/ruin6avlwzgu/82716686 (2026) #MILF #BigTits #Hardcore #Bigass #RIPNSFW</v>
      </c>
      <c r="N1092" s="2" t="s">
        <v>128</v>
      </c>
      <c r="O1092" s="21" t="s">
        <v>5475</v>
      </c>
      <c r="P1092" s="26"/>
      <c r="R1092" s="23"/>
    </row>
    <row r="1093" spans="1:27" ht="12.75">
      <c r="A1093" s="6" t="s">
        <v>5476</v>
      </c>
      <c r="B1093" s="6" t="s">
        <v>14</v>
      </c>
      <c r="C1093" s="7" t="str">
        <f t="shared" si="16"/>
        <v xml:space="preserve">Lauren Phillips </v>
      </c>
      <c r="D1093" s="6" t="s">
        <v>5477</v>
      </c>
      <c r="E1093" s="8" t="s">
        <v>5478</v>
      </c>
      <c r="F1093" s="9" t="str">
        <f ca="1">IFERROR(__xludf.DUMMYFUNCTION("""https://streamtape.com/v/""&amp;
REGEXEXTRACT(O1093,""/thumb/([^/]+)/"")&amp;
""/""&amp;K1093"),"https://streamtape.com/v/PLRLmK34R6F0azB/86627243")</f>
        <v>https://streamtape.com/v/PLRLmK34R6F0azB/86627243</v>
      </c>
      <c r="G1093" s="10" t="e">
        <f t="shared" ca="1" si="17"/>
        <v>#NAME?</v>
      </c>
      <c r="H1093" s="11" t="str">
        <f ca="1">IFERROR(__xludf.DUMMYFUNCTION("IFERROR(SUBSTITUTE(SUBSTITUTE(REGEXEXTRACT(A1093, ""[^-]+- [^-]+- [^-]+ - (.+?)\.jpg""), "".jpg"", """"), ""-"", "", ""), """")"),"")</f>
        <v/>
      </c>
      <c r="I1093" s="6"/>
      <c r="J1093" s="7" t="str">
        <f t="shared" ca="1" si="18"/>
        <v>(2026)</v>
      </c>
      <c r="K1093" s="7" t="str">
        <f t="shared" si="19"/>
        <v>86627243</v>
      </c>
      <c r="L1093" s="12" t="s">
        <v>5479</v>
      </c>
      <c r="M1093" s="13" t="str">
        <f ca="1">IFERROR(__xludf.DUMMYFUNCTION("TRIM(
  REGEXREPLACE(
    TEXTJOIN("" "",
      TRUE,
      B1093,
      C1093,
      embaralharLinks(E1093,F1093,G1093),
      H1093,
      """",
      J1093,
      N1093,
      ""#RIPNSFW""
    ),
  "",\s*"", "" "")
)"),"{New} Lauren Phillips https://streamtape.com/v/PLRLmK34R6F0azB/86627243 https://lulustream.com/d/b7we97jbuu0s https://doodstream.com/d/2b11zue3wlnw/86627243 (2026) #Anal #MILF #BigTits #Creampie #Hardcore #Gangbang #Black #Interracial #Bigass #Porn #Blowj"&amp;"ob #RIPNSFW")</f>
        <v>{New} Lauren Phillips https://streamtape.com/v/PLRLmK34R6F0azB/86627243 https://lulustream.com/d/b7we97jbuu0s https://doodstream.com/d/2b11zue3wlnw/86627243 (2026) #Anal #MILF #BigTits #Creampie #Hardcore #Gangbang #Black #Interracial #Bigass #Porn #Blowjob #RIPNSFW</v>
      </c>
      <c r="N1093" s="14" t="s">
        <v>5480</v>
      </c>
      <c r="O1093" s="15" t="s">
        <v>5481</v>
      </c>
      <c r="P1093" s="14"/>
      <c r="Q1093" s="6"/>
      <c r="R1093" s="11"/>
      <c r="S1093" s="6"/>
      <c r="T1093" s="6"/>
      <c r="U1093" s="6"/>
      <c r="V1093" s="6"/>
      <c r="W1093" s="6"/>
      <c r="X1093" s="6"/>
      <c r="Y1093" s="6"/>
      <c r="Z1093" s="6"/>
      <c r="AA1093" s="6"/>
    </row>
    <row r="1094" spans="1:27" ht="12.75">
      <c r="A1094" s="12" t="s">
        <v>5482</v>
      </c>
      <c r="B1094" s="6" t="s">
        <v>14</v>
      </c>
      <c r="C1094" s="7" t="str">
        <f t="shared" si="16"/>
        <v xml:space="preserve">Lauren Phillips </v>
      </c>
      <c r="D1094" s="24" t="s">
        <v>5483</v>
      </c>
      <c r="E1094" s="25" t="s">
        <v>5484</v>
      </c>
      <c r="F1094" s="9" t="str">
        <f ca="1">IFERROR(__xludf.DUMMYFUNCTION("""https://streamtape.com/v/""&amp;
REGEXEXTRACT(O1094,""/thumb/([^/]+)/"")&amp;
""/""&amp;K1094"),"https://streamtape.com/v/ePA4komRdMS97z/88465112")</f>
        <v>https://streamtape.com/v/ePA4komRdMS97z/88465112</v>
      </c>
      <c r="G1094" s="10" t="e">
        <f t="shared" ca="1" si="17"/>
        <v>#NAME?</v>
      </c>
      <c r="H1094" s="11" t="str">
        <f ca="1">IFERROR(__xludf.DUMMYFUNCTION("IFERROR(SUBSTITUTE(SUBSTITUTE(REGEXEXTRACT(A1094, ""[^-]+- [^-]+- [^-]+ - (.+?)\.jpg""), "".jpg"", """"), ""-"", "", ""), """")"),"")</f>
        <v/>
      </c>
      <c r="I1094" s="6"/>
      <c r="J1094" s="7" t="str">
        <f t="shared" ca="1" si="18"/>
        <v>(2026)</v>
      </c>
      <c r="K1094" s="7" t="str">
        <f t="shared" si="19"/>
        <v>88465112</v>
      </c>
      <c r="L1094" s="12" t="s">
        <v>1711</v>
      </c>
      <c r="M1094" s="13" t="str">
        <f ca="1">IFERROR(__xludf.DUMMYFUNCTION("TRIM(
  REGEXREPLACE(
    TEXTJOIN("" "",
      TRUE,
      B1094,
      C1094,
      embaralharLinks(E1094,F1094,G1094),
      H1094,
      """",
      J1094,
      N1094,
      ""#RIPNSFW""
    ),
  "",\s*"", "" "")
)"),"{New} Lauren Phillips https://streamtape.com/v/ePA4komRdMS97z/88465112 https://doodstream.com/d/raxtlzj5hcfi/88465112 https://lulustream.com/d/94f4ebqm8h0a (2026) #milf #bigass #bigtits #blowjob #RIPNSFW")</f>
        <v>{New} Lauren Phillips https://streamtape.com/v/ePA4komRdMS97z/88465112 https://doodstream.com/d/raxtlzj5hcfi/88465112 https://lulustream.com/d/94f4ebqm8h0a (2026) #milf #bigass #bigtits #blowjob #RIPNSFW</v>
      </c>
      <c r="N1094" s="2" t="s">
        <v>1711</v>
      </c>
      <c r="O1094" s="21" t="s">
        <v>5485</v>
      </c>
      <c r="P1094" s="26"/>
      <c r="R1094" s="23"/>
      <c r="T1094" s="6"/>
      <c r="U1094" s="7"/>
    </row>
    <row r="1095" spans="1:27" ht="12.75">
      <c r="A1095" s="6" t="s">
        <v>5486</v>
      </c>
      <c r="B1095" s="6" t="s">
        <v>14</v>
      </c>
      <c r="C1095" s="7" t="str">
        <f t="shared" si="16"/>
        <v xml:space="preserve">Lauren Phillips </v>
      </c>
      <c r="D1095" s="29" t="s">
        <v>5487</v>
      </c>
      <c r="E1095" s="8" t="s">
        <v>5488</v>
      </c>
      <c r="F1095" s="9" t="str">
        <f ca="1">IFERROR(__xludf.DUMMYFUNCTION("""https://streamtape.com/v/""&amp;
REGEXEXTRACT(O1095,""/thumb/([^/]+)/"")&amp;
""/""&amp;K1095"),"https://streamtape.com/v/Kw01LOl6PpS08eK/92862302")</f>
        <v>https://streamtape.com/v/Kw01LOl6PpS08eK/92862302</v>
      </c>
      <c r="G1095" s="10" t="e">
        <f t="shared" ca="1" si="17"/>
        <v>#NAME?</v>
      </c>
      <c r="H1095" s="11" t="str">
        <f ca="1">IFERROR(__xludf.DUMMYFUNCTION("IFERROR(SUBSTITUTE(SUBSTITUTE(REGEXEXTRACT(A1095, ""[^-]+- [^-]+- [^-]+ - (.+?)\.jpg""), "".jpg"", """"), ""-"", "", ""), """")"),"")</f>
        <v/>
      </c>
      <c r="I1095" s="6"/>
      <c r="J1095" s="7" t="str">
        <f t="shared" ca="1" si="18"/>
        <v>(2026)</v>
      </c>
      <c r="K1095" s="7" t="str">
        <f t="shared" si="19"/>
        <v>92862302</v>
      </c>
      <c r="L1095" s="12" t="s">
        <v>5489</v>
      </c>
      <c r="M1095" s="13" t="str">
        <f ca="1">IFERROR(__xludf.DUMMYFUNCTION("TRIM(
  REGEXREPLACE(
    TEXTJOIN("" "",
      TRUE,
      B1095,
      C1095,
      embaralharLinks(E1095,F1095,G1095),
      H1095,
      """",
      J1095,
      N1095,
      ""#RIPNSFW""
    ),
  "",\s*"", "" "")
)"),"{New} Lauren Phillips https://doodstream.com/d/i7rfgn6a1xut/92862302 https://lulustream.com/d/it96lc4kdj8b https://streamtape.com/v/Kw01LOl6PpS08eK/92862302 (2026) #MILF #BigTits #Hardcore #Bigass #Porn #Roleplay #Stepmom #Blowjob #Facial #RIPNSFW")</f>
        <v>{New} Lauren Phillips https://doodstream.com/d/i7rfgn6a1xut/92862302 https://lulustream.com/d/it96lc4kdj8b https://streamtape.com/v/Kw01LOl6PpS08eK/92862302 (2026) #MILF #BigTits #Hardcore #Bigass #Porn #Roleplay #Stepmom #Blowjob #Facial #RIPNSFW</v>
      </c>
      <c r="N1095" s="14" t="s">
        <v>5490</v>
      </c>
      <c r="O1095" s="15" t="s">
        <v>5491</v>
      </c>
      <c r="P1095" s="14"/>
      <c r="Q1095" s="6"/>
      <c r="R1095" s="11"/>
      <c r="S1095" s="6"/>
      <c r="T1095" s="6"/>
      <c r="U1095" s="6"/>
      <c r="V1095" s="6"/>
      <c r="W1095" s="6"/>
      <c r="X1095" s="6"/>
      <c r="Y1095" s="6"/>
      <c r="Z1095" s="6"/>
      <c r="AA1095" s="6"/>
    </row>
    <row r="1096" spans="1:27" ht="12.75">
      <c r="A1096" s="6" t="s">
        <v>5492</v>
      </c>
      <c r="B1096" s="6" t="s">
        <v>14</v>
      </c>
      <c r="C1096" s="7" t="str">
        <f t="shared" si="16"/>
        <v xml:space="preserve">Lauren Phillips </v>
      </c>
      <c r="D1096" s="6" t="s">
        <v>5493</v>
      </c>
      <c r="E1096" s="8" t="s">
        <v>5494</v>
      </c>
      <c r="F1096" s="9" t="str">
        <f ca="1">IFERROR(__xludf.DUMMYFUNCTION("""https://streamtape.com/v/""&amp;
REGEXEXTRACT(O1096,""/thumb/([^/]+)/"")&amp;
""/""&amp;K1096"),"https://streamtape.com/v/RA06BypKALTdWDx/95493352")</f>
        <v>https://streamtape.com/v/RA06BypKALTdWDx/95493352</v>
      </c>
      <c r="G1096" s="10" t="e">
        <f t="shared" ca="1" si="17"/>
        <v>#NAME?</v>
      </c>
      <c r="H1096" s="11" t="str">
        <f ca="1">IFERROR(__xludf.DUMMYFUNCTION("IFERROR(SUBSTITUTE(SUBSTITUTE(REGEXEXTRACT(A1096, ""[^-]+- [^-]+- [^-]+ - (.+?)\.jpg""), "".jpg"", """"), ""-"", "", ""), """")"),"")</f>
        <v/>
      </c>
      <c r="I1096" s="6"/>
      <c r="J1096" s="7" t="str">
        <f t="shared" ca="1" si="18"/>
        <v>(2026)</v>
      </c>
      <c r="K1096" s="7" t="str">
        <f t="shared" si="19"/>
        <v>95493352</v>
      </c>
      <c r="L1096" s="12" t="s">
        <v>5495</v>
      </c>
      <c r="M1096" s="13" t="str">
        <f ca="1">IFERROR(__xludf.DUMMYFUNCTION("TRIM(
  REGEXREPLACE(
    TEXTJOIN("" "",
      TRUE,
      B1096,
      C1096,
      embaralharLinks(E1096,F1096,G1096),
      H1096,
      """",
      J1096,
      N1096,
      ""#RIPNSFW""
    ),
  "",\s*"", "" "")
)"),"{New} Lauren Phillips https://doodstream.com/d/hobcdiffzzmb/95493352 https://lulustream.com/d/483u7xxscrp2 https://streamtape.com/v/RA06BypKALTdWDx/95493352 (2026) #MILF #BigTits #Creampie #Hardcore #Bigass #Porn #RIPNSFW")</f>
        <v>{New} Lauren Phillips https://doodstream.com/d/hobcdiffzzmb/95493352 https://lulustream.com/d/483u7xxscrp2 https://streamtape.com/v/RA06BypKALTdWDx/95493352 (2026) #MILF #BigTits #Creampie #Hardcore #Bigass #Porn #RIPNSFW</v>
      </c>
      <c r="N1096" s="14" t="s">
        <v>5496</v>
      </c>
      <c r="O1096" s="15" t="s">
        <v>5497</v>
      </c>
      <c r="P1096" s="14"/>
      <c r="Q1096" s="6"/>
      <c r="R1096" s="11"/>
      <c r="S1096" s="6"/>
      <c r="T1096" s="6"/>
      <c r="U1096" s="6"/>
      <c r="V1096" s="6"/>
      <c r="W1096" s="6"/>
      <c r="X1096" s="6"/>
      <c r="Y1096" s="6"/>
      <c r="Z1096" s="6"/>
      <c r="AA1096" s="6"/>
    </row>
    <row r="1097" spans="1:27" ht="12.75">
      <c r="A1097" s="12" t="s">
        <v>5498</v>
      </c>
      <c r="B1097" s="6" t="s">
        <v>14</v>
      </c>
      <c r="C1097" s="7" t="str">
        <f t="shared" si="16"/>
        <v xml:space="preserve">Lauren Phillips </v>
      </c>
      <c r="D1097" s="24" t="s">
        <v>5499</v>
      </c>
      <c r="E1097" s="25" t="s">
        <v>5500</v>
      </c>
      <c r="F1097" s="9" t="str">
        <f ca="1">IFERROR(__xludf.DUMMYFUNCTION("""https://streamtape.com/v/""&amp;
REGEXEXTRACT(O1097,""/thumb/([^/]+)/"")&amp;
""/""&amp;K1097"),"https://streamtape.com/v/V0kLoGAXGOcKdry/99942714")</f>
        <v>https://streamtape.com/v/V0kLoGAXGOcKdry/99942714</v>
      </c>
      <c r="G1097" s="10" t="e">
        <f t="shared" ca="1" si="17"/>
        <v>#NAME?</v>
      </c>
      <c r="H1097" s="11" t="str">
        <f ca="1">IFERROR(__xludf.DUMMYFUNCTION("IFERROR(SUBSTITUTE(SUBSTITUTE(REGEXEXTRACT(A1097, ""[^-]+- [^-]+- [^-]+ - (.+?)\.jpg""), "".jpg"", """"), ""-"", "", ""), """")"),"")</f>
        <v/>
      </c>
      <c r="I1097" s="6"/>
      <c r="J1097" s="7" t="str">
        <f t="shared" ca="1" si="18"/>
        <v>(2026)</v>
      </c>
      <c r="K1097" s="7" t="str">
        <f t="shared" si="19"/>
        <v>99942714</v>
      </c>
      <c r="L1097" s="12" t="s">
        <v>1798</v>
      </c>
      <c r="M1097" s="13" t="str">
        <f ca="1">IFERROR(__xludf.DUMMYFUNCTION("TRIM(
  REGEXREPLACE(
    TEXTJOIN("" "",
      TRUE,
      B1097,
      C1097,
      embaralharLinks(E1097,F1097,G1097),
      H1097,
      """",
      J1097,
      N1097,
      ""#RIPNSFW""
    ),
  "",\s*"", "" "")
)"),"{New} Lauren Phillips https://lulustream.com/d/l482m7exb0mj https://streamtape.com/v/V0kLoGAXGOcKdry/99942714 https://doodstream.com/d/bu71nvqc98ag/99942714 (2026) #milf #bigtits #hardcore #bigass #RIPNSFW")</f>
        <v>{New} Lauren Phillips https://lulustream.com/d/l482m7exb0mj https://streamtape.com/v/V0kLoGAXGOcKdry/99942714 https://doodstream.com/d/bu71nvqc98ag/99942714 (2026) #milf #bigtits #hardcore #bigass #RIPNSFW</v>
      </c>
      <c r="N1097" s="2" t="s">
        <v>1798</v>
      </c>
      <c r="O1097" s="21" t="s">
        <v>5501</v>
      </c>
      <c r="P1097" s="26"/>
      <c r="R1097" s="23"/>
      <c r="T1097" s="6"/>
      <c r="U1097" s="7"/>
      <c r="Z1097" s="12"/>
      <c r="AA1097" s="12"/>
    </row>
    <row r="1098" spans="1:27" ht="12.75">
      <c r="A1098" s="12" t="s">
        <v>5502</v>
      </c>
      <c r="B1098" s="6" t="s">
        <v>14</v>
      </c>
      <c r="C1098" s="7" t="str">
        <f t="shared" si="16"/>
        <v xml:space="preserve">Lena Paul </v>
      </c>
      <c r="D1098" s="24" t="s">
        <v>5503</v>
      </c>
      <c r="E1098" s="25" t="s">
        <v>5504</v>
      </c>
      <c r="F1098" s="9" t="str">
        <f ca="1">IFERROR(__xludf.DUMMYFUNCTION("""https://streamtape.com/v/""&amp;
REGEXEXTRACT(O1098,""/thumb/([^/]+)/"")&amp;
""/""&amp;K1098"),"https://streamtape.com/v/o1G1xWYGYZiJell/21328114")</f>
        <v>https://streamtape.com/v/o1G1xWYGYZiJell/21328114</v>
      </c>
      <c r="G1098" s="10" t="e">
        <f t="shared" ca="1" si="17"/>
        <v>#NAME?</v>
      </c>
      <c r="H1098" s="11" t="str">
        <f ca="1">IFERROR(__xludf.DUMMYFUNCTION("IFERROR(SUBSTITUTE(SUBSTITUTE(REGEXEXTRACT(A1098, ""[^-]+- [^-]+- [^-]+ - (.+?)\.jpg""), "".jpg"", """"), ""-"", "", ""), """")"),"")</f>
        <v/>
      </c>
      <c r="I1098" s="6"/>
      <c r="J1098" s="7" t="str">
        <f t="shared" ca="1" si="18"/>
        <v>(2026)</v>
      </c>
      <c r="K1098" s="7" t="str">
        <f t="shared" si="19"/>
        <v>21328114</v>
      </c>
      <c r="L1098" s="12" t="s">
        <v>3227</v>
      </c>
      <c r="M1098" s="13" t="str">
        <f ca="1">IFERROR(__xludf.DUMMYFUNCTION("TRIM(
  REGEXREPLACE(
    TEXTJOIN("" "",
      TRUE,
      B1098,
      C1098,
      embaralharLinks(E1098,F1098,G1098),
      H1098,
      """",
      J1098,
      N1098,
      ""#RIPNSFW""
    ),
  "",\s*"", "" "")
)"),"{New} Lena Paul https://streamtape.com/v/o1G1xWYGYZiJell/21328114 https://doodstream.com/d/lz02l8oww3f3/21328114 https://lulustream.com/d/mpi7b4n2tv54 (2026) #anal #creampie #milf #bigtits #RIPNSFW")</f>
        <v>{New} Lena Paul https://streamtape.com/v/o1G1xWYGYZiJell/21328114 https://doodstream.com/d/lz02l8oww3f3/21328114 https://lulustream.com/d/mpi7b4n2tv54 (2026) #anal #creampie #milf #bigtits #RIPNSFW</v>
      </c>
      <c r="N1098" s="2" t="s">
        <v>3227</v>
      </c>
      <c r="O1098" s="30" t="s">
        <v>5505</v>
      </c>
      <c r="P1098" s="26"/>
      <c r="R1098" s="23"/>
      <c r="T1098" s="6"/>
      <c r="U1098" s="7"/>
    </row>
    <row r="1099" spans="1:27" ht="12.75">
      <c r="A1099" s="12" t="s">
        <v>5506</v>
      </c>
      <c r="B1099" s="6"/>
      <c r="C1099" s="7" t="str">
        <f t="shared" si="16"/>
        <v xml:space="preserve">Lena Paul </v>
      </c>
      <c r="D1099" s="24" t="s">
        <v>5507</v>
      </c>
      <c r="E1099" s="25" t="s">
        <v>5508</v>
      </c>
      <c r="F1099" s="9" t="str">
        <f ca="1">IFERROR(__xludf.DUMMYFUNCTION("""https://streamtape.com/v/""&amp;
REGEXEXTRACT(O1099,""/thumb/([^/]+)/"")&amp;
""/""&amp;K1099"),"https://streamtape.com/v/xkd3KLYLL0CkYqX/27997914")</f>
        <v>https://streamtape.com/v/xkd3KLYLL0CkYqX/27997914</v>
      </c>
      <c r="G1099" s="10" t="e">
        <f t="shared" ca="1" si="17"/>
        <v>#NAME?</v>
      </c>
      <c r="H1099" s="11" t="str">
        <f ca="1">IFERROR(__xludf.DUMMYFUNCTION("IFERROR(SUBSTITUTE(SUBSTITUTE(REGEXEXTRACT(A1099, ""[^-]+- [^-]+- [^-]+ - (.+?)\.jpg""), "".jpg"", """"), ""-"", "", ""), """")"),"")</f>
        <v/>
      </c>
      <c r="I1099" s="6"/>
      <c r="J1099" s="7" t="str">
        <f t="shared" ca="1" si="18"/>
        <v/>
      </c>
      <c r="K1099" s="7" t="str">
        <f t="shared" si="19"/>
        <v>27997914</v>
      </c>
      <c r="L1099" s="12" t="s">
        <v>5509</v>
      </c>
      <c r="M1099" s="13" t="str">
        <f ca="1">IFERROR(__xludf.DUMMYFUNCTION("TRIM(
  REGEXREPLACE(
    TEXTJOIN("" "",
      TRUE,
      B1099,
      C1099,
      embaralharLinks(E1099,F1099,G1099),
      H1099,
      """",
      J1099,
      N1099,
      ""#RIPNSFW""
    ),
  "",\s*"", "" "")
)"),"#ERROR!")</f>
        <v>#ERROR!</v>
      </c>
      <c r="N1099" s="2" t="s">
        <v>5509</v>
      </c>
      <c r="O1099" s="30" t="s">
        <v>5510</v>
      </c>
      <c r="P1099" s="26"/>
      <c r="R1099" s="23"/>
      <c r="T1099" s="6"/>
      <c r="U1099" s="7"/>
    </row>
    <row r="1100" spans="1:27" ht="12.75">
      <c r="A1100" s="6" t="s">
        <v>5511</v>
      </c>
      <c r="B1100" s="6" t="s">
        <v>14</v>
      </c>
      <c r="C1100" s="7" t="str">
        <f t="shared" si="16"/>
        <v xml:space="preserve">Lena Paul </v>
      </c>
      <c r="D1100" s="29" t="s">
        <v>5512</v>
      </c>
      <c r="E1100" s="8" t="s">
        <v>5513</v>
      </c>
      <c r="F1100" s="9" t="str">
        <f ca="1">IFERROR(__xludf.DUMMYFUNCTION("""https://streamtape.com/v/""&amp;
REGEXEXTRACT(O1100,""/thumb/([^/]+)/"")&amp;
""/""&amp;K1100"),"https://streamtape.com/v/MXB11JQmx7Ima1l/30756435")</f>
        <v>https://streamtape.com/v/MXB11JQmx7Ima1l/30756435</v>
      </c>
      <c r="G1100" s="10" t="e">
        <f t="shared" ca="1" si="17"/>
        <v>#NAME?</v>
      </c>
      <c r="H1100" s="11" t="str">
        <f ca="1">IFERROR(__xludf.DUMMYFUNCTION("IFERROR(SUBSTITUTE(SUBSTITUTE(REGEXEXTRACT(A1100, ""[^-]+- [^-]+- [^-]+ - (.+?)\.jpg""), "".jpg"", """"), ""-"", "", ""), """")"),"")</f>
        <v/>
      </c>
      <c r="I1100" s="6"/>
      <c r="J1100" s="7" t="str">
        <f t="shared" ca="1" si="18"/>
        <v>(2026)</v>
      </c>
      <c r="K1100" s="7" t="str">
        <f t="shared" si="19"/>
        <v>30756435</v>
      </c>
      <c r="L1100" s="12" t="s">
        <v>5514</v>
      </c>
      <c r="M1100" s="13" t="str">
        <f ca="1">IFERROR(__xludf.DUMMYFUNCTION("TRIM(
  REGEXREPLACE(
    TEXTJOIN("" "",
      TRUE,
      B1100,
      C1100,
      embaralharLinks(E1100,F1100,G1100),
      H1100,
      """",
      J1100,
      N1100,
      ""#RIPNSFW""
    ),
  "",\s*"", "" "")
)"),"{New} Lena Paul https://streamtape.com/v/MXB11JQmx7Ima1l/30756435 https://doodstream.com/d/yqgz0esgcm5p/30756435 https://lulustream.com/d/rwsh7ttqnl24 (2026) #MILF #BigTits #Hardcore #Bigass #RIPNSFW")</f>
        <v>{New} Lena Paul https://streamtape.com/v/MXB11JQmx7Ima1l/30756435 https://doodstream.com/d/yqgz0esgcm5p/30756435 https://lulustream.com/d/rwsh7ttqnl24 (2026) #MILF #BigTits #Hardcore #Bigass #RIPNSFW</v>
      </c>
      <c r="N1100" s="14" t="s">
        <v>128</v>
      </c>
      <c r="O1100" s="32" t="s">
        <v>5515</v>
      </c>
      <c r="P1100" s="14"/>
      <c r="Q1100" s="6"/>
      <c r="R1100" s="11"/>
      <c r="S1100" s="6"/>
      <c r="T1100" s="6"/>
      <c r="U1100" s="6"/>
      <c r="V1100" s="6"/>
      <c r="W1100" s="6"/>
      <c r="X1100" s="6"/>
      <c r="Y1100" s="6"/>
      <c r="Z1100" s="6"/>
      <c r="AA1100" s="6"/>
    </row>
    <row r="1101" spans="1:27" ht="12.75">
      <c r="A1101" s="6" t="s">
        <v>5516</v>
      </c>
      <c r="B1101" s="6" t="s">
        <v>14</v>
      </c>
      <c r="C1101" s="7" t="str">
        <f t="shared" si="16"/>
        <v xml:space="preserve">Lena Paul </v>
      </c>
      <c r="D1101" s="6" t="s">
        <v>5517</v>
      </c>
      <c r="E1101" s="8" t="s">
        <v>5518</v>
      </c>
      <c r="F1101" s="9" t="str">
        <f ca="1">IFERROR(__xludf.DUMMYFUNCTION("""https://streamtape.com/v/""&amp;
REGEXEXTRACT(O1101,""/thumb/([^/]+)/"")&amp;
""/""&amp;K1101"),"https://streamtape.com/v/Qd8PeDK0eAiR7d/31870577")</f>
        <v>https://streamtape.com/v/Qd8PeDK0eAiR7d/31870577</v>
      </c>
      <c r="G1101" s="10" t="e">
        <f t="shared" ca="1" si="17"/>
        <v>#NAME?</v>
      </c>
      <c r="H1101" s="11" t="str">
        <f ca="1">IFERROR(__xludf.DUMMYFUNCTION("IFERROR(SUBSTITUTE(SUBSTITUTE(REGEXEXTRACT(A1101, ""[^-]+- [^-]+- [^-]+ - (.+?)\.jpg""), "".jpg"", """"), ""-"", "", ""), """")"),"")</f>
        <v/>
      </c>
      <c r="I1101" s="6"/>
      <c r="J1101" s="7" t="str">
        <f t="shared" ca="1" si="18"/>
        <v>(2026)</v>
      </c>
      <c r="K1101" s="7" t="str">
        <f t="shared" si="19"/>
        <v>31870577</v>
      </c>
      <c r="L1101" s="12" t="s">
        <v>1320</v>
      </c>
      <c r="M1101" s="13" t="str">
        <f ca="1">IFERROR(__xludf.DUMMYFUNCTION("TRIM(
  REGEXREPLACE(
    TEXTJOIN("" "",
      TRUE,
      B1101,
      C1101,
      embaralharLinks(E1101,F1101,G1101),
      H1101,
      """",
      J1101,
      N1101,
      ""#RIPNSFW""
    ),
  "",\s*"", "" "")
)"),"{New} Lena Paul https://doodstream.com/d/y3lz8tlaq0xb/31870577 https://streamtape.com/v/Qd8PeDK0eAiR7d/31870577 https://lulustream.com/d/g9rfrjr8waet (2026) #MILF #BigTits #Hardcore #Bigass #RIPNSFW")</f>
        <v>{New} Lena Paul https://doodstream.com/d/y3lz8tlaq0xb/31870577 https://streamtape.com/v/Qd8PeDK0eAiR7d/31870577 https://lulustream.com/d/g9rfrjr8waet (2026) #MILF #BigTits #Hardcore #Bigass #RIPNSFW</v>
      </c>
      <c r="N1101" s="14" t="s">
        <v>128</v>
      </c>
      <c r="O1101" s="15" t="s">
        <v>5519</v>
      </c>
      <c r="P1101" s="14"/>
      <c r="Q1101" s="6"/>
      <c r="R1101" s="11"/>
      <c r="S1101" s="6"/>
      <c r="T1101" s="6"/>
      <c r="U1101" s="6"/>
      <c r="V1101" s="6"/>
      <c r="W1101" s="6"/>
      <c r="X1101" s="6"/>
      <c r="Y1101" s="6"/>
      <c r="Z1101" s="6"/>
      <c r="AA1101" s="6"/>
    </row>
    <row r="1102" spans="1:27" ht="12.75">
      <c r="A1102" s="12" t="s">
        <v>5520</v>
      </c>
      <c r="B1102" s="6" t="s">
        <v>14</v>
      </c>
      <c r="C1102" s="7" t="str">
        <f t="shared" si="16"/>
        <v xml:space="preserve">Lena Paul </v>
      </c>
      <c r="D1102" s="27" t="s">
        <v>5521</v>
      </c>
      <c r="E1102" s="28" t="s">
        <v>5522</v>
      </c>
      <c r="F1102" s="9" t="str">
        <f ca="1">IFERROR(__xludf.DUMMYFUNCTION("""https://streamtape.com/v/""&amp;
REGEXEXTRACT(O1102,""/thumb/([^/]+)/"")&amp;
""/""&amp;K1102"),"https://streamtape.com/v/3WBoJyA32zhdQaL/32115319")</f>
        <v>https://streamtape.com/v/3WBoJyA32zhdQaL/32115319</v>
      </c>
      <c r="G1102" s="10" t="e">
        <f t="shared" ca="1" si="17"/>
        <v>#NAME?</v>
      </c>
      <c r="H1102" s="11" t="str">
        <f ca="1">IFERROR(__xludf.DUMMYFUNCTION("IFERROR(SUBSTITUTE(SUBSTITUTE(REGEXEXTRACT(A1102, ""[^-]+- [^-]+- [^-]+ - (.+?)\.jpg""), "".jpg"", """"), ""-"", "", ""), """")"),"Angel Youngs")</f>
        <v>Angel Youngs</v>
      </c>
      <c r="I1102" s="6"/>
      <c r="J1102" s="7" t="str">
        <f t="shared" ca="1" si="18"/>
        <v>(2026)</v>
      </c>
      <c r="K1102" s="7" t="str">
        <f t="shared" si="19"/>
        <v>32115319</v>
      </c>
      <c r="L1102" s="12" t="s">
        <v>5523</v>
      </c>
      <c r="M1102" s="13" t="str">
        <f ca="1">IFERROR(__xludf.DUMMYFUNCTION("TRIM(
  REGEXREPLACE(
    TEXTJOIN("" "",
      TRUE,
      B1102,
      C1102,
      embaralharLinks(E1102,F1102,G1102),
      H1102,
      """",
      J1102,
      N1102,
      ""#RIPNSFW""
    ),
  "",\s*"", "" "")
)"),"{New} Lena Paul https://doodstream.com/d/jmval7j34m7y/32115319 https://streamtape.com/v/3WBoJyA32zhdQaL/32115319 https://lulustream.com/d/8hwazoojiw8r Angel Youngs (2026) #MILF #BigTits #Lesbian #Bigass #RIPNSFW")</f>
        <v>{New} Lena Paul https://doodstream.com/d/jmval7j34m7y/32115319 https://streamtape.com/v/3WBoJyA32zhdQaL/32115319 https://lulustream.com/d/8hwazoojiw8r Angel Youngs (2026) #MILF #BigTits #Lesbian #Bigass #RIPNSFW</v>
      </c>
      <c r="N1102" s="2" t="s">
        <v>5524</v>
      </c>
      <c r="O1102" s="30" t="s">
        <v>5525</v>
      </c>
      <c r="P1102" s="26"/>
      <c r="R1102" s="23"/>
    </row>
    <row r="1103" spans="1:27" ht="12.75">
      <c r="A1103" s="6" t="s">
        <v>5526</v>
      </c>
      <c r="B1103" s="6" t="s">
        <v>14</v>
      </c>
      <c r="C1103" s="7" t="str">
        <f t="shared" si="16"/>
        <v xml:space="preserve">Lena Paul </v>
      </c>
      <c r="D1103" s="6" t="s">
        <v>5527</v>
      </c>
      <c r="E1103" s="8" t="s">
        <v>5528</v>
      </c>
      <c r="F1103" s="9" t="str">
        <f ca="1">IFERROR(__xludf.DUMMYFUNCTION("""https://streamtape.com/v/""&amp;
REGEXEXTRACT(O1103,""/thumb/([^/]+)/"")&amp;
""/""&amp;K1103"),"https://streamtape.com/v/VVqaG3lLpehKJaM/37180502")</f>
        <v>https://streamtape.com/v/VVqaG3lLpehKJaM/37180502</v>
      </c>
      <c r="G1103" s="10" t="e">
        <f t="shared" ca="1" si="17"/>
        <v>#NAME?</v>
      </c>
      <c r="H1103" s="11" t="str">
        <f ca="1">IFERROR(__xludf.DUMMYFUNCTION("IFERROR(SUBSTITUTE(SUBSTITUTE(REGEXEXTRACT(A1103, ""[^-]+- [^-]+- [^-]+ - (.+?)\.jpg""), "".jpg"", """"), ""-"", "", ""), """")"),"")</f>
        <v/>
      </c>
      <c r="I1103" s="6"/>
      <c r="J1103" s="7" t="str">
        <f t="shared" ca="1" si="18"/>
        <v>(2026)</v>
      </c>
      <c r="K1103" s="7" t="str">
        <f t="shared" si="19"/>
        <v>37180502</v>
      </c>
      <c r="L1103" s="12" t="s">
        <v>1270</v>
      </c>
      <c r="M1103" s="13" t="str">
        <f ca="1">IFERROR(__xludf.DUMMYFUNCTION("TRIM(
  REGEXREPLACE(
    TEXTJOIN("" "",
      TRUE,
      B1103,
      C1103,
      embaralharLinks(E1103,F1103,G1103),
      H1103,
      """",
      J1103,
      N1103,
      ""#RIPNSFW""
    ),
  "",\s*"", "" "")
)"),"{New} Lena Paul https://lulustream.com/d/ubg3m9mzp2r3 https://streamtape.com/v/VVqaG3lLpehKJaM/37180502 https://doodstream.com/d/tv78ktj32rgw/37180502 (2026) #MILF #BigTits #Hardcore #Bigass #Blowjob #Amateur #Hotwife #RIPNSFW")</f>
        <v>{New} Lena Paul https://lulustream.com/d/ubg3m9mzp2r3 https://streamtape.com/v/VVqaG3lLpehKJaM/37180502 https://doodstream.com/d/tv78ktj32rgw/37180502 (2026) #MILF #BigTits #Hardcore #Bigass #Blowjob #Amateur #Hotwife #RIPNSFW</v>
      </c>
      <c r="N1103" s="14" t="s">
        <v>5529</v>
      </c>
      <c r="O1103" s="15" t="s">
        <v>5530</v>
      </c>
      <c r="P1103" s="14"/>
      <c r="Q1103" s="6"/>
      <c r="R1103" s="11"/>
      <c r="S1103" s="6"/>
      <c r="T1103" s="6"/>
      <c r="U1103" s="6"/>
      <c r="V1103" s="6"/>
      <c r="W1103" s="6"/>
      <c r="X1103" s="6"/>
      <c r="Y1103" s="6"/>
      <c r="Z1103" s="6"/>
      <c r="AA1103" s="6"/>
    </row>
    <row r="1104" spans="1:27" ht="12.75">
      <c r="A1104" s="12" t="s">
        <v>5531</v>
      </c>
      <c r="B1104" s="6" t="s">
        <v>14</v>
      </c>
      <c r="C1104" s="7" t="str">
        <f t="shared" si="16"/>
        <v xml:space="preserve">Lena Paul </v>
      </c>
      <c r="D1104" s="24" t="s">
        <v>5532</v>
      </c>
      <c r="E1104" s="25" t="s">
        <v>5533</v>
      </c>
      <c r="F1104" s="9" t="str">
        <f ca="1">IFERROR(__xludf.DUMMYFUNCTION("""https://streamtape.com/v/""&amp;
REGEXEXTRACT(O1104,""/thumb/([^/]+)/"")&amp;
""/""&amp;K1104"),"https://streamtape.com/v/KAWx6Pr9qqf0y6V/41030276")</f>
        <v>https://streamtape.com/v/KAWx6Pr9qqf0y6V/41030276</v>
      </c>
      <c r="G1104" s="10" t="e">
        <f t="shared" ca="1" si="17"/>
        <v>#NAME?</v>
      </c>
      <c r="H1104" s="11" t="str">
        <f ca="1">IFERROR(__xludf.DUMMYFUNCTION("IFERROR(SUBSTITUTE(SUBSTITUTE(REGEXEXTRACT(A1104, ""[^-]+- [^-]+- [^-]+ - (.+?)\.jpg""), "".jpg"", """"), ""-"", "", ""), """")"),"Susie Stellar")</f>
        <v>Susie Stellar</v>
      </c>
      <c r="I1104" s="6"/>
      <c r="J1104" s="7" t="str">
        <f t="shared" ca="1" si="18"/>
        <v>(2026)</v>
      </c>
      <c r="K1104" s="7" t="str">
        <f t="shared" si="19"/>
        <v>41030276</v>
      </c>
      <c r="L1104" s="12" t="s">
        <v>4775</v>
      </c>
      <c r="M1104" s="13" t="str">
        <f ca="1">IFERROR(__xludf.DUMMYFUNCTION("TRIM(
  REGEXREPLACE(
    TEXTJOIN("" "",
      TRUE,
      B1104,
      C1104,
      embaralharLinks(E1104,F1104,G1104),
      H1104,
      """",
      J1104,
      N1104,
      ""#RIPNSFW""
    ),
  "",\s*"", "" "")
)"),"{New} Lena Paul https://streamtape.com/v/KAWx6Pr9qqf0y6V/41030276 https://lulustream.com/d/5trkyyf9gqlv https://doodstream.com/d/0mwotdtwcgpx/41030276 Susie Stellar (2026) #milf #threesome #bigass #bigtits #RIPNSFW")</f>
        <v>{New} Lena Paul https://streamtape.com/v/KAWx6Pr9qqf0y6V/41030276 https://lulustream.com/d/5trkyyf9gqlv https://doodstream.com/d/0mwotdtwcgpx/41030276 Susie Stellar (2026) #milf #threesome #bigass #bigtits #RIPNSFW</v>
      </c>
      <c r="N1104" s="2" t="s">
        <v>4775</v>
      </c>
      <c r="O1104" s="30" t="s">
        <v>5534</v>
      </c>
      <c r="P1104" s="26"/>
      <c r="R1104" s="23"/>
      <c r="T1104" s="6"/>
      <c r="U1104" s="7"/>
    </row>
    <row r="1105" spans="1:27" ht="12.75">
      <c r="A1105" s="6" t="s">
        <v>5535</v>
      </c>
      <c r="B1105" s="6" t="s">
        <v>14</v>
      </c>
      <c r="C1105" s="7" t="str">
        <f t="shared" si="16"/>
        <v xml:space="preserve">Lena Paul </v>
      </c>
      <c r="D1105" s="6" t="s">
        <v>5536</v>
      </c>
      <c r="E1105" s="8" t="s">
        <v>5537</v>
      </c>
      <c r="F1105" s="9" t="str">
        <f ca="1">IFERROR(__xludf.DUMMYFUNCTION("""https://streamtape.com/v/""&amp;
REGEXEXTRACT(O1105,""/thumb/([^/]+)/"")&amp;
""/""&amp;K1105"),"https://streamtape.com/v/PZKV8GjV7gT04d3/41292465")</f>
        <v>https://streamtape.com/v/PZKV8GjV7gT04d3/41292465</v>
      </c>
      <c r="G1105" s="10" t="e">
        <f t="shared" ca="1" si="17"/>
        <v>#NAME?</v>
      </c>
      <c r="H1105" s="11" t="str">
        <f ca="1">IFERROR(__xludf.DUMMYFUNCTION("IFERROR(SUBSTITUTE(SUBSTITUTE(REGEXEXTRACT(A1105, ""[^-]+- [^-]+- [^-]+ - (.+?)\.jpg""), "".jpg"", """"), ""-"", "", ""), """")"),"")</f>
        <v/>
      </c>
      <c r="I1105" s="6"/>
      <c r="J1105" s="7" t="str">
        <f t="shared" ca="1" si="18"/>
        <v>(2026)</v>
      </c>
      <c r="K1105" s="7" t="str">
        <f t="shared" si="19"/>
        <v>41292465</v>
      </c>
      <c r="L1105" s="12" t="s">
        <v>5538</v>
      </c>
      <c r="M1105" s="13" t="str">
        <f ca="1">IFERROR(__xludf.DUMMYFUNCTION("TRIM(
  REGEXREPLACE(
    TEXTJOIN("" "",
      TRUE,
      B1105,
      C1105,
      embaralharLinks(E1105,F1105,G1105),
      H1105,
      """",
      J1105,
      N1105,
      ""#RIPNSFW""
    ),
  "",\s*"", "" "")
)"),"{New} Lena Paul https://lulustream.com/d/dd00hm3trppv https://streamtape.com/v/PZKV8GjV7gT04d3/41292465 https://doodstream.com/d/5dxgxzvxrta6/41292465 (2026) #MILF #BigTits #Blowjob #Amateur #RIPNSFW")</f>
        <v>{New} Lena Paul https://lulustream.com/d/dd00hm3trppv https://streamtape.com/v/PZKV8GjV7gT04d3/41292465 https://doodstream.com/d/5dxgxzvxrta6/41292465 (2026) #MILF #BigTits #Blowjob #Amateur #RIPNSFW</v>
      </c>
      <c r="N1105" s="14" t="s">
        <v>267</v>
      </c>
      <c r="O1105" s="15" t="s">
        <v>5539</v>
      </c>
      <c r="P1105" s="14"/>
      <c r="Q1105" s="6"/>
      <c r="R1105" s="11"/>
      <c r="S1105" s="6"/>
      <c r="T1105" s="6"/>
      <c r="U1105" s="6"/>
      <c r="V1105" s="6"/>
      <c r="W1105" s="6"/>
      <c r="X1105" s="6"/>
      <c r="Y1105" s="6"/>
      <c r="Z1105" s="6"/>
      <c r="AA1105" s="6"/>
    </row>
    <row r="1106" spans="1:27" ht="12.75">
      <c r="A1106" s="6" t="s">
        <v>5540</v>
      </c>
      <c r="B1106" s="6" t="s">
        <v>14</v>
      </c>
      <c r="C1106" s="7" t="str">
        <f t="shared" si="16"/>
        <v xml:space="preserve">Lena Paul </v>
      </c>
      <c r="D1106" s="6" t="s">
        <v>5541</v>
      </c>
      <c r="E1106" s="8" t="s">
        <v>5542</v>
      </c>
      <c r="F1106" s="9" t="str">
        <f ca="1">IFERROR(__xludf.DUMMYFUNCTION("""https://streamtape.com/v/""&amp;
REGEXEXTRACT(O1106,""/thumb/([^/]+)/"")&amp;
""/""&amp;K1106"),"https://streamtape.com/v/VoKk4JXeOJFkQz/44319291")</f>
        <v>https://streamtape.com/v/VoKk4JXeOJFkQz/44319291</v>
      </c>
      <c r="G1106" s="10" t="e">
        <f t="shared" ca="1" si="17"/>
        <v>#NAME?</v>
      </c>
      <c r="H1106" s="11" t="str">
        <f ca="1">IFERROR(__xludf.DUMMYFUNCTION("IFERROR(SUBSTITUTE(SUBSTITUTE(REGEXEXTRACT(A1106, ""[^-]+- [^-]+- [^-]+ - (.+?)\.jpg""), "".jpg"", """"), ""-"", "", ""), """")"),"")</f>
        <v/>
      </c>
      <c r="I1106" s="6"/>
      <c r="J1106" s="7" t="str">
        <f t="shared" ca="1" si="18"/>
        <v>(2026)</v>
      </c>
      <c r="K1106" s="7" t="str">
        <f t="shared" si="19"/>
        <v>44319291</v>
      </c>
      <c r="L1106" s="12" t="s">
        <v>5543</v>
      </c>
      <c r="M1106" s="13" t="str">
        <f ca="1">IFERROR(__xludf.DUMMYFUNCTION("TRIM(
  REGEXREPLACE(
    TEXTJOIN("" "",
      TRUE,
      B1106,
      C1106,
      embaralharLinks(E1106,F1106,G1106),
      H1106,
      """",
      J1106,
      N1106,
      ""#RIPNSFW""
    ),
  "",\s*"", "" "")
)"),"{New} Lena Paul https://streamtape.com/v/VoKk4JXeOJFkQz/44319291 https://doodstream.com/d/ekqf7cw1ztrw/44319291 https://lulustream.com/d/n420o64q00kl (2026) #MILF #BigTits #Hardcore #Bigass #Blowjob #Amateur #Hotwife #Deepthroat #RIPNSFW")</f>
        <v>{New} Lena Paul https://streamtape.com/v/VoKk4JXeOJFkQz/44319291 https://doodstream.com/d/ekqf7cw1ztrw/44319291 https://lulustream.com/d/n420o64q00kl (2026) #MILF #BigTits #Hardcore #Bigass #Blowjob #Amateur #Hotwife #Deepthroat #RIPNSFW</v>
      </c>
      <c r="N1106" s="14" t="s">
        <v>5544</v>
      </c>
      <c r="O1106" s="15" t="s">
        <v>5545</v>
      </c>
      <c r="P1106" s="14"/>
      <c r="Q1106" s="6"/>
      <c r="R1106" s="11"/>
      <c r="S1106" s="6"/>
      <c r="T1106" s="6"/>
      <c r="U1106" s="6"/>
      <c r="V1106" s="6"/>
      <c r="W1106" s="6"/>
      <c r="X1106" s="6"/>
      <c r="Y1106" s="6"/>
      <c r="Z1106" s="6"/>
      <c r="AA1106" s="6"/>
    </row>
    <row r="1107" spans="1:27" ht="12.75">
      <c r="A1107" s="12" t="s">
        <v>5546</v>
      </c>
      <c r="B1107" s="6" t="s">
        <v>14</v>
      </c>
      <c r="C1107" s="7" t="str">
        <f t="shared" si="16"/>
        <v xml:space="preserve">Lena Paul </v>
      </c>
      <c r="D1107" s="27" t="s">
        <v>5547</v>
      </c>
      <c r="E1107" s="28" t="s">
        <v>5548</v>
      </c>
      <c r="F1107" s="9" t="str">
        <f ca="1">IFERROR(__xludf.DUMMYFUNCTION("""https://streamtape.com/v/""&amp;
REGEXEXTRACT(O1107,""/thumb/([^/]+)/"")&amp;
""/""&amp;K1107"),"https://streamtape.com/v/R6Poy6k2l6Cd4vj/57956824")</f>
        <v>https://streamtape.com/v/R6Poy6k2l6Cd4vj/57956824</v>
      </c>
      <c r="G1107" s="10" t="e">
        <f t="shared" ca="1" si="17"/>
        <v>#NAME?</v>
      </c>
      <c r="H1107" s="11" t="str">
        <f ca="1">IFERROR(__xludf.DUMMYFUNCTION("IFERROR(SUBSTITUTE(SUBSTITUTE(REGEXEXTRACT(A1107, ""[^-]+- [^-]+- [^-]+ - (.+?)\.jpg""), "".jpg"", """"), ""-"", "", ""), """")"),"")</f>
        <v/>
      </c>
      <c r="I1107" s="6"/>
      <c r="J1107" s="7" t="str">
        <f t="shared" ca="1" si="18"/>
        <v>(2026)</v>
      </c>
      <c r="K1107" s="7" t="str">
        <f t="shared" si="19"/>
        <v>57956824</v>
      </c>
      <c r="L1107" s="12" t="s">
        <v>127</v>
      </c>
      <c r="M1107" s="13" t="str">
        <f ca="1">IFERROR(__xludf.DUMMYFUNCTION("TRIM(
  REGEXREPLACE(
    TEXTJOIN("" "",
      TRUE,
      B1107,
      C1107,
      embaralharLinks(E1107,F1107,G1107),
      H1107,
      """",
      J1107,
      N1107,
      ""#RIPNSFW""
    ),
  "",\s*"", "" "")
)"),"{New} Lena Paul https://doodstream.com/d/lmgj4sziwv55/57956824 https://lulustream.com/d/rzwec9zqiaya https://streamtape.com/v/R6Poy6k2l6Cd4vj/57956824 (2026) #MILF #BigTits #Hardcore #Bigass #RIPNSFW")</f>
        <v>{New} Lena Paul https://doodstream.com/d/lmgj4sziwv55/57956824 https://lulustream.com/d/rzwec9zqiaya https://streamtape.com/v/R6Poy6k2l6Cd4vj/57956824 (2026) #MILF #BigTits #Hardcore #Bigass #RIPNSFW</v>
      </c>
      <c r="N1107" s="2" t="s">
        <v>128</v>
      </c>
      <c r="O1107" s="30" t="s">
        <v>5549</v>
      </c>
      <c r="P1107" s="26"/>
      <c r="R1107" s="23"/>
    </row>
    <row r="1108" spans="1:27" ht="12.75">
      <c r="A1108" s="6" t="s">
        <v>5550</v>
      </c>
      <c r="B1108" s="6" t="s">
        <v>14</v>
      </c>
      <c r="C1108" s="7" t="str">
        <f t="shared" si="16"/>
        <v xml:space="preserve">Lena Paul </v>
      </c>
      <c r="D1108" s="6" t="s">
        <v>5551</v>
      </c>
      <c r="E1108" s="8" t="s">
        <v>5552</v>
      </c>
      <c r="F1108" s="9" t="str">
        <f ca="1">IFERROR(__xludf.DUMMYFUNCTION("""https://streamtape.com/v/""&amp;
REGEXEXTRACT(O1108,""/thumb/([^/]+)/"")&amp;
""/""&amp;K1108"),"https://streamtape.com/v/aZR9jR28v9fxV1D/58507052")</f>
        <v>https://streamtape.com/v/aZR9jR28v9fxV1D/58507052</v>
      </c>
      <c r="G1108" s="10" t="e">
        <f t="shared" ca="1" si="17"/>
        <v>#NAME?</v>
      </c>
      <c r="H1108" s="11" t="str">
        <f ca="1">IFERROR(__xludf.DUMMYFUNCTION("IFERROR(SUBSTITUTE(SUBSTITUTE(REGEXEXTRACT(A1108, ""[^-]+- [^-]+- [^-]+ - (.+?)\.jpg""), "".jpg"", """"), ""-"", "", ""), """")"),"")</f>
        <v/>
      </c>
      <c r="I1108" s="6"/>
      <c r="J1108" s="7" t="str">
        <f t="shared" ca="1" si="18"/>
        <v>(2026)</v>
      </c>
      <c r="K1108" s="7" t="str">
        <f t="shared" si="19"/>
        <v>58507052</v>
      </c>
      <c r="L1108" s="12" t="s">
        <v>5553</v>
      </c>
      <c r="M1108" s="13" t="str">
        <f ca="1">IFERROR(__xludf.DUMMYFUNCTION("TRIM(
  REGEXREPLACE(
    TEXTJOIN("" "",
      TRUE,
      B1108,
      C1108,
      embaralharLinks(E1108,F1108,G1108),
      H1108,
      """",
      J1108,
      N1108,
      ""#RIPNSFW""
    ),
  "",\s*"", "" "")
)"),"{New} Lena Paul https://lulustream.com/d/bed0f8l9uikq https://streamtape.com/v/aZR9jR28v9fxV1D/58507052 https://doodstream.com/d/18odr1v4hyy9/58507052 (2026) #Anal #MILF #BigTits #Creampie #Hardcore #Bigass #Blowjob #RIPNSFW")</f>
        <v>{New} Lena Paul https://lulustream.com/d/bed0f8l9uikq https://streamtape.com/v/aZR9jR28v9fxV1D/58507052 https://doodstream.com/d/18odr1v4hyy9/58507052 (2026) #Anal #MILF #BigTits #Creampie #Hardcore #Bigass #Blowjob #RIPNSFW</v>
      </c>
      <c r="N1108" s="14" t="s">
        <v>5554</v>
      </c>
      <c r="O1108" s="15" t="s">
        <v>5555</v>
      </c>
      <c r="P1108" s="14"/>
      <c r="Q1108" s="6"/>
      <c r="R1108" s="11"/>
      <c r="S1108" s="6"/>
      <c r="T1108" s="6"/>
      <c r="U1108" s="6"/>
      <c r="V1108" s="6"/>
      <c r="W1108" s="6"/>
      <c r="X1108" s="6"/>
      <c r="Y1108" s="6"/>
      <c r="Z1108" s="6"/>
      <c r="AA1108" s="6"/>
    </row>
    <row r="1109" spans="1:27" ht="12.75">
      <c r="A1109" s="12" t="s">
        <v>5556</v>
      </c>
      <c r="B1109" s="6" t="s">
        <v>14</v>
      </c>
      <c r="C1109" s="7" t="str">
        <f t="shared" si="16"/>
        <v xml:space="preserve">Lena Paul </v>
      </c>
      <c r="D1109" s="24" t="s">
        <v>5557</v>
      </c>
      <c r="E1109" s="25" t="s">
        <v>5558</v>
      </c>
      <c r="F1109" s="9" t="str">
        <f ca="1">IFERROR(__xludf.DUMMYFUNCTION("""https://streamtape.com/v/""&amp;
REGEXEXTRACT(O1109,""/thumb/([^/]+)/"")&amp;
""/""&amp;K1109"),"https://streamtape.com/v/owwAqvpW0pCvaX/63024767")</f>
        <v>https://streamtape.com/v/owwAqvpW0pCvaX/63024767</v>
      </c>
      <c r="G1109" s="10" t="e">
        <f t="shared" ca="1" si="17"/>
        <v>#NAME?</v>
      </c>
      <c r="H1109" s="11" t="str">
        <f ca="1">IFERROR(__xludf.DUMMYFUNCTION("IFERROR(SUBSTITUTE(SUBSTITUTE(REGEXEXTRACT(A1109, ""[^-]+- [^-]+- [^-]+ - (.+?)\.jpg""), "".jpg"", """"), ""-"", "", ""), """")"),"")</f>
        <v/>
      </c>
      <c r="I1109" s="6"/>
      <c r="J1109" s="7" t="str">
        <f t="shared" ca="1" si="18"/>
        <v>(2026)</v>
      </c>
      <c r="K1109" s="7" t="str">
        <f t="shared" si="19"/>
        <v>63024767</v>
      </c>
      <c r="L1109" s="12" t="s">
        <v>5559</v>
      </c>
      <c r="M1109" s="13" t="str">
        <f ca="1">IFERROR(__xludf.DUMMYFUNCTION("TRIM(
  REGEXREPLACE(
    TEXTJOIN("" "",
      TRUE,
      B1109,
      C1109,
      embaralharLinks(E1109,F1109,G1109),
      H1109,
      """",
      J1109,
      N1109,
      ""#RIPNSFW""
    ),
  "",\s*"", "" "")
)"),"{New} Lena Paul https://doodstream.com/d/o80x67gkjk4j/63024767 https://lulustream.com/d/ha5odfou3gw5 https://streamtape.com/v/owwAqvpW0pCvaX/63024767 (2026) #bigtits #milf #solo #dildo #RIPNSFW")</f>
        <v>{New} Lena Paul https://doodstream.com/d/o80x67gkjk4j/63024767 https://lulustream.com/d/ha5odfou3gw5 https://streamtape.com/v/owwAqvpW0pCvaX/63024767 (2026) #bigtits #milf #solo #dildo #RIPNSFW</v>
      </c>
      <c r="N1109" s="2" t="s">
        <v>5559</v>
      </c>
      <c r="O1109" s="30" t="s">
        <v>5560</v>
      </c>
      <c r="P1109" s="26"/>
      <c r="R1109" s="23"/>
      <c r="T1109" s="6"/>
      <c r="U1109" s="7"/>
    </row>
    <row r="1110" spans="1:27" ht="12.75">
      <c r="A1110" s="12" t="s">
        <v>5561</v>
      </c>
      <c r="B1110" s="6" t="s">
        <v>14</v>
      </c>
      <c r="C1110" s="7" t="str">
        <f t="shared" si="16"/>
        <v xml:space="preserve">Lena Paul </v>
      </c>
      <c r="D1110" s="24" t="s">
        <v>5562</v>
      </c>
      <c r="E1110" s="25" t="s">
        <v>5563</v>
      </c>
      <c r="F1110" s="9" t="str">
        <f ca="1">IFERROR(__xludf.DUMMYFUNCTION("""https://streamtape.com/v/""&amp;
REGEXEXTRACT(O1110,""/thumb/([^/]+)/"")&amp;
""/""&amp;K1110"),"https://streamtape.com/v/YGJWxemXwQtvyeX/69129060")</f>
        <v>https://streamtape.com/v/YGJWxemXwQtvyeX/69129060</v>
      </c>
      <c r="G1110" s="10" t="e">
        <f t="shared" ca="1" si="17"/>
        <v>#NAME?</v>
      </c>
      <c r="H1110" s="11" t="str">
        <f ca="1">IFERROR(__xludf.DUMMYFUNCTION("IFERROR(SUBSTITUTE(SUBSTITUTE(REGEXEXTRACT(A1110, ""[^-]+- [^-]+- [^-]+ - (.+?)\.jpg""), "".jpg"", """"), ""-"", "", ""), """")"),"")</f>
        <v/>
      </c>
      <c r="I1110" s="6"/>
      <c r="J1110" s="7" t="str">
        <f t="shared" ca="1" si="18"/>
        <v>(2026)</v>
      </c>
      <c r="K1110" s="7" t="str">
        <f t="shared" si="19"/>
        <v>69129060</v>
      </c>
      <c r="L1110" s="12" t="s">
        <v>3227</v>
      </c>
      <c r="M1110" s="13" t="str">
        <f ca="1">IFERROR(__xludf.DUMMYFUNCTION("TRIM(
  REGEXREPLACE(
    TEXTJOIN("" "",
      TRUE,
      B1110,
      C1110,
      embaralharLinks(E1110,F1110,G1110),
      H1110,
      """",
      J1110,
      N1110,
      ""#RIPNSFW""
    ),
  "",\s*"", "" "")
)"),"{New} Lena Paul https://streamtape.com/v/YGJWxemXwQtvyeX/69129060 https://lulustream.com/d/u83v3q6a484x https://doodstream.com/d/ri13pntqhkon/69129060 (2026) #anal #creampie #milf #bigtits #RIPNSFW")</f>
        <v>{New} Lena Paul https://streamtape.com/v/YGJWxemXwQtvyeX/69129060 https://lulustream.com/d/u83v3q6a484x https://doodstream.com/d/ri13pntqhkon/69129060 (2026) #anal #creampie #milf #bigtits #RIPNSFW</v>
      </c>
      <c r="N1110" s="2" t="s">
        <v>3227</v>
      </c>
      <c r="O1110" s="30" t="s">
        <v>5564</v>
      </c>
      <c r="P1110" s="26"/>
      <c r="R1110" s="23"/>
      <c r="T1110" s="6"/>
      <c r="U1110" s="7"/>
    </row>
    <row r="1111" spans="1:27" ht="12.75">
      <c r="A1111" s="6" t="s">
        <v>5565</v>
      </c>
      <c r="B1111" s="6" t="s">
        <v>14</v>
      </c>
      <c r="C1111" s="7" t="str">
        <f t="shared" si="16"/>
        <v xml:space="preserve">Lena Paul </v>
      </c>
      <c r="D1111" s="6" t="s">
        <v>5566</v>
      </c>
      <c r="E1111" s="8" t="s">
        <v>5567</v>
      </c>
      <c r="F1111" s="9" t="str">
        <f ca="1">IFERROR(__xludf.DUMMYFUNCTION("""https://streamtape.com/v/""&amp;
REGEXEXTRACT(O1111,""/thumb/([^/]+)/"")&amp;
""/""&amp;K1111"),"https://streamtape.com/v/bKorlmWRQXCPgpD/82667033")</f>
        <v>https://streamtape.com/v/bKorlmWRQXCPgpD/82667033</v>
      </c>
      <c r="G1111" s="10" t="e">
        <f t="shared" ca="1" si="17"/>
        <v>#NAME?</v>
      </c>
      <c r="H1111" s="11" t="str">
        <f ca="1">IFERROR(__xludf.DUMMYFUNCTION("IFERROR(SUBSTITUTE(SUBSTITUTE(REGEXEXTRACT(A1111, ""[^-]+- [^-]+- [^-]+ - (.+?)\.jpg""), "".jpg"", """"), ""-"", "", ""), """")"),"")</f>
        <v/>
      </c>
      <c r="I1111" s="6"/>
      <c r="J1111" s="7" t="str">
        <f t="shared" ca="1" si="18"/>
        <v>(2026)</v>
      </c>
      <c r="K1111" s="7" t="str">
        <f t="shared" si="19"/>
        <v>82667033</v>
      </c>
      <c r="L1111" s="12" t="s">
        <v>5543</v>
      </c>
      <c r="M1111" s="13" t="str">
        <f ca="1">IFERROR(__xludf.DUMMYFUNCTION("TRIM(
  REGEXREPLACE(
    TEXTJOIN("" "",
      TRUE,
      B1111,
      C1111,
      embaralharLinks(E1111,F1111,G1111),
      H1111,
      """",
      J1111,
      N1111,
      ""#RIPNSFW""
    ),
  "",\s*"", "" "")
)"),"{New} Lena Paul https://doodstream.com/d/xgx1ru5f5e7e/82667033 https://streamtape.com/v/bKorlmWRQXCPgpD/82667033 https://lulustream.com/d/xpkelppr29mh (2026) #MILF #BigTits #Hardcore #Bigass #Blowjob #Amateur #RIPNSFW")</f>
        <v>{New} Lena Paul https://doodstream.com/d/xgx1ru5f5e7e/82667033 https://streamtape.com/v/bKorlmWRQXCPgpD/82667033 https://lulustream.com/d/xpkelppr29mh (2026) #MILF #BigTits #Hardcore #Bigass #Blowjob #Amateur #RIPNSFW</v>
      </c>
      <c r="N1111" s="14" t="s">
        <v>999</v>
      </c>
      <c r="O1111" s="15" t="s">
        <v>5568</v>
      </c>
      <c r="P1111" s="14"/>
      <c r="Q1111" s="6"/>
      <c r="R1111" s="11"/>
      <c r="S1111" s="6"/>
      <c r="T1111" s="6"/>
      <c r="U1111" s="6"/>
      <c r="V1111" s="6"/>
      <c r="W1111" s="6"/>
      <c r="X1111" s="6"/>
      <c r="Y1111" s="6"/>
      <c r="Z1111" s="6"/>
      <c r="AA1111" s="6"/>
    </row>
    <row r="1112" spans="1:27" ht="12.75">
      <c r="A1112" s="12" t="s">
        <v>5569</v>
      </c>
      <c r="B1112" s="6" t="s">
        <v>14</v>
      </c>
      <c r="C1112" s="7" t="str">
        <f t="shared" si="16"/>
        <v xml:space="preserve">Lena Paul </v>
      </c>
      <c r="D1112" s="24" t="s">
        <v>5570</v>
      </c>
      <c r="E1112" s="25" t="s">
        <v>5571</v>
      </c>
      <c r="F1112" s="9" t="str">
        <f ca="1">IFERROR(__xludf.DUMMYFUNCTION("""https://streamtape.com/v/""&amp;
REGEXEXTRACT(O1112,""/thumb/([^/]+)/"")&amp;
""/""&amp;K1112"),"https://streamtape.com/v/yPL2OkdmrrTkZG/84320153")</f>
        <v>https://streamtape.com/v/yPL2OkdmrrTkZG/84320153</v>
      </c>
      <c r="G1112" s="10" t="e">
        <f t="shared" ca="1" si="17"/>
        <v>#NAME?</v>
      </c>
      <c r="H1112" s="11" t="str">
        <f ca="1">IFERROR(__xludf.DUMMYFUNCTION("IFERROR(SUBSTITUTE(SUBSTITUTE(REGEXEXTRACT(A1112, ""[^-]+- [^-]+- [^-]+ - (.+?)\.jpg""), "".jpg"", """"), ""-"", "", ""), """")"),"")</f>
        <v/>
      </c>
      <c r="I1112" s="6"/>
      <c r="J1112" s="7" t="str">
        <f t="shared" ca="1" si="18"/>
        <v>(2026)</v>
      </c>
      <c r="K1112" s="7" t="str">
        <f t="shared" si="19"/>
        <v>84320153</v>
      </c>
      <c r="L1112" s="12" t="s">
        <v>5572</v>
      </c>
      <c r="M1112" s="13" t="str">
        <f ca="1">IFERROR(__xludf.DUMMYFUNCTION("TRIM(
  REGEXREPLACE(
    TEXTJOIN("" "",
      TRUE,
      B1112,
      C1112,
      embaralharLinks(E1112,F1112,G1112),
      H1112,
      """",
      J1112,
      N1112,
      ""#RIPNSFW""
    ),
  "",\s*"", "" "")
)"),"{New} Lena Paul https://lulustream.com/d/5nn2euyjsuqz https://doodstream.com/d/xoqcwuguryty/84320153 https://streamtape.com/v/yPL2OkdmrrTkZG/84320153 (2026) #milf #solo #bigtits #bigass #RIPNSFW")</f>
        <v>{New} Lena Paul https://lulustream.com/d/5nn2euyjsuqz https://doodstream.com/d/xoqcwuguryty/84320153 https://streamtape.com/v/yPL2OkdmrrTkZG/84320153 (2026) #milf #solo #bigtits #bigass #RIPNSFW</v>
      </c>
      <c r="N1112" s="2" t="s">
        <v>5572</v>
      </c>
      <c r="O1112" s="30" t="s">
        <v>5573</v>
      </c>
      <c r="P1112" s="26"/>
      <c r="R1112" s="23"/>
      <c r="T1112" s="6"/>
      <c r="U1112" s="7"/>
    </row>
    <row r="1113" spans="1:27" ht="12.75">
      <c r="A1113" s="6" t="s">
        <v>5574</v>
      </c>
      <c r="B1113" s="6" t="s">
        <v>14</v>
      </c>
      <c r="C1113" s="7" t="str">
        <f t="shared" si="16"/>
        <v xml:space="preserve">Lena Paul </v>
      </c>
      <c r="D1113" s="6" t="s">
        <v>5575</v>
      </c>
      <c r="E1113" s="8" t="s">
        <v>5576</v>
      </c>
      <c r="F1113" s="9" t="str">
        <f ca="1">IFERROR(__xludf.DUMMYFUNCTION("""https://streamtape.com/v/""&amp;
REGEXEXTRACT(O1113,""/thumb/([^/]+)/"")&amp;
""/""&amp;K1113"),"https://streamtape.com/v/zrR17qYyYAip7A/84424299")</f>
        <v>https://streamtape.com/v/zrR17qYyYAip7A/84424299</v>
      </c>
      <c r="G1113" s="10" t="e">
        <f t="shared" ca="1" si="17"/>
        <v>#NAME?</v>
      </c>
      <c r="H1113" s="11" t="str">
        <f ca="1">IFERROR(__xludf.DUMMYFUNCTION("IFERROR(SUBSTITUTE(SUBSTITUTE(REGEXEXTRACT(A1113, ""[^-]+- [^-]+- [^-]+ - (.+?)\.jpg""), "".jpg"", """"), ""-"", "", ""), """")"),"")</f>
        <v/>
      </c>
      <c r="I1113" s="6"/>
      <c r="J1113" s="7" t="str">
        <f t="shared" ca="1" si="18"/>
        <v>(2026)</v>
      </c>
      <c r="K1113" s="7" t="str">
        <f t="shared" si="19"/>
        <v>84424299</v>
      </c>
      <c r="L1113" s="12" t="s">
        <v>1415</v>
      </c>
      <c r="M1113" s="13" t="str">
        <f ca="1">IFERROR(__xludf.DUMMYFUNCTION("TRIM(
  REGEXREPLACE(
    TEXTJOIN("" "",
      TRUE,
      B1113,
      C1113,
      embaralharLinks(E1113,F1113,G1113),
      H1113,
      """",
      J1113,
      N1113,
      ""#RIPNSFW""
    ),
  "",\s*"", "" "")
)"),"{New} Lena Paul https://lulustream.com/d/wuwnbiibozwd https://streamtape.com/v/zrR17qYyYAip7A/84424299 https://doodstream.com/d/3j92dahq9jhg/84424299 (2026) #MILF #BigTits #Hardcore #Bigass #Blowjob #RIPNSFW")</f>
        <v>{New} Lena Paul https://lulustream.com/d/wuwnbiibozwd https://streamtape.com/v/zrR17qYyYAip7A/84424299 https://doodstream.com/d/3j92dahq9jhg/84424299 (2026) #MILF #BigTits #Hardcore #Bigass #Blowjob #RIPNSFW</v>
      </c>
      <c r="N1113" s="14" t="s">
        <v>1410</v>
      </c>
      <c r="O1113" s="15" t="s">
        <v>5577</v>
      </c>
      <c r="P1113" s="14"/>
      <c r="Q1113" s="6"/>
      <c r="R1113" s="11"/>
      <c r="S1113" s="6"/>
      <c r="T1113" s="6"/>
      <c r="U1113" s="6"/>
      <c r="V1113" s="6"/>
      <c r="W1113" s="6"/>
      <c r="X1113" s="6"/>
      <c r="Y1113" s="6"/>
      <c r="Z1113" s="6"/>
      <c r="AA1113" s="6"/>
    </row>
    <row r="1114" spans="1:27" ht="12.75">
      <c r="A1114" s="6" t="s">
        <v>5578</v>
      </c>
      <c r="B1114" s="6" t="s">
        <v>14</v>
      </c>
      <c r="C1114" s="7" t="str">
        <f t="shared" si="16"/>
        <v xml:space="preserve">Lena Paul </v>
      </c>
      <c r="D1114" s="6" t="s">
        <v>5579</v>
      </c>
      <c r="E1114" s="8" t="s">
        <v>5580</v>
      </c>
      <c r="F1114" s="9" t="str">
        <f ca="1">IFERROR(__xludf.DUMMYFUNCTION("""https://streamtape.com/v/""&amp;
REGEXEXTRACT(O1114,""/thumb/([^/]+)/"")&amp;
""/""&amp;K1114"),"https://streamtape.com/v/Voa98bPKroUKlyl/94995910")</f>
        <v>https://streamtape.com/v/Voa98bPKroUKlyl/94995910</v>
      </c>
      <c r="G1114" s="10" t="e">
        <f t="shared" ca="1" si="17"/>
        <v>#NAME?</v>
      </c>
      <c r="H1114" s="11" t="str">
        <f ca="1">IFERROR(__xludf.DUMMYFUNCTION("IFERROR(SUBSTITUTE(SUBSTITUTE(REGEXEXTRACT(A1114, ""[^-]+- [^-]+- [^-]+ - (.+?)\.jpg""), "".jpg"", """"), ""-"", "", ""), """")"),"")</f>
        <v/>
      </c>
      <c r="I1114" s="6"/>
      <c r="J1114" s="7" t="str">
        <f t="shared" ca="1" si="18"/>
        <v>(2026)</v>
      </c>
      <c r="K1114" s="7" t="str">
        <f t="shared" si="19"/>
        <v>94995910</v>
      </c>
      <c r="L1114" s="12" t="s">
        <v>5581</v>
      </c>
      <c r="M1114" s="13" t="str">
        <f ca="1">IFERROR(__xludf.DUMMYFUNCTION("TRIM(
  REGEXREPLACE(
    TEXTJOIN("" "",
      TRUE,
      B1114,
      C1114,
      embaralharLinks(E1114,F1114,G1114),
      H1114,
      """",
      J1114,
      N1114,
      ""#RIPNSFW""
    ),
  "",\s*"", "" "")
)"),"{New} Lena Paul https://lulustream.com/d/r9asamlzfwbh https://streamtape.com/v/Voa98bPKroUKlyl/94995910 https://doodstream.com/d/c77qr2kbhodx/94995910 (2026) #MILF #BigTits #Bigass #Solo #Blonde #RIPNSFW")</f>
        <v>{New} Lena Paul https://lulustream.com/d/r9asamlzfwbh https://streamtape.com/v/Voa98bPKroUKlyl/94995910 https://doodstream.com/d/c77qr2kbhodx/94995910 (2026) #MILF #BigTits #Bigass #Solo #Blonde #RIPNSFW</v>
      </c>
      <c r="N1114" s="14" t="s">
        <v>5582</v>
      </c>
      <c r="O1114" s="15" t="s">
        <v>5583</v>
      </c>
      <c r="P1114" s="14"/>
      <c r="Q1114" s="6"/>
      <c r="R1114" s="11"/>
      <c r="S1114" s="6"/>
      <c r="T1114" s="6"/>
      <c r="U1114" s="6"/>
      <c r="V1114" s="6"/>
      <c r="W1114" s="6"/>
      <c r="X1114" s="6"/>
      <c r="Y1114" s="6"/>
      <c r="Z1114" s="6"/>
      <c r="AA1114" s="6"/>
    </row>
    <row r="1115" spans="1:27" ht="12.75">
      <c r="A1115" s="6" t="s">
        <v>5584</v>
      </c>
      <c r="B1115" s="6" t="s">
        <v>14</v>
      </c>
      <c r="C1115" s="7" t="str">
        <f t="shared" si="16"/>
        <v xml:space="preserve">Lena Paul </v>
      </c>
      <c r="D1115" s="6" t="s">
        <v>5585</v>
      </c>
      <c r="E1115" s="8" t="s">
        <v>5586</v>
      </c>
      <c r="F1115" s="9" t="str">
        <f ca="1">IFERROR(__xludf.DUMMYFUNCTION("""https://streamtape.com/v/""&amp;
REGEXEXTRACT(O1115,""/thumb/([^/]+)/"")&amp;
""/""&amp;K1115"),"https://streamtape.com/v/LV4eooMVr2FRpZ3/98221198")</f>
        <v>https://streamtape.com/v/LV4eooMVr2FRpZ3/98221198</v>
      </c>
      <c r="G1115" s="10" t="e">
        <f t="shared" ca="1" si="17"/>
        <v>#NAME?</v>
      </c>
      <c r="H1115" s="11" t="str">
        <f ca="1">IFERROR(__xludf.DUMMYFUNCTION("IFERROR(SUBSTITUTE(SUBSTITUTE(REGEXEXTRACT(A1115, ""[^-]+- [^-]+- [^-]+ - (.+?)\.jpg""), "".jpg"", """"), ""-"", "", ""), """")"),"")</f>
        <v/>
      </c>
      <c r="I1115" s="6"/>
      <c r="J1115" s="7" t="str">
        <f t="shared" ca="1" si="18"/>
        <v>(2026)</v>
      </c>
      <c r="K1115" s="7" t="str">
        <f t="shared" si="19"/>
        <v>98221198</v>
      </c>
      <c r="L1115" s="12" t="s">
        <v>5587</v>
      </c>
      <c r="M1115" s="13" t="str">
        <f ca="1">IFERROR(__xludf.DUMMYFUNCTION("TRIM(
  REGEXREPLACE(
    TEXTJOIN("" "",
      TRUE,
      B1115,
      C1115,
      embaralharLinks(E1115,F1115,G1115),
      H1115,
      """",
      J1115,
      N1115,
      ""#RIPNSFW""
    ),
  "",\s*"", "" "")
)"),"{New} Lena Paul https://streamtape.com/v/LV4eooMVr2FRpZ3/98221198 https://lulustream.com/d/0x5eiglhit36 https://doodstream.com/d/fx6sgs48ukn3/98221198 (2026) #MILF #BigTits #Hardcore #Bigass #RIPNSFW")</f>
        <v>{New} Lena Paul https://streamtape.com/v/LV4eooMVr2FRpZ3/98221198 https://lulustream.com/d/0x5eiglhit36 https://doodstream.com/d/fx6sgs48ukn3/98221198 (2026) #MILF #BigTits #Hardcore #Bigass #RIPNSFW</v>
      </c>
      <c r="N1115" s="14" t="s">
        <v>128</v>
      </c>
      <c r="O1115" s="15" t="s">
        <v>5588</v>
      </c>
      <c r="P1115" s="14"/>
      <c r="Q1115" s="6"/>
      <c r="R1115" s="11"/>
      <c r="S1115" s="6"/>
      <c r="T1115" s="6"/>
      <c r="U1115" s="6"/>
      <c r="V1115" s="6"/>
      <c r="W1115" s="6"/>
      <c r="X1115" s="6"/>
      <c r="Y1115" s="6"/>
      <c r="Z1115" s="6"/>
      <c r="AA1115" s="6"/>
    </row>
    <row r="1116" spans="1:27" ht="12.75">
      <c r="A1116" s="12" t="s">
        <v>5589</v>
      </c>
      <c r="B1116" s="6" t="s">
        <v>14</v>
      </c>
      <c r="C1116" s="7" t="str">
        <f t="shared" si="16"/>
        <v xml:space="preserve">Lena Polanski </v>
      </c>
      <c r="D1116" s="24" t="s">
        <v>5590</v>
      </c>
      <c r="E1116" s="25" t="s">
        <v>5591</v>
      </c>
      <c r="F1116" s="9" t="str">
        <f ca="1">IFERROR(__xludf.DUMMYFUNCTION("""https://streamtape.com/v/""&amp;
REGEXEXTRACT(O1116,""/thumb/([^/]+)/"")&amp;
""/""&amp;K1116"),"https://streamtape.com/v/DepyLkg4KXikX7g/13773574")</f>
        <v>https://streamtape.com/v/DepyLkg4KXikX7g/13773574</v>
      </c>
      <c r="G1116" s="10" t="e">
        <f t="shared" ca="1" si="17"/>
        <v>#NAME?</v>
      </c>
      <c r="H1116" s="11" t="str">
        <f ca="1">IFERROR(__xludf.DUMMYFUNCTION("IFERROR(SUBSTITUTE(SUBSTITUTE(REGEXEXTRACT(A1116, ""[^-]+- [^-]+- [^-]+ - (.+?)\.jpg""), "".jpg"", """"), ""-"", "", ""), """")"),"")</f>
        <v/>
      </c>
      <c r="I1116" s="6"/>
      <c r="J1116" s="7" t="str">
        <f t="shared" ca="1" si="18"/>
        <v>(2026)</v>
      </c>
      <c r="K1116" s="7" t="str">
        <f t="shared" si="19"/>
        <v>13773574</v>
      </c>
      <c r="L1116" s="12" t="s">
        <v>5592</v>
      </c>
      <c r="M1116" s="13" t="str">
        <f ca="1">IFERROR(__xludf.DUMMYFUNCTION("TRIM(
  REGEXREPLACE(
    TEXTJOIN("" "",
      TRUE,
      B1116,
      C1116,
      embaralharLinks(E1116,F1116,G1116),
      H1116,
      """",
      J1116,
      N1116,
      ""#RIPNSFW""
    ),
  "",\s*"", "" "")
)"),"{New} Lena Polanski https://doodstream.com/d/kla9i8moytjr/13773574 https://lulustream.com/d/qsr2i9lgtrs8 https://streamtape.com/v/DepyLkg4KXikX7g/13773574 (2026) #teen #blonde #bigtits #creampie #RIPNSFW")</f>
        <v>{New} Lena Polanski https://doodstream.com/d/kla9i8moytjr/13773574 https://lulustream.com/d/qsr2i9lgtrs8 https://streamtape.com/v/DepyLkg4KXikX7g/13773574 (2026) #teen #blonde #bigtits #creampie #RIPNSFW</v>
      </c>
      <c r="N1116" s="2" t="s">
        <v>5592</v>
      </c>
      <c r="O1116" s="30" t="s">
        <v>5593</v>
      </c>
      <c r="P1116" s="26"/>
      <c r="R1116" s="23"/>
      <c r="T1116" s="6"/>
      <c r="U1116" s="7"/>
    </row>
    <row r="1117" spans="1:27" ht="12.75">
      <c r="A1117" s="6" t="s">
        <v>5594</v>
      </c>
      <c r="B1117" s="6" t="s">
        <v>14</v>
      </c>
      <c r="C1117" s="7" t="str">
        <f t="shared" si="16"/>
        <v xml:space="preserve">Lena Polanski </v>
      </c>
      <c r="D1117" s="6" t="s">
        <v>5595</v>
      </c>
      <c r="E1117" s="8" t="s">
        <v>5596</v>
      </c>
      <c r="F1117" s="9" t="str">
        <f ca="1">IFERROR(__xludf.DUMMYFUNCTION("""https://streamtape.com/v/""&amp;
REGEXEXTRACT(O1117,""/thumb/([^/]+)/"")&amp;
""/""&amp;K1117"),"https://streamtape.com/v/W8LGOR9zQrcb4aa/24946235")</f>
        <v>https://streamtape.com/v/W8LGOR9zQrcb4aa/24946235</v>
      </c>
      <c r="G1117" s="10" t="e">
        <f t="shared" ca="1" si="17"/>
        <v>#NAME?</v>
      </c>
      <c r="H1117" s="11" t="str">
        <f ca="1">IFERROR(__xludf.DUMMYFUNCTION("IFERROR(SUBSTITUTE(SUBSTITUTE(REGEXEXTRACT(A1117, ""[^-]+- [^-]+- [^-]+ - (.+?)\.jpg""), "".jpg"", """"), ""-"", "", ""), """")"),"")</f>
        <v/>
      </c>
      <c r="I1117" s="6"/>
      <c r="J1117" s="7" t="str">
        <f t="shared" ca="1" si="18"/>
        <v>(2026)</v>
      </c>
      <c r="K1117" s="7" t="str">
        <f t="shared" si="19"/>
        <v>24946235</v>
      </c>
      <c r="L1117" s="12" t="s">
        <v>5597</v>
      </c>
      <c r="M1117" s="13" t="str">
        <f ca="1">IFERROR(__xludf.DUMMYFUNCTION("TRIM(
  REGEXREPLACE(
    TEXTJOIN("" "",
      TRUE,
      B1117,
      C1117,
      embaralharLinks(E1117,F1117,G1117),
      H1117,
      """",
      J1117,
      N1117,
      ""#RIPNSFW""
    ),
  "",\s*"", "" "")
)"),"{New} Lena Polanski https://doodstream.com/d/7z48hempim3s/24946235 https://streamtape.com/v/W8LGOR9zQrcb4aa/24946235 https://lulustream.com/d/zm8avh4d22wa (2026) #Anal #BigTits #Hardcore #Bigass #RIPNSFW")</f>
        <v>{New} Lena Polanski https://doodstream.com/d/7z48hempim3s/24946235 https://streamtape.com/v/W8LGOR9zQrcb4aa/24946235 https://lulustream.com/d/zm8avh4d22wa (2026) #Anal #BigTits #Hardcore #Bigass #RIPNSFW</v>
      </c>
      <c r="N1117" s="14" t="s">
        <v>347</v>
      </c>
      <c r="O1117" s="15" t="s">
        <v>5598</v>
      </c>
      <c r="P1117" s="14"/>
      <c r="Q1117" s="6"/>
      <c r="R1117" s="11"/>
      <c r="S1117" s="6"/>
      <c r="T1117" s="6"/>
      <c r="U1117" s="6"/>
      <c r="V1117" s="6"/>
      <c r="W1117" s="6"/>
      <c r="X1117" s="6"/>
      <c r="Y1117" s="6"/>
      <c r="Z1117" s="6"/>
      <c r="AA1117" s="6"/>
    </row>
    <row r="1118" spans="1:27" ht="12.75">
      <c r="A1118" s="12" t="s">
        <v>5599</v>
      </c>
      <c r="B1118" s="6" t="s">
        <v>14</v>
      </c>
      <c r="C1118" s="7" t="str">
        <f t="shared" si="16"/>
        <v xml:space="preserve">Lena Polanski </v>
      </c>
      <c r="D1118" s="24" t="s">
        <v>5600</v>
      </c>
      <c r="E1118" s="25" t="s">
        <v>5601</v>
      </c>
      <c r="F1118" s="9" t="str">
        <f ca="1">IFERROR(__xludf.DUMMYFUNCTION("""https://streamtape.com/v/""&amp;
REGEXEXTRACT(O1118,""/thumb/([^/]+)/"")&amp;
""/""&amp;K1118"),"https://streamtape.com/v/4xQowJjo7Ziyme/38748871")</f>
        <v>https://streamtape.com/v/4xQowJjo7Ziyme/38748871</v>
      </c>
      <c r="G1118" s="10" t="e">
        <f t="shared" ca="1" si="17"/>
        <v>#NAME?</v>
      </c>
      <c r="H1118" s="11" t="str">
        <f ca="1">IFERROR(__xludf.DUMMYFUNCTION("IFERROR(SUBSTITUTE(SUBSTITUTE(REGEXEXTRACT(A1118, ""[^-]+- [^-]+- [^-]+ - (.+?)\.jpg""), "".jpg"", """"), ""-"", "", ""), """")"),"")</f>
        <v/>
      </c>
      <c r="I1118" s="6"/>
      <c r="J1118" s="7" t="str">
        <f t="shared" ca="1" si="18"/>
        <v>(2026)</v>
      </c>
      <c r="K1118" s="7" t="str">
        <f t="shared" si="19"/>
        <v>38748871</v>
      </c>
      <c r="L1118" s="12" t="s">
        <v>5602</v>
      </c>
      <c r="M1118" s="13" t="str">
        <f ca="1">IFERROR(__xludf.DUMMYFUNCTION("TRIM(
  REGEXREPLACE(
    TEXTJOIN("" "",
      TRUE,
      B1118,
      C1118,
      embaralharLinks(E1118,F1118,G1118),
      H1118,
      """",
      J1118,
      N1118,
      ""#RIPNSFW""
    ),
  "",\s*"", "" "")
)"),"{New} Lena Polanski https://doodstream.com/d/dzjkywizqjad/38748871 https://streamtape.com/v/4xQowJjo7Ziyme/38748871 https://lulustream.com/d/dhzac4cbevaj (2026) #blonde #teen #bigtits #blowjob #RIPNSFW")</f>
        <v>{New} Lena Polanski https://doodstream.com/d/dzjkywizqjad/38748871 https://streamtape.com/v/4xQowJjo7Ziyme/38748871 https://lulustream.com/d/dhzac4cbevaj (2026) #blonde #teen #bigtits #blowjob #RIPNSFW</v>
      </c>
      <c r="N1118" s="2" t="s">
        <v>5602</v>
      </c>
      <c r="O1118" s="30" t="s">
        <v>5603</v>
      </c>
      <c r="P1118" s="26"/>
      <c r="R1118" s="23"/>
      <c r="T1118" s="6"/>
      <c r="U1118" s="7"/>
    </row>
    <row r="1119" spans="1:27" ht="12.75">
      <c r="A1119" s="6" t="s">
        <v>5604</v>
      </c>
      <c r="B1119" s="6" t="s">
        <v>14</v>
      </c>
      <c r="C1119" s="7" t="str">
        <f t="shared" si="16"/>
        <v xml:space="preserve">Lena Polanski </v>
      </c>
      <c r="D1119" s="6" t="s">
        <v>5605</v>
      </c>
      <c r="E1119" s="8" t="s">
        <v>5606</v>
      </c>
      <c r="F1119" s="9" t="str">
        <f ca="1">IFERROR(__xludf.DUMMYFUNCTION("""https://streamtape.com/v/""&amp;
REGEXEXTRACT(O1119,""/thumb/([^/]+)/"")&amp;
""/""&amp;K1119"),"https://streamtape.com/v/0pDwMypRGdCb84e/39109462")</f>
        <v>https://streamtape.com/v/0pDwMypRGdCb84e/39109462</v>
      </c>
      <c r="G1119" s="10" t="e">
        <f t="shared" ca="1" si="17"/>
        <v>#NAME?</v>
      </c>
      <c r="H1119" s="11" t="str">
        <f ca="1">IFERROR(__xludf.DUMMYFUNCTION("IFERROR(SUBSTITUTE(SUBSTITUTE(REGEXEXTRACT(A1119, ""[^-]+- [^-]+- [^-]+ - (.+?)\.jpg""), "".jpg"", """"), ""-"", "", ""), """")"),"")</f>
        <v/>
      </c>
      <c r="I1119" s="6"/>
      <c r="J1119" s="7" t="str">
        <f t="shared" ca="1" si="18"/>
        <v>(2026)</v>
      </c>
      <c r="K1119" s="7" t="str">
        <f t="shared" si="19"/>
        <v>39109462</v>
      </c>
      <c r="L1119" s="12" t="s">
        <v>5607</v>
      </c>
      <c r="M1119" s="13" t="str">
        <f ca="1">IFERROR(__xludf.DUMMYFUNCTION("TRIM(
  REGEXREPLACE(
    TEXTJOIN("" "",
      TRUE,
      B1119,
      C1119,
      embaralharLinks(E1119,F1119,G1119),
      H1119,
      """",
      J1119,
      N1119,
      ""#RIPNSFW""
    ),
  "",\s*"", "" "")
)"),"{New} Lena Polanski https://doodstream.com/d/pxf1z6zni3t7/39109462 https://streamtape.com/v/0pDwMypRGdCb84e/39109462 https://lulustream.com/d/i5wg7hqjfomq (2026) #Anal #BigTits #Creampie #Hardcore #Bigass #Teen #Blowjob #Amateur #Deepthroat #RIPNSFW")</f>
        <v>{New} Lena Polanski https://doodstream.com/d/pxf1z6zni3t7/39109462 https://streamtape.com/v/0pDwMypRGdCb84e/39109462 https://lulustream.com/d/i5wg7hqjfomq (2026) #Anal #BigTits #Creampie #Hardcore #Bigass #Teen #Blowjob #Amateur #Deepthroat #RIPNSFW</v>
      </c>
      <c r="N1119" s="14" t="s">
        <v>5608</v>
      </c>
      <c r="O1119" s="15" t="s">
        <v>5609</v>
      </c>
      <c r="P1119" s="14"/>
      <c r="Q1119" s="6"/>
      <c r="R1119" s="11"/>
      <c r="S1119" s="6"/>
      <c r="T1119" s="6"/>
      <c r="U1119" s="6"/>
      <c r="V1119" s="6"/>
      <c r="W1119" s="6"/>
      <c r="X1119" s="6"/>
      <c r="Y1119" s="6"/>
      <c r="Z1119" s="6"/>
      <c r="AA1119" s="6"/>
    </row>
    <row r="1120" spans="1:27" ht="12.75">
      <c r="A1120" s="6" t="s">
        <v>5610</v>
      </c>
      <c r="B1120" s="6" t="s">
        <v>14</v>
      </c>
      <c r="C1120" s="7" t="str">
        <f t="shared" si="16"/>
        <v xml:space="preserve">Lena Polanski </v>
      </c>
      <c r="D1120" s="6" t="s">
        <v>5611</v>
      </c>
      <c r="E1120" s="8" t="s">
        <v>5612</v>
      </c>
      <c r="F1120" s="9" t="str">
        <f ca="1">IFERROR(__xludf.DUMMYFUNCTION("""https://streamtape.com/v/""&amp;
REGEXEXTRACT(O1120,""/thumb/([^/]+)/"")&amp;
""/""&amp;K1120"),"https://streamtape.com/v/qKrZ46OpGvUzg8m/51375358")</f>
        <v>https://streamtape.com/v/qKrZ46OpGvUzg8m/51375358</v>
      </c>
      <c r="G1120" s="10" t="e">
        <f t="shared" ca="1" si="17"/>
        <v>#NAME?</v>
      </c>
      <c r="H1120" s="11" t="str">
        <f ca="1">IFERROR(__xludf.DUMMYFUNCTION("IFERROR(SUBSTITUTE(SUBSTITUTE(REGEXEXTRACT(A1120, ""[^-]+- [^-]+- [^-]+ - (.+?)\.jpg""), "".jpg"", """"), ""-"", "", ""), """")"),"Cheerleader Kait")</f>
        <v>Cheerleader Kait</v>
      </c>
      <c r="I1120" s="6"/>
      <c r="J1120" s="7" t="str">
        <f t="shared" ca="1" si="18"/>
        <v>(2026)</v>
      </c>
      <c r="K1120" s="7" t="str">
        <f t="shared" si="19"/>
        <v>51375358</v>
      </c>
      <c r="L1120" s="12" t="s">
        <v>1369</v>
      </c>
      <c r="M1120" s="13" t="str">
        <f ca="1">IFERROR(__xludf.DUMMYFUNCTION("TRIM(
  REGEXREPLACE(
    TEXTJOIN("" "",
      TRUE,
      B1120,
      C1120,
      embaralharLinks(E1120,F1120,G1120),
      H1120,
      """",
      J1120,
      N1120,
      ""#RIPNSFW""
    ),
  "",\s*"", "" "")
)"),"{New} Lena Polanski https://streamtape.com/v/qKrZ46OpGvUzg8m/51375358 https://doodstream.com/d/rtwu4lufarmg/51375358 https://lulustream.com/d/v73wcxnymewk Cheerleader Kait (2026) #BigTits #Hardcore #Threesome #Bigass #Teen #Blowjob #RIPNSFW")</f>
        <v>{New} Lena Polanski https://streamtape.com/v/qKrZ46OpGvUzg8m/51375358 https://doodstream.com/d/rtwu4lufarmg/51375358 https://lulustream.com/d/v73wcxnymewk Cheerleader Kait (2026) #BigTits #Hardcore #Threesome #Bigass #Teen #Blowjob #RIPNSFW</v>
      </c>
      <c r="N1120" s="14" t="s">
        <v>3578</v>
      </c>
      <c r="O1120" s="15" t="s">
        <v>5613</v>
      </c>
      <c r="P1120" s="14"/>
      <c r="Q1120" s="6"/>
      <c r="R1120" s="11"/>
      <c r="S1120" s="6"/>
      <c r="T1120" s="6"/>
      <c r="U1120" s="6"/>
      <c r="V1120" s="6"/>
      <c r="W1120" s="6"/>
      <c r="X1120" s="6"/>
      <c r="Y1120" s="6"/>
      <c r="Z1120" s="6"/>
      <c r="AA1120" s="6"/>
    </row>
    <row r="1121" spans="1:27" ht="12.75">
      <c r="A1121" s="6" t="s">
        <v>5614</v>
      </c>
      <c r="B1121" s="6" t="s">
        <v>14</v>
      </c>
      <c r="C1121" s="7" t="str">
        <f t="shared" si="16"/>
        <v xml:space="preserve">Lena Polanski </v>
      </c>
      <c r="D1121" s="6" t="s">
        <v>5615</v>
      </c>
      <c r="E1121" s="8" t="s">
        <v>5616</v>
      </c>
      <c r="F1121" s="9" t="str">
        <f ca="1">IFERROR(__xludf.DUMMYFUNCTION("""https://streamtape.com/v/""&amp;
REGEXEXTRACT(O1121,""/thumb/([^/]+)/"")&amp;
""/""&amp;K1121"),"https://streamtape.com/v/wGXybV9z99SJbzP/66318390")</f>
        <v>https://streamtape.com/v/wGXybV9z99SJbzP/66318390</v>
      </c>
      <c r="G1121" s="10" t="e">
        <f t="shared" ca="1" si="17"/>
        <v>#NAME?</v>
      </c>
      <c r="H1121" s="11" t="str">
        <f ca="1">IFERROR(__xludf.DUMMYFUNCTION("IFERROR(SUBSTITUTE(SUBSTITUTE(REGEXEXTRACT(A1121, ""[^-]+- [^-]+- [^-]+ - (.+?)\.jpg""), "".jpg"", """"), ""-"", "", ""), """")"),"")</f>
        <v/>
      </c>
      <c r="I1121" s="6"/>
      <c r="J1121" s="7" t="str">
        <f t="shared" ca="1" si="18"/>
        <v>(2026)</v>
      </c>
      <c r="K1121" s="7" t="str">
        <f t="shared" si="19"/>
        <v>66318390</v>
      </c>
      <c r="L1121" s="12" t="s">
        <v>5617</v>
      </c>
      <c r="M1121" s="13" t="str">
        <f ca="1">IFERROR(__xludf.DUMMYFUNCTION("TRIM(
  REGEXREPLACE(
    TEXTJOIN("" "",
      TRUE,
      B1121,
      C1121,
      embaralharLinks(E1121,F1121,G1121),
      H1121,
      """",
      J1121,
      N1121,
      ""#RIPNSFW""
    ),
  "",\s*"", "" "")
)"),"{New} Lena Polanski https://streamtape.com/v/wGXybV9z99SJbzP/66318390 https://doodstream.com/d/qis3c1jqahj8/66318390 https://lulustream.com/d/ca68bet1imhw (2026) #BigTits #Creampie #Hardcore #Bigass #Teen #Artporn #Blowjob #Amateur #Blonde #RIPNSFW")</f>
        <v>{New} Lena Polanski https://streamtape.com/v/wGXybV9z99SJbzP/66318390 https://doodstream.com/d/qis3c1jqahj8/66318390 https://lulustream.com/d/ca68bet1imhw (2026) #BigTits #Creampie #Hardcore #Bigass #Teen #Artporn #Blowjob #Amateur #Blonde #RIPNSFW</v>
      </c>
      <c r="N1121" s="14" t="s">
        <v>5618</v>
      </c>
      <c r="O1121" s="15" t="s">
        <v>5619</v>
      </c>
      <c r="P1121" s="14"/>
      <c r="Q1121" s="6"/>
      <c r="R1121" s="11"/>
      <c r="S1121" s="6"/>
      <c r="T1121" s="6"/>
      <c r="U1121" s="6"/>
      <c r="V1121" s="6"/>
      <c r="W1121" s="6"/>
      <c r="X1121" s="6"/>
      <c r="Y1121" s="6"/>
      <c r="Z1121" s="6"/>
      <c r="AA1121" s="6"/>
    </row>
    <row r="1122" spans="1:27" ht="12.75">
      <c r="A1122" s="6" t="s">
        <v>5620</v>
      </c>
      <c r="B1122" s="6" t="s">
        <v>14</v>
      </c>
      <c r="C1122" s="7" t="str">
        <f t="shared" si="16"/>
        <v xml:space="preserve">Lena Polanski </v>
      </c>
      <c r="D1122" s="6" t="s">
        <v>5621</v>
      </c>
      <c r="E1122" s="8" t="s">
        <v>5622</v>
      </c>
      <c r="F1122" s="9" t="str">
        <f ca="1">IFERROR(__xludf.DUMMYFUNCTION("""https://streamtape.com/v/""&amp;
REGEXEXTRACT(O1122,""/thumb/([^/]+)/"")&amp;
""/""&amp;K1122"),"https://streamtape.com/v/8VB8GLvDgmCoVRy/91091749")</f>
        <v>https://streamtape.com/v/8VB8GLvDgmCoVRy/91091749</v>
      </c>
      <c r="G1122" s="10" t="e">
        <f t="shared" ca="1" si="17"/>
        <v>#NAME?</v>
      </c>
      <c r="H1122" s="11" t="str">
        <f ca="1">IFERROR(__xludf.DUMMYFUNCTION("IFERROR(SUBSTITUTE(SUBSTITUTE(REGEXEXTRACT(A1122, ""[^-]+- [^-]+- [^-]+ - (.+?)\.jpg""), "".jpg"", """"), ""-"", "", ""), """")"),"")</f>
        <v/>
      </c>
      <c r="I1122" s="6"/>
      <c r="J1122" s="7" t="str">
        <f t="shared" ca="1" si="18"/>
        <v>(2026)</v>
      </c>
      <c r="K1122" s="7" t="str">
        <f t="shared" si="19"/>
        <v>91091749</v>
      </c>
      <c r="L1122" s="12" t="s">
        <v>3349</v>
      </c>
      <c r="M1122" s="13" t="str">
        <f ca="1">IFERROR(__xludf.DUMMYFUNCTION("TRIM(
  REGEXREPLACE(
    TEXTJOIN("" "",
      TRUE,
      B1122,
      C1122,
      embaralharLinks(E1122,F1122,G1122),
      H1122,
      """",
      J1122,
      N1122,
      ""#RIPNSFW""
    ),
  "",\s*"", "" "")
)"),"{New} Lena Polanski https://doodstream.com/d/jju9cmab9g89/91091749 https://lulustream.com/d/c5ige4t7kwoe https://streamtape.com/v/8VB8GLvDgmCoVRy/91091749 (2026) #BigTits #Creampie #Hardcore #Bigass #Teen #Blowjob #Amateur #Deepthroat #RIPNSFW")</f>
        <v>{New} Lena Polanski https://doodstream.com/d/jju9cmab9g89/91091749 https://lulustream.com/d/c5ige4t7kwoe https://streamtape.com/v/8VB8GLvDgmCoVRy/91091749 (2026) #BigTits #Creampie #Hardcore #Bigass #Teen #Blowjob #Amateur #Deepthroat #RIPNSFW</v>
      </c>
      <c r="N1122" s="14" t="s">
        <v>5623</v>
      </c>
      <c r="O1122" s="15" t="s">
        <v>5624</v>
      </c>
      <c r="P1122" s="14"/>
      <c r="Q1122" s="6"/>
      <c r="R1122" s="11"/>
      <c r="S1122" s="6"/>
      <c r="T1122" s="6"/>
      <c r="U1122" s="6"/>
      <c r="V1122" s="6"/>
      <c r="W1122" s="6"/>
      <c r="X1122" s="6"/>
      <c r="Y1122" s="6"/>
      <c r="Z1122" s="6"/>
      <c r="AA1122" s="6"/>
    </row>
    <row r="1123" spans="1:27" ht="12.75">
      <c r="A1123" s="6" t="s">
        <v>5625</v>
      </c>
      <c r="B1123" s="6" t="s">
        <v>14</v>
      </c>
      <c r="C1123" s="7" t="str">
        <f t="shared" si="16"/>
        <v xml:space="preserve">Lena Polanski </v>
      </c>
      <c r="D1123" s="6" t="s">
        <v>5626</v>
      </c>
      <c r="E1123" s="8" t="s">
        <v>5627</v>
      </c>
      <c r="F1123" s="9" t="str">
        <f ca="1">IFERROR(__xludf.DUMMYFUNCTION("""https://streamtape.com/v/""&amp;
REGEXEXTRACT(O1123,""/thumb/([^/]+)/"")&amp;
""/""&amp;K1123"),"https://streamtape.com/v/Q0BXv0ZL1WT0oWY/91174981")</f>
        <v>https://streamtape.com/v/Q0BXv0ZL1WT0oWY/91174981</v>
      </c>
      <c r="G1123" s="10" t="e">
        <f t="shared" ca="1" si="17"/>
        <v>#NAME?</v>
      </c>
      <c r="H1123" s="11" t="str">
        <f ca="1">IFERROR(__xludf.DUMMYFUNCTION("IFERROR(SUBSTITUTE(SUBSTITUTE(REGEXEXTRACT(A1123, ""[^-]+- [^-]+- [^-]+ - (.+?)\.jpg""), "".jpg"", """"), ""-"", "", ""), """")"),"")</f>
        <v/>
      </c>
      <c r="I1123" s="6"/>
      <c r="J1123" s="7" t="str">
        <f t="shared" ca="1" si="18"/>
        <v>(2026)</v>
      </c>
      <c r="K1123" s="7" t="str">
        <f t="shared" si="19"/>
        <v>91174981</v>
      </c>
      <c r="L1123" s="12" t="s">
        <v>3349</v>
      </c>
      <c r="M1123" s="13" t="str">
        <f ca="1">IFERROR(__xludf.DUMMYFUNCTION("TRIM(
  REGEXREPLACE(
    TEXTJOIN("" "",
      TRUE,
      B1123,
      C1123,
      embaralharLinks(E1123,F1123,G1123),
      H1123,
      """",
      J1123,
      N1123,
      ""#RIPNSFW""
    ),
  "",\s*"", "" "")
)"),"{New} Lena Polanski https://streamtape.com/v/Q0BXv0ZL1WT0oWY/91174981 https://doodstream.com/d/nvhpfiqbsq0b/91174981 https://lulustream.com/d/3v1ahggxw1s7 (2026) #BigTits #Creampie #Hardcore #Bigass #Teen #RIPNSFW")</f>
        <v>{New} Lena Polanski https://streamtape.com/v/Q0BXv0ZL1WT0oWY/91174981 https://doodstream.com/d/nvhpfiqbsq0b/91174981 https://lulustream.com/d/3v1ahggxw1s7 (2026) #BigTits #Creampie #Hardcore #Bigass #Teen #RIPNSFW</v>
      </c>
      <c r="N1123" s="14" t="s">
        <v>88</v>
      </c>
      <c r="O1123" s="15" t="s">
        <v>5628</v>
      </c>
      <c r="P1123" s="14"/>
      <c r="Q1123" s="6"/>
      <c r="R1123" s="11"/>
      <c r="S1123" s="6"/>
      <c r="T1123" s="6"/>
      <c r="U1123" s="6"/>
      <c r="V1123" s="6"/>
      <c r="W1123" s="6"/>
      <c r="X1123" s="6"/>
      <c r="Y1123" s="6"/>
      <c r="Z1123" s="6"/>
      <c r="AA1123" s="6"/>
    </row>
    <row r="1124" spans="1:27" ht="12.75">
      <c r="A1124" s="12" t="s">
        <v>5629</v>
      </c>
      <c r="B1124" s="6" t="s">
        <v>14</v>
      </c>
      <c r="C1124" s="7" t="str">
        <f t="shared" si="16"/>
        <v xml:space="preserve">Lena the plug </v>
      </c>
      <c r="D1124" s="27" t="s">
        <v>5630</v>
      </c>
      <c r="E1124" s="28" t="s">
        <v>5631</v>
      </c>
      <c r="F1124" s="9" t="str">
        <f ca="1">IFERROR(__xludf.DUMMYFUNCTION("""https://streamtape.com/v/""&amp;
REGEXEXTRACT(O1124,""/thumb/([^/]+)/"")&amp;
""/""&amp;K1124"),"https://streamtape.com/v/aqpYVopKRgIxLdP/15985766")</f>
        <v>https://streamtape.com/v/aqpYVopKRgIxLdP/15985766</v>
      </c>
      <c r="G1124" s="10" t="e">
        <f t="shared" ca="1" si="17"/>
        <v>#NAME?</v>
      </c>
      <c r="H1124" s="11" t="str">
        <f ca="1">IFERROR(__xludf.DUMMYFUNCTION("IFERROR(SUBSTITUTE(SUBSTITUTE(REGEXEXTRACT(A1124, ""[^-]+- [^-]+- [^-]+ - (.+?)\.jpg""), "".jpg"", """"), ""-"", "", ""), """")"),"")</f>
        <v/>
      </c>
      <c r="I1124" s="6"/>
      <c r="J1124" s="7" t="str">
        <f t="shared" ca="1" si="18"/>
        <v>(2026)</v>
      </c>
      <c r="K1124" s="7" t="str">
        <f t="shared" si="19"/>
        <v>15985766</v>
      </c>
      <c r="L1124" s="12" t="s">
        <v>127</v>
      </c>
      <c r="M1124" s="13" t="str">
        <f ca="1">IFERROR(__xludf.DUMMYFUNCTION("TRIM(
  REGEXREPLACE(
    TEXTJOIN("" "",
      TRUE,
      B1124,
      C1124,
      embaralharLinks(E1124,F1124,G1124),
      H1124,
      """",
      J1124,
      N1124,
      ""#RIPNSFW""
    ),
  "",\s*"", "" "")
)"),"{New} Lena the plug https://doodstream.com/d/53iaalcpvf4b/15985766 https://lulustream.com/d/yy9x09w9z0m8 https://streamtape.com/v/aqpYVopKRgIxLdP/15985766 (2026) #MILF #BigTits #Hardcore #Bigass #RIPNSFW")</f>
        <v>{New} Lena the plug https://doodstream.com/d/53iaalcpvf4b/15985766 https://lulustream.com/d/yy9x09w9z0m8 https://streamtape.com/v/aqpYVopKRgIxLdP/15985766 (2026) #MILF #BigTits #Hardcore #Bigass #RIPNSFW</v>
      </c>
      <c r="N1124" s="2" t="s">
        <v>128</v>
      </c>
      <c r="O1124" s="30" t="s">
        <v>5632</v>
      </c>
      <c r="P1124" s="26"/>
      <c r="R1124" s="23"/>
    </row>
    <row r="1125" spans="1:27" ht="12.75">
      <c r="A1125" s="6" t="s">
        <v>5633</v>
      </c>
      <c r="B1125" s="6" t="s">
        <v>14</v>
      </c>
      <c r="C1125" s="7" t="str">
        <f t="shared" si="16"/>
        <v xml:space="preserve">Lena the plug </v>
      </c>
      <c r="D1125" s="29" t="s">
        <v>5634</v>
      </c>
      <c r="E1125" s="8" t="s">
        <v>5635</v>
      </c>
      <c r="F1125" s="9" t="str">
        <f ca="1">IFERROR(__xludf.DUMMYFUNCTION("""https://streamtape.com/v/""&amp;
REGEXEXTRACT(O1125,""/thumb/([^/]+)/"")&amp;
""/""&amp;K1125"),"https://streamtape.com/v/4qlWWW7x9YTK0lj/18963060")</f>
        <v>https://streamtape.com/v/4qlWWW7x9YTK0lj/18963060</v>
      </c>
      <c r="G1125" s="10" t="e">
        <f t="shared" ca="1" si="17"/>
        <v>#NAME?</v>
      </c>
      <c r="H1125" s="11" t="str">
        <f ca="1">IFERROR(__xludf.DUMMYFUNCTION("IFERROR(SUBSTITUTE(SUBSTITUTE(REGEXEXTRACT(A1125, ""[^-]+- [^-]+- [^-]+ - (.+?)\.jpg""), "".jpg"", """"), ""-"", "", ""), """")"),"Sinatra Monroe")</f>
        <v>Sinatra Monroe</v>
      </c>
      <c r="I1125" s="6"/>
      <c r="J1125" s="7" t="str">
        <f t="shared" ca="1" si="18"/>
        <v>(2026)</v>
      </c>
      <c r="K1125" s="7" t="str">
        <f t="shared" si="19"/>
        <v>18963060</v>
      </c>
      <c r="L1125" s="12" t="s">
        <v>5636</v>
      </c>
      <c r="M1125" s="13" t="str">
        <f ca="1">IFERROR(__xludf.DUMMYFUNCTION("TRIM(
  REGEXREPLACE(
    TEXTJOIN("" "",
      TRUE,
      B1125,
      C1125,
      embaralharLinks(E1125,F1125,G1125),
      H1125,
      """",
      J1125,
      N1125,
      ""#RIPNSFW""
    ),
  "",\s*"", "" "")
)"),"{New} Lena the plug https://doodstream.com/d/dc56meb5hj9v/18963060 https://lulustream.com/d/iey51kgptzqa https://streamtape.com/v/4qlWWW7x9YTK0lj/18963060 Sinatra Monroe (2026) #MILF #BigTits #Hardcore #Threesome #Bigass #Blowjob #Stepmom #RIPNSFW")</f>
        <v>{New} Lena the plug https://doodstream.com/d/dc56meb5hj9v/18963060 https://lulustream.com/d/iey51kgptzqa https://streamtape.com/v/4qlWWW7x9YTK0lj/18963060 Sinatra Monroe (2026) #MILF #BigTits #Hardcore #Threesome #Bigass #Blowjob #Stepmom #RIPNSFW</v>
      </c>
      <c r="N1125" s="14" t="s">
        <v>5637</v>
      </c>
      <c r="O1125" s="32" t="s">
        <v>5638</v>
      </c>
      <c r="P1125" s="14"/>
      <c r="Q1125" s="6"/>
      <c r="R1125" s="11"/>
      <c r="S1125" s="6"/>
      <c r="T1125" s="6"/>
      <c r="U1125" s="6"/>
      <c r="V1125" s="6"/>
      <c r="W1125" s="6"/>
      <c r="X1125" s="6"/>
      <c r="Y1125" s="6"/>
      <c r="Z1125" s="6"/>
      <c r="AA1125" s="6"/>
    </row>
    <row r="1126" spans="1:27" ht="12.75">
      <c r="A1126" s="12" t="s">
        <v>5639</v>
      </c>
      <c r="B1126" s="6" t="s">
        <v>14</v>
      </c>
      <c r="C1126" s="7" t="str">
        <f t="shared" si="16"/>
        <v xml:space="preserve">Lena the plug </v>
      </c>
      <c r="D1126" s="24" t="s">
        <v>5640</v>
      </c>
      <c r="E1126" s="25" t="s">
        <v>5641</v>
      </c>
      <c r="F1126" s="9" t="str">
        <f ca="1">IFERROR(__xludf.DUMMYFUNCTION("""https://streamtape.com/v/""&amp;
REGEXEXTRACT(O1126,""/thumb/([^/]+)/"")&amp;
""/""&amp;K1126"),"https://streamtape.com/v/4qB4AXK2aWHKbpX/29767304")</f>
        <v>https://streamtape.com/v/4qB4AXK2aWHKbpX/29767304</v>
      </c>
      <c r="G1126" s="10" t="e">
        <f t="shared" ca="1" si="17"/>
        <v>#NAME?</v>
      </c>
      <c r="H1126" s="11" t="str">
        <f ca="1">IFERROR(__xludf.DUMMYFUNCTION("IFERROR(SUBSTITUTE(SUBSTITUTE(REGEXEXTRACT(A1126, ""[^-]+- [^-]+- [^-]+ - (.+?)\.jpg""), "".jpg"", """"), ""-"", "", ""), """")"),"")</f>
        <v/>
      </c>
      <c r="I1126" s="6"/>
      <c r="J1126" s="7" t="str">
        <f t="shared" ca="1" si="18"/>
        <v>(2026)</v>
      </c>
      <c r="K1126" s="7" t="str">
        <f t="shared" si="19"/>
        <v>29767304</v>
      </c>
      <c r="L1126" s="12" t="s">
        <v>1478</v>
      </c>
      <c r="M1126" s="13" t="str">
        <f ca="1">IFERROR(__xludf.DUMMYFUNCTION("TRIM(
  REGEXREPLACE(
    TEXTJOIN("" "",
      TRUE,
      B1126,
      C1126,
      embaralharLinks(E1126,F1126,G1126),
      H1126,
      """",
      J1126,
      N1126,
      ""#RIPNSFW""
    ),
  "",\s*"", "" "")
)"),"{New} Lena the plug https://streamtape.com/v/4qB4AXK2aWHKbpX/29767304 https://doodstream.com/d/4rulwkdwgg81/29767304 https://lulustream.com/d/n6zfj44eds0f (2026) #milf #blowjob #bigtits #bigass #RIPNSFW")</f>
        <v>{New} Lena the plug https://streamtape.com/v/4qB4AXK2aWHKbpX/29767304 https://doodstream.com/d/4rulwkdwgg81/29767304 https://lulustream.com/d/n6zfj44eds0f (2026) #milf #blowjob #bigtits #bigass #RIPNSFW</v>
      </c>
      <c r="N1126" s="2" t="s">
        <v>1478</v>
      </c>
      <c r="O1126" s="30" t="s">
        <v>5642</v>
      </c>
      <c r="P1126" s="26"/>
      <c r="R1126" s="23"/>
    </row>
    <row r="1127" spans="1:27" ht="12.75">
      <c r="A1127" s="12" t="s">
        <v>5643</v>
      </c>
      <c r="B1127" s="6" t="s">
        <v>14</v>
      </c>
      <c r="C1127" s="7" t="str">
        <f t="shared" si="16"/>
        <v xml:space="preserve">Lena the plug </v>
      </c>
      <c r="D1127" s="27" t="s">
        <v>5644</v>
      </c>
      <c r="E1127" s="28" t="s">
        <v>5645</v>
      </c>
      <c r="F1127" s="9" t="str">
        <f ca="1">IFERROR(__xludf.DUMMYFUNCTION("""https://streamtape.com/v/""&amp;
REGEXEXTRACT(O1127,""/thumb/([^/]+)/"")&amp;
""/""&amp;K1127"),"https://streamtape.com/v/oZRD34dM8OUxo0/35146123")</f>
        <v>https://streamtape.com/v/oZRD34dM8OUxo0/35146123</v>
      </c>
      <c r="G1127" s="10" t="e">
        <f t="shared" ca="1" si="17"/>
        <v>#NAME?</v>
      </c>
      <c r="H1127" s="11" t="str">
        <f ca="1">IFERROR(__xludf.DUMMYFUNCTION("IFERROR(SUBSTITUTE(SUBSTITUTE(REGEXEXTRACT(A1127, ""[^-]+- [^-]+- [^-]+ - (.+?)\.jpg""), "".jpg"", """"), ""-"", "", ""), """")"),"Jewelz Blu")</f>
        <v>Jewelz Blu</v>
      </c>
      <c r="I1127" s="6"/>
      <c r="J1127" s="7" t="str">
        <f t="shared" ca="1" si="18"/>
        <v>(2026)</v>
      </c>
      <c r="K1127" s="7" t="str">
        <f t="shared" si="19"/>
        <v>35146123</v>
      </c>
      <c r="L1127" s="12" t="s">
        <v>47</v>
      </c>
      <c r="M1127" s="13" t="str">
        <f ca="1">IFERROR(__xludf.DUMMYFUNCTION("TRIM(
  REGEXREPLACE(
    TEXTJOIN("" "",
      TRUE,
      B1127,
      C1127,
      embaralharLinks(E1127,F1127,G1127),
      H1127,
      """",
      J1127,
      N1127,
      ""#RIPNSFW""
    ),
  "",\s*"", "" "")
)"),"{New} Lena the plug https://lulustream.com/d/pw7trcvapqcl https://streamtape.com/v/oZRD34dM8OUxo0/35146123 https://doodstream.com/d/5od2geulqid5/35146123 Jewelz Blu (2026) #MILF #BigTits #Hardcore #Threesome #RIPNSFW")</f>
        <v>{New} Lena the plug https://lulustream.com/d/pw7trcvapqcl https://streamtape.com/v/oZRD34dM8OUxo0/35146123 https://doodstream.com/d/5od2geulqid5/35146123 Jewelz Blu (2026) #MILF #BigTits #Hardcore #Threesome #RIPNSFW</v>
      </c>
      <c r="N1127" s="2" t="s">
        <v>48</v>
      </c>
      <c r="O1127" s="30" t="s">
        <v>5646</v>
      </c>
      <c r="P1127" s="26"/>
      <c r="R1127" s="23"/>
    </row>
    <row r="1128" spans="1:27" ht="12.75">
      <c r="A1128" s="6" t="s">
        <v>5647</v>
      </c>
      <c r="B1128" s="6" t="s">
        <v>14</v>
      </c>
      <c r="C1128" s="7" t="str">
        <f t="shared" si="16"/>
        <v xml:space="preserve">Lena the plug </v>
      </c>
      <c r="D1128" s="24" t="s">
        <v>5648</v>
      </c>
      <c r="E1128" s="25" t="s">
        <v>5649</v>
      </c>
      <c r="F1128" s="9" t="str">
        <f ca="1">IFERROR(__xludf.DUMMYFUNCTION("""https://streamtape.com/v/""&amp;
REGEXEXTRACT(O1128,""/thumb/([^/]+)/"")&amp;
""/""&amp;K1128"),"https://streamtape.com/v/MrkAXLpkdZimVYg/44691980")</f>
        <v>https://streamtape.com/v/MrkAXLpkdZimVYg/44691980</v>
      </c>
      <c r="G1128" s="10" t="e">
        <f t="shared" ca="1" si="17"/>
        <v>#NAME?</v>
      </c>
      <c r="H1128" s="11" t="str">
        <f ca="1">IFERROR(__xludf.DUMMYFUNCTION("IFERROR(SUBSTITUTE(SUBSTITUTE(REGEXEXTRACT(A1128, ""[^-]+- [^-]+- [^-]+ - (.+?)\.jpg""), "".jpg"", """"), ""-"", "", ""), """")"),"")</f>
        <v/>
      </c>
      <c r="I1128" s="6"/>
      <c r="J1128" s="7" t="str">
        <f t="shared" ca="1" si="18"/>
        <v>(2026)</v>
      </c>
      <c r="K1128" s="7" t="str">
        <f t="shared" si="19"/>
        <v>44691980</v>
      </c>
      <c r="L1128" s="12" t="s">
        <v>3159</v>
      </c>
      <c r="M1128" s="13" t="str">
        <f ca="1">IFERROR(__xludf.DUMMYFUNCTION("TRIM(
  REGEXREPLACE(
    TEXTJOIN("" "",
      TRUE,
      B1128,
      C1128,
      embaralharLinks(E1128,F1128,G1128),
      H1128,
      """",
      J1128,
      N1128,
      ""#RIPNSFW""
    ),
  "",\s*"", "" "")
)"),"{New} Lena the plug https://streamtape.com/v/MrkAXLpkdZimVYg/44691980 https://lulustream.com/d/qmiluejocsno https://doodstream.com/d/pp90m82ap5ez/44691980 (2026) #anal #milf #bigtits #blowjob #RIPNSFW")</f>
        <v>{New} Lena the plug https://streamtape.com/v/MrkAXLpkdZimVYg/44691980 https://lulustream.com/d/qmiluejocsno https://doodstream.com/d/pp90m82ap5ez/44691980 (2026) #anal #milf #bigtits #blowjob #RIPNSFW</v>
      </c>
      <c r="N1128" s="31" t="s">
        <v>3159</v>
      </c>
      <c r="O1128" s="32" t="s">
        <v>5650</v>
      </c>
      <c r="P1128" s="26"/>
      <c r="Q1128" s="6"/>
      <c r="R1128" s="11"/>
      <c r="S1128" s="6"/>
      <c r="T1128" s="6"/>
      <c r="U1128" s="6"/>
      <c r="V1128" s="6"/>
      <c r="W1128" s="6"/>
      <c r="X1128" s="6"/>
      <c r="Y1128" s="6"/>
      <c r="Z1128" s="6"/>
      <c r="AA1128" s="6"/>
    </row>
    <row r="1129" spans="1:27" ht="12.75">
      <c r="A1129" s="6" t="s">
        <v>5651</v>
      </c>
      <c r="B1129" s="6" t="s">
        <v>14</v>
      </c>
      <c r="C1129" s="7" t="str">
        <f t="shared" si="16"/>
        <v xml:space="preserve">Lena the plug </v>
      </c>
      <c r="D1129" s="6" t="s">
        <v>5652</v>
      </c>
      <c r="E1129" s="8" t="s">
        <v>5653</v>
      </c>
      <c r="F1129" s="9" t="str">
        <f ca="1">IFERROR(__xludf.DUMMYFUNCTION("""https://streamtape.com/v/""&amp;
REGEXEXTRACT(O1129,""/thumb/([^/]+)/"")&amp;
""/""&amp;K1129"),"https://streamtape.com/v/GWKRpxwXlrI1p9v/44757154")</f>
        <v>https://streamtape.com/v/GWKRpxwXlrI1p9v/44757154</v>
      </c>
      <c r="G1129" s="10" t="e">
        <f t="shared" ca="1" si="17"/>
        <v>#NAME?</v>
      </c>
      <c r="H1129" s="11" t="str">
        <f ca="1">IFERROR(__xludf.DUMMYFUNCTION("IFERROR(SUBSTITUTE(SUBSTITUTE(REGEXEXTRACT(A1129, ""[^-]+- [^-]+- [^-]+ - (.+?)\.jpg""), "".jpg"", """"), ""-"", "", ""), """")"),"")</f>
        <v/>
      </c>
      <c r="I1129" s="6"/>
      <c r="J1129" s="7" t="str">
        <f t="shared" ca="1" si="18"/>
        <v>(2026)</v>
      </c>
      <c r="K1129" s="7" t="str">
        <f t="shared" si="19"/>
        <v>44757154</v>
      </c>
      <c r="L1129" s="12" t="s">
        <v>5654</v>
      </c>
      <c r="M1129" s="13" t="str">
        <f ca="1">IFERROR(__xludf.DUMMYFUNCTION("TRIM(
  REGEXREPLACE(
    TEXTJOIN("" "",
      TRUE,
      B1129,
      C1129,
      embaralharLinks(E1129,F1129,G1129),
      H1129,
      """",
      J1129,
      N1129,
      ""#RIPNSFW""
    ),
  "",\s*"", "" "")
)"),"{New} Lena the plug https://lulustream.com/d/ypsepkslsobp https://streamtape.com/v/GWKRpxwXlrI1p9v/44757154 https://doodstream.com/d/u0upu4ekcach/44757154 (2026) #MILF #BigTits #Hardcore #Black #RIPNSFW")</f>
        <v>{New} Lena the plug https://lulustream.com/d/ypsepkslsobp https://streamtape.com/v/GWKRpxwXlrI1p9v/44757154 https://doodstream.com/d/u0upu4ekcach/44757154 (2026) #MILF #BigTits #Hardcore #Black #RIPNSFW</v>
      </c>
      <c r="N1129" s="14" t="s">
        <v>681</v>
      </c>
      <c r="O1129" s="15" t="s">
        <v>5655</v>
      </c>
      <c r="P1129" s="14"/>
      <c r="Q1129" s="6"/>
      <c r="R1129" s="11"/>
      <c r="S1129" s="6"/>
      <c r="T1129" s="6"/>
      <c r="U1129" s="6"/>
      <c r="V1129" s="6"/>
      <c r="W1129" s="6"/>
      <c r="X1129" s="6"/>
      <c r="Y1129" s="6"/>
      <c r="Z1129" s="6"/>
      <c r="AA1129" s="6"/>
    </row>
    <row r="1130" spans="1:27" ht="12.75">
      <c r="A1130" s="12" t="s">
        <v>5656</v>
      </c>
      <c r="B1130" s="6" t="s">
        <v>14</v>
      </c>
      <c r="C1130" s="7" t="str">
        <f t="shared" si="16"/>
        <v xml:space="preserve">Lena the plug </v>
      </c>
      <c r="D1130" s="24" t="s">
        <v>5657</v>
      </c>
      <c r="E1130" s="25" t="s">
        <v>5658</v>
      </c>
      <c r="F1130" s="9" t="str">
        <f ca="1">IFERROR(__xludf.DUMMYFUNCTION("""https://streamtape.com/v/""&amp;
REGEXEXTRACT(O1130,""/thumb/([^/]+)/"")&amp;
""/""&amp;K1130"),"https://streamtape.com/v/PqvXDBlGPpt039d/62542301")</f>
        <v>https://streamtape.com/v/PqvXDBlGPpt039d/62542301</v>
      </c>
      <c r="G1130" s="10" t="e">
        <f t="shared" ca="1" si="17"/>
        <v>#NAME?</v>
      </c>
      <c r="H1130" s="11" t="str">
        <f ca="1">IFERROR(__xludf.DUMMYFUNCTION("IFERROR(SUBSTITUTE(SUBSTITUTE(REGEXEXTRACT(A1130, ""[^-]+- [^-]+- [^-]+ - (.+?)\.jpg""), "".jpg"", """"), ""-"", "", ""), """")"),"")</f>
        <v/>
      </c>
      <c r="I1130" s="6"/>
      <c r="J1130" s="7" t="str">
        <f t="shared" ca="1" si="18"/>
        <v>(2026)</v>
      </c>
      <c r="K1130" s="7" t="str">
        <f t="shared" si="19"/>
        <v>62542301</v>
      </c>
      <c r="L1130" s="12" t="s">
        <v>1711</v>
      </c>
      <c r="M1130" s="13" t="str">
        <f ca="1">IFERROR(__xludf.DUMMYFUNCTION("TRIM(
  REGEXREPLACE(
    TEXTJOIN("" "",
      TRUE,
      B1130,
      C1130,
      embaralharLinks(E1130,F1130,G1130),
      H1130,
      """",
      J1130,
      N1130,
      ""#RIPNSFW""
    ),
  "",\s*"", "" "")
)"),"{New} Lena the plug https://doodstream.com/d/busnk0xrv0re/62542301 https://lulustream.com/d/sqei02qk2th4 https://streamtape.com/v/PqvXDBlGPpt039d/62542301 (2026) #milf #bigass #bigtits #blowjob #RIPNSFW")</f>
        <v>{New} Lena the plug https://doodstream.com/d/busnk0xrv0re/62542301 https://lulustream.com/d/sqei02qk2th4 https://streamtape.com/v/PqvXDBlGPpt039d/62542301 (2026) #milf #bigass #bigtits #blowjob #RIPNSFW</v>
      </c>
      <c r="N1130" s="2" t="s">
        <v>1711</v>
      </c>
      <c r="O1130" s="30" t="s">
        <v>5659</v>
      </c>
      <c r="P1130" s="26"/>
      <c r="R1130" s="23"/>
    </row>
    <row r="1131" spans="1:27" ht="12.75">
      <c r="A1131" s="12" t="s">
        <v>5660</v>
      </c>
      <c r="B1131" s="6" t="s">
        <v>14</v>
      </c>
      <c r="C1131" s="7" t="str">
        <f t="shared" si="16"/>
        <v xml:space="preserve">Lena the plug </v>
      </c>
      <c r="D1131" s="24" t="s">
        <v>5661</v>
      </c>
      <c r="E1131" s="25" t="s">
        <v>5662</v>
      </c>
      <c r="F1131" s="9" t="str">
        <f ca="1">IFERROR(__xludf.DUMMYFUNCTION("""https://streamtape.com/v/""&amp;
REGEXEXTRACT(O1131,""/thumb/([^/]+)/"")&amp;
""/""&amp;K1131"),"https://streamtape.com/v/dvPOVjqwKLIkowL/74722268")</f>
        <v>https://streamtape.com/v/dvPOVjqwKLIkowL/74722268</v>
      </c>
      <c r="G1131" s="10" t="e">
        <f t="shared" ca="1" si="17"/>
        <v>#NAME?</v>
      </c>
      <c r="H1131" s="11" t="str">
        <f ca="1">IFERROR(__xludf.DUMMYFUNCTION("IFERROR(SUBSTITUTE(SUBSTITUTE(REGEXEXTRACT(A1131, ""[^-]+- [^-]+- [^-]+ - (.+?)\.jpg""), "".jpg"", """"), ""-"", "", ""), """")"),"")</f>
        <v/>
      </c>
      <c r="I1131" s="6"/>
      <c r="J1131" s="7" t="str">
        <f t="shared" ca="1" si="18"/>
        <v>(2026)</v>
      </c>
      <c r="K1131" s="7" t="str">
        <f t="shared" si="19"/>
        <v>74722268</v>
      </c>
      <c r="L1131" s="12" t="s">
        <v>1478</v>
      </c>
      <c r="M1131" s="13" t="str">
        <f ca="1">IFERROR(__xludf.DUMMYFUNCTION("TRIM(
  REGEXREPLACE(
    TEXTJOIN("" "",
      TRUE,
      B1131,
      C1131,
      embaralharLinks(E1131,F1131,G1131),
      H1131,
      """",
      J1131,
      N1131,
      ""#RIPNSFW""
    ),
  "",\s*"", "" "")
)"),"{New} Lena the plug https://doodstream.com/d/1zq8u0l79ouf/74722268 https://lulustream.com/d/s7nrem3sveq0 https://streamtape.com/v/dvPOVjqwKLIkowL/74722268 (2026) #milf #blowjob #bigtits #bigass #RIPNSFW")</f>
        <v>{New} Lena the plug https://doodstream.com/d/1zq8u0l79ouf/74722268 https://lulustream.com/d/s7nrem3sveq0 https://streamtape.com/v/dvPOVjqwKLIkowL/74722268 (2026) #milf #blowjob #bigtits #bigass #RIPNSFW</v>
      </c>
      <c r="N1131" s="2" t="s">
        <v>1478</v>
      </c>
      <c r="O1131" s="30" t="s">
        <v>5663</v>
      </c>
      <c r="P1131" s="26"/>
      <c r="R1131" s="23"/>
      <c r="T1131" s="6"/>
      <c r="U1131" s="7"/>
    </row>
    <row r="1132" spans="1:27" ht="12.75">
      <c r="A1132" s="12" t="s">
        <v>5664</v>
      </c>
      <c r="B1132" s="6"/>
      <c r="C1132" s="7" t="str">
        <f t="shared" si="16"/>
        <v xml:space="preserve">Lena the plug </v>
      </c>
      <c r="D1132" s="24" t="s">
        <v>5665</v>
      </c>
      <c r="E1132" s="25" t="s">
        <v>5666</v>
      </c>
      <c r="F1132" s="9" t="str">
        <f ca="1">IFERROR(__xludf.DUMMYFUNCTION("""https://streamtape.com/v/""&amp;
REGEXEXTRACT(O1132,""/thumb/([^/]+)/"")&amp;
""/""&amp;K1132"),"https://streamtape.com/v/l4GoQ18PWduolY/75484337")</f>
        <v>https://streamtape.com/v/l4GoQ18PWduolY/75484337</v>
      </c>
      <c r="G1132" s="10" t="e">
        <f t="shared" ca="1" si="17"/>
        <v>#NAME?</v>
      </c>
      <c r="H1132" s="11" t="str">
        <f ca="1">IFERROR(__xludf.DUMMYFUNCTION("IFERROR(SUBSTITUTE(SUBSTITUTE(REGEXEXTRACT(A1132, ""[^-]+- [^-]+- [^-]+ - (.+?)\.jpg""), "".jpg"", """"), ""-"", "", ""), """")"),"")</f>
        <v/>
      </c>
      <c r="I1132" s="6"/>
      <c r="J1132" s="7" t="str">
        <f t="shared" ca="1" si="18"/>
        <v/>
      </c>
      <c r="K1132" s="7" t="str">
        <f t="shared" si="19"/>
        <v>75484337</v>
      </c>
      <c r="L1132" s="12" t="s">
        <v>5667</v>
      </c>
      <c r="M1132" s="13" t="str">
        <f ca="1">IFERROR(__xludf.DUMMYFUNCTION("TRIM(
  REGEXREPLACE(
    TEXTJOIN("" "",
      TRUE,
      B1132,
      C1132,
      embaralharLinks(E1132,F1132,G1132),
      H1132,
      """",
      J1132,
      N1132,
      ""#RIPNSFW""
    ),
  "",\s*"", "" "")
)"),"Lena the plug https://streamtape.com/v/l4GoQ18PWduolY/75484337 https://doodstream.com/d/s0rhwcdx13ju/75484337 https://lulustream.com/d/ebu8z6u9j04g #threesome #milf #blowjob #bigtits #RIPNSFW")</f>
        <v>Lena the plug https://streamtape.com/v/l4GoQ18PWduolY/75484337 https://doodstream.com/d/s0rhwcdx13ju/75484337 https://lulustream.com/d/ebu8z6u9j04g #threesome #milf #blowjob #bigtits #RIPNSFW</v>
      </c>
      <c r="N1132" s="2" t="s">
        <v>5667</v>
      </c>
      <c r="O1132" s="30" t="s">
        <v>5668</v>
      </c>
      <c r="P1132" s="26"/>
      <c r="R1132" s="23"/>
      <c r="T1132" s="6"/>
      <c r="U1132" s="7"/>
    </row>
    <row r="1133" spans="1:27" ht="12.75">
      <c r="A1133" s="12" t="s">
        <v>5669</v>
      </c>
      <c r="B1133" s="6" t="s">
        <v>14</v>
      </c>
      <c r="C1133" s="7" t="str">
        <f t="shared" si="16"/>
        <v xml:space="preserve">Lena the plug </v>
      </c>
      <c r="D1133" s="24" t="s">
        <v>5670</v>
      </c>
      <c r="E1133" s="25" t="s">
        <v>5671</v>
      </c>
      <c r="F1133" s="9" t="str">
        <f ca="1">IFERROR(__xludf.DUMMYFUNCTION("""https://streamtape.com/v/""&amp;
REGEXEXTRACT(O1133,""/thumb/([^/]+)/"")&amp;
""/""&amp;K1133"),"https://streamtape.com/v/pbjpYxZ7zacrOgG/79601210")</f>
        <v>https://streamtape.com/v/pbjpYxZ7zacrOgG/79601210</v>
      </c>
      <c r="G1133" s="10" t="e">
        <f t="shared" ca="1" si="17"/>
        <v>#NAME?</v>
      </c>
      <c r="H1133" s="11" t="str">
        <f ca="1">IFERROR(__xludf.DUMMYFUNCTION("IFERROR(SUBSTITUTE(SUBSTITUTE(REGEXEXTRACT(A1133, ""[^-]+- [^-]+- [^-]+ - (.+?)\.jpg""), "".jpg"", """"), ""-"", "", ""), """")"),"")</f>
        <v/>
      </c>
      <c r="I1133" s="6"/>
      <c r="J1133" s="7" t="str">
        <f t="shared" ca="1" si="18"/>
        <v>(2026)</v>
      </c>
      <c r="K1133" s="7" t="str">
        <f t="shared" si="19"/>
        <v>79601210</v>
      </c>
      <c r="L1133" s="12" t="s">
        <v>1462</v>
      </c>
      <c r="M1133" s="13" t="str">
        <f ca="1">IFERROR(__xludf.DUMMYFUNCTION("TRIM(
  REGEXREPLACE(
    TEXTJOIN("" "",
      TRUE,
      B1133,
      C1133,
      embaralharLinks(E1133,F1133,G1133),
      H1133,
      """",
      J1133,
      N1133,
      ""#RIPNSFW""
    ),
  "",\s*"", "" "")
)"),"{New} Lena the plug https://streamtape.com/v/pbjpYxZ7zacrOgG/79601210 https://doodstream.com/d/g3qosmd7zb6c/79601210 https://lulustream.com/d/4iovuc0mcg07 (2026) #milf #bigtits #bigass #blowjob #RIPNSFW")</f>
        <v>{New} Lena the plug https://streamtape.com/v/pbjpYxZ7zacrOgG/79601210 https://doodstream.com/d/g3qosmd7zb6c/79601210 https://lulustream.com/d/4iovuc0mcg07 (2026) #milf #bigtits #bigass #blowjob #RIPNSFW</v>
      </c>
      <c r="N1133" s="2" t="s">
        <v>1462</v>
      </c>
      <c r="O1133" s="30" t="s">
        <v>5672</v>
      </c>
      <c r="P1133" s="26"/>
      <c r="R1133" s="23"/>
    </row>
    <row r="1134" spans="1:27" ht="12.75">
      <c r="A1134" s="8" t="s">
        <v>5673</v>
      </c>
      <c r="B1134" s="6" t="s">
        <v>14</v>
      </c>
      <c r="C1134" s="7" t="str">
        <f t="shared" si="16"/>
        <v xml:space="preserve">Lena the plug </v>
      </c>
      <c r="D1134" s="6" t="s">
        <v>5674</v>
      </c>
      <c r="E1134" s="8" t="s">
        <v>5675</v>
      </c>
      <c r="F1134" s="9" t="str">
        <f ca="1">IFERROR(__xludf.DUMMYFUNCTION("""https://streamtape.com/v/""&amp;
REGEXEXTRACT(O1134,""/thumb/([^/]+)/"")&amp;
""/""&amp;K1134"),"https://streamtape.com/v/OxK128PJ39tZyoB/85084017")</f>
        <v>https://streamtape.com/v/OxK128PJ39tZyoB/85084017</v>
      </c>
      <c r="G1134" s="10" t="e">
        <f t="shared" ca="1" si="17"/>
        <v>#NAME?</v>
      </c>
      <c r="H1134" s="11" t="str">
        <f ca="1">IFERROR(__xludf.DUMMYFUNCTION("IFERROR(SUBSTITUTE(SUBSTITUTE(REGEXEXTRACT(A1134, ""[^-]+- [^-]+- [^-]+ - (.+?)\.jpg""), "".jpg"", """"), ""-"", "", ""), """")"),"")</f>
        <v/>
      </c>
      <c r="I1134" s="6"/>
      <c r="J1134" s="7" t="str">
        <f t="shared" ca="1" si="18"/>
        <v>(2026)</v>
      </c>
      <c r="K1134" s="7" t="str">
        <f t="shared" si="19"/>
        <v>85084017</v>
      </c>
      <c r="L1134" s="12" t="s">
        <v>5676</v>
      </c>
      <c r="M1134" s="13" t="str">
        <f ca="1">IFERROR(__xludf.DUMMYFUNCTION("TRIM(
  REGEXREPLACE(
    TEXTJOIN("" "",
      TRUE,
      B1134,
      C1134,
      embaralharLinks(E1134,F1134,G1134),
      H1134,
      """",
      J1134,
      N1134,
      ""#RIPNSFW""
    ),
  "",\s*"", "" "")
)"),"{New} Lena the plug https://doodstream.com/d/kp2wn8ma1ct3/85084017 https://streamtape.com/v/OxK128PJ39tZyoB/85084017 https://lulustream.com/d/2us24lnpfh8a (2026) #MILF #BigTits #Hardcore #Bigass #Latina #RIPNSFW")</f>
        <v>{New} Lena the plug https://doodstream.com/d/kp2wn8ma1ct3/85084017 https://streamtape.com/v/OxK128PJ39tZyoB/85084017 https://lulustream.com/d/2us24lnpfh8a (2026) #MILF #BigTits #Hardcore #Bigass #Latina #RIPNSFW</v>
      </c>
      <c r="N1134" s="14" t="s">
        <v>4195</v>
      </c>
      <c r="O1134" s="15" t="s">
        <v>5677</v>
      </c>
      <c r="P1134" s="14"/>
      <c r="Q1134" s="6"/>
      <c r="R1134" s="11"/>
      <c r="S1134" s="6"/>
      <c r="T1134" s="6"/>
      <c r="U1134" s="6"/>
      <c r="V1134" s="6"/>
      <c r="W1134" s="6"/>
      <c r="X1134" s="6"/>
      <c r="Y1134" s="6"/>
      <c r="Z1134" s="6"/>
      <c r="AA1134" s="6"/>
    </row>
    <row r="1135" spans="1:27" ht="12.75">
      <c r="A1135" s="12" t="s">
        <v>5678</v>
      </c>
      <c r="B1135" s="6" t="s">
        <v>14</v>
      </c>
      <c r="C1135" s="7" t="str">
        <f t="shared" si="16"/>
        <v xml:space="preserve">Lena the plug </v>
      </c>
      <c r="D1135" s="24" t="s">
        <v>5679</v>
      </c>
      <c r="E1135" s="25" t="s">
        <v>5680</v>
      </c>
      <c r="F1135" s="9" t="str">
        <f ca="1">IFERROR(__xludf.DUMMYFUNCTION("""https://streamtape.com/v/""&amp;
REGEXEXTRACT(O1135,""/thumb/([^/]+)/"")&amp;
""/""&amp;K1135"),"https://streamtape.com/v/jv2lDY03dkfD9R/85746653")</f>
        <v>https://streamtape.com/v/jv2lDY03dkfD9R/85746653</v>
      </c>
      <c r="G1135" s="10" t="e">
        <f t="shared" ca="1" si="17"/>
        <v>#NAME?</v>
      </c>
      <c r="H1135" s="11" t="str">
        <f ca="1">IFERROR(__xludf.DUMMYFUNCTION("IFERROR(SUBSTITUTE(SUBSTITUTE(REGEXEXTRACT(A1135, ""[^-]+- [^-]+- [^-]+ - (.+?)\.jpg""), "".jpg"", """"), ""-"", "", ""), """")"),"")</f>
        <v/>
      </c>
      <c r="I1135" s="6"/>
      <c r="J1135" s="7" t="str">
        <f t="shared" ca="1" si="18"/>
        <v>(2026)</v>
      </c>
      <c r="K1135" s="7" t="str">
        <f t="shared" si="19"/>
        <v>85746653</v>
      </c>
      <c r="L1135" s="12" t="s">
        <v>4775</v>
      </c>
      <c r="M1135" s="13" t="str">
        <f ca="1">IFERROR(__xludf.DUMMYFUNCTION("TRIM(
  REGEXREPLACE(
    TEXTJOIN("" "",
      TRUE,
      B1135,
      C1135,
      embaralharLinks(E1135,F1135,G1135),
      H1135,
      """",
      J1135,
      N1135,
      ""#RIPNSFW""
    ),
  "",\s*"", "" "")
)"),"{New} Lena the plug https://doodstream.com/d/ant9vosfkq0q/85746653 https://lulustream.com/d/vyv38tveubte https://streamtape.com/v/jv2lDY03dkfD9R/85746653 (2026) #milf #threesome #bigass #bigtits #RIPNSFW")</f>
        <v>{New} Lena the plug https://doodstream.com/d/ant9vosfkq0q/85746653 https://lulustream.com/d/vyv38tveubte https://streamtape.com/v/jv2lDY03dkfD9R/85746653 (2026) #milf #threesome #bigass #bigtits #RIPNSFW</v>
      </c>
      <c r="N1135" s="2" t="s">
        <v>4775</v>
      </c>
      <c r="O1135" s="30" t="s">
        <v>5681</v>
      </c>
      <c r="P1135" s="26"/>
      <c r="R1135" s="23"/>
    </row>
    <row r="1136" spans="1:27" ht="12.75">
      <c r="A1136" s="12" t="s">
        <v>5682</v>
      </c>
      <c r="B1136" s="6" t="s">
        <v>14</v>
      </c>
      <c r="C1136" s="7" t="str">
        <f t="shared" si="16"/>
        <v xml:space="preserve">Lexi Belle </v>
      </c>
      <c r="D1136" s="27" t="s">
        <v>5683</v>
      </c>
      <c r="E1136" s="28" t="s">
        <v>5684</v>
      </c>
      <c r="F1136" s="9" t="str">
        <f ca="1">IFERROR(__xludf.DUMMYFUNCTION("""https://streamtape.com/v/""&amp;
REGEXEXTRACT(O1136,""/thumb/([^/]+)/"")&amp;
""/""&amp;K1136"),"https://streamtape.com/v/eAm6yvkmjZcYzAR/14586632")</f>
        <v>https://streamtape.com/v/eAm6yvkmjZcYzAR/14586632</v>
      </c>
      <c r="G1136" s="10" t="e">
        <f t="shared" ca="1" si="17"/>
        <v>#NAME?</v>
      </c>
      <c r="H1136" s="11" t="str">
        <f ca="1">IFERROR(__xludf.DUMMYFUNCTION("IFERROR(SUBSTITUTE(SUBSTITUTE(REGEXEXTRACT(A1136, ""[^-]+- [^-]+- [^-]+ - (.+?)\.jpg""), "".jpg"", """"), ""-"", "", ""), """")"),"")</f>
        <v/>
      </c>
      <c r="I1136" s="6"/>
      <c r="J1136" s="7" t="str">
        <f t="shared" ca="1" si="18"/>
        <v>(2026)</v>
      </c>
      <c r="K1136" s="7" t="str">
        <f t="shared" si="19"/>
        <v>14586632</v>
      </c>
      <c r="L1136" s="12" t="s">
        <v>5685</v>
      </c>
      <c r="M1136" s="13" t="str">
        <f ca="1">IFERROR(__xludf.DUMMYFUNCTION("TRIM(
  REGEXREPLACE(
    TEXTJOIN("" "",
      TRUE,
      B1136,
      C1136,
      embaralharLinks(E1136,F1136,G1136),
      H1136,
      """",
      J1136,
      N1136,
      ""#RIPNSFW""
    ),
  "",\s*"", "" "")
)"),"{New} Lexi Belle https://streamtape.com/v/eAm6yvkmjZcYzAR/14586632 https://doodstream.com/d/vnbecbxipr51/14586632 https://lulustream.com/d/odv5jczmsubb (2026) #Hardcore #Teen #Blowjob #Amateur #RIPNSFW")</f>
        <v>{New} Lexi Belle https://streamtape.com/v/eAm6yvkmjZcYzAR/14586632 https://doodstream.com/d/vnbecbxipr51/14586632 https://lulustream.com/d/odv5jczmsubb (2026) #Hardcore #Teen #Blowjob #Amateur #RIPNSFW</v>
      </c>
      <c r="N1136" s="2" t="s">
        <v>5686</v>
      </c>
      <c r="O1136" s="30" t="s">
        <v>5687</v>
      </c>
      <c r="P1136" s="26"/>
      <c r="R1136" s="23"/>
    </row>
    <row r="1137" spans="1:27" ht="12.75">
      <c r="A1137" s="6" t="s">
        <v>5688</v>
      </c>
      <c r="B1137" s="6" t="s">
        <v>14</v>
      </c>
      <c r="C1137" s="7" t="str">
        <f t="shared" si="16"/>
        <v xml:space="preserve">Lexi Belle </v>
      </c>
      <c r="D1137" s="24" t="s">
        <v>5689</v>
      </c>
      <c r="E1137" s="25" t="s">
        <v>5690</v>
      </c>
      <c r="F1137" s="9" t="str">
        <f ca="1">IFERROR(__xludf.DUMMYFUNCTION("""https://streamtape.com/v/""&amp;
REGEXEXTRACT(O1137,""/thumb/([^/]+)/"")&amp;
""/""&amp;K1137"),"https://streamtape.com/v/mOyMb4Z6j4CdkW/30943150")</f>
        <v>https://streamtape.com/v/mOyMb4Z6j4CdkW/30943150</v>
      </c>
      <c r="G1137" s="10" t="e">
        <f t="shared" ca="1" si="17"/>
        <v>#NAME?</v>
      </c>
      <c r="H1137" s="11" t="str">
        <f ca="1">IFERROR(__xludf.DUMMYFUNCTION("IFERROR(SUBSTITUTE(SUBSTITUTE(REGEXEXTRACT(A1137, ""[^-]+- [^-]+- [^-]+ - (.+?)\.jpg""), "".jpg"", """"), ""-"", "", ""), """")"),"")</f>
        <v/>
      </c>
      <c r="I1137" s="6"/>
      <c r="J1137" s="7" t="str">
        <f t="shared" ca="1" si="18"/>
        <v>(2026)</v>
      </c>
      <c r="K1137" s="7" t="str">
        <f t="shared" si="19"/>
        <v>30943150</v>
      </c>
      <c r="L1137" s="12" t="s">
        <v>3097</v>
      </c>
      <c r="M1137" s="13" t="str">
        <f ca="1">IFERROR(__xludf.DUMMYFUNCTION("TRIM(
  REGEXREPLACE(
    TEXTJOIN("" "",
      TRUE,
      B1137,
      C1137,
      embaralharLinks(E1137,F1137,G1137),
      H1137,
      """",
      J1137,
      N1137,
      ""#RIPNSFW""
    ),
  "",\s*"", "" "")
)"),"{New} Lexi Belle https://streamtape.com/v/mOyMb4Z6j4CdkW/30943150 https://lulustream.com/d/5gacj4ordbnq https://doodstream.com/d/8tqu72h7lllv/30943150 (2026) #blowjob #blonde #teen #amateur #RIPNSFW")</f>
        <v>{New} Lexi Belle https://streamtape.com/v/mOyMb4Z6j4CdkW/30943150 https://lulustream.com/d/5gacj4ordbnq https://doodstream.com/d/8tqu72h7lllv/30943150 (2026) #blowjob #blonde #teen #amateur #RIPNSFW</v>
      </c>
      <c r="N1137" s="31" t="s">
        <v>3097</v>
      </c>
      <c r="O1137" s="32" t="s">
        <v>5691</v>
      </c>
      <c r="P1137" s="26"/>
      <c r="Q1137" s="6"/>
      <c r="R1137" s="23"/>
      <c r="S1137" s="6"/>
      <c r="T1137" s="6"/>
      <c r="U1137" s="7"/>
      <c r="V1137" s="6"/>
      <c r="X1137" s="6"/>
      <c r="Y1137" s="6"/>
      <c r="Z1137" s="6"/>
      <c r="AA1137" s="6"/>
    </row>
    <row r="1138" spans="1:27" ht="12.75">
      <c r="A1138" s="12" t="s">
        <v>5692</v>
      </c>
      <c r="B1138" s="6" t="s">
        <v>14</v>
      </c>
      <c r="C1138" s="7" t="str">
        <f t="shared" si="16"/>
        <v xml:space="preserve">Lexi Belle </v>
      </c>
      <c r="D1138" s="27" t="s">
        <v>5693</v>
      </c>
      <c r="E1138" s="28" t="s">
        <v>5694</v>
      </c>
      <c r="F1138" s="9" t="str">
        <f ca="1">IFERROR(__xludf.DUMMYFUNCTION("""https://streamtape.com/v/""&amp;
REGEXEXTRACT(O1138,""/thumb/([^/]+)/"")&amp;
""/""&amp;K1138"),"https://streamtape.com/v/4zPRWrG9ozFra1/43590742")</f>
        <v>https://streamtape.com/v/4zPRWrG9ozFra1/43590742</v>
      </c>
      <c r="G1138" s="10" t="e">
        <f t="shared" ca="1" si="17"/>
        <v>#NAME?</v>
      </c>
      <c r="H1138" s="11" t="str">
        <f ca="1">IFERROR(__xludf.DUMMYFUNCTION("IFERROR(SUBSTITUTE(SUBSTITUTE(REGEXEXTRACT(A1138, ""[^-]+- [^-]+- [^-]+ - (.+?)\.jpg""), "".jpg"", """"), ""-"", "", ""), """")"),"")</f>
        <v/>
      </c>
      <c r="I1138" s="6"/>
      <c r="J1138" s="7" t="str">
        <f t="shared" ca="1" si="18"/>
        <v>(2026)</v>
      </c>
      <c r="K1138" s="7" t="str">
        <f t="shared" si="19"/>
        <v>43590742</v>
      </c>
      <c r="L1138" s="12" t="s">
        <v>3683</v>
      </c>
      <c r="M1138" s="13" t="str">
        <f ca="1">IFERROR(__xludf.DUMMYFUNCTION("TRIM(
  REGEXREPLACE(
    TEXTJOIN("" "",
      TRUE,
      B1138,
      C1138,
      embaralharLinks(E1138,F1138,G1138),
      H1138,
      """",
      J1138,
      N1138,
      ""#RIPNSFW""
    ),
  "",\s*"", "" "")
)"),"{New} Lexi Belle https://lulustream.com/d/n0yeqy5649p8 https://doodstream.com/d/f2sbpfgftmr2/43590742 https://streamtape.com/v/4zPRWrG9ozFra1/43590742 (2026) #Hardcore #Bigass #Teen #Blowjob #RIPNSFW")</f>
        <v>{New} Lexi Belle https://lulustream.com/d/n0yeqy5649p8 https://doodstream.com/d/f2sbpfgftmr2/43590742 https://streamtape.com/v/4zPRWrG9ozFra1/43590742 (2026) #Hardcore #Bigass #Teen #Blowjob #RIPNSFW</v>
      </c>
      <c r="N1138" s="2" t="s">
        <v>3684</v>
      </c>
      <c r="O1138" s="30" t="s">
        <v>5695</v>
      </c>
      <c r="P1138" s="26"/>
      <c r="R1138" s="23"/>
    </row>
    <row r="1139" spans="1:27" ht="12.75">
      <c r="A1139" s="12" t="s">
        <v>5696</v>
      </c>
      <c r="B1139" s="6" t="s">
        <v>14</v>
      </c>
      <c r="C1139" s="7" t="str">
        <f t="shared" si="16"/>
        <v xml:space="preserve">Lexi Belle </v>
      </c>
      <c r="D1139" s="24" t="s">
        <v>5697</v>
      </c>
      <c r="E1139" s="25" t="s">
        <v>5698</v>
      </c>
      <c r="F1139" s="9" t="str">
        <f ca="1">IFERROR(__xludf.DUMMYFUNCTION("""https://streamtape.com/v/""&amp;
REGEXEXTRACT(O1139,""/thumb/([^/]+)/"")&amp;
""/""&amp;K1139"),"https://streamtape.com/v/3wJKvGebqZUdedg/50640426")</f>
        <v>https://streamtape.com/v/3wJKvGebqZUdedg/50640426</v>
      </c>
      <c r="G1139" s="10" t="e">
        <f t="shared" ca="1" si="17"/>
        <v>#NAME?</v>
      </c>
      <c r="H1139" s="11" t="str">
        <f ca="1">IFERROR(__xludf.DUMMYFUNCTION("IFERROR(SUBSTITUTE(SUBSTITUTE(REGEXEXTRACT(A1139, ""[^-]+- [^-]+- [^-]+ - (.+?)\.jpg""), "".jpg"", """"), ""-"", "", ""), """")"),"")</f>
        <v/>
      </c>
      <c r="I1139" s="6"/>
      <c r="J1139" s="7" t="str">
        <f t="shared" ca="1" si="18"/>
        <v>(2026)</v>
      </c>
      <c r="K1139" s="7" t="str">
        <f t="shared" si="19"/>
        <v>50640426</v>
      </c>
      <c r="L1139" s="12" t="s">
        <v>5699</v>
      </c>
      <c r="M1139" s="13" t="str">
        <f ca="1">IFERROR(__xludf.DUMMYFUNCTION("TRIM(
  REGEXREPLACE(
    TEXTJOIN("" "",
      TRUE,
      B1139,
      C1139,
      embaralharLinks(E1139,F1139,G1139),
      H1139,
      """",
      J1139,
      N1139,
      ""#RIPNSFW""
    ),
  "",\s*"", "" "")
)"),"{New} Lexi Belle https://streamtape.com/v/3wJKvGebqZUdedg/50640426 https://doodstream.com/d/eckkhtpcb0iq/50640426 https://lulustream.com/d/nsjpvu46rj1l (2026) #teen #blowjob #roleplay #pov #RIPNSFW")</f>
        <v>{New} Lexi Belle https://streamtape.com/v/3wJKvGebqZUdedg/50640426 https://doodstream.com/d/eckkhtpcb0iq/50640426 https://lulustream.com/d/nsjpvu46rj1l (2026) #teen #blowjob #roleplay #pov #RIPNSFW</v>
      </c>
      <c r="N1139" s="2" t="s">
        <v>5699</v>
      </c>
      <c r="O1139" s="30" t="s">
        <v>5700</v>
      </c>
      <c r="P1139" s="26"/>
      <c r="R1139" s="23"/>
    </row>
    <row r="1140" spans="1:27" ht="12.75">
      <c r="A1140" s="12" t="s">
        <v>5701</v>
      </c>
      <c r="B1140" s="6" t="s">
        <v>14</v>
      </c>
      <c r="C1140" s="7" t="str">
        <f t="shared" si="16"/>
        <v xml:space="preserve">Lexi Belle </v>
      </c>
      <c r="D1140" s="27" t="s">
        <v>5702</v>
      </c>
      <c r="E1140" s="28" t="s">
        <v>5703</v>
      </c>
      <c r="F1140" s="9" t="str">
        <f ca="1">IFERROR(__xludf.DUMMYFUNCTION("""https://streamtape.com/v/""&amp;
REGEXEXTRACT(O1140,""/thumb/([^/]+)/"")&amp;
""/""&amp;K1140"),"https://streamtape.com/v/0WqpYAaY3WTbwPM/86205405")</f>
        <v>https://streamtape.com/v/0WqpYAaY3WTbwPM/86205405</v>
      </c>
      <c r="G1140" s="10" t="e">
        <f t="shared" ca="1" si="17"/>
        <v>#NAME?</v>
      </c>
      <c r="H1140" s="11" t="str">
        <f ca="1">IFERROR(__xludf.DUMMYFUNCTION("IFERROR(SUBSTITUTE(SUBSTITUTE(REGEXEXTRACT(A1140, ""[^-]+- [^-]+- [^-]+ - (.+?)\.jpg""), "".jpg"", """"), ""-"", "", ""), """")"),"")</f>
        <v/>
      </c>
      <c r="I1140" s="6"/>
      <c r="J1140" s="7" t="str">
        <f t="shared" ca="1" si="18"/>
        <v>(2026)</v>
      </c>
      <c r="K1140" s="7" t="str">
        <f t="shared" si="19"/>
        <v>86205405</v>
      </c>
      <c r="L1140" s="12" t="s">
        <v>5704</v>
      </c>
      <c r="M1140" s="13" t="str">
        <f ca="1">IFERROR(__xludf.DUMMYFUNCTION("TRIM(
  REGEXREPLACE(
    TEXTJOIN("" "",
      TRUE,
      B1140,
      C1140,
      embaralharLinks(E1140,F1140,G1140),
      H1140,
      """",
      J1140,
      N1140,
      ""#RIPNSFW""
    ),
  "",\s*"", "" "")
)"),"{New} Lexi Belle https://lulustream.com/d/0jmrvjewvf3p https://doodstream.com/d/7ae2jekew11j/86205405 https://streamtape.com/v/0WqpYAaY3WTbwPM/86205405 (2026) #MILF #Blowjob #Amateur #Blonde #RIPNSFW")</f>
        <v>{New} Lexi Belle https://lulustream.com/d/0jmrvjewvf3p https://doodstream.com/d/7ae2jekew11j/86205405 https://streamtape.com/v/0WqpYAaY3WTbwPM/86205405 (2026) #MILF #Blowjob #Amateur #Blonde #RIPNSFW</v>
      </c>
      <c r="N1140" s="2" t="s">
        <v>5705</v>
      </c>
      <c r="O1140" s="30" t="s">
        <v>5706</v>
      </c>
      <c r="P1140" s="26"/>
      <c r="R1140" s="23"/>
    </row>
    <row r="1141" spans="1:27" ht="12.75">
      <c r="A1141" s="12" t="s">
        <v>5707</v>
      </c>
      <c r="B1141" s="6" t="s">
        <v>14</v>
      </c>
      <c r="C1141" s="7" t="str">
        <f t="shared" si="16"/>
        <v xml:space="preserve">Lexi Belle </v>
      </c>
      <c r="D1141" s="24" t="s">
        <v>5708</v>
      </c>
      <c r="E1141" s="25" t="s">
        <v>5709</v>
      </c>
      <c r="F1141" s="9" t="str">
        <f ca="1">IFERROR(__xludf.DUMMYFUNCTION("""https://streamtape.com/v/""&amp;
REGEXEXTRACT(O1141,""/thumb/([^/]+)/"")&amp;
""/""&amp;K1141"),"https://streamtape.com/v/DZg3olZXjeFDd7/89537050")</f>
        <v>https://streamtape.com/v/DZg3olZXjeFDd7/89537050</v>
      </c>
      <c r="G1141" s="10" t="e">
        <f t="shared" ca="1" si="17"/>
        <v>#NAME?</v>
      </c>
      <c r="H1141" s="11" t="str">
        <f ca="1">IFERROR(__xludf.DUMMYFUNCTION("IFERROR(SUBSTITUTE(SUBSTITUTE(REGEXEXTRACT(A1141, ""[^-]+- [^-]+- [^-]+ - (.+?)\.jpg""), "".jpg"", """"), ""-"", "", ""), """")"),"")</f>
        <v/>
      </c>
      <c r="I1141" s="6"/>
      <c r="J1141" s="7" t="str">
        <f t="shared" ca="1" si="18"/>
        <v>(2026)</v>
      </c>
      <c r="K1141" s="7" t="str">
        <f t="shared" si="19"/>
        <v>89537050</v>
      </c>
      <c r="L1141" s="12" t="s">
        <v>5710</v>
      </c>
      <c r="M1141" s="13" t="str">
        <f ca="1">IFERROR(__xludf.DUMMYFUNCTION("TRIM(
  REGEXREPLACE(
    TEXTJOIN("" "",
      TRUE,
      B1141,
      C1141,
      embaralharLinks(E1141,F1141,G1141),
      H1141,
      """",
      J1141,
      N1141,
      ""#RIPNSFW""
    ),
  "",\s*"", "" "")
)"),"{New} Lexi Belle https://doodstream.com/d/xvzc3ntle4zs/89537050 https://streamtape.com/v/DZg3olZXjeFDd7/89537050 https://lulustream.com/d/9o4bpulrnxg8 (2026) #teen #blowjob #roleplay #amateur #RIPNSFW")</f>
        <v>{New} Lexi Belle https://doodstream.com/d/xvzc3ntle4zs/89537050 https://streamtape.com/v/DZg3olZXjeFDd7/89537050 https://lulustream.com/d/9o4bpulrnxg8 (2026) #teen #blowjob #roleplay #amateur #RIPNSFW</v>
      </c>
      <c r="N1141" s="2" t="s">
        <v>5710</v>
      </c>
      <c r="O1141" s="30" t="s">
        <v>5711</v>
      </c>
      <c r="P1141" s="26"/>
      <c r="R1141" s="23"/>
    </row>
    <row r="1142" spans="1:27" ht="12.75">
      <c r="A1142" s="6" t="s">
        <v>5712</v>
      </c>
      <c r="B1142" s="6" t="s">
        <v>14</v>
      </c>
      <c r="C1142" s="7" t="str">
        <f t="shared" si="16"/>
        <v xml:space="preserve">Lilibet Saunders </v>
      </c>
      <c r="D1142" s="6" t="s">
        <v>5713</v>
      </c>
      <c r="E1142" s="8" t="s">
        <v>5714</v>
      </c>
      <c r="F1142" s="9" t="str">
        <f ca="1">IFERROR(__xludf.DUMMYFUNCTION("""https://streamtape.com/v/""&amp;
REGEXEXTRACT(O1142,""/thumb/([^/]+)/"")&amp;
""/""&amp;K1142"),"https://streamtape.com/v/k9eZzjDJ4gCO1Ar/22672446")</f>
        <v>https://streamtape.com/v/k9eZzjDJ4gCO1Ar/22672446</v>
      </c>
      <c r="G1142" s="10" t="e">
        <f t="shared" ca="1" si="17"/>
        <v>#NAME?</v>
      </c>
      <c r="H1142" s="11" t="str">
        <f ca="1">IFERROR(__xludf.DUMMYFUNCTION("IFERROR(SUBSTITUTE(SUBSTITUTE(REGEXEXTRACT(A1142, ""[^-]+- [^-]+- [^-]+ - (.+?)\.jpg""), "".jpg"", """"), ""-"", "", ""), """")"),"")</f>
        <v/>
      </c>
      <c r="I1142" s="6"/>
      <c r="J1142" s="7" t="str">
        <f t="shared" ca="1" si="18"/>
        <v>(2026)</v>
      </c>
      <c r="K1142" s="7" t="str">
        <f t="shared" si="19"/>
        <v>22672446</v>
      </c>
      <c r="L1142" s="12" t="s">
        <v>5715</v>
      </c>
      <c r="M1142" s="13" t="str">
        <f ca="1">IFERROR(__xludf.DUMMYFUNCTION("TRIM(
  REGEXREPLACE(
    TEXTJOIN("" "",
      TRUE,
      B1142,
      C1142,
      embaralharLinks(E1142,F1142,G1142),
      H1142,
      """",
      J1142,
      N1142,
      ""#RIPNSFW""
    ),
  "",\s*"", "" "")
)"),"{New} Lilibet Saunders https://lulustream.com/d/cm0udikm5btr https://streamtape.com/v/k9eZzjDJ4gCO1Ar/22672446 https://doodstream.com/d/syednfqi2czd/22672446 (2026) #BigTits #Hardcore #Black #Interracial #RIPNSFW")</f>
        <v>{New} Lilibet Saunders https://lulustream.com/d/cm0udikm5btr https://streamtape.com/v/k9eZzjDJ4gCO1Ar/22672446 https://doodstream.com/d/syednfqi2czd/22672446 (2026) #BigTits #Hardcore #Black #Interracial #RIPNSFW</v>
      </c>
      <c r="N1142" s="14" t="s">
        <v>646</v>
      </c>
      <c r="O1142" s="15" t="s">
        <v>5716</v>
      </c>
      <c r="P1142" s="14"/>
      <c r="Q1142" s="6"/>
      <c r="R1142" s="11"/>
      <c r="S1142" s="6"/>
      <c r="T1142" s="6"/>
      <c r="U1142" s="6"/>
      <c r="V1142" s="6"/>
      <c r="W1142" s="6"/>
      <c r="X1142" s="6"/>
      <c r="Y1142" s="6"/>
      <c r="Z1142" s="6"/>
      <c r="AA1142" s="6"/>
    </row>
    <row r="1143" spans="1:27" ht="12.75">
      <c r="A1143" s="12" t="s">
        <v>5717</v>
      </c>
      <c r="B1143" s="6" t="s">
        <v>14</v>
      </c>
      <c r="C1143" s="7" t="str">
        <f t="shared" si="16"/>
        <v xml:space="preserve">Lilibet Saunders </v>
      </c>
      <c r="D1143" s="27" t="s">
        <v>5718</v>
      </c>
      <c r="E1143" s="28" t="s">
        <v>5719</v>
      </c>
      <c r="F1143" s="9" t="str">
        <f ca="1">IFERROR(__xludf.DUMMYFUNCTION("""https://streamtape.com/v/""&amp;
REGEXEXTRACT(O1143,""/thumb/([^/]+)/"")&amp;
""/""&amp;K1143"),"https://streamtape.com/v/K9brDymOY1f01BP/51729589")</f>
        <v>https://streamtape.com/v/K9brDymOY1f01BP/51729589</v>
      </c>
      <c r="G1143" s="10" t="e">
        <f t="shared" ca="1" si="17"/>
        <v>#NAME?</v>
      </c>
      <c r="H1143" s="11" t="str">
        <f ca="1">IFERROR(__xludf.DUMMYFUNCTION("IFERROR(SUBSTITUTE(SUBSTITUTE(REGEXEXTRACT(A1143, ""[^-]+- [^-]+- [^-]+ - (.+?)\.jpg""), "".jpg"", """"), ""-"", "", ""), """")"),"Cory Chase")</f>
        <v>Cory Chase</v>
      </c>
      <c r="I1143" s="6"/>
      <c r="J1143" s="7" t="str">
        <f t="shared" ca="1" si="18"/>
        <v>(2026)</v>
      </c>
      <c r="K1143" s="7" t="str">
        <f t="shared" si="19"/>
        <v>51729589</v>
      </c>
      <c r="L1143" s="12" t="s">
        <v>47</v>
      </c>
      <c r="M1143" s="13" t="str">
        <f ca="1">IFERROR(__xludf.DUMMYFUNCTION("TRIM(
  REGEXREPLACE(
    TEXTJOIN("" "",
      TRUE,
      B1143,
      C1143,
      embaralharLinks(E1143,F1143,G1143),
      H1143,
      """",
      J1143,
      N1143,
      ""#RIPNSFW""
    ),
  "",\s*"", "" "")
)"),"{New} Lilibet Saunders https://doodstream.com/d/epxr2y00ybva/51729589 https://lulustream.com/d/s3hjoa1qcxbt https://streamtape.com/v/K9brDymOY1f01BP/51729589 Cory Chase (2026) #MILF #BigTits #Hardcore #Threesome #RIPNSFW")</f>
        <v>{New} Lilibet Saunders https://doodstream.com/d/epxr2y00ybva/51729589 https://lulustream.com/d/s3hjoa1qcxbt https://streamtape.com/v/K9brDymOY1f01BP/51729589 Cory Chase (2026) #MILF #BigTits #Hardcore #Threesome #RIPNSFW</v>
      </c>
      <c r="N1143" s="2" t="s">
        <v>48</v>
      </c>
      <c r="O1143" s="30" t="s">
        <v>5720</v>
      </c>
      <c r="P1143" s="26"/>
      <c r="R1143" s="23"/>
    </row>
    <row r="1144" spans="1:27" ht="12.75">
      <c r="A1144" s="6" t="s">
        <v>5721</v>
      </c>
      <c r="B1144" s="6" t="s">
        <v>14</v>
      </c>
      <c r="C1144" s="7" t="str">
        <f t="shared" si="16"/>
        <v xml:space="preserve">Lilibet Saunders </v>
      </c>
      <c r="D1144" s="6" t="s">
        <v>5722</v>
      </c>
      <c r="E1144" s="8" t="s">
        <v>5723</v>
      </c>
      <c r="F1144" s="9" t="str">
        <f ca="1">IFERROR(__xludf.DUMMYFUNCTION("""https://streamtape.com/v/""&amp;
REGEXEXTRACT(O1144,""/thumb/([^/]+)/"")&amp;
""/""&amp;K1144"),"https://streamtape.com/v/AJZXWQ7d8eImWp/57590408")</f>
        <v>https://streamtape.com/v/AJZXWQ7d8eImWp/57590408</v>
      </c>
      <c r="G1144" s="10" t="e">
        <f t="shared" ca="1" si="17"/>
        <v>#NAME?</v>
      </c>
      <c r="H1144" s="11" t="str">
        <f ca="1">IFERROR(__xludf.DUMMYFUNCTION("IFERROR(SUBSTITUTE(SUBSTITUTE(REGEXEXTRACT(A1144, ""[^-]+- [^-]+- [^-]+ - (.+?)\.jpg""), "".jpg"", """"), ""-"", "", ""), """")"),"")</f>
        <v/>
      </c>
      <c r="I1144" s="6"/>
      <c r="J1144" s="7" t="str">
        <f t="shared" ca="1" si="18"/>
        <v>(2026)</v>
      </c>
      <c r="K1144" s="7" t="str">
        <f t="shared" si="19"/>
        <v>57590408</v>
      </c>
      <c r="L1144" s="12" t="s">
        <v>5724</v>
      </c>
      <c r="M1144" s="13" t="str">
        <f ca="1">IFERROR(__xludf.DUMMYFUNCTION("TRIM(
  REGEXREPLACE(
    TEXTJOIN("" "",
      TRUE,
      B1144,
      C1144,
      embaralharLinks(E1144,F1144,G1144),
      H1144,
      """",
      J1144,
      N1144,
      ""#RIPNSFW""
    ),
  "",\s*"", "" "")
)"),"{New} Lilibet Saunders https://streamtape.com/v/AJZXWQ7d8eImWp/57590408 https://doodstream.com/d/14ctq1ev6ezp/57590408 https://lulustream.com/d/dp5h5bqhl9kx (2026) #BigTits #Hardcore #Bigass #Teen #Artporn #RIPNSFW")</f>
        <v>{New} Lilibet Saunders https://streamtape.com/v/AJZXWQ7d8eImWp/57590408 https://doodstream.com/d/14ctq1ev6ezp/57590408 https://lulustream.com/d/dp5h5bqhl9kx (2026) #BigTits #Hardcore #Bigass #Teen #Artporn #RIPNSFW</v>
      </c>
      <c r="N1144" s="14" t="s">
        <v>172</v>
      </c>
      <c r="O1144" s="21" t="s">
        <v>5725</v>
      </c>
      <c r="P1144" s="14"/>
      <c r="Q1144" s="6"/>
      <c r="R1144" s="11"/>
      <c r="S1144" s="6"/>
      <c r="T1144" s="6"/>
      <c r="U1144" s="6"/>
      <c r="V1144" s="6"/>
      <c r="W1144" s="6"/>
      <c r="X1144" s="6"/>
      <c r="Y1144" s="6"/>
      <c r="Z1144" s="6"/>
      <c r="AA1144" s="6"/>
    </row>
    <row r="1145" spans="1:27" ht="12.75">
      <c r="A1145" s="6" t="s">
        <v>5726</v>
      </c>
      <c r="B1145" s="6" t="s">
        <v>14</v>
      </c>
      <c r="C1145" s="7" t="str">
        <f t="shared" si="16"/>
        <v xml:space="preserve">Lilibet Saunders </v>
      </c>
      <c r="D1145" s="6" t="s">
        <v>5727</v>
      </c>
      <c r="E1145" s="8" t="s">
        <v>5728</v>
      </c>
      <c r="F1145" s="9" t="str">
        <f ca="1">IFERROR(__xludf.DUMMYFUNCTION("""https://streamtape.com/v/""&amp;
REGEXEXTRACT(O1145,""/thumb/([^/]+)/"")&amp;
""/""&amp;K1145"),"https://streamtape.com/v/BqAZ87j6y9cQOw/59586146")</f>
        <v>https://streamtape.com/v/BqAZ87j6y9cQOw/59586146</v>
      </c>
      <c r="G1145" s="10" t="e">
        <f t="shared" ca="1" si="17"/>
        <v>#NAME?</v>
      </c>
      <c r="H1145" s="11" t="str">
        <f ca="1">IFERROR(__xludf.DUMMYFUNCTION("IFERROR(SUBSTITUTE(SUBSTITUTE(REGEXEXTRACT(A1145, ""[^-]+- [^-]+- [^-]+ - (.+?)\.jpg""), "".jpg"", """"), ""-"", "", ""), """")"),"")</f>
        <v/>
      </c>
      <c r="I1145" s="6"/>
      <c r="J1145" s="7" t="str">
        <f t="shared" ca="1" si="18"/>
        <v>(2026)</v>
      </c>
      <c r="K1145" s="7" t="str">
        <f t="shared" si="19"/>
        <v>59586146</v>
      </c>
      <c r="L1145" s="12" t="s">
        <v>5715</v>
      </c>
      <c r="M1145" s="13" t="str">
        <f ca="1">IFERROR(__xludf.DUMMYFUNCTION("TRIM(
  REGEXREPLACE(
    TEXTJOIN("" "",
      TRUE,
      B1145,
      C1145,
      embaralharLinks(E1145,F1145,G1145),
      H1145,
      """",
      J1145,
      N1145,
      ""#RIPNSFW""
    ),
  "",\s*"", "" "")
)"),"{New} Lilibet Saunders https://lulustream.com/d/hbbedc5ckluh https://streamtape.com/v/BqAZ87j6y9cQOw/59586146 https://doodstream.com/d/qip1qarxrjsw/59586146 (2026) #BigTits #Hardcore #Black #Interracial #Bigass #Porn #Teen #Blowjob #RIPNSFW")</f>
        <v>{New} Lilibet Saunders https://lulustream.com/d/hbbedc5ckluh https://streamtape.com/v/BqAZ87j6y9cQOw/59586146 https://doodstream.com/d/qip1qarxrjsw/59586146 (2026) #BigTits #Hardcore #Black #Interracial #Bigass #Porn #Teen #Blowjob #RIPNSFW</v>
      </c>
      <c r="N1145" s="14" t="s">
        <v>5729</v>
      </c>
      <c r="O1145" s="15" t="s">
        <v>5730</v>
      </c>
      <c r="P1145" s="14"/>
      <c r="Q1145" s="6"/>
      <c r="R1145" s="11"/>
      <c r="S1145" s="6"/>
      <c r="T1145" s="6"/>
      <c r="U1145" s="6"/>
      <c r="V1145" s="6"/>
      <c r="W1145" s="6"/>
      <c r="X1145" s="6"/>
      <c r="Y1145" s="6"/>
      <c r="Z1145" s="6"/>
      <c r="AA1145" s="6"/>
    </row>
    <row r="1146" spans="1:27" ht="12.75">
      <c r="A1146" s="6" t="s">
        <v>5731</v>
      </c>
      <c r="B1146" s="6" t="s">
        <v>14</v>
      </c>
      <c r="C1146" s="7" t="str">
        <f t="shared" si="16"/>
        <v xml:space="preserve">Lilibet Saunders </v>
      </c>
      <c r="D1146" s="6" t="s">
        <v>5732</v>
      </c>
      <c r="E1146" s="8" t="s">
        <v>5733</v>
      </c>
      <c r="F1146" s="9" t="str">
        <f ca="1">IFERROR(__xludf.DUMMYFUNCTION("""https://streamtape.com/v/""&amp;
REGEXEXTRACT(O1146,""/thumb/([^/]+)/"")&amp;
""/""&amp;K1146"),"https://streamtape.com/v/YwlA4PwJe4CdGO/66638774")</f>
        <v>https://streamtape.com/v/YwlA4PwJe4CdGO/66638774</v>
      </c>
      <c r="G1146" s="10" t="e">
        <f t="shared" ca="1" si="17"/>
        <v>#NAME?</v>
      </c>
      <c r="H1146" s="11" t="str">
        <f ca="1">IFERROR(__xludf.DUMMYFUNCTION("IFERROR(SUBSTITUTE(SUBSTITUTE(REGEXEXTRACT(A1146, ""[^-]+- [^-]+- [^-]+ - (.+?)\.jpg""), "".jpg"", """"), ""-"", "", ""), """")"),"")</f>
        <v/>
      </c>
      <c r="I1146" s="6"/>
      <c r="J1146" s="7" t="str">
        <f t="shared" ca="1" si="18"/>
        <v>(2026)</v>
      </c>
      <c r="K1146" s="7" t="str">
        <f t="shared" si="19"/>
        <v>66638774</v>
      </c>
      <c r="L1146" s="12" t="s">
        <v>5734</v>
      </c>
      <c r="M1146" s="13" t="str">
        <f ca="1">IFERROR(__xludf.DUMMYFUNCTION("TRIM(
  REGEXREPLACE(
    TEXTJOIN("" "",
      TRUE,
      B1146,
      C1146,
      embaralharLinks(E1146,F1146,G1146),
      H1146,
      """",
      J1146,
      N1146,
      ""#RIPNSFW""
    ),
  "",\s*"", "" "")
)"),"{New} Lilibet Saunders https://doodstream.com/d/xpl94upkr2q0/66638774 https://lulustream.com/d/zko8l0tg2fa8 https://streamtape.com/v/YwlA4PwJe4CdGO/66638774 (2026) #BigTits #Hardcore #Bigass #Teen #Blowjob #RIPNSFW")</f>
        <v>{New} Lilibet Saunders https://doodstream.com/d/xpl94upkr2q0/66638774 https://lulustream.com/d/zko8l0tg2fa8 https://streamtape.com/v/YwlA4PwJe4CdGO/66638774 (2026) #BigTits #Hardcore #Bigass #Teen #Blowjob #RIPNSFW</v>
      </c>
      <c r="N1146" s="14" t="s">
        <v>162</v>
      </c>
      <c r="O1146" s="15" t="s">
        <v>5735</v>
      </c>
      <c r="P1146" s="14"/>
      <c r="Q1146" s="6"/>
      <c r="R1146" s="11"/>
      <c r="S1146" s="6"/>
      <c r="T1146" s="6"/>
      <c r="U1146" s="6"/>
      <c r="V1146" s="6"/>
      <c r="W1146" s="6"/>
      <c r="X1146" s="6"/>
      <c r="Y1146" s="6"/>
      <c r="Z1146" s="6"/>
      <c r="AA1146" s="6"/>
    </row>
    <row r="1147" spans="1:27" ht="12.75">
      <c r="A1147" s="12" t="s">
        <v>5736</v>
      </c>
      <c r="B1147" s="6" t="s">
        <v>14</v>
      </c>
      <c r="C1147" s="7" t="str">
        <f t="shared" si="16"/>
        <v xml:space="preserve">Lilibet Saunders </v>
      </c>
      <c r="D1147" s="24" t="s">
        <v>5737</v>
      </c>
      <c r="E1147" s="25" t="s">
        <v>5738</v>
      </c>
      <c r="F1147" s="9" t="str">
        <f ca="1">IFERROR(__xludf.DUMMYFUNCTION("""https://streamtape.com/v/""&amp;
REGEXEXTRACT(O1147,""/thumb/([^/]+)/"")&amp;
""/""&amp;K1147"),"https://streamtape.com/v/BvjVR1BaOrsVBV/73049112")</f>
        <v>https://streamtape.com/v/BvjVR1BaOrsVBV/73049112</v>
      </c>
      <c r="G1147" s="10" t="e">
        <f t="shared" ca="1" si="17"/>
        <v>#NAME?</v>
      </c>
      <c r="H1147" s="11" t="str">
        <f ca="1">IFERROR(__xludf.DUMMYFUNCTION("IFERROR(SUBSTITUTE(SUBSTITUTE(REGEXEXTRACT(A1147, ""[^-]+- [^-]+- [^-]+ - (.+?)\.jpg""), "".jpg"", """"), ""-"", "", ""), """")"),"")</f>
        <v/>
      </c>
      <c r="I1147" s="6"/>
      <c r="J1147" s="7" t="str">
        <f t="shared" ca="1" si="18"/>
        <v>(2026)</v>
      </c>
      <c r="K1147" s="7" t="str">
        <f t="shared" si="19"/>
        <v>73049112</v>
      </c>
      <c r="L1147" s="12" t="s">
        <v>5739</v>
      </c>
      <c r="M1147" s="13" t="str">
        <f ca="1">IFERROR(__xludf.DUMMYFUNCTION("TRIM(
  REGEXREPLACE(
    TEXTJOIN("" "",
      TRUE,
      B1147,
      C1147,
      embaralharLinks(E1147,F1147,G1147),
      H1147,
      """",
      J1147,
      N1147,
      ""#RIPNSFW""
    ),
  "",\s*"", "" "")
)"),"{New} Lilibet Saunders https://doodstream.com/d/k3mw8zyqsclc/73049112 https://lulustream.com/d/xrlp5zokar9z https://streamtape.com/v/BvjVR1BaOrsVBV/73049112 (2026) #teen #bigtits #porn #bigass #RIPNSFW")</f>
        <v>{New} Lilibet Saunders https://doodstream.com/d/k3mw8zyqsclc/73049112 https://lulustream.com/d/xrlp5zokar9z https://streamtape.com/v/BvjVR1BaOrsVBV/73049112 (2026) #teen #bigtits #porn #bigass #RIPNSFW</v>
      </c>
      <c r="N1147" s="2" t="s">
        <v>5739</v>
      </c>
      <c r="O1147" s="30" t="s">
        <v>5740</v>
      </c>
      <c r="P1147" s="26"/>
      <c r="R1147" s="23"/>
    </row>
    <row r="1148" spans="1:27" ht="12.75">
      <c r="A1148" s="6" t="s">
        <v>5741</v>
      </c>
      <c r="B1148" s="6" t="s">
        <v>14</v>
      </c>
      <c r="C1148" s="7" t="str">
        <f t="shared" si="16"/>
        <v xml:space="preserve">Lily Lanes </v>
      </c>
      <c r="D1148" s="6" t="s">
        <v>5742</v>
      </c>
      <c r="E1148" s="8" t="s">
        <v>5743</v>
      </c>
      <c r="F1148" s="9" t="str">
        <f ca="1">IFERROR(__xludf.DUMMYFUNCTION("""https://streamtape.com/v/""&amp;
REGEXEXTRACT(O1148,""/thumb/([^/]+)/"")&amp;
""/""&amp;K1148"),"https://streamtape.com/v/OqAaKpgbQ1ig3G/49905651")</f>
        <v>https://streamtape.com/v/OqAaKpgbQ1ig3G/49905651</v>
      </c>
      <c r="G1148" s="10" t="e">
        <f t="shared" ca="1" si="17"/>
        <v>#NAME?</v>
      </c>
      <c r="H1148" s="11" t="str">
        <f ca="1">IFERROR(__xludf.DUMMYFUNCTION("IFERROR(SUBSTITUTE(SUBSTITUTE(REGEXEXTRACT(A1148, ""[^-]+- [^-]+- [^-]+ - (.+?)\.jpg""), "".jpg"", """"), ""-"", "", ""), """")"),"")</f>
        <v/>
      </c>
      <c r="I1148" s="6"/>
      <c r="J1148" s="7" t="str">
        <f t="shared" ca="1" si="18"/>
        <v>(2026)</v>
      </c>
      <c r="K1148" s="7" t="str">
        <f t="shared" si="19"/>
        <v>49905651</v>
      </c>
      <c r="L1148" s="12" t="s">
        <v>1142</v>
      </c>
      <c r="M1148" s="13" t="str">
        <f ca="1">IFERROR(__xludf.DUMMYFUNCTION("TRIM(
  REGEXREPLACE(
    TEXTJOIN("" "",
      TRUE,
      B1148,
      C1148,
      embaralharLinks(E1148,F1148,G1148),
      H1148,
      """",
      J1148,
      N1148,
      ""#RIPNSFW""
    ),
  "",\s*"", "" "")
)"),"{New} Lily Lanes https://streamtape.com/v/OqAaKpgbQ1ig3G/49905651 https://lulustream.com/d/bx3a642ibpqs https://doodstream.com/d/g9k6jwn7u2eg/49905651 (2026) #BigTits #Teen #Blowjob #Amateur #Deepthroat #Blonde #RIPNSFW")</f>
        <v>{New} Lily Lanes https://streamtape.com/v/OqAaKpgbQ1ig3G/49905651 https://lulustream.com/d/bx3a642ibpqs https://doodstream.com/d/g9k6jwn7u2eg/49905651 (2026) #BigTits #Teen #Blowjob #Amateur #Deepthroat #Blonde #RIPNSFW</v>
      </c>
      <c r="N1148" s="14" t="s">
        <v>1143</v>
      </c>
      <c r="O1148" s="15" t="s">
        <v>5744</v>
      </c>
      <c r="P1148" s="14"/>
      <c r="Q1148" s="6"/>
      <c r="R1148" s="11"/>
      <c r="S1148" s="6"/>
      <c r="T1148" s="6"/>
      <c r="U1148" s="6"/>
      <c r="V1148" s="6"/>
      <c r="W1148" s="6"/>
      <c r="X1148" s="6"/>
      <c r="Y1148" s="6"/>
      <c r="Z1148" s="6"/>
      <c r="AA1148" s="6"/>
    </row>
    <row r="1149" spans="1:27" ht="12.75">
      <c r="A1149" s="12" t="s">
        <v>5745</v>
      </c>
      <c r="B1149" s="6" t="s">
        <v>14</v>
      </c>
      <c r="C1149" s="7" t="str">
        <f t="shared" si="16"/>
        <v xml:space="preserve">Lily Lanes </v>
      </c>
      <c r="D1149" s="24" t="s">
        <v>5746</v>
      </c>
      <c r="E1149" s="25" t="s">
        <v>5747</v>
      </c>
      <c r="F1149" s="9" t="str">
        <f ca="1">IFERROR(__xludf.DUMMYFUNCTION("""https://streamtape.com/v/""&amp;
REGEXEXTRACT(O1149,""/thumb/([^/]+)/"")&amp;
""/""&amp;K1149"),"https://streamtape.com/v/jYGm4XD3oLim9p/66507163")</f>
        <v>https://streamtape.com/v/jYGm4XD3oLim9p/66507163</v>
      </c>
      <c r="G1149" s="10" t="e">
        <f t="shared" ca="1" si="17"/>
        <v>#NAME?</v>
      </c>
      <c r="H1149" s="11" t="str">
        <f ca="1">IFERROR(__xludf.DUMMYFUNCTION("IFERROR(SUBSTITUTE(SUBSTITUTE(REGEXEXTRACT(A1149, ""[^-]+- [^-]+- [^-]+ - (.+?)\.jpg""), "".jpg"", """"), ""-"", "", ""), """")"),"")</f>
        <v/>
      </c>
      <c r="I1149" s="6"/>
      <c r="J1149" s="7" t="str">
        <f t="shared" ca="1" si="18"/>
        <v>(2026)</v>
      </c>
      <c r="K1149" s="7" t="str">
        <f t="shared" si="19"/>
        <v>66507163</v>
      </c>
      <c r="L1149" s="12" t="s">
        <v>5748</v>
      </c>
      <c r="M1149" s="13" t="str">
        <f ca="1">IFERROR(__xludf.DUMMYFUNCTION("TRIM(
  REGEXREPLACE(
    TEXTJOIN("" "",
      TRUE,
      B1149,
      C1149,
      embaralharLinks(E1149,F1149,G1149),
      H1149,
      """",
      J1149,
      N1149,
      ""#RIPNSFW""
    ),
  "",\s*"", "" "")
)"),"{New} Lily Lanes https://streamtape.com/v/jYGm4XD3oLim9p/66507163 https://doodstream.com/d/rhfzvs3r7dl8/66507163 https://lulustream.com/d/j453xg41yytk (2026) #bigtits #bigass #teen #blowjob #RIPNSFW")</f>
        <v>{New} Lily Lanes https://streamtape.com/v/jYGm4XD3oLim9p/66507163 https://doodstream.com/d/rhfzvs3r7dl8/66507163 https://lulustream.com/d/j453xg41yytk (2026) #bigtits #bigass #teen #blowjob #RIPNSFW</v>
      </c>
      <c r="N1149" s="2" t="s">
        <v>5748</v>
      </c>
      <c r="O1149" s="30" t="s">
        <v>5749</v>
      </c>
      <c r="P1149" s="26"/>
      <c r="R1149" s="23"/>
      <c r="T1149" s="6"/>
      <c r="U1149" s="7"/>
    </row>
    <row r="1150" spans="1:27" ht="12.75">
      <c r="A1150" s="12" t="s">
        <v>5750</v>
      </c>
      <c r="B1150" s="6" t="s">
        <v>14</v>
      </c>
      <c r="C1150" s="7" t="str">
        <f t="shared" si="16"/>
        <v xml:space="preserve">Lily Lanes </v>
      </c>
      <c r="D1150" s="24" t="s">
        <v>5751</v>
      </c>
      <c r="E1150" s="25" t="s">
        <v>5752</v>
      </c>
      <c r="F1150" s="9" t="str">
        <f ca="1">IFERROR(__xludf.DUMMYFUNCTION("""https://streamtape.com/v/""&amp;
REGEXEXTRACT(O1150,""/thumb/([^/]+)/"")&amp;
""/""&amp;K1150"),"https://streamtape.com/v/zM9zg8LeoLUyjJ/72145197")</f>
        <v>https://streamtape.com/v/zM9zg8LeoLUyjJ/72145197</v>
      </c>
      <c r="G1150" s="10" t="e">
        <f t="shared" ca="1" si="17"/>
        <v>#NAME?</v>
      </c>
      <c r="H1150" s="11" t="str">
        <f ca="1">IFERROR(__xludf.DUMMYFUNCTION("IFERROR(SUBSTITUTE(SUBSTITUTE(REGEXEXTRACT(A1150, ""[^-]+- [^-]+- [^-]+ - (.+?)\.jpg""), "".jpg"", """"), ""-"", "", ""), """")"),"")</f>
        <v/>
      </c>
      <c r="I1150" s="6"/>
      <c r="J1150" s="7" t="str">
        <f t="shared" ca="1" si="18"/>
        <v>(2026)</v>
      </c>
      <c r="K1150" s="7" t="str">
        <f t="shared" si="19"/>
        <v>72145197</v>
      </c>
      <c r="L1150" s="12" t="s">
        <v>1772</v>
      </c>
      <c r="M1150" s="13" t="str">
        <f ca="1">IFERROR(__xludf.DUMMYFUNCTION("TRIM(
  REGEXREPLACE(
    TEXTJOIN("" "",
      TRUE,
      B1150,
      C1150,
      embaralharLinks(E1150,F1150,G1150),
      H1150,
      """",
      J1150,
      N1150,
      ""#RIPNSFW""
    ),
  "",\s*"", "" "")
)"),"{New} Lily Lanes https://streamtape.com/v/zM9zg8LeoLUyjJ/72145197 https://doodstream.com/d/duc0cd5ofl0t/72145197 https://lulustream.com/d/68ui0wgr5mn3 (2026) #bigtits #teen #blowjob #amateur #RIPNSFW")</f>
        <v>{New} Lily Lanes https://streamtape.com/v/zM9zg8LeoLUyjJ/72145197 https://doodstream.com/d/duc0cd5ofl0t/72145197 https://lulustream.com/d/68ui0wgr5mn3 (2026) #bigtits #teen #blowjob #amateur #RIPNSFW</v>
      </c>
      <c r="N1150" s="2" t="s">
        <v>1772</v>
      </c>
      <c r="O1150" s="30" t="s">
        <v>5753</v>
      </c>
      <c r="P1150" s="26"/>
      <c r="R1150" s="23"/>
      <c r="T1150" s="6"/>
      <c r="U1150" s="7"/>
    </row>
    <row r="1151" spans="1:27" ht="12.75">
      <c r="A1151" s="12" t="s">
        <v>5754</v>
      </c>
      <c r="B1151" s="6" t="s">
        <v>14</v>
      </c>
      <c r="C1151" s="7" t="str">
        <f t="shared" si="16"/>
        <v xml:space="preserve">Lily Lanes </v>
      </c>
      <c r="D1151" s="24" t="s">
        <v>5755</v>
      </c>
      <c r="E1151" s="25" t="s">
        <v>5756</v>
      </c>
      <c r="F1151" s="9" t="str">
        <f ca="1">IFERROR(__xludf.DUMMYFUNCTION("""https://streamtape.com/v/""&amp;
REGEXEXTRACT(O1151,""/thumb/([^/]+)/"")&amp;
""/""&amp;K1151"),"https://streamtape.com/v/m3gRYPGeqRU634/94429684")</f>
        <v>https://streamtape.com/v/m3gRYPGeqRU634/94429684</v>
      </c>
      <c r="G1151" s="10" t="e">
        <f t="shared" ca="1" si="17"/>
        <v>#NAME?</v>
      </c>
      <c r="H1151" s="11" t="str">
        <f ca="1">IFERROR(__xludf.DUMMYFUNCTION("IFERROR(SUBSTITUTE(SUBSTITUTE(REGEXEXTRACT(A1151, ""[^-]+- [^-]+- [^-]+ - (.+?)\.jpg""), "".jpg"", """"), ""-"", "", ""), """")"),"")</f>
        <v/>
      </c>
      <c r="I1151" s="6"/>
      <c r="J1151" s="7" t="str">
        <f t="shared" ca="1" si="18"/>
        <v>(2026)</v>
      </c>
      <c r="K1151" s="7" t="str">
        <f t="shared" si="19"/>
        <v>94429684</v>
      </c>
      <c r="L1151" s="12" t="s">
        <v>5757</v>
      </c>
      <c r="M1151" s="13" t="str">
        <f ca="1">IFERROR(__xludf.DUMMYFUNCTION("TRIM(
  REGEXREPLACE(
    TEXTJOIN("" "",
      TRUE,
      B1151,
      C1151,
      embaralharLinks(E1151,F1151,G1151),
      H1151,
      """",
      J1151,
      N1151,
      ""#RIPNSFW""
    ),
  "",\s*"", "" "")
)"),"{New} Lily Lanes https://streamtape.com/v/m3gRYPGeqRU634/94429684 https://doodstream.com/d/wz2pocnou9xu/94429684 https://lulustream.com/d/mvu7kixamvm3 (2026) #teen #blonde #blowjob #pov #RIPNSFW")</f>
        <v>{New} Lily Lanes https://streamtape.com/v/m3gRYPGeqRU634/94429684 https://doodstream.com/d/wz2pocnou9xu/94429684 https://lulustream.com/d/mvu7kixamvm3 (2026) #teen #blonde #blowjob #pov #RIPNSFW</v>
      </c>
      <c r="N1151" s="2" t="s">
        <v>5757</v>
      </c>
      <c r="O1151" s="30" t="s">
        <v>5758</v>
      </c>
      <c r="P1151" s="26"/>
      <c r="R1151" s="23"/>
      <c r="T1151" s="6"/>
      <c r="U1151" s="7"/>
    </row>
    <row r="1152" spans="1:27" ht="12.75">
      <c r="A1152" s="6" t="s">
        <v>5759</v>
      </c>
      <c r="B1152" s="6" t="s">
        <v>14</v>
      </c>
      <c r="C1152" s="7" t="str">
        <f t="shared" si="16"/>
        <v xml:space="preserve">Lily Lou </v>
      </c>
      <c r="D1152" s="6" t="s">
        <v>5760</v>
      </c>
      <c r="E1152" s="18" t="s">
        <v>5761</v>
      </c>
      <c r="F1152" s="9" t="str">
        <f ca="1">IFERROR(__xludf.DUMMYFUNCTION("""https://streamtape.com/v/""&amp;
REGEXEXTRACT(O1152,""/thumb/([^/]+)/"")&amp;
""/""&amp;K1152"),"https://streamtape.com/v/Mj9L2AzRJkTmJyX/84313016")</f>
        <v>https://streamtape.com/v/Mj9L2AzRJkTmJyX/84313016</v>
      </c>
      <c r="G1152" s="10" t="e">
        <f t="shared" ca="1" si="17"/>
        <v>#NAME?</v>
      </c>
      <c r="H1152" s="11" t="str">
        <f ca="1">IFERROR(__xludf.DUMMYFUNCTION("IFERROR(SUBSTITUTE(SUBSTITUTE(REGEXEXTRACT(A1152, ""[^-]+- [^-]+- [^-]+ - (.+?)\.jpg""), "".jpg"", """"), ""-"", "", ""), """")"),"Lena the plug")</f>
        <v>Lena the plug</v>
      </c>
      <c r="I1152" s="6"/>
      <c r="J1152" s="7" t="str">
        <f t="shared" ca="1" si="18"/>
        <v>(2026)</v>
      </c>
      <c r="K1152" s="7" t="str">
        <f t="shared" si="19"/>
        <v>84313016</v>
      </c>
      <c r="L1152" s="12" t="s">
        <v>5762</v>
      </c>
      <c r="M1152" s="13" t="str">
        <f ca="1">IFERROR(__xludf.DUMMYFUNCTION("TRIM(
  REGEXREPLACE(
    TEXTJOIN("" "",
      TRUE,
      B1152,
      C1152,
      embaralharLinks(E1152,F1152,G1152),
      H1152,
      """",
      J1152,
      N1152,
      ""#RIPNSFW""
    ),
  "",\s*"", "" "")
)"),"{New} Lily Lou https://streamtape.com/v/Mj9L2AzRJkTmJyX/84313016 https://doodstream.com/d/u5iv9s2edjab/84313016 https://lulustream.com/d/60i76fng21pw Lena the plug (2026) #MILF #BigTits #Hardcore #Creampie #Bigass #Blowjob #RIPNSFW")</f>
        <v>{New} Lily Lou https://streamtape.com/v/Mj9L2AzRJkTmJyX/84313016 https://doodstream.com/d/u5iv9s2edjab/84313016 https://lulustream.com/d/60i76fng21pw Lena the plug (2026) #MILF #BigTits #Hardcore #Creampie #Bigass #Blowjob #RIPNSFW</v>
      </c>
      <c r="N1152" s="14" t="s">
        <v>5763</v>
      </c>
      <c r="O1152" s="15" t="s">
        <v>5764</v>
      </c>
      <c r="P1152" s="14"/>
      <c r="Q1152" s="6"/>
      <c r="R1152" s="11"/>
      <c r="S1152" s="6"/>
      <c r="T1152" s="6"/>
      <c r="U1152" s="6"/>
      <c r="V1152" s="6"/>
      <c r="W1152" s="6"/>
      <c r="X1152" s="6"/>
      <c r="Y1152" s="6"/>
      <c r="Z1152" s="6"/>
      <c r="AA1152" s="6"/>
    </row>
    <row r="1153" spans="1:27" ht="12.75">
      <c r="A1153" s="16" t="s">
        <v>5765</v>
      </c>
      <c r="B1153" s="11" t="s">
        <v>14</v>
      </c>
      <c r="C1153" s="13" t="str">
        <f t="shared" si="16"/>
        <v xml:space="preserve">Lily Phillips </v>
      </c>
      <c r="D1153" s="17" t="s">
        <v>5766</v>
      </c>
      <c r="E1153" s="18" t="s">
        <v>5767</v>
      </c>
      <c r="F1153" s="9" t="str">
        <f ca="1">IFERROR(__xludf.DUMMYFUNCTION("""https://streamtape.com/v/""&amp;
REGEXEXTRACT(O1153,""/thumb/([^/]+)/"")&amp;
""/""&amp;K1153"),"https://streamtape.com/v/vgdL73Zj8PS49rq/13508856")</f>
        <v>https://streamtape.com/v/vgdL73Zj8PS49rq/13508856</v>
      </c>
      <c r="G1153" s="10" t="e">
        <f t="shared" ca="1" si="17"/>
        <v>#NAME?</v>
      </c>
      <c r="H1153" s="11" t="str">
        <f ca="1">IFERROR(__xludf.DUMMYFUNCTION("IFERROR(SUBSTITUTE(SUBSTITUTE(REGEXEXTRACT(A1153, ""[^-]+- [^-]+- [^-]+ - (.+?)\.jpg""), "".jpg"", """"), ""-"", "", ""), """")"),"Annie Kate")</f>
        <v>Annie Kate</v>
      </c>
      <c r="I1153" s="11"/>
      <c r="J1153" s="13" t="str">
        <f t="shared" ca="1" si="18"/>
        <v>(2026)</v>
      </c>
      <c r="K1153" s="13" t="str">
        <f t="shared" si="19"/>
        <v>13508856</v>
      </c>
      <c r="L1153" s="12" t="s">
        <v>5768</v>
      </c>
      <c r="M1153" s="13" t="str">
        <f ca="1">IFERROR(__xludf.DUMMYFUNCTION("TRIM(
  REGEXREPLACE(
    TEXTJOIN("" "",
      TRUE,
      B1153,
      C1153,
      embaralharLinks(E1153,F1153,G1153),
      H1153,
      """",
      J1153,
      N1153,
      ""#RIPNSFW""
    ),
  "",\s*"", "" "")
)"),"{New} Lily Phillips https://lulustream.com/d/0tk3oo52duw8 https://streamtape.com/v/vgdL73Zj8PS49rq/13508856 https://doodstream.com/d/edqhy2usqdrx/13508856 Annie Kate (2026) #anal #teen #doublepenetration #bigass #RIPNSFW")</f>
        <v>{New} Lily Phillips https://lulustream.com/d/0tk3oo52duw8 https://streamtape.com/v/vgdL73Zj8PS49rq/13508856 https://doodstream.com/d/edqhy2usqdrx/13508856 Annie Kate (2026) #anal #teen #doublepenetration #bigass #RIPNSFW</v>
      </c>
      <c r="N1153" s="20" t="s">
        <v>5768</v>
      </c>
      <c r="O1153" s="30" t="s">
        <v>5769</v>
      </c>
      <c r="P1153" s="26"/>
      <c r="Q1153" s="16"/>
      <c r="R1153" s="23"/>
      <c r="S1153" s="16"/>
      <c r="T1153" s="16"/>
      <c r="U1153" s="16"/>
      <c r="V1153" s="16"/>
      <c r="W1153" s="16"/>
      <c r="X1153" s="16"/>
      <c r="Y1153" s="16"/>
      <c r="Z1153" s="16"/>
      <c r="AA1153" s="16"/>
    </row>
    <row r="1154" spans="1:27" ht="12.75">
      <c r="A1154" s="12" t="s">
        <v>5770</v>
      </c>
      <c r="B1154" s="6" t="s">
        <v>14</v>
      </c>
      <c r="C1154" s="7" t="str">
        <f t="shared" si="16"/>
        <v xml:space="preserve">Lily Phillips </v>
      </c>
      <c r="D1154" s="24" t="s">
        <v>5771</v>
      </c>
      <c r="E1154" s="25" t="s">
        <v>5772</v>
      </c>
      <c r="F1154" s="9" t="str">
        <f ca="1">IFERROR(__xludf.DUMMYFUNCTION("""https://streamtape.com/v/""&amp;
REGEXEXTRACT(O1154,""/thumb/([^/]+)/"")&amp;
""/""&amp;K1154"),"https://streamtape.com/v/a4WYPDYrWPIxL0v/14574939")</f>
        <v>https://streamtape.com/v/a4WYPDYrWPIxL0v/14574939</v>
      </c>
      <c r="G1154" s="10" t="e">
        <f t="shared" ca="1" si="17"/>
        <v>#NAME?</v>
      </c>
      <c r="H1154" s="11" t="str">
        <f ca="1">IFERROR(__xludf.DUMMYFUNCTION("IFERROR(SUBSTITUTE(SUBSTITUTE(REGEXEXTRACT(A1154, ""[^-]+- [^-]+- [^-]+ - (.+?)\.jpg""), "".jpg"", """"), ""-"", "", ""), """")"),"")</f>
        <v/>
      </c>
      <c r="I1154" s="6"/>
      <c r="J1154" s="7" t="str">
        <f t="shared" ca="1" si="18"/>
        <v>(2026)</v>
      </c>
      <c r="K1154" s="7" t="str">
        <f t="shared" si="19"/>
        <v>14574939</v>
      </c>
      <c r="L1154" s="12" t="s">
        <v>5773</v>
      </c>
      <c r="M1154" s="13" t="str">
        <f ca="1">IFERROR(__xludf.DUMMYFUNCTION("TRIM(
  REGEXREPLACE(
    TEXTJOIN("" "",
      TRUE,
      B1154,
      C1154,
      embaralharLinks(E1154,F1154,G1154),
      H1154,
      """",
      J1154,
      N1154,
      ""#RIPNSFW""
    ),
  "",\s*"", "" "")
)"),"{New} Lily Phillips https://doodstream.com/d/eqgaant86968/14574939 https://streamtape.com/v/a4WYPDYrWPIxL0v/14574939 https://lulustream.com/d/6wo8gh05fhre (2026) #teen #gangbang #blowjob #bigass #RIPNSFW")</f>
        <v>{New} Lily Phillips https://doodstream.com/d/eqgaant86968/14574939 https://streamtape.com/v/a4WYPDYrWPIxL0v/14574939 https://lulustream.com/d/6wo8gh05fhre (2026) #teen #gangbang #blowjob #bigass #RIPNSFW</v>
      </c>
      <c r="N1154" s="2" t="s">
        <v>5773</v>
      </c>
      <c r="O1154" s="30" t="s">
        <v>5774</v>
      </c>
      <c r="P1154" s="26"/>
      <c r="R1154" s="23"/>
      <c r="T1154" s="6"/>
      <c r="U1154" s="7"/>
    </row>
    <row r="1155" spans="1:27" ht="12.75">
      <c r="A1155" s="12" t="s">
        <v>5775</v>
      </c>
      <c r="B1155" s="6" t="s">
        <v>14</v>
      </c>
      <c r="C1155" s="7" t="str">
        <f t="shared" si="16"/>
        <v xml:space="preserve">Lily Phillips </v>
      </c>
      <c r="D1155" s="24" t="s">
        <v>5776</v>
      </c>
      <c r="E1155" s="25" t="s">
        <v>5777</v>
      </c>
      <c r="F1155" s="9" t="str">
        <f ca="1">IFERROR(__xludf.DUMMYFUNCTION("""https://streamtape.com/v/""&amp;
REGEXEXTRACT(O1155,""/thumb/([^/]+)/"")&amp;
""/""&amp;K1155"),"https://streamtape.com/v/GAbl9Y13MRh1rpy/16139632")</f>
        <v>https://streamtape.com/v/GAbl9Y13MRh1rpy/16139632</v>
      </c>
      <c r="G1155" s="10" t="e">
        <f t="shared" ca="1" si="17"/>
        <v>#NAME?</v>
      </c>
      <c r="H1155" s="11" t="str">
        <f ca="1">IFERROR(__xludf.DUMMYFUNCTION("IFERROR(SUBSTITUTE(SUBSTITUTE(REGEXEXTRACT(A1155, ""[^-]+- [^-]+- [^-]+ - (.+?)\.jpg""), "".jpg"", """"), ""-"", "", ""), """")"),"")</f>
        <v/>
      </c>
      <c r="I1155" s="6"/>
      <c r="J1155" s="7" t="str">
        <f t="shared" ca="1" si="18"/>
        <v>(2026)</v>
      </c>
      <c r="K1155" s="7" t="str">
        <f t="shared" si="19"/>
        <v>16139632</v>
      </c>
      <c r="L1155" s="12" t="s">
        <v>3657</v>
      </c>
      <c r="M1155" s="13" t="str">
        <f ca="1">IFERROR(__xludf.DUMMYFUNCTION("TRIM(
  REGEXREPLACE(
    TEXTJOIN("" "",
      TRUE,
      B1155,
      C1155,
      embaralharLinks(E1155,F1155,G1155),
      H1155,
      """",
      J1155,
      N1155,
      ""#RIPNSFW""
    ),
  "",\s*"", "" "")
)"),"{New} Lily Phillips https://streamtape.com/v/GAbl9Y13MRh1rpy/16139632 https://lulustream.com/d/wjfhrla9o7ua https://doodstream.com/d/sw3hg6fev1ei/16139632 (2026) #teen #blowjob #blonde #bigass #RIPNSFW")</f>
        <v>{New} Lily Phillips https://streamtape.com/v/GAbl9Y13MRh1rpy/16139632 https://lulustream.com/d/wjfhrla9o7ua https://doodstream.com/d/sw3hg6fev1ei/16139632 (2026) #teen #blowjob #blonde #bigass #RIPNSFW</v>
      </c>
      <c r="N1155" s="2" t="s">
        <v>3657</v>
      </c>
      <c r="O1155" s="30" t="s">
        <v>5778</v>
      </c>
      <c r="P1155" s="26"/>
      <c r="R1155" s="23"/>
      <c r="T1155" s="6"/>
      <c r="U1155" s="7"/>
    </row>
    <row r="1156" spans="1:27" ht="12.75">
      <c r="A1156" s="12" t="s">
        <v>5779</v>
      </c>
      <c r="B1156" s="6" t="s">
        <v>14</v>
      </c>
      <c r="C1156" s="7" t="str">
        <f t="shared" si="16"/>
        <v xml:space="preserve">Lily Phillips </v>
      </c>
      <c r="D1156" s="24" t="s">
        <v>5780</v>
      </c>
      <c r="E1156" s="25" t="s">
        <v>5781</v>
      </c>
      <c r="F1156" s="9" t="str">
        <f ca="1">IFERROR(__xludf.DUMMYFUNCTION("""https://streamtape.com/v/""&amp;
REGEXEXTRACT(O1156,""/thumb/([^/]+)/"")&amp;
""/""&amp;K1156"),"https://streamtape.com/v/pbQQVDR0yMFraKA/25426930")</f>
        <v>https://streamtape.com/v/pbQQVDR0yMFraKA/25426930</v>
      </c>
      <c r="G1156" s="10" t="e">
        <f t="shared" ca="1" si="17"/>
        <v>#NAME?</v>
      </c>
      <c r="H1156" s="11" t="str">
        <f ca="1">IFERROR(__xludf.DUMMYFUNCTION("IFERROR(SUBSTITUTE(SUBSTITUTE(REGEXEXTRACT(A1156, ""[^-]+- [^-]+- [^-]+ - (.+?)\.jpg""), "".jpg"", """"), ""-"", "", ""), """")"),"Bonnie Blue")</f>
        <v>Bonnie Blue</v>
      </c>
      <c r="I1156" s="6"/>
      <c r="J1156" s="7" t="str">
        <f t="shared" ca="1" si="18"/>
        <v>(2026)</v>
      </c>
      <c r="K1156" s="7" t="str">
        <f t="shared" si="19"/>
        <v>25426930</v>
      </c>
      <c r="L1156" s="12" t="s">
        <v>5782</v>
      </c>
      <c r="M1156" s="13" t="str">
        <f ca="1">IFERROR(__xludf.DUMMYFUNCTION("TRIM(
  REGEXREPLACE(
    TEXTJOIN("" "",
      TRUE,
      B1156,
      C1156,
      embaralharLinks(E1156,F1156,G1156),
      H1156,
      """",
      J1156,
      N1156,
      ""#RIPNSFW""
    ),
  "",\s*"", "" "")
)"),"{New} Lily Phillips https://doodstream.com/d/zcllkxfau0xx/25426930 https://lulustream.com/d/u1qxoddv5f2h https://streamtape.com/v/pbQQVDR0yMFraKA/25426930 Bonnie Blue (2026) #teen #bigtits #blowjob #threesome #RIPNSFW")</f>
        <v>{New} Lily Phillips https://doodstream.com/d/zcllkxfau0xx/25426930 https://lulustream.com/d/u1qxoddv5f2h https://streamtape.com/v/pbQQVDR0yMFraKA/25426930 Bonnie Blue (2026) #teen #bigtits #blowjob #threesome #RIPNSFW</v>
      </c>
      <c r="N1156" s="2" t="s">
        <v>5782</v>
      </c>
      <c r="O1156" s="30" t="s">
        <v>5783</v>
      </c>
      <c r="P1156" s="26"/>
      <c r="R1156" s="23"/>
    </row>
    <row r="1157" spans="1:27" ht="12.75">
      <c r="A1157" s="12" t="s">
        <v>5784</v>
      </c>
      <c r="B1157" s="6" t="s">
        <v>14</v>
      </c>
      <c r="C1157" s="7" t="str">
        <f t="shared" si="16"/>
        <v xml:space="preserve">Lily Phillips </v>
      </c>
      <c r="D1157" s="24" t="s">
        <v>5785</v>
      </c>
      <c r="E1157" s="25" t="s">
        <v>5786</v>
      </c>
      <c r="F1157" s="9" t="str">
        <f ca="1">IFERROR(__xludf.DUMMYFUNCTION("""https://streamtape.com/v/""&amp;
REGEXEXTRACT(O1157,""/thumb/([^/]+)/"")&amp;
""/""&amp;K1157"),"https://streamtape.com/v/y7202Jy4zwim8y/40018720")</f>
        <v>https://streamtape.com/v/y7202Jy4zwim8y/40018720</v>
      </c>
      <c r="G1157" s="10" t="e">
        <f t="shared" ca="1" si="17"/>
        <v>#NAME?</v>
      </c>
      <c r="H1157" s="11" t="str">
        <f ca="1">IFERROR(__xludf.DUMMYFUNCTION("IFERROR(SUBSTITUTE(SUBSTITUTE(REGEXEXTRACT(A1157, ""[^-]+- [^-]+- [^-]+ - (.+?)\.jpg""), "".jpg"", """"), ""-"", "", ""), """")"),"")</f>
        <v/>
      </c>
      <c r="I1157" s="6"/>
      <c r="J1157" s="7" t="str">
        <f t="shared" ca="1" si="18"/>
        <v>(2026)</v>
      </c>
      <c r="K1157" s="7" t="str">
        <f t="shared" si="19"/>
        <v>40018720</v>
      </c>
      <c r="L1157" s="12" t="s">
        <v>207</v>
      </c>
      <c r="M1157" s="13" t="str">
        <f ca="1">IFERROR(__xludf.DUMMYFUNCTION("TRIM(
  REGEXREPLACE(
    TEXTJOIN("" "",
      TRUE,
      B1157,
      C1157,
      embaralharLinks(E1157,F1157,G1157),
      H1157,
      """",
      J1157,
      N1157,
      ""#RIPNSFW""
    ),
  "",\s*"", "" "")
)"),"{New} Lily Phillips https://streamtape.com/v/y7202Jy4zwim8y/40018720 https://lulustream.com/d/utj9axz7yriz https://doodstream.com/d/ubgixx0t0tnw/40018720 (2026) #BigTits #Hardcore #Bigass #Teen #RIPNSFW")</f>
        <v>{New} Lily Phillips https://streamtape.com/v/y7202Jy4zwim8y/40018720 https://lulustream.com/d/utj9axz7yriz https://doodstream.com/d/ubgixx0t0tnw/40018720 (2026) #BigTits #Hardcore #Bigass #Teen #RIPNSFW</v>
      </c>
      <c r="N1157" s="2" t="s">
        <v>208</v>
      </c>
      <c r="O1157" s="21" t="s">
        <v>5787</v>
      </c>
      <c r="P1157" s="26"/>
      <c r="R1157" s="23"/>
    </row>
    <row r="1158" spans="1:27" ht="12.75">
      <c r="A1158" s="12" t="s">
        <v>5788</v>
      </c>
      <c r="B1158" s="6" t="s">
        <v>14</v>
      </c>
      <c r="C1158" s="7" t="str">
        <f t="shared" si="16"/>
        <v xml:space="preserve">Lily Phillips </v>
      </c>
      <c r="D1158" s="24" t="s">
        <v>5789</v>
      </c>
      <c r="E1158" s="25" t="s">
        <v>5790</v>
      </c>
      <c r="F1158" s="9" t="str">
        <f ca="1">IFERROR(__xludf.DUMMYFUNCTION("""https://streamtape.com/v/""&amp;
REGEXEXTRACT(O1158,""/thumb/([^/]+)/"")&amp;
""/""&amp;K1158"),"https://streamtape.com/v/P9MaZPP1ZyIkBQ/41732670")</f>
        <v>https://streamtape.com/v/P9MaZPP1ZyIkBQ/41732670</v>
      </c>
      <c r="G1158" s="10" t="e">
        <f t="shared" ca="1" si="17"/>
        <v>#NAME?</v>
      </c>
      <c r="H1158" s="11" t="str">
        <f ca="1">IFERROR(__xludf.DUMMYFUNCTION("IFERROR(SUBSTITUTE(SUBSTITUTE(REGEXEXTRACT(A1158, ""[^-]+- [^-]+- [^-]+ - (.+?)\.jpg""), "".jpg"", """"), ""-"", "", ""), """")"),"")</f>
        <v/>
      </c>
      <c r="I1158" s="6"/>
      <c r="J1158" s="7" t="str">
        <f t="shared" ca="1" si="18"/>
        <v>(2026)</v>
      </c>
      <c r="K1158" s="7" t="str">
        <f t="shared" si="19"/>
        <v>41732670</v>
      </c>
      <c r="L1158" s="12" t="s">
        <v>5791</v>
      </c>
      <c r="M1158" s="13" t="str">
        <f ca="1">IFERROR(__xludf.DUMMYFUNCTION("TRIM(
  REGEXREPLACE(
    TEXTJOIN("" "",
      TRUE,
      B1158,
      C1158,
      embaralharLinks(E1158,F1158,G1158),
      H1158,
      """",
      J1158,
      N1158,
      ""#RIPNSFW""
    ),
  "",\s*"", "" "")
)"),"{New} Lily Phillips https://streamtape.com/v/P9MaZPP1ZyIkBQ/41732670 https://doodstream.com/d/hyiw9mk4x5t1/41732670 https://lulustream.com/d/g9kex0k248mg (2026) #teen #cuckold #blowjob #blonde #RIPNSFW")</f>
        <v>{New} Lily Phillips https://streamtape.com/v/P9MaZPP1ZyIkBQ/41732670 https://doodstream.com/d/hyiw9mk4x5t1/41732670 https://lulustream.com/d/g9kex0k248mg (2026) #teen #cuckold #blowjob #blonde #RIPNSFW</v>
      </c>
      <c r="N1158" s="2" t="s">
        <v>5791</v>
      </c>
      <c r="O1158" s="30" t="s">
        <v>5792</v>
      </c>
      <c r="P1158" s="26"/>
      <c r="R1158" s="23"/>
      <c r="T1158" s="6"/>
      <c r="U1158" s="7"/>
    </row>
    <row r="1159" spans="1:27" ht="12.75">
      <c r="A1159" s="12" t="s">
        <v>5793</v>
      </c>
      <c r="B1159" s="6"/>
      <c r="C1159" s="7" t="str">
        <f t="shared" si="16"/>
        <v xml:space="preserve">Lily Phillips </v>
      </c>
      <c r="D1159" s="24" t="s">
        <v>5794</v>
      </c>
      <c r="E1159" s="25" t="s">
        <v>5795</v>
      </c>
      <c r="F1159" s="9" t="str">
        <f ca="1">IFERROR(__xludf.DUMMYFUNCTION("""https://streamtape.com/v/""&amp;
REGEXEXTRACT(O1159,""/thumb/([^/]+)/"")&amp;
""/""&amp;K1159"),"https://streamtape.com/v/VVX7Rbg6VKFKRzG/45303572")</f>
        <v>https://streamtape.com/v/VVX7Rbg6VKFKRzG/45303572</v>
      </c>
      <c r="G1159" s="10" t="e">
        <f t="shared" ca="1" si="17"/>
        <v>#NAME?</v>
      </c>
      <c r="H1159" s="11" t="str">
        <f ca="1">IFERROR(__xludf.DUMMYFUNCTION("IFERROR(SUBSTITUTE(SUBSTITUTE(REGEXEXTRACT(A1159, ""[^-]+- [^-]+- [^-]+ - (.+?)\.jpg""), "".jpg"", """"), ""-"", "", ""), """")"),"")</f>
        <v/>
      </c>
      <c r="I1159" s="6"/>
      <c r="J1159" s="7" t="str">
        <f t="shared" ca="1" si="18"/>
        <v/>
      </c>
      <c r="K1159" s="7" t="str">
        <f t="shared" si="19"/>
        <v>45303572</v>
      </c>
      <c r="L1159" s="12" t="s">
        <v>5796</v>
      </c>
      <c r="M1159" s="13" t="str">
        <f ca="1">IFERROR(__xludf.DUMMYFUNCTION("TRIM(
  REGEXREPLACE(
    TEXTJOIN("" "",
      TRUE,
      B1159,
      C1159,
      embaralharLinks(E1159,F1159,G1159),
      H1159,
      """",
      J1159,
      N1159,
      ""#RIPNSFW""
    ),
  "",\s*"", "" "")
)"),"Lily Phillips https://doodstream.com/d/c37uidbupzl8/45303572 https://lulustream.com/d/pft0uesfnvnn https://streamtape.com/v/VVX7Rbg6VKFKRzG/45303572 #teen #blonde #gangbang #cumshot #RIPNSFW")</f>
        <v>Lily Phillips https://doodstream.com/d/c37uidbupzl8/45303572 https://lulustream.com/d/pft0uesfnvnn https://streamtape.com/v/VVX7Rbg6VKFKRzG/45303572 #teen #blonde #gangbang #cumshot #RIPNSFW</v>
      </c>
      <c r="N1159" s="2" t="s">
        <v>5796</v>
      </c>
      <c r="O1159" s="30" t="s">
        <v>5797</v>
      </c>
      <c r="P1159" s="26"/>
      <c r="R1159" s="23"/>
      <c r="T1159" s="11"/>
      <c r="U1159" s="13"/>
    </row>
    <row r="1160" spans="1:27" ht="12.75">
      <c r="A1160" s="12" t="s">
        <v>5798</v>
      </c>
      <c r="B1160" s="6" t="s">
        <v>14</v>
      </c>
      <c r="C1160" s="7" t="str">
        <f t="shared" si="16"/>
        <v xml:space="preserve">Lily Phillips </v>
      </c>
      <c r="D1160" s="24" t="s">
        <v>5799</v>
      </c>
      <c r="E1160" s="25" t="s">
        <v>5800</v>
      </c>
      <c r="F1160" s="9" t="str">
        <f ca="1">IFERROR(__xludf.DUMMYFUNCTION("""https://streamtape.com/v/""&amp;
REGEXEXTRACT(O1160,""/thumb/([^/]+)/"")&amp;
""/""&amp;K1160"),"https://streamtape.com/v/vDAm2BjrQMi4XDZ/58309361")</f>
        <v>https://streamtape.com/v/vDAm2BjrQMi4XDZ/58309361</v>
      </c>
      <c r="G1160" s="10" t="e">
        <f t="shared" ca="1" si="17"/>
        <v>#NAME?</v>
      </c>
      <c r="H1160" s="11" t="str">
        <f ca="1">IFERROR(__xludf.DUMMYFUNCTION("IFERROR(SUBSTITUTE(SUBSTITUTE(REGEXEXTRACT(A1160, ""[^-]+- [^-]+- [^-]+ - (.+?)\.jpg""), "".jpg"", """"), ""-"", "", ""), """")"),"")</f>
        <v/>
      </c>
      <c r="I1160" s="6"/>
      <c r="J1160" s="7" t="str">
        <f t="shared" ca="1" si="18"/>
        <v>(2026)</v>
      </c>
      <c r="K1160" s="7" t="str">
        <f t="shared" si="19"/>
        <v>58309361</v>
      </c>
      <c r="L1160" s="12" t="s">
        <v>5801</v>
      </c>
      <c r="M1160" s="13" t="str">
        <f ca="1">IFERROR(__xludf.DUMMYFUNCTION("TRIM(
  REGEXREPLACE(
    TEXTJOIN("" "",
      TRUE,
      B1160,
      C1160,
      embaralharLinks(E1160,F1160,G1160),
      H1160,
      """",
      J1160,
      N1160,
      ""#RIPNSFW""
    ),
  "",\s*"", "" "")
)"),"{New} Lily Phillips https://doodstream.com/d/kuv8sbafwpxv/58309361 https://lulustream.com/d/1m6x8n6nx4mm https://streamtape.com/v/vDAm2BjrQMi4XDZ/58309361 (2026) #teen #gangbang #doublepenetration #piss #RIPNSFW")</f>
        <v>{New} Lily Phillips https://doodstream.com/d/kuv8sbafwpxv/58309361 https://lulustream.com/d/1m6x8n6nx4mm https://streamtape.com/v/vDAm2BjrQMi4XDZ/58309361 (2026) #teen #gangbang #doublepenetration #piss #RIPNSFW</v>
      </c>
      <c r="N1160" s="2" t="s">
        <v>5801</v>
      </c>
      <c r="O1160" s="30" t="s">
        <v>5802</v>
      </c>
      <c r="P1160" s="26"/>
      <c r="R1160" s="23"/>
    </row>
    <row r="1161" spans="1:27" ht="12.75">
      <c r="A1161" s="16" t="s">
        <v>5803</v>
      </c>
      <c r="B1161" s="11" t="s">
        <v>14</v>
      </c>
      <c r="C1161" s="13" t="str">
        <f t="shared" si="16"/>
        <v xml:space="preserve">Lily Phillips </v>
      </c>
      <c r="D1161" s="17" t="s">
        <v>5804</v>
      </c>
      <c r="E1161" s="18" t="s">
        <v>5805</v>
      </c>
      <c r="F1161" s="9" t="str">
        <f ca="1">IFERROR(__xludf.DUMMYFUNCTION("""https://streamtape.com/v/""&amp;
REGEXEXTRACT(O1161,""/thumb/([^/]+)/"")&amp;
""/""&amp;K1161"),"https://streamtape.com/v/LdeXOOZbOVfRzYj/59344750")</f>
        <v>https://streamtape.com/v/LdeXOOZbOVfRzYj/59344750</v>
      </c>
      <c r="G1161" s="10" t="e">
        <f t="shared" ca="1" si="17"/>
        <v>#NAME?</v>
      </c>
      <c r="H1161" s="11" t="str">
        <f ca="1">IFERROR(__xludf.DUMMYFUNCTION("IFERROR(SUBSTITUTE(SUBSTITUTE(REGEXEXTRACT(A1161, ""[^-]+- [^-]+- [^-]+ - (.+?)\.jpg""), "".jpg"", """"), ""-"", "", ""), """")"),"")</f>
        <v/>
      </c>
      <c r="I1161" s="11"/>
      <c r="J1161" s="7" t="str">
        <f t="shared" ca="1" si="18"/>
        <v>(2026)</v>
      </c>
      <c r="K1161" s="13" t="str">
        <f t="shared" si="19"/>
        <v>59344750</v>
      </c>
      <c r="L1161" s="12" t="s">
        <v>5806</v>
      </c>
      <c r="M1161" s="13" t="str">
        <f ca="1">IFERROR(__xludf.DUMMYFUNCTION("TRIM(
  REGEXREPLACE(
    TEXTJOIN("" "",
      TRUE,
      B1161,
      C1161,
      embaralharLinks(E1161,F1161,G1161),
      H1161,
      """",
      J1161,
      N1161,
      ""#RIPNSFW""
    ),
  "",\s*"", "" "")
)"),"{New} Lily Phillips https://lulustream.com/d/ywwr79k68yi2 https://doodstream.com/d/r567rlxm5pib/59344750 https://streamtape.com/v/LdeXOOZbOVfRzYj/59344750 (2026) #teen #gangbang #interracial #blowjob #RIPNSFW")</f>
        <v>{New} Lily Phillips https://lulustream.com/d/ywwr79k68yi2 https://doodstream.com/d/r567rlxm5pib/59344750 https://streamtape.com/v/LdeXOOZbOVfRzYj/59344750 (2026) #teen #gangbang #interracial #blowjob #RIPNSFW</v>
      </c>
      <c r="N1161" s="2" t="s">
        <v>5806</v>
      </c>
      <c r="O1161" s="21" t="s">
        <v>5807</v>
      </c>
      <c r="P1161" s="26"/>
      <c r="R1161" s="23"/>
      <c r="T1161" s="11"/>
      <c r="U1161" s="13"/>
    </row>
    <row r="1162" spans="1:27" ht="12.75">
      <c r="A1162" s="16" t="s">
        <v>5808</v>
      </c>
      <c r="B1162" s="11" t="s">
        <v>14</v>
      </c>
      <c r="C1162" s="13" t="str">
        <f t="shared" si="16"/>
        <v xml:space="preserve">Lily Phillips </v>
      </c>
      <c r="D1162" s="17" t="s">
        <v>5809</v>
      </c>
      <c r="E1162" s="18" t="s">
        <v>5810</v>
      </c>
      <c r="F1162" s="9" t="str">
        <f ca="1">IFERROR(__xludf.DUMMYFUNCTION("""https://streamtape.com/v/""&amp;
REGEXEXTRACT(O1162,""/thumb/([^/]+)/"")&amp;
""/""&amp;K1162"),"https://streamtape.com/v/RyPvzbJ3K3Ud376/62412720")</f>
        <v>https://streamtape.com/v/RyPvzbJ3K3Ud376/62412720</v>
      </c>
      <c r="G1162" s="10" t="e">
        <f t="shared" ca="1" si="17"/>
        <v>#NAME?</v>
      </c>
      <c r="H1162" s="11" t="str">
        <f ca="1">IFERROR(__xludf.DUMMYFUNCTION("IFERROR(SUBSTITUTE(SUBSTITUTE(REGEXEXTRACT(A1162, ""[^-]+- [^-]+- [^-]+ - (.+?)\.jpg""), "".jpg"", """"), ""-"", "", ""), """")"),"")</f>
        <v/>
      </c>
      <c r="I1162" s="11"/>
      <c r="J1162" s="7" t="str">
        <f t="shared" ca="1" si="18"/>
        <v>(2026)</v>
      </c>
      <c r="K1162" s="13" t="str">
        <f t="shared" si="19"/>
        <v>62412720</v>
      </c>
      <c r="L1162" s="12" t="s">
        <v>5811</v>
      </c>
      <c r="M1162" s="13" t="str">
        <f ca="1">IFERROR(__xludf.DUMMYFUNCTION("TRIM(
  REGEXREPLACE(
    TEXTJOIN("" "",
      TRUE,
      B1162,
      C1162,
      embaralharLinks(E1162,F1162,G1162),
      H1162,
      """",
      J1162,
      N1162,
      ""#RIPNSFW""
    ),
  "",\s*"", "" "")
)"),"{New} Lily Phillips https://doodstream.com/d/64d8ambzmhi5/62412720 https://streamtape.com/v/RyPvzbJ3K3Ud376/62412720 https://lulustream.com/d/fth8zrannchz (2026) #anal #bigass #blonde #blowjob #RIPNSFW")</f>
        <v>{New} Lily Phillips https://doodstream.com/d/64d8ambzmhi5/62412720 https://streamtape.com/v/RyPvzbJ3K3Ud376/62412720 https://lulustream.com/d/fth8zrannchz (2026) #anal #bigass #blonde #blowjob #RIPNSFW</v>
      </c>
      <c r="N1162" s="20" t="s">
        <v>5811</v>
      </c>
      <c r="O1162" s="30" t="s">
        <v>5812</v>
      </c>
      <c r="P1162" s="26"/>
      <c r="R1162" s="23"/>
      <c r="T1162" s="6"/>
      <c r="U1162" s="7"/>
    </row>
    <row r="1163" spans="1:27" ht="12.75">
      <c r="A1163" s="12" t="s">
        <v>5813</v>
      </c>
      <c r="B1163" s="6" t="s">
        <v>14</v>
      </c>
      <c r="C1163" s="7" t="str">
        <f t="shared" si="16"/>
        <v xml:space="preserve">Lily Phillips </v>
      </c>
      <c r="D1163" s="24" t="s">
        <v>5814</v>
      </c>
      <c r="E1163" s="25" t="s">
        <v>5815</v>
      </c>
      <c r="F1163" s="9" t="str">
        <f ca="1">IFERROR(__xludf.DUMMYFUNCTION("""https://streamtape.com/v/""&amp;
REGEXEXTRACT(O1163,""/thumb/([^/]+)/"")&amp;
""/""&amp;K1163"),"https://streamtape.com/v/o2zr94XKAjCJmkZ/65483042")</f>
        <v>https://streamtape.com/v/o2zr94XKAjCJmkZ/65483042</v>
      </c>
      <c r="G1163" s="10" t="e">
        <f t="shared" ca="1" si="17"/>
        <v>#NAME?</v>
      </c>
      <c r="H1163" s="11" t="str">
        <f ca="1">IFERROR(__xludf.DUMMYFUNCTION("IFERROR(SUBSTITUTE(SUBSTITUTE(REGEXEXTRACT(A1163, ""[^-]+- [^-]+- [^-]+ - (.+?)\.jpg""), "".jpg"", """"), ""-"", "", ""), """")"),"")</f>
        <v/>
      </c>
      <c r="I1163" s="6"/>
      <c r="J1163" s="7" t="str">
        <f t="shared" ca="1" si="18"/>
        <v>(2026)</v>
      </c>
      <c r="K1163" s="7" t="str">
        <f t="shared" si="19"/>
        <v>65483042</v>
      </c>
      <c r="L1163" s="12" t="s">
        <v>5816</v>
      </c>
      <c r="M1163" s="13" t="str">
        <f ca="1">IFERROR(__xludf.DUMMYFUNCTION("TRIM(
  REGEXREPLACE(
    TEXTJOIN("" "",
      TRUE,
      B1163,
      C1163,
      embaralharLinks(E1163,F1163,G1163),
      H1163,
      """",
      J1163,
      N1163,
      ""#RIPNSFW""
    ),
  "",\s*"", "" "")
)"),"{New} Lily Phillips https://streamtape.com/v/o2zr94XKAjCJmkZ/65483042 https://doodstream.com/d/1n0l5e9urcfb/65483042 https://lulustream.com/d/2aer9iefl3j9 (2026) #anal #creampie #hardcore #threesome #RIPNSFW")</f>
        <v>{New} Lily Phillips https://streamtape.com/v/o2zr94XKAjCJmkZ/65483042 https://doodstream.com/d/1n0l5e9urcfb/65483042 https://lulustream.com/d/2aer9iefl3j9 (2026) #anal #creampie #hardcore #threesome #RIPNSFW</v>
      </c>
      <c r="N1163" s="2" t="s">
        <v>5816</v>
      </c>
      <c r="O1163" s="30" t="s">
        <v>5817</v>
      </c>
      <c r="P1163" s="26"/>
      <c r="R1163" s="23"/>
      <c r="T1163" s="6"/>
      <c r="U1163" s="7"/>
    </row>
    <row r="1164" spans="1:27" ht="12.75">
      <c r="A1164" s="6" t="s">
        <v>5818</v>
      </c>
      <c r="B1164" s="6" t="s">
        <v>14</v>
      </c>
      <c r="C1164" s="7" t="str">
        <f t="shared" si="16"/>
        <v xml:space="preserve">Lily Phillips </v>
      </c>
      <c r="D1164" s="6" t="s">
        <v>5819</v>
      </c>
      <c r="E1164" s="8" t="s">
        <v>5820</v>
      </c>
      <c r="F1164" s="9" t="str">
        <f ca="1">IFERROR(__xludf.DUMMYFUNCTION("""https://streamtape.com/v/""&amp;
REGEXEXTRACT(O1164,""/thumb/([^/]+)/"")&amp;
""/""&amp;K1164"),"https://streamtape.com/v/Y8BM11LjM2Uv9xk/70477182")</f>
        <v>https://streamtape.com/v/Y8BM11LjM2Uv9xk/70477182</v>
      </c>
      <c r="G1164" s="10" t="e">
        <f t="shared" ca="1" si="17"/>
        <v>#NAME?</v>
      </c>
      <c r="H1164" s="11" t="str">
        <f ca="1">IFERROR(__xludf.DUMMYFUNCTION("IFERROR(SUBSTITUTE(SUBSTITUTE(REGEXEXTRACT(A1164, ""[^-]+- [^-]+- [^-]+ - (.+?)\.jpg""), "".jpg"", """"), ""-"", "", ""), """")"),"")</f>
        <v/>
      </c>
      <c r="I1164" s="6"/>
      <c r="J1164" s="7" t="str">
        <f t="shared" ca="1" si="18"/>
        <v>(2026)</v>
      </c>
      <c r="K1164" s="7" t="str">
        <f t="shared" si="19"/>
        <v>70477182</v>
      </c>
      <c r="L1164" s="12" t="s">
        <v>5821</v>
      </c>
      <c r="M1164" s="13" t="str">
        <f ca="1">IFERROR(__xludf.DUMMYFUNCTION("TRIM(
  REGEXREPLACE(
    TEXTJOIN("" "",
      TRUE,
      B1164,
      C1164,
      embaralharLinks(E1164,F1164,G1164),
      H1164,
      """",
      J1164,
      N1164,
      ""#RIPNSFW""
    ),
  "",\s*"", "" "")
)"),"{New} Lily Phillips https://doodstream.com/d/gxr830trvz29/70477182 https://lulustream.com/d/0ems3op9a0kr https://streamtape.com/v/Y8BM11LjM2Uv9xk/70477182 (2026) #BigTits #Hardcore #Black #Interracial #Teen #RIPNSFW")</f>
        <v>{New} Lily Phillips https://doodstream.com/d/gxr830trvz29/70477182 https://lulustream.com/d/0ems3op9a0kr https://streamtape.com/v/Y8BM11LjM2Uv9xk/70477182 (2026) #BigTits #Hardcore #Black #Interracial #Teen #RIPNSFW</v>
      </c>
      <c r="N1164" s="14" t="s">
        <v>5822</v>
      </c>
      <c r="O1164" s="15" t="s">
        <v>5823</v>
      </c>
      <c r="P1164" s="14"/>
      <c r="Q1164" s="6"/>
      <c r="R1164" s="11"/>
      <c r="S1164" s="6"/>
      <c r="T1164" s="6"/>
      <c r="U1164" s="6"/>
      <c r="V1164" s="6"/>
      <c r="W1164" s="6"/>
      <c r="X1164" s="6"/>
      <c r="Y1164" s="6"/>
      <c r="Z1164" s="6"/>
      <c r="AA1164" s="6"/>
    </row>
    <row r="1165" spans="1:27" ht="12.75">
      <c r="A1165" s="6" t="s">
        <v>5824</v>
      </c>
      <c r="B1165" s="6" t="s">
        <v>14</v>
      </c>
      <c r="C1165" s="7" t="str">
        <f t="shared" si="16"/>
        <v xml:space="preserve">Lily Phillips </v>
      </c>
      <c r="D1165" s="24" t="s">
        <v>5825</v>
      </c>
      <c r="E1165" s="25" t="s">
        <v>5826</v>
      </c>
      <c r="F1165" s="9" t="str">
        <f ca="1">IFERROR(__xludf.DUMMYFUNCTION("""https://streamtape.com/v/""&amp;
REGEXEXTRACT(O1165,""/thumb/([^/]+)/"")&amp;
""/""&amp;K1165"),"https://streamtape.com/v/aoAevexXZDtzM9/77002283")</f>
        <v>https://streamtape.com/v/aoAevexXZDtzM9/77002283</v>
      </c>
      <c r="G1165" s="10" t="e">
        <f t="shared" ca="1" si="17"/>
        <v>#NAME?</v>
      </c>
      <c r="H1165" s="11" t="str">
        <f ca="1">IFERROR(__xludf.DUMMYFUNCTION("IFERROR(SUBSTITUTE(SUBSTITUTE(REGEXEXTRACT(A1165, ""[^-]+- [^-]+- [^-]+ - (.+?)\.jpg""), "".jpg"", """"), ""-"", "", ""), """")"),"")</f>
        <v/>
      </c>
      <c r="I1165" s="6"/>
      <c r="J1165" s="7" t="str">
        <f t="shared" ca="1" si="18"/>
        <v>(2026)</v>
      </c>
      <c r="K1165" s="7" t="str">
        <f t="shared" si="19"/>
        <v>77002283</v>
      </c>
      <c r="L1165" s="12" t="s">
        <v>5827</v>
      </c>
      <c r="M1165" s="13" t="str">
        <f ca="1">IFERROR(__xludf.DUMMYFUNCTION("TRIM(
  REGEXREPLACE(
    TEXTJOIN("" "",
      TRUE,
      B1165,
      C1165,
      embaralharLinks(E1165,F1165,G1165),
      H1165,
      """",
      J1165,
      N1165,
      ""#RIPNSFW""
    ),
  "",\s*"", "" "")
)"),"{New} Lily Phillips https://lulustream.com/d/sdf4nslcgx4l https://streamtape.com/v/aoAevexXZDtzM9/77002283 https://doodstream.com/d/gmmh8h6416d4/77002283 (2026) #interracial #gangbang #doublepentration #blonde #RIPNSFW")</f>
        <v>{New} Lily Phillips https://lulustream.com/d/sdf4nslcgx4l https://streamtape.com/v/aoAevexXZDtzM9/77002283 https://doodstream.com/d/gmmh8h6416d4/77002283 (2026) #interracial #gangbang #doublepentration #blonde #RIPNSFW</v>
      </c>
      <c r="N1165" s="31" t="s">
        <v>5827</v>
      </c>
      <c r="O1165" s="32" t="s">
        <v>5828</v>
      </c>
      <c r="P1165" s="26"/>
      <c r="Q1165" s="6"/>
      <c r="R1165" s="11"/>
      <c r="S1165" s="6"/>
      <c r="T1165" s="6"/>
      <c r="U1165" s="6"/>
      <c r="V1165" s="6"/>
      <c r="W1165" s="6"/>
      <c r="X1165" s="6"/>
      <c r="Y1165" s="6"/>
      <c r="Z1165" s="6"/>
      <c r="AA1165" s="6"/>
    </row>
    <row r="1166" spans="1:27" ht="12.75">
      <c r="A1166" s="12" t="s">
        <v>5829</v>
      </c>
      <c r="B1166" s="6" t="s">
        <v>14</v>
      </c>
      <c r="C1166" s="7" t="str">
        <f t="shared" si="16"/>
        <v xml:space="preserve">Lily Phillips </v>
      </c>
      <c r="D1166" s="27" t="s">
        <v>5830</v>
      </c>
      <c r="E1166" s="28" t="s">
        <v>5831</v>
      </c>
      <c r="F1166" s="9" t="str">
        <f ca="1">IFERROR(__xludf.DUMMYFUNCTION("""https://streamtape.com/v/""&amp;
REGEXEXTRACT(O1166,""/thumb/([^/]+)/"")&amp;
""/""&amp;K1166"),"https://streamtape.com/v/wG7MrMRJqgHJyx8/78144589")</f>
        <v>https://streamtape.com/v/wG7MrMRJqgHJyx8/78144589</v>
      </c>
      <c r="G1166" s="10" t="e">
        <f t="shared" ca="1" si="17"/>
        <v>#NAME?</v>
      </c>
      <c r="H1166" s="11" t="str">
        <f ca="1">IFERROR(__xludf.DUMMYFUNCTION("IFERROR(SUBSTITUTE(SUBSTITUTE(REGEXEXTRACT(A1166, ""[^-]+- [^-]+- [^-]+ - (.+?)\.jpg""), "".jpg"", """"), ""-"", "", ""), """")"),"")</f>
        <v/>
      </c>
      <c r="I1166" s="6"/>
      <c r="J1166" s="7" t="str">
        <f t="shared" ca="1" si="18"/>
        <v>(2026)</v>
      </c>
      <c r="K1166" s="7" t="str">
        <f t="shared" si="19"/>
        <v>78144589</v>
      </c>
      <c r="L1166" s="12" t="s">
        <v>3683</v>
      </c>
      <c r="M1166" s="13" t="str">
        <f ca="1">IFERROR(__xludf.DUMMYFUNCTION("TRIM(
  REGEXREPLACE(
    TEXTJOIN("" "",
      TRUE,
      B1166,
      C1166,
      embaralharLinks(E1166,F1166,G1166),
      H1166,
      """",
      J1166,
      N1166,
      ""#RIPNSFW""
    ),
  "",\s*"", "" "")
)"),"{New} Lily Phillips https://doodstream.com/d/dj6fxrdjgmo3/78144589 https://streamtape.com/v/wG7MrMRJqgHJyx8/78144589 https://lulustream.com/d/5w4ojbysu7fy (2026) #Hardcore #Bigass #Teen #Blowjob #RIPNSFW")</f>
        <v>{New} Lily Phillips https://doodstream.com/d/dj6fxrdjgmo3/78144589 https://streamtape.com/v/wG7MrMRJqgHJyx8/78144589 https://lulustream.com/d/5w4ojbysu7fy (2026) #Hardcore #Bigass #Teen #Blowjob #RIPNSFW</v>
      </c>
      <c r="N1166" s="2" t="s">
        <v>3684</v>
      </c>
      <c r="O1166" s="30" t="s">
        <v>5832</v>
      </c>
      <c r="P1166" s="26"/>
      <c r="R1166" s="23"/>
    </row>
    <row r="1167" spans="1:27" ht="12.75">
      <c r="A1167" s="12" t="s">
        <v>5833</v>
      </c>
      <c r="B1167" s="6"/>
      <c r="C1167" s="7" t="str">
        <f t="shared" si="16"/>
        <v xml:space="preserve">Lily Phillips </v>
      </c>
      <c r="D1167" s="24" t="s">
        <v>5834</v>
      </c>
      <c r="E1167" s="25" t="s">
        <v>5835</v>
      </c>
      <c r="F1167" s="9" t="str">
        <f ca="1">IFERROR(__xludf.DUMMYFUNCTION("""https://streamtape.com/v/""&amp;
REGEXEXTRACT(O1167,""/thumb/([^/]+)/"")&amp;
""/""&amp;K1167"),"https://streamtape.com/v/9pQY7ymO8dIaxJD/89948601")</f>
        <v>https://streamtape.com/v/9pQY7ymO8dIaxJD/89948601</v>
      </c>
      <c r="G1167" s="10" t="e">
        <f t="shared" ca="1" si="17"/>
        <v>#NAME?</v>
      </c>
      <c r="H1167" s="11" t="str">
        <f ca="1">IFERROR(__xludf.DUMMYFUNCTION("IFERROR(SUBSTITUTE(SUBSTITUTE(REGEXEXTRACT(A1167, ""[^-]+- [^-]+- [^-]+ - (.+?)\.jpg""), "".jpg"", """"), ""-"", "", ""), """")"),"Bonnie Blue")</f>
        <v>Bonnie Blue</v>
      </c>
      <c r="I1167" s="6"/>
      <c r="J1167" s="7" t="str">
        <f t="shared" ca="1" si="18"/>
        <v/>
      </c>
      <c r="K1167" s="7" t="str">
        <f t="shared" si="19"/>
        <v>89948601</v>
      </c>
      <c r="L1167" s="12" t="s">
        <v>5836</v>
      </c>
      <c r="M1167" s="13" t="str">
        <f ca="1">IFERROR(__xludf.DUMMYFUNCTION("TRIM(
  REGEXREPLACE(
    TEXTJOIN("" "",
      TRUE,
      B1167,
      C1167,
      embaralharLinks(E1167,F1167,G1167),
      H1167,
      """",
      J1167,
      N1167,
      ""#RIPNSFW""
    ),
  "",\s*"", "" "")
)"),"Lily Phillips https://lulustream.com/d/fcpswmmrkklu https://streamtape.com/v/9pQY7ymO8dIaxJD/89948601 https://doodstream.com/d/e2n6wwncapje/89948601 Bonnie Blue #orgy #teens #blowjob #blonde #RIPNSFW")</f>
        <v>Lily Phillips https://lulustream.com/d/fcpswmmrkklu https://streamtape.com/v/9pQY7ymO8dIaxJD/89948601 https://doodstream.com/d/e2n6wwncapje/89948601 Bonnie Blue #orgy #teens #blowjob #blonde #RIPNSFW</v>
      </c>
      <c r="N1167" s="2" t="s">
        <v>5836</v>
      </c>
      <c r="O1167" s="21" t="s">
        <v>5837</v>
      </c>
      <c r="P1167" s="26"/>
      <c r="R1167" s="23"/>
      <c r="T1167" s="6"/>
      <c r="U1167" s="7"/>
    </row>
    <row r="1168" spans="1:27" ht="12.75">
      <c r="A1168" s="12" t="s">
        <v>5838</v>
      </c>
      <c r="B1168" s="6" t="s">
        <v>14</v>
      </c>
      <c r="C1168" s="7" t="str">
        <f t="shared" si="16"/>
        <v xml:space="preserve">Lily Phillips </v>
      </c>
      <c r="D1168" s="24" t="s">
        <v>5839</v>
      </c>
      <c r="E1168" s="25" t="s">
        <v>5840</v>
      </c>
      <c r="F1168" s="9" t="str">
        <f ca="1">IFERROR(__xludf.DUMMYFUNCTION("""https://streamtape.com/v/""&amp;
REGEXEXTRACT(O1168,""/thumb/([^/]+)/"")&amp;
""/""&amp;K1168"),"https://streamtape.com/v/GXLvwP0WvvTa7M/91665456")</f>
        <v>https://streamtape.com/v/GXLvwP0WvvTa7M/91665456</v>
      </c>
      <c r="G1168" s="10" t="e">
        <f t="shared" ca="1" si="17"/>
        <v>#NAME?</v>
      </c>
      <c r="H1168" s="11" t="str">
        <f ca="1">IFERROR(__xludf.DUMMYFUNCTION("IFERROR(SUBSTITUTE(SUBSTITUTE(REGEXEXTRACT(A1168, ""[^-]+- [^-]+- [^-]+ - (.+?)\.jpg""), "".jpg"", """"), ""-"", "", ""), """")"),"")</f>
        <v/>
      </c>
      <c r="I1168" s="6"/>
      <c r="J1168" s="7" t="str">
        <f t="shared" ca="1" si="18"/>
        <v>(2026)</v>
      </c>
      <c r="K1168" s="7" t="str">
        <f t="shared" si="19"/>
        <v>91665456</v>
      </c>
      <c r="L1168" s="12" t="s">
        <v>5841</v>
      </c>
      <c r="M1168" s="13" t="str">
        <f ca="1">IFERROR(__xludf.DUMMYFUNCTION("TRIM(
  REGEXREPLACE(
    TEXTJOIN("" "",
      TRUE,
      B1168,
      C1168,
      embaralharLinks(E1168,F1168,G1168),
      H1168,
      """",
      J1168,
      N1168,
      ""#RIPNSFW""
    ),
  "",\s*"", "" "")
)"),"{New} Lily Phillips https://streamtape.com/v/GXLvwP0WvvTa7M/91665456 https://doodstream.com/d/lsb5jyl5ix4c/91665456 https://lulustream.com/d/0uqevlop4ja1 (2026) #anal #gangbang #hardcore #interracial #RIPNSFW")</f>
        <v>{New} Lily Phillips https://streamtape.com/v/GXLvwP0WvvTa7M/91665456 https://doodstream.com/d/lsb5jyl5ix4c/91665456 https://lulustream.com/d/0uqevlop4ja1 (2026) #anal #gangbang #hardcore #interracial #RIPNSFW</v>
      </c>
      <c r="N1168" s="2" t="s">
        <v>5841</v>
      </c>
      <c r="O1168" s="30" t="s">
        <v>5842</v>
      </c>
      <c r="P1168" s="26"/>
      <c r="R1168" s="23"/>
      <c r="T1168" s="6"/>
      <c r="U1168" s="7"/>
    </row>
    <row r="1169" spans="1:27" ht="12.75">
      <c r="A1169" s="16" t="s">
        <v>5843</v>
      </c>
      <c r="B1169" s="11" t="s">
        <v>14</v>
      </c>
      <c r="C1169" s="13" t="str">
        <f t="shared" si="16"/>
        <v xml:space="preserve">Lily Phillips </v>
      </c>
      <c r="D1169" s="17" t="s">
        <v>5844</v>
      </c>
      <c r="E1169" s="18" t="s">
        <v>5845</v>
      </c>
      <c r="F1169" s="9" t="str">
        <f ca="1">IFERROR(__xludf.DUMMYFUNCTION("""https://streamtape.com/v/""&amp;
REGEXEXTRACT(O1169,""/thumb/([^/]+)/"")&amp;
""/""&amp;K1169"),"https://streamtape.com/v/BJKrq8yjDjuK80/91773332")</f>
        <v>https://streamtape.com/v/BJKrq8yjDjuK80/91773332</v>
      </c>
      <c r="G1169" s="10" t="e">
        <f t="shared" ca="1" si="17"/>
        <v>#NAME?</v>
      </c>
      <c r="H1169" s="11" t="str">
        <f ca="1">IFERROR(__xludf.DUMMYFUNCTION("IFERROR(SUBSTITUTE(SUBSTITUTE(REGEXEXTRACT(A1169, ""[^-]+- [^-]+- [^-]+ - (.+?)\.jpg""), "".jpg"", """"), ""-"", "", ""), """")"),"Annie Kate")</f>
        <v>Annie Kate</v>
      </c>
      <c r="I1169" s="11"/>
      <c r="J1169" s="13" t="str">
        <f t="shared" ca="1" si="18"/>
        <v>(2026)</v>
      </c>
      <c r="K1169" s="13" t="str">
        <f t="shared" si="19"/>
        <v>91773332</v>
      </c>
      <c r="L1169" s="12" t="s">
        <v>5846</v>
      </c>
      <c r="M1169" s="13" t="str">
        <f ca="1">IFERROR(__xludf.DUMMYFUNCTION("TRIM(
  REGEXREPLACE(
    TEXTJOIN("" "",
      TRUE,
      B1169,
      C1169,
      embaralharLinks(E1169,F1169,G1169),
      H1169,
      """",
      J1169,
      N1169,
      ""#RIPNSFW""
    ),
  "",\s*"", "" "")
)"),"{New} Lily Phillips https://lulustream.com/d/dc0xx485fwd2 https://streamtape.com/v/BJKrq8yjDjuK80/91773332 https://doodstream.com/d/5yp8f4hflbew/91773332 Annie Kate (2026) #teen #blowjob #bigtits #gangbang #RIPNSFW")</f>
        <v>{New} Lily Phillips https://lulustream.com/d/dc0xx485fwd2 https://streamtape.com/v/BJKrq8yjDjuK80/91773332 https://doodstream.com/d/5yp8f4hflbew/91773332 Annie Kate (2026) #teen #blowjob #bigtits #gangbang #RIPNSFW</v>
      </c>
      <c r="N1169" s="20" t="s">
        <v>5846</v>
      </c>
      <c r="O1169" s="30" t="s">
        <v>5847</v>
      </c>
      <c r="P1169" s="26"/>
      <c r="Q1169" s="16"/>
      <c r="R1169" s="23"/>
      <c r="S1169" s="16"/>
      <c r="T1169" s="16"/>
      <c r="U1169" s="16"/>
      <c r="V1169" s="16"/>
      <c r="W1169" s="16"/>
      <c r="X1169" s="16"/>
      <c r="Y1169" s="16"/>
      <c r="Z1169" s="16"/>
      <c r="AA1169" s="16"/>
    </row>
    <row r="1170" spans="1:27" ht="12.75">
      <c r="A1170" s="6" t="s">
        <v>5848</v>
      </c>
      <c r="B1170" s="6" t="s">
        <v>14</v>
      </c>
      <c r="C1170" s="7" t="str">
        <f t="shared" si="16"/>
        <v xml:space="preserve">Lily Phillips </v>
      </c>
      <c r="D1170" s="6" t="s">
        <v>5849</v>
      </c>
      <c r="E1170" s="8" t="s">
        <v>5850</v>
      </c>
      <c r="F1170" s="9" t="str">
        <f ca="1">IFERROR(__xludf.DUMMYFUNCTION("""https://streamtape.com/v/""&amp;
REGEXEXTRACT(O1170,""/thumb/([^/]+)/"")&amp;
""/""&amp;K1170"),"https://streamtape.com/v/Y7V6vAOo6Ltv4dm/94901126")</f>
        <v>https://streamtape.com/v/Y7V6vAOo6Ltv4dm/94901126</v>
      </c>
      <c r="G1170" s="10" t="e">
        <f t="shared" ca="1" si="17"/>
        <v>#NAME?</v>
      </c>
      <c r="H1170" s="11" t="str">
        <f ca="1">IFERROR(__xludf.DUMMYFUNCTION("IFERROR(SUBSTITUTE(SUBSTITUTE(REGEXEXTRACT(A1170, ""[^-]+- [^-]+- [^-]+ - (.+?)\.jpg""), "".jpg"", """"), ""-"", "", ""), """")"),"")</f>
        <v/>
      </c>
      <c r="I1170" s="6"/>
      <c r="J1170" s="7" t="str">
        <f t="shared" ca="1" si="18"/>
        <v>(2026)</v>
      </c>
      <c r="K1170" s="7" t="str">
        <f t="shared" si="19"/>
        <v>94901126</v>
      </c>
      <c r="L1170" s="12" t="s">
        <v>5851</v>
      </c>
      <c r="M1170" s="13" t="str">
        <f ca="1">IFERROR(__xludf.DUMMYFUNCTION("TRIM(
  REGEXREPLACE(
    TEXTJOIN("" "",
      TRUE,
      B1170,
      C1170,
      embaralharLinks(E1170,F1170,G1170),
      H1170,
      """",
      J1170,
      N1170,
      ""#RIPNSFW""
    ),
  "",\s*"", "" "")
)"),"{New} Lily Phillips https://lulustream.com/d/q30u4og44rm1 https://streamtape.com/v/Y7V6vAOo6Ltv4dm/94901126 https://doodstream.com/d/qnix79ori8xw/94901126 (2026) #BigTits #Hardcore #Gangbang #Bigass #Teen #Blowjob #Amateur #Deepthroat #Blonde #RIPNSFW")</f>
        <v>{New} Lily Phillips https://lulustream.com/d/q30u4og44rm1 https://streamtape.com/v/Y7V6vAOo6Ltv4dm/94901126 https://doodstream.com/d/qnix79ori8xw/94901126 (2026) #BigTits #Hardcore #Gangbang #Bigass #Teen #Blowjob #Amateur #Deepthroat #Blonde #RIPNSFW</v>
      </c>
      <c r="N1170" s="14" t="s">
        <v>5852</v>
      </c>
      <c r="O1170" s="15" t="s">
        <v>5853</v>
      </c>
      <c r="P1170" s="14"/>
      <c r="Q1170" s="6"/>
      <c r="R1170" s="11"/>
      <c r="S1170" s="6"/>
      <c r="T1170" s="6"/>
      <c r="U1170" s="6"/>
      <c r="V1170" s="6"/>
      <c r="W1170" s="6"/>
      <c r="X1170" s="6"/>
      <c r="Y1170" s="6"/>
      <c r="Z1170" s="6"/>
      <c r="AA1170" s="6"/>
    </row>
    <row r="1171" spans="1:27" ht="12.75">
      <c r="A1171" s="12" t="s">
        <v>5854</v>
      </c>
      <c r="B1171" s="6" t="s">
        <v>14</v>
      </c>
      <c r="C1171" s="7" t="str">
        <f t="shared" si="16"/>
        <v xml:space="preserve">Lily Phillips </v>
      </c>
      <c r="D1171" s="27" t="s">
        <v>5855</v>
      </c>
      <c r="E1171" s="28" t="s">
        <v>5856</v>
      </c>
      <c r="F1171" s="9" t="str">
        <f ca="1">IFERROR(__xludf.DUMMYFUNCTION("""https://streamtape.com/v/""&amp;
REGEXEXTRACT(O1171,""/thumb/([^/]+)/"")&amp;
""/""&amp;K1171"),"https://streamtape.com/v/7R7RkdWJ2rs8vK/97081805")</f>
        <v>https://streamtape.com/v/7R7RkdWJ2rs8vK/97081805</v>
      </c>
      <c r="G1171" s="10" t="e">
        <f t="shared" ca="1" si="17"/>
        <v>#NAME?</v>
      </c>
      <c r="H1171" s="11" t="str">
        <f ca="1">IFERROR(__xludf.DUMMYFUNCTION("IFERROR(SUBSTITUTE(SUBSTITUTE(REGEXEXTRACT(A1171, ""[^-]+- [^-]+- [^-]+ - (.+?)\.jpg""), "".jpg"", """"), ""-"", "", ""), """")"),"")</f>
        <v/>
      </c>
      <c r="I1171" s="6"/>
      <c r="J1171" s="7" t="str">
        <f t="shared" ca="1" si="18"/>
        <v>(2026)</v>
      </c>
      <c r="K1171" s="7" t="str">
        <f t="shared" si="19"/>
        <v>97081805</v>
      </c>
      <c r="L1171" s="12" t="s">
        <v>579</v>
      </c>
      <c r="M1171" s="13" t="str">
        <f ca="1">IFERROR(__xludf.DUMMYFUNCTION("TRIM(
  REGEXREPLACE(
    TEXTJOIN("" "",
      TRUE,
      B1171,
      C1171,
      embaralharLinks(E1171,F1171,G1171),
      H1171,
      """",
      J1171,
      N1171,
      ""#RIPNSFW""
    ),
  "",\s*"", "" "")
)"),"{New} Lily Phillips https://streamtape.com/v/7R7RkdWJ2rs8vK/97081805 https://lulustream.com/d/ktk4j7iv7pkj https://doodstream.com/d/j87p80qlgtdm/97081805 (2026) #BigTits #Hardcore #Threesome #Teen #RIPNSFW")</f>
        <v>{New} Lily Phillips https://streamtape.com/v/7R7RkdWJ2rs8vK/97081805 https://lulustream.com/d/ktk4j7iv7pkj https://doodstream.com/d/j87p80qlgtdm/97081805 (2026) #BigTits #Hardcore #Threesome #Teen #RIPNSFW</v>
      </c>
      <c r="N1171" s="2" t="s">
        <v>580</v>
      </c>
      <c r="O1171" s="30" t="s">
        <v>5857</v>
      </c>
      <c r="P1171" s="26"/>
      <c r="R1171" s="23"/>
    </row>
    <row r="1172" spans="1:27" ht="12.75">
      <c r="A1172" s="12" t="s">
        <v>5858</v>
      </c>
      <c r="B1172" s="6" t="s">
        <v>14</v>
      </c>
      <c r="C1172" s="7" t="str">
        <f t="shared" si="16"/>
        <v xml:space="preserve">Lily Phillips </v>
      </c>
      <c r="D1172" s="24" t="s">
        <v>5859</v>
      </c>
      <c r="E1172" s="25" t="s">
        <v>5860</v>
      </c>
      <c r="F1172" s="9" t="str">
        <f ca="1">IFERROR(__xludf.DUMMYFUNCTION("""https://streamtape.com/v/""&amp;
REGEXEXTRACT(O1172,""/thumb/([^/]+)/"")&amp;
""/""&amp;K1172"),"https://streamtape.com/v/2WVraxpoBVsZ78x/98914583")</f>
        <v>https://streamtape.com/v/2WVraxpoBVsZ78x/98914583</v>
      </c>
      <c r="G1172" s="10" t="e">
        <f t="shared" ca="1" si="17"/>
        <v>#NAME?</v>
      </c>
      <c r="H1172" s="11" t="str">
        <f ca="1">IFERROR(__xludf.DUMMYFUNCTION("IFERROR(SUBSTITUTE(SUBSTITUTE(REGEXEXTRACT(A1172, ""[^-]+- [^-]+- [^-]+ - (.+?)\.jpg""), "".jpg"", """"), ""-"", "", ""), """")"),"")</f>
        <v/>
      </c>
      <c r="I1172" s="6"/>
      <c r="J1172" s="7" t="str">
        <f t="shared" ca="1" si="18"/>
        <v>(2026)</v>
      </c>
      <c r="K1172" s="7" t="str">
        <f t="shared" si="19"/>
        <v>98914583</v>
      </c>
      <c r="L1172" s="12" t="s">
        <v>5861</v>
      </c>
      <c r="M1172" s="13" t="str">
        <f ca="1">IFERROR(__xludf.DUMMYFUNCTION("TRIM(
  REGEXREPLACE(
    TEXTJOIN("" "",
      TRUE,
      B1172,
      C1172,
      embaralharLinks(E1172,F1172,G1172),
      H1172,
      """",
      J1172,
      N1172,
      ""#RIPNSFW""
    ),
  "",\s*"", "" "")
)"),"{New} Lily Phillips https://lulustream.com/d/3uii4rxtrrxt https://doodstream.com/d/npltriquecwo/98914583 https://streamtape.com/v/2WVraxpoBVsZ78x/98914583 (2026) #doublepenetration #anal #teen #blonde #RIPNSFW")</f>
        <v>{New} Lily Phillips https://lulustream.com/d/3uii4rxtrrxt https://doodstream.com/d/npltriquecwo/98914583 https://streamtape.com/v/2WVraxpoBVsZ78x/98914583 (2026) #doublepenetration #anal #teen #blonde #RIPNSFW</v>
      </c>
      <c r="N1172" s="2" t="s">
        <v>5861</v>
      </c>
      <c r="O1172" s="30" t="s">
        <v>5862</v>
      </c>
      <c r="P1172" s="26"/>
      <c r="R1172" s="23"/>
      <c r="T1172" s="6"/>
      <c r="U1172" s="7"/>
    </row>
    <row r="1173" spans="1:27" ht="12.75">
      <c r="A1173" s="12" t="s">
        <v>5863</v>
      </c>
      <c r="B1173" s="6" t="s">
        <v>14</v>
      </c>
      <c r="C1173" s="7" t="str">
        <f t="shared" si="16"/>
        <v xml:space="preserve">Lily Phillips </v>
      </c>
      <c r="D1173" s="24" t="s">
        <v>5864</v>
      </c>
      <c r="E1173" s="25" t="s">
        <v>5865</v>
      </c>
      <c r="F1173" s="9" t="str">
        <f ca="1">IFERROR(__xludf.DUMMYFUNCTION("""https://streamtape.com/v/""&amp;
REGEXEXTRACT(O1173,""/thumb/([^/]+)/"")&amp;
""/""&amp;K1173"),"https://streamtape.com/v/ZXwyA9ly24FqW37/99616786")</f>
        <v>https://streamtape.com/v/ZXwyA9ly24FqW37/99616786</v>
      </c>
      <c r="G1173" s="10" t="e">
        <f t="shared" ca="1" si="17"/>
        <v>#NAME?</v>
      </c>
      <c r="H1173" s="11" t="str">
        <f ca="1">IFERROR(__xludf.DUMMYFUNCTION("IFERROR(SUBSTITUTE(SUBSTITUTE(REGEXEXTRACT(A1173, ""[^-]+- [^-]+- [^-]+ - (.+?)\.jpg""), "".jpg"", """"), ""-"", "", ""), """")"),"")</f>
        <v/>
      </c>
      <c r="I1173" s="6"/>
      <c r="J1173" s="7" t="str">
        <f t="shared" ca="1" si="18"/>
        <v>(2026)</v>
      </c>
      <c r="K1173" s="7" t="str">
        <f t="shared" si="19"/>
        <v>99616786</v>
      </c>
      <c r="L1173" s="12" t="s">
        <v>3715</v>
      </c>
      <c r="M1173" s="13" t="str">
        <f ca="1">IFERROR(__xludf.DUMMYFUNCTION("TRIM(
  REGEXREPLACE(
    TEXTJOIN("" "",
      TRUE,
      B1173,
      C1173,
      embaralharLinks(E1173,F1173,G1173),
      H1173,
      """",
      J1173,
      N1173,
      ""#RIPNSFW""
    ),
  "",\s*"", "" "")
)"),"{New} Lily Phillips https://doodstream.com/d/qtyin6yfq2md/99616786 https://lulustream.com/d/tf9e3nx80bxe https://streamtape.com/v/ZXwyA9ly24FqW37/99616786 (2026) #teen #blowjob #bigass #blonde #RIPNSFW")</f>
        <v>{New} Lily Phillips https://doodstream.com/d/qtyin6yfq2md/99616786 https://lulustream.com/d/tf9e3nx80bxe https://streamtape.com/v/ZXwyA9ly24FqW37/99616786 (2026) #teen #blowjob #bigass #blonde #RIPNSFW</v>
      </c>
      <c r="N1173" s="2" t="s">
        <v>3715</v>
      </c>
      <c r="O1173" s="30" t="s">
        <v>5866</v>
      </c>
      <c r="P1173" s="26"/>
      <c r="R1173" s="23"/>
    </row>
    <row r="1174" spans="1:27" ht="12.75">
      <c r="A1174" s="12" t="s">
        <v>5867</v>
      </c>
      <c r="B1174" s="6" t="s">
        <v>14</v>
      </c>
      <c r="C1174" s="7" t="str">
        <f t="shared" si="16"/>
        <v xml:space="preserve">Linzy Ray </v>
      </c>
      <c r="D1174" s="24" t="s">
        <v>5868</v>
      </c>
      <c r="E1174" s="25" t="s">
        <v>5869</v>
      </c>
      <c r="F1174" s="9" t="str">
        <f ca="1">IFERROR(__xludf.DUMMYFUNCTION("""https://streamtape.com/v/""&amp;
REGEXEXTRACT(O1174,""/thumb/([^/]+)/"")&amp;
""/""&amp;K1174"),"https://streamtape.com/v/JprGZYoRwkSj48w/81129270")</f>
        <v>https://streamtape.com/v/JprGZYoRwkSj48w/81129270</v>
      </c>
      <c r="G1174" s="10" t="e">
        <f t="shared" ca="1" si="17"/>
        <v>#NAME?</v>
      </c>
      <c r="H1174" s="11" t="str">
        <f ca="1">IFERROR(__xludf.DUMMYFUNCTION("IFERROR(SUBSTITUTE(SUBSTITUTE(REGEXEXTRACT(A1174, ""[^-]+- [^-]+- [^-]+ - (.+?)\.jpg""), "".jpg"", """"), ""-"", "", ""), """")"),"")</f>
        <v/>
      </c>
      <c r="I1174" s="6"/>
      <c r="J1174" s="7" t="str">
        <f t="shared" ca="1" si="18"/>
        <v>(2026)</v>
      </c>
      <c r="K1174" s="7" t="str">
        <f t="shared" si="19"/>
        <v>81129270</v>
      </c>
      <c r="L1174" s="12" t="s">
        <v>5870</v>
      </c>
      <c r="M1174" s="13" t="str">
        <f ca="1">IFERROR(__xludf.DUMMYFUNCTION("TRIM(
  REGEXREPLACE(
    TEXTJOIN("" "",
      TRUE,
      B1174,
      C1174,
      embaralharLinks(E1174,F1174,G1174),
      H1174,
      """",
      J1174,
      N1174,
      ""#RIPNSFW""
    ),
  "",\s*"", "" "")
)"),"{New} Linzy Ray https://doodstream.com/d/qwl2xcqakq2k/81129270 https://lulustream.com/d/mcjtcfnurwa5 https://streamtape.com/v/JprGZYoRwkSj48w/81129270 (2026) #teen #redhead #blowjob #facial #RIPNSFW")</f>
        <v>{New} Linzy Ray https://doodstream.com/d/qwl2xcqakq2k/81129270 https://lulustream.com/d/mcjtcfnurwa5 https://streamtape.com/v/JprGZYoRwkSj48w/81129270 (2026) #teen #redhead #blowjob #facial #RIPNSFW</v>
      </c>
      <c r="N1174" s="2" t="s">
        <v>5870</v>
      </c>
      <c r="O1174" s="30" t="s">
        <v>5871</v>
      </c>
      <c r="P1174" s="26"/>
      <c r="R1174" s="23"/>
      <c r="T1174" s="6"/>
      <c r="U1174" s="7"/>
    </row>
    <row r="1175" spans="1:27" ht="12.75">
      <c r="A1175" s="6" t="s">
        <v>5872</v>
      </c>
      <c r="B1175" s="6" t="s">
        <v>14</v>
      </c>
      <c r="C1175" s="7" t="str">
        <f t="shared" si="16"/>
        <v xml:space="preserve">Little Caprice </v>
      </c>
      <c r="D1175" s="6" t="s">
        <v>5873</v>
      </c>
      <c r="E1175" s="8" t="s">
        <v>5874</v>
      </c>
      <c r="F1175" s="9" t="str">
        <f ca="1">IFERROR(__xludf.DUMMYFUNCTION("""https://streamtape.com/v/""&amp;
REGEXEXTRACT(O1175,""/thumb/([^/]+)/"")&amp;
""/""&amp;K1175"),"https://streamtape.com/v/m9gbOld4AyhbZL4/39052768")</f>
        <v>https://streamtape.com/v/m9gbOld4AyhbZL4/39052768</v>
      </c>
      <c r="G1175" s="10" t="e">
        <f t="shared" ca="1" si="17"/>
        <v>#NAME?</v>
      </c>
      <c r="H1175" s="11" t="str">
        <f ca="1">IFERROR(__xludf.DUMMYFUNCTION("IFERROR(SUBSTITUTE(SUBSTITUTE(REGEXEXTRACT(A1175, ""[^-]+- [^-]+- [^-]+ - (.+?)\.jpg""), "".jpg"", """"), ""-"", "", ""), """")"),"")</f>
        <v/>
      </c>
      <c r="I1175" s="6"/>
      <c r="J1175" s="7" t="str">
        <f t="shared" ca="1" si="18"/>
        <v>(2026)</v>
      </c>
      <c r="K1175" s="7" t="str">
        <f t="shared" si="19"/>
        <v>39052768</v>
      </c>
      <c r="L1175" s="12" t="s">
        <v>5875</v>
      </c>
      <c r="M1175" s="13" t="str">
        <f ca="1">IFERROR(__xludf.DUMMYFUNCTION("TRIM(
  REGEXREPLACE(
    TEXTJOIN("" "",
      TRUE,
      B1175,
      C1175,
      embaralharLinks(E1175,F1175,G1175),
      H1175,
      """",
      J1175,
      N1175,
      ""#RIPNSFW""
    ),
  "",\s*"", "" "")
)"),"#ERROR!")</f>
        <v>#ERROR!</v>
      </c>
      <c r="N1175" s="14" t="s">
        <v>5876</v>
      </c>
      <c r="O1175" s="15" t="s">
        <v>5877</v>
      </c>
      <c r="P1175" s="14"/>
      <c r="Q1175" s="6"/>
      <c r="R1175" s="11"/>
      <c r="S1175" s="6"/>
      <c r="T1175" s="6"/>
      <c r="U1175" s="6"/>
      <c r="V1175" s="6"/>
      <c r="W1175" s="6"/>
      <c r="X1175" s="6"/>
      <c r="Y1175" s="6"/>
      <c r="Z1175" s="6"/>
      <c r="AA1175" s="6"/>
    </row>
    <row r="1176" spans="1:27" ht="12.75">
      <c r="A1176" s="6" t="s">
        <v>5878</v>
      </c>
      <c r="B1176" s="6" t="s">
        <v>14</v>
      </c>
      <c r="C1176" s="7" t="str">
        <f t="shared" si="16"/>
        <v xml:space="preserve">Little Caprice </v>
      </c>
      <c r="D1176" s="6" t="s">
        <v>5879</v>
      </c>
      <c r="E1176" s="8" t="s">
        <v>5880</v>
      </c>
      <c r="F1176" s="9" t="str">
        <f ca="1">IFERROR(__xludf.DUMMYFUNCTION("""https://streamtape.com/v/""&amp;
REGEXEXTRACT(O1176,""/thumb/([^/]+)/"")&amp;
""/""&amp;K1176"),"https://streamtape.com/v/4X1kQvGy08CVak/46057281")</f>
        <v>https://streamtape.com/v/4X1kQvGy08CVak/46057281</v>
      </c>
      <c r="G1176" s="10" t="e">
        <f t="shared" ca="1" si="17"/>
        <v>#NAME?</v>
      </c>
      <c r="H1176" s="11" t="str">
        <f ca="1">IFERROR(__xludf.DUMMYFUNCTION("IFERROR(SUBSTITUTE(SUBSTITUTE(REGEXEXTRACT(A1176, ""[^-]+- [^-]+- [^-]+ - (.+?)\.jpg""), "".jpg"", """"), ""-"", "", ""), """")"),"")</f>
        <v/>
      </c>
      <c r="I1176" s="6"/>
      <c r="J1176" s="7" t="str">
        <f t="shared" ca="1" si="18"/>
        <v>(2026)</v>
      </c>
      <c r="K1176" s="7" t="str">
        <f t="shared" si="19"/>
        <v>46057281</v>
      </c>
      <c r="L1176" s="12" t="s">
        <v>4696</v>
      </c>
      <c r="M1176" s="13" t="str">
        <f ca="1">IFERROR(__xludf.DUMMYFUNCTION("TRIM(
  REGEXREPLACE(
    TEXTJOIN("" "",
      TRUE,
      B1176,
      C1176,
      embaralharLinks(E1176,F1176,G1176),
      H1176,
      """",
      J1176,
      N1176,
      ""#RIPNSFW""
    ),
  "",\s*"", "" "")
)"),"{New} Little Caprice https://doodstream.com/d/4dapso3f94f4/46057281 https://lulustream.com/d/cjcp0ka2hxd3 https://streamtape.com/v/4X1kQvGy08CVak/46057281 (2026) #Anal #Hardcore #Porn #Teen #Blowjob #Deepthroat #RIPNSFW")</f>
        <v>{New} Little Caprice https://doodstream.com/d/4dapso3f94f4/46057281 https://lulustream.com/d/cjcp0ka2hxd3 https://streamtape.com/v/4X1kQvGy08CVak/46057281 (2026) #Anal #Hardcore #Porn #Teen #Blowjob #Deepthroat #RIPNSFW</v>
      </c>
      <c r="N1176" s="14" t="s">
        <v>4697</v>
      </c>
      <c r="O1176" s="15" t="s">
        <v>5881</v>
      </c>
      <c r="P1176" s="14"/>
      <c r="Q1176" s="6"/>
      <c r="R1176" s="11"/>
      <c r="S1176" s="6"/>
      <c r="T1176" s="6"/>
      <c r="U1176" s="6"/>
      <c r="V1176" s="6"/>
      <c r="W1176" s="6"/>
      <c r="X1176" s="6"/>
      <c r="Y1176" s="6"/>
      <c r="Z1176" s="6"/>
      <c r="AA1176" s="6"/>
    </row>
    <row r="1177" spans="1:27" ht="12.75">
      <c r="A1177" s="6" t="s">
        <v>5882</v>
      </c>
      <c r="B1177" s="6" t="s">
        <v>14</v>
      </c>
      <c r="C1177" s="7" t="str">
        <f t="shared" si="16"/>
        <v xml:space="preserve">Little Caprice </v>
      </c>
      <c r="D1177" s="6" t="s">
        <v>5883</v>
      </c>
      <c r="E1177" s="8" t="s">
        <v>5884</v>
      </c>
      <c r="F1177" s="9" t="str">
        <f ca="1">IFERROR(__xludf.DUMMYFUNCTION("""https://streamtape.com/v/""&amp;
REGEXEXTRACT(O1177,""/thumb/([^/]+)/"")&amp;
""/""&amp;K1177"),"https://streamtape.com/v/02aRkK90losbrBY/52891444")</f>
        <v>https://streamtape.com/v/02aRkK90losbrBY/52891444</v>
      </c>
      <c r="G1177" s="10" t="e">
        <f t="shared" ca="1" si="17"/>
        <v>#NAME?</v>
      </c>
      <c r="H1177" s="11" t="str">
        <f ca="1">IFERROR(__xludf.DUMMYFUNCTION("IFERROR(SUBSTITUTE(SUBSTITUTE(REGEXEXTRACT(A1177, ""[^-]+- [^-]+- [^-]+ - (.+?)\.jpg""), "".jpg"", """"), ""-"", "", ""), """")"),"")</f>
        <v/>
      </c>
      <c r="I1177" s="6"/>
      <c r="J1177" s="7" t="str">
        <f t="shared" ca="1" si="18"/>
        <v>(2026)</v>
      </c>
      <c r="K1177" s="7" t="str">
        <f t="shared" si="19"/>
        <v>52891444</v>
      </c>
      <c r="L1177" s="12" t="s">
        <v>4707</v>
      </c>
      <c r="M1177" s="13" t="str">
        <f ca="1">IFERROR(__xludf.DUMMYFUNCTION("TRIM(
  REGEXREPLACE(
    TEXTJOIN("" "",
      TRUE,
      B1177,
      C1177,
      embaralharLinks(E1177,F1177,G1177),
      H1177,
      """",
      J1177,
      N1177,
      ""#RIPNSFW""
    ),
  "",\s*"", "" "")
)"),"{New} Little Caprice https://streamtape.com/v/02aRkK90losbrBY/52891444 https://doodstream.com/d/ekbpm5hagku8/52891444 https://lulustream.com/d/t42ilg635izg (2026) #Hardcore #Black #Interracial #Porn #RIPNSFW")</f>
        <v>{New} Little Caprice https://streamtape.com/v/02aRkK90losbrBY/52891444 https://doodstream.com/d/ekbpm5hagku8/52891444 https://lulustream.com/d/t42ilg635izg (2026) #Hardcore #Black #Interracial #Porn #RIPNSFW</v>
      </c>
      <c r="N1177" s="14" t="s">
        <v>5885</v>
      </c>
      <c r="O1177" s="15" t="s">
        <v>5886</v>
      </c>
      <c r="P1177" s="14"/>
      <c r="Q1177" s="6"/>
      <c r="R1177" s="11"/>
      <c r="S1177" s="6"/>
      <c r="T1177" s="6"/>
      <c r="U1177" s="6"/>
      <c r="V1177" s="6"/>
      <c r="W1177" s="6"/>
      <c r="X1177" s="6"/>
      <c r="Y1177" s="6"/>
      <c r="Z1177" s="6"/>
      <c r="AA1177" s="6"/>
    </row>
    <row r="1178" spans="1:27" ht="12.75">
      <c r="A1178" s="6" t="s">
        <v>5887</v>
      </c>
      <c r="B1178" s="6" t="s">
        <v>14</v>
      </c>
      <c r="C1178" s="7" t="str">
        <f t="shared" si="16"/>
        <v xml:space="preserve">Little Caprice </v>
      </c>
      <c r="D1178" s="6" t="s">
        <v>5888</v>
      </c>
      <c r="E1178" s="8" t="s">
        <v>5889</v>
      </c>
      <c r="F1178" s="9" t="str">
        <f ca="1">IFERROR(__xludf.DUMMYFUNCTION("""https://streamtape.com/v/""&amp;
REGEXEXTRACT(O1178,""/thumb/([^/]+)/"")&amp;
""/""&amp;K1178"),"https://streamtape.com/v/RA4Bvm8KOOILlX/53639246")</f>
        <v>https://streamtape.com/v/RA4Bvm8KOOILlX/53639246</v>
      </c>
      <c r="G1178" s="10" t="e">
        <f t="shared" ca="1" si="17"/>
        <v>#NAME?</v>
      </c>
      <c r="H1178" s="11" t="str">
        <f ca="1">IFERROR(__xludf.DUMMYFUNCTION("IFERROR(SUBSTITUTE(SUBSTITUTE(REGEXEXTRACT(A1178, ""[^-]+- [^-]+- [^-]+ - (.+?)\.jpg""), "".jpg"", """"), ""-"", "", ""), """")"),"")</f>
        <v/>
      </c>
      <c r="I1178" s="6"/>
      <c r="J1178" s="7" t="str">
        <f t="shared" ca="1" si="18"/>
        <v>(2026)</v>
      </c>
      <c r="K1178" s="7" t="str">
        <f t="shared" si="19"/>
        <v>53639246</v>
      </c>
      <c r="L1178" s="12" t="s">
        <v>5890</v>
      </c>
      <c r="M1178" s="13" t="str">
        <f ca="1">IFERROR(__xludf.DUMMYFUNCTION("TRIM(
  REGEXREPLACE(
    TEXTJOIN("" "",
      TRUE,
      B1178,
      C1178,
      embaralharLinks(E1178,F1178,G1178),
      H1178,
      """",
      J1178,
      N1178,
      ""#RIPNSFW""
    ),
  "",\s*"", "" "")
)"),"{New} Little Caprice https://lulustream.com/d/hkx64jdzffeg https://streamtape.com/v/RA4Bvm8KOOILlX/53639246 https://doodstream.com/d/jehpqrf9vvat/53639246 (2026) #MILF #BigTits #Hardcore #Threesome #RIPNSFW")</f>
        <v>{New} Little Caprice https://lulustream.com/d/hkx64jdzffeg https://streamtape.com/v/RA4Bvm8KOOILlX/53639246 https://doodstream.com/d/jehpqrf9vvat/53639246 (2026) #MILF #BigTits #Hardcore #Threesome #RIPNSFW</v>
      </c>
      <c r="N1178" s="14" t="s">
        <v>48</v>
      </c>
      <c r="O1178" s="15" t="s">
        <v>5891</v>
      </c>
      <c r="P1178" s="14"/>
      <c r="Q1178" s="6"/>
      <c r="R1178" s="11"/>
      <c r="S1178" s="6"/>
      <c r="T1178" s="6"/>
      <c r="U1178" s="6"/>
      <c r="V1178" s="6"/>
      <c r="W1178" s="6"/>
      <c r="X1178" s="6"/>
      <c r="Y1178" s="6"/>
      <c r="Z1178" s="6"/>
      <c r="AA1178" s="6"/>
    </row>
    <row r="1179" spans="1:27" ht="12.75">
      <c r="A1179" s="12" t="s">
        <v>5892</v>
      </c>
      <c r="B1179" s="6" t="s">
        <v>14</v>
      </c>
      <c r="C1179" s="7" t="str">
        <f t="shared" si="16"/>
        <v xml:space="preserve">Little Caprice </v>
      </c>
      <c r="D1179" s="24" t="s">
        <v>5893</v>
      </c>
      <c r="E1179" s="8" t="s">
        <v>5894</v>
      </c>
      <c r="F1179" s="9" t="str">
        <f ca="1">IFERROR(__xludf.DUMMYFUNCTION("""https://streamtape.com/v/""&amp;
REGEXEXTRACT(O1179,""/thumb/([^/]+)/"")&amp;
""/""&amp;K1179"),"https://streamtape.com/v/0rLKxeRqylHbGV4/82751751")</f>
        <v>https://streamtape.com/v/0rLKxeRqylHbGV4/82751751</v>
      </c>
      <c r="G1179" s="10" t="e">
        <f t="shared" ca="1" si="17"/>
        <v>#NAME?</v>
      </c>
      <c r="H1179" s="11" t="str">
        <f ca="1">IFERROR(__xludf.DUMMYFUNCTION("IFERROR(SUBSTITUTE(SUBSTITUTE(REGEXEXTRACT(A1179, ""[^-]+- [^-]+- [^-]+ - (.+?)\.jpg""), "".jpg"", """"), ""-"", "", ""), """")"),"")</f>
        <v/>
      </c>
      <c r="I1179" s="6"/>
      <c r="J1179" s="7" t="str">
        <f t="shared" ca="1" si="18"/>
        <v>(2026)</v>
      </c>
      <c r="K1179" s="7" t="str">
        <f t="shared" si="19"/>
        <v>82751751</v>
      </c>
      <c r="L1179" s="12" t="s">
        <v>5895</v>
      </c>
      <c r="M1179" s="13" t="str">
        <f ca="1">IFERROR(__xludf.DUMMYFUNCTION("TRIM(
  REGEXREPLACE(
    TEXTJOIN("" "",
      TRUE,
      B1179,
      C1179,
      embaralharLinks(E1179,F1179,G1179),
      H1179,
      """",
      J1179,
      N1179,
      ""#RIPNSFW""
    ),
  "",\s*"", "" "")
)"),"{New} Little Caprice https://lulustream.com/d/8m5rrczn38t1 https://doodstream.com/d/1a4vl4aefx8p/82751751 https://streamtape.com/v/0rLKxeRqylHbGV4/82751751 (2026) #pornstar #milf #brunette #blowjob #RIPNSFW")</f>
        <v>{New} Little Caprice https://lulustream.com/d/8m5rrczn38t1 https://doodstream.com/d/1a4vl4aefx8p/82751751 https://streamtape.com/v/0rLKxeRqylHbGV4/82751751 (2026) #pornstar #milf #brunette #blowjob #RIPNSFW</v>
      </c>
      <c r="N1179" s="2" t="s">
        <v>5895</v>
      </c>
      <c r="O1179" s="30" t="s">
        <v>5896</v>
      </c>
      <c r="P1179" s="26"/>
      <c r="R1179" s="23"/>
      <c r="T1179" s="6"/>
      <c r="U1179" s="7"/>
    </row>
    <row r="1180" spans="1:27" ht="12.75">
      <c r="A1180" s="6" t="s">
        <v>5897</v>
      </c>
      <c r="B1180" s="6" t="s">
        <v>14</v>
      </c>
      <c r="C1180" s="7" t="str">
        <f t="shared" si="16"/>
        <v xml:space="preserve">Liz Jordan </v>
      </c>
      <c r="D1180" s="29" t="s">
        <v>5898</v>
      </c>
      <c r="E1180" s="8" t="s">
        <v>5899</v>
      </c>
      <c r="F1180" s="9" t="str">
        <f ca="1">IFERROR(__xludf.DUMMYFUNCTION("""https://streamtape.com/v/""&amp;
REGEXEXTRACT(O1180,""/thumb/([^/]+)/"")&amp;
""/""&amp;K1180"),"https://streamtape.com/v/b1kye3jp38sPgoB/21264575")</f>
        <v>https://streamtape.com/v/b1kye3jp38sPgoB/21264575</v>
      </c>
      <c r="G1180" s="10" t="e">
        <f t="shared" ca="1" si="17"/>
        <v>#NAME?</v>
      </c>
      <c r="H1180" s="11" t="str">
        <f ca="1">IFERROR(__xludf.DUMMYFUNCTION("IFERROR(SUBSTITUTE(SUBSTITUTE(REGEXEXTRACT(A1180, ""[^-]+- [^-]+- [^-]+ - (.+?)\.jpg""), "".jpg"", """"), ""-"", "", ""), """")"),"Madi Ruve")</f>
        <v>Madi Ruve</v>
      </c>
      <c r="I1180" s="6"/>
      <c r="J1180" s="7" t="str">
        <f t="shared" ca="1" si="18"/>
        <v>(2026)</v>
      </c>
      <c r="K1180" s="7" t="str">
        <f t="shared" si="19"/>
        <v>21264575</v>
      </c>
      <c r="L1180" s="12" t="s">
        <v>5900</v>
      </c>
      <c r="M1180" s="13" t="str">
        <f ca="1">IFERROR(__xludf.DUMMYFUNCTION("TRIM(
  REGEXREPLACE(
    TEXTJOIN("" "",
      TRUE,
      B1180,
      C1180,
      embaralharLinks(E1180,F1180,G1180),
      H1180,
      """",
      J1180,
      N1180,
      ""#RIPNSFW""
    ),
  "",\s*"", "" "")
)"),"{New} Liz Jordan https://streamtape.com/v/b1kye3jp38sPgoB/21264575 https://lulustream.com/d/v9s4godwhnon https://doodstream.com/d/kwnox8gg7nae/21264575 Madi Ruve (2026) #Hardcore #Threesome #Teen #Artporn #Teens #RIPNSFW")</f>
        <v>{New} Liz Jordan https://streamtape.com/v/b1kye3jp38sPgoB/21264575 https://lulustream.com/d/v9s4godwhnon https://doodstream.com/d/kwnox8gg7nae/21264575 Madi Ruve (2026) #Hardcore #Threesome #Teen #Artporn #Teens #RIPNSFW</v>
      </c>
      <c r="N1180" s="14" t="s">
        <v>5901</v>
      </c>
      <c r="O1180" s="32" t="s">
        <v>5902</v>
      </c>
      <c r="P1180" s="14"/>
      <c r="Q1180" s="6"/>
      <c r="R1180" s="11"/>
      <c r="S1180" s="6"/>
      <c r="T1180" s="6"/>
      <c r="U1180" s="6"/>
      <c r="V1180" s="6"/>
      <c r="W1180" s="6"/>
      <c r="X1180" s="6"/>
      <c r="Y1180" s="6"/>
      <c r="Z1180" s="6"/>
      <c r="AA1180" s="6"/>
    </row>
    <row r="1181" spans="1:27" ht="12.75">
      <c r="A1181" s="12" t="s">
        <v>5903</v>
      </c>
      <c r="B1181" s="6" t="s">
        <v>14</v>
      </c>
      <c r="C1181" s="7" t="str">
        <f t="shared" si="16"/>
        <v xml:space="preserve">Lizzie Love </v>
      </c>
      <c r="D1181" s="24" t="s">
        <v>5904</v>
      </c>
      <c r="E1181" s="25" t="s">
        <v>5905</v>
      </c>
      <c r="F1181" s="9" t="str">
        <f ca="1">IFERROR(__xludf.DUMMYFUNCTION("""https://streamtape.com/v/""&amp;
REGEXEXTRACT(O1181,""/thumb/([^/]+)/"")&amp;
""/""&amp;K1181"),"https://streamtape.com/v/2be3bxXQpdtxa8/81357602")</f>
        <v>https://streamtape.com/v/2be3bxXQpdtxa8/81357602</v>
      </c>
      <c r="G1181" s="10" t="e">
        <f t="shared" ca="1" si="17"/>
        <v>#NAME?</v>
      </c>
      <c r="H1181" s="11" t="str">
        <f ca="1">IFERROR(__xludf.DUMMYFUNCTION("IFERROR(SUBSTITUTE(SUBSTITUTE(REGEXEXTRACT(A1181, ""[^-]+- [^-]+- [^-]+ - (.+?)\.jpg""), "".jpg"", """"), ""-"", "", ""), """")"),"")</f>
        <v/>
      </c>
      <c r="I1181" s="6"/>
      <c r="J1181" s="7" t="str">
        <f t="shared" ca="1" si="18"/>
        <v>(2026)</v>
      </c>
      <c r="K1181" s="7" t="str">
        <f t="shared" si="19"/>
        <v>81357602</v>
      </c>
      <c r="L1181" s="12" t="s">
        <v>5906</v>
      </c>
      <c r="M1181" s="13" t="str">
        <f ca="1">IFERROR(__xludf.DUMMYFUNCTION("TRIM(
  REGEXREPLACE(
    TEXTJOIN("" "",
      TRUE,
      B1181,
      C1181,
      embaralharLinks(E1181,F1181,G1181),
      H1181,
      """",
      J1181,
      N1181,
      ""#RIPNSFW""
    ),
  "",\s*"", "" "")
)"),"{New} Lizzie Love https://lulustream.com/d/2fozhgkn3c6f https://doodstream.com/d/j0tb39dsb32p/81357602 https://streamtape.com/v/2be3bxXQpdtxa8/81357602 (2026) #orgy #creampie #teen #brunette #RIPNSFW")</f>
        <v>{New} Lizzie Love https://lulustream.com/d/2fozhgkn3c6f https://doodstream.com/d/j0tb39dsb32p/81357602 https://streamtape.com/v/2be3bxXQpdtxa8/81357602 (2026) #orgy #creampie #teen #brunette #RIPNSFW</v>
      </c>
      <c r="N1181" s="2" t="s">
        <v>5906</v>
      </c>
      <c r="O1181" s="30" t="s">
        <v>5907</v>
      </c>
      <c r="P1181" s="26"/>
      <c r="R1181" s="23"/>
      <c r="T1181" s="6"/>
      <c r="U1181" s="7"/>
    </row>
    <row r="1182" spans="1:27" ht="12.75">
      <c r="A1182" s="6" t="s">
        <v>5908</v>
      </c>
      <c r="B1182" s="6" t="s">
        <v>14</v>
      </c>
      <c r="C1182" s="7" t="str">
        <f t="shared" si="16"/>
        <v xml:space="preserve">Lola Cheeks </v>
      </c>
      <c r="D1182" s="29" t="s">
        <v>5909</v>
      </c>
      <c r="E1182" s="8" t="s">
        <v>5910</v>
      </c>
      <c r="F1182" s="9" t="str">
        <f ca="1">IFERROR(__xludf.DUMMYFUNCTION("""https://streamtape.com/v/""&amp;
REGEXEXTRACT(O1182,""/thumb/([^/]+)/"")&amp;
""/""&amp;K1182"),"https://streamtape.com/v/7dMZMmgdWXIAjyd/43319214")</f>
        <v>https://streamtape.com/v/7dMZMmgdWXIAjyd/43319214</v>
      </c>
      <c r="G1182" s="10" t="e">
        <f t="shared" ca="1" si="17"/>
        <v>#NAME?</v>
      </c>
      <c r="H1182" s="11" t="str">
        <f ca="1">IFERROR(__xludf.DUMMYFUNCTION("IFERROR(SUBSTITUTE(SUBSTITUTE(REGEXEXTRACT(A1182, ""[^-]+- [^-]+- [^-]+ - (.+?)\.jpg""), "".jpg"", """"), ""-"", "", ""), """")"),"")</f>
        <v/>
      </c>
      <c r="I1182" s="6"/>
      <c r="J1182" s="7" t="str">
        <f t="shared" ca="1" si="18"/>
        <v>(2026)</v>
      </c>
      <c r="K1182" s="7" t="str">
        <f t="shared" si="19"/>
        <v>43319214</v>
      </c>
      <c r="L1182" s="12" t="s">
        <v>5911</v>
      </c>
      <c r="M1182" s="13" t="str">
        <f ca="1">IFERROR(__xludf.DUMMYFUNCTION("TRIM(
  REGEXREPLACE(
    TEXTJOIN("" "",
      TRUE,
      B1182,
      C1182,
      embaralharLinks(E1182,F1182,G1182),
      H1182,
      """",
      J1182,
      N1182,
      ""#RIPNSFW""
    ),
  "",\s*"", "" "")
)"),"{New} Lola Cheeks https://streamtape.com/v/7dMZMmgdWXIAjyd/43319214 https://lulustream.com/d/t6tb7zpietl3 https://doodstream.com/d/hn44gcrzycs2/43319214 (2026) #Casting #Hardcore #Bigass #Porn #RIPNSFW")</f>
        <v>{New} Lola Cheeks https://streamtape.com/v/7dMZMmgdWXIAjyd/43319214 https://lulustream.com/d/t6tb7zpietl3 https://doodstream.com/d/hn44gcrzycs2/43319214 (2026) #Casting #Hardcore #Bigass #Porn #RIPNSFW</v>
      </c>
      <c r="N1182" s="14" t="s">
        <v>5912</v>
      </c>
      <c r="O1182" s="32" t="s">
        <v>5913</v>
      </c>
      <c r="P1182" s="14"/>
      <c r="Q1182" s="6"/>
      <c r="R1182" s="11"/>
      <c r="S1182" s="6"/>
      <c r="T1182" s="6"/>
      <c r="U1182" s="6"/>
      <c r="V1182" s="6"/>
      <c r="W1182" s="6"/>
      <c r="X1182" s="6"/>
      <c r="Y1182" s="6"/>
      <c r="Z1182" s="6"/>
      <c r="AA1182" s="6"/>
    </row>
    <row r="1183" spans="1:27" ht="12.75">
      <c r="A1183" s="6" t="s">
        <v>5914</v>
      </c>
      <c r="B1183" s="6" t="s">
        <v>14</v>
      </c>
      <c r="C1183" s="7" t="str">
        <f t="shared" si="16"/>
        <v xml:space="preserve">Lola Valentine </v>
      </c>
      <c r="D1183" s="6" t="s">
        <v>5915</v>
      </c>
      <c r="E1183" s="8" t="s">
        <v>5916</v>
      </c>
      <c r="F1183" s="9" t="str">
        <f ca="1">IFERROR(__xludf.DUMMYFUNCTION("""https://streamtape.com/v/""&amp;
REGEXEXTRACT(O1183,""/thumb/([^/]+)/"")&amp;
""/""&amp;K1183"),"https://streamtape.com/v/WGggO7jWvwIg8l/67255151")</f>
        <v>https://streamtape.com/v/WGggO7jWvwIg8l/67255151</v>
      </c>
      <c r="G1183" s="10" t="e">
        <f t="shared" ca="1" si="17"/>
        <v>#NAME?</v>
      </c>
      <c r="H1183" s="11" t="str">
        <f ca="1">IFERROR(__xludf.DUMMYFUNCTION("IFERROR(SUBSTITUTE(SUBSTITUTE(REGEXEXTRACT(A1183, ""[^-]+- [^-]+- [^-]+ - (.+?)\.jpg""), "".jpg"", """"), ""-"", "", ""), """")"),"")</f>
        <v/>
      </c>
      <c r="I1183" s="6"/>
      <c r="J1183" s="7" t="str">
        <f t="shared" ca="1" si="18"/>
        <v>(2026)</v>
      </c>
      <c r="K1183" s="7" t="str">
        <f t="shared" si="19"/>
        <v>67255151</v>
      </c>
      <c r="L1183" s="12" t="s">
        <v>5917</v>
      </c>
      <c r="M1183" s="13" t="str">
        <f ca="1">IFERROR(__xludf.DUMMYFUNCTION("TRIM(
  REGEXREPLACE(
    TEXTJOIN("" "",
      TRUE,
      B1183,
      C1183,
      embaralharLinks(E1183,F1183,G1183),
      H1183,
      """",
      J1183,
      N1183,
      ""#RIPNSFW""
    ),
  "",\s*"", "" "")
)"),"{New} Lola Valentine https://lulustream.com/d/gwpdy2o82i9e https://doodstream.com/d/q3gz3rfdw70b/67255151 https://streamtape.com/v/WGggO7jWvwIg8l/67255151 (2026) #Creampie #Hardcore #Gangbang #Black #Interracial #Bigass #RIPNSFW")</f>
        <v>{New} Lola Valentine https://lulustream.com/d/gwpdy2o82i9e https://doodstream.com/d/q3gz3rfdw70b/67255151 https://streamtape.com/v/WGggO7jWvwIg8l/67255151 (2026) #Creampie #Hardcore #Gangbang #Black #Interracial #Bigass #RIPNSFW</v>
      </c>
      <c r="N1183" s="14" t="s">
        <v>5918</v>
      </c>
      <c r="O1183" s="15" t="s">
        <v>5919</v>
      </c>
      <c r="P1183" s="14"/>
      <c r="Q1183" s="6"/>
      <c r="R1183" s="11"/>
      <c r="S1183" s="6"/>
      <c r="T1183" s="6"/>
      <c r="U1183" s="6"/>
      <c r="V1183" s="6"/>
      <c r="W1183" s="6"/>
      <c r="X1183" s="6"/>
      <c r="Y1183" s="6"/>
      <c r="Z1183" s="6"/>
      <c r="AA1183" s="6"/>
    </row>
    <row r="1184" spans="1:27" ht="12.75">
      <c r="A1184" s="6" t="s">
        <v>5920</v>
      </c>
      <c r="B1184" s="6" t="s">
        <v>14</v>
      </c>
      <c r="C1184" s="7" t="str">
        <f t="shared" si="16"/>
        <v xml:space="preserve">London </v>
      </c>
      <c r="D1184" s="6" t="s">
        <v>5921</v>
      </c>
      <c r="E1184" s="8" t="s">
        <v>5922</v>
      </c>
      <c r="F1184" s="9" t="str">
        <f ca="1">IFERROR(__xludf.DUMMYFUNCTION("""https://streamtape.com/v/""&amp;
REGEXEXTRACT(O1184,""/thumb/([^/]+)/"")&amp;
""/""&amp;K1184"),"https://streamtape.com/v/dLbJbgqKaYCbml/68537971")</f>
        <v>https://streamtape.com/v/dLbJbgqKaYCbml/68537971</v>
      </c>
      <c r="G1184" s="10" t="e">
        <f t="shared" ca="1" si="17"/>
        <v>#NAME?</v>
      </c>
      <c r="H1184" s="11" t="str">
        <f ca="1">IFERROR(__xludf.DUMMYFUNCTION("IFERROR(SUBSTITUTE(SUBSTITUTE(REGEXEXTRACT(A1184, ""[^-]+- [^-]+- [^-]+ - (.+?)\.jpg""), "".jpg"", """"), ""-"", "", ""), """")"),"")</f>
        <v/>
      </c>
      <c r="I1184" s="6"/>
      <c r="J1184" s="7" t="str">
        <f t="shared" ca="1" si="18"/>
        <v>(2026)</v>
      </c>
      <c r="K1184" s="7" t="str">
        <f t="shared" si="19"/>
        <v>68537971</v>
      </c>
      <c r="L1184" s="12" t="s">
        <v>2920</v>
      </c>
      <c r="M1184" s="13" t="str">
        <f ca="1">IFERROR(__xludf.DUMMYFUNCTION("TRIM(
  REGEXREPLACE(
    TEXTJOIN("" "",
      TRUE,
      B1184,
      C1184,
      embaralharLinks(E1184,F1184,G1184),
      H1184,
      """",
      J1184,
      N1184,
      ""#RIPNSFW""
    ),
  "",\s*"", "" "")
)"),"{New} London https://lulustream.com/d/1qjwh336fz8i https://doodstream.com/d/b47oc09tbr49/68537971 https://streamtape.com/v/dLbJbgqKaYCbml/68537971 (2026) #Creampie #Hardcore #Porn #Teen #RIPNSFW")</f>
        <v>{New} London https://lulustream.com/d/1qjwh336fz8i https://doodstream.com/d/b47oc09tbr49/68537971 https://streamtape.com/v/dLbJbgqKaYCbml/68537971 (2026) #Creampie #Hardcore #Porn #Teen #RIPNSFW</v>
      </c>
      <c r="N1184" s="14" t="s">
        <v>5923</v>
      </c>
      <c r="O1184" s="15" t="s">
        <v>5924</v>
      </c>
      <c r="P1184" s="14"/>
      <c r="Q1184" s="6"/>
      <c r="R1184" s="11"/>
      <c r="S1184" s="6"/>
      <c r="T1184" s="6"/>
      <c r="U1184" s="6"/>
      <c r="V1184" s="6"/>
      <c r="W1184" s="6"/>
      <c r="X1184" s="6"/>
      <c r="Y1184" s="6"/>
      <c r="Z1184" s="6"/>
      <c r="AA1184" s="6"/>
    </row>
    <row r="1185" spans="1:27" ht="12.75">
      <c r="A1185" s="12" t="s">
        <v>5925</v>
      </c>
      <c r="B1185" s="6"/>
      <c r="C1185" s="7" t="str">
        <f t="shared" si="16"/>
        <v xml:space="preserve">Lucy </v>
      </c>
      <c r="D1185" s="24" t="s">
        <v>5926</v>
      </c>
      <c r="E1185" s="25" t="s">
        <v>5927</v>
      </c>
      <c r="F1185" s="9" t="str">
        <f ca="1">IFERROR(__xludf.DUMMYFUNCTION("""https://streamtape.com/v/""&amp;
REGEXEXTRACT(O1185,""/thumb/([^/]+)/"")&amp;
""/""&amp;K1185"),"https://streamtape.com/v/Rj8dVakVJ8tdzv1/87467552")</f>
        <v>https://streamtape.com/v/Rj8dVakVJ8tdzv1/87467552</v>
      </c>
      <c r="G1185" s="10" t="e">
        <f t="shared" ca="1" si="17"/>
        <v>#NAME?</v>
      </c>
      <c r="H1185" s="11" t="str">
        <f ca="1">IFERROR(__xludf.DUMMYFUNCTION("IFERROR(SUBSTITUTE(SUBSTITUTE(REGEXEXTRACT(A1185, ""[^-]+- [^-]+- [^-]+ - (.+?)\.jpg""), "".jpg"", """"), ""-"", "", ""), """")"),"")</f>
        <v/>
      </c>
      <c r="I1185" s="6"/>
      <c r="J1185" s="7" t="str">
        <f t="shared" ca="1" si="18"/>
        <v/>
      </c>
      <c r="K1185" s="7" t="str">
        <f t="shared" si="19"/>
        <v>87467552</v>
      </c>
      <c r="L1185" s="12" t="s">
        <v>5928</v>
      </c>
      <c r="M1185" s="13" t="str">
        <f ca="1">IFERROR(__xludf.DUMMYFUNCTION("TRIM(
  REGEXREPLACE(
    TEXTJOIN("" "",
      TRUE,
      B1185,
      C1185,
      embaralharLinks(E1185,F1185,G1185),
      H1185,
      """",
      J1185,
      N1185,
      ""#RIPNSFW""
    ),
  "",\s*"", "" "")
)"),"Lucy https://doodstream.com/d/693ypiy9gddo/87467552 https://lulustream.com/d/ug1cp7fj1jnx https://streamtape.com/v/Rj8dVakVJ8tdzv1/87467552 #anal #teen #redhead #casting #RIPNSFW")</f>
        <v>Lucy https://doodstream.com/d/693ypiy9gddo/87467552 https://lulustream.com/d/ug1cp7fj1jnx https://streamtape.com/v/Rj8dVakVJ8tdzv1/87467552 #anal #teen #redhead #casting #RIPNSFW</v>
      </c>
      <c r="N1185" s="2" t="s">
        <v>5928</v>
      </c>
      <c r="O1185" s="30" t="s">
        <v>5929</v>
      </c>
      <c r="P1185" s="26"/>
      <c r="R1185" s="23"/>
      <c r="T1185" s="6"/>
      <c r="U1185" s="7"/>
    </row>
    <row r="1186" spans="1:27" ht="12.75">
      <c r="A1186" s="12" t="s">
        <v>5930</v>
      </c>
      <c r="B1186" s="6" t="s">
        <v>14</v>
      </c>
      <c r="C1186" s="7" t="str">
        <f t="shared" si="16"/>
        <v xml:space="preserve">Lucy Foxx </v>
      </c>
      <c r="D1186" s="27" t="s">
        <v>5931</v>
      </c>
      <c r="E1186" s="28" t="s">
        <v>5932</v>
      </c>
      <c r="F1186" s="9" t="str">
        <f ca="1">IFERROR(__xludf.DUMMYFUNCTION("""https://streamtape.com/v/""&amp;
REGEXEXTRACT(O1186,""/thumb/([^/]+)/"")&amp;
""/""&amp;K1186"),"https://streamtape.com/v/xv27x9YPdoskpYe/13250580")</f>
        <v>https://streamtape.com/v/xv27x9YPdoskpYe/13250580</v>
      </c>
      <c r="G1186" s="10" t="e">
        <f t="shared" ca="1" si="17"/>
        <v>#NAME?</v>
      </c>
      <c r="H1186" s="11" t="str">
        <f ca="1">IFERROR(__xludf.DUMMYFUNCTION("IFERROR(SUBSTITUTE(SUBSTITUTE(REGEXEXTRACT(A1186, ""[^-]+- [^-]+- [^-]+ - (.+?)\.jpg""), "".jpg"", """"), ""-"", "", ""), """")"),"")</f>
        <v/>
      </c>
      <c r="I1186" s="6"/>
      <c r="J1186" s="7" t="str">
        <f t="shared" ca="1" si="18"/>
        <v>(2026)</v>
      </c>
      <c r="K1186" s="7" t="str">
        <f t="shared" si="19"/>
        <v>13250580</v>
      </c>
      <c r="L1186" s="12" t="s">
        <v>5933</v>
      </c>
      <c r="M1186" s="13" t="str">
        <f ca="1">IFERROR(__xludf.DUMMYFUNCTION("TRIM(
  REGEXREPLACE(
    TEXTJOIN("" "",
      TRUE,
      B1186,
      C1186,
      embaralharLinks(E1186,F1186,G1186),
      H1186,
      """",
      J1186,
      N1186,
      ""#RIPNSFW""
    ),
  "",\s*"", "" "")
)"),"{New} Lucy Foxx https://lulustream.com/d/apmocpbjvo0v https://doodstream.com/d/qkzpwznja4ws/13250580 https://streamtape.com/v/xv27x9YPdoskpYe/13250580 (2026) #Hardcore #Porn #Teen #Blowjob #RIPNSFW")</f>
        <v>{New} Lucy Foxx https://lulustream.com/d/apmocpbjvo0v https://doodstream.com/d/qkzpwznja4ws/13250580 https://streamtape.com/v/xv27x9YPdoskpYe/13250580 (2026) #Hardcore #Porn #Teen #Blowjob #RIPNSFW</v>
      </c>
      <c r="N1186" s="2" t="s">
        <v>5934</v>
      </c>
      <c r="O1186" s="30" t="s">
        <v>5935</v>
      </c>
      <c r="P1186" s="26"/>
      <c r="R1186" s="23"/>
    </row>
    <row r="1187" spans="1:27" ht="12.75">
      <c r="A1187" s="12" t="s">
        <v>5936</v>
      </c>
      <c r="B1187" s="6" t="s">
        <v>14</v>
      </c>
      <c r="C1187" s="7" t="str">
        <f t="shared" si="16"/>
        <v xml:space="preserve">Lucy Foxx </v>
      </c>
      <c r="D1187" s="24" t="s">
        <v>5937</v>
      </c>
      <c r="E1187" s="25" t="s">
        <v>5938</v>
      </c>
      <c r="F1187" s="9" t="str">
        <f ca="1">IFERROR(__xludf.DUMMYFUNCTION("""https://streamtape.com/v/""&amp;
REGEXEXTRACT(O1187,""/thumb/([^/]+)/"")&amp;
""/""&amp;K1187"),"https://streamtape.com/v/mevgWk6PGoHbojY/84642179")</f>
        <v>https://streamtape.com/v/mevgWk6PGoHbojY/84642179</v>
      </c>
      <c r="G1187" s="10" t="e">
        <f t="shared" ca="1" si="17"/>
        <v>#NAME?</v>
      </c>
      <c r="H1187" s="11" t="str">
        <f ca="1">IFERROR(__xludf.DUMMYFUNCTION("IFERROR(SUBSTITUTE(SUBSTITUTE(REGEXEXTRACT(A1187, ""[^-]+- [^-]+- [^-]+ - (.+?)\.jpg""), "".jpg"", """"), ""-"", "", ""), """")"),"")</f>
        <v/>
      </c>
      <c r="I1187" s="6"/>
      <c r="J1187" s="7" t="str">
        <f t="shared" ca="1" si="18"/>
        <v>(2026)</v>
      </c>
      <c r="K1187" s="7" t="str">
        <f t="shared" si="19"/>
        <v>84642179</v>
      </c>
      <c r="L1187" s="12" t="s">
        <v>5939</v>
      </c>
      <c r="M1187" s="13" t="str">
        <f ca="1">IFERROR(__xludf.DUMMYFUNCTION("TRIM(
  REGEXREPLACE(
    TEXTJOIN("" "",
      TRUE,
      B1187,
      C1187,
      embaralharLinks(E1187,F1187,G1187),
      H1187,
      """",
      J1187,
      N1187,
      ""#RIPNSFW""
    ),
  "",\s*"", "" "")
)"),"{New} Lucy Foxx https://doodstream.com/d/euwgaojto050/84642179 https://lulustream.com/d/3cgchvalb336 https://streamtape.com/v/mevgWk6PGoHbojY/84642179 (2026) #teen #blowjob #hardcore #redhead #RIPNSFW")</f>
        <v>{New} Lucy Foxx https://doodstream.com/d/euwgaojto050/84642179 https://lulustream.com/d/3cgchvalb336 https://streamtape.com/v/mevgWk6PGoHbojY/84642179 (2026) #teen #blowjob #hardcore #redhead #RIPNSFW</v>
      </c>
      <c r="N1187" s="2" t="s">
        <v>5939</v>
      </c>
      <c r="O1187" s="30" t="s">
        <v>5940</v>
      </c>
      <c r="P1187" s="26"/>
      <c r="R1187" s="23"/>
      <c r="T1187" s="6"/>
      <c r="U1187" s="7"/>
    </row>
    <row r="1188" spans="1:27" ht="12.75">
      <c r="A1188" s="12" t="s">
        <v>5941</v>
      </c>
      <c r="B1188" s="6" t="s">
        <v>14</v>
      </c>
      <c r="C1188" s="7" t="str">
        <f t="shared" si="16"/>
        <v xml:space="preserve">Lucy Mochi </v>
      </c>
      <c r="D1188" s="27" t="s">
        <v>5942</v>
      </c>
      <c r="E1188" s="28" t="s">
        <v>5943</v>
      </c>
      <c r="F1188" s="9" t="str">
        <f ca="1">IFERROR(__xludf.DUMMYFUNCTION("""https://streamtape.com/v/""&amp;
REGEXEXTRACT(O1188,""/thumb/([^/]+)/"")&amp;
""/""&amp;K1188"),"https://streamtape.com/v/9vbyxA1X1qC6OJ/11144877")</f>
        <v>https://streamtape.com/v/9vbyxA1X1qC6OJ/11144877</v>
      </c>
      <c r="G1188" s="10" t="e">
        <f t="shared" ca="1" si="17"/>
        <v>#NAME?</v>
      </c>
      <c r="H1188" s="11" t="str">
        <f ca="1">IFERROR(__xludf.DUMMYFUNCTION("IFERROR(SUBSTITUTE(SUBSTITUTE(REGEXEXTRACT(A1188, ""[^-]+- [^-]+- [^-]+ - (.+?)\.jpg""), "".jpg"", """"), ""-"", "", ""), """")"),"")</f>
        <v/>
      </c>
      <c r="I1188" s="6"/>
      <c r="J1188" s="7" t="str">
        <f t="shared" ca="1" si="18"/>
        <v>(2026)</v>
      </c>
      <c r="K1188" s="7" t="str">
        <f t="shared" si="19"/>
        <v>11144877</v>
      </c>
      <c r="L1188" s="12" t="s">
        <v>3909</v>
      </c>
      <c r="M1188" s="13" t="str">
        <f ca="1">IFERROR(__xludf.DUMMYFUNCTION("TRIM(
  REGEXREPLACE(
    TEXTJOIN("" "",
      TRUE,
      B1188,
      C1188,
      embaralharLinks(E1188,F1188,G1188),
      H1188,
      """",
      J1188,
      N1188,
      ""#RIPNSFW""
    ),
  "",\s*"", "" "")
)"),"{New} Lucy Mochi https://streamtape.com/v/9vbyxA1X1qC6OJ/11144877 https://doodstream.com/d/h5rkupr5eiie/11144877 https://lulustream.com/d/37eiu9nhtpxd (2026) #Hardcore #Threesome #Teen #Blowjob #RIPNSFW")</f>
        <v>{New} Lucy Mochi https://streamtape.com/v/9vbyxA1X1qC6OJ/11144877 https://doodstream.com/d/h5rkupr5eiie/11144877 https://lulustream.com/d/37eiu9nhtpxd (2026) #Hardcore #Threesome #Teen #Blowjob #RIPNSFW</v>
      </c>
      <c r="N1188" s="2" t="s">
        <v>3910</v>
      </c>
      <c r="O1188" s="30" t="s">
        <v>5944</v>
      </c>
      <c r="P1188" s="26"/>
      <c r="R1188" s="23"/>
    </row>
    <row r="1189" spans="1:27" ht="12.75">
      <c r="A1189" s="6" t="s">
        <v>5945</v>
      </c>
      <c r="B1189" s="6" t="s">
        <v>14</v>
      </c>
      <c r="C1189" s="7" t="str">
        <f t="shared" si="16"/>
        <v xml:space="preserve">Lucy Mochi </v>
      </c>
      <c r="D1189" s="6" t="s">
        <v>5946</v>
      </c>
      <c r="E1189" s="8" t="s">
        <v>5947</v>
      </c>
      <c r="F1189" s="9" t="str">
        <f ca="1">IFERROR(__xludf.DUMMYFUNCTION("""https://streamtape.com/v/""&amp;
REGEXEXTRACT(O1189,""/thumb/([^/]+)/"")&amp;
""/""&amp;K1189"),"https://streamtape.com/v/ogdZRQ8kZetJJKZ/15336383")</f>
        <v>https://streamtape.com/v/ogdZRQ8kZetJJKZ/15336383</v>
      </c>
      <c r="G1189" s="10" t="e">
        <f t="shared" ca="1" si="17"/>
        <v>#NAME?</v>
      </c>
      <c r="H1189" s="11" t="str">
        <f ca="1">IFERROR(__xludf.DUMMYFUNCTION("IFERROR(SUBSTITUTE(SUBSTITUTE(REGEXEXTRACT(A1189, ""[^-]+- [^-]+- [^-]+ - (.+?)\.jpg""), "".jpg"", """"), ""-"", "", ""), """")"),"")</f>
        <v/>
      </c>
      <c r="I1189" s="6"/>
      <c r="J1189" s="7" t="str">
        <f t="shared" ca="1" si="18"/>
        <v>(2026)</v>
      </c>
      <c r="K1189" s="7" t="str">
        <f t="shared" si="19"/>
        <v>15336383</v>
      </c>
      <c r="L1189" s="12" t="s">
        <v>5948</v>
      </c>
      <c r="M1189" s="13" t="str">
        <f ca="1">IFERROR(__xludf.DUMMYFUNCTION("TRIM(
  REGEXREPLACE(
    TEXTJOIN("" "",
      TRUE,
      B1189,
      C1189,
      embaralharLinks(E1189,F1189,G1189),
      H1189,
      """",
      J1189,
      N1189,
      ""#RIPNSFW""
    ),
  "",\s*"", "" "")
)"),"{New} Lucy Mochi https://lulustream.com/d/bf1jfi923tmx https://doodstream.com/d/5dohslxgopbq/15336383 https://streamtape.com/v/ogdZRQ8kZetJJKZ/15336383 (2026) #Anal #BigTits #Hardcore #Asian #Black #Teen #Artporn #RIPNSFW")</f>
        <v>{New} Lucy Mochi https://lulustream.com/d/bf1jfi923tmx https://doodstream.com/d/5dohslxgopbq/15336383 https://streamtape.com/v/ogdZRQ8kZetJJKZ/15336383 (2026) #Anal #BigTits #Hardcore #Asian #Black #Teen #Artporn #RIPNSFW</v>
      </c>
      <c r="N1189" s="14" t="s">
        <v>5949</v>
      </c>
      <c r="O1189" s="15" t="s">
        <v>5950</v>
      </c>
      <c r="P1189" s="14"/>
      <c r="Q1189" s="6"/>
      <c r="R1189" s="11"/>
      <c r="S1189" s="6"/>
      <c r="T1189" s="6"/>
      <c r="U1189" s="6"/>
      <c r="V1189" s="6"/>
      <c r="W1189" s="6"/>
      <c r="X1189" s="6"/>
      <c r="Y1189" s="6"/>
      <c r="Z1189" s="6"/>
      <c r="AA1189" s="6"/>
    </row>
    <row r="1190" spans="1:27" ht="12.75">
      <c r="A1190" s="12" t="s">
        <v>5951</v>
      </c>
      <c r="B1190" s="6" t="s">
        <v>14</v>
      </c>
      <c r="C1190" s="7" t="str">
        <f t="shared" si="16"/>
        <v xml:space="preserve">Lucy Mochi </v>
      </c>
      <c r="D1190" s="24" t="s">
        <v>5952</v>
      </c>
      <c r="E1190" s="25" t="s">
        <v>5953</v>
      </c>
      <c r="F1190" s="9" t="str">
        <f ca="1">IFERROR(__xludf.DUMMYFUNCTION("""https://streamtape.com/v/""&amp;
REGEXEXTRACT(O1190,""/thumb/([^/]+)/"")&amp;
""/""&amp;K1190"),"https://streamtape.com/v/q6kYXQJkMoIzpbP/16687170")</f>
        <v>https://streamtape.com/v/q6kYXQJkMoIzpbP/16687170</v>
      </c>
      <c r="G1190" s="10" t="e">
        <f t="shared" ca="1" si="17"/>
        <v>#NAME?</v>
      </c>
      <c r="H1190" s="11" t="str">
        <f ca="1">IFERROR(__xludf.DUMMYFUNCTION("IFERROR(SUBSTITUTE(SUBSTITUTE(REGEXEXTRACT(A1190, ""[^-]+- [^-]+- [^-]+ - (.+?)\.jpg""), "".jpg"", """"), ""-"", "", ""), """")"),"Nicole Doshi")</f>
        <v>Nicole Doshi</v>
      </c>
      <c r="I1190" s="6"/>
      <c r="J1190" s="7" t="str">
        <f t="shared" ca="1" si="18"/>
        <v>(2026)</v>
      </c>
      <c r="K1190" s="7" t="str">
        <f t="shared" si="19"/>
        <v>16687170</v>
      </c>
      <c r="L1190" s="12" t="s">
        <v>5954</v>
      </c>
      <c r="M1190" s="13" t="str">
        <f ca="1">IFERROR(__xludf.DUMMYFUNCTION("TRIM(
  REGEXREPLACE(
    TEXTJOIN("" "",
      TRUE,
      B1190,
      C1190,
      embaralharLinks(E1190,F1190,G1190),
      H1190,
      """",
      J1190,
      N1190,
      ""#RIPNSFW""
    ),
  "",\s*"", "" "")
)"),"{New} Lucy Mochi https://doodstream.com/d/ejsqhruqinta/16687170 https://streamtape.com/v/q6kYXQJkMoIzpbP/16687170 https://lulustream.com/d/k2vmehxdjp7s Nicole Doshi (2026) #threesome #asian #brunette #blowjob #RIPNSFW")</f>
        <v>{New} Lucy Mochi https://doodstream.com/d/ejsqhruqinta/16687170 https://streamtape.com/v/q6kYXQJkMoIzpbP/16687170 https://lulustream.com/d/k2vmehxdjp7s Nicole Doshi (2026) #threesome #asian #brunette #blowjob #RIPNSFW</v>
      </c>
      <c r="N1190" s="2" t="s">
        <v>5954</v>
      </c>
      <c r="O1190" s="30" t="s">
        <v>5955</v>
      </c>
      <c r="P1190" s="26"/>
      <c r="R1190" s="23"/>
      <c r="T1190" s="6"/>
      <c r="U1190" s="7"/>
    </row>
    <row r="1191" spans="1:27" ht="12.75">
      <c r="A1191" s="12" t="s">
        <v>5956</v>
      </c>
      <c r="B1191" s="6" t="s">
        <v>14</v>
      </c>
      <c r="C1191" s="7" t="str">
        <f t="shared" si="16"/>
        <v xml:space="preserve">Lucy Mochi </v>
      </c>
      <c r="D1191" s="24" t="s">
        <v>5957</v>
      </c>
      <c r="E1191" s="25" t="s">
        <v>5958</v>
      </c>
      <c r="F1191" s="9" t="str">
        <f ca="1">IFERROR(__xludf.DUMMYFUNCTION("""https://streamtape.com/v/""&amp;
REGEXEXTRACT(O1191,""/thumb/([^/]+)/"")&amp;
""/""&amp;K1191"),"https://streamtape.com/v/qOLgjY4ekRizm7w/23173703")</f>
        <v>https://streamtape.com/v/qOLgjY4ekRizm7w/23173703</v>
      </c>
      <c r="G1191" s="10" t="e">
        <f t="shared" ca="1" si="17"/>
        <v>#NAME?</v>
      </c>
      <c r="H1191" s="11" t="str">
        <f ca="1">IFERROR(__xludf.DUMMYFUNCTION("IFERROR(SUBSTITUTE(SUBSTITUTE(REGEXEXTRACT(A1191, ""[^-]+- [^-]+- [^-]+ - (.+?)\.jpg""), "".jpg"", """"), ""-"", "", ""), """")"),"JasmineTeaa")</f>
        <v>JasmineTeaa</v>
      </c>
      <c r="I1191" s="6"/>
      <c r="J1191" s="7" t="str">
        <f t="shared" ca="1" si="18"/>
        <v>(2026)</v>
      </c>
      <c r="K1191" s="7" t="str">
        <f t="shared" si="19"/>
        <v>23173703</v>
      </c>
      <c r="L1191" s="12" t="s">
        <v>5959</v>
      </c>
      <c r="M1191" s="13" t="str">
        <f ca="1">IFERROR(__xludf.DUMMYFUNCTION("TRIM(
  REGEXREPLACE(
    TEXTJOIN("" "",
      TRUE,
      B1191,
      C1191,
      embaralharLinks(E1191,F1191,G1191),
      H1191,
      """",
      J1191,
      N1191,
      ""#RIPNSFW""
    ),
  "",\s*"", "" "")
)"),"{New} Lucy Mochi https://doodstream.com/d/2n61ih9m436l/23173703 https://lulustream.com/d/jw9uvyhwk167 https://streamtape.com/v/qOLgjY4ekRizm7w/23173703 JasmineTeaa (2026) #foursome #asian #teens #blowjob #RIPNSFW")</f>
        <v>{New} Lucy Mochi https://doodstream.com/d/2n61ih9m436l/23173703 https://lulustream.com/d/jw9uvyhwk167 https://streamtape.com/v/qOLgjY4ekRizm7w/23173703 JasmineTeaa (2026) #foursome #asian #teens #blowjob #RIPNSFW</v>
      </c>
      <c r="N1191" s="2" t="s">
        <v>5959</v>
      </c>
      <c r="O1191" s="30" t="s">
        <v>5960</v>
      </c>
      <c r="P1191" s="26"/>
      <c r="R1191" s="23"/>
      <c r="T1191" s="6"/>
      <c r="U1191" s="7"/>
    </row>
    <row r="1192" spans="1:27" ht="12.75">
      <c r="A1192" s="6" t="s">
        <v>5961</v>
      </c>
      <c r="B1192" s="6" t="s">
        <v>14</v>
      </c>
      <c r="C1192" s="7" t="str">
        <f t="shared" si="16"/>
        <v xml:space="preserve">Lucy Mochi </v>
      </c>
      <c r="D1192" s="6" t="s">
        <v>5962</v>
      </c>
      <c r="E1192" s="8" t="s">
        <v>5963</v>
      </c>
      <c r="F1192" s="9" t="str">
        <f ca="1">IFERROR(__xludf.DUMMYFUNCTION("""https://streamtape.com/v/""&amp;
REGEXEXTRACT(O1192,""/thumb/([^/]+)/"")&amp;
""/""&amp;K1192"),"https://streamtape.com/v/AAX8rdAkY0tXL44/25810112")</f>
        <v>https://streamtape.com/v/AAX8rdAkY0tXL44/25810112</v>
      </c>
      <c r="G1192" s="10" t="e">
        <f t="shared" ca="1" si="17"/>
        <v>#NAME?</v>
      </c>
      <c r="H1192" s="11" t="str">
        <f ca="1">IFERROR(__xludf.DUMMYFUNCTION("IFERROR(SUBSTITUTE(SUBSTITUTE(REGEXEXTRACT(A1192, ""[^-]+- [^-]+- [^-]+ - (.+?)\.jpg""), "".jpg"", """"), ""-"", "", ""), """")"),"JackandJill")</f>
        <v>JackandJill</v>
      </c>
      <c r="I1192" s="6"/>
      <c r="J1192" s="7" t="str">
        <f t="shared" ca="1" si="18"/>
        <v>(2026)</v>
      </c>
      <c r="K1192" s="7" t="str">
        <f t="shared" si="19"/>
        <v>25810112</v>
      </c>
      <c r="L1192" s="12" t="s">
        <v>5964</v>
      </c>
      <c r="M1192" s="13" t="str">
        <f ca="1">IFERROR(__xludf.DUMMYFUNCTION("TRIM(
  REGEXREPLACE(
    TEXTJOIN("" "",
      TRUE,
      B1192,
      C1192,
      embaralharLinks(E1192,F1192,G1192),
      H1192,
      """",
      J1192,
      N1192,
      ""#RIPNSFW""
    ),
  "",\s*"", "" "")
)"),"{New} Lucy Mochi https://streamtape.com/v/AAX8rdAkY0tXL44/25810112 https://doodstream.com/d/iciuv1qgub3s/25810112 https://lulustream.com/d/8r4ks5m384jq JackandJill (2026) #Creampie #Hardcore #Asian #Teen #RIPNSFW")</f>
        <v>{New} Lucy Mochi https://streamtape.com/v/AAX8rdAkY0tXL44/25810112 https://doodstream.com/d/iciuv1qgub3s/25810112 https://lulustream.com/d/8r4ks5m384jq JackandJill (2026) #Creampie #Hardcore #Asian #Teen #RIPNSFW</v>
      </c>
      <c r="N1192" s="14" t="s">
        <v>5965</v>
      </c>
      <c r="O1192" s="15" t="s">
        <v>5966</v>
      </c>
      <c r="P1192" s="14"/>
      <c r="Q1192" s="6"/>
      <c r="R1192" s="11"/>
      <c r="S1192" s="6"/>
      <c r="T1192" s="6"/>
      <c r="U1192" s="6"/>
      <c r="V1192" s="6"/>
      <c r="W1192" s="6"/>
      <c r="X1192" s="6"/>
      <c r="Y1192" s="6"/>
      <c r="Z1192" s="6"/>
      <c r="AA1192" s="6"/>
    </row>
    <row r="1193" spans="1:27" ht="12.75">
      <c r="A1193" s="12" t="s">
        <v>5967</v>
      </c>
      <c r="B1193" s="6" t="s">
        <v>14</v>
      </c>
      <c r="C1193" s="7" t="str">
        <f t="shared" si="16"/>
        <v xml:space="preserve">Lucy Mochi </v>
      </c>
      <c r="D1193" s="24" t="s">
        <v>5968</v>
      </c>
      <c r="E1193" s="25" t="s">
        <v>5969</v>
      </c>
      <c r="F1193" s="9" t="str">
        <f ca="1">IFERROR(__xludf.DUMMYFUNCTION("""https://streamtape.com/v/""&amp;
REGEXEXTRACT(O1193,""/thumb/([^/]+)/"")&amp;
""/""&amp;K1193"),"https://streamtape.com/v/2DOyBxOgzruZZxP/29122637")</f>
        <v>https://streamtape.com/v/2DOyBxOgzruZZxP/29122637</v>
      </c>
      <c r="G1193" s="10" t="e">
        <f t="shared" ca="1" si="17"/>
        <v>#NAME?</v>
      </c>
      <c r="H1193" s="11" t="str">
        <f ca="1">IFERROR(__xludf.DUMMYFUNCTION("IFERROR(SUBSTITUTE(SUBSTITUTE(REGEXEXTRACT(A1193, ""[^-]+- [^-]+- [^-]+ - (.+?)\.jpg""), "".jpg"", """"), ""-"", "", ""), """")"),"")</f>
        <v/>
      </c>
      <c r="I1193" s="6"/>
      <c r="J1193" s="7" t="str">
        <f t="shared" ca="1" si="18"/>
        <v>(2026)</v>
      </c>
      <c r="K1193" s="7" t="str">
        <f t="shared" si="19"/>
        <v>29122637</v>
      </c>
      <c r="L1193" s="12" t="s">
        <v>5970</v>
      </c>
      <c r="M1193" s="13" t="str">
        <f ca="1">IFERROR(__xludf.DUMMYFUNCTION("TRIM(
  REGEXREPLACE(
    TEXTJOIN("" "",
      TRUE,
      B1193,
      C1193,
      embaralharLinks(E1193,F1193,G1193),
      H1193,
      """",
      J1193,
      N1193,
      ""#RIPNSFW""
    ),
  "",\s*"", "" "")
)"),"{New} Lucy Mochi https://lulustream.com/d/n70agds24emq https://doodstream.com/d/7jkz05a17gpr/29122637 https://streamtape.com/v/2DOyBxOgzruZZxP/29122637 (2026) #creampie #asian #teen #blowjob #RIPNSFW")</f>
        <v>{New} Lucy Mochi https://lulustream.com/d/n70agds24emq https://doodstream.com/d/7jkz05a17gpr/29122637 https://streamtape.com/v/2DOyBxOgzruZZxP/29122637 (2026) #creampie #asian #teen #blowjob #RIPNSFW</v>
      </c>
      <c r="N1193" s="2" t="s">
        <v>5970</v>
      </c>
      <c r="O1193" s="30" t="s">
        <v>5971</v>
      </c>
      <c r="P1193" s="26"/>
      <c r="R1193" s="23"/>
      <c r="T1193" s="6"/>
      <c r="U1193" s="7"/>
    </row>
    <row r="1194" spans="1:27" ht="12.75">
      <c r="A1194" s="6" t="s">
        <v>5972</v>
      </c>
      <c r="B1194" s="6" t="s">
        <v>14</v>
      </c>
      <c r="C1194" s="7" t="str">
        <f t="shared" si="16"/>
        <v xml:space="preserve">Lucy Mochi </v>
      </c>
      <c r="D1194" s="6" t="s">
        <v>5973</v>
      </c>
      <c r="E1194" s="8" t="s">
        <v>5974</v>
      </c>
      <c r="F1194" s="9" t="str">
        <f ca="1">IFERROR(__xludf.DUMMYFUNCTION("""https://streamtape.com/v/""&amp;
REGEXEXTRACT(O1194,""/thumb/([^/]+)/"")&amp;
""/""&amp;K1194"),"https://streamtape.com/v/W8BxDe0aj6cbOJQ/29196588")</f>
        <v>https://streamtape.com/v/W8BxDe0aj6cbOJQ/29196588</v>
      </c>
      <c r="G1194" s="10" t="e">
        <f t="shared" ca="1" si="17"/>
        <v>#NAME?</v>
      </c>
      <c r="H1194" s="11" t="str">
        <f ca="1">IFERROR(__xludf.DUMMYFUNCTION("IFERROR(SUBSTITUTE(SUBSTITUTE(REGEXEXTRACT(A1194, ""[^-]+- [^-]+- [^-]+ - (.+?)\.jpg""), "".jpg"", """"), ""-"", "", ""), """")"),"")</f>
        <v/>
      </c>
      <c r="I1194" s="6"/>
      <c r="J1194" s="7" t="str">
        <f t="shared" ca="1" si="18"/>
        <v>(2026)</v>
      </c>
      <c r="K1194" s="7" t="str">
        <f t="shared" si="19"/>
        <v>29196588</v>
      </c>
      <c r="L1194" s="12" t="s">
        <v>5975</v>
      </c>
      <c r="M1194" s="13" t="str">
        <f ca="1">IFERROR(__xludf.DUMMYFUNCTION("TRIM(
  REGEXREPLACE(
    TEXTJOIN("" "",
      TRUE,
      B1194,
      C1194,
      embaralharLinks(E1194,F1194,G1194),
      H1194,
      """",
      J1194,
      N1194,
      ""#RIPNSFW""
    ),
  "",\s*"", "" "")
)"),"{New} Lucy Mochi https://lulustream.com/d/bnw7mrgnt19x https://doodstream.com/d/eil9jnwlpco5/29196588 https://streamtape.com/v/W8BxDe0aj6cbOJQ/29196588 (2026) #BigTits #Hardcore #Asian #Interracial #Porn #Teen #Blowjob #Deepthroat #RIPNSFW")</f>
        <v>{New} Lucy Mochi https://lulustream.com/d/bnw7mrgnt19x https://doodstream.com/d/eil9jnwlpco5/29196588 https://streamtape.com/v/W8BxDe0aj6cbOJQ/29196588 (2026) #BigTits #Hardcore #Asian #Interracial #Porn #Teen #Blowjob #Deepthroat #RIPNSFW</v>
      </c>
      <c r="N1194" s="14" t="s">
        <v>5976</v>
      </c>
      <c r="O1194" s="15" t="s">
        <v>5977</v>
      </c>
      <c r="P1194" s="14"/>
      <c r="Q1194" s="6"/>
      <c r="R1194" s="11"/>
      <c r="S1194" s="6"/>
      <c r="T1194" s="6"/>
      <c r="U1194" s="6"/>
      <c r="V1194" s="6"/>
      <c r="W1194" s="6"/>
      <c r="X1194" s="6"/>
      <c r="Y1194" s="6"/>
      <c r="Z1194" s="6"/>
      <c r="AA1194" s="6"/>
    </row>
    <row r="1195" spans="1:27" ht="12.75">
      <c r="A1195" s="12" t="s">
        <v>5978</v>
      </c>
      <c r="B1195" s="6" t="s">
        <v>14</v>
      </c>
      <c r="C1195" s="7" t="str">
        <f t="shared" si="16"/>
        <v xml:space="preserve">Lucy Mochi </v>
      </c>
      <c r="D1195" s="24" t="s">
        <v>5979</v>
      </c>
      <c r="E1195" s="25" t="s">
        <v>5980</v>
      </c>
      <c r="F1195" s="9" t="str">
        <f ca="1">IFERROR(__xludf.DUMMYFUNCTION("""https://streamtape.com/v/""&amp;
REGEXEXTRACT(O1195,""/thumb/([^/]+)/"")&amp;
""/""&amp;K1195"),"https://streamtape.com/v/QyA7eLzDadh04Bv/29795650")</f>
        <v>https://streamtape.com/v/QyA7eLzDadh04Bv/29795650</v>
      </c>
      <c r="G1195" s="10" t="e">
        <f t="shared" ca="1" si="17"/>
        <v>#NAME?</v>
      </c>
      <c r="H1195" s="11" t="str">
        <f ca="1">IFERROR(__xludf.DUMMYFUNCTION("IFERROR(SUBSTITUTE(SUBSTITUTE(REGEXEXTRACT(A1195, ""[^-]+- [^-]+- [^-]+ - (.+?)\.jpg""), "".jpg"", """"), ""-"", "", ""), """")"),"")</f>
        <v/>
      </c>
      <c r="I1195" s="6"/>
      <c r="J1195" s="7" t="str">
        <f t="shared" ca="1" si="18"/>
        <v>(2026)</v>
      </c>
      <c r="K1195" s="7" t="str">
        <f t="shared" si="19"/>
        <v>29795650</v>
      </c>
      <c r="L1195" s="12" t="s">
        <v>5981</v>
      </c>
      <c r="M1195" s="13" t="str">
        <f ca="1">IFERROR(__xludf.DUMMYFUNCTION("TRIM(
  REGEXREPLACE(
    TEXTJOIN("" "",
      TRUE,
      B1195,
      C1195,
      embaralharLinks(E1195,F1195,G1195),
      H1195,
      """",
      J1195,
      N1195,
      ""#RIPNSFW""
    ),
  "",\s*"", "" "")
)"),"{New} Lucy Mochi https://lulustream.com/d/aa9rsnagn8ie https://streamtape.com/v/QyA7eLzDadh04Bv/29795650 https://doodstream.com/d/7sw6nx7eihmu/29795650 (2026) #creampie #teen #asian #blowjob #RIPNSFW")</f>
        <v>{New} Lucy Mochi https://lulustream.com/d/aa9rsnagn8ie https://streamtape.com/v/QyA7eLzDadh04Bv/29795650 https://doodstream.com/d/7sw6nx7eihmu/29795650 (2026) #creampie #teen #asian #blowjob #RIPNSFW</v>
      </c>
      <c r="N1195" s="2" t="s">
        <v>5981</v>
      </c>
      <c r="O1195" s="30" t="s">
        <v>5982</v>
      </c>
      <c r="P1195" s="26"/>
      <c r="R1195" s="23"/>
      <c r="T1195" s="6"/>
      <c r="U1195" s="7"/>
    </row>
    <row r="1196" spans="1:27" ht="12.75">
      <c r="A1196" s="12" t="s">
        <v>5983</v>
      </c>
      <c r="B1196" s="6" t="s">
        <v>14</v>
      </c>
      <c r="C1196" s="7" t="str">
        <f t="shared" si="16"/>
        <v xml:space="preserve">Lucy Mochi </v>
      </c>
      <c r="D1196" s="24" t="s">
        <v>5984</v>
      </c>
      <c r="E1196" s="25" t="s">
        <v>5985</v>
      </c>
      <c r="F1196" s="9" t="str">
        <f ca="1">IFERROR(__xludf.DUMMYFUNCTION("""https://streamtape.com/v/""&amp;
REGEXEXTRACT(O1196,""/thumb/([^/]+)/"")&amp;
""/""&amp;K1196"),"https://streamtape.com/v/4mBjzegAA2fKaWx/31426357")</f>
        <v>https://streamtape.com/v/4mBjzegAA2fKaWx/31426357</v>
      </c>
      <c r="G1196" s="10" t="e">
        <f t="shared" ca="1" si="17"/>
        <v>#NAME?</v>
      </c>
      <c r="H1196" s="11" t="str">
        <f ca="1">IFERROR(__xludf.DUMMYFUNCTION("IFERROR(SUBSTITUTE(SUBSTITUTE(REGEXEXTRACT(A1196, ""[^-]+- [^-]+- [^-]+ - (.+?)\.jpg""), "".jpg"", """"), ""-"", "", ""), """")"),"")</f>
        <v/>
      </c>
      <c r="I1196" s="6"/>
      <c r="J1196" s="7" t="str">
        <f t="shared" ca="1" si="18"/>
        <v>(2026)</v>
      </c>
      <c r="K1196" s="7" t="str">
        <f t="shared" si="19"/>
        <v>31426357</v>
      </c>
      <c r="L1196" s="12" t="s">
        <v>5986</v>
      </c>
      <c r="M1196" s="13" t="str">
        <f ca="1">IFERROR(__xludf.DUMMYFUNCTION("TRIM(
  REGEXREPLACE(
    TEXTJOIN("" "",
      TRUE,
      B1196,
      C1196,
      embaralharLinks(E1196,F1196,G1196),
      H1196,
      """",
      J1196,
      N1196,
      ""#RIPNSFW""
    ),
  "",\s*"", "" "")
)"),"{New} Lucy Mochi https://doodstream.com/d/vsl09wz714t9/31426357 https://lulustream.com/d/3q0ovw4pq8xu https://streamtape.com/v/4mBjzegAA2fKaWx/31426357 (2026) #anal #teen #asian #blowjob #RIPNSFW")</f>
        <v>{New} Lucy Mochi https://doodstream.com/d/vsl09wz714t9/31426357 https://lulustream.com/d/3q0ovw4pq8xu https://streamtape.com/v/4mBjzegAA2fKaWx/31426357 (2026) #anal #teen #asian #blowjob #RIPNSFW</v>
      </c>
      <c r="N1196" s="2" t="s">
        <v>5986</v>
      </c>
      <c r="O1196" s="30" t="s">
        <v>5987</v>
      </c>
      <c r="P1196" s="26"/>
      <c r="R1196" s="23"/>
    </row>
    <row r="1197" spans="1:27" ht="12.75">
      <c r="A1197" s="6" t="s">
        <v>5988</v>
      </c>
      <c r="B1197" s="6" t="s">
        <v>14</v>
      </c>
      <c r="C1197" s="7" t="str">
        <f t="shared" si="16"/>
        <v xml:space="preserve">Lucy Mochi </v>
      </c>
      <c r="D1197" s="29" t="s">
        <v>5989</v>
      </c>
      <c r="E1197" s="8" t="s">
        <v>5990</v>
      </c>
      <c r="F1197" s="9" t="str">
        <f ca="1">IFERROR(__xludf.DUMMYFUNCTION("""https://streamtape.com/v/""&amp;
REGEXEXTRACT(O1197,""/thumb/([^/]+)/"")&amp;
""/""&amp;K1197"),"https://streamtape.com/v/4v4Z2dzkxZurrq/35825034")</f>
        <v>https://streamtape.com/v/4v4Z2dzkxZurrq/35825034</v>
      </c>
      <c r="G1197" s="10" t="e">
        <f t="shared" ca="1" si="17"/>
        <v>#NAME?</v>
      </c>
      <c r="H1197" s="11" t="str">
        <f ca="1">IFERROR(__xludf.DUMMYFUNCTION("IFERROR(SUBSTITUTE(SUBSTITUTE(REGEXEXTRACT(A1197, ""[^-]+- [^-]+- [^-]+ - (.+?)\.jpg""), "".jpg"", """"), ""-"", "", ""), """")"),"Jackandjill ,  EtherealClaire")</f>
        <v>Jackandjill ,  EtherealClaire</v>
      </c>
      <c r="I1197" s="6"/>
      <c r="J1197" s="7" t="str">
        <f t="shared" ca="1" si="18"/>
        <v>(2026)</v>
      </c>
      <c r="K1197" s="7" t="str">
        <f t="shared" si="19"/>
        <v>35825034</v>
      </c>
      <c r="L1197" s="12" t="s">
        <v>5991</v>
      </c>
      <c r="M1197" s="13" t="str">
        <f ca="1">IFERROR(__xludf.DUMMYFUNCTION("TRIM(
  REGEXREPLACE(
    TEXTJOIN("" "",
      TRUE,
      B1197,
      C1197,
      embaralharLinks(E1197,F1197,G1197),
      H1197,
      """",
      J1197,
      N1197,
      ""#RIPNSFW""
    ),
  "",\s*"", "" "")
)"),"{New} Lucy Mochi https://lulustream.com/d/tzhuodwm1hwo https://doodstream.com/d/l6b5udt7mkan/35825034 https://streamtape.com/v/4v4Z2dzkxZurrq/35825034 Jackandjill EtherealClaire (2026) #Creampie #Hardcore #Threesome #Interracial #Asian #Teen #Artporn #Tee"&amp;"ns #Blowjob #RIPNSFW")</f>
        <v>{New} Lucy Mochi https://lulustream.com/d/tzhuodwm1hwo https://doodstream.com/d/l6b5udt7mkan/35825034 https://streamtape.com/v/4v4Z2dzkxZurrq/35825034 Jackandjill EtherealClaire (2026) #Creampie #Hardcore #Threesome #Interracial #Asian #Teen #Artporn #Teens #Blowjob #RIPNSFW</v>
      </c>
      <c r="N1197" s="14" t="s">
        <v>5992</v>
      </c>
      <c r="O1197" s="32" t="s">
        <v>5993</v>
      </c>
      <c r="P1197" s="14"/>
      <c r="Q1197" s="6"/>
      <c r="R1197" s="11"/>
      <c r="S1197" s="6"/>
      <c r="T1197" s="6"/>
      <c r="U1197" s="6"/>
      <c r="V1197" s="6"/>
      <c r="W1197" s="6"/>
      <c r="X1197" s="6"/>
      <c r="Y1197" s="6"/>
      <c r="Z1197" s="6"/>
      <c r="AA1197" s="6"/>
    </row>
    <row r="1198" spans="1:27" ht="12.75">
      <c r="A1198" s="12" t="s">
        <v>5994</v>
      </c>
      <c r="B1198" s="6" t="s">
        <v>14</v>
      </c>
      <c r="C1198" s="7" t="str">
        <f t="shared" si="16"/>
        <v xml:space="preserve">Lucy Mochi </v>
      </c>
      <c r="D1198" s="24" t="s">
        <v>5995</v>
      </c>
      <c r="E1198" s="25" t="s">
        <v>5996</v>
      </c>
      <c r="F1198" s="9" t="str">
        <f ca="1">IFERROR(__xludf.DUMMYFUNCTION("""https://streamtape.com/v/""&amp;
REGEXEXTRACT(O1198,""/thumb/([^/]+)/"")&amp;
""/""&amp;K1198"),"https://streamtape.com/v/BGwxAoGadOiykOq/36879561")</f>
        <v>https://streamtape.com/v/BGwxAoGadOiykOq/36879561</v>
      </c>
      <c r="G1198" s="10" t="e">
        <f t="shared" ca="1" si="17"/>
        <v>#NAME?</v>
      </c>
      <c r="H1198" s="11" t="str">
        <f ca="1">IFERROR(__xludf.DUMMYFUNCTION("IFERROR(SUBSTITUTE(SUBSTITUTE(REGEXEXTRACT(A1198, ""[^-]+- [^-]+- [^-]+ - (.+?)\.jpg""), "".jpg"", """"), ""-"", "", ""), """")"),"")</f>
        <v/>
      </c>
      <c r="I1198" s="6"/>
      <c r="J1198" s="7" t="str">
        <f t="shared" ca="1" si="18"/>
        <v>(2026)</v>
      </c>
      <c r="K1198" s="7" t="str">
        <f t="shared" si="19"/>
        <v>36879561</v>
      </c>
      <c r="L1198" s="12" t="s">
        <v>5997</v>
      </c>
      <c r="M1198" s="13" t="str">
        <f ca="1">IFERROR(__xludf.DUMMYFUNCTION("TRIM(
  REGEXREPLACE(
    TEXTJOIN("" "",
      TRUE,
      B1198,
      C1198,
      embaralharLinks(E1198,F1198,G1198),
      H1198,
      """",
      J1198,
      N1198,
      ""#RIPNSFW""
    ),
  "",\s*"", "" "")
)"),"{New} Lucy Mochi https://lulustream.com/d/mnwhnzombcag https://streamtape.com/v/BGwxAoGadOiykOq/36879561 https://doodstream.com/d/4ofzry9hcbpl/36879561 (2026) #teen #asian #blowjob #threesome #RIPNSFW")</f>
        <v>{New} Lucy Mochi https://lulustream.com/d/mnwhnzombcag https://streamtape.com/v/BGwxAoGadOiykOq/36879561 https://doodstream.com/d/4ofzry9hcbpl/36879561 (2026) #teen #asian #blowjob #threesome #RIPNSFW</v>
      </c>
      <c r="N1198" s="2" t="s">
        <v>5997</v>
      </c>
      <c r="O1198" s="30" t="s">
        <v>5998</v>
      </c>
      <c r="P1198" s="26"/>
      <c r="R1198" s="23"/>
    </row>
    <row r="1199" spans="1:27" ht="12.75">
      <c r="A1199" s="12" t="s">
        <v>5999</v>
      </c>
      <c r="B1199" s="6" t="s">
        <v>14</v>
      </c>
      <c r="C1199" s="7" t="str">
        <f t="shared" si="16"/>
        <v xml:space="preserve">Lucy Mochi </v>
      </c>
      <c r="D1199" s="27" t="s">
        <v>6000</v>
      </c>
      <c r="E1199" s="28" t="s">
        <v>6001</v>
      </c>
      <c r="F1199" s="9" t="str">
        <f ca="1">IFERROR(__xludf.DUMMYFUNCTION("""https://streamtape.com/v/""&amp;
REGEXEXTRACT(O1199,""/thumb/([^/]+)/"")&amp;
""/""&amp;K1199"),"https://streamtape.com/v/kbDjkvGLM7fOXDo/40363312")</f>
        <v>https://streamtape.com/v/kbDjkvGLM7fOXDo/40363312</v>
      </c>
      <c r="G1199" s="10" t="e">
        <f t="shared" ca="1" si="17"/>
        <v>#NAME?</v>
      </c>
      <c r="H1199" s="11" t="str">
        <f ca="1">IFERROR(__xludf.DUMMYFUNCTION("IFERROR(SUBSTITUTE(SUBSTITUTE(REGEXEXTRACT(A1199, ""[^-]+- [^-]+- [^-]+ - (.+?)\.jpg""), "".jpg"", """"), ""-"", "", ""), """")"),"AliceOnCam")</f>
        <v>AliceOnCam</v>
      </c>
      <c r="I1199" s="6"/>
      <c r="J1199" s="7" t="str">
        <f t="shared" ca="1" si="18"/>
        <v>(2026)</v>
      </c>
      <c r="K1199" s="7" t="str">
        <f t="shared" si="19"/>
        <v>40363312</v>
      </c>
      <c r="L1199" s="12" t="s">
        <v>6002</v>
      </c>
      <c r="M1199" s="13" t="str">
        <f ca="1">IFERROR(__xludf.DUMMYFUNCTION("TRIM(
  REGEXREPLACE(
    TEXTJOIN("" "",
      TRUE,
      B1199,
      C1199,
      embaralharLinks(E1199,F1199,G1199),
      H1199,
      """",
      J1199,
      N1199,
      ""#RIPNSFW""
    ),
  "",\s*"", "" "")
)"),"{New} Lucy Mochi https://lulustream.com/d/260zvhweefxy https://streamtape.com/v/kbDjkvGLM7fOXDo/40363312 https://doodstream.com/d/u8rtyh2vzs7x/40363312 AliceOnCam (2026) #Creampie #Hardcore #Asian #Threesome #RIPNSFW")</f>
        <v>{New} Lucy Mochi https://lulustream.com/d/260zvhweefxy https://streamtape.com/v/kbDjkvGLM7fOXDo/40363312 https://doodstream.com/d/u8rtyh2vzs7x/40363312 AliceOnCam (2026) #Creampie #Hardcore #Asian #Threesome #RIPNSFW</v>
      </c>
      <c r="N1199" s="2" t="s">
        <v>6003</v>
      </c>
      <c r="O1199" s="30" t="s">
        <v>6004</v>
      </c>
      <c r="P1199" s="26"/>
      <c r="R1199" s="23"/>
    </row>
    <row r="1200" spans="1:27" ht="12.75">
      <c r="A1200" s="6" t="s">
        <v>6005</v>
      </c>
      <c r="B1200" s="6" t="s">
        <v>14</v>
      </c>
      <c r="C1200" s="7" t="str">
        <f t="shared" si="16"/>
        <v xml:space="preserve">Lucy Mochi </v>
      </c>
      <c r="D1200" s="6" t="s">
        <v>6006</v>
      </c>
      <c r="E1200" s="8" t="s">
        <v>6007</v>
      </c>
      <c r="F1200" s="9" t="str">
        <f ca="1">IFERROR(__xludf.DUMMYFUNCTION("""https://streamtape.com/v/""&amp;
REGEXEXTRACT(O1200,""/thumb/([^/]+)/"")&amp;
""/""&amp;K1200"),"https://streamtape.com/v/QwbZo7WP0gt0l80/40777494")</f>
        <v>https://streamtape.com/v/QwbZo7WP0gt0l80/40777494</v>
      </c>
      <c r="G1200" s="10" t="e">
        <f t="shared" ca="1" si="17"/>
        <v>#NAME?</v>
      </c>
      <c r="H1200" s="11" t="str">
        <f ca="1">IFERROR(__xludf.DUMMYFUNCTION("IFERROR(SUBSTITUTE(SUBSTITUTE(REGEXEXTRACT(A1200, ""[^-]+- [^-]+- [^-]+ - (.+?)\.jpg""), "".jpg"", """"), ""-"", "", ""), """")"),"")</f>
        <v/>
      </c>
      <c r="I1200" s="6"/>
      <c r="J1200" s="7" t="str">
        <f t="shared" ca="1" si="18"/>
        <v>(2026)</v>
      </c>
      <c r="K1200" s="7" t="str">
        <f t="shared" si="19"/>
        <v>40777494</v>
      </c>
      <c r="L1200" s="12" t="s">
        <v>6008</v>
      </c>
      <c r="M1200" s="13" t="str">
        <f ca="1">IFERROR(__xludf.DUMMYFUNCTION("TRIM(
  REGEXREPLACE(
    TEXTJOIN("" "",
      TRUE,
      B1200,
      C1200,
      embaralharLinks(E1200,F1200,G1200),
      H1200,
      """",
      J1200,
      N1200,
      ""#RIPNSFW""
    ),
  "",\s*"", "" "")
)"),"{New} Lucy Mochi https://lulustream.com/d/dm2pjdbqvrbs https://streamtape.com/v/QwbZo7WP0gt0l80/40777494 https://doodstream.com/d/csnc5e63u2c0/40777494 (2026) #BigTits #Hardcore #Asian #Black #Interracial #Porn #RIPNSFW")</f>
        <v>{New} Lucy Mochi https://lulustream.com/d/dm2pjdbqvrbs https://streamtape.com/v/QwbZo7WP0gt0l80/40777494 https://doodstream.com/d/csnc5e63u2c0/40777494 (2026) #BigTits #Hardcore #Asian #Black #Interracial #Porn #RIPNSFW</v>
      </c>
      <c r="N1200" s="14" t="s">
        <v>6009</v>
      </c>
      <c r="O1200" s="15" t="s">
        <v>6010</v>
      </c>
      <c r="P1200" s="14"/>
      <c r="Q1200" s="6"/>
      <c r="R1200" s="11"/>
      <c r="S1200" s="6"/>
      <c r="T1200" s="6"/>
      <c r="U1200" s="6"/>
      <c r="V1200" s="6"/>
      <c r="W1200" s="6"/>
      <c r="X1200" s="6"/>
      <c r="Y1200" s="6"/>
      <c r="Z1200" s="6"/>
      <c r="AA1200" s="6"/>
    </row>
    <row r="1201" spans="1:27" ht="12.75">
      <c r="A1201" s="6" t="s">
        <v>6011</v>
      </c>
      <c r="B1201" s="6" t="s">
        <v>14</v>
      </c>
      <c r="C1201" s="7" t="str">
        <f t="shared" si="16"/>
        <v xml:space="preserve">Lucy Mochi </v>
      </c>
      <c r="D1201" s="6" t="s">
        <v>6012</v>
      </c>
      <c r="E1201" s="8" t="s">
        <v>6013</v>
      </c>
      <c r="F1201" s="9" t="str">
        <f ca="1">IFERROR(__xludf.DUMMYFUNCTION("""https://streamtape.com/v/""&amp;
REGEXEXTRACT(O1201,""/thumb/([^/]+)/"")&amp;
""/""&amp;K1201"),"https://streamtape.com/v/Z2PB77G7zriM66/43122219")</f>
        <v>https://streamtape.com/v/Z2PB77G7zriM66/43122219</v>
      </c>
      <c r="G1201" s="10" t="e">
        <f t="shared" ca="1" si="17"/>
        <v>#NAME?</v>
      </c>
      <c r="H1201" s="11" t="str">
        <f ca="1">IFERROR(__xludf.DUMMYFUNCTION("IFERROR(SUBSTITUTE(SUBSTITUTE(REGEXEXTRACT(A1201, ""[^-]+- [^-]+- [^-]+ - (.+?)\.jpg""), "".jpg"", """"), ""-"", "", ""), """")"),"Georgia Stone")</f>
        <v>Georgia Stone</v>
      </c>
      <c r="I1201" s="6"/>
      <c r="J1201" s="7" t="str">
        <f t="shared" ca="1" si="18"/>
        <v>(2026)</v>
      </c>
      <c r="K1201" s="7" t="str">
        <f t="shared" si="19"/>
        <v>43122219</v>
      </c>
      <c r="L1201" s="12" t="s">
        <v>6014</v>
      </c>
      <c r="M1201" s="13" t="str">
        <f ca="1">IFERROR(__xludf.DUMMYFUNCTION("TRIM(
  REGEXREPLACE(
    TEXTJOIN("" "",
      TRUE,
      B1201,
      C1201,
      embaralharLinks(E1201,F1201,G1201),
      H1201,
      """",
      J1201,
      N1201,
      ""#RIPNSFW""
    ),
  "",\s*"", "" "")
)"),"{New} Lucy Mochi https://doodstream.com/d/qanzhz7gvx2h/43122219 https://lulustream.com/d/ardvsp7ue1pp https://streamtape.com/v/Z2PB77G7zriM66/43122219 Georgia Stone (2026) #BigTits #Hardcore #Threesome #Teen #Asian #Amateur #RIPNSFW")</f>
        <v>{New} Lucy Mochi https://doodstream.com/d/qanzhz7gvx2h/43122219 https://lulustream.com/d/ardvsp7ue1pp https://streamtape.com/v/Z2PB77G7zriM66/43122219 Georgia Stone (2026) #BigTits #Hardcore #Threesome #Teen #Asian #Amateur #RIPNSFW</v>
      </c>
      <c r="N1201" s="14" t="s">
        <v>6015</v>
      </c>
      <c r="O1201" s="15" t="s">
        <v>6016</v>
      </c>
      <c r="P1201" s="14"/>
      <c r="Q1201" s="6"/>
      <c r="R1201" s="11"/>
      <c r="S1201" s="6"/>
      <c r="T1201" s="6"/>
      <c r="U1201" s="6"/>
      <c r="V1201" s="6"/>
      <c r="W1201" s="6"/>
      <c r="X1201" s="6"/>
      <c r="Y1201" s="6"/>
      <c r="Z1201" s="6"/>
      <c r="AA1201" s="6"/>
    </row>
    <row r="1202" spans="1:27" ht="12.75">
      <c r="A1202" s="12" t="s">
        <v>6017</v>
      </c>
      <c r="B1202" s="6" t="s">
        <v>14</v>
      </c>
      <c r="C1202" s="7" t="str">
        <f t="shared" si="16"/>
        <v xml:space="preserve">Lucy Mochi </v>
      </c>
      <c r="D1202" s="27" t="s">
        <v>6018</v>
      </c>
      <c r="E1202" s="28" t="s">
        <v>6019</v>
      </c>
      <c r="F1202" s="9" t="str">
        <f ca="1">IFERROR(__xludf.DUMMYFUNCTION("""https://streamtape.com/v/""&amp;
REGEXEXTRACT(O1202,""/thumb/([^/]+)/"")&amp;
""/""&amp;K1202"),"https://streamtape.com/v/GKG1mAl1BZU1Xw6/48837763")</f>
        <v>https://streamtape.com/v/GKG1mAl1BZU1Xw6/48837763</v>
      </c>
      <c r="G1202" s="10" t="e">
        <f t="shared" ca="1" si="17"/>
        <v>#NAME?</v>
      </c>
      <c r="H1202" s="11" t="str">
        <f ca="1">IFERROR(__xludf.DUMMYFUNCTION("IFERROR(SUBSTITUTE(SUBSTITUTE(REGEXEXTRACT(A1202, ""[^-]+- [^-]+- [^-]+ - (.+?)\.jpg""), "".jpg"", """"), ""-"", "", ""), """")"),"")</f>
        <v/>
      </c>
      <c r="I1202" s="6"/>
      <c r="J1202" s="7" t="str">
        <f t="shared" ca="1" si="18"/>
        <v>(2026)</v>
      </c>
      <c r="K1202" s="7" t="str">
        <f t="shared" si="19"/>
        <v>48837763</v>
      </c>
      <c r="L1202" s="12" t="s">
        <v>6020</v>
      </c>
      <c r="M1202" s="13" t="str">
        <f ca="1">IFERROR(__xludf.DUMMYFUNCTION("TRIM(
  REGEXREPLACE(
    TEXTJOIN("" "",
      TRUE,
      B1202,
      C1202,
      embaralharLinks(E1202,F1202,G1202),
      H1202,
      """",
      J1202,
      N1202,
      ""#RIPNSFW""
    ),
  "",\s*"", "" "")
)"),"{New} Lucy Mochi https://lulustream.com/d/ey6jh857e4te https://streamtape.com/v/GKG1mAl1BZU1Xw6/48837763 https://doodstream.com/d/itkxi8prgki5/48837763 (2026) #Hardcore #Asian #Teen #Blowjob #RIPNSFW")</f>
        <v>{New} Lucy Mochi https://lulustream.com/d/ey6jh857e4te https://streamtape.com/v/GKG1mAl1BZU1Xw6/48837763 https://doodstream.com/d/itkxi8prgki5/48837763 (2026) #Hardcore #Asian #Teen #Blowjob #RIPNSFW</v>
      </c>
      <c r="N1202" s="2" t="s">
        <v>6021</v>
      </c>
      <c r="O1202" s="30" t="s">
        <v>6022</v>
      </c>
      <c r="P1202" s="26"/>
      <c r="R1202" s="23"/>
    </row>
    <row r="1203" spans="1:27" ht="12.75">
      <c r="A1203" s="12" t="s">
        <v>6023</v>
      </c>
      <c r="B1203" s="6" t="s">
        <v>14</v>
      </c>
      <c r="C1203" s="7" t="str">
        <f t="shared" si="16"/>
        <v xml:space="preserve">Lucy Mochi </v>
      </c>
      <c r="D1203" s="24" t="s">
        <v>6024</v>
      </c>
      <c r="E1203" s="25" t="s">
        <v>6025</v>
      </c>
      <c r="F1203" s="9" t="str">
        <f ca="1">IFERROR(__xludf.DUMMYFUNCTION("""https://streamtape.com/v/""&amp;
REGEXEXTRACT(O1203,""/thumb/([^/]+)/"")&amp;
""/""&amp;K1203"),"https://streamtape.com/v/GQyPQLpYz9t1Dmb/54228852")</f>
        <v>https://streamtape.com/v/GQyPQLpYz9t1Dmb/54228852</v>
      </c>
      <c r="G1203" s="10" t="e">
        <f t="shared" ca="1" si="17"/>
        <v>#NAME?</v>
      </c>
      <c r="H1203" s="11" t="str">
        <f ca="1">IFERROR(__xludf.DUMMYFUNCTION("IFERROR(SUBSTITUTE(SUBSTITUTE(REGEXEXTRACT(A1203, ""[^-]+- [^-]+- [^-]+ - (.+?)\.jpg""), "".jpg"", """"), ""-"", "", ""), """")"),"")</f>
        <v/>
      </c>
      <c r="I1203" s="6"/>
      <c r="J1203" s="7" t="str">
        <f t="shared" ca="1" si="18"/>
        <v>(2026)</v>
      </c>
      <c r="K1203" s="7" t="str">
        <f t="shared" si="19"/>
        <v>54228852</v>
      </c>
      <c r="L1203" s="12" t="s">
        <v>6026</v>
      </c>
      <c r="M1203" s="13" t="str">
        <f ca="1">IFERROR(__xludf.DUMMYFUNCTION("TRIM(
  REGEXREPLACE(
    TEXTJOIN("" "",
      TRUE,
      B1203,
      C1203,
      embaralharLinks(E1203,F1203,G1203),
      H1203,
      """",
      J1203,
      N1203,
      ""#RIPNSFW""
    ),
  "",\s*"", "" "")
)"),"{New} Lucy Mochi https://streamtape.com/v/GQyPQLpYz9t1Dmb/54228852 https://lulustream.com/d/2bcobaa1diie https://doodstream.com/d/1ai4quoywkkz/54228852 (2026) #anal #teen #asian #facial #RIPNSFW")</f>
        <v>{New} Lucy Mochi https://streamtape.com/v/GQyPQLpYz9t1Dmb/54228852 https://lulustream.com/d/2bcobaa1diie https://doodstream.com/d/1ai4quoywkkz/54228852 (2026) #anal #teen #asian #facial #RIPNSFW</v>
      </c>
      <c r="N1203" s="2" t="s">
        <v>6026</v>
      </c>
      <c r="O1203" s="30" t="s">
        <v>6027</v>
      </c>
      <c r="P1203" s="26"/>
      <c r="R1203" s="23"/>
      <c r="T1203" s="6"/>
      <c r="U1203" s="7"/>
    </row>
    <row r="1204" spans="1:27" ht="12.75">
      <c r="A1204" s="6" t="s">
        <v>6028</v>
      </c>
      <c r="B1204" s="6" t="s">
        <v>14</v>
      </c>
      <c r="C1204" s="7" t="str">
        <f t="shared" si="16"/>
        <v xml:space="preserve">Lucy Mochi </v>
      </c>
      <c r="D1204" s="24" t="s">
        <v>6029</v>
      </c>
      <c r="E1204" s="25" t="s">
        <v>6030</v>
      </c>
      <c r="F1204" s="9" t="str">
        <f ca="1">IFERROR(__xludf.DUMMYFUNCTION("""https://streamtape.com/v/""&amp;
REGEXEXTRACT(O1204,""/thumb/([^/]+)/"")&amp;
""/""&amp;K1204"),"https://streamtape.com/v/1By8ree3q1fbza/66984989")</f>
        <v>https://streamtape.com/v/1By8ree3q1fbza/66984989</v>
      </c>
      <c r="G1204" s="10" t="e">
        <f t="shared" ca="1" si="17"/>
        <v>#NAME?</v>
      </c>
      <c r="H1204" s="11" t="str">
        <f ca="1">IFERROR(__xludf.DUMMYFUNCTION("IFERROR(SUBSTITUTE(SUBSTITUTE(REGEXEXTRACT(A1204, ""[^-]+- [^-]+- [^-]+ - (.+?)\.jpg""), "".jpg"", """"), ""-"", "", ""), """")"),"")</f>
        <v/>
      </c>
      <c r="I1204" s="6"/>
      <c r="J1204" s="7" t="str">
        <f t="shared" ca="1" si="18"/>
        <v>(2026)</v>
      </c>
      <c r="K1204" s="7" t="str">
        <f t="shared" si="19"/>
        <v>66984989</v>
      </c>
      <c r="L1204" s="12" t="s">
        <v>6031</v>
      </c>
      <c r="M1204" s="13" t="str">
        <f ca="1">IFERROR(__xludf.DUMMYFUNCTION("TRIM(
  REGEXREPLACE(
    TEXTJOIN("" "",
      TRUE,
      B1204,
      C1204,
      embaralharLinks(E1204,F1204,G1204),
      H1204,
      """",
      J1204,
      N1204,
      ""#RIPNSFW""
    ),
  "",\s*"", "" "")
)"),"{New} Lucy Mochi https://doodstream.com/d/4ojaxoykxobr/66984989 https://streamtape.com/v/1By8ree3q1fbza/66984989 https://lulustream.com/d/5qxveibtpwht (2026) #teen #asian #anal #blowjob #RIPNSFW")</f>
        <v>{New} Lucy Mochi https://doodstream.com/d/4ojaxoykxobr/66984989 https://streamtape.com/v/1By8ree3q1fbza/66984989 https://lulustream.com/d/5qxveibtpwht (2026) #teen #asian #anal #blowjob #RIPNSFW</v>
      </c>
      <c r="N1204" s="31" t="s">
        <v>6031</v>
      </c>
      <c r="O1204" s="32" t="s">
        <v>6032</v>
      </c>
      <c r="P1204" s="26"/>
      <c r="Q1204" s="6"/>
      <c r="R1204" s="11"/>
      <c r="S1204" s="6"/>
      <c r="T1204" s="6"/>
      <c r="U1204" s="6"/>
      <c r="V1204" s="6"/>
      <c r="W1204" s="6"/>
      <c r="X1204" s="6"/>
      <c r="Y1204" s="6"/>
      <c r="Z1204" s="6"/>
      <c r="AA1204" s="6"/>
    </row>
    <row r="1205" spans="1:27" ht="12.75">
      <c r="A1205" s="6" t="s">
        <v>6033</v>
      </c>
      <c r="B1205" s="6" t="s">
        <v>14</v>
      </c>
      <c r="C1205" s="7" t="str">
        <f t="shared" si="16"/>
        <v xml:space="preserve">Lucy Mochi </v>
      </c>
      <c r="D1205" s="6" t="s">
        <v>6034</v>
      </c>
      <c r="E1205" s="8" t="s">
        <v>6035</v>
      </c>
      <c r="F1205" s="9" t="str">
        <f ca="1">IFERROR(__xludf.DUMMYFUNCTION("""https://streamtape.com/v/""&amp;
REGEXEXTRACT(O1205,""/thumb/([^/]+)/"")&amp;
""/""&amp;K1205"),"https://streamtape.com/v/kKryYXPpbXcQRG/82807987")</f>
        <v>https://streamtape.com/v/kKryYXPpbXcQRG/82807987</v>
      </c>
      <c r="G1205" s="10" t="e">
        <f t="shared" ca="1" si="17"/>
        <v>#NAME?</v>
      </c>
      <c r="H1205" s="11" t="str">
        <f ca="1">IFERROR(__xludf.DUMMYFUNCTION("IFERROR(SUBSTITUTE(SUBSTITUTE(REGEXEXTRACT(A1205, ""[^-]+- [^-]+- [^-]+ - (.+?)\.jpg""), "".jpg"", """"), ""-"", "", ""), """")"),"Clara Trinity")</f>
        <v>Clara Trinity</v>
      </c>
      <c r="I1205" s="6"/>
      <c r="J1205" s="7" t="str">
        <f t="shared" ca="1" si="18"/>
        <v>(2026)</v>
      </c>
      <c r="K1205" s="7" t="str">
        <f t="shared" si="19"/>
        <v>82807987</v>
      </c>
      <c r="L1205" s="12" t="s">
        <v>6036</v>
      </c>
      <c r="M1205" s="13" t="str">
        <f ca="1">IFERROR(__xludf.DUMMYFUNCTION("TRIM(
  REGEXREPLACE(
    TEXTJOIN("" "",
      TRUE,
      B1205,
      C1205,
      embaralharLinks(E1205,F1205,G1205),
      H1205,
      """",
      J1205,
      N1205,
      ""#RIPNSFW""
    ),
  "",\s*"", "" "")
)"),"{New} Lucy Mochi https://doodstream.com/d/67wdbaqinx5v/82807987 https://lulustream.com/d/ljthr300jho2 https://streamtape.com/v/kKryYXPpbXcQRG/82807987 Clara Trinity (2026) #BigTits #Hardcore #Asian #Threesome #Teen #RIPNSFW")</f>
        <v>{New} Lucy Mochi https://doodstream.com/d/67wdbaqinx5v/82807987 https://lulustream.com/d/ljthr300jho2 https://streamtape.com/v/kKryYXPpbXcQRG/82807987 Clara Trinity (2026) #BigTits #Hardcore #Asian #Threesome #Teen #RIPNSFW</v>
      </c>
      <c r="N1205" s="14" t="s">
        <v>6037</v>
      </c>
      <c r="O1205" s="15" t="s">
        <v>6038</v>
      </c>
      <c r="P1205" s="14"/>
      <c r="Q1205" s="6"/>
      <c r="R1205" s="11"/>
      <c r="S1205" s="6"/>
      <c r="T1205" s="6"/>
      <c r="U1205" s="6"/>
      <c r="V1205" s="6"/>
      <c r="W1205" s="6"/>
      <c r="X1205" s="6"/>
      <c r="Y1205" s="6"/>
      <c r="Z1205" s="6"/>
      <c r="AA1205" s="6"/>
    </row>
    <row r="1206" spans="1:27" ht="12.75">
      <c r="A1206" s="12" t="s">
        <v>6039</v>
      </c>
      <c r="B1206" s="6" t="s">
        <v>14</v>
      </c>
      <c r="C1206" s="7" t="str">
        <f t="shared" si="16"/>
        <v xml:space="preserve">Lucy Mochi </v>
      </c>
      <c r="D1206" s="24" t="s">
        <v>6040</v>
      </c>
      <c r="E1206" s="25" t="s">
        <v>6041</v>
      </c>
      <c r="F1206" s="9" t="str">
        <f ca="1">IFERROR(__xludf.DUMMYFUNCTION("""https://streamtape.com/v/""&amp;
REGEXEXTRACT(O1206,""/thumb/([^/]+)/"")&amp;
""/""&amp;K1206"),"https://streamtape.com/v/PkWZ3la1ZyC0j7w/89542094")</f>
        <v>https://streamtape.com/v/PkWZ3la1ZyC0j7w/89542094</v>
      </c>
      <c r="G1206" s="10" t="e">
        <f t="shared" ca="1" si="17"/>
        <v>#NAME?</v>
      </c>
      <c r="H1206" s="11" t="str">
        <f ca="1">IFERROR(__xludf.DUMMYFUNCTION("IFERROR(SUBSTITUTE(SUBSTITUTE(REGEXEXTRACT(A1206, ""[^-]+- [^-]+- [^-]+ - (.+?)\.jpg""), "".jpg"", """"), ""-"", "", ""), """")"),"")</f>
        <v/>
      </c>
      <c r="I1206" s="6"/>
      <c r="J1206" s="7" t="str">
        <f t="shared" ca="1" si="18"/>
        <v>(2026)</v>
      </c>
      <c r="K1206" s="7" t="str">
        <f t="shared" si="19"/>
        <v>89542094</v>
      </c>
      <c r="L1206" s="12" t="s">
        <v>6042</v>
      </c>
      <c r="M1206" s="13" t="str">
        <f ca="1">IFERROR(__xludf.DUMMYFUNCTION("TRIM(
  REGEXREPLACE(
    TEXTJOIN("" "",
      TRUE,
      B1206,
      C1206,
      embaralharLinks(E1206,F1206,G1206),
      H1206,
      """",
      J1206,
      N1206,
      ""#RIPNSFW""
    ),
  "",\s*"", "" "")
)"),"{New} Lucy Mochi https://lulustream.com/d/galueit23gsu https://streamtape.com/v/PkWZ3la1ZyC0j7w/89542094 https://doodstream.com/d/kq8e6z2013d7/89542094 (2026) #anal #teen #asian #creampie #RIPNSFW")</f>
        <v>{New} Lucy Mochi https://lulustream.com/d/galueit23gsu https://streamtape.com/v/PkWZ3la1ZyC0j7w/89542094 https://doodstream.com/d/kq8e6z2013d7/89542094 (2026) #anal #teen #asian #creampie #RIPNSFW</v>
      </c>
      <c r="N1206" s="2" t="s">
        <v>6042</v>
      </c>
      <c r="O1206" s="30" t="s">
        <v>6043</v>
      </c>
      <c r="P1206" s="26"/>
      <c r="R1206" s="23"/>
      <c r="T1206" s="6"/>
      <c r="U1206" s="7"/>
    </row>
    <row r="1207" spans="1:27" ht="12.75">
      <c r="A1207" s="6" t="s">
        <v>6044</v>
      </c>
      <c r="B1207" s="6" t="s">
        <v>14</v>
      </c>
      <c r="C1207" s="7" t="str">
        <f t="shared" si="16"/>
        <v xml:space="preserve">Lucy Mochi </v>
      </c>
      <c r="D1207" s="6" t="s">
        <v>6045</v>
      </c>
      <c r="E1207" s="8" t="s">
        <v>6046</v>
      </c>
      <c r="F1207" s="9" t="str">
        <f ca="1">IFERROR(__xludf.DUMMYFUNCTION("""https://streamtape.com/v/""&amp;
REGEXEXTRACT(O1207,""/thumb/([^/]+)/"")&amp;
""/""&amp;K1207"),"https://streamtape.com/v/ggZWzrzk6viqo8d/93294370")</f>
        <v>https://streamtape.com/v/ggZWzrzk6viqo8d/93294370</v>
      </c>
      <c r="G1207" s="10" t="e">
        <f t="shared" ca="1" si="17"/>
        <v>#NAME?</v>
      </c>
      <c r="H1207" s="11" t="str">
        <f ca="1">IFERROR(__xludf.DUMMYFUNCTION("IFERROR(SUBSTITUTE(SUBSTITUTE(REGEXEXTRACT(A1207, ""[^-]+- [^-]+- [^-]+ - (.+?)\.jpg""), "".jpg"", """"), ""-"", "", ""), """")"),"")</f>
        <v/>
      </c>
      <c r="I1207" s="6"/>
      <c r="J1207" s="7" t="str">
        <f t="shared" ca="1" si="18"/>
        <v>(2026)</v>
      </c>
      <c r="K1207" s="7" t="str">
        <f t="shared" si="19"/>
        <v>93294370</v>
      </c>
      <c r="L1207" s="12" t="s">
        <v>6047</v>
      </c>
      <c r="M1207" s="13" t="str">
        <f ca="1">IFERROR(__xludf.DUMMYFUNCTION("TRIM(
  REGEXREPLACE(
    TEXTJOIN("" "",
      TRUE,
      B1207,
      C1207,
      embaralharLinks(E1207,F1207,G1207),
      H1207,
      """",
      J1207,
      N1207,
      ""#RIPNSFW""
    ),
  "",\s*"", "" "")
)"),"{New} Lucy Mochi https://lulustream.com/d/98orjiynqydm https://streamtape.com/v/ggZWzrzk6viqo8d/93294370 https://doodstream.com/d/3wrjn5nb97dl/93294370 (2026) #BigTits #Hardcore #Asian #Threesome #Interracial #RIPNSFW")</f>
        <v>{New} Lucy Mochi https://lulustream.com/d/98orjiynqydm https://streamtape.com/v/ggZWzrzk6viqo8d/93294370 https://doodstream.com/d/3wrjn5nb97dl/93294370 (2026) #BigTits #Hardcore #Asian #Threesome #Interracial #RIPNSFW</v>
      </c>
      <c r="N1207" s="14" t="s">
        <v>6048</v>
      </c>
      <c r="O1207" s="15" t="s">
        <v>6049</v>
      </c>
      <c r="P1207" s="14"/>
      <c r="Q1207" s="6"/>
      <c r="R1207" s="11"/>
      <c r="S1207" s="6"/>
      <c r="T1207" s="6"/>
      <c r="U1207" s="6"/>
      <c r="V1207" s="6"/>
      <c r="W1207" s="6"/>
      <c r="X1207" s="6"/>
      <c r="Y1207" s="6"/>
      <c r="Z1207" s="6"/>
      <c r="AA1207" s="6"/>
    </row>
    <row r="1208" spans="1:27" ht="12.75">
      <c r="A1208" s="12" t="s">
        <v>6050</v>
      </c>
      <c r="B1208" s="6" t="s">
        <v>14</v>
      </c>
      <c r="C1208" s="7" t="str">
        <f t="shared" si="16"/>
        <v xml:space="preserve">Lucy Mochi </v>
      </c>
      <c r="D1208" s="24" t="s">
        <v>6051</v>
      </c>
      <c r="E1208" s="25" t="s">
        <v>6052</v>
      </c>
      <c r="F1208" s="9" t="str">
        <f ca="1">IFERROR(__xludf.DUMMYFUNCTION("""https://streamtape.com/v/""&amp;
REGEXEXTRACT(O1208,""/thumb/([^/]+)/"")&amp;
""/""&amp;K1208"),"https://streamtape.com/v/84vaaPbW8wIMl8/99388211")</f>
        <v>https://streamtape.com/v/84vaaPbW8wIMl8/99388211</v>
      </c>
      <c r="G1208" s="10" t="e">
        <f t="shared" ca="1" si="17"/>
        <v>#NAME?</v>
      </c>
      <c r="H1208" s="11" t="str">
        <f ca="1">IFERROR(__xludf.DUMMYFUNCTION("IFERROR(SUBSTITUTE(SUBSTITUTE(REGEXEXTRACT(A1208, ""[^-]+- [^-]+- [^-]+ - (.+?)\.jpg""), "".jpg"", """"), ""-"", "", ""), """")"),"")</f>
        <v/>
      </c>
      <c r="I1208" s="6"/>
      <c r="J1208" s="7" t="str">
        <f t="shared" ca="1" si="18"/>
        <v>(2026)</v>
      </c>
      <c r="K1208" s="7" t="str">
        <f t="shared" si="19"/>
        <v>99388211</v>
      </c>
      <c r="L1208" s="12" t="s">
        <v>6053</v>
      </c>
      <c r="M1208" s="13" t="str">
        <f ca="1">IFERROR(__xludf.DUMMYFUNCTION("TRIM(
  REGEXREPLACE(
    TEXTJOIN("" "",
      TRUE,
      B1208,
      C1208,
      embaralharLinks(E1208,F1208,G1208),
      H1208,
      """",
      J1208,
      N1208,
      ""#RIPNSFW""
    ),
  "",\s*"", "" "")
)"),"{New} Lucy Mochi https://streamtape.com/v/84vaaPbW8wIMl8/99388211 https://doodstream.com/d/pgc7cbtifkam/99388211 https://lulustream.com/d/9skc8d33vwsw (2026) #creampie #teen #asian #outdoor #RIPNSFW")</f>
        <v>{New} Lucy Mochi https://streamtape.com/v/84vaaPbW8wIMl8/99388211 https://doodstream.com/d/pgc7cbtifkam/99388211 https://lulustream.com/d/9skc8d33vwsw (2026) #creampie #teen #asian #outdoor #RIPNSFW</v>
      </c>
      <c r="N1208" s="2" t="s">
        <v>6053</v>
      </c>
      <c r="O1208" s="21" t="s">
        <v>6054</v>
      </c>
      <c r="P1208" s="26"/>
      <c r="R1208" s="23"/>
      <c r="T1208" s="6"/>
      <c r="U1208" s="7"/>
    </row>
    <row r="1209" spans="1:27" ht="12.75">
      <c r="A1209" s="6" t="s">
        <v>6055</v>
      </c>
      <c r="B1209" s="6" t="s">
        <v>14</v>
      </c>
      <c r="C1209" s="7" t="str">
        <f t="shared" si="16"/>
        <v xml:space="preserve">Maddie Wren </v>
      </c>
      <c r="D1209" s="6" t="s">
        <v>6056</v>
      </c>
      <c r="E1209" s="8" t="s">
        <v>6057</v>
      </c>
      <c r="F1209" s="9" t="str">
        <f ca="1">IFERROR(__xludf.DUMMYFUNCTION("""https://streamtape.com/v/""&amp;
REGEXEXTRACT(O1209,""/thumb/([^/]+)/"")&amp;
""/""&amp;K1209"),"https://streamtape.com/v/7jb9YGyRBqiVB9/29100921")</f>
        <v>https://streamtape.com/v/7jb9YGyRBqiVB9/29100921</v>
      </c>
      <c r="G1209" s="10" t="e">
        <f t="shared" ca="1" si="17"/>
        <v>#NAME?</v>
      </c>
      <c r="H1209" s="11" t="str">
        <f ca="1">IFERROR(__xludf.DUMMYFUNCTION("IFERROR(SUBSTITUTE(SUBSTITUTE(REGEXEXTRACT(A1209, ""[^-]+- [^-]+- [^-]+ - (.+?)\.jpg""), "".jpg"", """"), ""-"", "", ""), """")"),"Lena the plug")</f>
        <v>Lena the plug</v>
      </c>
      <c r="I1209" s="6"/>
      <c r="J1209" s="7" t="str">
        <f t="shared" ca="1" si="18"/>
        <v>(2026)</v>
      </c>
      <c r="K1209" s="7" t="str">
        <f t="shared" si="19"/>
        <v>29100921</v>
      </c>
      <c r="L1209" s="12" t="s">
        <v>958</v>
      </c>
      <c r="M1209" s="13" t="str">
        <f ca="1">IFERROR(__xludf.DUMMYFUNCTION("TRIM(
  REGEXREPLACE(
    TEXTJOIN("" "",
      TRUE,
      B1209,
      C1209,
      embaralharLinks(E1209,F1209,G1209),
      H1209,
      """",
      J1209,
      N1209,
      ""#RIPNSFW""
    ),
  "",\s*"", "" "")
)"),"{New} Maddie Wren https://lulustream.com/d/msdbichrdtee https://streamtape.com/v/7jb9YGyRBqiVB9/29100921 https://doodstream.com/d/lpk8fqb1hrqw/29100921 Lena the plug (2026) #MILF #BigTits #Hardcore #Threesome #Bigass #Blowjob #Amateur #Hotwife #Facial #RI"&amp;"PNSFW")</f>
        <v>{New} Maddie Wren https://lulustream.com/d/msdbichrdtee https://streamtape.com/v/7jb9YGyRBqiVB9/29100921 https://doodstream.com/d/lpk8fqb1hrqw/29100921 Lena the plug (2026) #MILF #BigTits #Hardcore #Threesome #Bigass #Blowjob #Amateur #Hotwife #Facial #RIPNSFW</v>
      </c>
      <c r="N1209" s="14" t="s">
        <v>959</v>
      </c>
      <c r="O1209" s="15" t="s">
        <v>6058</v>
      </c>
      <c r="P1209" s="14"/>
      <c r="Q1209" s="6"/>
      <c r="R1209" s="11"/>
      <c r="S1209" s="6"/>
      <c r="T1209" s="6"/>
      <c r="U1209" s="6"/>
      <c r="V1209" s="6"/>
      <c r="W1209" s="6"/>
      <c r="X1209" s="6"/>
      <c r="Y1209" s="6"/>
      <c r="Z1209" s="6"/>
      <c r="AA1209" s="6"/>
    </row>
    <row r="1210" spans="1:27" ht="12.75">
      <c r="A1210" s="6" t="s">
        <v>6059</v>
      </c>
      <c r="B1210" s="6" t="s">
        <v>14</v>
      </c>
      <c r="C1210" s="7" t="str">
        <f t="shared" si="16"/>
        <v xml:space="preserve">MaddieBubz </v>
      </c>
      <c r="D1210" s="29" t="s">
        <v>6060</v>
      </c>
      <c r="E1210" s="8" t="s">
        <v>6061</v>
      </c>
      <c r="F1210" s="9" t="str">
        <f ca="1">IFERROR(__xludf.DUMMYFUNCTION("""https://streamtape.com/v/""&amp;
REGEXEXTRACT(O1210,""/thumb/([^/]+)/"")&amp;
""/""&amp;K1210"),"https://streamtape.com/v/Zk0jdreveZIqV23/84035528")</f>
        <v>https://streamtape.com/v/Zk0jdreveZIqV23/84035528</v>
      </c>
      <c r="G1210" s="10" t="e">
        <f t="shared" ca="1" si="17"/>
        <v>#NAME?</v>
      </c>
      <c r="H1210" s="11" t="str">
        <f ca="1">IFERROR(__xludf.DUMMYFUNCTION("IFERROR(SUBSTITUTE(SUBSTITUTE(REGEXEXTRACT(A1210, ""[^-]+- [^-]+- [^-]+ - (.+?)\.jpg""), "".jpg"", """"), ""-"", "", ""), """")"),"")</f>
        <v/>
      </c>
      <c r="I1210" s="6"/>
      <c r="J1210" s="7" t="str">
        <f t="shared" ca="1" si="18"/>
        <v>(2026)</v>
      </c>
      <c r="K1210" s="7" t="str">
        <f t="shared" si="19"/>
        <v>84035528</v>
      </c>
      <c r="L1210" s="12" t="s">
        <v>6062</v>
      </c>
      <c r="M1210" s="13" t="str">
        <f ca="1">IFERROR(__xludf.DUMMYFUNCTION("TRIM(
  REGEXREPLACE(
    TEXTJOIN("" "",
      TRUE,
      B1210,
      C1210,
      embaralharLinks(E1210,F1210,G1210),
      H1210,
      """",
      J1210,
      N1210,
      ""#RIPNSFW""
    ),
  "",\s*"", "" "")
)"),"{New} MaddieBubz https://streamtape.com/v/Zk0jdreveZIqV23/84035528 https://doodstream.com/d/s9g5vpninuoh/84035528 https://lulustream.com/d/0rq2f3xdk9av (2026) #BigTits #Hardcore #Bigass #Teen #Artporn #Blowjob #Amateur #Deepthroat #Facial #RIPNSFW")</f>
        <v>{New} MaddieBubz https://streamtape.com/v/Zk0jdreveZIqV23/84035528 https://doodstream.com/d/s9g5vpninuoh/84035528 https://lulustream.com/d/0rq2f3xdk9av (2026) #BigTits #Hardcore #Bigass #Teen #Artporn #Blowjob #Amateur #Deepthroat #Facial #RIPNSFW</v>
      </c>
      <c r="N1210" s="14" t="s">
        <v>6063</v>
      </c>
      <c r="O1210" s="32" t="s">
        <v>6064</v>
      </c>
      <c r="P1210" s="14"/>
      <c r="Q1210" s="6"/>
      <c r="R1210" s="11"/>
      <c r="S1210" s="6"/>
      <c r="T1210" s="6"/>
      <c r="U1210" s="6"/>
      <c r="V1210" s="6"/>
      <c r="W1210" s="6"/>
      <c r="X1210" s="6"/>
      <c r="Y1210" s="6"/>
      <c r="Z1210" s="6"/>
      <c r="AA1210" s="6"/>
    </row>
    <row r="1211" spans="1:27" ht="12.75">
      <c r="A1211" s="6" t="s">
        <v>6065</v>
      </c>
      <c r="B1211" s="6" t="s">
        <v>14</v>
      </c>
      <c r="C1211" s="7" t="str">
        <f t="shared" si="16"/>
        <v xml:space="preserve">Madison Lanez </v>
      </c>
      <c r="D1211" s="29" t="s">
        <v>6066</v>
      </c>
      <c r="E1211" s="8" t="s">
        <v>6067</v>
      </c>
      <c r="F1211" s="9" t="str">
        <f ca="1">IFERROR(__xludf.DUMMYFUNCTION("""https://streamtape.com/v/""&amp;
REGEXEXTRACT(O1211,""/thumb/([^/]+)/"")&amp;
""/""&amp;K1211"),"https://streamtape.com/v/Re1ydJl2BQcdbq3/95931349")</f>
        <v>https://streamtape.com/v/Re1ydJl2BQcdbq3/95931349</v>
      </c>
      <c r="G1211" s="10" t="e">
        <f t="shared" ca="1" si="17"/>
        <v>#NAME?</v>
      </c>
      <c r="H1211" s="11" t="str">
        <f ca="1">IFERROR(__xludf.DUMMYFUNCTION("IFERROR(SUBSTITUTE(SUBSTITUTE(REGEXEXTRACT(A1211, ""[^-]+- [^-]+- [^-]+ - (.+?)\.jpg""), "".jpg"", """"), ""-"", "", ""), """")"),"")</f>
        <v/>
      </c>
      <c r="I1211" s="6"/>
      <c r="J1211" s="7" t="str">
        <f t="shared" ca="1" si="18"/>
        <v>(2026)</v>
      </c>
      <c r="K1211" s="7" t="str">
        <f t="shared" si="19"/>
        <v>95931349</v>
      </c>
      <c r="L1211" s="12" t="s">
        <v>6068</v>
      </c>
      <c r="M1211" s="13" t="str">
        <f ca="1">IFERROR(__xludf.DUMMYFUNCTION("TRIM(
  REGEXREPLACE(
    TEXTJOIN("" "",
      TRUE,
      B1211,
      C1211,
      embaralharLinks(E1211,F1211,G1211),
      H1211,
      """",
      J1211,
      N1211,
      ""#RIPNSFW""
    ),
  "",\s*"", "" "")
)"),"{New} Madison Lanez https://lulustream.com/d/kjnci0ankrvs https://streamtape.com/v/Re1ydJl2BQcdbq3/95931349 https://doodstream.com/d/ovssk7h7io32/95931349 (2026) #BigTits #Creampie #Hardcore #Black #Interracial #Bigass #Teen #Artporn #Blowjob #Amateur #RI"&amp;"PNSFW")</f>
        <v>{New} Madison Lanez https://lulustream.com/d/kjnci0ankrvs https://streamtape.com/v/Re1ydJl2BQcdbq3/95931349 https://doodstream.com/d/ovssk7h7io32/95931349 (2026) #BigTits #Creampie #Hardcore #Black #Interracial #Bigass #Teen #Artporn #Blowjob #Amateur #RIPNSFW</v>
      </c>
      <c r="N1211" s="14" t="s">
        <v>6069</v>
      </c>
      <c r="O1211" s="32" t="s">
        <v>6070</v>
      </c>
      <c r="P1211" s="14"/>
      <c r="Q1211" s="6"/>
      <c r="R1211" s="11"/>
      <c r="S1211" s="6"/>
      <c r="T1211" s="6"/>
      <c r="U1211" s="6"/>
      <c r="V1211" s="6"/>
      <c r="W1211" s="6"/>
      <c r="X1211" s="6"/>
      <c r="Y1211" s="6"/>
      <c r="Z1211" s="6"/>
      <c r="AA1211" s="6"/>
    </row>
    <row r="1212" spans="1:27" ht="12.75">
      <c r="A1212" s="12" t="s">
        <v>6071</v>
      </c>
      <c r="B1212" s="6" t="s">
        <v>14</v>
      </c>
      <c r="C1212" s="7" t="str">
        <f t="shared" si="16"/>
        <v xml:space="preserve">Madison Morgan </v>
      </c>
      <c r="D1212" s="27" t="s">
        <v>6072</v>
      </c>
      <c r="E1212" s="28" t="s">
        <v>6073</v>
      </c>
      <c r="F1212" s="9" t="str">
        <f ca="1">IFERROR(__xludf.DUMMYFUNCTION("""https://streamtape.com/v/""&amp;
REGEXEXTRACT(O1212,""/thumb/([^/]+)/"")&amp;
""/""&amp;K1212"),"https://streamtape.com/v/GbZ7xAGVxLC17Rx/27978540")</f>
        <v>https://streamtape.com/v/GbZ7xAGVxLC17Rx/27978540</v>
      </c>
      <c r="G1212" s="10" t="e">
        <f t="shared" ca="1" si="17"/>
        <v>#NAME?</v>
      </c>
      <c r="H1212" s="11" t="str">
        <f ca="1">IFERROR(__xludf.DUMMYFUNCTION("IFERROR(SUBSTITUTE(SUBSTITUTE(REGEXEXTRACT(A1212, ""[^-]+- [^-]+- [^-]+ - (.+?)\.jpg""), "".jpg"", """"), ""-"", "", ""), """")"),"")</f>
        <v/>
      </c>
      <c r="I1212" s="6"/>
      <c r="J1212" s="7" t="str">
        <f t="shared" ca="1" si="18"/>
        <v>(2026)</v>
      </c>
      <c r="K1212" s="7" t="str">
        <f t="shared" si="19"/>
        <v>27978540</v>
      </c>
      <c r="L1212" s="12" t="s">
        <v>71</v>
      </c>
      <c r="M1212" s="13" t="str">
        <f ca="1">IFERROR(__xludf.DUMMYFUNCTION("TRIM(
  REGEXREPLACE(
    TEXTJOIN("" "",
      TRUE,
      B1212,
      C1212,
      embaralharLinks(E1212,F1212,G1212),
      H1212,
      """",
      J1212,
      N1212,
      ""#RIPNSFW""
    ),
  "",\s*"", "" "")
)"),"{New} Madison Morgan https://doodstream.com/d/pfy1dbv6g9ll/27978540 https://streamtape.com/v/GbZ7xAGVxLC17Rx/27978540 https://lulustream.com/d/qzh7ngvmjnvc (2026) #Anal #MILF #BigTits #Hardcore #RIPNSFW")</f>
        <v>{New} Madison Morgan https://doodstream.com/d/pfy1dbv6g9ll/27978540 https://streamtape.com/v/GbZ7xAGVxLC17Rx/27978540 https://lulustream.com/d/qzh7ngvmjnvc (2026) #Anal #MILF #BigTits #Hardcore #RIPNSFW</v>
      </c>
      <c r="N1212" s="2" t="s">
        <v>72</v>
      </c>
      <c r="O1212" s="30" t="s">
        <v>6074</v>
      </c>
      <c r="P1212" s="26"/>
      <c r="R1212" s="23"/>
    </row>
    <row r="1213" spans="1:27" ht="12.75">
      <c r="A1213" s="6" t="s">
        <v>6075</v>
      </c>
      <c r="B1213" s="6" t="s">
        <v>14</v>
      </c>
      <c r="C1213" s="7" t="str">
        <f t="shared" si="16"/>
        <v xml:space="preserve">Madison Morgan </v>
      </c>
      <c r="D1213" s="29" t="s">
        <v>6076</v>
      </c>
      <c r="E1213" s="8" t="s">
        <v>6077</v>
      </c>
      <c r="F1213" s="9" t="str">
        <f ca="1">IFERROR(__xludf.DUMMYFUNCTION("""https://streamtape.com/v/""&amp;
REGEXEXTRACT(O1213,""/thumb/([^/]+)/"")&amp;
""/""&amp;K1213"),"https://streamtape.com/v/Xqz0RPm94AFDaDJ/60817052")</f>
        <v>https://streamtape.com/v/Xqz0RPm94AFDaDJ/60817052</v>
      </c>
      <c r="G1213" s="10" t="e">
        <f t="shared" ca="1" si="17"/>
        <v>#NAME?</v>
      </c>
      <c r="H1213" s="11" t="str">
        <f ca="1">IFERROR(__xludf.DUMMYFUNCTION("IFERROR(SUBSTITUTE(SUBSTITUTE(REGEXEXTRACT(A1213, ""[^-]+- [^-]+- [^-]+ - (.+?)\.jpg""), "".jpg"", """"), ""-"", "", ""), """")"),"")</f>
        <v/>
      </c>
      <c r="I1213" s="6"/>
      <c r="J1213" s="7" t="str">
        <f t="shared" ca="1" si="18"/>
        <v>(2026)</v>
      </c>
      <c r="K1213" s="7" t="str">
        <f t="shared" si="19"/>
        <v>60817052</v>
      </c>
      <c r="L1213" s="12" t="s">
        <v>745</v>
      </c>
      <c r="M1213" s="13" t="str">
        <f ca="1">IFERROR(__xludf.DUMMYFUNCTION("TRIM(
  REGEXREPLACE(
    TEXTJOIN("" "",
      TRUE,
      B1213,
      C1213,
      embaralharLinks(E1213,F1213,G1213),
      H1213,
      """",
      J1213,
      N1213,
      ""#RIPNSFW""
    ),
  "",\s*"", "" "")
)"),"{New} Madison Morgan https://doodstream.com/d/51mxzz1joji8/60817052 https://lulustream.com/d/5c8img791g2k https://streamtape.com/v/Xqz0RPm94AFDaDJ/60817052 (2026) #Anal #MILF #BigTits #Hardcore #Bigass #Porn #Blowjob #Deepthroat #RIPNSFW")</f>
        <v>{New} Madison Morgan https://doodstream.com/d/51mxzz1joji8/60817052 https://lulustream.com/d/5c8img791g2k https://streamtape.com/v/Xqz0RPm94AFDaDJ/60817052 (2026) #Anal #MILF #BigTits #Hardcore #Bigass #Porn #Blowjob #Deepthroat #RIPNSFW</v>
      </c>
      <c r="N1213" s="14" t="s">
        <v>6078</v>
      </c>
      <c r="O1213" s="32" t="s">
        <v>6079</v>
      </c>
      <c r="P1213" s="14"/>
      <c r="Q1213" s="6"/>
      <c r="R1213" s="11"/>
      <c r="S1213" s="6"/>
      <c r="T1213" s="6"/>
      <c r="U1213" s="6"/>
      <c r="V1213" s="6"/>
      <c r="W1213" s="6"/>
      <c r="X1213" s="6"/>
      <c r="Y1213" s="6"/>
      <c r="Z1213" s="6"/>
      <c r="AA1213" s="6"/>
    </row>
    <row r="1214" spans="1:27" ht="12.75">
      <c r="A1214" s="12" t="s">
        <v>6080</v>
      </c>
      <c r="B1214" s="6" t="s">
        <v>14</v>
      </c>
      <c r="C1214" s="7" t="str">
        <f t="shared" si="16"/>
        <v xml:space="preserve">Mae Winters </v>
      </c>
      <c r="D1214" s="24" t="s">
        <v>6081</v>
      </c>
      <c r="E1214" s="25" t="s">
        <v>6082</v>
      </c>
      <c r="F1214" s="9" t="str">
        <f ca="1">IFERROR(__xludf.DUMMYFUNCTION("""https://streamtape.com/v/""&amp;
REGEXEXTRACT(O1214,""/thumb/([^/]+)/"")&amp;
""/""&amp;K1214"),"https://streamtape.com/v/RmRW7X2wLXtd3vA/55467075")</f>
        <v>https://streamtape.com/v/RmRW7X2wLXtd3vA/55467075</v>
      </c>
      <c r="G1214" s="10" t="e">
        <f t="shared" ca="1" si="17"/>
        <v>#NAME?</v>
      </c>
      <c r="H1214" s="11" t="str">
        <f ca="1">IFERROR(__xludf.DUMMYFUNCTION("IFERROR(SUBSTITUTE(SUBSTITUTE(REGEXEXTRACT(A1214, ""[^-]+- [^-]+- [^-]+ - (.+?)\.jpg""), "".jpg"", """"), ""-"", "", ""), """")"),"")</f>
        <v/>
      </c>
      <c r="I1214" s="6"/>
      <c r="J1214" s="7" t="str">
        <f t="shared" ca="1" si="18"/>
        <v>(2026)</v>
      </c>
      <c r="K1214" s="7" t="str">
        <f t="shared" si="19"/>
        <v>55467075</v>
      </c>
      <c r="L1214" s="12" t="s">
        <v>6083</v>
      </c>
      <c r="M1214" s="13" t="str">
        <f ca="1">IFERROR(__xludf.DUMMYFUNCTION("TRIM(
  REGEXREPLACE(
    TEXTJOIN("" "",
      TRUE,
      B1214,
      C1214,
      embaralharLinks(E1214,F1214,G1214),
      H1214,
      """",
      J1214,
      N1214,
      ""#RIPNSFW""
    ),
  "",\s*"", "" "")
)"),"{New} Mae Winters https://doodstream.com/d/u42tsi1ptcv8/55467075 https://lulustream.com/d/wyia0qd951er https://streamtape.com/v/RmRW7X2wLXtd3vA/55467075 (2026) #blonde #facial #blowjob #amateur #RIPNSFW")</f>
        <v>{New} Mae Winters https://doodstream.com/d/u42tsi1ptcv8/55467075 https://lulustream.com/d/wyia0qd951er https://streamtape.com/v/RmRW7X2wLXtd3vA/55467075 (2026) #blonde #facial #blowjob #amateur #RIPNSFW</v>
      </c>
      <c r="N1214" s="2" t="s">
        <v>6083</v>
      </c>
      <c r="O1214" s="30" t="s">
        <v>6084</v>
      </c>
      <c r="P1214" s="26"/>
      <c r="R1214" s="23"/>
      <c r="T1214" s="6"/>
      <c r="U1214" s="7"/>
    </row>
    <row r="1215" spans="1:27" ht="12.75">
      <c r="A1215" s="12" t="s">
        <v>6085</v>
      </c>
      <c r="B1215" s="6" t="s">
        <v>14</v>
      </c>
      <c r="C1215" s="7" t="str">
        <f t="shared" si="16"/>
        <v xml:space="preserve">Maisey Monroe </v>
      </c>
      <c r="D1215" s="24" t="s">
        <v>6086</v>
      </c>
      <c r="E1215" s="25" t="s">
        <v>6087</v>
      </c>
      <c r="F1215" s="9" t="str">
        <f ca="1">IFERROR(__xludf.DUMMYFUNCTION("""https://streamtape.com/v/""&amp;
REGEXEXTRACT(O1215,""/thumb/([^/]+)/"")&amp;
""/""&amp;K1215"),"https://streamtape.com/v/p1xRK4qPBecr9vd/39659947")</f>
        <v>https://streamtape.com/v/p1xRK4qPBecr9vd/39659947</v>
      </c>
      <c r="G1215" s="10" t="e">
        <f t="shared" ca="1" si="17"/>
        <v>#NAME?</v>
      </c>
      <c r="H1215" s="11" t="str">
        <f ca="1">IFERROR(__xludf.DUMMYFUNCTION("IFERROR(SUBSTITUTE(SUBSTITUTE(REGEXEXTRACT(A1215, ""[^-]+- [^-]+- [^-]+ - (.+?)\.jpg""), "".jpg"", """"), ""-"", "", ""), """")"),"")</f>
        <v/>
      </c>
      <c r="I1215" s="6"/>
      <c r="J1215" s="7" t="str">
        <f t="shared" ca="1" si="18"/>
        <v>(2026)</v>
      </c>
      <c r="K1215" s="7" t="str">
        <f t="shared" si="19"/>
        <v>39659947</v>
      </c>
      <c r="L1215" s="12" t="s">
        <v>6088</v>
      </c>
      <c r="M1215" s="13" t="str">
        <f ca="1">IFERROR(__xludf.DUMMYFUNCTION("TRIM(
  REGEXREPLACE(
    TEXTJOIN("" "",
      TRUE,
      B1215,
      C1215,
      embaralharLinks(E1215,F1215,G1215),
      H1215,
      """",
      J1215,
      N1215,
      ""#RIPNSFW""
    ),
  "",\s*"", "" "")
)"),"{New} Maisey Monroe https://lulustream.com/d/mqod1z5tetzb https://doodstream.com/d/0yglnw2dtvzp/39659947 https://streamtape.com/v/p1xRK4qPBecr9vd/39659947 (2026) #bigtits #creampie #hardcore #black #RIPNSFW")</f>
        <v>{New} Maisey Monroe https://lulustream.com/d/mqod1z5tetzb https://doodstream.com/d/0yglnw2dtvzp/39659947 https://streamtape.com/v/p1xRK4qPBecr9vd/39659947 (2026) #bigtits #creampie #hardcore #black #RIPNSFW</v>
      </c>
      <c r="N1215" s="2" t="s">
        <v>6088</v>
      </c>
      <c r="O1215" s="30" t="s">
        <v>6089</v>
      </c>
      <c r="P1215" s="26"/>
      <c r="R1215" s="23"/>
      <c r="T1215" s="6"/>
      <c r="U1215" s="7"/>
      <c r="Z1215" s="12"/>
      <c r="AA1215" s="12"/>
    </row>
    <row r="1216" spans="1:27" ht="12.75">
      <c r="A1216" s="12" t="s">
        <v>6090</v>
      </c>
      <c r="B1216" s="6" t="s">
        <v>14</v>
      </c>
      <c r="C1216" s="7" t="str">
        <f t="shared" si="16"/>
        <v xml:space="preserve">Marry Queen </v>
      </c>
      <c r="D1216" s="27" t="s">
        <v>6091</v>
      </c>
      <c r="E1216" s="28" t="s">
        <v>6092</v>
      </c>
      <c r="F1216" s="9" t="str">
        <f ca="1">IFERROR(__xludf.DUMMYFUNCTION("""https://streamtape.com/v/""&amp;
REGEXEXTRACT(O1216,""/thumb/([^/]+)/"")&amp;
""/""&amp;K1216"),"https://streamtape.com/v/bkDJJWerPZfPpx0/45288539")</f>
        <v>https://streamtape.com/v/bkDJJWerPZfPpx0/45288539</v>
      </c>
      <c r="G1216" s="10" t="e">
        <f t="shared" ca="1" si="17"/>
        <v>#NAME?</v>
      </c>
      <c r="H1216" s="11" t="str">
        <f ca="1">IFERROR(__xludf.DUMMYFUNCTION("IFERROR(SUBSTITUTE(SUBSTITUTE(REGEXEXTRACT(A1216, ""[^-]+- [^-]+- [^-]+ - (.+?)\.jpg""), "".jpg"", """"), ""-"", "", ""), """")"),"")</f>
        <v/>
      </c>
      <c r="I1216" s="6"/>
      <c r="J1216" s="7" t="str">
        <f t="shared" ca="1" si="18"/>
        <v>(2026)</v>
      </c>
      <c r="K1216" s="7" t="str">
        <f t="shared" si="19"/>
        <v>45288539</v>
      </c>
      <c r="L1216" s="12" t="s">
        <v>346</v>
      </c>
      <c r="M1216" s="13" t="str">
        <f ca="1">IFERROR(__xludf.DUMMYFUNCTION("TRIM(
  REGEXREPLACE(
    TEXTJOIN("" "",
      TRUE,
      B1216,
      C1216,
      embaralharLinks(E1216,F1216,G1216),
      H1216,
      """",
      J1216,
      N1216,
      ""#RIPNSFW""
    ),
  "",\s*"", "" "")
)"),"{New} Marry Queen https://streamtape.com/v/bkDJJWerPZfPpx0/45288539 https://doodstream.com/d/xeuds0sc80z5/45288539 https://lulustream.com/d/4xdso617whcg (2026) #Anal #BigTits #Hardcore #Bigass #RIPNSFW")</f>
        <v>{New} Marry Queen https://streamtape.com/v/bkDJJWerPZfPpx0/45288539 https://doodstream.com/d/xeuds0sc80z5/45288539 https://lulustream.com/d/4xdso617whcg (2026) #Anal #BigTits #Hardcore #Bigass #RIPNSFW</v>
      </c>
      <c r="N1216" s="2" t="s">
        <v>347</v>
      </c>
      <c r="O1216" s="30" t="s">
        <v>6093</v>
      </c>
      <c r="P1216" s="26"/>
      <c r="R1216" s="23"/>
    </row>
    <row r="1217" spans="1:27" ht="12.75">
      <c r="A1217" s="6" t="s">
        <v>6094</v>
      </c>
      <c r="B1217" s="6" t="s">
        <v>14</v>
      </c>
      <c r="C1217" s="7" t="str">
        <f t="shared" si="16"/>
        <v xml:space="preserve">Megan Murkovski </v>
      </c>
      <c r="D1217" s="6" t="s">
        <v>6095</v>
      </c>
      <c r="E1217" s="8" t="s">
        <v>6096</v>
      </c>
      <c r="F1217" s="9" t="str">
        <f ca="1">IFERROR(__xludf.DUMMYFUNCTION("""https://streamtape.com/v/""&amp;
REGEXEXTRACT(O1217,""/thumb/([^/]+)/"")&amp;
""/""&amp;K1217"),"https://streamtape.com/v/R4p24A3aoPudrPo/19629165")</f>
        <v>https://streamtape.com/v/R4p24A3aoPudrPo/19629165</v>
      </c>
      <c r="G1217" s="10" t="e">
        <f t="shared" ca="1" si="17"/>
        <v>#NAME?</v>
      </c>
      <c r="H1217" s="11" t="str">
        <f ca="1">IFERROR(__xludf.DUMMYFUNCTION("IFERROR(SUBSTITUTE(SUBSTITUTE(REGEXEXTRACT(A1217, ""[^-]+- [^-]+- [^-]+ - (.+?)\.jpg""), "".jpg"", """"), ""-"", "", ""), """")"),"")</f>
        <v/>
      </c>
      <c r="I1217" s="6"/>
      <c r="J1217" s="7" t="str">
        <f t="shared" ca="1" si="18"/>
        <v>(2026)</v>
      </c>
      <c r="K1217" s="7" t="str">
        <f t="shared" si="19"/>
        <v>19629165</v>
      </c>
      <c r="L1217" s="12" t="s">
        <v>6097</v>
      </c>
      <c r="M1217" s="13" t="str">
        <f ca="1">IFERROR(__xludf.DUMMYFUNCTION("TRIM(
  REGEXREPLACE(
    TEXTJOIN("" "",
      TRUE,
      B1217,
      C1217,
      embaralharLinks(E1217,F1217,G1217),
      H1217,
      """",
      J1217,
      N1217,
      ""#RIPNSFW""
    ),
  "",\s*"", "" "")
)"),"{New} Megan Murkovski https://streamtape.com/v/R4p24A3aoPudrPo/19629165 https://lulustream.com/d/rrj7y90l1e1a https://doodstream.com/d/8b25a77m0qfd/19629165 (2026) #Anal #Hardcore #Bigass #Porn #Teen #Blowjob #RIPNSFW")</f>
        <v>{New} Megan Murkovski https://streamtape.com/v/R4p24A3aoPudrPo/19629165 https://lulustream.com/d/rrj7y90l1e1a https://doodstream.com/d/8b25a77m0qfd/19629165 (2026) #Anal #Hardcore #Bigass #Porn #Teen #Blowjob #RIPNSFW</v>
      </c>
      <c r="N1217" s="14" t="s">
        <v>6098</v>
      </c>
      <c r="O1217" s="15" t="s">
        <v>6099</v>
      </c>
      <c r="P1217" s="14"/>
      <c r="Q1217" s="6"/>
      <c r="R1217" s="11"/>
      <c r="S1217" s="6"/>
      <c r="T1217" s="6"/>
      <c r="U1217" s="6"/>
      <c r="V1217" s="6"/>
      <c r="W1217" s="6"/>
      <c r="X1217" s="6"/>
      <c r="Y1217" s="6"/>
      <c r="Z1217" s="6"/>
      <c r="AA1217" s="6"/>
    </row>
    <row r="1218" spans="1:27" ht="12.75">
      <c r="A1218" s="6" t="s">
        <v>6100</v>
      </c>
      <c r="B1218" s="6" t="s">
        <v>14</v>
      </c>
      <c r="C1218" s="7" t="str">
        <f t="shared" si="16"/>
        <v xml:space="preserve">Melanie Marie </v>
      </c>
      <c r="D1218" s="6" t="s">
        <v>6101</v>
      </c>
      <c r="E1218" s="8" t="s">
        <v>6102</v>
      </c>
      <c r="F1218" s="9" t="str">
        <f ca="1">IFERROR(__xludf.DUMMYFUNCTION("""https://streamtape.com/v/""&amp;
REGEXEXTRACT(O1218,""/thumb/([^/]+)/"")&amp;
""/""&amp;K1218"),"https://streamtape.com/v/mymzOqw83LFb9PX/16822618")</f>
        <v>https://streamtape.com/v/mymzOqw83LFb9PX/16822618</v>
      </c>
      <c r="G1218" s="10" t="e">
        <f t="shared" ca="1" si="17"/>
        <v>#NAME?</v>
      </c>
      <c r="H1218" s="11" t="str">
        <f ca="1">IFERROR(__xludf.DUMMYFUNCTION("IFERROR(SUBSTITUTE(SUBSTITUTE(REGEXEXTRACT(A1218, ""[^-]+- [^-]+- [^-]+ - (.+?)\.jpg""), "".jpg"", """"), ""-"", "", ""), """")"),"Hope Heaven")</f>
        <v>Hope Heaven</v>
      </c>
      <c r="I1218" s="6"/>
      <c r="J1218" s="7" t="str">
        <f t="shared" ca="1" si="18"/>
        <v>(2026)</v>
      </c>
      <c r="K1218" s="7" t="str">
        <f t="shared" si="19"/>
        <v>16822618</v>
      </c>
      <c r="L1218" s="12" t="s">
        <v>6103</v>
      </c>
      <c r="M1218" s="13" t="str">
        <f ca="1">IFERROR(__xludf.DUMMYFUNCTION("TRIM(
  REGEXREPLACE(
    TEXTJOIN("" "",
      TRUE,
      B1218,
      C1218,
      embaralharLinks(E1218,F1218,G1218),
      H1218,
      """",
      J1218,
      N1218,
      ""#RIPNSFW""
    ),
  "",\s*"", "" "")
)"),"{New} Melanie Marie https://streamtape.com/v/mymzOqw83LFb9PX/16822618 https://lulustream.com/d/17b7kzx56kx9 https://doodstream.com/d/87jtxjw933pj/16822618 Hope Heaven (2026) #BigTits #Hardcore #Interracial #Porn #Teen #Teens #Blowjob #Deepthroat #Blonde #"&amp;"Facial #Foursome #RIPNSFW")</f>
        <v>{New} Melanie Marie https://streamtape.com/v/mymzOqw83LFb9PX/16822618 https://lulustream.com/d/17b7kzx56kx9 https://doodstream.com/d/87jtxjw933pj/16822618 Hope Heaven (2026) #BigTits #Hardcore #Interracial #Porn #Teen #Teens #Blowjob #Deepthroat #Blonde #Facial #Foursome #RIPNSFW</v>
      </c>
      <c r="N1218" s="14" t="s">
        <v>6104</v>
      </c>
      <c r="O1218" s="15" t="s">
        <v>6105</v>
      </c>
      <c r="P1218" s="14"/>
      <c r="Q1218" s="6"/>
      <c r="R1218" s="11"/>
      <c r="S1218" s="6"/>
      <c r="T1218" s="6"/>
      <c r="U1218" s="6"/>
      <c r="V1218" s="6"/>
      <c r="W1218" s="6"/>
      <c r="X1218" s="6"/>
      <c r="Y1218" s="6"/>
      <c r="Z1218" s="6"/>
      <c r="AA1218" s="6"/>
    </row>
    <row r="1219" spans="1:27" ht="12.75">
      <c r="A1219" s="12" t="s">
        <v>6106</v>
      </c>
      <c r="B1219" s="6" t="s">
        <v>14</v>
      </c>
      <c r="C1219" s="7" t="str">
        <f t="shared" si="16"/>
        <v xml:space="preserve">Melanie Marie </v>
      </c>
      <c r="D1219" s="24" t="s">
        <v>6107</v>
      </c>
      <c r="E1219" s="25" t="s">
        <v>6108</v>
      </c>
      <c r="F1219" s="9" t="str">
        <f ca="1">IFERROR(__xludf.DUMMYFUNCTION("""https://streamtape.com/v/""&amp;
REGEXEXTRACT(O1219,""/thumb/([^/]+)/"")&amp;
""/""&amp;K1219"),"https://streamtape.com/v/ewGjBved4bcm13/20905476")</f>
        <v>https://streamtape.com/v/ewGjBved4bcm13/20905476</v>
      </c>
      <c r="G1219" s="10" t="e">
        <f t="shared" ca="1" si="17"/>
        <v>#NAME?</v>
      </c>
      <c r="H1219" s="11" t="str">
        <f ca="1">IFERROR(__xludf.DUMMYFUNCTION("IFERROR(SUBSTITUTE(SUBSTITUTE(REGEXEXTRACT(A1219, ""[^-]+- [^-]+- [^-]+ - (.+?)\.jpg""), "".jpg"", """"), ""-"", "", ""), """")"),"")</f>
        <v/>
      </c>
      <c r="I1219" s="6"/>
      <c r="J1219" s="7" t="str">
        <f t="shared" ca="1" si="18"/>
        <v>(2026)</v>
      </c>
      <c r="K1219" s="7" t="str">
        <f t="shared" si="19"/>
        <v>20905476</v>
      </c>
      <c r="L1219" s="12" t="s">
        <v>6109</v>
      </c>
      <c r="M1219" s="13" t="str">
        <f ca="1">IFERROR(__xludf.DUMMYFUNCTION("TRIM(
  REGEXREPLACE(
    TEXTJOIN("" "",
      TRUE,
      B1219,
      C1219,
      embaralharLinks(E1219,F1219,G1219),
      H1219,
      """",
      J1219,
      N1219,
      ""#RIPNSFW""
    ),
  "",\s*"", "" "")
)"),"{New} Melanie Marie https://lulustream.com/d/o1bzgbjvvi5l https://streamtape.com/v/ewGjBved4bcm13/20905476 https://doodstream.com/d/q22wwuydu89l/20905476 (2026) #teen #bigtits #blowjob #pov #RIPNSFW")</f>
        <v>{New} Melanie Marie https://lulustream.com/d/o1bzgbjvvi5l https://streamtape.com/v/ewGjBved4bcm13/20905476 https://doodstream.com/d/q22wwuydu89l/20905476 (2026) #teen #bigtits #blowjob #pov #RIPNSFW</v>
      </c>
      <c r="N1219" s="2" t="s">
        <v>6109</v>
      </c>
      <c r="O1219" s="30" t="s">
        <v>6110</v>
      </c>
      <c r="P1219" s="26"/>
      <c r="R1219" s="23"/>
      <c r="T1219" s="6"/>
      <c r="U1219" s="7"/>
    </row>
    <row r="1220" spans="1:27" ht="12.75">
      <c r="A1220" s="12" t="s">
        <v>6111</v>
      </c>
      <c r="B1220" s="6" t="s">
        <v>14</v>
      </c>
      <c r="C1220" s="7" t="str">
        <f t="shared" si="16"/>
        <v xml:space="preserve">Melanie Marie </v>
      </c>
      <c r="D1220" s="27" t="s">
        <v>6112</v>
      </c>
      <c r="E1220" s="28" t="s">
        <v>6113</v>
      </c>
      <c r="F1220" s="9" t="str">
        <f ca="1">IFERROR(__xludf.DUMMYFUNCTION("""https://streamtape.com/v/""&amp;
REGEXEXTRACT(O1220,""/thumb/([^/]+)/"")&amp;
""/""&amp;K1220"),"https://streamtape.com/v/Yw8Q4b7zPJSvkyK/24675020")</f>
        <v>https://streamtape.com/v/Yw8Q4b7zPJSvkyK/24675020</v>
      </c>
      <c r="G1220" s="10" t="e">
        <f t="shared" ca="1" si="17"/>
        <v>#NAME?</v>
      </c>
      <c r="H1220" s="11" t="str">
        <f ca="1">IFERROR(__xludf.DUMMYFUNCTION("IFERROR(SUBSTITUTE(SUBSTITUTE(REGEXEXTRACT(A1220, ""[^-]+- [^-]+- [^-]+ - (.+?)\.jpg""), "".jpg"", """"), ""-"", "", ""), """")"),"")</f>
        <v/>
      </c>
      <c r="I1220" s="6"/>
      <c r="J1220" s="7" t="str">
        <f t="shared" ca="1" si="18"/>
        <v>(2026)</v>
      </c>
      <c r="K1220" s="7" t="str">
        <f t="shared" si="19"/>
        <v>24675020</v>
      </c>
      <c r="L1220" s="12" t="s">
        <v>6114</v>
      </c>
      <c r="M1220" s="13" t="str">
        <f ca="1">IFERROR(__xludf.DUMMYFUNCTION("TRIM(
  REGEXREPLACE(
    TEXTJOIN("" "",
      TRUE,
      B1220,
      C1220,
      embaralharLinks(E1220,F1220,G1220),
      H1220,
      """",
      J1220,
      N1220,
      ""#RIPNSFW""
    ),
  "",\s*"", "" "")
)"),"{New} Melanie Marie https://doodstream.com/d/o7iiodu153ck/24675020 https://streamtape.com/v/Yw8Q4b7zPJSvkyK/24675020 https://lulustream.com/d/il0hjcpvz7jx (2026) #Anal #BigTits #Hardcore #Porn #RIPNSFW")</f>
        <v>{New} Melanie Marie https://doodstream.com/d/o7iiodu153ck/24675020 https://streamtape.com/v/Yw8Q4b7zPJSvkyK/24675020 https://lulustream.com/d/il0hjcpvz7jx (2026) #Anal #BigTits #Hardcore #Porn #RIPNSFW</v>
      </c>
      <c r="N1220" s="2" t="s">
        <v>6115</v>
      </c>
      <c r="O1220" s="30" t="s">
        <v>6116</v>
      </c>
      <c r="P1220" s="26"/>
      <c r="R1220" s="23"/>
    </row>
    <row r="1221" spans="1:27" ht="12.75">
      <c r="A1221" s="6" t="s">
        <v>6117</v>
      </c>
      <c r="B1221" s="6" t="s">
        <v>14</v>
      </c>
      <c r="C1221" s="7" t="str">
        <f t="shared" si="16"/>
        <v xml:space="preserve">Melanie Marie </v>
      </c>
      <c r="D1221" s="6" t="s">
        <v>6118</v>
      </c>
      <c r="E1221" s="8" t="s">
        <v>6119</v>
      </c>
      <c r="F1221" s="9" t="str">
        <f ca="1">IFERROR(__xludf.DUMMYFUNCTION("""https://streamtape.com/v/""&amp;
REGEXEXTRACT(O1221,""/thumb/([^/]+)/"")&amp;
""/""&amp;K1221"),"https://streamtape.com/v/e2pLmj9dK9IoOe/32771012")</f>
        <v>https://streamtape.com/v/e2pLmj9dK9IoOe/32771012</v>
      </c>
      <c r="G1221" s="10" t="e">
        <f t="shared" ca="1" si="17"/>
        <v>#NAME?</v>
      </c>
      <c r="H1221" s="11" t="str">
        <f ca="1">IFERROR(__xludf.DUMMYFUNCTION("IFERROR(SUBSTITUTE(SUBSTITUTE(REGEXEXTRACT(A1221, ""[^-]+- [^-]+- [^-]+ - (.+?)\.jpg""), "".jpg"", """"), ""-"", "", ""), """")"),"")</f>
        <v/>
      </c>
      <c r="I1221" s="6"/>
      <c r="J1221" s="7" t="str">
        <f t="shared" ca="1" si="18"/>
        <v>(2026)</v>
      </c>
      <c r="K1221" s="7" t="str">
        <f t="shared" si="19"/>
        <v>32771012</v>
      </c>
      <c r="L1221" s="12" t="s">
        <v>6120</v>
      </c>
      <c r="M1221" s="13" t="str">
        <f ca="1">IFERROR(__xludf.DUMMYFUNCTION("TRIM(
  REGEXREPLACE(
    TEXTJOIN("" "",
      TRUE,
      B1221,
      C1221,
      embaralharLinks(E1221,F1221,G1221),
      H1221,
      """",
      J1221,
      N1221,
      ""#RIPNSFW""
    ),
  "",\s*"", "" "")
)"),"{New} Melanie Marie https://streamtape.com/v/e2pLmj9dK9IoOe/32771012 https://lulustream.com/d/tb3pi6nq6ury https://doodstream.com/d/wi7c4l17z0lh/32771012 (2026) #BigTits #Hardcore #Teen #Blowjob #RIPNSFW")</f>
        <v>{New} Melanie Marie https://streamtape.com/v/e2pLmj9dK9IoOe/32771012 https://lulustream.com/d/tb3pi6nq6ury https://doodstream.com/d/wi7c4l17z0lh/32771012 (2026) #BigTits #Hardcore #Teen #Blowjob #RIPNSFW</v>
      </c>
      <c r="N1221" s="14" t="s">
        <v>711</v>
      </c>
      <c r="O1221" s="15" t="s">
        <v>6121</v>
      </c>
      <c r="P1221" s="14"/>
      <c r="Q1221" s="6"/>
      <c r="R1221" s="11"/>
      <c r="S1221" s="6"/>
      <c r="T1221" s="6"/>
      <c r="U1221" s="6"/>
      <c r="V1221" s="6"/>
      <c r="W1221" s="6"/>
      <c r="X1221" s="6"/>
      <c r="Y1221" s="6"/>
      <c r="Z1221" s="6"/>
      <c r="AA1221" s="6"/>
    </row>
    <row r="1222" spans="1:27" ht="12.75">
      <c r="A1222" s="12" t="s">
        <v>6122</v>
      </c>
      <c r="B1222" s="6" t="s">
        <v>14</v>
      </c>
      <c r="C1222" s="7" t="str">
        <f t="shared" si="16"/>
        <v xml:space="preserve">Melanie Marie </v>
      </c>
      <c r="D1222" s="24" t="s">
        <v>6123</v>
      </c>
      <c r="E1222" s="25" t="s">
        <v>6124</v>
      </c>
      <c r="F1222" s="9" t="str">
        <f ca="1">IFERROR(__xludf.DUMMYFUNCTION("""https://streamtape.com/v/""&amp;
REGEXEXTRACT(O1222,""/thumb/([^/]+)/"")&amp;
""/""&amp;K1222"),"https://streamtape.com/v/eVq0lmOpKvUY0G7/69961900")</f>
        <v>https://streamtape.com/v/eVq0lmOpKvUY0G7/69961900</v>
      </c>
      <c r="G1222" s="10" t="e">
        <f t="shared" ca="1" si="17"/>
        <v>#NAME?</v>
      </c>
      <c r="H1222" s="11" t="str">
        <f ca="1">IFERROR(__xludf.DUMMYFUNCTION("IFERROR(SUBSTITUTE(SUBSTITUTE(REGEXEXTRACT(A1222, ""[^-]+- [^-]+- [^-]+ - (.+?)\.jpg""), "".jpg"", """"), ""-"", "", ""), """")"),"")</f>
        <v/>
      </c>
      <c r="I1222" s="6"/>
      <c r="J1222" s="7" t="str">
        <f t="shared" ca="1" si="18"/>
        <v>(2026)</v>
      </c>
      <c r="K1222" s="7" t="str">
        <f t="shared" si="19"/>
        <v>69961900</v>
      </c>
      <c r="L1222" s="12" t="s">
        <v>1772</v>
      </c>
      <c r="M1222" s="13" t="str">
        <f ca="1">IFERROR(__xludf.DUMMYFUNCTION("TRIM(
  REGEXREPLACE(
    TEXTJOIN("" "",
      TRUE,
      B1222,
      C1222,
      embaralharLinks(E1222,F1222,G1222),
      H1222,
      """",
      J1222,
      N1222,
      ""#RIPNSFW""
    ),
  "",\s*"", "" "")
)"),"{New} Melanie Marie https://streamtape.com/v/eVq0lmOpKvUY0G7/69961900 https://lulustream.com/d/ze530e5knbeq https://doodstream.com/d/lz3hfcdv953t/69961900 (2026) #bigtits #teen #blowjob #amateur #RIPNSFW")</f>
        <v>{New} Melanie Marie https://streamtape.com/v/eVq0lmOpKvUY0G7/69961900 https://lulustream.com/d/ze530e5knbeq https://doodstream.com/d/lz3hfcdv953t/69961900 (2026) #bigtits #teen #blowjob #amateur #RIPNSFW</v>
      </c>
      <c r="N1222" s="2" t="s">
        <v>1772</v>
      </c>
      <c r="O1222" s="30" t="s">
        <v>6125</v>
      </c>
      <c r="P1222" s="26"/>
      <c r="R1222" s="23"/>
      <c r="T1222" s="6"/>
      <c r="U1222" s="7"/>
      <c r="Z1222" s="12"/>
      <c r="AA1222" s="12"/>
    </row>
    <row r="1223" spans="1:27" ht="12.75">
      <c r="A1223" s="6" t="s">
        <v>6126</v>
      </c>
      <c r="B1223" s="6" t="s">
        <v>14</v>
      </c>
      <c r="C1223" s="7" t="str">
        <f t="shared" si="16"/>
        <v xml:space="preserve">Melanie Marie </v>
      </c>
      <c r="D1223" s="6" t="s">
        <v>6127</v>
      </c>
      <c r="E1223" s="8" t="s">
        <v>6128</v>
      </c>
      <c r="F1223" s="9" t="str">
        <f ca="1">IFERROR(__xludf.DUMMYFUNCTION("""https://streamtape.com/v/""&amp;
REGEXEXTRACT(O1223,""/thumb/([^/]+)/"")&amp;
""/""&amp;K1223"),"https://streamtape.com/v/bwGOA7wAkeuPyVR/86014845")</f>
        <v>https://streamtape.com/v/bwGOA7wAkeuPyVR/86014845</v>
      </c>
      <c r="G1223" s="10" t="e">
        <f t="shared" ca="1" si="17"/>
        <v>#NAME?</v>
      </c>
      <c r="H1223" s="11" t="str">
        <f ca="1">IFERROR(__xludf.DUMMYFUNCTION("IFERROR(SUBSTITUTE(SUBSTITUTE(REGEXEXTRACT(A1223, ""[^-]+- [^-]+- [^-]+ - (.+?)\.jpg""), "".jpg"", """"), ""-"", "", ""), """")"),"Addison Vodka")</f>
        <v>Addison Vodka</v>
      </c>
      <c r="I1223" s="6"/>
      <c r="J1223" s="7" t="str">
        <f t="shared" ca="1" si="18"/>
        <v>(2026)</v>
      </c>
      <c r="K1223" s="7" t="str">
        <f t="shared" si="19"/>
        <v>86014845</v>
      </c>
      <c r="L1223" s="12" t="s">
        <v>6129</v>
      </c>
      <c r="M1223" s="13" t="str">
        <f ca="1">IFERROR(__xludf.DUMMYFUNCTION("TRIM(
  REGEXREPLACE(
    TEXTJOIN("" "",
      TRUE,
      B1223,
      C1223,
      embaralharLinks(E1223,F1223,G1223),
      H1223,
      """",
      J1223,
      N1223,
      ""#RIPNSFW""
    ),
  "",\s*"", "" "")
)"),"{New} Melanie Marie https://lulustream.com/d/4ov1x45deshj https://streamtape.com/v/bwGOA7wAkeuPyVR/86014845 https://doodstream.com/d/lek5d3ueyen9/86014845 Addison Vodka (2026) #BigTits #Hardcore #Threesome #Teen #Teens #Artporn #Blowjob #Amateur #Deepthro"&amp;"at #Blonde #RIPNSFW")</f>
        <v>{New} Melanie Marie https://lulustream.com/d/4ov1x45deshj https://streamtape.com/v/bwGOA7wAkeuPyVR/86014845 https://doodstream.com/d/lek5d3ueyen9/86014845 Addison Vodka (2026) #BigTits #Hardcore #Threesome #Teen #Teens #Artporn #Blowjob #Amateur #Deepthroat #Blonde #RIPNSFW</v>
      </c>
      <c r="N1223" s="14" t="s">
        <v>6130</v>
      </c>
      <c r="O1223" s="15" t="s">
        <v>6131</v>
      </c>
      <c r="P1223" s="14"/>
      <c r="Q1223" s="6"/>
      <c r="R1223" s="11"/>
      <c r="S1223" s="6"/>
      <c r="T1223" s="6"/>
      <c r="U1223" s="6"/>
      <c r="V1223" s="6"/>
      <c r="W1223" s="6"/>
      <c r="X1223" s="6"/>
      <c r="Y1223" s="6"/>
      <c r="Z1223" s="6"/>
      <c r="AA1223" s="6"/>
    </row>
    <row r="1224" spans="1:27" ht="12.75">
      <c r="A1224" s="12" t="s">
        <v>6132</v>
      </c>
      <c r="B1224" s="6"/>
      <c r="C1224" s="7" t="str">
        <f t="shared" si="16"/>
        <v xml:space="preserve">Melanie Marie </v>
      </c>
      <c r="D1224" s="24" t="s">
        <v>6133</v>
      </c>
      <c r="E1224" s="8" t="s">
        <v>6134</v>
      </c>
      <c r="F1224" s="9" t="str">
        <f ca="1">IFERROR(__xludf.DUMMYFUNCTION("""https://streamtape.com/v/""&amp;
REGEXEXTRACT(O1224,""/thumb/([^/]+)/"")&amp;
""/""&amp;K1224"),"https://streamtape.com/v/jgp6BbwA14izWqr/91881730")</f>
        <v>https://streamtape.com/v/jgp6BbwA14izWqr/91881730</v>
      </c>
      <c r="G1224" s="10" t="e">
        <f t="shared" ca="1" si="17"/>
        <v>#NAME?</v>
      </c>
      <c r="H1224" s="11" t="str">
        <f ca="1">IFERROR(__xludf.DUMMYFUNCTION("IFERROR(SUBSTITUTE(SUBSTITUTE(REGEXEXTRACT(A1224, ""[^-]+- [^-]+- [^-]+ - (.+?)\.jpg""), "".jpg"", """"), ""-"", "", ""), """")"),"JackandJill ,  Dakota Lyn")</f>
        <v>JackandJill ,  Dakota Lyn</v>
      </c>
      <c r="I1224" s="6"/>
      <c r="J1224" s="7" t="str">
        <f t="shared" ca="1" si="18"/>
        <v/>
      </c>
      <c r="K1224" s="7" t="str">
        <f t="shared" si="19"/>
        <v>91881730</v>
      </c>
      <c r="L1224" s="12" t="s">
        <v>6135</v>
      </c>
      <c r="M1224" s="13" t="str">
        <f ca="1">IFERROR(__xludf.DUMMYFUNCTION("TRIM(
  REGEXREPLACE(
    TEXTJOIN("" "",
      TRUE,
      B1224,
      C1224,
      embaralharLinks(E1224,F1224,G1224),
      H1224,
      """",
      J1224,
      N1224,
      ""#RIPNSFW""
    ),
  "",\s*"", "" "")
)"),"Melanie Marie https://doodstream.com/d/jomr5dxbylpo/91881730 https://lulustream.com/d/yi0xbiqt0vu8 https://streamtape.com/v/jgp6BbwA14izWqr/91881730 JackandJill Dakota Lyn #milf #threesome #blowjob #cumshot #RIPNSFW")</f>
        <v>Melanie Marie https://doodstream.com/d/jomr5dxbylpo/91881730 https://lulustream.com/d/yi0xbiqt0vu8 https://streamtape.com/v/jgp6BbwA14izWqr/91881730 JackandJill Dakota Lyn #milf #threesome #blowjob #cumshot #RIPNSFW</v>
      </c>
      <c r="N1224" s="2" t="s">
        <v>6135</v>
      </c>
      <c r="O1224" s="30" t="s">
        <v>6136</v>
      </c>
      <c r="P1224" s="26"/>
      <c r="R1224" s="23"/>
      <c r="T1224" s="6"/>
      <c r="U1224" s="7"/>
    </row>
    <row r="1225" spans="1:27" ht="12.75">
      <c r="A1225" s="6" t="s">
        <v>6137</v>
      </c>
      <c r="B1225" s="6" t="s">
        <v>14</v>
      </c>
      <c r="C1225" s="7" t="str">
        <f t="shared" si="16"/>
        <v xml:space="preserve">Melody Marks </v>
      </c>
      <c r="D1225" s="6" t="s">
        <v>6138</v>
      </c>
      <c r="E1225" s="8" t="s">
        <v>6139</v>
      </c>
      <c r="F1225" s="9" t="str">
        <f ca="1">IFERROR(__xludf.DUMMYFUNCTION("""https://streamtape.com/v/""&amp;
REGEXEXTRACT(O1225,""/thumb/([^/]+)/"")&amp;
""/""&amp;K1225"),"https://streamtape.com/v/bGYAdz97LwcPr1e/11512283")</f>
        <v>https://streamtape.com/v/bGYAdz97LwcPr1e/11512283</v>
      </c>
      <c r="G1225" s="10" t="e">
        <f t="shared" ca="1" si="17"/>
        <v>#NAME?</v>
      </c>
      <c r="H1225" s="11" t="str">
        <f ca="1">IFERROR(__xludf.DUMMYFUNCTION("IFERROR(SUBSTITUTE(SUBSTITUTE(REGEXEXTRACT(A1225, ""[^-]+- [^-]+- [^-]+ - (.+?)\.jpg""), "".jpg"", """"), ""-"", "", ""), """")"),"")</f>
        <v/>
      </c>
      <c r="I1225" s="6"/>
      <c r="J1225" s="7" t="str">
        <f t="shared" ca="1" si="18"/>
        <v>(2026)</v>
      </c>
      <c r="K1225" s="7" t="str">
        <f t="shared" si="19"/>
        <v>11512283</v>
      </c>
      <c r="L1225" s="12" t="s">
        <v>605</v>
      </c>
      <c r="M1225" s="13" t="str">
        <f ca="1">IFERROR(__xludf.DUMMYFUNCTION("TRIM(
  REGEXREPLACE(
    TEXTJOIN("" "",
      TRUE,
      B1225,
      C1225,
      embaralharLinks(E1225,F1225,G1225),
      H1225,
      """",
      J1225,
      N1225,
      ""#RIPNSFW""
    ),
  "",\s*"", "" "")
)"),"{New} Melody Marks https://streamtape.com/v/bGYAdz97LwcPr1e/11512283 https://lulustream.com/d/oq0v5vw8k2jc https://doodstream.com/d/1fe4dg94cs76/11512283 (2026) #BigTits #Hardcore #Bigass #Porn #Teen #Blowjob #RIPNSFW")</f>
        <v>{New} Melody Marks https://streamtape.com/v/bGYAdz97LwcPr1e/11512283 https://lulustream.com/d/oq0v5vw8k2jc https://doodstream.com/d/1fe4dg94cs76/11512283 (2026) #BigTits #Hardcore #Bigass #Porn #Teen #Blowjob #RIPNSFW</v>
      </c>
      <c r="N1225" s="14" t="s">
        <v>486</v>
      </c>
      <c r="O1225" s="15" t="s">
        <v>6140</v>
      </c>
      <c r="P1225" s="14"/>
      <c r="Q1225" s="6"/>
      <c r="R1225" s="11"/>
      <c r="S1225" s="6"/>
      <c r="T1225" s="6"/>
      <c r="U1225" s="6"/>
      <c r="V1225" s="6"/>
      <c r="W1225" s="6"/>
      <c r="X1225" s="6"/>
      <c r="Y1225" s="6"/>
      <c r="Z1225" s="6"/>
      <c r="AA1225" s="6"/>
    </row>
    <row r="1226" spans="1:27" ht="12.75">
      <c r="A1226" s="6" t="s">
        <v>6141</v>
      </c>
      <c r="B1226" s="6" t="s">
        <v>14</v>
      </c>
      <c r="C1226" s="7" t="str">
        <f t="shared" si="16"/>
        <v xml:space="preserve">Melody Marks </v>
      </c>
      <c r="D1226" s="6" t="s">
        <v>6142</v>
      </c>
      <c r="E1226" s="8" t="s">
        <v>6143</v>
      </c>
      <c r="F1226" s="9" t="str">
        <f ca="1">IFERROR(__xludf.DUMMYFUNCTION("""https://streamtape.com/v/""&amp;
REGEXEXTRACT(O1226,""/thumb/([^/]+)/"")&amp;
""/""&amp;K1226"),"https://streamtape.com/v/OVkp2MeMoxc9qJ/12460258")</f>
        <v>https://streamtape.com/v/OVkp2MeMoxc9qJ/12460258</v>
      </c>
      <c r="G1226" s="10" t="e">
        <f t="shared" ca="1" si="17"/>
        <v>#NAME?</v>
      </c>
      <c r="H1226" s="11" t="str">
        <f ca="1">IFERROR(__xludf.DUMMYFUNCTION("IFERROR(SUBSTITUTE(SUBSTITUTE(REGEXEXTRACT(A1226, ""[^-]+- [^-]+- [^-]+ - (.+?)\.jpg""), "".jpg"", """"), ""-"", "", ""), """")"),"")</f>
        <v/>
      </c>
      <c r="I1226" s="6"/>
      <c r="J1226" s="7" t="str">
        <f t="shared" ca="1" si="18"/>
        <v>(2026)</v>
      </c>
      <c r="K1226" s="7" t="str">
        <f t="shared" si="19"/>
        <v>12460258</v>
      </c>
      <c r="L1226" s="12" t="s">
        <v>6144</v>
      </c>
      <c r="M1226" s="13" t="str">
        <f ca="1">IFERROR(__xludf.DUMMYFUNCTION("TRIM(
  REGEXREPLACE(
    TEXTJOIN("" "",
      TRUE,
      B1226,
      C1226,
      embaralharLinks(E1226,F1226,G1226),
      H1226,
      """",
      J1226,
      N1226,
      ""#RIPNSFW""
    ),
  "",\s*"", "" "")
)"),"{New} Melody Marks https://streamtape.com/v/OVkp2MeMoxc9qJ/12460258 https://doodstream.com/d/oaojfbcfxmpd/12460258 https://lulustream.com/d/lqgdlkvnamcl (2026) #BigTits #Hardcore #Threesome #Bigass #Porn #Teen #Blowjob #Deepthroat #Blonde #RIPNSFW")</f>
        <v>{New} Melody Marks https://streamtape.com/v/OVkp2MeMoxc9qJ/12460258 https://doodstream.com/d/oaojfbcfxmpd/12460258 https://lulustream.com/d/lqgdlkvnamcl (2026) #BigTits #Hardcore #Threesome #Bigass #Porn #Teen #Blowjob #Deepthroat #Blonde #RIPNSFW</v>
      </c>
      <c r="N1226" s="14" t="s">
        <v>6145</v>
      </c>
      <c r="O1226" s="15" t="s">
        <v>6146</v>
      </c>
      <c r="P1226" s="14"/>
      <c r="Q1226" s="6"/>
      <c r="R1226" s="11"/>
      <c r="S1226" s="6"/>
      <c r="T1226" s="6"/>
      <c r="U1226" s="6"/>
      <c r="V1226" s="6"/>
      <c r="W1226" s="6"/>
      <c r="X1226" s="6"/>
      <c r="Y1226" s="6"/>
      <c r="Z1226" s="6"/>
      <c r="AA1226" s="6"/>
    </row>
    <row r="1227" spans="1:27" ht="12.75">
      <c r="A1227" s="6" t="s">
        <v>6147</v>
      </c>
      <c r="B1227" s="6" t="s">
        <v>14</v>
      </c>
      <c r="C1227" s="7" t="str">
        <f t="shared" si="16"/>
        <v xml:space="preserve">Melody Marks </v>
      </c>
      <c r="D1227" s="6" t="s">
        <v>6148</v>
      </c>
      <c r="E1227" s="8" t="s">
        <v>6149</v>
      </c>
      <c r="F1227" s="9" t="str">
        <f ca="1">IFERROR(__xludf.DUMMYFUNCTION("""https://streamtape.com/v/""&amp;
REGEXEXTRACT(O1227,""/thumb/([^/]+)/"")&amp;
""/""&amp;K1227"),"https://streamtape.com/v/8VAL1xjGJ2soalw/15086964")</f>
        <v>https://streamtape.com/v/8VAL1xjGJ2soalw/15086964</v>
      </c>
      <c r="G1227" s="10" t="e">
        <f t="shared" ca="1" si="17"/>
        <v>#NAME?</v>
      </c>
      <c r="H1227" s="11" t="str">
        <f ca="1">IFERROR(__xludf.DUMMYFUNCTION("IFERROR(SUBSTITUTE(SUBSTITUTE(REGEXEXTRACT(A1227, ""[^-]+- [^-]+- [^-]+ - (.+?)\.jpg""), "".jpg"", """"), ""-"", "", ""), """")"),"")</f>
        <v/>
      </c>
      <c r="I1227" s="6"/>
      <c r="J1227" s="7" t="str">
        <f t="shared" ca="1" si="18"/>
        <v>(2026)</v>
      </c>
      <c r="K1227" s="7" t="str">
        <f t="shared" si="19"/>
        <v>15086964</v>
      </c>
      <c r="L1227" s="12" t="s">
        <v>6150</v>
      </c>
      <c r="M1227" s="13" t="str">
        <f ca="1">IFERROR(__xludf.DUMMYFUNCTION("TRIM(
  REGEXREPLACE(
    TEXTJOIN("" "",
      TRUE,
      B1227,
      C1227,
      embaralharLinks(E1227,F1227,G1227),
      H1227,
      """",
      J1227,
      N1227,
      ""#RIPNSFW""
    ),
  "",\s*"", "" "")
)"),"{New} Melody Marks https://streamtape.com/v/8VAL1xjGJ2soalw/15086964 https://doodstream.com/d/hve4gpmjg2vh/15086964 https://lulustream.com/d/k4shlg9z0sm1 (2026) #BigTits #Hardcore #Bigass #Teen #RIPNSFW")</f>
        <v>{New} Melody Marks https://streamtape.com/v/8VAL1xjGJ2soalw/15086964 https://doodstream.com/d/hve4gpmjg2vh/15086964 https://lulustream.com/d/k4shlg9z0sm1 (2026) #BigTits #Hardcore #Bigass #Teen #RIPNSFW</v>
      </c>
      <c r="N1227" s="14" t="s">
        <v>208</v>
      </c>
      <c r="O1227" s="15" t="s">
        <v>6151</v>
      </c>
      <c r="P1227" s="14"/>
      <c r="Q1227" s="6"/>
      <c r="R1227" s="11"/>
      <c r="S1227" s="6"/>
      <c r="T1227" s="6"/>
      <c r="U1227" s="6"/>
      <c r="V1227" s="6"/>
      <c r="W1227" s="6"/>
      <c r="X1227" s="6"/>
      <c r="Y1227" s="6"/>
      <c r="Z1227" s="6"/>
      <c r="AA1227" s="6"/>
    </row>
    <row r="1228" spans="1:27" ht="12.75">
      <c r="A1228" s="6" t="s">
        <v>6152</v>
      </c>
      <c r="B1228" s="6" t="s">
        <v>14</v>
      </c>
      <c r="C1228" s="7" t="str">
        <f t="shared" si="16"/>
        <v xml:space="preserve">Melody Marks </v>
      </c>
      <c r="D1228" s="6" t="s">
        <v>6153</v>
      </c>
      <c r="E1228" s="8" t="s">
        <v>6154</v>
      </c>
      <c r="F1228" s="9" t="str">
        <f ca="1">IFERROR(__xludf.DUMMYFUNCTION("""https://streamtape.com/v/""&amp;
REGEXEXTRACT(O1228,""/thumb/([^/]+)/"")&amp;
""/""&amp;K1228"),"https://streamtape.com/v/9RPqkeGBk6io6D/16641436")</f>
        <v>https://streamtape.com/v/9RPqkeGBk6io6D/16641436</v>
      </c>
      <c r="G1228" s="10" t="e">
        <f t="shared" ca="1" si="17"/>
        <v>#NAME?</v>
      </c>
      <c r="H1228" s="11" t="str">
        <f ca="1">IFERROR(__xludf.DUMMYFUNCTION("IFERROR(SUBSTITUTE(SUBSTITUTE(REGEXEXTRACT(A1228, ""[^-]+- [^-]+- [^-]+ - (.+?)\.jpg""), "".jpg"", """"), ""-"", "", ""), """")"),"")</f>
        <v/>
      </c>
      <c r="I1228" s="6"/>
      <c r="J1228" s="7" t="str">
        <f t="shared" ca="1" si="18"/>
        <v>(2026)</v>
      </c>
      <c r="K1228" s="7" t="str">
        <f t="shared" si="19"/>
        <v>16641436</v>
      </c>
      <c r="L1228" s="12" t="s">
        <v>4092</v>
      </c>
      <c r="M1228" s="13" t="str">
        <f ca="1">IFERROR(__xludf.DUMMYFUNCTION("TRIM(
  REGEXREPLACE(
    TEXTJOIN("" "",
      TRUE,
      B1228,
      C1228,
      embaralharLinks(E1228,F1228,G1228),
      H1228,
      """",
      J1228,
      N1228,
      ""#RIPNSFW""
    ),
  "",\s*"", "" "")
)"),"{New} Melody Marks https://streamtape.com/v/9RPqkeGBk6io6D/16641436 https://lulustream.com/d/rjcxay4vqwor https://doodstream.com/d/a9is8ntbrktq/16641436 (2026) #BigTits #Hardcore #Black #Interracial #RIPNSFW")</f>
        <v>{New} Melody Marks https://streamtape.com/v/9RPqkeGBk6io6D/16641436 https://lulustream.com/d/rjcxay4vqwor https://doodstream.com/d/a9is8ntbrktq/16641436 (2026) #BigTits #Hardcore #Black #Interracial #RIPNSFW</v>
      </c>
      <c r="N1228" s="14" t="s">
        <v>646</v>
      </c>
      <c r="O1228" s="15" t="s">
        <v>6155</v>
      </c>
      <c r="P1228" s="14"/>
      <c r="Q1228" s="6"/>
      <c r="R1228" s="11"/>
      <c r="S1228" s="6"/>
      <c r="T1228" s="6"/>
      <c r="U1228" s="6"/>
      <c r="V1228" s="6"/>
      <c r="W1228" s="6"/>
      <c r="X1228" s="6"/>
      <c r="Y1228" s="6"/>
      <c r="Z1228" s="6"/>
      <c r="AA1228" s="6"/>
    </row>
    <row r="1229" spans="1:27" ht="12.75">
      <c r="A1229" s="6" t="s">
        <v>6156</v>
      </c>
      <c r="B1229" s="6" t="s">
        <v>14</v>
      </c>
      <c r="C1229" s="7" t="str">
        <f t="shared" si="16"/>
        <v xml:space="preserve">Melody Marks </v>
      </c>
      <c r="D1229" s="6" t="s">
        <v>6157</v>
      </c>
      <c r="E1229" s="8" t="s">
        <v>6158</v>
      </c>
      <c r="F1229" s="9" t="str">
        <f ca="1">IFERROR(__xludf.DUMMYFUNCTION("""https://streamtape.com/v/""&amp;
REGEXEXTRACT(O1229,""/thumb/([^/]+)/"")&amp;
""/""&amp;K1229"),"https://streamtape.com/v/rApDAM8mB9cbRKA/17549065")</f>
        <v>https://streamtape.com/v/rApDAM8mB9cbRKA/17549065</v>
      </c>
      <c r="G1229" s="10" t="e">
        <f t="shared" ca="1" si="17"/>
        <v>#NAME?</v>
      </c>
      <c r="H1229" s="11" t="str">
        <f ca="1">IFERROR(__xludf.DUMMYFUNCTION("IFERROR(SUBSTITUTE(SUBSTITUTE(REGEXEXTRACT(A1229, ""[^-]+- [^-]+- [^-]+ - (.+?)\.jpg""), "".jpg"", """"), ""-"", "", ""), """")"),"")</f>
        <v/>
      </c>
      <c r="I1229" s="6"/>
      <c r="J1229" s="7" t="str">
        <f t="shared" ca="1" si="18"/>
        <v>(2026)</v>
      </c>
      <c r="K1229" s="7" t="str">
        <f t="shared" si="19"/>
        <v>17549065</v>
      </c>
      <c r="L1229" s="12" t="s">
        <v>611</v>
      </c>
      <c r="M1229" s="13" t="str">
        <f ca="1">IFERROR(__xludf.DUMMYFUNCTION("TRIM(
  REGEXREPLACE(
    TEXTJOIN("" "",
      TRUE,
      B1229,
      C1229,
      embaralharLinks(E1229,F1229,G1229),
      H1229,
      """",
      J1229,
      N1229,
      ""#RIPNSFW""
    ),
  "",\s*"", "" "")
)"),"{New} Melody Marks https://doodstream.com/d/qtre3e44a4eb/17549065 https://streamtape.com/v/rApDAM8mB9cbRKA/17549065 https://lulustream.com/d/32b0rfhg5qo7 (2026) #BigTits #Hardcore #Porn #Teen #RIPNSFW")</f>
        <v>{New} Melody Marks https://doodstream.com/d/qtre3e44a4eb/17549065 https://streamtape.com/v/rApDAM8mB9cbRKA/17549065 https://lulustream.com/d/32b0rfhg5qo7 (2026) #BigTits #Hardcore #Porn #Teen #RIPNSFW</v>
      </c>
      <c r="N1229" s="14" t="s">
        <v>687</v>
      </c>
      <c r="O1229" s="15" t="s">
        <v>6159</v>
      </c>
      <c r="P1229" s="14"/>
      <c r="Q1229" s="6"/>
      <c r="R1229" s="11"/>
      <c r="S1229" s="6"/>
      <c r="T1229" s="6"/>
      <c r="U1229" s="6"/>
      <c r="V1229" s="6"/>
      <c r="W1229" s="6"/>
      <c r="X1229" s="6"/>
      <c r="Y1229" s="6"/>
      <c r="Z1229" s="6"/>
      <c r="AA1229" s="6"/>
    </row>
    <row r="1230" spans="1:27" ht="12.75">
      <c r="A1230" s="6" t="s">
        <v>6160</v>
      </c>
      <c r="B1230" s="6" t="s">
        <v>14</v>
      </c>
      <c r="C1230" s="7" t="str">
        <f t="shared" si="16"/>
        <v xml:space="preserve">Melody Marks </v>
      </c>
      <c r="D1230" s="6" t="s">
        <v>6161</v>
      </c>
      <c r="E1230" s="8" t="s">
        <v>6162</v>
      </c>
      <c r="F1230" s="9" t="str">
        <f ca="1">IFERROR(__xludf.DUMMYFUNCTION("""https://streamtape.com/v/""&amp;
REGEXEXTRACT(O1230,""/thumb/([^/]+)/"")&amp;
""/""&amp;K1230"),"https://streamtape.com/v/ygKk7DqpRkI1b66/23696115")</f>
        <v>https://streamtape.com/v/ygKk7DqpRkI1b66/23696115</v>
      </c>
      <c r="G1230" s="10" t="e">
        <f t="shared" ca="1" si="17"/>
        <v>#NAME?</v>
      </c>
      <c r="H1230" s="11" t="str">
        <f ca="1">IFERROR(__xludf.DUMMYFUNCTION("IFERROR(SUBSTITUTE(SUBSTITUTE(REGEXEXTRACT(A1230, ""[^-]+- [^-]+- [^-]+ - (.+?)\.jpg""), "".jpg"", """"), ""-"", "", ""), """")"),"")</f>
        <v/>
      </c>
      <c r="I1230" s="6"/>
      <c r="J1230" s="7" t="str">
        <f t="shared" ca="1" si="18"/>
        <v>(2026)</v>
      </c>
      <c r="K1230" s="7" t="str">
        <f t="shared" si="19"/>
        <v>23696115</v>
      </c>
      <c r="L1230" s="12" t="s">
        <v>6163</v>
      </c>
      <c r="M1230" s="13" t="str">
        <f ca="1">IFERROR(__xludf.DUMMYFUNCTION("TRIM(
  REGEXREPLACE(
    TEXTJOIN("" "",
      TRUE,
      B1230,
      C1230,
      embaralharLinks(E1230,F1230,G1230),
      H1230,
      """",
      J1230,
      N1230,
      ""#RIPNSFW""
    ),
  "",\s*"", "" "")
)"),"{New} Melody Marks https://lulustream.com/d/l7672o0xitke https://doodstream.com/d/gvaf2nyfyo5v/23696115 https://streamtape.com/v/ygKk7DqpRkI1b66/23696115 (2026) #BigTits #Hardcore #Bigass #Porn #Teen #Blowjob #RIPNSFW")</f>
        <v>{New} Melody Marks https://lulustream.com/d/l7672o0xitke https://doodstream.com/d/gvaf2nyfyo5v/23696115 https://streamtape.com/v/ygKk7DqpRkI1b66/23696115 (2026) #BigTits #Hardcore #Bigass #Porn #Teen #Blowjob #RIPNSFW</v>
      </c>
      <c r="N1230" s="14" t="s">
        <v>486</v>
      </c>
      <c r="O1230" s="15" t="s">
        <v>6164</v>
      </c>
      <c r="P1230" s="14"/>
      <c r="Q1230" s="6"/>
      <c r="R1230" s="11"/>
      <c r="S1230" s="6"/>
      <c r="T1230" s="6"/>
      <c r="U1230" s="6"/>
      <c r="V1230" s="6"/>
      <c r="W1230" s="6"/>
      <c r="X1230" s="6"/>
      <c r="Y1230" s="6"/>
      <c r="Z1230" s="6"/>
      <c r="AA1230" s="6"/>
    </row>
    <row r="1231" spans="1:27" ht="12.75">
      <c r="A1231" s="6" t="s">
        <v>6165</v>
      </c>
      <c r="B1231" s="6" t="s">
        <v>14</v>
      </c>
      <c r="C1231" s="7" t="str">
        <f t="shared" si="16"/>
        <v xml:space="preserve">Melody Marks </v>
      </c>
      <c r="D1231" s="6" t="s">
        <v>6166</v>
      </c>
      <c r="E1231" s="8" t="s">
        <v>6167</v>
      </c>
      <c r="F1231" s="9" t="str">
        <f ca="1">IFERROR(__xludf.DUMMYFUNCTION("""https://streamtape.com/v/""&amp;
REGEXEXTRACT(O1231,""/thumb/([^/]+)/"")&amp;
""/""&amp;K1231"),"https://streamtape.com/v/d8zpRVPB7VFk6AA/24308236")</f>
        <v>https://streamtape.com/v/d8zpRVPB7VFk6AA/24308236</v>
      </c>
      <c r="G1231" s="10" t="e">
        <f t="shared" ca="1" si="17"/>
        <v>#NAME?</v>
      </c>
      <c r="H1231" s="11" t="str">
        <f ca="1">IFERROR(__xludf.DUMMYFUNCTION("IFERROR(SUBSTITUTE(SUBSTITUTE(REGEXEXTRACT(A1231, ""[^-]+- [^-]+- [^-]+ - (.+?)\.jpg""), "".jpg"", """"), ""-"", "", ""), """")"),"")</f>
        <v/>
      </c>
      <c r="I1231" s="6"/>
      <c r="J1231" s="7" t="str">
        <f t="shared" ca="1" si="18"/>
        <v>(2026)</v>
      </c>
      <c r="K1231" s="7" t="str">
        <f t="shared" si="19"/>
        <v>24308236</v>
      </c>
      <c r="L1231" s="12" t="s">
        <v>674</v>
      </c>
      <c r="M1231" s="13" t="str">
        <f ca="1">IFERROR(__xludf.DUMMYFUNCTION("TRIM(
  REGEXREPLACE(
    TEXTJOIN("" "",
      TRUE,
      B1231,
      C1231,
      embaralharLinks(E1231,F1231,G1231),
      H1231,
      """",
      J1231,
      N1231,
      ""#RIPNSFW""
    ),
  "",\s*"", "" "")
)"),"{New} Melody Marks https://lulustream.com/d/lhy7itzmj8kc https://streamtape.com/v/d8zpRVPB7VFk6AA/24308236 https://doodstream.com/d/renn80w1s7m3/24308236 (2026) #BigTits #Hardcore #Bigass #Porn #Teen #RIPNSFW")</f>
        <v>{New} Melody Marks https://lulustream.com/d/lhy7itzmj8kc https://streamtape.com/v/d8zpRVPB7VFk6AA/24308236 https://doodstream.com/d/renn80w1s7m3/24308236 (2026) #BigTits #Hardcore #Bigass #Porn #Teen #RIPNSFW</v>
      </c>
      <c r="N1231" s="14" t="s">
        <v>1236</v>
      </c>
      <c r="O1231" s="15" t="s">
        <v>6168</v>
      </c>
      <c r="P1231" s="14"/>
      <c r="Q1231" s="6"/>
      <c r="R1231" s="11"/>
      <c r="S1231" s="6"/>
      <c r="T1231" s="6"/>
      <c r="U1231" s="6"/>
      <c r="V1231" s="6"/>
      <c r="W1231" s="6"/>
      <c r="X1231" s="6"/>
      <c r="Y1231" s="6"/>
      <c r="Z1231" s="6"/>
      <c r="AA1231" s="6"/>
    </row>
    <row r="1232" spans="1:27" ht="12.75">
      <c r="A1232" s="6" t="s">
        <v>6169</v>
      </c>
      <c r="B1232" s="6" t="s">
        <v>14</v>
      </c>
      <c r="C1232" s="7" t="str">
        <f t="shared" si="16"/>
        <v xml:space="preserve">Melody Marks </v>
      </c>
      <c r="D1232" s="6" t="s">
        <v>6170</v>
      </c>
      <c r="E1232" s="8" t="s">
        <v>6171</v>
      </c>
      <c r="F1232" s="9" t="str">
        <f ca="1">IFERROR(__xludf.DUMMYFUNCTION("""https://streamtape.com/v/""&amp;
REGEXEXTRACT(O1232,""/thumb/([^/]+)/"")&amp;
""/""&amp;K1232"),"https://streamtape.com/v/4odApALVgrUK6G1/24429324")</f>
        <v>https://streamtape.com/v/4odApALVgrUK6G1/24429324</v>
      </c>
      <c r="G1232" s="10" t="e">
        <f t="shared" ca="1" si="17"/>
        <v>#NAME?</v>
      </c>
      <c r="H1232" s="11" t="str">
        <f ca="1">IFERROR(__xludf.DUMMYFUNCTION("IFERROR(SUBSTITUTE(SUBSTITUTE(REGEXEXTRACT(A1232, ""[^-]+- [^-]+- [^-]+ - (.+?)\.jpg""), "".jpg"", """"), ""-"", "", ""), """")"),"")</f>
        <v/>
      </c>
      <c r="I1232" s="6"/>
      <c r="J1232" s="7" t="str">
        <f t="shared" ca="1" si="18"/>
        <v>(2026)</v>
      </c>
      <c r="K1232" s="7" t="str">
        <f t="shared" si="19"/>
        <v>24429324</v>
      </c>
      <c r="L1232" s="12" t="s">
        <v>6172</v>
      </c>
      <c r="M1232" s="13" t="str">
        <f ca="1">IFERROR(__xludf.DUMMYFUNCTION("TRIM(
  REGEXREPLACE(
    TEXTJOIN("" "",
      TRUE,
      B1232,
      C1232,
      embaralharLinks(E1232,F1232,G1232),
      H1232,
      """",
      J1232,
      N1232,
      ""#RIPNSFW""
    ),
  "",\s*"", "" "")
)"),"{New} Melody Marks https://doodstream.com/d/p94ba0x76ly6/24429324 https://lulustream.com/d/dsdvf7foyv3x https://streamtape.com/v/4odApALVgrUK6G1/24429324 (2026) #BigTits #Hardcore #Bigass #Porn #Teen #RIPNSFW")</f>
        <v>{New} Melody Marks https://doodstream.com/d/p94ba0x76ly6/24429324 https://lulustream.com/d/dsdvf7foyv3x https://streamtape.com/v/4odApALVgrUK6G1/24429324 (2026) #BigTits #Hardcore #Bigass #Porn #Teen #RIPNSFW</v>
      </c>
      <c r="N1232" s="14" t="s">
        <v>1236</v>
      </c>
      <c r="O1232" s="15" t="s">
        <v>6173</v>
      </c>
      <c r="P1232" s="14"/>
      <c r="Q1232" s="6"/>
      <c r="R1232" s="11"/>
      <c r="S1232" s="6"/>
      <c r="T1232" s="6"/>
      <c r="U1232" s="6"/>
      <c r="V1232" s="6"/>
      <c r="W1232" s="6"/>
      <c r="X1232" s="6"/>
      <c r="Y1232" s="6"/>
      <c r="Z1232" s="6"/>
      <c r="AA1232" s="6"/>
    </row>
    <row r="1233" spans="1:27" ht="12.75">
      <c r="A1233" s="6" t="s">
        <v>6174</v>
      </c>
      <c r="B1233" s="6" t="s">
        <v>14</v>
      </c>
      <c r="C1233" s="7" t="str">
        <f t="shared" si="16"/>
        <v xml:space="preserve">Melody Marks </v>
      </c>
      <c r="D1233" s="6" t="s">
        <v>6175</v>
      </c>
      <c r="E1233" s="8" t="s">
        <v>6176</v>
      </c>
      <c r="F1233" s="9" t="str">
        <f ca="1">IFERROR(__xludf.DUMMYFUNCTION("""https://streamtape.com/v/""&amp;
REGEXEXTRACT(O1233,""/thumb/([^/]+)/"")&amp;
""/""&amp;K1233"),"https://streamtape.com/v/vPWLz21AjdF4X0m/24969447")</f>
        <v>https://streamtape.com/v/vPWLz21AjdF4X0m/24969447</v>
      </c>
      <c r="G1233" s="10" t="e">
        <f t="shared" ca="1" si="17"/>
        <v>#NAME?</v>
      </c>
      <c r="H1233" s="11" t="str">
        <f ca="1">IFERROR(__xludf.DUMMYFUNCTION("IFERROR(SUBSTITUTE(SUBSTITUTE(REGEXEXTRACT(A1233, ""[^-]+- [^-]+- [^-]+ - (.+?)\.jpg""), "".jpg"", """"), ""-"", "", ""), """")"),"")</f>
        <v/>
      </c>
      <c r="I1233" s="6"/>
      <c r="J1233" s="7" t="str">
        <f t="shared" ca="1" si="18"/>
        <v>(2026)</v>
      </c>
      <c r="K1233" s="7" t="str">
        <f t="shared" si="19"/>
        <v>24969447</v>
      </c>
      <c r="L1233" s="12" t="s">
        <v>6177</v>
      </c>
      <c r="M1233" s="13" t="str">
        <f ca="1">IFERROR(__xludf.DUMMYFUNCTION("TRIM(
  REGEXREPLACE(
    TEXTJOIN("" "",
      TRUE,
      B1233,
      C1233,
      embaralharLinks(E1233,F1233,G1233),
      H1233,
      """",
      J1233,
      N1233,
      ""#RIPNSFW""
    ),
  "",\s*"", "" "")
)"),"{New} Melody Marks https://doodstream.com/d/e0uquonyhrvs/24969447 https://lulustream.com/d/xly1d09lnn1e https://streamtape.com/v/vPWLz21AjdF4X0m/24969447 (2026) #Hardcore #Threesome #Teen #Blonde #RIPNSFW")</f>
        <v>{New} Melody Marks https://doodstream.com/d/e0uquonyhrvs/24969447 https://lulustream.com/d/xly1d09lnn1e https://streamtape.com/v/vPWLz21AjdF4X0m/24969447 (2026) #Hardcore #Threesome #Teen #Blonde #RIPNSFW</v>
      </c>
      <c r="N1233" s="14" t="s">
        <v>6178</v>
      </c>
      <c r="O1233" s="15" t="s">
        <v>6179</v>
      </c>
      <c r="P1233" s="14"/>
      <c r="Q1233" s="6"/>
      <c r="R1233" s="11"/>
      <c r="S1233" s="6"/>
      <c r="T1233" s="6"/>
      <c r="U1233" s="6"/>
      <c r="V1233" s="6"/>
      <c r="W1233" s="6"/>
      <c r="X1233" s="6"/>
      <c r="Y1233" s="6"/>
      <c r="Z1233" s="6"/>
      <c r="AA1233" s="6"/>
    </row>
    <row r="1234" spans="1:27" ht="12.75">
      <c r="A1234" s="6" t="s">
        <v>6180</v>
      </c>
      <c r="B1234" s="6" t="s">
        <v>14</v>
      </c>
      <c r="C1234" s="7" t="str">
        <f t="shared" si="16"/>
        <v xml:space="preserve">Melody Marks </v>
      </c>
      <c r="D1234" s="6" t="s">
        <v>6181</v>
      </c>
      <c r="E1234" s="8" t="s">
        <v>6182</v>
      </c>
      <c r="F1234" s="9" t="str">
        <f ca="1">IFERROR(__xludf.DUMMYFUNCTION("""https://streamtape.com/v/""&amp;
REGEXEXTRACT(O1234,""/thumb/([^/]+)/"")&amp;
""/""&amp;K1234"),"https://streamtape.com/v/QJVwWaZze9UwrA/26087470")</f>
        <v>https://streamtape.com/v/QJVwWaZze9UwrA/26087470</v>
      </c>
      <c r="G1234" s="10" t="e">
        <f t="shared" ca="1" si="17"/>
        <v>#NAME?</v>
      </c>
      <c r="H1234" s="11" t="str">
        <f ca="1">IFERROR(__xludf.DUMMYFUNCTION("IFERROR(SUBSTITUTE(SUBSTITUTE(REGEXEXTRACT(A1234, ""[^-]+- [^-]+- [^-]+ - (.+?)\.jpg""), "".jpg"", """"), ""-"", "", ""), """")"),"")</f>
        <v/>
      </c>
      <c r="I1234" s="6"/>
      <c r="J1234" s="7" t="str">
        <f t="shared" ca="1" si="18"/>
        <v>(2026)</v>
      </c>
      <c r="K1234" s="7" t="str">
        <f t="shared" si="19"/>
        <v>26087470</v>
      </c>
      <c r="L1234" s="12" t="s">
        <v>605</v>
      </c>
      <c r="M1234" s="13" t="str">
        <f ca="1">IFERROR(__xludf.DUMMYFUNCTION("TRIM(
  REGEXREPLACE(
    TEXTJOIN("" "",
      TRUE,
      B1234,
      C1234,
      embaralharLinks(E1234,F1234,G1234),
      H1234,
      """",
      J1234,
      N1234,
      ""#RIPNSFW""
    ),
  "",\s*"", "" "")
)"),"{New} Melody Marks https://lulustream.com/d/so8hyuhf36q3 https://streamtape.com/v/QJVwWaZze9UwrA/26087470 https://doodstream.com/d/o3tky73o1wty/26087470 (2026) #BigTits #Hardcore #Bigass #Porn #Teen #Blowjob #Deepthroat #Blonde #RIPNSFW")</f>
        <v>{New} Melody Marks https://lulustream.com/d/so8hyuhf36q3 https://streamtape.com/v/QJVwWaZze9UwrA/26087470 https://doodstream.com/d/o3tky73o1wty/26087470 (2026) #BigTits #Hardcore #Bigass #Porn #Teen #Blowjob #Deepthroat #Blonde #RIPNSFW</v>
      </c>
      <c r="N1234" s="14" t="s">
        <v>6183</v>
      </c>
      <c r="O1234" s="15" t="s">
        <v>6184</v>
      </c>
      <c r="P1234" s="14"/>
      <c r="Q1234" s="6"/>
      <c r="R1234" s="11"/>
      <c r="S1234" s="6"/>
      <c r="T1234" s="6"/>
      <c r="U1234" s="6"/>
      <c r="V1234" s="6"/>
      <c r="W1234" s="6"/>
      <c r="X1234" s="6"/>
      <c r="Y1234" s="6"/>
      <c r="Z1234" s="6"/>
      <c r="AA1234" s="6"/>
    </row>
    <row r="1235" spans="1:27" ht="12.75">
      <c r="A1235" s="6" t="s">
        <v>6185</v>
      </c>
      <c r="B1235" s="6" t="s">
        <v>14</v>
      </c>
      <c r="C1235" s="7" t="str">
        <f t="shared" si="16"/>
        <v xml:space="preserve">Melody Marks </v>
      </c>
      <c r="D1235" s="6" t="s">
        <v>6186</v>
      </c>
      <c r="E1235" s="8" t="s">
        <v>6187</v>
      </c>
      <c r="F1235" s="9" t="str">
        <f ca="1">IFERROR(__xludf.DUMMYFUNCTION("""https://streamtape.com/v/""&amp;
REGEXEXTRACT(O1235,""/thumb/([^/]+)/"")&amp;
""/""&amp;K1235"),"https://streamtape.com/v/abXrr9lApQUxRMW/28313309")</f>
        <v>https://streamtape.com/v/abXrr9lApQUxRMW/28313309</v>
      </c>
      <c r="G1235" s="10" t="e">
        <f t="shared" ca="1" si="17"/>
        <v>#NAME?</v>
      </c>
      <c r="H1235" s="11" t="str">
        <f ca="1">IFERROR(__xludf.DUMMYFUNCTION("IFERROR(SUBSTITUTE(SUBSTITUTE(REGEXEXTRACT(A1235, ""[^-]+- [^-]+- [^-]+ - (.+?)\.jpg""), "".jpg"", """"), ""-"", "", ""), """")"),"Lilly Bell")</f>
        <v>Lilly Bell</v>
      </c>
      <c r="I1235" s="6"/>
      <c r="J1235" s="7" t="str">
        <f t="shared" ca="1" si="18"/>
        <v>(2026)</v>
      </c>
      <c r="K1235" s="7" t="str">
        <f t="shared" si="19"/>
        <v>28313309</v>
      </c>
      <c r="L1235" s="12" t="s">
        <v>6188</v>
      </c>
      <c r="M1235" s="13" t="str">
        <f ca="1">IFERROR(__xludf.DUMMYFUNCTION("TRIM(
  REGEXREPLACE(
    TEXTJOIN("" "",
      TRUE,
      B1235,
      C1235,
      embaralharLinks(E1235,F1235,G1235),
      H1235,
      """",
      J1235,
      N1235,
      ""#RIPNSFW""
    ),
  "",\s*"", "" "")
)"),"{New} Melody Marks https://doodstream.com/d/xb7sikfoia1m/28313309 https://lulustream.com/d/lq4nyhq6b009 https://streamtape.com/v/abXrr9lApQUxRMW/28313309 Lilly Bell (2026) #BigTits #Hardcore #Threesome #Bigass #Porn #Teen #Teens #Blowjob #Deepthroat #Blon"&amp;"de #RIPNSFW")</f>
        <v>{New} Melody Marks https://doodstream.com/d/xb7sikfoia1m/28313309 https://lulustream.com/d/lq4nyhq6b009 https://streamtape.com/v/abXrr9lApQUxRMW/28313309 Lilly Bell (2026) #BigTits #Hardcore #Threesome #Bigass #Porn #Teen #Teens #Blowjob #Deepthroat #Blonde #RIPNSFW</v>
      </c>
      <c r="N1235" s="14" t="s">
        <v>6189</v>
      </c>
      <c r="O1235" s="15" t="s">
        <v>6190</v>
      </c>
      <c r="P1235" s="14"/>
      <c r="Q1235" s="6"/>
      <c r="R1235" s="11"/>
      <c r="S1235" s="6"/>
      <c r="T1235" s="6"/>
      <c r="U1235" s="6"/>
      <c r="V1235" s="6"/>
      <c r="W1235" s="6"/>
      <c r="X1235" s="6"/>
      <c r="Y1235" s="6"/>
      <c r="Z1235" s="6"/>
      <c r="AA1235" s="6"/>
    </row>
    <row r="1236" spans="1:27" ht="12.75">
      <c r="A1236" s="6" t="s">
        <v>6191</v>
      </c>
      <c r="B1236" s="6" t="s">
        <v>14</v>
      </c>
      <c r="C1236" s="7" t="str">
        <f t="shared" si="16"/>
        <v xml:space="preserve">Melody Marks </v>
      </c>
      <c r="D1236" s="6" t="s">
        <v>6192</v>
      </c>
      <c r="E1236" s="8" t="s">
        <v>6193</v>
      </c>
      <c r="F1236" s="9" t="str">
        <f ca="1">IFERROR(__xludf.DUMMYFUNCTION("""https://streamtape.com/v/""&amp;
REGEXEXTRACT(O1236,""/thumb/([^/]+)/"")&amp;
""/""&amp;K1236"),"https://streamtape.com/v/17jg2eaR3OteRgj/34326515")</f>
        <v>https://streamtape.com/v/17jg2eaR3OteRgj/34326515</v>
      </c>
      <c r="G1236" s="10" t="e">
        <f t="shared" ca="1" si="17"/>
        <v>#NAME?</v>
      </c>
      <c r="H1236" s="11" t="str">
        <f ca="1">IFERROR(__xludf.DUMMYFUNCTION("IFERROR(SUBSTITUTE(SUBSTITUTE(REGEXEXTRACT(A1236, ""[^-]+- [^-]+- [^-]+ - (.+?)\.jpg""), "".jpg"", """"), ""-"", "", ""), """")"),"Cory Chase")</f>
        <v>Cory Chase</v>
      </c>
      <c r="I1236" s="6"/>
      <c r="J1236" s="7" t="str">
        <f t="shared" ca="1" si="18"/>
        <v>(2026)</v>
      </c>
      <c r="K1236" s="7" t="str">
        <f t="shared" si="19"/>
        <v>34326515</v>
      </c>
      <c r="L1236" s="12" t="s">
        <v>6194</v>
      </c>
      <c r="M1236" s="13" t="str">
        <f ca="1">IFERROR(__xludf.DUMMYFUNCTION("TRIM(
  REGEXREPLACE(
    TEXTJOIN("" "",
      TRUE,
      B1236,
      C1236,
      embaralharLinks(E1236,F1236,G1236),
      H1236,
      """",
      J1236,
      N1236,
      ""#RIPNSFW""
    ),
  "",\s*"", "" "")
)"),"{New} Melody Marks https://streamtape.com/v/17jg2eaR3OteRgj/34326515 https://doodstream.com/d/ol6tnv92ka82/34326515 https://lulustream.com/d/jwhchx464imx Cory Chase (2026) #MILF #BigTits #Hardcore #Threesome #Bigass #Porn #Teen #RIPNSFW")</f>
        <v>{New} Melody Marks https://streamtape.com/v/17jg2eaR3OteRgj/34326515 https://doodstream.com/d/ol6tnv92ka82/34326515 https://lulustream.com/d/jwhchx464imx Cory Chase (2026) #MILF #BigTits #Hardcore #Threesome #Bigass #Porn #Teen #RIPNSFW</v>
      </c>
      <c r="N1236" s="14" t="s">
        <v>6195</v>
      </c>
      <c r="O1236" s="15" t="s">
        <v>6196</v>
      </c>
      <c r="P1236" s="14"/>
      <c r="Q1236" s="6"/>
      <c r="R1236" s="11"/>
      <c r="S1236" s="6"/>
      <c r="T1236" s="6"/>
      <c r="U1236" s="6"/>
      <c r="V1236" s="6"/>
      <c r="W1236" s="6"/>
      <c r="X1236" s="6"/>
      <c r="Y1236" s="6"/>
      <c r="Z1236" s="6"/>
      <c r="AA1236" s="6"/>
    </row>
    <row r="1237" spans="1:27" ht="12.75">
      <c r="A1237" s="6" t="s">
        <v>6197</v>
      </c>
      <c r="B1237" s="6" t="s">
        <v>14</v>
      </c>
      <c r="C1237" s="7" t="str">
        <f t="shared" si="16"/>
        <v xml:space="preserve">Melody Marks </v>
      </c>
      <c r="D1237" s="24" t="s">
        <v>6198</v>
      </c>
      <c r="E1237" s="25" t="s">
        <v>6199</v>
      </c>
      <c r="F1237" s="9" t="str">
        <f ca="1">IFERROR(__xludf.DUMMYFUNCTION("""https://streamtape.com/v/""&amp;
REGEXEXTRACT(O1237,""/thumb/([^/]+)/"")&amp;
""/""&amp;K1237"),"https://streamtape.com/v/bpK3O86lmXCPaZG/41586007")</f>
        <v>https://streamtape.com/v/bpK3O86lmXCPaZG/41586007</v>
      </c>
      <c r="G1237" s="10" t="e">
        <f t="shared" ca="1" si="17"/>
        <v>#NAME?</v>
      </c>
      <c r="H1237" s="11" t="str">
        <f ca="1">IFERROR(__xludf.DUMMYFUNCTION("IFERROR(SUBSTITUTE(SUBSTITUTE(REGEXEXTRACT(A1237, ""[^-]+- [^-]+- [^-]+ - (.+?)\.jpg""), "".jpg"", """"), ""-"", "", ""), """")"),"")</f>
        <v/>
      </c>
      <c r="I1237" s="6"/>
      <c r="J1237" s="7" t="str">
        <f t="shared" ca="1" si="18"/>
        <v>(2026)</v>
      </c>
      <c r="K1237" s="7" t="str">
        <f t="shared" si="19"/>
        <v>41586007</v>
      </c>
      <c r="L1237" s="12" t="s">
        <v>6200</v>
      </c>
      <c r="M1237" s="13" t="str">
        <f ca="1">IFERROR(__xludf.DUMMYFUNCTION("TRIM(
  REGEXREPLACE(
    TEXTJOIN("" "",
      TRUE,
      B1237,
      C1237,
      embaralharLinks(E1237,F1237,G1237),
      H1237,
      """",
      J1237,
      N1237,
      ""#RIPNSFW""
    ),
  "",\s*"", "" "")
)"),"{New} Melody Marks https://lulustream.com/d/c4ipap00vboc https://doodstream.com/d/g7f1gnzj5nfz/41586007 https://streamtape.com/v/bpK3O86lmXCPaZG/41586007 (2026) #blowjob #teen #blonde #porn #RIPNSFW")</f>
        <v>{New} Melody Marks https://lulustream.com/d/c4ipap00vboc https://doodstream.com/d/g7f1gnzj5nfz/41586007 https://streamtape.com/v/bpK3O86lmXCPaZG/41586007 (2026) #blowjob #teen #blonde #porn #RIPNSFW</v>
      </c>
      <c r="N1237" s="31" t="s">
        <v>6200</v>
      </c>
      <c r="O1237" s="32" t="s">
        <v>6201</v>
      </c>
      <c r="P1237" s="26"/>
      <c r="Q1237" s="6"/>
      <c r="R1237" s="11"/>
      <c r="S1237" s="6"/>
      <c r="T1237" s="6"/>
      <c r="U1237" s="6"/>
      <c r="V1237" s="6"/>
      <c r="W1237" s="6"/>
      <c r="X1237" s="6"/>
      <c r="Y1237" s="6"/>
      <c r="Z1237" s="6"/>
      <c r="AA1237" s="6"/>
    </row>
    <row r="1238" spans="1:27" ht="12.75">
      <c r="A1238" s="12" t="s">
        <v>6202</v>
      </c>
      <c r="B1238" s="6" t="s">
        <v>14</v>
      </c>
      <c r="C1238" s="7" t="str">
        <f t="shared" si="16"/>
        <v xml:space="preserve">Melody Marks </v>
      </c>
      <c r="D1238" s="24" t="s">
        <v>6203</v>
      </c>
      <c r="E1238" s="25" t="s">
        <v>6204</v>
      </c>
      <c r="F1238" s="9" t="str">
        <f ca="1">IFERROR(__xludf.DUMMYFUNCTION("""https://streamtape.com/v/""&amp;
REGEXEXTRACT(O1238,""/thumb/([^/]+)/"")&amp;
""/""&amp;K1238"),"https://streamtape.com/v/r4lagjLr6YFbBMg/41917273")</f>
        <v>https://streamtape.com/v/r4lagjLr6YFbBMg/41917273</v>
      </c>
      <c r="G1238" s="10" t="e">
        <f t="shared" ca="1" si="17"/>
        <v>#NAME?</v>
      </c>
      <c r="H1238" s="11" t="str">
        <f ca="1">IFERROR(__xludf.DUMMYFUNCTION("IFERROR(SUBSTITUTE(SUBSTITUTE(REGEXEXTRACT(A1238, ""[^-]+- [^-]+- [^-]+ - (.+?)\.jpg""), "".jpg"", """"), ""-"", "", ""), """")"),"")</f>
        <v/>
      </c>
      <c r="I1238" s="6"/>
      <c r="J1238" s="7" t="str">
        <f t="shared" ca="1" si="18"/>
        <v>(2026)</v>
      </c>
      <c r="K1238" s="7" t="str">
        <f t="shared" si="19"/>
        <v>41917273</v>
      </c>
      <c r="L1238" s="12" t="s">
        <v>1055</v>
      </c>
      <c r="M1238" s="13" t="str">
        <f ca="1">IFERROR(__xludf.DUMMYFUNCTION("TRIM(
  REGEXREPLACE(
    TEXTJOIN("" "",
      TRUE,
      B1238,
      C1238,
      embaralharLinks(E1238,F1238,G1238),
      H1238,
      """",
      J1238,
      N1238,
      ""#RIPNSFW""
    ),
  "",\s*"", "" "")
)"),"{New} Melody Marks https://doodstream.com/d/f9c6ckftqwjt/41917273 https://lulustream.com/d/1ovq98ka03sl https://streamtape.com/v/r4lagjLr6YFbBMg/41917273 (2026) #teen #bigtits #blowjob #blonde #RIPNSFW")</f>
        <v>{New} Melody Marks https://doodstream.com/d/f9c6ckftqwjt/41917273 https://lulustream.com/d/1ovq98ka03sl https://streamtape.com/v/r4lagjLr6YFbBMg/41917273 (2026) #teen #bigtits #blowjob #blonde #RIPNSFW</v>
      </c>
      <c r="N1238" s="2" t="s">
        <v>1055</v>
      </c>
      <c r="O1238" s="30" t="s">
        <v>6205</v>
      </c>
      <c r="P1238" s="26"/>
      <c r="R1238" s="23"/>
      <c r="T1238" s="6"/>
      <c r="U1238" s="7"/>
    </row>
    <row r="1239" spans="1:27" ht="12.75">
      <c r="A1239" s="6" t="s">
        <v>6206</v>
      </c>
      <c r="B1239" s="6" t="s">
        <v>14</v>
      </c>
      <c r="C1239" s="7" t="str">
        <f t="shared" si="16"/>
        <v xml:space="preserve">Melody Marks </v>
      </c>
      <c r="D1239" s="24" t="s">
        <v>6207</v>
      </c>
      <c r="E1239" s="25" t="s">
        <v>6208</v>
      </c>
      <c r="F1239" s="9" t="str">
        <f ca="1">IFERROR(__xludf.DUMMYFUNCTION("""https://streamtape.com/v/""&amp;
REGEXEXTRACT(O1239,""/thumb/([^/]+)/"")&amp;
""/""&amp;K1239"),"https://streamtape.com/v/6PGpBpYae2S9w4b/44001768")</f>
        <v>https://streamtape.com/v/6PGpBpYae2S9w4b/44001768</v>
      </c>
      <c r="G1239" s="10" t="e">
        <f t="shared" ca="1" si="17"/>
        <v>#NAME?</v>
      </c>
      <c r="H1239" s="11" t="str">
        <f ca="1">IFERROR(__xludf.DUMMYFUNCTION("IFERROR(SUBSTITUTE(SUBSTITUTE(REGEXEXTRACT(A1239, ""[^-]+- [^-]+- [^-]+ - (.+?)\.jpg""), "".jpg"", """"), ""-"", "", ""), """")"),"")</f>
        <v/>
      </c>
      <c r="I1239" s="6"/>
      <c r="J1239" s="7" t="str">
        <f t="shared" ca="1" si="18"/>
        <v>(2026)</v>
      </c>
      <c r="K1239" s="7" t="str">
        <f t="shared" si="19"/>
        <v>44001768</v>
      </c>
      <c r="L1239" s="12" t="s">
        <v>3801</v>
      </c>
      <c r="M1239" s="13" t="str">
        <f ca="1">IFERROR(__xludf.DUMMYFUNCTION("TRIM(
  REGEXREPLACE(
    TEXTJOIN("" "",
      TRUE,
      B1239,
      C1239,
      embaralharLinks(E1239,F1239,G1239),
      H1239,
      """",
      J1239,
      N1239,
      ""#RIPNSFW""
    ),
  "",\s*"", "" "")
)"),"{New} Melody Marks https://streamtape.com/v/6PGpBpYae2S9w4b/44001768 https://doodstream.com/d/punxtdtp0go5/44001768 https://lulustream.com/d/ks0eymrdgh43 (2026) #teen #blowjob #blonde #porn #RIPNSFW")</f>
        <v>{New} Melody Marks https://streamtape.com/v/6PGpBpYae2S9w4b/44001768 https://doodstream.com/d/punxtdtp0go5/44001768 https://lulustream.com/d/ks0eymrdgh43 (2026) #teen #blowjob #blonde #porn #RIPNSFW</v>
      </c>
      <c r="N1239" s="31" t="s">
        <v>3801</v>
      </c>
      <c r="O1239" s="32" t="s">
        <v>6209</v>
      </c>
      <c r="P1239" s="26"/>
      <c r="Q1239" s="6"/>
      <c r="R1239" s="11"/>
      <c r="S1239" s="6"/>
      <c r="T1239" s="6"/>
      <c r="U1239" s="6"/>
      <c r="V1239" s="6"/>
      <c r="W1239" s="6"/>
      <c r="X1239" s="6"/>
      <c r="Y1239" s="6"/>
      <c r="Z1239" s="6"/>
      <c r="AA1239" s="6"/>
    </row>
    <row r="1240" spans="1:27" ht="12.75">
      <c r="A1240" s="6" t="s">
        <v>6210</v>
      </c>
      <c r="B1240" s="6" t="s">
        <v>14</v>
      </c>
      <c r="C1240" s="7" t="str">
        <f t="shared" si="16"/>
        <v xml:space="preserve">Melody Marks </v>
      </c>
      <c r="D1240" s="6" t="s">
        <v>6211</v>
      </c>
      <c r="E1240" s="8" t="s">
        <v>6212</v>
      </c>
      <c r="F1240" s="9" t="str">
        <f ca="1">IFERROR(__xludf.DUMMYFUNCTION("""https://streamtape.com/v/""&amp;
REGEXEXTRACT(O1240,""/thumb/([^/]+)/"")&amp;
""/""&amp;K1240"),"https://streamtape.com/v/xr270Ge9yLIkgxz/47537489")</f>
        <v>https://streamtape.com/v/xr270Ge9yLIkgxz/47537489</v>
      </c>
      <c r="G1240" s="10" t="e">
        <f t="shared" ca="1" si="17"/>
        <v>#NAME?</v>
      </c>
      <c r="H1240" s="11" t="str">
        <f ca="1">IFERROR(__xludf.DUMMYFUNCTION("IFERROR(SUBSTITUTE(SUBSTITUTE(REGEXEXTRACT(A1240, ""[^-]+- [^-]+- [^-]+ - (.+?)\.jpg""), "".jpg"", """"), ""-"", "", ""), """")"),"")</f>
        <v/>
      </c>
      <c r="I1240" s="6"/>
      <c r="J1240" s="7" t="str">
        <f t="shared" ca="1" si="18"/>
        <v>(2026)</v>
      </c>
      <c r="K1240" s="7" t="str">
        <f t="shared" si="19"/>
        <v>47537489</v>
      </c>
      <c r="L1240" s="12" t="s">
        <v>6213</v>
      </c>
      <c r="M1240" s="13" t="str">
        <f ca="1">IFERROR(__xludf.DUMMYFUNCTION("TRIM(
  REGEXREPLACE(
    TEXTJOIN("" "",
      TRUE,
      B1240,
      C1240,
      embaralharLinks(E1240,F1240,G1240),
      H1240,
      """",
      J1240,
      N1240,
      ""#RIPNSFW""
    ),
  "",\s*"", "" "")
)"),"{New} Melody Marks https://doodstream.com/d/icl4g4q8kobe/47537489 https://lulustream.com/d/hod3yjm14ogn https://streamtape.com/v/xr270Ge9yLIkgxz/47537489 (2026) #BigTits #Hardcore #Porn #Teen #Blowjob #Blonde #Facial #RIPNSFW")</f>
        <v>{New} Melody Marks https://doodstream.com/d/icl4g4q8kobe/47537489 https://lulustream.com/d/hod3yjm14ogn https://streamtape.com/v/xr270Ge9yLIkgxz/47537489 (2026) #BigTits #Hardcore #Porn #Teen #Blowjob #Blonde #Facial #RIPNSFW</v>
      </c>
      <c r="N1240" s="14" t="s">
        <v>6214</v>
      </c>
      <c r="O1240" s="15" t="s">
        <v>6215</v>
      </c>
      <c r="P1240" s="14"/>
      <c r="Q1240" s="6"/>
      <c r="R1240" s="11"/>
      <c r="S1240" s="6"/>
      <c r="T1240" s="6"/>
      <c r="U1240" s="6"/>
      <c r="V1240" s="6"/>
      <c r="W1240" s="6"/>
      <c r="X1240" s="6"/>
      <c r="Y1240" s="6"/>
      <c r="Z1240" s="6"/>
      <c r="AA1240" s="6"/>
    </row>
    <row r="1241" spans="1:27" ht="12.75">
      <c r="A1241" s="6" t="s">
        <v>6216</v>
      </c>
      <c r="B1241" s="6" t="s">
        <v>14</v>
      </c>
      <c r="C1241" s="7" t="str">
        <f t="shared" si="16"/>
        <v xml:space="preserve">Melody Marks </v>
      </c>
      <c r="D1241" s="6" t="s">
        <v>6217</v>
      </c>
      <c r="E1241" s="8" t="s">
        <v>6218</v>
      </c>
      <c r="F1241" s="9" t="str">
        <f ca="1">IFERROR(__xludf.DUMMYFUNCTION("""https://streamtape.com/v/""&amp;
REGEXEXTRACT(O1241,""/thumb/([^/]+)/"")&amp;
""/""&amp;K1241"),"https://streamtape.com/v/Me9GpbolWzumkkJ/49097547")</f>
        <v>https://streamtape.com/v/Me9GpbolWzumkkJ/49097547</v>
      </c>
      <c r="G1241" s="10" t="e">
        <f t="shared" ca="1" si="17"/>
        <v>#NAME?</v>
      </c>
      <c r="H1241" s="11" t="str">
        <f ca="1">IFERROR(__xludf.DUMMYFUNCTION("IFERROR(SUBSTITUTE(SUBSTITUTE(REGEXEXTRACT(A1241, ""[^-]+- [^-]+- [^-]+ - (.+?)\.jpg""), "".jpg"", """"), ""-"", "", ""), """")"),"")</f>
        <v/>
      </c>
      <c r="I1241" s="6"/>
      <c r="J1241" s="7" t="str">
        <f t="shared" ca="1" si="18"/>
        <v>(2026)</v>
      </c>
      <c r="K1241" s="7" t="str">
        <f t="shared" si="19"/>
        <v>49097547</v>
      </c>
      <c r="L1241" s="12" t="s">
        <v>6219</v>
      </c>
      <c r="M1241" s="13" t="str">
        <f ca="1">IFERROR(__xludf.DUMMYFUNCTION("TRIM(
  REGEXREPLACE(
    TEXTJOIN("" "",
      TRUE,
      B1241,
      C1241,
      embaralharLinks(E1241,F1241,G1241),
      H1241,
      """",
      J1241,
      N1241,
      ""#RIPNSFW""
    ),
  "",\s*"", "" "")
)"),"{New} Melody Marks https://lulustream.com/d/dnqbycju29ke https://streamtape.com/v/Me9GpbolWzumkkJ/49097547 https://doodstream.com/d/nnsli8k7irw7/49097547 (2026) #BigTits #Creampie #Hardcore #Porn #Teen #RIPNSFW")</f>
        <v>{New} Melody Marks https://lulustream.com/d/dnqbycju29ke https://streamtape.com/v/Me9GpbolWzumkkJ/49097547 https://doodstream.com/d/nnsli8k7irw7/49097547 (2026) #BigTits #Creampie #Hardcore #Porn #Teen #RIPNSFW</v>
      </c>
      <c r="N1241" s="14" t="s">
        <v>6220</v>
      </c>
      <c r="O1241" s="15" t="s">
        <v>6221</v>
      </c>
      <c r="P1241" s="14"/>
      <c r="Q1241" s="6"/>
      <c r="R1241" s="11"/>
      <c r="S1241" s="6"/>
      <c r="T1241" s="6"/>
      <c r="U1241" s="6"/>
      <c r="V1241" s="6"/>
      <c r="W1241" s="6"/>
      <c r="X1241" s="6"/>
      <c r="Y1241" s="6"/>
      <c r="Z1241" s="6"/>
      <c r="AA1241" s="6"/>
    </row>
    <row r="1242" spans="1:27" ht="12.75">
      <c r="A1242" s="12" t="s">
        <v>6222</v>
      </c>
      <c r="B1242" s="6" t="s">
        <v>14</v>
      </c>
      <c r="C1242" s="7" t="str">
        <f t="shared" si="16"/>
        <v xml:space="preserve">Melody Marks </v>
      </c>
      <c r="D1242" s="24" t="s">
        <v>6223</v>
      </c>
      <c r="E1242" s="25" t="s">
        <v>6224</v>
      </c>
      <c r="F1242" s="9" t="str">
        <f ca="1">IFERROR(__xludf.DUMMYFUNCTION("""https://streamtape.com/v/""&amp;
REGEXEXTRACT(O1242,""/thumb/([^/]+)/"")&amp;
""/""&amp;K1242"),"https://streamtape.com/v/oG7zdd4pDbiJwoA/49968496")</f>
        <v>https://streamtape.com/v/oG7zdd4pDbiJwoA/49968496</v>
      </c>
      <c r="G1242" s="10" t="e">
        <f t="shared" ca="1" si="17"/>
        <v>#NAME?</v>
      </c>
      <c r="H1242" s="11" t="str">
        <f ca="1">IFERROR(__xludf.DUMMYFUNCTION("IFERROR(SUBSTITUTE(SUBSTITUTE(REGEXEXTRACT(A1242, ""[^-]+- [^-]+- [^-]+ - (.+?)\.jpg""), "".jpg"", """"), ""-"", "", ""), """")"),"")</f>
        <v/>
      </c>
      <c r="I1242" s="6"/>
      <c r="J1242" s="7" t="str">
        <f t="shared" ca="1" si="18"/>
        <v>(2026)</v>
      </c>
      <c r="K1242" s="7" t="str">
        <f t="shared" si="19"/>
        <v>49968496</v>
      </c>
      <c r="L1242" s="12" t="s">
        <v>6225</v>
      </c>
      <c r="M1242" s="13" t="str">
        <f ca="1">IFERROR(__xludf.DUMMYFUNCTION("TRIM(
  REGEXREPLACE(
    TEXTJOIN("" "",
      TRUE,
      B1242,
      C1242,
      embaralharLinks(E1242,F1242,G1242),
      H1242,
      """",
      J1242,
      N1242,
      ""#RIPNSFW""
    ),
  "",\s*"", "" "")
)"),"{New} Melody Marks https://streamtape.com/v/oG7zdd4pDbiJwoA/49968496 https://lulustream.com/d/jxhtpkz1p5f9 https://doodstream.com/d/ocs5zir2k9ch/49968496 (2026) #teen #interracial #blowjob #blonde #RIPNSFW")</f>
        <v>{New} Melody Marks https://streamtape.com/v/oG7zdd4pDbiJwoA/49968496 https://lulustream.com/d/jxhtpkz1p5f9 https://doodstream.com/d/ocs5zir2k9ch/49968496 (2026) #teen #interracial #blowjob #blonde #RIPNSFW</v>
      </c>
      <c r="N1242" s="2" t="s">
        <v>6225</v>
      </c>
      <c r="O1242" s="30" t="s">
        <v>6226</v>
      </c>
      <c r="P1242" s="26"/>
      <c r="R1242" s="23"/>
      <c r="T1242" s="6"/>
      <c r="U1242" s="7"/>
    </row>
    <row r="1243" spans="1:27" ht="12.75">
      <c r="A1243" s="6" t="s">
        <v>6227</v>
      </c>
      <c r="B1243" s="6" t="s">
        <v>14</v>
      </c>
      <c r="C1243" s="7" t="str">
        <f t="shared" si="16"/>
        <v xml:space="preserve">Melody Marks </v>
      </c>
      <c r="D1243" s="29" t="s">
        <v>6228</v>
      </c>
      <c r="E1243" s="8" t="s">
        <v>6229</v>
      </c>
      <c r="F1243" s="9" t="str">
        <f ca="1">IFERROR(__xludf.DUMMYFUNCTION("""https://streamtape.com/v/""&amp;
REGEXEXTRACT(O1243,""/thumb/([^/]+)/"")&amp;
""/""&amp;K1243"),"https://streamtape.com/v/0Z9rgzqebZHb4bW/55284403")</f>
        <v>https://streamtape.com/v/0Z9rgzqebZHb4bW/55284403</v>
      </c>
      <c r="G1243" s="10" t="e">
        <f t="shared" ca="1" si="17"/>
        <v>#NAME?</v>
      </c>
      <c r="H1243" s="11" t="str">
        <f ca="1">IFERROR(__xludf.DUMMYFUNCTION("IFERROR(SUBSTITUTE(SUBSTITUTE(REGEXEXTRACT(A1243, ""[^-]+- [^-]+- [^-]+ - (.+?)\.jpg""), "".jpg"", """"), ""-"", "", ""), """")"),"")</f>
        <v/>
      </c>
      <c r="I1243" s="6"/>
      <c r="J1243" s="7" t="str">
        <f t="shared" ca="1" si="18"/>
        <v>(2026)</v>
      </c>
      <c r="K1243" s="7" t="str">
        <f t="shared" si="19"/>
        <v>55284403</v>
      </c>
      <c r="L1243" s="12" t="s">
        <v>6230</v>
      </c>
      <c r="M1243" s="13" t="str">
        <f ca="1">IFERROR(__xludf.DUMMYFUNCTION("TRIM(
  REGEXREPLACE(
    TEXTJOIN("" "",
      TRUE,
      B1243,
      C1243,
      embaralharLinks(E1243,F1243,G1243),
      H1243,
      """",
      J1243,
      N1243,
      ""#RIPNSFW""
    ),
  "",\s*"", "" "")
)"),"{New} Melody Marks https://doodstream.com/d/c9nyebnbl5ks/55284403 https://streamtape.com/v/0Z9rgzqebZHb4bW/55284403 https://lulustream.com/d/nfw97gudpoms (2026) #Hardcore #Teen #Porn #Artporn #Teens #Blowjob #RIPNSFW")</f>
        <v>{New} Melody Marks https://doodstream.com/d/c9nyebnbl5ks/55284403 https://streamtape.com/v/0Z9rgzqebZHb4bW/55284403 https://lulustream.com/d/nfw97gudpoms (2026) #Hardcore #Teen #Porn #Artporn #Teens #Blowjob #RIPNSFW</v>
      </c>
      <c r="N1243" s="14" t="s">
        <v>6231</v>
      </c>
      <c r="O1243" s="32" t="s">
        <v>6232</v>
      </c>
      <c r="P1243" s="14"/>
      <c r="Q1243" s="6"/>
      <c r="R1243" s="11"/>
      <c r="S1243" s="6"/>
      <c r="T1243" s="6"/>
      <c r="U1243" s="6"/>
      <c r="V1243" s="6"/>
      <c r="W1243" s="6"/>
      <c r="X1243" s="6"/>
      <c r="Y1243" s="6"/>
      <c r="Z1243" s="6"/>
      <c r="AA1243" s="6"/>
    </row>
    <row r="1244" spans="1:27" ht="12.75">
      <c r="A1244" s="12" t="s">
        <v>6233</v>
      </c>
      <c r="B1244" s="6" t="s">
        <v>14</v>
      </c>
      <c r="C1244" s="7" t="str">
        <f t="shared" si="16"/>
        <v xml:space="preserve">Melody Marks </v>
      </c>
      <c r="D1244" s="27" t="s">
        <v>6234</v>
      </c>
      <c r="E1244" s="28" t="s">
        <v>6235</v>
      </c>
      <c r="F1244" s="9" t="str">
        <f ca="1">IFERROR(__xludf.DUMMYFUNCTION("""https://streamtape.com/v/""&amp;
REGEXEXTRACT(O1244,""/thumb/([^/]+)/"")&amp;
""/""&amp;K1244"),"https://streamtape.com/v/OxvYMV78JvHZ2be/58867059")</f>
        <v>https://streamtape.com/v/OxvYMV78JvHZ2be/58867059</v>
      </c>
      <c r="G1244" s="10" t="e">
        <f t="shared" ca="1" si="17"/>
        <v>#NAME?</v>
      </c>
      <c r="H1244" s="11" t="str">
        <f ca="1">IFERROR(__xludf.DUMMYFUNCTION("IFERROR(SUBSTITUTE(SUBSTITUTE(REGEXEXTRACT(A1244, ""[^-]+- [^-]+- [^-]+ - (.+?)\.jpg""), "".jpg"", """"), ""-"", "", ""), """")"),"Audrey Reid")</f>
        <v>Audrey Reid</v>
      </c>
      <c r="I1244" s="6"/>
      <c r="J1244" s="7" t="str">
        <f t="shared" ca="1" si="18"/>
        <v>(2026)</v>
      </c>
      <c r="K1244" s="7" t="str">
        <f t="shared" si="19"/>
        <v>58867059</v>
      </c>
      <c r="L1244" s="12" t="s">
        <v>6236</v>
      </c>
      <c r="M1244" s="13" t="str">
        <f ca="1">IFERROR(__xludf.DUMMYFUNCTION("TRIM(
  REGEXREPLACE(
    TEXTJOIN("" "",
      TRUE,
      B1244,
      C1244,
      embaralharLinks(E1244,F1244,G1244),
      H1244,
      """",
      J1244,
      N1244,
      ""#RIPNSFW""
    ),
  "",\s*"", "" "")
)"),"{New} Melody Marks https://lulustream.com/d/50wi2wnp7oyn https://streamtape.com/v/OxvYMV78JvHZ2be/58867059 https://doodstream.com/d/p8ol6hdjr1at/58867059 Audrey Reid (2026) #Hardcore #Threesome #Teen #Porn #RIPNSFW")</f>
        <v>{New} Melody Marks https://lulustream.com/d/50wi2wnp7oyn https://streamtape.com/v/OxvYMV78JvHZ2be/58867059 https://doodstream.com/d/p8ol6hdjr1at/58867059 Audrey Reid (2026) #Hardcore #Threesome #Teen #Porn #RIPNSFW</v>
      </c>
      <c r="N1244" s="2" t="s">
        <v>6237</v>
      </c>
      <c r="O1244" s="30" t="s">
        <v>6238</v>
      </c>
      <c r="P1244" s="26"/>
      <c r="R1244" s="23"/>
    </row>
    <row r="1245" spans="1:27" ht="12.75">
      <c r="A1245" s="6" t="s">
        <v>6239</v>
      </c>
      <c r="B1245" s="6" t="s">
        <v>14</v>
      </c>
      <c r="C1245" s="7" t="str">
        <f t="shared" si="16"/>
        <v xml:space="preserve">Melody Marks </v>
      </c>
      <c r="D1245" s="6" t="s">
        <v>6240</v>
      </c>
      <c r="E1245" s="8" t="s">
        <v>6241</v>
      </c>
      <c r="F1245" s="9" t="str">
        <f ca="1">IFERROR(__xludf.DUMMYFUNCTION("""https://streamtape.com/v/""&amp;
REGEXEXTRACT(O1245,""/thumb/([^/]+)/"")&amp;
""/""&amp;K1245"),"https://streamtape.com/v/b3OYo6PeOziP0qm/61380918")</f>
        <v>https://streamtape.com/v/b3OYo6PeOziP0qm/61380918</v>
      </c>
      <c r="G1245" s="10" t="e">
        <f t="shared" ca="1" si="17"/>
        <v>#NAME?</v>
      </c>
      <c r="H1245" s="11" t="str">
        <f ca="1">IFERROR(__xludf.DUMMYFUNCTION("IFERROR(SUBSTITUTE(SUBSTITUTE(REGEXEXTRACT(A1245, ""[^-]+- [^-]+- [^-]+ - (.+?)\.jpg""), "".jpg"", """"), ""-"", "", ""), """")"),"")</f>
        <v/>
      </c>
      <c r="I1245" s="6"/>
      <c r="J1245" s="7" t="str">
        <f t="shared" ca="1" si="18"/>
        <v>(2026)</v>
      </c>
      <c r="K1245" s="7" t="str">
        <f t="shared" si="19"/>
        <v>61380918</v>
      </c>
      <c r="L1245" s="12" t="s">
        <v>6242</v>
      </c>
      <c r="M1245" s="13" t="str">
        <f ca="1">IFERROR(__xludf.DUMMYFUNCTION("TRIM(
  REGEXREPLACE(
    TEXTJOIN("" "",
      TRUE,
      B1245,
      C1245,
      embaralharLinks(E1245,F1245,G1245),
      H1245,
      """",
      J1245,
      N1245,
      ""#RIPNSFW""
    ),
  "",\s*"", "" "")
)"),"{New} Melody Marks https://streamtape.com/v/b3OYo6PeOziP0qm/61380918 https://doodstream.com/d/dtwkzxxzriho/61380918 https://lulustream.com/d/kjvynw8ic8wj (2026) #BigTits #Creampie #Hardcore #Asian #Bigass #Teen #Porn #Blowjob #Blonde #RIPNSFW")</f>
        <v>{New} Melody Marks https://streamtape.com/v/b3OYo6PeOziP0qm/61380918 https://doodstream.com/d/dtwkzxxzriho/61380918 https://lulustream.com/d/kjvynw8ic8wj (2026) #BigTits #Creampie #Hardcore #Asian #Bigass #Teen #Porn #Blowjob #Blonde #RIPNSFW</v>
      </c>
      <c r="N1245" s="14" t="s">
        <v>6243</v>
      </c>
      <c r="O1245" s="15" t="s">
        <v>6244</v>
      </c>
      <c r="P1245" s="14"/>
      <c r="Q1245" s="6"/>
      <c r="R1245" s="11"/>
      <c r="S1245" s="6"/>
      <c r="T1245" s="6"/>
      <c r="U1245" s="6"/>
      <c r="V1245" s="6"/>
      <c r="W1245" s="6"/>
      <c r="X1245" s="6"/>
      <c r="Y1245" s="6"/>
      <c r="Z1245" s="6"/>
      <c r="AA1245" s="6"/>
    </row>
    <row r="1246" spans="1:27" ht="12.75">
      <c r="A1246" s="6" t="s">
        <v>6245</v>
      </c>
      <c r="B1246" s="6" t="s">
        <v>14</v>
      </c>
      <c r="C1246" s="7" t="str">
        <f t="shared" si="16"/>
        <v xml:space="preserve">Melody Marks </v>
      </c>
      <c r="D1246" s="6" t="s">
        <v>6246</v>
      </c>
      <c r="E1246" s="8" t="s">
        <v>6247</v>
      </c>
      <c r="F1246" s="9" t="str">
        <f ca="1">IFERROR(__xludf.DUMMYFUNCTION("""https://streamtape.com/v/""&amp;
REGEXEXTRACT(O1246,""/thumb/([^/]+)/"")&amp;
""/""&amp;K1246"),"https://streamtape.com/v/GkJMWXGrvOH1JYa/65336114")</f>
        <v>https://streamtape.com/v/GkJMWXGrvOH1JYa/65336114</v>
      </c>
      <c r="G1246" s="10" t="e">
        <f t="shared" ca="1" si="17"/>
        <v>#NAME?</v>
      </c>
      <c r="H1246" s="11" t="str">
        <f ca="1">IFERROR(__xludf.DUMMYFUNCTION("IFERROR(SUBSTITUTE(SUBSTITUTE(REGEXEXTRACT(A1246, ""[^-]+- [^-]+- [^-]+ - (.+?)\.jpg""), "".jpg"", """"), ""-"", "", ""), """")"),"")</f>
        <v/>
      </c>
      <c r="I1246" s="6"/>
      <c r="J1246" s="7" t="str">
        <f t="shared" ca="1" si="18"/>
        <v>(2026)</v>
      </c>
      <c r="K1246" s="7" t="str">
        <f t="shared" si="19"/>
        <v>65336114</v>
      </c>
      <c r="L1246" s="12" t="s">
        <v>674</v>
      </c>
      <c r="M1246" s="13" t="str">
        <f ca="1">IFERROR(__xludf.DUMMYFUNCTION("TRIM(
  REGEXREPLACE(
    TEXTJOIN("" "",
      TRUE,
      B1246,
      C1246,
      embaralharLinks(E1246,F1246,G1246),
      H1246,
      """",
      J1246,
      N1246,
      ""#RIPNSFW""
    ),
  "",\s*"", "" "")
)"),"{New} Melody Marks https://lulustream.com/d/46elh2oo4cok https://streamtape.com/v/GkJMWXGrvOH1JYa/65336114 https://doodstream.com/d/djhjo16fj07l/65336114 (2026) #BigTits #Hardcore #Bigass #Porn #Teen #Blowjob #Deepthroat #RIPNSFW")</f>
        <v>{New} Melody Marks https://lulustream.com/d/46elh2oo4cok https://streamtape.com/v/GkJMWXGrvOH1JYa/65336114 https://doodstream.com/d/djhjo16fj07l/65336114 (2026) #BigTits #Hardcore #Bigass #Porn #Teen #Blowjob #Deepthroat #RIPNSFW</v>
      </c>
      <c r="N1246" s="14" t="s">
        <v>763</v>
      </c>
      <c r="O1246" s="15" t="s">
        <v>6248</v>
      </c>
      <c r="P1246" s="14"/>
      <c r="Q1246" s="6"/>
      <c r="R1246" s="11"/>
      <c r="S1246" s="6"/>
      <c r="T1246" s="6"/>
      <c r="U1246" s="6"/>
      <c r="V1246" s="6"/>
      <c r="W1246" s="6"/>
      <c r="X1246" s="6"/>
      <c r="Y1246" s="6"/>
      <c r="Z1246" s="6"/>
      <c r="AA1246" s="6"/>
    </row>
    <row r="1247" spans="1:27" ht="12.75">
      <c r="A1247" s="6" t="s">
        <v>6249</v>
      </c>
      <c r="B1247" s="6" t="s">
        <v>14</v>
      </c>
      <c r="C1247" s="7" t="str">
        <f t="shared" si="16"/>
        <v xml:space="preserve">Melody Marks </v>
      </c>
      <c r="D1247" s="6" t="s">
        <v>6250</v>
      </c>
      <c r="E1247" s="8" t="s">
        <v>6251</v>
      </c>
      <c r="F1247" s="9" t="str">
        <f ca="1">IFERROR(__xludf.DUMMYFUNCTION("""https://streamtape.com/v/""&amp;
REGEXEXTRACT(O1247,""/thumb/([^/]+)/"")&amp;
""/""&amp;K1247"),"https://streamtape.com/v/P7yBL9ql7zU0aYk/67372968")</f>
        <v>https://streamtape.com/v/P7yBL9ql7zU0aYk/67372968</v>
      </c>
      <c r="G1247" s="10" t="e">
        <f t="shared" ca="1" si="17"/>
        <v>#NAME?</v>
      </c>
      <c r="H1247" s="11" t="str">
        <f ca="1">IFERROR(__xludf.DUMMYFUNCTION("IFERROR(SUBSTITUTE(SUBSTITUTE(REGEXEXTRACT(A1247, ""[^-]+- [^-]+- [^-]+ - (.+?)\.jpg""), "".jpg"", """"), ""-"", "", ""), """")"),"")</f>
        <v/>
      </c>
      <c r="I1247" s="6"/>
      <c r="J1247" s="7" t="str">
        <f t="shared" ca="1" si="18"/>
        <v>(2026)</v>
      </c>
      <c r="K1247" s="7" t="str">
        <f t="shared" si="19"/>
        <v>67372968</v>
      </c>
      <c r="L1247" s="12" t="s">
        <v>3174</v>
      </c>
      <c r="M1247" s="13" t="str">
        <f ca="1">IFERROR(__xludf.DUMMYFUNCTION("TRIM(
  REGEXREPLACE(
    TEXTJOIN("" "",
      TRUE,
      B1247,
      C1247,
      embaralharLinks(E1247,F1247,G1247),
      H1247,
      """",
      J1247,
      N1247,
      ""#RIPNSFW""
    ),
  "",\s*"", "" "")
)"),"{New} Melody Marks https://lulustream.com/d/kwhnl2bii9vi https://streamtape.com/v/P7yBL9ql7zU0aYk/67372968 https://doodstream.com/d/cb2rec5cfqha/67372968 (2026) #BigTits #Hardcore #Porn #Teen #Blowjob #RIPNSFW")</f>
        <v>{New} Melody Marks https://lulustream.com/d/kwhnl2bii9vi https://streamtape.com/v/P7yBL9ql7zU0aYk/67372968 https://doodstream.com/d/cb2rec5cfqha/67372968 (2026) #BigTits #Hardcore #Porn #Teen #Blowjob #RIPNSFW</v>
      </c>
      <c r="N1247" s="14" t="s">
        <v>612</v>
      </c>
      <c r="O1247" s="15" t="s">
        <v>6252</v>
      </c>
      <c r="P1247" s="14"/>
      <c r="Q1247" s="6"/>
      <c r="R1247" s="11"/>
      <c r="S1247" s="6"/>
      <c r="T1247" s="6"/>
      <c r="U1247" s="6"/>
      <c r="V1247" s="6"/>
      <c r="W1247" s="6"/>
      <c r="X1247" s="6"/>
      <c r="Y1247" s="6"/>
      <c r="Z1247" s="6"/>
      <c r="AA1247" s="6"/>
    </row>
    <row r="1248" spans="1:27" ht="12.75">
      <c r="A1248" s="12" t="s">
        <v>6253</v>
      </c>
      <c r="B1248" s="6" t="s">
        <v>14</v>
      </c>
      <c r="C1248" s="7" t="str">
        <f t="shared" si="16"/>
        <v xml:space="preserve">Melody Marks </v>
      </c>
      <c r="D1248" s="24" t="s">
        <v>6254</v>
      </c>
      <c r="E1248" s="25" t="s">
        <v>6255</v>
      </c>
      <c r="F1248" s="9" t="str">
        <f ca="1">IFERROR(__xludf.DUMMYFUNCTION("""https://streamtape.com/v/""&amp;
REGEXEXTRACT(O1248,""/thumb/([^/]+)/"")&amp;
""/""&amp;K1248"),"https://streamtape.com/v/Q3JxGaAWl1C0zDd/71734885")</f>
        <v>https://streamtape.com/v/Q3JxGaAWl1C0zDd/71734885</v>
      </c>
      <c r="G1248" s="10" t="e">
        <f t="shared" ca="1" si="17"/>
        <v>#NAME?</v>
      </c>
      <c r="H1248" s="11" t="str">
        <f ca="1">IFERROR(__xludf.DUMMYFUNCTION("IFERROR(SUBSTITUTE(SUBSTITUTE(REGEXEXTRACT(A1248, ""[^-]+- [^-]+- [^-]+ - (.+?)\.jpg""), "".jpg"", """"), ""-"", "", ""), """")"),"")</f>
        <v/>
      </c>
      <c r="I1248" s="6"/>
      <c r="J1248" s="7" t="str">
        <f t="shared" ca="1" si="18"/>
        <v>(2026)</v>
      </c>
      <c r="K1248" s="7" t="str">
        <f t="shared" si="19"/>
        <v>71734885</v>
      </c>
      <c r="L1248" s="12" t="s">
        <v>5757</v>
      </c>
      <c r="M1248" s="13" t="str">
        <f ca="1">IFERROR(__xludf.DUMMYFUNCTION("TRIM(
  REGEXREPLACE(
    TEXTJOIN("" "",
      TRUE,
      B1248,
      C1248,
      embaralharLinks(E1248,F1248,G1248),
      H1248,
      """",
      J1248,
      N1248,
      ""#RIPNSFW""
    ),
  "",\s*"", "" "")
)"),"{New} Melody Marks https://doodstream.com/d/2yp8ivgsnbk3/71734885 https://streamtape.com/v/Q3JxGaAWl1C0zDd/71734885 https://lulustream.com/d/q21inkr1yh12 (2026) #teen #blonde #blowjob #pov #RIPNSFW")</f>
        <v>{New} Melody Marks https://doodstream.com/d/2yp8ivgsnbk3/71734885 https://streamtape.com/v/Q3JxGaAWl1C0zDd/71734885 https://lulustream.com/d/q21inkr1yh12 (2026) #teen #blonde #blowjob #pov #RIPNSFW</v>
      </c>
      <c r="N1248" s="2" t="s">
        <v>5757</v>
      </c>
      <c r="O1248" s="30" t="s">
        <v>6256</v>
      </c>
      <c r="P1248" s="26"/>
      <c r="R1248" s="23"/>
      <c r="T1248" s="6"/>
      <c r="U1248" s="7"/>
    </row>
    <row r="1249" spans="1:27" ht="12.75">
      <c r="A1249" s="12" t="s">
        <v>6257</v>
      </c>
      <c r="B1249" s="6" t="s">
        <v>14</v>
      </c>
      <c r="C1249" s="7" t="str">
        <f t="shared" si="16"/>
        <v xml:space="preserve">Melody Marks </v>
      </c>
      <c r="D1249" s="24" t="s">
        <v>6258</v>
      </c>
      <c r="E1249" s="25" t="s">
        <v>6259</v>
      </c>
      <c r="F1249" s="9" t="str">
        <f ca="1">IFERROR(__xludf.DUMMYFUNCTION("""https://streamtape.com/v/""&amp;
REGEXEXTRACT(O1249,""/thumb/([^/]+)/"")&amp;
""/""&amp;K1249"),"https://streamtape.com/v/yV9YkLKaD7sB34/77818427")</f>
        <v>https://streamtape.com/v/yV9YkLKaD7sB34/77818427</v>
      </c>
      <c r="G1249" s="10" t="e">
        <f t="shared" ca="1" si="17"/>
        <v>#NAME?</v>
      </c>
      <c r="H1249" s="11" t="str">
        <f ca="1">IFERROR(__xludf.DUMMYFUNCTION("IFERROR(SUBSTITUTE(SUBSTITUTE(REGEXEXTRACT(A1249, ""[^-]+- [^-]+- [^-]+ - (.+?)\.jpg""), "".jpg"", """"), ""-"", "", ""), """")"),"Sky Wonderland")</f>
        <v>Sky Wonderland</v>
      </c>
      <c r="I1249" s="6"/>
      <c r="J1249" s="7" t="str">
        <f t="shared" ca="1" si="18"/>
        <v>(2026)</v>
      </c>
      <c r="K1249" s="7" t="str">
        <f t="shared" si="19"/>
        <v>77818427</v>
      </c>
      <c r="L1249" s="12" t="s">
        <v>6260</v>
      </c>
      <c r="M1249" s="13" t="str">
        <f ca="1">IFERROR(__xludf.DUMMYFUNCTION("TRIM(
  REGEXREPLACE(
    TEXTJOIN("" "",
      TRUE,
      B1249,
      C1249,
      embaralharLinks(E1249,F1249,G1249),
      H1249,
      """",
      J1249,
      N1249,
      ""#RIPNSFW""
    ),
  "",\s*"", "" "")
)"),"{New} Melody Marks https://lulustream.com/d/r90o6mi16t36 https://streamtape.com/v/yV9YkLKaD7sB34/77818427 https://doodstream.com/d/ru6fuiy0iemi/77818427 Sky Wonderland (2026) #teens #blonde #interracial #blowjob #RIPNSFW")</f>
        <v>{New} Melody Marks https://lulustream.com/d/r90o6mi16t36 https://streamtape.com/v/yV9YkLKaD7sB34/77818427 https://doodstream.com/d/ru6fuiy0iemi/77818427 Sky Wonderland (2026) #teens #blonde #interracial #blowjob #RIPNSFW</v>
      </c>
      <c r="N1249" s="2" t="s">
        <v>6260</v>
      </c>
      <c r="O1249" s="30" t="s">
        <v>6261</v>
      </c>
      <c r="P1249" s="26"/>
      <c r="R1249" s="23"/>
    </row>
    <row r="1250" spans="1:27" ht="12.75">
      <c r="A1250" s="6" t="s">
        <v>6262</v>
      </c>
      <c r="B1250" s="6" t="s">
        <v>14</v>
      </c>
      <c r="C1250" s="7" t="str">
        <f t="shared" si="16"/>
        <v xml:space="preserve">Melody Marks </v>
      </c>
      <c r="D1250" s="6" t="s">
        <v>6263</v>
      </c>
      <c r="E1250" s="8" t="s">
        <v>6264</v>
      </c>
      <c r="F1250" s="9" t="str">
        <f ca="1">IFERROR(__xludf.DUMMYFUNCTION("""https://streamtape.com/v/""&amp;
REGEXEXTRACT(O1250,""/thumb/([^/]+)/"")&amp;
""/""&amp;K1250"),"https://streamtape.com/v/VPD3G88PpXhKe2P/81393731")</f>
        <v>https://streamtape.com/v/VPD3G88PpXhKe2P/81393731</v>
      </c>
      <c r="G1250" s="10" t="e">
        <f t="shared" ca="1" si="17"/>
        <v>#NAME?</v>
      </c>
      <c r="H1250" s="11" t="str">
        <f ca="1">IFERROR(__xludf.DUMMYFUNCTION("IFERROR(SUBSTITUTE(SUBSTITUTE(REGEXEXTRACT(A1250, ""[^-]+- [^-]+- [^-]+ - (.+?)\.jpg""), "".jpg"", """"), ""-"", "", ""), """")"),"")</f>
        <v/>
      </c>
      <c r="I1250" s="6"/>
      <c r="J1250" s="7" t="str">
        <f t="shared" ca="1" si="18"/>
        <v>(2026)</v>
      </c>
      <c r="K1250" s="7" t="str">
        <f t="shared" si="19"/>
        <v>81393731</v>
      </c>
      <c r="L1250" s="12" t="s">
        <v>6265</v>
      </c>
      <c r="M1250" s="13" t="str">
        <f ca="1">IFERROR(__xludf.DUMMYFUNCTION("TRIM(
  REGEXREPLACE(
    TEXTJOIN("" "",
      TRUE,
      B1250,
      C1250,
      embaralharLinks(E1250,F1250,G1250),
      H1250,
      """",
      J1250,
      N1250,
      ""#RIPNSFW""
    ),
  "",\s*"", "" "")
)"),"{New} Melody Marks https://lulustream.com/d/971500ljm0wa https://streamtape.com/v/VPD3G88PpXhKe2P/81393731 https://doodstream.com/d/yanlbujoqri5/81393731 (2026) #BigTits #Creampie #Hardcore #Bigass #RIPNSFW")</f>
        <v>{New} Melody Marks https://lulustream.com/d/971500ljm0wa https://streamtape.com/v/VPD3G88PpXhKe2P/81393731 https://doodstream.com/d/yanlbujoqri5/81393731 (2026) #BigTits #Creampie #Hardcore #Bigass #RIPNSFW</v>
      </c>
      <c r="N1250" s="14" t="s">
        <v>108</v>
      </c>
      <c r="O1250" s="15" t="s">
        <v>6266</v>
      </c>
      <c r="P1250" s="14"/>
      <c r="Q1250" s="6"/>
      <c r="R1250" s="11"/>
      <c r="S1250" s="6"/>
      <c r="T1250" s="6"/>
      <c r="U1250" s="6"/>
      <c r="V1250" s="6"/>
      <c r="W1250" s="6"/>
      <c r="X1250" s="6"/>
      <c r="Y1250" s="6"/>
      <c r="Z1250" s="6"/>
      <c r="AA1250" s="6"/>
    </row>
    <row r="1251" spans="1:27" ht="12.75">
      <c r="A1251" s="12" t="s">
        <v>6267</v>
      </c>
      <c r="B1251" s="6"/>
      <c r="C1251" s="7" t="str">
        <f t="shared" si="16"/>
        <v xml:space="preserve">Melody Marks </v>
      </c>
      <c r="D1251" s="24" t="s">
        <v>6268</v>
      </c>
      <c r="E1251" s="25" t="s">
        <v>6269</v>
      </c>
      <c r="F1251" s="9" t="str">
        <f ca="1">IFERROR(__xludf.DUMMYFUNCTION("""https://streamtape.com/v/""&amp;
REGEXEXTRACT(O1251,""/thumb/([^/]+)/"")&amp;
""/""&amp;K1251"),"https://streamtape.com/v/2Dq80bDzBPIVKQ/81414858")</f>
        <v>https://streamtape.com/v/2Dq80bDzBPIVKQ/81414858</v>
      </c>
      <c r="G1251" s="10" t="e">
        <f t="shared" ca="1" si="17"/>
        <v>#NAME?</v>
      </c>
      <c r="H1251" s="11" t="str">
        <f ca="1">IFERROR(__xludf.DUMMYFUNCTION("IFERROR(SUBSTITUTE(SUBSTITUTE(REGEXEXTRACT(A1251, ""[^-]+- [^-]+- [^-]+ - (.+?)\.jpg""), "".jpg"", """"), ""-"", "", ""), """")"),"Theodora Day ,  JackandJill")</f>
        <v>Theodora Day ,  JackandJill</v>
      </c>
      <c r="I1251" s="6"/>
      <c r="J1251" s="7" t="str">
        <f t="shared" ca="1" si="18"/>
        <v/>
      </c>
      <c r="K1251" s="7" t="str">
        <f t="shared" si="19"/>
        <v>81414858</v>
      </c>
      <c r="L1251" s="12" t="s">
        <v>6270</v>
      </c>
      <c r="M1251" s="13" t="str">
        <f ca="1">IFERROR(__xludf.DUMMYFUNCTION("TRIM(
  REGEXREPLACE(
    TEXTJOIN("" "",
      TRUE,
      B1251,
      C1251,
      embaralharLinks(E1251,F1251,G1251),
      H1251,
      """",
      J1251,
      N1251,
      ""#RIPNSFW""
    ),
  "",\s*"", "" "")
)"),"Melody Marks https://streamtape.com/v/2Dq80bDzBPIVKQ/81414858 https://lulustream.com/d/v8jq1ajqym4y https://doodstream.com/d/850zsw0aziyz/81414858 Theodora Day JackandJill #foursome #blonde #blowjob #facial #RIPNSFW")</f>
        <v>Melody Marks https://streamtape.com/v/2Dq80bDzBPIVKQ/81414858 https://lulustream.com/d/v8jq1ajqym4y https://doodstream.com/d/850zsw0aziyz/81414858 Theodora Day JackandJill #foursome #blonde #blowjob #facial #RIPNSFW</v>
      </c>
      <c r="N1251" s="2" t="s">
        <v>6270</v>
      </c>
      <c r="O1251" s="30" t="s">
        <v>6271</v>
      </c>
      <c r="P1251" s="26"/>
      <c r="R1251" s="23"/>
      <c r="T1251" s="6"/>
      <c r="U1251" s="7"/>
    </row>
    <row r="1252" spans="1:27" ht="12.75">
      <c r="A1252" s="12" t="s">
        <v>6272</v>
      </c>
      <c r="B1252" s="6" t="s">
        <v>14</v>
      </c>
      <c r="C1252" s="7" t="str">
        <f t="shared" si="16"/>
        <v xml:space="preserve">Melody Marks </v>
      </c>
      <c r="D1252" s="24" t="s">
        <v>6273</v>
      </c>
      <c r="E1252" s="25" t="s">
        <v>6274</v>
      </c>
      <c r="F1252" s="9" t="str">
        <f ca="1">IFERROR(__xludf.DUMMYFUNCTION("""https://streamtape.com/v/""&amp;
REGEXEXTRACT(O1252,""/thumb/([^/]+)/"")&amp;
""/""&amp;K1252"),"https://streamtape.com/v/ZzjdZ7aeP6tq918/82099308")</f>
        <v>https://streamtape.com/v/ZzjdZ7aeP6tq918/82099308</v>
      </c>
      <c r="G1252" s="10" t="e">
        <f t="shared" ca="1" si="17"/>
        <v>#NAME?</v>
      </c>
      <c r="H1252" s="11" t="str">
        <f ca="1">IFERROR(__xludf.DUMMYFUNCTION("IFERROR(SUBSTITUTE(SUBSTITUTE(REGEXEXTRACT(A1252, ""[^-]+- [^-]+- [^-]+ - (.+?)\.jpg""), "".jpg"", """"), ""-"", "", ""), """")"),"Gal Ritchie")</f>
        <v>Gal Ritchie</v>
      </c>
      <c r="I1252" s="6"/>
      <c r="J1252" s="7" t="str">
        <f t="shared" ca="1" si="18"/>
        <v>(2026)</v>
      </c>
      <c r="K1252" s="7" t="str">
        <f t="shared" si="19"/>
        <v>82099308</v>
      </c>
      <c r="L1252" s="12" t="s">
        <v>6275</v>
      </c>
      <c r="M1252" s="13" t="str">
        <f ca="1">IFERROR(__xludf.DUMMYFUNCTION("TRIM(
  REGEXREPLACE(
    TEXTJOIN("" "",
      TRUE,
      B1252,
      C1252,
      embaralharLinks(E1252,F1252,G1252),
      H1252,
      """",
      J1252,
      N1252,
      ""#RIPNSFW""
    ),
  "",\s*"", "" "")
)"),"{New} Melody Marks https://doodstream.com/d/3bvofhcqbguk/82099308 https://streamtape.com/v/ZzjdZ7aeP6tq918/82099308 https://lulustream.com/d/er4ar3c5knnx Gal Ritchie (2026) #BigTits #Hardcore #Threesome #Porn #RIPNSFW")</f>
        <v>{New} Melody Marks https://doodstream.com/d/3bvofhcqbguk/82099308 https://streamtape.com/v/ZzjdZ7aeP6tq918/82099308 https://lulustream.com/d/er4ar3c5knnx Gal Ritchie (2026) #BigTits #Hardcore #Threesome #Porn #RIPNSFW</v>
      </c>
      <c r="N1252" s="2" t="s">
        <v>6276</v>
      </c>
      <c r="O1252" s="30" t="s">
        <v>6277</v>
      </c>
      <c r="P1252" s="26"/>
      <c r="R1252" s="23"/>
    </row>
    <row r="1253" spans="1:27" ht="12.75">
      <c r="A1253" s="6" t="s">
        <v>6278</v>
      </c>
      <c r="B1253" s="6" t="s">
        <v>14</v>
      </c>
      <c r="C1253" s="7" t="str">
        <f t="shared" si="16"/>
        <v xml:space="preserve">Melody Marks </v>
      </c>
      <c r="D1253" s="6" t="s">
        <v>6279</v>
      </c>
      <c r="E1253" s="8" t="s">
        <v>6280</v>
      </c>
      <c r="F1253" s="9" t="str">
        <f ca="1">IFERROR(__xludf.DUMMYFUNCTION("""https://streamtape.com/v/""&amp;
REGEXEXTRACT(O1253,""/thumb/([^/]+)/"")&amp;
""/""&amp;K1253"),"https://streamtape.com/v/jWvkqLj7edczAlD/83513747")</f>
        <v>https://streamtape.com/v/jWvkqLj7edczAlD/83513747</v>
      </c>
      <c r="G1253" s="10" t="e">
        <f t="shared" ca="1" si="17"/>
        <v>#NAME?</v>
      </c>
      <c r="H1253" s="11" t="str">
        <f ca="1">IFERROR(__xludf.DUMMYFUNCTION("IFERROR(SUBSTITUTE(SUBSTITUTE(REGEXEXTRACT(A1253, ""[^-]+- [^-]+- [^-]+ - (.+?)\.jpg""), "".jpg"", """"), ""-"", "", ""), """")"),"")</f>
        <v/>
      </c>
      <c r="I1253" s="6"/>
      <c r="J1253" s="7" t="str">
        <f t="shared" ca="1" si="18"/>
        <v>(2026)</v>
      </c>
      <c r="K1253" s="7" t="str">
        <f t="shared" si="19"/>
        <v>83513747</v>
      </c>
      <c r="L1253" s="12" t="s">
        <v>6281</v>
      </c>
      <c r="M1253" s="13" t="str">
        <f ca="1">IFERROR(__xludf.DUMMYFUNCTION("TRIM(
  REGEXREPLACE(
    TEXTJOIN("" "",
      TRUE,
      B1253,
      C1253,
      embaralharLinks(E1253,F1253,G1253),
      H1253,
      """",
      J1253,
      N1253,
      ""#RIPNSFW""
    ),
  "",\s*"", "" "")
)"),"{New} Melody Marks https://doodstream.com/d/u4wcfvio9mhj/83513747 https://lulustream.com/d/k0ixr17x4a4n https://streamtape.com/v/jWvkqLj7edczAlD/83513747 (2026) #BigTits #Hardcore #Bigass #Porn #Teen #Threesome #Blowjob #Deepthroat #RIPNSFW")</f>
        <v>{New} Melody Marks https://doodstream.com/d/u4wcfvio9mhj/83513747 https://lulustream.com/d/k0ixr17x4a4n https://streamtape.com/v/jWvkqLj7edczAlD/83513747 (2026) #BigTits #Hardcore #Bigass #Porn #Teen #Threesome #Blowjob #Deepthroat #RIPNSFW</v>
      </c>
      <c r="N1253" s="14" t="s">
        <v>6282</v>
      </c>
      <c r="O1253" s="15" t="s">
        <v>6283</v>
      </c>
      <c r="P1253" s="14"/>
      <c r="Q1253" s="6"/>
      <c r="R1253" s="11"/>
      <c r="S1253" s="6"/>
      <c r="T1253" s="6"/>
      <c r="U1253" s="6"/>
      <c r="V1253" s="6"/>
      <c r="W1253" s="6"/>
      <c r="X1253" s="6"/>
      <c r="Y1253" s="6"/>
      <c r="Z1253" s="6"/>
      <c r="AA1253" s="6"/>
    </row>
    <row r="1254" spans="1:27" ht="12.75">
      <c r="A1254" s="6" t="s">
        <v>6284</v>
      </c>
      <c r="B1254" s="6" t="s">
        <v>14</v>
      </c>
      <c r="C1254" s="7" t="str">
        <f t="shared" si="16"/>
        <v xml:space="preserve">Melody Marks </v>
      </c>
      <c r="D1254" s="6" t="s">
        <v>6285</v>
      </c>
      <c r="E1254" s="8" t="s">
        <v>6286</v>
      </c>
      <c r="F1254" s="9" t="str">
        <f ca="1">IFERROR(__xludf.DUMMYFUNCTION("""https://streamtape.com/v/""&amp;
REGEXEXTRACT(O1254,""/thumb/([^/]+)/"")&amp;
""/""&amp;K1254"),"https://streamtape.com/v/L1LkQdegagtRrr4/86169688")</f>
        <v>https://streamtape.com/v/L1LkQdegagtRrr4/86169688</v>
      </c>
      <c r="G1254" s="10" t="e">
        <f t="shared" ca="1" si="17"/>
        <v>#NAME?</v>
      </c>
      <c r="H1254" s="11" t="str">
        <f ca="1">IFERROR(__xludf.DUMMYFUNCTION("IFERROR(SUBSTITUTE(SUBSTITUTE(REGEXEXTRACT(A1254, ""[^-]+- [^-]+- [^-]+ - (.+?)\.jpg""), "".jpg"", """"), ""-"", "", ""), """")"),"")</f>
        <v/>
      </c>
      <c r="I1254" s="6"/>
      <c r="J1254" s="7" t="str">
        <f t="shared" ca="1" si="18"/>
        <v>(2026)</v>
      </c>
      <c r="K1254" s="7" t="str">
        <f t="shared" si="19"/>
        <v>86169688</v>
      </c>
      <c r="L1254" s="12" t="s">
        <v>6287</v>
      </c>
      <c r="M1254" s="13" t="str">
        <f ca="1">IFERROR(__xludf.DUMMYFUNCTION("TRIM(
  REGEXREPLACE(
    TEXTJOIN("" "",
      TRUE,
      B1254,
      C1254,
      embaralharLinks(E1254,F1254,G1254),
      H1254,
      """",
      J1254,
      N1254,
      ""#RIPNSFW""
    ),
  "",\s*"", "" "")
)"),"{New} Melody Marks https://doodstream.com/d/2y0tnvy2bilb/86169688 https://streamtape.com/v/L1LkQdegagtRrr4/86169688 https://lulustream.com/d/wg19778zviqt (2026) #BigTits #Hardcore #Threesome #Bigass #Porn #RIPNSFW")</f>
        <v>{New} Melody Marks https://doodstream.com/d/2y0tnvy2bilb/86169688 https://streamtape.com/v/L1LkQdegagtRrr4/86169688 https://lulustream.com/d/wg19778zviqt (2026) #BigTits #Hardcore #Threesome #Bigass #Porn #RIPNSFW</v>
      </c>
      <c r="N1254" s="14" t="s">
        <v>6288</v>
      </c>
      <c r="O1254" s="15" t="s">
        <v>6289</v>
      </c>
      <c r="P1254" s="14"/>
      <c r="Q1254" s="6"/>
      <c r="R1254" s="11"/>
      <c r="S1254" s="6"/>
      <c r="T1254" s="6"/>
      <c r="U1254" s="6"/>
      <c r="V1254" s="6"/>
      <c r="W1254" s="6"/>
      <c r="X1254" s="6"/>
      <c r="Y1254" s="6"/>
      <c r="Z1254" s="6"/>
      <c r="AA1254" s="6"/>
    </row>
    <row r="1255" spans="1:27" ht="12.75">
      <c r="A1255" s="6" t="s">
        <v>6290</v>
      </c>
      <c r="B1255" s="6" t="s">
        <v>14</v>
      </c>
      <c r="C1255" s="7" t="str">
        <f t="shared" si="16"/>
        <v xml:space="preserve">Melody Marks </v>
      </c>
      <c r="D1255" s="6" t="s">
        <v>6291</v>
      </c>
      <c r="E1255" s="8" t="s">
        <v>6292</v>
      </c>
      <c r="F1255" s="9" t="str">
        <f ca="1">IFERROR(__xludf.DUMMYFUNCTION("""https://streamtape.com/v/""&amp;
REGEXEXTRACT(O1255,""/thumb/([^/]+)/"")&amp;
""/""&amp;K1255"),"https://streamtape.com/v/3kvXrJOr6VsdBkj/87312191")</f>
        <v>https://streamtape.com/v/3kvXrJOr6VsdBkj/87312191</v>
      </c>
      <c r="G1255" s="10" t="e">
        <f t="shared" ca="1" si="17"/>
        <v>#NAME?</v>
      </c>
      <c r="H1255" s="11" t="str">
        <f ca="1">IFERROR(__xludf.DUMMYFUNCTION("IFERROR(SUBSTITUTE(SUBSTITUTE(REGEXEXTRACT(A1255, ""[^-]+- [^-]+- [^-]+ - (.+?)\.jpg""), "".jpg"", """"), ""-"", "", ""), """")"),"")</f>
        <v/>
      </c>
      <c r="I1255" s="6"/>
      <c r="J1255" s="7" t="str">
        <f t="shared" ca="1" si="18"/>
        <v>(2026)</v>
      </c>
      <c r="K1255" s="7" t="str">
        <f t="shared" si="19"/>
        <v>87312191</v>
      </c>
      <c r="L1255" s="12" t="s">
        <v>6293</v>
      </c>
      <c r="M1255" s="13" t="str">
        <f ca="1">IFERROR(__xludf.DUMMYFUNCTION("TRIM(
  REGEXREPLACE(
    TEXTJOIN("" "",
      TRUE,
      B1255,
      C1255,
      embaralharLinks(E1255,F1255,G1255),
      H1255,
      """",
      J1255,
      N1255,
      ""#RIPNSFW""
    ),
  "",\s*"", "" "")
)"),"{New} Melody Marks https://streamtape.com/v/3kvXrJOr6VsdBkj/87312191 https://lulustream.com/d/slmivg899naq https://doodstream.com/d/q9nnxwmvp6lf/87312191 (2026) #BigTits #Hardcore #Porn #Teen #RIPNSFW")</f>
        <v>{New} Melody Marks https://streamtape.com/v/3kvXrJOr6VsdBkj/87312191 https://lulustream.com/d/slmivg899naq https://doodstream.com/d/q9nnxwmvp6lf/87312191 (2026) #BigTits #Hardcore #Porn #Teen #RIPNSFW</v>
      </c>
      <c r="N1255" s="14" t="s">
        <v>687</v>
      </c>
      <c r="O1255" s="15" t="s">
        <v>6294</v>
      </c>
      <c r="P1255" s="14"/>
      <c r="Q1255" s="6"/>
      <c r="R1255" s="11"/>
      <c r="S1255" s="6"/>
      <c r="T1255" s="6"/>
      <c r="U1255" s="6"/>
      <c r="V1255" s="6"/>
      <c r="W1255" s="6"/>
      <c r="X1255" s="6"/>
      <c r="Y1255" s="6"/>
      <c r="Z1255" s="6"/>
      <c r="AA1255" s="6"/>
    </row>
    <row r="1256" spans="1:27" ht="12.75">
      <c r="A1256" s="6" t="s">
        <v>6295</v>
      </c>
      <c r="B1256" s="6" t="s">
        <v>14</v>
      </c>
      <c r="C1256" s="7" t="str">
        <f t="shared" si="16"/>
        <v xml:space="preserve">Melody Marks </v>
      </c>
      <c r="D1256" s="6" t="s">
        <v>6296</v>
      </c>
      <c r="E1256" s="8" t="s">
        <v>6297</v>
      </c>
      <c r="F1256" s="9" t="str">
        <f ca="1">IFERROR(__xludf.DUMMYFUNCTION("""https://streamtape.com/v/""&amp;
REGEXEXTRACT(O1256,""/thumb/([^/]+)/"")&amp;
""/""&amp;K1256"),"https://streamtape.com/v/GGX3blL1rDC1zwy/87615408")</f>
        <v>https://streamtape.com/v/GGX3blL1rDC1zwy/87615408</v>
      </c>
      <c r="G1256" s="10" t="e">
        <f t="shared" ca="1" si="17"/>
        <v>#NAME?</v>
      </c>
      <c r="H1256" s="11" t="str">
        <f ca="1">IFERROR(__xludf.DUMMYFUNCTION("IFERROR(SUBSTITUTE(SUBSTITUTE(REGEXEXTRACT(A1256, ""[^-]+- [^-]+- [^-]+ - (.+?)\.jpg""), "".jpg"", """"), ""-"", "", ""), """")"),"")</f>
        <v/>
      </c>
      <c r="I1256" s="6"/>
      <c r="J1256" s="7" t="str">
        <f t="shared" ca="1" si="18"/>
        <v>(2026)</v>
      </c>
      <c r="K1256" s="7" t="str">
        <f t="shared" si="19"/>
        <v>87615408</v>
      </c>
      <c r="L1256" s="12" t="s">
        <v>6298</v>
      </c>
      <c r="M1256" s="13" t="str">
        <f ca="1">IFERROR(__xludf.DUMMYFUNCTION("TRIM(
  REGEXREPLACE(
    TEXTJOIN("" "",
      TRUE,
      B1256,
      C1256,
      embaralharLinks(E1256,F1256,G1256),
      H1256,
      """",
      J1256,
      N1256,
      ""#RIPNSFW""
    ),
  "",\s*"", "" "")
)"),"{New} Melody Marks https://lulustream.com/d/cfac0ottyx2y https://streamtape.com/v/GGX3blL1rDC1zwy/87615408 https://doodstream.com/d/cqlgod05z87x/87615408 (2026) #BigTits #Hardcore #Porn #Teen #Roleplay #Blowjob #RIPNSFW")</f>
        <v>{New} Melody Marks https://lulustream.com/d/cfac0ottyx2y https://streamtape.com/v/GGX3blL1rDC1zwy/87615408 https://doodstream.com/d/cqlgod05z87x/87615408 (2026) #BigTits #Hardcore #Porn #Teen #Roleplay #Blowjob #RIPNSFW</v>
      </c>
      <c r="N1256" s="14" t="s">
        <v>6299</v>
      </c>
      <c r="O1256" s="15" t="s">
        <v>6300</v>
      </c>
      <c r="P1256" s="14"/>
      <c r="Q1256" s="6"/>
      <c r="R1256" s="11"/>
      <c r="S1256" s="6"/>
      <c r="T1256" s="6"/>
      <c r="U1256" s="6"/>
      <c r="V1256" s="6"/>
      <c r="W1256" s="6"/>
      <c r="X1256" s="6"/>
      <c r="Y1256" s="6"/>
      <c r="Z1256" s="6"/>
      <c r="AA1256" s="6"/>
    </row>
    <row r="1257" spans="1:27" ht="12.75">
      <c r="A1257" s="12" t="s">
        <v>6301</v>
      </c>
      <c r="B1257" s="6" t="s">
        <v>14</v>
      </c>
      <c r="C1257" s="7" t="str">
        <f t="shared" si="16"/>
        <v xml:space="preserve">Melody Marks </v>
      </c>
      <c r="D1257" s="24" t="s">
        <v>6302</v>
      </c>
      <c r="E1257" s="25" t="s">
        <v>6303</v>
      </c>
      <c r="F1257" s="9" t="str">
        <f ca="1">IFERROR(__xludf.DUMMYFUNCTION("""https://streamtape.com/v/""&amp;
REGEXEXTRACT(O1257,""/thumb/([^/]+)/"")&amp;
""/""&amp;K1257"),"https://streamtape.com/v/lGRkQ6JllyFbZ8/88122372")</f>
        <v>https://streamtape.com/v/lGRkQ6JllyFbZ8/88122372</v>
      </c>
      <c r="G1257" s="10" t="e">
        <f t="shared" ca="1" si="17"/>
        <v>#NAME?</v>
      </c>
      <c r="H1257" s="11" t="str">
        <f ca="1">IFERROR(__xludf.DUMMYFUNCTION("IFERROR(SUBSTITUTE(SUBSTITUTE(REGEXEXTRACT(A1257, ""[^-]+- [^-]+- [^-]+ - (.+?)\.jpg""), "".jpg"", """"), ""-"", "", ""), """")"),"")</f>
        <v/>
      </c>
      <c r="I1257" s="6"/>
      <c r="J1257" s="7" t="str">
        <f t="shared" ca="1" si="18"/>
        <v>(2026)</v>
      </c>
      <c r="K1257" s="7" t="str">
        <f t="shared" si="19"/>
        <v>88122372</v>
      </c>
      <c r="L1257" s="12" t="s">
        <v>6304</v>
      </c>
      <c r="M1257" s="13" t="str">
        <f ca="1">IFERROR(__xludf.DUMMYFUNCTION("TRIM(
  REGEXREPLACE(
    TEXTJOIN("" "",
      TRUE,
      B1257,
      C1257,
      embaralharLinks(E1257,F1257,G1257),
      H1257,
      """",
      J1257,
      N1257,
      ""#RIPNSFW""
    ),
  "",\s*"", "" "")
)"),"{New} Melody Marks https://doodstream.com/d/18yfuxiys74o/88122372 https://lulustream.com/d/ucci8l4q1n2v https://streamtape.com/v/lGRkQ6JllyFbZ8/88122372 (2026) #teen #blowjob #porn #blonde #RIPNSFW")</f>
        <v>{New} Melody Marks https://doodstream.com/d/18yfuxiys74o/88122372 https://lulustream.com/d/ucci8l4q1n2v https://streamtape.com/v/lGRkQ6JllyFbZ8/88122372 (2026) #teen #blowjob #porn #blonde #RIPNSFW</v>
      </c>
      <c r="N1257" s="2" t="s">
        <v>6304</v>
      </c>
      <c r="O1257" s="21" t="s">
        <v>6305</v>
      </c>
      <c r="P1257" s="26"/>
      <c r="R1257" s="23"/>
    </row>
    <row r="1258" spans="1:27" ht="12.75">
      <c r="A1258" s="6" t="s">
        <v>6306</v>
      </c>
      <c r="B1258" s="6" t="s">
        <v>14</v>
      </c>
      <c r="C1258" s="7" t="str">
        <f t="shared" si="16"/>
        <v xml:space="preserve">Melody Marks </v>
      </c>
      <c r="D1258" s="6" t="s">
        <v>6307</v>
      </c>
      <c r="E1258" s="8" t="s">
        <v>6308</v>
      </c>
      <c r="F1258" s="9" t="str">
        <f ca="1">IFERROR(__xludf.DUMMYFUNCTION("""https://streamtape.com/v/""&amp;
REGEXEXTRACT(O1258,""/thumb/([^/]+)/"")&amp;
""/""&amp;K1258"),"https://streamtape.com/v/VmlL04qjMZTOzR/89941516")</f>
        <v>https://streamtape.com/v/VmlL04qjMZTOzR/89941516</v>
      </c>
      <c r="G1258" s="10" t="e">
        <f t="shared" ca="1" si="17"/>
        <v>#NAME?</v>
      </c>
      <c r="H1258" s="11" t="str">
        <f ca="1">IFERROR(__xludf.DUMMYFUNCTION("IFERROR(SUBSTITUTE(SUBSTITUTE(REGEXEXTRACT(A1258, ""[^-]+- [^-]+- [^-]+ - (.+?)\.jpg""), "".jpg"", """"), ""-"", "", ""), """")"),"")</f>
        <v/>
      </c>
      <c r="I1258" s="6"/>
      <c r="J1258" s="7" t="str">
        <f t="shared" ca="1" si="18"/>
        <v>(2026)</v>
      </c>
      <c r="K1258" s="7" t="str">
        <f t="shared" si="19"/>
        <v>89941516</v>
      </c>
      <c r="L1258" s="12" t="s">
        <v>6309</v>
      </c>
      <c r="M1258" s="13" t="str">
        <f ca="1">IFERROR(__xludf.DUMMYFUNCTION("TRIM(
  REGEXREPLACE(
    TEXTJOIN("" "",
      TRUE,
      B1258,
      C1258,
      embaralharLinks(E1258,F1258,G1258),
      H1258,
      """",
      J1258,
      N1258,
      ""#RIPNSFW""
    ),
  "",\s*"", "" "")
)"),"{New} Melody Marks https://doodstream.com/d/yb6uzl9iu2mo/89941516 https://lulustream.com/d/7wsirv36u5sr https://streamtape.com/v/VmlL04qjMZTOzR/89941516 (2026) #BigTits #Hardcore #Teen #Porn #Blowjob #Deepthroat #Blonde #Facial #RIPNSFW")</f>
        <v>{New} Melody Marks https://doodstream.com/d/yb6uzl9iu2mo/89941516 https://lulustream.com/d/7wsirv36u5sr https://streamtape.com/v/VmlL04qjMZTOzR/89941516 (2026) #BigTits #Hardcore #Teen #Porn #Blowjob #Deepthroat #Blonde #Facial #RIPNSFW</v>
      </c>
      <c r="N1258" s="14" t="s">
        <v>6310</v>
      </c>
      <c r="O1258" s="15" t="s">
        <v>6311</v>
      </c>
      <c r="P1258" s="14"/>
      <c r="Q1258" s="6"/>
      <c r="R1258" s="11"/>
      <c r="S1258" s="6"/>
      <c r="T1258" s="6"/>
      <c r="U1258" s="6"/>
      <c r="V1258" s="6"/>
      <c r="W1258" s="6"/>
      <c r="X1258" s="6"/>
      <c r="Y1258" s="6"/>
      <c r="Z1258" s="6"/>
      <c r="AA1258" s="6"/>
    </row>
    <row r="1259" spans="1:27" ht="12.75">
      <c r="A1259" s="6" t="s">
        <v>6312</v>
      </c>
      <c r="B1259" s="6" t="s">
        <v>14</v>
      </c>
      <c r="C1259" s="7" t="str">
        <f t="shared" si="16"/>
        <v xml:space="preserve">Mewslut </v>
      </c>
      <c r="D1259" s="6" t="s">
        <v>6313</v>
      </c>
      <c r="E1259" s="8" t="s">
        <v>6314</v>
      </c>
      <c r="F1259" s="9" t="str">
        <f ca="1">IFERROR(__xludf.DUMMYFUNCTION("""https://streamtape.com/v/""&amp;
REGEXEXTRACT(O1259,""/thumb/([^/]+)/"")&amp;
""/""&amp;K1259"),"https://streamtape.com/v/lA21ZGPyQZSb11/43798527")</f>
        <v>https://streamtape.com/v/lA21ZGPyQZSb11/43798527</v>
      </c>
      <c r="G1259" s="10" t="e">
        <f t="shared" ca="1" si="17"/>
        <v>#NAME?</v>
      </c>
      <c r="H1259" s="11" t="str">
        <f ca="1">IFERROR(__xludf.DUMMYFUNCTION("IFERROR(SUBSTITUTE(SUBSTITUTE(REGEXEXTRACT(A1259, ""[^-]+- [^-]+- [^-]+ - (.+?)\.jpg""), "".jpg"", """"), ""-"", "", ""), """")"),"")</f>
        <v/>
      </c>
      <c r="I1259" s="6"/>
      <c r="J1259" s="7" t="str">
        <f t="shared" ca="1" si="18"/>
        <v>(2026)</v>
      </c>
      <c r="K1259" s="7" t="str">
        <f t="shared" si="19"/>
        <v>43798527</v>
      </c>
      <c r="L1259" s="12" t="s">
        <v>6315</v>
      </c>
      <c r="M1259" s="13" t="str">
        <f ca="1">IFERROR(__xludf.DUMMYFUNCTION("TRIM(
  REGEXREPLACE(
    TEXTJOIN("" "",
      TRUE,
      B1259,
      C1259,
      embaralharLinks(E1259,F1259,G1259),
      H1259,
      """",
      J1259,
      N1259,
      ""#RIPNSFW""
    ),
  "",\s*"", "" "")
)"),"{New} Mewslut https://streamtape.com/v/lA21ZGPyQZSb11/43798527 https://lulustream.com/d/oytjm1gd9yah https://doodstream.com/d/s278twp7erig/43798527 (2026) #Hardcore #Teen #Blowjob #Roleplay #Amateur #RIPNSFW")</f>
        <v>{New} Mewslut https://streamtape.com/v/lA21ZGPyQZSb11/43798527 https://lulustream.com/d/oytjm1gd9yah https://doodstream.com/d/s278twp7erig/43798527 (2026) #Hardcore #Teen #Blowjob #Roleplay #Amateur #RIPNSFW</v>
      </c>
      <c r="N1259" s="14" t="s">
        <v>6316</v>
      </c>
      <c r="O1259" s="15" t="s">
        <v>6317</v>
      </c>
      <c r="P1259" s="14"/>
      <c r="Q1259" s="6"/>
      <c r="R1259" s="11"/>
      <c r="S1259" s="6"/>
      <c r="T1259" s="6"/>
      <c r="U1259" s="6"/>
      <c r="V1259" s="6"/>
      <c r="W1259" s="6"/>
      <c r="X1259" s="6"/>
      <c r="Y1259" s="6"/>
      <c r="Z1259" s="6"/>
      <c r="AA1259" s="6"/>
    </row>
    <row r="1260" spans="1:27" ht="12.75">
      <c r="A1260" s="6" t="s">
        <v>6318</v>
      </c>
      <c r="B1260" s="6" t="s">
        <v>14</v>
      </c>
      <c r="C1260" s="7" t="str">
        <f t="shared" si="16"/>
        <v xml:space="preserve">Mia Malkova </v>
      </c>
      <c r="D1260" s="29" t="s">
        <v>6319</v>
      </c>
      <c r="E1260" s="8" t="s">
        <v>6320</v>
      </c>
      <c r="F1260" s="9" t="str">
        <f ca="1">IFERROR(__xludf.DUMMYFUNCTION("""https://streamtape.com/v/""&amp;
REGEXEXTRACT(O1260,""/thumb/([^/]+)/"")&amp;
""/""&amp;K1260"),"https://streamtape.com/v/X19B7lgoVqSD9q1/17691696")</f>
        <v>https://streamtape.com/v/X19B7lgoVqSD9q1/17691696</v>
      </c>
      <c r="G1260" s="10" t="e">
        <f t="shared" ca="1" si="17"/>
        <v>#NAME?</v>
      </c>
      <c r="H1260" s="11" t="str">
        <f ca="1">IFERROR(__xludf.DUMMYFUNCTION("IFERROR(SUBSTITUTE(SUBSTITUTE(REGEXEXTRACT(A1260, ""[^-]+- [^-]+- [^-]+ - (.+?)\.jpg""), "".jpg"", """"), ""-"", "", ""), """")"),"")</f>
        <v/>
      </c>
      <c r="I1260" s="6"/>
      <c r="J1260" s="7" t="str">
        <f t="shared" ca="1" si="18"/>
        <v>(2026)</v>
      </c>
      <c r="K1260" s="7" t="str">
        <f t="shared" si="19"/>
        <v>17691696</v>
      </c>
      <c r="L1260" s="12" t="s">
        <v>6321</v>
      </c>
      <c r="M1260" s="13" t="str">
        <f ca="1">IFERROR(__xludf.DUMMYFUNCTION("TRIM(
  REGEXREPLACE(
    TEXTJOIN("" "",
      TRUE,
      B1260,
      C1260,
      embaralharLinks(E1260,F1260,G1260),
      H1260,
      """",
      J1260,
      N1260,
      ""#RIPNSFW""
    ),
  "",\s*"", "" "")
)"),"{New} Mia Malkova https://streamtape.com/v/X19B7lgoVqSD9q1/17691696 https://lulustream.com/d/1jrb9yqq7uek https://doodstream.com/d/p60gm4ajspbo/17691696 (2026) #Anal #MILF #BigTits #Creampie #Hardcore #Bigass #Blowjob #Amateur #Hotwife #RIPNSFW")</f>
        <v>{New} Mia Malkova https://streamtape.com/v/X19B7lgoVqSD9q1/17691696 https://lulustream.com/d/1jrb9yqq7uek https://doodstream.com/d/p60gm4ajspbo/17691696 (2026) #Anal #MILF #BigTits #Creampie #Hardcore #Bigass #Blowjob #Amateur #Hotwife #RIPNSFW</v>
      </c>
      <c r="N1260" s="14" t="s">
        <v>6322</v>
      </c>
      <c r="O1260" s="32" t="s">
        <v>6323</v>
      </c>
      <c r="P1260" s="14"/>
      <c r="Q1260" s="6"/>
      <c r="R1260" s="11"/>
      <c r="S1260" s="6"/>
      <c r="T1260" s="6"/>
      <c r="U1260" s="6"/>
      <c r="V1260" s="6"/>
      <c r="W1260" s="6"/>
      <c r="X1260" s="6"/>
      <c r="Y1260" s="6"/>
      <c r="Z1260" s="6"/>
      <c r="AA1260" s="6"/>
    </row>
    <row r="1261" spans="1:27" ht="12.75">
      <c r="A1261" s="12" t="s">
        <v>6324</v>
      </c>
      <c r="B1261" s="6" t="s">
        <v>14</v>
      </c>
      <c r="C1261" s="7" t="str">
        <f t="shared" si="16"/>
        <v xml:space="preserve">Mia Malkova </v>
      </c>
      <c r="D1261" s="27" t="s">
        <v>6325</v>
      </c>
      <c r="E1261" s="28" t="s">
        <v>6326</v>
      </c>
      <c r="F1261" s="9" t="str">
        <f ca="1">IFERROR(__xludf.DUMMYFUNCTION("""https://streamtape.com/v/""&amp;
REGEXEXTRACT(O1261,""/thumb/([^/]+)/"")&amp;
""/""&amp;K1261"),"https://streamtape.com/v/KzbR7VepWPt0ZO8/18416994")</f>
        <v>https://streamtape.com/v/KzbR7VepWPt0ZO8/18416994</v>
      </c>
      <c r="G1261" s="10" t="e">
        <f t="shared" ca="1" si="17"/>
        <v>#NAME?</v>
      </c>
      <c r="H1261" s="11" t="str">
        <f ca="1">IFERROR(__xludf.DUMMYFUNCTION("IFERROR(SUBSTITUTE(SUBSTITUTE(REGEXEXTRACT(A1261, ""[^-]+- [^-]+- [^-]+ - (.+?)\.jpg""), "".jpg"", """"), ""-"", "", ""), """")"),"")</f>
        <v/>
      </c>
      <c r="I1261" s="6"/>
      <c r="J1261" s="7" t="str">
        <f t="shared" ca="1" si="18"/>
        <v>(2026)</v>
      </c>
      <c r="K1261" s="7" t="str">
        <f t="shared" si="19"/>
        <v>18416994</v>
      </c>
      <c r="L1261" s="12" t="s">
        <v>6327</v>
      </c>
      <c r="M1261" s="13" t="str">
        <f ca="1">IFERROR(__xludf.DUMMYFUNCTION("TRIM(
  REGEXREPLACE(
    TEXTJOIN("" "",
      TRUE,
      B1261,
      C1261,
      embaralharLinks(E1261,F1261,G1261),
      H1261,
      """",
      J1261,
      N1261,
      ""#RIPNSFW""
    ),
  "",\s*"", "" "")
)"),"{New} Mia Malkova https://streamtape.com/v/KzbR7VepWPt0ZO8/18416994 https://doodstream.com/d/gli557aakkag/18416994 https://lulustream.com/d/ohnd61yoirw7 (2026) #MILF #BigTits #Solo #Blonde #RIPNSFW")</f>
        <v>{New} Mia Malkova https://streamtape.com/v/KzbR7VepWPt0ZO8/18416994 https://doodstream.com/d/gli557aakkag/18416994 https://lulustream.com/d/ohnd61yoirw7 (2026) #MILF #BigTits #Solo #Blonde #RIPNSFW</v>
      </c>
      <c r="N1261" s="2" t="s">
        <v>6328</v>
      </c>
      <c r="O1261" s="30" t="s">
        <v>6329</v>
      </c>
      <c r="P1261" s="26"/>
      <c r="R1261" s="23"/>
    </row>
    <row r="1262" spans="1:27" ht="12.75">
      <c r="A1262" s="12" t="s">
        <v>6330</v>
      </c>
      <c r="B1262" s="6" t="s">
        <v>14</v>
      </c>
      <c r="C1262" s="7" t="str">
        <f t="shared" si="16"/>
        <v xml:space="preserve">Mia Malkova </v>
      </c>
      <c r="D1262" s="24" t="s">
        <v>6331</v>
      </c>
      <c r="E1262" s="25" t="s">
        <v>6332</v>
      </c>
      <c r="F1262" s="9" t="str">
        <f ca="1">IFERROR(__xludf.DUMMYFUNCTION("""https://streamtape.com/v/""&amp;
REGEXEXTRACT(O1262,""/thumb/([^/]+)/"")&amp;
""/""&amp;K1262"),"https://streamtape.com/v/YLG4YbzDmKcv0VJ/22061583")</f>
        <v>https://streamtape.com/v/YLG4YbzDmKcv0VJ/22061583</v>
      </c>
      <c r="G1262" s="10" t="e">
        <f t="shared" ca="1" si="17"/>
        <v>#NAME?</v>
      </c>
      <c r="H1262" s="11" t="str">
        <f ca="1">IFERROR(__xludf.DUMMYFUNCTION("IFERROR(SUBSTITUTE(SUBSTITUTE(REGEXEXTRACT(A1262, ""[^-]+- [^-]+- [^-]+ - (.+?)\.jpg""), "".jpg"", """"), ""-"", "", ""), """")"),"Belle Delphine")</f>
        <v>Belle Delphine</v>
      </c>
      <c r="I1262" s="6"/>
      <c r="J1262" s="7" t="str">
        <f t="shared" ca="1" si="18"/>
        <v>(2026)</v>
      </c>
      <c r="K1262" s="7" t="str">
        <f t="shared" si="19"/>
        <v>22061583</v>
      </c>
      <c r="L1262" s="12" t="s">
        <v>3154</v>
      </c>
      <c r="M1262" s="13" t="str">
        <f ca="1">IFERROR(__xludf.DUMMYFUNCTION("TRIM(
  REGEXREPLACE(
    TEXTJOIN("" "",
      TRUE,
      B1262,
      C1262,
      embaralharLinks(E1262,F1262,G1262),
      H1262,
      """",
      J1262,
      N1262,
      ""#RIPNSFW""
    ),
  "",\s*"", "" "")
)"),"{New} Mia Malkova https://streamtape.com/v/YLG4YbzDmKcv0VJ/22061583 https://doodstream.com/d/h00mji59e890/22061583 https://lulustream.com/d/aeozgpbrzuvg Belle Delphine (2026) #milf #blonde #bigtits #blowjob #RIPNSFW")</f>
        <v>{New} Mia Malkova https://streamtape.com/v/YLG4YbzDmKcv0VJ/22061583 https://doodstream.com/d/h00mji59e890/22061583 https://lulustream.com/d/aeozgpbrzuvg Belle Delphine (2026) #milf #blonde #bigtits #blowjob #RIPNSFW</v>
      </c>
      <c r="N1262" s="2" t="s">
        <v>3154</v>
      </c>
      <c r="O1262" s="30" t="s">
        <v>6333</v>
      </c>
      <c r="P1262" s="26"/>
      <c r="R1262" s="23"/>
    </row>
    <row r="1263" spans="1:27" ht="12.75">
      <c r="A1263" s="12" t="s">
        <v>6334</v>
      </c>
      <c r="B1263" s="6"/>
      <c r="C1263" s="7" t="str">
        <f t="shared" si="16"/>
        <v xml:space="preserve">Mia Malkova </v>
      </c>
      <c r="D1263" s="24" t="s">
        <v>6335</v>
      </c>
      <c r="E1263" s="25" t="s">
        <v>6336</v>
      </c>
      <c r="F1263" s="9" t="str">
        <f ca="1">IFERROR(__xludf.DUMMYFUNCTION("""https://streamtape.com/v/""&amp;
REGEXEXTRACT(O1263,""/thumb/([^/]+)/"")&amp;
""/""&amp;K1263"),"https://streamtape.com/v/bVre4vpOyDSPjbv/38489095")</f>
        <v>https://streamtape.com/v/bVre4vpOyDSPjbv/38489095</v>
      </c>
      <c r="G1263" s="10" t="e">
        <f t="shared" ca="1" si="17"/>
        <v>#NAME?</v>
      </c>
      <c r="H1263" s="11" t="str">
        <f ca="1">IFERROR(__xludf.DUMMYFUNCTION("IFERROR(SUBSTITUTE(SUBSTITUTE(REGEXEXTRACT(A1263, ""[^-]+- [^-]+- [^-]+ - (.+?)\.jpg""), "".jpg"", """"), ""-"", "", ""), """")"),"")</f>
        <v/>
      </c>
      <c r="I1263" s="6"/>
      <c r="J1263" s="7" t="str">
        <f t="shared" ca="1" si="18"/>
        <v/>
      </c>
      <c r="K1263" s="7" t="str">
        <f t="shared" si="19"/>
        <v>38489095</v>
      </c>
      <c r="L1263" s="12" t="s">
        <v>3827</v>
      </c>
      <c r="M1263" s="13" t="str">
        <f ca="1">IFERROR(__xludf.DUMMYFUNCTION("TRIM(
  REGEXREPLACE(
    TEXTJOIN("" "",
      TRUE,
      B1263,
      C1263,
      embaralharLinks(E1263,F1263,G1263),
      H1263,
      """",
      J1263,
      N1263,
      ""#RIPNSFW""
    ),
  "",\s*"", "" "")
)"),"Mia Malkova https://doodstream.com/d/v8iwihxwdbrf/38489095 https://lulustream.com/d/kewpddxnm0nu https://streamtape.com/v/bVre4vpOyDSPjbv/38489095 #milf #blonde #bigtits #bigass #RIPNSFW")</f>
        <v>Mia Malkova https://doodstream.com/d/v8iwihxwdbrf/38489095 https://lulustream.com/d/kewpddxnm0nu https://streamtape.com/v/bVre4vpOyDSPjbv/38489095 #milf #blonde #bigtits #bigass #RIPNSFW</v>
      </c>
      <c r="N1263" s="2" t="s">
        <v>3827</v>
      </c>
      <c r="O1263" s="30" t="s">
        <v>6337</v>
      </c>
      <c r="P1263" s="26"/>
      <c r="R1263" s="23"/>
      <c r="T1263" s="6"/>
      <c r="U1263" s="7"/>
    </row>
    <row r="1264" spans="1:27" ht="12.75">
      <c r="A1264" s="12" t="s">
        <v>6338</v>
      </c>
      <c r="B1264" s="6" t="s">
        <v>14</v>
      </c>
      <c r="C1264" s="7" t="str">
        <f t="shared" si="16"/>
        <v xml:space="preserve">Mia Malkova </v>
      </c>
      <c r="D1264" s="27" t="s">
        <v>6339</v>
      </c>
      <c r="E1264" s="28" t="s">
        <v>6340</v>
      </c>
      <c r="F1264" s="9" t="str">
        <f ca="1">IFERROR(__xludf.DUMMYFUNCTION("""https://streamtape.com/v/""&amp;
REGEXEXTRACT(O1264,""/thumb/([^/]+)/"")&amp;
""/""&amp;K1264"),"https://streamtape.com/v/ekXYaW1yJVtYvxe/41359143")</f>
        <v>https://streamtape.com/v/ekXYaW1yJVtYvxe/41359143</v>
      </c>
      <c r="G1264" s="10" t="e">
        <f t="shared" ca="1" si="17"/>
        <v>#NAME?</v>
      </c>
      <c r="H1264" s="11" t="str">
        <f ca="1">IFERROR(__xludf.DUMMYFUNCTION("IFERROR(SUBSTITUTE(SUBSTITUTE(REGEXEXTRACT(A1264, ""[^-]+- [^-]+- [^-]+ - (.+?)\.jpg""), "".jpg"", """"), ""-"", "", ""), """")"),"")</f>
        <v/>
      </c>
      <c r="I1264" s="6"/>
      <c r="J1264" s="7" t="str">
        <f t="shared" ca="1" si="18"/>
        <v>(2026)</v>
      </c>
      <c r="K1264" s="7" t="str">
        <f t="shared" si="19"/>
        <v>41359143</v>
      </c>
      <c r="L1264" s="12" t="s">
        <v>680</v>
      </c>
      <c r="M1264" s="13" t="str">
        <f ca="1">IFERROR(__xludf.DUMMYFUNCTION("TRIM(
  REGEXREPLACE(
    TEXTJOIN("" "",
      TRUE,
      B1264,
      C1264,
      embaralharLinks(E1264,F1264,G1264),
      H1264,
      """",
      J1264,
      N1264,
      ""#RIPNSFW""
    ),
  "",\s*"", "" "")
)"),"{New} Mia Malkova https://doodstream.com/d/qb237dbo3yyb/41359143 https://lulustream.com/d/xyt3hqvoqlzq https://streamtape.com/v/ekXYaW1yJVtYvxe/41359143 (2026) #MILF #BigTits #Hardcore #Black #RIPNSFW")</f>
        <v>{New} Mia Malkova https://doodstream.com/d/qb237dbo3yyb/41359143 https://lulustream.com/d/xyt3hqvoqlzq https://streamtape.com/v/ekXYaW1yJVtYvxe/41359143 (2026) #MILF #BigTits #Hardcore #Black #RIPNSFW</v>
      </c>
      <c r="N1264" s="2" t="s">
        <v>681</v>
      </c>
      <c r="O1264" s="30" t="s">
        <v>6341</v>
      </c>
      <c r="P1264" s="26"/>
      <c r="R1264" s="23"/>
    </row>
    <row r="1265" spans="1:27" ht="12.75">
      <c r="A1265" s="12" t="s">
        <v>6342</v>
      </c>
      <c r="B1265" s="6"/>
      <c r="C1265" s="7" t="str">
        <f t="shared" si="16"/>
        <v xml:space="preserve">Mia Malkova </v>
      </c>
      <c r="D1265" s="24" t="s">
        <v>6343</v>
      </c>
      <c r="E1265" s="25" t="s">
        <v>6344</v>
      </c>
      <c r="F1265" s="9" t="str">
        <f ca="1">IFERROR(__xludf.DUMMYFUNCTION("""https://streamtape.com/v/""&amp;
REGEXEXTRACT(O1265,""/thumb/([^/]+)/"")&amp;
""/""&amp;K1265"),"https://streamtape.com/v/Wo1j7ylom1sgQw/42738945")</f>
        <v>https://streamtape.com/v/Wo1j7ylom1sgQw/42738945</v>
      </c>
      <c r="G1265" s="10" t="e">
        <f t="shared" ca="1" si="17"/>
        <v>#NAME?</v>
      </c>
      <c r="H1265" s="11" t="str">
        <f ca="1">IFERROR(__xludf.DUMMYFUNCTION("IFERROR(SUBSTITUTE(SUBSTITUTE(REGEXEXTRACT(A1265, ""[^-]+- [^-]+- [^-]+ - (.+?)\.jpg""), "".jpg"", """"), ""-"", "", ""), """")"),"")</f>
        <v/>
      </c>
      <c r="I1265" s="6"/>
      <c r="J1265" s="7" t="str">
        <f t="shared" ca="1" si="18"/>
        <v/>
      </c>
      <c r="K1265" s="7" t="str">
        <f t="shared" si="19"/>
        <v>42738945</v>
      </c>
      <c r="L1265" s="12" t="s">
        <v>6345</v>
      </c>
      <c r="M1265" s="13" t="str">
        <f ca="1">IFERROR(__xludf.DUMMYFUNCTION("TRIM(
  REGEXREPLACE(
    TEXTJOIN("" "",
      TRUE,
      B1265,
      C1265,
      embaralharLinks(E1265,F1265,G1265),
      H1265,
      """",
      J1265,
      N1265,
      ""#RIPNSFW""
    ),
  "",\s*"", "" "")
)"),"Mia Malkova https://streamtape.com/v/Wo1j7ylom1sgQw/42738945 https://doodstream.com/d/pnewki3zzhw3/42738945 https://lulustream.com/d/22k9nsl8r8io #blonde #bigass #bigtits #milf #RIPNSFW")</f>
        <v>Mia Malkova https://streamtape.com/v/Wo1j7ylom1sgQw/42738945 https://doodstream.com/d/pnewki3zzhw3/42738945 https://lulustream.com/d/22k9nsl8r8io #blonde #bigass #bigtits #milf #RIPNSFW</v>
      </c>
      <c r="N1265" s="2" t="s">
        <v>6345</v>
      </c>
      <c r="O1265" s="30" t="s">
        <v>6346</v>
      </c>
      <c r="P1265" s="26"/>
      <c r="R1265" s="23"/>
      <c r="T1265" s="6"/>
      <c r="U1265" s="7"/>
    </row>
    <row r="1266" spans="1:27" ht="12.75">
      <c r="A1266" s="12" t="s">
        <v>6347</v>
      </c>
      <c r="B1266" s="6" t="s">
        <v>14</v>
      </c>
      <c r="C1266" s="7" t="str">
        <f t="shared" si="16"/>
        <v xml:space="preserve">Mia Malkova </v>
      </c>
      <c r="D1266" s="27" t="s">
        <v>6348</v>
      </c>
      <c r="E1266" s="28" t="s">
        <v>6349</v>
      </c>
      <c r="F1266" s="9" t="str">
        <f ca="1">IFERROR(__xludf.DUMMYFUNCTION("""https://streamtape.com/v/""&amp;
REGEXEXTRACT(O1266,""/thumb/([^/]+)/"")&amp;
""/""&amp;K1266"),"https://streamtape.com/v/DPeRrM1Y8Ztk179/45449164")</f>
        <v>https://streamtape.com/v/DPeRrM1Y8Ztk179/45449164</v>
      </c>
      <c r="G1266" s="10" t="e">
        <f t="shared" ca="1" si="17"/>
        <v>#NAME?</v>
      </c>
      <c r="H1266" s="11" t="str">
        <f ca="1">IFERROR(__xludf.DUMMYFUNCTION("IFERROR(SUBSTITUTE(SUBSTITUTE(REGEXEXTRACT(A1266, ""[^-]+- [^-]+- [^-]+ - (.+?)\.jpg""), "".jpg"", """"), ""-"", "", ""), """")"),"")</f>
        <v/>
      </c>
      <c r="I1266" s="6"/>
      <c r="J1266" s="7" t="str">
        <f t="shared" ca="1" si="18"/>
        <v>(2026)</v>
      </c>
      <c r="K1266" s="7" t="str">
        <f t="shared" si="19"/>
        <v>45449164</v>
      </c>
      <c r="L1266" s="12" t="s">
        <v>127</v>
      </c>
      <c r="M1266" s="13" t="str">
        <f ca="1">IFERROR(__xludf.DUMMYFUNCTION("TRIM(
  REGEXREPLACE(
    TEXTJOIN("" "",
      TRUE,
      B1266,
      C1266,
      embaralharLinks(E1266,F1266,G1266),
      H1266,
      """",
      J1266,
      N1266,
      ""#RIPNSFW""
    ),
  "",\s*"", "" "")
)"),"{New} Mia Malkova https://streamtape.com/v/DPeRrM1Y8Ztk179/45449164 https://doodstream.com/d/ltm69xn0zcoy/45449164 https://lulustream.com/d/ap4irg4tui4v (2026) #MILF #BigTits #Hardcore #Bigass #RIPNSFW")</f>
        <v>{New} Mia Malkova https://streamtape.com/v/DPeRrM1Y8Ztk179/45449164 https://doodstream.com/d/ltm69xn0zcoy/45449164 https://lulustream.com/d/ap4irg4tui4v (2026) #MILF #BigTits #Hardcore #Bigass #RIPNSFW</v>
      </c>
      <c r="N1266" s="2" t="s">
        <v>128</v>
      </c>
      <c r="O1266" s="30" t="s">
        <v>6350</v>
      </c>
      <c r="P1266" s="26"/>
      <c r="R1266" s="23"/>
    </row>
    <row r="1267" spans="1:27" ht="12.75">
      <c r="A1267" s="6" t="s">
        <v>6351</v>
      </c>
      <c r="B1267" s="6" t="s">
        <v>14</v>
      </c>
      <c r="C1267" s="7" t="str">
        <f t="shared" si="16"/>
        <v xml:space="preserve">Mia Malkova </v>
      </c>
      <c r="D1267" s="29" t="s">
        <v>6352</v>
      </c>
      <c r="E1267" s="8" t="s">
        <v>6353</v>
      </c>
      <c r="F1267" s="9" t="str">
        <f ca="1">IFERROR(__xludf.DUMMYFUNCTION("""https://streamtape.com/v/""&amp;
REGEXEXTRACT(O1267,""/thumb/([^/]+)/"")&amp;
""/""&amp;K1267"),"https://streamtape.com/v/m6AmLZ7o63hb3le/51929303")</f>
        <v>https://streamtape.com/v/m6AmLZ7o63hb3le/51929303</v>
      </c>
      <c r="G1267" s="10" t="e">
        <f t="shared" ca="1" si="17"/>
        <v>#NAME?</v>
      </c>
      <c r="H1267" s="11" t="str">
        <f ca="1">IFERROR(__xludf.DUMMYFUNCTION("IFERROR(SUBSTITUTE(SUBSTITUTE(REGEXEXTRACT(A1267, ""[^-]+- [^-]+- [^-]+ - (.+?)\.jpg""), "".jpg"", """"), ""-"", "", ""), """")"),"")</f>
        <v/>
      </c>
      <c r="I1267" s="6"/>
      <c r="J1267" s="7" t="str">
        <f t="shared" ca="1" si="18"/>
        <v>(2026)</v>
      </c>
      <c r="K1267" s="7" t="str">
        <f t="shared" si="19"/>
        <v>51929303</v>
      </c>
      <c r="L1267" s="12" t="s">
        <v>6354</v>
      </c>
      <c r="M1267" s="13" t="str">
        <f ca="1">IFERROR(__xludf.DUMMYFUNCTION("TRIM(
  REGEXREPLACE(
    TEXTJOIN("" "",
      TRUE,
      B1267,
      C1267,
      embaralharLinks(E1267,F1267,G1267),
      H1267,
      """",
      J1267,
      N1267,
      ""#RIPNSFW""
    ),
  "",\s*"", "" "")
)"),"{New} Mia Malkova https://streamtape.com/v/m6AmLZ7o63hb3le/51929303 https://doodstream.com/d/tgkeqz50u3zf/51929303 https://lulustream.com/d/r68ks3m0gbqi (2026) #MILF #BigTits #Hardcore #Bigass #Porn #Stepmom #Blowjob #Hotwife #Deepthroat #RIPNSFW")</f>
        <v>{New} Mia Malkova https://streamtape.com/v/m6AmLZ7o63hb3le/51929303 https://doodstream.com/d/tgkeqz50u3zf/51929303 https://lulustream.com/d/r68ks3m0gbqi (2026) #MILF #BigTits #Hardcore #Bigass #Porn #Stepmom #Blowjob #Hotwife #Deepthroat #RIPNSFW</v>
      </c>
      <c r="N1267" s="14" t="s">
        <v>6355</v>
      </c>
      <c r="O1267" s="32" t="s">
        <v>6356</v>
      </c>
      <c r="P1267" s="14"/>
      <c r="Q1267" s="6"/>
      <c r="R1267" s="11"/>
      <c r="S1267" s="6"/>
      <c r="T1267" s="6"/>
      <c r="U1267" s="6"/>
      <c r="V1267" s="6"/>
      <c r="W1267" s="6"/>
      <c r="X1267" s="6"/>
      <c r="Y1267" s="6"/>
      <c r="Z1267" s="6"/>
      <c r="AA1267" s="6"/>
    </row>
    <row r="1268" spans="1:27" ht="12.75">
      <c r="A1268" s="12" t="s">
        <v>6357</v>
      </c>
      <c r="B1268" s="6" t="s">
        <v>14</v>
      </c>
      <c r="C1268" s="7" t="str">
        <f t="shared" si="16"/>
        <v xml:space="preserve">Mia Malkova </v>
      </c>
      <c r="D1268" s="27" t="s">
        <v>6358</v>
      </c>
      <c r="E1268" s="28" t="s">
        <v>6359</v>
      </c>
      <c r="F1268" s="9" t="str">
        <f ca="1">IFERROR(__xludf.DUMMYFUNCTION("""https://streamtape.com/v/""&amp;
REGEXEXTRACT(O1268,""/thumb/([^/]+)/"")&amp;
""/""&amp;K1268"),"https://streamtape.com/v/06aMggvoP3FbRoZ/58518494")</f>
        <v>https://streamtape.com/v/06aMggvoP3FbRoZ/58518494</v>
      </c>
      <c r="G1268" s="10" t="e">
        <f t="shared" ca="1" si="17"/>
        <v>#NAME?</v>
      </c>
      <c r="H1268" s="11" t="str">
        <f ca="1">IFERROR(__xludf.DUMMYFUNCTION("IFERROR(SUBSTITUTE(SUBSTITUTE(REGEXEXTRACT(A1268, ""[^-]+- [^-]+- [^-]+ - (.+?)\.jpg""), "".jpg"", """"), ""-"", "", ""), """")"),"Elle Brooke")</f>
        <v>Elle Brooke</v>
      </c>
      <c r="I1268" s="6"/>
      <c r="J1268" s="7" t="str">
        <f t="shared" ca="1" si="18"/>
        <v>(2026)</v>
      </c>
      <c r="K1268" s="7" t="str">
        <f t="shared" si="19"/>
        <v>58518494</v>
      </c>
      <c r="L1268" s="12" t="s">
        <v>47</v>
      </c>
      <c r="M1268" s="13" t="str">
        <f ca="1">IFERROR(__xludf.DUMMYFUNCTION("TRIM(
  REGEXREPLACE(
    TEXTJOIN("" "",
      TRUE,
      B1268,
      C1268,
      embaralharLinks(E1268,F1268,G1268),
      H1268,
      """",
      J1268,
      N1268,
      ""#RIPNSFW""
    ),
  "",\s*"", "" "")
)"),"{New} Mia Malkova https://lulustream.com/d/gfn2xt6umfqm https://doodstream.com/d/cls8jbkl17oj/58518494 https://streamtape.com/v/06aMggvoP3FbRoZ/58518494 Elle Brooke (2026) #MILF #BigTits #Hardcore #Threesome #RIPNSFW")</f>
        <v>{New} Mia Malkova https://lulustream.com/d/gfn2xt6umfqm https://doodstream.com/d/cls8jbkl17oj/58518494 https://streamtape.com/v/06aMggvoP3FbRoZ/58518494 Elle Brooke (2026) #MILF #BigTits #Hardcore #Threesome #RIPNSFW</v>
      </c>
      <c r="N1268" s="2" t="s">
        <v>48</v>
      </c>
      <c r="O1268" s="30" t="s">
        <v>6360</v>
      </c>
      <c r="P1268" s="26"/>
      <c r="R1268" s="23"/>
    </row>
    <row r="1269" spans="1:27" ht="12.75">
      <c r="A1269" s="6" t="s">
        <v>6361</v>
      </c>
      <c r="B1269" s="6" t="s">
        <v>14</v>
      </c>
      <c r="C1269" s="7" t="str">
        <f t="shared" si="16"/>
        <v xml:space="preserve">Mia Malkova </v>
      </c>
      <c r="D1269" s="24" t="s">
        <v>6362</v>
      </c>
      <c r="E1269" s="25" t="s">
        <v>6363</v>
      </c>
      <c r="F1269" s="9" t="str">
        <f ca="1">IFERROR(__xludf.DUMMYFUNCTION("""https://streamtape.com/v/""&amp;
REGEXEXTRACT(O1269,""/thumb/([^/]+)/"")&amp;
""/""&amp;K1269"),"https://streamtape.com/v/aq3vrWMOVaFJVv/58551090")</f>
        <v>https://streamtape.com/v/aq3vrWMOVaFJVv/58551090</v>
      </c>
      <c r="G1269" s="10" t="e">
        <f t="shared" ca="1" si="17"/>
        <v>#NAME?</v>
      </c>
      <c r="H1269" s="11" t="str">
        <f ca="1">IFERROR(__xludf.DUMMYFUNCTION("IFERROR(SUBSTITUTE(SUBSTITUTE(REGEXEXTRACT(A1269, ""[^-]+- [^-]+- [^-]+ - (.+?)\.jpg""), "".jpg"", """"), ""-"", "", ""), """")"),"")</f>
        <v/>
      </c>
      <c r="I1269" s="6"/>
      <c r="J1269" s="7" t="str">
        <f t="shared" ca="1" si="18"/>
        <v>(2026)</v>
      </c>
      <c r="K1269" s="7" t="str">
        <f t="shared" si="19"/>
        <v>58551090</v>
      </c>
      <c r="L1269" s="12" t="s">
        <v>4189</v>
      </c>
      <c r="M1269" s="13" t="str">
        <f ca="1">IFERROR(__xludf.DUMMYFUNCTION("TRIM(
  REGEXREPLACE(
    TEXTJOIN("" "",
      TRUE,
      B1269,
      C1269,
      embaralharLinks(E1269,F1269,G1269),
      H1269,
      """",
      J1269,
      N1269,
      ""#RIPNSFW""
    ),
  "",\s*"", "" "")
)"),"{New} Mia Malkova https://lulustream.com/d/3ci67sc1vnk6 https://streamtape.com/v/aq3vrWMOVaFJVv/58551090 https://doodstream.com/d/kydnft591qjm/58551090 (2026) #blowjob #milf #bigtits #bigass #RIPNSFW")</f>
        <v>{New} Mia Malkova https://lulustream.com/d/3ci67sc1vnk6 https://streamtape.com/v/aq3vrWMOVaFJVv/58551090 https://doodstream.com/d/kydnft591qjm/58551090 (2026) #blowjob #milf #bigtits #bigass #RIPNSFW</v>
      </c>
      <c r="N1269" s="31" t="s">
        <v>4189</v>
      </c>
      <c r="O1269" s="32" t="s">
        <v>6364</v>
      </c>
      <c r="P1269" s="26"/>
      <c r="Q1269" s="6"/>
      <c r="R1269" s="11"/>
      <c r="S1269" s="6"/>
      <c r="T1269" s="6"/>
      <c r="U1269" s="6"/>
      <c r="V1269" s="6"/>
      <c r="W1269" s="6"/>
      <c r="X1269" s="6"/>
      <c r="Y1269" s="6"/>
      <c r="Z1269" s="6"/>
      <c r="AA1269" s="6"/>
    </row>
    <row r="1270" spans="1:27" ht="12.75">
      <c r="A1270" s="6" t="s">
        <v>6365</v>
      </c>
      <c r="B1270" s="6" t="s">
        <v>14</v>
      </c>
      <c r="C1270" s="7" t="str">
        <f t="shared" si="16"/>
        <v xml:space="preserve">Mia Malkova </v>
      </c>
      <c r="D1270" s="6" t="s">
        <v>6366</v>
      </c>
      <c r="E1270" s="8" t="s">
        <v>6367</v>
      </c>
      <c r="F1270" s="9" t="str">
        <f ca="1">IFERROR(__xludf.DUMMYFUNCTION("""https://streamtape.com/v/""&amp;
REGEXEXTRACT(O1270,""/thumb/([^/]+)/"")&amp;
""/""&amp;K1270"),"https://streamtape.com/v/01rQ6m2rgahbJyY/67876165")</f>
        <v>https://streamtape.com/v/01rQ6m2rgahbJyY/67876165</v>
      </c>
      <c r="G1270" s="10" t="e">
        <f t="shared" ca="1" si="17"/>
        <v>#NAME?</v>
      </c>
      <c r="H1270" s="11" t="str">
        <f ca="1">IFERROR(__xludf.DUMMYFUNCTION("IFERROR(SUBSTITUTE(SUBSTITUTE(REGEXEXTRACT(A1270, ""[^-]+- [^-]+- [^-]+ - (.+?)\.jpg""), "".jpg"", """"), ""-"", "", ""), """")"),"")</f>
        <v/>
      </c>
      <c r="I1270" s="6"/>
      <c r="J1270" s="7" t="str">
        <f t="shared" ca="1" si="18"/>
        <v>(2026)</v>
      </c>
      <c r="K1270" s="7" t="str">
        <f t="shared" si="19"/>
        <v>67876165</v>
      </c>
      <c r="L1270" s="12" t="s">
        <v>386</v>
      </c>
      <c r="M1270" s="13" t="str">
        <f ca="1">IFERROR(__xludf.DUMMYFUNCTION("TRIM(
  REGEXREPLACE(
    TEXTJOIN("" "",
      TRUE,
      B1270,
      C1270,
      embaralharLinks(E1270,F1270,G1270),
      H1270,
      """",
      J1270,
      N1270,
      ""#RIPNSFW""
    ),
  "",\s*"", "" "")
)"),"{New} Mia Malkova https://doodstream.com/d/onvnyeih9086/67876165 https://lulustream.com/d/iwpffprd4nna https://streamtape.com/v/01rQ6m2rgahbJyY/67876165 (2026) #BigTits #Bigass #Teen #Solo #RIPNSFW")</f>
        <v>{New} Mia Malkova https://doodstream.com/d/onvnyeih9086/67876165 https://lulustream.com/d/iwpffprd4nna https://streamtape.com/v/01rQ6m2rgahbJyY/67876165 (2026) #BigTits #Bigass #Teen #Solo #RIPNSFW</v>
      </c>
      <c r="N1270" s="14" t="s">
        <v>357</v>
      </c>
      <c r="O1270" s="15" t="s">
        <v>6368</v>
      </c>
      <c r="P1270" s="14"/>
      <c r="Q1270" s="6"/>
      <c r="R1270" s="11"/>
      <c r="S1270" s="6"/>
      <c r="T1270" s="6"/>
      <c r="U1270" s="6"/>
      <c r="V1270" s="6"/>
      <c r="W1270" s="6"/>
      <c r="X1270" s="6"/>
      <c r="Y1270" s="6"/>
      <c r="Z1270" s="6"/>
      <c r="AA1270" s="6"/>
    </row>
    <row r="1271" spans="1:27" ht="12.75">
      <c r="A1271" s="12" t="s">
        <v>6369</v>
      </c>
      <c r="B1271" s="6" t="s">
        <v>14</v>
      </c>
      <c r="C1271" s="7" t="str">
        <f t="shared" si="16"/>
        <v xml:space="preserve">Mia Malkova </v>
      </c>
      <c r="D1271" s="24" t="s">
        <v>6370</v>
      </c>
      <c r="E1271" s="25" t="s">
        <v>6371</v>
      </c>
      <c r="F1271" s="9" t="str">
        <f ca="1">IFERROR(__xludf.DUMMYFUNCTION("""https://streamtape.com/v/""&amp;
REGEXEXTRACT(O1271,""/thumb/([^/]+)/"")&amp;
""/""&amp;K1271"),"https://streamtape.com/v/xqa0kb26wKckp3d/70813268")</f>
        <v>https://streamtape.com/v/xqa0kb26wKckp3d/70813268</v>
      </c>
      <c r="G1271" s="10" t="e">
        <f t="shared" ca="1" si="17"/>
        <v>#NAME?</v>
      </c>
      <c r="H1271" s="11" t="str">
        <f ca="1">IFERROR(__xludf.DUMMYFUNCTION("IFERROR(SUBSTITUTE(SUBSTITUTE(REGEXEXTRACT(A1271, ""[^-]+- [^-]+- [^-]+ - (.+?)\.jpg""), "".jpg"", """"), ""-"", "", ""), """")"),"")</f>
        <v/>
      </c>
      <c r="I1271" s="6"/>
      <c r="J1271" s="7" t="str">
        <f t="shared" ca="1" si="18"/>
        <v>(2026)</v>
      </c>
      <c r="K1271" s="7" t="str">
        <f t="shared" si="19"/>
        <v>70813268</v>
      </c>
      <c r="L1271" s="12" t="s">
        <v>2309</v>
      </c>
      <c r="M1271" s="13" t="str">
        <f ca="1">IFERROR(__xludf.DUMMYFUNCTION("TRIM(
  REGEXREPLACE(
    TEXTJOIN("" "",
      TRUE,
      B1271,
      C1271,
      embaralharLinks(E1271,F1271,G1271),
      H1271,
      """",
      J1271,
      N1271,
      ""#RIPNSFW""
    ),
  "",\s*"", "" "")
)"),"{New} Mia Malkova https://lulustream.com/d/28adfgga59yg https://doodstream.com/d/fpgis45eug2a/70813268 https://streamtape.com/v/xqa0kb26wKckp3d/70813268 (2026) #milf #bigtits #bigass #joi #RIPNSFW")</f>
        <v>{New} Mia Malkova https://lulustream.com/d/28adfgga59yg https://doodstream.com/d/fpgis45eug2a/70813268 https://streamtape.com/v/xqa0kb26wKckp3d/70813268 (2026) #milf #bigtits #bigass #joi #RIPNSFW</v>
      </c>
      <c r="N1271" s="2" t="s">
        <v>2309</v>
      </c>
      <c r="O1271" s="30" t="s">
        <v>6372</v>
      </c>
      <c r="P1271" s="26"/>
      <c r="R1271" s="23"/>
    </row>
    <row r="1272" spans="1:27" ht="12.75">
      <c r="A1272" s="6" t="s">
        <v>6373</v>
      </c>
      <c r="B1272" s="6" t="s">
        <v>14</v>
      </c>
      <c r="C1272" s="7" t="str">
        <f t="shared" si="16"/>
        <v xml:space="preserve">Mia Malkova </v>
      </c>
      <c r="D1272" s="24" t="s">
        <v>6374</v>
      </c>
      <c r="E1272" s="25" t="s">
        <v>6375</v>
      </c>
      <c r="F1272" s="9" t="str">
        <f ca="1">IFERROR(__xludf.DUMMYFUNCTION("""https://streamtape.com/v/""&amp;
REGEXEXTRACT(O1272,""/thumb/([^/]+)/"")&amp;
""/""&amp;K1272"),"https://streamtape.com/v/xegpYmjL9xsk4ZM/87253864")</f>
        <v>https://streamtape.com/v/xegpYmjL9xsk4ZM/87253864</v>
      </c>
      <c r="G1272" s="10" t="e">
        <f t="shared" ca="1" si="17"/>
        <v>#NAME?</v>
      </c>
      <c r="H1272" s="11" t="str">
        <f ca="1">IFERROR(__xludf.DUMMYFUNCTION("IFERROR(SUBSTITUTE(SUBSTITUTE(REGEXEXTRACT(A1272, ""[^-]+- [^-]+- [^-]+ - (.+?)\.jpg""), "".jpg"", """"), ""-"", "", ""), """")"),"")</f>
        <v/>
      </c>
      <c r="I1272" s="6"/>
      <c r="J1272" s="7" t="str">
        <f t="shared" ca="1" si="18"/>
        <v>(2026)</v>
      </c>
      <c r="K1272" s="7" t="str">
        <f t="shared" si="19"/>
        <v>87253864</v>
      </c>
      <c r="L1272" s="12" t="s">
        <v>6376</v>
      </c>
      <c r="M1272" s="13" t="str">
        <f ca="1">IFERROR(__xludf.DUMMYFUNCTION("TRIM(
  REGEXREPLACE(
    TEXTJOIN("" "",
      TRUE,
      B1272,
      C1272,
      embaralharLinks(E1272,F1272,G1272),
      H1272,
      """",
      J1272,
      N1272,
      ""#RIPNSFW""
    ),
  "",\s*"", "" "")
)"),"{New} Mia Malkova https://streamtape.com/v/xegpYmjL9xsk4ZM/87253864 https://lulustream.com/d/4gxfij3o9ujc https://doodstream.com/d/rjn7tsx4yzae/87253864 (2026) #blowjob #blonde #milf #roleplay #RIPNSFW")</f>
        <v>{New} Mia Malkova https://streamtape.com/v/xegpYmjL9xsk4ZM/87253864 https://lulustream.com/d/4gxfij3o9ujc https://doodstream.com/d/rjn7tsx4yzae/87253864 (2026) #blowjob #blonde #milf #roleplay #RIPNSFW</v>
      </c>
      <c r="N1272" s="31" t="s">
        <v>6376</v>
      </c>
      <c r="O1272" s="32" t="s">
        <v>6377</v>
      </c>
      <c r="P1272" s="26"/>
      <c r="Q1272" s="6"/>
      <c r="R1272" s="23"/>
      <c r="S1272" s="6"/>
      <c r="T1272" s="6"/>
      <c r="U1272" s="7"/>
      <c r="V1272" s="6"/>
      <c r="X1272" s="6"/>
      <c r="Y1272" s="6"/>
      <c r="Z1272" s="6"/>
      <c r="AA1272" s="6"/>
    </row>
    <row r="1273" spans="1:27" ht="12.75">
      <c r="A1273" s="16" t="s">
        <v>6378</v>
      </c>
      <c r="B1273" s="11" t="s">
        <v>14</v>
      </c>
      <c r="C1273" s="13" t="str">
        <f t="shared" si="16"/>
        <v xml:space="preserve">Mia Malkova </v>
      </c>
      <c r="D1273" s="17" t="s">
        <v>6379</v>
      </c>
      <c r="E1273" s="18" t="s">
        <v>6380</v>
      </c>
      <c r="F1273" s="9" t="str">
        <f ca="1">IFERROR(__xludf.DUMMYFUNCTION("""https://streamtape.com/v/""&amp;
REGEXEXTRACT(O1273,""/thumb/([^/]+)/"")&amp;
""/""&amp;K1273"),"https://streamtape.com/v/VObKW1PDrdhz4O/92617722")</f>
        <v>https://streamtape.com/v/VObKW1PDrdhz4O/92617722</v>
      </c>
      <c r="G1273" s="10" t="e">
        <f t="shared" ca="1" si="17"/>
        <v>#NAME?</v>
      </c>
      <c r="H1273" s="11" t="str">
        <f ca="1">IFERROR(__xludf.DUMMYFUNCTION("IFERROR(SUBSTITUTE(SUBSTITUTE(REGEXEXTRACT(A1273, ""[^-]+- [^-]+- [^-]+ - (.+?)\.jpg""), "".jpg"", """"), ""-"", "", ""), """")"),"")</f>
        <v/>
      </c>
      <c r="I1273" s="11"/>
      <c r="J1273" s="13" t="str">
        <f t="shared" ca="1" si="18"/>
        <v>(2026)</v>
      </c>
      <c r="K1273" s="13" t="str">
        <f t="shared" si="19"/>
        <v>92617722</v>
      </c>
      <c r="L1273" s="12" t="s">
        <v>6381</v>
      </c>
      <c r="M1273" s="13" t="str">
        <f ca="1">IFERROR(__xludf.DUMMYFUNCTION("TRIM(
  REGEXREPLACE(
    TEXTJOIN("" "",
      TRUE,
      B1273,
      C1273,
      embaralharLinks(E1273,F1273,G1273),
      H1273,
      """",
      J1273,
      N1273,
      ""#RIPNSFW""
    ),
  "",\s*"", "" "")
)"),"{New} Mia Malkova https://streamtape.com/v/VObKW1PDrdhz4O/92617722 https://lulustream.com/d/kxgeoripjmra https://doodstream.com/d/88ks6i9jkc7z/92617722 (2026) #milf #bigtits #blowjob #solo #RIPNSFW")</f>
        <v>{New} Mia Malkova https://streamtape.com/v/VObKW1PDrdhz4O/92617722 https://lulustream.com/d/kxgeoripjmra https://doodstream.com/d/88ks6i9jkc7z/92617722 (2026) #milf #bigtits #blowjob #solo #RIPNSFW</v>
      </c>
      <c r="N1273" s="20" t="s">
        <v>6381</v>
      </c>
      <c r="O1273" s="30" t="s">
        <v>6382</v>
      </c>
      <c r="P1273" s="26"/>
      <c r="Q1273" s="16"/>
      <c r="R1273" s="23"/>
      <c r="S1273" s="16"/>
      <c r="T1273" s="16"/>
      <c r="U1273" s="16"/>
      <c r="V1273" s="16"/>
      <c r="W1273" s="16"/>
      <c r="X1273" s="16"/>
      <c r="Y1273" s="16"/>
      <c r="Z1273" s="16"/>
      <c r="AA1273" s="16"/>
    </row>
    <row r="1274" spans="1:27" ht="12.75">
      <c r="A1274" s="6" t="s">
        <v>6383</v>
      </c>
      <c r="B1274" s="6" t="s">
        <v>14</v>
      </c>
      <c r="C1274" s="7" t="str">
        <f t="shared" si="16"/>
        <v xml:space="preserve">Mia Malkova </v>
      </c>
      <c r="D1274" s="6" t="s">
        <v>6384</v>
      </c>
      <c r="E1274" s="8" t="s">
        <v>6385</v>
      </c>
      <c r="F1274" s="9" t="str">
        <f ca="1">IFERROR(__xludf.DUMMYFUNCTION("""https://streamtape.com/v/""&amp;
REGEXEXTRACT(O1274,""/thumb/([^/]+)/"")&amp;
""/""&amp;K1274"),"https://streamtape.com/v/vVYXQa9Yr9f40dr/96356422")</f>
        <v>https://streamtape.com/v/vVYXQa9Yr9f40dr/96356422</v>
      </c>
      <c r="G1274" s="10" t="e">
        <f t="shared" ca="1" si="17"/>
        <v>#NAME?</v>
      </c>
      <c r="H1274" s="11" t="str">
        <f ca="1">IFERROR(__xludf.DUMMYFUNCTION("IFERROR(SUBSTITUTE(SUBSTITUTE(REGEXEXTRACT(A1274, ""[^-]+- [^-]+- [^-]+ - (.+?)\.jpg""), "".jpg"", """"), ""-"", "", ""), """")"),"")</f>
        <v/>
      </c>
      <c r="I1274" s="6"/>
      <c r="J1274" s="7" t="str">
        <f t="shared" ca="1" si="18"/>
        <v>(2026)</v>
      </c>
      <c r="K1274" s="7" t="str">
        <f t="shared" si="19"/>
        <v>96356422</v>
      </c>
      <c r="L1274" s="12" t="s">
        <v>6386</v>
      </c>
      <c r="M1274" s="13" t="str">
        <f ca="1">IFERROR(__xludf.DUMMYFUNCTION("TRIM(
  REGEXREPLACE(
    TEXTJOIN("" "",
      TRUE,
      B1274,
      C1274,
      embaralharLinks(E1274,F1274,G1274),
      H1274,
      """",
      J1274,
      N1274,
      ""#RIPNSFW""
    ),
  "",\s*"", "" "")
)"),"{New} Mia Malkova https://streamtape.com/v/vVYXQa9Yr9f40dr/96356422 https://doodstream.com/d/m9nqjplq625o/96356422 https://lulustream.com/d/6itzasfcvck3 (2026) #MILF #BigTits #Bigass #Roleplay #Blowjob #RIPNSFW")</f>
        <v>{New} Mia Malkova https://streamtape.com/v/vVYXQa9Yr9f40dr/96356422 https://doodstream.com/d/m9nqjplq625o/96356422 https://lulustream.com/d/6itzasfcvck3 (2026) #MILF #BigTits #Bigass #Roleplay #Blowjob #RIPNSFW</v>
      </c>
      <c r="N1274" s="14" t="s">
        <v>4376</v>
      </c>
      <c r="O1274" s="15" t="s">
        <v>6387</v>
      </c>
      <c r="P1274" s="14"/>
      <c r="Q1274" s="6"/>
      <c r="R1274" s="11"/>
      <c r="S1274" s="6"/>
      <c r="T1274" s="6"/>
      <c r="U1274" s="6"/>
      <c r="V1274" s="6"/>
      <c r="W1274" s="6"/>
      <c r="X1274" s="6"/>
      <c r="Y1274" s="6"/>
      <c r="Z1274" s="6"/>
      <c r="AA1274" s="6"/>
    </row>
    <row r="1275" spans="1:27" ht="12.75">
      <c r="A1275" s="6" t="s">
        <v>6388</v>
      </c>
      <c r="B1275" s="6" t="s">
        <v>14</v>
      </c>
      <c r="C1275" s="7" t="str">
        <f t="shared" si="16"/>
        <v xml:space="preserve">Michelle Hoek </v>
      </c>
      <c r="D1275" s="6" t="s">
        <v>6389</v>
      </c>
      <c r="E1275" s="8" t="s">
        <v>6390</v>
      </c>
      <c r="F1275" s="9" t="str">
        <f ca="1">IFERROR(__xludf.DUMMYFUNCTION("""https://streamtape.com/v/""&amp;
REGEXEXTRACT(O1275,""/thumb/([^/]+)/"")&amp;
""/""&amp;K1275"),"https://streamtape.com/v/YVl6YwveVgIvxV8/10480061")</f>
        <v>https://streamtape.com/v/YVl6YwveVgIvxV8/10480061</v>
      </c>
      <c r="G1275" s="10" t="e">
        <f t="shared" ca="1" si="17"/>
        <v>#NAME?</v>
      </c>
      <c r="H1275" s="11" t="str">
        <f ca="1">IFERROR(__xludf.DUMMYFUNCTION("IFERROR(SUBSTITUTE(SUBSTITUTE(REGEXEXTRACT(A1275, ""[^-]+- [^-]+- [^-]+ - (.+?)\.jpg""), "".jpg"", """"), ""-"", "", ""), """")"),"")</f>
        <v/>
      </c>
      <c r="I1275" s="6"/>
      <c r="J1275" s="7" t="str">
        <f t="shared" ca="1" si="18"/>
        <v>(2026)</v>
      </c>
      <c r="K1275" s="7" t="str">
        <f t="shared" si="19"/>
        <v>10480061</v>
      </c>
      <c r="L1275" s="12" t="s">
        <v>6391</v>
      </c>
      <c r="M1275" s="13" t="str">
        <f ca="1">IFERROR(__xludf.DUMMYFUNCTION("TRIM(
  REGEXREPLACE(
    TEXTJOIN("" "",
      TRUE,
      B1275,
      C1275,
      embaralharLinks(E1275,F1275,G1275),
      H1275,
      """",
      J1275,
      N1275,
      ""#RIPNSFW""
    ),
  "",\s*"", "" "")
)"),"{New} Michelle Hoek https://doodstream.com/d/hu5ifkasuq6m/10480061 https://lulustream.com/d/67zjs3t495s9 https://streamtape.com/v/YVl6YwveVgIvxV8/10480061 (2026) #Anal #MILF #BigTits #Hardcore #Threesome #Bigass #RIPNSFW")</f>
        <v>{New} Michelle Hoek https://doodstream.com/d/hu5ifkasuq6m/10480061 https://lulustream.com/d/67zjs3t495s9 https://streamtape.com/v/YVl6YwveVgIvxV8/10480061 (2026) #Anal #MILF #BigTits #Hardcore #Threesome #Bigass #RIPNSFW</v>
      </c>
      <c r="N1275" s="14" t="s">
        <v>6392</v>
      </c>
      <c r="O1275" s="15" t="s">
        <v>6393</v>
      </c>
      <c r="P1275" s="14"/>
      <c r="Q1275" s="6"/>
      <c r="R1275" s="11"/>
      <c r="S1275" s="6"/>
      <c r="T1275" s="6"/>
      <c r="U1275" s="6"/>
      <c r="V1275" s="6"/>
      <c r="W1275" s="6"/>
      <c r="X1275" s="6"/>
      <c r="Y1275" s="6"/>
      <c r="Z1275" s="6"/>
      <c r="AA1275" s="6"/>
    </row>
    <row r="1276" spans="1:27" ht="12.75">
      <c r="A1276" s="12" t="s">
        <v>6394</v>
      </c>
      <c r="B1276" s="6" t="s">
        <v>14</v>
      </c>
      <c r="C1276" s="7" t="str">
        <f t="shared" si="16"/>
        <v xml:space="preserve">Mila Sobolov </v>
      </c>
      <c r="D1276" s="24" t="s">
        <v>6395</v>
      </c>
      <c r="E1276" s="25" t="s">
        <v>6396</v>
      </c>
      <c r="F1276" s="9" t="str">
        <f ca="1">IFERROR(__xludf.DUMMYFUNCTION("""https://streamtape.com/v/""&amp;
REGEXEXTRACT(O1276,""/thumb/([^/]+)/"")&amp;
""/""&amp;K1276"),"https://streamtape.com/v/YwrvVZPPRmiv4b8/55887993")</f>
        <v>https://streamtape.com/v/YwrvVZPPRmiv4b8/55887993</v>
      </c>
      <c r="G1276" s="10" t="e">
        <f t="shared" ca="1" si="17"/>
        <v>#NAME?</v>
      </c>
      <c r="H1276" s="11" t="str">
        <f ca="1">IFERROR(__xludf.DUMMYFUNCTION("IFERROR(SUBSTITUTE(SUBSTITUTE(REGEXEXTRACT(A1276, ""[^-]+- [^-]+- [^-]+ - (.+?)\.jpg""), "".jpg"", """"), ""-"", "", ""), """")"),"")</f>
        <v/>
      </c>
      <c r="I1276" s="6"/>
      <c r="J1276" s="7" t="str">
        <f t="shared" ca="1" si="18"/>
        <v>(2026)</v>
      </c>
      <c r="K1276" s="7" t="str">
        <f t="shared" si="19"/>
        <v>55887993</v>
      </c>
      <c r="L1276" s="12" t="s">
        <v>6397</v>
      </c>
      <c r="M1276" s="13" t="str">
        <f ca="1">IFERROR(__xludf.DUMMYFUNCTION("TRIM(
  REGEXREPLACE(
    TEXTJOIN("" "",
      TRUE,
      B1276,
      C1276,
      embaralharLinks(E1276,F1276,G1276),
      H1276,
      """",
      J1276,
      N1276,
      ""#RIPNSFW""
    ),
  "",\s*"", "" "")
)"),"{New} Mila Sobolov https://streamtape.com/v/YwrvVZPPRmiv4b8/55887993 https://lulustream.com/d/yl5pk5gnllml https://doodstream.com/d/yyptxroj9x85/55887993 (2026) #teen #blonde #blowjob #amateur #RIPNSFW")</f>
        <v>{New} Mila Sobolov https://streamtape.com/v/YwrvVZPPRmiv4b8/55887993 https://lulustream.com/d/yl5pk5gnllml https://doodstream.com/d/yyptxroj9x85/55887993 (2026) #teen #blonde #blowjob #amateur #RIPNSFW</v>
      </c>
      <c r="N1276" s="2" t="s">
        <v>6397</v>
      </c>
      <c r="O1276" s="30" t="s">
        <v>6398</v>
      </c>
      <c r="P1276" s="26"/>
      <c r="R1276" s="23"/>
      <c r="T1276" s="6"/>
      <c r="U1276" s="7"/>
    </row>
    <row r="1277" spans="1:27" ht="12.75">
      <c r="A1277" s="6" t="s">
        <v>6399</v>
      </c>
      <c r="B1277" s="6" t="s">
        <v>14</v>
      </c>
      <c r="C1277" s="7" t="str">
        <f t="shared" ref="C1277:C1531" si="20">LEFT(A1277,FIND("-",A1277)-1)</f>
        <v xml:space="preserve">Milana Milka </v>
      </c>
      <c r="D1277" s="6" t="s">
        <v>6400</v>
      </c>
      <c r="E1277" s="8" t="s">
        <v>6401</v>
      </c>
      <c r="F1277" s="9" t="str">
        <f ca="1">IFERROR(__xludf.DUMMYFUNCTION("""https://streamtape.com/v/""&amp;
REGEXEXTRACT(O1277,""/thumb/([^/]+)/"")&amp;
""/""&amp;K1277"),"https://streamtape.com/v/qrYL0BbwDocadz/94089315")</f>
        <v>https://streamtape.com/v/qrYL0BbwDocadz/94089315</v>
      </c>
      <c r="G1277" s="10" t="e">
        <f t="shared" ref="G1277:G1531" ca="1" si="21">_xludf.CONCAT(D1277,K1277)</f>
        <v>#NAME?</v>
      </c>
      <c r="H1277" s="11" t="str">
        <f ca="1">IFERROR(__xludf.DUMMYFUNCTION("IFERROR(SUBSTITUTE(SUBSTITUTE(REGEXEXTRACT(A1277, ""[^-]+- [^-]+- [^-]+ - (.+?)\.jpg""), "".jpg"", """"), ""-"", "", ""), """")"),"")</f>
        <v/>
      </c>
      <c r="I1277" s="6"/>
      <c r="J1277" s="7" t="str">
        <f t="shared" ref="J1277:J1531" ca="1" si="22">IF(B1277="{New}", "(" &amp; YEAR(TODAY()) &amp; ")", "")</f>
        <v>(2026)</v>
      </c>
      <c r="K1277" s="7" t="str">
        <f t="shared" ref="K1277:K1531" si="23">MID(A1277,FIND("-",A1277)+2,8)</f>
        <v>94089315</v>
      </c>
      <c r="L1277" s="12" t="s">
        <v>6402</v>
      </c>
      <c r="M1277" s="13" t="str">
        <f ca="1">IFERROR(__xludf.DUMMYFUNCTION("TRIM(
  REGEXREPLACE(
    TEXTJOIN("" "",
      TRUE,
      B1277,
      C1277,
      embaralharLinks(E1277,F1277,G1277),
      H1277,
      """",
      J1277,
      N1277,
      ""#RIPNSFW""
    ),
  "",\s*"", "" "")
)"),"{New} Milana Milka https://lulustream.com/d/ssnbd447d6g0 https://doodstream.com/d/yxszkllrumig/94089315 https://streamtape.com/v/qrYL0BbwDocadz/94089315 (2026) #Anal #BigTits #Hardcore #Bigass #Teen #Blowjob #Porn #RIPNSFW")</f>
        <v>{New} Milana Milka https://lulustream.com/d/ssnbd447d6g0 https://doodstream.com/d/yxszkllrumig/94089315 https://streamtape.com/v/qrYL0BbwDocadz/94089315 (2026) #Anal #BigTits #Hardcore #Bigass #Teen #Blowjob #Porn #RIPNSFW</v>
      </c>
      <c r="N1277" s="14" t="s">
        <v>6403</v>
      </c>
      <c r="O1277" s="15" t="s">
        <v>6404</v>
      </c>
      <c r="P1277" s="14"/>
      <c r="Q1277" s="6"/>
      <c r="R1277" s="11"/>
      <c r="S1277" s="6"/>
      <c r="T1277" s="6"/>
      <c r="U1277" s="6"/>
      <c r="V1277" s="6"/>
      <c r="W1277" s="6"/>
      <c r="X1277" s="6"/>
      <c r="Y1277" s="6"/>
      <c r="Z1277" s="6"/>
      <c r="AA1277" s="6"/>
    </row>
    <row r="1278" spans="1:27" ht="12.75">
      <c r="A1278" s="6" t="s">
        <v>6405</v>
      </c>
      <c r="B1278" s="6" t="s">
        <v>14</v>
      </c>
      <c r="C1278" s="7" t="str">
        <f t="shared" si="20"/>
        <v xml:space="preserve">Mini Loonaa </v>
      </c>
      <c r="D1278" s="24" t="s">
        <v>6406</v>
      </c>
      <c r="E1278" s="25" t="s">
        <v>6407</v>
      </c>
      <c r="F1278" s="9" t="str">
        <f ca="1">IFERROR(__xludf.DUMMYFUNCTION("""https://streamtape.com/v/""&amp;
REGEXEXTRACT(O1278,""/thumb/([^/]+)/"")&amp;
""/""&amp;K1278"),"https://streamtape.com/v/qyR21zKmR2I1KO/24435407")</f>
        <v>https://streamtape.com/v/qyR21zKmR2I1KO/24435407</v>
      </c>
      <c r="G1278" s="10" t="e">
        <f t="shared" ca="1" si="21"/>
        <v>#NAME?</v>
      </c>
      <c r="H1278" s="11" t="str">
        <f ca="1">IFERROR(__xludf.DUMMYFUNCTION("IFERROR(SUBSTITUTE(SUBSTITUTE(REGEXEXTRACT(A1278, ""[^-]+- [^-]+- [^-]+ - (.+?)\.jpg""), "".jpg"", """"), ""-"", "", ""), """")"),"")</f>
        <v/>
      </c>
      <c r="I1278" s="6"/>
      <c r="J1278" s="7" t="str">
        <f t="shared" ca="1" si="22"/>
        <v>(2026)</v>
      </c>
      <c r="K1278" s="7" t="str">
        <f t="shared" si="23"/>
        <v>24435407</v>
      </c>
      <c r="L1278" s="12" t="s">
        <v>1738</v>
      </c>
      <c r="M1278" s="13" t="str">
        <f ca="1">IFERROR(__xludf.DUMMYFUNCTION("TRIM(
  REGEXREPLACE(
    TEXTJOIN("" "",
      TRUE,
      B1278,
      C1278,
      embaralharLinks(E1278,F1278,G1278),
      H1278,
      """",
      J1278,
      N1278,
      ""#RIPNSFW""
    ),
  "",\s*"", "" "")
)"),"{New} Mini Loonaa https://doodstream.com/d/tt7hzxhapyy8/24435407 https://streamtape.com/v/qyR21zKmR2I1KO/24435407 https://lulustream.com/d/2zfdw1wzxryh (2026) #teen #bigtits #blowjob #bigass #RIPNSFW")</f>
        <v>{New} Mini Loonaa https://doodstream.com/d/tt7hzxhapyy8/24435407 https://streamtape.com/v/qyR21zKmR2I1KO/24435407 https://lulustream.com/d/2zfdw1wzxryh (2026) #teen #bigtits #blowjob #bigass #RIPNSFW</v>
      </c>
      <c r="N1278" s="31" t="s">
        <v>1738</v>
      </c>
      <c r="O1278" s="32" t="s">
        <v>6408</v>
      </c>
      <c r="P1278" s="26"/>
      <c r="Q1278" s="6"/>
      <c r="R1278" s="11"/>
      <c r="S1278" s="6"/>
      <c r="T1278" s="6"/>
      <c r="U1278" s="6"/>
      <c r="V1278" s="6"/>
      <c r="W1278" s="6"/>
      <c r="X1278" s="6"/>
      <c r="Y1278" s="6"/>
      <c r="Z1278" s="6"/>
      <c r="AA1278" s="6"/>
    </row>
    <row r="1279" spans="1:27" ht="12.75">
      <c r="A1279" s="6" t="s">
        <v>6409</v>
      </c>
      <c r="B1279" s="6" t="s">
        <v>14</v>
      </c>
      <c r="C1279" s="7" t="str">
        <f t="shared" si="20"/>
        <v xml:space="preserve">Mini Loonaa </v>
      </c>
      <c r="D1279" s="6" t="s">
        <v>6410</v>
      </c>
      <c r="E1279" s="8" t="s">
        <v>6411</v>
      </c>
      <c r="F1279" s="9" t="str">
        <f ca="1">IFERROR(__xludf.DUMMYFUNCTION("""https://streamtape.com/v/""&amp;
REGEXEXTRACT(O1279,""/thumb/([^/]+)/"")&amp;
""/""&amp;K1279"),"https://streamtape.com/v/rbdog2Lagls3DO/34493585")</f>
        <v>https://streamtape.com/v/rbdog2Lagls3DO/34493585</v>
      </c>
      <c r="G1279" s="10" t="e">
        <f t="shared" ca="1" si="21"/>
        <v>#NAME?</v>
      </c>
      <c r="H1279" s="11" t="str">
        <f ca="1">IFERROR(__xludf.DUMMYFUNCTION("IFERROR(SUBSTITUTE(SUBSTITUTE(REGEXEXTRACT(A1279, ""[^-]+- [^-]+- [^-]+ - (.+?)\.jpg""), "".jpg"", """"), ""-"", "", ""), """")"),"")</f>
        <v/>
      </c>
      <c r="I1279" s="6"/>
      <c r="J1279" s="7" t="str">
        <f t="shared" ca="1" si="22"/>
        <v>(2026)</v>
      </c>
      <c r="K1279" s="7" t="str">
        <f t="shared" si="23"/>
        <v>34493585</v>
      </c>
      <c r="L1279" s="12" t="s">
        <v>6412</v>
      </c>
      <c r="M1279" s="13" t="str">
        <f ca="1">IFERROR(__xludf.DUMMYFUNCTION("TRIM(
  REGEXREPLACE(
    TEXTJOIN("" "",
      TRUE,
      B1279,
      C1279,
      embaralharLinks(E1279,F1279,G1279),
      H1279,
      """",
      J1279,
      N1279,
      ""#RIPNSFW""
    ),
  "",\s*"", "" "")
)"),"{New} Mini Loonaa https://doodstream.com/d/zim76s78umxw/34493585 https://streamtape.com/v/rbdog2Lagls3DO/34493585 https://lulustream.com/d/ocggy3dfjn7g (2026) #BigTits #Creampie #Hardcore #Bigass #RIPNSFW")</f>
        <v>{New} Mini Loonaa https://doodstream.com/d/zim76s78umxw/34493585 https://streamtape.com/v/rbdog2Lagls3DO/34493585 https://lulustream.com/d/ocggy3dfjn7g (2026) #BigTits #Creampie #Hardcore #Bigass #RIPNSFW</v>
      </c>
      <c r="N1279" s="14" t="s">
        <v>108</v>
      </c>
      <c r="O1279" s="15" t="s">
        <v>6413</v>
      </c>
      <c r="P1279" s="14"/>
      <c r="Q1279" s="6"/>
      <c r="R1279" s="11"/>
      <c r="S1279" s="6"/>
      <c r="T1279" s="6"/>
      <c r="U1279" s="6"/>
      <c r="V1279" s="6"/>
      <c r="W1279" s="6"/>
      <c r="X1279" s="6"/>
      <c r="Y1279" s="6"/>
      <c r="Z1279" s="6"/>
      <c r="AA1279" s="6"/>
    </row>
    <row r="1280" spans="1:27" ht="12.75">
      <c r="A1280" s="12" t="s">
        <v>6414</v>
      </c>
      <c r="B1280" s="6" t="s">
        <v>14</v>
      </c>
      <c r="C1280" s="7" t="str">
        <f t="shared" si="20"/>
        <v xml:space="preserve">Mini Loonaa </v>
      </c>
      <c r="D1280" s="24" t="s">
        <v>6415</v>
      </c>
      <c r="E1280" s="25" t="s">
        <v>6416</v>
      </c>
      <c r="F1280" s="9" t="str">
        <f ca="1">IFERROR(__xludf.DUMMYFUNCTION("""https://streamtape.com/v/""&amp;
REGEXEXTRACT(O1280,""/thumb/([^/]+)/"")&amp;
""/""&amp;K1280"),"https://streamtape.com/v/jla4kMLL8jHQQd/35538209")</f>
        <v>https://streamtape.com/v/jla4kMLL8jHQQd/35538209</v>
      </c>
      <c r="G1280" s="10" t="e">
        <f t="shared" ca="1" si="21"/>
        <v>#NAME?</v>
      </c>
      <c r="H1280" s="11" t="str">
        <f ca="1">IFERROR(__xludf.DUMMYFUNCTION("IFERROR(SUBSTITUTE(SUBSTITUTE(REGEXEXTRACT(A1280, ""[^-]+- [^-]+- [^-]+ - (.+?)\.jpg""), "".jpg"", """"), ""-"", "", ""), """")"),"")</f>
        <v/>
      </c>
      <c r="I1280" s="6"/>
      <c r="J1280" s="7" t="str">
        <f t="shared" ca="1" si="22"/>
        <v>(2026)</v>
      </c>
      <c r="K1280" s="7" t="str">
        <f t="shared" si="23"/>
        <v>35538209</v>
      </c>
      <c r="L1280" s="12" t="s">
        <v>1569</v>
      </c>
      <c r="M1280" s="13" t="str">
        <f ca="1">IFERROR(__xludf.DUMMYFUNCTION("TRIM(
  REGEXREPLACE(
    TEXTJOIN("" "",
      TRUE,
      B1280,
      C1280,
      embaralharLinks(E1280,F1280,G1280),
      H1280,
      """",
      J1280,
      N1280,
      ""#RIPNSFW""
    ),
  "",\s*"", "" "")
)"),"{New} Mini Loonaa https://streamtape.com/v/jla4kMLL8jHQQd/35538209 https://lulustream.com/d/4bczvnrg1paz https://doodstream.com/d/426nz4vmjvjv/35538209 (2026) #teen #bigtits #bigass #blowjob #RIPNSFW")</f>
        <v>{New} Mini Loonaa https://streamtape.com/v/jla4kMLL8jHQQd/35538209 https://lulustream.com/d/4bczvnrg1paz https://doodstream.com/d/426nz4vmjvjv/35538209 (2026) #teen #bigtits #bigass #blowjob #RIPNSFW</v>
      </c>
      <c r="N1280" s="2" t="s">
        <v>1569</v>
      </c>
      <c r="O1280" s="30" t="s">
        <v>6417</v>
      </c>
      <c r="P1280" s="26"/>
      <c r="R1280" s="23"/>
    </row>
    <row r="1281" spans="1:27" ht="12.75">
      <c r="A1281" s="12" t="s">
        <v>6418</v>
      </c>
      <c r="B1281" s="6" t="s">
        <v>14</v>
      </c>
      <c r="C1281" s="7" t="str">
        <f t="shared" si="20"/>
        <v xml:space="preserve">Mini Loonaa </v>
      </c>
      <c r="D1281" s="24" t="s">
        <v>6419</v>
      </c>
      <c r="E1281" s="25" t="s">
        <v>6420</v>
      </c>
      <c r="F1281" s="9" t="str">
        <f ca="1">IFERROR(__xludf.DUMMYFUNCTION("""https://streamtape.com/v/""&amp;
REGEXEXTRACT(O1281,""/thumb/([^/]+)/"")&amp;
""/""&amp;K1281"),"https://streamtape.com/v/Va40Mm9YYWhKd7V/35834297")</f>
        <v>https://streamtape.com/v/Va40Mm9YYWhKd7V/35834297</v>
      </c>
      <c r="G1281" s="10" t="e">
        <f t="shared" ca="1" si="21"/>
        <v>#NAME?</v>
      </c>
      <c r="H1281" s="11" t="str">
        <f ca="1">IFERROR(__xludf.DUMMYFUNCTION("IFERROR(SUBSTITUTE(SUBSTITUTE(REGEXEXTRACT(A1281, ""[^-]+- [^-]+- [^-]+ - (.+?)\.jpg""), "".jpg"", """"), ""-"", "", ""), """")"),"")</f>
        <v/>
      </c>
      <c r="I1281" s="6"/>
      <c r="J1281" s="7" t="str">
        <f t="shared" ca="1" si="22"/>
        <v>(2026)</v>
      </c>
      <c r="K1281" s="7" t="str">
        <f t="shared" si="23"/>
        <v>35834297</v>
      </c>
      <c r="L1281" s="12" t="s">
        <v>1478</v>
      </c>
      <c r="M1281" s="13" t="str">
        <f ca="1">IFERROR(__xludf.DUMMYFUNCTION("TRIM(
  REGEXREPLACE(
    TEXTJOIN("" "",
      TRUE,
      B1281,
      C1281,
      embaralharLinks(E1281,F1281,G1281),
      H1281,
      """",
      J1281,
      N1281,
      ""#RIPNSFW""
    ),
  "",\s*"", "" "")
)"),"{New} Mini Loonaa https://streamtape.com/v/Va40Mm9YYWhKd7V/35834297 https://doodstream.com/d/xcg7mgc2zxg8/35834297 https://lulustream.com/d/3ih30nbkyws3 (2026) #milf #blowjob #bigtits #bigass #RIPNSFW")</f>
        <v>{New} Mini Loonaa https://streamtape.com/v/Va40Mm9YYWhKd7V/35834297 https://doodstream.com/d/xcg7mgc2zxg8/35834297 https://lulustream.com/d/3ih30nbkyws3 (2026) #milf #blowjob #bigtits #bigass #RIPNSFW</v>
      </c>
      <c r="N1281" s="2" t="s">
        <v>1478</v>
      </c>
      <c r="O1281" s="30" t="s">
        <v>6421</v>
      </c>
      <c r="P1281" s="26"/>
      <c r="R1281" s="23"/>
    </row>
    <row r="1282" spans="1:27" ht="12.75">
      <c r="A1282" s="6" t="s">
        <v>6422</v>
      </c>
      <c r="B1282" s="6" t="s">
        <v>14</v>
      </c>
      <c r="C1282" s="7" t="str">
        <f t="shared" si="20"/>
        <v xml:space="preserve">Mini Loonaa </v>
      </c>
      <c r="D1282" s="6" t="s">
        <v>6423</v>
      </c>
      <c r="E1282" s="8" t="s">
        <v>6424</v>
      </c>
      <c r="F1282" s="9" t="str">
        <f ca="1">IFERROR(__xludf.DUMMYFUNCTION("""https://streamtape.com/v/""&amp;
REGEXEXTRACT(O1282,""/thumb/([^/]+)/"")&amp;
""/""&amp;K1282"),"https://streamtape.com/v/BvyAzG7d0AUW1L/49583813")</f>
        <v>https://streamtape.com/v/BvyAzG7d0AUW1L/49583813</v>
      </c>
      <c r="G1282" s="10" t="e">
        <f t="shared" ca="1" si="21"/>
        <v>#NAME?</v>
      </c>
      <c r="H1282" s="11" t="str">
        <f ca="1">IFERROR(__xludf.DUMMYFUNCTION("IFERROR(SUBSTITUTE(SUBSTITUTE(REGEXEXTRACT(A1282, ""[^-]+- [^-]+- [^-]+ - (.+?)\.jpg""), "".jpg"", """"), ""-"", "", ""), """")"),"")</f>
        <v/>
      </c>
      <c r="I1282" s="6"/>
      <c r="J1282" s="7" t="str">
        <f t="shared" ca="1" si="22"/>
        <v>(2026)</v>
      </c>
      <c r="K1282" s="7" t="str">
        <f t="shared" si="23"/>
        <v>49583813</v>
      </c>
      <c r="L1282" s="12" t="s">
        <v>6425</v>
      </c>
      <c r="M1282" s="13" t="str">
        <f ca="1">IFERROR(__xludf.DUMMYFUNCTION("TRIM(
  REGEXREPLACE(
    TEXTJOIN("" "",
      TRUE,
      B1282,
      C1282,
      embaralharLinks(E1282,F1282,G1282),
      H1282,
      """",
      J1282,
      N1282,
      ""#RIPNSFW""
    ),
  "",\s*"", "" "")
)"),"{New} Mini Loonaa https://doodstream.com/d/1cynmnfhsx9r/49583813 https://streamtape.com/v/BvyAzG7d0AUW1L/49583813 https://lulustream.com/d/3smkn239k5ln (2026) #BigTits #Bigass #Teen #Blowjob #RIPNSFW")</f>
        <v>{New} Mini Loonaa https://doodstream.com/d/1cynmnfhsx9r/49583813 https://streamtape.com/v/BvyAzG7d0AUW1L/49583813 https://lulustream.com/d/3smkn239k5ln (2026) #BigTits #Bigass #Teen #Blowjob #RIPNSFW</v>
      </c>
      <c r="N1282" s="14" t="s">
        <v>82</v>
      </c>
      <c r="O1282" s="15" t="s">
        <v>6426</v>
      </c>
      <c r="P1282" s="14"/>
      <c r="Q1282" s="6"/>
      <c r="R1282" s="11"/>
      <c r="S1282" s="6"/>
      <c r="T1282" s="6"/>
      <c r="U1282" s="6"/>
      <c r="V1282" s="6"/>
      <c r="W1282" s="6"/>
      <c r="X1282" s="6"/>
      <c r="Y1282" s="6"/>
      <c r="Z1282" s="6"/>
      <c r="AA1282" s="6"/>
    </row>
    <row r="1283" spans="1:27" ht="12.75">
      <c r="A1283" s="12" t="s">
        <v>6427</v>
      </c>
      <c r="B1283" s="6" t="s">
        <v>14</v>
      </c>
      <c r="C1283" s="7" t="str">
        <f t="shared" si="20"/>
        <v xml:space="preserve">Mini Loonaa </v>
      </c>
      <c r="D1283" s="24" t="s">
        <v>6428</v>
      </c>
      <c r="E1283" s="25" t="s">
        <v>6429</v>
      </c>
      <c r="F1283" s="9" t="str">
        <f ca="1">IFERROR(__xludf.DUMMYFUNCTION("""https://streamtape.com/v/""&amp;
REGEXEXTRACT(O1283,""/thumb/([^/]+)/"")&amp;
""/""&amp;K1283"),"https://streamtape.com/v/3992ZjR8pPhAMG/64264764")</f>
        <v>https://streamtape.com/v/3992ZjR8pPhAMG/64264764</v>
      </c>
      <c r="G1283" s="10" t="e">
        <f t="shared" ca="1" si="21"/>
        <v>#NAME?</v>
      </c>
      <c r="H1283" s="11" t="str">
        <f ca="1">IFERROR(__xludf.DUMMYFUNCTION("IFERROR(SUBSTITUTE(SUBSTITUTE(REGEXEXTRACT(A1283, ""[^-]+- [^-]+- [^-]+ - (.+?)\.jpg""), "".jpg"", """"), ""-"", "", ""), """")"),"")</f>
        <v/>
      </c>
      <c r="I1283" s="6"/>
      <c r="J1283" s="7" t="str">
        <f t="shared" ca="1" si="22"/>
        <v>(2026)</v>
      </c>
      <c r="K1283" s="7" t="str">
        <f t="shared" si="23"/>
        <v>64264764</v>
      </c>
      <c r="L1283" s="12" t="s">
        <v>1738</v>
      </c>
      <c r="M1283" s="13" t="str">
        <f ca="1">IFERROR(__xludf.DUMMYFUNCTION("TRIM(
  REGEXREPLACE(
    TEXTJOIN("" "",
      TRUE,
      B1283,
      C1283,
      embaralharLinks(E1283,F1283,G1283),
      H1283,
      """",
      J1283,
      N1283,
      ""#RIPNSFW""
    ),
  "",\s*"", "" "")
)"),"{New} Mini Loonaa https://doodstream.com/d/k5e9hxluvsrt/64264764 https://streamtape.com/v/3992ZjR8pPhAMG/64264764 https://lulustream.com/d/fu45w0z9dkow (2026) #teen #bigtits #blowjob #bigass #RIPNSFW")</f>
        <v>{New} Mini Loonaa https://doodstream.com/d/k5e9hxluvsrt/64264764 https://streamtape.com/v/3992ZjR8pPhAMG/64264764 https://lulustream.com/d/fu45w0z9dkow (2026) #teen #bigtits #blowjob #bigass #RIPNSFW</v>
      </c>
      <c r="N1283" s="2" t="s">
        <v>1738</v>
      </c>
      <c r="O1283" s="30" t="s">
        <v>6430</v>
      </c>
      <c r="P1283" s="26"/>
      <c r="R1283" s="23"/>
    </row>
    <row r="1284" spans="1:27" ht="12.75">
      <c r="A1284" s="12" t="s">
        <v>6431</v>
      </c>
      <c r="B1284" s="6" t="s">
        <v>14</v>
      </c>
      <c r="C1284" s="7" t="str">
        <f t="shared" si="20"/>
        <v xml:space="preserve">Mini Loonaa </v>
      </c>
      <c r="D1284" s="24" t="s">
        <v>6432</v>
      </c>
      <c r="E1284" s="25" t="s">
        <v>6433</v>
      </c>
      <c r="F1284" s="9" t="str">
        <f ca="1">IFERROR(__xludf.DUMMYFUNCTION("""https://streamtape.com/v/""&amp;
REGEXEXTRACT(O1284,""/thumb/([^/]+)/"")&amp;
""/""&amp;K1284"),"https://streamtape.com/v/aG1xDRk8AxTxK2D/71137386")</f>
        <v>https://streamtape.com/v/aG1xDRk8AxTxK2D/71137386</v>
      </c>
      <c r="G1284" s="10" t="e">
        <f t="shared" ca="1" si="21"/>
        <v>#NAME?</v>
      </c>
      <c r="H1284" s="11" t="str">
        <f ca="1">IFERROR(__xludf.DUMMYFUNCTION("IFERROR(SUBSTITUTE(SUBSTITUTE(REGEXEXTRACT(A1284, ""[^-]+- [^-]+- [^-]+ - (.+?)\.jpg""), "".jpg"", """"), ""-"", "", ""), """")"),"")</f>
        <v/>
      </c>
      <c r="I1284" s="6"/>
      <c r="J1284" s="7" t="str">
        <f t="shared" ca="1" si="22"/>
        <v>(2026)</v>
      </c>
      <c r="K1284" s="7" t="str">
        <f t="shared" si="23"/>
        <v>71137386</v>
      </c>
      <c r="L1284" s="12" t="s">
        <v>6434</v>
      </c>
      <c r="M1284" s="13" t="str">
        <f ca="1">IFERROR(__xludf.DUMMYFUNCTION("TRIM(
  REGEXREPLACE(
    TEXTJOIN("" "",
      TRUE,
      B1284,
      C1284,
      embaralharLinks(E1284,F1284,G1284),
      H1284,
      """",
      J1284,
      N1284,
      ""#RIPNSFW""
    ),
  "",\s*"", "" "")
)"),"{New} Mini Loonaa https://streamtape.com/v/aG1xDRk8AxTxK2D/71137386 https://doodstream.com/d/6v6i6535ph1h/71137386 https://lulustream.com/d/efyxnml91vmj (2026) #teen #bigtits #threessome #blowjob #RIPNSFW")</f>
        <v>{New} Mini Loonaa https://streamtape.com/v/aG1xDRk8AxTxK2D/71137386 https://doodstream.com/d/6v6i6535ph1h/71137386 https://lulustream.com/d/efyxnml91vmj (2026) #teen #bigtits #threessome #blowjob #RIPNSFW</v>
      </c>
      <c r="N1284" s="2" t="s">
        <v>6434</v>
      </c>
      <c r="O1284" s="30" t="s">
        <v>6435</v>
      </c>
      <c r="P1284" s="26"/>
      <c r="R1284" s="23"/>
    </row>
    <row r="1285" spans="1:27" ht="12.75">
      <c r="A1285" s="6" t="s">
        <v>6436</v>
      </c>
      <c r="B1285" s="6" t="s">
        <v>14</v>
      </c>
      <c r="C1285" s="7" t="str">
        <f t="shared" si="20"/>
        <v xml:space="preserve">Mini Loonaa </v>
      </c>
      <c r="D1285" s="6" t="s">
        <v>6437</v>
      </c>
      <c r="E1285" s="8" t="s">
        <v>6438</v>
      </c>
      <c r="F1285" s="9" t="str">
        <f ca="1">IFERROR(__xludf.DUMMYFUNCTION("""https://streamtape.com/v/""&amp;
REGEXEXTRACT(O1285,""/thumb/([^/]+)/"")&amp;
""/""&amp;K1285"),"https://streamtape.com/v/r0MG6bjKG3Ub0JK/89805685")</f>
        <v>https://streamtape.com/v/r0MG6bjKG3Ub0JK/89805685</v>
      </c>
      <c r="G1285" s="10" t="e">
        <f t="shared" ca="1" si="21"/>
        <v>#NAME?</v>
      </c>
      <c r="H1285" s="11" t="str">
        <f ca="1">IFERROR(__xludf.DUMMYFUNCTION("IFERROR(SUBSTITUTE(SUBSTITUTE(REGEXEXTRACT(A1285, ""[^-]+- [^-]+- [^-]+ - (.+?)\.jpg""), "".jpg"", """"), ""-"", "", ""), """")"),"")</f>
        <v/>
      </c>
      <c r="I1285" s="6"/>
      <c r="J1285" s="7" t="str">
        <f t="shared" ca="1" si="22"/>
        <v>(2026)</v>
      </c>
      <c r="K1285" s="7" t="str">
        <f t="shared" si="23"/>
        <v>89805685</v>
      </c>
      <c r="L1285" s="12" t="s">
        <v>6439</v>
      </c>
      <c r="M1285" s="13" t="str">
        <f ca="1">IFERROR(__xludf.DUMMYFUNCTION("TRIM(
  REGEXREPLACE(
    TEXTJOIN("" "",
      TRUE,
      B1285,
      C1285,
      embaralharLinks(E1285,F1285,G1285),
      H1285,
      """",
      J1285,
      N1285,
      ""#RIPNSFW""
    ),
  "",\s*"", "" "")
)"),"{New} Mini Loonaa https://doodstream.com/d/q4kcb8p6oete/89805685 https://lulustream.com/d/w7cirrj4bxse https://streamtape.com/v/r0MG6bjKG3Ub0JK/89805685 (2026) #BigTits #Hardcore #Bigass #Teen #Blowjob #Amateur #Hotwife #RIPNSFW")</f>
        <v>{New} Mini Loonaa https://doodstream.com/d/q4kcb8p6oete/89805685 https://lulustream.com/d/w7cirrj4bxse https://streamtape.com/v/r0MG6bjKG3Ub0JK/89805685 (2026) #BigTits #Hardcore #Bigass #Teen #Blowjob #Amateur #Hotwife #RIPNSFW</v>
      </c>
      <c r="N1285" s="14" t="s">
        <v>6440</v>
      </c>
      <c r="O1285" s="15" t="s">
        <v>6441</v>
      </c>
      <c r="P1285" s="14"/>
      <c r="Q1285" s="6"/>
      <c r="R1285" s="11"/>
      <c r="S1285" s="6"/>
      <c r="T1285" s="6"/>
      <c r="U1285" s="6"/>
      <c r="V1285" s="6"/>
      <c r="W1285" s="6"/>
      <c r="X1285" s="6"/>
      <c r="Y1285" s="6"/>
      <c r="Z1285" s="6"/>
      <c r="AA1285" s="6"/>
    </row>
    <row r="1286" spans="1:27" ht="12.75">
      <c r="A1286" s="12" t="s">
        <v>6442</v>
      </c>
      <c r="B1286" s="6" t="s">
        <v>14</v>
      </c>
      <c r="C1286" s="7" t="str">
        <f t="shared" si="20"/>
        <v xml:space="preserve">Misty </v>
      </c>
      <c r="D1286" s="27" t="s">
        <v>6443</v>
      </c>
      <c r="E1286" s="28" t="s">
        <v>6444</v>
      </c>
      <c r="F1286" s="9" t="str">
        <f ca="1">IFERROR(__xludf.DUMMYFUNCTION("""https://streamtape.com/v/""&amp;
REGEXEXTRACT(O1286,""/thumb/([^/]+)/"")&amp;
""/""&amp;K1286"),"https://streamtape.com/v/kqeW6OJ6rQUOJr1/77897391")</f>
        <v>https://streamtape.com/v/kqeW6OJ6rQUOJr1/77897391</v>
      </c>
      <c r="G1286" s="10" t="e">
        <f t="shared" ca="1" si="21"/>
        <v>#NAME?</v>
      </c>
      <c r="H1286" s="11" t="str">
        <f ca="1">IFERROR(__xludf.DUMMYFUNCTION("IFERROR(SUBSTITUTE(SUBSTITUTE(REGEXEXTRACT(A1286, ""[^-]+- [^-]+- [^-]+ - (.+?)\.jpg""), "".jpg"", """"), ""-"", "", ""), """")"),"")</f>
        <v/>
      </c>
      <c r="I1286" s="6"/>
      <c r="J1286" s="7" t="str">
        <f t="shared" ca="1" si="22"/>
        <v>(2026)</v>
      </c>
      <c r="K1286" s="7" t="str">
        <f t="shared" si="23"/>
        <v>77897391</v>
      </c>
      <c r="L1286" s="12" t="s">
        <v>6445</v>
      </c>
      <c r="M1286" s="13" t="str">
        <f ca="1">IFERROR(__xludf.DUMMYFUNCTION("TRIM(
  REGEXREPLACE(
    TEXTJOIN("" "",
      TRUE,
      B1286,
      C1286,
      embaralharLinks(E1286,F1286,G1286),
      H1286,
      """",
      J1286,
      N1286,
      ""#RIPNSFW""
    ),
  "",\s*"", "" "")
)"),"{New} Misty https://lulustream.com/d/1fo4c3cwqoa5 https://doodstream.com/d/f26f32pzlcmj/77897391 https://streamtape.com/v/kqeW6OJ6rQUOJr1/77897391 (2026) #Anal #MILF #BigTits #Creampie #RIPNSFW")</f>
        <v>{New} Misty https://lulustream.com/d/1fo4c3cwqoa5 https://doodstream.com/d/f26f32pzlcmj/77897391 https://streamtape.com/v/kqeW6OJ6rQUOJr1/77897391 (2026) #Anal #MILF #BigTits #Creampie #RIPNSFW</v>
      </c>
      <c r="N1286" s="2" t="s">
        <v>6446</v>
      </c>
      <c r="O1286" s="30" t="s">
        <v>6447</v>
      </c>
      <c r="P1286" s="26"/>
      <c r="R1286" s="23"/>
    </row>
    <row r="1287" spans="1:27" ht="12.75">
      <c r="A1287" s="12" t="s">
        <v>6448</v>
      </c>
      <c r="B1287" s="6" t="s">
        <v>14</v>
      </c>
      <c r="C1287" s="7" t="str">
        <f t="shared" si="20"/>
        <v xml:space="preserve">Nakedbarbiedoll </v>
      </c>
      <c r="D1287" s="24" t="s">
        <v>6449</v>
      </c>
      <c r="E1287" s="25" t="s">
        <v>6450</v>
      </c>
      <c r="F1287" s="9" t="str">
        <f ca="1">IFERROR(__xludf.DUMMYFUNCTION("""https://streamtape.com/v/""&amp;
REGEXEXTRACT(O1287,""/thumb/([^/]+)/"")&amp;
""/""&amp;K1287"),"https://streamtape.com/v/RwzVPeJQo4hdPRg/24627046")</f>
        <v>https://streamtape.com/v/RwzVPeJQo4hdPRg/24627046</v>
      </c>
      <c r="G1287" s="10" t="e">
        <f t="shared" ca="1" si="21"/>
        <v>#NAME?</v>
      </c>
      <c r="H1287" s="11" t="str">
        <f ca="1">IFERROR(__xludf.DUMMYFUNCTION("IFERROR(SUBSTITUTE(SUBSTITUTE(REGEXEXTRACT(A1287, ""[^-]+- [^-]+- [^-]+ - (.+?)\.jpg""), "".jpg"", """"), ""-"", "", ""), """")"),"")</f>
        <v/>
      </c>
      <c r="I1287" s="6"/>
      <c r="J1287" s="7" t="str">
        <f t="shared" ca="1" si="22"/>
        <v>(2026)</v>
      </c>
      <c r="K1287" s="7" t="str">
        <f t="shared" si="23"/>
        <v>24627046</v>
      </c>
      <c r="L1287" s="12" t="s">
        <v>6451</v>
      </c>
      <c r="M1287" s="13" t="str">
        <f ca="1">IFERROR(__xludf.DUMMYFUNCTION("TRIM(
  REGEXREPLACE(
    TEXTJOIN("" "",
      TRUE,
      B1287,
      C1287,
      embaralharLinks(E1287,F1287,G1287),
      H1287,
      """",
      J1287,
      N1287,
      ""#RIPNSFW""
    ),
  "",\s*"", "" "")
)"),"{New} Nakedbarbiedoll https://streamtape.com/v/RwzVPeJQo4hdPRg/24627046 https://doodstream.com/d/j4tho068fivh/24627046 https://lulustream.com/d/ot0m3tqv8bft (2026) #bigtits #blowjob #redhead #amateur #RIPNSFW")</f>
        <v>{New} Nakedbarbiedoll https://streamtape.com/v/RwzVPeJQo4hdPRg/24627046 https://doodstream.com/d/j4tho068fivh/24627046 https://lulustream.com/d/ot0m3tqv8bft (2026) #bigtits #blowjob #redhead #amateur #RIPNSFW</v>
      </c>
      <c r="N1287" s="2" t="s">
        <v>6451</v>
      </c>
      <c r="O1287" s="30" t="s">
        <v>6452</v>
      </c>
      <c r="P1287" s="26"/>
      <c r="R1287" s="23"/>
      <c r="T1287" s="6"/>
      <c r="U1287" s="7"/>
    </row>
    <row r="1288" spans="1:27" ht="12.75">
      <c r="A1288" s="6" t="s">
        <v>6453</v>
      </c>
      <c r="B1288" s="6" t="s">
        <v>14</v>
      </c>
      <c r="C1288" s="7" t="str">
        <f t="shared" si="20"/>
        <v xml:space="preserve">Natalia Starr </v>
      </c>
      <c r="D1288" s="6" t="s">
        <v>6454</v>
      </c>
      <c r="E1288" s="8" t="s">
        <v>6455</v>
      </c>
      <c r="F1288" s="9" t="str">
        <f ca="1">IFERROR(__xludf.DUMMYFUNCTION("""https://streamtape.com/v/""&amp;
REGEXEXTRACT(O1288,""/thumb/([^/]+)/"")&amp;
""/""&amp;K1288"),"https://streamtape.com/v/adBep8Qe7yCx3A7/10215923")</f>
        <v>https://streamtape.com/v/adBep8Qe7yCx3A7/10215923</v>
      </c>
      <c r="G1288" s="10" t="e">
        <f t="shared" ca="1" si="21"/>
        <v>#NAME?</v>
      </c>
      <c r="H1288" s="11" t="str">
        <f ca="1">IFERROR(__xludf.DUMMYFUNCTION("IFERROR(SUBSTITUTE(SUBSTITUTE(REGEXEXTRACT(A1288, ""[^-]+- [^-]+- [^-]+ - (.+?)\.jpg""), "".jpg"", """"), ""-"", "", ""), """")"),"Lena the plug")</f>
        <v>Lena the plug</v>
      </c>
      <c r="I1288" s="6"/>
      <c r="J1288" s="7" t="str">
        <f t="shared" ca="1" si="22"/>
        <v>(2026)</v>
      </c>
      <c r="K1288" s="7" t="str">
        <f t="shared" si="23"/>
        <v>10215923</v>
      </c>
      <c r="L1288" s="12" t="s">
        <v>6456</v>
      </c>
      <c r="M1288" s="13" t="str">
        <f ca="1">IFERROR(__xludf.DUMMYFUNCTION("TRIM(
  REGEXREPLACE(
    TEXTJOIN("" "",
      TRUE,
      B1288,
      C1288,
      embaralharLinks(E1288,F1288,G1288),
      H1288,
      """",
      J1288,
      N1288,
      ""#RIPNSFW""
    ),
  "",\s*"", "" "")
)"),"{New} Natalia Starr https://lulustream.com/d/i9u43yhapshm https://doodstream.com/d/af1lqail32m8/10215923 https://streamtape.com/v/adBep8Qe7yCx3A7/10215923 Lena the plug (2026) #MILF #BigTits #Hardcore #Threesome #Bigass #Blowjob #Amateur #RIPNSFW")</f>
        <v>{New} Natalia Starr https://lulustream.com/d/i9u43yhapshm https://doodstream.com/d/af1lqail32m8/10215923 https://streamtape.com/v/adBep8Qe7yCx3A7/10215923 Lena the plug (2026) #MILF #BigTits #Hardcore #Threesome #Bigass #Blowjob #Amateur #RIPNSFW</v>
      </c>
      <c r="N1288" s="14" t="s">
        <v>6457</v>
      </c>
      <c r="O1288" s="15" t="s">
        <v>6458</v>
      </c>
      <c r="P1288" s="14"/>
      <c r="Q1288" s="6"/>
      <c r="R1288" s="11"/>
      <c r="S1288" s="6"/>
      <c r="T1288" s="6"/>
      <c r="U1288" s="6"/>
      <c r="V1288" s="6"/>
      <c r="W1288" s="6"/>
      <c r="X1288" s="6"/>
      <c r="Y1288" s="6"/>
      <c r="Z1288" s="6"/>
      <c r="AA1288" s="6"/>
    </row>
    <row r="1289" spans="1:27" ht="12.75">
      <c r="A1289" s="6" t="s">
        <v>6459</v>
      </c>
      <c r="B1289" s="6" t="s">
        <v>14</v>
      </c>
      <c r="C1289" s="7" t="str">
        <f t="shared" si="20"/>
        <v xml:space="preserve">Natasha Nice </v>
      </c>
      <c r="D1289" s="24" t="s">
        <v>6460</v>
      </c>
      <c r="E1289" s="25" t="s">
        <v>6461</v>
      </c>
      <c r="F1289" s="9" t="str">
        <f ca="1">IFERROR(__xludf.DUMMYFUNCTION("""https://streamtape.com/v/""&amp;
REGEXEXTRACT(O1289,""/thumb/([^/]+)/"")&amp;
""/""&amp;K1289"),"https://streamtape.com/v/yM69KJKQD7i1QVe/24690414")</f>
        <v>https://streamtape.com/v/yM69KJKQD7i1QVe/24690414</v>
      </c>
      <c r="G1289" s="10" t="e">
        <f t="shared" ca="1" si="21"/>
        <v>#NAME?</v>
      </c>
      <c r="H1289" s="11" t="str">
        <f ca="1">IFERROR(__xludf.DUMMYFUNCTION("IFERROR(SUBSTITUTE(SUBSTITUTE(REGEXEXTRACT(A1289, ""[^-]+- [^-]+- [^-]+ - (.+?)\.jpg""), "".jpg"", """"), ""-"", "", ""), """")"),"")</f>
        <v/>
      </c>
      <c r="I1289" s="6"/>
      <c r="J1289" s="7" t="str">
        <f t="shared" ca="1" si="22"/>
        <v>(2026)</v>
      </c>
      <c r="K1289" s="7" t="str">
        <f t="shared" si="23"/>
        <v>24690414</v>
      </c>
      <c r="L1289" s="12" t="s">
        <v>2909</v>
      </c>
      <c r="M1289" s="13" t="str">
        <f ca="1">IFERROR(__xludf.DUMMYFUNCTION("TRIM(
  REGEXREPLACE(
    TEXTJOIN("" "",
      TRUE,
      B1289,
      C1289,
      embaralharLinks(E1289,F1289,G1289),
      H1289,
      """",
      J1289,
      N1289,
      ""#RIPNSFW""
    ),
  "",\s*"", "" "")
)"),"{New} Natasha Nice https://lulustream.com/d/z8ygel4k7ruz https://streamtape.com/v/yM69KJKQD7i1QVe/24690414 https://doodstream.com/d/h14cpj17mqbf/24690414 (2026) #milf #threesome #bigtits #bigass #RIPNSFW")</f>
        <v>{New} Natasha Nice https://lulustream.com/d/z8ygel4k7ruz https://streamtape.com/v/yM69KJKQD7i1QVe/24690414 https://doodstream.com/d/h14cpj17mqbf/24690414 (2026) #milf #threesome #bigtits #bigass #RIPNSFW</v>
      </c>
      <c r="N1289" s="31" t="s">
        <v>2909</v>
      </c>
      <c r="O1289" s="32" t="s">
        <v>6462</v>
      </c>
      <c r="P1289" s="26"/>
      <c r="Q1289" s="6"/>
      <c r="R1289" s="11"/>
      <c r="S1289" s="6"/>
      <c r="T1289" s="6"/>
      <c r="U1289" s="6"/>
      <c r="V1289" s="6"/>
      <c r="W1289" s="6"/>
      <c r="X1289" s="6"/>
      <c r="Y1289" s="6"/>
      <c r="Z1289" s="6"/>
      <c r="AA1289" s="6"/>
    </row>
    <row r="1290" spans="1:27" ht="12.75">
      <c r="A1290" s="6" t="s">
        <v>6463</v>
      </c>
      <c r="B1290" s="6" t="s">
        <v>14</v>
      </c>
      <c r="C1290" s="7" t="str">
        <f t="shared" si="20"/>
        <v xml:space="preserve">Natasha Nice </v>
      </c>
      <c r="D1290" s="6" t="s">
        <v>6464</v>
      </c>
      <c r="E1290" s="8" t="s">
        <v>6465</v>
      </c>
      <c r="F1290" s="9" t="str">
        <f ca="1">IFERROR(__xludf.DUMMYFUNCTION("""https://streamtape.com/v/""&amp;
REGEXEXTRACT(O1290,""/thumb/([^/]+)/"")&amp;
""/""&amp;K1290"),"https://streamtape.com/v/dQKzG86pJdSkmLm/25140577")</f>
        <v>https://streamtape.com/v/dQKzG86pJdSkmLm/25140577</v>
      </c>
      <c r="G1290" s="10" t="e">
        <f t="shared" ca="1" si="21"/>
        <v>#NAME?</v>
      </c>
      <c r="H1290" s="11" t="str">
        <f ca="1">IFERROR(__xludf.DUMMYFUNCTION("IFERROR(SUBSTITUTE(SUBSTITUTE(REGEXEXTRACT(A1290, ""[^-]+- [^-]+- [^-]+ - (.+?)\.jpg""), "".jpg"", """"), ""-"", "", ""), """")"),"")</f>
        <v/>
      </c>
      <c r="I1290" s="6"/>
      <c r="J1290" s="7" t="str">
        <f t="shared" ca="1" si="22"/>
        <v>(2026)</v>
      </c>
      <c r="K1290" s="7" t="str">
        <f t="shared" si="23"/>
        <v>25140577</v>
      </c>
      <c r="L1290" s="12" t="s">
        <v>6466</v>
      </c>
      <c r="M1290" s="13" t="str">
        <f ca="1">IFERROR(__xludf.DUMMYFUNCTION("TRIM(
  REGEXREPLACE(
    TEXTJOIN("" "",
      TRUE,
      B1290,
      C1290,
      embaralharLinks(E1290,F1290,G1290),
      H1290,
      """",
      J1290,
      N1290,
      ""#RIPNSFW""
    ),
  "",\s*"", "" "")
)"),"{New} Natasha Nice https://lulustream.com/d/6oiu5os9kkr9 https://streamtape.com/v/dQKzG86pJdSkmLm/25140577 https://doodstream.com/d/jgqqyqnsht30/25140577 (2026) #MILF #BigTits #Hardcore #Black #Interracial #Bigass #Blowjob #Amateur #RIPNSFW")</f>
        <v>{New} Natasha Nice https://lulustream.com/d/6oiu5os9kkr9 https://streamtape.com/v/dQKzG86pJdSkmLm/25140577 https://doodstream.com/d/jgqqyqnsht30/25140577 (2026) #MILF #BigTits #Hardcore #Black #Interracial #Bigass #Blowjob #Amateur #RIPNSFW</v>
      </c>
      <c r="N1290" s="14" t="s">
        <v>4390</v>
      </c>
      <c r="O1290" s="15" t="s">
        <v>6467</v>
      </c>
      <c r="P1290" s="14"/>
      <c r="Q1290" s="6"/>
      <c r="R1290" s="11"/>
      <c r="S1290" s="6"/>
      <c r="T1290" s="6"/>
      <c r="U1290" s="6"/>
      <c r="V1290" s="6"/>
      <c r="W1290" s="6"/>
      <c r="X1290" s="6"/>
      <c r="Y1290" s="6"/>
      <c r="Z1290" s="6"/>
      <c r="AA1290" s="6"/>
    </row>
    <row r="1291" spans="1:27" ht="12.75">
      <c r="A1291" s="6" t="s">
        <v>6468</v>
      </c>
      <c r="B1291" s="6" t="s">
        <v>14</v>
      </c>
      <c r="C1291" s="7" t="str">
        <f t="shared" si="20"/>
        <v xml:space="preserve">Natasha Nice </v>
      </c>
      <c r="D1291" s="6" t="s">
        <v>6469</v>
      </c>
      <c r="E1291" s="8" t="s">
        <v>6470</v>
      </c>
      <c r="F1291" s="9" t="str">
        <f ca="1">IFERROR(__xludf.DUMMYFUNCTION("""https://streamtape.com/v/""&amp;
REGEXEXTRACT(O1291,""/thumb/([^/]+)/"")&amp;
""/""&amp;K1291"),"https://streamtape.com/v/mOldRkePZLTMwe/45413400")</f>
        <v>https://streamtape.com/v/mOldRkePZLTMwe/45413400</v>
      </c>
      <c r="G1291" s="10" t="e">
        <f t="shared" ca="1" si="21"/>
        <v>#NAME?</v>
      </c>
      <c r="H1291" s="11" t="str">
        <f ca="1">IFERROR(__xludf.DUMMYFUNCTION("IFERROR(SUBSTITUTE(SUBSTITUTE(REGEXEXTRACT(A1291, ""[^-]+- [^-]+- [^-]+ - (.+?)\.jpg""), "".jpg"", """"), ""-"", "", ""), """")"),"")</f>
        <v/>
      </c>
      <c r="I1291" s="6"/>
      <c r="J1291" s="7" t="str">
        <f t="shared" ca="1" si="22"/>
        <v>(2026)</v>
      </c>
      <c r="K1291" s="7" t="str">
        <f t="shared" si="23"/>
        <v>45413400</v>
      </c>
      <c r="L1291" s="12" t="s">
        <v>6471</v>
      </c>
      <c r="M1291" s="13" t="str">
        <f ca="1">IFERROR(__xludf.DUMMYFUNCTION("TRIM(
  REGEXREPLACE(
    TEXTJOIN("" "",
      TRUE,
      B1291,
      C1291,
      embaralharLinks(E1291,F1291,G1291),
      H1291,
      """",
      J1291,
      N1291,
      ""#RIPNSFW""
    ),
  "",\s*"", "" "")
)"),"{New} Natasha Nice https://doodstream.com/d/nccksko7tdr0/45413400 https://lulustream.com/d/3eomqxggbtf1 https://streamtape.com/v/mOldRkePZLTMwe/45413400 (2026) #MILF #BigTits #Hardcore #Bigass #Porn #Blowjob #RIPNSFW")</f>
        <v>{New} Natasha Nice https://doodstream.com/d/nccksko7tdr0/45413400 https://lulustream.com/d/3eomqxggbtf1 https://streamtape.com/v/mOldRkePZLTMwe/45413400 (2026) #MILF #BigTits #Hardcore #Bigass #Porn #Blowjob #RIPNSFW</v>
      </c>
      <c r="N1291" s="14" t="s">
        <v>4780</v>
      </c>
      <c r="O1291" s="15" t="s">
        <v>6472</v>
      </c>
      <c r="P1291" s="14"/>
      <c r="Q1291" s="6"/>
      <c r="R1291" s="11"/>
      <c r="S1291" s="6"/>
      <c r="T1291" s="6"/>
      <c r="U1291" s="6"/>
      <c r="V1291" s="6"/>
      <c r="W1291" s="6"/>
      <c r="X1291" s="6"/>
      <c r="Y1291" s="6"/>
      <c r="Z1291" s="6"/>
      <c r="AA1291" s="6"/>
    </row>
    <row r="1292" spans="1:27" ht="12.75">
      <c r="A1292" s="6" t="s">
        <v>6473</v>
      </c>
      <c r="B1292" s="6" t="s">
        <v>14</v>
      </c>
      <c r="C1292" s="7" t="str">
        <f t="shared" si="20"/>
        <v xml:space="preserve">Natasha Nice </v>
      </c>
      <c r="D1292" s="24" t="s">
        <v>6474</v>
      </c>
      <c r="E1292" s="25" t="s">
        <v>6475</v>
      </c>
      <c r="F1292" s="9" t="str">
        <f ca="1">IFERROR(__xludf.DUMMYFUNCTION("""https://streamtape.com/v/""&amp;
REGEXEXTRACT(O1292,""/thumb/([^/]+)/"")&amp;
""/""&amp;K1292"),"https://streamtape.com/v/ZwdQZelmGXtMg4/50308482")</f>
        <v>https://streamtape.com/v/ZwdQZelmGXtMg4/50308482</v>
      </c>
      <c r="G1292" s="10" t="e">
        <f t="shared" ca="1" si="21"/>
        <v>#NAME?</v>
      </c>
      <c r="H1292" s="11" t="str">
        <f ca="1">IFERROR(__xludf.DUMMYFUNCTION("IFERROR(SUBSTITUTE(SUBSTITUTE(REGEXEXTRACT(A1292, ""[^-]+- [^-]+- [^-]+ - (.+?)\.jpg""), "".jpg"", """"), ""-"", "", ""), """")"),"")</f>
        <v/>
      </c>
      <c r="I1292" s="6"/>
      <c r="J1292" s="7" t="str">
        <f t="shared" ca="1" si="22"/>
        <v>(2026)</v>
      </c>
      <c r="K1292" s="7" t="str">
        <f t="shared" si="23"/>
        <v>50308482</v>
      </c>
      <c r="L1292" s="12" t="s">
        <v>1462</v>
      </c>
      <c r="M1292" s="13" t="str">
        <f ca="1">IFERROR(__xludf.DUMMYFUNCTION("TRIM(
  REGEXREPLACE(
    TEXTJOIN("" "",
      TRUE,
      B1292,
      C1292,
      embaralharLinks(E1292,F1292,G1292),
      H1292,
      """",
      J1292,
      N1292,
      ""#RIPNSFW""
    ),
  "",\s*"", "" "")
)"),"{New} Natasha Nice https://lulustream.com/d/zh2cutokip2g https://doodstream.com/d/igk47m8js41j/50308482 https://streamtape.com/v/ZwdQZelmGXtMg4/50308482 (2026) #milf #bigtits #bigass #blowjob #RIPNSFW")</f>
        <v>{New} Natasha Nice https://lulustream.com/d/zh2cutokip2g https://doodstream.com/d/igk47m8js41j/50308482 https://streamtape.com/v/ZwdQZelmGXtMg4/50308482 (2026) #milf #bigtits #bigass #blowjob #RIPNSFW</v>
      </c>
      <c r="N1292" s="31" t="s">
        <v>1462</v>
      </c>
      <c r="O1292" s="32" t="s">
        <v>6476</v>
      </c>
      <c r="P1292" s="26"/>
      <c r="Q1292" s="6"/>
      <c r="R1292" s="11"/>
      <c r="S1292" s="6"/>
      <c r="T1292" s="6"/>
      <c r="U1292" s="6"/>
      <c r="V1292" s="6"/>
      <c r="W1292" s="6"/>
      <c r="X1292" s="6"/>
      <c r="Y1292" s="6"/>
      <c r="Z1292" s="6"/>
      <c r="AA1292" s="6"/>
    </row>
    <row r="1293" spans="1:27" ht="12.75">
      <c r="A1293" s="12" t="s">
        <v>6477</v>
      </c>
      <c r="B1293" s="6" t="s">
        <v>14</v>
      </c>
      <c r="C1293" s="7" t="str">
        <f t="shared" si="20"/>
        <v xml:space="preserve">Natasha Nice </v>
      </c>
      <c r="D1293" s="24" t="s">
        <v>6478</v>
      </c>
      <c r="E1293" s="25" t="s">
        <v>6479</v>
      </c>
      <c r="F1293" s="9" t="str">
        <f ca="1">IFERROR(__xludf.DUMMYFUNCTION("""https://streamtape.com/v/""&amp;
REGEXEXTRACT(O1293,""/thumb/([^/]+)/"")&amp;
""/""&amp;K1293"),"https://streamtape.com/v/GW01aRZMWkUlY6/57865739")</f>
        <v>https://streamtape.com/v/GW01aRZMWkUlY6/57865739</v>
      </c>
      <c r="G1293" s="10" t="e">
        <f t="shared" ca="1" si="21"/>
        <v>#NAME?</v>
      </c>
      <c r="H1293" s="11" t="str">
        <f ca="1">IFERROR(__xludf.DUMMYFUNCTION("IFERROR(SUBSTITUTE(SUBSTITUTE(REGEXEXTRACT(A1293, ""[^-]+- [^-]+- [^-]+ - (.+?)\.jpg""), "".jpg"", """"), ""-"", "", ""), """")"),"")</f>
        <v/>
      </c>
      <c r="I1293" s="6"/>
      <c r="J1293" s="7" t="str">
        <f t="shared" ca="1" si="22"/>
        <v>(2026)</v>
      </c>
      <c r="K1293" s="7" t="str">
        <f t="shared" si="23"/>
        <v>57865739</v>
      </c>
      <c r="L1293" s="12" t="s">
        <v>1462</v>
      </c>
      <c r="M1293" s="13" t="str">
        <f ca="1">IFERROR(__xludf.DUMMYFUNCTION("TRIM(
  REGEXREPLACE(
    TEXTJOIN("" "",
      TRUE,
      B1293,
      C1293,
      embaralharLinks(E1293,F1293,G1293),
      H1293,
      """",
      J1293,
      N1293,
      ""#RIPNSFW""
    ),
  "",\s*"", "" "")
)"),"{New} Natasha Nice https://streamtape.com/v/GW01aRZMWkUlY6/57865739 https://lulustream.com/d/dg93kso5a7j8 https://doodstream.com/d/kjp0boqetce4/57865739 (2026) #milf #bigtits #bigass #blowjob #RIPNSFW")</f>
        <v>{New} Natasha Nice https://streamtape.com/v/GW01aRZMWkUlY6/57865739 https://lulustream.com/d/dg93kso5a7j8 https://doodstream.com/d/kjp0boqetce4/57865739 (2026) #milf #bigtits #bigass #blowjob #RIPNSFW</v>
      </c>
      <c r="N1293" s="2" t="s">
        <v>1462</v>
      </c>
      <c r="O1293" s="30" t="s">
        <v>6480</v>
      </c>
      <c r="P1293" s="26"/>
      <c r="R1293" s="23"/>
    </row>
    <row r="1294" spans="1:27" ht="12.75">
      <c r="A1294" s="6" t="s">
        <v>6481</v>
      </c>
      <c r="B1294" s="6" t="s">
        <v>14</v>
      </c>
      <c r="C1294" s="7" t="str">
        <f t="shared" si="20"/>
        <v xml:space="preserve">Natasha Nice </v>
      </c>
      <c r="D1294" s="29" t="s">
        <v>6482</v>
      </c>
      <c r="E1294" s="8" t="s">
        <v>6483</v>
      </c>
      <c r="F1294" s="9" t="str">
        <f ca="1">IFERROR(__xludf.DUMMYFUNCTION("""https://streamtape.com/v/""&amp;
REGEXEXTRACT(O1294,""/thumb/([^/]+)/"")&amp;
""/""&amp;K1294"),"https://streamtape.com/v/r9jB6ewjvLfY6p/60001539")</f>
        <v>https://streamtape.com/v/r9jB6ewjvLfY6p/60001539</v>
      </c>
      <c r="G1294" s="10" t="e">
        <f t="shared" ca="1" si="21"/>
        <v>#NAME?</v>
      </c>
      <c r="H1294" s="11" t="str">
        <f ca="1">IFERROR(__xludf.DUMMYFUNCTION("IFERROR(SUBSTITUTE(SUBSTITUTE(REGEXEXTRACT(A1294, ""[^-]+- [^-]+- [^-]+ - (.+?)\.jpg""), "".jpg"", """"), ""-"", "", ""), """")"),"")</f>
        <v/>
      </c>
      <c r="I1294" s="6"/>
      <c r="J1294" s="7" t="str">
        <f t="shared" ca="1" si="22"/>
        <v>(2026)</v>
      </c>
      <c r="K1294" s="7" t="str">
        <f t="shared" si="23"/>
        <v>60001539</v>
      </c>
      <c r="L1294" s="12" t="s">
        <v>2405</v>
      </c>
      <c r="M1294" s="13" t="str">
        <f ca="1">IFERROR(__xludf.DUMMYFUNCTION("TRIM(
  REGEXREPLACE(
    TEXTJOIN("" "",
      TRUE,
      B1294,
      C1294,
      embaralharLinks(E1294,F1294,G1294),
      H1294,
      """",
      J1294,
      N1294,
      ""#RIPNSFW""
    ),
  "",\s*"", "" "")
)"),"{New} Natasha Nice https://doodstream.com/d/186ylxdppxh0/60001539 https://lulustream.com/d/ntdkffso4g1c https://streamtape.com/v/r9jB6ewjvLfY6p/60001539 (2026) #MILF #BigTits #Hardcore #Bigass #Stepmom #Blowjob #Amateur #RIPNSFW")</f>
        <v>{New} Natasha Nice https://doodstream.com/d/186ylxdppxh0/60001539 https://lulustream.com/d/ntdkffso4g1c https://streamtape.com/v/r9jB6ewjvLfY6p/60001539 (2026) #MILF #BigTits #Hardcore #Bigass #Stepmom #Blowjob #Amateur #RIPNSFW</v>
      </c>
      <c r="N1294" s="14" t="s">
        <v>317</v>
      </c>
      <c r="O1294" s="32" t="s">
        <v>6484</v>
      </c>
      <c r="P1294" s="14"/>
      <c r="Q1294" s="6"/>
      <c r="R1294" s="11"/>
      <c r="S1294" s="6"/>
      <c r="T1294" s="6"/>
      <c r="U1294" s="6"/>
      <c r="V1294" s="6"/>
      <c r="W1294" s="6"/>
      <c r="X1294" s="6"/>
      <c r="Y1294" s="6"/>
      <c r="Z1294" s="6"/>
      <c r="AA1294" s="6"/>
    </row>
    <row r="1295" spans="1:27" ht="12.75">
      <c r="A1295" s="6" t="s">
        <v>6485</v>
      </c>
      <c r="B1295" s="6" t="s">
        <v>14</v>
      </c>
      <c r="C1295" s="7" t="str">
        <f t="shared" si="20"/>
        <v xml:space="preserve">Natasha Nice </v>
      </c>
      <c r="D1295" s="29" t="s">
        <v>6486</v>
      </c>
      <c r="E1295" s="8" t="s">
        <v>6487</v>
      </c>
      <c r="F1295" s="9" t="str">
        <f ca="1">IFERROR(__xludf.DUMMYFUNCTION("""https://streamtape.com/v/""&amp;
REGEXEXTRACT(O1295,""/thumb/([^/]+)/"")&amp;
""/""&amp;K1295"),"https://streamtape.com/v/j7wabZrML1CzyqD/70766285")</f>
        <v>https://streamtape.com/v/j7wabZrML1CzyqD/70766285</v>
      </c>
      <c r="G1295" s="10" t="e">
        <f t="shared" ca="1" si="21"/>
        <v>#NAME?</v>
      </c>
      <c r="H1295" s="11" t="str">
        <f ca="1">IFERROR(__xludf.DUMMYFUNCTION("IFERROR(SUBSTITUTE(SUBSTITUTE(REGEXEXTRACT(A1295, ""[^-]+- [^-]+- [^-]+ - (.+?)\.jpg""), "".jpg"", """"), ""-"", "", ""), """")"),"")</f>
        <v/>
      </c>
      <c r="I1295" s="6"/>
      <c r="J1295" s="7" t="str">
        <f t="shared" ca="1" si="22"/>
        <v>(2026)</v>
      </c>
      <c r="K1295" s="7" t="str">
        <f t="shared" si="23"/>
        <v>70766285</v>
      </c>
      <c r="L1295" s="12" t="s">
        <v>6488</v>
      </c>
      <c r="M1295" s="13" t="str">
        <f ca="1">IFERROR(__xludf.DUMMYFUNCTION("TRIM(
  REGEXREPLACE(
    TEXTJOIN("" "",
      TRUE,
      B1295,
      C1295,
      embaralharLinks(E1295,F1295,G1295),
      H1295,
      """",
      J1295,
      N1295,
      ""#RIPNSFW""
    ),
  "",\s*"", "" "")
)"),"{New} Natasha Nice https://streamtape.com/v/j7wabZrML1CzyqD/70766285 https://doodstream.com/d/3ytleg1x493m/70766285 https://lulustream.com/d/79exirndbflo (2026) #MILF #BigTits #Bigass #Stepmom #Blowjob #Amateur #Mature #RIPNSFW")</f>
        <v>{New} Natasha Nice https://streamtape.com/v/j7wabZrML1CzyqD/70766285 https://doodstream.com/d/3ytleg1x493m/70766285 https://lulustream.com/d/79exirndbflo (2026) #MILF #BigTits #Bigass #Stepmom #Blowjob #Amateur #Mature #RIPNSFW</v>
      </c>
      <c r="N1295" s="14" t="s">
        <v>6489</v>
      </c>
      <c r="O1295" s="32" t="s">
        <v>6490</v>
      </c>
      <c r="P1295" s="14"/>
      <c r="Q1295" s="6"/>
      <c r="R1295" s="11"/>
      <c r="S1295" s="6"/>
      <c r="T1295" s="6"/>
      <c r="U1295" s="6"/>
      <c r="V1295" s="6"/>
      <c r="W1295" s="6"/>
      <c r="X1295" s="6"/>
      <c r="Y1295" s="6"/>
      <c r="Z1295" s="6"/>
      <c r="AA1295" s="6"/>
    </row>
    <row r="1296" spans="1:27" ht="12.75">
      <c r="A1296" s="12" t="s">
        <v>6491</v>
      </c>
      <c r="B1296" s="6" t="s">
        <v>14</v>
      </c>
      <c r="C1296" s="7" t="str">
        <f t="shared" si="20"/>
        <v xml:space="preserve">Natasha Nice </v>
      </c>
      <c r="D1296" s="24" t="s">
        <v>6492</v>
      </c>
      <c r="E1296" s="25" t="s">
        <v>6493</v>
      </c>
      <c r="F1296" s="9" t="str">
        <f ca="1">IFERROR(__xludf.DUMMYFUNCTION("""https://streamtape.com/v/""&amp;
REGEXEXTRACT(O1296,""/thumb/([^/]+)/"")&amp;
""/""&amp;K1296"),"https://streamtape.com/v/aYlxJPWKarux1oR/97260972")</f>
        <v>https://streamtape.com/v/aYlxJPWKarux1oR/97260972</v>
      </c>
      <c r="G1296" s="10" t="e">
        <f t="shared" ca="1" si="21"/>
        <v>#NAME?</v>
      </c>
      <c r="H1296" s="11" t="str">
        <f ca="1">IFERROR(__xludf.DUMMYFUNCTION("IFERROR(SUBSTITUTE(SUBSTITUTE(REGEXEXTRACT(A1296, ""[^-]+- [^-]+- [^-]+ - (.+?)\.jpg""), "".jpg"", """"), ""-"", "", ""), """")"),"")</f>
        <v/>
      </c>
      <c r="I1296" s="6"/>
      <c r="J1296" s="7" t="str">
        <f t="shared" ca="1" si="22"/>
        <v>(2026)</v>
      </c>
      <c r="K1296" s="7" t="str">
        <f t="shared" si="23"/>
        <v>97260972</v>
      </c>
      <c r="L1296" s="12" t="s">
        <v>4347</v>
      </c>
      <c r="M1296" s="13" t="str">
        <f ca="1">IFERROR(__xludf.DUMMYFUNCTION("TRIM(
  REGEXREPLACE(
    TEXTJOIN("" "",
      TRUE,
      B1296,
      C1296,
      embaralharLinks(E1296,F1296,G1296),
      H1296,
      """",
      J1296,
      N1296,
      ""#RIPNSFW""
    ),
  "",\s*"", "" "")
)"),"{New} Natasha Nice https://doodstream.com/d/fv0ipy65exj4/97260972 https://streamtape.com/v/aYlxJPWKarux1oR/97260972 https://lulustream.com/d/k2bfmqsealu7 (2026) #milf #bigtits #blowjob #facial #RIPNSFW")</f>
        <v>{New} Natasha Nice https://doodstream.com/d/fv0ipy65exj4/97260972 https://streamtape.com/v/aYlxJPWKarux1oR/97260972 https://lulustream.com/d/k2bfmqsealu7 (2026) #milf #bigtits #blowjob #facial #RIPNSFW</v>
      </c>
      <c r="N1296" s="2" t="s">
        <v>4347</v>
      </c>
      <c r="O1296" s="30" t="s">
        <v>6494</v>
      </c>
      <c r="P1296" s="26"/>
      <c r="R1296" s="23"/>
    </row>
    <row r="1297" spans="1:27" ht="12.75">
      <c r="A1297" s="6" t="s">
        <v>6495</v>
      </c>
      <c r="B1297" s="6" t="s">
        <v>14</v>
      </c>
      <c r="C1297" s="7" t="str">
        <f t="shared" si="20"/>
        <v xml:space="preserve">Nicole Doshi </v>
      </c>
      <c r="D1297" s="6" t="s">
        <v>6496</v>
      </c>
      <c r="E1297" s="8" t="s">
        <v>6497</v>
      </c>
      <c r="F1297" s="9" t="str">
        <f ca="1">IFERROR(__xludf.DUMMYFUNCTION("""https://streamtape.com/v/""&amp;
REGEXEXTRACT(O1297,""/thumb/([^/]+)/"")&amp;
""/""&amp;K1297"),"https://streamtape.com/v/DoJ96DWxQYh6gR/40682016")</f>
        <v>https://streamtape.com/v/DoJ96DWxQYh6gR/40682016</v>
      </c>
      <c r="G1297" s="10" t="e">
        <f t="shared" ca="1" si="21"/>
        <v>#NAME?</v>
      </c>
      <c r="H1297" s="11" t="str">
        <f ca="1">IFERROR(__xludf.DUMMYFUNCTION("IFERROR(SUBSTITUTE(SUBSTITUTE(REGEXEXTRACT(A1297, ""[^-]+- [^-]+- [^-]+ - (.+?)\.jpg""), "".jpg"", """"), ""-"", "", ""), """")"),"")</f>
        <v/>
      </c>
      <c r="I1297" s="6"/>
      <c r="J1297" s="7" t="str">
        <f t="shared" ca="1" si="22"/>
        <v>(2026)</v>
      </c>
      <c r="K1297" s="7" t="str">
        <f t="shared" si="23"/>
        <v>40682016</v>
      </c>
      <c r="L1297" s="12" t="s">
        <v>6498</v>
      </c>
      <c r="M1297" s="13" t="str">
        <f ca="1">IFERROR(__xludf.DUMMYFUNCTION("TRIM(
  REGEXREPLACE(
    TEXTJOIN("" "",
      TRUE,
      B1297,
      C1297,
      embaralharLinks(E1297,F1297,G1297),
      H1297,
      """",
      J1297,
      N1297,
      ""#RIPNSFW""
    ),
  "",\s*"", "" "")
)"),"{New} Nicole Doshi https://streamtape.com/v/DoJ96DWxQYh6gR/40682016 https://doodstream.com/d/8cjkgt9y9e39/40682016 https://lulustream.com/d/krutf9htcdrv (2026) #MILF #BigTits #Creampie #Hardcore #Asian #Black #Interracial #Bigass #Porn #RIPNSFW")</f>
        <v>{New} Nicole Doshi https://streamtape.com/v/DoJ96DWxQYh6gR/40682016 https://doodstream.com/d/8cjkgt9y9e39/40682016 https://lulustream.com/d/krutf9htcdrv (2026) #MILF #BigTits #Creampie #Hardcore #Asian #Black #Interracial #Bigass #Porn #RIPNSFW</v>
      </c>
      <c r="N1297" s="14" t="s">
        <v>6499</v>
      </c>
      <c r="O1297" s="15" t="s">
        <v>6500</v>
      </c>
      <c r="P1297" s="14"/>
      <c r="Q1297" s="6"/>
      <c r="R1297" s="11"/>
      <c r="S1297" s="6"/>
      <c r="T1297" s="6"/>
      <c r="U1297" s="6"/>
      <c r="V1297" s="6"/>
      <c r="W1297" s="6"/>
      <c r="X1297" s="6"/>
      <c r="Y1297" s="6"/>
      <c r="Z1297" s="6"/>
      <c r="AA1297" s="6"/>
    </row>
    <row r="1298" spans="1:27" ht="12.75">
      <c r="A1298" s="6" t="s">
        <v>6501</v>
      </c>
      <c r="B1298" s="6" t="s">
        <v>14</v>
      </c>
      <c r="C1298" s="7" t="str">
        <f t="shared" si="20"/>
        <v xml:space="preserve">Nicole Doshi </v>
      </c>
      <c r="D1298" s="6" t="s">
        <v>6502</v>
      </c>
      <c r="E1298" s="8" t="s">
        <v>6503</v>
      </c>
      <c r="F1298" s="9" t="str">
        <f ca="1">IFERROR(__xludf.DUMMYFUNCTION("""https://streamtape.com/v/""&amp;
REGEXEXTRACT(O1298,""/thumb/([^/]+)/"")&amp;
""/""&amp;K1298"),"https://streamtape.com/v/4d28Zw9jk6cKlWd/95057329")</f>
        <v>https://streamtape.com/v/4d28Zw9jk6cKlWd/95057329</v>
      </c>
      <c r="G1298" s="10" t="e">
        <f t="shared" ca="1" si="21"/>
        <v>#NAME?</v>
      </c>
      <c r="H1298" s="11" t="str">
        <f ca="1">IFERROR(__xludf.DUMMYFUNCTION("IFERROR(SUBSTITUTE(SUBSTITUTE(REGEXEXTRACT(A1298, ""[^-]+- [^-]+- [^-]+ - (.+?)\.jpg""), "".jpg"", """"), ""-"", "", ""), """")"),"")</f>
        <v/>
      </c>
      <c r="I1298" s="6"/>
      <c r="J1298" s="7" t="str">
        <f t="shared" ca="1" si="22"/>
        <v>(2026)</v>
      </c>
      <c r="K1298" s="7" t="str">
        <f t="shared" si="23"/>
        <v>95057329</v>
      </c>
      <c r="L1298" s="12" t="s">
        <v>6504</v>
      </c>
      <c r="M1298" s="13" t="str">
        <f ca="1">IFERROR(__xludf.DUMMYFUNCTION("TRIM(
  REGEXREPLACE(
    TEXTJOIN("" "",
      TRUE,
      B1298,
      C1298,
      embaralharLinks(E1298,F1298,G1298),
      H1298,
      """",
      J1298,
      N1298,
      ""#RIPNSFW""
    ),
  "",\s*"", "" "")
)"),"{New} Nicole Doshi https://streamtape.com/v/4d28Zw9jk6cKlWd/95057329 https://doodstream.com/d/qc3okcpkfamh/95057329 https://lulustream.com/d/5sbkpgb702h3 (2026) #MILF #BigTits #Hardcore #Asian #Black #Interracial #Bigass #Blowjob #RIPNSFW")</f>
        <v>{New} Nicole Doshi https://streamtape.com/v/4d28Zw9jk6cKlWd/95057329 https://doodstream.com/d/qc3okcpkfamh/95057329 https://lulustream.com/d/5sbkpgb702h3 (2026) #MILF #BigTits #Hardcore #Asian #Black #Interracial #Bigass #Blowjob #RIPNSFW</v>
      </c>
      <c r="N1298" s="14" t="s">
        <v>6505</v>
      </c>
      <c r="O1298" s="15" t="s">
        <v>6506</v>
      </c>
      <c r="P1298" s="14"/>
      <c r="Q1298" s="6"/>
      <c r="R1298" s="11"/>
      <c r="S1298" s="6"/>
      <c r="T1298" s="6"/>
      <c r="U1298" s="6"/>
      <c r="V1298" s="6"/>
      <c r="W1298" s="6"/>
      <c r="X1298" s="6"/>
      <c r="Y1298" s="6"/>
      <c r="Z1298" s="6"/>
      <c r="AA1298" s="6"/>
    </row>
    <row r="1299" spans="1:27" ht="12.75">
      <c r="A1299" s="6" t="s">
        <v>6507</v>
      </c>
      <c r="B1299" s="6" t="s">
        <v>14</v>
      </c>
      <c r="C1299" s="7" t="str">
        <f t="shared" si="20"/>
        <v xml:space="preserve">Nicole Rae </v>
      </c>
      <c r="D1299" s="6" t="s">
        <v>6508</v>
      </c>
      <c r="E1299" s="8" t="s">
        <v>6509</v>
      </c>
      <c r="F1299" s="9" t="str">
        <f ca="1">IFERROR(__xludf.DUMMYFUNCTION("""https://streamtape.com/v/""&amp;
REGEXEXTRACT(O1299,""/thumb/([^/]+)/"")&amp;
""/""&amp;K1299"),"https://streamtape.com/v/plYL0BMZGqSrmGr/64606430")</f>
        <v>https://streamtape.com/v/plYL0BMZGqSrmGr/64606430</v>
      </c>
      <c r="G1299" s="10" t="e">
        <f t="shared" ca="1" si="21"/>
        <v>#NAME?</v>
      </c>
      <c r="H1299" s="11" t="str">
        <f ca="1">IFERROR(__xludf.DUMMYFUNCTION("IFERROR(SUBSTITUTE(SUBSTITUTE(REGEXEXTRACT(A1299, ""[^-]+- [^-]+- [^-]+ - (.+?)\.jpg""), "".jpg"", """"), ""-"", "", ""), """")"),"")</f>
        <v/>
      </c>
      <c r="I1299" s="6"/>
      <c r="J1299" s="7" t="str">
        <f t="shared" ca="1" si="22"/>
        <v>(2026)</v>
      </c>
      <c r="K1299" s="7" t="str">
        <f t="shared" si="23"/>
        <v>64606430</v>
      </c>
      <c r="L1299" s="12" t="s">
        <v>6510</v>
      </c>
      <c r="M1299" s="13" t="str">
        <f ca="1">IFERROR(__xludf.DUMMYFUNCTION("TRIM(
  REGEXREPLACE(
    TEXTJOIN("" "",
      TRUE,
      B1299,
      C1299,
      embaralharLinks(E1299,F1299,G1299),
      H1299,
      """",
      J1299,
      N1299,
      ""#RIPNSFW""
    ),
  "",\s*"", "" "")
)"),"{New} Nicole Rae https://lulustream.com/d/6xueo4uwny02 https://doodstream.com/d/k78c60lioyx0/64606430 https://streamtape.com/v/plYL0BMZGqSrmGr/64606430 (2026) #Anal #BigTits #Creampie #Hardcore #Porn #Blowjob #Blonde #RIPNSFW")</f>
        <v>{New} Nicole Rae https://lulustream.com/d/6xueo4uwny02 https://doodstream.com/d/k78c60lioyx0/64606430 https://streamtape.com/v/plYL0BMZGqSrmGr/64606430 (2026) #Anal #BigTits #Creampie #Hardcore #Porn #Blowjob #Blonde #RIPNSFW</v>
      </c>
      <c r="N1299" s="14" t="s">
        <v>6511</v>
      </c>
      <c r="O1299" s="15" t="s">
        <v>6512</v>
      </c>
      <c r="P1299" s="14"/>
      <c r="Q1299" s="6"/>
      <c r="R1299" s="11"/>
      <c r="S1299" s="6"/>
      <c r="T1299" s="6"/>
      <c r="U1299" s="6"/>
      <c r="V1299" s="6"/>
      <c r="W1299" s="6"/>
      <c r="X1299" s="6"/>
      <c r="Y1299" s="6"/>
      <c r="Z1299" s="6"/>
      <c r="AA1299" s="6"/>
    </row>
    <row r="1300" spans="1:27" ht="12.75">
      <c r="A1300" s="6" t="s">
        <v>6513</v>
      </c>
      <c r="B1300" s="6" t="s">
        <v>14</v>
      </c>
      <c r="C1300" s="7" t="str">
        <f t="shared" si="20"/>
        <v xml:space="preserve">Nikoletta Queen </v>
      </c>
      <c r="D1300" s="29" t="s">
        <v>6514</v>
      </c>
      <c r="E1300" s="8" t="s">
        <v>6515</v>
      </c>
      <c r="F1300" s="9" t="str">
        <f ca="1">IFERROR(__xludf.DUMMYFUNCTION("""https://streamtape.com/v/""&amp;
REGEXEXTRACT(O1300,""/thumb/([^/]+)/"")&amp;
""/""&amp;K1300"),"https://streamtape.com/v/oLmor3xmeeFJLWl/54048368")</f>
        <v>https://streamtape.com/v/oLmor3xmeeFJLWl/54048368</v>
      </c>
      <c r="G1300" s="10" t="e">
        <f t="shared" ca="1" si="21"/>
        <v>#NAME?</v>
      </c>
      <c r="H1300" s="11" t="str">
        <f ca="1">IFERROR(__xludf.DUMMYFUNCTION("IFERROR(SUBSTITUTE(SUBSTITUTE(REGEXEXTRACT(A1300, ""[^-]+- [^-]+- [^-]+ - (.+?)\.jpg""), "".jpg"", """"), ""-"", "", ""), """")"),"")</f>
        <v/>
      </c>
      <c r="I1300" s="6"/>
      <c r="J1300" s="7" t="str">
        <f t="shared" ca="1" si="22"/>
        <v>(2026)</v>
      </c>
      <c r="K1300" s="7" t="str">
        <f t="shared" si="23"/>
        <v>54048368</v>
      </c>
      <c r="L1300" s="12" t="s">
        <v>6516</v>
      </c>
      <c r="M1300" s="13" t="str">
        <f ca="1">IFERROR(__xludf.DUMMYFUNCTION("TRIM(
  REGEXREPLACE(
    TEXTJOIN("" "",
      TRUE,
      B1300,
      C1300,
      embaralharLinks(E1300,F1300,G1300),
      H1300,
      """",
      J1300,
      N1300,
      ""#RIPNSFW""
    ),
  "",\s*"", "" "")
)"),"{New} Nikoletta Queen https://doodstream.com/d/l8hfr09xzp9l/54048368 https://lulustream.com/d/pio1qh7mflsv https://streamtape.com/v/oLmor3xmeeFJLWl/54048368 (2026) #BigTits #Hardcore #Bigass #Porn #Teen #Artporn #Blowjob #Deepthroat #Blonde #RIPNSFW")</f>
        <v>{New} Nikoletta Queen https://doodstream.com/d/l8hfr09xzp9l/54048368 https://lulustream.com/d/pio1qh7mflsv https://streamtape.com/v/oLmor3xmeeFJLWl/54048368 (2026) #BigTits #Hardcore #Bigass #Porn #Teen #Artporn #Blowjob #Deepthroat #Blonde #RIPNSFW</v>
      </c>
      <c r="N1300" s="14" t="s">
        <v>6517</v>
      </c>
      <c r="O1300" s="32" t="s">
        <v>6518</v>
      </c>
      <c r="P1300" s="14"/>
      <c r="Q1300" s="6"/>
      <c r="R1300" s="11"/>
      <c r="S1300" s="6"/>
      <c r="T1300" s="6"/>
      <c r="U1300" s="6"/>
      <c r="V1300" s="6"/>
      <c r="W1300" s="6"/>
      <c r="X1300" s="6"/>
      <c r="Y1300" s="6"/>
      <c r="Z1300" s="6"/>
      <c r="AA1300" s="6"/>
    </row>
    <row r="1301" spans="1:27" ht="12.75">
      <c r="A1301" s="12" t="s">
        <v>6519</v>
      </c>
      <c r="B1301" s="6"/>
      <c r="C1301" s="7" t="str">
        <f t="shared" si="20"/>
        <v xml:space="preserve">Nina </v>
      </c>
      <c r="D1301" s="24" t="s">
        <v>6520</v>
      </c>
      <c r="E1301" s="25" t="s">
        <v>6521</v>
      </c>
      <c r="F1301" s="9" t="str">
        <f ca="1">IFERROR(__xludf.DUMMYFUNCTION("""https://streamtape.com/v/""&amp;
REGEXEXTRACT(O1301,""/thumb/([^/]+)/"")&amp;
""/""&amp;K1301"),"https://streamtape.com/v/vrz0lXeoAQi4e84/62548810")</f>
        <v>https://streamtape.com/v/vrz0lXeoAQi4e84/62548810</v>
      </c>
      <c r="G1301" s="10" t="e">
        <f t="shared" ca="1" si="21"/>
        <v>#NAME?</v>
      </c>
      <c r="H1301" s="11" t="str">
        <f ca="1">IFERROR(__xludf.DUMMYFUNCTION("IFERROR(SUBSTITUTE(SUBSTITUTE(REGEXEXTRACT(A1301, ""[^-]+- [^-]+- [^-]+ - (.+?)\.jpg""), "".jpg"", """"), ""-"", "", ""), """")"),"")</f>
        <v/>
      </c>
      <c r="I1301" s="6"/>
      <c r="J1301" s="7" t="str">
        <f t="shared" ca="1" si="22"/>
        <v/>
      </c>
      <c r="K1301" s="7" t="str">
        <f t="shared" si="23"/>
        <v>62548810</v>
      </c>
      <c r="L1301" s="12" t="s">
        <v>6522</v>
      </c>
      <c r="M1301" s="13" t="str">
        <f ca="1">IFERROR(__xludf.DUMMYFUNCTION("TRIM(
  REGEXREPLACE(
    TEXTJOIN("" "",
      TRUE,
      B1301,
      C1301,
      embaralharLinks(E1301,F1301,G1301),
      H1301,
      """",
      J1301,
      N1301,
      ""#RIPNSFW""
    ),
  "",\s*"", "" "")
)"),"Nina https://lulustream.com/d/p73bki3wiioz https://streamtape.com/v/vrz0lXeoAQi4e84/62548810 https://doodstream.com/d/lq7ebgy99p5s/62548810 #teen #casting #anal #facial #RIPNSFW")</f>
        <v>Nina https://lulustream.com/d/p73bki3wiioz https://streamtape.com/v/vrz0lXeoAQi4e84/62548810 https://doodstream.com/d/lq7ebgy99p5s/62548810 #teen #casting #anal #facial #RIPNSFW</v>
      </c>
      <c r="N1301" s="2" t="s">
        <v>6522</v>
      </c>
      <c r="O1301" s="30" t="s">
        <v>6523</v>
      </c>
      <c r="P1301" s="26"/>
      <c r="R1301" s="23"/>
      <c r="T1301" s="6"/>
      <c r="U1301" s="7"/>
    </row>
    <row r="1302" spans="1:27" ht="12.75">
      <c r="A1302" s="6" t="s">
        <v>6524</v>
      </c>
      <c r="B1302" s="6" t="s">
        <v>14</v>
      </c>
      <c r="C1302" s="7" t="str">
        <f t="shared" si="20"/>
        <v xml:space="preserve">Norah Nova </v>
      </c>
      <c r="D1302" s="6" t="s">
        <v>6525</v>
      </c>
      <c r="E1302" s="8" t="s">
        <v>6526</v>
      </c>
      <c r="F1302" s="9" t="str">
        <f ca="1">IFERROR(__xludf.DUMMYFUNCTION("""https://streamtape.com/v/""&amp;
REGEXEXTRACT(O1302,""/thumb/([^/]+)/"")&amp;
""/""&amp;K1302"),"https://streamtape.com/v/ZKXZDBG0bgiqpr9/62065316")</f>
        <v>https://streamtape.com/v/ZKXZDBG0bgiqpr9/62065316</v>
      </c>
      <c r="G1302" s="10" t="e">
        <f t="shared" ca="1" si="21"/>
        <v>#NAME?</v>
      </c>
      <c r="H1302" s="11" t="str">
        <f ca="1">IFERROR(__xludf.DUMMYFUNCTION("IFERROR(SUBSTITUTE(SUBSTITUTE(REGEXEXTRACT(A1302, ""[^-]+- [^-]+- [^-]+ - (.+?)\.jpg""), "".jpg"", """"), ""-"", "", ""), """")"),"")</f>
        <v/>
      </c>
      <c r="I1302" s="6"/>
      <c r="J1302" s="7" t="str">
        <f t="shared" ca="1" si="22"/>
        <v>(2026)</v>
      </c>
      <c r="K1302" s="7" t="str">
        <f t="shared" si="23"/>
        <v>62065316</v>
      </c>
      <c r="L1302" s="12" t="s">
        <v>6527</v>
      </c>
      <c r="M1302" s="13" t="str">
        <f ca="1">IFERROR(__xludf.DUMMYFUNCTION("TRIM(
  REGEXREPLACE(
    TEXTJOIN("" "",
      TRUE,
      B1302,
      C1302,
      embaralharLinks(E1302,F1302,G1302),
      H1302,
      """",
      J1302,
      N1302,
      ""#RIPNSFW""
    ),
  "",\s*"", "" "")
)"),"{New} Norah Nova https://lulustream.com/d/nc2vq0mtz9dj https://doodstream.com/d/hecnwfaa1mzl/62065316 https://streamtape.com/v/ZKXZDBG0bgiqpr9/62065316 (2026) #Creampie #Hardcore #Porn #Teen #RIPNSFW")</f>
        <v>{New} Norah Nova https://lulustream.com/d/nc2vq0mtz9dj https://doodstream.com/d/hecnwfaa1mzl/62065316 https://streamtape.com/v/ZKXZDBG0bgiqpr9/62065316 (2026) #Creampie #Hardcore #Porn #Teen #RIPNSFW</v>
      </c>
      <c r="N1302" s="14" t="s">
        <v>5923</v>
      </c>
      <c r="O1302" s="15" t="s">
        <v>6528</v>
      </c>
      <c r="P1302" s="14"/>
      <c r="Q1302" s="6"/>
      <c r="R1302" s="11"/>
      <c r="S1302" s="6"/>
      <c r="T1302" s="6"/>
      <c r="U1302" s="6"/>
      <c r="V1302" s="6"/>
      <c r="W1302" s="6"/>
      <c r="X1302" s="6"/>
      <c r="Y1302" s="6"/>
      <c r="Z1302" s="6"/>
      <c r="AA1302" s="6"/>
    </row>
    <row r="1303" spans="1:27" ht="12.75">
      <c r="A1303" s="12" t="s">
        <v>6529</v>
      </c>
      <c r="B1303" s="6" t="s">
        <v>14</v>
      </c>
      <c r="C1303" s="7" t="str">
        <f t="shared" si="20"/>
        <v xml:space="preserve">Octokuro </v>
      </c>
      <c r="D1303" s="24" t="s">
        <v>6530</v>
      </c>
      <c r="E1303" s="25" t="s">
        <v>6531</v>
      </c>
      <c r="F1303" s="9" t="str">
        <f ca="1">IFERROR(__xludf.DUMMYFUNCTION("""https://streamtape.com/v/""&amp;
REGEXEXTRACT(O1303,""/thumb/([^/]+)/"")&amp;
""/""&amp;K1303"),"https://streamtape.com/v/Da47A4eYaLTkpPO/13942903")</f>
        <v>https://streamtape.com/v/Da47A4eYaLTkpPO/13942903</v>
      </c>
      <c r="G1303" s="10" t="e">
        <f t="shared" ca="1" si="21"/>
        <v>#NAME?</v>
      </c>
      <c r="H1303" s="11" t="str">
        <f ca="1">IFERROR(__xludf.DUMMYFUNCTION("IFERROR(SUBSTITUTE(SUBSTITUTE(REGEXEXTRACT(A1303, ""[^-]+- [^-]+- [^-]+ - (.+?)\.jpg""), "".jpg"", """"), ""-"", "", ""), """")"),"")</f>
        <v/>
      </c>
      <c r="I1303" s="6"/>
      <c r="J1303" s="7" t="str">
        <f t="shared" ca="1" si="22"/>
        <v>(2026)</v>
      </c>
      <c r="K1303" s="7" t="str">
        <f t="shared" si="23"/>
        <v>13942903</v>
      </c>
      <c r="L1303" s="12" t="s">
        <v>1711</v>
      </c>
      <c r="M1303" s="13" t="str">
        <f ca="1">IFERROR(__xludf.DUMMYFUNCTION("TRIM(
  REGEXREPLACE(
    TEXTJOIN("" "",
      TRUE,
      B1303,
      C1303,
      embaralharLinks(E1303,F1303,G1303),
      H1303,
      """",
      J1303,
      N1303,
      ""#RIPNSFW""
    ),
  "",\s*"", "" "")
)"),"{New} Octokuro https://streamtape.com/v/Da47A4eYaLTkpPO/13942903 https://lulustream.com/d/ejix5hq32r6w https://doodstream.com/d/n95jcugktrsk/13942903 (2026) #milf #bigass #bigtits #blowjob #RIPNSFW")</f>
        <v>{New} Octokuro https://streamtape.com/v/Da47A4eYaLTkpPO/13942903 https://lulustream.com/d/ejix5hq32r6w https://doodstream.com/d/n95jcugktrsk/13942903 (2026) #milf #bigass #bigtits #blowjob #RIPNSFW</v>
      </c>
      <c r="N1303" s="2" t="s">
        <v>1711</v>
      </c>
      <c r="O1303" s="30" t="s">
        <v>6532</v>
      </c>
      <c r="P1303" s="26"/>
      <c r="R1303" s="23"/>
      <c r="T1303" s="6"/>
      <c r="U1303" s="7"/>
    </row>
    <row r="1304" spans="1:27" ht="12.75">
      <c r="A1304" s="12" t="s">
        <v>6533</v>
      </c>
      <c r="B1304" s="6" t="s">
        <v>14</v>
      </c>
      <c r="C1304" s="7" t="str">
        <f t="shared" si="20"/>
        <v xml:space="preserve">Octokuro </v>
      </c>
      <c r="D1304" s="24" t="s">
        <v>6534</v>
      </c>
      <c r="E1304" s="25" t="s">
        <v>6535</v>
      </c>
      <c r="F1304" s="9" t="str">
        <f ca="1">IFERROR(__xludf.DUMMYFUNCTION("""https://streamtape.com/v/""&amp;
REGEXEXTRACT(O1304,""/thumb/([^/]+)/"")&amp;
""/""&amp;K1304"),"https://streamtape.com/v/wl7YGZxdpOIJzOR/14366191")</f>
        <v>https://streamtape.com/v/wl7YGZxdpOIJzOR/14366191</v>
      </c>
      <c r="G1304" s="10" t="e">
        <f t="shared" ca="1" si="21"/>
        <v>#NAME?</v>
      </c>
      <c r="H1304" s="11" t="str">
        <f ca="1">IFERROR(__xludf.DUMMYFUNCTION("IFERROR(SUBSTITUTE(SUBSTITUTE(REGEXEXTRACT(A1304, ""[^-]+- [^-]+- [^-]+ - (.+?)\.jpg""), "".jpg"", """"), ""-"", "", ""), """")"),"")</f>
        <v/>
      </c>
      <c r="I1304" s="6"/>
      <c r="J1304" s="7" t="str">
        <f t="shared" ca="1" si="22"/>
        <v>(2026)</v>
      </c>
      <c r="K1304" s="7" t="str">
        <f t="shared" si="23"/>
        <v>14366191</v>
      </c>
      <c r="L1304" s="12" t="s">
        <v>4175</v>
      </c>
      <c r="M1304" s="13" t="str">
        <f ca="1">IFERROR(__xludf.DUMMYFUNCTION("TRIM(
  REGEXREPLACE(
    TEXTJOIN("" "",
      TRUE,
      B1304,
      C1304,
      embaralharLinks(E1304,F1304,G1304),
      H1304,
      """",
      J1304,
      N1304,
      ""#RIPNSFW""
    ),
  "",\s*"", "" "")
)"),"{New} Octokuro https://streamtape.com/v/wl7YGZxdpOIJzOR/14366191 https://lulustream.com/d/ddon6nvs224k https://doodstream.com/d/3t3o4xccv9tl/14366191 (2026) #milf #anal #bigtits #bigass #RIPNSFW")</f>
        <v>{New} Octokuro https://streamtape.com/v/wl7YGZxdpOIJzOR/14366191 https://lulustream.com/d/ddon6nvs224k https://doodstream.com/d/3t3o4xccv9tl/14366191 (2026) #milf #anal #bigtits #bigass #RIPNSFW</v>
      </c>
      <c r="N1304" s="2" t="s">
        <v>4175</v>
      </c>
      <c r="O1304" s="30" t="s">
        <v>6536</v>
      </c>
      <c r="P1304" s="26"/>
      <c r="R1304" s="23"/>
    </row>
    <row r="1305" spans="1:27" ht="12.75">
      <c r="A1305" s="6" t="s">
        <v>6537</v>
      </c>
      <c r="B1305" s="6" t="s">
        <v>14</v>
      </c>
      <c r="C1305" s="7" t="str">
        <f t="shared" si="20"/>
        <v xml:space="preserve">Octokuro </v>
      </c>
      <c r="D1305" s="24" t="s">
        <v>6538</v>
      </c>
      <c r="E1305" s="25" t="s">
        <v>6539</v>
      </c>
      <c r="F1305" s="9" t="str">
        <f ca="1">IFERROR(__xludf.DUMMYFUNCTION("""https://streamtape.com/v/""&amp;
REGEXEXTRACT(O1305,""/thumb/([^/]+)/"")&amp;
""/""&amp;K1305"),"https://streamtape.com/v/kDM6XOL7w3t6rp/15289353")</f>
        <v>https://streamtape.com/v/kDM6XOL7w3t6rp/15289353</v>
      </c>
      <c r="G1305" s="10" t="e">
        <f t="shared" ca="1" si="21"/>
        <v>#NAME?</v>
      </c>
      <c r="H1305" s="11" t="str">
        <f ca="1">IFERROR(__xludf.DUMMYFUNCTION("IFERROR(SUBSTITUTE(SUBSTITUTE(REGEXEXTRACT(A1305, ""[^-]+- [^-]+- [^-]+ - (.+?)\.jpg""), "".jpg"", """"), ""-"", "", ""), """")"),"")</f>
        <v/>
      </c>
      <c r="I1305" s="6"/>
      <c r="J1305" s="7" t="str">
        <f t="shared" ca="1" si="22"/>
        <v>(2026)</v>
      </c>
      <c r="K1305" s="7" t="str">
        <f t="shared" si="23"/>
        <v>15289353</v>
      </c>
      <c r="L1305" s="12" t="s">
        <v>1462</v>
      </c>
      <c r="M1305" s="13" t="str">
        <f ca="1">IFERROR(__xludf.DUMMYFUNCTION("TRIM(
  REGEXREPLACE(
    TEXTJOIN("" "",
      TRUE,
      B1305,
      C1305,
      embaralharLinks(E1305,F1305,G1305),
      H1305,
      """",
      J1305,
      N1305,
      ""#RIPNSFW""
    ),
  "",\s*"", "" "")
)"),"{New} Octokuro https://doodstream.com/d/6zh51os37hkq/15289353 https://lulustream.com/d/i3btk7sh3lm0 https://streamtape.com/v/kDM6XOL7w3t6rp/15289353 (2026) #milf #bigtits #bigass #blowjob #RIPNSFW")</f>
        <v>{New} Octokuro https://doodstream.com/d/6zh51os37hkq/15289353 https://lulustream.com/d/i3btk7sh3lm0 https://streamtape.com/v/kDM6XOL7w3t6rp/15289353 (2026) #milf #bigtits #bigass #blowjob #RIPNSFW</v>
      </c>
      <c r="N1305" s="31" t="s">
        <v>1462</v>
      </c>
      <c r="O1305" s="32" t="s">
        <v>6540</v>
      </c>
      <c r="P1305" s="26"/>
      <c r="Q1305" s="6"/>
      <c r="R1305" s="11"/>
      <c r="S1305" s="6"/>
      <c r="T1305" s="6"/>
      <c r="U1305" s="6"/>
      <c r="V1305" s="6"/>
      <c r="W1305" s="6"/>
      <c r="X1305" s="6"/>
      <c r="Y1305" s="6"/>
      <c r="Z1305" s="6"/>
      <c r="AA1305" s="6"/>
    </row>
    <row r="1306" spans="1:27" ht="12.75">
      <c r="A1306" s="6" t="s">
        <v>6541</v>
      </c>
      <c r="B1306" s="6" t="s">
        <v>14</v>
      </c>
      <c r="C1306" s="7" t="str">
        <f t="shared" si="20"/>
        <v xml:space="preserve">Octokuro </v>
      </c>
      <c r="D1306" s="29" t="s">
        <v>6542</v>
      </c>
      <c r="E1306" s="8" t="s">
        <v>6543</v>
      </c>
      <c r="F1306" s="9" t="str">
        <f ca="1">IFERROR(__xludf.DUMMYFUNCTION("""https://streamtape.com/v/""&amp;
REGEXEXTRACT(O1306,""/thumb/([^/]+)/"")&amp;
""/""&amp;K1306"),"https://streamtape.com/v/Zb0vlywzD8Sq9ZR/20147673")</f>
        <v>https://streamtape.com/v/Zb0vlywzD8Sq9ZR/20147673</v>
      </c>
      <c r="G1306" s="10" t="e">
        <f t="shared" ca="1" si="21"/>
        <v>#NAME?</v>
      </c>
      <c r="H1306" s="11" t="str">
        <f ca="1">IFERROR(__xludf.DUMMYFUNCTION("IFERROR(SUBSTITUTE(SUBSTITUTE(REGEXEXTRACT(A1306, ""[^-]+- [^-]+- [^-]+ - (.+?)\.jpg""), "".jpg"", """"), ""-"", "", ""), """")"),"")</f>
        <v/>
      </c>
      <c r="I1306" s="6"/>
      <c r="J1306" s="7" t="str">
        <f t="shared" ca="1" si="22"/>
        <v>(2026)</v>
      </c>
      <c r="K1306" s="7" t="str">
        <f t="shared" si="23"/>
        <v>20147673</v>
      </c>
      <c r="L1306" s="12" t="s">
        <v>6544</v>
      </c>
      <c r="M1306" s="13" t="str">
        <f ca="1">IFERROR(__xludf.DUMMYFUNCTION("TRIM(
  REGEXREPLACE(
    TEXTJOIN("" "",
      TRUE,
      B1306,
      C1306,
      embaralharLinks(E1306,F1306,G1306),
      H1306,
      """",
      J1306,
      N1306,
      ""#RIPNSFW""
    ),
  "",\s*"", "" "")
)"),"{New} Octokuro https://streamtape.com/v/Zb0vlywzD8Sq9ZR/20147673 https://lulustream.com/d/za50gd2zsewj https://doodstream.com/d/pgfpmt63w71h/20147673 (2026) #Anal #MILF #BigTits #Hardcore #Bigass #Roleplay #Artporn #RIPNSFW")</f>
        <v>{New} Octokuro https://streamtape.com/v/Zb0vlywzD8Sq9ZR/20147673 https://lulustream.com/d/za50gd2zsewj https://doodstream.com/d/pgfpmt63w71h/20147673 (2026) #Anal #MILF #BigTits #Hardcore #Bigass #Roleplay #Artporn #RIPNSFW</v>
      </c>
      <c r="N1306" s="14" t="s">
        <v>6545</v>
      </c>
      <c r="O1306" s="32" t="s">
        <v>6546</v>
      </c>
      <c r="P1306" s="14"/>
      <c r="Q1306" s="6"/>
      <c r="R1306" s="11"/>
      <c r="S1306" s="6"/>
      <c r="T1306" s="6"/>
      <c r="U1306" s="6"/>
      <c r="V1306" s="6"/>
      <c r="W1306" s="6"/>
      <c r="X1306" s="6"/>
      <c r="Y1306" s="6"/>
      <c r="Z1306" s="6"/>
      <c r="AA1306" s="6"/>
    </row>
    <row r="1307" spans="1:27" ht="12.75">
      <c r="A1307" s="12" t="s">
        <v>6547</v>
      </c>
      <c r="B1307" s="6" t="s">
        <v>14</v>
      </c>
      <c r="C1307" s="7" t="str">
        <f t="shared" si="20"/>
        <v xml:space="preserve">Octokuro </v>
      </c>
      <c r="D1307" s="24" t="s">
        <v>6548</v>
      </c>
      <c r="E1307" s="25" t="s">
        <v>6549</v>
      </c>
      <c r="F1307" s="9" t="str">
        <f ca="1">IFERROR(__xludf.DUMMYFUNCTION("""https://streamtape.com/v/""&amp;
REGEXEXTRACT(O1307,""/thumb/([^/]+)/"")&amp;
""/""&amp;K1307"),"https://streamtape.com/v/xmrbD6lO4PckeXR/20324869")</f>
        <v>https://streamtape.com/v/xmrbD6lO4PckeXR/20324869</v>
      </c>
      <c r="G1307" s="10" t="e">
        <f t="shared" ca="1" si="21"/>
        <v>#NAME?</v>
      </c>
      <c r="H1307" s="11" t="str">
        <f ca="1">IFERROR(__xludf.DUMMYFUNCTION("IFERROR(SUBSTITUTE(SUBSTITUTE(REGEXEXTRACT(A1307, ""[^-]+- [^-]+- [^-]+ - (.+?)\.jpg""), "".jpg"", """"), ""-"", "", ""), """")"),"")</f>
        <v/>
      </c>
      <c r="I1307" s="6"/>
      <c r="J1307" s="7" t="str">
        <f t="shared" ca="1" si="22"/>
        <v>(2026)</v>
      </c>
      <c r="K1307" s="7" t="str">
        <f t="shared" si="23"/>
        <v>20324869</v>
      </c>
      <c r="L1307" s="12" t="s">
        <v>2291</v>
      </c>
      <c r="M1307" s="13" t="str">
        <f ca="1">IFERROR(__xludf.DUMMYFUNCTION("TRIM(
  REGEXREPLACE(
    TEXTJOIN("" "",
      TRUE,
      B1307,
      C1307,
      embaralharLinks(E1307,F1307,G1307),
      H1307,
      """",
      J1307,
      N1307,
      ""#RIPNSFW""
    ),
  "",\s*"", "" "")
)"),"{New} Octokuro https://streamtape.com/v/xmrbD6lO4PckeXR/20324869 https://lulustream.com/d/21vhyrlu7u9m https://doodstream.com/d/szwma1glk4bs/20324869 (2026) #milf #bigtits #blowjob #bigass #RIPNSFW")</f>
        <v>{New} Octokuro https://streamtape.com/v/xmrbD6lO4PckeXR/20324869 https://lulustream.com/d/21vhyrlu7u9m https://doodstream.com/d/szwma1glk4bs/20324869 (2026) #milf #bigtits #blowjob #bigass #RIPNSFW</v>
      </c>
      <c r="N1307" s="2" t="s">
        <v>2291</v>
      </c>
      <c r="O1307" s="30" t="s">
        <v>6550</v>
      </c>
      <c r="P1307" s="26"/>
      <c r="R1307" s="23"/>
    </row>
    <row r="1308" spans="1:27" ht="12.75">
      <c r="A1308" s="12" t="s">
        <v>6551</v>
      </c>
      <c r="B1308" s="6" t="s">
        <v>14</v>
      </c>
      <c r="C1308" s="7" t="str">
        <f t="shared" si="20"/>
        <v xml:space="preserve">Octokuro </v>
      </c>
      <c r="D1308" s="24" t="s">
        <v>6552</v>
      </c>
      <c r="E1308" s="25" t="s">
        <v>6553</v>
      </c>
      <c r="F1308" s="9" t="str">
        <f ca="1">IFERROR(__xludf.DUMMYFUNCTION("""https://streamtape.com/v/""&amp;
REGEXEXTRACT(O1308,""/thumb/([^/]+)/"")&amp;
""/""&amp;K1308"),"https://streamtape.com/v/O7PVlm8DDafZAJW/22351742")</f>
        <v>https://streamtape.com/v/O7PVlm8DDafZAJW/22351742</v>
      </c>
      <c r="G1308" s="10" t="e">
        <f t="shared" ca="1" si="21"/>
        <v>#NAME?</v>
      </c>
      <c r="H1308" s="11" t="str">
        <f ca="1">IFERROR(__xludf.DUMMYFUNCTION("IFERROR(SUBSTITUTE(SUBSTITUTE(REGEXEXTRACT(A1308, ""[^-]+- [^-]+- [^-]+ - (.+?)\.jpg""), "".jpg"", """"), ""-"", "", ""), """")"),"")</f>
        <v/>
      </c>
      <c r="I1308" s="6"/>
      <c r="J1308" s="7" t="str">
        <f t="shared" ca="1" si="22"/>
        <v>(2026)</v>
      </c>
      <c r="K1308" s="7" t="str">
        <f t="shared" si="23"/>
        <v>22351742</v>
      </c>
      <c r="L1308" s="12" t="s">
        <v>4288</v>
      </c>
      <c r="M1308" s="13" t="str">
        <f ca="1">IFERROR(__xludf.DUMMYFUNCTION("TRIM(
  REGEXREPLACE(
    TEXTJOIN("" "",
      TRUE,
      B1308,
      C1308,
      embaralharLinks(E1308,F1308,G1308),
      H1308,
      """",
      J1308,
      N1308,
      ""#RIPNSFW""
    ),
  "",\s*"", "" "")
)"),"{New} Octokuro https://doodstream.com/d/tg0qsmuitrp2/22351742 https://lulustream.com/d/z9nr9w72na10 https://streamtape.com/v/O7PVlm8DDafZAJW/22351742 (2026) #anal #milf #bigtits #hardcore #RIPNSFW")</f>
        <v>{New} Octokuro https://doodstream.com/d/tg0qsmuitrp2/22351742 https://lulustream.com/d/z9nr9w72na10 https://streamtape.com/v/O7PVlm8DDafZAJW/22351742 (2026) #anal #milf #bigtits #hardcore #RIPNSFW</v>
      </c>
      <c r="N1308" s="2" t="s">
        <v>4288</v>
      </c>
      <c r="O1308" s="30" t="s">
        <v>6554</v>
      </c>
      <c r="P1308" s="26"/>
      <c r="R1308" s="23"/>
      <c r="T1308" s="6"/>
      <c r="U1308" s="7"/>
      <c r="Z1308" s="12"/>
      <c r="AA1308" s="12"/>
    </row>
    <row r="1309" spans="1:27" ht="12.75">
      <c r="A1309" s="12" t="s">
        <v>6555</v>
      </c>
      <c r="B1309" s="6" t="s">
        <v>14</v>
      </c>
      <c r="C1309" s="7" t="str">
        <f t="shared" si="20"/>
        <v xml:space="preserve">Octokuro </v>
      </c>
      <c r="D1309" s="24" t="s">
        <v>6556</v>
      </c>
      <c r="E1309" s="25" t="s">
        <v>6557</v>
      </c>
      <c r="F1309" s="9" t="str">
        <f ca="1">IFERROR(__xludf.DUMMYFUNCTION("""https://streamtape.com/v/""&amp;
REGEXEXTRACT(O1309,""/thumb/([^/]+)/"")&amp;
""/""&amp;K1309"),"https://streamtape.com/v/JX7R0rVWzvhj329/24693016")</f>
        <v>https://streamtape.com/v/JX7R0rVWzvhj329/24693016</v>
      </c>
      <c r="G1309" s="10" t="e">
        <f t="shared" ca="1" si="21"/>
        <v>#NAME?</v>
      </c>
      <c r="H1309" s="11" t="str">
        <f ca="1">IFERROR(__xludf.DUMMYFUNCTION("IFERROR(SUBSTITUTE(SUBSTITUTE(REGEXEXTRACT(A1309, ""[^-]+- [^-]+- [^-]+ - (.+?)\.jpg""), "".jpg"", """"), ""-"", "", ""), """")"),"")</f>
        <v/>
      </c>
      <c r="I1309" s="6"/>
      <c r="J1309" s="7" t="str">
        <f t="shared" ca="1" si="22"/>
        <v>(2026)</v>
      </c>
      <c r="K1309" s="7" t="str">
        <f t="shared" si="23"/>
        <v>24693016</v>
      </c>
      <c r="L1309" s="12" t="s">
        <v>1478</v>
      </c>
      <c r="M1309" s="13" t="str">
        <f ca="1">IFERROR(__xludf.DUMMYFUNCTION("TRIM(
  REGEXREPLACE(
    TEXTJOIN("" "",
      TRUE,
      B1309,
      C1309,
      embaralharLinks(E1309,F1309,G1309),
      H1309,
      """",
      J1309,
      N1309,
      ""#RIPNSFW""
    ),
  "",\s*"", "" "")
)"),"{New} Octokuro https://doodstream.com/d/32w0p06gqbdl/24693016 https://streamtape.com/v/JX7R0rVWzvhj329/24693016 https://lulustream.com/d/0yzxtv892j44 (2026) #milf #blowjob #bigtits #bigass #RIPNSFW")</f>
        <v>{New} Octokuro https://doodstream.com/d/32w0p06gqbdl/24693016 https://streamtape.com/v/JX7R0rVWzvhj329/24693016 https://lulustream.com/d/0yzxtv892j44 (2026) #milf #blowjob #bigtits #bigass #RIPNSFW</v>
      </c>
      <c r="N1309" s="2" t="s">
        <v>1478</v>
      </c>
      <c r="O1309" s="30" t="s">
        <v>6558</v>
      </c>
      <c r="P1309" s="26"/>
      <c r="R1309" s="23"/>
    </row>
    <row r="1310" spans="1:27" ht="12.75">
      <c r="A1310" s="12" t="s">
        <v>6559</v>
      </c>
      <c r="B1310" s="6" t="s">
        <v>14</v>
      </c>
      <c r="C1310" s="7" t="str">
        <f t="shared" si="20"/>
        <v xml:space="preserve">Octokuro </v>
      </c>
      <c r="D1310" s="7" t="s">
        <v>6560</v>
      </c>
      <c r="E1310" s="25" t="s">
        <v>6561</v>
      </c>
      <c r="F1310" s="9" t="str">
        <f ca="1">IFERROR(__xludf.DUMMYFUNCTION("""https://streamtape.com/v/""&amp;
REGEXEXTRACT(O1310,""/thumb/([^/]+)/"")&amp;
""/""&amp;K1310"),"https://streamtape.com/v/oL19Z4Z8RWUJ28Q/25831855")</f>
        <v>https://streamtape.com/v/oL19Z4Z8RWUJ28Q/25831855</v>
      </c>
      <c r="G1310" s="10" t="e">
        <f t="shared" ca="1" si="21"/>
        <v>#NAME?</v>
      </c>
      <c r="H1310" s="11" t="str">
        <f ca="1">IFERROR(__xludf.DUMMYFUNCTION("IFERROR(SUBSTITUTE(SUBSTITUTE(REGEXEXTRACT(A1310, ""[^-]+- [^-]+- [^-]+ - (.+?)\.jpg""), "".jpg"", """"), ""-"", "", ""), """")"),"")</f>
        <v/>
      </c>
      <c r="I1310" s="6"/>
      <c r="J1310" s="7" t="str">
        <f t="shared" ca="1" si="22"/>
        <v>(2026)</v>
      </c>
      <c r="K1310" s="7" t="str">
        <f t="shared" si="23"/>
        <v>25831855</v>
      </c>
      <c r="L1310" s="12" t="s">
        <v>6562</v>
      </c>
      <c r="M1310" s="13" t="str">
        <f ca="1">IFERROR(__xludf.DUMMYFUNCTION("TRIM(
  REGEXREPLACE(
    TEXTJOIN("" "",
      TRUE,
      B1310,
      C1310,
      embaralharLinks(E1310,F1310,G1310),
      H1310,
      """",
      J1310,
      N1310,
      ""#RIPNSFW""
    ),
  "",\s*"", "" "")
)"),"{New} Octokuro https://streamtape.com/v/oL19Z4Z8RWUJ28Q/25831855 https://doodstream.com/d/aqzd8xdxmq1i/25831855 https://lulustream.com/d/zp0myjax8z9z (2026) #MILF #Hardcore #Blowjob #Amateur #Deepthroat #RIPNSFW")</f>
        <v>{New} Octokuro https://streamtape.com/v/oL19Z4Z8RWUJ28Q/25831855 https://doodstream.com/d/aqzd8xdxmq1i/25831855 https://lulustream.com/d/zp0myjax8z9z (2026) #MILF #Hardcore #Blowjob #Amateur #Deepthroat #RIPNSFW</v>
      </c>
      <c r="N1310" s="2" t="s">
        <v>6563</v>
      </c>
      <c r="O1310" s="21" t="s">
        <v>6564</v>
      </c>
      <c r="P1310" s="26"/>
      <c r="R1310" s="23"/>
      <c r="T1310" s="6"/>
      <c r="U1310" s="7"/>
    </row>
    <row r="1311" spans="1:27" ht="12.75">
      <c r="A1311" s="6" t="s">
        <v>6565</v>
      </c>
      <c r="B1311" s="6" t="s">
        <v>14</v>
      </c>
      <c r="C1311" s="7" t="str">
        <f t="shared" si="20"/>
        <v xml:space="preserve">Octokuro </v>
      </c>
      <c r="D1311" s="6" t="s">
        <v>6566</v>
      </c>
      <c r="E1311" s="8" t="s">
        <v>6567</v>
      </c>
      <c r="F1311" s="9" t="str">
        <f ca="1">IFERROR(__xludf.DUMMYFUNCTION("""https://streamtape.com/v/""&amp;
REGEXEXTRACT(O1311,""/thumb/([^/]+)/"")&amp;
""/""&amp;K1311"),"https://streamtape.com/v/17A2L4d4vgI628/31843939")</f>
        <v>https://streamtape.com/v/17A2L4d4vgI628/31843939</v>
      </c>
      <c r="G1311" s="10" t="e">
        <f t="shared" ca="1" si="21"/>
        <v>#NAME?</v>
      </c>
      <c r="H1311" s="11" t="str">
        <f ca="1">IFERROR(__xludf.DUMMYFUNCTION("IFERROR(SUBSTITUTE(SUBSTITUTE(REGEXEXTRACT(A1311, ""[^-]+- [^-]+- [^-]+ - (.+?)\.jpg""), "".jpg"", """"), ""-"", "", ""), """")"),"")</f>
        <v/>
      </c>
      <c r="I1311" s="6"/>
      <c r="J1311" s="7" t="str">
        <f t="shared" ca="1" si="22"/>
        <v>(2026)</v>
      </c>
      <c r="K1311" s="7" t="str">
        <f t="shared" si="23"/>
        <v>31843939</v>
      </c>
      <c r="L1311" s="12" t="s">
        <v>6568</v>
      </c>
      <c r="M1311" s="13" t="str">
        <f ca="1">IFERROR(__xludf.DUMMYFUNCTION("TRIM(
  REGEXREPLACE(
    TEXTJOIN("" "",
      TRUE,
      B1311,
      C1311,
      embaralharLinks(E1311,F1311,G1311),
      H1311,
      """",
      J1311,
      N1311,
      ""#RIPNSFW""
    ),
  "",\s*"", "" "")
)"),"{New} Octokuro https://doodstream.com/d/7sx9jogea77a/31843939 https://streamtape.com/v/17A2L4d4vgI628/31843939 https://lulustream.com/d/dfcw1pe29rek (2026) #Anal #MILF #BigTits #Hardcore #Bigass #Threesome #Porn #Blowjob #Amateur #Deepthroat #RIPNSFW")</f>
        <v>{New} Octokuro https://doodstream.com/d/7sx9jogea77a/31843939 https://streamtape.com/v/17A2L4d4vgI628/31843939 https://lulustream.com/d/dfcw1pe29rek (2026) #Anal #MILF #BigTits #Hardcore #Bigass #Threesome #Porn #Blowjob #Amateur #Deepthroat #RIPNSFW</v>
      </c>
      <c r="N1311" s="14" t="s">
        <v>6569</v>
      </c>
      <c r="O1311" s="15" t="s">
        <v>6570</v>
      </c>
      <c r="P1311" s="14"/>
      <c r="Q1311" s="6"/>
      <c r="R1311" s="11"/>
      <c r="S1311" s="6"/>
      <c r="T1311" s="6"/>
      <c r="U1311" s="6"/>
      <c r="V1311" s="6"/>
      <c r="W1311" s="6"/>
      <c r="X1311" s="6"/>
      <c r="Y1311" s="6"/>
      <c r="Z1311" s="6"/>
      <c r="AA1311" s="6"/>
    </row>
    <row r="1312" spans="1:27" ht="12.75">
      <c r="A1312" s="6" t="s">
        <v>6571</v>
      </c>
      <c r="B1312" s="6" t="s">
        <v>14</v>
      </c>
      <c r="C1312" s="7" t="str">
        <f t="shared" si="20"/>
        <v xml:space="preserve">Octokuro </v>
      </c>
      <c r="D1312" s="29" t="s">
        <v>6572</v>
      </c>
      <c r="E1312" s="8" t="s">
        <v>6573</v>
      </c>
      <c r="F1312" s="9" t="str">
        <f ca="1">IFERROR(__xludf.DUMMYFUNCTION("""https://streamtape.com/v/""&amp;
REGEXEXTRACT(O1312,""/thumb/([^/]+)/"")&amp;
""/""&amp;K1312"),"https://streamtape.com/v/O2xGzVozMpsgkR/32073173")</f>
        <v>https://streamtape.com/v/O2xGzVozMpsgkR/32073173</v>
      </c>
      <c r="G1312" s="10" t="e">
        <f t="shared" ca="1" si="21"/>
        <v>#NAME?</v>
      </c>
      <c r="H1312" s="11" t="str">
        <f ca="1">IFERROR(__xludf.DUMMYFUNCTION("IFERROR(SUBSTITUTE(SUBSTITUTE(REGEXEXTRACT(A1312, ""[^-]+- [^-]+- [^-]+ - (.+?)\.jpg""), "".jpg"", """"), ""-"", "", ""), """")"),"")</f>
        <v/>
      </c>
      <c r="I1312" s="6"/>
      <c r="J1312" s="7" t="str">
        <f t="shared" ca="1" si="22"/>
        <v>(2026)</v>
      </c>
      <c r="K1312" s="7" t="str">
        <f t="shared" si="23"/>
        <v>32073173</v>
      </c>
      <c r="L1312" s="12" t="s">
        <v>6574</v>
      </c>
      <c r="M1312" s="13" t="str">
        <f ca="1">IFERROR(__xludf.DUMMYFUNCTION("TRIM(
  REGEXREPLACE(
    TEXTJOIN("" "",
      TRUE,
      B1312,
      C1312,
      embaralharLinks(E1312,F1312,G1312),
      H1312,
      """",
      J1312,
      N1312,
      ""#RIPNSFW""
    ),
  "",\s*"", "" "")
)"),"{New} Octokuro https://doodstream.com/d/0lewfyzjjfuj/32073173 https://lulustream.com/d/rptxuq1hun1o https://streamtape.com/v/O2xGzVozMpsgkR/32073173 (2026) #Anal #MILF #BigTits #Hardcore #Bigass #Roleplay #Artporn #Stepmom #Blowjob #Amateur #Mature #Hotwi"&amp;"fe #RIPNSFW")</f>
        <v>{New} Octokuro https://doodstream.com/d/0lewfyzjjfuj/32073173 https://lulustream.com/d/rptxuq1hun1o https://streamtape.com/v/O2xGzVozMpsgkR/32073173 (2026) #Anal #MILF #BigTits #Hardcore #Bigass #Roleplay #Artporn #Stepmom #Blowjob #Amateur #Mature #Hotwife #RIPNSFW</v>
      </c>
      <c r="N1312" s="14" t="s">
        <v>6575</v>
      </c>
      <c r="O1312" s="32" t="s">
        <v>6576</v>
      </c>
      <c r="P1312" s="14"/>
      <c r="Q1312" s="6"/>
      <c r="R1312" s="11"/>
      <c r="S1312" s="6"/>
      <c r="T1312" s="6"/>
      <c r="U1312" s="6"/>
      <c r="V1312" s="6"/>
      <c r="W1312" s="6"/>
      <c r="X1312" s="6"/>
      <c r="Y1312" s="6"/>
      <c r="Z1312" s="6"/>
      <c r="AA1312" s="6"/>
    </row>
    <row r="1313" spans="1:27" ht="12.75">
      <c r="A1313" s="12" t="s">
        <v>6577</v>
      </c>
      <c r="B1313" s="6" t="s">
        <v>14</v>
      </c>
      <c r="C1313" s="7" t="str">
        <f t="shared" si="20"/>
        <v xml:space="preserve">Octokuro </v>
      </c>
      <c r="D1313" s="27" t="s">
        <v>6578</v>
      </c>
      <c r="E1313" s="28" t="s">
        <v>6579</v>
      </c>
      <c r="F1313" s="9" t="str">
        <f ca="1">IFERROR(__xludf.DUMMYFUNCTION("""https://streamtape.com/v/""&amp;
REGEXEXTRACT(O1313,""/thumb/([^/]+)/"")&amp;
""/""&amp;K1313"),"https://streamtape.com/v/X29qW7kq8wSD7k2/34038524")</f>
        <v>https://streamtape.com/v/X29qW7kq8wSD7k2/34038524</v>
      </c>
      <c r="G1313" s="10" t="e">
        <f t="shared" ca="1" si="21"/>
        <v>#NAME?</v>
      </c>
      <c r="H1313" s="11" t="str">
        <f ca="1">IFERROR(__xludf.DUMMYFUNCTION("IFERROR(SUBSTITUTE(SUBSTITUTE(REGEXEXTRACT(A1313, ""[^-]+- [^-]+- [^-]+ - (.+?)\.jpg""), "".jpg"", """"), ""-"", "", ""), """")"),"")</f>
        <v/>
      </c>
      <c r="I1313" s="6"/>
      <c r="J1313" s="7" t="str">
        <f t="shared" ca="1" si="22"/>
        <v>(2026)</v>
      </c>
      <c r="K1313" s="7" t="str">
        <f t="shared" si="23"/>
        <v>34038524</v>
      </c>
      <c r="L1313" s="12" t="s">
        <v>127</v>
      </c>
      <c r="M1313" s="13" t="str">
        <f ca="1">IFERROR(__xludf.DUMMYFUNCTION("TRIM(
  REGEXREPLACE(
    TEXTJOIN("" "",
      TRUE,
      B1313,
      C1313,
      embaralharLinks(E1313,F1313,G1313),
      H1313,
      """",
      J1313,
      N1313,
      ""#RIPNSFW""
    ),
  "",\s*"", "" "")
)"),"{New} Octokuro https://lulustream.com/d/za8c4vrp5chs https://doodstream.com/d/odxe6wmssn8c/34038524 https://streamtape.com/v/X29qW7kq8wSD7k2/34038524 (2026) #MILF #BigTits #Hardcore #Bigass #RIPNSFW")</f>
        <v>{New} Octokuro https://lulustream.com/d/za8c4vrp5chs https://doodstream.com/d/odxe6wmssn8c/34038524 https://streamtape.com/v/X29qW7kq8wSD7k2/34038524 (2026) #MILF #BigTits #Hardcore #Bigass #RIPNSFW</v>
      </c>
      <c r="N1313" s="2" t="s">
        <v>128</v>
      </c>
      <c r="O1313" s="30" t="s">
        <v>6580</v>
      </c>
      <c r="P1313" s="26"/>
      <c r="R1313" s="23"/>
    </row>
    <row r="1314" spans="1:27" ht="12.75">
      <c r="A1314" s="6" t="s">
        <v>6581</v>
      </c>
      <c r="B1314" s="6" t="s">
        <v>14</v>
      </c>
      <c r="C1314" s="7" t="str">
        <f t="shared" si="20"/>
        <v xml:space="preserve">Octokuro </v>
      </c>
      <c r="D1314" s="24" t="s">
        <v>6582</v>
      </c>
      <c r="E1314" s="25" t="s">
        <v>6583</v>
      </c>
      <c r="F1314" s="9" t="str">
        <f ca="1">IFERROR(__xludf.DUMMYFUNCTION("""https://streamtape.com/v/""&amp;
REGEXEXTRACT(O1314,""/thumb/([^/]+)/"")&amp;
""/""&amp;K1314"),"https://streamtape.com/v/Vz6D4xlKB2h9aR/35071147")</f>
        <v>https://streamtape.com/v/Vz6D4xlKB2h9aR/35071147</v>
      </c>
      <c r="G1314" s="10" t="e">
        <f t="shared" ca="1" si="21"/>
        <v>#NAME?</v>
      </c>
      <c r="H1314" s="11" t="str">
        <f ca="1">IFERROR(__xludf.DUMMYFUNCTION("IFERROR(SUBSTITUTE(SUBSTITUTE(REGEXEXTRACT(A1314, ""[^-]+- [^-]+- [^-]+ - (.+?)\.jpg""), "".jpg"", """"), ""-"", "", ""), """")"),"")</f>
        <v/>
      </c>
      <c r="I1314" s="6"/>
      <c r="J1314" s="7" t="str">
        <f t="shared" ca="1" si="22"/>
        <v>(2026)</v>
      </c>
      <c r="K1314" s="7" t="str">
        <f t="shared" si="23"/>
        <v>35071147</v>
      </c>
      <c r="L1314" s="12" t="s">
        <v>6584</v>
      </c>
      <c r="M1314" s="13" t="str">
        <f ca="1">IFERROR(__xludf.DUMMYFUNCTION("TRIM(
  REGEXREPLACE(
    TEXTJOIN("" "",
      TRUE,
      B1314,
      C1314,
      embaralharLinks(E1314,F1314,G1314),
      H1314,
      """",
      J1314,
      N1314,
      ""#RIPNSFW""
    ),
  "",\s*"", "" "")
)"),"{New} Octokuro https://streamtape.com/v/Vz6D4xlKB2h9aR/35071147 https://lulustream.com/d/28i5hv6uedf6 https://doodstream.com/d/upyq87i0m2x9/35071147 (2026) #blowjob #milf #bigtits #anal #RIPNSFW")</f>
        <v>{New} Octokuro https://streamtape.com/v/Vz6D4xlKB2h9aR/35071147 https://lulustream.com/d/28i5hv6uedf6 https://doodstream.com/d/upyq87i0m2x9/35071147 (2026) #blowjob #milf #bigtits #anal #RIPNSFW</v>
      </c>
      <c r="N1314" s="31" t="s">
        <v>6584</v>
      </c>
      <c r="O1314" s="32" t="s">
        <v>6585</v>
      </c>
      <c r="P1314" s="26"/>
      <c r="Q1314" s="6"/>
      <c r="R1314" s="11"/>
      <c r="S1314" s="6"/>
      <c r="T1314" s="6"/>
      <c r="U1314" s="6"/>
      <c r="V1314" s="6"/>
      <c r="W1314" s="6"/>
      <c r="X1314" s="6"/>
      <c r="Y1314" s="6"/>
      <c r="Z1314" s="6"/>
      <c r="AA1314" s="6"/>
    </row>
    <row r="1315" spans="1:27" ht="12.75">
      <c r="A1315" s="12" t="s">
        <v>6586</v>
      </c>
      <c r="B1315" s="6" t="s">
        <v>14</v>
      </c>
      <c r="C1315" s="7" t="str">
        <f t="shared" si="20"/>
        <v xml:space="preserve">Octokuro </v>
      </c>
      <c r="D1315" s="24" t="s">
        <v>6587</v>
      </c>
      <c r="E1315" s="25" t="s">
        <v>6588</v>
      </c>
      <c r="F1315" s="9" t="str">
        <f ca="1">IFERROR(__xludf.DUMMYFUNCTION("""https://streamtape.com/v/""&amp;
REGEXEXTRACT(O1315,""/thumb/([^/]+)/"")&amp;
""/""&amp;K1315"),"https://streamtape.com/v/Z2M3Ll29A3HMLB/37754208")</f>
        <v>https://streamtape.com/v/Z2M3Ll29A3HMLB/37754208</v>
      </c>
      <c r="G1315" s="10" t="e">
        <f t="shared" ca="1" si="21"/>
        <v>#NAME?</v>
      </c>
      <c r="H1315" s="11" t="str">
        <f ca="1">IFERROR(__xludf.DUMMYFUNCTION("IFERROR(SUBSTITUTE(SUBSTITUTE(REGEXEXTRACT(A1315, ""[^-]+- [^-]+- [^-]+ - (.+?)\.jpg""), "".jpg"", """"), ""-"", "", ""), """")"),"")</f>
        <v/>
      </c>
      <c r="I1315" s="6"/>
      <c r="J1315" s="7" t="str">
        <f t="shared" ca="1" si="22"/>
        <v>(2026)</v>
      </c>
      <c r="K1315" s="7" t="str">
        <f t="shared" si="23"/>
        <v>37754208</v>
      </c>
      <c r="L1315" s="12" t="s">
        <v>3883</v>
      </c>
      <c r="M1315" s="13" t="str">
        <f ca="1">IFERROR(__xludf.DUMMYFUNCTION("TRIM(
  REGEXREPLACE(
    TEXTJOIN("" "",
      TRUE,
      B1315,
      C1315,
      embaralharLinks(E1315,F1315,G1315),
      H1315,
      """",
      J1315,
      N1315,
      ""#RIPNSFW""
    ),
  "",\s*"", "" "")
)"),"{New} Octokuro https://streamtape.com/v/Z2M3Ll29A3HMLB/37754208 https://lulustream.com/d/d65sbu3ggw04 https://doodstream.com/d/10p6yoevhgnr/37754208 (2026) #bigtits #milf #hardcore #bigass #RIPNSFW")</f>
        <v>{New} Octokuro https://streamtape.com/v/Z2M3Ll29A3HMLB/37754208 https://lulustream.com/d/d65sbu3ggw04 https://doodstream.com/d/10p6yoevhgnr/37754208 (2026) #bigtits #milf #hardcore #bigass #RIPNSFW</v>
      </c>
      <c r="N1315" s="2" t="s">
        <v>3883</v>
      </c>
      <c r="O1315" s="30" t="s">
        <v>6589</v>
      </c>
      <c r="P1315" s="26"/>
      <c r="R1315" s="23"/>
      <c r="T1315" s="11"/>
      <c r="U1315" s="13"/>
    </row>
    <row r="1316" spans="1:27" ht="12.75">
      <c r="A1316" s="12" t="s">
        <v>6590</v>
      </c>
      <c r="B1316" s="6" t="s">
        <v>14</v>
      </c>
      <c r="C1316" s="7" t="str">
        <f t="shared" si="20"/>
        <v xml:space="preserve">Octokuro </v>
      </c>
      <c r="D1316" s="24" t="s">
        <v>6591</v>
      </c>
      <c r="E1316" s="25" t="s">
        <v>6592</v>
      </c>
      <c r="F1316" s="9" t="str">
        <f ca="1">IFERROR(__xludf.DUMMYFUNCTION("""https://streamtape.com/v/""&amp;
REGEXEXTRACT(O1316,""/thumb/([^/]+)/"")&amp;
""/""&amp;K1316"),"https://streamtape.com/v/oAry77vd4YCJk9q/40551953")</f>
        <v>https://streamtape.com/v/oAry77vd4YCJk9q/40551953</v>
      </c>
      <c r="G1316" s="10" t="e">
        <f t="shared" ca="1" si="21"/>
        <v>#NAME?</v>
      </c>
      <c r="H1316" s="11" t="str">
        <f ca="1">IFERROR(__xludf.DUMMYFUNCTION("IFERROR(SUBSTITUTE(SUBSTITUTE(REGEXEXTRACT(A1316, ""[^-]+- [^-]+- [^-]+ - (.+?)\.jpg""), "".jpg"", """"), ""-"", "", ""), """")"),"")</f>
        <v/>
      </c>
      <c r="I1316" s="6"/>
      <c r="J1316" s="7" t="str">
        <f t="shared" ca="1" si="22"/>
        <v>(2026)</v>
      </c>
      <c r="K1316" s="7" t="str">
        <f t="shared" si="23"/>
        <v>40551953</v>
      </c>
      <c r="L1316" s="12" t="s">
        <v>6593</v>
      </c>
      <c r="M1316" s="13" t="str">
        <f ca="1">IFERROR(__xludf.DUMMYFUNCTION("TRIM(
  REGEXREPLACE(
    TEXTJOIN("" "",
      TRUE,
      B1316,
      C1316,
      embaralharLinks(E1316,F1316,G1316),
      H1316,
      """",
      J1316,
      N1316,
      ""#RIPNSFW""
    ),
  "",\s*"", "" "")
)"),"{New} Octokuro https://doodstream.com/d/jlqi4k6v1g1f/40551953 https://lulustream.com/d/17hpp57yt0jj https://streamtape.com/v/oAry77vd4YCJk9q/40551953 (2026) #doublepenetration #anal #bigass #bigtits #RIPNSFW")</f>
        <v>{New} Octokuro https://doodstream.com/d/jlqi4k6v1g1f/40551953 https://lulustream.com/d/17hpp57yt0jj https://streamtape.com/v/oAry77vd4YCJk9q/40551953 (2026) #doublepenetration #anal #bigass #bigtits #RIPNSFW</v>
      </c>
      <c r="N1316" s="2" t="s">
        <v>6593</v>
      </c>
      <c r="O1316" s="30" t="s">
        <v>6594</v>
      </c>
      <c r="P1316" s="26"/>
      <c r="R1316" s="23"/>
      <c r="T1316" s="6"/>
      <c r="U1316" s="7"/>
    </row>
    <row r="1317" spans="1:27" ht="12.75">
      <c r="A1317" s="12" t="s">
        <v>6595</v>
      </c>
      <c r="B1317" s="6" t="s">
        <v>14</v>
      </c>
      <c r="C1317" s="7" t="str">
        <f t="shared" si="20"/>
        <v xml:space="preserve">Octokuro </v>
      </c>
      <c r="D1317" s="24" t="s">
        <v>6596</v>
      </c>
      <c r="E1317" s="25" t="s">
        <v>6597</v>
      </c>
      <c r="F1317" s="9" t="str">
        <f ca="1">IFERROR(__xludf.DUMMYFUNCTION("""https://streamtape.com/v/""&amp;
REGEXEXTRACT(O1317,""/thumb/([^/]+)/"")&amp;
""/""&amp;K1317"),"https://streamtape.com/v/LMveWBykDvHRKvA/41129594")</f>
        <v>https://streamtape.com/v/LMveWBykDvHRKvA/41129594</v>
      </c>
      <c r="G1317" s="10" t="e">
        <f t="shared" ca="1" si="21"/>
        <v>#NAME?</v>
      </c>
      <c r="H1317" s="11" t="str">
        <f ca="1">IFERROR(__xludf.DUMMYFUNCTION("IFERROR(SUBSTITUTE(SUBSTITUTE(REGEXEXTRACT(A1317, ""[^-]+- [^-]+- [^-]+ - (.+?)\.jpg""), "".jpg"", """"), ""-"", "", ""), """")"),"")</f>
        <v/>
      </c>
      <c r="I1317" s="6"/>
      <c r="J1317" s="7" t="str">
        <f t="shared" ca="1" si="22"/>
        <v>(2026)</v>
      </c>
      <c r="K1317" s="7" t="str">
        <f t="shared" si="23"/>
        <v>41129594</v>
      </c>
      <c r="L1317" s="12" t="s">
        <v>1462</v>
      </c>
      <c r="M1317" s="13" t="str">
        <f ca="1">IFERROR(__xludf.DUMMYFUNCTION("TRIM(
  REGEXREPLACE(
    TEXTJOIN("" "",
      TRUE,
      B1317,
      C1317,
      embaralharLinks(E1317,F1317,G1317),
      H1317,
      """",
      J1317,
      N1317,
      ""#RIPNSFW""
    ),
  "",\s*"", "" "")
)"),"{New} Octokuro https://doodstream.com/d/2qlv9mdjzl2z/41129594 https://lulustream.com/d/670i1m7tavv2 https://streamtape.com/v/LMveWBykDvHRKvA/41129594 (2026) #milf #bigtits #bigass #blowjob #RIPNSFW")</f>
        <v>{New} Octokuro https://doodstream.com/d/2qlv9mdjzl2z/41129594 https://lulustream.com/d/670i1m7tavv2 https://streamtape.com/v/LMveWBykDvHRKvA/41129594 (2026) #milf #bigtits #bigass #blowjob #RIPNSFW</v>
      </c>
      <c r="N1317" s="2" t="s">
        <v>1462</v>
      </c>
      <c r="O1317" s="30" t="s">
        <v>6598</v>
      </c>
      <c r="P1317" s="26"/>
      <c r="R1317" s="23"/>
    </row>
    <row r="1318" spans="1:27" ht="12.75">
      <c r="A1318" s="16" t="s">
        <v>6599</v>
      </c>
      <c r="B1318" s="11" t="s">
        <v>14</v>
      </c>
      <c r="C1318" s="13" t="str">
        <f t="shared" si="20"/>
        <v xml:space="preserve">Octokuro </v>
      </c>
      <c r="D1318" s="17" t="s">
        <v>6600</v>
      </c>
      <c r="E1318" s="18" t="s">
        <v>6601</v>
      </c>
      <c r="F1318" s="9" t="str">
        <f ca="1">IFERROR(__xludf.DUMMYFUNCTION("""https://streamtape.com/v/""&amp;
REGEXEXTRACT(O1318,""/thumb/([^/]+)/"")&amp;
""/""&amp;K1318"),"https://streamtape.com/v/3a6yp46ZK7Hdwpg/42043379")</f>
        <v>https://streamtape.com/v/3a6yp46ZK7Hdwpg/42043379</v>
      </c>
      <c r="G1318" s="10" t="e">
        <f t="shared" ca="1" si="21"/>
        <v>#NAME?</v>
      </c>
      <c r="H1318" s="11" t="str">
        <f ca="1">IFERROR(__xludf.DUMMYFUNCTION("IFERROR(SUBSTITUTE(SUBSTITUTE(REGEXEXTRACT(A1318, ""[^-]+- [^-]+- [^-]+ - (.+?)\.jpg""), "".jpg"", """"), ""-"", "", ""), """")"),"")</f>
        <v/>
      </c>
      <c r="I1318" s="11"/>
      <c r="J1318" s="13" t="str">
        <f t="shared" ca="1" si="22"/>
        <v>(2026)</v>
      </c>
      <c r="K1318" s="13" t="str">
        <f t="shared" si="23"/>
        <v>42043379</v>
      </c>
      <c r="L1318" s="12" t="s">
        <v>3883</v>
      </c>
      <c r="M1318" s="13" t="str">
        <f ca="1">IFERROR(__xludf.DUMMYFUNCTION("TRIM(
  REGEXREPLACE(
    TEXTJOIN("" "",
      TRUE,
      B1318,
      C1318,
      embaralharLinks(E1318,F1318,G1318),
      H1318,
      """",
      J1318,
      N1318,
      ""#RIPNSFW""
    ),
  "",\s*"", "" "")
)"),"{New} Octokuro https://streamtape.com/v/3a6yp46ZK7Hdwpg/42043379 https://doodstream.com/d/epg8unrpp3l8/42043379 https://lulustream.com/d/o6ek36scntni (2026) #bigtits #milf #hardcore #bigass #RIPNSFW")</f>
        <v>{New} Octokuro https://streamtape.com/v/3a6yp46ZK7Hdwpg/42043379 https://doodstream.com/d/epg8unrpp3l8/42043379 https://lulustream.com/d/o6ek36scntni (2026) #bigtits #milf #hardcore #bigass #RIPNSFW</v>
      </c>
      <c r="N1318" s="20" t="s">
        <v>3883</v>
      </c>
      <c r="O1318" s="30" t="s">
        <v>6602</v>
      </c>
      <c r="P1318" s="26"/>
      <c r="R1318" s="23"/>
      <c r="T1318" s="6"/>
      <c r="U1318" s="7"/>
    </row>
    <row r="1319" spans="1:27" ht="12.75">
      <c r="A1319" s="6" t="s">
        <v>6603</v>
      </c>
      <c r="B1319" s="6" t="s">
        <v>14</v>
      </c>
      <c r="C1319" s="7" t="str">
        <f t="shared" si="20"/>
        <v xml:space="preserve">Octokuro </v>
      </c>
      <c r="D1319" s="24" t="s">
        <v>6604</v>
      </c>
      <c r="E1319" s="25" t="s">
        <v>6605</v>
      </c>
      <c r="F1319" s="9" t="str">
        <f ca="1">IFERROR(__xludf.DUMMYFUNCTION("""https://streamtape.com/v/""&amp;
REGEXEXTRACT(O1319,""/thumb/([^/]+)/"")&amp;
""/""&amp;K1319"),"https://streamtape.com/v/VxQgeWkKbPuKJXK/43317682")</f>
        <v>https://streamtape.com/v/VxQgeWkKbPuKJXK/43317682</v>
      </c>
      <c r="G1319" s="10" t="e">
        <f t="shared" ca="1" si="21"/>
        <v>#NAME?</v>
      </c>
      <c r="H1319" s="11" t="str">
        <f ca="1">IFERROR(__xludf.DUMMYFUNCTION("IFERROR(SUBSTITUTE(SUBSTITUTE(REGEXEXTRACT(A1319, ""[^-]+- [^-]+- [^-]+ - (.+?)\.jpg""), "".jpg"", """"), ""-"", "", ""), """")"),"")</f>
        <v/>
      </c>
      <c r="I1319" s="6"/>
      <c r="J1319" s="7" t="str">
        <f t="shared" ca="1" si="22"/>
        <v>(2026)</v>
      </c>
      <c r="K1319" s="7" t="str">
        <f t="shared" si="23"/>
        <v>43317682</v>
      </c>
      <c r="L1319" s="12" t="s">
        <v>1711</v>
      </c>
      <c r="M1319" s="13" t="str">
        <f ca="1">IFERROR(__xludf.DUMMYFUNCTION("TRIM(
  REGEXREPLACE(
    TEXTJOIN("" "",
      TRUE,
      B1319,
      C1319,
      embaralharLinks(E1319,F1319,G1319),
      H1319,
      """",
      J1319,
      N1319,
      ""#RIPNSFW""
    ),
  "",\s*"", "" "")
)"),"{New} Octokuro https://streamtape.com/v/VxQgeWkKbPuKJXK/43317682 https://doodstream.com/d/4epcul7rqz6t/43317682 https://lulustream.com/d/vtlrisyeb1xi (2026) #milf #bigass #bigtits #blowjob #RIPNSFW")</f>
        <v>{New} Octokuro https://streamtape.com/v/VxQgeWkKbPuKJXK/43317682 https://doodstream.com/d/4epcul7rqz6t/43317682 https://lulustream.com/d/vtlrisyeb1xi (2026) #milf #bigass #bigtits #blowjob #RIPNSFW</v>
      </c>
      <c r="N1319" s="31" t="s">
        <v>1711</v>
      </c>
      <c r="O1319" s="32" t="s">
        <v>6606</v>
      </c>
      <c r="P1319" s="26"/>
      <c r="R1319" s="23"/>
      <c r="T1319" s="6"/>
      <c r="U1319" s="7"/>
    </row>
    <row r="1320" spans="1:27" ht="12.75">
      <c r="A1320" s="12" t="s">
        <v>6607</v>
      </c>
      <c r="B1320" s="6" t="s">
        <v>14</v>
      </c>
      <c r="C1320" s="7" t="str">
        <f t="shared" si="20"/>
        <v xml:space="preserve">Octokuro </v>
      </c>
      <c r="D1320" s="24" t="s">
        <v>6608</v>
      </c>
      <c r="E1320" s="25" t="s">
        <v>6609</v>
      </c>
      <c r="F1320" s="9" t="str">
        <f ca="1">IFERROR(__xludf.DUMMYFUNCTION("""https://streamtape.com/v/""&amp;
REGEXEXTRACT(O1320,""/thumb/([^/]+)/"")&amp;
""/""&amp;K1320"),"https://streamtape.com/v/VxQ6WdqZpACK7lM/43587736")</f>
        <v>https://streamtape.com/v/VxQ6WdqZpACK7lM/43587736</v>
      </c>
      <c r="G1320" s="10" t="e">
        <f t="shared" ca="1" si="21"/>
        <v>#NAME?</v>
      </c>
      <c r="H1320" s="11" t="str">
        <f ca="1">IFERROR(__xludf.DUMMYFUNCTION("IFERROR(SUBSTITUTE(SUBSTITUTE(REGEXEXTRACT(A1320, ""[^-]+- [^-]+- [^-]+ - (.+?)\.jpg""), "".jpg"", """"), ""-"", "", ""), """")"),"")</f>
        <v/>
      </c>
      <c r="I1320" s="6"/>
      <c r="J1320" s="7" t="str">
        <f t="shared" ca="1" si="22"/>
        <v>(2026)</v>
      </c>
      <c r="K1320" s="7" t="str">
        <f t="shared" si="23"/>
        <v>43587736</v>
      </c>
      <c r="L1320" s="12" t="s">
        <v>1462</v>
      </c>
      <c r="M1320" s="13" t="str">
        <f ca="1">IFERROR(__xludf.DUMMYFUNCTION("TRIM(
  REGEXREPLACE(
    TEXTJOIN("" "",
      TRUE,
      B1320,
      C1320,
      embaralharLinks(E1320,F1320,G1320),
      H1320,
      """",
      J1320,
      N1320,
      ""#RIPNSFW""
    ),
  "",\s*"", "" "")
)"),"{New} Octokuro https://doodstream.com/d/u0hfkr8yzd1x/43587736 https://lulustream.com/d/k9t1maetjr3p https://streamtape.com/v/VxQ6WdqZpACK7lM/43587736 (2026) #milf #bigtits #bigass #blowjob #RIPNSFW")</f>
        <v>{New} Octokuro https://doodstream.com/d/u0hfkr8yzd1x/43587736 https://lulustream.com/d/k9t1maetjr3p https://streamtape.com/v/VxQ6WdqZpACK7lM/43587736 (2026) #milf #bigtits #bigass #blowjob #RIPNSFW</v>
      </c>
      <c r="N1320" s="2" t="s">
        <v>1462</v>
      </c>
      <c r="O1320" s="30" t="s">
        <v>6610</v>
      </c>
      <c r="P1320" s="26"/>
      <c r="R1320" s="23"/>
    </row>
    <row r="1321" spans="1:27" ht="12.75">
      <c r="A1321" s="12" t="s">
        <v>6611</v>
      </c>
      <c r="B1321" s="6" t="s">
        <v>14</v>
      </c>
      <c r="C1321" s="7" t="str">
        <f t="shared" si="20"/>
        <v xml:space="preserve">Octokuro </v>
      </c>
      <c r="D1321" s="24" t="s">
        <v>6612</v>
      </c>
      <c r="E1321" s="25" t="s">
        <v>6613</v>
      </c>
      <c r="F1321" s="9" t="str">
        <f ca="1">IFERROR(__xludf.DUMMYFUNCTION("""https://streamtape.com/v/""&amp;
REGEXEXTRACT(O1321,""/thumb/([^/]+)/"")&amp;
""/""&amp;K1321"),"https://streamtape.com/v/RQMd6WlMxlCJv8/46438824")</f>
        <v>https://streamtape.com/v/RQMd6WlMxlCJv8/46438824</v>
      </c>
      <c r="G1321" s="10" t="e">
        <f t="shared" ca="1" si="21"/>
        <v>#NAME?</v>
      </c>
      <c r="H1321" s="11" t="str">
        <f ca="1">IFERROR(__xludf.DUMMYFUNCTION("IFERROR(SUBSTITUTE(SUBSTITUTE(REGEXEXTRACT(A1321, ""[^-]+- [^-]+- [^-]+ - (.+?)\.jpg""), "".jpg"", """"), ""-"", "", ""), """")"),"")</f>
        <v/>
      </c>
      <c r="I1321" s="6"/>
      <c r="J1321" s="7" t="str">
        <f t="shared" ca="1" si="22"/>
        <v>(2026)</v>
      </c>
      <c r="K1321" s="7" t="str">
        <f t="shared" si="23"/>
        <v>46438824</v>
      </c>
      <c r="L1321" s="12" t="s">
        <v>1711</v>
      </c>
      <c r="M1321" s="13" t="str">
        <f ca="1">IFERROR(__xludf.DUMMYFUNCTION("TRIM(
  REGEXREPLACE(
    TEXTJOIN("" "",
      TRUE,
      B1321,
      C1321,
      embaralharLinks(E1321,F1321,G1321),
      H1321,
      """",
      J1321,
      N1321,
      ""#RIPNSFW""
    ),
  "",\s*"", "" "")
)"),"{New} Octokuro https://doodstream.com/d/6di85wamqgou/46438824 https://streamtape.com/v/RQMd6WlMxlCJv8/46438824 https://lulustream.com/d/mpexvppcga84 (2026) #milf #bigass #bigtits #blowjob #RIPNSFW")</f>
        <v>{New} Octokuro https://doodstream.com/d/6di85wamqgou/46438824 https://streamtape.com/v/RQMd6WlMxlCJv8/46438824 https://lulustream.com/d/mpexvppcga84 (2026) #milf #bigass #bigtits #blowjob #RIPNSFW</v>
      </c>
      <c r="N1321" s="2" t="s">
        <v>1711</v>
      </c>
      <c r="O1321" s="30" t="s">
        <v>6614</v>
      </c>
      <c r="P1321" s="26"/>
      <c r="R1321" s="23"/>
    </row>
    <row r="1322" spans="1:27" ht="12.75">
      <c r="A1322" s="6" t="s">
        <v>6615</v>
      </c>
      <c r="B1322" s="6" t="s">
        <v>14</v>
      </c>
      <c r="C1322" s="7" t="str">
        <f t="shared" si="20"/>
        <v xml:space="preserve">Octokuro </v>
      </c>
      <c r="D1322" s="6" t="s">
        <v>6616</v>
      </c>
      <c r="E1322" s="8" t="s">
        <v>6617</v>
      </c>
      <c r="F1322" s="9" t="str">
        <f ca="1">IFERROR(__xludf.DUMMYFUNCTION("""https://streamtape.com/v/""&amp;
REGEXEXTRACT(O1322,""/thumb/([^/]+)/"")&amp;
""/""&amp;K1322"),"https://streamtape.com/v/QA14g42DAQCG7Y/47863179")</f>
        <v>https://streamtape.com/v/QA14g42DAQCG7Y/47863179</v>
      </c>
      <c r="G1322" s="10" t="e">
        <f t="shared" ca="1" si="21"/>
        <v>#NAME?</v>
      </c>
      <c r="H1322" s="11" t="str">
        <f ca="1">IFERROR(__xludf.DUMMYFUNCTION("IFERROR(SUBSTITUTE(SUBSTITUTE(REGEXEXTRACT(A1322, ""[^-]+- [^-]+- [^-]+ - (.+?)\.jpg""), "".jpg"", """"), ""-"", "", ""), """")"),"")</f>
        <v/>
      </c>
      <c r="I1322" s="6"/>
      <c r="J1322" s="7" t="str">
        <f t="shared" ca="1" si="22"/>
        <v>(2026)</v>
      </c>
      <c r="K1322" s="7" t="str">
        <f t="shared" si="23"/>
        <v>47863179</v>
      </c>
      <c r="L1322" s="12" t="s">
        <v>6618</v>
      </c>
      <c r="M1322" s="13" t="str">
        <f ca="1">IFERROR(__xludf.DUMMYFUNCTION("TRIM(
  REGEXREPLACE(
    TEXTJOIN("" "",
      TRUE,
      B1322,
      C1322,
      embaralharLinks(E1322,F1322,G1322),
      H1322,
      """",
      J1322,
      N1322,
      ""#RIPNSFW""
    ),
  "",\s*"", "" "")
)"),"{New} Octokuro https://lulustream.com/d/49twtvt2z3ww https://doodstream.com/d/fc1s74ajnyer/47863179 https://streamtape.com/v/QA14g42DAQCG7Y/47863179 (2026) #MILF #BigTits #Hardcore #Bigass #Roleplay #Blowjob #RIPNSFW")</f>
        <v>{New} Octokuro https://lulustream.com/d/49twtvt2z3ww https://doodstream.com/d/fc1s74ajnyer/47863179 https://streamtape.com/v/QA14g42DAQCG7Y/47863179 (2026) #MILF #BigTits #Hardcore #Bigass #Roleplay #Blowjob #RIPNSFW</v>
      </c>
      <c r="N1322" s="14" t="s">
        <v>4327</v>
      </c>
      <c r="O1322" s="15" t="s">
        <v>6619</v>
      </c>
      <c r="P1322" s="14"/>
      <c r="Q1322" s="6"/>
      <c r="R1322" s="11"/>
      <c r="S1322" s="6"/>
      <c r="T1322" s="6"/>
      <c r="U1322" s="6"/>
      <c r="V1322" s="6"/>
      <c r="W1322" s="6"/>
      <c r="X1322" s="6"/>
      <c r="Y1322" s="6"/>
      <c r="Z1322" s="6"/>
      <c r="AA1322" s="6"/>
    </row>
    <row r="1323" spans="1:27" ht="12.75">
      <c r="A1323" s="12" t="s">
        <v>6620</v>
      </c>
      <c r="B1323" s="6" t="s">
        <v>14</v>
      </c>
      <c r="C1323" s="7" t="str">
        <f t="shared" si="20"/>
        <v xml:space="preserve">Octokuro </v>
      </c>
      <c r="D1323" s="24" t="s">
        <v>6621</v>
      </c>
      <c r="E1323" s="25" t="s">
        <v>6622</v>
      </c>
      <c r="F1323" s="9" t="str">
        <f ca="1">IFERROR(__xludf.DUMMYFUNCTION("""https://streamtape.com/v/""&amp;
REGEXEXTRACT(O1323,""/thumb/([^/]+)/"")&amp;
""/""&amp;K1323"),"https://streamtape.com/v/re3DqAqYXWtb0Wo/48603480")</f>
        <v>https://streamtape.com/v/re3DqAqYXWtb0Wo/48603480</v>
      </c>
      <c r="G1323" s="10" t="e">
        <f t="shared" ca="1" si="21"/>
        <v>#NAME?</v>
      </c>
      <c r="H1323" s="11" t="str">
        <f ca="1">IFERROR(__xludf.DUMMYFUNCTION("IFERROR(SUBSTITUTE(SUBSTITUTE(REGEXEXTRACT(A1323, ""[^-]+- [^-]+- [^-]+ - (.+?)\.jpg""), "".jpg"", """"), ""-"", "", ""), """")"),"")</f>
        <v/>
      </c>
      <c r="I1323" s="6"/>
      <c r="J1323" s="7" t="str">
        <f t="shared" ca="1" si="22"/>
        <v>(2026)</v>
      </c>
      <c r="K1323" s="7" t="str">
        <f t="shared" si="23"/>
        <v>48603480</v>
      </c>
      <c r="L1323" s="12" t="s">
        <v>1462</v>
      </c>
      <c r="M1323" s="13" t="str">
        <f ca="1">IFERROR(__xludf.DUMMYFUNCTION("TRIM(
  REGEXREPLACE(
    TEXTJOIN("" "",
      TRUE,
      B1323,
      C1323,
      embaralharLinks(E1323,F1323,G1323),
      H1323,
      """",
      J1323,
      N1323,
      ""#RIPNSFW""
    ),
  "",\s*"", "" "")
)"),"{New} Octokuro https://doodstream.com/d/sa6ss0p9bu5g/48603480 https://streamtape.com/v/re3DqAqYXWtb0Wo/48603480 https://lulustream.com/d/s6206vzfa42e (2026) #milf #bigtits #bigass #blowjob #RIPNSFW")</f>
        <v>{New} Octokuro https://doodstream.com/d/sa6ss0p9bu5g/48603480 https://streamtape.com/v/re3DqAqYXWtb0Wo/48603480 https://lulustream.com/d/s6206vzfa42e (2026) #milf #bigtits #bigass #blowjob #RIPNSFW</v>
      </c>
      <c r="N1323" s="2" t="s">
        <v>1462</v>
      </c>
      <c r="O1323" s="30" t="s">
        <v>6623</v>
      </c>
      <c r="P1323" s="26"/>
      <c r="R1323" s="23"/>
    </row>
    <row r="1324" spans="1:27" ht="12.75">
      <c r="A1324" s="12" t="s">
        <v>6624</v>
      </c>
      <c r="B1324" s="6" t="s">
        <v>14</v>
      </c>
      <c r="C1324" s="7" t="str">
        <f t="shared" si="20"/>
        <v xml:space="preserve">Octokuro </v>
      </c>
      <c r="D1324" s="24" t="s">
        <v>6625</v>
      </c>
      <c r="E1324" s="25" t="s">
        <v>6626</v>
      </c>
      <c r="F1324" s="9" t="str">
        <f ca="1">IFERROR(__xludf.DUMMYFUNCTION("""https://streamtape.com/v/""&amp;
REGEXEXTRACT(O1324,""/thumb/([^/]+)/"")&amp;
""/""&amp;K1324"),"https://streamtape.com/v/o684pqVeLaHJ4lY/52294903")</f>
        <v>https://streamtape.com/v/o684pqVeLaHJ4lY/52294903</v>
      </c>
      <c r="G1324" s="10" t="e">
        <f t="shared" ca="1" si="21"/>
        <v>#NAME?</v>
      </c>
      <c r="H1324" s="11" t="str">
        <f ca="1">IFERROR(__xludf.DUMMYFUNCTION("IFERROR(SUBSTITUTE(SUBSTITUTE(REGEXEXTRACT(A1324, ""[^-]+- [^-]+- [^-]+ - (.+?)\.jpg""), "".jpg"", """"), ""-"", "", ""), """")"),"")</f>
        <v/>
      </c>
      <c r="I1324" s="6"/>
      <c r="J1324" s="7" t="str">
        <f t="shared" ca="1" si="22"/>
        <v>(2026)</v>
      </c>
      <c r="K1324" s="7" t="str">
        <f t="shared" si="23"/>
        <v>52294903</v>
      </c>
      <c r="L1324" s="12" t="s">
        <v>1462</v>
      </c>
      <c r="M1324" s="13" t="str">
        <f ca="1">IFERROR(__xludf.DUMMYFUNCTION("TRIM(
  REGEXREPLACE(
    TEXTJOIN("" "",
      TRUE,
      B1324,
      C1324,
      embaralharLinks(E1324,F1324,G1324),
      H1324,
      """",
      J1324,
      N1324,
      ""#RIPNSFW""
    ),
  "",\s*"", "" "")
)"),"{New} Octokuro https://streamtape.com/v/o684pqVeLaHJ4lY/52294903 https://doodstream.com/d/9f5ffz90yumj/52294903 https://lulustream.com/d/ps66i21qq63x (2026) #milf #bigtits #bigass #blowjob #RIPNSFW")</f>
        <v>{New} Octokuro https://streamtape.com/v/o684pqVeLaHJ4lY/52294903 https://doodstream.com/d/9f5ffz90yumj/52294903 https://lulustream.com/d/ps66i21qq63x (2026) #milf #bigtits #bigass #blowjob #RIPNSFW</v>
      </c>
      <c r="N1324" s="2" t="s">
        <v>1462</v>
      </c>
      <c r="O1324" s="30" t="s">
        <v>6627</v>
      </c>
      <c r="P1324" s="26"/>
      <c r="R1324" s="23"/>
    </row>
    <row r="1325" spans="1:27" ht="12.75">
      <c r="A1325" s="16" t="s">
        <v>6628</v>
      </c>
      <c r="B1325" s="11" t="s">
        <v>14</v>
      </c>
      <c r="C1325" s="13" t="str">
        <f t="shared" si="20"/>
        <v xml:space="preserve">Octokuro </v>
      </c>
      <c r="D1325" s="34" t="s">
        <v>6629</v>
      </c>
      <c r="E1325" s="18" t="s">
        <v>6630</v>
      </c>
      <c r="F1325" s="9" t="str">
        <f ca="1">IFERROR(__xludf.DUMMYFUNCTION("""https://streamtape.com/v/""&amp;
REGEXEXTRACT(O1325,""/thumb/([^/]+)/"")&amp;
""/""&amp;K1325"),"https://streamtape.com/v/DPJGAmrjZBskgeQ/53119254")</f>
        <v>https://streamtape.com/v/DPJGAmrjZBskgeQ/53119254</v>
      </c>
      <c r="G1325" s="10" t="e">
        <f t="shared" ca="1" si="21"/>
        <v>#NAME?</v>
      </c>
      <c r="H1325" s="11" t="str">
        <f ca="1">IFERROR(__xludf.DUMMYFUNCTION("IFERROR(SUBSTITUTE(SUBSTITUTE(REGEXEXTRACT(A1325, ""[^-]+- [^-]+- [^-]+ - (.+?)\.jpg""), "".jpg"", """"), ""-"", "", ""), """")"),"")</f>
        <v/>
      </c>
      <c r="I1325" s="11"/>
      <c r="J1325" s="13" t="str">
        <f t="shared" ca="1" si="22"/>
        <v>(2026)</v>
      </c>
      <c r="K1325" s="13" t="str">
        <f t="shared" si="23"/>
        <v>53119254</v>
      </c>
      <c r="L1325" s="12" t="s">
        <v>6631</v>
      </c>
      <c r="M1325" s="13" t="str">
        <f ca="1">IFERROR(__xludf.DUMMYFUNCTION("TRIM(
  REGEXREPLACE(
    TEXTJOIN("" "",
      TRUE,
      B1325,
      C1325,
      embaralharLinks(E1325,F1325,G1325),
      H1325,
      """",
      J1325,
      N1325,
      ""#RIPNSFW""
    ),
  "",\s*"", "" "")
)"),"{New} Octokuro https://streamtape.com/v/DPJGAmrjZBskgeQ/53119254 https://doodstream.com/d/fzi8b1p5d2c4/53119254 https://lulustream.com/d/62bxb1q34bb6 (2026) #Anal #MILF #BigTits #Hardcore #Bigass #RIPNSFW")</f>
        <v>{New} Octokuro https://streamtape.com/v/DPJGAmrjZBskgeQ/53119254 https://doodstream.com/d/fzi8b1p5d2c4/53119254 https://lulustream.com/d/62bxb1q34bb6 (2026) #Anal #MILF #BigTits #Hardcore #Bigass #RIPNSFW</v>
      </c>
      <c r="N1325" s="20" t="s">
        <v>746</v>
      </c>
      <c r="O1325" s="21" t="s">
        <v>6632</v>
      </c>
      <c r="P1325" s="26"/>
      <c r="Q1325" s="16"/>
      <c r="R1325" s="39"/>
      <c r="S1325" s="16"/>
      <c r="T1325" s="16"/>
      <c r="U1325" s="16"/>
      <c r="V1325" s="16"/>
      <c r="W1325" s="16"/>
      <c r="X1325" s="16"/>
      <c r="Y1325" s="16"/>
      <c r="Z1325" s="16"/>
      <c r="AA1325" s="16"/>
    </row>
    <row r="1326" spans="1:27" ht="12.75">
      <c r="A1326" s="12" t="s">
        <v>6633</v>
      </c>
      <c r="B1326" s="6" t="s">
        <v>14</v>
      </c>
      <c r="C1326" s="7" t="str">
        <f t="shared" si="20"/>
        <v xml:space="preserve">Octokuro </v>
      </c>
      <c r="D1326" s="24" t="s">
        <v>6634</v>
      </c>
      <c r="E1326" s="25" t="s">
        <v>6635</v>
      </c>
      <c r="F1326" s="9" t="str">
        <f ca="1">IFERROR(__xludf.DUMMYFUNCTION("""https://streamtape.com/v/""&amp;
REGEXEXTRACT(O1326,""/thumb/([^/]+)/"")&amp;
""/""&amp;K1326"),"https://streamtape.com/v/RWB4YLJamesdemY/54716594")</f>
        <v>https://streamtape.com/v/RWB4YLJamesdemY/54716594</v>
      </c>
      <c r="G1326" s="10" t="e">
        <f t="shared" ca="1" si="21"/>
        <v>#NAME?</v>
      </c>
      <c r="H1326" s="11" t="str">
        <f ca="1">IFERROR(__xludf.DUMMYFUNCTION("IFERROR(SUBSTITUTE(SUBSTITUTE(REGEXEXTRACT(A1326, ""[^-]+- [^-]+- [^-]+ - (.+?)\.jpg""), "".jpg"", """"), ""-"", "", ""), """")"),"")</f>
        <v/>
      </c>
      <c r="I1326" s="6"/>
      <c r="J1326" s="7" t="str">
        <f t="shared" ca="1" si="22"/>
        <v>(2026)</v>
      </c>
      <c r="K1326" s="7" t="str">
        <f t="shared" si="23"/>
        <v>54716594</v>
      </c>
      <c r="L1326" s="12" t="s">
        <v>6636</v>
      </c>
      <c r="M1326" s="13" t="str">
        <f ca="1">IFERROR(__xludf.DUMMYFUNCTION("TRIM(
  REGEXREPLACE(
    TEXTJOIN("" "",
      TRUE,
      B1326,
      C1326,
      embaralharLinks(E1326,F1326,G1326),
      H1326,
      """",
      J1326,
      N1326,
      ""#RIPNSFW""
    ),
  "",\s*"", "" "")
)"),"{New} Octokuro https://lulustream.com/d/zt10ver97r6a https://streamtape.com/v/RWB4YLJamesdemY/54716594 https://doodstream.com/d/rw6m3oz7hbbw/54716594 (2026) #bigtits #bigass #blowjob #milf #RIPNSFW")</f>
        <v>{New} Octokuro https://lulustream.com/d/zt10ver97r6a https://streamtape.com/v/RWB4YLJamesdemY/54716594 https://doodstream.com/d/rw6m3oz7hbbw/54716594 (2026) #bigtits #bigass #blowjob #milf #RIPNSFW</v>
      </c>
      <c r="N1326" s="2" t="s">
        <v>6636</v>
      </c>
      <c r="O1326" s="30" t="s">
        <v>6637</v>
      </c>
      <c r="P1326" s="26"/>
      <c r="R1326" s="23"/>
      <c r="T1326" s="6"/>
      <c r="U1326" s="7"/>
    </row>
    <row r="1327" spans="1:27" ht="12.75">
      <c r="A1327" s="12" t="s">
        <v>6638</v>
      </c>
      <c r="B1327" s="6" t="s">
        <v>14</v>
      </c>
      <c r="C1327" s="7" t="str">
        <f t="shared" si="20"/>
        <v xml:space="preserve">Octokuro </v>
      </c>
      <c r="D1327" s="24" t="s">
        <v>6639</v>
      </c>
      <c r="E1327" s="25" t="s">
        <v>6640</v>
      </c>
      <c r="F1327" s="9" t="str">
        <f ca="1">IFERROR(__xludf.DUMMYFUNCTION("""https://streamtape.com/v/""&amp;
REGEXEXTRACT(O1327,""/thumb/([^/]+)/"")&amp;
""/""&amp;K1327"),"https://streamtape.com/v/7DbepYz128sA1vX/58018560")</f>
        <v>https://streamtape.com/v/7DbepYz128sA1vX/58018560</v>
      </c>
      <c r="G1327" s="10" t="e">
        <f t="shared" ca="1" si="21"/>
        <v>#NAME?</v>
      </c>
      <c r="H1327" s="11" t="str">
        <f ca="1">IFERROR(__xludf.DUMMYFUNCTION("IFERROR(SUBSTITUTE(SUBSTITUTE(REGEXEXTRACT(A1327, ""[^-]+- [^-]+- [^-]+ - (.+?)\.jpg""), "".jpg"", """"), ""-"", "", ""), """")"),"")</f>
        <v/>
      </c>
      <c r="I1327" s="6"/>
      <c r="J1327" s="7" t="str">
        <f t="shared" ca="1" si="22"/>
        <v>(2026)</v>
      </c>
      <c r="K1327" s="7" t="str">
        <f t="shared" si="23"/>
        <v>58018560</v>
      </c>
      <c r="L1327" s="12" t="s">
        <v>1462</v>
      </c>
      <c r="M1327" s="13" t="str">
        <f ca="1">IFERROR(__xludf.DUMMYFUNCTION("TRIM(
  REGEXREPLACE(
    TEXTJOIN("" "",
      TRUE,
      B1327,
      C1327,
      embaralharLinks(E1327,F1327,G1327),
      H1327,
      """",
      J1327,
      N1327,
      ""#RIPNSFW""
    ),
  "",\s*"", "" "")
)"),"{New} Octokuro https://lulustream.com/d/64jcsra7pecs https://doodstream.com/d/lml3ydmzqb3l/58018560 https://streamtape.com/v/7DbepYz128sA1vX/58018560 (2026) #milf #bigtits #bigass #blowjob #RIPNSFW")</f>
        <v>{New} Octokuro https://lulustream.com/d/64jcsra7pecs https://doodstream.com/d/lml3ydmzqb3l/58018560 https://streamtape.com/v/7DbepYz128sA1vX/58018560 (2026) #milf #bigtits #bigass #blowjob #RIPNSFW</v>
      </c>
      <c r="N1327" s="2" t="s">
        <v>1462</v>
      </c>
      <c r="O1327" s="30" t="s">
        <v>6641</v>
      </c>
      <c r="P1327" s="26"/>
      <c r="R1327" s="23"/>
    </row>
    <row r="1328" spans="1:27" ht="12.75">
      <c r="A1328" s="12" t="s">
        <v>6642</v>
      </c>
      <c r="B1328" s="6" t="s">
        <v>14</v>
      </c>
      <c r="C1328" s="7" t="str">
        <f t="shared" si="20"/>
        <v xml:space="preserve">Octokuro </v>
      </c>
      <c r="D1328" s="24" t="s">
        <v>6643</v>
      </c>
      <c r="E1328" s="25" t="s">
        <v>6644</v>
      </c>
      <c r="F1328" s="9" t="str">
        <f ca="1">IFERROR(__xludf.DUMMYFUNCTION("""https://streamtape.com/v/""&amp;
REGEXEXTRACT(O1328,""/thumb/([^/]+)/"")&amp;
""/""&amp;K1328"),"https://streamtape.com/v/xXYv4BZ0ORiop0/59935821")</f>
        <v>https://streamtape.com/v/xXYv4BZ0ORiop0/59935821</v>
      </c>
      <c r="G1328" s="10" t="e">
        <f t="shared" ca="1" si="21"/>
        <v>#NAME?</v>
      </c>
      <c r="H1328" s="11" t="str">
        <f ca="1">IFERROR(__xludf.DUMMYFUNCTION("IFERROR(SUBSTITUTE(SUBSTITUTE(REGEXEXTRACT(A1328, ""[^-]+- [^-]+- [^-]+ - (.+?)\.jpg""), "".jpg"", """"), ""-"", "", ""), """")"),"")</f>
        <v/>
      </c>
      <c r="I1328" s="6"/>
      <c r="J1328" s="7" t="str">
        <f t="shared" ca="1" si="22"/>
        <v>(2026)</v>
      </c>
      <c r="K1328" s="7" t="str">
        <f t="shared" si="23"/>
        <v>59935821</v>
      </c>
      <c r="L1328" s="12" t="s">
        <v>1711</v>
      </c>
      <c r="M1328" s="13" t="str">
        <f ca="1">IFERROR(__xludf.DUMMYFUNCTION("TRIM(
  REGEXREPLACE(
    TEXTJOIN("" "",
      TRUE,
      B1328,
      C1328,
      embaralharLinks(E1328,F1328,G1328),
      H1328,
      """",
      J1328,
      N1328,
      ""#RIPNSFW""
    ),
  "",\s*"", "" "")
)"),"{New} Octokuro https://lulustream.com/d/tjmnqlcochob https://streamtape.com/v/xXYv4BZ0ORiop0/59935821 https://doodstream.com/d/jbs3koclf9no/59935821 (2026) #milf #bigass #bigtits #blowjob #RIPNSFW")</f>
        <v>{New} Octokuro https://lulustream.com/d/tjmnqlcochob https://streamtape.com/v/xXYv4BZ0ORiop0/59935821 https://doodstream.com/d/jbs3koclf9no/59935821 (2026) #milf #bigass #bigtits #blowjob #RIPNSFW</v>
      </c>
      <c r="N1328" s="2" t="s">
        <v>1711</v>
      </c>
      <c r="O1328" s="30" t="s">
        <v>6645</v>
      </c>
      <c r="P1328" s="26"/>
      <c r="R1328" s="23"/>
    </row>
    <row r="1329" spans="1:27" ht="12.75">
      <c r="A1329" s="6" t="s">
        <v>6646</v>
      </c>
      <c r="B1329" s="6" t="s">
        <v>14</v>
      </c>
      <c r="C1329" s="7" t="str">
        <f t="shared" si="20"/>
        <v xml:space="preserve">Octokuro </v>
      </c>
      <c r="D1329" s="24" t="s">
        <v>6647</v>
      </c>
      <c r="E1329" s="25" t="s">
        <v>6648</v>
      </c>
      <c r="F1329" s="9" t="str">
        <f ca="1">IFERROR(__xludf.DUMMYFUNCTION("""https://streamtape.com/v/""&amp;
REGEXEXTRACT(O1329,""/thumb/([^/]+)/"")&amp;
""/""&amp;K1329"),"https://streamtape.com/v/3kO9JR1a8lF3Vk/60165630")</f>
        <v>https://streamtape.com/v/3kO9JR1a8lF3Vk/60165630</v>
      </c>
      <c r="G1329" s="10" t="e">
        <f t="shared" ca="1" si="21"/>
        <v>#NAME?</v>
      </c>
      <c r="H1329" s="11" t="str">
        <f ca="1">IFERROR(__xludf.DUMMYFUNCTION("IFERROR(SUBSTITUTE(SUBSTITUTE(REGEXEXTRACT(A1329, ""[^-]+- [^-]+- [^-]+ - (.+?)\.jpg""), "".jpg"", """"), ""-"", "", ""), """")"),"")</f>
        <v/>
      </c>
      <c r="I1329" s="6"/>
      <c r="J1329" s="7" t="str">
        <f t="shared" ca="1" si="22"/>
        <v>(2026)</v>
      </c>
      <c r="K1329" s="7" t="str">
        <f t="shared" si="23"/>
        <v>60165630</v>
      </c>
      <c r="L1329" s="12" t="s">
        <v>6649</v>
      </c>
      <c r="M1329" s="13" t="str">
        <f ca="1">IFERROR(__xludf.DUMMYFUNCTION("TRIM(
  REGEXREPLACE(
    TEXTJOIN("" "",
      TRUE,
      B1329,
      C1329,
      embaralharLinks(E1329,F1329,G1329),
      H1329,
      """",
      J1329,
      N1329,
      ""#RIPNSFW""
    ),
  "",\s*"", "" "")
)"),"{New} Octokuro https://lulustream.com/d/ykyod8roeu7u https://doodstream.com/d/dgjyqdul11t9/60165630 https://streamtape.com/v/3kO9JR1a8lF3Vk/60165630 (2026) #anal #bigtits #blowjob #milf #RIPNSFW")</f>
        <v>{New} Octokuro https://lulustream.com/d/ykyod8roeu7u https://doodstream.com/d/dgjyqdul11t9/60165630 https://streamtape.com/v/3kO9JR1a8lF3Vk/60165630 (2026) #anal #bigtits #blowjob #milf #RIPNSFW</v>
      </c>
      <c r="N1329" s="31" t="s">
        <v>6649</v>
      </c>
      <c r="O1329" s="32" t="s">
        <v>6650</v>
      </c>
      <c r="P1329" s="26"/>
      <c r="Q1329" s="6"/>
      <c r="R1329" s="23"/>
      <c r="S1329" s="6"/>
      <c r="T1329" s="6"/>
      <c r="U1329" s="7"/>
      <c r="V1329" s="6"/>
      <c r="X1329" s="6"/>
      <c r="Y1329" s="6"/>
      <c r="Z1329" s="6"/>
      <c r="AA1329" s="6"/>
    </row>
    <row r="1330" spans="1:27" ht="12.75">
      <c r="A1330" s="12" t="s">
        <v>6651</v>
      </c>
      <c r="B1330" s="6" t="s">
        <v>14</v>
      </c>
      <c r="C1330" s="7" t="str">
        <f t="shared" si="20"/>
        <v xml:space="preserve">Octokuro </v>
      </c>
      <c r="D1330" s="24" t="s">
        <v>6652</v>
      </c>
      <c r="E1330" s="25" t="s">
        <v>6653</v>
      </c>
      <c r="F1330" s="9" t="str">
        <f ca="1">IFERROR(__xludf.DUMMYFUNCTION("""https://streamtape.com/v/""&amp;
REGEXEXTRACT(O1330,""/thumb/([^/]+)/"")&amp;
""/""&amp;K1330"),"https://streamtape.com/v/j76k12g6y3czjWK/64117623")</f>
        <v>https://streamtape.com/v/j76k12g6y3czjWK/64117623</v>
      </c>
      <c r="G1330" s="10" t="e">
        <f t="shared" ca="1" si="21"/>
        <v>#NAME?</v>
      </c>
      <c r="H1330" s="11" t="str">
        <f ca="1">IFERROR(__xludf.DUMMYFUNCTION("IFERROR(SUBSTITUTE(SUBSTITUTE(REGEXEXTRACT(A1330, ""[^-]+- [^-]+- [^-]+ - (.+?)\.jpg""), "".jpg"", """"), ""-"", "", ""), """")"),"")</f>
        <v/>
      </c>
      <c r="I1330" s="6"/>
      <c r="J1330" s="7" t="str">
        <f t="shared" ca="1" si="22"/>
        <v>(2026)</v>
      </c>
      <c r="K1330" s="7" t="str">
        <f t="shared" si="23"/>
        <v>64117623</v>
      </c>
      <c r="L1330" s="12" t="s">
        <v>2291</v>
      </c>
      <c r="M1330" s="13" t="str">
        <f ca="1">IFERROR(__xludf.DUMMYFUNCTION("TRIM(
  REGEXREPLACE(
    TEXTJOIN("" "",
      TRUE,
      B1330,
      C1330,
      embaralharLinks(E1330,F1330,G1330),
      H1330,
      """",
      J1330,
      N1330,
      ""#RIPNSFW""
    ),
  "",\s*"", "" "")
)"),"{New} Octokuro https://lulustream.com/d/jsuhh6p03efa https://streamtape.com/v/j76k12g6y3czjWK/64117623 https://doodstream.com/d/gz193cnkdqr2/64117623 (2026) #milf #bigtits #blowjob #bigass #RIPNSFW")</f>
        <v>{New} Octokuro https://lulustream.com/d/jsuhh6p03efa https://streamtape.com/v/j76k12g6y3czjWK/64117623 https://doodstream.com/d/gz193cnkdqr2/64117623 (2026) #milf #bigtits #blowjob #bigass #RIPNSFW</v>
      </c>
      <c r="N1330" s="2" t="s">
        <v>2291</v>
      </c>
      <c r="O1330" s="30" t="s">
        <v>6654</v>
      </c>
      <c r="P1330" s="26"/>
      <c r="R1330" s="23"/>
      <c r="T1330" s="6"/>
      <c r="U1330" s="7"/>
    </row>
    <row r="1331" spans="1:27" ht="12.75">
      <c r="A1331" s="12" t="s">
        <v>6655</v>
      </c>
      <c r="B1331" s="6" t="s">
        <v>14</v>
      </c>
      <c r="C1331" s="7" t="str">
        <f t="shared" si="20"/>
        <v xml:space="preserve">Octokuro </v>
      </c>
      <c r="D1331" s="24" t="s">
        <v>6656</v>
      </c>
      <c r="E1331" s="25" t="s">
        <v>6657</v>
      </c>
      <c r="F1331" s="9" t="str">
        <f ca="1">IFERROR(__xludf.DUMMYFUNCTION("""https://streamtape.com/v/""&amp;
REGEXEXTRACT(O1331,""/thumb/([^/]+)/"")&amp;
""/""&amp;K1331"),"https://streamtape.com/v/2rJpG3RK19hRx1/64883548")</f>
        <v>https://streamtape.com/v/2rJpG3RK19hRx1/64883548</v>
      </c>
      <c r="G1331" s="10" t="e">
        <f t="shared" ca="1" si="21"/>
        <v>#NAME?</v>
      </c>
      <c r="H1331" s="11" t="str">
        <f ca="1">IFERROR(__xludf.DUMMYFUNCTION("IFERROR(SUBSTITUTE(SUBSTITUTE(REGEXEXTRACT(A1331, ""[^-]+- [^-]+- [^-]+ - (.+?)\.jpg""), "".jpg"", """"), ""-"", "", ""), """")"),"")</f>
        <v/>
      </c>
      <c r="I1331" s="6"/>
      <c r="J1331" s="7" t="str">
        <f t="shared" ca="1" si="22"/>
        <v>(2026)</v>
      </c>
      <c r="K1331" s="7" t="str">
        <f t="shared" si="23"/>
        <v>64883548</v>
      </c>
      <c r="L1331" s="12" t="s">
        <v>1424</v>
      </c>
      <c r="M1331" s="13" t="str">
        <f ca="1">IFERROR(__xludf.DUMMYFUNCTION("TRIM(
  REGEXREPLACE(
    TEXTJOIN("" "",
      TRUE,
      B1331,
      C1331,
      embaralharLinks(E1331,F1331,G1331),
      H1331,
      """",
      J1331,
      N1331,
      ""#RIPNSFW""
    ),
  "",\s*"", "" "")
)"),"{New} Octokuro https://streamtape.com/v/2rJpG3RK19hRx1/64883548 https://lulustream.com/d/picwi2n0o1tt https://doodstream.com/d/jocnxtpa3skh/64883548 (2026) #milf #bigtits #blowjob #pov #RIPNSFW")</f>
        <v>{New} Octokuro https://streamtape.com/v/2rJpG3RK19hRx1/64883548 https://lulustream.com/d/picwi2n0o1tt https://doodstream.com/d/jocnxtpa3skh/64883548 (2026) #milf #bigtits #blowjob #pov #RIPNSFW</v>
      </c>
      <c r="N1331" s="2" t="s">
        <v>1424</v>
      </c>
      <c r="O1331" s="30" t="s">
        <v>6658</v>
      </c>
      <c r="P1331" s="26"/>
      <c r="R1331" s="23"/>
    </row>
    <row r="1332" spans="1:27" ht="12.75">
      <c r="A1332" s="12" t="s">
        <v>6659</v>
      </c>
      <c r="B1332" s="6" t="s">
        <v>14</v>
      </c>
      <c r="C1332" s="7" t="str">
        <f t="shared" si="20"/>
        <v xml:space="preserve">Octokuro </v>
      </c>
      <c r="D1332" s="27" t="s">
        <v>6660</v>
      </c>
      <c r="E1332" s="28" t="s">
        <v>6661</v>
      </c>
      <c r="F1332" s="9" t="str">
        <f ca="1">IFERROR(__xludf.DUMMYFUNCTION("""https://streamtape.com/v/""&amp;
REGEXEXTRACT(O1332,""/thumb/([^/]+)/"")&amp;
""/""&amp;K1332"),"https://streamtape.com/v/W3P67o1G3OSb97G/67483896")</f>
        <v>https://streamtape.com/v/W3P67o1G3OSb97G/67483896</v>
      </c>
      <c r="G1332" s="10" t="e">
        <f t="shared" ca="1" si="21"/>
        <v>#NAME?</v>
      </c>
      <c r="H1332" s="11" t="str">
        <f ca="1">IFERROR(__xludf.DUMMYFUNCTION("IFERROR(SUBSTITUTE(SUBSTITUTE(REGEXEXTRACT(A1332, ""[^-]+- [^-]+- [^-]+ - (.+?)\.jpg""), "".jpg"", """"), ""-"", "", ""), """")"),"")</f>
        <v/>
      </c>
      <c r="I1332" s="6"/>
      <c r="J1332" s="7" t="str">
        <f t="shared" ca="1" si="22"/>
        <v>(2026)</v>
      </c>
      <c r="K1332" s="7" t="str">
        <f t="shared" si="23"/>
        <v>67483896</v>
      </c>
      <c r="L1332" s="12" t="s">
        <v>71</v>
      </c>
      <c r="M1332" s="13" t="str">
        <f ca="1">IFERROR(__xludf.DUMMYFUNCTION("TRIM(
  REGEXREPLACE(
    TEXTJOIN("" "",
      TRUE,
      B1332,
      C1332,
      embaralharLinks(E1332,F1332,G1332),
      H1332,
      """",
      J1332,
      N1332,
      ""#RIPNSFW""
    ),
  "",\s*"", "" "")
)"),"{New} Octokuro https://lulustream.com/d/5cctejhbc52o https://doodstream.com/d/9q94y05fbbh0/67483896 https://streamtape.com/v/W3P67o1G3OSb97G/67483896 (2026) #Anal #MILF #BigTits #Hardcore #RIPNSFW")</f>
        <v>{New} Octokuro https://lulustream.com/d/5cctejhbc52o https://doodstream.com/d/9q94y05fbbh0/67483896 https://streamtape.com/v/W3P67o1G3OSb97G/67483896 (2026) #Anal #MILF #BigTits #Hardcore #RIPNSFW</v>
      </c>
      <c r="N1332" s="2" t="s">
        <v>72</v>
      </c>
      <c r="O1332" s="30" t="s">
        <v>6662</v>
      </c>
      <c r="P1332" s="26"/>
      <c r="R1332" s="23"/>
    </row>
    <row r="1333" spans="1:27" ht="12.75">
      <c r="A1333" s="6" t="s">
        <v>6663</v>
      </c>
      <c r="B1333" s="6" t="s">
        <v>14</v>
      </c>
      <c r="C1333" s="7" t="str">
        <f t="shared" si="20"/>
        <v xml:space="preserve">Octokuro </v>
      </c>
      <c r="D1333" s="24" t="s">
        <v>6664</v>
      </c>
      <c r="E1333" s="25" t="s">
        <v>6665</v>
      </c>
      <c r="F1333" s="9" t="str">
        <f ca="1">IFERROR(__xludf.DUMMYFUNCTION("""https://streamtape.com/v/""&amp;
REGEXEXTRACT(O1333,""/thumb/([^/]+)/"")&amp;
""/""&amp;K1333"),"https://streamtape.com/v/wzogpl7PlJtJyqx/69004840")</f>
        <v>https://streamtape.com/v/wzogpl7PlJtJyqx/69004840</v>
      </c>
      <c r="G1333" s="10" t="e">
        <f t="shared" ca="1" si="21"/>
        <v>#NAME?</v>
      </c>
      <c r="H1333" s="11" t="str">
        <f ca="1">IFERROR(__xludf.DUMMYFUNCTION("IFERROR(SUBSTITUTE(SUBSTITUTE(REGEXEXTRACT(A1333, ""[^-]+- [^-]+- [^-]+ - (.+?)\.jpg""), "".jpg"", """"), ""-"", "", ""), """")"),"")</f>
        <v/>
      </c>
      <c r="I1333" s="6"/>
      <c r="J1333" s="7" t="str">
        <f t="shared" ca="1" si="22"/>
        <v>(2026)</v>
      </c>
      <c r="K1333" s="7" t="str">
        <f t="shared" si="23"/>
        <v>69004840</v>
      </c>
      <c r="L1333" s="12" t="s">
        <v>4175</v>
      </c>
      <c r="M1333" s="13" t="str">
        <f ca="1">IFERROR(__xludf.DUMMYFUNCTION("TRIM(
  REGEXREPLACE(
    TEXTJOIN("" "",
      TRUE,
      B1333,
      C1333,
      embaralharLinks(E1333,F1333,G1333),
      H1333,
      """",
      J1333,
      N1333,
      ""#RIPNSFW""
    ),
  "",\s*"", "" "")
)"),"{New} Octokuro https://streamtape.com/v/wzogpl7PlJtJyqx/69004840 https://lulustream.com/d/fsvmtfv1on53 https://doodstream.com/d/exz7nebytnw0/69004840 (2026) #milf #anal #bigtits #bigass #RIPNSFW")</f>
        <v>{New} Octokuro https://streamtape.com/v/wzogpl7PlJtJyqx/69004840 https://lulustream.com/d/fsvmtfv1on53 https://doodstream.com/d/exz7nebytnw0/69004840 (2026) #milf #anal #bigtits #bigass #RIPNSFW</v>
      </c>
      <c r="N1333" s="31" t="s">
        <v>4175</v>
      </c>
      <c r="O1333" s="32" t="s">
        <v>6666</v>
      </c>
      <c r="P1333" s="26"/>
      <c r="Q1333" s="6"/>
      <c r="R1333" s="11"/>
      <c r="S1333" s="6"/>
      <c r="T1333" s="6"/>
      <c r="U1333" s="6"/>
      <c r="V1333" s="6"/>
      <c r="W1333" s="6"/>
      <c r="X1333" s="6"/>
      <c r="Y1333" s="6"/>
      <c r="Z1333" s="6"/>
      <c r="AA1333" s="6"/>
    </row>
    <row r="1334" spans="1:27" ht="12.75">
      <c r="A1334" s="12" t="s">
        <v>6667</v>
      </c>
      <c r="B1334" s="6" t="s">
        <v>14</v>
      </c>
      <c r="C1334" s="7" t="str">
        <f t="shared" si="20"/>
        <v xml:space="preserve">Octokuro </v>
      </c>
      <c r="D1334" s="24" t="s">
        <v>6668</v>
      </c>
      <c r="E1334" s="25" t="s">
        <v>6669</v>
      </c>
      <c r="F1334" s="9" t="str">
        <f ca="1">IFERROR(__xludf.DUMMYFUNCTION("""https://streamtape.com/v/""&amp;
REGEXEXTRACT(O1334,""/thumb/([^/]+)/"")&amp;
""/""&amp;K1334"),"https://streamtape.com/v/7YrQKgX2O6CAz4Z/69857341")</f>
        <v>https://streamtape.com/v/7YrQKgX2O6CAz4Z/69857341</v>
      </c>
      <c r="G1334" s="10" t="e">
        <f t="shared" ca="1" si="21"/>
        <v>#NAME?</v>
      </c>
      <c r="H1334" s="11" t="str">
        <f ca="1">IFERROR(__xludf.DUMMYFUNCTION("IFERROR(SUBSTITUTE(SUBSTITUTE(REGEXEXTRACT(A1334, ""[^-]+- [^-]+- [^-]+ - (.+?)\.jpg""), "".jpg"", """"), ""-"", "", ""), """")"),"")</f>
        <v/>
      </c>
      <c r="I1334" s="6"/>
      <c r="J1334" s="7" t="str">
        <f t="shared" ca="1" si="22"/>
        <v>(2026)</v>
      </c>
      <c r="K1334" s="7" t="str">
        <f t="shared" si="23"/>
        <v>69857341</v>
      </c>
      <c r="L1334" s="12" t="s">
        <v>6670</v>
      </c>
      <c r="M1334" s="13" t="str">
        <f ca="1">IFERROR(__xludf.DUMMYFUNCTION("TRIM(
  REGEXREPLACE(
    TEXTJOIN("" "",
      TRUE,
      B1334,
      C1334,
      embaralharLinks(E1334,F1334,G1334),
      H1334,
      """",
      J1334,
      N1334,
      ""#RIPNSFW""
    ),
  "",\s*"", "" "")
)"),"{New} Octokuro https://lulustream.com/d/jieisoy8qbkj https://streamtape.com/v/7YrQKgX2O6CAz4Z/69857341 https://doodstream.com/d/cthugqntvh6l/69857341 (2026) #bigtits #roleplay #blowjob #bigass #RIPNSFW")</f>
        <v>{New} Octokuro https://lulustream.com/d/jieisoy8qbkj https://streamtape.com/v/7YrQKgX2O6CAz4Z/69857341 https://doodstream.com/d/cthugqntvh6l/69857341 (2026) #bigtits #roleplay #blowjob #bigass #RIPNSFW</v>
      </c>
      <c r="N1334" s="2" t="s">
        <v>6670</v>
      </c>
      <c r="O1334" s="30" t="s">
        <v>6671</v>
      </c>
      <c r="P1334" s="26"/>
      <c r="R1334" s="23"/>
      <c r="T1334" s="6"/>
      <c r="U1334" s="7"/>
    </row>
    <row r="1335" spans="1:27" ht="12.75">
      <c r="A1335" s="6" t="s">
        <v>6672</v>
      </c>
      <c r="B1335" s="6" t="s">
        <v>14</v>
      </c>
      <c r="C1335" s="7" t="str">
        <f t="shared" si="20"/>
        <v xml:space="preserve">Octokuro </v>
      </c>
      <c r="D1335" s="6" t="s">
        <v>6673</v>
      </c>
      <c r="E1335" s="8" t="s">
        <v>6674</v>
      </c>
      <c r="F1335" s="9" t="str">
        <f ca="1">IFERROR(__xludf.DUMMYFUNCTION("""https://streamtape.com/v/""&amp;
REGEXEXTRACT(O1335,""/thumb/([^/]+)/"")&amp;
""/""&amp;K1335"),"https://streamtape.com/v/QdzaJkXYxZUGyG/72571242")</f>
        <v>https://streamtape.com/v/QdzaJkXYxZUGyG/72571242</v>
      </c>
      <c r="G1335" s="10" t="e">
        <f t="shared" ca="1" si="21"/>
        <v>#NAME?</v>
      </c>
      <c r="H1335" s="11" t="str">
        <f ca="1">IFERROR(__xludf.DUMMYFUNCTION("IFERROR(SUBSTITUTE(SUBSTITUTE(REGEXEXTRACT(A1335, ""[^-]+- [^-]+- [^-]+ - (.+?)\.jpg""), "".jpg"", """"), ""-"", "", ""), """")"),"")</f>
        <v/>
      </c>
      <c r="I1335" s="6"/>
      <c r="J1335" s="7" t="str">
        <f t="shared" ca="1" si="22"/>
        <v>(2026)</v>
      </c>
      <c r="K1335" s="7" t="str">
        <f t="shared" si="23"/>
        <v>72571242</v>
      </c>
      <c r="L1335" s="12" t="s">
        <v>6675</v>
      </c>
      <c r="M1335" s="13" t="str">
        <f ca="1">IFERROR(__xludf.DUMMYFUNCTION("TRIM(
  REGEXREPLACE(
    TEXTJOIN("" "",
      TRUE,
      B1335,
      C1335,
      embaralharLinks(E1335,F1335,G1335),
      H1335,
      """",
      J1335,
      N1335,
      ""#RIPNSFW""
    ),
  "",\s*"", "" "")
)"),"{New} Octokuro https://streamtape.com/v/QdzaJkXYxZUGyG/72571242 https://doodstream.com/d/9zwdr8tblw7c/72571242 https://lulustream.com/d/s86gmzjv129p (2026) #MILF #BigTits #Hardcore #Black #Interracial #RIPNSFW")</f>
        <v>{New} Octokuro https://streamtape.com/v/QdzaJkXYxZUGyG/72571242 https://doodstream.com/d/9zwdr8tblw7c/72571242 https://lulustream.com/d/s86gmzjv129p (2026) #MILF #BigTits #Hardcore #Black #Interracial #RIPNSFW</v>
      </c>
      <c r="N1335" s="14" t="s">
        <v>770</v>
      </c>
      <c r="O1335" s="15" t="s">
        <v>6676</v>
      </c>
      <c r="P1335" s="14"/>
      <c r="Q1335" s="6"/>
      <c r="R1335" s="11"/>
      <c r="S1335" s="6"/>
      <c r="T1335" s="6"/>
      <c r="U1335" s="6"/>
      <c r="V1335" s="6"/>
      <c r="W1335" s="6"/>
      <c r="X1335" s="6"/>
      <c r="Y1335" s="6"/>
      <c r="Z1335" s="6"/>
      <c r="AA1335" s="6"/>
    </row>
    <row r="1336" spans="1:27" ht="12.75">
      <c r="A1336" s="12" t="s">
        <v>6677</v>
      </c>
      <c r="B1336" s="6" t="s">
        <v>14</v>
      </c>
      <c r="C1336" s="7" t="str">
        <f t="shared" si="20"/>
        <v xml:space="preserve">Octokuro </v>
      </c>
      <c r="D1336" s="24" t="s">
        <v>6678</v>
      </c>
      <c r="E1336" s="25" t="s">
        <v>6679</v>
      </c>
      <c r="F1336" s="9" t="str">
        <f ca="1">IFERROR(__xludf.DUMMYFUNCTION("""https://streamtape.com/v/""&amp;
REGEXEXTRACT(O1336,""/thumb/([^/]+)/"")&amp;
""/""&amp;K1336"),"https://streamtape.com/v/k2l8AoWAblcOK1Z/75943645")</f>
        <v>https://streamtape.com/v/k2l8AoWAblcOK1Z/75943645</v>
      </c>
      <c r="G1336" s="10" t="e">
        <f t="shared" ca="1" si="21"/>
        <v>#NAME?</v>
      </c>
      <c r="H1336" s="11" t="str">
        <f ca="1">IFERROR(__xludf.DUMMYFUNCTION("IFERROR(SUBSTITUTE(SUBSTITUTE(REGEXEXTRACT(A1336, ""[^-]+- [^-]+- [^-]+ - (.+?)\.jpg""), "".jpg"", """"), ""-"", "", ""), """")"),"")</f>
        <v/>
      </c>
      <c r="I1336" s="6"/>
      <c r="J1336" s="7" t="str">
        <f t="shared" ca="1" si="22"/>
        <v>(2026)</v>
      </c>
      <c r="K1336" s="7" t="str">
        <f t="shared" si="23"/>
        <v>75943645</v>
      </c>
      <c r="L1336" s="12" t="s">
        <v>1462</v>
      </c>
      <c r="M1336" s="13" t="str">
        <f ca="1">IFERROR(__xludf.DUMMYFUNCTION("TRIM(
  REGEXREPLACE(
    TEXTJOIN("" "",
      TRUE,
      B1336,
      C1336,
      embaralharLinks(E1336,F1336,G1336),
      H1336,
      """",
      J1336,
      N1336,
      ""#RIPNSFW""
    ),
  "",\s*"", "" "")
)"),"{New} Octokuro https://streamtape.com/v/k2l8AoWAblcOK1Z/75943645 https://lulustream.com/d/4enfdtpawja2 https://doodstream.com/d/as5pte4we0i0/75943645 (2026) #milf #bigtits #bigass #blowjob #RIPNSFW")</f>
        <v>{New} Octokuro https://streamtape.com/v/k2l8AoWAblcOK1Z/75943645 https://lulustream.com/d/4enfdtpawja2 https://doodstream.com/d/as5pte4we0i0/75943645 (2026) #milf #bigtits #bigass #blowjob #RIPNSFW</v>
      </c>
      <c r="N1336" s="2" t="s">
        <v>1462</v>
      </c>
      <c r="O1336" s="30" t="s">
        <v>6680</v>
      </c>
      <c r="P1336" s="26"/>
      <c r="R1336" s="23"/>
    </row>
    <row r="1337" spans="1:27" ht="12.75">
      <c r="A1337" s="12" t="s">
        <v>6681</v>
      </c>
      <c r="B1337" s="6" t="s">
        <v>14</v>
      </c>
      <c r="C1337" s="7" t="str">
        <f t="shared" si="20"/>
        <v xml:space="preserve">Octokuro </v>
      </c>
      <c r="D1337" s="24" t="s">
        <v>6682</v>
      </c>
      <c r="E1337" s="25" t="s">
        <v>6683</v>
      </c>
      <c r="F1337" s="9" t="str">
        <f ca="1">IFERROR(__xludf.DUMMYFUNCTION("""https://streamtape.com/v/""&amp;
REGEXEXTRACT(O1337,""/thumb/([^/]+)/"")&amp;
""/""&amp;K1337"),"https://streamtape.com/v/OAOkygy6pYckd3/77610147")</f>
        <v>https://streamtape.com/v/OAOkygy6pYckd3/77610147</v>
      </c>
      <c r="G1337" s="10" t="e">
        <f t="shared" ca="1" si="21"/>
        <v>#NAME?</v>
      </c>
      <c r="H1337" s="11" t="str">
        <f ca="1">IFERROR(__xludf.DUMMYFUNCTION("IFERROR(SUBSTITUTE(SUBSTITUTE(REGEXEXTRACT(A1337, ""[^-]+- [^-]+- [^-]+ - (.+?)\.jpg""), "".jpg"", """"), ""-"", "", ""), """")"),"")</f>
        <v/>
      </c>
      <c r="I1337" s="6"/>
      <c r="J1337" s="7" t="str">
        <f t="shared" ca="1" si="22"/>
        <v>(2026)</v>
      </c>
      <c r="K1337" s="7" t="str">
        <f t="shared" si="23"/>
        <v>77610147</v>
      </c>
      <c r="L1337" s="12" t="s">
        <v>3827</v>
      </c>
      <c r="M1337" s="13" t="str">
        <f ca="1">IFERROR(__xludf.DUMMYFUNCTION("TRIM(
  REGEXREPLACE(
    TEXTJOIN("" "",
      TRUE,
      B1337,
      C1337,
      embaralharLinks(E1337,F1337,G1337),
      H1337,
      """",
      J1337,
      N1337,
      ""#RIPNSFW""
    ),
  "",\s*"", "" "")
)"),"{New} Octokuro https://lulustream.com/d/b8b1bces5mu0 https://doodstream.com/d/9y54t1geyig1/77610147 https://streamtape.com/v/OAOkygy6pYckd3/77610147 (2026) #milf #blonde #bigtits #bigass #RIPNSFW")</f>
        <v>{New} Octokuro https://lulustream.com/d/b8b1bces5mu0 https://doodstream.com/d/9y54t1geyig1/77610147 https://streamtape.com/v/OAOkygy6pYckd3/77610147 (2026) #milf #blonde #bigtits #bigass #RIPNSFW</v>
      </c>
      <c r="N1337" s="2" t="s">
        <v>3827</v>
      </c>
      <c r="O1337" s="30" t="s">
        <v>6684</v>
      </c>
      <c r="P1337" s="26"/>
      <c r="R1337" s="23"/>
    </row>
    <row r="1338" spans="1:27" ht="12.75">
      <c r="A1338" s="12" t="s">
        <v>6685</v>
      </c>
      <c r="B1338" s="6" t="s">
        <v>14</v>
      </c>
      <c r="C1338" s="7" t="str">
        <f t="shared" si="20"/>
        <v xml:space="preserve">Octokuro </v>
      </c>
      <c r="D1338" s="24" t="s">
        <v>6686</v>
      </c>
      <c r="E1338" s="25" t="s">
        <v>6687</v>
      </c>
      <c r="F1338" s="9" t="str">
        <f ca="1">IFERROR(__xludf.DUMMYFUNCTION("""https://streamtape.com/v/""&amp;
REGEXEXTRACT(O1338,""/thumb/([^/]+)/"")&amp;
""/""&amp;K1338"),"https://streamtape.com/v/W1ggd4zpwgTbwvr/83051674")</f>
        <v>https://streamtape.com/v/W1ggd4zpwgTbwvr/83051674</v>
      </c>
      <c r="G1338" s="10" t="e">
        <f t="shared" ca="1" si="21"/>
        <v>#NAME?</v>
      </c>
      <c r="H1338" s="11" t="str">
        <f ca="1">IFERROR(__xludf.DUMMYFUNCTION("IFERROR(SUBSTITUTE(SUBSTITUTE(REGEXEXTRACT(A1338, ""[^-]+- [^-]+- [^-]+ - (.+?)\.jpg""), "".jpg"", """"), ""-"", "", ""), """")"),"")</f>
        <v/>
      </c>
      <c r="I1338" s="6"/>
      <c r="J1338" s="7" t="str">
        <f t="shared" ca="1" si="22"/>
        <v>(2026)</v>
      </c>
      <c r="K1338" s="7" t="str">
        <f t="shared" si="23"/>
        <v>83051674</v>
      </c>
      <c r="L1338" s="12" t="s">
        <v>1798</v>
      </c>
      <c r="M1338" s="13" t="str">
        <f ca="1">IFERROR(__xludf.DUMMYFUNCTION("TRIM(
  REGEXREPLACE(
    TEXTJOIN("" "",
      TRUE,
      B1338,
      C1338,
      embaralharLinks(E1338,F1338,G1338),
      H1338,
      """",
      J1338,
      N1338,
      ""#RIPNSFW""
    ),
  "",\s*"", "" "")
)"),"{New} Octokuro https://streamtape.com/v/W1ggd4zpwgTbwvr/83051674 https://doodstream.com/d/m4ahpimeq6a0/83051674 https://lulustream.com/d/ix736psq5w7n (2026) #milf #bigtits #hardcore #bigass #RIPNSFW")</f>
        <v>{New} Octokuro https://streamtape.com/v/W1ggd4zpwgTbwvr/83051674 https://doodstream.com/d/m4ahpimeq6a0/83051674 https://lulustream.com/d/ix736psq5w7n (2026) #milf #bigtits #hardcore #bigass #RIPNSFW</v>
      </c>
      <c r="N1338" s="2" t="s">
        <v>1798</v>
      </c>
      <c r="O1338" s="30" t="s">
        <v>6688</v>
      </c>
      <c r="P1338" s="26"/>
      <c r="R1338" s="23"/>
      <c r="T1338" s="6"/>
      <c r="U1338" s="7"/>
    </row>
    <row r="1339" spans="1:27" ht="12.75">
      <c r="A1339" s="12" t="s">
        <v>6689</v>
      </c>
      <c r="B1339" s="6" t="s">
        <v>14</v>
      </c>
      <c r="C1339" s="7" t="str">
        <f t="shared" si="20"/>
        <v xml:space="preserve">Octokuro </v>
      </c>
      <c r="D1339" s="24" t="s">
        <v>6690</v>
      </c>
      <c r="E1339" s="25" t="s">
        <v>6691</v>
      </c>
      <c r="F1339" s="9" t="str">
        <f ca="1">IFERROR(__xludf.DUMMYFUNCTION("""https://streamtape.com/v/""&amp;
REGEXEXTRACT(O1339,""/thumb/([^/]+)/"")&amp;
""/""&amp;K1339"),"https://streamtape.com/v/PX0VlGMRXai0VA7/83093985")</f>
        <v>https://streamtape.com/v/PX0VlGMRXai0VA7/83093985</v>
      </c>
      <c r="G1339" s="10" t="e">
        <f t="shared" ca="1" si="21"/>
        <v>#NAME?</v>
      </c>
      <c r="H1339" s="11" t="str">
        <f ca="1">IFERROR(__xludf.DUMMYFUNCTION("IFERROR(SUBSTITUTE(SUBSTITUTE(REGEXEXTRACT(A1339, ""[^-]+- [^-]+- [^-]+ - (.+?)\.jpg""), "".jpg"", """"), ""-"", "", ""), """")"),"")</f>
        <v/>
      </c>
      <c r="I1339" s="6"/>
      <c r="J1339" s="7" t="str">
        <f t="shared" ca="1" si="22"/>
        <v>(2026)</v>
      </c>
      <c r="K1339" s="7" t="str">
        <f t="shared" si="23"/>
        <v>83093985</v>
      </c>
      <c r="L1339" s="12" t="s">
        <v>6692</v>
      </c>
      <c r="M1339" s="13" t="str">
        <f ca="1">IFERROR(__xludf.DUMMYFUNCTION("TRIM(
  REGEXREPLACE(
    TEXTJOIN("" "",
      TRUE,
      B1339,
      C1339,
      embaralharLinks(E1339,F1339,G1339),
      H1339,
      """",
      J1339,
      N1339,
      ""#RIPNSFW""
    ),
  "",\s*"", "" "")
)"),"{New} Octokuro https://lulustream.com/d/8jihitil0z1p https://doodstream.com/d/h7zy4o0qitwj/83093985 https://streamtape.com/v/PX0VlGMRXai0VA7/83093985 (2026) #milf #bigass #bigtits #roleplay #RIPNSFW")</f>
        <v>{New} Octokuro https://lulustream.com/d/8jihitil0z1p https://doodstream.com/d/h7zy4o0qitwj/83093985 https://streamtape.com/v/PX0VlGMRXai0VA7/83093985 (2026) #milf #bigass #bigtits #roleplay #RIPNSFW</v>
      </c>
      <c r="N1339" s="2" t="s">
        <v>6692</v>
      </c>
      <c r="O1339" s="30" t="s">
        <v>6693</v>
      </c>
      <c r="P1339" s="26"/>
      <c r="R1339" s="23"/>
      <c r="T1339" s="11"/>
      <c r="U1339" s="13"/>
    </row>
    <row r="1340" spans="1:27" ht="12.75">
      <c r="A1340" s="6" t="s">
        <v>6694</v>
      </c>
      <c r="B1340" s="6" t="s">
        <v>14</v>
      </c>
      <c r="C1340" s="7" t="str">
        <f t="shared" si="20"/>
        <v xml:space="preserve">Octokuro </v>
      </c>
      <c r="D1340" s="6" t="s">
        <v>6695</v>
      </c>
      <c r="E1340" s="8" t="s">
        <v>6696</v>
      </c>
      <c r="F1340" s="9" t="str">
        <f ca="1">IFERROR(__xludf.DUMMYFUNCTION("""https://streamtape.com/v/""&amp;
REGEXEXTRACT(O1340,""/thumb/([^/]+)/"")&amp;
""/""&amp;K1340"),"https://streamtape.com/v/MeJLmDxGYRTmmJe/84375532")</f>
        <v>https://streamtape.com/v/MeJLmDxGYRTmmJe/84375532</v>
      </c>
      <c r="G1340" s="10" t="e">
        <f t="shared" ca="1" si="21"/>
        <v>#NAME?</v>
      </c>
      <c r="H1340" s="11" t="str">
        <f ca="1">IFERROR(__xludf.DUMMYFUNCTION("IFERROR(SUBSTITUTE(SUBSTITUTE(REGEXEXTRACT(A1340, ""[^-]+- [^-]+- [^-]+ - (.+?)\.jpg""), "".jpg"", """"), ""-"", "", ""), """")"),"")</f>
        <v/>
      </c>
      <c r="I1340" s="6"/>
      <c r="J1340" s="7" t="str">
        <f t="shared" ca="1" si="22"/>
        <v>(2026)</v>
      </c>
      <c r="K1340" s="7" t="str">
        <f t="shared" si="23"/>
        <v>84375532</v>
      </c>
      <c r="L1340" s="12" t="s">
        <v>4326</v>
      </c>
      <c r="M1340" s="13" t="str">
        <f ca="1">IFERROR(__xludf.DUMMYFUNCTION("TRIM(
  REGEXREPLACE(
    TEXTJOIN("" "",
      TRUE,
      B1340,
      C1340,
      embaralharLinks(E1340,F1340,G1340),
      H1340,
      """",
      J1340,
      N1340,
      ""#RIPNSFW""
    ),
  "",\s*"", "" "")
)"),"{New} Octokuro https://streamtape.com/v/MeJLmDxGYRTmmJe/84375532 https://lulustream.com/d/9u76l84goq4m https://doodstream.com/d/ufs06r14napa/84375532 (2026) #MILF #BigTits #Hardcore #Bigass #Roleplay #Blowjob #Amateur #Deepthroat #Facial #RIPNSFW")</f>
        <v>{New} Octokuro https://streamtape.com/v/MeJLmDxGYRTmmJe/84375532 https://lulustream.com/d/9u76l84goq4m https://doodstream.com/d/ufs06r14napa/84375532 (2026) #MILF #BigTits #Hardcore #Bigass #Roleplay #Blowjob #Amateur #Deepthroat #Facial #RIPNSFW</v>
      </c>
      <c r="N1340" s="14" t="s">
        <v>6697</v>
      </c>
      <c r="O1340" s="15" t="s">
        <v>6698</v>
      </c>
      <c r="P1340" s="14"/>
      <c r="Q1340" s="6"/>
      <c r="R1340" s="11"/>
      <c r="S1340" s="6"/>
      <c r="T1340" s="6"/>
      <c r="U1340" s="6"/>
      <c r="V1340" s="6"/>
      <c r="W1340" s="6"/>
      <c r="X1340" s="6"/>
      <c r="Y1340" s="6"/>
      <c r="Z1340" s="6"/>
      <c r="AA1340" s="6"/>
    </row>
    <row r="1341" spans="1:27" ht="12.75">
      <c r="A1341" s="12" t="s">
        <v>6699</v>
      </c>
      <c r="B1341" s="6" t="s">
        <v>14</v>
      </c>
      <c r="C1341" s="7" t="str">
        <f t="shared" si="20"/>
        <v xml:space="preserve">Octokuro </v>
      </c>
      <c r="D1341" s="24" t="s">
        <v>6700</v>
      </c>
      <c r="E1341" s="25" t="s">
        <v>6701</v>
      </c>
      <c r="F1341" s="9" t="str">
        <f ca="1">IFERROR(__xludf.DUMMYFUNCTION("""https://streamtape.com/v/""&amp;
REGEXEXTRACT(O1341,""/thumb/([^/]+)/"")&amp;
""/""&amp;K1341"),"https://streamtape.com/v/gV9Bj7Jk7RcqWDe/86995868")</f>
        <v>https://streamtape.com/v/gV9Bj7Jk7RcqWDe/86995868</v>
      </c>
      <c r="G1341" s="10" t="e">
        <f t="shared" ca="1" si="21"/>
        <v>#NAME?</v>
      </c>
      <c r="H1341" s="11" t="str">
        <f ca="1">IFERROR(__xludf.DUMMYFUNCTION("IFERROR(SUBSTITUTE(SUBSTITUTE(REGEXEXTRACT(A1341, ""[^-]+- [^-]+- [^-]+ - (.+?)\.jpg""), "".jpg"", """"), ""-"", "", ""), """")"),"")</f>
        <v/>
      </c>
      <c r="I1341" s="6"/>
      <c r="J1341" s="7" t="str">
        <f t="shared" ca="1" si="22"/>
        <v>(2026)</v>
      </c>
      <c r="K1341" s="7" t="str">
        <f t="shared" si="23"/>
        <v>86995868</v>
      </c>
      <c r="L1341" s="12" t="s">
        <v>6702</v>
      </c>
      <c r="M1341" s="13" t="str">
        <f ca="1">IFERROR(__xludf.DUMMYFUNCTION("TRIM(
  REGEXREPLACE(
    TEXTJOIN("" "",
      TRUE,
      B1341,
      C1341,
      embaralharLinks(E1341,F1341,G1341),
      H1341,
      """",
      J1341,
      N1341,
      ""#RIPNSFW""
    ),
  "",\s*"", "" "")
)"),"{New} Octokuro https://lulustream.com/d/9ahpykb0j6i6 https://streamtape.com/v/gV9Bj7Jk7RcqWDe/86995868 https://doodstream.com/d/d4pmyk5ilx99/86995868 (2026) #anal #bigtits #milf #creampie #RIPNSFW")</f>
        <v>{New} Octokuro https://lulustream.com/d/9ahpykb0j6i6 https://streamtape.com/v/gV9Bj7Jk7RcqWDe/86995868 https://doodstream.com/d/d4pmyk5ilx99/86995868 (2026) #anal #bigtits #milf #creampie #RIPNSFW</v>
      </c>
      <c r="N1341" s="2" t="s">
        <v>6702</v>
      </c>
      <c r="O1341" s="30" t="s">
        <v>6703</v>
      </c>
      <c r="P1341" s="26"/>
      <c r="R1341" s="23"/>
      <c r="T1341" s="6"/>
      <c r="U1341" s="7"/>
    </row>
    <row r="1342" spans="1:27" ht="12.75">
      <c r="A1342" s="16" t="s">
        <v>6704</v>
      </c>
      <c r="B1342" s="11" t="s">
        <v>14</v>
      </c>
      <c r="C1342" s="13" t="str">
        <f t="shared" si="20"/>
        <v xml:space="preserve">Octokuro </v>
      </c>
      <c r="D1342" s="17" t="s">
        <v>6705</v>
      </c>
      <c r="E1342" s="18" t="s">
        <v>6706</v>
      </c>
      <c r="F1342" s="9" t="str">
        <f ca="1">IFERROR(__xludf.DUMMYFUNCTION("""https://streamtape.com/v/""&amp;
REGEXEXTRACT(O1342,""/thumb/([^/]+)/"")&amp;
""/""&amp;K1342"),"https://streamtape.com/v/oDj0P1JKv6sJg0k/86997868")</f>
        <v>https://streamtape.com/v/oDj0P1JKv6sJg0k/86997868</v>
      </c>
      <c r="G1342" s="10" t="e">
        <f t="shared" ca="1" si="21"/>
        <v>#NAME?</v>
      </c>
      <c r="H1342" s="11" t="str">
        <f ca="1">IFERROR(__xludf.DUMMYFUNCTION("IFERROR(SUBSTITUTE(SUBSTITUTE(REGEXEXTRACT(A1342, ""[^-]+- [^-]+- [^-]+ - (.+?)\.jpg""), "".jpg"", """"), ""-"", "", ""), """")"),"")</f>
        <v/>
      </c>
      <c r="I1342" s="11"/>
      <c r="J1342" s="7" t="str">
        <f t="shared" ca="1" si="22"/>
        <v>(2026)</v>
      </c>
      <c r="K1342" s="13" t="str">
        <f t="shared" si="23"/>
        <v>86997868</v>
      </c>
      <c r="L1342" s="12" t="s">
        <v>6707</v>
      </c>
      <c r="M1342" s="13" t="str">
        <f ca="1">IFERROR(__xludf.DUMMYFUNCTION("TRIM(
  REGEXREPLACE(
    TEXTJOIN("" "",
      TRUE,
      B1342,
      C1342,
      embaralharLinks(E1342,F1342,G1342),
      H1342,
      """",
      J1342,
      N1342,
      ""#RIPNSFW""
    ),
  "",\s*"", "" "")
)"),"{New} Octokuro https://doodstream.com/d/aejye6rt8kgi/86997868 https://lulustream.com/d/5r47wdqfzhmg https://streamtape.com/v/oDj0P1JKv6sJg0k/86997868 (2026) #bigtits #blowjob #bigass #interracial #RIPNSFW")</f>
        <v>{New} Octokuro https://doodstream.com/d/aejye6rt8kgi/86997868 https://lulustream.com/d/5r47wdqfzhmg https://streamtape.com/v/oDj0P1JKv6sJg0k/86997868 (2026) #bigtits #blowjob #bigass #interracial #RIPNSFW</v>
      </c>
      <c r="N1342" s="20" t="s">
        <v>6707</v>
      </c>
      <c r="O1342" s="30" t="s">
        <v>6708</v>
      </c>
      <c r="P1342" s="26"/>
      <c r="R1342" s="23"/>
      <c r="T1342" s="6"/>
      <c r="U1342" s="7"/>
    </row>
    <row r="1343" spans="1:27" ht="12.75">
      <c r="A1343" s="6" t="s">
        <v>6709</v>
      </c>
      <c r="B1343" s="6" t="s">
        <v>14</v>
      </c>
      <c r="C1343" s="7" t="str">
        <f t="shared" si="20"/>
        <v xml:space="preserve">Octokuro </v>
      </c>
      <c r="D1343" s="24" t="s">
        <v>6710</v>
      </c>
      <c r="E1343" s="25" t="s">
        <v>6711</v>
      </c>
      <c r="F1343" s="9" t="str">
        <f ca="1">IFERROR(__xludf.DUMMYFUNCTION("""https://streamtape.com/v/""&amp;
REGEXEXTRACT(O1343,""/thumb/([^/]+)/"")&amp;
""/""&amp;K1343"),"https://streamtape.com/v/g2vLrVo1v2hqWq7/87079998")</f>
        <v>https://streamtape.com/v/g2vLrVo1v2hqWq7/87079998</v>
      </c>
      <c r="G1343" s="10" t="e">
        <f t="shared" ca="1" si="21"/>
        <v>#NAME?</v>
      </c>
      <c r="H1343" s="11" t="str">
        <f ca="1">IFERROR(__xludf.DUMMYFUNCTION("IFERROR(SUBSTITUTE(SUBSTITUTE(REGEXEXTRACT(A1343, ""[^-]+- [^-]+- [^-]+ - (.+?)\.jpg""), "".jpg"", """"), ""-"", "", ""), """")"),"")</f>
        <v/>
      </c>
      <c r="I1343" s="6"/>
      <c r="J1343" s="7" t="str">
        <f t="shared" ca="1" si="22"/>
        <v>(2026)</v>
      </c>
      <c r="K1343" s="7" t="str">
        <f t="shared" si="23"/>
        <v>87079998</v>
      </c>
      <c r="L1343" s="12" t="s">
        <v>1462</v>
      </c>
      <c r="M1343" s="13" t="str">
        <f ca="1">IFERROR(__xludf.DUMMYFUNCTION("TRIM(
  REGEXREPLACE(
    TEXTJOIN("" "",
      TRUE,
      B1343,
      C1343,
      embaralharLinks(E1343,F1343,G1343),
      H1343,
      """",
      J1343,
      N1343,
      ""#RIPNSFW""
    ),
  "",\s*"", "" "")
)"),"{New} Octokuro https://doodstream.com/d/ry1uv9nik0p9/87079998 https://lulustream.com/d/5sjzwvhpmk7m https://streamtape.com/v/g2vLrVo1v2hqWq7/87079998 (2026) #milf #bigtits #bigass #blowjob #RIPNSFW")</f>
        <v>{New} Octokuro https://doodstream.com/d/ry1uv9nik0p9/87079998 https://lulustream.com/d/5sjzwvhpmk7m https://streamtape.com/v/g2vLrVo1v2hqWq7/87079998 (2026) #milf #bigtits #bigass #blowjob #RIPNSFW</v>
      </c>
      <c r="N1343" s="31" t="s">
        <v>1462</v>
      </c>
      <c r="O1343" s="32" t="s">
        <v>6712</v>
      </c>
      <c r="P1343" s="26"/>
      <c r="Q1343" s="6"/>
      <c r="R1343" s="11"/>
      <c r="S1343" s="6"/>
      <c r="T1343" s="6"/>
      <c r="U1343" s="6"/>
      <c r="V1343" s="6"/>
      <c r="W1343" s="6"/>
      <c r="X1343" s="6"/>
      <c r="Y1343" s="6"/>
      <c r="Z1343" s="6"/>
      <c r="AA1343" s="6"/>
    </row>
    <row r="1344" spans="1:27" ht="12.75">
      <c r="A1344" s="12" t="s">
        <v>6713</v>
      </c>
      <c r="B1344" s="6" t="s">
        <v>14</v>
      </c>
      <c r="C1344" s="7" t="str">
        <f t="shared" si="20"/>
        <v xml:space="preserve">Octokuro </v>
      </c>
      <c r="D1344" s="24" t="s">
        <v>6714</v>
      </c>
      <c r="E1344" s="25" t="s">
        <v>6715</v>
      </c>
      <c r="F1344" s="9" t="str">
        <f ca="1">IFERROR(__xludf.DUMMYFUNCTION("""https://streamtape.com/v/""&amp;
REGEXEXTRACT(O1344,""/thumb/([^/]+)/"")&amp;
""/""&amp;K1344"),"https://streamtape.com/v/bG4WAV99rLUPgpL/93953392")</f>
        <v>https://streamtape.com/v/bG4WAV99rLUPgpL/93953392</v>
      </c>
      <c r="G1344" s="10" t="e">
        <f t="shared" ca="1" si="21"/>
        <v>#NAME?</v>
      </c>
      <c r="H1344" s="11" t="str">
        <f ca="1">IFERROR(__xludf.DUMMYFUNCTION("IFERROR(SUBSTITUTE(SUBSTITUTE(REGEXEXTRACT(A1344, ""[^-]+- [^-]+- [^-]+ - (.+?)\.jpg""), "".jpg"", """"), ""-"", "", ""), """")"),"")</f>
        <v/>
      </c>
      <c r="I1344" s="6"/>
      <c r="J1344" s="7" t="str">
        <f t="shared" ca="1" si="22"/>
        <v>(2026)</v>
      </c>
      <c r="K1344" s="7" t="str">
        <f t="shared" si="23"/>
        <v>93953392</v>
      </c>
      <c r="L1344" s="12" t="s">
        <v>1462</v>
      </c>
      <c r="M1344" s="13" t="str">
        <f ca="1">IFERROR(__xludf.DUMMYFUNCTION("TRIM(
  REGEXREPLACE(
    TEXTJOIN("" "",
      TRUE,
      B1344,
      C1344,
      embaralharLinks(E1344,F1344,G1344),
      H1344,
      """",
      J1344,
      N1344,
      ""#RIPNSFW""
    ),
  "",\s*"", "" "")
)"),"{New} Octokuro https://doodstream.com/d/ldsrdfw27b1d/93953392 https://lulustream.com/d/sekznpyajn84 https://streamtape.com/v/bG4WAV99rLUPgpL/93953392 (2026) #milf #bigtits #bigass #blowjob #RIPNSFW")</f>
        <v>{New} Octokuro https://doodstream.com/d/ldsrdfw27b1d/93953392 https://lulustream.com/d/sekznpyajn84 https://streamtape.com/v/bG4WAV99rLUPgpL/93953392 (2026) #milf #bigtits #bigass #blowjob #RIPNSFW</v>
      </c>
      <c r="N1344" s="2" t="s">
        <v>1462</v>
      </c>
      <c r="O1344" s="30" t="s">
        <v>6716</v>
      </c>
      <c r="P1344" s="26"/>
      <c r="R1344" s="23"/>
    </row>
    <row r="1345" spans="1:27" ht="12.75">
      <c r="A1345" s="6" t="s">
        <v>6717</v>
      </c>
      <c r="B1345" s="6" t="s">
        <v>14</v>
      </c>
      <c r="C1345" s="7" t="str">
        <f t="shared" si="20"/>
        <v xml:space="preserve">Octokuro </v>
      </c>
      <c r="D1345" s="6" t="s">
        <v>6718</v>
      </c>
      <c r="E1345" s="8" t="s">
        <v>6719</v>
      </c>
      <c r="F1345" s="9" t="str">
        <f ca="1">IFERROR(__xludf.DUMMYFUNCTION("""https://streamtape.com/v/""&amp;
REGEXEXTRACT(O1345,""/thumb/([^/]+)/"")&amp;
""/""&amp;K1345"),"https://streamtape.com/v/ol4O1WmRpqtJXaM/94167508")</f>
        <v>https://streamtape.com/v/ol4O1WmRpqtJXaM/94167508</v>
      </c>
      <c r="G1345" s="10" t="e">
        <f t="shared" ca="1" si="21"/>
        <v>#NAME?</v>
      </c>
      <c r="H1345" s="11" t="str">
        <f ca="1">IFERROR(__xludf.DUMMYFUNCTION("IFERROR(SUBSTITUTE(SUBSTITUTE(REGEXEXTRACT(A1345, ""[^-]+- [^-]+- [^-]+ - (.+?)\.jpg""), "".jpg"", """"), ""-"", "", ""), """")"),"")</f>
        <v/>
      </c>
      <c r="I1345" s="6"/>
      <c r="J1345" s="7" t="str">
        <f t="shared" ca="1" si="22"/>
        <v>(2026)</v>
      </c>
      <c r="K1345" s="7" t="str">
        <f t="shared" si="23"/>
        <v>94167508</v>
      </c>
      <c r="L1345" s="12" t="s">
        <v>6720</v>
      </c>
      <c r="M1345" s="13" t="str">
        <f ca="1">IFERROR(__xludf.DUMMYFUNCTION("TRIM(
  REGEXREPLACE(
    TEXTJOIN("" "",
      TRUE,
      B1345,
      C1345,
      embaralharLinks(E1345,F1345,G1345),
      H1345,
      """",
      J1345,
      N1345,
      ""#RIPNSFW""
    ),
  "",\s*"", "" "")
)"),"{New} Octokuro https://streamtape.com/v/ol4O1WmRpqtJXaM/94167508 https://doodstream.com/d/5otet9hkxnmb/94167508 https://lulustream.com/d/ir72ntjltipq (2026) #MILF #BigTits #Hardcore #Bigass #Porn #Roleplay #Blowjob #Latina #RIPNSFW")</f>
        <v>{New} Octokuro https://streamtape.com/v/ol4O1WmRpqtJXaM/94167508 https://doodstream.com/d/5otet9hkxnmb/94167508 https://lulustream.com/d/ir72ntjltipq (2026) #MILF #BigTits #Hardcore #Bigass #Porn #Roleplay #Blowjob #Latina #RIPNSFW</v>
      </c>
      <c r="N1345" s="14" t="s">
        <v>6721</v>
      </c>
      <c r="O1345" s="15" t="s">
        <v>6722</v>
      </c>
      <c r="P1345" s="14"/>
      <c r="Q1345" s="6"/>
      <c r="R1345" s="11"/>
      <c r="S1345" s="6"/>
      <c r="T1345" s="6"/>
      <c r="U1345" s="6"/>
      <c r="V1345" s="6"/>
      <c r="W1345" s="6"/>
      <c r="X1345" s="6"/>
      <c r="Y1345" s="6"/>
      <c r="Z1345" s="6"/>
      <c r="AA1345" s="6"/>
    </row>
    <row r="1346" spans="1:27" ht="12.75">
      <c r="A1346" s="12" t="s">
        <v>6723</v>
      </c>
      <c r="B1346" s="6" t="s">
        <v>14</v>
      </c>
      <c r="C1346" s="7" t="str">
        <f t="shared" si="20"/>
        <v xml:space="preserve">Octokuro </v>
      </c>
      <c r="D1346" s="24" t="s">
        <v>6724</v>
      </c>
      <c r="E1346" s="25" t="s">
        <v>6725</v>
      </c>
      <c r="F1346" s="9" t="str">
        <f ca="1">IFERROR(__xludf.DUMMYFUNCTION("""https://streamtape.com/v/""&amp;
REGEXEXTRACT(O1346,""/thumb/([^/]+)/"")&amp;
""/""&amp;K1346"),"https://streamtape.com/v/PvqprVx6bbsGaJ/96562730")</f>
        <v>https://streamtape.com/v/PvqprVx6bbsGaJ/96562730</v>
      </c>
      <c r="G1346" s="10" t="e">
        <f t="shared" ca="1" si="21"/>
        <v>#NAME?</v>
      </c>
      <c r="H1346" s="11" t="str">
        <f ca="1">IFERROR(__xludf.DUMMYFUNCTION("IFERROR(SUBSTITUTE(SUBSTITUTE(REGEXEXTRACT(A1346, ""[^-]+- [^-]+- [^-]+ - (.+?)\.jpg""), "".jpg"", """"), ""-"", "", ""), """")"),"")</f>
        <v/>
      </c>
      <c r="I1346" s="6"/>
      <c r="J1346" s="7" t="str">
        <f t="shared" ca="1" si="22"/>
        <v>(2026)</v>
      </c>
      <c r="K1346" s="7" t="str">
        <f t="shared" si="23"/>
        <v>96562730</v>
      </c>
      <c r="L1346" s="12" t="s">
        <v>6726</v>
      </c>
      <c r="M1346" s="13" t="str">
        <f ca="1">IFERROR(__xludf.DUMMYFUNCTION("TRIM(
  REGEXREPLACE(
    TEXTJOIN("" "",
      TRUE,
      B1346,
      C1346,
      embaralharLinks(E1346,F1346,G1346),
      H1346,
      """",
      J1346,
      N1346,
      ""#RIPNSFW""
    ),
  "",\s*"", "" "")
)"),"{New} Octokuro https://streamtape.com/v/PvqprVx6bbsGaJ/96562730 https://lulustream.com/d/77d6lp1d3moq https://doodstream.com/d/5kucnhx0ab7v/96562730 (2026) #bigass #blowjob #creampie #bigtits #RIPNSFW")</f>
        <v>{New} Octokuro https://streamtape.com/v/PvqprVx6bbsGaJ/96562730 https://lulustream.com/d/77d6lp1d3moq https://doodstream.com/d/5kucnhx0ab7v/96562730 (2026) #bigass #blowjob #creampie #bigtits #RIPNSFW</v>
      </c>
      <c r="N1346" s="2" t="s">
        <v>6726</v>
      </c>
      <c r="O1346" s="30" t="s">
        <v>6727</v>
      </c>
      <c r="P1346" s="26"/>
      <c r="R1346" s="23"/>
      <c r="T1346" s="6"/>
      <c r="U1346" s="7"/>
    </row>
    <row r="1347" spans="1:27" ht="12.75">
      <c r="A1347" s="12" t="s">
        <v>6728</v>
      </c>
      <c r="B1347" s="6" t="s">
        <v>14</v>
      </c>
      <c r="C1347" s="7" t="str">
        <f t="shared" si="20"/>
        <v xml:space="preserve">Octokuro </v>
      </c>
      <c r="D1347" s="24" t="s">
        <v>6729</v>
      </c>
      <c r="E1347" s="25" t="s">
        <v>6730</v>
      </c>
      <c r="F1347" s="9" t="str">
        <f ca="1">IFERROR(__xludf.DUMMYFUNCTION("""https://streamtape.com/v/""&amp;
REGEXEXTRACT(O1347,""/thumb/([^/]+)/"")&amp;
""/""&amp;K1347"),"https://streamtape.com/v/78koYWWMWVfAg0v/97262351")</f>
        <v>https://streamtape.com/v/78koYWWMWVfAg0v/97262351</v>
      </c>
      <c r="G1347" s="10" t="e">
        <f t="shared" ca="1" si="21"/>
        <v>#NAME?</v>
      </c>
      <c r="H1347" s="11" t="str">
        <f ca="1">IFERROR(__xludf.DUMMYFUNCTION("IFERROR(SUBSTITUTE(SUBSTITUTE(REGEXEXTRACT(A1347, ""[^-]+- [^-]+- [^-]+ - (.+?)\.jpg""), "".jpg"", """"), ""-"", "", ""), """")"),"")</f>
        <v/>
      </c>
      <c r="I1347" s="6"/>
      <c r="J1347" s="7" t="str">
        <f t="shared" ca="1" si="22"/>
        <v>(2026)</v>
      </c>
      <c r="K1347" s="7" t="str">
        <f t="shared" si="23"/>
        <v>97262351</v>
      </c>
      <c r="L1347" s="12" t="s">
        <v>6731</v>
      </c>
      <c r="M1347" s="13" t="str">
        <f ca="1">IFERROR(__xludf.DUMMYFUNCTION("TRIM(
  REGEXREPLACE(
    TEXTJOIN("" "",
      TRUE,
      B1347,
      C1347,
      embaralharLinks(E1347,F1347,G1347),
      H1347,
      """",
      J1347,
      N1347,
      ""#RIPNSFW""
    ),
  "",\s*"", "" "")
)"),"{New} Octokuro https://lulustream.com/d/68q5ro9kig8o https://doodstream.com/d/q38vrg03rsqs/97262351 https://streamtape.com/v/78koYWWMWVfAg0v/97262351 (2026) #doublepenetration #gangbang #anal #bigass #RIPNSFW")</f>
        <v>{New} Octokuro https://lulustream.com/d/68q5ro9kig8o https://doodstream.com/d/q38vrg03rsqs/97262351 https://streamtape.com/v/78koYWWMWVfAg0v/97262351 (2026) #doublepenetration #gangbang #anal #bigass #RIPNSFW</v>
      </c>
      <c r="N1347" s="2" t="s">
        <v>6731</v>
      </c>
      <c r="O1347" s="30" t="s">
        <v>6732</v>
      </c>
      <c r="P1347" s="26"/>
      <c r="R1347" s="23"/>
      <c r="T1347" s="6"/>
      <c r="U1347" s="7"/>
    </row>
    <row r="1348" spans="1:27" ht="12.75">
      <c r="A1348" s="12" t="s">
        <v>6733</v>
      </c>
      <c r="B1348" s="6" t="s">
        <v>14</v>
      </c>
      <c r="C1348" s="7" t="str">
        <f t="shared" si="20"/>
        <v xml:space="preserve">Octokuro </v>
      </c>
      <c r="D1348" s="24" t="s">
        <v>6734</v>
      </c>
      <c r="E1348" s="25" t="s">
        <v>6735</v>
      </c>
      <c r="F1348" s="9" t="str">
        <f ca="1">IFERROR(__xludf.DUMMYFUNCTION("""https://streamtape.com/v/""&amp;
REGEXEXTRACT(O1348,""/thumb/([^/]+)/"")&amp;
""/""&amp;K1348"),"https://streamtape.com/v/lr1mjR0ervF7KbO/98357542")</f>
        <v>https://streamtape.com/v/lr1mjR0ervF7KbO/98357542</v>
      </c>
      <c r="G1348" s="10" t="e">
        <f t="shared" ca="1" si="21"/>
        <v>#NAME?</v>
      </c>
      <c r="H1348" s="11" t="str">
        <f ca="1">IFERROR(__xludf.DUMMYFUNCTION("IFERROR(SUBSTITUTE(SUBSTITUTE(REGEXEXTRACT(A1348, ""[^-]+- [^-]+- [^-]+ - (.+?)\.jpg""), "".jpg"", """"), ""-"", "", ""), """")"),"")</f>
        <v/>
      </c>
      <c r="I1348" s="6"/>
      <c r="J1348" s="7" t="str">
        <f t="shared" ca="1" si="22"/>
        <v>(2026)</v>
      </c>
      <c r="K1348" s="7" t="str">
        <f t="shared" si="23"/>
        <v>98357542</v>
      </c>
      <c r="L1348" s="12" t="s">
        <v>6736</v>
      </c>
      <c r="M1348" s="13" t="str">
        <f ca="1">IFERROR(__xludf.DUMMYFUNCTION("TRIM(
  REGEXREPLACE(
    TEXTJOIN("" "",
      TRUE,
      B1348,
      C1348,
      embaralharLinks(E1348,F1348,G1348),
      H1348,
      """",
      J1348,
      N1348,
      ""#RIPNSFW""
    ),
  "",\s*"", "" "")
)"),"{New} Octokuro https://doodstream.com/d/s6qavseb2mio/98357542 https://streamtape.com/v/lr1mjR0ervF7KbO/98357542 https://lulustream.com/d/d9puh3145c3t (2026) #milf #bigtits #anal #bigass #RIPNSFW")</f>
        <v>{New} Octokuro https://doodstream.com/d/s6qavseb2mio/98357542 https://streamtape.com/v/lr1mjR0ervF7KbO/98357542 https://lulustream.com/d/d9puh3145c3t (2026) #milf #bigtits #anal #bigass #RIPNSFW</v>
      </c>
      <c r="N1348" s="2" t="s">
        <v>6736</v>
      </c>
      <c r="O1348" s="30" t="s">
        <v>6737</v>
      </c>
      <c r="P1348" s="26"/>
      <c r="R1348" s="23"/>
    </row>
    <row r="1349" spans="1:27" ht="12.75">
      <c r="A1349" s="12" t="s">
        <v>6738</v>
      </c>
      <c r="B1349" s="6" t="s">
        <v>14</v>
      </c>
      <c r="C1349" s="7" t="str">
        <f t="shared" si="20"/>
        <v xml:space="preserve">Octokuro </v>
      </c>
      <c r="D1349" s="24" t="s">
        <v>6739</v>
      </c>
      <c r="E1349" s="25" t="s">
        <v>6740</v>
      </c>
      <c r="F1349" s="9" t="str">
        <f ca="1">IFERROR(__xludf.DUMMYFUNCTION("""https://streamtape.com/v/""&amp;
REGEXEXTRACT(O1349,""/thumb/([^/]+)/"")&amp;
""/""&amp;K1349"),"https://streamtape.com/v/3V8rgdzqr3sdB3R/99769777")</f>
        <v>https://streamtape.com/v/3V8rgdzqr3sdB3R/99769777</v>
      </c>
      <c r="G1349" s="10" t="e">
        <f t="shared" ca="1" si="21"/>
        <v>#NAME?</v>
      </c>
      <c r="H1349" s="11" t="str">
        <f ca="1">IFERROR(__xludf.DUMMYFUNCTION("IFERROR(SUBSTITUTE(SUBSTITUTE(REGEXEXTRACT(A1349, ""[^-]+- [^-]+- [^-]+ - (.+?)\.jpg""), "".jpg"", """"), ""-"", "", ""), """")"),"")</f>
        <v/>
      </c>
      <c r="I1349" s="6"/>
      <c r="J1349" s="7" t="str">
        <f t="shared" ca="1" si="22"/>
        <v>(2026)</v>
      </c>
      <c r="K1349" s="7" t="str">
        <f t="shared" si="23"/>
        <v>99769777</v>
      </c>
      <c r="L1349" s="12" t="s">
        <v>1478</v>
      </c>
      <c r="M1349" s="13" t="str">
        <f ca="1">IFERROR(__xludf.DUMMYFUNCTION("TRIM(
  REGEXREPLACE(
    TEXTJOIN("" "",
      TRUE,
      B1349,
      C1349,
      embaralharLinks(E1349,F1349,G1349),
      H1349,
      """",
      J1349,
      N1349,
      ""#RIPNSFW""
    ),
  "",\s*"", "" "")
)"),"{New} Octokuro https://doodstream.com/d/lz1obslajrdc/99769777 https://streamtape.com/v/3V8rgdzqr3sdB3R/99769777 https://lulustream.com/d/c76rgpi3fev7 (2026) #milf #blowjob #bigtits #bigass #RIPNSFW")</f>
        <v>{New} Octokuro https://doodstream.com/d/lz1obslajrdc/99769777 https://streamtape.com/v/3V8rgdzqr3sdB3R/99769777 https://lulustream.com/d/c76rgpi3fev7 (2026) #milf #blowjob #bigtits #bigass #RIPNSFW</v>
      </c>
      <c r="N1349" s="2" t="s">
        <v>1478</v>
      </c>
      <c r="O1349" s="30" t="s">
        <v>6741</v>
      </c>
      <c r="P1349" s="26"/>
      <c r="R1349" s="23"/>
      <c r="T1349" s="6"/>
      <c r="U1349" s="7"/>
    </row>
    <row r="1350" spans="1:27" ht="12.75">
      <c r="A1350" s="12" t="s">
        <v>6742</v>
      </c>
      <c r="B1350" s="6" t="s">
        <v>14</v>
      </c>
      <c r="C1350" s="7" t="str">
        <f t="shared" si="20"/>
        <v xml:space="preserve">Octokuro </v>
      </c>
      <c r="D1350" s="24" t="s">
        <v>6743</v>
      </c>
      <c r="E1350" s="25" t="s">
        <v>6744</v>
      </c>
      <c r="F1350" s="9" t="str">
        <f ca="1">IFERROR(__xludf.DUMMYFUNCTION("""https://streamtape.com/v/""&amp;
REGEXEXTRACT(O1350,""/thumb/([^/]+)/"")&amp;
""/""&amp;K1350"),"https://streamtape.com/v/yV7Mrg4pzWI1llb/99817193")</f>
        <v>https://streamtape.com/v/yV7Mrg4pzWI1llb/99817193</v>
      </c>
      <c r="G1350" s="10" t="e">
        <f t="shared" ca="1" si="21"/>
        <v>#NAME?</v>
      </c>
      <c r="H1350" s="11" t="str">
        <f ca="1">IFERROR(__xludf.DUMMYFUNCTION("IFERROR(SUBSTITUTE(SUBSTITUTE(REGEXEXTRACT(A1350, ""[^-]+- [^-]+- [^-]+ - (.+?)\.jpg""), "".jpg"", """"), ""-"", "", ""), """")"),"")</f>
        <v/>
      </c>
      <c r="I1350" s="6"/>
      <c r="J1350" s="7" t="str">
        <f t="shared" ca="1" si="22"/>
        <v>(2026)</v>
      </c>
      <c r="K1350" s="7" t="str">
        <f t="shared" si="23"/>
        <v>99817193</v>
      </c>
      <c r="L1350" s="12" t="s">
        <v>6736</v>
      </c>
      <c r="M1350" s="13" t="str">
        <f ca="1">IFERROR(__xludf.DUMMYFUNCTION("TRIM(
  REGEXREPLACE(
    TEXTJOIN("" "",
      TRUE,
      B1350,
      C1350,
      embaralharLinks(E1350,F1350,G1350),
      H1350,
      """",
      J1350,
      N1350,
      ""#RIPNSFW""
    ),
  "",\s*"", "" "")
)"),"{New} Octokuro https://doodstream.com/d/0rfd1lvyb0dl/99817193 https://streamtape.com/v/yV7Mrg4pzWI1llb/99817193 https://lulustream.com/d/s63v7wresxxi (2026) #milf #bigtits #anal #bigass #RIPNSFW")</f>
        <v>{New} Octokuro https://doodstream.com/d/0rfd1lvyb0dl/99817193 https://streamtape.com/v/yV7Mrg4pzWI1llb/99817193 https://lulustream.com/d/s63v7wresxxi (2026) #milf #bigtits #anal #bigass #RIPNSFW</v>
      </c>
      <c r="N1350" s="2" t="s">
        <v>6736</v>
      </c>
      <c r="O1350" s="30" t="s">
        <v>6745</v>
      </c>
      <c r="P1350" s="26"/>
      <c r="R1350" s="23"/>
    </row>
    <row r="1351" spans="1:27" ht="12.75">
      <c r="A1351" s="12" t="s">
        <v>6746</v>
      </c>
      <c r="B1351" s="6" t="s">
        <v>14</v>
      </c>
      <c r="C1351" s="7" t="str">
        <f t="shared" si="20"/>
        <v xml:space="preserve">Olivia Sparkle </v>
      </c>
      <c r="D1351" s="24" t="s">
        <v>6747</v>
      </c>
      <c r="E1351" s="25" t="s">
        <v>6748</v>
      </c>
      <c r="F1351" s="9" t="str">
        <f ca="1">IFERROR(__xludf.DUMMYFUNCTION("""https://streamtape.com/v/""&amp;
REGEXEXTRACT(O1351,""/thumb/([^/]+)/"")&amp;
""/""&amp;K1351"),"https://streamtape.com/v/WyMMelKB44UbxbX/11092806")</f>
        <v>https://streamtape.com/v/WyMMelKB44UbxbX/11092806</v>
      </c>
      <c r="G1351" s="10" t="e">
        <f t="shared" ca="1" si="21"/>
        <v>#NAME?</v>
      </c>
      <c r="H1351" s="11" t="str">
        <f ca="1">IFERROR(__xludf.DUMMYFUNCTION("IFERROR(SUBSTITUTE(SUBSTITUTE(REGEXEXTRACT(A1351, ""[^-]+- [^-]+- [^-]+ - (.+?)\.jpg""), "".jpg"", """"), ""-"", "", ""), """")"),"")</f>
        <v/>
      </c>
      <c r="I1351" s="6"/>
      <c r="J1351" s="7" t="str">
        <f t="shared" ca="1" si="22"/>
        <v>(2026)</v>
      </c>
      <c r="K1351" s="7" t="str">
        <f t="shared" si="23"/>
        <v>11092806</v>
      </c>
      <c r="L1351" s="12" t="s">
        <v>3715</v>
      </c>
      <c r="M1351" s="13" t="str">
        <f ca="1">IFERROR(__xludf.DUMMYFUNCTION("TRIM(
  REGEXREPLACE(
    TEXTJOIN("" "",
      TRUE,
      B1351,
      C1351,
      embaralharLinks(E1351,F1351,G1351),
      H1351,
      """",
      J1351,
      N1351,
      ""#RIPNSFW""
    ),
  "",\s*"", "" "")
)"),"{New} Olivia Sparkle https://lulustream.com/d/fyz8fxsyv9g1 https://streamtape.com/v/WyMMelKB44UbxbX/11092806 https://doodstream.com/d/fpk97vtk700t/11092806 (2026) #teen #blowjob #bigass #blonde #RIPNSFW")</f>
        <v>{New} Olivia Sparkle https://lulustream.com/d/fyz8fxsyv9g1 https://streamtape.com/v/WyMMelKB44UbxbX/11092806 https://doodstream.com/d/fpk97vtk700t/11092806 (2026) #teen #blowjob #bigass #blonde #RIPNSFW</v>
      </c>
      <c r="N1351" s="2" t="s">
        <v>3715</v>
      </c>
      <c r="O1351" s="30" t="s">
        <v>6749</v>
      </c>
      <c r="P1351" s="26"/>
      <c r="R1351" s="23"/>
    </row>
    <row r="1352" spans="1:27" ht="12.75">
      <c r="A1352" s="6" t="s">
        <v>6750</v>
      </c>
      <c r="B1352" s="6" t="s">
        <v>14</v>
      </c>
      <c r="C1352" s="7" t="str">
        <f t="shared" si="20"/>
        <v xml:space="preserve">Olivia Sparkle </v>
      </c>
      <c r="D1352" s="6" t="s">
        <v>6751</v>
      </c>
      <c r="E1352" s="8" t="s">
        <v>6752</v>
      </c>
      <c r="F1352" s="9" t="str">
        <f ca="1">IFERROR(__xludf.DUMMYFUNCTION("""https://streamtape.com/v/""&amp;
REGEXEXTRACT(O1352,""/thumb/([^/]+)/"")&amp;
""/""&amp;K1352"),"https://streamtape.com/v/Q3VPRrrXBpT03ka/14448737")</f>
        <v>https://streamtape.com/v/Q3VPRrrXBpT03ka/14448737</v>
      </c>
      <c r="G1352" s="10" t="e">
        <f t="shared" ca="1" si="21"/>
        <v>#NAME?</v>
      </c>
      <c r="H1352" s="11" t="str">
        <f ca="1">IFERROR(__xludf.DUMMYFUNCTION("IFERROR(SUBSTITUTE(SUBSTITUTE(REGEXEXTRACT(A1352, ""[^-]+- [^-]+- [^-]+ - (.+?)\.jpg""), "".jpg"", """"), ""-"", "", ""), """")"),"")</f>
        <v/>
      </c>
      <c r="I1352" s="6"/>
      <c r="J1352" s="7" t="str">
        <f t="shared" ca="1" si="22"/>
        <v>(2026)</v>
      </c>
      <c r="K1352" s="7" t="str">
        <f t="shared" si="23"/>
        <v>14448737</v>
      </c>
      <c r="L1352" s="12" t="s">
        <v>6753</v>
      </c>
      <c r="M1352" s="13" t="str">
        <f ca="1">IFERROR(__xludf.DUMMYFUNCTION("TRIM(
  REGEXREPLACE(
    TEXTJOIN("" "",
      TRUE,
      B1352,
      C1352,
      embaralharLinks(E1352,F1352,G1352),
      H1352,
      """",
      J1352,
      N1352,
      ""#RIPNSFW""
    ),
  "",\s*"", "" "")
)"),"{New} Olivia Sparkle https://streamtape.com/v/Q3VPRrrXBpT03ka/14448737 https://doodstream.com/d/0jj50q0ok5c8/14448737 https://lulustream.com/d/qg1yzk58dbv0 (2026) #Hardcore #Bigass #Teen #Porn #RIPNSFW")</f>
        <v>{New} Olivia Sparkle https://streamtape.com/v/Q3VPRrrXBpT03ka/14448737 https://doodstream.com/d/0jj50q0ok5c8/14448737 https://lulustream.com/d/qg1yzk58dbv0 (2026) #Hardcore #Bigass #Teen #Porn #RIPNSFW</v>
      </c>
      <c r="N1352" s="14" t="s">
        <v>3668</v>
      </c>
      <c r="O1352" s="15" t="s">
        <v>6754</v>
      </c>
      <c r="P1352" s="14"/>
      <c r="Q1352" s="6"/>
      <c r="R1352" s="11"/>
      <c r="S1352" s="6"/>
      <c r="T1352" s="6"/>
      <c r="U1352" s="6"/>
      <c r="V1352" s="6"/>
      <c r="W1352" s="6"/>
      <c r="X1352" s="6"/>
      <c r="Y1352" s="6"/>
      <c r="Z1352" s="6"/>
      <c r="AA1352" s="6"/>
    </row>
    <row r="1353" spans="1:27" ht="12.75">
      <c r="A1353" s="6" t="s">
        <v>6755</v>
      </c>
      <c r="B1353" s="6" t="s">
        <v>14</v>
      </c>
      <c r="C1353" s="7" t="str">
        <f t="shared" si="20"/>
        <v xml:space="preserve">Olivia Sparkle </v>
      </c>
      <c r="D1353" s="29" t="s">
        <v>6756</v>
      </c>
      <c r="E1353" s="8" t="s">
        <v>6757</v>
      </c>
      <c r="F1353" s="9" t="str">
        <f ca="1">IFERROR(__xludf.DUMMYFUNCTION("""https://streamtape.com/v/""&amp;
REGEXEXTRACT(O1353,""/thumb/([^/]+)/"")&amp;
""/""&amp;K1353"),"https://streamtape.com/v/Mye62PBvX0tm724/17764835")</f>
        <v>https://streamtape.com/v/Mye62PBvX0tm724/17764835</v>
      </c>
      <c r="G1353" s="10" t="e">
        <f t="shared" ca="1" si="21"/>
        <v>#NAME?</v>
      </c>
      <c r="H1353" s="11" t="str">
        <f ca="1">IFERROR(__xludf.DUMMYFUNCTION("IFERROR(SUBSTITUTE(SUBSTITUTE(REGEXEXTRACT(A1353, ""[^-]+- [^-]+- [^-]+ - (.+?)\.jpg""), "".jpg"", """"), ""-"", "", ""), """")"),"")</f>
        <v/>
      </c>
      <c r="I1353" s="6"/>
      <c r="J1353" s="7" t="str">
        <f t="shared" ca="1" si="22"/>
        <v>(2026)</v>
      </c>
      <c r="K1353" s="7" t="str">
        <f t="shared" si="23"/>
        <v>17764835</v>
      </c>
      <c r="L1353" s="12" t="s">
        <v>3749</v>
      </c>
      <c r="M1353" s="13" t="str">
        <f ca="1">IFERROR(__xludf.DUMMYFUNCTION("TRIM(
  REGEXREPLACE(
    TEXTJOIN("" "",
      TRUE,
      B1353,
      C1353,
      embaralharLinks(E1353,F1353,G1353),
      H1353,
      """",
      J1353,
      N1353,
      ""#RIPNSFW""
    ),
  "",\s*"", "" "")
)"),"{New} Olivia Sparkle https://doodstream.com/d/xiiewy9qhd7h/17764835 https://lulustream.com/d/jazkvi3txf8a https://streamtape.com/v/Mye62PBvX0tm724/17764835 (2026) #Hardcore #Bigass #Porn #Teen #Blowjob #Blonde #RIPNSFW")</f>
        <v>{New} Olivia Sparkle https://doodstream.com/d/xiiewy9qhd7h/17764835 https://lulustream.com/d/jazkvi3txf8a https://streamtape.com/v/Mye62PBvX0tm724/17764835 (2026) #Hardcore #Bigass #Porn #Teen #Blowjob #Blonde #RIPNSFW</v>
      </c>
      <c r="N1353" s="14" t="s">
        <v>6758</v>
      </c>
      <c r="O1353" s="15" t="s">
        <v>6759</v>
      </c>
      <c r="P1353" s="14"/>
      <c r="Q1353" s="6"/>
      <c r="R1353" s="11"/>
      <c r="S1353" s="6"/>
      <c r="T1353" s="6"/>
      <c r="U1353" s="6"/>
      <c r="V1353" s="6"/>
      <c r="W1353" s="6"/>
      <c r="X1353" s="6"/>
      <c r="Y1353" s="6"/>
      <c r="Z1353" s="6"/>
      <c r="AA1353" s="6"/>
    </row>
    <row r="1354" spans="1:27" ht="12.75">
      <c r="A1354" s="12" t="s">
        <v>6760</v>
      </c>
      <c r="B1354" s="6" t="s">
        <v>14</v>
      </c>
      <c r="C1354" s="7" t="str">
        <f t="shared" si="20"/>
        <v xml:space="preserve">Olivia Sparkle </v>
      </c>
      <c r="D1354" s="24" t="s">
        <v>6761</v>
      </c>
      <c r="E1354" s="25" t="s">
        <v>6762</v>
      </c>
      <c r="F1354" s="9" t="str">
        <f ca="1">IFERROR(__xludf.DUMMYFUNCTION("""https://streamtape.com/v/""&amp;
REGEXEXTRACT(O1354,""/thumb/([^/]+)/"")&amp;
""/""&amp;K1354"),"https://streamtape.com/v/RmyjpeybmVhd8mG/26408287")</f>
        <v>https://streamtape.com/v/RmyjpeybmVhd8mG/26408287</v>
      </c>
      <c r="G1354" s="10" t="e">
        <f t="shared" ca="1" si="21"/>
        <v>#NAME?</v>
      </c>
      <c r="H1354" s="11" t="str">
        <f ca="1">IFERROR(__xludf.DUMMYFUNCTION("IFERROR(SUBSTITUTE(SUBSTITUTE(REGEXEXTRACT(A1354, ""[^-]+- [^-]+- [^-]+ - (.+?)\.jpg""), "".jpg"", """"), ""-"", "", ""), """")"),"")</f>
        <v/>
      </c>
      <c r="I1354" s="6"/>
      <c r="J1354" s="7" t="str">
        <f t="shared" ca="1" si="22"/>
        <v>(2026)</v>
      </c>
      <c r="K1354" s="7" t="str">
        <f t="shared" si="23"/>
        <v>26408287</v>
      </c>
      <c r="L1354" s="12" t="s">
        <v>6763</v>
      </c>
      <c r="M1354" s="13" t="str">
        <f ca="1">IFERROR(__xludf.DUMMYFUNCTION("TRIM(
  REGEXREPLACE(
    TEXTJOIN("" "",
      TRUE,
      B1354,
      C1354,
      embaralharLinks(E1354,F1354,G1354),
      H1354,
      """",
      J1354,
      N1354,
      ""#RIPNSFW""
    ),
  "",\s*"", "" "")
)"),"{New} Olivia Sparkle https://lulustream.com/d/31qq7ne3dqc6 https://streamtape.com/v/RmyjpeybmVhd8mG/26408287 https://doodstream.com/d/kkr53863zpxy/26408287 (2026) #teen #blowjob #amateur #blonde #RIPNSFW")</f>
        <v>{New} Olivia Sparkle https://lulustream.com/d/31qq7ne3dqc6 https://streamtape.com/v/RmyjpeybmVhd8mG/26408287 https://doodstream.com/d/kkr53863zpxy/26408287 (2026) #teen #blowjob #amateur #blonde #RIPNSFW</v>
      </c>
      <c r="N1354" s="2" t="s">
        <v>6763</v>
      </c>
      <c r="O1354" s="30" t="s">
        <v>6764</v>
      </c>
      <c r="P1354" s="26"/>
      <c r="R1354" s="23"/>
    </row>
    <row r="1355" spans="1:27" ht="12.75">
      <c r="A1355" s="12" t="s">
        <v>6765</v>
      </c>
      <c r="B1355" s="6" t="s">
        <v>14</v>
      </c>
      <c r="C1355" s="7" t="str">
        <f t="shared" si="20"/>
        <v xml:space="preserve">Olivia Sparkle </v>
      </c>
      <c r="D1355" s="24" t="s">
        <v>6766</v>
      </c>
      <c r="E1355" s="25" t="s">
        <v>6767</v>
      </c>
      <c r="F1355" s="9" t="str">
        <f ca="1">IFERROR(__xludf.DUMMYFUNCTION("""https://streamtape.com/v/""&amp;
REGEXEXTRACT(O1355,""/thumb/([^/]+)/"")&amp;
""/""&amp;K1355"),"https://streamtape.com/v/KA0DbBx7ejS026e/36942485")</f>
        <v>https://streamtape.com/v/KA0DbBx7ejS026e/36942485</v>
      </c>
      <c r="G1355" s="10" t="e">
        <f t="shared" ca="1" si="21"/>
        <v>#NAME?</v>
      </c>
      <c r="H1355" s="11" t="str">
        <f ca="1">IFERROR(__xludf.DUMMYFUNCTION("IFERROR(SUBSTITUTE(SUBSTITUTE(REGEXEXTRACT(A1355, ""[^-]+- [^-]+- [^-]+ - (.+?)\.jpg""), "".jpg"", """"), ""-"", "", ""), """")"),"")</f>
        <v/>
      </c>
      <c r="I1355" s="6"/>
      <c r="J1355" s="7" t="str">
        <f t="shared" ca="1" si="22"/>
        <v>(2026)</v>
      </c>
      <c r="K1355" s="7" t="str">
        <f t="shared" si="23"/>
        <v>36942485</v>
      </c>
      <c r="L1355" s="12" t="s">
        <v>3705</v>
      </c>
      <c r="M1355" s="13" t="str">
        <f ca="1">IFERROR(__xludf.DUMMYFUNCTION("TRIM(
  REGEXREPLACE(
    TEXTJOIN("" "",
      TRUE,
      B1355,
      C1355,
      embaralharLinks(E1355,F1355,G1355),
      H1355,
      """",
      J1355,
      N1355,
      ""#RIPNSFW""
    ),
  "",\s*"", "" "")
)"),"{New} Olivia Sparkle https://streamtape.com/v/KA0DbBx7ejS026e/36942485 https://lulustream.com/d/glzn5llu043v https://doodstream.com/d/8l4k8a9e0xv7/36942485 (2026) #teen #bigass #blonde #blowjob #RIPNSFW")</f>
        <v>{New} Olivia Sparkle https://streamtape.com/v/KA0DbBx7ejS026e/36942485 https://lulustream.com/d/glzn5llu043v https://doodstream.com/d/8l4k8a9e0xv7/36942485 (2026) #teen #bigass #blonde #blowjob #RIPNSFW</v>
      </c>
      <c r="N1355" s="2" t="s">
        <v>3705</v>
      </c>
      <c r="O1355" s="21" t="s">
        <v>6768</v>
      </c>
      <c r="P1355" s="26"/>
      <c r="R1355" s="23"/>
    </row>
    <row r="1356" spans="1:27" ht="12.75">
      <c r="A1356" s="12" t="s">
        <v>6769</v>
      </c>
      <c r="B1356" s="6" t="s">
        <v>14</v>
      </c>
      <c r="C1356" s="7" t="str">
        <f t="shared" si="20"/>
        <v xml:space="preserve">Olivia Sparkle </v>
      </c>
      <c r="D1356" s="24" t="s">
        <v>6770</v>
      </c>
      <c r="E1356" s="25" t="s">
        <v>6771</v>
      </c>
      <c r="F1356" s="9" t="str">
        <f ca="1">IFERROR(__xludf.DUMMYFUNCTION("""https://streamtape.com/v/""&amp;
REGEXEXTRACT(O1356,""/thumb/([^/]+)/"")&amp;
""/""&amp;K1356"),"https://streamtape.com/v/xrGYjqDQrzujYj/58920974")</f>
        <v>https://streamtape.com/v/xrGYjqDQrzujYj/58920974</v>
      </c>
      <c r="G1356" s="10" t="e">
        <f t="shared" ca="1" si="21"/>
        <v>#NAME?</v>
      </c>
      <c r="H1356" s="11" t="str">
        <f ca="1">IFERROR(__xludf.DUMMYFUNCTION("IFERROR(SUBSTITUTE(SUBSTITUTE(REGEXEXTRACT(A1356, ""[^-]+- [^-]+- [^-]+ - (.+?)\.jpg""), "".jpg"", """"), ""-"", "", ""), """")"),"")</f>
        <v/>
      </c>
      <c r="I1356" s="6"/>
      <c r="J1356" s="7" t="str">
        <f t="shared" ca="1" si="22"/>
        <v>(2026)</v>
      </c>
      <c r="K1356" s="7" t="str">
        <f t="shared" si="23"/>
        <v>58920974</v>
      </c>
      <c r="L1356" s="12" t="s">
        <v>6772</v>
      </c>
      <c r="M1356" s="13" t="str">
        <f ca="1">IFERROR(__xludf.DUMMYFUNCTION("TRIM(
  REGEXREPLACE(
    TEXTJOIN("" "",
      TRUE,
      B1356,
      C1356,
      embaralharLinks(E1356,F1356,G1356),
      H1356,
      """",
      J1356,
      N1356,
      ""#RIPNSFW""
    ),
  "",\s*"", "" "")
)"),"{New} Olivia Sparkle https://lulustream.com/d/iomu8jazis07 https://doodstream.com/d/6iv6pxko044i/58920974 https://streamtape.com/v/xrGYjqDQrzujYj/58920974 (2026) #teen #bigass #porn #blowjob #RIPNSFW")</f>
        <v>{New} Olivia Sparkle https://lulustream.com/d/iomu8jazis07 https://doodstream.com/d/6iv6pxko044i/58920974 https://streamtape.com/v/xrGYjqDQrzujYj/58920974 (2026) #teen #bigass #porn #blowjob #RIPNSFW</v>
      </c>
      <c r="N1356" s="2" t="s">
        <v>6772</v>
      </c>
      <c r="O1356" s="30" t="s">
        <v>6773</v>
      </c>
      <c r="P1356" s="26"/>
      <c r="R1356" s="23"/>
    </row>
    <row r="1357" spans="1:27" ht="12.75">
      <c r="A1357" s="12" t="s">
        <v>6774</v>
      </c>
      <c r="B1357" s="6" t="s">
        <v>14</v>
      </c>
      <c r="C1357" s="7" t="str">
        <f t="shared" si="20"/>
        <v xml:space="preserve">Olivia Sparkle </v>
      </c>
      <c r="D1357" s="24" t="s">
        <v>6775</v>
      </c>
      <c r="E1357" s="25" t="s">
        <v>6776</v>
      </c>
      <c r="F1357" s="9" t="str">
        <f ca="1">IFERROR(__xludf.DUMMYFUNCTION("""https://streamtape.com/v/""&amp;
REGEXEXTRACT(O1357,""/thumb/([^/]+)/"")&amp;
""/""&amp;K1357"),"https://streamtape.com/v/OWdJyK0RzRUZ0Py/68549677")</f>
        <v>https://streamtape.com/v/OWdJyK0RzRUZ0Py/68549677</v>
      </c>
      <c r="G1357" s="10" t="e">
        <f t="shared" ca="1" si="21"/>
        <v>#NAME?</v>
      </c>
      <c r="H1357" s="11" t="str">
        <f ca="1">IFERROR(__xludf.DUMMYFUNCTION("IFERROR(SUBSTITUTE(SUBSTITUTE(REGEXEXTRACT(A1357, ""[^-]+- [^-]+- [^-]+ - (.+?)\.jpg""), "".jpg"", """"), ""-"", "", ""), """")"),"")</f>
        <v/>
      </c>
      <c r="I1357" s="6"/>
      <c r="J1357" s="7" t="str">
        <f t="shared" ca="1" si="22"/>
        <v>(2026)</v>
      </c>
      <c r="K1357" s="7" t="str">
        <f t="shared" si="23"/>
        <v>68549677</v>
      </c>
      <c r="L1357" s="12" t="s">
        <v>3801</v>
      </c>
      <c r="M1357" s="13" t="str">
        <f ca="1">IFERROR(__xludf.DUMMYFUNCTION("TRIM(
  REGEXREPLACE(
    TEXTJOIN("" "",
      TRUE,
      B1357,
      C1357,
      embaralharLinks(E1357,F1357,G1357),
      H1357,
      """",
      J1357,
      N1357,
      ""#RIPNSFW""
    ),
  "",\s*"", "" "")
)"),"{New} Olivia Sparkle https://streamtape.com/v/OWdJyK0RzRUZ0Py/68549677 https://doodstream.com/d/nbll60kwvmue/68549677 https://lulustream.com/d/l5jntbvewdkl (2026) #teen #blowjob #blonde #porn #RIPNSFW")</f>
        <v>{New} Olivia Sparkle https://streamtape.com/v/OWdJyK0RzRUZ0Py/68549677 https://doodstream.com/d/nbll60kwvmue/68549677 https://lulustream.com/d/l5jntbvewdkl (2026) #teen #blowjob #blonde #porn #RIPNSFW</v>
      </c>
      <c r="N1357" s="2" t="s">
        <v>3801</v>
      </c>
      <c r="O1357" s="30" t="s">
        <v>6777</v>
      </c>
      <c r="P1357" s="26"/>
      <c r="R1357" s="23"/>
      <c r="T1357" s="6"/>
      <c r="U1357" s="7"/>
    </row>
    <row r="1358" spans="1:27" ht="12.75">
      <c r="A1358" s="12" t="s">
        <v>6778</v>
      </c>
      <c r="B1358" s="6" t="s">
        <v>14</v>
      </c>
      <c r="C1358" s="7" t="str">
        <f t="shared" si="20"/>
        <v xml:space="preserve">Olivia Sparkle </v>
      </c>
      <c r="D1358" s="24" t="s">
        <v>6779</v>
      </c>
      <c r="E1358" s="25" t="s">
        <v>6780</v>
      </c>
      <c r="F1358" s="9" t="str">
        <f ca="1">IFERROR(__xludf.DUMMYFUNCTION("""https://streamtape.com/v/""&amp;
REGEXEXTRACT(O1358,""/thumb/([^/]+)/"")&amp;
""/""&amp;K1358"),"https://streamtape.com/v/O78kMLQ8Gqfzoo/75098849")</f>
        <v>https://streamtape.com/v/O78kMLQ8Gqfzoo/75098849</v>
      </c>
      <c r="G1358" s="10" t="e">
        <f t="shared" ca="1" si="21"/>
        <v>#NAME?</v>
      </c>
      <c r="H1358" s="11" t="str">
        <f ca="1">IFERROR(__xludf.DUMMYFUNCTION("IFERROR(SUBSTITUTE(SUBSTITUTE(REGEXEXTRACT(A1358, ""[^-]+- [^-]+- [^-]+ - (.+?)\.jpg""), "".jpg"", """"), ""-"", "", ""), """")"),"")</f>
        <v/>
      </c>
      <c r="I1358" s="6"/>
      <c r="J1358" s="7" t="str">
        <f t="shared" ca="1" si="22"/>
        <v>(2026)</v>
      </c>
      <c r="K1358" s="7" t="str">
        <f t="shared" si="23"/>
        <v>75098849</v>
      </c>
      <c r="L1358" s="12" t="s">
        <v>3766</v>
      </c>
      <c r="M1358" s="13" t="str">
        <f ca="1">IFERROR(__xludf.DUMMYFUNCTION("TRIM(
  REGEXREPLACE(
    TEXTJOIN("" "",
      TRUE,
      B1358,
      C1358,
      embaralharLinks(E1358,F1358,G1358),
      H1358,
      """",
      J1358,
      N1358,
      ""#RIPNSFW""
    ),
  "",\s*"", "" "")
)"),"{New} Olivia Sparkle https://streamtape.com/v/O78kMLQ8Gqfzoo/75098849 https://doodstream.com/d/h4nmjyycqmo0/75098849 https://lulustream.com/d/e6073c2nwtn8 (2026) #teen #bigass #blowjob #blonde #RIPNSFW")</f>
        <v>{New} Olivia Sparkle https://streamtape.com/v/O78kMLQ8Gqfzoo/75098849 https://doodstream.com/d/h4nmjyycqmo0/75098849 https://lulustream.com/d/e6073c2nwtn8 (2026) #teen #bigass #blowjob #blonde #RIPNSFW</v>
      </c>
      <c r="N1358" s="2" t="s">
        <v>3766</v>
      </c>
      <c r="O1358" s="30" t="s">
        <v>6781</v>
      </c>
      <c r="P1358" s="26"/>
      <c r="R1358" s="23"/>
      <c r="T1358" s="6"/>
      <c r="U1358" s="7"/>
    </row>
    <row r="1359" spans="1:27" ht="12.75">
      <c r="A1359" s="6" t="s">
        <v>6782</v>
      </c>
      <c r="B1359" s="6" t="s">
        <v>14</v>
      </c>
      <c r="C1359" s="7" t="str">
        <f t="shared" si="20"/>
        <v xml:space="preserve">Olivia Sparkle </v>
      </c>
      <c r="D1359" s="6" t="s">
        <v>6783</v>
      </c>
      <c r="E1359" s="8" t="s">
        <v>6784</v>
      </c>
      <c r="F1359" s="9" t="str">
        <f ca="1">IFERROR(__xludf.DUMMYFUNCTION("""https://streamtape.com/v/""&amp;
REGEXEXTRACT(O1359,""/thumb/([^/]+)/"")&amp;
""/""&amp;K1359"),"https://streamtape.com/v/zPQld8wxkdFYL4e/86517907")</f>
        <v>https://streamtape.com/v/zPQld8wxkdFYL4e/86517907</v>
      </c>
      <c r="G1359" s="10" t="e">
        <f t="shared" ca="1" si="21"/>
        <v>#NAME?</v>
      </c>
      <c r="H1359" s="11" t="str">
        <f ca="1">IFERROR(__xludf.DUMMYFUNCTION("IFERROR(SUBSTITUTE(SUBSTITUTE(REGEXEXTRACT(A1359, ""[^-]+- [^-]+- [^-]+ - (.+?)\.jpg""), "".jpg"", """"), ""-"", "", ""), """")"),"")</f>
        <v/>
      </c>
      <c r="I1359" s="6"/>
      <c r="J1359" s="7" t="str">
        <f t="shared" ca="1" si="22"/>
        <v>(2026)</v>
      </c>
      <c r="K1359" s="7" t="str">
        <f t="shared" si="23"/>
        <v>86517907</v>
      </c>
      <c r="L1359" s="12" t="s">
        <v>6785</v>
      </c>
      <c r="M1359" s="13" t="str">
        <f ca="1">IFERROR(__xludf.DUMMYFUNCTION("TRIM(
  REGEXREPLACE(
    TEXTJOIN("" "",
      TRUE,
      B1359,
      C1359,
      embaralharLinks(E1359,F1359,G1359),
      H1359,
      """",
      J1359,
      N1359,
      ""#RIPNSFW""
    ),
  "",\s*"", "" "")
)"),"{New} Olivia Sparkle https://lulustream.com/d/n6iirja91lm7 https://streamtape.com/v/zPQld8wxkdFYL4e/86517907 https://doodstream.com/d/xrltgpe1j2fd/86517907 (2026) #Creampie #Hardcore #Bigass #Porn #Teen #Blowjob #RIPNSFW")</f>
        <v>{New} Olivia Sparkle https://lulustream.com/d/n6iirja91lm7 https://streamtape.com/v/zPQld8wxkdFYL4e/86517907 https://doodstream.com/d/xrltgpe1j2fd/86517907 (2026) #Creampie #Hardcore #Bigass #Porn #Teen #Blowjob #RIPNSFW</v>
      </c>
      <c r="N1359" s="14" t="s">
        <v>6786</v>
      </c>
      <c r="O1359" s="15" t="s">
        <v>6787</v>
      </c>
      <c r="P1359" s="14"/>
      <c r="Q1359" s="6"/>
      <c r="R1359" s="11"/>
      <c r="S1359" s="6"/>
      <c r="T1359" s="6"/>
      <c r="U1359" s="6"/>
      <c r="V1359" s="6"/>
      <c r="W1359" s="6"/>
      <c r="X1359" s="6"/>
      <c r="Y1359" s="6"/>
      <c r="Z1359" s="6"/>
      <c r="AA1359" s="6"/>
    </row>
    <row r="1360" spans="1:27" ht="12.75">
      <c r="A1360" s="12" t="s">
        <v>6788</v>
      </c>
      <c r="B1360" s="6" t="s">
        <v>14</v>
      </c>
      <c r="C1360" s="7" t="str">
        <f t="shared" si="20"/>
        <v xml:space="preserve">Olivia Sparkle </v>
      </c>
      <c r="D1360" s="24" t="s">
        <v>6789</v>
      </c>
      <c r="E1360" s="25" t="s">
        <v>6790</v>
      </c>
      <c r="F1360" s="9" t="str">
        <f ca="1">IFERROR(__xludf.DUMMYFUNCTION("""https://streamtape.com/v/""&amp;
REGEXEXTRACT(O1360,""/thumb/([^/]+)/"")&amp;
""/""&amp;K1360"),"https://streamtape.com/v/ZPqz8rlZO6tqpo6/96940959")</f>
        <v>https://streamtape.com/v/ZPqz8rlZO6tqpo6/96940959</v>
      </c>
      <c r="G1360" s="10" t="e">
        <f t="shared" ca="1" si="21"/>
        <v>#NAME?</v>
      </c>
      <c r="H1360" s="11" t="str">
        <f ca="1">IFERROR(__xludf.DUMMYFUNCTION("IFERROR(SUBSTITUTE(SUBSTITUTE(REGEXEXTRACT(A1360, ""[^-]+- [^-]+- [^-]+ - (.+?)\.jpg""), "".jpg"", """"), ""-"", "", ""), """")"),"")</f>
        <v/>
      </c>
      <c r="I1360" s="6"/>
      <c r="J1360" s="7" t="str">
        <f t="shared" ca="1" si="22"/>
        <v>(2026)</v>
      </c>
      <c r="K1360" s="7" t="str">
        <f t="shared" si="23"/>
        <v>96940959</v>
      </c>
      <c r="L1360" s="12" t="s">
        <v>6791</v>
      </c>
      <c r="M1360" s="13" t="str">
        <f ca="1">IFERROR(__xludf.DUMMYFUNCTION("TRIM(
  REGEXREPLACE(
    TEXTJOIN("" "",
      TRUE,
      B1360,
      C1360,
      embaralharLinks(E1360,F1360,G1360),
      H1360,
      """",
      J1360,
      N1360,
      ""#RIPNSFW""
    ),
  "",\s*"", "" "")
)"),"{New} Olivia Sparkle https://streamtape.com/v/ZPqz8rlZO6tqpo6/96940959 https://doodstream.com/d/c89k6qizt2vz/96940959 https://lulustream.com/d/0au6kr0yjo2o (2026) #bigass #porn #teen #artporn #RIPNSFW")</f>
        <v>{New} Olivia Sparkle https://streamtape.com/v/ZPqz8rlZO6tqpo6/96940959 https://doodstream.com/d/c89k6qizt2vz/96940959 https://lulustream.com/d/0au6kr0yjo2o (2026) #bigass #porn #teen #artporn #RIPNSFW</v>
      </c>
      <c r="N1360" s="2" t="s">
        <v>6791</v>
      </c>
      <c r="O1360" s="30" t="s">
        <v>6792</v>
      </c>
      <c r="P1360" s="26"/>
      <c r="R1360" s="23"/>
      <c r="T1360" s="6"/>
      <c r="U1360" s="7"/>
    </row>
    <row r="1361" spans="1:27" ht="12.75">
      <c r="A1361" s="12" t="s">
        <v>6793</v>
      </c>
      <c r="B1361" s="6" t="s">
        <v>14</v>
      </c>
      <c r="C1361" s="7" t="str">
        <f t="shared" si="20"/>
        <v xml:space="preserve">Payton Preslee </v>
      </c>
      <c r="D1361" s="24" t="s">
        <v>6794</v>
      </c>
      <c r="E1361" s="25" t="s">
        <v>6795</v>
      </c>
      <c r="F1361" s="9" t="str">
        <f ca="1">IFERROR(__xludf.DUMMYFUNCTION("""https://streamtape.com/v/""&amp;
REGEXEXTRACT(O1361,""/thumb/([^/]+)/"")&amp;
""/""&amp;K1361"),"https://streamtape.com/v/lrdb1gbbvQI7pjR/34521859")</f>
        <v>https://streamtape.com/v/lrdb1gbbvQI7pjR/34521859</v>
      </c>
      <c r="G1361" s="10" t="e">
        <f t="shared" ca="1" si="21"/>
        <v>#NAME?</v>
      </c>
      <c r="H1361" s="11" t="str">
        <f ca="1">IFERROR(__xludf.DUMMYFUNCTION("IFERROR(SUBSTITUTE(SUBSTITUTE(REGEXEXTRACT(A1361, ""[^-]+- [^-]+- [^-]+ - (.+?)\.jpg""), "".jpg"", """"), ""-"", "", ""), """")"),"Brynn Michaels")</f>
        <v>Brynn Michaels</v>
      </c>
      <c r="I1361" s="6"/>
      <c r="J1361" s="7" t="str">
        <f t="shared" ca="1" si="22"/>
        <v>(2026)</v>
      </c>
      <c r="K1361" s="7" t="str">
        <f t="shared" si="23"/>
        <v>34521859</v>
      </c>
      <c r="L1361" s="12" t="s">
        <v>2909</v>
      </c>
      <c r="M1361" s="13" t="str">
        <f ca="1">IFERROR(__xludf.DUMMYFUNCTION("TRIM(
  REGEXREPLACE(
    TEXTJOIN("" "",
      TRUE,
      B1361,
      C1361,
      embaralharLinks(E1361,F1361,G1361),
      H1361,
      """",
      J1361,
      N1361,
      ""#RIPNSFW""
    ),
  "",\s*"", "" "")
)"),"{New} Payton Preslee https://streamtape.com/v/lrdb1gbbvQI7pjR/34521859 https://lulustream.com/d/dp1a56p5y5ox https://doodstream.com/d/6dan04v6dnb2/34521859 Brynn Michaels (2026) #milf #threesome #bigtits #bigass #RIPNSFW")</f>
        <v>{New} Payton Preslee https://streamtape.com/v/lrdb1gbbvQI7pjR/34521859 https://lulustream.com/d/dp1a56p5y5ox https://doodstream.com/d/6dan04v6dnb2/34521859 Brynn Michaels (2026) #milf #threesome #bigtits #bigass #RIPNSFW</v>
      </c>
      <c r="N1361" s="2" t="s">
        <v>2909</v>
      </c>
      <c r="O1361" s="30" t="s">
        <v>6796</v>
      </c>
      <c r="P1361" s="26"/>
      <c r="R1361" s="23"/>
    </row>
    <row r="1362" spans="1:27" ht="12.75">
      <c r="A1362" s="6" t="s">
        <v>6797</v>
      </c>
      <c r="B1362" s="6" t="s">
        <v>14</v>
      </c>
      <c r="C1362" s="7" t="str">
        <f t="shared" si="20"/>
        <v xml:space="preserve">Payton Preslee </v>
      </c>
      <c r="D1362" s="6" t="s">
        <v>6798</v>
      </c>
      <c r="E1362" s="8" t="s">
        <v>6799</v>
      </c>
      <c r="F1362" s="9" t="str">
        <f ca="1">IFERROR(__xludf.DUMMYFUNCTION("""https://streamtape.com/v/""&amp;
REGEXEXTRACT(O1362,""/thumb/([^/]+)/"")&amp;
""/""&amp;K1362"),"https://streamtape.com/v/eVXz8PZrDaFYvbO/57269050")</f>
        <v>https://streamtape.com/v/eVXz8PZrDaFYvbO/57269050</v>
      </c>
      <c r="G1362" s="10" t="e">
        <f t="shared" ca="1" si="21"/>
        <v>#NAME?</v>
      </c>
      <c r="H1362" s="11" t="str">
        <f ca="1">IFERROR(__xludf.DUMMYFUNCTION("IFERROR(SUBSTITUTE(SUBSTITUTE(REGEXEXTRACT(A1362, ""[^-]+- [^-]+- [^-]+ - (.+?)\.jpg""), "".jpg"", """"), ""-"", "", ""), """")"),"")</f>
        <v/>
      </c>
      <c r="I1362" s="6"/>
      <c r="J1362" s="7" t="str">
        <f t="shared" ca="1" si="22"/>
        <v>(2026)</v>
      </c>
      <c r="K1362" s="7" t="str">
        <f t="shared" si="23"/>
        <v>57269050</v>
      </c>
      <c r="L1362" s="12" t="s">
        <v>6800</v>
      </c>
      <c r="M1362" s="13" t="str">
        <f ca="1">IFERROR(__xludf.DUMMYFUNCTION("TRIM(
  REGEXREPLACE(
    TEXTJOIN("" "",
      TRUE,
      B1362,
      C1362,
      embaralharLinks(E1362,F1362,G1362),
      H1362,
      """",
      J1362,
      N1362,
      ""#RIPNSFW""
    ),
  "",\s*"", "" "")
)"),"{New} Payton Preslee https://doodstream.com/d/t3qawsc0nxos/57269050 https://streamtape.com/v/eVXz8PZrDaFYvbO/57269050 https://lulustream.com/d/lnzkuhpfsld9 (2026) #MILF #BigTits #Porn #Roleplay #RIPNSFW")</f>
        <v>{New} Payton Preslee https://doodstream.com/d/t3qawsc0nxos/57269050 https://streamtape.com/v/eVXz8PZrDaFYvbO/57269050 https://lulustream.com/d/lnzkuhpfsld9 (2026) #MILF #BigTits #Porn #Roleplay #RIPNSFW</v>
      </c>
      <c r="N1362" s="14" t="s">
        <v>6801</v>
      </c>
      <c r="O1362" s="15" t="s">
        <v>6802</v>
      </c>
      <c r="P1362" s="14"/>
      <c r="Q1362" s="6"/>
      <c r="R1362" s="11"/>
      <c r="S1362" s="6"/>
      <c r="T1362" s="6"/>
      <c r="U1362" s="6"/>
      <c r="V1362" s="6"/>
      <c r="W1362" s="6"/>
      <c r="X1362" s="6"/>
      <c r="Y1362" s="6"/>
      <c r="Z1362" s="6"/>
      <c r="AA1362" s="6"/>
    </row>
    <row r="1363" spans="1:27" ht="12.75">
      <c r="A1363" s="12" t="s">
        <v>6803</v>
      </c>
      <c r="B1363" s="6" t="s">
        <v>14</v>
      </c>
      <c r="C1363" s="7" t="str">
        <f t="shared" si="20"/>
        <v xml:space="preserve">Payton Preslee </v>
      </c>
      <c r="D1363" s="24" t="s">
        <v>6804</v>
      </c>
      <c r="E1363" s="25" t="s">
        <v>6805</v>
      </c>
      <c r="F1363" s="9" t="str">
        <f ca="1">IFERROR(__xludf.DUMMYFUNCTION("""https://streamtape.com/v/""&amp;
REGEXEXTRACT(O1363,""/thumb/([^/]+)/"")&amp;
""/""&amp;K1363"),"https://streamtape.com/v/9qOBe3R9Bbu6qz/92445527")</f>
        <v>https://streamtape.com/v/9qOBe3R9Bbu6qz/92445527</v>
      </c>
      <c r="G1363" s="10" t="e">
        <f t="shared" ca="1" si="21"/>
        <v>#NAME?</v>
      </c>
      <c r="H1363" s="11" t="str">
        <f ca="1">IFERROR(__xludf.DUMMYFUNCTION("IFERROR(SUBSTITUTE(SUBSTITUTE(REGEXEXTRACT(A1363, ""[^-]+- [^-]+- [^-]+ - (.+?)\.jpg""), "".jpg"", """"), ""-"", "", ""), """")"),"Ellie Nova")</f>
        <v>Ellie Nova</v>
      </c>
      <c r="I1363" s="6"/>
      <c r="J1363" s="7" t="str">
        <f t="shared" ca="1" si="22"/>
        <v>(2026)</v>
      </c>
      <c r="K1363" s="7" t="str">
        <f t="shared" si="23"/>
        <v>92445527</v>
      </c>
      <c r="L1363" s="12" t="s">
        <v>5174</v>
      </c>
      <c r="M1363" s="13" t="str">
        <f ca="1">IFERROR(__xludf.DUMMYFUNCTION("TRIM(
  REGEXREPLACE(
    TEXTJOIN("" "",
      TRUE,
      B1363,
      C1363,
      embaralharLinks(E1363,F1363,G1363),
      H1363,
      """",
      J1363,
      N1363,
      ""#RIPNSFW""
    ),
  "",\s*"", "" "")
)"),"{New} Payton Preslee https://lulustream.com/d/5cgmy4pb4i0c https://doodstream.com/d/6wkozjfxpd72/92445527 https://streamtape.com/v/9qOBe3R9Bbu6qz/92445527 Ellie Nova (2026) #threesome #bigass #bigtits #blowjob #RIPNSFW")</f>
        <v>{New} Payton Preslee https://lulustream.com/d/5cgmy4pb4i0c https://doodstream.com/d/6wkozjfxpd72/92445527 https://streamtape.com/v/9qOBe3R9Bbu6qz/92445527 Ellie Nova (2026) #threesome #bigass #bigtits #blowjob #RIPNSFW</v>
      </c>
      <c r="N1363" s="2" t="s">
        <v>5174</v>
      </c>
      <c r="O1363" s="30" t="s">
        <v>6806</v>
      </c>
      <c r="P1363" s="26"/>
      <c r="R1363" s="23"/>
      <c r="T1363" s="6"/>
      <c r="U1363" s="7"/>
    </row>
    <row r="1364" spans="1:27" ht="12.75">
      <c r="A1364" s="6" t="s">
        <v>6807</v>
      </c>
      <c r="B1364" s="6" t="s">
        <v>14</v>
      </c>
      <c r="C1364" s="7" t="str">
        <f t="shared" si="20"/>
        <v xml:space="preserve">Payton Preslee </v>
      </c>
      <c r="D1364" s="29" t="s">
        <v>6808</v>
      </c>
      <c r="E1364" s="8" t="s">
        <v>6809</v>
      </c>
      <c r="F1364" s="9" t="str">
        <f ca="1">IFERROR(__xludf.DUMMYFUNCTION("""https://streamtape.com/v/""&amp;
REGEXEXTRACT(O1364,""/thumb/([^/]+)/"")&amp;
""/""&amp;K1364"),"https://streamtape.com/v/1qYVk9XVDXheWGJ/95697340")</f>
        <v>https://streamtape.com/v/1qYVk9XVDXheWGJ/95697340</v>
      </c>
      <c r="G1364" s="10" t="e">
        <f t="shared" ca="1" si="21"/>
        <v>#NAME?</v>
      </c>
      <c r="H1364" s="11" t="str">
        <f ca="1">IFERROR(__xludf.DUMMYFUNCTION("IFERROR(SUBSTITUTE(SUBSTITUTE(REGEXEXTRACT(A1364, ""[^-]+- [^-]+- [^-]+ - (.+?)\.jpg""), "".jpg"", """"), ""-"", "", ""), """")"),"")</f>
        <v/>
      </c>
      <c r="I1364" s="6"/>
      <c r="J1364" s="7" t="str">
        <f t="shared" ca="1" si="22"/>
        <v>(2026)</v>
      </c>
      <c r="K1364" s="7" t="str">
        <f t="shared" si="23"/>
        <v>95697340</v>
      </c>
      <c r="L1364" s="12" t="s">
        <v>6810</v>
      </c>
      <c r="M1364" s="13" t="str">
        <f ca="1">IFERROR(__xludf.DUMMYFUNCTION("TRIM(
  REGEXREPLACE(
    TEXTJOIN("" "",
      TRUE,
      B1364,
      C1364,
      embaralharLinks(E1364,F1364,G1364),
      H1364,
      """",
      J1364,
      N1364,
      ""#RIPNSFW""
    ),
  "",\s*"", "" "")
)"),"{New} Payton Preslee https://streamtape.com/v/1qYVk9XVDXheWGJ/95697340 https://lulustream.com/d/ogemib7v2upu https://doodstream.com/d/ujdaknwfl13z/95697340 (2026) #MILF #BigTits #Hardcore #Bigass #Porn #Stepmom #Blowjob #RIPNSFW")</f>
        <v>{New} Payton Preslee https://streamtape.com/v/1qYVk9XVDXheWGJ/95697340 https://lulustream.com/d/ogemib7v2upu https://doodstream.com/d/ujdaknwfl13z/95697340 (2026) #MILF #BigTits #Hardcore #Bigass #Porn #Stepmom #Blowjob #RIPNSFW</v>
      </c>
      <c r="N1364" s="14" t="s">
        <v>6811</v>
      </c>
      <c r="O1364" s="32" t="s">
        <v>6812</v>
      </c>
      <c r="P1364" s="14"/>
      <c r="Q1364" s="6"/>
      <c r="R1364" s="11"/>
      <c r="S1364" s="6"/>
      <c r="T1364" s="6"/>
      <c r="U1364" s="6"/>
      <c r="V1364" s="6"/>
      <c r="W1364" s="6"/>
      <c r="X1364" s="6"/>
      <c r="Y1364" s="6"/>
      <c r="Z1364" s="6"/>
      <c r="AA1364" s="6"/>
    </row>
    <row r="1365" spans="1:27" ht="12.75">
      <c r="A1365" s="6" t="s">
        <v>6813</v>
      </c>
      <c r="B1365" s="6" t="s">
        <v>14</v>
      </c>
      <c r="C1365" s="7" t="str">
        <f t="shared" si="20"/>
        <v xml:space="preserve">Payton Preslee </v>
      </c>
      <c r="D1365" s="6" t="s">
        <v>6814</v>
      </c>
      <c r="E1365" s="8" t="s">
        <v>6815</v>
      </c>
      <c r="F1365" s="9" t="str">
        <f ca="1">IFERROR(__xludf.DUMMYFUNCTION("""https://streamtape.com/v/""&amp;
REGEXEXTRACT(O1365,""/thumb/([^/]+)/"")&amp;
""/""&amp;K1365"),"https://streamtape.com/v/mvAYa3xGqJFb80D/96767909")</f>
        <v>https://streamtape.com/v/mvAYa3xGqJFb80D/96767909</v>
      </c>
      <c r="G1365" s="10" t="e">
        <f t="shared" ca="1" si="21"/>
        <v>#NAME?</v>
      </c>
      <c r="H1365" s="11" t="str">
        <f ca="1">IFERROR(__xludf.DUMMYFUNCTION("IFERROR(SUBSTITUTE(SUBSTITUTE(REGEXEXTRACT(A1365, ""[^-]+- [^-]+- [^-]+ - (.+?)\.jpg""), "".jpg"", """"), ""-"", "", ""), """")"),"Connie Perignon")</f>
        <v>Connie Perignon</v>
      </c>
      <c r="I1365" s="6"/>
      <c r="J1365" s="7" t="str">
        <f t="shared" ca="1" si="22"/>
        <v>(2026)</v>
      </c>
      <c r="K1365" s="7" t="str">
        <f t="shared" si="23"/>
        <v>96767909</v>
      </c>
      <c r="L1365" s="12" t="s">
        <v>6816</v>
      </c>
      <c r="M1365" s="13" t="str">
        <f ca="1">IFERROR(__xludf.DUMMYFUNCTION("TRIM(
  REGEXREPLACE(
    TEXTJOIN("" "",
      TRUE,
      B1365,
      C1365,
      embaralharLinks(E1365,F1365,G1365),
      H1365,
      """",
      J1365,
      N1365,
      ""#RIPNSFW""
    ),
  "",\s*"", "" "")
)"),"{New} Payton Preslee https://streamtape.com/v/mvAYa3xGqJFb80D/96767909 https://lulustream.com/d/1xi4inv3nczb https://doodstream.com/d/o8sscbdk91od/96767909 Connie Perignon (2026) #MILF #BigTits #Hardcore #Asian #Threesome #RIPNSFW")</f>
        <v>{New} Payton Preslee https://streamtape.com/v/mvAYa3xGqJFb80D/96767909 https://lulustream.com/d/1xi4inv3nczb https://doodstream.com/d/o8sscbdk91od/96767909 Connie Perignon (2026) #MILF #BigTits #Hardcore #Asian #Threesome #RIPNSFW</v>
      </c>
      <c r="N1365" s="14" t="s">
        <v>6817</v>
      </c>
      <c r="O1365" s="15" t="s">
        <v>6818</v>
      </c>
      <c r="P1365" s="14"/>
      <c r="Q1365" s="6"/>
      <c r="R1365" s="11"/>
      <c r="S1365" s="6"/>
      <c r="T1365" s="6"/>
      <c r="U1365" s="6"/>
      <c r="V1365" s="6"/>
      <c r="W1365" s="6"/>
      <c r="X1365" s="6"/>
      <c r="Y1365" s="6"/>
      <c r="Z1365" s="6"/>
      <c r="AA1365" s="6"/>
    </row>
    <row r="1366" spans="1:27" ht="12.75">
      <c r="A1366" s="6" t="s">
        <v>6819</v>
      </c>
      <c r="B1366" s="6" t="s">
        <v>14</v>
      </c>
      <c r="C1366" s="7" t="str">
        <f t="shared" si="20"/>
        <v xml:space="preserve">Polly Yangs </v>
      </c>
      <c r="D1366" s="6" t="s">
        <v>6820</v>
      </c>
      <c r="E1366" s="8" t="s">
        <v>6821</v>
      </c>
      <c r="F1366" s="9" t="str">
        <f ca="1">IFERROR(__xludf.DUMMYFUNCTION("""https://streamtape.com/v/""&amp;
REGEXEXTRACT(O1366,""/thumb/([^/]+)/"")&amp;
""/""&amp;K1366"),"https://streamtape.com/v/kwr8eKa4p7uOOQQ/24271910")</f>
        <v>https://streamtape.com/v/kwr8eKa4p7uOOQQ/24271910</v>
      </c>
      <c r="G1366" s="10" t="e">
        <f t="shared" ca="1" si="21"/>
        <v>#NAME?</v>
      </c>
      <c r="H1366" s="11" t="str">
        <f ca="1">IFERROR(__xludf.DUMMYFUNCTION("IFERROR(SUBSTITUTE(SUBSTITUTE(REGEXEXTRACT(A1366, ""[^-]+- [^-]+- [^-]+ - (.+?)\.jpg""), "".jpg"", """"), ""-"", "", ""), """")"),"")</f>
        <v/>
      </c>
      <c r="I1366" s="6"/>
      <c r="J1366" s="7" t="str">
        <f t="shared" ca="1" si="22"/>
        <v>(2026)</v>
      </c>
      <c r="K1366" s="7" t="str">
        <f t="shared" si="23"/>
        <v>24271910</v>
      </c>
      <c r="L1366" s="12" t="s">
        <v>2978</v>
      </c>
      <c r="M1366" s="13" t="str">
        <f ca="1">IFERROR(__xludf.DUMMYFUNCTION("TRIM(
  REGEXREPLACE(
    TEXTJOIN("" "",
      TRUE,
      B1366,
      C1366,
      embaralharLinks(E1366,F1366,G1366),
      H1366,
      """",
      J1366,
      N1366,
      ""#RIPNSFW""
    ),
  "",\s*"", "" "")
)"),"{New} Polly Yangs https://doodstream.com/d/ck94j5dpqz0f/24271910 https://lulustream.com/d/i83iyfob0609 https://streamtape.com/v/kwr8eKa4p7uOOQQ/24271910 (2026) #BigTits #Hardcore #Teen #Blowjob #Amateur #Deepthroat #RIPNSFW")</f>
        <v>{New} Polly Yangs https://doodstream.com/d/ck94j5dpqz0f/24271910 https://lulustream.com/d/i83iyfob0609 https://streamtape.com/v/kwr8eKa4p7uOOQQ/24271910 (2026) #BigTits #Hardcore #Teen #Blowjob #Amateur #Deepthroat #RIPNSFW</v>
      </c>
      <c r="N1366" s="14" t="s">
        <v>6822</v>
      </c>
      <c r="O1366" s="15" t="s">
        <v>6823</v>
      </c>
      <c r="P1366" s="14"/>
      <c r="Q1366" s="6"/>
      <c r="R1366" s="11"/>
      <c r="S1366" s="6"/>
      <c r="T1366" s="6"/>
      <c r="U1366" s="6"/>
      <c r="V1366" s="6"/>
      <c r="W1366" s="6"/>
      <c r="X1366" s="6"/>
      <c r="Y1366" s="6"/>
      <c r="Z1366" s="6"/>
      <c r="AA1366" s="6"/>
    </row>
    <row r="1367" spans="1:27" ht="12.75">
      <c r="A1367" s="6" t="s">
        <v>6824</v>
      </c>
      <c r="B1367" s="6" t="s">
        <v>14</v>
      </c>
      <c r="C1367" s="7" t="str">
        <f t="shared" si="20"/>
        <v xml:space="preserve">Rae Lil Black </v>
      </c>
      <c r="D1367" s="6" t="s">
        <v>6825</v>
      </c>
      <c r="E1367" s="8" t="s">
        <v>6826</v>
      </c>
      <c r="F1367" s="9" t="str">
        <f ca="1">IFERROR(__xludf.DUMMYFUNCTION("""https://streamtape.com/v/""&amp;
REGEXEXTRACT(O1367,""/thumb/([^/]+)/"")&amp;
""/""&amp;K1367"),"https://streamtape.com/v/9oZ43Y4rpYFOLA/34360378")</f>
        <v>https://streamtape.com/v/9oZ43Y4rpYFOLA/34360378</v>
      </c>
      <c r="G1367" s="10" t="e">
        <f t="shared" ca="1" si="21"/>
        <v>#NAME?</v>
      </c>
      <c r="H1367" s="11" t="str">
        <f ca="1">IFERROR(__xludf.DUMMYFUNCTION("IFERROR(SUBSTITUTE(SUBSTITUTE(REGEXEXTRACT(A1367, ""[^-]+- [^-]+- [^-]+ - (.+?)\.jpg""), "".jpg"", """"), ""-"", "", ""), """")"),"")</f>
        <v/>
      </c>
      <c r="I1367" s="6"/>
      <c r="J1367" s="7" t="str">
        <f t="shared" ca="1" si="22"/>
        <v>(2026)</v>
      </c>
      <c r="K1367" s="7" t="str">
        <f t="shared" si="23"/>
        <v>34360378</v>
      </c>
      <c r="L1367" s="12" t="s">
        <v>6827</v>
      </c>
      <c r="M1367" s="13" t="str">
        <f ca="1">IFERROR(__xludf.DUMMYFUNCTION("TRIM(
  REGEXREPLACE(
    TEXTJOIN("" "",
      TRUE,
      B1367,
      C1367,
      embaralharLinks(E1367,F1367,G1367),
      H1367,
      """",
      J1367,
      N1367,
      ""#RIPNSFW""
    ),
  "",\s*"", "" "")
)"),"{New} Rae Lil Black https://doodstream.com/d/0n622k3ct7wx/34360378 https://streamtape.com/v/9oZ43Y4rpYFOLA/34360378 https://lulustream.com/d/hjegqpes4v3s (2026) #BigTits #Asian #Teen #Blowjob #RIPNSFW")</f>
        <v>{New} Rae Lil Black https://doodstream.com/d/0n622k3ct7wx/34360378 https://streamtape.com/v/9oZ43Y4rpYFOLA/34360378 https://lulustream.com/d/hjegqpes4v3s (2026) #BigTits #Asian #Teen #Blowjob #RIPNSFW</v>
      </c>
      <c r="N1367" s="14" t="s">
        <v>6828</v>
      </c>
      <c r="O1367" s="15" t="s">
        <v>6829</v>
      </c>
      <c r="P1367" s="14"/>
      <c r="Q1367" s="6"/>
      <c r="R1367" s="11"/>
      <c r="S1367" s="6"/>
      <c r="T1367" s="6"/>
      <c r="U1367" s="6"/>
      <c r="V1367" s="6"/>
      <c r="W1367" s="6"/>
      <c r="X1367" s="6"/>
      <c r="Y1367" s="6"/>
      <c r="Z1367" s="6"/>
      <c r="AA1367" s="6"/>
    </row>
    <row r="1368" spans="1:27" ht="12.75">
      <c r="A1368" s="12" t="s">
        <v>6830</v>
      </c>
      <c r="B1368" s="6"/>
      <c r="C1368" s="7" t="str">
        <f t="shared" si="20"/>
        <v xml:space="preserve">Rae Lil Black </v>
      </c>
      <c r="D1368" s="24" t="s">
        <v>6831</v>
      </c>
      <c r="E1368" s="25" t="s">
        <v>6832</v>
      </c>
      <c r="F1368" s="9" t="str">
        <f ca="1">IFERROR(__xludf.DUMMYFUNCTION("""https://streamtape.com/v/""&amp;
REGEXEXTRACT(O1368,""/thumb/([^/]+)/"")&amp;
""/""&amp;K1368"),"https://streamtape.com/v/xkZkbxj7xxSDRM/36474335")</f>
        <v>https://streamtape.com/v/xkZkbxj7xxSDRM/36474335</v>
      </c>
      <c r="G1368" s="10" t="e">
        <f t="shared" ca="1" si="21"/>
        <v>#NAME?</v>
      </c>
      <c r="H1368" s="11" t="str">
        <f ca="1">IFERROR(__xludf.DUMMYFUNCTION("IFERROR(SUBSTITUTE(SUBSTITUTE(REGEXEXTRACT(A1368, ""[^-]+- [^-]+- [^-]+ - (.+?)\.jpg""), "".jpg"", """"), ""-"", "", ""), """")"),"")</f>
        <v/>
      </c>
      <c r="I1368" s="6"/>
      <c r="J1368" s="7" t="str">
        <f t="shared" ca="1" si="22"/>
        <v/>
      </c>
      <c r="K1368" s="7" t="str">
        <f t="shared" si="23"/>
        <v>36474335</v>
      </c>
      <c r="L1368" s="12" t="s">
        <v>6833</v>
      </c>
      <c r="M1368" s="13" t="str">
        <f ca="1">IFERROR(__xludf.DUMMYFUNCTION("TRIM(
  REGEXREPLACE(
    TEXTJOIN("" "",
      TRUE,
      B1368,
      C1368,
      embaralharLinks(E1368,F1368,G1368),
      H1368,
      """",
      J1368,
      N1368,
      ""#RIPNSFW""
    ),
  "",\s*"", "" "")
)"),"Rae Lil Black https://lulustream.com/d/zcmfbdm5o9xq https://doodstream.com/d/zivd27tgyta7/36474335 https://streamtape.com/v/xkZkbxj7xxSDRM/36474335 #asian #brunette #blowjob #bigtits #RIPNSFW")</f>
        <v>Rae Lil Black https://lulustream.com/d/zcmfbdm5o9xq https://doodstream.com/d/zivd27tgyta7/36474335 https://streamtape.com/v/xkZkbxj7xxSDRM/36474335 #asian #brunette #blowjob #bigtits #RIPNSFW</v>
      </c>
      <c r="N1368" s="2" t="s">
        <v>6833</v>
      </c>
      <c r="O1368" s="30" t="s">
        <v>6834</v>
      </c>
      <c r="P1368" s="26"/>
      <c r="R1368" s="23"/>
      <c r="T1368" s="6"/>
      <c r="U1368" s="7"/>
    </row>
    <row r="1369" spans="1:27" ht="12.75">
      <c r="A1369" s="6" t="s">
        <v>6835</v>
      </c>
      <c r="B1369" s="6" t="s">
        <v>14</v>
      </c>
      <c r="C1369" s="7" t="str">
        <f t="shared" si="20"/>
        <v xml:space="preserve">Rae Lil Black </v>
      </c>
      <c r="D1369" s="6" t="s">
        <v>6836</v>
      </c>
      <c r="E1369" s="8" t="s">
        <v>6837</v>
      </c>
      <c r="F1369" s="9" t="str">
        <f ca="1">IFERROR(__xludf.DUMMYFUNCTION("""https://streamtape.com/v/""&amp;
REGEXEXTRACT(O1369,""/thumb/([^/]+)/"")&amp;
""/""&amp;K1369"),"https://streamtape.com/v/qOWDYZB7J8Fzqqm/86254441")</f>
        <v>https://streamtape.com/v/qOWDYZB7J8Fzqqm/86254441</v>
      </c>
      <c r="G1369" s="10" t="e">
        <f t="shared" ca="1" si="21"/>
        <v>#NAME?</v>
      </c>
      <c r="H1369" s="11" t="str">
        <f ca="1">IFERROR(__xludf.DUMMYFUNCTION("IFERROR(SUBSTITUTE(SUBSTITUTE(REGEXEXTRACT(A1369, ""[^-]+- [^-]+- [^-]+ - (.+?)\.jpg""), "".jpg"", """"), ""-"", "", ""), """")"),"")</f>
        <v/>
      </c>
      <c r="I1369" s="6"/>
      <c r="J1369" s="7" t="str">
        <f t="shared" ca="1" si="22"/>
        <v>(2026)</v>
      </c>
      <c r="K1369" s="7" t="str">
        <f t="shared" si="23"/>
        <v>86254441</v>
      </c>
      <c r="L1369" s="12" t="s">
        <v>6838</v>
      </c>
      <c r="M1369" s="13" t="str">
        <f ca="1">IFERROR(__xludf.DUMMYFUNCTION("TRIM(
  REGEXREPLACE(
    TEXTJOIN("" "",
      TRUE,
      B1369,
      C1369,
      embaralharLinks(E1369,F1369,G1369),
      H1369,
      """",
      J1369,
      N1369,
      ""#RIPNSFW""
    ),
  "",\s*"", "" "")
)"),"{New} Rae Lil Black https://streamtape.com/v/qOWDYZB7J8Fzqqm/86254441 https://lulustream.com/d/5j88pbctdz3w https://doodstream.com/d/0j7jm13lpvxj/86254441 (2026) #BigTits #Hardcore #Asian #Teen #Porn #Roleplay #Blowjob #Facial #RIPNSFW")</f>
        <v>{New} Rae Lil Black https://streamtape.com/v/qOWDYZB7J8Fzqqm/86254441 https://lulustream.com/d/5j88pbctdz3w https://doodstream.com/d/0j7jm13lpvxj/86254441 (2026) #BigTits #Hardcore #Asian #Teen #Porn #Roleplay #Blowjob #Facial #RIPNSFW</v>
      </c>
      <c r="N1369" s="14" t="s">
        <v>6839</v>
      </c>
      <c r="O1369" s="15" t="s">
        <v>6840</v>
      </c>
      <c r="P1369" s="14"/>
      <c r="Q1369" s="6"/>
      <c r="R1369" s="11"/>
      <c r="S1369" s="6"/>
      <c r="T1369" s="6"/>
      <c r="U1369" s="6"/>
      <c r="V1369" s="6"/>
      <c r="W1369" s="6"/>
      <c r="X1369" s="6"/>
      <c r="Y1369" s="6"/>
      <c r="Z1369" s="6"/>
      <c r="AA1369" s="6"/>
    </row>
    <row r="1370" spans="1:27" ht="12.75">
      <c r="A1370" s="6" t="s">
        <v>6841</v>
      </c>
      <c r="B1370" s="6" t="s">
        <v>14</v>
      </c>
      <c r="C1370" s="7" t="str">
        <f t="shared" si="20"/>
        <v xml:space="preserve">Rae Lil Black </v>
      </c>
      <c r="D1370" s="29" t="s">
        <v>6842</v>
      </c>
      <c r="E1370" s="8" t="s">
        <v>6843</v>
      </c>
      <c r="F1370" s="9" t="str">
        <f ca="1">IFERROR(__xludf.DUMMYFUNCTION("""https://streamtape.com/v/""&amp;
REGEXEXTRACT(O1370,""/thumb/([^/]+)/"")&amp;
""/""&amp;K1370"),"https://streamtape.com/v/wgGZzMg47zUJO93/97194071")</f>
        <v>https://streamtape.com/v/wgGZzMg47zUJO93/97194071</v>
      </c>
      <c r="G1370" s="10" t="e">
        <f t="shared" ca="1" si="21"/>
        <v>#NAME?</v>
      </c>
      <c r="H1370" s="11" t="str">
        <f ca="1">IFERROR(__xludf.DUMMYFUNCTION("IFERROR(SUBSTITUTE(SUBSTITUTE(REGEXEXTRACT(A1370, ""[^-]+- [^-]+- [^-]+ - (.+?)\.jpg""), "".jpg"", """"), ""-"", "", ""), """")"),"")</f>
        <v/>
      </c>
      <c r="I1370" s="6"/>
      <c r="J1370" s="7" t="str">
        <f t="shared" ca="1" si="22"/>
        <v>(2026)</v>
      </c>
      <c r="K1370" s="7" t="str">
        <f t="shared" si="23"/>
        <v>97194071</v>
      </c>
      <c r="L1370" s="12" t="s">
        <v>6844</v>
      </c>
      <c r="M1370" s="13" t="str">
        <f ca="1">IFERROR(__xludf.DUMMYFUNCTION("TRIM(
  REGEXREPLACE(
    TEXTJOIN("" "",
      TRUE,
      B1370,
      C1370,
      embaralharLinks(E1370,F1370,G1370),
      H1370,
      """",
      J1370,
      N1370,
      ""#RIPNSFW""
    ),
  "",\s*"", "" "")
)"),"{New} Rae Lil Black https://lulustream.com/d/jliiw0d6duqn https://doodstream.com/d/2jk5bdg8x6by/97194071 https://streamtape.com/v/wgGZzMg47zUJO93/97194071 (2026) #MILF #BigTits #Asian #Amateur #RIPNSFW")</f>
        <v>{New} Rae Lil Black https://lulustream.com/d/jliiw0d6duqn https://doodstream.com/d/2jk5bdg8x6by/97194071 https://streamtape.com/v/wgGZzMg47zUJO93/97194071 (2026) #MILF #BigTits #Asian #Amateur #RIPNSFW</v>
      </c>
      <c r="N1370" s="14" t="s">
        <v>6845</v>
      </c>
      <c r="O1370" s="32" t="s">
        <v>6846</v>
      </c>
      <c r="P1370" s="14"/>
      <c r="Q1370" s="6"/>
      <c r="R1370" s="11"/>
      <c r="S1370" s="6"/>
      <c r="T1370" s="6"/>
      <c r="U1370" s="6"/>
      <c r="V1370" s="6"/>
      <c r="W1370" s="6"/>
      <c r="X1370" s="6"/>
      <c r="Y1370" s="6"/>
      <c r="Z1370" s="6"/>
      <c r="AA1370" s="6"/>
    </row>
    <row r="1371" spans="1:27" ht="12.75">
      <c r="A1371" s="12" t="s">
        <v>6847</v>
      </c>
      <c r="B1371" s="6"/>
      <c r="C1371" s="7" t="str">
        <f t="shared" si="20"/>
        <v xml:space="preserve">Raini </v>
      </c>
      <c r="D1371" s="24" t="s">
        <v>6848</v>
      </c>
      <c r="E1371" s="25" t="s">
        <v>6849</v>
      </c>
      <c r="F1371" s="9" t="str">
        <f ca="1">IFERROR(__xludf.DUMMYFUNCTION("""https://streamtape.com/v/""&amp;
REGEXEXTRACT(O1371,""/thumb/([^/]+)/"")&amp;
""/""&amp;K1371"),"https://streamtape.com/v/74OorX16dOHAL6V/75439323")</f>
        <v>https://streamtape.com/v/74OorX16dOHAL6V/75439323</v>
      </c>
      <c r="G1371" s="10" t="e">
        <f t="shared" ca="1" si="21"/>
        <v>#NAME?</v>
      </c>
      <c r="H1371" s="11" t="str">
        <f ca="1">IFERROR(__xludf.DUMMYFUNCTION("IFERROR(SUBSTITUTE(SUBSTITUTE(REGEXEXTRACT(A1371, ""[^-]+- [^-]+- [^-]+ - (.+?)\.jpg""), "".jpg"", """"), ""-"", "", ""), """")"),"")</f>
        <v/>
      </c>
      <c r="I1371" s="6"/>
      <c r="J1371" s="7" t="str">
        <f t="shared" ca="1" si="22"/>
        <v/>
      </c>
      <c r="K1371" s="7" t="str">
        <f t="shared" si="23"/>
        <v>75439323</v>
      </c>
      <c r="L1371" s="12" t="s">
        <v>6850</v>
      </c>
      <c r="M1371" s="13" t="str">
        <f ca="1">IFERROR(__xludf.DUMMYFUNCTION("TRIM(
  REGEXREPLACE(
    TEXTJOIN("" "",
      TRUE,
      B1371,
      C1371,
      embaralharLinks(E1371,F1371,G1371),
      H1371,
      """",
      J1371,
      N1371,
      ""#RIPNSFW""
    ),
  "",\s*"", "" "")
)"),"Raini https://streamtape.com/v/74OorX16dOHAL6V/75439323 https://lulustream.com/d/9yqnvuo97f30 https://doodstream.com/d/a20owmgm42g4/75439323 #teen #brunette #casting #anal #RIPNSFW")</f>
        <v>Raini https://streamtape.com/v/74OorX16dOHAL6V/75439323 https://lulustream.com/d/9yqnvuo97f30 https://doodstream.com/d/a20owmgm42g4/75439323 #teen #brunette #casting #anal #RIPNSFW</v>
      </c>
      <c r="N1371" s="2" t="s">
        <v>6850</v>
      </c>
      <c r="O1371" s="30" t="s">
        <v>6851</v>
      </c>
      <c r="P1371" s="26"/>
      <c r="R1371" s="23"/>
      <c r="T1371" s="6"/>
      <c r="U1371" s="7"/>
    </row>
    <row r="1372" spans="1:27" ht="12.75">
      <c r="A1372" s="12" t="s">
        <v>6852</v>
      </c>
      <c r="B1372" s="6" t="s">
        <v>14</v>
      </c>
      <c r="C1372" s="7" t="str">
        <f t="shared" si="20"/>
        <v xml:space="preserve">Rebeca Fox </v>
      </c>
      <c r="D1372" s="24" t="s">
        <v>6853</v>
      </c>
      <c r="E1372" s="25" t="s">
        <v>6854</v>
      </c>
      <c r="F1372" s="9" t="str">
        <f ca="1">IFERROR(__xludf.DUMMYFUNCTION("""https://streamtape.com/v/""&amp;
REGEXEXTRACT(O1372,""/thumb/([^/]+)/"")&amp;
""/""&amp;K1372"),"https://streamtape.com/v/6914eqq7GwT9Dxq/16691815")</f>
        <v>https://streamtape.com/v/6914eqq7GwT9Dxq/16691815</v>
      </c>
      <c r="G1372" s="10" t="e">
        <f t="shared" ca="1" si="21"/>
        <v>#NAME?</v>
      </c>
      <c r="H1372" s="11" t="str">
        <f ca="1">IFERROR(__xludf.DUMMYFUNCTION("IFERROR(SUBSTITUTE(SUBSTITUTE(REGEXEXTRACT(A1372, ""[^-]+- [^-]+- [^-]+ - (.+?)\.jpg""), "".jpg"", """"), ""-"", "", ""), """")"),"")</f>
        <v/>
      </c>
      <c r="I1372" s="6"/>
      <c r="J1372" s="7" t="str">
        <f t="shared" ca="1" si="22"/>
        <v>(2026)</v>
      </c>
      <c r="K1372" s="7" t="str">
        <f t="shared" si="23"/>
        <v>16691815</v>
      </c>
      <c r="L1372" s="12" t="s">
        <v>6855</v>
      </c>
      <c r="M1372" s="13" t="str">
        <f ca="1">IFERROR(__xludf.DUMMYFUNCTION("TRIM(
  REGEXREPLACE(
    TEXTJOIN("" "",
      TRUE,
      B1372,
      C1372,
      embaralharLinks(E1372,F1372,G1372),
      H1372,
      """",
      J1372,
      N1372,
      ""#RIPNSFW""
    ),
  "",\s*"", "" "")
)"),"{New} Rebeca Fox https://doodstream.com/d/e151xxxuzgjh/16691815 https://streamtape.com/v/6914eqq7GwT9Dxq/16691815 https://lulustream.com/d/a05piznf89ys (2026) #doublepenetration #anal #teen #gangbang #RIPNSFW")</f>
        <v>{New} Rebeca Fox https://doodstream.com/d/e151xxxuzgjh/16691815 https://streamtape.com/v/6914eqq7GwT9Dxq/16691815 https://lulustream.com/d/a05piznf89ys (2026) #doublepenetration #anal #teen #gangbang #RIPNSFW</v>
      </c>
      <c r="N1372" s="2" t="s">
        <v>6855</v>
      </c>
      <c r="O1372" s="30" t="s">
        <v>6856</v>
      </c>
      <c r="P1372" s="26"/>
      <c r="R1372" s="23"/>
      <c r="T1372" s="6"/>
      <c r="U1372" s="7"/>
    </row>
    <row r="1373" spans="1:27" ht="12.75">
      <c r="A1373" s="12" t="s">
        <v>6857</v>
      </c>
      <c r="B1373" s="6" t="s">
        <v>14</v>
      </c>
      <c r="C1373" s="7" t="str">
        <f t="shared" si="20"/>
        <v xml:space="preserve">Rebeca Fox </v>
      </c>
      <c r="D1373" s="24" t="s">
        <v>6858</v>
      </c>
      <c r="E1373" s="25" t="s">
        <v>6859</v>
      </c>
      <c r="F1373" s="9" t="str">
        <f ca="1">IFERROR(__xludf.DUMMYFUNCTION("""https://streamtape.com/v/""&amp;
REGEXEXTRACT(O1373,""/thumb/([^/]+)/"")&amp;
""/""&amp;K1373"),"https://streamtape.com/v/ZDplW2mGgXcBDK/97988409")</f>
        <v>https://streamtape.com/v/ZDplW2mGgXcBDK/97988409</v>
      </c>
      <c r="G1373" s="10" t="e">
        <f t="shared" ca="1" si="21"/>
        <v>#NAME?</v>
      </c>
      <c r="H1373" s="11" t="str">
        <f ca="1">IFERROR(__xludf.DUMMYFUNCTION("IFERROR(SUBSTITUTE(SUBSTITUTE(REGEXEXTRACT(A1373, ""[^-]+- [^-]+- [^-]+ - (.+?)\.jpg""), "".jpg"", """"), ""-"", "", ""), """")"),"")</f>
        <v/>
      </c>
      <c r="I1373" s="6"/>
      <c r="J1373" s="7" t="str">
        <f t="shared" ca="1" si="22"/>
        <v>(2026)</v>
      </c>
      <c r="K1373" s="7" t="str">
        <f t="shared" si="23"/>
        <v>97988409</v>
      </c>
      <c r="L1373" s="12" t="s">
        <v>3652</v>
      </c>
      <c r="M1373" s="13" t="str">
        <f ca="1">IFERROR(__xludf.DUMMYFUNCTION("TRIM(
  REGEXREPLACE(
    TEXTJOIN("" "",
      TRUE,
      B1373,
      C1373,
      embaralharLinks(E1373,F1373,G1373),
      H1373,
      """",
      J1373,
      N1373,
      ""#RIPNSFW""
    ),
  "",\s*"", "" "")
)"),"{New} Rebeca Fox https://doodstream.com/d/zgcnz99b20wx/97988409 https://streamtape.com/v/ZDplW2mGgXcBDK/97988409 https://lulustream.com/d/re0hkt15wnzx (2026) #anal #teen #blowjob #porn #RIPNSFW")</f>
        <v>{New} Rebeca Fox https://doodstream.com/d/zgcnz99b20wx/97988409 https://streamtape.com/v/ZDplW2mGgXcBDK/97988409 https://lulustream.com/d/re0hkt15wnzx (2026) #anal #teen #blowjob #porn #RIPNSFW</v>
      </c>
      <c r="N1373" s="2" t="s">
        <v>3652</v>
      </c>
      <c r="O1373" s="30" t="s">
        <v>6860</v>
      </c>
      <c r="P1373" s="26"/>
      <c r="R1373" s="23"/>
      <c r="T1373" s="6"/>
      <c r="U1373" s="7"/>
    </row>
    <row r="1374" spans="1:27" ht="12.75">
      <c r="A1374" s="6" t="s">
        <v>6861</v>
      </c>
      <c r="B1374" s="6" t="s">
        <v>14</v>
      </c>
      <c r="C1374" s="7" t="str">
        <f t="shared" si="20"/>
        <v xml:space="preserve">Reislin </v>
      </c>
      <c r="D1374" s="6" t="s">
        <v>6862</v>
      </c>
      <c r="E1374" s="8" t="s">
        <v>6863</v>
      </c>
      <c r="F1374" s="9" t="str">
        <f ca="1">IFERROR(__xludf.DUMMYFUNCTION("""https://streamtape.com/v/""&amp;
REGEXEXTRACT(O1374,""/thumb/([^/]+)/"")&amp;
""/""&amp;K1374"),"https://streamtape.com/v/wDKvAwO8Q4CJb3K/55127366")</f>
        <v>https://streamtape.com/v/wDKvAwO8Q4CJb3K/55127366</v>
      </c>
      <c r="G1374" s="10" t="e">
        <f t="shared" ca="1" si="21"/>
        <v>#NAME?</v>
      </c>
      <c r="H1374" s="11" t="str">
        <f ca="1">IFERROR(__xludf.DUMMYFUNCTION("IFERROR(SUBSTITUTE(SUBSTITUTE(REGEXEXTRACT(A1374, ""[^-]+- [^-]+- [^-]+ - (.+?)\.jpg""), "".jpg"", """"), ""-"", "", ""), """")"),"")</f>
        <v/>
      </c>
      <c r="I1374" s="6"/>
      <c r="J1374" s="7" t="str">
        <f t="shared" ca="1" si="22"/>
        <v>(2026)</v>
      </c>
      <c r="K1374" s="7" t="str">
        <f t="shared" si="23"/>
        <v>55127366</v>
      </c>
      <c r="L1374" s="12" t="s">
        <v>2731</v>
      </c>
      <c r="M1374" s="13" t="str">
        <f ca="1">IFERROR(__xludf.DUMMYFUNCTION("TRIM(
  REGEXREPLACE(
    TEXTJOIN("" "",
      TRUE,
      B1374,
      C1374,
      embaralharLinks(E1374,F1374,G1374),
      H1374,
      """",
      J1374,
      N1374,
      ""#RIPNSFW""
    ),
  "",\s*"", "" "")
)"),"{New} Reislin https://lulustream.com/d/lcpt9s7brqoh https://doodstream.com/d/a690nt5d0xo2/55127366 https://streamtape.com/v/wDKvAwO8Q4CJb3K/55127366 (2026) #BigTits #Hardcore #Teen #Blowjob #Amateur #RIPNSFW")</f>
        <v>{New} Reislin https://lulustream.com/d/lcpt9s7brqoh https://doodstream.com/d/a690nt5d0xo2/55127366 https://streamtape.com/v/wDKvAwO8Q4CJb3K/55127366 (2026) #BigTits #Hardcore #Teen #Blowjob #Amateur #RIPNSFW</v>
      </c>
      <c r="N1374" s="14" t="s">
        <v>1121</v>
      </c>
      <c r="O1374" s="15" t="s">
        <v>6864</v>
      </c>
      <c r="P1374" s="14"/>
      <c r="Q1374" s="6"/>
      <c r="R1374" s="11"/>
      <c r="S1374" s="6"/>
      <c r="T1374" s="6"/>
      <c r="U1374" s="6"/>
      <c r="V1374" s="6"/>
      <c r="W1374" s="6"/>
      <c r="X1374" s="6"/>
      <c r="Y1374" s="6"/>
      <c r="Z1374" s="6"/>
      <c r="AA1374" s="6"/>
    </row>
    <row r="1375" spans="1:27" ht="12.75">
      <c r="A1375" s="12" t="s">
        <v>6865</v>
      </c>
      <c r="B1375" s="6" t="s">
        <v>14</v>
      </c>
      <c r="C1375" s="7" t="str">
        <f t="shared" si="20"/>
        <v xml:space="preserve">Remido </v>
      </c>
      <c r="D1375" s="27" t="s">
        <v>6866</v>
      </c>
      <c r="E1375" s="28" t="s">
        <v>6867</v>
      </c>
      <c r="F1375" s="9" t="str">
        <f ca="1">IFERROR(__xludf.DUMMYFUNCTION("""https://streamtape.com/v/""&amp;
REGEXEXTRACT(O1375,""/thumb/([^/]+)/"")&amp;
""/""&amp;K1375"),"https://streamtape.com/v/0eovZdWyBksb1lk/17868897")</f>
        <v>https://streamtape.com/v/0eovZdWyBksb1lk/17868897</v>
      </c>
      <c r="G1375" s="10" t="e">
        <f t="shared" ca="1" si="21"/>
        <v>#NAME?</v>
      </c>
      <c r="H1375" s="11" t="str">
        <f ca="1">IFERROR(__xludf.DUMMYFUNCTION("IFERROR(SUBSTITUTE(SUBSTITUTE(REGEXEXTRACT(A1375, ""[^-]+- [^-]+- [^-]+ - (.+?)\.jpg""), "".jpg"", """"), ""-"", "", ""), """")"),"")</f>
        <v/>
      </c>
      <c r="I1375" s="6"/>
      <c r="J1375" s="7" t="str">
        <f t="shared" ca="1" si="22"/>
        <v>(2026)</v>
      </c>
      <c r="K1375" s="7" t="str">
        <f t="shared" si="23"/>
        <v>17868897</v>
      </c>
      <c r="L1375" s="12" t="s">
        <v>346</v>
      </c>
      <c r="M1375" s="13" t="str">
        <f ca="1">IFERROR(__xludf.DUMMYFUNCTION("TRIM(
  REGEXREPLACE(
    TEXTJOIN("" "",
      TRUE,
      B1375,
      C1375,
      embaralharLinks(E1375,F1375,G1375),
      H1375,
      """",
      J1375,
      N1375,
      ""#RIPNSFW""
    ),
  "",\s*"", "" "")
)"),"{New} Remido https://doodstream.com/d/nh8g6cwbjin7/17868897 https://lulustream.com/d/mmwpv557n0d9 https://streamtape.com/v/0eovZdWyBksb1lk/17868897 (2026) #Anal #BigTits #Hardcore #Bigass #RIPNSFW")</f>
        <v>{New} Remido https://doodstream.com/d/nh8g6cwbjin7/17868897 https://lulustream.com/d/mmwpv557n0d9 https://streamtape.com/v/0eovZdWyBksb1lk/17868897 (2026) #Anal #BigTits #Hardcore #Bigass #RIPNSFW</v>
      </c>
      <c r="N1375" s="2" t="s">
        <v>347</v>
      </c>
      <c r="O1375" s="30" t="s">
        <v>6868</v>
      </c>
      <c r="P1375" s="26"/>
      <c r="R1375" s="23"/>
    </row>
    <row r="1376" spans="1:27" ht="12.75">
      <c r="A1376" s="6" t="s">
        <v>6869</v>
      </c>
      <c r="B1376" s="6" t="s">
        <v>14</v>
      </c>
      <c r="C1376" s="7" t="str">
        <f t="shared" si="20"/>
        <v xml:space="preserve">Remido </v>
      </c>
      <c r="D1376" s="6" t="s">
        <v>6870</v>
      </c>
      <c r="E1376" s="8" t="s">
        <v>6871</v>
      </c>
      <c r="F1376" s="9" t="str">
        <f ca="1">IFERROR(__xludf.DUMMYFUNCTION("""https://streamtape.com/v/""&amp;
REGEXEXTRACT(O1376,""/thumb/([^/]+)/"")&amp;
""/""&amp;K1376"),"https://streamtape.com/v/pMJOo6qlqPSrya9/54581348")</f>
        <v>https://streamtape.com/v/pMJOo6qlqPSrya9/54581348</v>
      </c>
      <c r="G1376" s="10" t="e">
        <f t="shared" ca="1" si="21"/>
        <v>#NAME?</v>
      </c>
      <c r="H1376" s="11" t="str">
        <f ca="1">IFERROR(__xludf.DUMMYFUNCTION("IFERROR(SUBSTITUTE(SUBSTITUTE(REGEXEXTRACT(A1376, ""[^-]+- [^-]+- [^-]+ - (.+?)\.jpg""), "".jpg"", """"), ""-"", "", ""), """")"),"")</f>
        <v/>
      </c>
      <c r="I1376" s="6"/>
      <c r="J1376" s="7" t="str">
        <f t="shared" ca="1" si="22"/>
        <v>(2026)</v>
      </c>
      <c r="K1376" s="7" t="str">
        <f t="shared" si="23"/>
        <v>54581348</v>
      </c>
      <c r="L1376" s="12" t="s">
        <v>6872</v>
      </c>
      <c r="M1376" s="13" t="str">
        <f ca="1">IFERROR(__xludf.DUMMYFUNCTION("TRIM(
  REGEXREPLACE(
    TEXTJOIN("" "",
      TRUE,
      B1376,
      C1376,
      embaralharLinks(E1376,F1376,G1376),
      H1376,
      """",
      J1376,
      N1376,
      ""#RIPNSFW""
    ),
  "",\s*"", "" "")
)"),"{New} Remido https://lulustream.com/d/2qlfdeuzewg9 https://doodstream.com/d/v3texwsnb0b1/54581348 https://streamtape.com/v/pMJOo6qlqPSrya9/54581348 (2026) #BigTits #Creampie #Hardcore #Bigass #Porn #Teen #Blowjob #RIPNSFW")</f>
        <v>{New} Remido https://lulustream.com/d/2qlfdeuzewg9 https://doodstream.com/d/v3texwsnb0b1/54581348 https://streamtape.com/v/pMJOo6qlqPSrya9/54581348 (2026) #BigTits #Creampie #Hardcore #Bigass #Porn #Teen #Blowjob #RIPNSFW</v>
      </c>
      <c r="N1376" s="14" t="s">
        <v>6873</v>
      </c>
      <c r="O1376" s="15" t="s">
        <v>6874</v>
      </c>
      <c r="P1376" s="14"/>
      <c r="Q1376" s="6"/>
      <c r="R1376" s="11"/>
      <c r="S1376" s="6"/>
      <c r="T1376" s="6"/>
      <c r="U1376" s="6"/>
      <c r="V1376" s="6"/>
      <c r="W1376" s="6"/>
      <c r="X1376" s="6"/>
      <c r="Y1376" s="6"/>
      <c r="Z1376" s="6"/>
      <c r="AA1376" s="6"/>
    </row>
    <row r="1377" spans="1:27" ht="12.75">
      <c r="A1377" s="12" t="s">
        <v>6875</v>
      </c>
      <c r="B1377" s="6" t="s">
        <v>14</v>
      </c>
      <c r="C1377" s="7" t="str">
        <f t="shared" si="20"/>
        <v xml:space="preserve">Remido </v>
      </c>
      <c r="D1377" s="24" t="s">
        <v>6876</v>
      </c>
      <c r="E1377" s="25" t="s">
        <v>6877</v>
      </c>
      <c r="F1377" s="9" t="str">
        <f ca="1">IFERROR(__xludf.DUMMYFUNCTION("""https://streamtape.com/v/""&amp;
REGEXEXTRACT(O1377,""/thumb/([^/]+)/"")&amp;
""/""&amp;K1377"),"https://streamtape.com/v/DWBLzweoPLtk7RA/61743542")</f>
        <v>https://streamtape.com/v/DWBLzweoPLtk7RA/61743542</v>
      </c>
      <c r="G1377" s="10" t="e">
        <f t="shared" ca="1" si="21"/>
        <v>#NAME?</v>
      </c>
      <c r="H1377" s="11" t="str">
        <f ca="1">IFERROR(__xludf.DUMMYFUNCTION("IFERROR(SUBSTITUTE(SUBSTITUTE(REGEXEXTRACT(A1377, ""[^-]+- [^-]+- [^-]+ - (.+?)\.jpg""), "".jpg"", """"), ""-"", "", ""), """")"),"")</f>
        <v/>
      </c>
      <c r="I1377" s="6"/>
      <c r="J1377" s="7" t="str">
        <f t="shared" ca="1" si="22"/>
        <v>(2026)</v>
      </c>
      <c r="K1377" s="7" t="str">
        <f t="shared" si="23"/>
        <v>61743542</v>
      </c>
      <c r="L1377" s="12" t="s">
        <v>6878</v>
      </c>
      <c r="M1377" s="13" t="str">
        <f ca="1">IFERROR(__xludf.DUMMYFUNCTION("TRIM(
  REGEXREPLACE(
    TEXTJOIN("" "",
      TRUE,
      B1377,
      C1377,
      embaralharLinks(E1377,F1377,G1377),
      H1377,
      """",
      J1377,
      N1377,
      ""#RIPNSFW""
    ),
  "",\s*"", "" "")
)"),"{New} Remido https://lulustream.com/d/ro76yshhqpvj https://doodstream.com/d/9n2xgmkqql6u/61743542 https://streamtape.com/v/DWBLzweoPLtk7RA/61743542 (2026) #teen #bigass #bigtits #blowjob #RIPNSFW")</f>
        <v>{New} Remido https://lulustream.com/d/ro76yshhqpvj https://doodstream.com/d/9n2xgmkqql6u/61743542 https://streamtape.com/v/DWBLzweoPLtk7RA/61743542 (2026) #teen #bigass #bigtits #blowjob #RIPNSFW</v>
      </c>
      <c r="N1377" s="2" t="s">
        <v>6878</v>
      </c>
      <c r="O1377" s="30" t="s">
        <v>6879</v>
      </c>
      <c r="P1377" s="26"/>
      <c r="R1377" s="23"/>
      <c r="T1377" s="6"/>
      <c r="U1377" s="7"/>
    </row>
    <row r="1378" spans="1:27" ht="12.75">
      <c r="A1378" s="12" t="s">
        <v>6880</v>
      </c>
      <c r="B1378" s="6" t="s">
        <v>14</v>
      </c>
      <c r="C1378" s="7" t="str">
        <f t="shared" si="20"/>
        <v xml:space="preserve">Remy Lacroix </v>
      </c>
      <c r="D1378" s="24" t="s">
        <v>6881</v>
      </c>
      <c r="E1378" s="25" t="s">
        <v>6882</v>
      </c>
      <c r="F1378" s="9" t="str">
        <f ca="1">IFERROR(__xludf.DUMMYFUNCTION("""https://streamtape.com/v/""&amp;
REGEXEXTRACT(O1378,""/thumb/([^/]+)/"")&amp;
""/""&amp;K1378"),"https://streamtape.com/v/jkzbZxVXeRF29b/10307538")</f>
        <v>https://streamtape.com/v/jkzbZxVXeRF29b/10307538</v>
      </c>
      <c r="G1378" s="10" t="e">
        <f t="shared" ca="1" si="21"/>
        <v>#NAME?</v>
      </c>
      <c r="H1378" s="11" t="str">
        <f ca="1">IFERROR(__xludf.DUMMYFUNCTION("IFERROR(SUBSTITUTE(SUBSTITUTE(REGEXEXTRACT(A1378, ""[^-]+- [^-]+- [^-]+ - (.+?)\.jpg""), "".jpg"", """"), ""-"", "", ""), """")"),"")</f>
        <v/>
      </c>
      <c r="I1378" s="6"/>
      <c r="J1378" s="7" t="str">
        <f t="shared" ca="1" si="22"/>
        <v>(2026)</v>
      </c>
      <c r="K1378" s="7" t="str">
        <f t="shared" si="23"/>
        <v>10307538</v>
      </c>
      <c r="L1378" s="12" t="s">
        <v>6883</v>
      </c>
      <c r="M1378" s="13" t="str">
        <f ca="1">IFERROR(__xludf.DUMMYFUNCTION("TRIM(
  REGEXREPLACE(
    TEXTJOIN("" "",
      TRUE,
      B1378,
      C1378,
      embaralharLinks(E1378,F1378,G1378),
      H1378,
      """",
      J1378,
      N1378,
      ""#RIPNSFW""
    ),
  "",\s*"", "" "")
)"),"{New} Remy Lacroix https://streamtape.com/v/jkzbZxVXeRF29b/10307538 https://doodstream.com/d/c5oz4wjpvr9g/10307538 https://lulustream.com/d/b4tc3q0q66qx (2026) #milf #hardcore #bigass #blowjob #RIPNSFW")</f>
        <v>{New} Remy Lacroix https://streamtape.com/v/jkzbZxVXeRF29b/10307538 https://doodstream.com/d/c5oz4wjpvr9g/10307538 https://lulustream.com/d/b4tc3q0q66qx (2026) #milf #hardcore #bigass #blowjob #RIPNSFW</v>
      </c>
      <c r="N1378" s="2" t="s">
        <v>6883</v>
      </c>
      <c r="O1378" s="30" t="s">
        <v>6884</v>
      </c>
      <c r="P1378" s="26"/>
      <c r="R1378" s="23"/>
      <c r="T1378" s="6"/>
      <c r="U1378" s="7"/>
    </row>
    <row r="1379" spans="1:27" ht="12.75">
      <c r="A1379" s="6" t="s">
        <v>6885</v>
      </c>
      <c r="B1379" s="6" t="s">
        <v>14</v>
      </c>
      <c r="C1379" s="7" t="str">
        <f t="shared" si="20"/>
        <v xml:space="preserve">Remy Lacroix </v>
      </c>
      <c r="D1379" s="24" t="s">
        <v>6886</v>
      </c>
      <c r="E1379" s="25" t="s">
        <v>6887</v>
      </c>
      <c r="F1379" s="9" t="str">
        <f ca="1">IFERROR(__xludf.DUMMYFUNCTION("""https://streamtape.com/v/""&amp;
REGEXEXTRACT(O1379,""/thumb/([^/]+)/"")&amp;
""/""&amp;K1379"),"https://streamtape.com/v/787Yzv1MkqHAOqv/11605734")</f>
        <v>https://streamtape.com/v/787Yzv1MkqHAOqv/11605734</v>
      </c>
      <c r="G1379" s="10" t="e">
        <f t="shared" ca="1" si="21"/>
        <v>#NAME?</v>
      </c>
      <c r="H1379" s="11" t="str">
        <f ca="1">IFERROR(__xludf.DUMMYFUNCTION("IFERROR(SUBSTITUTE(SUBSTITUTE(REGEXEXTRACT(A1379, ""[^-]+- [^-]+- [^-]+ - (.+?)\.jpg""), "".jpg"", """"), ""-"", "", ""), """")"),"")</f>
        <v/>
      </c>
      <c r="I1379" s="6"/>
      <c r="J1379" s="7" t="str">
        <f t="shared" ca="1" si="22"/>
        <v>(2026)</v>
      </c>
      <c r="K1379" s="7" t="str">
        <f t="shared" si="23"/>
        <v>11605734</v>
      </c>
      <c r="L1379" s="12" t="s">
        <v>6888</v>
      </c>
      <c r="M1379" s="13" t="str">
        <f ca="1">IFERROR(__xludf.DUMMYFUNCTION("TRIM(
  REGEXREPLACE(
    TEXTJOIN("" "",
      TRUE,
      B1379,
      C1379,
      embaralharLinks(E1379,F1379,G1379),
      H1379,
      """",
      J1379,
      N1379,
      ""#RIPNSFW""
    ),
  "",\s*"", "" "")
)"),"{New} Remy Lacroix https://doodstream.com/d/fd23dza3npq1/11605734 https://streamtape.com/v/787Yzv1MkqHAOqv/11605734 https://lulustream.com/d/kfadtjrl8xyy (2026) #milf #bigass #blowjob #blonde #RIPNSFW")</f>
        <v>{New} Remy Lacroix https://doodstream.com/d/fd23dza3npq1/11605734 https://streamtape.com/v/787Yzv1MkqHAOqv/11605734 https://lulustream.com/d/kfadtjrl8xyy (2026) #milf #bigass #blowjob #blonde #RIPNSFW</v>
      </c>
      <c r="N1379" s="31" t="s">
        <v>6888</v>
      </c>
      <c r="O1379" s="32" t="s">
        <v>6889</v>
      </c>
      <c r="P1379" s="26"/>
      <c r="Q1379" s="6"/>
      <c r="R1379" s="11"/>
      <c r="S1379" s="6"/>
      <c r="T1379" s="6"/>
      <c r="U1379" s="6"/>
      <c r="V1379" s="6"/>
      <c r="W1379" s="6"/>
      <c r="X1379" s="6"/>
      <c r="Y1379" s="6"/>
      <c r="Z1379" s="6"/>
      <c r="AA1379" s="6"/>
    </row>
    <row r="1380" spans="1:27" ht="12.75">
      <c r="A1380" s="12" t="s">
        <v>6890</v>
      </c>
      <c r="B1380" s="6" t="s">
        <v>14</v>
      </c>
      <c r="C1380" s="7" t="str">
        <f t="shared" si="20"/>
        <v xml:space="preserve">Remy Lacroix </v>
      </c>
      <c r="D1380" s="27" t="s">
        <v>6891</v>
      </c>
      <c r="E1380" s="28" t="s">
        <v>6892</v>
      </c>
      <c r="F1380" s="9" t="str">
        <f ca="1">IFERROR(__xludf.DUMMYFUNCTION("""https://streamtape.com/v/""&amp;
REGEXEXTRACT(O1380,""/thumb/([^/]+)/"")&amp;
""/""&amp;K1380"),"https://streamtape.com/v/QyRJq4qrr9f0Yb6/25602670")</f>
        <v>https://streamtape.com/v/QyRJq4qrr9f0Yb6/25602670</v>
      </c>
      <c r="G1380" s="10" t="e">
        <f t="shared" ca="1" si="21"/>
        <v>#NAME?</v>
      </c>
      <c r="H1380" s="11" t="str">
        <f ca="1">IFERROR(__xludf.DUMMYFUNCTION("IFERROR(SUBSTITUTE(SUBSTITUTE(REGEXEXTRACT(A1380, ""[^-]+- [^-]+- [^-]+ - (.+?)\.jpg""), "".jpg"", """"), ""-"", "", ""), """")"),"")</f>
        <v/>
      </c>
      <c r="I1380" s="6"/>
      <c r="J1380" s="7" t="str">
        <f t="shared" ca="1" si="22"/>
        <v>(2026)</v>
      </c>
      <c r="K1380" s="7" t="str">
        <f t="shared" si="23"/>
        <v>25602670</v>
      </c>
      <c r="L1380" s="12" t="s">
        <v>6893</v>
      </c>
      <c r="M1380" s="13" t="str">
        <f ca="1">IFERROR(__xludf.DUMMYFUNCTION("TRIM(
  REGEXREPLACE(
    TEXTJOIN("" "",
      TRUE,
      B1380,
      C1380,
      embaralharLinks(E1380,F1380,G1380),
      H1380,
      """",
      J1380,
      N1380,
      ""#RIPNSFW""
    ),
  "",\s*"", "" "")
)"),"{New} Remy Lacroix https://streamtape.com/v/QyRJq4qrr9f0Yb6/25602670 https://doodstream.com/d/3kxj9heinq6g/25602670 https://lulustream.com/d/xjua5v58fvja (2026) #MILF #Hardcore #Threesome #Bigass #RIPNSFW")</f>
        <v>{New} Remy Lacroix https://streamtape.com/v/QyRJq4qrr9f0Yb6/25602670 https://doodstream.com/d/3kxj9heinq6g/25602670 https://lulustream.com/d/xjua5v58fvja (2026) #MILF #Hardcore #Threesome #Bigass #RIPNSFW</v>
      </c>
      <c r="N1380" s="2" t="s">
        <v>6894</v>
      </c>
      <c r="O1380" s="30" t="s">
        <v>6895</v>
      </c>
      <c r="P1380" s="26"/>
      <c r="R1380" s="23"/>
    </row>
    <row r="1381" spans="1:27" ht="12.75">
      <c r="A1381" s="12" t="s">
        <v>6896</v>
      </c>
      <c r="B1381" s="6" t="s">
        <v>14</v>
      </c>
      <c r="C1381" s="7" t="str">
        <f t="shared" si="20"/>
        <v xml:space="preserve">Remy Lacroix </v>
      </c>
      <c r="D1381" s="24" t="s">
        <v>6897</v>
      </c>
      <c r="E1381" s="25" t="s">
        <v>6898</v>
      </c>
      <c r="F1381" s="9" t="str">
        <f ca="1">IFERROR(__xludf.DUMMYFUNCTION("""https://streamtape.com/v/""&amp;
REGEXEXTRACT(O1381,""/thumb/([^/]+)/"")&amp;
""/""&amp;K1381"),"https://streamtape.com/v/08aOMVx1Q7Tbqyv/30133802")</f>
        <v>https://streamtape.com/v/08aOMVx1Q7Tbqyv/30133802</v>
      </c>
      <c r="G1381" s="10" t="e">
        <f t="shared" ca="1" si="21"/>
        <v>#NAME?</v>
      </c>
      <c r="H1381" s="11" t="str">
        <f ca="1">IFERROR(__xludf.DUMMYFUNCTION("IFERROR(SUBSTITUTE(SUBSTITUTE(REGEXEXTRACT(A1381, ""[^-]+- [^-]+- [^-]+ - (.+?)\.jpg""), "".jpg"", """"), ""-"", "", ""), """")"),"")</f>
        <v/>
      </c>
      <c r="I1381" s="6"/>
      <c r="J1381" s="7" t="str">
        <f t="shared" ca="1" si="22"/>
        <v>(2026)</v>
      </c>
      <c r="K1381" s="7" t="str">
        <f t="shared" si="23"/>
        <v>30133802</v>
      </c>
      <c r="L1381" s="12" t="s">
        <v>2634</v>
      </c>
      <c r="M1381" s="13" t="str">
        <f ca="1">IFERROR(__xludf.DUMMYFUNCTION("TRIM(
  REGEXREPLACE(
    TEXTJOIN("" "",
      TRUE,
      B1381,
      C1381,
      embaralharLinks(E1381,F1381,G1381),
      H1381,
      """",
      J1381,
      N1381,
      ""#RIPNSFW""
    ),
  "",\s*"", "" "")
)"),"{New} Remy Lacroix https://streamtape.com/v/08aOMVx1Q7Tbqyv/30133802 https://lulustream.com/d/y3s72fv8c2q2 https://doodstream.com/d/z93gak4s6tzu/30133802 (2026) #milf #blowjob #hardcore #bigass #RIPNSFW")</f>
        <v>{New} Remy Lacroix https://streamtape.com/v/08aOMVx1Q7Tbqyv/30133802 https://lulustream.com/d/y3s72fv8c2q2 https://doodstream.com/d/z93gak4s6tzu/30133802 (2026) #milf #blowjob #hardcore #bigass #RIPNSFW</v>
      </c>
      <c r="N1381" s="2" t="s">
        <v>2634</v>
      </c>
      <c r="O1381" s="30" t="s">
        <v>6899</v>
      </c>
      <c r="P1381" s="26"/>
      <c r="R1381" s="23"/>
      <c r="T1381" s="6"/>
      <c r="U1381" s="7"/>
    </row>
    <row r="1382" spans="1:27" ht="12.75">
      <c r="A1382" s="12" t="s">
        <v>6900</v>
      </c>
      <c r="B1382" s="6" t="s">
        <v>14</v>
      </c>
      <c r="C1382" s="7" t="str">
        <f t="shared" si="20"/>
        <v xml:space="preserve">Remy Lacroix </v>
      </c>
      <c r="D1382" s="24" t="s">
        <v>6901</v>
      </c>
      <c r="E1382" s="25" t="s">
        <v>6902</v>
      </c>
      <c r="F1382" s="9" t="str">
        <f ca="1">IFERROR(__xludf.DUMMYFUNCTION("""https://streamtape.com/v/""&amp;
REGEXEXTRACT(O1382,""/thumb/([^/]+)/"")&amp;
""/""&amp;K1382"),"https://streamtape.com/v/P6DQm4O7Kwt0P0z/35214609")</f>
        <v>https://streamtape.com/v/P6DQm4O7Kwt0P0z/35214609</v>
      </c>
      <c r="G1382" s="10" t="e">
        <f t="shared" ca="1" si="21"/>
        <v>#NAME?</v>
      </c>
      <c r="H1382" s="11" t="str">
        <f ca="1">IFERROR(__xludf.DUMMYFUNCTION("IFERROR(SUBSTITUTE(SUBSTITUTE(REGEXEXTRACT(A1382, ""[^-]+- [^-]+- [^-]+ - (.+?)\.jpg""), "".jpg"", """"), ""-"", "", ""), """")"),"")</f>
        <v/>
      </c>
      <c r="I1382" s="6"/>
      <c r="J1382" s="7" t="str">
        <f t="shared" ca="1" si="22"/>
        <v>(2026)</v>
      </c>
      <c r="K1382" s="7" t="str">
        <f t="shared" si="23"/>
        <v>35214609</v>
      </c>
      <c r="L1382" s="12" t="s">
        <v>6888</v>
      </c>
      <c r="M1382" s="13" t="str">
        <f ca="1">IFERROR(__xludf.DUMMYFUNCTION("TRIM(
  REGEXREPLACE(
    TEXTJOIN("" "",
      TRUE,
      B1382,
      C1382,
      embaralharLinks(E1382,F1382,G1382),
      H1382,
      """",
      J1382,
      N1382,
      ""#RIPNSFW""
    ),
  "",\s*"", "" "")
)"),"{New} Remy Lacroix https://doodstream.com/d/bpgp1m4bx7sv/35214609 https://lulustream.com/d/gv4mfh2n4bsf https://streamtape.com/v/P6DQm4O7Kwt0P0z/35214609 (2026) #milf #bigass #blowjob #blonde #RIPNSFW")</f>
        <v>{New} Remy Lacroix https://doodstream.com/d/bpgp1m4bx7sv/35214609 https://lulustream.com/d/gv4mfh2n4bsf https://streamtape.com/v/P6DQm4O7Kwt0P0z/35214609 (2026) #milf #bigass #blowjob #blonde #RIPNSFW</v>
      </c>
      <c r="N1382" s="2" t="s">
        <v>6888</v>
      </c>
      <c r="O1382" s="30" t="s">
        <v>6903</v>
      </c>
      <c r="P1382" s="26"/>
      <c r="R1382" s="23"/>
    </row>
    <row r="1383" spans="1:27" ht="12.75">
      <c r="A1383" s="6" t="s">
        <v>6904</v>
      </c>
      <c r="B1383" s="6" t="s">
        <v>14</v>
      </c>
      <c r="C1383" s="7" t="str">
        <f t="shared" si="20"/>
        <v xml:space="preserve">Remy Lacroix </v>
      </c>
      <c r="D1383" s="24" t="s">
        <v>6905</v>
      </c>
      <c r="E1383" s="25" t="s">
        <v>6906</v>
      </c>
      <c r="F1383" s="9" t="str">
        <f ca="1">IFERROR(__xludf.DUMMYFUNCTION("""https://streamtape.com/v/""&amp;
REGEXEXTRACT(O1383,""/thumb/([^/]+)/"")&amp;
""/""&amp;K1383"),"https://streamtape.com/v/Xy7jd63191uDrW8/37921435")</f>
        <v>https://streamtape.com/v/Xy7jd63191uDrW8/37921435</v>
      </c>
      <c r="G1383" s="10" t="e">
        <f t="shared" ca="1" si="21"/>
        <v>#NAME?</v>
      </c>
      <c r="H1383" s="11" t="str">
        <f ca="1">IFERROR(__xludf.DUMMYFUNCTION("IFERROR(SUBSTITUTE(SUBSTITUTE(REGEXEXTRACT(A1383, ""[^-]+- [^-]+- [^-]+ - (.+?)\.jpg""), "".jpg"", """"), ""-"", "", ""), """")"),"")</f>
        <v/>
      </c>
      <c r="I1383" s="6"/>
      <c r="J1383" s="7" t="str">
        <f t="shared" ca="1" si="22"/>
        <v>(2026)</v>
      </c>
      <c r="K1383" s="7" t="str">
        <f t="shared" si="23"/>
        <v>37921435</v>
      </c>
      <c r="L1383" s="12" t="s">
        <v>6907</v>
      </c>
      <c r="M1383" s="13" t="str">
        <f ca="1">IFERROR(__xludf.DUMMYFUNCTION("TRIM(
  REGEXREPLACE(
    TEXTJOIN("" "",
      TRUE,
      B1383,
      C1383,
      embaralharLinks(E1383,F1383,G1383),
      H1383,
      """",
      J1383,
      N1383,
      ""#RIPNSFW""
    ),
  "",\s*"", "" "")
)"),"{New} Remy Lacroix https://doodstream.com/d/uau1grd3imgt/37921435 https://lulustream.com/d/yzlgdnptfsba https://streamtape.com/v/Xy7jd63191uDrW8/37921435 (2026) #milf #blowjob #bigass #blonde #RIPNSFW")</f>
        <v>{New} Remy Lacroix https://doodstream.com/d/uau1grd3imgt/37921435 https://lulustream.com/d/yzlgdnptfsba https://streamtape.com/v/Xy7jd63191uDrW8/37921435 (2026) #milf #blowjob #bigass #blonde #RIPNSFW</v>
      </c>
      <c r="N1383" s="31" t="s">
        <v>6907</v>
      </c>
      <c r="O1383" s="32" t="s">
        <v>6908</v>
      </c>
      <c r="P1383" s="26"/>
      <c r="Q1383" s="6"/>
      <c r="R1383" s="11"/>
      <c r="S1383" s="6"/>
      <c r="T1383" s="6"/>
      <c r="U1383" s="6"/>
      <c r="V1383" s="6"/>
      <c r="W1383" s="6"/>
      <c r="X1383" s="6"/>
      <c r="Y1383" s="6"/>
      <c r="Z1383" s="6"/>
      <c r="AA1383" s="6"/>
    </row>
    <row r="1384" spans="1:27" ht="12.75">
      <c r="A1384" s="12" t="s">
        <v>6909</v>
      </c>
      <c r="B1384" s="6" t="s">
        <v>14</v>
      </c>
      <c r="C1384" s="7" t="str">
        <f t="shared" si="20"/>
        <v xml:space="preserve">Remy Lacroix </v>
      </c>
      <c r="D1384" s="27" t="s">
        <v>6910</v>
      </c>
      <c r="E1384" s="28" t="s">
        <v>6911</v>
      </c>
      <c r="F1384" s="9" t="str">
        <f ca="1">IFERROR(__xludf.DUMMYFUNCTION("""https://streamtape.com/v/""&amp;
REGEXEXTRACT(O1384,""/thumb/([^/]+)/"")&amp;
""/""&amp;K1384"),"https://streamtape.com/v/XJGG3xYWLyTDDLx/44852556")</f>
        <v>https://streamtape.com/v/XJGG3xYWLyTDDLx/44852556</v>
      </c>
      <c r="G1384" s="10" t="e">
        <f t="shared" ca="1" si="21"/>
        <v>#NAME?</v>
      </c>
      <c r="H1384" s="11" t="str">
        <f ca="1">IFERROR(__xludf.DUMMYFUNCTION("IFERROR(SUBSTITUTE(SUBSTITUTE(REGEXEXTRACT(A1384, ""[^-]+- [^-]+- [^-]+ - (.+?)\.jpg""), "".jpg"", """"), ""-"", "", ""), """")"),"")</f>
        <v/>
      </c>
      <c r="I1384" s="6"/>
      <c r="J1384" s="7" t="str">
        <f t="shared" ca="1" si="22"/>
        <v>(2026)</v>
      </c>
      <c r="K1384" s="7" t="str">
        <f t="shared" si="23"/>
        <v>44852556</v>
      </c>
      <c r="L1384" s="12" t="s">
        <v>6912</v>
      </c>
      <c r="M1384" s="13" t="str">
        <f ca="1">IFERROR(__xludf.DUMMYFUNCTION("TRIM(
  REGEXREPLACE(
    TEXTJOIN("" "",
      TRUE,
      B1384,
      C1384,
      embaralharLinks(E1384,F1384,G1384),
      H1384,
      """",
      J1384,
      N1384,
      ""#RIPNSFW""
    ),
  "",\s*"", "" "")
)"),"{New} Remy Lacroix https://streamtape.com/v/XJGG3xYWLyTDDLx/44852556 https://lulustream.com/d/qymyniuneesr https://doodstream.com/d/sns2gr44el4s/44852556 (2026) #Anal #MILF #Hardcore #Black #RIPNSFW")</f>
        <v>{New} Remy Lacroix https://streamtape.com/v/XJGG3xYWLyTDDLx/44852556 https://lulustream.com/d/qymyniuneesr https://doodstream.com/d/sns2gr44el4s/44852556 (2026) #Anal #MILF #Hardcore #Black #RIPNSFW</v>
      </c>
      <c r="N1384" s="2" t="s">
        <v>6913</v>
      </c>
      <c r="O1384" s="30" t="s">
        <v>6914</v>
      </c>
      <c r="P1384" s="26"/>
      <c r="R1384" s="23"/>
    </row>
    <row r="1385" spans="1:27" ht="12.75">
      <c r="A1385" s="12" t="s">
        <v>6915</v>
      </c>
      <c r="B1385" s="6" t="s">
        <v>14</v>
      </c>
      <c r="C1385" s="7" t="str">
        <f t="shared" si="20"/>
        <v xml:space="preserve">Remy Lacroix </v>
      </c>
      <c r="D1385" s="24" t="s">
        <v>6916</v>
      </c>
      <c r="E1385" s="25" t="s">
        <v>6917</v>
      </c>
      <c r="F1385" s="9" t="str">
        <f ca="1">IFERROR(__xludf.DUMMYFUNCTION("""https://streamtape.com/v/""&amp;
REGEXEXTRACT(O1385,""/thumb/([^/]+)/"")&amp;
""/""&amp;K1385"),"https://streamtape.com/v/A4ezwdGdRWTXrwM/46659805")</f>
        <v>https://streamtape.com/v/A4ezwdGdRWTXrwM/46659805</v>
      </c>
      <c r="G1385" s="10" t="e">
        <f t="shared" ca="1" si="21"/>
        <v>#NAME?</v>
      </c>
      <c r="H1385" s="11" t="str">
        <f ca="1">IFERROR(__xludf.DUMMYFUNCTION("IFERROR(SUBSTITUTE(SUBSTITUTE(REGEXEXTRACT(A1385, ""[^-]+- [^-]+- [^-]+ - (.+?)\.jpg""), "".jpg"", """"), ""-"", "", ""), """")"),"")</f>
        <v/>
      </c>
      <c r="I1385" s="6"/>
      <c r="J1385" s="7" t="str">
        <f t="shared" ca="1" si="22"/>
        <v>(2026)</v>
      </c>
      <c r="K1385" s="7" t="str">
        <f t="shared" si="23"/>
        <v>46659805</v>
      </c>
      <c r="L1385" s="12" t="s">
        <v>6918</v>
      </c>
      <c r="M1385" s="13" t="str">
        <f ca="1">IFERROR(__xludf.DUMMYFUNCTION("TRIM(
  REGEXREPLACE(
    TEXTJOIN("" "",
      TRUE,
      B1385,
      C1385,
      embaralharLinks(E1385,F1385,G1385),
      H1385,
      """",
      J1385,
      N1385,
      ""#RIPNSFW""
    ),
  "",\s*"", "" "")
)"),"{New} Remy Lacroix https://lulustream.com/d/hv6tzbhzhtt7 https://doodstream.com/d/0w025blyon8r/46659805 https://streamtape.com/v/A4ezwdGdRWTXrwM/46659805 (2026) #milf #bigass #blowjob #threesome #RIPNSFW")</f>
        <v>{New} Remy Lacroix https://lulustream.com/d/hv6tzbhzhtt7 https://doodstream.com/d/0w025blyon8r/46659805 https://streamtape.com/v/A4ezwdGdRWTXrwM/46659805 (2026) #milf #bigass #blowjob #threesome #RIPNSFW</v>
      </c>
      <c r="N1385" s="2" t="s">
        <v>6918</v>
      </c>
      <c r="O1385" s="30" t="s">
        <v>6919</v>
      </c>
      <c r="P1385" s="26"/>
      <c r="R1385" s="23"/>
    </row>
    <row r="1386" spans="1:27" ht="12.75">
      <c r="A1386" s="6" t="s">
        <v>6920</v>
      </c>
      <c r="B1386" s="6" t="s">
        <v>14</v>
      </c>
      <c r="C1386" s="7" t="str">
        <f t="shared" si="20"/>
        <v xml:space="preserve">Remy Lacroix </v>
      </c>
      <c r="D1386" s="6" t="s">
        <v>6921</v>
      </c>
      <c r="E1386" s="8" t="s">
        <v>6922</v>
      </c>
      <c r="F1386" s="9" t="str">
        <f ca="1">IFERROR(__xludf.DUMMYFUNCTION("""https://streamtape.com/v/""&amp;
REGEXEXTRACT(O1386,""/thumb/([^/]+)/"")&amp;
""/""&amp;K1386"),"https://streamtape.com/v/RkPxABa2kBUdvLz/55081926")</f>
        <v>https://streamtape.com/v/RkPxABa2kBUdvLz/55081926</v>
      </c>
      <c r="G1386" s="10" t="e">
        <f t="shared" ca="1" si="21"/>
        <v>#NAME?</v>
      </c>
      <c r="H1386" s="11" t="str">
        <f ca="1">IFERROR(__xludf.DUMMYFUNCTION("IFERROR(SUBSTITUTE(SUBSTITUTE(REGEXEXTRACT(A1386, ""[^-]+- [^-]+- [^-]+ - (.+?)\.jpg""), "".jpg"", """"), ""-"", "", ""), """")"),"")</f>
        <v/>
      </c>
      <c r="I1386" s="6"/>
      <c r="J1386" s="7" t="str">
        <f t="shared" ca="1" si="22"/>
        <v>(2026)</v>
      </c>
      <c r="K1386" s="7" t="str">
        <f t="shared" si="23"/>
        <v>55081926</v>
      </c>
      <c r="L1386" s="12" t="s">
        <v>6923</v>
      </c>
      <c r="M1386" s="13" t="str">
        <f ca="1">IFERROR(__xludf.DUMMYFUNCTION("TRIM(
  REGEXREPLACE(
    TEXTJOIN("" "",
      TRUE,
      B1386,
      C1386,
      embaralharLinks(E1386,F1386,G1386),
      H1386,
      """",
      J1386,
      N1386,
      ""#RIPNSFW""
    ),
  "",\s*"", "" "")
)"),"{New} Remy Lacroix https://doodstream.com/d/zy28f5gdosu7/55081926 https://lulustream.com/d/pdkg1bkcpf2j https://streamtape.com/v/RkPxABa2kBUdvLz/55081926 (2026) #Hardcore #Bigass #Porn #Teen #Blowjob #RIPNSFW")</f>
        <v>{New} Remy Lacroix https://doodstream.com/d/zy28f5gdosu7/55081926 https://lulustream.com/d/pdkg1bkcpf2j https://streamtape.com/v/RkPxABa2kBUdvLz/55081926 (2026) #Hardcore #Bigass #Porn #Teen #Blowjob #RIPNSFW</v>
      </c>
      <c r="N1386" s="14" t="s">
        <v>6924</v>
      </c>
      <c r="O1386" s="15" t="s">
        <v>6925</v>
      </c>
      <c r="P1386" s="14"/>
      <c r="Q1386" s="6"/>
      <c r="R1386" s="11"/>
      <c r="S1386" s="6"/>
      <c r="T1386" s="6"/>
      <c r="U1386" s="6"/>
      <c r="V1386" s="6"/>
      <c r="W1386" s="6"/>
      <c r="X1386" s="6"/>
      <c r="Y1386" s="6"/>
      <c r="Z1386" s="6"/>
      <c r="AA1386" s="6"/>
    </row>
    <row r="1387" spans="1:27" ht="12.75">
      <c r="A1387" s="6" t="s">
        <v>6926</v>
      </c>
      <c r="B1387" s="6" t="s">
        <v>14</v>
      </c>
      <c r="C1387" s="7" t="str">
        <f t="shared" si="20"/>
        <v xml:space="preserve">Remy Lacroix </v>
      </c>
      <c r="D1387" s="29" t="s">
        <v>6927</v>
      </c>
      <c r="E1387" s="8" t="s">
        <v>6928</v>
      </c>
      <c r="F1387" s="9" t="str">
        <f ca="1">IFERROR(__xludf.DUMMYFUNCTION("""https://streamtape.com/v/""&amp;
REGEXEXTRACT(O1387,""/thumb/([^/]+)/"")&amp;
""/""&amp;K1387"),"https://streamtape.com/v/Kwdmq3y2X0T0eK1/71611678")</f>
        <v>https://streamtape.com/v/Kwdmq3y2X0T0eK1/71611678</v>
      </c>
      <c r="G1387" s="10" t="e">
        <f t="shared" ca="1" si="21"/>
        <v>#NAME?</v>
      </c>
      <c r="H1387" s="11" t="str">
        <f ca="1">IFERROR(__xludf.DUMMYFUNCTION("IFERROR(SUBSTITUTE(SUBSTITUTE(REGEXEXTRACT(A1387, ""[^-]+- [^-]+- [^-]+ - (.+?)\.jpg""), "".jpg"", """"), ""-"", "", ""), """")"),"")</f>
        <v/>
      </c>
      <c r="I1387" s="6"/>
      <c r="J1387" s="7" t="str">
        <f t="shared" ca="1" si="22"/>
        <v>(2026)</v>
      </c>
      <c r="K1387" s="7" t="str">
        <f t="shared" si="23"/>
        <v>71611678</v>
      </c>
      <c r="L1387" s="6" t="s">
        <v>2914</v>
      </c>
      <c r="M1387" s="13" t="str">
        <f ca="1">IFERROR(__xludf.DUMMYFUNCTION("TRIM(
  REGEXREPLACE(
    TEXTJOIN("" "",
      TRUE,
      B1387,
      C1387,
      embaralharLinks(E1387,F1387,G1387),
      H1387,
      """",
      J1387,
      N1387,
      ""#RIPNSFW""
    ),
  "",\s*"", "" "")
)"),"{New} Remy Lacroix https://doodstream.com/d/0j0fyvp527yf/71611678 https://lulustream.com/d/cqg2j7kwooea https://streamtape.com/v/Kwdmq3y2X0T0eK1/71611678 (2026) #MILF #Hardcore #Black #Interracial #RIPNSFW")</f>
        <v>{New} Remy Lacroix https://doodstream.com/d/0j0fyvp527yf/71611678 https://lulustream.com/d/cqg2j7kwooea https://streamtape.com/v/Kwdmq3y2X0T0eK1/71611678 (2026) #MILF #Hardcore #Black #Interracial #RIPNSFW</v>
      </c>
      <c r="N1387" s="31" t="s">
        <v>2915</v>
      </c>
      <c r="O1387" s="32" t="s">
        <v>6929</v>
      </c>
      <c r="P1387" s="26"/>
      <c r="Q1387" s="6"/>
      <c r="R1387" s="11"/>
      <c r="S1387" s="6"/>
      <c r="T1387" s="6"/>
      <c r="U1387" s="6"/>
      <c r="V1387" s="6"/>
      <c r="W1387" s="6"/>
      <c r="X1387" s="6"/>
      <c r="Y1387" s="6"/>
      <c r="Z1387" s="6"/>
      <c r="AA1387" s="6"/>
    </row>
    <row r="1388" spans="1:27" ht="12.75">
      <c r="A1388" s="12" t="s">
        <v>6930</v>
      </c>
      <c r="B1388" s="6" t="s">
        <v>14</v>
      </c>
      <c r="C1388" s="7" t="str">
        <f t="shared" si="20"/>
        <v xml:space="preserve">Remy Lacroix </v>
      </c>
      <c r="D1388" s="24" t="s">
        <v>6931</v>
      </c>
      <c r="E1388" s="25" t="s">
        <v>6932</v>
      </c>
      <c r="F1388" s="9" t="str">
        <f ca="1">IFERROR(__xludf.DUMMYFUNCTION("""https://streamtape.com/v/""&amp;
REGEXEXTRACT(O1388,""/thumb/([^/]+)/"")&amp;
""/""&amp;K1388"),"https://streamtape.com/v/QDWR7g93roS0oXl/85696956")</f>
        <v>https://streamtape.com/v/QDWR7g93roS0oXl/85696956</v>
      </c>
      <c r="G1388" s="10" t="e">
        <f t="shared" ca="1" si="21"/>
        <v>#NAME?</v>
      </c>
      <c r="H1388" s="11" t="str">
        <f ca="1">IFERROR(__xludf.DUMMYFUNCTION("IFERROR(SUBSTITUTE(SUBSTITUTE(REGEXEXTRACT(A1388, ""[^-]+- [^-]+- [^-]+ - (.+?)\.jpg""), "".jpg"", """"), ""-"", "", ""), """")"),"")</f>
        <v/>
      </c>
      <c r="I1388" s="6"/>
      <c r="J1388" s="7" t="str">
        <f t="shared" ca="1" si="22"/>
        <v>(2026)</v>
      </c>
      <c r="K1388" s="7" t="str">
        <f t="shared" si="23"/>
        <v>85696956</v>
      </c>
      <c r="L1388" s="12" t="s">
        <v>2523</v>
      </c>
      <c r="M1388" s="13" t="str">
        <f ca="1">IFERROR(__xludf.DUMMYFUNCTION("TRIM(
  REGEXREPLACE(
    TEXTJOIN("" "",
      TRUE,
      B1388,
      C1388,
      embaralharLinks(E1388,F1388,G1388),
      H1388,
      """",
      J1388,
      N1388,
      ""#RIPNSFW""
    ),
  "",\s*"", "" "")
)"),"{New} Remy Lacroix https://streamtape.com/v/QDWR7g93roS0oXl/85696956 https://lulustream.com/d/lkry37ili0di https://doodstream.com/d/3dytxwcdo4a0/85696956 (2026) #milf #bigass #blowjob #amateur #RIPNSFW")</f>
        <v>{New} Remy Lacroix https://streamtape.com/v/QDWR7g93roS0oXl/85696956 https://lulustream.com/d/lkry37ili0di https://doodstream.com/d/3dytxwcdo4a0/85696956 (2026) #milf #bigass #blowjob #amateur #RIPNSFW</v>
      </c>
      <c r="N1388" s="2" t="s">
        <v>2523</v>
      </c>
      <c r="O1388" s="30" t="s">
        <v>6933</v>
      </c>
      <c r="P1388" s="26"/>
      <c r="R1388" s="23"/>
    </row>
    <row r="1389" spans="1:27" ht="12.75">
      <c r="A1389" s="12" t="s">
        <v>6934</v>
      </c>
      <c r="B1389" s="6" t="s">
        <v>14</v>
      </c>
      <c r="C1389" s="7" t="str">
        <f t="shared" si="20"/>
        <v xml:space="preserve">Remy Lacroix </v>
      </c>
      <c r="D1389" s="27" t="s">
        <v>6935</v>
      </c>
      <c r="E1389" s="28" t="s">
        <v>6936</v>
      </c>
      <c r="F1389" s="9" t="str">
        <f ca="1">IFERROR(__xludf.DUMMYFUNCTION("""https://streamtape.com/v/""&amp;
REGEXEXTRACT(O1389,""/thumb/([^/]+)/"")&amp;
""/""&amp;K1389"),"https://streamtape.com/v/zr9o0wprZoHYZKy/96309335")</f>
        <v>https://streamtape.com/v/zr9o0wprZoHYZKy/96309335</v>
      </c>
      <c r="G1389" s="10" t="e">
        <f t="shared" ca="1" si="21"/>
        <v>#NAME?</v>
      </c>
      <c r="H1389" s="11" t="str">
        <f ca="1">IFERROR(__xludf.DUMMYFUNCTION("IFERROR(SUBSTITUTE(SUBSTITUTE(REGEXEXTRACT(A1389, ""[^-]+- [^-]+- [^-]+ - (.+?)\.jpg""), "".jpg"", """"), ""-"", "", ""), """")"),"")</f>
        <v/>
      </c>
      <c r="I1389" s="6"/>
      <c r="J1389" s="7" t="str">
        <f t="shared" ca="1" si="22"/>
        <v>(2026)</v>
      </c>
      <c r="K1389" s="7" t="str">
        <f t="shared" si="23"/>
        <v>96309335</v>
      </c>
      <c r="L1389" s="12" t="s">
        <v>6912</v>
      </c>
      <c r="M1389" s="13" t="str">
        <f ca="1">IFERROR(__xludf.DUMMYFUNCTION("TRIM(
  REGEXREPLACE(
    TEXTJOIN("" "",
      TRUE,
      B1389,
      C1389,
      embaralharLinks(E1389,F1389,G1389),
      H1389,
      """",
      J1389,
      N1389,
      ""#RIPNSFW""
    ),
  "",\s*"", "" "")
)"),"{New} Remy Lacroix https://lulustream.com/d/p2jm1o2gxx9b https://doodstream.com/d/bkyvx3z2omo9/96309335 https://streamtape.com/v/zr9o0wprZoHYZKy/96309335 (2026) #Anal #MILF #Hardcore #Black #RIPNSFW")</f>
        <v>{New} Remy Lacroix https://lulustream.com/d/p2jm1o2gxx9b https://doodstream.com/d/bkyvx3z2omo9/96309335 https://streamtape.com/v/zr9o0wprZoHYZKy/96309335 (2026) #Anal #MILF #Hardcore #Black #RIPNSFW</v>
      </c>
      <c r="N1389" s="2" t="s">
        <v>6913</v>
      </c>
      <c r="O1389" s="21" t="s">
        <v>6937</v>
      </c>
      <c r="P1389" s="26"/>
      <c r="R1389" s="23"/>
    </row>
    <row r="1390" spans="1:27" ht="12.75">
      <c r="A1390" s="6" t="s">
        <v>6938</v>
      </c>
      <c r="B1390" s="6" t="s">
        <v>14</v>
      </c>
      <c r="C1390" s="7" t="str">
        <f t="shared" si="20"/>
        <v xml:space="preserve">Richh Des </v>
      </c>
      <c r="D1390" s="6" t="s">
        <v>6939</v>
      </c>
      <c r="E1390" s="8" t="s">
        <v>6940</v>
      </c>
      <c r="F1390" s="9" t="str">
        <f ca="1">IFERROR(__xludf.DUMMYFUNCTION("""https://streamtape.com/v/""&amp;
REGEXEXTRACT(O1390,""/thumb/([^/]+)/"")&amp;
""/""&amp;K1390"),"https://streamtape.com/v/ZKAQgjZ7qwsqp8R/24637531")</f>
        <v>https://streamtape.com/v/ZKAQgjZ7qwsqp8R/24637531</v>
      </c>
      <c r="G1390" s="10" t="e">
        <f t="shared" ca="1" si="21"/>
        <v>#NAME?</v>
      </c>
      <c r="H1390" s="11" t="str">
        <f ca="1">IFERROR(__xludf.DUMMYFUNCTION("IFERROR(SUBSTITUTE(SUBSTITUTE(REGEXEXTRACT(A1390, ""[^-]+- [^-]+- [^-]+ - (.+?)\.jpg""), "".jpg"", """"), ""-"", "", ""), """")"),"")</f>
        <v/>
      </c>
      <c r="I1390" s="6"/>
      <c r="J1390" s="7" t="str">
        <f t="shared" ca="1" si="22"/>
        <v>(2026)</v>
      </c>
      <c r="K1390" s="7" t="str">
        <f t="shared" si="23"/>
        <v>24637531</v>
      </c>
      <c r="L1390" s="12" t="s">
        <v>161</v>
      </c>
      <c r="M1390" s="13" t="str">
        <f ca="1">IFERROR(__xludf.DUMMYFUNCTION("TRIM(
  REGEXREPLACE(
    TEXTJOIN("" "",
      TRUE,
      B1390,
      C1390,
      embaralharLinks(E1390,F1390,G1390),
      H1390,
      """",
      J1390,
      N1390,
      ""#RIPNSFW""
    ),
  "",\s*"", "" "")
)"),"{New} Richh Des https://streamtape.com/v/ZKAQgjZ7qwsqp8R/24637531 https://lulustream.com/d/pe34e3icill1 https://doodstream.com/d/zipqjzlc2rpv/24637531 (2026) #BigTits #Hardcore #Bigass #Teen #Blowjob #Amateur #Deepthroat #Blonde #Facial #RIPNSFW")</f>
        <v>{New} Richh Des https://streamtape.com/v/ZKAQgjZ7qwsqp8R/24637531 https://lulustream.com/d/pe34e3icill1 https://doodstream.com/d/zipqjzlc2rpv/24637531 (2026) #BigTits #Hardcore #Bigass #Teen #Blowjob #Amateur #Deepthroat #Blonde #Facial #RIPNSFW</v>
      </c>
      <c r="N1390" s="14" t="s">
        <v>6941</v>
      </c>
      <c r="O1390" s="15" t="s">
        <v>6942</v>
      </c>
      <c r="P1390" s="14"/>
      <c r="Q1390" s="6"/>
      <c r="R1390" s="11"/>
      <c r="S1390" s="6"/>
      <c r="T1390" s="6"/>
      <c r="U1390" s="6"/>
      <c r="V1390" s="6"/>
      <c r="W1390" s="6"/>
      <c r="X1390" s="6"/>
      <c r="Y1390" s="6"/>
      <c r="Z1390" s="6"/>
      <c r="AA1390" s="6"/>
    </row>
    <row r="1391" spans="1:27" ht="12.75">
      <c r="A1391" s="6" t="s">
        <v>6943</v>
      </c>
      <c r="B1391" s="6" t="s">
        <v>14</v>
      </c>
      <c r="C1391" s="7" t="str">
        <f t="shared" si="20"/>
        <v xml:space="preserve">Richh Des </v>
      </c>
      <c r="D1391" s="6" t="s">
        <v>6944</v>
      </c>
      <c r="E1391" s="8" t="s">
        <v>6945</v>
      </c>
      <c r="F1391" s="9" t="str">
        <f ca="1">IFERROR(__xludf.DUMMYFUNCTION("""https://streamtape.com/v/""&amp;
REGEXEXTRACT(O1391,""/thumb/([^/]+)/"")&amp;
""/""&amp;K1391"),"https://streamtape.com/v/MJ8OejGmgqim72M/55828464")</f>
        <v>https://streamtape.com/v/MJ8OejGmgqim72M/55828464</v>
      </c>
      <c r="G1391" s="10" t="e">
        <f t="shared" ca="1" si="21"/>
        <v>#NAME?</v>
      </c>
      <c r="H1391" s="11" t="str">
        <f ca="1">IFERROR(__xludf.DUMMYFUNCTION("IFERROR(SUBSTITUTE(SUBSTITUTE(REGEXEXTRACT(A1391, ""[^-]+- [^-]+- [^-]+ - (.+?)\.jpg""), "".jpg"", """"), ""-"", "", ""), """")"),"")</f>
        <v/>
      </c>
      <c r="I1391" s="6"/>
      <c r="J1391" s="7" t="str">
        <f t="shared" ca="1" si="22"/>
        <v>(2026)</v>
      </c>
      <c r="K1391" s="7" t="str">
        <f t="shared" si="23"/>
        <v>55828464</v>
      </c>
      <c r="L1391" s="12" t="s">
        <v>6946</v>
      </c>
      <c r="M1391" s="13" t="str">
        <f ca="1">IFERROR(__xludf.DUMMYFUNCTION("TRIM(
  REGEXREPLACE(
    TEXTJOIN("" "",
      TRUE,
      B1391,
      C1391,
      embaralharLinks(E1391,F1391,G1391),
      H1391,
      """",
      J1391,
      N1391,
      ""#RIPNSFW""
    ),
  "",\s*"", "" "")
)"),"{New} Richh Des https://doodstream.com/d/48oktnzk2kho/55828464 https://lulustream.com/d/qfe6ij3870h5 https://streamtape.com/v/MJ8OejGmgqim72M/55828464 (2026) #BigTits #Creampie #Hardcore #Bigass #Teen #Blowjob #RIPNSFW")</f>
        <v>{New} Richh Des https://doodstream.com/d/48oktnzk2kho/55828464 https://lulustream.com/d/qfe6ij3870h5 https://streamtape.com/v/MJ8OejGmgqim72M/55828464 (2026) #BigTits #Creampie #Hardcore #Bigass #Teen #Blowjob #RIPNSFW</v>
      </c>
      <c r="N1391" s="14" t="s">
        <v>24</v>
      </c>
      <c r="O1391" s="15" t="s">
        <v>6947</v>
      </c>
      <c r="P1391" s="14"/>
      <c r="Q1391" s="6"/>
      <c r="R1391" s="11"/>
      <c r="S1391" s="6"/>
      <c r="T1391" s="6"/>
      <c r="U1391" s="6"/>
      <c r="V1391" s="6"/>
      <c r="W1391" s="6"/>
      <c r="X1391" s="6"/>
      <c r="Y1391" s="6"/>
      <c r="Z1391" s="6"/>
      <c r="AA1391" s="6"/>
    </row>
    <row r="1392" spans="1:27" ht="12.75">
      <c r="A1392" s="6" t="s">
        <v>6948</v>
      </c>
      <c r="B1392" s="6" t="s">
        <v>14</v>
      </c>
      <c r="C1392" s="7" t="str">
        <f t="shared" si="20"/>
        <v xml:space="preserve">Riley Reid </v>
      </c>
      <c r="D1392" s="29" t="s">
        <v>6949</v>
      </c>
      <c r="E1392" s="8" t="s">
        <v>6950</v>
      </c>
      <c r="F1392" s="9" t="str">
        <f ca="1">IFERROR(__xludf.DUMMYFUNCTION("""https://streamtape.com/v/""&amp;
REGEXEXTRACT(O1392,""/thumb/([^/]+)/"")&amp;
""/""&amp;K1392"),"https://streamtape.com/v/XkPpaRvXMQf0WP/12535236")</f>
        <v>https://streamtape.com/v/XkPpaRvXMQf0WP/12535236</v>
      </c>
      <c r="G1392" s="10" t="e">
        <f t="shared" ca="1" si="21"/>
        <v>#NAME?</v>
      </c>
      <c r="H1392" s="11" t="str">
        <f ca="1">IFERROR(__xludf.DUMMYFUNCTION("IFERROR(SUBSTITUTE(SUBSTITUTE(REGEXEXTRACT(A1392, ""[^-]+- [^-]+- [^-]+ - (.+?)\.jpg""), "".jpg"", """"), ""-"", "", ""), """")"),"Jill Kassidy ,  Melissa Moore")</f>
        <v>Jill Kassidy ,  Melissa Moore</v>
      </c>
      <c r="I1392" s="6"/>
      <c r="J1392" s="7" t="str">
        <f t="shared" ca="1" si="22"/>
        <v>(2026)</v>
      </c>
      <c r="K1392" s="7" t="str">
        <f t="shared" si="23"/>
        <v>12535236</v>
      </c>
      <c r="L1392" s="12" t="s">
        <v>6951</v>
      </c>
      <c r="M1392" s="13" t="str">
        <f ca="1">IFERROR(__xludf.DUMMYFUNCTION("TRIM(
  REGEXREPLACE(
    TEXTJOIN("" "",
      TRUE,
      B1392,
      C1392,
      embaralharLinks(E1392,F1392,G1392),
      H1392,
      """",
      J1392,
      N1392,
      ""#RIPNSFW""
    ),
  "",\s*"", "" "")
)"),"{New} Riley Reid https://doodstream.com/d/sh1rrxju1bfv/12535236 https://streamtape.com/v/XkPpaRvXMQf0WP/12535236 https://lulustream.com/d/kiwwapfhzguq Jill Kassidy Melissa Moore (2026) #Hardcore #Bigass #Teen #Artporn #Teens #Blowjob #Amateur #Deepthroat "&amp;"#Facial #Foursome #RIPNSFW")</f>
        <v>{New} Riley Reid https://doodstream.com/d/sh1rrxju1bfv/12535236 https://streamtape.com/v/XkPpaRvXMQf0WP/12535236 https://lulustream.com/d/kiwwapfhzguq Jill Kassidy Melissa Moore (2026) #Hardcore #Bigass #Teen #Artporn #Teens #Blowjob #Amateur #Deepthroat #Facial #Foursome #RIPNSFW</v>
      </c>
      <c r="N1392" s="14" t="s">
        <v>6952</v>
      </c>
      <c r="O1392" s="32" t="s">
        <v>6953</v>
      </c>
      <c r="P1392" s="14"/>
      <c r="Q1392" s="6"/>
      <c r="R1392" s="11"/>
      <c r="S1392" s="6"/>
      <c r="T1392" s="6"/>
      <c r="U1392" s="6"/>
      <c r="V1392" s="6"/>
      <c r="W1392" s="6"/>
      <c r="X1392" s="6"/>
      <c r="Y1392" s="6"/>
      <c r="Z1392" s="6"/>
      <c r="AA1392" s="6"/>
    </row>
    <row r="1393" spans="1:27" ht="12.75">
      <c r="A1393" s="6" t="s">
        <v>6954</v>
      </c>
      <c r="B1393" s="6" t="s">
        <v>14</v>
      </c>
      <c r="C1393" s="7" t="str">
        <f t="shared" si="20"/>
        <v xml:space="preserve">Riley Reid </v>
      </c>
      <c r="D1393" s="24" t="s">
        <v>6955</v>
      </c>
      <c r="E1393" s="25" t="s">
        <v>6956</v>
      </c>
      <c r="F1393" s="9" t="str">
        <f ca="1">IFERROR(__xludf.DUMMYFUNCTION("""https://streamtape.com/v/""&amp;
REGEXEXTRACT(O1393,""/thumb/([^/]+)/"")&amp;
""/""&amp;K1393"),"https://streamtape.com/v/RjJmJvb7YwIXYd/13377773")</f>
        <v>https://streamtape.com/v/RjJmJvb7YwIXYd/13377773</v>
      </c>
      <c r="G1393" s="10" t="e">
        <f t="shared" ca="1" si="21"/>
        <v>#NAME?</v>
      </c>
      <c r="H1393" s="11" t="str">
        <f ca="1">IFERROR(__xludf.DUMMYFUNCTION("IFERROR(SUBSTITUTE(SUBSTITUTE(REGEXEXTRACT(A1393, ""[^-]+- [^-]+- [^-]+ - (.+?)\.jpg""), "".jpg"", """"), ""-"", "", ""), """")"),"")</f>
        <v/>
      </c>
      <c r="I1393" s="6"/>
      <c r="J1393" s="7" t="str">
        <f t="shared" ca="1" si="22"/>
        <v>(2026)</v>
      </c>
      <c r="K1393" s="7" t="str">
        <f t="shared" si="23"/>
        <v>13377773</v>
      </c>
      <c r="L1393" s="12" t="s">
        <v>2523</v>
      </c>
      <c r="M1393" s="13" t="str">
        <f ca="1">IFERROR(__xludf.DUMMYFUNCTION("TRIM(
  REGEXREPLACE(
    TEXTJOIN("" "",
      TRUE,
      B1393,
      C1393,
      embaralharLinks(E1393,F1393,G1393),
      H1393,
      """",
      J1393,
      N1393,
      ""#RIPNSFW""
    ),
  "",\s*"", "" "")
)"),"{New} Riley Reid https://doodstream.com/d/5t6yjm437rkg/13377773 https://lulustream.com/d/qv0edj9lm092 https://streamtape.com/v/RjJmJvb7YwIXYd/13377773 (2026) #milf #bigass #blowjob #amateur #RIPNSFW")</f>
        <v>{New} Riley Reid https://doodstream.com/d/5t6yjm437rkg/13377773 https://lulustream.com/d/qv0edj9lm092 https://streamtape.com/v/RjJmJvb7YwIXYd/13377773 (2026) #milf #bigass #blowjob #amateur #RIPNSFW</v>
      </c>
      <c r="N1393" s="31" t="s">
        <v>2523</v>
      </c>
      <c r="O1393" s="32" t="s">
        <v>6957</v>
      </c>
      <c r="P1393" s="26"/>
      <c r="Q1393" s="6"/>
      <c r="R1393" s="11"/>
      <c r="S1393" s="6"/>
      <c r="T1393" s="6"/>
      <c r="U1393" s="6"/>
      <c r="V1393" s="6"/>
      <c r="W1393" s="6"/>
      <c r="X1393" s="6"/>
      <c r="Y1393" s="6"/>
      <c r="Z1393" s="6"/>
      <c r="AA1393" s="6"/>
    </row>
    <row r="1394" spans="1:27" ht="12.75">
      <c r="A1394" s="12" t="s">
        <v>6958</v>
      </c>
      <c r="B1394" s="6" t="s">
        <v>14</v>
      </c>
      <c r="C1394" s="7" t="str">
        <f t="shared" si="20"/>
        <v xml:space="preserve">Riley Reid </v>
      </c>
      <c r="D1394" s="24" t="s">
        <v>6959</v>
      </c>
      <c r="E1394" s="25" t="s">
        <v>6960</v>
      </c>
      <c r="F1394" s="9" t="str">
        <f ca="1">IFERROR(__xludf.DUMMYFUNCTION("""https://streamtape.com/v/""&amp;
REGEXEXTRACT(O1394,""/thumb/([^/]+)/"")&amp;
""/""&amp;K1394"),"https://streamtape.com/v/Pwa8JjQ0M0hbl3/16167707")</f>
        <v>https://streamtape.com/v/Pwa8JjQ0M0hbl3/16167707</v>
      </c>
      <c r="G1394" s="10" t="e">
        <f t="shared" ca="1" si="21"/>
        <v>#NAME?</v>
      </c>
      <c r="H1394" s="11" t="str">
        <f ca="1">IFERROR(__xludf.DUMMYFUNCTION("IFERROR(SUBSTITUTE(SUBSTITUTE(REGEXEXTRACT(A1394, ""[^-]+- [^-]+- [^-]+ - (.+?)\.jpg""), "".jpg"", """"), ""-"", "", ""), """")"),"")</f>
        <v/>
      </c>
      <c r="I1394" s="6"/>
      <c r="J1394" s="7" t="str">
        <f t="shared" ca="1" si="22"/>
        <v>(2026)</v>
      </c>
      <c r="K1394" s="7" t="str">
        <f t="shared" si="23"/>
        <v>16167707</v>
      </c>
      <c r="L1394" s="12" t="s">
        <v>2304</v>
      </c>
      <c r="M1394" s="13" t="str">
        <f ca="1">IFERROR(__xludf.DUMMYFUNCTION("TRIM(
  REGEXREPLACE(
    TEXTJOIN("" "",
      TRUE,
      B1394,
      C1394,
      embaralharLinks(E1394,F1394,G1394),
      H1394,
      """",
      J1394,
      N1394,
      ""#RIPNSFW""
    ),
  "",\s*"", "" "")
)"),"{New} Riley Reid https://doodstream.com/d/fdf78qzxv23m/16167707 https://streamtape.com/v/Pwa8JjQ0M0hbl3/16167707 https://lulustream.com/d/ohfgqdv0gy55 (2026) #milf #bigass #blowjob #brunette #RIPNSFW")</f>
        <v>{New} Riley Reid https://doodstream.com/d/fdf78qzxv23m/16167707 https://streamtape.com/v/Pwa8JjQ0M0hbl3/16167707 https://lulustream.com/d/ohfgqdv0gy55 (2026) #milf #bigass #blowjob #brunette #RIPNSFW</v>
      </c>
      <c r="N1394" s="2" t="s">
        <v>2304</v>
      </c>
      <c r="O1394" s="30" t="s">
        <v>6961</v>
      </c>
      <c r="P1394" s="26"/>
      <c r="R1394" s="23"/>
      <c r="T1394" s="6"/>
      <c r="U1394" s="7"/>
    </row>
    <row r="1395" spans="1:27" ht="12.75">
      <c r="A1395" s="12" t="s">
        <v>6962</v>
      </c>
      <c r="B1395" s="6" t="s">
        <v>14</v>
      </c>
      <c r="C1395" s="7" t="str">
        <f t="shared" si="20"/>
        <v xml:space="preserve">Riley Reid </v>
      </c>
      <c r="D1395" s="24" t="s">
        <v>6963</v>
      </c>
      <c r="E1395" s="25" t="s">
        <v>6964</v>
      </c>
      <c r="F1395" s="9" t="str">
        <f ca="1">IFERROR(__xludf.DUMMYFUNCTION("""https://streamtape.com/v/""&amp;
REGEXEXTRACT(O1395,""/thumb/([^/]+)/"")&amp;
""/""&amp;K1395"),"https://streamtape.com/v/QKjealLG4qiJ8Q/19096283")</f>
        <v>https://streamtape.com/v/QKjealLG4qiJ8Q/19096283</v>
      </c>
      <c r="G1395" s="10" t="e">
        <f t="shared" ca="1" si="21"/>
        <v>#NAME?</v>
      </c>
      <c r="H1395" s="11" t="str">
        <f ca="1">IFERROR(__xludf.DUMMYFUNCTION("IFERROR(SUBSTITUTE(SUBSTITUTE(REGEXEXTRACT(A1395, ""[^-]+- [^-]+- [^-]+ - (.+?)\.jpg""), "".jpg"", """"), ""-"", "", ""), """")"),"Cheerleader Kait")</f>
        <v>Cheerleader Kait</v>
      </c>
      <c r="I1395" s="6"/>
      <c r="J1395" s="7" t="str">
        <f t="shared" ca="1" si="22"/>
        <v>(2026)</v>
      </c>
      <c r="K1395" s="7" t="str">
        <f t="shared" si="23"/>
        <v>19096283</v>
      </c>
      <c r="L1395" s="12" t="s">
        <v>6965</v>
      </c>
      <c r="M1395" s="13" t="str">
        <f ca="1">IFERROR(__xludf.DUMMYFUNCTION("TRIM(
  REGEXREPLACE(
    TEXTJOIN("" "",
      TRUE,
      B1395,
      C1395,
      embaralharLinks(E1395,F1395,G1395),
      H1395,
      """",
      J1395,
      N1395,
      ""#RIPNSFW""
    ),
  "",\s*"", "" "")
)"),"{New} Riley Reid https://doodstream.com/d/ejijlfn23thi/19096283 https://streamtape.com/v/QKjealLG4qiJ8Q/19096283 https://lulustream.com/d/d0q1bmrb4ei0 Cheerleader Kait (2026) #bigass #threesome #blowjob #teens #RIPNSFW")</f>
        <v>{New} Riley Reid https://doodstream.com/d/ejijlfn23thi/19096283 https://streamtape.com/v/QKjealLG4qiJ8Q/19096283 https://lulustream.com/d/d0q1bmrb4ei0 Cheerleader Kait (2026) #bigass #threesome #blowjob #teens #RIPNSFW</v>
      </c>
      <c r="N1395" s="2" t="s">
        <v>6965</v>
      </c>
      <c r="O1395" s="30" t="s">
        <v>6966</v>
      </c>
      <c r="P1395" s="26"/>
      <c r="R1395" s="23"/>
      <c r="T1395" s="6"/>
      <c r="U1395" s="7"/>
    </row>
    <row r="1396" spans="1:27" ht="12.75">
      <c r="A1396" s="12" t="s">
        <v>6967</v>
      </c>
      <c r="B1396" s="6" t="s">
        <v>14</v>
      </c>
      <c r="C1396" s="7" t="str">
        <f t="shared" si="20"/>
        <v xml:space="preserve">Riley Reid </v>
      </c>
      <c r="D1396" s="24" t="s">
        <v>6968</v>
      </c>
      <c r="E1396" s="25" t="s">
        <v>6969</v>
      </c>
      <c r="F1396" s="9" t="str">
        <f ca="1">IFERROR(__xludf.DUMMYFUNCTION("""https://streamtape.com/v/""&amp;
REGEXEXTRACT(O1396,""/thumb/([^/]+)/"")&amp;
""/""&amp;K1396"),"https://streamtape.com/v/WDL9ZXdZDjfbjYr/23234580")</f>
        <v>https://streamtape.com/v/WDL9ZXdZDjfbjYr/23234580</v>
      </c>
      <c r="G1396" s="10" t="e">
        <f t="shared" ca="1" si="21"/>
        <v>#NAME?</v>
      </c>
      <c r="H1396" s="11" t="str">
        <f ca="1">IFERROR(__xludf.DUMMYFUNCTION("IFERROR(SUBSTITUTE(SUBSTITUTE(REGEXEXTRACT(A1396, ""[^-]+- [^-]+- [^-]+ - (.+?)\.jpg""), "".jpg"", """"), ""-"", "", ""), """")"),"")</f>
        <v/>
      </c>
      <c r="I1396" s="6"/>
      <c r="J1396" s="7" t="str">
        <f t="shared" ca="1" si="22"/>
        <v>(2026)</v>
      </c>
      <c r="K1396" s="7" t="str">
        <f t="shared" si="23"/>
        <v>23234580</v>
      </c>
      <c r="L1396" s="12" t="s">
        <v>6970</v>
      </c>
      <c r="M1396" s="13" t="str">
        <f ca="1">IFERROR(__xludf.DUMMYFUNCTION("TRIM(
  REGEXREPLACE(
    TEXTJOIN("" "",
      TRUE,
      B1396,
      C1396,
      embaralharLinks(E1396,F1396,G1396),
      H1396,
      """",
      J1396,
      N1396,
      ""#RIPNSFW""
    ),
  "",\s*"", "" "")
)"),"{New} Riley Reid https://streamtape.com/v/WDL9ZXdZDjfbjYr/23234580 https://lulustream.com/d/dsdz5dxabs0u https://doodstream.com/d/wu25i7f3yf28/23234580 (2026) #milf #anal #bigass #blowjob #RIPNSFW")</f>
        <v>{New} Riley Reid https://streamtape.com/v/WDL9ZXdZDjfbjYr/23234580 https://lulustream.com/d/dsdz5dxabs0u https://doodstream.com/d/wu25i7f3yf28/23234580 (2026) #milf #anal #bigass #blowjob #RIPNSFW</v>
      </c>
      <c r="N1396" s="2" t="s">
        <v>6970</v>
      </c>
      <c r="O1396" s="30" t="s">
        <v>6971</v>
      </c>
      <c r="P1396" s="26"/>
      <c r="R1396" s="23"/>
    </row>
    <row r="1397" spans="1:27" ht="12.75">
      <c r="A1397" s="16" t="s">
        <v>6972</v>
      </c>
      <c r="B1397" s="11" t="s">
        <v>14</v>
      </c>
      <c r="C1397" s="13" t="str">
        <f t="shared" si="20"/>
        <v xml:space="preserve">Riley Reid </v>
      </c>
      <c r="D1397" s="17" t="s">
        <v>6973</v>
      </c>
      <c r="E1397" s="18" t="s">
        <v>6974</v>
      </c>
      <c r="F1397" s="9" t="str">
        <f ca="1">IFERROR(__xludf.DUMMYFUNCTION("""https://streamtape.com/v/""&amp;
REGEXEXTRACT(O1397,""/thumb/([^/]+)/"")&amp;
""/""&amp;K1397"),"https://streamtape.com/v/wVMKvXdyxYHx2D/28043180")</f>
        <v>https://streamtape.com/v/wVMKvXdyxYHx2D/28043180</v>
      </c>
      <c r="G1397" s="10" t="e">
        <f t="shared" ca="1" si="21"/>
        <v>#NAME?</v>
      </c>
      <c r="H1397" s="11" t="str">
        <f ca="1">IFERROR(__xludf.DUMMYFUNCTION("IFERROR(SUBSTITUTE(SUBSTITUTE(REGEXEXTRACT(A1397, ""[^-]+- [^-]+- [^-]+ - (.+?)\.jpg""), "".jpg"", """"), ""-"", "", ""), """")"),"")</f>
        <v/>
      </c>
      <c r="I1397" s="11"/>
      <c r="J1397" s="13" t="str">
        <f t="shared" ca="1" si="22"/>
        <v>(2026)</v>
      </c>
      <c r="K1397" s="13" t="str">
        <f t="shared" si="23"/>
        <v>28043180</v>
      </c>
      <c r="L1397" s="12" t="s">
        <v>2523</v>
      </c>
      <c r="M1397" s="13" t="str">
        <f ca="1">IFERROR(__xludf.DUMMYFUNCTION("TRIM(
  REGEXREPLACE(
    TEXTJOIN("" "",
      TRUE,
      B1397,
      C1397,
      embaralharLinks(E1397,F1397,G1397),
      H1397,
      """",
      J1397,
      N1397,
      ""#RIPNSFW""
    ),
  "",\s*"", "" "")
)"),"{New} Riley Reid https://streamtape.com/v/wVMKvXdyxYHx2D/28043180 https://lulustream.com/d/k0s5eduh063x https://doodstream.com/d/5vodcd3ke1i2/28043180 (2026) #milf #bigass #blowjob #amateur #RIPNSFW")</f>
        <v>{New} Riley Reid https://streamtape.com/v/wVMKvXdyxYHx2D/28043180 https://lulustream.com/d/k0s5eduh063x https://doodstream.com/d/5vodcd3ke1i2/28043180 (2026) #milf #bigass #blowjob #amateur #RIPNSFW</v>
      </c>
      <c r="N1397" s="20" t="s">
        <v>2523</v>
      </c>
      <c r="O1397" s="30" t="s">
        <v>6975</v>
      </c>
      <c r="P1397" s="26"/>
      <c r="Q1397" s="16"/>
      <c r="R1397" s="23"/>
      <c r="S1397" s="16"/>
      <c r="T1397" s="16"/>
      <c r="U1397" s="16"/>
      <c r="V1397" s="16"/>
      <c r="W1397" s="16"/>
      <c r="X1397" s="16"/>
      <c r="Y1397" s="16"/>
      <c r="Z1397" s="16"/>
      <c r="AA1397" s="16"/>
    </row>
    <row r="1398" spans="1:27" ht="12.75">
      <c r="A1398" s="6" t="s">
        <v>6976</v>
      </c>
      <c r="B1398" s="6" t="s">
        <v>14</v>
      </c>
      <c r="C1398" s="7" t="str">
        <f t="shared" si="20"/>
        <v xml:space="preserve">Riley Reid </v>
      </c>
      <c r="D1398" s="29" t="s">
        <v>6977</v>
      </c>
      <c r="E1398" s="8" t="s">
        <v>6978</v>
      </c>
      <c r="F1398" s="9" t="str">
        <f ca="1">IFERROR(__xludf.DUMMYFUNCTION("""https://streamtape.com/v/""&amp;
REGEXEXTRACT(O1398,""/thumb/([^/]+)/"")&amp;
""/""&amp;K1398"),"https://streamtape.com/v/pjgG0w2KKmiWz6/31899025")</f>
        <v>https://streamtape.com/v/pjgG0w2KKmiWz6/31899025</v>
      </c>
      <c r="G1398" s="10" t="e">
        <f t="shared" ca="1" si="21"/>
        <v>#NAME?</v>
      </c>
      <c r="H1398" s="11" t="str">
        <f ca="1">IFERROR(__xludf.DUMMYFUNCTION("IFERROR(SUBSTITUTE(SUBSTITUTE(REGEXEXTRACT(A1398, ""[^-]+- [^-]+- [^-]+ - (.+?)\.jpg""), "".jpg"", """"), ""-"", "", ""), """")"),"")</f>
        <v/>
      </c>
      <c r="I1398" s="6"/>
      <c r="J1398" s="7" t="str">
        <f t="shared" ca="1" si="22"/>
        <v>(2026)</v>
      </c>
      <c r="K1398" s="7" t="str">
        <f t="shared" si="23"/>
        <v>31899025</v>
      </c>
      <c r="L1398" s="12" t="s">
        <v>6979</v>
      </c>
      <c r="M1398" s="13" t="str">
        <f ca="1">IFERROR(__xludf.DUMMYFUNCTION("TRIM(
  REGEXREPLACE(
    TEXTJOIN("" "",
      TRUE,
      B1398,
      C1398,
      embaralharLinks(E1398,F1398,G1398),
      H1398,
      """",
      J1398,
      N1398,
      ""#RIPNSFW""
    ),
  "",\s*"", "" "")
)"),"{New} Riley Reid https://streamtape.com/v/pjgG0w2KKmiWz6/31899025 https://lulustream.com/d/0cmjyk9w5b9n https://doodstream.com/d/ujga9z7s133e/31899025 (2026) #MILF #Hardcore #Bigass #Artporn #Blowjob #Amateur #RIPNSFW")</f>
        <v>{New} Riley Reid https://streamtape.com/v/pjgG0w2KKmiWz6/31899025 https://lulustream.com/d/0cmjyk9w5b9n https://doodstream.com/d/ujga9z7s133e/31899025 (2026) #MILF #Hardcore #Bigass #Artporn #Blowjob #Amateur #RIPNSFW</v>
      </c>
      <c r="N1398" s="14" t="s">
        <v>6980</v>
      </c>
      <c r="O1398" s="32" t="s">
        <v>6981</v>
      </c>
      <c r="P1398" s="14"/>
      <c r="Q1398" s="6"/>
      <c r="R1398" s="11"/>
      <c r="S1398" s="6"/>
      <c r="T1398" s="6"/>
      <c r="U1398" s="6"/>
      <c r="V1398" s="6"/>
      <c r="W1398" s="6"/>
      <c r="X1398" s="6"/>
      <c r="Y1398" s="6"/>
      <c r="Z1398" s="6"/>
      <c r="AA1398" s="6"/>
    </row>
    <row r="1399" spans="1:27" ht="12.75">
      <c r="A1399" s="12" t="s">
        <v>6982</v>
      </c>
      <c r="B1399" s="6" t="s">
        <v>14</v>
      </c>
      <c r="C1399" s="7" t="str">
        <f t="shared" si="20"/>
        <v xml:space="preserve">Riley Reid </v>
      </c>
      <c r="D1399" s="24" t="s">
        <v>6983</v>
      </c>
      <c r="E1399" s="25" t="s">
        <v>6984</v>
      </c>
      <c r="F1399" s="9" t="str">
        <f ca="1">IFERROR(__xludf.DUMMYFUNCTION("""https://streamtape.com/v/""&amp;
REGEXEXTRACT(O1399,""/thumb/([^/]+)/"")&amp;
""/""&amp;K1399"),"https://streamtape.com/v/xZO3B2yOJdskWxm/43753980")</f>
        <v>https://streamtape.com/v/xZO3B2yOJdskWxm/43753980</v>
      </c>
      <c r="G1399" s="10" t="e">
        <f t="shared" ca="1" si="21"/>
        <v>#NAME?</v>
      </c>
      <c r="H1399" s="11" t="str">
        <f ca="1">IFERROR(__xludf.DUMMYFUNCTION("IFERROR(SUBSTITUTE(SUBSTITUTE(REGEXEXTRACT(A1399, ""[^-]+- [^-]+- [^-]+ - (.+?)\.jpg""), "".jpg"", """"), ""-"", "", ""), """")"),"")</f>
        <v/>
      </c>
      <c r="I1399" s="6"/>
      <c r="J1399" s="7" t="str">
        <f t="shared" ca="1" si="22"/>
        <v>(2026)</v>
      </c>
      <c r="K1399" s="7" t="str">
        <f t="shared" si="23"/>
        <v>43753980</v>
      </c>
      <c r="L1399" s="12" t="s">
        <v>6985</v>
      </c>
      <c r="M1399" s="13" t="str">
        <f ca="1">IFERROR(__xludf.DUMMYFUNCTION("TRIM(
  REGEXREPLACE(
    TEXTJOIN("" "",
      TRUE,
      B1399,
      C1399,
      embaralharLinks(E1399,F1399,G1399),
      H1399,
      """",
      J1399,
      N1399,
      ""#RIPNSFW""
    ),
  "",\s*"", "" "")
)"),"{New} Riley Reid https://lulustream.com/d/tjf818nrj4bx https://doodstream.com/d/8zf1lhdlhvwi/43753980 https://streamtape.com/v/xZO3B2yOJdskWxm/43753980 (2026) #milf #solo #bigass #brunette #RIPNSFW")</f>
        <v>{New} Riley Reid https://lulustream.com/d/tjf818nrj4bx https://doodstream.com/d/8zf1lhdlhvwi/43753980 https://streamtape.com/v/xZO3B2yOJdskWxm/43753980 (2026) #milf #solo #bigass #brunette #RIPNSFW</v>
      </c>
      <c r="N1399" s="2" t="s">
        <v>6985</v>
      </c>
      <c r="O1399" s="30" t="s">
        <v>6986</v>
      </c>
      <c r="P1399" s="26"/>
      <c r="R1399" s="23"/>
      <c r="T1399" s="6"/>
      <c r="U1399" s="7"/>
    </row>
    <row r="1400" spans="1:27" ht="12.75">
      <c r="A1400" s="12" t="s">
        <v>6987</v>
      </c>
      <c r="B1400" s="6" t="s">
        <v>14</v>
      </c>
      <c r="C1400" s="7" t="str">
        <f t="shared" si="20"/>
        <v xml:space="preserve">Riley Reid </v>
      </c>
      <c r="D1400" s="24" t="s">
        <v>6988</v>
      </c>
      <c r="E1400" s="25" t="s">
        <v>6989</v>
      </c>
      <c r="F1400" s="9" t="str">
        <f ca="1">IFERROR(__xludf.DUMMYFUNCTION("""https://streamtape.com/v/""&amp;
REGEXEXTRACT(O1400,""/thumb/([^/]+)/"")&amp;
""/""&amp;K1400"),"https://streamtape.com/v/k0YrllQgp3uOjva/45995335")</f>
        <v>https://streamtape.com/v/k0YrllQgp3uOjva/45995335</v>
      </c>
      <c r="G1400" s="10" t="e">
        <f t="shared" ca="1" si="21"/>
        <v>#NAME?</v>
      </c>
      <c r="H1400" s="11" t="str">
        <f ca="1">IFERROR(__xludf.DUMMYFUNCTION("IFERROR(SUBSTITUTE(SUBSTITUTE(REGEXEXTRACT(A1400, ""[^-]+- [^-]+- [^-]+ - (.+?)\.jpg""), "".jpg"", """"), ""-"", "", ""), """")"),"")</f>
        <v/>
      </c>
      <c r="I1400" s="6"/>
      <c r="J1400" s="7" t="str">
        <f t="shared" ca="1" si="22"/>
        <v>(2026)</v>
      </c>
      <c r="K1400" s="7" t="str">
        <f t="shared" si="23"/>
        <v>45995335</v>
      </c>
      <c r="L1400" s="12" t="s">
        <v>6990</v>
      </c>
      <c r="M1400" s="13" t="str">
        <f ca="1">IFERROR(__xludf.DUMMYFUNCTION("TRIM(
  REGEXREPLACE(
    TEXTJOIN("" "",
      TRUE,
      B1400,
      C1400,
      embaralharLinks(E1400,F1400,G1400),
      H1400,
      """",
      J1400,
      N1400,
      ""#RIPNSFW""
    ),
  "",\s*"", "" "")
)"),"{New} Riley Reid https://lulustream.com/d/ldsx4ddgp1c7 https://doodstream.com/d/cdhpx1fkths4/45995335 https://streamtape.com/v/k0YrllQgp3uOjva/45995335 (2026) #milf #blowjob #brunette #missionary #RIPNSFW")</f>
        <v>{New} Riley Reid https://lulustream.com/d/ldsx4ddgp1c7 https://doodstream.com/d/cdhpx1fkths4/45995335 https://streamtape.com/v/k0YrllQgp3uOjva/45995335 (2026) #milf #blowjob #brunette #missionary #RIPNSFW</v>
      </c>
      <c r="N1400" s="2" t="s">
        <v>6990</v>
      </c>
      <c r="O1400" s="30" t="s">
        <v>6991</v>
      </c>
      <c r="P1400" s="26"/>
      <c r="R1400" s="23"/>
      <c r="T1400" s="11"/>
      <c r="U1400" s="13"/>
    </row>
    <row r="1401" spans="1:27" ht="12.75">
      <c r="A1401" s="6" t="s">
        <v>6992</v>
      </c>
      <c r="B1401" s="6" t="s">
        <v>14</v>
      </c>
      <c r="C1401" s="7" t="str">
        <f t="shared" si="20"/>
        <v xml:space="preserve">Riley Reid </v>
      </c>
      <c r="D1401" s="6" t="s">
        <v>6993</v>
      </c>
      <c r="E1401" s="8" t="s">
        <v>6994</v>
      </c>
      <c r="F1401" s="9" t="str">
        <f ca="1">IFERROR(__xludf.DUMMYFUNCTION("""https://streamtape.com/v/""&amp;
REGEXEXTRACT(O1401,""/thumb/([^/]+)/"")&amp;
""/""&amp;K1401"),"https://streamtape.com/v/bQVA7p03YXIo3Q/53869248")</f>
        <v>https://streamtape.com/v/bQVA7p03YXIo3Q/53869248</v>
      </c>
      <c r="G1401" s="10" t="e">
        <f t="shared" ca="1" si="21"/>
        <v>#NAME?</v>
      </c>
      <c r="H1401" s="11" t="str">
        <f ca="1">IFERROR(__xludf.DUMMYFUNCTION("IFERROR(SUBSTITUTE(SUBSTITUTE(REGEXEXTRACT(A1401, ""[^-]+- [^-]+- [^-]+ - (.+?)\.jpg""), "".jpg"", """"), ""-"", "", ""), """")"),"Gina Valentina")</f>
        <v>Gina Valentina</v>
      </c>
      <c r="I1401" s="6"/>
      <c r="J1401" s="7" t="str">
        <f t="shared" ca="1" si="22"/>
        <v>(2026)</v>
      </c>
      <c r="K1401" s="7" t="str">
        <f t="shared" si="23"/>
        <v>53869248</v>
      </c>
      <c r="L1401" s="12" t="s">
        <v>5523</v>
      </c>
      <c r="M1401" s="13" t="str">
        <f ca="1">IFERROR(__xludf.DUMMYFUNCTION("TRIM(
  REGEXREPLACE(
    TEXTJOIN("" "",
      TRUE,
      B1401,
      C1401,
      embaralharLinks(E1401,F1401,G1401),
      H1401,
      """",
      J1401,
      N1401,
      ""#RIPNSFW""
    ),
  "",\s*"", "" "")
)"),"{New} Riley Reid https://doodstream.com/d/odbh8xfyqrtp/53869248 https://lulustream.com/d/xffglvcazg95 https://streamtape.com/v/bQVA7p03YXIo3Q/53869248 Gina Valentina (2026) #MILF #BigTits #Lesbian #Bigass #RIPNSFW")</f>
        <v>{New} Riley Reid https://doodstream.com/d/odbh8xfyqrtp/53869248 https://lulustream.com/d/xffglvcazg95 https://streamtape.com/v/bQVA7p03YXIo3Q/53869248 Gina Valentina (2026) #MILF #BigTits #Lesbian #Bigass #RIPNSFW</v>
      </c>
      <c r="N1401" s="14" t="s">
        <v>5524</v>
      </c>
      <c r="O1401" s="15" t="s">
        <v>6995</v>
      </c>
      <c r="P1401" s="14"/>
      <c r="Q1401" s="6"/>
      <c r="R1401" s="11"/>
      <c r="S1401" s="6"/>
      <c r="T1401" s="6"/>
      <c r="U1401" s="6"/>
      <c r="V1401" s="6"/>
      <c r="W1401" s="6"/>
      <c r="X1401" s="6"/>
      <c r="Y1401" s="6"/>
      <c r="Z1401" s="6"/>
      <c r="AA1401" s="6"/>
    </row>
    <row r="1402" spans="1:27" ht="12.75">
      <c r="A1402" s="12" t="s">
        <v>6996</v>
      </c>
      <c r="B1402" s="6" t="s">
        <v>14</v>
      </c>
      <c r="C1402" s="7" t="str">
        <f t="shared" si="20"/>
        <v xml:space="preserve">Riley Reid </v>
      </c>
      <c r="D1402" s="24" t="s">
        <v>6997</v>
      </c>
      <c r="E1402" s="25" t="s">
        <v>6998</v>
      </c>
      <c r="F1402" s="9" t="str">
        <f ca="1">IFERROR(__xludf.DUMMYFUNCTION("""https://streamtape.com/v/""&amp;
REGEXEXTRACT(O1402,""/thumb/([^/]+)/"")&amp;
""/""&amp;K1402"),"https://streamtape.com/v/BOGL6LopLZiMvY/56833088")</f>
        <v>https://streamtape.com/v/BOGL6LopLZiMvY/56833088</v>
      </c>
      <c r="G1402" s="10" t="e">
        <f t="shared" ca="1" si="21"/>
        <v>#NAME?</v>
      </c>
      <c r="H1402" s="11" t="str">
        <f ca="1">IFERROR(__xludf.DUMMYFUNCTION("IFERROR(SUBSTITUTE(SUBSTITUTE(REGEXEXTRACT(A1402, ""[^-]+- [^-]+- [^-]+ - (.+?)\.jpg""), "".jpg"", """"), ""-"", "", ""), """")"),"")</f>
        <v/>
      </c>
      <c r="I1402" s="6"/>
      <c r="J1402" s="7" t="str">
        <f t="shared" ca="1" si="22"/>
        <v>(2026)</v>
      </c>
      <c r="K1402" s="7" t="str">
        <f t="shared" si="23"/>
        <v>56833088</v>
      </c>
      <c r="L1402" s="12" t="s">
        <v>6999</v>
      </c>
      <c r="M1402" s="13" t="str">
        <f ca="1">IFERROR(__xludf.DUMMYFUNCTION("TRIM(
  REGEXREPLACE(
    TEXTJOIN("" "",
      TRUE,
      B1402,
      C1402,
      embaralharLinks(E1402,F1402,G1402),
      H1402,
      """",
      J1402,
      N1402,
      ""#RIPNSFW""
    ),
  "",\s*"", "" "")
)"),"{New} Riley Reid https://streamtape.com/v/BOGL6LopLZiMvY/56833088 https://doodstream.com/d/s4ysny956utd/56833088 https://lulustream.com/d/lwadudojgpcr (2026) #milf #blowjob #smalltits #bigass #RIPNSFW")</f>
        <v>{New} Riley Reid https://streamtape.com/v/BOGL6LopLZiMvY/56833088 https://doodstream.com/d/s4ysny956utd/56833088 https://lulustream.com/d/lwadudojgpcr (2026) #milf #blowjob #smalltits #bigass #RIPNSFW</v>
      </c>
      <c r="N1402" s="2" t="s">
        <v>6999</v>
      </c>
      <c r="O1402" s="30" t="s">
        <v>7000</v>
      </c>
      <c r="P1402" s="26"/>
      <c r="R1402" s="23"/>
      <c r="T1402" s="6"/>
      <c r="U1402" s="7"/>
    </row>
    <row r="1403" spans="1:27" ht="12.75">
      <c r="A1403" s="6" t="s">
        <v>7001</v>
      </c>
      <c r="B1403" s="6" t="s">
        <v>14</v>
      </c>
      <c r="C1403" s="7" t="str">
        <f t="shared" si="20"/>
        <v xml:space="preserve">Riley Reid </v>
      </c>
      <c r="D1403" s="6" t="s">
        <v>7002</v>
      </c>
      <c r="E1403" s="8" t="s">
        <v>7003</v>
      </c>
      <c r="F1403" s="9" t="str">
        <f ca="1">IFERROR(__xludf.DUMMYFUNCTION("""https://streamtape.com/v/""&amp;
REGEXEXTRACT(O1403,""/thumb/([^/]+)/"")&amp;
""/""&amp;K1403"),"https://streamtape.com/v/ZwyxM7J0XQiq8J4/62155824")</f>
        <v>https://streamtape.com/v/ZwyxM7J0XQiq8J4/62155824</v>
      </c>
      <c r="G1403" s="10" t="e">
        <f t="shared" ca="1" si="21"/>
        <v>#NAME?</v>
      </c>
      <c r="H1403" s="11" t="str">
        <f ca="1">IFERROR(__xludf.DUMMYFUNCTION("IFERROR(SUBSTITUTE(SUBSTITUTE(REGEXEXTRACT(A1403, ""[^-]+- [^-]+- [^-]+ - (.+?)\.jpg""), "".jpg"", """"), ""-"", "", ""), """")"),"")</f>
        <v/>
      </c>
      <c r="I1403" s="6"/>
      <c r="J1403" s="7" t="str">
        <f t="shared" ca="1" si="22"/>
        <v>(2026)</v>
      </c>
      <c r="K1403" s="7" t="str">
        <f t="shared" si="23"/>
        <v>62155824</v>
      </c>
      <c r="L1403" s="12" t="s">
        <v>7004</v>
      </c>
      <c r="M1403" s="13" t="str">
        <f ca="1">IFERROR(__xludf.DUMMYFUNCTION("TRIM(
  REGEXREPLACE(
    TEXTJOIN("" "",
      TRUE,
      B1403,
      C1403,
      embaralharLinks(E1403,F1403,G1403),
      H1403,
      """",
      J1403,
      N1403,
      ""#RIPNSFW""
    ),
  "",\s*"", "" "")
)"),"{New} Riley Reid https://streamtape.com/v/ZwyxM7J0XQiq8J4/62155824 https://lulustream.com/d/q85jp9oa6mkz https://doodstream.com/d/b8xtv4blnnau/62155824 (2026) #Creampie #Hardcore #Bigass #Porn #RIPNSFW")</f>
        <v>{New} Riley Reid https://streamtape.com/v/ZwyxM7J0XQiq8J4/62155824 https://lulustream.com/d/q85jp9oa6mkz https://doodstream.com/d/b8xtv4blnnau/62155824 (2026) #Creampie #Hardcore #Bigass #Porn #RIPNSFW</v>
      </c>
      <c r="N1403" s="14" t="s">
        <v>7005</v>
      </c>
      <c r="O1403" s="15" t="s">
        <v>7006</v>
      </c>
      <c r="P1403" s="14"/>
      <c r="Q1403" s="6"/>
      <c r="R1403" s="11"/>
      <c r="S1403" s="6"/>
      <c r="T1403" s="6"/>
      <c r="U1403" s="6"/>
      <c r="V1403" s="6"/>
      <c r="W1403" s="6"/>
      <c r="X1403" s="6"/>
      <c r="Y1403" s="6"/>
      <c r="Z1403" s="6"/>
      <c r="AA1403" s="6"/>
    </row>
    <row r="1404" spans="1:27" ht="12.75">
      <c r="A1404" s="6" t="s">
        <v>7007</v>
      </c>
      <c r="B1404" s="6" t="s">
        <v>14</v>
      </c>
      <c r="C1404" s="7" t="str">
        <f t="shared" si="20"/>
        <v xml:space="preserve">Riley Reid </v>
      </c>
      <c r="D1404" s="6" t="s">
        <v>7008</v>
      </c>
      <c r="E1404" s="8" t="s">
        <v>7009</v>
      </c>
      <c r="F1404" s="9" t="str">
        <f ca="1">IFERROR(__xludf.DUMMYFUNCTION("""https://streamtape.com/v/""&amp;
REGEXEXTRACT(O1404,""/thumb/([^/]+)/"")&amp;
""/""&amp;K1404"),"https://streamtape.com/v/WqPQpOxw0gCbxbR/65640239")</f>
        <v>https://streamtape.com/v/WqPQpOxw0gCbxbR/65640239</v>
      </c>
      <c r="G1404" s="10" t="e">
        <f t="shared" ca="1" si="21"/>
        <v>#NAME?</v>
      </c>
      <c r="H1404" s="11" t="str">
        <f ca="1">IFERROR(__xludf.DUMMYFUNCTION("IFERROR(SUBSTITUTE(SUBSTITUTE(REGEXEXTRACT(A1404, ""[^-]+- [^-]+- [^-]+ - (.+?)\.jpg""), "".jpg"", """"), ""-"", "", ""), """")"),"")</f>
        <v/>
      </c>
      <c r="I1404" s="6"/>
      <c r="J1404" s="7" t="str">
        <f t="shared" ca="1" si="22"/>
        <v>(2026)</v>
      </c>
      <c r="K1404" s="7" t="str">
        <f t="shared" si="23"/>
        <v>65640239</v>
      </c>
      <c r="L1404" s="12" t="s">
        <v>7010</v>
      </c>
      <c r="M1404" s="13" t="str">
        <f ca="1">IFERROR(__xludf.DUMMYFUNCTION("TRIM(
  REGEXREPLACE(
    TEXTJOIN("" "",
      TRUE,
      B1404,
      C1404,
      embaralharLinks(E1404,F1404,G1404),
      H1404,
      """",
      J1404,
      N1404,
      ""#RIPNSFW""
    ),
  "",\s*"", "" "")
)"),"{New} Riley Reid https://streamtape.com/v/WqPQpOxw0gCbxbR/65640239 https://doodstream.com/d/4edpp7cn6eqo/65640239 https://lulustream.com/d/y8s7smcw4vud (2026) #MILF #Hardcore #Bigass #Blowjob #Amateur #Hotwife #RIPNSFW")</f>
        <v>{New} Riley Reid https://streamtape.com/v/WqPQpOxw0gCbxbR/65640239 https://doodstream.com/d/4edpp7cn6eqo/65640239 https://lulustream.com/d/y8s7smcw4vud (2026) #MILF #Hardcore #Bigass #Blowjob #Amateur #Hotwife #RIPNSFW</v>
      </c>
      <c r="N1404" s="14" t="s">
        <v>7011</v>
      </c>
      <c r="O1404" s="15" t="s">
        <v>7012</v>
      </c>
      <c r="P1404" s="14"/>
      <c r="Q1404" s="6"/>
      <c r="R1404" s="11"/>
      <c r="S1404" s="6"/>
      <c r="T1404" s="6"/>
      <c r="U1404" s="6"/>
      <c r="V1404" s="6"/>
      <c r="W1404" s="6"/>
      <c r="X1404" s="6"/>
      <c r="Y1404" s="6"/>
      <c r="Z1404" s="6"/>
      <c r="AA1404" s="6"/>
    </row>
    <row r="1405" spans="1:27" ht="12.75">
      <c r="A1405" s="16" t="s">
        <v>7013</v>
      </c>
      <c r="B1405" s="11" t="s">
        <v>14</v>
      </c>
      <c r="C1405" s="13" t="str">
        <f t="shared" si="20"/>
        <v xml:space="preserve">Riley Reid </v>
      </c>
      <c r="D1405" s="17" t="s">
        <v>7014</v>
      </c>
      <c r="E1405" s="18" t="s">
        <v>7015</v>
      </c>
      <c r="F1405" s="9" t="str">
        <f ca="1">IFERROR(__xludf.DUMMYFUNCTION("""https://streamtape.com/v/""&amp;
REGEXEXTRACT(O1405,""/thumb/([^/]+)/"")&amp;
""/""&amp;K1405"),"https://streamtape.com/v/rBD8p1VMbrIbbOW/65655091")</f>
        <v>https://streamtape.com/v/rBD8p1VMbrIbbOW/65655091</v>
      </c>
      <c r="G1405" s="10" t="e">
        <f t="shared" ca="1" si="21"/>
        <v>#NAME?</v>
      </c>
      <c r="H1405" s="11" t="str">
        <f ca="1">IFERROR(__xludf.DUMMYFUNCTION("IFERROR(SUBSTITUTE(SUBSTITUTE(REGEXEXTRACT(A1405, ""[^-]+- [^-]+- [^-]+ - (.+?)\.jpg""), "".jpg"", """"), ""-"", "", ""), """")"),"")</f>
        <v/>
      </c>
      <c r="I1405" s="11"/>
      <c r="J1405" s="13" t="str">
        <f t="shared" ca="1" si="22"/>
        <v>(2026)</v>
      </c>
      <c r="K1405" s="13" t="str">
        <f t="shared" si="23"/>
        <v>65655091</v>
      </c>
      <c r="L1405" s="12" t="s">
        <v>7016</v>
      </c>
      <c r="M1405" s="13" t="str">
        <f ca="1">IFERROR(__xludf.DUMMYFUNCTION("TRIM(
  REGEXREPLACE(
    TEXTJOIN("" "",
      TRUE,
      B1405,
      C1405,
      embaralharLinks(E1405,F1405,G1405),
      H1405,
      """",
      J1405,
      N1405,
      ""#RIPNSFW""
    ),
  "",\s*"", "" "")
)"),"{New} Riley Reid https://streamtape.com/v/rBD8p1VMbrIbbOW/65655091 https://lulustream.com/d/gzsd2u0r1fds https://doodstream.com/d/t8vbcv0y05fe/65655091 (2026) #milf #blowjob #bigass #brunette #RIPNSFW")</f>
        <v>{New} Riley Reid https://streamtape.com/v/rBD8p1VMbrIbbOW/65655091 https://lulustream.com/d/gzsd2u0r1fds https://doodstream.com/d/t8vbcv0y05fe/65655091 (2026) #milf #blowjob #bigass #brunette #RIPNSFW</v>
      </c>
      <c r="N1405" s="20" t="s">
        <v>7016</v>
      </c>
      <c r="O1405" s="30" t="s">
        <v>7017</v>
      </c>
      <c r="P1405" s="26"/>
      <c r="Q1405" s="16"/>
      <c r="R1405" s="23"/>
      <c r="S1405" s="16"/>
      <c r="T1405" s="6"/>
      <c r="U1405" s="7"/>
      <c r="V1405" s="16"/>
      <c r="X1405" s="16"/>
      <c r="Y1405" s="16"/>
      <c r="Z1405" s="16"/>
      <c r="AA1405" s="16"/>
    </row>
    <row r="1406" spans="1:27" ht="12.75">
      <c r="A1406" s="6" t="s">
        <v>7018</v>
      </c>
      <c r="B1406" s="6" t="s">
        <v>14</v>
      </c>
      <c r="C1406" s="7" t="str">
        <f t="shared" si="20"/>
        <v xml:space="preserve">Riley Reid </v>
      </c>
      <c r="D1406" s="6" t="s">
        <v>7019</v>
      </c>
      <c r="E1406" s="8" t="s">
        <v>7020</v>
      </c>
      <c r="F1406" s="9" t="str">
        <f ca="1">IFERROR(__xludf.DUMMYFUNCTION("""https://streamtape.com/v/""&amp;
REGEXEXTRACT(O1406,""/thumb/([^/]+)/"")&amp;
""/""&amp;K1406"),"https://streamtape.com/v/41WKmgAezvSKYVl/65879363")</f>
        <v>https://streamtape.com/v/41WKmgAezvSKYVl/65879363</v>
      </c>
      <c r="G1406" s="10" t="e">
        <f t="shared" ca="1" si="21"/>
        <v>#NAME?</v>
      </c>
      <c r="H1406" s="11" t="str">
        <f ca="1">IFERROR(__xludf.DUMMYFUNCTION("IFERROR(SUBSTITUTE(SUBSTITUTE(REGEXEXTRACT(A1406, ""[^-]+- [^-]+- [^-]+ - (.+?)\.jpg""), "".jpg"", """"), ""-"", "", ""), """")"),"")</f>
        <v/>
      </c>
      <c r="I1406" s="6"/>
      <c r="J1406" s="7" t="str">
        <f t="shared" ca="1" si="22"/>
        <v>(2026)</v>
      </c>
      <c r="K1406" s="7" t="str">
        <f t="shared" si="23"/>
        <v>65879363</v>
      </c>
      <c r="L1406" s="12" t="s">
        <v>7021</v>
      </c>
      <c r="M1406" s="13" t="str">
        <f ca="1">IFERROR(__xludf.DUMMYFUNCTION("TRIM(
  REGEXREPLACE(
    TEXTJOIN("" "",
      TRUE,
      B1406,
      C1406,
      embaralharLinks(E1406,F1406,G1406),
      H1406,
      """",
      J1406,
      N1406,
      ""#RIPNSFW""
    ),
  "",\s*"", "" "")
)"),"{New} Riley Reid https://doodstream.com/d/jextz0v40lg1/65879363 https://lulustream.com/d/aridgvjvo39y https://streamtape.com/v/41WKmgAezvSKYVl/65879363 (2026) #Hardcore #Black #Interracial #Bigass #RIPNSFW")</f>
        <v>{New} Riley Reid https://doodstream.com/d/jextz0v40lg1/65879363 https://lulustream.com/d/aridgvjvo39y https://streamtape.com/v/41WKmgAezvSKYVl/65879363 (2026) #Hardcore #Black #Interracial #Bigass #RIPNSFW</v>
      </c>
      <c r="N1406" s="14" t="s">
        <v>7022</v>
      </c>
      <c r="O1406" s="15" t="s">
        <v>7023</v>
      </c>
      <c r="P1406" s="14"/>
      <c r="Q1406" s="6"/>
      <c r="R1406" s="11"/>
      <c r="S1406" s="6"/>
      <c r="T1406" s="6"/>
      <c r="U1406" s="6"/>
      <c r="V1406" s="6"/>
      <c r="W1406" s="6"/>
      <c r="X1406" s="6"/>
      <c r="Y1406" s="6"/>
      <c r="Z1406" s="6"/>
      <c r="AA1406" s="6"/>
    </row>
    <row r="1407" spans="1:27" ht="12.75">
      <c r="A1407" s="12" t="s">
        <v>7024</v>
      </c>
      <c r="B1407" s="6" t="s">
        <v>14</v>
      </c>
      <c r="C1407" s="7" t="str">
        <f t="shared" si="20"/>
        <v xml:space="preserve">Riley Reid </v>
      </c>
      <c r="D1407" s="24" t="s">
        <v>7025</v>
      </c>
      <c r="E1407" s="25" t="s">
        <v>7026</v>
      </c>
      <c r="F1407" s="9" t="str">
        <f ca="1">IFERROR(__xludf.DUMMYFUNCTION("""https://streamtape.com/v/""&amp;
REGEXEXTRACT(O1407,""/thumb/([^/]+)/"")&amp;
""/""&amp;K1407"),"https://streamtape.com/v/ewGW0PlR1eC9ZY/66192061")</f>
        <v>https://streamtape.com/v/ewGW0PlR1eC9ZY/66192061</v>
      </c>
      <c r="G1407" s="10" t="e">
        <f t="shared" ca="1" si="21"/>
        <v>#NAME?</v>
      </c>
      <c r="H1407" s="11" t="str">
        <f ca="1">IFERROR(__xludf.DUMMYFUNCTION("IFERROR(SUBSTITUTE(SUBSTITUTE(REGEXEXTRACT(A1407, ""[^-]+- [^-]+- [^-]+ - (.+?)\.jpg""), "".jpg"", """"), ""-"", "", ""), """")"),"")</f>
        <v/>
      </c>
      <c r="I1407" s="6"/>
      <c r="J1407" s="7" t="str">
        <f t="shared" ca="1" si="22"/>
        <v>(2026)</v>
      </c>
      <c r="K1407" s="7" t="str">
        <f t="shared" si="23"/>
        <v>66192061</v>
      </c>
      <c r="L1407" s="12" t="s">
        <v>7027</v>
      </c>
      <c r="M1407" s="13" t="str">
        <f ca="1">IFERROR(__xludf.DUMMYFUNCTION("TRIM(
  REGEXREPLACE(
    TEXTJOIN("" "",
      TRUE,
      B1407,
      C1407,
      embaralharLinks(E1407,F1407,G1407),
      H1407,
      """",
      J1407,
      N1407,
      ""#RIPNSFW""
    ),
  "",\s*"", "" "")
)"),"{New} Riley Reid https://lulustream.com/d/bn8pj1f7gi8z https://streamtape.com/v/ewGW0PlR1eC9ZY/66192061 https://doodstream.com/d/mi89poamexho/66192061 (2026) #anal #milf #bigass #blowjob #RIPNSFW")</f>
        <v>{New} Riley Reid https://lulustream.com/d/bn8pj1f7gi8z https://streamtape.com/v/ewGW0PlR1eC9ZY/66192061 https://doodstream.com/d/mi89poamexho/66192061 (2026) #anal #milf #bigass #blowjob #RIPNSFW</v>
      </c>
      <c r="N1407" s="2" t="s">
        <v>7027</v>
      </c>
      <c r="O1407" s="30" t="s">
        <v>7028</v>
      </c>
      <c r="P1407" s="26"/>
      <c r="R1407" s="23"/>
      <c r="T1407" s="6"/>
      <c r="U1407" s="7"/>
    </row>
    <row r="1408" spans="1:27" ht="12.75">
      <c r="A1408" s="6" t="s">
        <v>7029</v>
      </c>
      <c r="B1408" s="6" t="s">
        <v>14</v>
      </c>
      <c r="C1408" s="7" t="str">
        <f t="shared" si="20"/>
        <v xml:space="preserve">Riley Reid </v>
      </c>
      <c r="D1408" s="6" t="s">
        <v>7030</v>
      </c>
      <c r="E1408" s="8" t="s">
        <v>7031</v>
      </c>
      <c r="F1408" s="9" t="str">
        <f ca="1">IFERROR(__xludf.DUMMYFUNCTION("""https://streamtape.com/v/""&amp;
REGEXEXTRACT(O1408,""/thumb/([^/]+)/"")&amp;
""/""&amp;K1408"),"https://streamtape.com/v/bKMd3yoWl7HPem7/73150962")</f>
        <v>https://streamtape.com/v/bKMd3yoWl7HPem7/73150962</v>
      </c>
      <c r="G1408" s="10" t="e">
        <f t="shared" ca="1" si="21"/>
        <v>#NAME?</v>
      </c>
      <c r="H1408" s="11" t="str">
        <f ca="1">IFERROR(__xludf.DUMMYFUNCTION("IFERROR(SUBSTITUTE(SUBSTITUTE(REGEXEXTRACT(A1408, ""[^-]+- [^-]+- [^-]+ - (.+?)\.jpg""), "".jpg"", """"), ""-"", "", ""), """")"),"")</f>
        <v/>
      </c>
      <c r="I1408" s="6"/>
      <c r="J1408" s="7" t="str">
        <f t="shared" ca="1" si="22"/>
        <v>(2026)</v>
      </c>
      <c r="K1408" s="7" t="str">
        <f t="shared" si="23"/>
        <v>73150962</v>
      </c>
      <c r="L1408" s="12" t="s">
        <v>4077</v>
      </c>
      <c r="M1408" s="13" t="str">
        <f ca="1">IFERROR(__xludf.DUMMYFUNCTION("TRIM(
  REGEXREPLACE(
    TEXTJOIN("" "",
      TRUE,
      B1408,
      C1408,
      embaralharLinks(E1408,F1408,G1408),
      H1408,
      """",
      J1408,
      N1408,
      ""#RIPNSFW""
    ),
  "",\s*"", "" "")
)"),"{New} Riley Reid https://streamtape.com/v/bKMd3yoWl7HPem7/73150962 https://lulustream.com/d/l51nxi84jtpj https://doodstream.com/d/jt4rinzhi735/73150962 (2026) #MILF #Hardcore #Bigass #Blowjob #Amateur #RIPNSFW")</f>
        <v>{New} Riley Reid https://streamtape.com/v/bKMd3yoWl7HPem7/73150962 https://lulustream.com/d/l51nxi84jtpj https://doodstream.com/d/jt4rinzhi735/73150962 (2026) #MILF #Hardcore #Bigass #Blowjob #Amateur #RIPNSFW</v>
      </c>
      <c r="N1408" s="14" t="s">
        <v>7032</v>
      </c>
      <c r="O1408" s="15" t="s">
        <v>7033</v>
      </c>
      <c r="P1408" s="14"/>
      <c r="Q1408" s="6"/>
      <c r="R1408" s="11"/>
      <c r="S1408" s="6"/>
      <c r="T1408" s="6"/>
      <c r="U1408" s="6"/>
      <c r="V1408" s="6"/>
      <c r="W1408" s="6"/>
      <c r="X1408" s="6"/>
      <c r="Y1408" s="6"/>
      <c r="Z1408" s="6"/>
      <c r="AA1408" s="6"/>
    </row>
    <row r="1409" spans="1:27" ht="12.75">
      <c r="A1409" s="6" t="s">
        <v>7034</v>
      </c>
      <c r="B1409" s="6" t="s">
        <v>14</v>
      </c>
      <c r="C1409" s="7" t="str">
        <f t="shared" si="20"/>
        <v xml:space="preserve">Riley Reid </v>
      </c>
      <c r="D1409" s="6" t="s">
        <v>7035</v>
      </c>
      <c r="E1409" s="8" t="s">
        <v>7036</v>
      </c>
      <c r="F1409" s="9" t="str">
        <f ca="1">IFERROR(__xludf.DUMMYFUNCTION("""https://streamtape.com/v/""&amp;
REGEXEXTRACT(O1409,""/thumb/([^/]+)/"")&amp;
""/""&amp;K1409"),"https://streamtape.com/v/k9od4pylqyuOLJD/73485944")</f>
        <v>https://streamtape.com/v/k9od4pylqyuOLJD/73485944</v>
      </c>
      <c r="G1409" s="10" t="e">
        <f t="shared" ca="1" si="21"/>
        <v>#NAME?</v>
      </c>
      <c r="H1409" s="11" t="str">
        <f ca="1">IFERROR(__xludf.DUMMYFUNCTION("IFERROR(SUBSTITUTE(SUBSTITUTE(REGEXEXTRACT(A1409, ""[^-]+- [^-]+- [^-]+ - (.+?)\.jpg""), "".jpg"", """"), ""-"", "", ""), """")"),"")</f>
        <v/>
      </c>
      <c r="I1409" s="6"/>
      <c r="J1409" s="7" t="str">
        <f t="shared" ca="1" si="22"/>
        <v>(2026)</v>
      </c>
      <c r="K1409" s="7" t="str">
        <f t="shared" si="23"/>
        <v>73485944</v>
      </c>
      <c r="L1409" s="12" t="s">
        <v>7037</v>
      </c>
      <c r="M1409" s="13" t="str">
        <f ca="1">IFERROR(__xludf.DUMMYFUNCTION("TRIM(
  REGEXREPLACE(
    TEXTJOIN("" "",
      TRUE,
      B1409,
      C1409,
      embaralharLinks(E1409,F1409,G1409),
      H1409,
      """",
      J1409,
      N1409,
      ""#RIPNSFW""
    ),
  "",\s*"", "" "")
)"),"{New} Riley Reid https://lulustream.com/d/1er6pm3uyo20 https://doodstream.com/d/5x1gnkaghnf3/73485944 https://streamtape.com/v/k9od4pylqyuOLJD/73485944 (2026) #Anal #Hardcore #Black #Interracial #Bigass #Porn #Teen #RIPNSFW")</f>
        <v>{New} Riley Reid https://lulustream.com/d/1er6pm3uyo20 https://doodstream.com/d/5x1gnkaghnf3/73485944 https://streamtape.com/v/k9od4pylqyuOLJD/73485944 (2026) #Anal #Hardcore #Black #Interracial #Bigass #Porn #Teen #RIPNSFW</v>
      </c>
      <c r="N1409" s="14" t="s">
        <v>7038</v>
      </c>
      <c r="O1409" s="15" t="s">
        <v>7039</v>
      </c>
      <c r="P1409" s="14"/>
      <c r="Q1409" s="6"/>
      <c r="R1409" s="11"/>
      <c r="S1409" s="6"/>
      <c r="T1409" s="6"/>
      <c r="U1409" s="6"/>
      <c r="V1409" s="6"/>
      <c r="W1409" s="6"/>
      <c r="X1409" s="6"/>
      <c r="Y1409" s="6"/>
      <c r="Z1409" s="6"/>
      <c r="AA1409" s="6"/>
    </row>
    <row r="1410" spans="1:27" ht="12.75">
      <c r="A1410" s="12" t="s">
        <v>7040</v>
      </c>
      <c r="B1410" s="6" t="s">
        <v>14</v>
      </c>
      <c r="C1410" s="7" t="str">
        <f t="shared" si="20"/>
        <v xml:space="preserve">Riley Reid </v>
      </c>
      <c r="D1410" s="24" t="s">
        <v>7041</v>
      </c>
      <c r="E1410" s="25" t="s">
        <v>7042</v>
      </c>
      <c r="F1410" s="9" t="str">
        <f ca="1">IFERROR(__xludf.DUMMYFUNCTION("""https://streamtape.com/v/""&amp;
REGEXEXTRACT(O1410,""/thumb/([^/]+)/"")&amp;
""/""&amp;K1410"),"https://streamtape.com/v/aYAkwKGyvRFxKpq/73710661")</f>
        <v>https://streamtape.com/v/aYAkwKGyvRFxKpq/73710661</v>
      </c>
      <c r="G1410" s="10" t="e">
        <f t="shared" ca="1" si="21"/>
        <v>#NAME?</v>
      </c>
      <c r="H1410" s="11" t="str">
        <f ca="1">IFERROR(__xludf.DUMMYFUNCTION("IFERROR(SUBSTITUTE(SUBSTITUTE(REGEXEXTRACT(A1410, ""[^-]+- [^-]+- [^-]+ - (.+?)\.jpg""), "".jpg"", """"), ""-"", "", ""), """")"),"")</f>
        <v/>
      </c>
      <c r="I1410" s="6"/>
      <c r="J1410" s="7" t="str">
        <f t="shared" ca="1" si="22"/>
        <v>(2026)</v>
      </c>
      <c r="K1410" s="7" t="str">
        <f t="shared" si="23"/>
        <v>73710661</v>
      </c>
      <c r="L1410" s="12" t="s">
        <v>7043</v>
      </c>
      <c r="M1410" s="13" t="str">
        <f ca="1">IFERROR(__xludf.DUMMYFUNCTION("TRIM(
  REGEXREPLACE(
    TEXTJOIN("" "",
      TRUE,
      B1410,
      C1410,
      embaralharLinks(E1410,F1410,G1410),
      H1410,
      """",
      J1410,
      N1410,
      ""#RIPNSFW""
    ),
  "",\s*"", "" "")
)"),"{New} Riley Reid https://doodstream.com/d/8cpnrsj754to/73710661 https://lulustream.com/d/449w20mslrug https://streamtape.com/v/aYAkwKGyvRFxKpq/73710661 (2026) #milf #blowjob #bigass #pov #RIPNSFW")</f>
        <v>{New} Riley Reid https://doodstream.com/d/8cpnrsj754to/73710661 https://lulustream.com/d/449w20mslrug https://streamtape.com/v/aYAkwKGyvRFxKpq/73710661 (2026) #milf #blowjob #bigass #pov #RIPNSFW</v>
      </c>
      <c r="N1410" s="2" t="s">
        <v>7043</v>
      </c>
      <c r="O1410" s="30" t="s">
        <v>7044</v>
      </c>
      <c r="P1410" s="26"/>
      <c r="R1410" s="23"/>
      <c r="T1410" s="6"/>
      <c r="U1410" s="7"/>
    </row>
    <row r="1411" spans="1:27" ht="12.75">
      <c r="A1411" s="12" t="s">
        <v>7045</v>
      </c>
      <c r="B1411" s="6" t="s">
        <v>14</v>
      </c>
      <c r="C1411" s="7" t="str">
        <f t="shared" si="20"/>
        <v xml:space="preserve">Riley Reid </v>
      </c>
      <c r="D1411" s="24" t="s">
        <v>7046</v>
      </c>
      <c r="E1411" s="25" t="s">
        <v>7047</v>
      </c>
      <c r="F1411" s="9" t="str">
        <f ca="1">IFERROR(__xludf.DUMMYFUNCTION("""https://streamtape.com/v/""&amp;
REGEXEXTRACT(O1411,""/thumb/([^/]+)/"")&amp;
""/""&amp;K1411"),"https://streamtape.com/v/PDPdBvJxQ4I0QkD/77610777")</f>
        <v>https://streamtape.com/v/PDPdBvJxQ4I0QkD/77610777</v>
      </c>
      <c r="G1411" s="10" t="e">
        <f t="shared" ca="1" si="21"/>
        <v>#NAME?</v>
      </c>
      <c r="H1411" s="11" t="str">
        <f ca="1">IFERROR(__xludf.DUMMYFUNCTION("IFERROR(SUBSTITUTE(SUBSTITUTE(REGEXEXTRACT(A1411, ""[^-]+- [^-]+- [^-]+ - (.+?)\.jpg""), "".jpg"", """"), ""-"", "", ""), """")"),"")</f>
        <v/>
      </c>
      <c r="I1411" s="6"/>
      <c r="J1411" s="7" t="str">
        <f t="shared" ca="1" si="22"/>
        <v>(2026)</v>
      </c>
      <c r="K1411" s="7" t="str">
        <f t="shared" si="23"/>
        <v>77610777</v>
      </c>
      <c r="L1411" s="12" t="s">
        <v>7048</v>
      </c>
      <c r="M1411" s="13" t="str">
        <f ca="1">IFERROR(__xludf.DUMMYFUNCTION("TRIM(
  REGEXREPLACE(
    TEXTJOIN("" "",
      TRUE,
      B1411,
      C1411,
      embaralharLinks(E1411,F1411,G1411),
      H1411,
      """",
      J1411,
      N1411,
      ""#RIPNSFW""
    ),
  "",\s*"", "" "")
)"),"{New} Riley Reid https://doodstream.com/d/yxoa43oblyyj/77610777 https://streamtape.com/v/PDPdBvJxQ4I0QkD/77610777 https://lulustream.com/d/tf7wvhcuvuvl (2026) #gangbang #bigass #doublepenetration #anal #RIPNSFW")</f>
        <v>{New} Riley Reid https://doodstream.com/d/yxoa43oblyyj/77610777 https://streamtape.com/v/PDPdBvJxQ4I0QkD/77610777 https://lulustream.com/d/tf7wvhcuvuvl (2026) #gangbang #bigass #doublepenetration #anal #RIPNSFW</v>
      </c>
      <c r="N1411" s="2" t="s">
        <v>7048</v>
      </c>
      <c r="O1411" s="30" t="s">
        <v>7049</v>
      </c>
      <c r="P1411" s="26"/>
      <c r="R1411" s="23"/>
    </row>
    <row r="1412" spans="1:27" ht="12.75">
      <c r="A1412" s="6" t="s">
        <v>7050</v>
      </c>
      <c r="B1412" s="6" t="s">
        <v>14</v>
      </c>
      <c r="C1412" s="7" t="str">
        <f t="shared" si="20"/>
        <v xml:space="preserve">Riley Reid </v>
      </c>
      <c r="D1412" s="6" t="s">
        <v>7051</v>
      </c>
      <c r="E1412" s="8" t="s">
        <v>7052</v>
      </c>
      <c r="F1412" s="9" t="str">
        <f ca="1">IFERROR(__xludf.DUMMYFUNCTION("""https://streamtape.com/v/""&amp;
REGEXEXTRACT(O1412,""/thumb/([^/]+)/"")&amp;
""/""&amp;K1412"),"https://streamtape.com/v/LMdk4ZgaO4FRV2D/82332637")</f>
        <v>https://streamtape.com/v/LMdk4ZgaO4FRV2D/82332637</v>
      </c>
      <c r="G1412" s="10" t="e">
        <f t="shared" ca="1" si="21"/>
        <v>#NAME?</v>
      </c>
      <c r="H1412" s="11" t="str">
        <f ca="1">IFERROR(__xludf.DUMMYFUNCTION("IFERROR(SUBSTITUTE(SUBSTITUTE(REGEXEXTRACT(A1412, ""[^-]+- [^-]+- [^-]+ - (.+?)\.jpg""), "".jpg"", """"), ""-"", "", ""), """")"),"")</f>
        <v/>
      </c>
      <c r="I1412" s="6"/>
      <c r="J1412" s="7" t="str">
        <f t="shared" ca="1" si="22"/>
        <v>(2026)</v>
      </c>
      <c r="K1412" s="7" t="str">
        <f t="shared" si="23"/>
        <v>82332637</v>
      </c>
      <c r="L1412" s="12" t="s">
        <v>7053</v>
      </c>
      <c r="M1412" s="13" t="str">
        <f ca="1">IFERROR(__xludf.DUMMYFUNCTION("TRIM(
  REGEXREPLACE(
    TEXTJOIN("" "",
      TRUE,
      B1412,
      C1412,
      embaralharLinks(E1412,F1412,G1412),
      H1412,
      """",
      J1412,
      N1412,
      ""#RIPNSFW""
    ),
  "",\s*"", "" "")
)"),"{New} Riley Reid https://streamtape.com/v/LMdk4ZgaO4FRV2D/82332637 https://doodstream.com/d/pbtv0sjub00l/82332637 https://lulustream.com/d/m2kc40gf23sv (2026) #Hardcore #Gangbang #Black #Interracial #Bigass #Porn #Teen #Blowjob #Deepthroat #RIPNSFW")</f>
        <v>{New} Riley Reid https://streamtape.com/v/LMdk4ZgaO4FRV2D/82332637 https://doodstream.com/d/pbtv0sjub00l/82332637 https://lulustream.com/d/m2kc40gf23sv (2026) #Hardcore #Gangbang #Black #Interracial #Bigass #Porn #Teen #Blowjob #Deepthroat #RIPNSFW</v>
      </c>
      <c r="N1412" s="14" t="s">
        <v>7054</v>
      </c>
      <c r="O1412" s="15" t="s">
        <v>7055</v>
      </c>
      <c r="P1412" s="14"/>
      <c r="Q1412" s="6"/>
      <c r="R1412" s="11"/>
      <c r="S1412" s="6"/>
      <c r="T1412" s="6"/>
      <c r="U1412" s="6"/>
      <c r="V1412" s="6"/>
      <c r="W1412" s="6"/>
      <c r="X1412" s="6"/>
      <c r="Y1412" s="6"/>
      <c r="Z1412" s="6"/>
      <c r="AA1412" s="6"/>
    </row>
    <row r="1413" spans="1:27" ht="12.75">
      <c r="A1413" s="12" t="s">
        <v>7056</v>
      </c>
      <c r="B1413" s="6"/>
      <c r="C1413" s="7" t="str">
        <f t="shared" si="20"/>
        <v xml:space="preserve">Riley Reid </v>
      </c>
      <c r="D1413" s="24" t="s">
        <v>7057</v>
      </c>
      <c r="E1413" s="25" t="s">
        <v>7058</v>
      </c>
      <c r="F1413" s="9" t="str">
        <f ca="1">IFERROR(__xludf.DUMMYFUNCTION("""https://streamtape.com/v/""&amp;
REGEXEXTRACT(O1413,""/thumb/([^/]+)/"")&amp;
""/""&amp;K1413"),"https://streamtape.com/v/g2qqORBdy2Fg9K/82966135")</f>
        <v>https://streamtape.com/v/g2qqORBdy2Fg9K/82966135</v>
      </c>
      <c r="G1413" s="10" t="e">
        <f t="shared" ca="1" si="21"/>
        <v>#NAME?</v>
      </c>
      <c r="H1413" s="11" t="str">
        <f ca="1">IFERROR(__xludf.DUMMYFUNCTION("IFERROR(SUBSTITUTE(SUBSTITUTE(REGEXEXTRACT(A1413, ""[^-]+- [^-]+- [^-]+ - (.+?)\.jpg""), "".jpg"", """"), ""-"", "", ""), """")"),"Stella Barey")</f>
        <v>Stella Barey</v>
      </c>
      <c r="I1413" s="6"/>
      <c r="J1413" s="7" t="str">
        <f t="shared" ca="1" si="22"/>
        <v/>
      </c>
      <c r="K1413" s="7" t="str">
        <f t="shared" si="23"/>
        <v>82966135</v>
      </c>
      <c r="L1413" s="12" t="s">
        <v>7059</v>
      </c>
      <c r="M1413" s="13" t="str">
        <f ca="1">IFERROR(__xludf.DUMMYFUNCTION("TRIM(
  REGEXREPLACE(
    TEXTJOIN("" "",
      TRUE,
      B1413,
      C1413,
      embaralharLinks(E1413,F1413,G1413),
      H1413,
      """",
      J1413,
      N1413,
      ""#RIPNSFW""
    ),
  "",\s*"", "" "")
)"),"Riley Reid https://doodstream.com/d/m4nss4ojdpnd/82966135 https://streamtape.com/v/g2qqORBdy2Fg9K/82966135 https://lulustream.com/d/xfilcz1bifnl Stella Barey #threesome #blowjob #bigass #brunette #RIPNSFW")</f>
        <v>Riley Reid https://doodstream.com/d/m4nss4ojdpnd/82966135 https://streamtape.com/v/g2qqORBdy2Fg9K/82966135 https://lulustream.com/d/xfilcz1bifnl Stella Barey #threesome #blowjob #bigass #brunette #RIPNSFW</v>
      </c>
      <c r="N1413" s="2" t="s">
        <v>7059</v>
      </c>
      <c r="O1413" s="30" t="s">
        <v>7060</v>
      </c>
      <c r="P1413" s="26"/>
      <c r="R1413" s="23"/>
      <c r="T1413" s="6"/>
      <c r="U1413" s="7"/>
    </row>
    <row r="1414" spans="1:27" ht="12.75">
      <c r="A1414" s="12" t="s">
        <v>7061</v>
      </c>
      <c r="B1414" s="6" t="s">
        <v>14</v>
      </c>
      <c r="C1414" s="7" t="str">
        <f t="shared" si="20"/>
        <v xml:space="preserve">Riley Reid </v>
      </c>
      <c r="D1414" s="24" t="s">
        <v>7062</v>
      </c>
      <c r="E1414" s="25" t="s">
        <v>7063</v>
      </c>
      <c r="F1414" s="9" t="str">
        <f ca="1">IFERROR(__xludf.DUMMYFUNCTION("""https://streamtape.com/v/""&amp;
REGEXEXTRACT(O1414,""/thumb/([^/]+)/"")&amp;
""/""&amp;K1414"),"https://streamtape.com/v/Kqm6MOb8pbt0MwK/93448192")</f>
        <v>https://streamtape.com/v/Kqm6MOb8pbt0MwK/93448192</v>
      </c>
      <c r="G1414" s="10" t="e">
        <f t="shared" ca="1" si="21"/>
        <v>#NAME?</v>
      </c>
      <c r="H1414" s="11" t="str">
        <f ca="1">IFERROR(__xludf.DUMMYFUNCTION("IFERROR(SUBSTITUTE(SUBSTITUTE(REGEXEXTRACT(A1414, ""[^-]+- [^-]+- [^-]+ - (.+?)\.jpg""), "".jpg"", """"), ""-"", "", ""), """")"),"Cheerleader Kait")</f>
        <v>Cheerleader Kait</v>
      </c>
      <c r="I1414" s="6"/>
      <c r="J1414" s="7" t="str">
        <f t="shared" ca="1" si="22"/>
        <v>(2026)</v>
      </c>
      <c r="K1414" s="7" t="str">
        <f t="shared" si="23"/>
        <v>93448192</v>
      </c>
      <c r="L1414" s="12" t="s">
        <v>4766</v>
      </c>
      <c r="M1414" s="13" t="str">
        <f ca="1">IFERROR(__xludf.DUMMYFUNCTION("TRIM(
  REGEXREPLACE(
    TEXTJOIN("" "",
      TRUE,
      B1414,
      C1414,
      embaralharLinks(E1414,F1414,G1414),
      H1414,
      """",
      J1414,
      N1414,
      ""#RIPNSFW""
    ),
  "",\s*"", "" "")
)"),"{New} Riley Reid https://streamtape.com/v/Kqm6MOb8pbt0MwK/93448192 https://lulustream.com/d/i49bcal6j4fj https://doodstream.com/d/a9hbe9w292mn/93448192 Cheerleader Kait (2026) #milf #threesome #blowjob #bigass #RIPNSFW")</f>
        <v>{New} Riley Reid https://streamtape.com/v/Kqm6MOb8pbt0MwK/93448192 https://lulustream.com/d/i49bcal6j4fj https://doodstream.com/d/a9hbe9w292mn/93448192 Cheerleader Kait (2026) #milf #threesome #blowjob #bigass #RIPNSFW</v>
      </c>
      <c r="N1414" s="2" t="s">
        <v>4766</v>
      </c>
      <c r="O1414" s="30" t="s">
        <v>7064</v>
      </c>
      <c r="P1414" s="26"/>
      <c r="R1414" s="23"/>
      <c r="T1414" s="6"/>
      <c r="U1414" s="7"/>
    </row>
    <row r="1415" spans="1:27" ht="12.75">
      <c r="A1415" s="16" t="s">
        <v>7065</v>
      </c>
      <c r="B1415" s="11" t="s">
        <v>14</v>
      </c>
      <c r="C1415" s="13" t="str">
        <f t="shared" si="20"/>
        <v xml:space="preserve">Rosaline Dawn </v>
      </c>
      <c r="D1415" s="17" t="s">
        <v>7066</v>
      </c>
      <c r="E1415" s="18" t="s">
        <v>7067</v>
      </c>
      <c r="F1415" s="9" t="str">
        <f ca="1">IFERROR(__xludf.DUMMYFUNCTION("""https://streamtape.com/v/""&amp;
REGEXEXTRACT(O1415,""/thumb/([^/]+)/"")&amp;
""/""&amp;K1415"),"https://streamtape.com/v/jpAqQwRvM7Cz1mO/89378793")</f>
        <v>https://streamtape.com/v/jpAqQwRvM7Cz1mO/89378793</v>
      </c>
      <c r="G1415" s="19" t="e">
        <f t="shared" ca="1" si="21"/>
        <v>#NAME?</v>
      </c>
      <c r="H1415" s="11" t="str">
        <f ca="1">IFERROR(__xludf.DUMMYFUNCTION("IFERROR(SUBSTITUTE(SUBSTITUTE(REGEXEXTRACT(A1415, ""[^-]+- [^-]+- [^-]+ - (.+?)\.jpg""), "".jpg"", """"), ""-"", "", ""), """")"),"")</f>
        <v/>
      </c>
      <c r="I1415" s="11"/>
      <c r="J1415" s="13" t="str">
        <f t="shared" ca="1" si="22"/>
        <v>(2026)</v>
      </c>
      <c r="K1415" s="13" t="str">
        <f t="shared" si="23"/>
        <v>89378793</v>
      </c>
      <c r="L1415" s="16" t="s">
        <v>2819</v>
      </c>
      <c r="M1415" s="13" t="str">
        <f ca="1">IFERROR(__xludf.DUMMYFUNCTION("TRIM(
  REGEXREPLACE(
    TEXTJOIN("" "",
      TRUE,
      B1415,
      C1415,
      embaralharLinks(E1415,F1415,G1415),
      H1415,
      """",
      J1415,
      N1415,
      ""#RIPNSFW""
    ),
  "",\s*"", "" "")
)"),"{New} Rosaline Dawn https://doodstream.com/d/4tsn47xq0bk7/89378793 https://streamtape.com/v/jpAqQwRvM7Cz1mO/89378793 https://lulustream.com/d/b7n1ojtg7kqc (2026) #teen #redhead #blowjob #bigtits #RIPNSFW")</f>
        <v>{New} Rosaline Dawn https://doodstream.com/d/4tsn47xq0bk7/89378793 https://streamtape.com/v/jpAqQwRvM7Cz1mO/89378793 https://lulustream.com/d/b7n1ojtg7kqc (2026) #teen #redhead #blowjob #bigtits #RIPNSFW</v>
      </c>
      <c r="N1415" s="20" t="s">
        <v>2819</v>
      </c>
      <c r="O1415" s="30" t="s">
        <v>7068</v>
      </c>
      <c r="P1415" s="22"/>
      <c r="Q1415" s="16"/>
      <c r="R1415" s="23"/>
      <c r="S1415" s="16"/>
      <c r="T1415" s="16"/>
      <c r="U1415" s="16"/>
      <c r="V1415" s="16"/>
      <c r="W1415" s="16"/>
      <c r="X1415" s="16"/>
      <c r="Y1415" s="16"/>
      <c r="Z1415" s="16"/>
      <c r="AA1415" s="16"/>
    </row>
    <row r="1416" spans="1:27" ht="12.75">
      <c r="A1416" s="12" t="s">
        <v>7069</v>
      </c>
      <c r="B1416" s="6"/>
      <c r="C1416" s="7" t="str">
        <f t="shared" si="20"/>
        <v xml:space="preserve">Rosaline Dawn </v>
      </c>
      <c r="D1416" s="24" t="s">
        <v>7070</v>
      </c>
      <c r="E1416" s="25" t="s">
        <v>7071</v>
      </c>
      <c r="F1416" s="9" t="str">
        <f ca="1">IFERROR(__xludf.DUMMYFUNCTION("""https://streamtape.com/v/""&amp;
REGEXEXTRACT(O1416,""/thumb/([^/]+)/"")&amp;
""/""&amp;K1416"),"https://streamtape.com/v/jAGAQKybGJHzOr9/97771533")</f>
        <v>https://streamtape.com/v/jAGAQKybGJHzOr9/97771533</v>
      </c>
      <c r="G1416" s="10" t="e">
        <f t="shared" ca="1" si="21"/>
        <v>#NAME?</v>
      </c>
      <c r="H1416" s="11" t="str">
        <f ca="1">IFERROR(__xludf.DUMMYFUNCTION("IFERROR(SUBSTITUTE(SUBSTITUTE(REGEXEXTRACT(A1416, ""[^-]+- [^-]+- [^-]+ - (.+?)\.jpg""), "".jpg"", """"), ""-"", "", ""), """")"),"")</f>
        <v/>
      </c>
      <c r="I1416" s="6"/>
      <c r="J1416" s="7" t="str">
        <f t="shared" ca="1" si="22"/>
        <v/>
      </c>
      <c r="K1416" s="7" t="str">
        <f t="shared" si="23"/>
        <v>97771533</v>
      </c>
      <c r="L1416" s="12" t="s">
        <v>7072</v>
      </c>
      <c r="M1416" s="13" t="str">
        <f ca="1">IFERROR(__xludf.DUMMYFUNCTION("TRIM(
  REGEXREPLACE(
    TEXTJOIN("" "",
      TRUE,
      B1416,
      C1416,
      embaralharLinks(E1416,F1416,G1416),
      H1416,
      """",
      J1416,
      N1416,
      ""#RIPNSFW""
    ),
  "",\s*"", "" "")
)"),"Rosaline Dawn https://lulustream.com/d/g9k2p2002jek https://streamtape.com/v/jAGAQKybGJHzOr9/97771533 https://doodstream.com/d/ug5udwjjwu82/97771533 #teen #brunette #blowjob #pov #RIPNSFW")</f>
        <v>Rosaline Dawn https://lulustream.com/d/g9k2p2002jek https://streamtape.com/v/jAGAQKybGJHzOr9/97771533 https://doodstream.com/d/ug5udwjjwu82/97771533 #teen #brunette #blowjob #pov #RIPNSFW</v>
      </c>
      <c r="N1416" s="2" t="s">
        <v>7072</v>
      </c>
      <c r="O1416" s="30" t="s">
        <v>7073</v>
      </c>
      <c r="P1416" s="26"/>
      <c r="R1416" s="23"/>
      <c r="T1416" s="6"/>
      <c r="U1416" s="7"/>
    </row>
    <row r="1417" spans="1:27" ht="12.75">
      <c r="A1417" s="12" t="s">
        <v>7074</v>
      </c>
      <c r="B1417" s="6"/>
      <c r="C1417" s="7" t="str">
        <f t="shared" si="20"/>
        <v xml:space="preserve">Sage King </v>
      </c>
      <c r="D1417" s="24" t="s">
        <v>7075</v>
      </c>
      <c r="E1417" s="25" t="s">
        <v>7076</v>
      </c>
      <c r="F1417" s="9" t="str">
        <f ca="1">IFERROR(__xludf.DUMMYFUNCTION("""https://streamtape.com/v/""&amp;
REGEXEXTRACT(O1417,""/thumb/([^/]+)/"")&amp;
""/""&amp;K1417"),"https://streamtape.com/v/KXyol1pzYPiAwx/21309506")</f>
        <v>https://streamtape.com/v/KXyol1pzYPiAwx/21309506</v>
      </c>
      <c r="G1417" s="10" t="e">
        <f t="shared" ca="1" si="21"/>
        <v>#NAME?</v>
      </c>
      <c r="H1417" s="11" t="str">
        <f ca="1">IFERROR(__xludf.DUMMYFUNCTION("IFERROR(SUBSTITUTE(SUBSTITUTE(REGEXEXTRACT(A1417, ""[^-]+- [^-]+- [^-]+ - (.+?)\.jpg""), "".jpg"", """"), ""-"", "", ""), """")"),"")</f>
        <v/>
      </c>
      <c r="I1417" s="6"/>
      <c r="J1417" s="7" t="str">
        <f t="shared" ca="1" si="22"/>
        <v/>
      </c>
      <c r="K1417" s="7" t="str">
        <f t="shared" si="23"/>
        <v>21309506</v>
      </c>
      <c r="L1417" s="12" t="s">
        <v>7077</v>
      </c>
      <c r="M1417" s="13" t="str">
        <f ca="1">IFERROR(__xludf.DUMMYFUNCTION("TRIM(
  REGEXREPLACE(
    TEXTJOIN("" "",
      TRUE,
      B1417,
      C1417,
      embaralharLinks(E1417,F1417,G1417),
      H1417,
      """",
      J1417,
      N1417,
      ""#RIPNSFW""
    ),
  "",\s*"", "" "")
)"),"Sage King https://lulustream.com/d/eqpaa65laf2h https://streamtape.com/v/KXyol1pzYPiAwx/21309506 https://doodstream.com/d/dns1mnsi636k/21309506 #anal #casting #teen #creampie #RIPNSFW")</f>
        <v>Sage King https://lulustream.com/d/eqpaa65laf2h https://streamtape.com/v/KXyol1pzYPiAwx/21309506 https://doodstream.com/d/dns1mnsi636k/21309506 #anal #casting #teen #creampie #RIPNSFW</v>
      </c>
      <c r="N1417" s="2" t="s">
        <v>7077</v>
      </c>
      <c r="O1417" s="30" t="s">
        <v>7078</v>
      </c>
      <c r="P1417" s="26"/>
      <c r="R1417" s="23"/>
      <c r="T1417" s="6"/>
      <c r="U1417" s="7"/>
    </row>
    <row r="1418" spans="1:27" ht="12.75">
      <c r="A1418" s="6" t="s">
        <v>7079</v>
      </c>
      <c r="B1418" s="6" t="s">
        <v>14</v>
      </c>
      <c r="C1418" s="7" t="str">
        <f t="shared" si="20"/>
        <v xml:space="preserve">Sami Hayes </v>
      </c>
      <c r="D1418" s="6" t="s">
        <v>7080</v>
      </c>
      <c r="E1418" s="8" t="s">
        <v>7081</v>
      </c>
      <c r="F1418" s="9" t="str">
        <f ca="1">IFERROR(__xludf.DUMMYFUNCTION("""https://streamtape.com/v/""&amp;
REGEXEXTRACT(O1418,""/thumb/([^/]+)/"")&amp;
""/""&amp;K1418"),"https://streamtape.com/v/x1oeJ77ZLmHkd9v/13787155")</f>
        <v>https://streamtape.com/v/x1oeJ77ZLmHkd9v/13787155</v>
      </c>
      <c r="G1418" s="10" t="e">
        <f t="shared" ca="1" si="21"/>
        <v>#NAME?</v>
      </c>
      <c r="H1418" s="11" t="str">
        <f ca="1">IFERROR(__xludf.DUMMYFUNCTION("IFERROR(SUBSTITUTE(SUBSTITUTE(REGEXEXTRACT(A1418, ""[^-]+- [^-]+- [^-]+ - (.+?)\.jpg""), "".jpg"", """"), ""-"", "", ""), """")"),"")</f>
        <v/>
      </c>
      <c r="I1418" s="6"/>
      <c r="J1418" s="7" t="str">
        <f t="shared" ca="1" si="22"/>
        <v>(2026)</v>
      </c>
      <c r="K1418" s="7" t="str">
        <f t="shared" si="23"/>
        <v>13787155</v>
      </c>
      <c r="L1418" s="12" t="s">
        <v>7082</v>
      </c>
      <c r="M1418" s="13" t="str">
        <f ca="1">IFERROR(__xludf.DUMMYFUNCTION("TRIM(
  REGEXREPLACE(
    TEXTJOIN("" "",
      TRUE,
      B1418,
      C1418,
      embaralharLinks(E1418,F1418,G1418),
      H1418,
      """",
      J1418,
      N1418,
      ""#RIPNSFW""
    ),
  "",\s*"", "" "")
)"),"{New} Sami Hayes https://streamtape.com/v/x1oeJ77ZLmHkd9v/13787155 https://doodstream.com/d/gq0bnpw72nku/13787155 https://lulustream.com/d/rzsh8x2vxxip (2026) #BigTits #Hardcore #Bigass #Teen #Blowjob #RIPNSFW")</f>
        <v>{New} Sami Hayes https://streamtape.com/v/x1oeJ77ZLmHkd9v/13787155 https://doodstream.com/d/gq0bnpw72nku/13787155 https://lulustream.com/d/rzsh8x2vxxip (2026) #BigTits #Hardcore #Bigass #Teen #Blowjob #RIPNSFW</v>
      </c>
      <c r="N1418" s="14" t="s">
        <v>162</v>
      </c>
      <c r="O1418" s="15" t="s">
        <v>7083</v>
      </c>
      <c r="P1418" s="14"/>
      <c r="Q1418" s="6"/>
      <c r="R1418" s="11"/>
      <c r="S1418" s="6"/>
      <c r="T1418" s="6"/>
      <c r="U1418" s="6"/>
      <c r="V1418" s="6"/>
      <c r="W1418" s="6"/>
      <c r="X1418" s="6"/>
      <c r="Y1418" s="6"/>
      <c r="Z1418" s="6"/>
      <c r="AA1418" s="6"/>
    </row>
    <row r="1419" spans="1:27" ht="12.75">
      <c r="A1419" s="6" t="s">
        <v>7084</v>
      </c>
      <c r="B1419" s="6" t="s">
        <v>14</v>
      </c>
      <c r="C1419" s="7" t="str">
        <f t="shared" si="20"/>
        <v xml:space="preserve">Sami Hayes </v>
      </c>
      <c r="D1419" s="29" t="s">
        <v>7085</v>
      </c>
      <c r="E1419" s="8" t="s">
        <v>7086</v>
      </c>
      <c r="F1419" s="9" t="str">
        <f ca="1">IFERROR(__xludf.DUMMYFUNCTION("""https://streamtape.com/v/""&amp;
REGEXEXTRACT(O1419,""/thumb/([^/]+)/"")&amp;
""/""&amp;K1419"),"https://streamtape.com/v/VWW6VpOB9ahKDvm/17599208")</f>
        <v>https://streamtape.com/v/VWW6VpOB9ahKDvm/17599208</v>
      </c>
      <c r="G1419" s="10" t="e">
        <f t="shared" ca="1" si="21"/>
        <v>#NAME?</v>
      </c>
      <c r="H1419" s="11" t="str">
        <f ca="1">IFERROR(__xludf.DUMMYFUNCTION("IFERROR(SUBSTITUTE(SUBSTITUTE(REGEXEXTRACT(A1419, ""[^-]+- [^-]+- [^-]+ - (.+?)\.jpg""), "".jpg"", """"), ""-"", "", ""), """")"),"")</f>
        <v/>
      </c>
      <c r="I1419" s="6"/>
      <c r="J1419" s="7" t="str">
        <f t="shared" ca="1" si="22"/>
        <v>(2026)</v>
      </c>
      <c r="K1419" s="7" t="str">
        <f t="shared" si="23"/>
        <v>17599208</v>
      </c>
      <c r="L1419" s="12" t="s">
        <v>7087</v>
      </c>
      <c r="M1419" s="13" t="str">
        <f ca="1">IFERROR(__xludf.DUMMYFUNCTION("TRIM(
  REGEXREPLACE(
    TEXTJOIN("" "",
      TRUE,
      B1419,
      C1419,
      embaralharLinks(E1419,F1419,G1419),
      H1419,
      """",
      J1419,
      N1419,
      ""#RIPNSFW""
    ),
  "",\s*"", "" "")
)"),"{New} Sami Hayes https://streamtape.com/v/VWW6VpOB9ahKDvm/17599208 https://lulustream.com/d/67yqrlqoh60p https://doodstream.com/d/0bkkc64o8u72/17599208 (2026) #BigTits #Creampie #Hardcore #Bigass #Teen #Artporn #Blowjob #Amateur #RIPNSFW")</f>
        <v>{New} Sami Hayes https://streamtape.com/v/VWW6VpOB9ahKDvm/17599208 https://lulustream.com/d/67yqrlqoh60p https://doodstream.com/d/0bkkc64o8u72/17599208 (2026) #BigTits #Creampie #Hardcore #Bigass #Teen #Artporn #Blowjob #Amateur #RIPNSFW</v>
      </c>
      <c r="N1419" s="14" t="s">
        <v>7088</v>
      </c>
      <c r="O1419" s="15" t="s">
        <v>7089</v>
      </c>
      <c r="P1419" s="14"/>
      <c r="Q1419" s="6"/>
      <c r="R1419" s="11"/>
      <c r="S1419" s="6"/>
      <c r="T1419" s="6"/>
      <c r="U1419" s="6"/>
      <c r="V1419" s="6"/>
      <c r="W1419" s="6"/>
      <c r="X1419" s="6"/>
      <c r="Y1419" s="6"/>
      <c r="Z1419" s="6"/>
      <c r="AA1419" s="6"/>
    </row>
    <row r="1420" spans="1:27" ht="12.75">
      <c r="A1420" s="6" t="s">
        <v>7090</v>
      </c>
      <c r="B1420" s="6" t="s">
        <v>14</v>
      </c>
      <c r="C1420" s="7" t="str">
        <f t="shared" si="20"/>
        <v xml:space="preserve">Sami Hayes </v>
      </c>
      <c r="D1420" s="29" t="s">
        <v>7091</v>
      </c>
      <c r="E1420" s="8" t="s">
        <v>7092</v>
      </c>
      <c r="F1420" s="9" t="str">
        <f ca="1">IFERROR(__xludf.DUMMYFUNCTION("""https://streamtape.com/v/""&amp;
REGEXEXTRACT(O1420,""/thumb/([^/]+)/"")&amp;
""/""&amp;K1420"),"https://streamtape.com/v/lGBZO8VBa4s7e43/18378655")</f>
        <v>https://streamtape.com/v/lGBZO8VBa4s7e43/18378655</v>
      </c>
      <c r="G1420" s="10" t="e">
        <f t="shared" ca="1" si="21"/>
        <v>#NAME?</v>
      </c>
      <c r="H1420" s="11" t="str">
        <f ca="1">IFERROR(__xludf.DUMMYFUNCTION("IFERROR(SUBSTITUTE(SUBSTITUTE(REGEXEXTRACT(A1420, ""[^-]+- [^-]+- [^-]+ - (.+?)\.jpg""), "".jpg"", """"), ""-"", "", ""), """")"),"")</f>
        <v/>
      </c>
      <c r="I1420" s="6"/>
      <c r="J1420" s="7" t="str">
        <f t="shared" ca="1" si="22"/>
        <v>(2026)</v>
      </c>
      <c r="K1420" s="7" t="str">
        <f t="shared" si="23"/>
        <v>18378655</v>
      </c>
      <c r="L1420" s="12" t="s">
        <v>7093</v>
      </c>
      <c r="M1420" s="13" t="str">
        <f ca="1">IFERROR(__xludf.DUMMYFUNCTION("TRIM(
  REGEXREPLACE(
    TEXTJOIN("" "",
      TRUE,
      B1420,
      C1420,
      embaralharLinks(E1420,F1420,G1420),
      H1420,
      """",
      J1420,
      N1420,
      ""#RIPNSFW""
    ),
  "",\s*"", "" "")
)"),"{New} Sami Hayes https://streamtape.com/v/lGBZO8VBa4s7e43/18378655 https://doodstream.com/d/i3cba5ert3vx/18378655 https://lulustream.com/d/2jxavlxprwpw (2026) #BigTits #Hardcore #Black #Interracial #Bigass #Teen #Artporn #RIPNSFW")</f>
        <v>{New} Sami Hayes https://streamtape.com/v/lGBZO8VBa4s7e43/18378655 https://doodstream.com/d/i3cba5ert3vx/18378655 https://lulustream.com/d/2jxavlxprwpw (2026) #BigTits #Hardcore #Black #Interracial #Bigass #Teen #Artporn #RIPNSFW</v>
      </c>
      <c r="N1420" s="14" t="s">
        <v>7094</v>
      </c>
      <c r="O1420" s="32" t="s">
        <v>7095</v>
      </c>
      <c r="P1420" s="14"/>
      <c r="Q1420" s="6"/>
      <c r="R1420" s="11"/>
      <c r="S1420" s="6"/>
      <c r="T1420" s="6"/>
      <c r="U1420" s="6"/>
      <c r="V1420" s="6"/>
      <c r="W1420" s="6"/>
      <c r="X1420" s="6"/>
      <c r="Y1420" s="6"/>
      <c r="Z1420" s="6"/>
      <c r="AA1420" s="6"/>
    </row>
    <row r="1421" spans="1:27" ht="12.75">
      <c r="A1421" s="6" t="s">
        <v>7096</v>
      </c>
      <c r="B1421" s="6" t="s">
        <v>14</v>
      </c>
      <c r="C1421" s="7" t="str">
        <f t="shared" si="20"/>
        <v xml:space="preserve">Sami Hayes </v>
      </c>
      <c r="D1421" s="6" t="s">
        <v>7097</v>
      </c>
      <c r="E1421" s="8" t="s">
        <v>7098</v>
      </c>
      <c r="F1421" s="9" t="str">
        <f ca="1">IFERROR(__xludf.DUMMYFUNCTION("""https://streamtape.com/v/""&amp;
REGEXEXTRACT(O1421,""/thumb/([^/]+)/"")&amp;
""/""&amp;K1421"),"https://streamtape.com/v/KQB0Bwm12OS0ekJ/21303583")</f>
        <v>https://streamtape.com/v/KQB0Bwm12OS0ekJ/21303583</v>
      </c>
      <c r="G1421" s="10" t="e">
        <f t="shared" ca="1" si="21"/>
        <v>#NAME?</v>
      </c>
      <c r="H1421" s="11" t="str">
        <f ca="1">IFERROR(__xludf.DUMMYFUNCTION("IFERROR(SUBSTITUTE(SUBSTITUTE(REGEXEXTRACT(A1421, ""[^-]+- [^-]+- [^-]+ - (.+?)\.jpg""), "".jpg"", """"), ""-"", "", ""), """")"),"")</f>
        <v/>
      </c>
      <c r="I1421" s="6"/>
      <c r="J1421" s="7" t="str">
        <f t="shared" ca="1" si="22"/>
        <v>(2026)</v>
      </c>
      <c r="K1421" s="7" t="str">
        <f t="shared" si="23"/>
        <v>21303583</v>
      </c>
      <c r="L1421" s="12" t="s">
        <v>7099</v>
      </c>
      <c r="M1421" s="13" t="str">
        <f ca="1">IFERROR(__xludf.DUMMYFUNCTION("TRIM(
  REGEXREPLACE(
    TEXTJOIN("" "",
      TRUE,
      B1421,
      C1421,
      embaralharLinks(E1421,F1421,G1421),
      H1421,
      """",
      J1421,
      N1421,
      ""#RIPNSFW""
    ),
  "",\s*"", "" "")
)"),"{New} Sami Hayes https://doodstream.com/d/2p46vh32lasj/21303583 https://lulustream.com/d/28y9jyctugzc https://streamtape.com/v/KQB0Bwm12OS0ekJ/21303583 (2026) #BigTits #Hardcore #Bigass #Teen #Artporn #Blowjob #RIPNSFW")</f>
        <v>{New} Sami Hayes https://doodstream.com/d/2p46vh32lasj/21303583 https://lulustream.com/d/28y9jyctugzc https://streamtape.com/v/KQB0Bwm12OS0ekJ/21303583 (2026) #BigTits #Hardcore #Bigass #Teen #Artporn #Blowjob #RIPNSFW</v>
      </c>
      <c r="N1421" s="14" t="s">
        <v>7100</v>
      </c>
      <c r="O1421" s="15" t="s">
        <v>7101</v>
      </c>
      <c r="P1421" s="14"/>
      <c r="Q1421" s="6"/>
      <c r="R1421" s="11"/>
      <c r="S1421" s="6"/>
      <c r="T1421" s="6"/>
      <c r="U1421" s="6"/>
      <c r="V1421" s="6"/>
      <c r="W1421" s="6"/>
      <c r="X1421" s="6"/>
      <c r="Y1421" s="6"/>
      <c r="Z1421" s="6"/>
      <c r="AA1421" s="6"/>
    </row>
    <row r="1422" spans="1:27" ht="12.75">
      <c r="A1422" s="6" t="s">
        <v>7102</v>
      </c>
      <c r="B1422" s="6" t="s">
        <v>14</v>
      </c>
      <c r="C1422" s="7" t="str">
        <f t="shared" si="20"/>
        <v xml:space="preserve">Sami Hayes </v>
      </c>
      <c r="D1422" s="6" t="s">
        <v>7103</v>
      </c>
      <c r="E1422" s="8" t="s">
        <v>7104</v>
      </c>
      <c r="F1422" s="9" t="str">
        <f ca="1">IFERROR(__xludf.DUMMYFUNCTION("""https://streamtape.com/v/""&amp;
REGEXEXTRACT(O1422,""/thumb/([^/]+)/"")&amp;
""/""&amp;K1422"),"https://streamtape.com/v/Vdq1gw2GeWhky9/24783546")</f>
        <v>https://streamtape.com/v/Vdq1gw2GeWhky9/24783546</v>
      </c>
      <c r="G1422" s="10" t="e">
        <f t="shared" ca="1" si="21"/>
        <v>#NAME?</v>
      </c>
      <c r="H1422" s="11" t="str">
        <f ca="1">IFERROR(__xludf.DUMMYFUNCTION("IFERROR(SUBSTITUTE(SUBSTITUTE(REGEXEXTRACT(A1422, ""[^-]+- [^-]+- [^-]+ - (.+?)\.jpg""), "".jpg"", """"), ""-"", "", ""), """")"),"")</f>
        <v/>
      </c>
      <c r="I1422" s="6"/>
      <c r="J1422" s="7" t="str">
        <f t="shared" ca="1" si="22"/>
        <v>(2026)</v>
      </c>
      <c r="K1422" s="7" t="str">
        <f t="shared" si="23"/>
        <v>24783546</v>
      </c>
      <c r="L1422" s="12" t="s">
        <v>7105</v>
      </c>
      <c r="M1422" s="13" t="str">
        <f ca="1">IFERROR(__xludf.DUMMYFUNCTION("TRIM(
  REGEXREPLACE(
    TEXTJOIN("" "",
      TRUE,
      B1422,
      C1422,
      embaralharLinks(E1422,F1422,G1422),
      H1422,
      """",
      J1422,
      N1422,
      ""#RIPNSFW""
    ),
  "",\s*"", "" "")
)"),"{New} Sami Hayes https://lulustream.com/d/adslfntrkwhh https://streamtape.com/v/Vdq1gw2GeWhky9/24783546 https://doodstream.com/d/0wy0p69x8zjv/24783546 (2026) #BigTits #Hardcore #Black #Interracial #RIPNSFW")</f>
        <v>{New} Sami Hayes https://lulustream.com/d/adslfntrkwhh https://streamtape.com/v/Vdq1gw2GeWhky9/24783546 https://doodstream.com/d/0wy0p69x8zjv/24783546 (2026) #BigTits #Hardcore #Black #Interracial #RIPNSFW</v>
      </c>
      <c r="N1422" s="14" t="s">
        <v>646</v>
      </c>
      <c r="O1422" s="15" t="s">
        <v>7106</v>
      </c>
      <c r="P1422" s="14"/>
      <c r="Q1422" s="6"/>
      <c r="R1422" s="11"/>
      <c r="S1422" s="6"/>
      <c r="T1422" s="6"/>
      <c r="U1422" s="6"/>
      <c r="V1422" s="6"/>
      <c r="W1422" s="6"/>
      <c r="X1422" s="6"/>
      <c r="Y1422" s="6"/>
      <c r="Z1422" s="6"/>
      <c r="AA1422" s="6"/>
    </row>
    <row r="1423" spans="1:27" ht="12.75">
      <c r="A1423" s="6" t="s">
        <v>7107</v>
      </c>
      <c r="B1423" s="6" t="s">
        <v>14</v>
      </c>
      <c r="C1423" s="7" t="str">
        <f t="shared" si="20"/>
        <v xml:space="preserve">Sami Hayes </v>
      </c>
      <c r="D1423" s="6" t="s">
        <v>7108</v>
      </c>
      <c r="E1423" s="8" t="s">
        <v>7109</v>
      </c>
      <c r="F1423" s="9" t="str">
        <f ca="1">IFERROR(__xludf.DUMMYFUNCTION("""https://streamtape.com/v/""&amp;
REGEXEXTRACT(O1423,""/thumb/([^/]+)/"")&amp;
""/""&amp;K1423"),"https://streamtape.com/v/wrRXDbd11mcl0r/26446957")</f>
        <v>https://streamtape.com/v/wrRXDbd11mcl0r/26446957</v>
      </c>
      <c r="G1423" s="10" t="e">
        <f t="shared" ca="1" si="21"/>
        <v>#NAME?</v>
      </c>
      <c r="H1423" s="11" t="str">
        <f ca="1">IFERROR(__xludf.DUMMYFUNCTION("IFERROR(SUBSTITUTE(SUBSTITUTE(REGEXEXTRACT(A1423, ""[^-]+- [^-]+- [^-]+ - (.+?)\.jpg""), "".jpg"", """"), ""-"", "", ""), """")"),"")</f>
        <v/>
      </c>
      <c r="I1423" s="6"/>
      <c r="J1423" s="7" t="str">
        <f t="shared" ca="1" si="22"/>
        <v>(2026)</v>
      </c>
      <c r="K1423" s="7" t="str">
        <f t="shared" si="23"/>
        <v>26446957</v>
      </c>
      <c r="L1423" s="12" t="s">
        <v>7110</v>
      </c>
      <c r="M1423" s="13" t="str">
        <f ca="1">IFERROR(__xludf.DUMMYFUNCTION("TRIM(
  REGEXREPLACE(
    TEXTJOIN("" "",
      TRUE,
      B1423,
      C1423,
      embaralharLinks(E1423,F1423,G1423),
      H1423,
      """",
      J1423,
      N1423,
      ""#RIPNSFW""
    ),
  "",\s*"", "" "")
)"),"{New} Sami Hayes https://lulustream.com/d/dqxy6tsreps9 https://doodstream.com/d/5pgie9umxb6f/26446957 https://streamtape.com/v/wrRXDbd11mcl0r/26446957 (2026) #BigTits #Creampie #Hardcore #Threesome #Bigass #Teen #Black #Interracial #Blowjob #Teens #Artpor"&amp;"n #Amateur #RIPNSFW")</f>
        <v>{New} Sami Hayes https://lulustream.com/d/dqxy6tsreps9 https://doodstream.com/d/5pgie9umxb6f/26446957 https://streamtape.com/v/wrRXDbd11mcl0r/26446957 (2026) #BigTits #Creampie #Hardcore #Threesome #Bigass #Teen #Black #Interracial #Blowjob #Teens #Artporn #Amateur #RIPNSFW</v>
      </c>
      <c r="N1423" s="14" t="s">
        <v>7111</v>
      </c>
      <c r="O1423" s="15" t="s">
        <v>7112</v>
      </c>
      <c r="P1423" s="14"/>
      <c r="Q1423" s="6"/>
      <c r="R1423" s="11"/>
      <c r="S1423" s="6"/>
      <c r="T1423" s="6"/>
      <c r="U1423" s="6"/>
      <c r="V1423" s="6"/>
      <c r="W1423" s="6"/>
      <c r="X1423" s="6"/>
      <c r="Y1423" s="6"/>
      <c r="Z1423" s="6"/>
      <c r="AA1423" s="6"/>
    </row>
    <row r="1424" spans="1:27" ht="12.75">
      <c r="A1424" s="6" t="s">
        <v>7113</v>
      </c>
      <c r="B1424" s="6" t="s">
        <v>14</v>
      </c>
      <c r="C1424" s="7" t="str">
        <f t="shared" si="20"/>
        <v xml:space="preserve">Sami Hayes </v>
      </c>
      <c r="D1424" s="6" t="s">
        <v>7114</v>
      </c>
      <c r="E1424" s="8" t="s">
        <v>7115</v>
      </c>
      <c r="F1424" s="9" t="str">
        <f ca="1">IFERROR(__xludf.DUMMYFUNCTION("""https://streamtape.com/v/""&amp;
REGEXEXTRACT(O1424,""/thumb/([^/]+)/"")&amp;
""/""&amp;K1424"),"https://streamtape.com/v/6wdoVyaaewf999W/30605305")</f>
        <v>https://streamtape.com/v/6wdoVyaaewf999W/30605305</v>
      </c>
      <c r="G1424" s="10" t="e">
        <f t="shared" ca="1" si="21"/>
        <v>#NAME?</v>
      </c>
      <c r="H1424" s="11" t="str">
        <f ca="1">IFERROR(__xludf.DUMMYFUNCTION("IFERROR(SUBSTITUTE(SUBSTITUTE(REGEXEXTRACT(A1424, ""[^-]+- [^-]+- [^-]+ - (.+?)\.jpg""), "".jpg"", """"), ""-"", "", ""), """")"),"Wild Halli")</f>
        <v>Wild Halli</v>
      </c>
      <c r="I1424" s="6"/>
      <c r="J1424" s="7" t="str">
        <f t="shared" ca="1" si="22"/>
        <v>(2026)</v>
      </c>
      <c r="K1424" s="7" t="str">
        <f t="shared" si="23"/>
        <v>30605305</v>
      </c>
      <c r="L1424" s="12" t="s">
        <v>7116</v>
      </c>
      <c r="M1424" s="13" t="str">
        <f ca="1">IFERROR(__xludf.DUMMYFUNCTION("TRIM(
  REGEXREPLACE(
    TEXTJOIN("" "",
      TRUE,
      B1424,
      C1424,
      embaralharLinks(E1424,F1424,G1424),
      H1424,
      """",
      J1424,
      N1424,
      ""#RIPNSFW""
    ),
  "",\s*"", "" "")
)"),"{New} Sami Hayes https://doodstream.com/d/z4b3ncog2t7l/30605305 https://lulustream.com/d/6yqtwiqrhsz2 https://streamtape.com/v/6wdoVyaaewf999W/30605305 Wild Halli (2026) #BigTits #Hardcore #Threesome #Bigass #Teen #Teens #Blowjob #Amateur #Deepthroat #Fac"&amp;"ial #RIPNSFW")</f>
        <v>{New} Sami Hayes https://doodstream.com/d/z4b3ncog2t7l/30605305 https://lulustream.com/d/6yqtwiqrhsz2 https://streamtape.com/v/6wdoVyaaewf999W/30605305 Wild Halli (2026) #BigTits #Hardcore #Threesome #Bigass #Teen #Teens #Blowjob #Amateur #Deepthroat #Facial #RIPNSFW</v>
      </c>
      <c r="N1424" s="14" t="s">
        <v>7117</v>
      </c>
      <c r="O1424" s="15" t="s">
        <v>7118</v>
      </c>
      <c r="P1424" s="14"/>
      <c r="Q1424" s="6"/>
      <c r="R1424" s="11"/>
      <c r="S1424" s="6"/>
      <c r="T1424" s="6"/>
      <c r="U1424" s="6"/>
      <c r="V1424" s="6"/>
      <c r="W1424" s="6"/>
      <c r="X1424" s="6"/>
      <c r="Y1424" s="6"/>
      <c r="Z1424" s="6"/>
      <c r="AA1424" s="6"/>
    </row>
    <row r="1425" spans="1:27" ht="12.75">
      <c r="A1425" s="12" t="s">
        <v>7119</v>
      </c>
      <c r="B1425" s="6" t="s">
        <v>14</v>
      </c>
      <c r="C1425" s="7" t="str">
        <f t="shared" si="20"/>
        <v xml:space="preserve">Sami Hayes </v>
      </c>
      <c r="D1425" s="24" t="s">
        <v>7120</v>
      </c>
      <c r="E1425" s="25" t="s">
        <v>7121</v>
      </c>
      <c r="F1425" s="9" t="str">
        <f ca="1">IFERROR(__xludf.DUMMYFUNCTION("""https://streamtape.com/v/""&amp;
REGEXEXTRACT(O1425,""/thumb/([^/]+)/"")&amp;
""/""&amp;K1425"),"https://streamtape.com/v/Yp2QGKpqwkFvWgr/34614987")</f>
        <v>https://streamtape.com/v/Yp2QGKpqwkFvWgr/34614987</v>
      </c>
      <c r="G1425" s="10" t="e">
        <f t="shared" ca="1" si="21"/>
        <v>#NAME?</v>
      </c>
      <c r="H1425" s="11" t="str">
        <f ca="1">IFERROR(__xludf.DUMMYFUNCTION("IFERROR(SUBSTITUTE(SUBSTITUTE(REGEXEXTRACT(A1425, ""[^-]+- [^-]+- [^-]+ - (.+?)\.jpg""), "".jpg"", """"), ""-"", "", ""), """")"),"")</f>
        <v/>
      </c>
      <c r="I1425" s="6"/>
      <c r="J1425" s="7" t="str">
        <f t="shared" ca="1" si="22"/>
        <v>(2026)</v>
      </c>
      <c r="K1425" s="7" t="str">
        <f t="shared" si="23"/>
        <v>34614987</v>
      </c>
      <c r="L1425" s="12" t="s">
        <v>7122</v>
      </c>
      <c r="M1425" s="13" t="str">
        <f ca="1">IFERROR(__xludf.DUMMYFUNCTION("TRIM(
  REGEXREPLACE(
    TEXTJOIN("" "",
      TRUE,
      B1425,
      C1425,
      embaralharLinks(E1425,F1425,G1425),
      H1425,
      """",
      J1425,
      N1425,
      ""#RIPNSFW""
    ),
  "",\s*"", "" "")
)"),"{New} Sami Hayes https://streamtape.com/v/Yp2QGKpqwkFvWgr/34614987 https://lulustream.com/d/24qxow5ra0ng https://doodstream.com/d/ta6ibje8nnew/34614987 (2026) #teen #bigtits #brunette #facial #RIPNSFW")</f>
        <v>{New} Sami Hayes https://streamtape.com/v/Yp2QGKpqwkFvWgr/34614987 https://lulustream.com/d/24qxow5ra0ng https://doodstream.com/d/ta6ibje8nnew/34614987 (2026) #teen #bigtits #brunette #facial #RIPNSFW</v>
      </c>
      <c r="N1425" s="2" t="s">
        <v>7122</v>
      </c>
      <c r="O1425" s="30" t="s">
        <v>7123</v>
      </c>
      <c r="P1425" s="26"/>
      <c r="R1425" s="23"/>
      <c r="T1425" s="6"/>
      <c r="U1425" s="7"/>
    </row>
    <row r="1426" spans="1:27" ht="12.75">
      <c r="A1426" s="6" t="s">
        <v>7124</v>
      </c>
      <c r="B1426" s="6" t="s">
        <v>14</v>
      </c>
      <c r="C1426" s="7" t="str">
        <f t="shared" si="20"/>
        <v xml:space="preserve">Sami Hayes </v>
      </c>
      <c r="D1426" s="6" t="s">
        <v>7125</v>
      </c>
      <c r="E1426" s="8" t="s">
        <v>7126</v>
      </c>
      <c r="F1426" s="9" t="str">
        <f ca="1">IFERROR(__xludf.DUMMYFUNCTION("""https://streamtape.com/v/""&amp;
REGEXEXTRACT(O1426,""/thumb/([^/]+)/"")&amp;
""/""&amp;K1426"),"https://streamtape.com/v/erWWGqlwvOIYYx2/35889098")</f>
        <v>https://streamtape.com/v/erWWGqlwvOIYYx2/35889098</v>
      </c>
      <c r="G1426" s="10" t="e">
        <f t="shared" ca="1" si="21"/>
        <v>#NAME?</v>
      </c>
      <c r="H1426" s="11" t="str">
        <f ca="1">IFERROR(__xludf.DUMMYFUNCTION("IFERROR(SUBSTITUTE(SUBSTITUTE(REGEXEXTRACT(A1426, ""[^-]+- [^-]+- [^-]+ - (.+?)\.jpg""), "".jpg"", """"), ""-"", "", ""), """")"),"")</f>
        <v/>
      </c>
      <c r="I1426" s="6"/>
      <c r="J1426" s="7" t="str">
        <f t="shared" ca="1" si="22"/>
        <v>(2026)</v>
      </c>
      <c r="K1426" s="7" t="str">
        <f t="shared" si="23"/>
        <v>35889098</v>
      </c>
      <c r="L1426" s="12" t="s">
        <v>6946</v>
      </c>
      <c r="M1426" s="13" t="str">
        <f ca="1">IFERROR(__xludf.DUMMYFUNCTION("TRIM(
  REGEXREPLACE(
    TEXTJOIN("" "",
      TRUE,
      B1426,
      C1426,
      embaralharLinks(E1426,F1426,G1426),
      H1426,
      """",
      J1426,
      N1426,
      ""#RIPNSFW""
    ),
  "",\s*"", "" "")
)"),"{New} Sami Hayes https://streamtape.com/v/erWWGqlwvOIYYx2/35889098 https://lulustream.com/d/juglfkamanow https://doodstream.com/d/ra1x6jgqt71s/35889098 (2026) #BigTits #Creampie #Hardcore #Bigass #Teen #Blowjob #RIPNSFW")</f>
        <v>{New} Sami Hayes https://streamtape.com/v/erWWGqlwvOIYYx2/35889098 https://lulustream.com/d/juglfkamanow https://doodstream.com/d/ra1x6jgqt71s/35889098 (2026) #BigTits #Creampie #Hardcore #Bigass #Teen #Blowjob #RIPNSFW</v>
      </c>
      <c r="N1426" s="14" t="s">
        <v>24</v>
      </c>
      <c r="O1426" s="15" t="s">
        <v>7127</v>
      </c>
      <c r="P1426" s="14"/>
      <c r="Q1426" s="6"/>
      <c r="R1426" s="11"/>
      <c r="S1426" s="6"/>
      <c r="T1426" s="6"/>
      <c r="U1426" s="6"/>
      <c r="V1426" s="6"/>
      <c r="W1426" s="6"/>
      <c r="X1426" s="6"/>
      <c r="Y1426" s="6"/>
      <c r="Z1426" s="6"/>
      <c r="AA1426" s="6"/>
    </row>
    <row r="1427" spans="1:27" ht="12.75">
      <c r="A1427" s="6" t="s">
        <v>7128</v>
      </c>
      <c r="B1427" s="6" t="s">
        <v>14</v>
      </c>
      <c r="C1427" s="7" t="str">
        <f t="shared" si="20"/>
        <v xml:space="preserve">Sami Hayes </v>
      </c>
      <c r="D1427" s="6" t="s">
        <v>7129</v>
      </c>
      <c r="E1427" s="8" t="s">
        <v>7130</v>
      </c>
      <c r="F1427" s="9" t="str">
        <f ca="1">IFERROR(__xludf.DUMMYFUNCTION("""https://streamtape.com/v/""&amp;
REGEXEXTRACT(O1427,""/thumb/([^/]+)/"")&amp;
""/""&amp;K1427"),"https://streamtape.com/v/xPyJobgjP2TkBr4/35930910")</f>
        <v>https://streamtape.com/v/xPyJobgjP2TkBr4/35930910</v>
      </c>
      <c r="G1427" s="10" t="e">
        <f t="shared" ca="1" si="21"/>
        <v>#NAME?</v>
      </c>
      <c r="H1427" s="11" t="str">
        <f ca="1">IFERROR(__xludf.DUMMYFUNCTION("IFERROR(SUBSTITUTE(SUBSTITUTE(REGEXEXTRACT(A1427, ""[^-]+- [^-]+- [^-]+ - (.+?)\.jpg""), "".jpg"", """"), ""-"", "", ""), """")"),"")</f>
        <v/>
      </c>
      <c r="I1427" s="6"/>
      <c r="J1427" s="7" t="str">
        <f t="shared" ca="1" si="22"/>
        <v>(2026)</v>
      </c>
      <c r="K1427" s="7" t="str">
        <f t="shared" si="23"/>
        <v>35930910</v>
      </c>
      <c r="L1427" s="12" t="s">
        <v>7105</v>
      </c>
      <c r="M1427" s="13" t="str">
        <f ca="1">IFERROR(__xludf.DUMMYFUNCTION("TRIM(
  REGEXREPLACE(
    TEXTJOIN("" "",
      TRUE,
      B1427,
      C1427,
      embaralharLinks(E1427,F1427,G1427),
      H1427,
      """",
      J1427,
      N1427,
      ""#RIPNSFW""
    ),
  "",\s*"", "" "")
)"),"{New} Sami Hayes https://streamtape.com/v/xPyJobgjP2TkBr4/35930910 https://doodstream.com/d/o9pb5uxy6p51/35930910 https://lulustream.com/d/aukg79p6v8sv (2026) #BigTits #Hardcore #Black #Interracial #Bigass #RIPNSFW")</f>
        <v>{New} Sami Hayes https://streamtape.com/v/xPyJobgjP2TkBr4/35930910 https://doodstream.com/d/o9pb5uxy6p51/35930910 https://lulustream.com/d/aukg79p6v8sv (2026) #BigTits #Hardcore #Black #Interracial #Bigass #RIPNSFW</v>
      </c>
      <c r="N1427" s="14" t="s">
        <v>7131</v>
      </c>
      <c r="O1427" s="15" t="s">
        <v>7132</v>
      </c>
      <c r="P1427" s="14"/>
      <c r="Q1427" s="6"/>
      <c r="R1427" s="11"/>
      <c r="S1427" s="6"/>
      <c r="T1427" s="6"/>
      <c r="U1427" s="6"/>
      <c r="V1427" s="6"/>
      <c r="W1427" s="6"/>
      <c r="X1427" s="6"/>
      <c r="Y1427" s="6"/>
      <c r="Z1427" s="6"/>
      <c r="AA1427" s="6"/>
    </row>
    <row r="1428" spans="1:27" ht="12.75">
      <c r="A1428" s="6" t="s">
        <v>7133</v>
      </c>
      <c r="B1428" s="6" t="s">
        <v>14</v>
      </c>
      <c r="C1428" s="7" t="str">
        <f t="shared" si="20"/>
        <v xml:space="preserve">Sami Hayes </v>
      </c>
      <c r="D1428" s="29" t="s">
        <v>7134</v>
      </c>
      <c r="E1428" s="8" t="s">
        <v>7135</v>
      </c>
      <c r="F1428" s="9" t="str">
        <f ca="1">IFERROR(__xludf.DUMMYFUNCTION("""https://streamtape.com/v/""&amp;
REGEXEXTRACT(O1428,""/thumb/([^/]+)/"")&amp;
""/""&amp;K1428"),"https://streamtape.com/v/Mx0DDPx7ygImKgx/37019928")</f>
        <v>https://streamtape.com/v/Mx0DDPx7ygImKgx/37019928</v>
      </c>
      <c r="G1428" s="10" t="e">
        <f t="shared" ca="1" si="21"/>
        <v>#NAME?</v>
      </c>
      <c r="H1428" s="11" t="str">
        <f ca="1">IFERROR(__xludf.DUMMYFUNCTION("IFERROR(SUBSTITUTE(SUBSTITUTE(REGEXEXTRACT(A1428, ""[^-]+- [^-]+- [^-]+ - (.+?)\.jpg""), "".jpg"", """"), ""-"", "", ""), """")"),"Kiki Isobel")</f>
        <v>Kiki Isobel</v>
      </c>
      <c r="I1428" s="6"/>
      <c r="J1428" s="7" t="str">
        <f t="shared" ca="1" si="22"/>
        <v>(2026)</v>
      </c>
      <c r="K1428" s="7" t="str">
        <f t="shared" si="23"/>
        <v>37019928</v>
      </c>
      <c r="L1428" s="12" t="s">
        <v>7136</v>
      </c>
      <c r="M1428" s="13" t="str">
        <f ca="1">IFERROR(__xludf.DUMMYFUNCTION("TRIM(
  REGEXREPLACE(
    TEXTJOIN("" "",
      TRUE,
      B1428,
      C1428,
      embaralharLinks(E1428,F1428,G1428),
      H1428,
      """",
      J1428,
      N1428,
      ""#RIPNSFW""
    ),
  "",\s*"", "" "")
)"),"{New} Sami Hayes https://streamtape.com/v/Mx0DDPx7ygImKgx/37019928 https://doodstream.com/d/q3mqebfw9j5s/37019928 https://lulustream.com/d/6w96yprnosgf Kiki Isobel (2026) #BigTits #Hardcore #Threesome #Bigass #Teen #Artporn #Teens #Blowjob #Amateur #Deept"&amp;"hroat #Facial #RIPNSFW")</f>
        <v>{New} Sami Hayes https://streamtape.com/v/Mx0DDPx7ygImKgx/37019928 https://doodstream.com/d/q3mqebfw9j5s/37019928 https://lulustream.com/d/6w96yprnosgf Kiki Isobel (2026) #BigTits #Hardcore #Threesome #Bigass #Teen #Artporn #Teens #Blowjob #Amateur #Deepthroat #Facial #RIPNSFW</v>
      </c>
      <c r="N1428" s="14" t="s">
        <v>7137</v>
      </c>
      <c r="O1428" s="15" t="s">
        <v>7138</v>
      </c>
      <c r="P1428" s="14"/>
      <c r="Q1428" s="6"/>
      <c r="R1428" s="11"/>
      <c r="S1428" s="6"/>
      <c r="T1428" s="6"/>
      <c r="U1428" s="6"/>
      <c r="V1428" s="6"/>
      <c r="W1428" s="6"/>
      <c r="X1428" s="6"/>
      <c r="Y1428" s="6"/>
      <c r="Z1428" s="6"/>
      <c r="AA1428" s="6"/>
    </row>
    <row r="1429" spans="1:27" ht="12.75">
      <c r="A1429" s="6" t="s">
        <v>7139</v>
      </c>
      <c r="B1429" s="6" t="s">
        <v>14</v>
      </c>
      <c r="C1429" s="7" t="str">
        <f t="shared" si="20"/>
        <v xml:space="preserve">Sami Hayes </v>
      </c>
      <c r="D1429" s="6" t="s">
        <v>7140</v>
      </c>
      <c r="E1429" s="8" t="s">
        <v>7141</v>
      </c>
      <c r="F1429" s="9" t="str">
        <f ca="1">IFERROR(__xludf.DUMMYFUNCTION("""https://streamtape.com/v/""&amp;
REGEXEXTRACT(O1429,""/thumb/([^/]+)/"")&amp;
""/""&amp;K1429"),"https://streamtape.com/v/1WGK6mj0dAheK9a/38914614")</f>
        <v>https://streamtape.com/v/1WGK6mj0dAheK9a/38914614</v>
      </c>
      <c r="G1429" s="10" t="e">
        <f t="shared" ca="1" si="21"/>
        <v>#NAME?</v>
      </c>
      <c r="H1429" s="11" t="str">
        <f ca="1">IFERROR(__xludf.DUMMYFUNCTION("IFERROR(SUBSTITUTE(SUBSTITUTE(REGEXEXTRACT(A1429, ""[^-]+- [^-]+- [^-]+ - (.+?)\.jpg""), "".jpg"", """"), ""-"", "", ""), """")"),"")</f>
        <v/>
      </c>
      <c r="I1429" s="6"/>
      <c r="J1429" s="7" t="str">
        <f t="shared" ca="1" si="22"/>
        <v>(2026)</v>
      </c>
      <c r="K1429" s="7" t="str">
        <f t="shared" si="23"/>
        <v>38914614</v>
      </c>
      <c r="L1429" s="12" t="s">
        <v>6062</v>
      </c>
      <c r="M1429" s="13" t="str">
        <f ca="1">IFERROR(__xludf.DUMMYFUNCTION("TRIM(
  REGEXREPLACE(
    TEXTJOIN("" "",
      TRUE,
      B1429,
      C1429,
      embaralharLinks(E1429,F1429,G1429),
      H1429,
      """",
      J1429,
      N1429,
      ""#RIPNSFW""
    ),
  "",\s*"", "" "")
)"),"{New} Sami Hayes https://streamtape.com/v/1WGK6mj0dAheK9a/38914614 https://lulustream.com/d/pc91jzcrg3m9 https://doodstream.com/d/xc3hq30u63fl/38914614 (2026) #BigTits #Hardcore #Bigass #Teen #RIPNSFW")</f>
        <v>{New} Sami Hayes https://streamtape.com/v/1WGK6mj0dAheK9a/38914614 https://lulustream.com/d/pc91jzcrg3m9 https://doodstream.com/d/xc3hq30u63fl/38914614 (2026) #BigTits #Hardcore #Bigass #Teen #RIPNSFW</v>
      </c>
      <c r="N1429" s="14" t="s">
        <v>208</v>
      </c>
      <c r="O1429" s="15" t="s">
        <v>7142</v>
      </c>
      <c r="P1429" s="14"/>
      <c r="Q1429" s="6"/>
      <c r="R1429" s="11"/>
      <c r="S1429" s="6"/>
      <c r="T1429" s="6"/>
      <c r="U1429" s="6"/>
      <c r="V1429" s="6"/>
      <c r="W1429" s="6"/>
      <c r="X1429" s="6"/>
      <c r="Y1429" s="6"/>
      <c r="Z1429" s="6"/>
      <c r="AA1429" s="6"/>
    </row>
    <row r="1430" spans="1:27" ht="12.75">
      <c r="A1430" s="6" t="s">
        <v>7143</v>
      </c>
      <c r="B1430" s="6" t="s">
        <v>14</v>
      </c>
      <c r="C1430" s="7" t="str">
        <f t="shared" si="20"/>
        <v xml:space="preserve">Sami Hayes </v>
      </c>
      <c r="D1430" s="6" t="s">
        <v>7144</v>
      </c>
      <c r="E1430" s="8" t="s">
        <v>7145</v>
      </c>
      <c r="F1430" s="9" t="str">
        <f ca="1">IFERROR(__xludf.DUMMYFUNCTION("""https://streamtape.com/v/""&amp;
REGEXEXTRACT(O1430,""/thumb/([^/]+)/"")&amp;
""/""&amp;K1430"),"https://streamtape.com/v/4qedVezWWlUJ0Q/39608816")</f>
        <v>https://streamtape.com/v/4qedVezWWlUJ0Q/39608816</v>
      </c>
      <c r="G1430" s="10" t="e">
        <f t="shared" ca="1" si="21"/>
        <v>#NAME?</v>
      </c>
      <c r="H1430" s="11" t="str">
        <f ca="1">IFERROR(__xludf.DUMMYFUNCTION("IFERROR(SUBSTITUTE(SUBSTITUTE(REGEXEXTRACT(A1430, ""[^-]+- [^-]+- [^-]+ - (.+?)\.jpg""), "".jpg"", """"), ""-"", "", ""), """")"),"")</f>
        <v/>
      </c>
      <c r="I1430" s="6"/>
      <c r="J1430" s="7" t="str">
        <f t="shared" ca="1" si="22"/>
        <v>(2026)</v>
      </c>
      <c r="K1430" s="7" t="str">
        <f t="shared" si="23"/>
        <v>39608816</v>
      </c>
      <c r="L1430" s="12" t="s">
        <v>7146</v>
      </c>
      <c r="M1430" s="13" t="str">
        <f ca="1">IFERROR(__xludf.DUMMYFUNCTION("TRIM(
  REGEXREPLACE(
    TEXTJOIN("" "",
      TRUE,
      B1430,
      C1430,
      embaralharLinks(E1430,F1430,G1430),
      H1430,
      """",
      J1430,
      N1430,
      ""#RIPNSFW""
    ),
  "",\s*"", "" "")
)"),"{New} Sami Hayes https://lulustream.com/d/c63lv0spy9n2 https://doodstream.com/d/xbqha8uc9khi/39608816 https://streamtape.com/v/4qedVezWWlUJ0Q/39608816 (2026) #BigTits #Hardcore #Black #Interracial #Bigass #RIPNSFW")</f>
        <v>{New} Sami Hayes https://lulustream.com/d/c63lv0spy9n2 https://doodstream.com/d/xbqha8uc9khi/39608816 https://streamtape.com/v/4qedVezWWlUJ0Q/39608816 (2026) #BigTits #Hardcore #Black #Interracial #Bigass #RIPNSFW</v>
      </c>
      <c r="N1430" s="14" t="s">
        <v>7131</v>
      </c>
      <c r="O1430" s="15" t="s">
        <v>7147</v>
      </c>
      <c r="P1430" s="14"/>
      <c r="Q1430" s="6"/>
      <c r="R1430" s="11"/>
      <c r="S1430" s="6"/>
      <c r="T1430" s="6"/>
      <c r="U1430" s="6"/>
      <c r="V1430" s="6"/>
      <c r="W1430" s="6"/>
      <c r="X1430" s="6"/>
      <c r="Y1430" s="6"/>
      <c r="Z1430" s="6"/>
      <c r="AA1430" s="6"/>
    </row>
    <row r="1431" spans="1:27" ht="12.75">
      <c r="A1431" s="6" t="s">
        <v>7148</v>
      </c>
      <c r="B1431" s="6" t="s">
        <v>14</v>
      </c>
      <c r="C1431" s="7" t="str">
        <f t="shared" si="20"/>
        <v xml:space="preserve">Sami Hayes </v>
      </c>
      <c r="D1431" s="29" t="s">
        <v>7149</v>
      </c>
      <c r="E1431" s="8" t="s">
        <v>7150</v>
      </c>
      <c r="F1431" s="9" t="str">
        <f ca="1">IFERROR(__xludf.DUMMYFUNCTION("""https://streamtape.com/v/""&amp;
REGEXEXTRACT(O1431,""/thumb/([^/]+)/"")&amp;
""/""&amp;K1431"),"https://streamtape.com/v/JexpVz28ZosZyJ/52847283")</f>
        <v>https://streamtape.com/v/JexpVz28ZosZyJ/52847283</v>
      </c>
      <c r="G1431" s="10" t="e">
        <f t="shared" ca="1" si="21"/>
        <v>#NAME?</v>
      </c>
      <c r="H1431" s="11" t="str">
        <f ca="1">IFERROR(__xludf.DUMMYFUNCTION("IFERROR(SUBSTITUTE(SUBSTITUTE(REGEXEXTRACT(A1431, ""[^-]+- [^-]+- [^-]+ - (.+?)\.jpg""), "".jpg"", """"), ""-"", "", ""), """")"),"")</f>
        <v/>
      </c>
      <c r="I1431" s="6"/>
      <c r="J1431" s="7" t="str">
        <f t="shared" ca="1" si="22"/>
        <v>(2026)</v>
      </c>
      <c r="K1431" s="7" t="str">
        <f t="shared" si="23"/>
        <v>52847283</v>
      </c>
      <c r="L1431" s="12" t="s">
        <v>7151</v>
      </c>
      <c r="M1431" s="13" t="str">
        <f ca="1">IFERROR(__xludf.DUMMYFUNCTION("TRIM(
  REGEXREPLACE(
    TEXTJOIN("" "",
      TRUE,
      B1431,
      C1431,
      embaralharLinks(E1431,F1431,G1431),
      H1431,
      """",
      J1431,
      N1431,
      ""#RIPNSFW""
    ),
  "",\s*"", "" "")
)"),"{New} Sami Hayes https://doodstream.com/d/misg63uxtqa1/52847283 https://lulustream.com/d/btco9jpjccdy https://streamtape.com/v/JexpVz28ZosZyJ/52847283 (2026) #BigTits #Creampie #Hardcore #Black #Interracial #Bigass #Teen #RIPNSFW")</f>
        <v>{New} Sami Hayes https://doodstream.com/d/misg63uxtqa1/52847283 https://lulustream.com/d/btco9jpjccdy https://streamtape.com/v/JexpVz28ZosZyJ/52847283 (2026) #BigTits #Creampie #Hardcore #Black #Interracial #Bigass #Teen #RIPNSFW</v>
      </c>
      <c r="N1431" s="14" t="s">
        <v>7152</v>
      </c>
      <c r="O1431" s="32" t="s">
        <v>7153</v>
      </c>
      <c r="P1431" s="14"/>
      <c r="Q1431" s="6"/>
      <c r="R1431" s="11"/>
      <c r="S1431" s="6"/>
      <c r="T1431" s="6"/>
      <c r="U1431" s="6"/>
      <c r="V1431" s="6"/>
      <c r="W1431" s="6"/>
      <c r="X1431" s="6"/>
      <c r="Y1431" s="6"/>
      <c r="Z1431" s="6"/>
      <c r="AA1431" s="6"/>
    </row>
    <row r="1432" spans="1:27" ht="12.75">
      <c r="A1432" s="16" t="s">
        <v>7154</v>
      </c>
      <c r="B1432" s="11" t="s">
        <v>14</v>
      </c>
      <c r="C1432" s="13" t="str">
        <f t="shared" si="20"/>
        <v xml:space="preserve">Sami Hayes </v>
      </c>
      <c r="D1432" s="17" t="s">
        <v>7155</v>
      </c>
      <c r="E1432" s="18" t="s">
        <v>7156</v>
      </c>
      <c r="F1432" s="9" t="str">
        <f ca="1">IFERROR(__xludf.DUMMYFUNCTION("""https://streamtape.com/v/""&amp;
REGEXEXTRACT(O1432,""/thumb/([^/]+)/"")&amp;
""/""&amp;K1432"),"https://streamtape.com/v/qKaeLG4kgPsyd9/58001185")</f>
        <v>https://streamtape.com/v/qKaeLG4kgPsyd9/58001185</v>
      </c>
      <c r="G1432" s="10" t="e">
        <f t="shared" ca="1" si="21"/>
        <v>#NAME?</v>
      </c>
      <c r="H1432" s="11" t="str">
        <f ca="1">IFERROR(__xludf.DUMMYFUNCTION("IFERROR(SUBSTITUTE(SUBSTITUTE(REGEXEXTRACT(A1432, ""[^-]+- [^-]+- [^-]+ - (.+?)\.jpg""), "".jpg"", """"), ""-"", "", ""), """")"),"")</f>
        <v/>
      </c>
      <c r="I1432" s="11"/>
      <c r="J1432" s="13" t="str">
        <f t="shared" ca="1" si="22"/>
        <v>(2026)</v>
      </c>
      <c r="K1432" s="13" t="str">
        <f t="shared" si="23"/>
        <v>58001185</v>
      </c>
      <c r="L1432" s="12" t="s">
        <v>6878</v>
      </c>
      <c r="M1432" s="13" t="str">
        <f ca="1">IFERROR(__xludf.DUMMYFUNCTION("TRIM(
  REGEXREPLACE(
    TEXTJOIN("" "",
      TRUE,
      B1432,
      C1432,
      embaralharLinks(E1432,F1432,G1432),
      H1432,
      """",
      J1432,
      N1432,
      ""#RIPNSFW""
    ),
  "",\s*"", "" "")
)"),"{New} Sami Hayes https://doodstream.com/d/xtmq0vy47abc/58001185 https://lulustream.com/d/v4lea7ocsbzz https://streamtape.com/v/qKaeLG4kgPsyd9/58001185 (2026) #teen #bigass #bigtits #blowjob #RIPNSFW")</f>
        <v>{New} Sami Hayes https://doodstream.com/d/xtmq0vy47abc/58001185 https://lulustream.com/d/v4lea7ocsbzz https://streamtape.com/v/qKaeLG4kgPsyd9/58001185 (2026) #teen #bigass #bigtits #blowjob #RIPNSFW</v>
      </c>
      <c r="N1432" s="20" t="s">
        <v>6878</v>
      </c>
      <c r="O1432" s="30" t="s">
        <v>7157</v>
      </c>
      <c r="P1432" s="26"/>
      <c r="Q1432" s="16"/>
      <c r="R1432" s="23"/>
      <c r="S1432" s="16"/>
      <c r="T1432" s="16"/>
      <c r="U1432" s="16"/>
      <c r="V1432" s="16"/>
      <c r="W1432" s="16"/>
      <c r="X1432" s="16"/>
      <c r="Y1432" s="16"/>
      <c r="Z1432" s="16"/>
      <c r="AA1432" s="16"/>
    </row>
    <row r="1433" spans="1:27" ht="12.75">
      <c r="A1433" s="16" t="s">
        <v>7158</v>
      </c>
      <c r="B1433" s="11" t="s">
        <v>14</v>
      </c>
      <c r="C1433" s="13" t="str">
        <f t="shared" si="20"/>
        <v xml:space="preserve">Sami Hayes </v>
      </c>
      <c r="D1433" s="17" t="s">
        <v>7159</v>
      </c>
      <c r="E1433" s="18" t="s">
        <v>7160</v>
      </c>
      <c r="F1433" s="9" t="str">
        <f ca="1">IFERROR(__xludf.DUMMYFUNCTION("""https://streamtape.com/v/""&amp;
REGEXEXTRACT(O1433,""/thumb/([^/]+)/"")&amp;
""/""&amp;K1433"),"https://streamtape.com/v/G9KamVvwDQulzK/63650538")</f>
        <v>https://streamtape.com/v/G9KamVvwDQulzK/63650538</v>
      </c>
      <c r="G1433" s="10" t="e">
        <f t="shared" ca="1" si="21"/>
        <v>#NAME?</v>
      </c>
      <c r="H1433" s="11" t="str">
        <f ca="1">IFERROR(__xludf.DUMMYFUNCTION("IFERROR(SUBSTITUTE(SUBSTITUTE(REGEXEXTRACT(A1433, ""[^-]+- [^-]+- [^-]+ - (.+?)\.jpg""), "".jpg"", """"), ""-"", "", ""), """")"),"Ava Amira")</f>
        <v>Ava Amira</v>
      </c>
      <c r="I1433" s="11"/>
      <c r="J1433" s="13" t="str">
        <f t="shared" ca="1" si="22"/>
        <v>(2026)</v>
      </c>
      <c r="K1433" s="13" t="str">
        <f t="shared" si="23"/>
        <v>63650538</v>
      </c>
      <c r="L1433" s="12" t="s">
        <v>2845</v>
      </c>
      <c r="M1433" s="13" t="str">
        <f ca="1">IFERROR(__xludf.DUMMYFUNCTION("TRIM(
  REGEXREPLACE(
    TEXTJOIN("" "",
      TRUE,
      B1433,
      C1433,
      embaralharLinks(E1433,F1433,G1433),
      H1433,
      """",
      J1433,
      N1433,
      ""#RIPNSFW""
    ),
  "",\s*"", "" "")
)"),"{New} Sami Hayes https://streamtape.com/v/G9KamVvwDQulzK/63650538 https://doodstream.com/d/uk3nz10dk16r/63650538 https://lulustream.com/d/7bph90kdte9k Ava Amira (2026) #teens #bigtits #blowjob #amateur #RIPNSFW")</f>
        <v>{New} Sami Hayes https://streamtape.com/v/G9KamVvwDQulzK/63650538 https://doodstream.com/d/uk3nz10dk16r/63650538 https://lulustream.com/d/7bph90kdte9k Ava Amira (2026) #teens #bigtits #blowjob #amateur #RIPNSFW</v>
      </c>
      <c r="N1433" s="20" t="s">
        <v>2845</v>
      </c>
      <c r="O1433" s="30" t="s">
        <v>7161</v>
      </c>
      <c r="P1433" s="26"/>
      <c r="Q1433" s="16"/>
      <c r="R1433" s="23"/>
      <c r="S1433" s="16"/>
      <c r="T1433" s="16"/>
      <c r="U1433" s="16"/>
      <c r="V1433" s="16"/>
      <c r="W1433" s="16"/>
      <c r="X1433" s="16"/>
      <c r="Y1433" s="16"/>
      <c r="Z1433" s="16"/>
      <c r="AA1433" s="16"/>
    </row>
    <row r="1434" spans="1:27" ht="12.75">
      <c r="A1434" s="6" t="s">
        <v>7162</v>
      </c>
      <c r="B1434" s="6" t="s">
        <v>14</v>
      </c>
      <c r="C1434" s="7" t="str">
        <f t="shared" si="20"/>
        <v xml:space="preserve">Sami Hayes </v>
      </c>
      <c r="D1434" s="29" t="s">
        <v>7163</v>
      </c>
      <c r="E1434" s="8" t="s">
        <v>7164</v>
      </c>
      <c r="F1434" s="9" t="str">
        <f ca="1">IFERROR(__xludf.DUMMYFUNCTION("""https://streamtape.com/v/""&amp;
REGEXEXTRACT(O1434,""/thumb/([^/]+)/"")&amp;
""/""&amp;K1434"),"https://streamtape.com/v/Xo2K0rbOmPuDlAq/65397396")</f>
        <v>https://streamtape.com/v/Xo2K0rbOmPuDlAq/65397396</v>
      </c>
      <c r="G1434" s="10" t="e">
        <f t="shared" ca="1" si="21"/>
        <v>#NAME?</v>
      </c>
      <c r="H1434" s="11" t="str">
        <f ca="1">IFERROR(__xludf.DUMMYFUNCTION("IFERROR(SUBSTITUTE(SUBSTITUTE(REGEXEXTRACT(A1434, ""[^-]+- [^-]+- [^-]+ - (.+?)\.jpg""), "".jpg"", """"), ""-"", "", ""), """")"),"")</f>
        <v/>
      </c>
      <c r="I1434" s="6"/>
      <c r="J1434" s="7" t="str">
        <f t="shared" ca="1" si="22"/>
        <v>(2026)</v>
      </c>
      <c r="K1434" s="7" t="str">
        <f t="shared" si="23"/>
        <v>65397396</v>
      </c>
      <c r="L1434" s="12" t="s">
        <v>7165</v>
      </c>
      <c r="M1434" s="13" t="str">
        <f ca="1">IFERROR(__xludf.DUMMYFUNCTION("TRIM(
  REGEXREPLACE(
    TEXTJOIN("" "",
      TRUE,
      B1434,
      C1434,
      embaralharLinks(E1434,F1434,G1434),
      H1434,
      """",
      J1434,
      N1434,
      ""#RIPNSFW""
    ),
  "",\s*"", "" "")
)"),"{New} Sami Hayes https://streamtape.com/v/Xo2K0rbOmPuDlAq/65397396 https://doodstream.com/d/egw9m1h4prnq/65397396 https://lulustream.com/d/rdmoqbhla1fm (2026) #BigTits #Creampie #Hardcore #Bigass #Teen #Artporn #Blowjob #Porn #Deepthroat #RIPNSFW")</f>
        <v>{New} Sami Hayes https://streamtape.com/v/Xo2K0rbOmPuDlAq/65397396 https://doodstream.com/d/egw9m1h4prnq/65397396 https://lulustream.com/d/rdmoqbhla1fm (2026) #BigTits #Creampie #Hardcore #Bigass #Teen #Artporn #Blowjob #Porn #Deepthroat #RIPNSFW</v>
      </c>
      <c r="N1434" s="14" t="s">
        <v>7166</v>
      </c>
      <c r="O1434" s="32" t="s">
        <v>7167</v>
      </c>
      <c r="P1434" s="14"/>
      <c r="Q1434" s="6"/>
      <c r="R1434" s="11"/>
      <c r="S1434" s="6"/>
      <c r="T1434" s="6"/>
      <c r="U1434" s="6"/>
      <c r="V1434" s="6"/>
      <c r="W1434" s="6"/>
      <c r="X1434" s="6"/>
      <c r="Y1434" s="6"/>
      <c r="Z1434" s="6"/>
      <c r="AA1434" s="6"/>
    </row>
    <row r="1435" spans="1:27" ht="12.75">
      <c r="A1435" s="6" t="s">
        <v>7168</v>
      </c>
      <c r="B1435" s="6" t="s">
        <v>14</v>
      </c>
      <c r="C1435" s="7" t="str">
        <f t="shared" si="20"/>
        <v xml:space="preserve">Sami Hayes </v>
      </c>
      <c r="D1435" s="6" t="s">
        <v>7169</v>
      </c>
      <c r="E1435" s="8" t="s">
        <v>7170</v>
      </c>
      <c r="F1435" s="9" t="str">
        <f ca="1">IFERROR(__xludf.DUMMYFUNCTION("""https://streamtape.com/v/""&amp;
REGEXEXTRACT(O1435,""/thumb/([^/]+)/"")&amp;
""/""&amp;K1435"),"https://streamtape.com/v/01grrJdJ7lTbdYJ/70538746")</f>
        <v>https://streamtape.com/v/01grrJdJ7lTbdYJ/70538746</v>
      </c>
      <c r="G1435" s="10" t="e">
        <f t="shared" ca="1" si="21"/>
        <v>#NAME?</v>
      </c>
      <c r="H1435" s="11" t="str">
        <f ca="1">IFERROR(__xludf.DUMMYFUNCTION("IFERROR(SUBSTITUTE(SUBSTITUTE(REGEXEXTRACT(A1435, ""[^-]+- [^-]+- [^-]+ - (.+?)\.jpg""), "".jpg"", """"), ""-"", "", ""), """")"),"")</f>
        <v/>
      </c>
      <c r="I1435" s="6"/>
      <c r="J1435" s="7" t="str">
        <f t="shared" ca="1" si="22"/>
        <v>(2026)</v>
      </c>
      <c r="K1435" s="7" t="str">
        <f t="shared" si="23"/>
        <v>70538746</v>
      </c>
      <c r="L1435" s="12" t="s">
        <v>7171</v>
      </c>
      <c r="M1435" s="13" t="str">
        <f ca="1">IFERROR(__xludf.DUMMYFUNCTION("TRIM(
  REGEXREPLACE(
    TEXTJOIN("" "",
      TRUE,
      B1435,
      C1435,
      embaralharLinks(E1435,F1435,G1435),
      H1435,
      """",
      J1435,
      N1435,
      ""#RIPNSFW""
    ),
  "",\s*"", "" "")
)"),"{New} Sami Hayes https://lulustream.com/d/wy5r2uizc0fq https://streamtape.com/v/01grrJdJ7lTbdYJ/70538746 https://doodstream.com/d/10vjw4beu0ya/70538746 (2026) #BigTits #Creampie #Hardcore #Bigass #Teen #RIPNSFW")</f>
        <v>{New} Sami Hayes https://lulustream.com/d/wy5r2uizc0fq https://streamtape.com/v/01grrJdJ7lTbdYJ/70538746 https://doodstream.com/d/10vjw4beu0ya/70538746 (2026) #BigTits #Creampie #Hardcore #Bigass #Teen #RIPNSFW</v>
      </c>
      <c r="N1435" s="14" t="s">
        <v>88</v>
      </c>
      <c r="O1435" s="15" t="s">
        <v>7172</v>
      </c>
      <c r="P1435" s="14"/>
      <c r="Q1435" s="6"/>
      <c r="R1435" s="11"/>
      <c r="S1435" s="6"/>
      <c r="T1435" s="6"/>
      <c r="U1435" s="6"/>
      <c r="V1435" s="6"/>
      <c r="W1435" s="6"/>
      <c r="X1435" s="6"/>
      <c r="Y1435" s="6"/>
      <c r="Z1435" s="6"/>
      <c r="AA1435" s="6"/>
    </row>
    <row r="1436" spans="1:27" ht="12.75">
      <c r="A1436" s="6" t="s">
        <v>7173</v>
      </c>
      <c r="B1436" s="6" t="s">
        <v>14</v>
      </c>
      <c r="C1436" s="7" t="str">
        <f t="shared" si="20"/>
        <v xml:space="preserve">Sami Hayes </v>
      </c>
      <c r="D1436" s="29" t="s">
        <v>7174</v>
      </c>
      <c r="E1436" s="8" t="s">
        <v>7175</v>
      </c>
      <c r="F1436" s="9" t="str">
        <f ca="1">IFERROR(__xludf.DUMMYFUNCTION("""https://streamtape.com/v/""&amp;
REGEXEXTRACT(O1436,""/thumb/([^/]+)/"")&amp;
""/""&amp;K1436"),"https://streamtape.com/v/YK1pWOqOVXHvgyz/77902618")</f>
        <v>https://streamtape.com/v/YK1pWOqOVXHvgyz/77902618</v>
      </c>
      <c r="G1436" s="10" t="e">
        <f t="shared" ca="1" si="21"/>
        <v>#NAME?</v>
      </c>
      <c r="H1436" s="11" t="str">
        <f ca="1">IFERROR(__xludf.DUMMYFUNCTION("IFERROR(SUBSTITUTE(SUBSTITUTE(REGEXEXTRACT(A1436, ""[^-]+- [^-]+- [^-]+ - (.+?)\.jpg""), "".jpg"", """"), ""-"", "", ""), """")"),"")</f>
        <v/>
      </c>
      <c r="I1436" s="6"/>
      <c r="J1436" s="7" t="str">
        <f t="shared" ca="1" si="22"/>
        <v>(2026)</v>
      </c>
      <c r="K1436" s="7" t="str">
        <f t="shared" si="23"/>
        <v>77902618</v>
      </c>
      <c r="L1436" s="12" t="s">
        <v>7176</v>
      </c>
      <c r="M1436" s="13" t="str">
        <f ca="1">IFERROR(__xludf.DUMMYFUNCTION("TRIM(
  REGEXREPLACE(
    TEXTJOIN("" "",
      TRUE,
      B1436,
      C1436,
      embaralharLinks(E1436,F1436,G1436),
      H1436,
      """",
      J1436,
      N1436,
      ""#RIPNSFW""
    ),
  "",\s*"", "" "")
)"),"{New} Sami Hayes https://lulustream.com/d/k79208hpzkmq https://doodstream.com/d/fy4jqhl0qlwc/77902618 https://streamtape.com/v/YK1pWOqOVXHvgyz/77902618 (2026) #BigTits #Hardcore #Bigass #Teen #Artporn #Teens #Blowjob #Amateur #RIPNSFW")</f>
        <v>{New} Sami Hayes https://lulustream.com/d/k79208hpzkmq https://doodstream.com/d/fy4jqhl0qlwc/77902618 https://streamtape.com/v/YK1pWOqOVXHvgyz/77902618 (2026) #BigTits #Hardcore #Bigass #Teen #Artporn #Teens #Blowjob #Amateur #RIPNSFW</v>
      </c>
      <c r="N1436" s="14" t="s">
        <v>498</v>
      </c>
      <c r="O1436" s="32" t="s">
        <v>7177</v>
      </c>
      <c r="P1436" s="14"/>
      <c r="Q1436" s="6"/>
      <c r="R1436" s="11"/>
      <c r="S1436" s="6"/>
      <c r="T1436" s="6"/>
      <c r="U1436" s="6"/>
      <c r="V1436" s="6"/>
      <c r="W1436" s="6"/>
      <c r="X1436" s="6"/>
      <c r="Y1436" s="6"/>
      <c r="Z1436" s="6"/>
      <c r="AA1436" s="6"/>
    </row>
    <row r="1437" spans="1:27" ht="12.75">
      <c r="A1437" s="12" t="s">
        <v>7178</v>
      </c>
      <c r="B1437" s="6" t="s">
        <v>14</v>
      </c>
      <c r="C1437" s="7" t="str">
        <f t="shared" si="20"/>
        <v xml:space="preserve">Sami Hayes </v>
      </c>
      <c r="D1437" s="27" t="s">
        <v>7179</v>
      </c>
      <c r="E1437" s="28" t="s">
        <v>7180</v>
      </c>
      <c r="F1437" s="9" t="str">
        <f ca="1">IFERROR(__xludf.DUMMYFUNCTION("""https://streamtape.com/v/""&amp;
REGEXEXTRACT(O1437,""/thumb/([^/]+)/"")&amp;
""/""&amp;K1437"),"https://streamtape.com/v/7YVxZVv3wMTAlMW/81722742")</f>
        <v>https://streamtape.com/v/7YVxZVv3wMTAlMW/81722742</v>
      </c>
      <c r="G1437" s="10" t="e">
        <f t="shared" ca="1" si="21"/>
        <v>#NAME?</v>
      </c>
      <c r="H1437" s="11" t="str">
        <f ca="1">IFERROR(__xludf.DUMMYFUNCTION("IFERROR(SUBSTITUTE(SUBSTITUTE(REGEXEXTRACT(A1437, ""[^-]+- [^-]+- [^-]+ - (.+?)\.jpg""), "".jpg"", """"), ""-"", "", ""), """")"),"")</f>
        <v/>
      </c>
      <c r="I1437" s="6"/>
      <c r="J1437" s="7" t="str">
        <f t="shared" ca="1" si="22"/>
        <v>(2026)</v>
      </c>
      <c r="K1437" s="7" t="str">
        <f t="shared" si="23"/>
        <v>81722742</v>
      </c>
      <c r="L1437" s="12" t="s">
        <v>7181</v>
      </c>
      <c r="M1437" s="13" t="str">
        <f ca="1">IFERROR(__xludf.DUMMYFUNCTION("TRIM(
  REGEXREPLACE(
    TEXTJOIN("" "",
      TRUE,
      B1437,
      C1437,
      embaralharLinks(E1437,F1437,G1437),
      H1437,
      """",
      J1437,
      N1437,
      ""#RIPNSFW""
    ),
  "",\s*"", "" "")
)"),"{New} Sami Hayes https://lulustream.com/d/wx3lkim9l59k https://doodstream.com/d/66ibvziycx23/81722742 https://streamtape.com/v/7YVxZVv3wMTAlMW/81722742 (2026) #BigTits #Creampie #Hardcore #Interracial #RIPNSFW")</f>
        <v>{New} Sami Hayes https://lulustream.com/d/wx3lkim9l59k https://doodstream.com/d/66ibvziycx23/81722742 https://streamtape.com/v/7YVxZVv3wMTAlMW/81722742 (2026) #BigTits #Creampie #Hardcore #Interracial #RIPNSFW</v>
      </c>
      <c r="N1437" s="2" t="s">
        <v>7182</v>
      </c>
      <c r="O1437" s="30" t="s">
        <v>7183</v>
      </c>
      <c r="P1437" s="26"/>
      <c r="R1437" s="23"/>
    </row>
    <row r="1438" spans="1:27" ht="12.75">
      <c r="A1438" s="6" t="s">
        <v>7184</v>
      </c>
      <c r="B1438" s="6" t="s">
        <v>14</v>
      </c>
      <c r="C1438" s="7" t="str">
        <f t="shared" si="20"/>
        <v xml:space="preserve">Sami Hayes </v>
      </c>
      <c r="D1438" s="6" t="s">
        <v>7185</v>
      </c>
      <c r="E1438" s="8" t="s">
        <v>7186</v>
      </c>
      <c r="F1438" s="9" t="str">
        <f ca="1">IFERROR(__xludf.DUMMYFUNCTION("""https://streamtape.com/v/""&amp;
REGEXEXTRACT(O1438,""/thumb/([^/]+)/"")&amp;
""/""&amp;K1438"),"https://streamtape.com/v/RXwrOM2DPBTdRgK/92253588")</f>
        <v>https://streamtape.com/v/RXwrOM2DPBTdRgK/92253588</v>
      </c>
      <c r="G1438" s="10" t="e">
        <f t="shared" ca="1" si="21"/>
        <v>#NAME?</v>
      </c>
      <c r="H1438" s="11" t="str">
        <f ca="1">IFERROR(__xludf.DUMMYFUNCTION("IFERROR(SUBSTITUTE(SUBSTITUTE(REGEXEXTRACT(A1438, ""[^-]+- [^-]+- [^-]+ - (.+?)\.jpg""), "".jpg"", """"), ""-"", "", ""), """")"),"")</f>
        <v/>
      </c>
      <c r="I1438" s="6"/>
      <c r="J1438" s="7" t="str">
        <f t="shared" ca="1" si="22"/>
        <v>(2026)</v>
      </c>
      <c r="K1438" s="7" t="str">
        <f t="shared" si="23"/>
        <v>92253588</v>
      </c>
      <c r="L1438" s="12" t="s">
        <v>7171</v>
      </c>
      <c r="M1438" s="13" t="str">
        <f ca="1">IFERROR(__xludf.DUMMYFUNCTION("TRIM(
  REGEXREPLACE(
    TEXTJOIN("" "",
      TRUE,
      B1438,
      C1438,
      embaralharLinks(E1438,F1438,G1438),
      H1438,
      """",
      J1438,
      N1438,
      ""#RIPNSFW""
    ),
  "",\s*"", "" "")
)"),"{New} Sami Hayes https://doodstream.com/d/yc42f6t8s0z8/92253588 https://streamtape.com/v/RXwrOM2DPBTdRgK/92253588 https://lulustream.com/d/fb1srn17pw2u (2026) #BigTits #Creampie #Hardcore #Bigass #Teen #RIPNSFW")</f>
        <v>{New} Sami Hayes https://doodstream.com/d/yc42f6t8s0z8/92253588 https://streamtape.com/v/RXwrOM2DPBTdRgK/92253588 https://lulustream.com/d/fb1srn17pw2u (2026) #BigTits #Creampie #Hardcore #Bigass #Teen #RIPNSFW</v>
      </c>
      <c r="N1438" s="14" t="s">
        <v>88</v>
      </c>
      <c r="O1438" s="21" t="s">
        <v>7187</v>
      </c>
      <c r="P1438" s="14"/>
      <c r="Q1438" s="6"/>
      <c r="R1438" s="11"/>
      <c r="S1438" s="6"/>
      <c r="T1438" s="6"/>
      <c r="U1438" s="6"/>
      <c r="V1438" s="6"/>
      <c r="W1438" s="6"/>
      <c r="X1438" s="6"/>
      <c r="Y1438" s="6"/>
      <c r="Z1438" s="6"/>
      <c r="AA1438" s="6"/>
    </row>
    <row r="1439" spans="1:27" ht="12.75">
      <c r="A1439" s="6" t="s">
        <v>7188</v>
      </c>
      <c r="B1439" s="6" t="s">
        <v>14</v>
      </c>
      <c r="C1439" s="7" t="str">
        <f t="shared" si="20"/>
        <v xml:space="preserve">Sami Hayes </v>
      </c>
      <c r="D1439" s="29" t="s">
        <v>7189</v>
      </c>
      <c r="E1439" s="8" t="s">
        <v>7190</v>
      </c>
      <c r="F1439" s="9" t="str">
        <f ca="1">IFERROR(__xludf.DUMMYFUNCTION("""https://streamtape.com/v/""&amp;
REGEXEXTRACT(O1439,""/thumb/([^/]+)/"")&amp;
""/""&amp;K1439"),"https://streamtape.com/v/k2WYp3JgpZfOx66/93405290")</f>
        <v>https://streamtape.com/v/k2WYp3JgpZfOx66/93405290</v>
      </c>
      <c r="G1439" s="10" t="e">
        <f t="shared" ca="1" si="21"/>
        <v>#NAME?</v>
      </c>
      <c r="H1439" s="11" t="str">
        <f ca="1">IFERROR(__xludf.DUMMYFUNCTION("IFERROR(SUBSTITUTE(SUBSTITUTE(REGEXEXTRACT(A1439, ""[^-]+- [^-]+- [^-]+ - (.+?)\.jpg""), "".jpg"", """"), ""-"", "", ""), """")"),"")</f>
        <v/>
      </c>
      <c r="I1439" s="6"/>
      <c r="J1439" s="7" t="str">
        <f t="shared" ca="1" si="22"/>
        <v>(2026)</v>
      </c>
      <c r="K1439" s="7" t="str">
        <f t="shared" si="23"/>
        <v>93405290</v>
      </c>
      <c r="L1439" s="12" t="s">
        <v>6062</v>
      </c>
      <c r="M1439" s="13" t="str">
        <f ca="1">IFERROR(__xludf.DUMMYFUNCTION("TRIM(
  REGEXREPLACE(
    TEXTJOIN("" "",
      TRUE,
      B1439,
      C1439,
      embaralharLinks(E1439,F1439,G1439),
      H1439,
      """",
      J1439,
      N1439,
      ""#RIPNSFW""
    ),
  "",\s*"", "" "")
)"),"{New} Sami Hayes https://doodstream.com/d/ikwp5q9rdi8e/93405290 https://lulustream.com/d/9op2s123g5l7 https://streamtape.com/v/k2WYp3JgpZfOx66/93405290 (2026) #BigTits #Hardcore #Bigass #Teen #Artporn #Blowjob #Amateur #Deepthroat #Facial #RIPNSFW")</f>
        <v>{New} Sami Hayes https://doodstream.com/d/ikwp5q9rdi8e/93405290 https://lulustream.com/d/9op2s123g5l7 https://streamtape.com/v/k2WYp3JgpZfOx66/93405290 (2026) #BigTits #Hardcore #Bigass #Teen #Artporn #Blowjob #Amateur #Deepthroat #Facial #RIPNSFW</v>
      </c>
      <c r="N1439" s="14" t="s">
        <v>6063</v>
      </c>
      <c r="O1439" s="32" t="s">
        <v>7191</v>
      </c>
      <c r="P1439" s="14"/>
      <c r="Q1439" s="6"/>
      <c r="R1439" s="11"/>
      <c r="S1439" s="6"/>
      <c r="T1439" s="6"/>
      <c r="U1439" s="6"/>
      <c r="V1439" s="6"/>
      <c r="W1439" s="6"/>
      <c r="X1439" s="6"/>
      <c r="Y1439" s="6"/>
      <c r="Z1439" s="6"/>
      <c r="AA1439" s="6"/>
    </row>
    <row r="1440" spans="1:27" ht="12.75">
      <c r="A1440" s="6" t="s">
        <v>7192</v>
      </c>
      <c r="B1440" s="6" t="s">
        <v>14</v>
      </c>
      <c r="C1440" s="7" t="str">
        <f t="shared" si="20"/>
        <v xml:space="preserve">SammmNextDoor </v>
      </c>
      <c r="D1440" s="6" t="s">
        <v>7193</v>
      </c>
      <c r="E1440" s="8" t="s">
        <v>7194</v>
      </c>
      <c r="F1440" s="9" t="str">
        <f ca="1">IFERROR(__xludf.DUMMYFUNCTION("""https://streamtape.com/v/""&amp;
REGEXEXTRACT(O1440,""/thumb/([^/]+)/"")&amp;
""/""&amp;K1440"),"https://streamtape.com/v/VPPAJDW6MrSy60/55379535")</f>
        <v>https://streamtape.com/v/VPPAJDW6MrSy60/55379535</v>
      </c>
      <c r="G1440" s="10" t="e">
        <f t="shared" ca="1" si="21"/>
        <v>#NAME?</v>
      </c>
      <c r="H1440" s="11" t="str">
        <f ca="1">IFERROR(__xludf.DUMMYFUNCTION("IFERROR(SUBSTITUTE(SUBSTITUTE(REGEXEXTRACT(A1440, ""[^-]+- [^-]+- [^-]+ - (.+?)\.jpg""), "".jpg"", """"), ""-"", "", ""), """")"),"Lena the plug")</f>
        <v>Lena the plug</v>
      </c>
      <c r="I1440" s="6"/>
      <c r="J1440" s="7" t="str">
        <f t="shared" ca="1" si="22"/>
        <v>(2026)</v>
      </c>
      <c r="K1440" s="7" t="str">
        <f t="shared" si="23"/>
        <v>55379535</v>
      </c>
      <c r="L1440" s="12" t="s">
        <v>7195</v>
      </c>
      <c r="M1440" s="13" t="str">
        <f ca="1">IFERROR(__xludf.DUMMYFUNCTION("TRIM(
  REGEXREPLACE(
    TEXTJOIN("" "",
      TRUE,
      B1440,
      C1440,
      embaralharLinks(E1440,F1440,G1440),
      H1440,
      """",
      J1440,
      N1440,
      ""#RIPNSFW""
    ),
  "",\s*"", "" "")
)"),"{New} SammmNextDoor https://streamtape.com/v/VPPAJDW6MrSy60/55379535 https://doodstream.com/d/1apnkwwsr1oi/55379535 https://lulustream.com/d/05289tqw1rr0 Lena the plug (2026) #MILF #BigTits #Hardcore #Threesome #Bigass #Teen #Blowjob #RIPNSFW")</f>
        <v>{New} SammmNextDoor https://streamtape.com/v/VPPAJDW6MrSy60/55379535 https://doodstream.com/d/1apnkwwsr1oi/55379535 https://lulustream.com/d/05289tqw1rr0 Lena the plug (2026) #MILF #BigTits #Hardcore #Threesome #Bigass #Teen #Blowjob #RIPNSFW</v>
      </c>
      <c r="N1440" s="14" t="s">
        <v>156</v>
      </c>
      <c r="O1440" s="15" t="s">
        <v>7196</v>
      </c>
      <c r="P1440" s="14"/>
      <c r="Q1440" s="6"/>
      <c r="R1440" s="11"/>
      <c r="S1440" s="6"/>
      <c r="T1440" s="6"/>
      <c r="U1440" s="6"/>
      <c r="V1440" s="6"/>
      <c r="W1440" s="6"/>
      <c r="X1440" s="6"/>
      <c r="Y1440" s="6"/>
      <c r="Z1440" s="6"/>
      <c r="AA1440" s="6"/>
    </row>
    <row r="1441" spans="1:27" ht="12.75">
      <c r="A1441" s="6" t="s">
        <v>7197</v>
      </c>
      <c r="B1441" s="6" t="s">
        <v>14</v>
      </c>
      <c r="C1441" s="7" t="str">
        <f t="shared" si="20"/>
        <v xml:space="preserve">Sarah Illustrates </v>
      </c>
      <c r="D1441" s="6" t="s">
        <v>7198</v>
      </c>
      <c r="E1441" s="8" t="s">
        <v>7199</v>
      </c>
      <c r="F1441" s="9" t="str">
        <f ca="1">IFERROR(__xludf.DUMMYFUNCTION("""https://streamtape.com/v/""&amp;
REGEXEXTRACT(O1441,""/thumb/([^/]+)/"")&amp;
""/""&amp;K1441"),"https://streamtape.com/v/6qeB4jkDvMCpdq/91588899")</f>
        <v>https://streamtape.com/v/6qeB4jkDvMCpdq/91588899</v>
      </c>
      <c r="G1441" s="10" t="e">
        <f t="shared" ca="1" si="21"/>
        <v>#NAME?</v>
      </c>
      <c r="H1441" s="11" t="str">
        <f ca="1">IFERROR(__xludf.DUMMYFUNCTION("IFERROR(SUBSTITUTE(SUBSTITUTE(REGEXEXTRACT(A1441, ""[^-]+- [^-]+- [^-]+ - (.+?)\.jpg""), "".jpg"", """"), ""-"", "", ""), """")"),"")</f>
        <v/>
      </c>
      <c r="I1441" s="6"/>
      <c r="J1441" s="7" t="str">
        <f t="shared" ca="1" si="22"/>
        <v>(2026)</v>
      </c>
      <c r="K1441" s="7" t="str">
        <f t="shared" si="23"/>
        <v>91588899</v>
      </c>
      <c r="L1441" s="12" t="s">
        <v>7200</v>
      </c>
      <c r="M1441" s="13" t="str">
        <f ca="1">IFERROR(__xludf.DUMMYFUNCTION("TRIM(
  REGEXREPLACE(
    TEXTJOIN("" "",
      TRUE,
      B1441,
      C1441,
      embaralharLinks(E1441,F1441,G1441),
      H1441,
      """",
      J1441,
      N1441,
      ""#RIPNSFW""
    ),
  "",\s*"", "" "")
)"),"{New} Sarah Illustrates https://doodstream.com/d/0xy2jdbaqx5g/91588899 https://lulustream.com/d/jw28cmjfallf https://streamtape.com/v/6qeB4jkDvMCpdq/91588899 (2026) #MILF #BigTits #Hardcore #Blowjob #Black #Amateur #RIPNSFW")</f>
        <v>{New} Sarah Illustrates https://doodstream.com/d/0xy2jdbaqx5g/91588899 https://lulustream.com/d/jw28cmjfallf https://streamtape.com/v/6qeB4jkDvMCpdq/91588899 (2026) #MILF #BigTits #Hardcore #Blowjob #Black #Amateur #RIPNSFW</v>
      </c>
      <c r="N1441" s="14" t="s">
        <v>7201</v>
      </c>
      <c r="O1441" s="15" t="s">
        <v>7202</v>
      </c>
      <c r="P1441" s="14"/>
      <c r="Q1441" s="6"/>
      <c r="R1441" s="11"/>
      <c r="S1441" s="6"/>
      <c r="T1441" s="6"/>
      <c r="U1441" s="6"/>
      <c r="V1441" s="6"/>
      <c r="W1441" s="6"/>
      <c r="X1441" s="6"/>
      <c r="Y1441" s="6"/>
      <c r="Z1441" s="6"/>
      <c r="AA1441" s="6"/>
    </row>
    <row r="1442" spans="1:27" ht="12.75">
      <c r="A1442" s="6" t="s">
        <v>7203</v>
      </c>
      <c r="B1442" s="6" t="s">
        <v>14</v>
      </c>
      <c r="C1442" s="7" t="str">
        <f t="shared" si="20"/>
        <v xml:space="preserve">Sarah Illustrates </v>
      </c>
      <c r="D1442" s="6" t="s">
        <v>7204</v>
      </c>
      <c r="E1442" s="8" t="s">
        <v>7205</v>
      </c>
      <c r="F1442" s="9" t="str">
        <f ca="1">IFERROR(__xludf.DUMMYFUNCTION("""https://streamtape.com/v/""&amp;
REGEXEXTRACT(O1442,""/thumb/([^/]+)/"")&amp;
""/""&amp;K1442"),"https://streamtape.com/v/JWM8PbVOwXcjdMA/99792931")</f>
        <v>https://streamtape.com/v/JWM8PbVOwXcjdMA/99792931</v>
      </c>
      <c r="G1442" s="10" t="e">
        <f t="shared" ca="1" si="21"/>
        <v>#NAME?</v>
      </c>
      <c r="H1442" s="11" t="str">
        <f ca="1">IFERROR(__xludf.DUMMYFUNCTION("IFERROR(SUBSTITUTE(SUBSTITUTE(REGEXEXTRACT(A1442, ""[^-]+- [^-]+- [^-]+ - (.+?)\.jpg""), "".jpg"", """"), ""-"", "", ""), """")"),"")</f>
        <v/>
      </c>
      <c r="I1442" s="6"/>
      <c r="J1442" s="7" t="str">
        <f t="shared" ca="1" si="22"/>
        <v>(2026)</v>
      </c>
      <c r="K1442" s="7" t="str">
        <f t="shared" si="23"/>
        <v>99792931</v>
      </c>
      <c r="L1442" s="12" t="s">
        <v>7206</v>
      </c>
      <c r="M1442" s="13" t="str">
        <f ca="1">IFERROR(__xludf.DUMMYFUNCTION("TRIM(
  REGEXREPLACE(
    TEXTJOIN("" "",
      TRUE,
      B1442,
      C1442,
      embaralharLinks(E1442,F1442,G1442),
      H1442,
      """",
      J1442,
      N1442,
      ""#RIPNSFW""
    ),
  "",\s*"", "" "")
)"),"{New} Sarah Illustrates https://streamtape.com/v/JWM8PbVOwXcjdMA/99792931 https://lulustream.com/d/m5mqlq4kurek https://doodstream.com/d/0ctf6fx1nqhr/99792931 (2026) #MILF #BigTits #Hardcore #Blowjob #RIPNSFW")</f>
        <v>{New} Sarah Illustrates https://streamtape.com/v/JWM8PbVOwXcjdMA/99792931 https://lulustream.com/d/m5mqlq4kurek https://doodstream.com/d/0ctf6fx1nqhr/99792931 (2026) #MILF #BigTits #Hardcore #Blowjob #RIPNSFW</v>
      </c>
      <c r="N1442" s="14" t="s">
        <v>7207</v>
      </c>
      <c r="O1442" s="15" t="s">
        <v>7208</v>
      </c>
      <c r="P1442" s="14"/>
      <c r="Q1442" s="6"/>
      <c r="R1442" s="11"/>
      <c r="S1442" s="6"/>
      <c r="T1442" s="6"/>
      <c r="U1442" s="6"/>
      <c r="V1442" s="6"/>
      <c r="W1442" s="6"/>
      <c r="X1442" s="6"/>
      <c r="Y1442" s="6"/>
      <c r="Z1442" s="6"/>
      <c r="AA1442" s="6"/>
    </row>
    <row r="1443" spans="1:27" ht="12.75">
      <c r="A1443" s="6" t="s">
        <v>7209</v>
      </c>
      <c r="B1443" s="6" t="s">
        <v>14</v>
      </c>
      <c r="C1443" s="7" t="str">
        <f t="shared" si="20"/>
        <v xml:space="preserve">Sasha Grey </v>
      </c>
      <c r="D1443" s="6" t="s">
        <v>7210</v>
      </c>
      <c r="E1443" s="8" t="s">
        <v>7211</v>
      </c>
      <c r="F1443" s="9" t="str">
        <f ca="1">IFERROR(__xludf.DUMMYFUNCTION("""https://streamtape.com/v/""&amp;
REGEXEXTRACT(O1443,""/thumb/([^/]+)/"")&amp;
""/""&amp;K1443"),"https://streamtape.com/v/3AWAqPelzoCrkk/35073417")</f>
        <v>https://streamtape.com/v/3AWAqPelzoCrkk/35073417</v>
      </c>
      <c r="G1443" s="10" t="e">
        <f t="shared" ca="1" si="21"/>
        <v>#NAME?</v>
      </c>
      <c r="H1443" s="11" t="str">
        <f ca="1">IFERROR(__xludf.DUMMYFUNCTION("IFERROR(SUBSTITUTE(SUBSTITUTE(REGEXEXTRACT(A1443, ""[^-]+- [^-]+- [^-]+ - (.+?)\.jpg""), "".jpg"", """"), ""-"", "", ""), """")"),"")</f>
        <v/>
      </c>
      <c r="I1443" s="6"/>
      <c r="J1443" s="7" t="str">
        <f t="shared" ca="1" si="22"/>
        <v>(2026)</v>
      </c>
      <c r="K1443" s="7" t="str">
        <f t="shared" si="23"/>
        <v>35073417</v>
      </c>
      <c r="L1443" s="12" t="s">
        <v>7021</v>
      </c>
      <c r="M1443" s="13" t="str">
        <f ca="1">IFERROR(__xludf.DUMMYFUNCTION("TRIM(
  REGEXREPLACE(
    TEXTJOIN("" "",
      TRUE,
      B1443,
      C1443,
      embaralharLinks(E1443,F1443,G1443),
      H1443,
      """",
      J1443,
      N1443,
      ""#RIPNSFW""
    ),
  "",\s*"", "" "")
)"),"{New} Sasha Grey https://streamtape.com/v/3AWAqPelzoCrkk/35073417 https://lulustream.com/d/zcn8r49qbyy6 https://doodstream.com/d/4k50ujzrhg23/35073417 (2026) #Hardcore #Black #Interracial #Bigass #Porn #Teen #Blowjob #Deepthroat #Facial #RIPNSFW")</f>
        <v>{New} Sasha Grey https://streamtape.com/v/3AWAqPelzoCrkk/35073417 https://lulustream.com/d/zcn8r49qbyy6 https://doodstream.com/d/4k50ujzrhg23/35073417 (2026) #Hardcore #Black #Interracial #Bigass #Porn #Teen #Blowjob #Deepthroat #Facial #RIPNSFW</v>
      </c>
      <c r="N1443" s="14" t="s">
        <v>7212</v>
      </c>
      <c r="O1443" s="15" t="s">
        <v>7213</v>
      </c>
      <c r="P1443" s="14"/>
      <c r="Q1443" s="6"/>
      <c r="R1443" s="11"/>
      <c r="S1443" s="6"/>
      <c r="T1443" s="6"/>
      <c r="U1443" s="6"/>
      <c r="V1443" s="6"/>
      <c r="W1443" s="6"/>
      <c r="X1443" s="6"/>
      <c r="Y1443" s="6"/>
      <c r="Z1443" s="6"/>
      <c r="AA1443" s="6"/>
    </row>
    <row r="1444" spans="1:27" ht="12.75">
      <c r="A1444" s="6" t="s">
        <v>7214</v>
      </c>
      <c r="B1444" s="6" t="s">
        <v>14</v>
      </c>
      <c r="C1444" s="7" t="str">
        <f t="shared" si="20"/>
        <v xml:space="preserve">Sasha Grey </v>
      </c>
      <c r="D1444" s="6" t="s">
        <v>7215</v>
      </c>
      <c r="E1444" s="8" t="s">
        <v>7216</v>
      </c>
      <c r="F1444" s="9" t="str">
        <f ca="1">IFERROR(__xludf.DUMMYFUNCTION("""https://streamtape.com/v/""&amp;
REGEXEXTRACT(O1444,""/thumb/([^/]+)/"")&amp;
""/""&amp;K1444"),"https://streamtape.com/v/08eAyYDXoosbbVz/36758525")</f>
        <v>https://streamtape.com/v/08eAyYDXoosbbVz/36758525</v>
      </c>
      <c r="G1444" s="10" t="e">
        <f t="shared" ca="1" si="21"/>
        <v>#NAME?</v>
      </c>
      <c r="H1444" s="11" t="str">
        <f ca="1">IFERROR(__xludf.DUMMYFUNCTION("IFERROR(SUBSTITUTE(SUBSTITUTE(REGEXEXTRACT(A1444, ""[^-]+- [^-]+- [^-]+ - (.+?)\.jpg""), "".jpg"", """"), ""-"", "", ""), """")"),"")</f>
        <v/>
      </c>
      <c r="I1444" s="6"/>
      <c r="J1444" s="7" t="str">
        <f t="shared" ca="1" si="22"/>
        <v>(2026)</v>
      </c>
      <c r="K1444" s="7" t="str">
        <f t="shared" si="23"/>
        <v>36758525</v>
      </c>
      <c r="L1444" s="12" t="s">
        <v>7217</v>
      </c>
      <c r="M1444" s="13" t="str">
        <f ca="1">IFERROR(__xludf.DUMMYFUNCTION("TRIM(
  REGEXREPLACE(
    TEXTJOIN("" "",
      TRUE,
      B1444,
      C1444,
      embaralharLinks(E1444,F1444,G1444),
      H1444,
      """",
      J1444,
      N1444,
      ""#RIPNSFW""
    ),
  "",\s*"", "" "")
)"),"{New} Sasha Grey https://streamtape.com/v/08eAyYDXoosbbVz/36758525 https://doodstream.com/d/wqqru82ahnus/36758525 https://lulustream.com/d/q414qqdmiuek (2026) #Anal #Hardcore #Bigass #Porn #Teen #RIPNSFW")</f>
        <v>{New} Sasha Grey https://streamtape.com/v/08eAyYDXoosbbVz/36758525 https://doodstream.com/d/wqqru82ahnus/36758525 https://lulustream.com/d/q414qqdmiuek (2026) #Anal #Hardcore #Bigass #Porn #Teen #RIPNSFW</v>
      </c>
      <c r="N1444" s="14" t="s">
        <v>7218</v>
      </c>
      <c r="O1444" s="15" t="s">
        <v>7219</v>
      </c>
      <c r="P1444" s="14"/>
      <c r="Q1444" s="6"/>
      <c r="R1444" s="11"/>
      <c r="S1444" s="6"/>
      <c r="T1444" s="6"/>
      <c r="U1444" s="6"/>
      <c r="V1444" s="6"/>
      <c r="W1444" s="6"/>
      <c r="X1444" s="6"/>
      <c r="Y1444" s="6"/>
      <c r="Z1444" s="6"/>
      <c r="AA1444" s="6"/>
    </row>
    <row r="1445" spans="1:27" ht="12.75">
      <c r="A1445" s="12" t="s">
        <v>7220</v>
      </c>
      <c r="B1445" s="6"/>
      <c r="C1445" s="7" t="str">
        <f t="shared" si="20"/>
        <v xml:space="preserve">Sasha Grey </v>
      </c>
      <c r="D1445" s="24" t="s">
        <v>7221</v>
      </c>
      <c r="E1445" s="25" t="s">
        <v>7222</v>
      </c>
      <c r="F1445" s="9" t="str">
        <f ca="1">IFERROR(__xludf.DUMMYFUNCTION("""https://streamtape.com/v/""&amp;
REGEXEXTRACT(O1445,""/thumb/([^/]+)/"")&amp;
""/""&amp;K1445"),"https://streamtape.com/v/gaOV1RAAmxsJgO/52381181")</f>
        <v>https://streamtape.com/v/gaOV1RAAmxsJgO/52381181</v>
      </c>
      <c r="G1445" s="10" t="e">
        <f t="shared" ca="1" si="21"/>
        <v>#NAME?</v>
      </c>
      <c r="H1445" s="11" t="str">
        <f ca="1">IFERROR(__xludf.DUMMYFUNCTION("IFERROR(SUBSTITUTE(SUBSTITUTE(REGEXEXTRACT(A1445, ""[^-]+- [^-]+- [^-]+ - (.+?)\.jpg""), "".jpg"", """"), ""-"", "", ""), """")"),"")</f>
        <v/>
      </c>
      <c r="I1445" s="6"/>
      <c r="J1445" s="7" t="str">
        <f t="shared" ca="1" si="22"/>
        <v/>
      </c>
      <c r="K1445" s="7" t="str">
        <f t="shared" si="23"/>
        <v>52381181</v>
      </c>
      <c r="L1445" s="12" t="s">
        <v>7223</v>
      </c>
      <c r="M1445" s="13" t="str">
        <f ca="1">IFERROR(__xludf.DUMMYFUNCTION("TRIM(
  REGEXREPLACE(
    TEXTJOIN("" "",
      TRUE,
      B1445,
      C1445,
      embaralharLinks(E1445,F1445,G1445),
      H1445,
      """",
      J1445,
      N1445,
      ""#RIPNSFW""
    ),
  "",\s*"", "" "")
)"),"Sasha Grey https://doodstream.com/d/f1pqo6lejyz2/52381181 https://streamtape.com/v/gaOV1RAAmxsJgO/52381181 https://lulustream.com/d/7vxbje5tg2l2 #pornstar #brunette #blowjob #hairy #RIPNSFW")</f>
        <v>Sasha Grey https://doodstream.com/d/f1pqo6lejyz2/52381181 https://streamtape.com/v/gaOV1RAAmxsJgO/52381181 https://lulustream.com/d/7vxbje5tg2l2 #pornstar #brunette #blowjob #hairy #RIPNSFW</v>
      </c>
      <c r="N1445" s="2" t="s">
        <v>7223</v>
      </c>
      <c r="O1445" s="30" t="s">
        <v>7224</v>
      </c>
      <c r="P1445" s="26"/>
      <c r="R1445" s="23"/>
      <c r="T1445" s="6"/>
      <c r="U1445" s="7"/>
    </row>
    <row r="1446" spans="1:27" ht="12.75">
      <c r="A1446" s="6" t="s">
        <v>7225</v>
      </c>
      <c r="B1446" s="6" t="s">
        <v>14</v>
      </c>
      <c r="C1446" s="7" t="str">
        <f t="shared" si="20"/>
        <v xml:space="preserve">Sasha Grey </v>
      </c>
      <c r="D1446" s="6" t="s">
        <v>7226</v>
      </c>
      <c r="E1446" s="8" t="s">
        <v>7227</v>
      </c>
      <c r="F1446" s="9" t="str">
        <f ca="1">IFERROR(__xludf.DUMMYFUNCTION("""https://streamtape.com/v/""&amp;
REGEXEXTRACT(O1446,""/thumb/([^/]+)/"")&amp;
""/""&amp;K1446"),"https://streamtape.com/v/1pPqajoo7zHeOeB/93132689")</f>
        <v>https://streamtape.com/v/1pPqajoo7zHeOeB/93132689</v>
      </c>
      <c r="G1446" s="10" t="e">
        <f t="shared" ca="1" si="21"/>
        <v>#NAME?</v>
      </c>
      <c r="H1446" s="11" t="str">
        <f ca="1">IFERROR(__xludf.DUMMYFUNCTION("IFERROR(SUBSTITUTE(SUBSTITUTE(REGEXEXTRACT(A1446, ""[^-]+- [^-]+- [^-]+ - (.+?)\.jpg""), "".jpg"", """"), ""-"", "", ""), """")"),"")</f>
        <v/>
      </c>
      <c r="I1446" s="6"/>
      <c r="J1446" s="7" t="str">
        <f t="shared" ca="1" si="22"/>
        <v>(2026)</v>
      </c>
      <c r="K1446" s="7" t="str">
        <f t="shared" si="23"/>
        <v>93132689</v>
      </c>
      <c r="L1446" s="12" t="s">
        <v>7228</v>
      </c>
      <c r="M1446" s="13" t="str">
        <f ca="1">IFERROR(__xludf.DUMMYFUNCTION("TRIM(
  REGEXREPLACE(
    TEXTJOIN("" "",
      TRUE,
      B1446,
      C1446,
      embaralharLinks(E1446,F1446,G1446),
      H1446,
      """",
      J1446,
      N1446,
      ""#RIPNSFW""
    ),
  "",\s*"", "" "")
)"),"{New} Sasha Grey https://streamtape.com/v/1pPqajoo7zHeOeB/93132689 https://lulustream.com/d/hfk55v0qqed8 https://doodstream.com/d/3rh1icppriwp/93132689 (2026) #Hardcore #Black #Interracial #Bigass #Porn #Teen #RIPNSFW")</f>
        <v>{New} Sasha Grey https://streamtape.com/v/1pPqajoo7zHeOeB/93132689 https://lulustream.com/d/hfk55v0qqed8 https://doodstream.com/d/3rh1icppriwp/93132689 (2026) #Hardcore #Black #Interracial #Bigass #Porn #Teen #RIPNSFW</v>
      </c>
      <c r="N1446" s="14" t="s">
        <v>7229</v>
      </c>
      <c r="O1446" s="15" t="s">
        <v>7230</v>
      </c>
      <c r="P1446" s="14"/>
      <c r="Q1446" s="6"/>
      <c r="R1446" s="11"/>
      <c r="S1446" s="6"/>
      <c r="T1446" s="6"/>
      <c r="U1446" s="6"/>
      <c r="V1446" s="6"/>
      <c r="W1446" s="6"/>
      <c r="X1446" s="6"/>
      <c r="Y1446" s="6"/>
      <c r="Z1446" s="6"/>
      <c r="AA1446" s="6"/>
    </row>
    <row r="1447" spans="1:27" ht="12.75">
      <c r="A1447" s="6" t="s">
        <v>7231</v>
      </c>
      <c r="B1447" s="6" t="s">
        <v>14</v>
      </c>
      <c r="C1447" s="7" t="str">
        <f t="shared" si="20"/>
        <v xml:space="preserve">Sasha Grey </v>
      </c>
      <c r="D1447" s="6" t="s">
        <v>7232</v>
      </c>
      <c r="E1447" s="8" t="s">
        <v>7233</v>
      </c>
      <c r="F1447" s="9" t="str">
        <f ca="1">IFERROR(__xludf.DUMMYFUNCTION("""https://streamtape.com/v/""&amp;
REGEXEXTRACT(O1447,""/thumb/([^/]+)/"")&amp;
""/""&amp;K1447"),"https://streamtape.com/v/6mL96QDkAGFpMk/96620718")</f>
        <v>https://streamtape.com/v/6mL96QDkAGFpMk/96620718</v>
      </c>
      <c r="G1447" s="10" t="e">
        <f t="shared" ca="1" si="21"/>
        <v>#NAME?</v>
      </c>
      <c r="H1447" s="11" t="str">
        <f ca="1">IFERROR(__xludf.DUMMYFUNCTION("IFERROR(SUBSTITUTE(SUBSTITUTE(REGEXEXTRACT(A1447, ""[^-]+- [^-]+- [^-]+ - (.+?)\.jpg""), "".jpg"", """"), ""-"", "", ""), """")"),"")</f>
        <v/>
      </c>
      <c r="I1447" s="6"/>
      <c r="J1447" s="7" t="str">
        <f t="shared" ca="1" si="22"/>
        <v>(2026)</v>
      </c>
      <c r="K1447" s="7" t="str">
        <f t="shared" si="23"/>
        <v>96620718</v>
      </c>
      <c r="L1447" s="12" t="s">
        <v>7234</v>
      </c>
      <c r="M1447" s="13" t="str">
        <f ca="1">IFERROR(__xludf.DUMMYFUNCTION("TRIM(
  REGEXREPLACE(
    TEXTJOIN("" "",
      TRUE,
      B1447,
      C1447,
      embaralharLinks(E1447,F1447,G1447),
      H1447,
      """",
      J1447,
      N1447,
      ""#RIPNSFW""
    ),
  "",\s*"", "" "")
)"),"{New} Sasha Grey https://streamtape.com/v/6mL96QDkAGFpMk/96620718 https://doodstream.com/d/g1tdnooicaqz/96620718 https://lulustream.com/d/3cbyercbswdr (2026) #Anal #Hardcore #Threesome #Bigass #Porn #Teen #Blowjob #Deepthroat #Facial #RIPNSFW")</f>
        <v>{New} Sasha Grey https://streamtape.com/v/6mL96QDkAGFpMk/96620718 https://doodstream.com/d/g1tdnooicaqz/96620718 https://lulustream.com/d/3cbyercbswdr (2026) #Anal #Hardcore #Threesome #Bigass #Porn #Teen #Blowjob #Deepthroat #Facial #RIPNSFW</v>
      </c>
      <c r="N1447" s="14" t="s">
        <v>7235</v>
      </c>
      <c r="O1447" s="15" t="s">
        <v>7236</v>
      </c>
      <c r="P1447" s="14"/>
      <c r="Q1447" s="6"/>
      <c r="R1447" s="11"/>
      <c r="S1447" s="6"/>
      <c r="T1447" s="6"/>
      <c r="U1447" s="6"/>
      <c r="V1447" s="6"/>
      <c r="W1447" s="6"/>
      <c r="X1447" s="6"/>
      <c r="Y1447" s="6"/>
      <c r="Z1447" s="6"/>
      <c r="AA1447" s="6"/>
    </row>
    <row r="1448" spans="1:27" ht="12.75">
      <c r="A1448" s="12" t="s">
        <v>7237</v>
      </c>
      <c r="B1448" s="6" t="s">
        <v>14</v>
      </c>
      <c r="C1448" s="7" t="str">
        <f t="shared" si="20"/>
        <v xml:space="preserve">Sav Shawz </v>
      </c>
      <c r="D1448" s="24" t="s">
        <v>7238</v>
      </c>
      <c r="E1448" s="25" t="s">
        <v>7239</v>
      </c>
      <c r="F1448" s="9" t="str">
        <f ca="1">IFERROR(__xludf.DUMMYFUNCTION("""https://streamtape.com/v/""&amp;
REGEXEXTRACT(O1448,""/thumb/([^/]+)/"")&amp;
""/""&amp;K1448"),"https://streamtape.com/v/vV4QW9PpxQf4OBw/94987507")</f>
        <v>https://streamtape.com/v/vV4QW9PpxQf4OBw/94987507</v>
      </c>
      <c r="G1448" s="10" t="e">
        <f t="shared" ca="1" si="21"/>
        <v>#NAME?</v>
      </c>
      <c r="H1448" s="11" t="str">
        <f ca="1">IFERROR(__xludf.DUMMYFUNCTION("IFERROR(SUBSTITUTE(SUBSTITUTE(REGEXEXTRACT(A1448, ""[^-]+- [^-]+- [^-]+ - (.+?)\.jpg""), "".jpg"", """"), ""-"", "", ""), """")"),"")</f>
        <v/>
      </c>
      <c r="I1448" s="6"/>
      <c r="J1448" s="7" t="str">
        <f t="shared" ca="1" si="22"/>
        <v>(2026)</v>
      </c>
      <c r="K1448" s="7" t="str">
        <f t="shared" si="23"/>
        <v>94987507</v>
      </c>
      <c r="L1448" s="12" t="s">
        <v>7240</v>
      </c>
      <c r="M1448" s="13" t="str">
        <f ca="1">IFERROR(__xludf.DUMMYFUNCTION("TRIM(
  REGEXREPLACE(
    TEXTJOIN("" "",
      TRUE,
      B1448,
      C1448,
      embaralharLinks(E1448,F1448,G1448),
      H1448,
      """",
      J1448,
      N1448,
      ""#RIPNSFW""
    ),
  "",\s*"", "" "")
)"),"{New} Sav Shawz https://streamtape.com/v/vV4QW9PpxQf4OBw/94987507 https://lulustream.com/d/wakne65u8ahj https://doodstream.com/d/ecsykjle6t7x/94987507 (2026) #threesome #milf #bigtits #bigass #RIPNSFW")</f>
        <v>{New} Sav Shawz https://streamtape.com/v/vV4QW9PpxQf4OBw/94987507 https://lulustream.com/d/wakne65u8ahj https://doodstream.com/d/ecsykjle6t7x/94987507 (2026) #threesome #milf #bigtits #bigass #RIPNSFW</v>
      </c>
      <c r="N1448" s="2" t="s">
        <v>7240</v>
      </c>
      <c r="O1448" s="30" t="s">
        <v>7241</v>
      </c>
      <c r="P1448" s="26"/>
      <c r="R1448" s="23"/>
      <c r="T1448" s="6"/>
      <c r="U1448" s="7"/>
    </row>
    <row r="1449" spans="1:27" ht="12.75">
      <c r="A1449" s="6" t="s">
        <v>7242</v>
      </c>
      <c r="B1449" s="6" t="s">
        <v>14</v>
      </c>
      <c r="C1449" s="7" t="str">
        <f t="shared" si="20"/>
        <v xml:space="preserve">Savannah Bond </v>
      </c>
      <c r="D1449" s="24" t="s">
        <v>7243</v>
      </c>
      <c r="E1449" s="25" t="s">
        <v>7244</v>
      </c>
      <c r="F1449" s="9" t="str">
        <f ca="1">IFERROR(__xludf.DUMMYFUNCTION("""https://streamtape.com/v/""&amp;
REGEXEXTRACT(O1449,""/thumb/([^/]+)/"")&amp;
""/""&amp;K1449"),"https://streamtape.com/v/er0ZOVYm2jiooo/14619680")</f>
        <v>https://streamtape.com/v/er0ZOVYm2jiooo/14619680</v>
      </c>
      <c r="G1449" s="10" t="e">
        <f t="shared" ca="1" si="21"/>
        <v>#NAME?</v>
      </c>
      <c r="H1449" s="11" t="str">
        <f ca="1">IFERROR(__xludf.DUMMYFUNCTION("IFERROR(SUBSTITUTE(SUBSTITUTE(REGEXEXTRACT(A1449, ""[^-]+- [^-]+- [^-]+ - (.+?)\.jpg""), "".jpg"", """"), ""-"", "", ""), """")"),"")</f>
        <v/>
      </c>
      <c r="I1449" s="6"/>
      <c r="J1449" s="7" t="str">
        <f t="shared" ca="1" si="22"/>
        <v>(2026)</v>
      </c>
      <c r="K1449" s="7" t="str">
        <f t="shared" si="23"/>
        <v>14619680</v>
      </c>
      <c r="L1449" s="12" t="s">
        <v>7245</v>
      </c>
      <c r="M1449" s="13" t="str">
        <f ca="1">IFERROR(__xludf.DUMMYFUNCTION("TRIM(
  REGEXREPLACE(
    TEXTJOIN("" "",
      TRUE,
      B1449,
      C1449,
      embaralharLinks(E1449,F1449,G1449),
      H1449,
      """",
      J1449,
      N1449,
      ""#RIPNSFW""
    ),
  "",\s*"", "" "")
)"),"{New} Savannah Bond https://streamtape.com/v/er0ZOVYm2jiooo/14619680 https://doodstream.com/d/72mppsop5mdy/14619680 https://lulustream.com/d/9rihpi4xmu1c (2026) #anal #milf #bigtits #creampie #RIPNSFW")</f>
        <v>{New} Savannah Bond https://streamtape.com/v/er0ZOVYm2jiooo/14619680 https://doodstream.com/d/72mppsop5mdy/14619680 https://lulustream.com/d/9rihpi4xmu1c (2026) #anal #milf #bigtits #creampie #RIPNSFW</v>
      </c>
      <c r="N1449" s="31" t="s">
        <v>7245</v>
      </c>
      <c r="O1449" s="32" t="s">
        <v>7246</v>
      </c>
      <c r="P1449" s="26"/>
      <c r="Q1449" s="6"/>
      <c r="R1449" s="11"/>
      <c r="S1449" s="6"/>
      <c r="T1449" s="6"/>
      <c r="U1449" s="6"/>
      <c r="V1449" s="6"/>
      <c r="W1449" s="6"/>
      <c r="X1449" s="6"/>
      <c r="Y1449" s="6"/>
      <c r="Z1449" s="6"/>
      <c r="AA1449" s="6"/>
    </row>
    <row r="1450" spans="1:27" ht="12.75">
      <c r="A1450" s="6" t="s">
        <v>7247</v>
      </c>
      <c r="B1450" s="6" t="s">
        <v>14</v>
      </c>
      <c r="C1450" s="7" t="str">
        <f t="shared" si="20"/>
        <v xml:space="preserve">Savannah Bond </v>
      </c>
      <c r="D1450" s="29" t="s">
        <v>7248</v>
      </c>
      <c r="E1450" s="8" t="s">
        <v>7249</v>
      </c>
      <c r="F1450" s="9" t="str">
        <f ca="1">IFERROR(__xludf.DUMMYFUNCTION("""https://streamtape.com/v/""&amp;
REGEXEXTRACT(O1450,""/thumb/([^/]+)/"")&amp;
""/""&amp;K1450"),"https://streamtape.com/v/QyRBLrqLm0t01eV/16972233")</f>
        <v>https://streamtape.com/v/QyRBLrqLm0t01eV/16972233</v>
      </c>
      <c r="G1450" s="10" t="e">
        <f t="shared" ca="1" si="21"/>
        <v>#NAME?</v>
      </c>
      <c r="H1450" s="11" t="str">
        <f ca="1">IFERROR(__xludf.DUMMYFUNCTION("IFERROR(SUBSTITUTE(SUBSTITUTE(REGEXEXTRACT(A1450, ""[^-]+- [^-]+- [^-]+ - (.+?)\.jpg""), "".jpg"", """"), ""-"", "", ""), """")"),"")</f>
        <v/>
      </c>
      <c r="I1450" s="6"/>
      <c r="J1450" s="7" t="str">
        <f t="shared" ca="1" si="22"/>
        <v>(2026)</v>
      </c>
      <c r="K1450" s="7" t="str">
        <f t="shared" si="23"/>
        <v>16972233</v>
      </c>
      <c r="L1450" s="12" t="s">
        <v>7250</v>
      </c>
      <c r="M1450" s="13" t="str">
        <f ca="1">IFERROR(__xludf.DUMMYFUNCTION("TRIM(
  REGEXREPLACE(
    TEXTJOIN("" "",
      TRUE,
      B1450,
      C1450,
      embaralharLinks(E1450,F1450,G1450),
      H1450,
      """",
      J1450,
      N1450,
      ""#RIPNSFW""
    ),
  "",\s*"", "" "")
)"),"{New} Savannah Bond https://lulustream.com/d/eddm4ecvdmyw https://streamtape.com/v/QyRBLrqLm0t01eV/16972233 https://doodstream.com/d/32jfdktwe1u0/16972233 (2026) #Anal #MILF #BigTits #Hardcore #Black #Threesome #Interracial #Bigass #Porn #Stepmom #Blowjob"&amp;" #RIPNSFW")</f>
        <v>{New} Savannah Bond https://lulustream.com/d/eddm4ecvdmyw https://streamtape.com/v/QyRBLrqLm0t01eV/16972233 https://doodstream.com/d/32jfdktwe1u0/16972233 (2026) #Anal #MILF #BigTits #Hardcore #Black #Threesome #Interracial #Bigass #Porn #Stepmom #Blowjob #RIPNSFW</v>
      </c>
      <c r="N1450" s="14" t="s">
        <v>7251</v>
      </c>
      <c r="O1450" s="32" t="s">
        <v>7252</v>
      </c>
      <c r="P1450" s="14"/>
      <c r="Q1450" s="6"/>
      <c r="R1450" s="11"/>
      <c r="S1450" s="6"/>
      <c r="T1450" s="6"/>
      <c r="U1450" s="6"/>
      <c r="V1450" s="6"/>
      <c r="W1450" s="6"/>
      <c r="X1450" s="6"/>
      <c r="Y1450" s="6"/>
      <c r="Z1450" s="6"/>
      <c r="AA1450" s="6"/>
    </row>
    <row r="1451" spans="1:27" ht="12.75">
      <c r="A1451" s="6" t="s">
        <v>7253</v>
      </c>
      <c r="B1451" s="6" t="s">
        <v>14</v>
      </c>
      <c r="C1451" s="7" t="str">
        <f t="shared" si="20"/>
        <v xml:space="preserve">Savannah Bond </v>
      </c>
      <c r="D1451" s="6" t="s">
        <v>7254</v>
      </c>
      <c r="E1451" s="8" t="s">
        <v>7255</v>
      </c>
      <c r="F1451" s="9" t="str">
        <f ca="1">IFERROR(__xludf.DUMMYFUNCTION("""https://streamtape.com/v/""&amp;
REGEXEXTRACT(O1451,""/thumb/([^/]+)/"")&amp;
""/""&amp;K1451"),"https://streamtape.com/v/WgQzv01OrYtRwv/18950624")</f>
        <v>https://streamtape.com/v/WgQzv01OrYtRwv/18950624</v>
      </c>
      <c r="G1451" s="10" t="e">
        <f t="shared" ca="1" si="21"/>
        <v>#NAME?</v>
      </c>
      <c r="H1451" s="11" t="str">
        <f ca="1">IFERROR(__xludf.DUMMYFUNCTION("IFERROR(SUBSTITUTE(SUBSTITUTE(REGEXEXTRACT(A1451, ""[^-]+- [^-]+- [^-]+ - (.+?)\.jpg""), "".jpg"", """"), ""-"", "", ""), """")"),"Karmen Karma")</f>
        <v>Karmen Karma</v>
      </c>
      <c r="I1451" s="6"/>
      <c r="J1451" s="7" t="str">
        <f t="shared" ca="1" si="22"/>
        <v>(2026)</v>
      </c>
      <c r="K1451" s="7" t="str">
        <f t="shared" si="23"/>
        <v>18950624</v>
      </c>
      <c r="L1451" s="12" t="s">
        <v>7256</v>
      </c>
      <c r="M1451" s="13" t="str">
        <f ca="1">IFERROR(__xludf.DUMMYFUNCTION("TRIM(
  REGEXREPLACE(
    TEXTJOIN("" "",
      TRUE,
      B1451,
      C1451,
      embaralharLinks(E1451,F1451,G1451),
      H1451,
      """",
      J1451,
      N1451,
      ""#RIPNSFW""
    ),
  "",\s*"", "" "")
)"),"{New} Savannah Bond https://doodstream.com/d/7idxlhp5j9z6/18950624 https://streamtape.com/v/WgQzv01OrYtRwv/18950624 https://lulustream.com/d/p05prs2m8595 Karmen Karma (2026) #MILF #BigTits #Anal #Hardcore #Gangbang #Black #RIPNSFW")</f>
        <v>{New} Savannah Bond https://doodstream.com/d/7idxlhp5j9z6/18950624 https://streamtape.com/v/WgQzv01OrYtRwv/18950624 https://lulustream.com/d/p05prs2m8595 Karmen Karma (2026) #MILF #BigTits #Anal #Hardcore #Gangbang #Black #RIPNSFW</v>
      </c>
      <c r="N1451" s="14" t="s">
        <v>7257</v>
      </c>
      <c r="O1451" s="15" t="s">
        <v>7258</v>
      </c>
      <c r="P1451" s="14"/>
      <c r="Q1451" s="6"/>
      <c r="R1451" s="11"/>
      <c r="S1451" s="6"/>
      <c r="T1451" s="6"/>
      <c r="U1451" s="6"/>
      <c r="V1451" s="6"/>
      <c r="W1451" s="6"/>
      <c r="X1451" s="6"/>
      <c r="Y1451" s="6"/>
      <c r="Z1451" s="6"/>
      <c r="AA1451" s="6"/>
    </row>
    <row r="1452" spans="1:27" ht="12.75">
      <c r="A1452" s="6" t="s">
        <v>7259</v>
      </c>
      <c r="B1452" s="6" t="s">
        <v>14</v>
      </c>
      <c r="C1452" s="7" t="str">
        <f t="shared" si="20"/>
        <v xml:space="preserve">Savannah Bond </v>
      </c>
      <c r="D1452" s="6" t="s">
        <v>7260</v>
      </c>
      <c r="E1452" s="8" t="s">
        <v>7261</v>
      </c>
      <c r="F1452" s="9" t="str">
        <f ca="1">IFERROR(__xludf.DUMMYFUNCTION("""https://streamtape.com/v/""&amp;
REGEXEXTRACT(O1452,""/thumb/([^/]+)/"")&amp;
""/""&amp;K1452"),"https://streamtape.com/v/Z3Zmjda1zwIqv4G/19013131")</f>
        <v>https://streamtape.com/v/Z3Zmjda1zwIqv4G/19013131</v>
      </c>
      <c r="G1452" s="10" t="e">
        <f t="shared" ca="1" si="21"/>
        <v>#NAME?</v>
      </c>
      <c r="H1452" s="11" t="str">
        <f ca="1">IFERROR(__xludf.DUMMYFUNCTION("IFERROR(SUBSTITUTE(SUBSTITUTE(REGEXEXTRACT(A1452, ""[^-]+- [^-]+- [^-]+ - (.+?)\.jpg""), "".jpg"", """"), ""-"", "", ""), """")"),"")</f>
        <v/>
      </c>
      <c r="I1452" s="6"/>
      <c r="J1452" s="7" t="str">
        <f t="shared" ca="1" si="22"/>
        <v>(2026)</v>
      </c>
      <c r="K1452" s="7" t="str">
        <f t="shared" si="23"/>
        <v>19013131</v>
      </c>
      <c r="L1452" s="12" t="s">
        <v>7262</v>
      </c>
      <c r="M1452" s="13" t="str">
        <f ca="1">IFERROR(__xludf.DUMMYFUNCTION("TRIM(
  REGEXREPLACE(
    TEXTJOIN("" "",
      TRUE,
      B1452,
      C1452,
      embaralharLinks(E1452,F1452,G1452),
      H1452,
      """",
      J1452,
      N1452,
      ""#RIPNSFW""
    ),
  "",\s*"", "" "")
)"),"#ERROR!")</f>
        <v>#ERROR!</v>
      </c>
      <c r="N1452" s="14" t="s">
        <v>7263</v>
      </c>
      <c r="O1452" s="15" t="s">
        <v>7264</v>
      </c>
      <c r="P1452" s="14"/>
      <c r="Q1452" s="6"/>
      <c r="R1452" s="11"/>
      <c r="S1452" s="6"/>
      <c r="T1452" s="6"/>
      <c r="U1452" s="6"/>
      <c r="V1452" s="6"/>
      <c r="W1452" s="6"/>
      <c r="X1452" s="6"/>
      <c r="Y1452" s="6"/>
      <c r="Z1452" s="6"/>
      <c r="AA1452" s="6"/>
    </row>
    <row r="1453" spans="1:27" ht="12.75">
      <c r="A1453" s="6" t="s">
        <v>7265</v>
      </c>
      <c r="B1453" s="6" t="s">
        <v>14</v>
      </c>
      <c r="C1453" s="7" t="str">
        <f t="shared" si="20"/>
        <v xml:space="preserve">Savannah Bond </v>
      </c>
      <c r="D1453" s="6" t="s">
        <v>7266</v>
      </c>
      <c r="E1453" s="8" t="s">
        <v>7267</v>
      </c>
      <c r="F1453" s="9" t="str">
        <f ca="1">IFERROR(__xludf.DUMMYFUNCTION("""https://streamtape.com/v/""&amp;
REGEXEXTRACT(O1453,""/thumb/([^/]+)/"")&amp;
""/""&amp;K1453"),"https://streamtape.com/v/p23DeOgDkZtx7L/19263135")</f>
        <v>https://streamtape.com/v/p23DeOgDkZtx7L/19263135</v>
      </c>
      <c r="G1453" s="10" t="e">
        <f t="shared" ca="1" si="21"/>
        <v>#NAME?</v>
      </c>
      <c r="H1453" s="11" t="str">
        <f ca="1">IFERROR(__xludf.DUMMYFUNCTION("IFERROR(SUBSTITUTE(SUBSTITUTE(REGEXEXTRACT(A1453, ""[^-]+- [^-]+- [^-]+ - (.+?)\.jpg""), "".jpg"", """"), ""-"", "", ""), """")"),"")</f>
        <v/>
      </c>
      <c r="I1453" s="6"/>
      <c r="J1453" s="7" t="str">
        <f t="shared" ca="1" si="22"/>
        <v>(2026)</v>
      </c>
      <c r="K1453" s="7" t="str">
        <f t="shared" si="23"/>
        <v>19263135</v>
      </c>
      <c r="L1453" s="12" t="s">
        <v>7268</v>
      </c>
      <c r="M1453" s="13" t="str">
        <f ca="1">IFERROR(__xludf.DUMMYFUNCTION("TRIM(
  REGEXREPLACE(
    TEXTJOIN("" "",
      TRUE,
      B1453,
      C1453,
      embaralharLinks(E1453,F1453,G1453),
      H1453,
      """",
      J1453,
      N1453,
      ""#RIPNSFW""
    ),
  "",\s*"", "" "")
)"),"{New} Savannah Bond https://doodstream.com/d/ge1mbyl3zs88/19263135 https://streamtape.com/v/p23DeOgDkZtx7L/19263135 https://lulustream.com/d/lmitk4e3w1kn (2026) #Anal #MILF #BigTits #Hardcore #RIPNSFW")</f>
        <v>{New} Savannah Bond https://doodstream.com/d/ge1mbyl3zs88/19263135 https://streamtape.com/v/p23DeOgDkZtx7L/19263135 https://lulustream.com/d/lmitk4e3w1kn (2026) #Anal #MILF #BigTits #Hardcore #RIPNSFW</v>
      </c>
      <c r="N1453" s="14" t="s">
        <v>72</v>
      </c>
      <c r="O1453" s="15" t="s">
        <v>7269</v>
      </c>
      <c r="P1453" s="14"/>
      <c r="Q1453" s="6"/>
      <c r="R1453" s="11"/>
      <c r="S1453" s="6"/>
      <c r="T1453" s="6"/>
      <c r="U1453" s="6"/>
      <c r="V1453" s="6"/>
      <c r="W1453" s="6"/>
      <c r="X1453" s="6"/>
      <c r="Y1453" s="6"/>
      <c r="Z1453" s="6"/>
      <c r="AA1453" s="6"/>
    </row>
    <row r="1454" spans="1:27" ht="12.75">
      <c r="A1454" s="6" t="s">
        <v>7270</v>
      </c>
      <c r="B1454" s="6" t="s">
        <v>14</v>
      </c>
      <c r="C1454" s="7" t="str">
        <f t="shared" si="20"/>
        <v xml:space="preserve">Savannah Bond </v>
      </c>
      <c r="D1454" s="6" t="s">
        <v>7271</v>
      </c>
      <c r="E1454" s="8" t="s">
        <v>7272</v>
      </c>
      <c r="F1454" s="9" t="str">
        <f ca="1">IFERROR(__xludf.DUMMYFUNCTION("""https://streamtape.com/v/""&amp;
REGEXEXTRACT(O1454,""/thumb/([^/]+)/"")&amp;
""/""&amp;K1454"),"https://streamtape.com/v/617LZ6rzZOt9yAx/19386008")</f>
        <v>https://streamtape.com/v/617LZ6rzZOt9yAx/19386008</v>
      </c>
      <c r="G1454" s="10" t="e">
        <f t="shared" ca="1" si="21"/>
        <v>#NAME?</v>
      </c>
      <c r="H1454" s="11" t="str">
        <f ca="1">IFERROR(__xludf.DUMMYFUNCTION("IFERROR(SUBSTITUTE(SUBSTITUTE(REGEXEXTRACT(A1454, ""[^-]+- [^-]+- [^-]+ - (.+?)\.jpg""), "".jpg"", """"), ""-"", "", ""), """")"),"")</f>
        <v/>
      </c>
      <c r="I1454" s="6"/>
      <c r="J1454" s="7" t="str">
        <f t="shared" ca="1" si="22"/>
        <v>(2026)</v>
      </c>
      <c r="K1454" s="7" t="str">
        <f t="shared" si="23"/>
        <v>19386008</v>
      </c>
      <c r="L1454" s="12" t="s">
        <v>1473</v>
      </c>
      <c r="M1454" s="13" t="str">
        <f ca="1">IFERROR(__xludf.DUMMYFUNCTION("TRIM(
  REGEXREPLACE(
    TEXTJOIN("" "",
      TRUE,
      B1454,
      C1454,
      embaralharLinks(E1454,F1454,G1454),
      H1454,
      """",
      J1454,
      N1454,
      ""#RIPNSFW""
    ),
  "",\s*"", "" "")
)"),"{New} Savannah Bond https://streamtape.com/v/617LZ6rzZOt9yAx/19386008 https://lulustream.com/d/kosdc06ich3i https://doodstream.com/d/51gjunkvk8fs/19386008 (2026) #MILF #BigTits #Hardcore #Bigass #Porn #Blowjob #Deepthroat #Blonde #RIPNSFW")</f>
        <v>{New} Savannah Bond https://streamtape.com/v/617LZ6rzZOt9yAx/19386008 https://lulustream.com/d/kosdc06ich3i https://doodstream.com/d/51gjunkvk8fs/19386008 (2026) #MILF #BigTits #Hardcore #Bigass #Porn #Blowjob #Deepthroat #Blonde #RIPNSFW</v>
      </c>
      <c r="N1454" s="14" t="s">
        <v>7273</v>
      </c>
      <c r="O1454" s="15" t="s">
        <v>7274</v>
      </c>
      <c r="P1454" s="14"/>
      <c r="Q1454" s="6"/>
      <c r="R1454" s="11"/>
      <c r="S1454" s="6"/>
      <c r="T1454" s="6"/>
      <c r="U1454" s="6"/>
      <c r="V1454" s="6"/>
      <c r="W1454" s="6"/>
      <c r="X1454" s="6"/>
      <c r="Y1454" s="6"/>
      <c r="Z1454" s="6"/>
      <c r="AA1454" s="6"/>
    </row>
    <row r="1455" spans="1:27" ht="12.75">
      <c r="A1455" s="6" t="s">
        <v>7275</v>
      </c>
      <c r="B1455" s="6" t="s">
        <v>14</v>
      </c>
      <c r="C1455" s="7" t="str">
        <f t="shared" si="20"/>
        <v xml:space="preserve">Savannah Bond </v>
      </c>
      <c r="D1455" s="6" t="s">
        <v>7276</v>
      </c>
      <c r="E1455" s="8" t="s">
        <v>7277</v>
      </c>
      <c r="F1455" s="9" t="str">
        <f ca="1">IFERROR(__xludf.DUMMYFUNCTION("""https://streamtape.com/v/""&amp;
REGEXEXTRACT(O1455,""/thumb/([^/]+)/"")&amp;
""/""&amp;K1455"),"https://streamtape.com/v/8VQzld71OlfMwe/20430624")</f>
        <v>https://streamtape.com/v/8VQzld71OlfMwe/20430624</v>
      </c>
      <c r="G1455" s="10" t="e">
        <f t="shared" ca="1" si="21"/>
        <v>#NAME?</v>
      </c>
      <c r="H1455" s="11" t="str">
        <f ca="1">IFERROR(__xludf.DUMMYFUNCTION("IFERROR(SUBSTITUTE(SUBSTITUTE(REGEXEXTRACT(A1455, ""[^-]+- [^-]+- [^-]+ - (.+?)\.jpg""), "".jpg"", """"), ""-"", "", ""), """")"),"")</f>
        <v/>
      </c>
      <c r="I1455" s="6"/>
      <c r="J1455" s="7" t="str">
        <f t="shared" ca="1" si="22"/>
        <v>(2026)</v>
      </c>
      <c r="K1455" s="7" t="str">
        <f t="shared" si="23"/>
        <v>20430624</v>
      </c>
      <c r="L1455" s="12" t="s">
        <v>1473</v>
      </c>
      <c r="M1455" s="13" t="str">
        <f ca="1">IFERROR(__xludf.DUMMYFUNCTION("TRIM(
  REGEXREPLACE(
    TEXTJOIN("" "",
      TRUE,
      B1455,
      C1455,
      embaralharLinks(E1455,F1455,G1455),
      H1455,
      """",
      J1455,
      N1455,
      ""#RIPNSFW""
    ),
  "",\s*"", "" "")
)"),"{New} Savannah Bond https://doodstream.com/d/00cun6ckzaa3/20430624 https://streamtape.com/v/8VQzld71OlfMwe/20430624 https://lulustream.com/d/2d3r2zregdwz (2026) #MILF #BigTits #Hardcore #Bigass #Porn #RIPNSFW")</f>
        <v>{New} Savannah Bond https://doodstream.com/d/00cun6ckzaa3/20430624 https://streamtape.com/v/8VQzld71OlfMwe/20430624 https://lulustream.com/d/2d3r2zregdwz (2026) #MILF #BigTits #Hardcore #Bigass #Porn #RIPNSFW</v>
      </c>
      <c r="N1455" s="14" t="s">
        <v>1180</v>
      </c>
      <c r="O1455" s="15" t="s">
        <v>7278</v>
      </c>
      <c r="P1455" s="14"/>
      <c r="Q1455" s="6"/>
      <c r="R1455" s="11"/>
      <c r="S1455" s="6"/>
      <c r="T1455" s="6"/>
      <c r="U1455" s="6"/>
      <c r="V1455" s="6"/>
      <c r="W1455" s="6"/>
      <c r="X1455" s="6"/>
      <c r="Y1455" s="6"/>
      <c r="Z1455" s="6"/>
      <c r="AA1455" s="6"/>
    </row>
    <row r="1456" spans="1:27" ht="12.75">
      <c r="A1456" s="8" t="s">
        <v>7279</v>
      </c>
      <c r="B1456" s="6" t="s">
        <v>14</v>
      </c>
      <c r="C1456" s="7" t="str">
        <f t="shared" si="20"/>
        <v xml:space="preserve">Savannah Bond </v>
      </c>
      <c r="D1456" s="6" t="s">
        <v>7280</v>
      </c>
      <c r="E1456" s="8" t="s">
        <v>7281</v>
      </c>
      <c r="F1456" s="9" t="str">
        <f ca="1">IFERROR(__xludf.DUMMYFUNCTION("""https://streamtape.com/v/""&amp;
REGEXEXTRACT(O1456,""/thumb/([^/]+)/"")&amp;
""/""&amp;K1456"),"https://streamtape.com/v/K4kB2edx9QCzyb/21784907")</f>
        <v>https://streamtape.com/v/K4kB2edx9QCzyb/21784907</v>
      </c>
      <c r="G1456" s="10" t="e">
        <f t="shared" ca="1" si="21"/>
        <v>#NAME?</v>
      </c>
      <c r="H1456" s="11" t="str">
        <f ca="1">IFERROR(__xludf.DUMMYFUNCTION("IFERROR(SUBSTITUTE(SUBSTITUTE(REGEXEXTRACT(A1456, ""[^-]+- [^-]+- [^-]+ - (.+?)\.jpg""), "".jpg"", """"), ""-"", "", ""), """")"),"")</f>
        <v/>
      </c>
      <c r="I1456" s="6"/>
      <c r="J1456" s="7" t="str">
        <f t="shared" ca="1" si="22"/>
        <v>(2026)</v>
      </c>
      <c r="K1456" s="7" t="str">
        <f t="shared" si="23"/>
        <v>21784907</v>
      </c>
      <c r="L1456" s="12" t="s">
        <v>7282</v>
      </c>
      <c r="M1456" s="13" t="str">
        <f ca="1">IFERROR(__xludf.DUMMYFUNCTION("TRIM(
  REGEXREPLACE(
    TEXTJOIN("" "",
      TRUE,
      B1456,
      C1456,
      embaralharLinks(E1456,F1456,G1456),
      H1456,
      """",
      J1456,
      N1456,
      ""#RIPNSFW""
    ),
  "",\s*"", "" "")
)"),"{New} Savannah Bond https://doodstream.com/d/w9loxc4ka2x0/21784907 https://lulustream.com/d/ou26pn1ti8y3 https://streamtape.com/v/K4kB2edx9QCzyb/21784907 (2026) #Anal #MILF #BigTits #Hardcore #Bigass #Porn #Blowjob #Blonde #RIPNSFW")</f>
        <v>{New} Savannah Bond https://doodstream.com/d/w9loxc4ka2x0/21784907 https://lulustream.com/d/ou26pn1ti8y3 https://streamtape.com/v/K4kB2edx9QCzyb/21784907 (2026) #Anal #MILF #BigTits #Hardcore #Bigass #Porn #Blowjob #Blonde #RIPNSFW</v>
      </c>
      <c r="N1456" s="14" t="s">
        <v>7283</v>
      </c>
      <c r="O1456" s="15" t="s">
        <v>7284</v>
      </c>
      <c r="P1456" s="14"/>
      <c r="Q1456" s="6"/>
      <c r="R1456" s="11"/>
      <c r="S1456" s="6"/>
      <c r="T1456" s="6"/>
      <c r="U1456" s="6"/>
      <c r="V1456" s="6"/>
      <c r="W1456" s="6"/>
      <c r="X1456" s="6"/>
      <c r="Y1456" s="6"/>
      <c r="Z1456" s="6"/>
      <c r="AA1456" s="6"/>
    </row>
    <row r="1457" spans="1:27" ht="12.75">
      <c r="A1457" s="6" t="s">
        <v>7285</v>
      </c>
      <c r="B1457" s="6" t="s">
        <v>14</v>
      </c>
      <c r="C1457" s="7" t="str">
        <f t="shared" si="20"/>
        <v xml:space="preserve">Savannah Bond </v>
      </c>
      <c r="D1457" s="6" t="s">
        <v>7286</v>
      </c>
      <c r="E1457" s="8" t="s">
        <v>7287</v>
      </c>
      <c r="F1457" s="9" t="str">
        <f ca="1">IFERROR(__xludf.DUMMYFUNCTION("""https://streamtape.com/v/""&amp;
REGEXEXTRACT(O1457,""/thumb/([^/]+)/"")&amp;
""/""&amp;K1457"),"https://streamtape.com/v/9od1gjjaOkIagvA/23178348")</f>
        <v>https://streamtape.com/v/9od1gjjaOkIagvA/23178348</v>
      </c>
      <c r="G1457" s="10" t="e">
        <f t="shared" ca="1" si="21"/>
        <v>#NAME?</v>
      </c>
      <c r="H1457" s="11" t="str">
        <f ca="1">IFERROR(__xludf.DUMMYFUNCTION("IFERROR(SUBSTITUTE(SUBSTITUTE(REGEXEXTRACT(A1457, ""[^-]+- [^-]+- [^-]+ - (.+?)\.jpg""), "".jpg"", """"), ""-"", "", ""), """")"),"Kayley Gunner")</f>
        <v>Kayley Gunner</v>
      </c>
      <c r="I1457" s="6"/>
      <c r="J1457" s="7" t="str">
        <f t="shared" ca="1" si="22"/>
        <v>(2026)</v>
      </c>
      <c r="K1457" s="7" t="str">
        <f t="shared" si="23"/>
        <v>23178348</v>
      </c>
      <c r="L1457" s="12" t="s">
        <v>7288</v>
      </c>
      <c r="M1457" s="13" t="str">
        <f ca="1">IFERROR(__xludf.DUMMYFUNCTION("TRIM(
  REGEXREPLACE(
    TEXTJOIN("" "",
      TRUE,
      B1457,
      C1457,
      embaralharLinks(E1457,F1457,G1457),
      H1457,
      """",
      J1457,
      N1457,
      ""#RIPNSFW""
    ),
  "",\s*"", "" "")
)"),"{New} Savannah Bond https://doodstream.com/d/5giq7l1mdukj/23178348 https://streamtape.com/v/9od1gjjaOkIagvA/23178348 https://lulustream.com/d/y9onmiw165r7 Kayley Gunner (2026) #MILF #BigTits #Hardcore #Black #Threesome #Interracial #RIPNSFW")</f>
        <v>{New} Savannah Bond https://doodstream.com/d/5giq7l1mdukj/23178348 https://streamtape.com/v/9od1gjjaOkIagvA/23178348 https://lulustream.com/d/y9onmiw165r7 Kayley Gunner (2026) #MILF #BigTits #Hardcore #Black #Threesome #Interracial #RIPNSFW</v>
      </c>
      <c r="N1457" s="14" t="s">
        <v>5399</v>
      </c>
      <c r="O1457" s="15" t="s">
        <v>7289</v>
      </c>
      <c r="P1457" s="14"/>
      <c r="Q1457" s="6"/>
      <c r="R1457" s="11"/>
      <c r="S1457" s="6"/>
      <c r="T1457" s="6"/>
      <c r="U1457" s="6"/>
      <c r="V1457" s="6"/>
      <c r="W1457" s="6"/>
      <c r="X1457" s="6"/>
      <c r="Y1457" s="6"/>
      <c r="Z1457" s="6"/>
      <c r="AA1457" s="6"/>
    </row>
    <row r="1458" spans="1:27" ht="12.75">
      <c r="A1458" s="6" t="s">
        <v>7290</v>
      </c>
      <c r="B1458" s="6" t="s">
        <v>14</v>
      </c>
      <c r="C1458" s="7" t="str">
        <f t="shared" si="20"/>
        <v xml:space="preserve">Savannah Bond </v>
      </c>
      <c r="D1458" s="6" t="s">
        <v>7291</v>
      </c>
      <c r="E1458" s="8" t="s">
        <v>7292</v>
      </c>
      <c r="F1458" s="9" t="str">
        <f ca="1">IFERROR(__xludf.DUMMYFUNCTION("""https://streamtape.com/v/""&amp;
REGEXEXTRACT(O1458,""/thumb/([^/]+)/"")&amp;
""/""&amp;K1458"),"https://streamtape.com/v/xqw22mk6GxUkMA0/28300660")</f>
        <v>https://streamtape.com/v/xqw22mk6GxUkMA0/28300660</v>
      </c>
      <c r="G1458" s="10" t="e">
        <f t="shared" ca="1" si="21"/>
        <v>#NAME?</v>
      </c>
      <c r="H1458" s="11" t="str">
        <f ca="1">IFERROR(__xludf.DUMMYFUNCTION("IFERROR(SUBSTITUTE(SUBSTITUTE(REGEXEXTRACT(A1458, ""[^-]+- [^-]+- [^-]+ - (.+?)\.jpg""), "".jpg"", """"), ""-"", "", ""), """")"),"")</f>
        <v/>
      </c>
      <c r="I1458" s="6"/>
      <c r="J1458" s="7" t="str">
        <f t="shared" ca="1" si="22"/>
        <v>(2026)</v>
      </c>
      <c r="K1458" s="7" t="str">
        <f t="shared" si="23"/>
        <v>28300660</v>
      </c>
      <c r="L1458" s="12" t="s">
        <v>7293</v>
      </c>
      <c r="M1458" s="13" t="str">
        <f ca="1">IFERROR(__xludf.DUMMYFUNCTION("TRIM(
  REGEXREPLACE(
    TEXTJOIN("" "",
      TRUE,
      B1458,
      C1458,
      embaralharLinks(E1458,F1458,G1458),
      H1458,
      """",
      J1458,
      N1458,
      ""#RIPNSFW""
    ),
  "",\s*"", "" "")
)"),"{New} Savannah Bond https://doodstream.com/d/5jndcx6nlr7g/28300660 https://streamtape.com/v/xqw22mk6GxUkMA0/28300660 https://lulustream.com/d/t6jfku3p7hr0 (2026) #MILF #BigTits #Creampie #Hardcore #RIPNSFW")</f>
        <v>{New} Savannah Bond https://doodstream.com/d/5jndcx6nlr7g/28300660 https://streamtape.com/v/xqw22mk6GxUkMA0/28300660 https://lulustream.com/d/t6jfku3p7hr0 (2026) #MILF #BigTits #Creampie #Hardcore #RIPNSFW</v>
      </c>
      <c r="N1458" s="14" t="s">
        <v>474</v>
      </c>
      <c r="O1458" s="15" t="s">
        <v>7294</v>
      </c>
      <c r="P1458" s="14"/>
      <c r="Q1458" s="6"/>
      <c r="R1458" s="11"/>
      <c r="S1458" s="6"/>
      <c r="T1458" s="6"/>
      <c r="U1458" s="6"/>
      <c r="V1458" s="6"/>
      <c r="W1458" s="6"/>
      <c r="X1458" s="6"/>
      <c r="Y1458" s="6"/>
      <c r="Z1458" s="6"/>
      <c r="AA1458" s="6"/>
    </row>
    <row r="1459" spans="1:27" ht="12.75">
      <c r="A1459" s="6" t="s">
        <v>7295</v>
      </c>
      <c r="B1459" s="6" t="s">
        <v>14</v>
      </c>
      <c r="C1459" s="7" t="str">
        <f t="shared" si="20"/>
        <v xml:space="preserve">Savannah Bond </v>
      </c>
      <c r="D1459" s="6" t="s">
        <v>7296</v>
      </c>
      <c r="E1459" s="8" t="s">
        <v>7297</v>
      </c>
      <c r="F1459" s="9" t="str">
        <f ca="1">IFERROR(__xludf.DUMMYFUNCTION("""https://streamtape.com/v/""&amp;
REGEXEXTRACT(O1459,""/thumb/([^/]+)/"")&amp;
""/""&amp;K1459"),"https://streamtape.com/v/2bo7BmB37pUZbgD/28374263")</f>
        <v>https://streamtape.com/v/2bo7BmB37pUZbgD/28374263</v>
      </c>
      <c r="G1459" s="10" t="e">
        <f t="shared" ca="1" si="21"/>
        <v>#NAME?</v>
      </c>
      <c r="H1459" s="11" t="str">
        <f ca="1">IFERROR(__xludf.DUMMYFUNCTION("IFERROR(SUBSTITUTE(SUBSTITUTE(REGEXEXTRACT(A1459, ""[^-]+- [^-]+- [^-]+ - (.+?)\.jpg""), "".jpg"", """"), ""-"", "", ""), """")"),"")</f>
        <v/>
      </c>
      <c r="I1459" s="6"/>
      <c r="J1459" s="7" t="str">
        <f t="shared" ca="1" si="22"/>
        <v>(2026)</v>
      </c>
      <c r="K1459" s="7" t="str">
        <f t="shared" si="23"/>
        <v>28374263</v>
      </c>
      <c r="L1459" s="12" t="s">
        <v>7298</v>
      </c>
      <c r="M1459" s="13" t="str">
        <f ca="1">IFERROR(__xludf.DUMMYFUNCTION("TRIM(
  REGEXREPLACE(
    TEXTJOIN("" "",
      TRUE,
      B1459,
      C1459,
      embaralharLinks(E1459,F1459,G1459),
      H1459,
      """",
      J1459,
      N1459,
      ""#RIPNSFW""
    ),
  "",\s*"", "" "")
)"),"{New} Savannah Bond https://lulustream.com/d/1jjog133orzl https://doodstream.com/d/zpgemof4bygh/28374263 https://streamtape.com/v/2bo7BmB37pUZbgD/28374263 (2026) #Anal #MILF #BigTits #Hardcore #Bigass #Porn #RIPNSFW")</f>
        <v>{New} Savannah Bond https://lulustream.com/d/1jjog133orzl https://doodstream.com/d/zpgemof4bygh/28374263 https://streamtape.com/v/2bo7BmB37pUZbgD/28374263 (2026) #Anal #MILF #BigTits #Hardcore #Bigass #Porn #RIPNSFW</v>
      </c>
      <c r="N1459" s="14" t="s">
        <v>7299</v>
      </c>
      <c r="O1459" s="15" t="s">
        <v>7300</v>
      </c>
      <c r="P1459" s="14"/>
      <c r="Q1459" s="6"/>
      <c r="R1459" s="11"/>
      <c r="S1459" s="6"/>
      <c r="T1459" s="6"/>
      <c r="U1459" s="6"/>
      <c r="V1459" s="6"/>
      <c r="W1459" s="6"/>
      <c r="X1459" s="6"/>
      <c r="Y1459" s="6"/>
      <c r="Z1459" s="6"/>
      <c r="AA1459" s="6"/>
    </row>
    <row r="1460" spans="1:27" ht="12.75">
      <c r="A1460" s="6" t="s">
        <v>7301</v>
      </c>
      <c r="B1460" s="6" t="s">
        <v>14</v>
      </c>
      <c r="C1460" s="7" t="str">
        <f t="shared" si="20"/>
        <v xml:space="preserve">Savannah Bond </v>
      </c>
      <c r="D1460" s="6" t="s">
        <v>7302</v>
      </c>
      <c r="E1460" s="8" t="s">
        <v>7303</v>
      </c>
      <c r="F1460" s="9" t="str">
        <f ca="1">IFERROR(__xludf.DUMMYFUNCTION("""https://streamtape.com/v/""&amp;
REGEXEXTRACT(O1460,""/thumb/([^/]+)/"")&amp;
""/""&amp;K1460"),"https://streamtape.com/v/VWq8QAaGAbtxmv/28964799")</f>
        <v>https://streamtape.com/v/VWq8QAaGAbtxmv/28964799</v>
      </c>
      <c r="G1460" s="10" t="e">
        <f t="shared" ca="1" si="21"/>
        <v>#NAME?</v>
      </c>
      <c r="H1460" s="11" t="str">
        <f ca="1">IFERROR(__xludf.DUMMYFUNCTION("IFERROR(SUBSTITUTE(SUBSTITUTE(REGEXEXTRACT(A1460, ""[^-]+- [^-]+- [^-]+ - (.+?)\.jpg""), "".jpg"", """"), ""-"", "", ""), """")"),"")</f>
        <v/>
      </c>
      <c r="I1460" s="6"/>
      <c r="J1460" s="7" t="str">
        <f t="shared" ca="1" si="22"/>
        <v>(2026)</v>
      </c>
      <c r="K1460" s="7" t="str">
        <f t="shared" si="23"/>
        <v>28964799</v>
      </c>
      <c r="L1460" s="12" t="s">
        <v>1409</v>
      </c>
      <c r="M1460" s="13" t="str">
        <f ca="1">IFERROR(__xludf.DUMMYFUNCTION("TRIM(
  REGEXREPLACE(
    TEXTJOIN("" "",
      TRUE,
      B1460,
      C1460,
      embaralharLinks(E1460,F1460,G1460),
      H1460,
      """",
      J1460,
      N1460,
      ""#RIPNSFW""
    ),
  "",\s*"", "" "")
)"),"{New} Savannah Bond https://lulustream.com/d/y4p7zjfpgz6h https://doodstream.com/d/qv0q40asfab0/28964799 https://streamtape.com/v/VWq8QAaGAbtxmv/28964799 (2026) #MILF #BigTits #Hardcore #Bigass #Blowjob #Amateur #RIPNSFW")</f>
        <v>{New} Savannah Bond https://lulustream.com/d/y4p7zjfpgz6h https://doodstream.com/d/qv0q40asfab0/28964799 https://streamtape.com/v/VWq8QAaGAbtxmv/28964799 (2026) #MILF #BigTits #Hardcore #Bigass #Blowjob #Amateur #RIPNSFW</v>
      </c>
      <c r="N1460" s="14" t="s">
        <v>999</v>
      </c>
      <c r="O1460" s="15" t="s">
        <v>7304</v>
      </c>
      <c r="P1460" s="14"/>
      <c r="Q1460" s="6"/>
      <c r="R1460" s="11"/>
      <c r="S1460" s="6"/>
      <c r="T1460" s="6"/>
      <c r="U1460" s="6"/>
      <c r="V1460" s="6"/>
      <c r="W1460" s="6"/>
      <c r="X1460" s="6"/>
      <c r="Y1460" s="6"/>
      <c r="Z1460" s="6"/>
      <c r="AA1460" s="6"/>
    </row>
    <row r="1461" spans="1:27" ht="12.75">
      <c r="A1461" s="12" t="s">
        <v>7305</v>
      </c>
      <c r="B1461" s="6" t="s">
        <v>14</v>
      </c>
      <c r="C1461" s="7" t="str">
        <f t="shared" si="20"/>
        <v xml:space="preserve">Savannah Bond </v>
      </c>
      <c r="D1461" s="24" t="s">
        <v>7306</v>
      </c>
      <c r="E1461" s="25" t="s">
        <v>7307</v>
      </c>
      <c r="F1461" s="9" t="str">
        <f ca="1">IFERROR(__xludf.DUMMYFUNCTION("""https://streamtape.com/v/""&amp;
REGEXEXTRACT(O1461,""/thumb/([^/]+)/"")&amp;
""/""&amp;K1461"),"https://streamtape.com/v/BPLrYxXMewsyOOX/31486715")</f>
        <v>https://streamtape.com/v/BPLrYxXMewsyOOX/31486715</v>
      </c>
      <c r="G1461" s="10" t="e">
        <f t="shared" ca="1" si="21"/>
        <v>#NAME?</v>
      </c>
      <c r="H1461" s="11" t="str">
        <f ca="1">IFERROR(__xludf.DUMMYFUNCTION("IFERROR(SUBSTITUTE(SUBSTITUTE(REGEXEXTRACT(A1461, ""[^-]+- [^-]+- [^-]+ - (.+?)\.jpg""), "".jpg"", """"), ""-"", "", ""), """")"),"Ivy Lebelle")</f>
        <v>Ivy Lebelle</v>
      </c>
      <c r="I1461" s="6"/>
      <c r="J1461" s="7" t="str">
        <f t="shared" ca="1" si="22"/>
        <v>(2026)</v>
      </c>
      <c r="K1461" s="7" t="str">
        <f t="shared" si="23"/>
        <v>31486715</v>
      </c>
      <c r="L1461" s="12" t="s">
        <v>1711</v>
      </c>
      <c r="M1461" s="13" t="str">
        <f ca="1">IFERROR(__xludf.DUMMYFUNCTION("TRIM(
  REGEXREPLACE(
    TEXTJOIN("" "",
      TRUE,
      B1461,
      C1461,
      embaralharLinks(E1461,F1461,G1461),
      H1461,
      """",
      J1461,
      N1461,
      ""#RIPNSFW""
    ),
  "",\s*"", "" "")
)"),"{New} Savannah Bond https://lulustream.com/d/b1wjgobzhwaa https://doodstream.com/d/1y8hwuskzhbb/31486715 https://streamtape.com/v/BPLrYxXMewsyOOX/31486715 Ivy Lebelle (2026) #milf #bigass #bigtits #blowjob #RIPNSFW")</f>
        <v>{New} Savannah Bond https://lulustream.com/d/b1wjgobzhwaa https://doodstream.com/d/1y8hwuskzhbb/31486715 https://streamtape.com/v/BPLrYxXMewsyOOX/31486715 Ivy Lebelle (2026) #milf #bigass #bigtits #blowjob #RIPNSFW</v>
      </c>
      <c r="N1461" s="2" t="s">
        <v>1711</v>
      </c>
      <c r="O1461" s="30" t="s">
        <v>7308</v>
      </c>
      <c r="P1461" s="26"/>
      <c r="R1461" s="23"/>
      <c r="T1461" s="6"/>
      <c r="U1461" s="7"/>
    </row>
    <row r="1462" spans="1:27" ht="12.75">
      <c r="A1462" s="6" t="s">
        <v>7309</v>
      </c>
      <c r="B1462" s="6" t="s">
        <v>14</v>
      </c>
      <c r="C1462" s="7" t="str">
        <f t="shared" si="20"/>
        <v xml:space="preserve">Savannah Bond </v>
      </c>
      <c r="D1462" s="6" t="s">
        <v>7310</v>
      </c>
      <c r="E1462" s="8" t="s">
        <v>7311</v>
      </c>
      <c r="F1462" s="9" t="str">
        <f ca="1">IFERROR(__xludf.DUMMYFUNCTION("""https://streamtape.com/v/""&amp;
REGEXEXTRACT(O1462,""/thumb/([^/]+)/"")&amp;
""/""&amp;K1462"),"https://streamtape.com/v/8Vlz6zP3ObH6xO/34030239")</f>
        <v>https://streamtape.com/v/8Vlz6zP3ObH6xO/34030239</v>
      </c>
      <c r="G1462" s="10" t="e">
        <f t="shared" ca="1" si="21"/>
        <v>#NAME?</v>
      </c>
      <c r="H1462" s="11" t="str">
        <f ca="1">IFERROR(__xludf.DUMMYFUNCTION("IFERROR(SUBSTITUTE(SUBSTITUTE(REGEXEXTRACT(A1462, ""[^-]+- [^-]+- [^-]+ - (.+?)\.jpg""), "".jpg"", """"), ""-"", "", ""), """")"),"")</f>
        <v/>
      </c>
      <c r="I1462" s="6"/>
      <c r="J1462" s="7" t="str">
        <f t="shared" ca="1" si="22"/>
        <v>(2026)</v>
      </c>
      <c r="K1462" s="7" t="str">
        <f t="shared" si="23"/>
        <v>34030239</v>
      </c>
      <c r="L1462" s="12" t="s">
        <v>7312</v>
      </c>
      <c r="M1462" s="13" t="str">
        <f ca="1">IFERROR(__xludf.DUMMYFUNCTION("TRIM(
  REGEXREPLACE(
    TEXTJOIN("" "",
      TRUE,
      B1462,
      C1462,
      embaralharLinks(E1462,F1462,G1462),
      H1462,
      """",
      J1462,
      N1462,
      ""#RIPNSFW""
    ),
  "",\s*"", "" "")
)"),"{New} Savannah Bond https://doodstream.com/d/ceqc92hn0n3v/34030239 https://streamtape.com/v/8Vlz6zP3ObH6xO/34030239 https://lulustream.com/d/fyznglrpvkjh (2026) #Anal #MILF #BigTits #Hardcore #RIPNSFW")</f>
        <v>{New} Savannah Bond https://doodstream.com/d/ceqc92hn0n3v/34030239 https://streamtape.com/v/8Vlz6zP3ObH6xO/34030239 https://lulustream.com/d/fyznglrpvkjh (2026) #Anal #MILF #BigTits #Hardcore #RIPNSFW</v>
      </c>
      <c r="N1462" s="14" t="s">
        <v>72</v>
      </c>
      <c r="O1462" s="15" t="s">
        <v>7313</v>
      </c>
      <c r="P1462" s="14"/>
      <c r="Q1462" s="6"/>
      <c r="R1462" s="11"/>
      <c r="S1462" s="6"/>
      <c r="T1462" s="6"/>
      <c r="U1462" s="6"/>
      <c r="V1462" s="6"/>
      <c r="W1462" s="6"/>
      <c r="X1462" s="6"/>
      <c r="Y1462" s="6"/>
      <c r="Z1462" s="6"/>
      <c r="AA1462" s="6"/>
    </row>
    <row r="1463" spans="1:27" ht="12.75">
      <c r="A1463" s="12" t="s">
        <v>7314</v>
      </c>
      <c r="B1463" s="6" t="s">
        <v>14</v>
      </c>
      <c r="C1463" s="7" t="str">
        <f t="shared" si="20"/>
        <v xml:space="preserve">Savannah Bond </v>
      </c>
      <c r="D1463" s="27" t="s">
        <v>7315</v>
      </c>
      <c r="E1463" s="28" t="s">
        <v>7316</v>
      </c>
      <c r="F1463" s="9" t="str">
        <f ca="1">IFERROR(__xludf.DUMMYFUNCTION("""https://streamtape.com/v/""&amp;
REGEXEXTRACT(O1463,""/thumb/([^/]+)/"")&amp;
""/""&amp;K1463"),"https://streamtape.com/v/90QyJL2w1vHa23A/34293046")</f>
        <v>https://streamtape.com/v/90QyJL2w1vHa23A/34293046</v>
      </c>
      <c r="G1463" s="10" t="e">
        <f t="shared" ca="1" si="21"/>
        <v>#NAME?</v>
      </c>
      <c r="H1463" s="11" t="str">
        <f ca="1">IFERROR(__xludf.DUMMYFUNCTION("IFERROR(SUBSTITUTE(SUBSTITUTE(REGEXEXTRACT(A1463, ""[^-]+- [^-]+- [^-]+ - (.+?)\.jpg""), "".jpg"", """"), ""-"", "", ""), """")"),"")</f>
        <v/>
      </c>
      <c r="I1463" s="6"/>
      <c r="J1463" s="7" t="str">
        <f t="shared" ca="1" si="22"/>
        <v>(2026)</v>
      </c>
      <c r="K1463" s="7" t="str">
        <f t="shared" si="23"/>
        <v>34293046</v>
      </c>
      <c r="L1463" s="12" t="s">
        <v>71</v>
      </c>
      <c r="M1463" s="13" t="str">
        <f ca="1">IFERROR(__xludf.DUMMYFUNCTION("TRIM(
  REGEXREPLACE(
    TEXTJOIN("" "",
      TRUE,
      B1463,
      C1463,
      embaralharLinks(E1463,F1463,G1463),
      H1463,
      """",
      J1463,
      N1463,
      ""#RIPNSFW""
    ),
  "",\s*"", "" "")
)"),"{New} Savannah Bond https://streamtape.com/v/90QyJL2w1vHa23A/34293046 https://doodstream.com/d/ogmj9kbdejov/34293046 https://lulustream.com/d/4im2r3qlsvlb (2026) #Anal #MILF #BigTits #Hardcore #RIPNSFW")</f>
        <v>{New} Savannah Bond https://streamtape.com/v/90QyJL2w1vHa23A/34293046 https://doodstream.com/d/ogmj9kbdejov/34293046 https://lulustream.com/d/4im2r3qlsvlb (2026) #Anal #MILF #BigTits #Hardcore #RIPNSFW</v>
      </c>
      <c r="N1463" s="2" t="s">
        <v>72</v>
      </c>
      <c r="O1463" s="30" t="s">
        <v>7317</v>
      </c>
      <c r="P1463" s="26"/>
      <c r="R1463" s="23"/>
    </row>
    <row r="1464" spans="1:27" ht="12.75">
      <c r="A1464" s="12" t="s">
        <v>7318</v>
      </c>
      <c r="B1464" s="6" t="s">
        <v>14</v>
      </c>
      <c r="C1464" s="7" t="str">
        <f t="shared" si="20"/>
        <v xml:space="preserve">Savannah Bond </v>
      </c>
      <c r="D1464" s="24" t="s">
        <v>7319</v>
      </c>
      <c r="E1464" s="25" t="s">
        <v>7320</v>
      </c>
      <c r="F1464" s="9" t="str">
        <f ca="1">IFERROR(__xludf.DUMMYFUNCTION("""https://streamtape.com/v/""&amp;
REGEXEXTRACT(O1464,""/thumb/([^/]+)/"")&amp;
""/""&amp;K1464"),"https://streamtape.com/v/JAAd4By082ijMb7/36028697")</f>
        <v>https://streamtape.com/v/JAAd4By082ijMb7/36028697</v>
      </c>
      <c r="G1464" s="10" t="e">
        <f t="shared" ca="1" si="21"/>
        <v>#NAME?</v>
      </c>
      <c r="H1464" s="11" t="str">
        <f ca="1">IFERROR(__xludf.DUMMYFUNCTION("IFERROR(SUBSTITUTE(SUBSTITUTE(REGEXEXTRACT(A1464, ""[^-]+- [^-]+- [^-]+ - (.+?)\.jpg""), "".jpg"", """"), ""-"", "", ""), """")"),"")</f>
        <v/>
      </c>
      <c r="I1464" s="6"/>
      <c r="J1464" s="7" t="str">
        <f t="shared" ca="1" si="22"/>
        <v>(2026)</v>
      </c>
      <c r="K1464" s="7" t="str">
        <f t="shared" si="23"/>
        <v>36028697</v>
      </c>
      <c r="L1464" s="12" t="s">
        <v>1462</v>
      </c>
      <c r="M1464" s="13" t="str">
        <f ca="1">IFERROR(__xludf.DUMMYFUNCTION("TRIM(
  REGEXREPLACE(
    TEXTJOIN("" "",
      TRUE,
      B1464,
      C1464,
      embaralharLinks(E1464,F1464,G1464),
      H1464,
      """",
      J1464,
      N1464,
      ""#RIPNSFW""
    ),
  "",\s*"", "" "")
)"),"{New} Savannah Bond https://streamtape.com/v/JAAd4By082ijMb7/36028697 https://doodstream.com/d/f3xqg7py1p9r/36028697 https://lulustream.com/d/46h5ercu90rv (2026) #milf #bigtits #bigass #blowjob #RIPNSFW")</f>
        <v>{New} Savannah Bond https://streamtape.com/v/JAAd4By082ijMb7/36028697 https://doodstream.com/d/f3xqg7py1p9r/36028697 https://lulustream.com/d/46h5ercu90rv (2026) #milf #bigtits #bigass #blowjob #RIPNSFW</v>
      </c>
      <c r="N1464" s="2" t="s">
        <v>1462</v>
      </c>
      <c r="O1464" s="30" t="s">
        <v>7321</v>
      </c>
      <c r="P1464" s="26"/>
      <c r="R1464" s="23"/>
    </row>
    <row r="1465" spans="1:27" ht="12.75">
      <c r="A1465" s="6" t="s">
        <v>7322</v>
      </c>
      <c r="B1465" s="6" t="s">
        <v>14</v>
      </c>
      <c r="C1465" s="7" t="str">
        <f t="shared" si="20"/>
        <v xml:space="preserve">Savannah Bond </v>
      </c>
      <c r="D1465" s="6" t="s">
        <v>7323</v>
      </c>
      <c r="E1465" s="8" t="s">
        <v>7324</v>
      </c>
      <c r="F1465" s="9" t="str">
        <f ca="1">IFERROR(__xludf.DUMMYFUNCTION("""https://streamtape.com/v/""&amp;
REGEXEXTRACT(O1465,""/thumb/([^/]+)/"")&amp;
""/""&amp;K1465"),"https://streamtape.com/v/pjYXe73OA3ir8gw/41186576")</f>
        <v>https://streamtape.com/v/pjYXe73OA3ir8gw/41186576</v>
      </c>
      <c r="G1465" s="10" t="e">
        <f t="shared" ca="1" si="21"/>
        <v>#NAME?</v>
      </c>
      <c r="H1465" s="11" t="str">
        <f ca="1">IFERROR(__xludf.DUMMYFUNCTION("IFERROR(SUBSTITUTE(SUBSTITUTE(REGEXEXTRACT(A1465, ""[^-]+- [^-]+- [^-]+ - (.+?)\.jpg""), "".jpg"", """"), ""-"", "", ""), """")"),"")</f>
        <v/>
      </c>
      <c r="I1465" s="6"/>
      <c r="J1465" s="7" t="str">
        <f t="shared" ca="1" si="22"/>
        <v>(2026)</v>
      </c>
      <c r="K1465" s="7" t="str">
        <f t="shared" si="23"/>
        <v>41186576</v>
      </c>
      <c r="L1465" s="12" t="s">
        <v>7268</v>
      </c>
      <c r="M1465" s="13" t="str">
        <f ca="1">IFERROR(__xludf.DUMMYFUNCTION("TRIM(
  REGEXREPLACE(
    TEXTJOIN("" "",
      TRUE,
      B1465,
      C1465,
      embaralharLinks(E1465,F1465,G1465),
      H1465,
      """",
      J1465,
      N1465,
      ""#RIPNSFW""
    ),
  "",\s*"", "" "")
)"),"{New} Savannah Bond https://doodstream.com/d/qnv59myynus4/41186576 https://streamtape.com/v/pjYXe73OA3ir8gw/41186576 https://lulustream.com/d/q930to2cylsi (2026) #Anal #MILF #BigTits #Hardcore #Black #Interracial #Bigass #Porn #Blowjob #RIPNSFW")</f>
        <v>{New} Savannah Bond https://doodstream.com/d/qnv59myynus4/41186576 https://streamtape.com/v/pjYXe73OA3ir8gw/41186576 https://lulustream.com/d/q930to2cylsi (2026) #Anal #MILF #BigTits #Hardcore #Black #Interracial #Bigass #Porn #Blowjob #RIPNSFW</v>
      </c>
      <c r="N1465" s="14" t="s">
        <v>7325</v>
      </c>
      <c r="O1465" s="15" t="s">
        <v>7326</v>
      </c>
      <c r="P1465" s="14"/>
      <c r="Q1465" s="6"/>
      <c r="R1465" s="11"/>
      <c r="S1465" s="6"/>
      <c r="T1465" s="6"/>
      <c r="U1465" s="6"/>
      <c r="V1465" s="6"/>
      <c r="W1465" s="6"/>
      <c r="X1465" s="6"/>
      <c r="Y1465" s="6"/>
      <c r="Z1465" s="6"/>
      <c r="AA1465" s="6"/>
    </row>
    <row r="1466" spans="1:27" ht="12.75">
      <c r="A1466" s="6" t="s">
        <v>7327</v>
      </c>
      <c r="B1466" s="6" t="s">
        <v>14</v>
      </c>
      <c r="C1466" s="7" t="str">
        <f t="shared" si="20"/>
        <v xml:space="preserve">Savannah Bond </v>
      </c>
      <c r="D1466" s="6" t="s">
        <v>7328</v>
      </c>
      <c r="E1466" s="8" t="s">
        <v>7329</v>
      </c>
      <c r="F1466" s="9" t="str">
        <f ca="1">IFERROR(__xludf.DUMMYFUNCTION("""https://streamtape.com/v/""&amp;
REGEXEXTRACT(O1466,""/thumb/([^/]+)/"")&amp;
""/""&amp;K1466"),"https://streamtape.com/v/QyzvqpbPXlIyxL/42819858")</f>
        <v>https://streamtape.com/v/QyzvqpbPXlIyxL/42819858</v>
      </c>
      <c r="G1466" s="10" t="e">
        <f t="shared" ca="1" si="21"/>
        <v>#NAME?</v>
      </c>
      <c r="H1466" s="11" t="str">
        <f ca="1">IFERROR(__xludf.DUMMYFUNCTION("IFERROR(SUBSTITUTE(SUBSTITUTE(REGEXEXTRACT(A1466, ""[^-]+- [^-]+- [^-]+ - (.+?)\.jpg""), "".jpg"", """"), ""-"", "", ""), """")"),"Angela White")</f>
        <v>Angela White</v>
      </c>
      <c r="I1466" s="6"/>
      <c r="J1466" s="7" t="str">
        <f t="shared" ca="1" si="22"/>
        <v>(2026)</v>
      </c>
      <c r="K1466" s="7" t="str">
        <f t="shared" si="23"/>
        <v>42819858</v>
      </c>
      <c r="L1466" s="12" t="s">
        <v>7330</v>
      </c>
      <c r="M1466" s="13" t="str">
        <f ca="1">IFERROR(__xludf.DUMMYFUNCTION("TRIM(
  REGEXREPLACE(
    TEXTJOIN("" "",
      TRUE,
      B1466,
      C1466,
      embaralharLinks(E1466,F1466,G1466),
      H1466,
      """",
      J1466,
      N1466,
      ""#RIPNSFW""
    ),
  "",\s*"", "" "")
)"),"{New} Savannah Bond https://lulustream.com/d/io5e1oj393pc https://streamtape.com/v/QyzvqpbPXlIyxL/42819858 https://doodstream.com/d/a86v6h1xjyu5/42819858 Angela White (2026) #Anal #MILF #BigTits #Hardcore #Black #RIPNSFW")</f>
        <v>{New} Savannah Bond https://lulustream.com/d/io5e1oj393pc https://streamtape.com/v/QyzvqpbPXlIyxL/42819858 https://doodstream.com/d/a86v6h1xjyu5/42819858 Angela White (2026) #Anal #MILF #BigTits #Hardcore #Black #RIPNSFW</v>
      </c>
      <c r="N1466" s="14" t="s">
        <v>7331</v>
      </c>
      <c r="O1466" s="15" t="s">
        <v>7332</v>
      </c>
      <c r="P1466" s="14"/>
      <c r="Q1466" s="6"/>
      <c r="R1466" s="11"/>
      <c r="S1466" s="6"/>
      <c r="T1466" s="6"/>
      <c r="U1466" s="6"/>
      <c r="V1466" s="6"/>
      <c r="W1466" s="6"/>
      <c r="X1466" s="6"/>
      <c r="Y1466" s="6"/>
      <c r="Z1466" s="6"/>
      <c r="AA1466" s="6"/>
    </row>
    <row r="1467" spans="1:27" ht="12.75">
      <c r="A1467" s="6" t="s">
        <v>7333</v>
      </c>
      <c r="B1467" s="6" t="s">
        <v>14</v>
      </c>
      <c r="C1467" s="7" t="str">
        <f t="shared" si="20"/>
        <v xml:space="preserve">Savannah Bond </v>
      </c>
      <c r="D1467" s="6" t="s">
        <v>7334</v>
      </c>
      <c r="E1467" s="8" t="s">
        <v>7335</v>
      </c>
      <c r="F1467" s="9" t="str">
        <f ca="1">IFERROR(__xludf.DUMMYFUNCTION("""https://streamtape.com/v/""&amp;
REGEXEXTRACT(O1467,""/thumb/([^/]+)/"")&amp;
""/""&amp;K1467"),"https://streamtape.com/v/wOBgOWVrG3SJOzB/43572884")</f>
        <v>https://streamtape.com/v/wOBgOWVrG3SJOzB/43572884</v>
      </c>
      <c r="G1467" s="10" t="e">
        <f t="shared" ca="1" si="21"/>
        <v>#NAME?</v>
      </c>
      <c r="H1467" s="11" t="str">
        <f ca="1">IFERROR(__xludf.DUMMYFUNCTION("IFERROR(SUBSTITUTE(SUBSTITUTE(REGEXEXTRACT(A1467, ""[^-]+- [^-]+- [^-]+ - (.+?)\.jpg""), "".jpg"", """"), ""-"", "", ""), """")"),"Angel Youngs")</f>
        <v>Angel Youngs</v>
      </c>
      <c r="I1467" s="6"/>
      <c r="J1467" s="7" t="str">
        <f t="shared" ca="1" si="22"/>
        <v>(2026)</v>
      </c>
      <c r="K1467" s="7" t="str">
        <f t="shared" si="23"/>
        <v>43572884</v>
      </c>
      <c r="L1467" s="12" t="s">
        <v>7336</v>
      </c>
      <c r="M1467" s="13" t="str">
        <f ca="1">IFERROR(__xludf.DUMMYFUNCTION("TRIM(
  REGEXREPLACE(
    TEXTJOIN("" "",
      TRUE,
      B1467,
      C1467,
      embaralharLinks(E1467,F1467,G1467),
      H1467,
      """",
      J1467,
      N1467,
      ""#RIPNSFW""
    ),
  "",\s*"", "" "")
)"),"{New} Savannah Bond https://streamtape.com/v/wOBgOWVrG3SJOzB/43572884 https://lulustream.com/d/5gu1gqc3qol5 https://doodstream.com/d/43x2ufnbn0h9/43572884 Angel Youngs (2026) #MILF #BigTits #Hardcore #Threesome #Bigass #RIPNSFW")</f>
        <v>{New} Savannah Bond https://streamtape.com/v/wOBgOWVrG3SJOzB/43572884 https://lulustream.com/d/5gu1gqc3qol5 https://doodstream.com/d/43x2ufnbn0h9/43572884 Angel Youngs (2026) #MILF #BigTits #Hardcore #Threesome #Bigass #RIPNSFW</v>
      </c>
      <c r="N1467" s="14" t="s">
        <v>1706</v>
      </c>
      <c r="O1467" s="15" t="s">
        <v>7337</v>
      </c>
      <c r="P1467" s="14"/>
      <c r="Q1467" s="6"/>
      <c r="R1467" s="11"/>
      <c r="S1467" s="6"/>
      <c r="T1467" s="6"/>
      <c r="U1467" s="6"/>
      <c r="V1467" s="6"/>
      <c r="W1467" s="6"/>
      <c r="X1467" s="6"/>
      <c r="Y1467" s="6"/>
      <c r="Z1467" s="6"/>
      <c r="AA1467" s="6"/>
    </row>
    <row r="1468" spans="1:27" ht="12.75">
      <c r="A1468" s="12" t="s">
        <v>7338</v>
      </c>
      <c r="B1468" s="6" t="s">
        <v>14</v>
      </c>
      <c r="C1468" s="7" t="str">
        <f t="shared" si="20"/>
        <v xml:space="preserve">Savannah Bond </v>
      </c>
      <c r="D1468" s="24" t="s">
        <v>7339</v>
      </c>
      <c r="E1468" s="25" t="s">
        <v>7340</v>
      </c>
      <c r="F1468" s="9" t="str">
        <f ca="1">IFERROR(__xludf.DUMMYFUNCTION("""https://streamtape.com/v/""&amp;
REGEXEXTRACT(O1468,""/thumb/([^/]+)/"")&amp;
""/""&amp;K1468"),"https://streamtape.com/v/lOb443K1Lvs7XZ4/46266365")</f>
        <v>https://streamtape.com/v/lOb443K1Lvs7XZ4/46266365</v>
      </c>
      <c r="G1468" s="10" t="e">
        <f t="shared" ca="1" si="21"/>
        <v>#NAME?</v>
      </c>
      <c r="H1468" s="11" t="str">
        <f ca="1">IFERROR(__xludf.DUMMYFUNCTION("IFERROR(SUBSTITUTE(SUBSTITUTE(REGEXEXTRACT(A1468, ""[^-]+- [^-]+- [^-]+ - (.+?)\.jpg""), "".jpg"", """"), ""-"", "", ""), """")"),"")</f>
        <v/>
      </c>
      <c r="I1468" s="6"/>
      <c r="J1468" s="7" t="str">
        <f t="shared" ca="1" si="22"/>
        <v>(2026)</v>
      </c>
      <c r="K1468" s="7" t="str">
        <f t="shared" si="23"/>
        <v>46266365</v>
      </c>
      <c r="L1468" s="12" t="s">
        <v>4265</v>
      </c>
      <c r="M1468" s="13" t="str">
        <f ca="1">IFERROR(__xludf.DUMMYFUNCTION("TRIM(
  REGEXREPLACE(
    TEXTJOIN("" "",
      TRUE,
      B1468,
      C1468,
      embaralharLinks(E1468,F1468,G1468),
      H1468,
      """",
      J1468,
      N1468,
      ""#RIPNSFW""
    ),
  "",\s*"", "" "")
)"),"{New} Savannah Bond https://lulustream.com/d/90i4gvw9f3cb https://doodstream.com/d/k04czohg76th/46266365 https://streamtape.com/v/lOb443K1Lvs7XZ4/46266365 (2026) #anal #bigtits #milf #bigass #RIPNSFW")</f>
        <v>{New} Savannah Bond https://lulustream.com/d/90i4gvw9f3cb https://doodstream.com/d/k04czohg76th/46266365 https://streamtape.com/v/lOb443K1Lvs7XZ4/46266365 (2026) #anal #bigtits #milf #bigass #RIPNSFW</v>
      </c>
      <c r="N1468" s="2" t="s">
        <v>4265</v>
      </c>
      <c r="O1468" s="30" t="s">
        <v>7341</v>
      </c>
      <c r="P1468" s="26"/>
      <c r="R1468" s="23"/>
    </row>
    <row r="1469" spans="1:27" ht="12.75">
      <c r="A1469" s="6" t="s">
        <v>7342</v>
      </c>
      <c r="B1469" s="6" t="s">
        <v>14</v>
      </c>
      <c r="C1469" s="7" t="str">
        <f t="shared" si="20"/>
        <v xml:space="preserve">Savannah Bond </v>
      </c>
      <c r="D1469" s="6" t="s">
        <v>7343</v>
      </c>
      <c r="E1469" s="8" t="s">
        <v>7344</v>
      </c>
      <c r="F1469" s="9" t="str">
        <f ca="1">IFERROR(__xludf.DUMMYFUNCTION("""https://streamtape.com/v/""&amp;
REGEXEXTRACT(O1469,""/thumb/([^/]+)/"")&amp;
""/""&amp;K1469"),"https://streamtape.com/v/KQ8dlWLZp7f0d19/46601485")</f>
        <v>https://streamtape.com/v/KQ8dlWLZp7f0d19/46601485</v>
      </c>
      <c r="G1469" s="10" t="e">
        <f t="shared" ca="1" si="21"/>
        <v>#NAME?</v>
      </c>
      <c r="H1469" s="11" t="str">
        <f ca="1">IFERROR(__xludf.DUMMYFUNCTION("IFERROR(SUBSTITUTE(SUBSTITUTE(REGEXEXTRACT(A1469, ""[^-]+- [^-]+- [^-]+ - (.+?)\.jpg""), "".jpg"", """"), ""-"", "", ""), """")"),"")</f>
        <v/>
      </c>
      <c r="I1469" s="6"/>
      <c r="J1469" s="7" t="str">
        <f t="shared" ca="1" si="22"/>
        <v>(2026)</v>
      </c>
      <c r="K1469" s="7" t="str">
        <f t="shared" si="23"/>
        <v>46601485</v>
      </c>
      <c r="L1469" s="12" t="s">
        <v>7345</v>
      </c>
      <c r="M1469" s="13" t="str">
        <f ca="1">IFERROR(__xludf.DUMMYFUNCTION("TRIM(
  REGEXREPLACE(
    TEXTJOIN("" "",
      TRUE,
      B1469,
      C1469,
      embaralharLinks(E1469,F1469,G1469),
      H1469,
      """",
      J1469,
      N1469,
      ""#RIPNSFW""
    ),
  "",\s*"", "" "")
)"),"{New} Savannah Bond https://doodstream.com/d/hkbqnh4uf4m1/46601485 https://lulustream.com/d/v2tr7kiwtv56 https://streamtape.com/v/KQ8dlWLZp7f0d19/46601485 (2026) #MILF #BigTits #Hardcore #Bigass #Roleplay #Blowjob #Amateur #Deepthroat #Blonde #RIPNSFW")</f>
        <v>{New} Savannah Bond https://doodstream.com/d/hkbqnh4uf4m1/46601485 https://lulustream.com/d/v2tr7kiwtv56 https://streamtape.com/v/KQ8dlWLZp7f0d19/46601485 (2026) #MILF #BigTits #Hardcore #Bigass #Roleplay #Blowjob #Amateur #Deepthroat #Blonde #RIPNSFW</v>
      </c>
      <c r="N1469" s="14" t="s">
        <v>7346</v>
      </c>
      <c r="O1469" s="15" t="s">
        <v>7347</v>
      </c>
      <c r="P1469" s="14"/>
      <c r="Q1469" s="6"/>
      <c r="R1469" s="11"/>
      <c r="S1469" s="6"/>
      <c r="T1469" s="6"/>
      <c r="U1469" s="6"/>
      <c r="V1469" s="6"/>
      <c r="W1469" s="6"/>
      <c r="X1469" s="6"/>
      <c r="Y1469" s="6"/>
      <c r="Z1469" s="6"/>
      <c r="AA1469" s="6"/>
    </row>
    <row r="1470" spans="1:27" ht="12.75">
      <c r="A1470" s="6" t="s">
        <v>7348</v>
      </c>
      <c r="B1470" s="6" t="s">
        <v>14</v>
      </c>
      <c r="C1470" s="7" t="str">
        <f t="shared" si="20"/>
        <v xml:space="preserve">Savannah Bond </v>
      </c>
      <c r="D1470" s="6" t="s">
        <v>7349</v>
      </c>
      <c r="E1470" s="8" t="s">
        <v>7350</v>
      </c>
      <c r="F1470" s="9" t="str">
        <f ca="1">IFERROR(__xludf.DUMMYFUNCTION("""https://streamtape.com/v/""&amp;
REGEXEXTRACT(O1470,""/thumb/([^/]+)/"")&amp;
""/""&amp;K1470"),"https://streamtape.com/v/OaBRaR3VO4IZBxJ/46694045")</f>
        <v>https://streamtape.com/v/OaBRaR3VO4IZBxJ/46694045</v>
      </c>
      <c r="G1470" s="10" t="e">
        <f t="shared" ca="1" si="21"/>
        <v>#NAME?</v>
      </c>
      <c r="H1470" s="11" t="str">
        <f ca="1">IFERROR(__xludf.DUMMYFUNCTION("IFERROR(SUBSTITUTE(SUBSTITUTE(REGEXEXTRACT(A1470, ""[^-]+- [^-]+- [^-]+ - (.+?)\.jpg""), "".jpg"", """"), ""-"", "", ""), """")"),"")</f>
        <v/>
      </c>
      <c r="I1470" s="6"/>
      <c r="J1470" s="7" t="str">
        <f t="shared" ca="1" si="22"/>
        <v>(2026)</v>
      </c>
      <c r="K1470" s="7" t="str">
        <f t="shared" si="23"/>
        <v>46694045</v>
      </c>
      <c r="L1470" s="12" t="s">
        <v>7351</v>
      </c>
      <c r="M1470" s="13" t="str">
        <f ca="1">IFERROR(__xludf.DUMMYFUNCTION("TRIM(
  REGEXREPLACE(
    TEXTJOIN("" "",
      TRUE,
      B1470,
      C1470,
      embaralharLinks(E1470,F1470,G1470),
      H1470,
      """",
      J1470,
      N1470,
      ""#RIPNSFW""
    ),
  "",\s*"", "" "")
)"),"{New} Savannah Bond https://streamtape.com/v/OaBRaR3VO4IZBxJ/46694045 https://doodstream.com/d/sj3d5r5v8w5t/46694045 https://lulustream.com/d/bmpemqcb1xs3 (2026) #Anal #MILF #BigTits #Hardcore #Bigass #Porn #RIPNSFW")</f>
        <v>{New} Savannah Bond https://streamtape.com/v/OaBRaR3VO4IZBxJ/46694045 https://doodstream.com/d/sj3d5r5v8w5t/46694045 https://lulustream.com/d/bmpemqcb1xs3 (2026) #Anal #MILF #BigTits #Hardcore #Bigass #Porn #RIPNSFW</v>
      </c>
      <c r="N1470" s="14" t="s">
        <v>7299</v>
      </c>
      <c r="O1470" s="15" t="s">
        <v>7352</v>
      </c>
      <c r="P1470" s="14"/>
      <c r="Q1470" s="6"/>
      <c r="R1470" s="11"/>
      <c r="S1470" s="6"/>
      <c r="T1470" s="6"/>
      <c r="U1470" s="6"/>
      <c r="V1470" s="6"/>
      <c r="W1470" s="6"/>
      <c r="X1470" s="6"/>
      <c r="Y1470" s="6"/>
      <c r="Z1470" s="6"/>
      <c r="AA1470" s="6"/>
    </row>
    <row r="1471" spans="1:27" ht="12.75">
      <c r="A1471" s="6" t="s">
        <v>7353</v>
      </c>
      <c r="B1471" s="6" t="s">
        <v>14</v>
      </c>
      <c r="C1471" s="7" t="str">
        <f t="shared" si="20"/>
        <v xml:space="preserve">Savannah Bond </v>
      </c>
      <c r="D1471" s="6" t="s">
        <v>7354</v>
      </c>
      <c r="E1471" s="8" t="s">
        <v>7355</v>
      </c>
      <c r="F1471" s="9" t="str">
        <f ca="1">IFERROR(__xludf.DUMMYFUNCTION("""https://streamtape.com/v/""&amp;
REGEXEXTRACT(O1471,""/thumb/([^/]+)/"")&amp;
""/""&amp;K1471"),"https://streamtape.com/v/7zMWAD28e9HApme/51338393")</f>
        <v>https://streamtape.com/v/7zMWAD28e9HApme/51338393</v>
      </c>
      <c r="G1471" s="10" t="e">
        <f t="shared" ca="1" si="21"/>
        <v>#NAME?</v>
      </c>
      <c r="H1471" s="11" t="str">
        <f ca="1">IFERROR(__xludf.DUMMYFUNCTION("IFERROR(SUBSTITUTE(SUBSTITUTE(REGEXEXTRACT(A1471, ""[^-]+- [^-]+- [^-]+ - (.+?)\.jpg""), "".jpg"", """"), ""-"", "", ""), """")"),"")</f>
        <v/>
      </c>
      <c r="I1471" s="6"/>
      <c r="J1471" s="7" t="str">
        <f t="shared" ca="1" si="22"/>
        <v>(2026)</v>
      </c>
      <c r="K1471" s="7" t="str">
        <f t="shared" si="23"/>
        <v>51338393</v>
      </c>
      <c r="L1471" s="12" t="s">
        <v>7356</v>
      </c>
      <c r="M1471" s="13" t="str">
        <f ca="1">IFERROR(__xludf.DUMMYFUNCTION("TRIM(
  REGEXREPLACE(
    TEXTJOIN("" "",
      TRUE,
      B1471,
      C1471,
      embaralharLinks(E1471,F1471,G1471),
      H1471,
      """",
      J1471,
      N1471,
      ""#RIPNSFW""
    ),
  "",\s*"", "" "")
)"),"{New} Savannah Bond https://lulustream.com/d/1tc4e81gai8m https://streamtape.com/v/7zMWAD28e9HApme/51338393 https://doodstream.com/d/9xf4v6b83da7/51338393 (2026) #Anal #MILF #BigTits #Creampie #Hardcore #Black #Interracial #Bigass #Blowjob #RIPNSFW")</f>
        <v>{New} Savannah Bond https://lulustream.com/d/1tc4e81gai8m https://streamtape.com/v/7zMWAD28e9HApme/51338393 https://doodstream.com/d/9xf4v6b83da7/51338393 (2026) #Anal #MILF #BigTits #Creampie #Hardcore #Black #Interracial #Bigass #Blowjob #RIPNSFW</v>
      </c>
      <c r="N1471" s="14" t="s">
        <v>7357</v>
      </c>
      <c r="O1471" s="15" t="s">
        <v>7358</v>
      </c>
      <c r="P1471" s="14"/>
      <c r="Q1471" s="6"/>
      <c r="R1471" s="11"/>
      <c r="S1471" s="6"/>
      <c r="T1471" s="6"/>
      <c r="U1471" s="6"/>
      <c r="V1471" s="6"/>
      <c r="W1471" s="6"/>
      <c r="X1471" s="6"/>
      <c r="Y1471" s="6"/>
      <c r="Z1471" s="6"/>
      <c r="AA1471" s="6"/>
    </row>
    <row r="1472" spans="1:27" ht="12.75">
      <c r="A1472" s="6" t="s">
        <v>7359</v>
      </c>
      <c r="B1472" s="6" t="s">
        <v>14</v>
      </c>
      <c r="C1472" s="7" t="str">
        <f t="shared" si="20"/>
        <v xml:space="preserve">Savannah Bond </v>
      </c>
      <c r="D1472" s="6" t="s">
        <v>7360</v>
      </c>
      <c r="E1472" s="8" t="s">
        <v>7361</v>
      </c>
      <c r="F1472" s="9" t="str">
        <f ca="1">IFERROR(__xludf.DUMMYFUNCTION("""https://streamtape.com/v/""&amp;
REGEXEXTRACT(O1472,""/thumb/([^/]+)/"")&amp;
""/""&amp;K1472"),"https://streamtape.com/v/26LJxkv4DGTKkY/54203161")</f>
        <v>https://streamtape.com/v/26LJxkv4DGTKkY/54203161</v>
      </c>
      <c r="G1472" s="10" t="e">
        <f t="shared" ca="1" si="21"/>
        <v>#NAME?</v>
      </c>
      <c r="H1472" s="11" t="str">
        <f ca="1">IFERROR(__xludf.DUMMYFUNCTION("IFERROR(SUBSTITUTE(SUBSTITUTE(REGEXEXTRACT(A1472, ""[^-]+- [^-]+- [^-]+ - (.+?)\.jpg""), "".jpg"", """"), ""-"", "", ""), """")"),"")</f>
        <v/>
      </c>
      <c r="I1472" s="6"/>
      <c r="J1472" s="7" t="str">
        <f t="shared" ca="1" si="22"/>
        <v>(2026)</v>
      </c>
      <c r="K1472" s="7" t="str">
        <f t="shared" si="23"/>
        <v>54203161</v>
      </c>
      <c r="L1472" s="12" t="s">
        <v>7362</v>
      </c>
      <c r="M1472" s="13" t="str">
        <f ca="1">IFERROR(__xludf.DUMMYFUNCTION("TRIM(
  REGEXREPLACE(
    TEXTJOIN("" "",
      TRUE,
      B1472,
      C1472,
      embaralharLinks(E1472,F1472,G1472),
      H1472,
      """",
      J1472,
      N1472,
      ""#RIPNSFW""
    ),
  "",\s*"", "" "")
)"),"{New} Savannah Bond https://doodstream.com/d/wan7z3kl1rqz/54203161 https://streamtape.com/v/26LJxkv4DGTKkY/54203161 https://lulustream.com/d/6hhaoglztc3g (2026) #Anal #MILF #BigTits #Creampie #Hardcore #RIPNSFW")</f>
        <v>{New} Savannah Bond https://doodstream.com/d/wan7z3kl1rqz/54203161 https://streamtape.com/v/26LJxkv4DGTKkY/54203161 https://lulustream.com/d/6hhaoglztc3g (2026) #Anal #MILF #BigTits #Creampie #Hardcore #RIPNSFW</v>
      </c>
      <c r="N1472" s="14" t="s">
        <v>7363</v>
      </c>
      <c r="O1472" s="15" t="s">
        <v>7364</v>
      </c>
      <c r="P1472" s="14"/>
      <c r="Q1472" s="6"/>
      <c r="R1472" s="11"/>
      <c r="S1472" s="6"/>
      <c r="T1472" s="6"/>
      <c r="U1472" s="6"/>
      <c r="V1472" s="6"/>
      <c r="W1472" s="6"/>
      <c r="X1472" s="6"/>
      <c r="Y1472" s="6"/>
      <c r="Z1472" s="6"/>
      <c r="AA1472" s="6"/>
    </row>
    <row r="1473" spans="1:27" ht="12.75">
      <c r="A1473" s="6" t="s">
        <v>7365</v>
      </c>
      <c r="B1473" s="6" t="s">
        <v>14</v>
      </c>
      <c r="C1473" s="7" t="str">
        <f t="shared" si="20"/>
        <v xml:space="preserve">Savannah Bond </v>
      </c>
      <c r="D1473" s="6" t="s">
        <v>7366</v>
      </c>
      <c r="E1473" s="8" t="s">
        <v>7367</v>
      </c>
      <c r="F1473" s="9" t="str">
        <f ca="1">IFERROR(__xludf.DUMMYFUNCTION("""https://streamtape.com/v/""&amp;
REGEXEXTRACT(O1473,""/thumb/([^/]+)/"")&amp;
""/""&amp;K1473"),"https://streamtape.com/v/Wr11e6WkgbfW7p/58563307")</f>
        <v>https://streamtape.com/v/Wr11e6WkgbfW7p/58563307</v>
      </c>
      <c r="G1473" s="10" t="e">
        <f t="shared" ca="1" si="21"/>
        <v>#NAME?</v>
      </c>
      <c r="H1473" s="11" t="str">
        <f ca="1">IFERROR(__xludf.DUMMYFUNCTION("IFERROR(SUBSTITUTE(SUBSTITUTE(REGEXEXTRACT(A1473, ""[^-]+- [^-]+- [^-]+ - (.+?)\.jpg""), "".jpg"", """"), ""-"", "", ""), """")"),"")</f>
        <v/>
      </c>
      <c r="I1473" s="6"/>
      <c r="J1473" s="7" t="str">
        <f t="shared" ca="1" si="22"/>
        <v>(2026)</v>
      </c>
      <c r="K1473" s="7" t="str">
        <f t="shared" si="23"/>
        <v>58563307</v>
      </c>
      <c r="L1473" s="12" t="s">
        <v>7368</v>
      </c>
      <c r="M1473" s="13" t="str">
        <f ca="1">IFERROR(__xludf.DUMMYFUNCTION("TRIM(
  REGEXREPLACE(
    TEXTJOIN("" "",
      TRUE,
      B1473,
      C1473,
      embaralharLinks(E1473,F1473,G1473),
      H1473,
      """",
      J1473,
      N1473,
      ""#RIPNSFW""
    ),
  "",\s*"", "" "")
)"),"{New} Savannah Bond https://streamtape.com/v/Wr11e6WkgbfW7p/58563307 https://doodstream.com/d/mobufvrpc9z7/58563307 https://lulustream.com/d/2dk4ejqwfd12 (2026) #MILF #BigTits #Hardcore #Black #Interracial #Bigass #RIPNSFW")</f>
        <v>{New} Savannah Bond https://streamtape.com/v/Wr11e6WkgbfW7p/58563307 https://doodstream.com/d/mobufvrpc9z7/58563307 https://lulustream.com/d/2dk4ejqwfd12 (2026) #MILF #BigTits #Hardcore #Black #Interracial #Bigass #RIPNSFW</v>
      </c>
      <c r="N1473" s="14" t="s">
        <v>4342</v>
      </c>
      <c r="O1473" s="15" t="s">
        <v>7369</v>
      </c>
      <c r="P1473" s="14"/>
      <c r="Q1473" s="6"/>
      <c r="R1473" s="11"/>
      <c r="S1473" s="6"/>
      <c r="T1473" s="6"/>
      <c r="U1473" s="6"/>
      <c r="V1473" s="6"/>
      <c r="W1473" s="6"/>
      <c r="X1473" s="6"/>
      <c r="Y1473" s="6"/>
      <c r="Z1473" s="6"/>
      <c r="AA1473" s="6"/>
    </row>
    <row r="1474" spans="1:27" ht="12.75">
      <c r="A1474" s="6" t="s">
        <v>7370</v>
      </c>
      <c r="B1474" s="6" t="s">
        <v>14</v>
      </c>
      <c r="C1474" s="7" t="str">
        <f t="shared" si="20"/>
        <v xml:space="preserve">Savannah Bond </v>
      </c>
      <c r="D1474" s="6" t="s">
        <v>7371</v>
      </c>
      <c r="E1474" s="8" t="s">
        <v>7372</v>
      </c>
      <c r="F1474" s="9" t="str">
        <f ca="1">IFERROR(__xludf.DUMMYFUNCTION("""https://streamtape.com/v/""&amp;
REGEXEXTRACT(O1474,""/thumb/([^/]+)/"")&amp;
""/""&amp;K1474"),"https://streamtape.com/v/88y9VJj11gSoRyW/59872464")</f>
        <v>https://streamtape.com/v/88y9VJj11gSoRyW/59872464</v>
      </c>
      <c r="G1474" s="10" t="e">
        <f t="shared" ca="1" si="21"/>
        <v>#NAME?</v>
      </c>
      <c r="H1474" s="11" t="str">
        <f ca="1">IFERROR(__xludf.DUMMYFUNCTION("IFERROR(SUBSTITUTE(SUBSTITUTE(REGEXEXTRACT(A1474, ""[^-]+- [^-]+- [^-]+ - (.+?)\.jpg""), "".jpg"", """"), ""-"", "", ""), """")"),"Lena the plug")</f>
        <v>Lena the plug</v>
      </c>
      <c r="I1474" s="6"/>
      <c r="J1474" s="7" t="str">
        <f t="shared" ca="1" si="22"/>
        <v>(2026)</v>
      </c>
      <c r="K1474" s="7" t="str">
        <f t="shared" si="23"/>
        <v>59872464</v>
      </c>
      <c r="L1474" s="12" t="s">
        <v>7373</v>
      </c>
      <c r="M1474" s="13" t="str">
        <f ca="1">IFERROR(__xludf.DUMMYFUNCTION("TRIM(
  REGEXREPLACE(
    TEXTJOIN("" "",
      TRUE,
      B1474,
      C1474,
      embaralharLinks(E1474,F1474,G1474),
      H1474,
      """",
      J1474,
      N1474,
      ""#RIPNSFW""
    ),
  "",\s*"", "" "")
)"),"{New} Savannah Bond https://lulustream.com/d/f01can3hfkr3 https://doodstream.com/d/3i5v45541ztl/59872464 https://streamtape.com/v/88y9VJj11gSoRyW/59872464 Lena the plug (2026) #MILF #BigTits #Hardcore #Threesome #Bigass #Blowjob #RIPNSFW")</f>
        <v>{New} Savannah Bond https://lulustream.com/d/f01can3hfkr3 https://doodstream.com/d/3i5v45541ztl/59872464 https://streamtape.com/v/88y9VJj11gSoRyW/59872464 Lena the plug (2026) #MILF #BigTits #Hardcore #Threesome #Bigass #Blowjob #RIPNSFW</v>
      </c>
      <c r="N1474" s="14" t="s">
        <v>839</v>
      </c>
      <c r="O1474" s="15" t="s">
        <v>7374</v>
      </c>
      <c r="P1474" s="14"/>
      <c r="Q1474" s="6"/>
      <c r="R1474" s="11"/>
      <c r="S1474" s="6"/>
      <c r="T1474" s="6"/>
      <c r="U1474" s="6"/>
      <c r="V1474" s="6"/>
      <c r="W1474" s="6"/>
      <c r="X1474" s="6"/>
      <c r="Y1474" s="6"/>
      <c r="Z1474" s="6"/>
      <c r="AA1474" s="6"/>
    </row>
    <row r="1475" spans="1:27" ht="12.75">
      <c r="A1475" s="6" t="s">
        <v>7375</v>
      </c>
      <c r="B1475" s="6" t="s">
        <v>14</v>
      </c>
      <c r="C1475" s="7" t="str">
        <f t="shared" si="20"/>
        <v xml:space="preserve">Savannah Bond </v>
      </c>
      <c r="D1475" s="6" t="s">
        <v>7376</v>
      </c>
      <c r="E1475" s="8" t="s">
        <v>7377</v>
      </c>
      <c r="F1475" s="9" t="str">
        <f ca="1">IFERROR(__xludf.DUMMYFUNCTION("""https://streamtape.com/v/""&amp;
REGEXEXTRACT(O1475,""/thumb/([^/]+)/"")&amp;
""/""&amp;K1475"),"https://streamtape.com/v/k3BqgG6Zrqcr7w/60598299")</f>
        <v>https://streamtape.com/v/k3BqgG6Zrqcr7w/60598299</v>
      </c>
      <c r="G1475" s="10" t="e">
        <f t="shared" ca="1" si="21"/>
        <v>#NAME?</v>
      </c>
      <c r="H1475" s="11" t="str">
        <f ca="1">IFERROR(__xludf.DUMMYFUNCTION("IFERROR(SUBSTITUTE(SUBSTITUTE(REGEXEXTRACT(A1475, ""[^-]+- [^-]+- [^-]+ - (.+?)\.jpg""), "".jpg"", """"), ""-"", "", ""), """")"),"")</f>
        <v/>
      </c>
      <c r="I1475" s="6"/>
      <c r="J1475" s="7" t="str">
        <f t="shared" ca="1" si="22"/>
        <v>(2026)</v>
      </c>
      <c r="K1475" s="7" t="str">
        <f t="shared" si="23"/>
        <v>60598299</v>
      </c>
      <c r="L1475" s="12" t="s">
        <v>7378</v>
      </c>
      <c r="M1475" s="13" t="str">
        <f ca="1">IFERROR(__xludf.DUMMYFUNCTION("TRIM(
  REGEXREPLACE(
    TEXTJOIN("" "",
      TRUE,
      B1475,
      C1475,
      embaralharLinks(E1475,F1475,G1475),
      H1475,
      """",
      J1475,
      N1475,
      ""#RIPNSFW""
    ),
  "",\s*"", "" "")
)"),"{New} Savannah Bond https://doodstream.com/d/hensnfhro51x/60598299 https://streamtape.com/v/k3BqgG6Zrqcr7w/60598299 https://lulustream.com/d/cpcey48e588u (2026) #MILF #BigTits #Hardcore #Bigass #Porn #RIPNSFW")</f>
        <v>{New} Savannah Bond https://doodstream.com/d/hensnfhro51x/60598299 https://streamtape.com/v/k3BqgG6Zrqcr7w/60598299 https://lulustream.com/d/cpcey48e588u (2026) #MILF #BigTits #Hardcore #Bigass #Porn #RIPNSFW</v>
      </c>
      <c r="N1475" s="14" t="s">
        <v>1180</v>
      </c>
      <c r="O1475" s="15" t="s">
        <v>7379</v>
      </c>
      <c r="P1475" s="14"/>
      <c r="Q1475" s="6"/>
      <c r="R1475" s="11"/>
      <c r="S1475" s="6"/>
      <c r="T1475" s="6"/>
      <c r="U1475" s="6"/>
      <c r="V1475" s="6"/>
      <c r="W1475" s="6"/>
      <c r="X1475" s="6"/>
      <c r="Y1475" s="6"/>
      <c r="Z1475" s="6"/>
      <c r="AA1475" s="6"/>
    </row>
    <row r="1476" spans="1:27" ht="12.75">
      <c r="A1476" s="6" t="s">
        <v>7380</v>
      </c>
      <c r="B1476" s="6" t="s">
        <v>14</v>
      </c>
      <c r="C1476" s="7" t="str">
        <f t="shared" si="20"/>
        <v xml:space="preserve">Savannah Bond </v>
      </c>
      <c r="D1476" s="6" t="s">
        <v>7381</v>
      </c>
      <c r="E1476" s="8" t="s">
        <v>7382</v>
      </c>
      <c r="F1476" s="9" t="str">
        <f ca="1">IFERROR(__xludf.DUMMYFUNCTION("""https://streamtape.com/v/""&amp;
REGEXEXTRACT(O1476,""/thumb/([^/]+)/"")&amp;
""/""&amp;K1476"),"https://streamtape.com/v/xe9mbaVwGyUkJbR/62042251")</f>
        <v>https://streamtape.com/v/xe9mbaVwGyUkJbR/62042251</v>
      </c>
      <c r="G1476" s="10" t="e">
        <f t="shared" ca="1" si="21"/>
        <v>#NAME?</v>
      </c>
      <c r="H1476" s="11" t="str">
        <f ca="1">IFERROR(__xludf.DUMMYFUNCTION("IFERROR(SUBSTITUTE(SUBSTITUTE(REGEXEXTRACT(A1476, ""[^-]+- [^-]+- [^-]+ - (.+?)\.jpg""), "".jpg"", """"), ""-"", "", ""), """")"),"")</f>
        <v/>
      </c>
      <c r="I1476" s="6"/>
      <c r="J1476" s="7" t="str">
        <f t="shared" ca="1" si="22"/>
        <v>(2026)</v>
      </c>
      <c r="K1476" s="7" t="str">
        <f t="shared" si="23"/>
        <v>62042251</v>
      </c>
      <c r="L1476" s="12" t="s">
        <v>7383</v>
      </c>
      <c r="M1476" s="13" t="str">
        <f ca="1">IFERROR(__xludf.DUMMYFUNCTION("TRIM(
  REGEXREPLACE(
    TEXTJOIN("" "",
      TRUE,
      B1476,
      C1476,
      embaralharLinks(E1476,F1476,G1476),
      H1476,
      """",
      J1476,
      N1476,
      ""#RIPNSFW""
    ),
  "",\s*"", "" "")
)"),"{New} Savannah Bond https://doodstream.com/d/46hk4maomigd/62042251 https://streamtape.com/v/xe9mbaVwGyUkJbR/62042251 https://lulustream.com/d/pc73yuvyyn7k (2026) #Anal #MILF #BigTits #Hardcore #Gangbang #Black #Interracial #Bigass #Porn #RIPNSFW")</f>
        <v>{New} Savannah Bond https://doodstream.com/d/46hk4maomigd/62042251 https://streamtape.com/v/xe9mbaVwGyUkJbR/62042251 https://lulustream.com/d/pc73yuvyyn7k (2026) #Anal #MILF #BigTits #Hardcore #Gangbang #Black #Interracial #Bigass #Porn #RIPNSFW</v>
      </c>
      <c r="N1476" s="14" t="s">
        <v>7384</v>
      </c>
      <c r="O1476" s="15" t="s">
        <v>7385</v>
      </c>
      <c r="P1476" s="14"/>
      <c r="Q1476" s="6"/>
      <c r="R1476" s="11"/>
      <c r="S1476" s="6"/>
      <c r="T1476" s="6"/>
      <c r="U1476" s="6"/>
      <c r="V1476" s="6"/>
      <c r="W1476" s="6"/>
      <c r="X1476" s="6"/>
      <c r="Y1476" s="6"/>
      <c r="Z1476" s="6"/>
      <c r="AA1476" s="6"/>
    </row>
    <row r="1477" spans="1:27" ht="12.75">
      <c r="A1477" s="6" t="s">
        <v>7386</v>
      </c>
      <c r="B1477" s="6" t="s">
        <v>14</v>
      </c>
      <c r="C1477" s="7" t="str">
        <f t="shared" si="20"/>
        <v xml:space="preserve">Savannah Bond </v>
      </c>
      <c r="D1477" s="6" t="s">
        <v>7387</v>
      </c>
      <c r="E1477" s="8" t="s">
        <v>7388</v>
      </c>
      <c r="F1477" s="9" t="str">
        <f ca="1">IFERROR(__xludf.DUMMYFUNCTION("""https://streamtape.com/v/""&amp;
REGEXEXTRACT(O1477,""/thumb/([^/]+)/"")&amp;
""/""&amp;K1477"),"https://streamtape.com/v/4xRjO6mAY4i2OY/65916741")</f>
        <v>https://streamtape.com/v/4xRjO6mAY4i2OY/65916741</v>
      </c>
      <c r="G1477" s="10" t="e">
        <f t="shared" ca="1" si="21"/>
        <v>#NAME?</v>
      </c>
      <c r="H1477" s="11" t="str">
        <f ca="1">IFERROR(__xludf.DUMMYFUNCTION("IFERROR(SUBSTITUTE(SUBSTITUTE(REGEXEXTRACT(A1477, ""[^-]+- [^-]+- [^-]+ - (.+?)\.jpg""), "".jpg"", """"), ""-"", "", ""), """")"),"")</f>
        <v/>
      </c>
      <c r="I1477" s="6"/>
      <c r="J1477" s="7" t="str">
        <f t="shared" ca="1" si="22"/>
        <v>(2026)</v>
      </c>
      <c r="K1477" s="7" t="str">
        <f t="shared" si="23"/>
        <v>65916741</v>
      </c>
      <c r="L1477" s="12" t="s">
        <v>7389</v>
      </c>
      <c r="M1477" s="13" t="str">
        <f ca="1">IFERROR(__xludf.DUMMYFUNCTION("TRIM(
  REGEXREPLACE(
    TEXTJOIN("" "",
      TRUE,
      B1477,
      C1477,
      embaralharLinks(E1477,F1477,G1477),
      H1477,
      """",
      J1477,
      N1477,
      ""#RIPNSFW""
    ),
  "",\s*"", "" "")
)"),"{New} Savannah Bond https://doodstream.com/d/uc67yzdbhnz1/65916741 https://streamtape.com/v/4xRjO6mAY4i2OY/65916741 https://lulustream.com/d/a78ju4m8gm2o (2026) #MILF #BigTits #Hardcore #Black #Interracial #Bigass #RIPNSFW")</f>
        <v>{New} Savannah Bond https://doodstream.com/d/uc67yzdbhnz1/65916741 https://streamtape.com/v/4xRjO6mAY4i2OY/65916741 https://lulustream.com/d/a78ju4m8gm2o (2026) #MILF #BigTits #Hardcore #Black #Interracial #Bigass #RIPNSFW</v>
      </c>
      <c r="N1477" s="14" t="s">
        <v>4342</v>
      </c>
      <c r="O1477" s="15" t="s">
        <v>7390</v>
      </c>
      <c r="P1477" s="14"/>
      <c r="Q1477" s="6"/>
      <c r="R1477" s="11"/>
      <c r="S1477" s="6"/>
      <c r="T1477" s="6"/>
      <c r="U1477" s="6"/>
      <c r="V1477" s="6"/>
      <c r="W1477" s="6"/>
      <c r="X1477" s="6"/>
      <c r="Y1477" s="6"/>
      <c r="Z1477" s="6"/>
      <c r="AA1477" s="6"/>
    </row>
    <row r="1478" spans="1:27" ht="12.75">
      <c r="A1478" s="6" t="s">
        <v>7391</v>
      </c>
      <c r="B1478" s="6" t="s">
        <v>14</v>
      </c>
      <c r="C1478" s="7" t="str">
        <f t="shared" si="20"/>
        <v xml:space="preserve">Savannah Bond </v>
      </c>
      <c r="D1478" s="24" t="s">
        <v>7392</v>
      </c>
      <c r="E1478" s="25" t="s">
        <v>7393</v>
      </c>
      <c r="F1478" s="9" t="str">
        <f ca="1">IFERROR(__xludf.DUMMYFUNCTION("""https://streamtape.com/v/""&amp;
REGEXEXTRACT(O1478,""/thumb/([^/]+)/"")&amp;
""/""&amp;K1478"),"https://streamtape.com/v/3wmeGWQLq8Hd7PK/67876579")</f>
        <v>https://streamtape.com/v/3wmeGWQLq8Hd7PK/67876579</v>
      </c>
      <c r="G1478" s="10" t="e">
        <f t="shared" ca="1" si="21"/>
        <v>#NAME?</v>
      </c>
      <c r="H1478" s="11" t="str">
        <f ca="1">IFERROR(__xludf.DUMMYFUNCTION("IFERROR(SUBSTITUTE(SUBSTITUTE(REGEXEXTRACT(A1478, ""[^-]+- [^-]+- [^-]+ - (.+?)\.jpg""), "".jpg"", """"), ""-"", "", ""), """")"),"")</f>
        <v/>
      </c>
      <c r="I1478" s="6"/>
      <c r="J1478" s="7" t="str">
        <f t="shared" ca="1" si="22"/>
        <v>(2026)</v>
      </c>
      <c r="K1478" s="7" t="str">
        <f t="shared" si="23"/>
        <v>67876579</v>
      </c>
      <c r="L1478" s="12" t="s">
        <v>4735</v>
      </c>
      <c r="M1478" s="13" t="str">
        <f ca="1">IFERROR(__xludf.DUMMYFUNCTION("TRIM(
  REGEXREPLACE(
    TEXTJOIN("" "",
      TRUE,
      B1478,
      C1478,
      embaralharLinks(E1478,F1478,G1478),
      H1478,
      """",
      J1478,
      N1478,
      ""#RIPNSFW""
    ),
  "",\s*"", "" "")
)"),"{New} Savannah Bond https://doodstream.com/d/3uegjahy1t0p/67876579 https://streamtape.com/v/3wmeGWQLq8Hd7PK/67876579 https://lulustream.com/d/e9li95kl2gvi (2026) #milf #bigtits #bigass #blonde #RIPNSFW")</f>
        <v>{New} Savannah Bond https://doodstream.com/d/3uegjahy1t0p/67876579 https://streamtape.com/v/3wmeGWQLq8Hd7PK/67876579 https://lulustream.com/d/e9li95kl2gvi (2026) #milf #bigtits #bigass #blonde #RIPNSFW</v>
      </c>
      <c r="N1478" s="31" t="s">
        <v>4735</v>
      </c>
      <c r="O1478" s="32" t="s">
        <v>7394</v>
      </c>
      <c r="P1478" s="26"/>
      <c r="Q1478" s="6"/>
      <c r="R1478" s="11"/>
      <c r="S1478" s="6"/>
      <c r="T1478" s="6"/>
      <c r="U1478" s="6"/>
      <c r="V1478" s="6"/>
      <c r="W1478" s="6"/>
      <c r="X1478" s="6"/>
      <c r="Y1478" s="6"/>
      <c r="Z1478" s="6"/>
      <c r="AA1478" s="6"/>
    </row>
    <row r="1479" spans="1:27" ht="12.75">
      <c r="A1479" s="6" t="s">
        <v>7395</v>
      </c>
      <c r="B1479" s="6" t="s">
        <v>14</v>
      </c>
      <c r="C1479" s="7" t="str">
        <f t="shared" si="20"/>
        <v xml:space="preserve">Savannah Bond </v>
      </c>
      <c r="D1479" s="6" t="s">
        <v>7396</v>
      </c>
      <c r="E1479" s="8" t="s">
        <v>7397</v>
      </c>
      <c r="F1479" s="9" t="str">
        <f ca="1">IFERROR(__xludf.DUMMYFUNCTION("""https://streamtape.com/v/""&amp;
REGEXEXTRACT(O1479,""/thumb/([^/]+)/"")&amp;
""/""&amp;K1479"),"https://streamtape.com/v/29YzMpX9gmUZXVK/68907500")</f>
        <v>https://streamtape.com/v/29YzMpX9gmUZXVK/68907500</v>
      </c>
      <c r="G1479" s="10" t="e">
        <f t="shared" ca="1" si="21"/>
        <v>#NAME?</v>
      </c>
      <c r="H1479" s="11" t="str">
        <f ca="1">IFERROR(__xludf.DUMMYFUNCTION("IFERROR(SUBSTITUTE(SUBSTITUTE(REGEXEXTRACT(A1479, ""[^-]+- [^-]+- [^-]+ - (.+?)\.jpg""), "".jpg"", """"), ""-"", "", ""), """")"),"")</f>
        <v/>
      </c>
      <c r="I1479" s="6"/>
      <c r="J1479" s="7" t="str">
        <f t="shared" ca="1" si="22"/>
        <v>(2026)</v>
      </c>
      <c r="K1479" s="7" t="str">
        <f t="shared" si="23"/>
        <v>68907500</v>
      </c>
      <c r="L1479" s="12" t="s">
        <v>7398</v>
      </c>
      <c r="M1479" s="13" t="str">
        <f ca="1">IFERROR(__xludf.DUMMYFUNCTION("TRIM(
  REGEXREPLACE(
    TEXTJOIN("" "",
      TRUE,
      B1479,
      C1479,
      embaralharLinks(E1479,F1479,G1479),
      H1479,
      """",
      J1479,
      N1479,
      ""#RIPNSFW""
    ),
  "",\s*"", "" "")
)"),"{New} Savannah Bond https://lulustream.com/d/a1s5s45detq9 https://streamtape.com/v/29YzMpX9gmUZXVK/68907500 https://doodstream.com/d/o8zm5b2sd43w/68907500 (2026) #Anal #MILF #BigTits #Hardcore #Interracial #Black #Bigass #Porn #Blowjob #RIPNSFW")</f>
        <v>{New} Savannah Bond https://lulustream.com/d/a1s5s45detq9 https://streamtape.com/v/29YzMpX9gmUZXVK/68907500 https://doodstream.com/d/o8zm5b2sd43w/68907500 (2026) #Anal #MILF #BigTits #Hardcore #Interracial #Black #Bigass #Porn #Blowjob #RIPNSFW</v>
      </c>
      <c r="N1479" s="14" t="s">
        <v>7399</v>
      </c>
      <c r="O1479" s="15" t="s">
        <v>7400</v>
      </c>
      <c r="P1479" s="14"/>
      <c r="Q1479" s="6"/>
      <c r="R1479" s="11"/>
      <c r="S1479" s="6"/>
      <c r="T1479" s="6"/>
      <c r="U1479" s="6"/>
      <c r="V1479" s="6"/>
      <c r="W1479" s="6"/>
      <c r="X1479" s="6"/>
      <c r="Y1479" s="6"/>
      <c r="Z1479" s="6"/>
      <c r="AA1479" s="6"/>
    </row>
    <row r="1480" spans="1:27" ht="12.75">
      <c r="A1480" s="12" t="s">
        <v>7401</v>
      </c>
      <c r="B1480" s="6" t="s">
        <v>14</v>
      </c>
      <c r="C1480" s="7" t="str">
        <f t="shared" si="20"/>
        <v xml:space="preserve">Savannah Bond </v>
      </c>
      <c r="D1480" s="27" t="s">
        <v>7402</v>
      </c>
      <c r="E1480" s="28" t="s">
        <v>7403</v>
      </c>
      <c r="F1480" s="9" t="str">
        <f ca="1">IFERROR(__xludf.DUMMYFUNCTION("""https://streamtape.com/v/""&amp;
REGEXEXTRACT(O1480,""/thumb/([^/]+)/"")&amp;
""/""&amp;K1480"),"https://streamtape.com/v/XBvlk9aywysD8dr/74884313")</f>
        <v>https://streamtape.com/v/XBvlk9aywysD8dr/74884313</v>
      </c>
      <c r="G1480" s="10" t="e">
        <f t="shared" ca="1" si="21"/>
        <v>#NAME?</v>
      </c>
      <c r="H1480" s="11" t="str">
        <f ca="1">IFERROR(__xludf.DUMMYFUNCTION("IFERROR(SUBSTITUTE(SUBSTITUTE(REGEXEXTRACT(A1480, ""[^-]+- [^-]+- [^-]+ - (.+?)\.jpg""), "".jpg"", """"), ""-"", "", ""), """")"),"")</f>
        <v/>
      </c>
      <c r="I1480" s="6"/>
      <c r="J1480" s="7" t="str">
        <f t="shared" ca="1" si="22"/>
        <v>(2026)</v>
      </c>
      <c r="K1480" s="7" t="str">
        <f t="shared" si="23"/>
        <v>74884313</v>
      </c>
      <c r="L1480" s="12" t="s">
        <v>71</v>
      </c>
      <c r="M1480" s="13" t="str">
        <f ca="1">IFERROR(__xludf.DUMMYFUNCTION("TRIM(
  REGEXREPLACE(
    TEXTJOIN("" "",
      TRUE,
      B1480,
      C1480,
      embaralharLinks(E1480,F1480,G1480),
      H1480,
      """",
      J1480,
      N1480,
      ""#RIPNSFW""
    ),
  "",\s*"", "" "")
)"),"{New} Savannah Bond https://streamtape.com/v/XBvlk9aywysD8dr/74884313 https://doodstream.com/d/bjch5mlx7ys5/74884313 https://lulustream.com/d/h1mxcpfhpa02 (2026) #Anal #MILF #BigTits #Hardcore #RIPNSFW")</f>
        <v>{New} Savannah Bond https://streamtape.com/v/XBvlk9aywysD8dr/74884313 https://doodstream.com/d/bjch5mlx7ys5/74884313 https://lulustream.com/d/h1mxcpfhpa02 (2026) #Anal #MILF #BigTits #Hardcore #RIPNSFW</v>
      </c>
      <c r="N1480" s="2" t="s">
        <v>72</v>
      </c>
      <c r="O1480" s="30" t="s">
        <v>7404</v>
      </c>
      <c r="P1480" s="26"/>
      <c r="R1480" s="23"/>
    </row>
    <row r="1481" spans="1:27" ht="12.75">
      <c r="A1481" s="6" t="s">
        <v>7405</v>
      </c>
      <c r="B1481" s="6" t="s">
        <v>14</v>
      </c>
      <c r="C1481" s="7" t="str">
        <f t="shared" si="20"/>
        <v xml:space="preserve">Savannah Bond </v>
      </c>
      <c r="D1481" s="6" t="s">
        <v>7406</v>
      </c>
      <c r="E1481" s="8" t="s">
        <v>7407</v>
      </c>
      <c r="F1481" s="9" t="str">
        <f ca="1">IFERROR(__xludf.DUMMYFUNCTION("""https://streamtape.com/v/""&amp;
REGEXEXTRACT(O1481,""/thumb/([^/]+)/"")&amp;
""/""&amp;K1481"),"https://streamtape.com/v/op2eVLZbe8I34D/77933958")</f>
        <v>https://streamtape.com/v/op2eVLZbe8I34D/77933958</v>
      </c>
      <c r="G1481" s="10" t="e">
        <f t="shared" ca="1" si="21"/>
        <v>#NAME?</v>
      </c>
      <c r="H1481" s="11" t="str">
        <f ca="1">IFERROR(__xludf.DUMMYFUNCTION("IFERROR(SUBSTITUTE(SUBSTITUTE(REGEXEXTRACT(A1481, ""[^-]+- [^-]+- [^-]+ - (.+?)\.jpg""), "".jpg"", """"), ""-"", "", ""), """")"),"Gia Derza")</f>
        <v>Gia Derza</v>
      </c>
      <c r="I1481" s="6"/>
      <c r="J1481" s="7" t="str">
        <f t="shared" ca="1" si="22"/>
        <v>(2026)</v>
      </c>
      <c r="K1481" s="7" t="str">
        <f t="shared" si="23"/>
        <v>77933958</v>
      </c>
      <c r="L1481" s="12" t="s">
        <v>7330</v>
      </c>
      <c r="M1481" s="13" t="str">
        <f ca="1">IFERROR(__xludf.DUMMYFUNCTION("TRIM(
  REGEXREPLACE(
    TEXTJOIN("" "",
      TRUE,
      B1481,
      C1481,
      embaralharLinks(E1481,F1481,G1481),
      H1481,
      """",
      J1481,
      N1481,
      ""#RIPNSFW""
    ),
  "",\s*"", "" "")
)"),"{New} Savannah Bond https://streamtape.com/v/op2eVLZbe8I34D/77933958 https://lulustream.com/d/2fjfx4p2fprq https://doodstream.com/d/598vqa3jjci7/77933958 Gia Derza (2026) #Anal #MILF #BigTits #Hardcore #Black #Threesome #Interracial #Bigass #Porn #Blowjob"&amp;" #Deepthroat #RIPNSFW")</f>
        <v>{New} Savannah Bond https://streamtape.com/v/op2eVLZbe8I34D/77933958 https://lulustream.com/d/2fjfx4p2fprq https://doodstream.com/d/598vqa3jjci7/77933958 Gia Derza (2026) #Anal #MILF #BigTits #Hardcore #Black #Threesome #Interracial #Bigass #Porn #Blowjob #Deepthroat #RIPNSFW</v>
      </c>
      <c r="N1481" s="14" t="s">
        <v>7408</v>
      </c>
      <c r="O1481" s="15" t="s">
        <v>7409</v>
      </c>
      <c r="P1481" s="14"/>
      <c r="Q1481" s="6"/>
      <c r="R1481" s="11"/>
      <c r="S1481" s="6"/>
      <c r="T1481" s="6"/>
      <c r="U1481" s="6"/>
      <c r="V1481" s="6"/>
      <c r="W1481" s="6"/>
      <c r="X1481" s="6"/>
      <c r="Y1481" s="6"/>
      <c r="Z1481" s="6"/>
      <c r="AA1481" s="6"/>
    </row>
    <row r="1482" spans="1:27" ht="12.75">
      <c r="A1482" s="6" t="s">
        <v>7410</v>
      </c>
      <c r="B1482" s="6" t="s">
        <v>14</v>
      </c>
      <c r="C1482" s="7" t="str">
        <f t="shared" si="20"/>
        <v xml:space="preserve">Savannah Bond </v>
      </c>
      <c r="D1482" s="6" t="s">
        <v>7411</v>
      </c>
      <c r="E1482" s="8" t="s">
        <v>7412</v>
      </c>
      <c r="F1482" s="9" t="str">
        <f ca="1">IFERROR(__xludf.DUMMYFUNCTION("""https://streamtape.com/v/""&amp;
REGEXEXTRACT(O1482,""/thumb/([^/]+)/"")&amp;
""/""&amp;K1482"),"https://streamtape.com/v/94YJWQ2ZB0faXe4/80054280")</f>
        <v>https://streamtape.com/v/94YJWQ2ZB0faXe4/80054280</v>
      </c>
      <c r="G1482" s="10" t="e">
        <f t="shared" ca="1" si="21"/>
        <v>#NAME?</v>
      </c>
      <c r="H1482" s="11" t="str">
        <f ca="1">IFERROR(__xludf.DUMMYFUNCTION("IFERROR(SUBSTITUTE(SUBSTITUTE(REGEXEXTRACT(A1482, ""[^-]+- [^-]+- [^-]+ - (.+?)\.jpg""), "".jpg"", """"), ""-"", "", ""), """")"),"")</f>
        <v/>
      </c>
      <c r="I1482" s="6"/>
      <c r="J1482" s="7" t="str">
        <f t="shared" ca="1" si="22"/>
        <v>(2026)</v>
      </c>
      <c r="K1482" s="7" t="str">
        <f t="shared" si="23"/>
        <v>80054280</v>
      </c>
      <c r="L1482" s="12" t="s">
        <v>5202</v>
      </c>
      <c r="M1482" s="13" t="str">
        <f ca="1">IFERROR(__xludf.DUMMYFUNCTION("TRIM(
  REGEXREPLACE(
    TEXTJOIN("" "",
      TRUE,
      B1482,
      C1482,
      embaralharLinks(E1482,F1482,G1482),
      H1482,
      """",
      J1482,
      N1482,
      ""#RIPNSFW""
    ),
  "",\s*"", "" "")
)"),"{New} Savannah Bond https://streamtape.com/v/94YJWQ2ZB0faXe4/80054280 https://doodstream.com/d/l3i1iaylbt3e/80054280 https://lulustream.com/d/fv8c7pb5m2lw (2026) #MILF #BigTits #Hardcore #Black #Interracial #Bigass #RIPNSFW")</f>
        <v>{New} Savannah Bond https://streamtape.com/v/94YJWQ2ZB0faXe4/80054280 https://doodstream.com/d/l3i1iaylbt3e/80054280 https://lulustream.com/d/fv8c7pb5m2lw (2026) #MILF #BigTits #Hardcore #Black #Interracial #Bigass #RIPNSFW</v>
      </c>
      <c r="N1482" s="14" t="s">
        <v>4342</v>
      </c>
      <c r="O1482" s="15" t="s">
        <v>7413</v>
      </c>
      <c r="P1482" s="14"/>
      <c r="Q1482" s="6"/>
      <c r="R1482" s="11"/>
      <c r="S1482" s="6"/>
      <c r="T1482" s="6"/>
      <c r="U1482" s="6"/>
      <c r="V1482" s="6"/>
      <c r="W1482" s="6"/>
      <c r="X1482" s="6"/>
      <c r="Y1482" s="6"/>
      <c r="Z1482" s="6"/>
      <c r="AA1482" s="6"/>
    </row>
    <row r="1483" spans="1:27" ht="12.75">
      <c r="A1483" s="6" t="s">
        <v>7414</v>
      </c>
      <c r="B1483" s="6" t="s">
        <v>14</v>
      </c>
      <c r="C1483" s="7" t="str">
        <f t="shared" si="20"/>
        <v xml:space="preserve">Savannah Bond </v>
      </c>
      <c r="D1483" s="6" t="s">
        <v>7415</v>
      </c>
      <c r="E1483" s="8" t="s">
        <v>7416</v>
      </c>
      <c r="F1483" s="9" t="str">
        <f ca="1">IFERROR(__xludf.DUMMYFUNCTION("""https://streamtape.com/v/""&amp;
REGEXEXTRACT(O1483,""/thumb/([^/]+)/"")&amp;
""/""&amp;K1483"),"https://streamtape.com/v/ybqeBe2x1Mh1Dpv/82871930")</f>
        <v>https://streamtape.com/v/ybqeBe2x1Mh1Dpv/82871930</v>
      </c>
      <c r="G1483" s="10" t="e">
        <f t="shared" ca="1" si="21"/>
        <v>#NAME?</v>
      </c>
      <c r="H1483" s="11" t="str">
        <f ca="1">IFERROR(__xludf.DUMMYFUNCTION("IFERROR(SUBSTITUTE(SUBSTITUTE(REGEXEXTRACT(A1483, ""[^-]+- [^-]+- [^-]+ - (.+?)\.jpg""), "".jpg"", """"), ""-"", "", ""), """")"),"")</f>
        <v/>
      </c>
      <c r="I1483" s="6"/>
      <c r="J1483" s="7" t="str">
        <f t="shared" ca="1" si="22"/>
        <v>(2026)</v>
      </c>
      <c r="K1483" s="7" t="str">
        <f t="shared" si="23"/>
        <v>82871930</v>
      </c>
      <c r="L1483" s="12" t="s">
        <v>1320</v>
      </c>
      <c r="M1483" s="13" t="str">
        <f ca="1">IFERROR(__xludf.DUMMYFUNCTION("TRIM(
  REGEXREPLACE(
    TEXTJOIN("" "",
      TRUE,
      B1483,
      C1483,
      embaralharLinks(E1483,F1483,G1483),
      H1483,
      """",
      J1483,
      N1483,
      ""#RIPNSFW""
    ),
  "",\s*"", "" "")
)"),"{New} Savannah Bond https://lulustream.com/d/i4uf7ctwlgga https://doodstream.com/d/gkzdoh5d3vle/82871930 https://streamtape.com/v/ybqeBe2x1Mh1Dpv/82871930 (2026) #MILF #BigTits #Hardcore #Bigass #RIPNSFW")</f>
        <v>{New} Savannah Bond https://lulustream.com/d/i4uf7ctwlgga https://doodstream.com/d/gkzdoh5d3vle/82871930 https://streamtape.com/v/ybqeBe2x1Mh1Dpv/82871930 (2026) #MILF #BigTits #Hardcore #Bigass #RIPNSFW</v>
      </c>
      <c r="N1483" s="14" t="s">
        <v>128</v>
      </c>
      <c r="O1483" s="15" t="s">
        <v>7417</v>
      </c>
      <c r="P1483" s="14"/>
      <c r="Q1483" s="6"/>
      <c r="R1483" s="11"/>
      <c r="S1483" s="6"/>
      <c r="T1483" s="6"/>
      <c r="U1483" s="6"/>
      <c r="V1483" s="6"/>
      <c r="W1483" s="6"/>
      <c r="X1483" s="6"/>
      <c r="Y1483" s="6"/>
      <c r="Z1483" s="6"/>
      <c r="AA1483" s="6"/>
    </row>
    <row r="1484" spans="1:27" ht="12.75">
      <c r="A1484" s="12" t="s">
        <v>7418</v>
      </c>
      <c r="B1484" s="6" t="s">
        <v>14</v>
      </c>
      <c r="C1484" s="7" t="str">
        <f t="shared" si="20"/>
        <v xml:space="preserve">Savannah Bond </v>
      </c>
      <c r="D1484" s="24" t="s">
        <v>7419</v>
      </c>
      <c r="E1484" s="25" t="s">
        <v>7420</v>
      </c>
      <c r="F1484" s="9" t="str">
        <f ca="1">IFERROR(__xludf.DUMMYFUNCTION("""https://streamtape.com/v/""&amp;
REGEXEXTRACT(O1484,""/thumb/([^/]+)/"")&amp;
""/""&amp;K1484"),"https://streamtape.com/v/OJ82gbLLe1tZP33/83857792")</f>
        <v>https://streamtape.com/v/OJ82gbLLe1tZP33/83857792</v>
      </c>
      <c r="G1484" s="10" t="e">
        <f t="shared" ca="1" si="21"/>
        <v>#NAME?</v>
      </c>
      <c r="H1484" s="11" t="str">
        <f ca="1">IFERROR(__xludf.DUMMYFUNCTION("IFERROR(SUBSTITUTE(SUBSTITUTE(REGEXEXTRACT(A1484, ""[^-]+- [^-]+- [^-]+ - (.+?)\.jpg""), "".jpg"", """"), ""-"", "", ""), """")"),"Violet Myers")</f>
        <v>Violet Myers</v>
      </c>
      <c r="I1484" s="6"/>
      <c r="J1484" s="7" t="str">
        <f t="shared" ca="1" si="22"/>
        <v>(2026)</v>
      </c>
      <c r="K1484" s="7" t="str">
        <f t="shared" si="23"/>
        <v>83857792</v>
      </c>
      <c r="L1484" s="12" t="s">
        <v>4775</v>
      </c>
      <c r="M1484" s="13" t="str">
        <f ca="1">IFERROR(__xludf.DUMMYFUNCTION("TRIM(
  REGEXREPLACE(
    TEXTJOIN("" "",
      TRUE,
      B1484,
      C1484,
      embaralharLinks(E1484,F1484,G1484),
      H1484,
      """",
      J1484,
      N1484,
      ""#RIPNSFW""
    ),
  "",\s*"", "" "")
)"),"{New} Savannah Bond https://lulustream.com/d/ynz40t45t4im https://streamtape.com/v/OJ82gbLLe1tZP33/83857792 https://doodstream.com/d/u16renvw6eht/83857792 Violet Myers (2026) #milf #threesome #bigass #bigtits #RIPNSFW")</f>
        <v>{New} Savannah Bond https://lulustream.com/d/ynz40t45t4im https://streamtape.com/v/OJ82gbLLe1tZP33/83857792 https://doodstream.com/d/u16renvw6eht/83857792 Violet Myers (2026) #milf #threesome #bigass #bigtits #RIPNSFW</v>
      </c>
      <c r="N1484" s="2" t="s">
        <v>4775</v>
      </c>
      <c r="O1484" s="30" t="s">
        <v>7421</v>
      </c>
      <c r="P1484" s="26"/>
      <c r="R1484" s="23"/>
    </row>
    <row r="1485" spans="1:27" ht="12.75">
      <c r="A1485" s="6" t="s">
        <v>7422</v>
      </c>
      <c r="B1485" s="6" t="s">
        <v>14</v>
      </c>
      <c r="C1485" s="7" t="str">
        <f t="shared" si="20"/>
        <v xml:space="preserve">Savannah Bond </v>
      </c>
      <c r="D1485" s="6" t="s">
        <v>7423</v>
      </c>
      <c r="E1485" s="8" t="s">
        <v>7424</v>
      </c>
      <c r="F1485" s="9" t="str">
        <f ca="1">IFERROR(__xludf.DUMMYFUNCTION("""https://streamtape.com/v/""&amp;
REGEXEXTRACT(O1485,""/thumb/([^/]+)/"")&amp;
""/""&amp;K1485"),"https://streamtape.com/v/k3ywYXawkzIOLK9/84382694")</f>
        <v>https://streamtape.com/v/k3ywYXawkzIOLK9/84382694</v>
      </c>
      <c r="G1485" s="10" t="e">
        <f t="shared" ca="1" si="21"/>
        <v>#NAME?</v>
      </c>
      <c r="H1485" s="11" t="str">
        <f ca="1">IFERROR(__xludf.DUMMYFUNCTION("IFERROR(SUBSTITUTE(SUBSTITUTE(REGEXEXTRACT(A1485, ""[^-]+- [^-]+- [^-]+ - (.+?)\.jpg""), "".jpg"", """"), ""-"", "", ""), """")"),"")</f>
        <v/>
      </c>
      <c r="I1485" s="6"/>
      <c r="J1485" s="7" t="str">
        <f t="shared" ca="1" si="22"/>
        <v>(2026)</v>
      </c>
      <c r="K1485" s="7" t="str">
        <f t="shared" si="23"/>
        <v>84382694</v>
      </c>
      <c r="L1485" s="12" t="s">
        <v>7351</v>
      </c>
      <c r="M1485" s="13" t="str">
        <f ca="1">IFERROR(__xludf.DUMMYFUNCTION("TRIM(
  REGEXREPLACE(
    TEXTJOIN("" "",
      TRUE,
      B1485,
      C1485,
      embaralharLinks(E1485,F1485,G1485),
      H1485,
      """",
      J1485,
      N1485,
      ""#RIPNSFW""
    ),
  "",\s*"", "" "")
)"),"{New} Savannah Bond https://streamtape.com/v/k3ywYXawkzIOLK9/84382694 https://lulustream.com/d/ky7i6hioeu3u https://doodstream.com/d/kb0i6vxv4ock/84382694 (2026) #Anal #MILF #BigTits #Hardcore #Bigass #Porn #Blowjob #Deepthroat #Blonde #Facial #RIPNSFW")</f>
        <v>{New} Savannah Bond https://streamtape.com/v/k3ywYXawkzIOLK9/84382694 https://lulustream.com/d/ky7i6hioeu3u https://doodstream.com/d/kb0i6vxv4ock/84382694 (2026) #Anal #MILF #BigTits #Hardcore #Bigass #Porn #Blowjob #Deepthroat #Blonde #Facial #RIPNSFW</v>
      </c>
      <c r="N1485" s="14" t="s">
        <v>7425</v>
      </c>
      <c r="O1485" s="15" t="s">
        <v>7426</v>
      </c>
      <c r="P1485" s="14"/>
      <c r="Q1485" s="6"/>
      <c r="R1485" s="11"/>
      <c r="S1485" s="6"/>
      <c r="T1485" s="6"/>
      <c r="U1485" s="6"/>
      <c r="V1485" s="6"/>
      <c r="W1485" s="6"/>
      <c r="X1485" s="6"/>
      <c r="Y1485" s="6"/>
      <c r="Z1485" s="6"/>
      <c r="AA1485" s="6"/>
    </row>
    <row r="1486" spans="1:27" ht="12.75">
      <c r="A1486" s="6" t="s">
        <v>7427</v>
      </c>
      <c r="B1486" s="6" t="s">
        <v>14</v>
      </c>
      <c r="C1486" s="7" t="str">
        <f t="shared" si="20"/>
        <v xml:space="preserve">Savannah Bond </v>
      </c>
      <c r="D1486" s="6" t="s">
        <v>7428</v>
      </c>
      <c r="E1486" s="8" t="s">
        <v>7429</v>
      </c>
      <c r="F1486" s="9" t="str">
        <f ca="1">IFERROR(__xludf.DUMMYFUNCTION("""https://streamtape.com/v/""&amp;
REGEXEXTRACT(O1486,""/thumb/([^/]+)/"")&amp;
""/""&amp;K1486"),"https://streamtape.com/v/KqBqDqDdeLH0yLx/88052323")</f>
        <v>https://streamtape.com/v/KqBqDqDdeLH0yLx/88052323</v>
      </c>
      <c r="G1486" s="10" t="e">
        <f t="shared" ca="1" si="21"/>
        <v>#NAME?</v>
      </c>
      <c r="H1486" s="11" t="str">
        <f ca="1">IFERROR(__xludf.DUMMYFUNCTION("IFERROR(SUBSTITUTE(SUBSTITUTE(REGEXEXTRACT(A1486, ""[^-]+- [^-]+- [^-]+ - (.+?)\.jpg""), "".jpg"", """"), ""-"", "", ""), """")"),"")</f>
        <v/>
      </c>
      <c r="I1486" s="6"/>
      <c r="J1486" s="7" t="str">
        <f t="shared" ca="1" si="22"/>
        <v>(2026)</v>
      </c>
      <c r="K1486" s="7" t="str">
        <f t="shared" si="23"/>
        <v>88052323</v>
      </c>
      <c r="L1486" s="12" t="s">
        <v>7430</v>
      </c>
      <c r="M1486" s="13" t="str">
        <f ca="1">IFERROR(__xludf.DUMMYFUNCTION("TRIM(
  REGEXREPLACE(
    TEXTJOIN("" "",
      TRUE,
      B1486,
      C1486,
      embaralharLinks(E1486,F1486,G1486),
      H1486,
      """",
      J1486,
      N1486,
      ""#RIPNSFW""
    ),
  "",\s*"", "" "")
)"),"{New} Savannah Bond https://streamtape.com/v/KqBqDqDdeLH0yLx/88052323 https://doodstream.com/d/le4y6motzqv5/88052323 https://lulustream.com/d/3yqfx4s2wpsg (2026) #Anal #MILF #BigTits #Hardcore #Bigass #Porn #Blowjob #RIPNSFW")</f>
        <v>{New} Savannah Bond https://streamtape.com/v/KqBqDqDdeLH0yLx/88052323 https://doodstream.com/d/le4y6motzqv5/88052323 https://lulustream.com/d/3yqfx4s2wpsg (2026) #Anal #MILF #BigTits #Hardcore #Bigass #Porn #Blowjob #RIPNSFW</v>
      </c>
      <c r="N1486" s="14" t="s">
        <v>7431</v>
      </c>
      <c r="O1486" s="15" t="s">
        <v>7432</v>
      </c>
      <c r="P1486" s="14"/>
      <c r="Q1486" s="6"/>
      <c r="R1486" s="11"/>
      <c r="S1486" s="6"/>
      <c r="T1486" s="6"/>
      <c r="U1486" s="6"/>
      <c r="V1486" s="6"/>
      <c r="W1486" s="6"/>
      <c r="X1486" s="6"/>
      <c r="Y1486" s="6"/>
      <c r="Z1486" s="6"/>
      <c r="AA1486" s="6"/>
    </row>
    <row r="1487" spans="1:27" ht="12.75">
      <c r="A1487" s="6" t="s">
        <v>7433</v>
      </c>
      <c r="B1487" s="6" t="s">
        <v>14</v>
      </c>
      <c r="C1487" s="7" t="str">
        <f t="shared" si="20"/>
        <v xml:space="preserve">Savannah Bond </v>
      </c>
      <c r="D1487" s="6" t="s">
        <v>7434</v>
      </c>
      <c r="E1487" s="8" t="s">
        <v>7435</v>
      </c>
      <c r="F1487" s="9" t="str">
        <f ca="1">IFERROR(__xludf.DUMMYFUNCTION("""https://streamtape.com/v/""&amp;
REGEXEXTRACT(O1487,""/thumb/([^/]+)/"")&amp;
""/""&amp;K1487"),"https://streamtape.com/v/17LAZrAQBQUeo7r/90199336")</f>
        <v>https://streamtape.com/v/17LAZrAQBQUeo7r/90199336</v>
      </c>
      <c r="G1487" s="10" t="e">
        <f t="shared" ca="1" si="21"/>
        <v>#NAME?</v>
      </c>
      <c r="H1487" s="11" t="str">
        <f ca="1">IFERROR(__xludf.DUMMYFUNCTION("IFERROR(SUBSTITUTE(SUBSTITUTE(REGEXEXTRACT(A1487, ""[^-]+- [^-]+- [^-]+ - (.+?)\.jpg""), "".jpg"", """"), ""-"", "", ""), """")"),"")</f>
        <v/>
      </c>
      <c r="I1487" s="6"/>
      <c r="J1487" s="7" t="str">
        <f t="shared" ca="1" si="22"/>
        <v>(2026)</v>
      </c>
      <c r="K1487" s="7" t="str">
        <f t="shared" si="23"/>
        <v>90199336</v>
      </c>
      <c r="L1487" s="12" t="s">
        <v>7436</v>
      </c>
      <c r="M1487" s="13" t="str">
        <f ca="1">IFERROR(__xludf.DUMMYFUNCTION("TRIM(
  REGEXREPLACE(
    TEXTJOIN("" "",
      TRUE,
      B1487,
      C1487,
      embaralharLinks(E1487,F1487,G1487),
      H1487,
      """",
      J1487,
      N1487,
      ""#RIPNSFW""
    ),
  "",\s*"", "" "")
)"),"{New} Savannah Bond https://doodstream.com/d/8b3m35uqak3c/90199336 https://streamtape.com/v/17LAZrAQBQUeo7r/90199336 https://lulustream.com/d/gig2mrnbsnli (2026) #Anal #MILF #BigTits #Hardcore #Bigass #Porn #Stepmom #Blowjob #Deepthroat #Blonde #RIPNSFW")</f>
        <v>{New} Savannah Bond https://doodstream.com/d/8b3m35uqak3c/90199336 https://streamtape.com/v/17LAZrAQBQUeo7r/90199336 https://lulustream.com/d/gig2mrnbsnli (2026) #Anal #MILF #BigTits #Hardcore #Bigass #Porn #Stepmom #Blowjob #Deepthroat #Blonde #RIPNSFW</v>
      </c>
      <c r="N1487" s="14" t="s">
        <v>7437</v>
      </c>
      <c r="O1487" s="15" t="s">
        <v>7438</v>
      </c>
      <c r="P1487" s="14"/>
      <c r="Q1487" s="6"/>
      <c r="R1487" s="11"/>
      <c r="S1487" s="6"/>
      <c r="T1487" s="6"/>
      <c r="U1487" s="6"/>
      <c r="V1487" s="6"/>
      <c r="W1487" s="6"/>
      <c r="X1487" s="6"/>
      <c r="Y1487" s="6"/>
      <c r="Z1487" s="6"/>
      <c r="AA1487" s="6"/>
    </row>
    <row r="1488" spans="1:27" ht="12.75">
      <c r="A1488" s="6" t="s">
        <v>7439</v>
      </c>
      <c r="B1488" s="6" t="s">
        <v>14</v>
      </c>
      <c r="C1488" s="7" t="str">
        <f t="shared" si="20"/>
        <v xml:space="preserve">Savannah Bond </v>
      </c>
      <c r="D1488" s="6" t="s">
        <v>7440</v>
      </c>
      <c r="E1488" s="8" t="s">
        <v>7441</v>
      </c>
      <c r="F1488" s="9" t="str">
        <f ca="1">IFERROR(__xludf.DUMMYFUNCTION("""https://streamtape.com/v/""&amp;
REGEXEXTRACT(O1488,""/thumb/([^/]+)/"")&amp;
""/""&amp;K1488"),"https://streamtape.com/v/qZv979A3ABCAzV/91147371")</f>
        <v>https://streamtape.com/v/qZv979A3ABCAzV/91147371</v>
      </c>
      <c r="G1488" s="10" t="e">
        <f t="shared" ca="1" si="21"/>
        <v>#NAME?</v>
      </c>
      <c r="H1488" s="11" t="str">
        <f ca="1">IFERROR(__xludf.DUMMYFUNCTION("IFERROR(SUBSTITUTE(SUBSTITUTE(REGEXEXTRACT(A1488, ""[^-]+- [^-]+- [^-]+ - (.+?)\.jpg""), "".jpg"", """"), ""-"", "", ""), """")"),"")</f>
        <v/>
      </c>
      <c r="I1488" s="6"/>
      <c r="J1488" s="7" t="str">
        <f t="shared" ca="1" si="22"/>
        <v>(2026)</v>
      </c>
      <c r="K1488" s="7" t="str">
        <f t="shared" si="23"/>
        <v>91147371</v>
      </c>
      <c r="L1488" s="12" t="s">
        <v>7442</v>
      </c>
      <c r="M1488" s="13" t="str">
        <f ca="1">IFERROR(__xludf.DUMMYFUNCTION("TRIM(
  REGEXREPLACE(
    TEXTJOIN("" "",
      TRUE,
      B1488,
      C1488,
      embaralharLinks(E1488,F1488,G1488),
      H1488,
      """",
      J1488,
      N1488,
      ""#RIPNSFW""
    ),
  "",\s*"", "" "")
)"),"{New} Savannah Bond https://streamtape.com/v/qZv979A3ABCAzV/91147371 https://lulustream.com/d/uulldcfm2vlu https://doodstream.com/d/zujg28m5x3q1/91147371 (2026) #MILF #BigTits #Hardcore #Black #Bigass #Interracial #Porn #RIPNSFW")</f>
        <v>{New} Savannah Bond https://streamtape.com/v/qZv979A3ABCAzV/91147371 https://lulustream.com/d/uulldcfm2vlu https://doodstream.com/d/zujg28m5x3q1/91147371 (2026) #MILF #BigTits #Hardcore #Black #Bigass #Interracial #Porn #RIPNSFW</v>
      </c>
      <c r="N1488" s="14" t="s">
        <v>7443</v>
      </c>
      <c r="O1488" s="15" t="s">
        <v>7444</v>
      </c>
      <c r="P1488" s="14"/>
      <c r="Q1488" s="6"/>
      <c r="R1488" s="11"/>
      <c r="S1488" s="6"/>
      <c r="T1488" s="6"/>
      <c r="U1488" s="6"/>
      <c r="V1488" s="6"/>
      <c r="W1488" s="6"/>
      <c r="X1488" s="6"/>
      <c r="Y1488" s="6"/>
      <c r="Z1488" s="6"/>
      <c r="AA1488" s="6"/>
    </row>
    <row r="1489" spans="1:27" ht="12.75">
      <c r="A1489" s="6" t="s">
        <v>7445</v>
      </c>
      <c r="B1489" s="6" t="s">
        <v>14</v>
      </c>
      <c r="C1489" s="7" t="str">
        <f t="shared" si="20"/>
        <v xml:space="preserve">Savannah Bond </v>
      </c>
      <c r="D1489" s="6" t="s">
        <v>7446</v>
      </c>
      <c r="E1489" s="8" t="s">
        <v>7447</v>
      </c>
      <c r="F1489" s="9" t="str">
        <f ca="1">IFERROR(__xludf.DUMMYFUNCTION("""https://streamtape.com/v/""&amp;
REGEXEXTRACT(O1489,""/thumb/([^/]+)/"")&amp;
""/""&amp;K1489"),"https://streamtape.com/v/1B2R2qplB0Uej33/96516471")</f>
        <v>https://streamtape.com/v/1B2R2qplB0Uej33/96516471</v>
      </c>
      <c r="G1489" s="10" t="e">
        <f t="shared" ca="1" si="21"/>
        <v>#NAME?</v>
      </c>
      <c r="H1489" s="11" t="str">
        <f ca="1">IFERROR(__xludf.DUMMYFUNCTION("IFERROR(SUBSTITUTE(SUBSTITUTE(REGEXEXTRACT(A1489, ""[^-]+- [^-]+- [^-]+ - (.+?)\.jpg""), "".jpg"", """"), ""-"", "", ""), """")"),"")</f>
        <v/>
      </c>
      <c r="I1489" s="6"/>
      <c r="J1489" s="7" t="str">
        <f t="shared" ca="1" si="22"/>
        <v>(2026)</v>
      </c>
      <c r="K1489" s="7" t="str">
        <f t="shared" si="23"/>
        <v>96516471</v>
      </c>
      <c r="L1489" s="12" t="s">
        <v>7448</v>
      </c>
      <c r="M1489" s="13" t="str">
        <f ca="1">IFERROR(__xludf.DUMMYFUNCTION("TRIM(
  REGEXREPLACE(
    TEXTJOIN("" "",
      TRUE,
      B1489,
      C1489,
      embaralharLinks(E1489,F1489,G1489),
      H1489,
      """",
      J1489,
      N1489,
      ""#RIPNSFW""
    ),
  "",\s*"", "" "")
)"),"{New} Savannah Bond https://doodstream.com/d/rpsnyxfni59h/96516471 https://streamtape.com/v/1B2R2qplB0Uej33/96516471 https://lulustream.com/d/jrn8jh2vhgfk (2026) #MILF #BigTits #Hardcore #Bigass #Porn #Blowjob #Stepmom #RIPNSFW")</f>
        <v>{New} Savannah Bond https://doodstream.com/d/rpsnyxfni59h/96516471 https://streamtape.com/v/1B2R2qplB0Uej33/96516471 https://lulustream.com/d/jrn8jh2vhgfk (2026) #MILF #BigTits #Hardcore #Bigass #Porn #Blowjob #Stepmom #RIPNSFW</v>
      </c>
      <c r="N1489" s="14" t="s">
        <v>7449</v>
      </c>
      <c r="O1489" s="15" t="s">
        <v>7450</v>
      </c>
      <c r="P1489" s="14"/>
      <c r="Q1489" s="6"/>
      <c r="R1489" s="11"/>
      <c r="S1489" s="6"/>
      <c r="T1489" s="6"/>
      <c r="U1489" s="6"/>
      <c r="V1489" s="6"/>
      <c r="W1489" s="6"/>
      <c r="X1489" s="6"/>
      <c r="Y1489" s="6"/>
      <c r="Z1489" s="6"/>
      <c r="AA1489" s="6"/>
    </row>
    <row r="1490" spans="1:27" ht="12.75">
      <c r="A1490" s="6" t="s">
        <v>7451</v>
      </c>
      <c r="B1490" s="6" t="s">
        <v>14</v>
      </c>
      <c r="C1490" s="7" t="str">
        <f t="shared" si="20"/>
        <v xml:space="preserve">Savannah Bond </v>
      </c>
      <c r="D1490" s="6" t="s">
        <v>7452</v>
      </c>
      <c r="E1490" s="8" t="s">
        <v>7453</v>
      </c>
      <c r="F1490" s="9" t="str">
        <f ca="1">IFERROR(__xludf.DUMMYFUNCTION("""https://streamtape.com/v/""&amp;
REGEXEXTRACT(O1490,""/thumb/([^/]+)/"")&amp;
""/""&amp;K1490"),"https://streamtape.com/v/RDb9jAgRmjHdOLg/99647479")</f>
        <v>https://streamtape.com/v/RDb9jAgRmjHdOLg/99647479</v>
      </c>
      <c r="G1490" s="10" t="e">
        <f t="shared" ca="1" si="21"/>
        <v>#NAME?</v>
      </c>
      <c r="H1490" s="11" t="str">
        <f ca="1">IFERROR(__xludf.DUMMYFUNCTION("IFERROR(SUBSTITUTE(SUBSTITUTE(REGEXEXTRACT(A1490, ""[^-]+- [^-]+- [^-]+ - (.+?)\.jpg""), "".jpg"", """"), ""-"", "", ""), """")"),"Francesca Le")</f>
        <v>Francesca Le</v>
      </c>
      <c r="I1490" s="6"/>
      <c r="J1490" s="7" t="str">
        <f t="shared" ca="1" si="22"/>
        <v>(2026)</v>
      </c>
      <c r="K1490" s="7" t="str">
        <f t="shared" si="23"/>
        <v>99647479</v>
      </c>
      <c r="L1490" s="12" t="s">
        <v>7454</v>
      </c>
      <c r="M1490" s="13" t="str">
        <f ca="1">IFERROR(__xludf.DUMMYFUNCTION("TRIM(
  REGEXREPLACE(
    TEXTJOIN("" "",
      TRUE,
      B1490,
      C1490,
      embaralharLinks(E1490,F1490,G1490),
      H1490,
      """",
      J1490,
      N1490,
      ""#RIPNSFW""
    ),
  "",\s*"", "" "")
)"),"{New} Savannah Bond https://streamtape.com/v/RDb9jAgRmjHdOLg/99647479 https://lulustream.com/d/dn9xr7xwfsjb https://doodstream.com/d/xsbh0ai1yzov/99647479 Francesca Le (2026) #Anal #MILF #BigTits #Hardcore #Threesome #Bigass #Porn #RIPNSFW")</f>
        <v>{New} Savannah Bond https://streamtape.com/v/RDb9jAgRmjHdOLg/99647479 https://lulustream.com/d/dn9xr7xwfsjb https://doodstream.com/d/xsbh0ai1yzov/99647479 Francesca Le (2026) #Anal #MILF #BigTits #Hardcore #Threesome #Bigass #Porn #RIPNSFW</v>
      </c>
      <c r="N1490" s="14" t="s">
        <v>7455</v>
      </c>
      <c r="O1490" s="15" t="s">
        <v>7456</v>
      </c>
      <c r="P1490" s="14"/>
      <c r="Q1490" s="6"/>
      <c r="R1490" s="11"/>
      <c r="S1490" s="6"/>
      <c r="T1490" s="6"/>
      <c r="U1490" s="6"/>
      <c r="V1490" s="6"/>
      <c r="W1490" s="6"/>
      <c r="X1490" s="6"/>
      <c r="Y1490" s="6"/>
      <c r="Z1490" s="6"/>
      <c r="AA1490" s="6"/>
    </row>
    <row r="1491" spans="1:27" ht="12.75">
      <c r="A1491" s="6" t="s">
        <v>7457</v>
      </c>
      <c r="B1491" s="6" t="s">
        <v>14</v>
      </c>
      <c r="C1491" s="7" t="str">
        <f t="shared" si="20"/>
        <v xml:space="preserve">Scarlet Chase </v>
      </c>
      <c r="D1491" s="6" t="s">
        <v>7458</v>
      </c>
      <c r="E1491" s="8" t="s">
        <v>7459</v>
      </c>
      <c r="F1491" s="9" t="str">
        <f ca="1">IFERROR(__xludf.DUMMYFUNCTION("""https://streamtape.com/v/""&amp;
REGEXEXTRACT(O1491,""/thumb/([^/]+)/"")&amp;
""/""&amp;K1491"),"https://streamtape.com/v/LO3qb7m4dDC4Ja/52605657")</f>
        <v>https://streamtape.com/v/LO3qb7m4dDC4Ja/52605657</v>
      </c>
      <c r="G1491" s="10" t="e">
        <f t="shared" ca="1" si="21"/>
        <v>#NAME?</v>
      </c>
      <c r="H1491" s="11" t="str">
        <f ca="1">IFERROR(__xludf.DUMMYFUNCTION("IFERROR(SUBSTITUTE(SUBSTITUTE(REGEXEXTRACT(A1491, ""[^-]+- [^-]+- [^-]+ - (.+?)\.jpg""), "".jpg"", """"), ""-"", "", ""), """")"),"")</f>
        <v/>
      </c>
      <c r="I1491" s="6"/>
      <c r="J1491" s="7" t="str">
        <f t="shared" ca="1" si="22"/>
        <v>(2026)</v>
      </c>
      <c r="K1491" s="7" t="str">
        <f t="shared" si="23"/>
        <v>52605657</v>
      </c>
      <c r="L1491" s="12" t="s">
        <v>605</v>
      </c>
      <c r="M1491" s="13" t="str">
        <f ca="1">IFERROR(__xludf.DUMMYFUNCTION("TRIM(
  REGEXREPLACE(
    TEXTJOIN("" "",
      TRUE,
      B1491,
      C1491,
      embaralharLinks(E1491,F1491,G1491),
      H1491,
      """",
      J1491,
      N1491,
      ""#RIPNSFW""
    ),
  "",\s*"", "" "")
)"),"{New} Scarlet Chase https://doodstream.com/d/b9yxmpc8cvwq/52605657 https://streamtape.com/v/LO3qb7m4dDC4Ja/52605657 https://lulustream.com/d/jcknn3i0jqlq (2026) #BigTits #Hardcore #Bigass #Porn #RIPNSFW")</f>
        <v>{New} Scarlet Chase https://doodstream.com/d/b9yxmpc8cvwq/52605657 https://streamtape.com/v/LO3qb7m4dDC4Ja/52605657 https://lulustream.com/d/jcknn3i0jqlq (2026) #BigTits #Hardcore #Bigass #Porn #RIPNSFW</v>
      </c>
      <c r="N1491" s="14" t="s">
        <v>606</v>
      </c>
      <c r="O1491" s="15" t="s">
        <v>7460</v>
      </c>
      <c r="P1491" s="14"/>
      <c r="Q1491" s="6"/>
      <c r="R1491" s="11"/>
      <c r="S1491" s="6"/>
      <c r="T1491" s="6"/>
      <c r="U1491" s="6"/>
      <c r="V1491" s="6"/>
      <c r="W1491" s="6"/>
      <c r="X1491" s="6"/>
      <c r="Y1491" s="6"/>
      <c r="Z1491" s="6"/>
      <c r="AA1491" s="6"/>
    </row>
    <row r="1492" spans="1:27" ht="12.75">
      <c r="A1492" s="6" t="s">
        <v>7461</v>
      </c>
      <c r="B1492" s="6" t="s">
        <v>14</v>
      </c>
      <c r="C1492" s="7" t="str">
        <f t="shared" si="20"/>
        <v xml:space="preserve">Scarlet Chase </v>
      </c>
      <c r="D1492" s="6" t="s">
        <v>7462</v>
      </c>
      <c r="E1492" s="8" t="s">
        <v>7463</v>
      </c>
      <c r="F1492" s="9" t="str">
        <f ca="1">IFERROR(__xludf.DUMMYFUNCTION("""https://streamtape.com/v/""&amp;
REGEXEXTRACT(O1492,""/thumb/([^/]+)/"")&amp;
""/""&amp;K1492"),"https://streamtape.com/v/3GgP1aYMOkc2Ga/86232948")</f>
        <v>https://streamtape.com/v/3GgP1aYMOkc2Ga/86232948</v>
      </c>
      <c r="G1492" s="10" t="e">
        <f t="shared" ca="1" si="21"/>
        <v>#NAME?</v>
      </c>
      <c r="H1492" s="11" t="str">
        <f ca="1">IFERROR(__xludf.DUMMYFUNCTION("IFERROR(SUBSTITUTE(SUBSTITUTE(REGEXEXTRACT(A1492, ""[^-]+- [^-]+- [^-]+ - (.+?)\.jpg""), "".jpg"", """"), ""-"", "", ""), """")"),"")</f>
        <v/>
      </c>
      <c r="I1492" s="6"/>
      <c r="J1492" s="7" t="str">
        <f t="shared" ca="1" si="22"/>
        <v>(2026)</v>
      </c>
      <c r="K1492" s="7" t="str">
        <f t="shared" si="23"/>
        <v>86232948</v>
      </c>
      <c r="L1492" s="12" t="s">
        <v>7464</v>
      </c>
      <c r="M1492" s="13" t="str">
        <f ca="1">IFERROR(__xludf.DUMMYFUNCTION("TRIM(
  REGEXREPLACE(
    TEXTJOIN("" "",
      TRUE,
      B1492,
      C1492,
      embaralharLinks(E1492,F1492,G1492),
      H1492,
      """",
      J1492,
      N1492,
      ""#RIPNSFW""
    ),
  "",\s*"", "" "")
)"),"{New} Scarlet Chase https://doodstream.com/d/c9959u8s1k0o/86232948 https://streamtape.com/v/3GgP1aYMOkc2Ga/86232948 https://lulustream.com/d/yl70k1sa5ejk (2026) #Anal #BigTits #Hardcore #Bigass #Porn #Teen #RIPNSFW")</f>
        <v>{New} Scarlet Chase https://doodstream.com/d/c9959u8s1k0o/86232948 https://streamtape.com/v/3GgP1aYMOkc2Ga/86232948 https://lulustream.com/d/yl70k1sa5ejk (2026) #Anal #BigTits #Hardcore #Bigass #Porn #Teen #RIPNSFW</v>
      </c>
      <c r="N1492" s="14" t="s">
        <v>7465</v>
      </c>
      <c r="O1492" s="15" t="s">
        <v>7466</v>
      </c>
      <c r="P1492" s="14"/>
      <c r="Q1492" s="6"/>
      <c r="R1492" s="11"/>
      <c r="S1492" s="6"/>
      <c r="T1492" s="6"/>
      <c r="U1492" s="6"/>
      <c r="V1492" s="6"/>
      <c r="W1492" s="6"/>
      <c r="X1492" s="6"/>
      <c r="Y1492" s="6"/>
      <c r="Z1492" s="6"/>
      <c r="AA1492" s="6"/>
    </row>
    <row r="1493" spans="1:27" ht="12.75">
      <c r="A1493" s="12" t="s">
        <v>7467</v>
      </c>
      <c r="B1493" s="6"/>
      <c r="C1493" s="7" t="str">
        <f t="shared" si="20"/>
        <v xml:space="preserve">Scarlett </v>
      </c>
      <c r="D1493" s="24" t="s">
        <v>7468</v>
      </c>
      <c r="E1493" s="25" t="s">
        <v>7469</v>
      </c>
      <c r="F1493" s="9" t="str">
        <f ca="1">IFERROR(__xludf.DUMMYFUNCTION("""https://streamtape.com/v/""&amp;
REGEXEXTRACT(O1493,""/thumb/([^/]+)/"")&amp;
""/""&amp;K1493"),"https://streamtape.com/v/3P7GkV4j1WCdWym/24350717")</f>
        <v>https://streamtape.com/v/3P7GkV4j1WCdWym/24350717</v>
      </c>
      <c r="G1493" s="10" t="e">
        <f t="shared" ca="1" si="21"/>
        <v>#NAME?</v>
      </c>
      <c r="H1493" s="11" t="str">
        <f ca="1">IFERROR(__xludf.DUMMYFUNCTION("IFERROR(SUBSTITUTE(SUBSTITUTE(REGEXEXTRACT(A1493, ""[^-]+- [^-]+- [^-]+ - (.+?)\.jpg""), "".jpg"", """"), ""-"", "", ""), """")"),"")</f>
        <v/>
      </c>
      <c r="I1493" s="6"/>
      <c r="J1493" s="7" t="str">
        <f t="shared" ca="1" si="22"/>
        <v/>
      </c>
      <c r="K1493" s="7" t="str">
        <f t="shared" si="23"/>
        <v>24350717</v>
      </c>
      <c r="L1493" s="12" t="s">
        <v>7470</v>
      </c>
      <c r="M1493" s="13" t="str">
        <f ca="1">IFERROR(__xludf.DUMMYFUNCTION("TRIM(
  REGEXREPLACE(
    TEXTJOIN("" "",
      TRUE,
      B1493,
      C1493,
      embaralharLinks(E1493,F1493,G1493),
      H1493,
      """",
      J1493,
      N1493,
      ""#RIPNSFW""
    ),
  "",\s*"", "" "")
)"),"Scarlett https://doodstream.com/d/r7pnuwyd9wra/24350717 https://lulustream.com/d/m3w4gbtb2tyg https://streamtape.com/v/3P7GkV4j1WCdWym/24350717 #anal #casting #teen #porn #RIPNSFW")</f>
        <v>Scarlett https://doodstream.com/d/r7pnuwyd9wra/24350717 https://lulustream.com/d/m3w4gbtb2tyg https://streamtape.com/v/3P7GkV4j1WCdWym/24350717 #anal #casting #teen #porn #RIPNSFW</v>
      </c>
      <c r="N1493" s="2" t="s">
        <v>7470</v>
      </c>
      <c r="O1493" s="30" t="s">
        <v>7471</v>
      </c>
      <c r="P1493" s="26"/>
      <c r="R1493" s="23"/>
      <c r="T1493" s="6"/>
      <c r="U1493" s="7"/>
    </row>
    <row r="1494" spans="1:27" ht="12.75">
      <c r="A1494" s="12" t="s">
        <v>7472</v>
      </c>
      <c r="B1494" s="6"/>
      <c r="C1494" s="7" t="str">
        <f t="shared" si="20"/>
        <v xml:space="preserve">Scarlett Hampton </v>
      </c>
      <c r="D1494" s="24" t="s">
        <v>7473</v>
      </c>
      <c r="E1494" s="25" t="s">
        <v>7474</v>
      </c>
      <c r="F1494" s="9" t="str">
        <f ca="1">IFERROR(__xludf.DUMMYFUNCTION("""https://streamtape.com/v/""&amp;
REGEXEXTRACT(O1494,""/thumb/([^/]+)/"")&amp;
""/""&amp;K1494"),"https://streamtape.com/v/bVgymky0OjtDRQ/02295819")</f>
        <v>https://streamtape.com/v/bVgymky0OjtDRQ/02295819</v>
      </c>
      <c r="G1494" s="10" t="e">
        <f t="shared" ca="1" si="21"/>
        <v>#NAME?</v>
      </c>
      <c r="H1494" s="11" t="str">
        <f ca="1">IFERROR(__xludf.DUMMYFUNCTION("IFERROR(SUBSTITUTE(SUBSTITUTE(REGEXEXTRACT(A1494, ""[^-]+- [^-]+- [^-]+ - (.+?)\.jpg""), "".jpg"", """"), ""-"", "", ""), """")"),"JackandJill")</f>
        <v>JackandJill</v>
      </c>
      <c r="I1494" s="6"/>
      <c r="J1494" s="7" t="str">
        <f t="shared" ca="1" si="22"/>
        <v/>
      </c>
      <c r="K1494" s="7" t="str">
        <f t="shared" si="23"/>
        <v>02295819</v>
      </c>
      <c r="L1494" s="12" t="s">
        <v>7475</v>
      </c>
      <c r="M1494" s="13" t="str">
        <f ca="1">IFERROR(__xludf.DUMMYFUNCTION("TRIM(
  REGEXREPLACE(
    TEXTJOIN("" "",
      TRUE,
      B1494,
      C1494,
      embaralharLinks(E1494,F1494,G1494),
      H1494,
      """",
      J1494,
      N1494,
      ""#RIPNSFW""
    ),
  "",\s*"", "" "")
)"),"Scarlett Hampton https://doodstream.com/d/zagym6b0w1kq/02295819 https://streamtape.com/v/bVgymky0OjtDRQ/02295819 https://lulustream.com/d/3c51gzl9a8mx JackandJill #anal #threesome #blowjob #blonde #RIPNSFW")</f>
        <v>Scarlett Hampton https://doodstream.com/d/zagym6b0w1kq/02295819 https://streamtape.com/v/bVgymky0OjtDRQ/02295819 https://lulustream.com/d/3c51gzl9a8mx JackandJill #anal #threesome #blowjob #blonde #RIPNSFW</v>
      </c>
      <c r="N1494" s="2" t="s">
        <v>7475</v>
      </c>
      <c r="O1494" s="30" t="s">
        <v>7476</v>
      </c>
      <c r="P1494" s="26"/>
      <c r="R1494" s="23"/>
      <c r="T1494" s="6"/>
      <c r="U1494" s="7"/>
    </row>
    <row r="1495" spans="1:27" ht="12.75">
      <c r="A1495" s="12" t="s">
        <v>7477</v>
      </c>
      <c r="B1495" s="6" t="s">
        <v>14</v>
      </c>
      <c r="C1495" s="7" t="str">
        <f t="shared" si="20"/>
        <v xml:space="preserve">Scarlettkissesxo </v>
      </c>
      <c r="D1495" s="24" t="s">
        <v>7478</v>
      </c>
      <c r="E1495" s="25" t="s">
        <v>7479</v>
      </c>
      <c r="F1495" s="9" t="str">
        <f ca="1">IFERROR(__xludf.DUMMYFUNCTION("""https://streamtape.com/v/""&amp;
REGEXEXTRACT(O1495,""/thumb/([^/]+)/"")&amp;
""/""&amp;K1495"),"https://streamtape.com/v/Jw08p277aPujlRV/37218340")</f>
        <v>https://streamtape.com/v/Jw08p277aPujlRV/37218340</v>
      </c>
      <c r="G1495" s="10" t="e">
        <f t="shared" ca="1" si="21"/>
        <v>#NAME?</v>
      </c>
      <c r="H1495" s="11" t="str">
        <f ca="1">IFERROR(__xludf.DUMMYFUNCTION("IFERROR(SUBSTITUTE(SUBSTITUTE(REGEXEXTRACT(A1495, ""[^-]+- [^-]+- [^-]+ - (.+?)\.jpg""), "".jpg"", """"), ""-"", "", ""), """")"),"")</f>
        <v/>
      </c>
      <c r="I1495" s="6"/>
      <c r="J1495" s="7" t="str">
        <f t="shared" ca="1" si="22"/>
        <v>(2026)</v>
      </c>
      <c r="K1495" s="7" t="str">
        <f t="shared" si="23"/>
        <v>37218340</v>
      </c>
      <c r="L1495" s="12" t="s">
        <v>1788</v>
      </c>
      <c r="M1495" s="13" t="str">
        <f ca="1">IFERROR(__xludf.DUMMYFUNCTION("TRIM(
  REGEXREPLACE(
    TEXTJOIN("" "",
      TRUE,
      B1495,
      C1495,
      embaralharLinks(E1495,F1495,G1495),
      H1495,
      """",
      J1495,
      N1495,
      ""#RIPNSFW""
    ),
  "",\s*"", "" "")
)"),"{New} Scarlettkissesxo https://streamtape.com/v/Jw08p277aPujlRV/37218340 https://lulustream.com/d/tetnzi4kkmh1 https://doodstream.com/d/e3bx7jp77bxf/37218340 (2026) #milf #bigtits #blowjob #blonde #RIPNSFW")</f>
        <v>{New} Scarlettkissesxo https://streamtape.com/v/Jw08p277aPujlRV/37218340 https://lulustream.com/d/tetnzi4kkmh1 https://doodstream.com/d/e3bx7jp77bxf/37218340 (2026) #milf #bigtits #blowjob #blonde #RIPNSFW</v>
      </c>
      <c r="N1495" s="2" t="s">
        <v>1788</v>
      </c>
      <c r="O1495" s="30" t="s">
        <v>7480</v>
      </c>
      <c r="P1495" s="26"/>
      <c r="R1495" s="23"/>
      <c r="T1495" s="6"/>
      <c r="U1495" s="7"/>
    </row>
    <row r="1496" spans="1:27" ht="12.75">
      <c r="A1496" s="12" t="s">
        <v>7481</v>
      </c>
      <c r="B1496" s="6" t="s">
        <v>14</v>
      </c>
      <c r="C1496" s="7" t="str">
        <f t="shared" si="20"/>
        <v xml:space="preserve">Scarlettkissesxo </v>
      </c>
      <c r="D1496" s="24" t="s">
        <v>7482</v>
      </c>
      <c r="E1496" s="25" t="s">
        <v>7483</v>
      </c>
      <c r="F1496" s="9" t="str">
        <f ca="1">IFERROR(__xludf.DUMMYFUNCTION("""https://streamtape.com/v/""&amp;
REGEXEXTRACT(O1496,""/thumb/([^/]+)/"")&amp;
""/""&amp;K1496"),"https://streamtape.com/v/17kopZaaOxsbLA/38580972")</f>
        <v>https://streamtape.com/v/17kopZaaOxsbLA/38580972</v>
      </c>
      <c r="G1496" s="10" t="e">
        <f t="shared" ca="1" si="21"/>
        <v>#NAME?</v>
      </c>
      <c r="H1496" s="11" t="str">
        <f ca="1">IFERROR(__xludf.DUMMYFUNCTION("IFERROR(SUBSTITUTE(SUBSTITUTE(REGEXEXTRACT(A1496, ""[^-]+- [^-]+- [^-]+ - (.+?)\.jpg""), "".jpg"", """"), ""-"", "", ""), """")"),"")</f>
        <v/>
      </c>
      <c r="I1496" s="6"/>
      <c r="J1496" s="7" t="str">
        <f t="shared" ca="1" si="22"/>
        <v>(2026)</v>
      </c>
      <c r="K1496" s="7" t="str">
        <f t="shared" si="23"/>
        <v>38580972</v>
      </c>
      <c r="L1496" s="12" t="s">
        <v>1711</v>
      </c>
      <c r="M1496" s="13" t="str">
        <f ca="1">IFERROR(__xludf.DUMMYFUNCTION("TRIM(
  REGEXREPLACE(
    TEXTJOIN("" "",
      TRUE,
      B1496,
      C1496,
      embaralharLinks(E1496,F1496,G1496),
      H1496,
      """",
      J1496,
      N1496,
      ""#RIPNSFW""
    ),
  "",\s*"", "" "")
)"),"{New} Scarlettkissesxo https://lulustream.com/d/laa7bemj9874 https://streamtape.com/v/17kopZaaOxsbLA/38580972 https://doodstream.com/d/l5i3q7hs574h/38580972 (2026) #milf #bigass #bigtits #blowjob #RIPNSFW")</f>
        <v>{New} Scarlettkissesxo https://lulustream.com/d/laa7bemj9874 https://streamtape.com/v/17kopZaaOxsbLA/38580972 https://doodstream.com/d/l5i3q7hs574h/38580972 (2026) #milf #bigass #bigtits #blowjob #RIPNSFW</v>
      </c>
      <c r="N1496" s="2" t="s">
        <v>1711</v>
      </c>
      <c r="O1496" s="30" t="s">
        <v>7484</v>
      </c>
      <c r="P1496" s="26"/>
      <c r="R1496" s="23"/>
      <c r="T1496" s="6"/>
      <c r="U1496" s="7"/>
    </row>
    <row r="1497" spans="1:27" ht="12.75">
      <c r="A1497" s="12" t="s">
        <v>7485</v>
      </c>
      <c r="B1497" s="6"/>
      <c r="C1497" s="7" t="str">
        <f t="shared" si="20"/>
        <v xml:space="preserve">Scarlettkissesxo </v>
      </c>
      <c r="D1497" s="24" t="s">
        <v>7486</v>
      </c>
      <c r="E1497" s="25" t="s">
        <v>7487</v>
      </c>
      <c r="F1497" s="9" t="str">
        <f ca="1">IFERROR(__xludf.DUMMYFUNCTION("""https://streamtape.com/v/""&amp;
REGEXEXTRACT(O1497,""/thumb/([^/]+)/"")&amp;
""/""&amp;K1497"),"https://streamtape.com/v/mQd1zwKOz2Hb3MK/49030137")</f>
        <v>https://streamtape.com/v/mQd1zwKOz2Hb3MK/49030137</v>
      </c>
      <c r="G1497" s="10" t="e">
        <f t="shared" ca="1" si="21"/>
        <v>#NAME?</v>
      </c>
      <c r="H1497" s="11" t="str">
        <f ca="1">IFERROR(__xludf.DUMMYFUNCTION("IFERROR(SUBSTITUTE(SUBSTITUTE(REGEXEXTRACT(A1497, ""[^-]+- [^-]+- [^-]+ - (.+?)\.jpg""), "".jpg"", """"), ""-"", "", ""), """")"),"")</f>
        <v/>
      </c>
      <c r="I1497" s="6"/>
      <c r="J1497" s="7" t="str">
        <f t="shared" ca="1" si="22"/>
        <v/>
      </c>
      <c r="K1497" s="7" t="str">
        <f t="shared" si="23"/>
        <v>49030137</v>
      </c>
      <c r="L1497" s="12" t="s">
        <v>7488</v>
      </c>
      <c r="M1497" s="13" t="str">
        <f ca="1">IFERROR(__xludf.DUMMYFUNCTION("TRIM(
  REGEXREPLACE(
    TEXTJOIN("" "",
      TRUE,
      B1497,
      C1497,
      embaralharLinks(E1497,F1497,G1497),
      H1497,
      """",
      J1497,
      N1497,
      ""#RIPNSFW""
    ),
  "",\s*"", "" "")
)"),"Scarlettkissesxo https://streamtape.com/v/mQd1zwKOz2Hb3MK/49030137 https://lulustream.com/d/ruz1mw6yrvoz https://doodstream.com/d/ixsbjhsl9boq/49030137 #blonde #bigtits #bigass #blowjob #RIPNSFW")</f>
        <v>Scarlettkissesxo https://streamtape.com/v/mQd1zwKOz2Hb3MK/49030137 https://lulustream.com/d/ruz1mw6yrvoz https://doodstream.com/d/ixsbjhsl9boq/49030137 #blonde #bigtits #bigass #blowjob #RIPNSFW</v>
      </c>
      <c r="N1497" s="2" t="s">
        <v>7488</v>
      </c>
      <c r="O1497" s="21" t="s">
        <v>7489</v>
      </c>
      <c r="P1497" s="26"/>
      <c r="R1497" s="23"/>
      <c r="T1497" s="6"/>
      <c r="U1497" s="7"/>
    </row>
    <row r="1498" spans="1:27" ht="12.75">
      <c r="A1498" s="12" t="s">
        <v>7490</v>
      </c>
      <c r="B1498" s="6" t="s">
        <v>14</v>
      </c>
      <c r="C1498" s="7" t="str">
        <f t="shared" si="20"/>
        <v xml:space="preserve">Scarlettkissesxo </v>
      </c>
      <c r="D1498" s="24" t="s">
        <v>7491</v>
      </c>
      <c r="E1498" s="25" t="s">
        <v>7492</v>
      </c>
      <c r="F1498" s="9" t="str">
        <f ca="1">IFERROR(__xludf.DUMMYFUNCTION("""https://streamtape.com/v/""&amp;
REGEXEXTRACT(O1498,""/thumb/([^/]+)/"")&amp;
""/""&amp;K1498"),"https://streamtape.com/v/dr1Zp2GYPQTk4Gj/49786567")</f>
        <v>https://streamtape.com/v/dr1Zp2GYPQTk4Gj/49786567</v>
      </c>
      <c r="G1498" s="10" t="e">
        <f t="shared" ca="1" si="21"/>
        <v>#NAME?</v>
      </c>
      <c r="H1498" s="11" t="str">
        <f ca="1">IFERROR(__xludf.DUMMYFUNCTION("IFERROR(SUBSTITUTE(SUBSTITUTE(REGEXEXTRACT(A1498, ""[^-]+- [^-]+- [^-]+ - (.+?)\.jpg""), "".jpg"", """"), ""-"", "", ""), """")"),"")</f>
        <v/>
      </c>
      <c r="I1498" s="6"/>
      <c r="J1498" s="7" t="str">
        <f t="shared" ca="1" si="22"/>
        <v>(2026)</v>
      </c>
      <c r="K1498" s="7" t="str">
        <f t="shared" si="23"/>
        <v>49786567</v>
      </c>
      <c r="L1498" s="12" t="s">
        <v>7493</v>
      </c>
      <c r="M1498" s="13" t="str">
        <f ca="1">IFERROR(__xludf.DUMMYFUNCTION("TRIM(
  REGEXREPLACE(
    TEXTJOIN("" "",
      TRUE,
      B1498,
      C1498,
      embaralharLinks(E1498,F1498,G1498),
      H1498,
      """",
      J1498,
      N1498,
      ""#RIPNSFW""
    ),
  "",\s*"", "" "")
)"),"{New} Scarlettkissesxo https://doodstream.com/d/92sgk19zix4z/49786567 https://lulustream.com/d/cnmg1vda81zh https://streamtape.com/v/dr1Zp2GYPQTk4Gj/49786567 (2026) #bigtits #sloppy #blowjob #blonde #RIPNSFW")</f>
        <v>{New} Scarlettkissesxo https://doodstream.com/d/92sgk19zix4z/49786567 https://lulustream.com/d/cnmg1vda81zh https://streamtape.com/v/dr1Zp2GYPQTk4Gj/49786567 (2026) #bigtits #sloppy #blowjob #blonde #RIPNSFW</v>
      </c>
      <c r="N1498" s="2" t="s">
        <v>7493</v>
      </c>
      <c r="O1498" s="30" t="s">
        <v>7494</v>
      </c>
      <c r="P1498" s="26"/>
      <c r="R1498" s="23"/>
      <c r="T1498" s="11"/>
      <c r="U1498" s="13"/>
    </row>
    <row r="1499" spans="1:27" ht="12.75">
      <c r="A1499" s="12" t="s">
        <v>7495</v>
      </c>
      <c r="B1499" s="6" t="s">
        <v>14</v>
      </c>
      <c r="C1499" s="7" t="str">
        <f t="shared" si="20"/>
        <v xml:space="preserve">Scarlettkissesxo </v>
      </c>
      <c r="D1499" s="24" t="s">
        <v>7496</v>
      </c>
      <c r="E1499" s="25" t="s">
        <v>7497</v>
      </c>
      <c r="F1499" s="9" t="str">
        <f ca="1">IFERROR(__xludf.DUMMYFUNCTION("""https://streamtape.com/v/""&amp;
REGEXEXTRACT(O1499,""/thumb/([^/]+)/"")&amp;
""/""&amp;K1499"),"https://streamtape.com/v/PjmWQaG6g4h00wB/77970543")</f>
        <v>https://streamtape.com/v/PjmWQaG6g4h00wB/77970543</v>
      </c>
      <c r="G1499" s="10" t="e">
        <f t="shared" ca="1" si="21"/>
        <v>#NAME?</v>
      </c>
      <c r="H1499" s="11" t="str">
        <f ca="1">IFERROR(__xludf.DUMMYFUNCTION("IFERROR(SUBSTITUTE(SUBSTITUTE(REGEXEXTRACT(A1499, ""[^-]+- [^-]+- [^-]+ - (.+?)\.jpg""), "".jpg"", """"), ""-"", "", ""), """")"),"")</f>
        <v/>
      </c>
      <c r="I1499" s="6"/>
      <c r="J1499" s="7" t="str">
        <f t="shared" ca="1" si="22"/>
        <v>(2026)</v>
      </c>
      <c r="K1499" s="7" t="str">
        <f t="shared" si="23"/>
        <v>77970543</v>
      </c>
      <c r="L1499" s="12" t="s">
        <v>7498</v>
      </c>
      <c r="M1499" s="13" t="str">
        <f ca="1">IFERROR(__xludf.DUMMYFUNCTION("TRIM(
  REGEXREPLACE(
    TEXTJOIN("" "",
      TRUE,
      B1499,
      C1499,
      embaralharLinks(E1499,F1499,G1499),
      H1499,
      """",
      J1499,
      N1499,
      ""#RIPNSFW""
    ),
  "",\s*"", "" "")
)"),"{New} Scarlettkissesxo https://lulustream.com/d/2b5lp8q5k2rp https://doodstream.com/d/u49sv9jvrxwc/77970543 https://streamtape.com/v/PjmWQaG6g4h00wB/77970543 (2026) #blonde #blowjob #bigass #bigtits #RIPNSFW")</f>
        <v>{New} Scarlettkissesxo https://lulustream.com/d/2b5lp8q5k2rp https://doodstream.com/d/u49sv9jvrxwc/77970543 https://streamtape.com/v/PjmWQaG6g4h00wB/77970543 (2026) #blonde #blowjob #bigass #bigtits #RIPNSFW</v>
      </c>
      <c r="N1499" s="2" t="s">
        <v>7498</v>
      </c>
      <c r="O1499" s="21" t="s">
        <v>7499</v>
      </c>
      <c r="P1499" s="26"/>
      <c r="R1499" s="23"/>
      <c r="T1499" s="6"/>
      <c r="U1499" s="7"/>
    </row>
    <row r="1500" spans="1:27" ht="12.75">
      <c r="A1500" s="12" t="s">
        <v>7500</v>
      </c>
      <c r="B1500" s="6" t="s">
        <v>14</v>
      </c>
      <c r="C1500" s="7" t="str">
        <f t="shared" si="20"/>
        <v xml:space="preserve">Scarlettkissesxo </v>
      </c>
      <c r="D1500" s="24" t="s">
        <v>7501</v>
      </c>
      <c r="E1500" s="25" t="s">
        <v>7502</v>
      </c>
      <c r="F1500" s="9" t="str">
        <f ca="1">IFERROR(__xludf.DUMMYFUNCTION("""https://streamtape.com/v/""&amp;
REGEXEXTRACT(O1500,""/thumb/([^/]+)/"")&amp;
""/""&amp;K1500"),"https://streamtape.com/v/xgpwydmB0XUkGQD/90057118")</f>
        <v>https://streamtape.com/v/xgpwydmB0XUkGQD/90057118</v>
      </c>
      <c r="G1500" s="10" t="e">
        <f t="shared" ca="1" si="21"/>
        <v>#NAME?</v>
      </c>
      <c r="H1500" s="11" t="str">
        <f ca="1">IFERROR(__xludf.DUMMYFUNCTION("IFERROR(SUBSTITUTE(SUBSTITUTE(REGEXEXTRACT(A1500, ""[^-]+- [^-]+- [^-]+ - (.+?)\.jpg""), "".jpg"", """"), ""-"", "", ""), """")"),"")</f>
        <v/>
      </c>
      <c r="I1500" s="6"/>
      <c r="J1500" s="7" t="str">
        <f t="shared" ca="1" si="22"/>
        <v>(2026)</v>
      </c>
      <c r="K1500" s="7" t="str">
        <f t="shared" si="23"/>
        <v>90057118</v>
      </c>
      <c r="L1500" s="12" t="s">
        <v>3154</v>
      </c>
      <c r="M1500" s="13" t="str">
        <f ca="1">IFERROR(__xludf.DUMMYFUNCTION("TRIM(
  REGEXREPLACE(
    TEXTJOIN("" "",
      TRUE,
      B1500,
      C1500,
      embaralharLinks(E1500,F1500,G1500),
      H1500,
      """",
      J1500,
      N1500,
      ""#RIPNSFW""
    ),
  "",\s*"", "" "")
)"),"{New} Scarlettkissesxo https://doodstream.com/d/ju98yk3k8qj9/90057118 https://lulustream.com/d/3o3cr08gdym6 https://streamtape.com/v/xgpwydmB0XUkGQD/90057118 (2026) #milf #blonde #bigtits #blowjob #RIPNSFW")</f>
        <v>{New} Scarlettkissesxo https://doodstream.com/d/ju98yk3k8qj9/90057118 https://lulustream.com/d/3o3cr08gdym6 https://streamtape.com/v/xgpwydmB0XUkGQD/90057118 (2026) #milf #blonde #bigtits #blowjob #RIPNSFW</v>
      </c>
      <c r="N1500" s="2" t="s">
        <v>3154</v>
      </c>
      <c r="O1500" s="30" t="s">
        <v>7503</v>
      </c>
      <c r="P1500" s="26"/>
      <c r="R1500" s="23"/>
      <c r="T1500" s="6"/>
      <c r="U1500" s="7"/>
    </row>
    <row r="1501" spans="1:27" ht="12.75">
      <c r="A1501" s="6" t="s">
        <v>7504</v>
      </c>
      <c r="B1501" s="6" t="s">
        <v>14</v>
      </c>
      <c r="C1501" s="7" t="str">
        <f t="shared" si="20"/>
        <v xml:space="preserve">Shrooms Q </v>
      </c>
      <c r="D1501" s="6" t="s">
        <v>7505</v>
      </c>
      <c r="E1501" s="8" t="s">
        <v>7506</v>
      </c>
      <c r="F1501" s="9" t="str">
        <f ca="1">IFERROR(__xludf.DUMMYFUNCTION("""https://streamtape.com/v/""&amp;
REGEXEXTRACT(O1501,""/thumb/([^/]+)/"")&amp;
""/""&amp;K1501"),"https://streamtape.com/v/39w3GKzK0etdmbx/35238998")</f>
        <v>https://streamtape.com/v/39w3GKzK0etdmbx/35238998</v>
      </c>
      <c r="G1501" s="10" t="e">
        <f t="shared" ca="1" si="21"/>
        <v>#NAME?</v>
      </c>
      <c r="H1501" s="11" t="str">
        <f ca="1">IFERROR(__xludf.DUMMYFUNCTION("IFERROR(SUBSTITUTE(SUBSTITUTE(REGEXEXTRACT(A1501, ""[^-]+- [^-]+- [^-]+ - (.+?)\.jpg""), "".jpg"", """"), ""-"", "", ""), """")"),"")</f>
        <v/>
      </c>
      <c r="I1501" s="6"/>
      <c r="J1501" s="7" t="str">
        <f t="shared" ca="1" si="22"/>
        <v>(2026)</v>
      </c>
      <c r="K1501" s="7" t="str">
        <f t="shared" si="23"/>
        <v>35238998</v>
      </c>
      <c r="L1501" s="12" t="s">
        <v>7507</v>
      </c>
      <c r="M1501" s="13" t="str">
        <f ca="1">IFERROR(__xludf.DUMMYFUNCTION("TRIM(
  REGEXREPLACE(
    TEXTJOIN("" "",
      TRUE,
      B1501,
      C1501,
      embaralharLinks(E1501,F1501,G1501),
      H1501,
      """",
      J1501,
      N1501,
      ""#RIPNSFW""
    ),
  "",\s*"", "" "")
)"),"{New} Shrooms Q https://lulustream.com/d/jd6notgdwrqo https://doodstream.com/d/ap086kxbb698/35238998 https://streamtape.com/v/39w3GKzK0etdmbx/35238998 (2026) #Hardcore #Teen #Blowjob #Amateur #Deepthroat #RIPNSFW")</f>
        <v>{New} Shrooms Q https://lulustream.com/d/jd6notgdwrqo https://doodstream.com/d/ap086kxbb698/35238998 https://streamtape.com/v/39w3GKzK0etdmbx/35238998 (2026) #Hardcore #Teen #Blowjob #Amateur #Deepthroat #RIPNSFW</v>
      </c>
      <c r="N1501" s="14" t="s">
        <v>7508</v>
      </c>
      <c r="O1501" s="15" t="s">
        <v>7509</v>
      </c>
      <c r="P1501" s="14"/>
      <c r="Q1501" s="6"/>
      <c r="R1501" s="11"/>
      <c r="S1501" s="6"/>
      <c r="T1501" s="6"/>
      <c r="U1501" s="6"/>
      <c r="V1501" s="6"/>
      <c r="W1501" s="6"/>
      <c r="X1501" s="6"/>
      <c r="Y1501" s="6"/>
      <c r="Z1501" s="6"/>
      <c r="AA1501" s="6"/>
    </row>
    <row r="1502" spans="1:27" ht="12.75">
      <c r="A1502" s="6" t="s">
        <v>7510</v>
      </c>
      <c r="B1502" s="6" t="s">
        <v>14</v>
      </c>
      <c r="C1502" s="7" t="str">
        <f t="shared" si="20"/>
        <v xml:space="preserve">Shrooms Q </v>
      </c>
      <c r="D1502" s="6" t="s">
        <v>7511</v>
      </c>
      <c r="E1502" s="8" t="s">
        <v>7512</v>
      </c>
      <c r="F1502" s="9" t="str">
        <f ca="1">IFERROR(__xludf.DUMMYFUNCTION("""https://streamtape.com/v/""&amp;
REGEXEXTRACT(O1502,""/thumb/([^/]+)/"")&amp;
""/""&amp;K1502"),"https://streamtape.com/v/Xb88yzR2PdfzgW/37477053")</f>
        <v>https://streamtape.com/v/Xb88yzR2PdfzgW/37477053</v>
      </c>
      <c r="G1502" s="10" t="e">
        <f t="shared" ca="1" si="21"/>
        <v>#NAME?</v>
      </c>
      <c r="H1502" s="11" t="str">
        <f ca="1">IFERROR(__xludf.DUMMYFUNCTION("IFERROR(SUBSTITUTE(SUBSTITUTE(REGEXEXTRACT(A1502, ""[^-]+- [^-]+- [^-]+ - (.+?)\.jpg""), "".jpg"", """"), ""-"", "", ""), """")"),"")</f>
        <v/>
      </c>
      <c r="I1502" s="6"/>
      <c r="J1502" s="7" t="str">
        <f t="shared" ca="1" si="22"/>
        <v>(2026)</v>
      </c>
      <c r="K1502" s="7" t="str">
        <f t="shared" si="23"/>
        <v>37477053</v>
      </c>
      <c r="L1502" s="12" t="s">
        <v>7513</v>
      </c>
      <c r="M1502" s="13" t="str">
        <f ca="1">IFERROR(__xludf.DUMMYFUNCTION("TRIM(
  REGEXREPLACE(
    TEXTJOIN("" "",
      TRUE,
      B1502,
      C1502,
      embaralharLinks(E1502,F1502,G1502),
      H1502,
      """",
      J1502,
      N1502,
      ""#RIPNSFW""
    ),
  "",\s*"", "" "")
)"),"{New} Shrooms Q https://streamtape.com/v/Xb88yzR2PdfzgW/37477053 https://doodstream.com/d/9hxzdfajpbog/37477053 https://lulustream.com/d/5tor4pwpcvcq (2026) #Hardcore #Black #Threesome #Interracial #Teen #Teens #Blowjob #RIPNSFW")</f>
        <v>{New} Shrooms Q https://streamtape.com/v/Xb88yzR2PdfzgW/37477053 https://doodstream.com/d/9hxzdfajpbog/37477053 https://lulustream.com/d/5tor4pwpcvcq (2026) #Hardcore #Black #Threesome #Interracial #Teen #Teens #Blowjob #RIPNSFW</v>
      </c>
      <c r="N1502" s="14" t="s">
        <v>7514</v>
      </c>
      <c r="O1502" s="15" t="s">
        <v>7515</v>
      </c>
      <c r="P1502" s="14"/>
      <c r="Q1502" s="6"/>
      <c r="R1502" s="11"/>
      <c r="S1502" s="6"/>
      <c r="T1502" s="6"/>
      <c r="U1502" s="6"/>
      <c r="V1502" s="6"/>
      <c r="W1502" s="6"/>
      <c r="X1502" s="6"/>
      <c r="Y1502" s="6"/>
      <c r="Z1502" s="6"/>
      <c r="AA1502" s="6"/>
    </row>
    <row r="1503" spans="1:27" ht="12.75">
      <c r="A1503" s="6" t="s">
        <v>7516</v>
      </c>
      <c r="B1503" s="6" t="s">
        <v>14</v>
      </c>
      <c r="C1503" s="7" t="str">
        <f t="shared" si="20"/>
        <v xml:space="preserve">Shrooms Q </v>
      </c>
      <c r="D1503" s="6" t="s">
        <v>7517</v>
      </c>
      <c r="E1503" s="8" t="s">
        <v>7518</v>
      </c>
      <c r="F1503" s="9" t="str">
        <f ca="1">IFERROR(__xludf.DUMMYFUNCTION("""https://streamtape.com/v/""&amp;
REGEXEXTRACT(O1503,""/thumb/([^/]+)/"")&amp;
""/""&amp;K1503"),"https://streamtape.com/v/vwLlQZMdX8u4xvd/37782494")</f>
        <v>https://streamtape.com/v/vwLlQZMdX8u4xvd/37782494</v>
      </c>
      <c r="G1503" s="10" t="e">
        <f t="shared" ca="1" si="21"/>
        <v>#NAME?</v>
      </c>
      <c r="H1503" s="11" t="str">
        <f ca="1">IFERROR(__xludf.DUMMYFUNCTION("IFERROR(SUBSTITUTE(SUBSTITUTE(REGEXEXTRACT(A1503, ""[^-]+- [^-]+- [^-]+ - (.+?)\.jpg""), "".jpg"", """"), ""-"", "", ""), """")"),"")</f>
        <v/>
      </c>
      <c r="I1503" s="6"/>
      <c r="J1503" s="7" t="str">
        <f t="shared" ca="1" si="22"/>
        <v>(2026)</v>
      </c>
      <c r="K1503" s="7" t="str">
        <f t="shared" si="23"/>
        <v>37782494</v>
      </c>
      <c r="L1503" s="12" t="s">
        <v>7519</v>
      </c>
      <c r="M1503" s="13" t="str">
        <f ca="1">IFERROR(__xludf.DUMMYFUNCTION("TRIM(
  REGEXREPLACE(
    TEXTJOIN("" "",
      TRUE,
      B1503,
      C1503,
      embaralharLinks(E1503,F1503,G1503),
      H1503,
      """",
      J1503,
      N1503,
      ""#RIPNSFW""
    ),
  "",\s*"", "" "")
)"),"#ERROR!")</f>
        <v>#ERROR!</v>
      </c>
      <c r="N1503" s="14" t="s">
        <v>7520</v>
      </c>
      <c r="O1503" s="15" t="s">
        <v>7521</v>
      </c>
      <c r="P1503" s="14"/>
      <c r="Q1503" s="6"/>
      <c r="R1503" s="11"/>
      <c r="S1503" s="6"/>
      <c r="T1503" s="6"/>
      <c r="U1503" s="6"/>
      <c r="V1503" s="6"/>
      <c r="W1503" s="6"/>
      <c r="X1503" s="6"/>
      <c r="Y1503" s="6"/>
      <c r="Z1503" s="6"/>
      <c r="AA1503" s="6"/>
    </row>
    <row r="1504" spans="1:27" ht="12.75">
      <c r="A1504" s="6" t="s">
        <v>7522</v>
      </c>
      <c r="B1504" s="6" t="s">
        <v>14</v>
      </c>
      <c r="C1504" s="7" t="str">
        <f t="shared" si="20"/>
        <v xml:space="preserve">Shrooms Q </v>
      </c>
      <c r="D1504" s="6" t="s">
        <v>7523</v>
      </c>
      <c r="E1504" s="8" t="s">
        <v>7524</v>
      </c>
      <c r="F1504" s="9" t="str">
        <f ca="1">IFERROR(__xludf.DUMMYFUNCTION("""https://streamtape.com/v/""&amp;
REGEXEXTRACT(O1504,""/thumb/([^/]+)/"")&amp;
""/""&amp;K1504"),"https://streamtape.com/v/LJR6p0wkmkSvM0/48799327")</f>
        <v>https://streamtape.com/v/LJR6p0wkmkSvM0/48799327</v>
      </c>
      <c r="G1504" s="10" t="e">
        <f t="shared" ca="1" si="21"/>
        <v>#NAME?</v>
      </c>
      <c r="H1504" s="11" t="str">
        <f ca="1">IFERROR(__xludf.DUMMYFUNCTION("IFERROR(SUBSTITUTE(SUBSTITUTE(REGEXEXTRACT(A1504, ""[^-]+- [^-]+- [^-]+ - (.+?)\.jpg""), "".jpg"", """"), ""-"", "", ""), """")"),"")</f>
        <v/>
      </c>
      <c r="I1504" s="6"/>
      <c r="J1504" s="7" t="str">
        <f t="shared" ca="1" si="22"/>
        <v>(2026)</v>
      </c>
      <c r="K1504" s="7" t="str">
        <f t="shared" si="23"/>
        <v>48799327</v>
      </c>
      <c r="L1504" s="12" t="s">
        <v>7525</v>
      </c>
      <c r="M1504" s="13" t="str">
        <f ca="1">IFERROR(__xludf.DUMMYFUNCTION("TRIM(
  REGEXREPLACE(
    TEXTJOIN("" "",
      TRUE,
      B1504,
      C1504,
      embaralharLinks(E1504,F1504,G1504),
      H1504,
      """",
      J1504,
      N1504,
      ""#RIPNSFW""
    ),
  "",\s*"", "" "")
)"),"{New} Shrooms Q https://lulustream.com/d/068u49743cnu https://doodstream.com/d/ff4wu8fdobkd/48799327 https://streamtape.com/v/LJR6p0wkmkSvM0/48799327 (2026) #Porn #Teen #Blowjob #Deepthroat #RIPNSFW")</f>
        <v>{New} Shrooms Q https://lulustream.com/d/068u49743cnu https://doodstream.com/d/ff4wu8fdobkd/48799327 https://streamtape.com/v/LJR6p0wkmkSvM0/48799327 (2026) #Porn #Teen #Blowjob #Deepthroat #RIPNSFW</v>
      </c>
      <c r="N1504" s="14" t="s">
        <v>7526</v>
      </c>
      <c r="O1504" s="15" t="s">
        <v>7527</v>
      </c>
      <c r="P1504" s="14"/>
      <c r="Q1504" s="6"/>
      <c r="R1504" s="11"/>
      <c r="S1504" s="6"/>
      <c r="T1504" s="6"/>
      <c r="U1504" s="6"/>
      <c r="V1504" s="6"/>
      <c r="W1504" s="6"/>
      <c r="X1504" s="6"/>
      <c r="Y1504" s="6"/>
      <c r="Z1504" s="6"/>
      <c r="AA1504" s="6"/>
    </row>
    <row r="1505" spans="1:27" ht="12.75">
      <c r="A1505" s="16" t="s">
        <v>7528</v>
      </c>
      <c r="B1505" s="11" t="s">
        <v>14</v>
      </c>
      <c r="C1505" s="13" t="str">
        <f t="shared" si="20"/>
        <v xml:space="preserve">Shrooms Q </v>
      </c>
      <c r="D1505" s="17" t="s">
        <v>7529</v>
      </c>
      <c r="E1505" s="18" t="s">
        <v>7530</v>
      </c>
      <c r="F1505" s="9" t="str">
        <f ca="1">IFERROR(__xludf.DUMMYFUNCTION("""https://streamtape.com/v/""&amp;
REGEXEXTRACT(O1505,""/thumb/([^/]+)/"")&amp;
""/""&amp;K1505"),"https://streamtape.com/v/MklQe2MJbYSmOek/53174250")</f>
        <v>https://streamtape.com/v/MklQe2MJbYSmOek/53174250</v>
      </c>
      <c r="G1505" s="10" t="e">
        <f t="shared" ca="1" si="21"/>
        <v>#NAME?</v>
      </c>
      <c r="H1505" s="11" t="str">
        <f ca="1">IFERROR(__xludf.DUMMYFUNCTION("IFERROR(SUBSTITUTE(SUBSTITUTE(REGEXEXTRACT(A1505, ""[^-]+- [^-]+- [^-]+ - (.+?)\.jpg""), "".jpg"", """"), ""-"", "", ""), """")"),"")</f>
        <v/>
      </c>
      <c r="I1505" s="11"/>
      <c r="J1505" s="13" t="str">
        <f t="shared" ca="1" si="22"/>
        <v>(2026)</v>
      </c>
      <c r="K1505" s="13" t="str">
        <f t="shared" si="23"/>
        <v>53174250</v>
      </c>
      <c r="L1505" s="12" t="s">
        <v>7531</v>
      </c>
      <c r="M1505" s="13" t="str">
        <f ca="1">IFERROR(__xludf.DUMMYFUNCTION("TRIM(
  REGEXREPLACE(
    TEXTJOIN("" "",
      TRUE,
      B1505,
      C1505,
      embaralharLinks(E1505,F1505,G1505),
      H1505,
      """",
      J1505,
      N1505,
      ""#RIPNSFW""
    ),
  "",\s*"", "" "")
)"),"{New} Shrooms Q https://streamtape.com/v/MklQe2MJbYSmOek/53174250 https://doodstream.com/d/1dglc99zyh9d/53174250 https://lulustream.com/d/v6a5mbx2mt11 (2026) #anal #hardcore #threesome #teen #RIPNSFW")</f>
        <v>{New} Shrooms Q https://streamtape.com/v/MklQe2MJbYSmOek/53174250 https://doodstream.com/d/1dglc99zyh9d/53174250 https://lulustream.com/d/v6a5mbx2mt11 (2026) #anal #hardcore #threesome #teen #RIPNSFW</v>
      </c>
      <c r="N1505" s="20" t="s">
        <v>7531</v>
      </c>
      <c r="O1505" s="30" t="s">
        <v>7532</v>
      </c>
      <c r="P1505" s="26"/>
      <c r="R1505" s="23"/>
      <c r="T1505" s="6"/>
      <c r="U1505" s="7"/>
    </row>
    <row r="1506" spans="1:27" ht="12.75">
      <c r="A1506" s="6" t="s">
        <v>7533</v>
      </c>
      <c r="B1506" s="6" t="s">
        <v>14</v>
      </c>
      <c r="C1506" s="7" t="str">
        <f t="shared" si="20"/>
        <v xml:space="preserve">Shrooms Q </v>
      </c>
      <c r="D1506" s="29" t="s">
        <v>7534</v>
      </c>
      <c r="E1506" s="8" t="s">
        <v>7535</v>
      </c>
      <c r="F1506" s="9" t="str">
        <f ca="1">IFERROR(__xludf.DUMMYFUNCTION("""https://streamtape.com/v/""&amp;
REGEXEXTRACT(O1506,""/thumb/([^/]+)/"")&amp;
""/""&amp;K1506"),"https://streamtape.com/v/4ywp1Mab1QhKPRr/57278873")</f>
        <v>https://streamtape.com/v/4ywp1Mab1QhKPRr/57278873</v>
      </c>
      <c r="G1506" s="10" t="e">
        <f t="shared" ca="1" si="21"/>
        <v>#NAME?</v>
      </c>
      <c r="H1506" s="11" t="str">
        <f ca="1">IFERROR(__xludf.DUMMYFUNCTION("IFERROR(SUBSTITUTE(SUBSTITUTE(REGEXEXTRACT(A1506, ""[^-]+- [^-]+- [^-]+ - (.+?)\.jpg""), "".jpg"", """"), ""-"", "", ""), """")"),"")</f>
        <v/>
      </c>
      <c r="I1506" s="6"/>
      <c r="J1506" s="7" t="str">
        <f t="shared" ca="1" si="22"/>
        <v>(2026)</v>
      </c>
      <c r="K1506" s="7" t="str">
        <f t="shared" si="23"/>
        <v>57278873</v>
      </c>
      <c r="L1506" s="12" t="s">
        <v>7536</v>
      </c>
      <c r="M1506" s="13" t="str">
        <f ca="1">IFERROR(__xludf.DUMMYFUNCTION("TRIM(
  REGEXREPLACE(
    TEXTJOIN("" "",
      TRUE,
      B1506,
      C1506,
      embaralharLinks(E1506,F1506,G1506),
      H1506,
      """",
      J1506,
      N1506,
      ""#RIPNSFW""
    ),
  "",\s*"", "" "")
)"),"{New} Shrooms Q https://doodstream.com/d/2062m5pfbxu3/57278873 https://lulustream.com/d/mt46las9dhgi https://streamtape.com/v/4ywp1Mab1QhKPRr/57278873 (2026) #Hardcore #Piss #Porn #Teen #Roleplay #Blowjob #Deepthroat #Rimjob #Rimming #RIPNSFW")</f>
        <v>{New} Shrooms Q https://doodstream.com/d/2062m5pfbxu3/57278873 https://lulustream.com/d/mt46las9dhgi https://streamtape.com/v/4ywp1Mab1QhKPRr/57278873 (2026) #Hardcore #Piss #Porn #Teen #Roleplay #Blowjob #Deepthroat #Rimjob #Rimming #RIPNSFW</v>
      </c>
      <c r="N1506" s="14" t="s">
        <v>7537</v>
      </c>
      <c r="O1506" s="32" t="s">
        <v>7538</v>
      </c>
      <c r="P1506" s="14"/>
      <c r="Q1506" s="6"/>
      <c r="R1506" s="11"/>
      <c r="S1506" s="6"/>
      <c r="T1506" s="6"/>
      <c r="U1506" s="6"/>
      <c r="V1506" s="6"/>
      <c r="W1506" s="6"/>
      <c r="X1506" s="6"/>
      <c r="Y1506" s="6"/>
      <c r="Z1506" s="6"/>
      <c r="AA1506" s="6"/>
    </row>
    <row r="1507" spans="1:27" ht="12.75">
      <c r="A1507" s="6" t="s">
        <v>7539</v>
      </c>
      <c r="B1507" s="6" t="s">
        <v>14</v>
      </c>
      <c r="C1507" s="7" t="str">
        <f t="shared" si="20"/>
        <v xml:space="preserve">Shrooms Q </v>
      </c>
      <c r="D1507" s="6" t="s">
        <v>7540</v>
      </c>
      <c r="E1507" s="8" t="s">
        <v>7541</v>
      </c>
      <c r="F1507" s="9" t="str">
        <f ca="1">IFERROR(__xludf.DUMMYFUNCTION("""https://streamtape.com/v/""&amp;
REGEXEXTRACT(O1507,""/thumb/([^/]+)/"")&amp;
""/""&amp;K1507"),"https://streamtape.com/v/3kvVgr0GaeTdBaL/57405087")</f>
        <v>https://streamtape.com/v/3kvVgr0GaeTdBaL/57405087</v>
      </c>
      <c r="G1507" s="10" t="e">
        <f t="shared" ca="1" si="21"/>
        <v>#NAME?</v>
      </c>
      <c r="H1507" s="11" t="str">
        <f ca="1">IFERROR(__xludf.DUMMYFUNCTION("IFERROR(SUBSTITUTE(SUBSTITUTE(REGEXEXTRACT(A1507, ""[^-]+- [^-]+- [^-]+ - (.+?)\.jpg""), "".jpg"", """"), ""-"", "", ""), """")"),"")</f>
        <v/>
      </c>
      <c r="I1507" s="6"/>
      <c r="J1507" s="7" t="str">
        <f t="shared" ca="1" si="22"/>
        <v>(2026)</v>
      </c>
      <c r="K1507" s="7" t="str">
        <f t="shared" si="23"/>
        <v>57405087</v>
      </c>
      <c r="L1507" s="12" t="s">
        <v>7542</v>
      </c>
      <c r="M1507" s="13" t="str">
        <f ca="1">IFERROR(__xludf.DUMMYFUNCTION("TRIM(
  REGEXREPLACE(
    TEXTJOIN("" "",
      TRUE,
      B1507,
      C1507,
      embaralharLinks(E1507,F1507,G1507),
      H1507,
      """",
      J1507,
      N1507,
      ""#RIPNSFW""
    ),
  "",\s*"", "" "")
)"),"{New} Shrooms Q https://doodstream.com/d/da9tgi8wzlgm/57405087 https://streamtape.com/v/3kvVgr0GaeTdBaL/57405087 https://lulustream.com/d/rreu76ycalpe (2026) #Anal #Creampie #Hardcore #Teen #Blowjob #RIPNSFW")</f>
        <v>{New} Shrooms Q https://doodstream.com/d/da9tgi8wzlgm/57405087 https://streamtape.com/v/3kvVgr0GaeTdBaL/57405087 https://lulustream.com/d/rreu76ycalpe (2026) #Anal #Creampie #Hardcore #Teen #Blowjob #RIPNSFW</v>
      </c>
      <c r="N1507" s="14" t="s">
        <v>7543</v>
      </c>
      <c r="O1507" s="15" t="s">
        <v>7544</v>
      </c>
      <c r="P1507" s="14"/>
      <c r="Q1507" s="6"/>
      <c r="R1507" s="11"/>
      <c r="S1507" s="6"/>
      <c r="T1507" s="6"/>
      <c r="U1507" s="6"/>
      <c r="V1507" s="6"/>
      <c r="W1507" s="6"/>
      <c r="X1507" s="6"/>
      <c r="Y1507" s="6"/>
      <c r="Z1507" s="6"/>
      <c r="AA1507" s="6"/>
    </row>
    <row r="1508" spans="1:27" ht="12.75">
      <c r="A1508" s="6" t="s">
        <v>7545</v>
      </c>
      <c r="B1508" s="6" t="s">
        <v>14</v>
      </c>
      <c r="C1508" s="7" t="str">
        <f t="shared" si="20"/>
        <v xml:space="preserve">Shrooms Q </v>
      </c>
      <c r="D1508" s="6" t="s">
        <v>7546</v>
      </c>
      <c r="E1508" s="8" t="s">
        <v>7547</v>
      </c>
      <c r="F1508" s="9" t="str">
        <f ca="1">IFERROR(__xludf.DUMMYFUNCTION("""https://streamtape.com/v/""&amp;
REGEXEXTRACT(O1508,""/thumb/([^/]+)/"")&amp;
""/""&amp;K1508"),"https://streamtape.com/v/038kx9GAkGSbo0y/61145456")</f>
        <v>https://streamtape.com/v/038kx9GAkGSbo0y/61145456</v>
      </c>
      <c r="G1508" s="10" t="e">
        <f t="shared" ca="1" si="21"/>
        <v>#NAME?</v>
      </c>
      <c r="H1508" s="11" t="str">
        <f ca="1">IFERROR(__xludf.DUMMYFUNCTION("IFERROR(SUBSTITUTE(SUBSTITUTE(REGEXEXTRACT(A1508, ""[^-]+- [^-]+- [^-]+ - (.+?)\.jpg""), "".jpg"", """"), ""-"", "", ""), """")"),"Katie Cai")</f>
        <v>Katie Cai</v>
      </c>
      <c r="I1508" s="6"/>
      <c r="J1508" s="7" t="str">
        <f t="shared" ca="1" si="22"/>
        <v>(2026)</v>
      </c>
      <c r="K1508" s="7" t="str">
        <f t="shared" si="23"/>
        <v>61145456</v>
      </c>
      <c r="L1508" s="12" t="s">
        <v>7548</v>
      </c>
      <c r="M1508" s="13" t="str">
        <f ca="1">IFERROR(__xludf.DUMMYFUNCTION("TRIM(
  REGEXREPLACE(
    TEXTJOIN("" "",
      TRUE,
      B1508,
      C1508,
      embaralharLinks(E1508,F1508,G1508),
      H1508,
      """",
      J1508,
      N1508,
      ""#RIPNSFW""
    ),
  "",\s*"", "" "")
)"),"{New} Shrooms Q https://doodstream.com/d/n5etu5j1or5h/61145456 https://streamtape.com/v/038kx9GAkGSbo0y/61145456 https://lulustream.com/d/v1z19rrkwumy Katie Cai (2026) #Threesome #Teen #Teens #Blowjob #RIPNSFW")</f>
        <v>{New} Shrooms Q https://doodstream.com/d/n5etu5j1or5h/61145456 https://streamtape.com/v/038kx9GAkGSbo0y/61145456 https://lulustream.com/d/v1z19rrkwumy Katie Cai (2026) #Threesome #Teen #Teens #Blowjob #RIPNSFW</v>
      </c>
      <c r="N1508" s="14" t="s">
        <v>7549</v>
      </c>
      <c r="O1508" s="15" t="s">
        <v>7550</v>
      </c>
      <c r="P1508" s="14"/>
      <c r="Q1508" s="6"/>
      <c r="R1508" s="11"/>
      <c r="S1508" s="6"/>
      <c r="T1508" s="6"/>
      <c r="U1508" s="6"/>
      <c r="V1508" s="6"/>
      <c r="W1508" s="6"/>
      <c r="X1508" s="6"/>
      <c r="Y1508" s="6"/>
      <c r="Z1508" s="6"/>
      <c r="AA1508" s="6"/>
    </row>
    <row r="1509" spans="1:27" ht="12.75">
      <c r="A1509" s="6" t="s">
        <v>7551</v>
      </c>
      <c r="B1509" s="6" t="s">
        <v>14</v>
      </c>
      <c r="C1509" s="7" t="str">
        <f t="shared" si="20"/>
        <v xml:space="preserve">Shrooms Q </v>
      </c>
      <c r="D1509" s="6" t="s">
        <v>7552</v>
      </c>
      <c r="E1509" s="8" t="s">
        <v>7553</v>
      </c>
      <c r="F1509" s="9" t="str">
        <f ca="1">IFERROR(__xludf.DUMMYFUNCTION("""https://streamtape.com/v/""&amp;
REGEXEXTRACT(O1509,""/thumb/([^/]+)/"")&amp;
""/""&amp;K1509"),"https://streamtape.com/v/0A9OzPGzJbSbGRQ/62250341")</f>
        <v>https://streamtape.com/v/0A9OzPGzJbSbGRQ/62250341</v>
      </c>
      <c r="G1509" s="10" t="e">
        <f t="shared" ca="1" si="21"/>
        <v>#NAME?</v>
      </c>
      <c r="H1509" s="11" t="str">
        <f ca="1">IFERROR(__xludf.DUMMYFUNCTION("IFERROR(SUBSTITUTE(SUBSTITUTE(REGEXEXTRACT(A1509, ""[^-]+- [^-]+- [^-]+ - (.+?)\.jpg""), "".jpg"", """"), ""-"", "", ""), """")"),"")</f>
        <v/>
      </c>
      <c r="I1509" s="6"/>
      <c r="J1509" s="7" t="str">
        <f t="shared" ca="1" si="22"/>
        <v>(2026)</v>
      </c>
      <c r="K1509" s="7" t="str">
        <f t="shared" si="23"/>
        <v>62250341</v>
      </c>
      <c r="L1509" s="12" t="s">
        <v>2920</v>
      </c>
      <c r="M1509" s="13" t="str">
        <f ca="1">IFERROR(__xludf.DUMMYFUNCTION("TRIM(
  REGEXREPLACE(
    TEXTJOIN("" "",
      TRUE,
      B1509,
      C1509,
      embaralharLinks(E1509,F1509,G1509),
      H1509,
      """",
      J1509,
      N1509,
      ""#RIPNSFW""
    ),
  "",\s*"", "" "")
)"),"{New} Shrooms Q https://streamtape.com/v/0A9OzPGzJbSbGRQ/62250341 https://lulustream.com/d/3pqh500ne8y9 https://doodstream.com/d/v0rg1kavvols/62250341 (2026) #Creampie #Hardcore #Porn #Teen #Blowjob #RIPNSFW")</f>
        <v>{New} Shrooms Q https://streamtape.com/v/0A9OzPGzJbSbGRQ/62250341 https://lulustream.com/d/3pqh500ne8y9 https://doodstream.com/d/v0rg1kavvols/62250341 (2026) #Creampie #Hardcore #Porn #Teen #Blowjob #RIPNSFW</v>
      </c>
      <c r="N1509" s="14" t="s">
        <v>2921</v>
      </c>
      <c r="O1509" s="15" t="s">
        <v>7554</v>
      </c>
      <c r="P1509" s="14"/>
      <c r="Q1509" s="6"/>
      <c r="R1509" s="11"/>
      <c r="S1509" s="6"/>
      <c r="T1509" s="6"/>
      <c r="U1509" s="6"/>
      <c r="V1509" s="6"/>
      <c r="W1509" s="6"/>
      <c r="X1509" s="6"/>
      <c r="Y1509" s="6"/>
      <c r="Z1509" s="6"/>
      <c r="AA1509" s="6"/>
    </row>
    <row r="1510" spans="1:27" ht="12.75">
      <c r="A1510" s="6" t="s">
        <v>7555</v>
      </c>
      <c r="B1510" s="6" t="s">
        <v>14</v>
      </c>
      <c r="C1510" s="7" t="str">
        <f t="shared" si="20"/>
        <v xml:space="preserve">Shrooms Q </v>
      </c>
      <c r="D1510" s="6" t="s">
        <v>7556</v>
      </c>
      <c r="E1510" s="8" t="s">
        <v>7557</v>
      </c>
      <c r="F1510" s="9" t="str">
        <f ca="1">IFERROR(__xludf.DUMMYFUNCTION("""https://streamtape.com/v/""&amp;
REGEXEXTRACT(O1510,""/thumb/([^/]+)/"")&amp;
""/""&amp;K1510"),"https://streamtape.com/v/rx9Yx4rYyMibmKZ/63317077")</f>
        <v>https://streamtape.com/v/rx9Yx4rYyMibmKZ/63317077</v>
      </c>
      <c r="G1510" s="10" t="e">
        <f t="shared" ca="1" si="21"/>
        <v>#NAME?</v>
      </c>
      <c r="H1510" s="11" t="str">
        <f ca="1">IFERROR(__xludf.DUMMYFUNCTION("IFERROR(SUBSTITUTE(SUBSTITUTE(REGEXEXTRACT(A1510, ""[^-]+- [^-]+- [^-]+ - (.+?)\.jpg""), "".jpg"", """"), ""-"", "", ""), """")"),"")</f>
        <v/>
      </c>
      <c r="I1510" s="6"/>
      <c r="J1510" s="7" t="str">
        <f t="shared" ca="1" si="22"/>
        <v>(2026)</v>
      </c>
      <c r="K1510" s="7" t="str">
        <f t="shared" si="23"/>
        <v>63317077</v>
      </c>
      <c r="L1510" s="12" t="s">
        <v>7558</v>
      </c>
      <c r="M1510" s="13" t="str">
        <f ca="1">IFERROR(__xludf.DUMMYFUNCTION("TRIM(
  REGEXREPLACE(
    TEXTJOIN("" "",
      TRUE,
      B1510,
      C1510,
      embaralharLinks(E1510,F1510,G1510),
      H1510,
      """",
      J1510,
      N1510,
      ""#RIPNSFW""
    ),
  "",\s*"", "" "")
)"),"{New} Shrooms Q https://doodstream.com/d/uhelr4g07b1y/63317077 https://streamtape.com/v/rx9Yx4rYyMibmKZ/63317077 https://lulustream.com/d/re6bmw69xm1r (2026) #Hardcore #Black #Interracial #Porn #Teen #Blowjob #RIPNSFW")</f>
        <v>{New} Shrooms Q https://doodstream.com/d/uhelr4g07b1y/63317077 https://streamtape.com/v/rx9Yx4rYyMibmKZ/63317077 https://lulustream.com/d/re6bmw69xm1r (2026) #Hardcore #Black #Interracial #Porn #Teen #Blowjob #RIPNSFW</v>
      </c>
      <c r="N1510" s="14" t="s">
        <v>4708</v>
      </c>
      <c r="O1510" s="15" t="s">
        <v>7559</v>
      </c>
      <c r="P1510" s="14"/>
      <c r="Q1510" s="6"/>
      <c r="R1510" s="11"/>
      <c r="S1510" s="6"/>
      <c r="T1510" s="6"/>
      <c r="U1510" s="6"/>
      <c r="V1510" s="6"/>
      <c r="W1510" s="6"/>
      <c r="X1510" s="6"/>
      <c r="Y1510" s="6"/>
      <c r="Z1510" s="6"/>
      <c r="AA1510" s="6"/>
    </row>
    <row r="1511" spans="1:27" ht="12.75">
      <c r="A1511" s="6" t="s">
        <v>7560</v>
      </c>
      <c r="B1511" s="6" t="s">
        <v>14</v>
      </c>
      <c r="C1511" s="7" t="str">
        <f t="shared" si="20"/>
        <v xml:space="preserve">Shrooms Q </v>
      </c>
      <c r="D1511" s="6" t="s">
        <v>7561</v>
      </c>
      <c r="E1511" s="8" t="s">
        <v>7562</v>
      </c>
      <c r="F1511" s="9" t="str">
        <f ca="1">IFERROR(__xludf.DUMMYFUNCTION("""https://streamtape.com/v/""&amp;
REGEXEXTRACT(O1511,""/thumb/([^/]+)/"")&amp;
""/""&amp;K1511"),"https://streamtape.com/v/PqX9koKyoGT04Wz/66164999")</f>
        <v>https://streamtape.com/v/PqX9koKyoGT04Wz/66164999</v>
      </c>
      <c r="G1511" s="10" t="e">
        <f t="shared" ca="1" si="21"/>
        <v>#NAME?</v>
      </c>
      <c r="H1511" s="11" t="str">
        <f ca="1">IFERROR(__xludf.DUMMYFUNCTION("IFERROR(SUBSTITUTE(SUBSTITUTE(REGEXEXTRACT(A1511, ""[^-]+- [^-]+- [^-]+ - (.+?)\.jpg""), "".jpg"", """"), ""-"", "", ""), """")"),"")</f>
        <v/>
      </c>
      <c r="I1511" s="6"/>
      <c r="J1511" s="7" t="str">
        <f t="shared" ca="1" si="22"/>
        <v>(2026)</v>
      </c>
      <c r="K1511" s="7" t="str">
        <f t="shared" si="23"/>
        <v>66164999</v>
      </c>
      <c r="L1511" s="12" t="s">
        <v>7563</v>
      </c>
      <c r="M1511" s="13" t="str">
        <f ca="1">IFERROR(__xludf.DUMMYFUNCTION("TRIM(
  REGEXREPLACE(
    TEXTJOIN("" "",
      TRUE,
      B1511,
      C1511,
      embaralharLinks(E1511,F1511,G1511),
      H1511,
      """",
      J1511,
      N1511,
      ""#RIPNSFW""
    ),
  "",\s*"", "" "")
)"),"{New} Shrooms Q https://streamtape.com/v/PqX9koKyoGT04Wz/66164999 https://doodstream.com/d/irrjv927lhrx/66164999 https://lulustream.com/d/al08eb7xhvqc (2026) #Creampie #Hardcore #Teen #Blowjob #RIPNSFW")</f>
        <v>{New} Shrooms Q https://streamtape.com/v/PqX9koKyoGT04Wz/66164999 https://doodstream.com/d/irrjv927lhrx/66164999 https://lulustream.com/d/al08eb7xhvqc (2026) #Creampie #Hardcore #Teen #Blowjob #RIPNSFW</v>
      </c>
      <c r="N1511" s="14" t="s">
        <v>7564</v>
      </c>
      <c r="O1511" s="15" t="s">
        <v>7565</v>
      </c>
      <c r="P1511" s="14"/>
      <c r="Q1511" s="6"/>
      <c r="R1511" s="11"/>
      <c r="S1511" s="6"/>
      <c r="T1511" s="6"/>
      <c r="U1511" s="6"/>
      <c r="V1511" s="6"/>
      <c r="W1511" s="6"/>
      <c r="X1511" s="6"/>
      <c r="Y1511" s="6"/>
      <c r="Z1511" s="6"/>
      <c r="AA1511" s="6"/>
    </row>
    <row r="1512" spans="1:27" ht="12.75">
      <c r="A1512" s="6" t="s">
        <v>7566</v>
      </c>
      <c r="B1512" s="6" t="s">
        <v>14</v>
      </c>
      <c r="C1512" s="7" t="str">
        <f t="shared" si="20"/>
        <v xml:space="preserve">Shrooms Q </v>
      </c>
      <c r="D1512" s="6" t="s">
        <v>7567</v>
      </c>
      <c r="E1512" s="8" t="s">
        <v>7568</v>
      </c>
      <c r="F1512" s="9" t="str">
        <f ca="1">IFERROR(__xludf.DUMMYFUNCTION("""https://streamtape.com/v/""&amp;
REGEXEXTRACT(O1512,""/thumb/([^/]+)/"")&amp;
""/""&amp;K1512"),"https://streamtape.com/v/rkdVYkQQ8ziGGY/76027062")</f>
        <v>https://streamtape.com/v/rkdVYkQQ8ziGGY/76027062</v>
      </c>
      <c r="G1512" s="10" t="e">
        <f t="shared" ca="1" si="21"/>
        <v>#NAME?</v>
      </c>
      <c r="H1512" s="11" t="str">
        <f ca="1">IFERROR(__xludf.DUMMYFUNCTION("IFERROR(SUBSTITUTE(SUBSTITUTE(REGEXEXTRACT(A1512, ""[^-]+- [^-]+- [^-]+ - (.+?)\.jpg""), "".jpg"", """"), ""-"", "", ""), """")"),"")</f>
        <v/>
      </c>
      <c r="I1512" s="6"/>
      <c r="J1512" s="7" t="str">
        <f t="shared" ca="1" si="22"/>
        <v>(2026)</v>
      </c>
      <c r="K1512" s="7" t="str">
        <f t="shared" si="23"/>
        <v>76027062</v>
      </c>
      <c r="L1512" s="12" t="s">
        <v>7569</v>
      </c>
      <c r="M1512" s="13" t="str">
        <f ca="1">IFERROR(__xludf.DUMMYFUNCTION("TRIM(
  REGEXREPLACE(
    TEXTJOIN("" "",
      TRUE,
      B1512,
      C1512,
      embaralharLinks(E1512,F1512,G1512),
      H1512,
      """",
      J1512,
      N1512,
      ""#RIPNSFW""
    ),
  "",\s*"", "" "")
)"),"{New} Shrooms Q https://streamtape.com/v/rkdVYkQQ8ziGGY/76027062 https://lulustream.com/d/1qsj0udwu443 https://doodstream.com/d/wo09aczr4a8k/76027062 (2026) #Creampie #Hardcore #Teen #Blowjob #Amateur #Deepthroat #RIPNSFW")</f>
        <v>{New} Shrooms Q https://streamtape.com/v/rkdVYkQQ8ziGGY/76027062 https://lulustream.com/d/1qsj0udwu443 https://doodstream.com/d/wo09aczr4a8k/76027062 (2026) #Creampie #Hardcore #Teen #Blowjob #Amateur #Deepthroat #RIPNSFW</v>
      </c>
      <c r="N1512" s="14" t="s">
        <v>7570</v>
      </c>
      <c r="O1512" s="15" t="s">
        <v>7571</v>
      </c>
      <c r="P1512" s="14"/>
      <c r="Q1512" s="6"/>
      <c r="R1512" s="11"/>
      <c r="S1512" s="6"/>
      <c r="T1512" s="6"/>
      <c r="U1512" s="6"/>
      <c r="V1512" s="6"/>
      <c r="W1512" s="6"/>
      <c r="X1512" s="6"/>
      <c r="Y1512" s="6"/>
      <c r="Z1512" s="6"/>
      <c r="AA1512" s="6"/>
    </row>
    <row r="1513" spans="1:27" ht="12.75">
      <c r="A1513" s="6" t="s">
        <v>7572</v>
      </c>
      <c r="B1513" s="6" t="s">
        <v>14</v>
      </c>
      <c r="C1513" s="7" t="str">
        <f t="shared" si="20"/>
        <v xml:space="preserve">Shrooms Q </v>
      </c>
      <c r="D1513" s="6" t="s">
        <v>7573</v>
      </c>
      <c r="E1513" s="8" t="s">
        <v>7574</v>
      </c>
      <c r="F1513" s="9" t="str">
        <f ca="1">IFERROR(__xludf.DUMMYFUNCTION("""https://streamtape.com/v/""&amp;
REGEXEXTRACT(O1513,""/thumb/([^/]+)/"")&amp;
""/""&amp;K1513"),"https://streamtape.com/v/oW0lj1mllQh98A/76619625")</f>
        <v>https://streamtape.com/v/oW0lj1mllQh98A/76619625</v>
      </c>
      <c r="G1513" s="10" t="e">
        <f t="shared" ca="1" si="21"/>
        <v>#NAME?</v>
      </c>
      <c r="H1513" s="11" t="str">
        <f ca="1">IFERROR(__xludf.DUMMYFUNCTION("IFERROR(SUBSTITUTE(SUBSTITUTE(REGEXEXTRACT(A1513, ""[^-]+- [^-]+- [^-]+ - (.+?)\.jpg""), "".jpg"", """"), ""-"", "", ""), """")"),"")</f>
        <v/>
      </c>
      <c r="I1513" s="6"/>
      <c r="J1513" s="7" t="str">
        <f t="shared" ca="1" si="22"/>
        <v>(2026)</v>
      </c>
      <c r="K1513" s="7" t="str">
        <f t="shared" si="23"/>
        <v>76619625</v>
      </c>
      <c r="L1513" s="12" t="s">
        <v>7575</v>
      </c>
      <c r="M1513" s="13" t="str">
        <f ca="1">IFERROR(__xludf.DUMMYFUNCTION("TRIM(
  REGEXREPLACE(
    TEXTJOIN("" "",
      TRUE,
      B1513,
      C1513,
      embaralharLinks(E1513,F1513,G1513),
      H1513,
      """",
      J1513,
      N1513,
      ""#RIPNSFW""
    ),
  "",\s*"", "" "")
)"),"{New} Shrooms Q https://streamtape.com/v/oW0lj1mllQh98A/76619625 https://doodstream.com/d/6hnwjy24hmaq/76619625 https://lulustream.com/d/57evcma5wp6a (2026) #Teen #Artporn #Amateur #Blowjob #RIPNSFW")</f>
        <v>{New} Shrooms Q https://streamtape.com/v/oW0lj1mllQh98A/76619625 https://doodstream.com/d/6hnwjy24hmaq/76619625 https://lulustream.com/d/57evcma5wp6a (2026) #Teen #Artporn #Amateur #Blowjob #RIPNSFW</v>
      </c>
      <c r="N1513" s="14" t="s">
        <v>7576</v>
      </c>
      <c r="O1513" s="15" t="s">
        <v>7577</v>
      </c>
      <c r="P1513" s="14"/>
      <c r="Q1513" s="6"/>
      <c r="R1513" s="11"/>
      <c r="S1513" s="6"/>
      <c r="T1513" s="6"/>
      <c r="U1513" s="6"/>
      <c r="V1513" s="6"/>
      <c r="W1513" s="6"/>
      <c r="X1513" s="6"/>
      <c r="Y1513" s="6"/>
      <c r="Z1513" s="6"/>
      <c r="AA1513" s="6"/>
    </row>
    <row r="1514" spans="1:27" ht="12.75">
      <c r="A1514" s="6" t="s">
        <v>7578</v>
      </c>
      <c r="B1514" s="6" t="s">
        <v>14</v>
      </c>
      <c r="C1514" s="7" t="str">
        <f t="shared" si="20"/>
        <v xml:space="preserve">Shrooms Q </v>
      </c>
      <c r="D1514" s="6" t="s">
        <v>7579</v>
      </c>
      <c r="E1514" s="8" t="s">
        <v>7580</v>
      </c>
      <c r="F1514" s="9" t="str">
        <f ca="1">IFERROR(__xludf.DUMMYFUNCTION("""https://streamtape.com/v/""&amp;
REGEXEXTRACT(O1514,""/thumb/([^/]+)/"")&amp;
""/""&amp;K1514"),"https://streamtape.com/v/yBBoV0bodPUBrw/77194109")</f>
        <v>https://streamtape.com/v/yBBoV0bodPUBrw/77194109</v>
      </c>
      <c r="G1514" s="10" t="e">
        <f t="shared" ca="1" si="21"/>
        <v>#NAME?</v>
      </c>
      <c r="H1514" s="11" t="str">
        <f ca="1">IFERROR(__xludf.DUMMYFUNCTION("IFERROR(SUBSTITUTE(SUBSTITUTE(REGEXEXTRACT(A1514, ""[^-]+- [^-]+- [^-]+ - (.+?)\.jpg""), "".jpg"", """"), ""-"", "", ""), """")"),"")</f>
        <v/>
      </c>
      <c r="I1514" s="6"/>
      <c r="J1514" s="7" t="str">
        <f t="shared" ca="1" si="22"/>
        <v>(2026)</v>
      </c>
      <c r="K1514" s="7" t="str">
        <f t="shared" si="23"/>
        <v>77194109</v>
      </c>
      <c r="L1514" s="12" t="s">
        <v>7581</v>
      </c>
      <c r="M1514" s="13" t="str">
        <f ca="1">IFERROR(__xludf.DUMMYFUNCTION("TRIM(
  REGEXREPLACE(
    TEXTJOIN("" "",
      TRUE,
      B1514,
      C1514,
      embaralharLinks(E1514,F1514,G1514),
      H1514,
      """",
      J1514,
      N1514,
      ""#RIPNSFW""
    ),
  "",\s*"", "" "")
)"),"{New} Shrooms Q https://lulustream.com/d/6fnaumskqtfi https://doodstream.com/d/yivwd6der5bg/77194109 https://streamtape.com/v/yBBoV0bodPUBrw/77194109 (2026) #Hardcore #Teen #Artporn #Deepthroat #Blowjob #RIPNSFW")</f>
        <v>{New} Shrooms Q https://lulustream.com/d/6fnaumskqtfi https://doodstream.com/d/yivwd6der5bg/77194109 https://streamtape.com/v/yBBoV0bodPUBrw/77194109 (2026) #Hardcore #Teen #Artporn #Deepthroat #Blowjob #RIPNSFW</v>
      </c>
      <c r="N1514" s="14" t="s">
        <v>7582</v>
      </c>
      <c r="O1514" s="15" t="s">
        <v>7583</v>
      </c>
      <c r="P1514" s="14"/>
      <c r="Q1514" s="6"/>
      <c r="R1514" s="11"/>
      <c r="S1514" s="6"/>
      <c r="T1514" s="6"/>
      <c r="U1514" s="6"/>
      <c r="V1514" s="6"/>
      <c r="W1514" s="6"/>
      <c r="X1514" s="6"/>
      <c r="Y1514" s="6"/>
      <c r="Z1514" s="6"/>
      <c r="AA1514" s="6"/>
    </row>
    <row r="1515" spans="1:27" ht="12.75">
      <c r="A1515" s="6" t="s">
        <v>7584</v>
      </c>
      <c r="B1515" s="6" t="s">
        <v>14</v>
      </c>
      <c r="C1515" s="7" t="str">
        <f t="shared" si="20"/>
        <v xml:space="preserve">Shrooms Q </v>
      </c>
      <c r="D1515" s="6" t="s">
        <v>7585</v>
      </c>
      <c r="E1515" s="8" t="s">
        <v>7586</v>
      </c>
      <c r="F1515" s="9" t="str">
        <f ca="1">IFERROR(__xludf.DUMMYFUNCTION("""https://streamtape.com/v/""&amp;
REGEXEXTRACT(O1515,""/thumb/([^/]+)/"")&amp;
""/""&amp;K1515"),"https://streamtape.com/v/3AYG004o37tXWv/80325815")</f>
        <v>https://streamtape.com/v/3AYG004o37tXWv/80325815</v>
      </c>
      <c r="G1515" s="10" t="e">
        <f t="shared" ca="1" si="21"/>
        <v>#NAME?</v>
      </c>
      <c r="H1515" s="11" t="str">
        <f ca="1">IFERROR(__xludf.DUMMYFUNCTION("IFERROR(SUBSTITUTE(SUBSTITUTE(REGEXEXTRACT(A1515, ""[^-]+- [^-]+- [^-]+ - (.+?)\.jpg""), "".jpg"", """"), ""-"", "", ""), """")"),"")</f>
        <v/>
      </c>
      <c r="I1515" s="6"/>
      <c r="J1515" s="7" t="str">
        <f t="shared" ca="1" si="22"/>
        <v>(2026)</v>
      </c>
      <c r="K1515" s="7" t="str">
        <f t="shared" si="23"/>
        <v>80325815</v>
      </c>
      <c r="L1515" s="12" t="s">
        <v>7587</v>
      </c>
      <c r="M1515" s="13" t="str">
        <f ca="1">IFERROR(__xludf.DUMMYFUNCTION("TRIM(
  REGEXREPLACE(
    TEXTJOIN("" "",
      TRUE,
      B1515,
      C1515,
      embaralharLinks(E1515,F1515,G1515),
      H1515,
      """",
      J1515,
      N1515,
      ""#RIPNSFW""
    ),
  "",\s*"", "" "")
)"),"{New} Shrooms Q https://streamtape.com/v/3AYG004o37tXWv/80325815 https://doodstream.com/d/dw25iptx4r60/80325815 https://lulustream.com/d/15ms5oa5ian2 (2026) #Hardcore #Porn #Teen #Roleplay #Squirt #Artporn #Blowjob #RIPNSFW")</f>
        <v>{New} Shrooms Q https://streamtape.com/v/3AYG004o37tXWv/80325815 https://doodstream.com/d/dw25iptx4r60/80325815 https://lulustream.com/d/15ms5oa5ian2 (2026) #Hardcore #Porn #Teen #Roleplay #Squirt #Artporn #Blowjob #RIPNSFW</v>
      </c>
      <c r="N1515" s="14" t="s">
        <v>7588</v>
      </c>
      <c r="O1515" s="15" t="s">
        <v>7589</v>
      </c>
      <c r="P1515" s="14"/>
      <c r="Q1515" s="6"/>
      <c r="R1515" s="11"/>
      <c r="S1515" s="6"/>
      <c r="T1515" s="6"/>
      <c r="U1515" s="6"/>
      <c r="V1515" s="6"/>
      <c r="W1515" s="6"/>
      <c r="X1515" s="6"/>
      <c r="Y1515" s="6"/>
      <c r="Z1515" s="6"/>
      <c r="AA1515" s="6"/>
    </row>
    <row r="1516" spans="1:27" ht="12.75">
      <c r="A1516" s="6" t="s">
        <v>7590</v>
      </c>
      <c r="B1516" s="6" t="s">
        <v>14</v>
      </c>
      <c r="C1516" s="7" t="str">
        <f t="shared" si="20"/>
        <v xml:space="preserve">Shrooms Q </v>
      </c>
      <c r="D1516" s="6" t="s">
        <v>7591</v>
      </c>
      <c r="E1516" s="8" t="s">
        <v>7592</v>
      </c>
      <c r="F1516" s="9" t="str">
        <f ca="1">IFERROR(__xludf.DUMMYFUNCTION("""https://streamtape.com/v/""&amp;
REGEXEXTRACT(O1516,""/thumb/([^/]+)/"")&amp;
""/""&amp;K1516"),"https://streamtape.com/v/1pko6WkwaMIegyR/83439685")</f>
        <v>https://streamtape.com/v/1pko6WkwaMIegyR/83439685</v>
      </c>
      <c r="G1516" s="10" t="e">
        <f t="shared" ca="1" si="21"/>
        <v>#NAME?</v>
      </c>
      <c r="H1516" s="11" t="str">
        <f ca="1">IFERROR(__xludf.DUMMYFUNCTION("IFERROR(SUBSTITUTE(SUBSTITUTE(REGEXEXTRACT(A1516, ""[^-]+- [^-]+- [^-]+ - (.+?)\.jpg""), "".jpg"", """"), ""-"", "", ""), """")"),"")</f>
        <v/>
      </c>
      <c r="I1516" s="6"/>
      <c r="J1516" s="7" t="str">
        <f t="shared" ca="1" si="22"/>
        <v>(2026)</v>
      </c>
      <c r="K1516" s="7" t="str">
        <f t="shared" si="23"/>
        <v>83439685</v>
      </c>
      <c r="L1516" s="12" t="s">
        <v>7593</v>
      </c>
      <c r="M1516" s="13" t="str">
        <f ca="1">IFERROR(__xludf.DUMMYFUNCTION("TRIM(
  REGEXREPLACE(
    TEXTJOIN("" "",
      TRUE,
      B1516,
      C1516,
      embaralharLinks(E1516,F1516,G1516),
      H1516,
      """",
      J1516,
      N1516,
      ""#RIPNSFW""
    ),
  "",\s*"", "" "")
)"),"{New} Shrooms Q https://doodstream.com/d/9qh8d16zcgvy/83439685 https://streamtape.com/v/1pko6WkwaMIegyR/83439685 https://lulustream.com/d/40dxyjkv28pv (2026) #Anal #Hardcore #Teen #Blowjob #Amateur #RIPNSFW")</f>
        <v>{New} Shrooms Q https://doodstream.com/d/9qh8d16zcgvy/83439685 https://streamtape.com/v/1pko6WkwaMIegyR/83439685 https://lulustream.com/d/40dxyjkv28pv (2026) #Anal #Hardcore #Teen #Blowjob #Amateur #RIPNSFW</v>
      </c>
      <c r="N1516" s="14" t="s">
        <v>7594</v>
      </c>
      <c r="O1516" s="15" t="s">
        <v>7595</v>
      </c>
      <c r="P1516" s="14"/>
      <c r="Q1516" s="6"/>
      <c r="R1516" s="11"/>
      <c r="S1516" s="6"/>
      <c r="T1516" s="6"/>
      <c r="U1516" s="6"/>
      <c r="V1516" s="6"/>
      <c r="W1516" s="6"/>
      <c r="X1516" s="6"/>
      <c r="Y1516" s="6"/>
      <c r="Z1516" s="6"/>
      <c r="AA1516" s="6"/>
    </row>
    <row r="1517" spans="1:27" ht="12.75">
      <c r="A1517" s="6" t="s">
        <v>7596</v>
      </c>
      <c r="B1517" s="6" t="s">
        <v>14</v>
      </c>
      <c r="C1517" s="7" t="str">
        <f t="shared" si="20"/>
        <v xml:space="preserve">Shrooms Q </v>
      </c>
      <c r="D1517" s="6" t="s">
        <v>7597</v>
      </c>
      <c r="E1517" s="8" t="s">
        <v>7598</v>
      </c>
      <c r="F1517" s="9" t="str">
        <f ca="1">IFERROR(__xludf.DUMMYFUNCTION("""https://streamtape.com/v/""&amp;
REGEXEXTRACT(O1517,""/thumb/([^/]+)/"")&amp;
""/""&amp;K1517"),"https://streamtape.com/v/JvgWaoyvrlcjm8q/86858943")</f>
        <v>https://streamtape.com/v/JvgWaoyvrlcjm8q/86858943</v>
      </c>
      <c r="G1517" s="10" t="e">
        <f t="shared" ca="1" si="21"/>
        <v>#NAME?</v>
      </c>
      <c r="H1517" s="11" t="str">
        <f ca="1">IFERROR(__xludf.DUMMYFUNCTION("IFERROR(SUBSTITUTE(SUBSTITUTE(REGEXEXTRACT(A1517, ""[^-]+- [^-]+- [^-]+ - (.+?)\.jpg""), "".jpg"", """"), ""-"", "", ""), """")"),"Katee V")</f>
        <v>Katee V</v>
      </c>
      <c r="I1517" s="6"/>
      <c r="J1517" s="7" t="str">
        <f t="shared" ca="1" si="22"/>
        <v>(2026)</v>
      </c>
      <c r="K1517" s="7" t="str">
        <f t="shared" si="23"/>
        <v>86858943</v>
      </c>
      <c r="L1517" s="12" t="s">
        <v>7599</v>
      </c>
      <c r="M1517" s="13" t="str">
        <f ca="1">IFERROR(__xludf.DUMMYFUNCTION("TRIM(
  REGEXREPLACE(
    TEXTJOIN("" "",
      TRUE,
      B1517,
      C1517,
      embaralharLinks(E1517,F1517,G1517),
      H1517,
      """",
      J1517,
      N1517,
      ""#RIPNSFW""
    ),
  "",\s*"", "" "")
)"),"{New} Shrooms Q https://doodstream.com/d/q242quihd10v/86858943 https://streamtape.com/v/JvgWaoyvrlcjm8q/86858943 https://lulustream.com/d/7ofzqasne0rp Katee V (2026) #Hardcore #Threesome #Porn #Teen #Teens #Blowjob #RIPNSFW")</f>
        <v>{New} Shrooms Q https://doodstream.com/d/q242quihd10v/86858943 https://streamtape.com/v/JvgWaoyvrlcjm8q/86858943 https://lulustream.com/d/7ofzqasne0rp Katee V (2026) #Hardcore #Threesome #Porn #Teen #Teens #Blowjob #RIPNSFW</v>
      </c>
      <c r="N1517" s="14" t="s">
        <v>7600</v>
      </c>
      <c r="O1517" s="15" t="s">
        <v>7601</v>
      </c>
      <c r="P1517" s="14"/>
      <c r="Q1517" s="6"/>
      <c r="R1517" s="11"/>
      <c r="S1517" s="6"/>
      <c r="T1517" s="6"/>
      <c r="U1517" s="6"/>
      <c r="V1517" s="6"/>
      <c r="W1517" s="6"/>
      <c r="X1517" s="6"/>
      <c r="Y1517" s="6"/>
      <c r="Z1517" s="6"/>
      <c r="AA1517" s="6"/>
    </row>
    <row r="1518" spans="1:27" ht="12.75">
      <c r="A1518" s="12" t="s">
        <v>7602</v>
      </c>
      <c r="B1518" s="6"/>
      <c r="C1518" s="7" t="str">
        <f t="shared" si="20"/>
        <v xml:space="preserve">Shrooms Q </v>
      </c>
      <c r="D1518" s="24" t="s">
        <v>7603</v>
      </c>
      <c r="E1518" s="25" t="s">
        <v>7604</v>
      </c>
      <c r="F1518" s="9" t="str">
        <f ca="1">IFERROR(__xludf.DUMMYFUNCTION("""https://streamtape.com/v/""&amp;
REGEXEXTRACT(O1518,""/thumb/([^/]+)/"")&amp;
""/""&amp;K1518"),"https://streamtape.com/v/z7dQRXB38yTYd4r/92378079")</f>
        <v>https://streamtape.com/v/z7dQRXB38yTYd4r/92378079</v>
      </c>
      <c r="G1518" s="10" t="e">
        <f t="shared" ca="1" si="21"/>
        <v>#NAME?</v>
      </c>
      <c r="H1518" s="11" t="str">
        <f ca="1">IFERROR(__xludf.DUMMYFUNCTION("IFERROR(SUBSTITUTE(SUBSTITUTE(REGEXEXTRACT(A1518, ""[^-]+- [^-]+- [^-]+ - (.+?)\.jpg""), "".jpg"", """"), ""-"", "", ""), """")"),"Katie Cai ,  JackandJill")</f>
        <v>Katie Cai ,  JackandJill</v>
      </c>
      <c r="I1518" s="6"/>
      <c r="J1518" s="7" t="str">
        <f t="shared" ca="1" si="22"/>
        <v/>
      </c>
      <c r="K1518" s="7" t="str">
        <f t="shared" si="23"/>
        <v>92378079</v>
      </c>
      <c r="L1518" s="12" t="s">
        <v>7605</v>
      </c>
      <c r="M1518" s="13" t="str">
        <f ca="1">IFERROR(__xludf.DUMMYFUNCTION("TRIM(
  REGEXREPLACE(
    TEXTJOIN("" "",
      TRUE,
      B1518,
      C1518,
      embaralharLinks(E1518,F1518,G1518),
      H1518,
      """",
      J1518,
      N1518,
      ""#RIPNSFW""
    ),
  "",\s*"", "" "")
)"),"Shrooms Q https://streamtape.com/v/z7dQRXB38yTYd4r/92378079 https://lulustream.com/d/my3x30q9xyad https://doodstream.com/d/9gru2kx02e46/92378079 Katie Cai JackandJill #foursome #creampie #teen #brunette #RIPNSFW")</f>
        <v>Shrooms Q https://streamtape.com/v/z7dQRXB38yTYd4r/92378079 https://lulustream.com/d/my3x30q9xyad https://doodstream.com/d/9gru2kx02e46/92378079 Katie Cai JackandJill #foursome #creampie #teen #brunette #RIPNSFW</v>
      </c>
      <c r="N1518" s="2" t="s">
        <v>7605</v>
      </c>
      <c r="O1518" s="30" t="s">
        <v>7606</v>
      </c>
      <c r="P1518" s="26"/>
      <c r="R1518" s="23"/>
      <c r="T1518" s="6"/>
      <c r="U1518" s="7"/>
    </row>
    <row r="1519" spans="1:27" ht="12.75">
      <c r="A1519" s="12" t="s">
        <v>7607</v>
      </c>
      <c r="B1519" s="6" t="s">
        <v>14</v>
      </c>
      <c r="C1519" s="7" t="str">
        <f t="shared" si="20"/>
        <v xml:space="preserve">Shyla </v>
      </c>
      <c r="D1519" s="24" t="s">
        <v>7608</v>
      </c>
      <c r="E1519" s="25" t="s">
        <v>7609</v>
      </c>
      <c r="F1519" s="9" t="str">
        <f ca="1">IFERROR(__xludf.DUMMYFUNCTION("""https://streamtape.com/v/""&amp;
REGEXEXTRACT(O1519,""/thumb/([^/]+)/"")&amp;
""/""&amp;K1519"),"https://streamtape.com/v/3WkvqW2Kq9sdZ8r/65322400")</f>
        <v>https://streamtape.com/v/3WkvqW2Kq9sdZ8r/65322400</v>
      </c>
      <c r="G1519" s="10" t="e">
        <f t="shared" ca="1" si="21"/>
        <v>#NAME?</v>
      </c>
      <c r="H1519" s="11" t="str">
        <f ca="1">IFERROR(__xludf.DUMMYFUNCTION("IFERROR(SUBSTITUTE(SUBSTITUTE(REGEXEXTRACT(A1519, ""[^-]+- [^-]+- [^-]+ - (.+?)\.jpg""), "".jpg"", """"), ""-"", "", ""), """")"),"")</f>
        <v/>
      </c>
      <c r="I1519" s="6"/>
      <c r="J1519" s="7" t="str">
        <f t="shared" ca="1" si="22"/>
        <v>(2026)</v>
      </c>
      <c r="K1519" s="7" t="str">
        <f t="shared" si="23"/>
        <v>65322400</v>
      </c>
      <c r="L1519" s="12" t="s">
        <v>7610</v>
      </c>
      <c r="M1519" s="13" t="str">
        <f ca="1">IFERROR(__xludf.DUMMYFUNCTION("TRIM(
  REGEXREPLACE(
    TEXTJOIN("" "",
      TRUE,
      B1519,
      C1519,
      embaralharLinks(E1519,F1519,G1519),
      H1519,
      """",
      J1519,
      N1519,
      ""#RIPNSFW""
    ),
  "",\s*"", "" "")
)"),"{New} Shyla https://streamtape.com/v/3WkvqW2Kq9sdZ8r/65322400 https://doodstream.com/d/pfh3znqhdrqr/65322400 https://lulustream.com/d/9pxs4oshgmzf (2026) #anal #blowjob #blonde #bigtits #RIPNSFW")</f>
        <v>{New} Shyla https://streamtape.com/v/3WkvqW2Kq9sdZ8r/65322400 https://doodstream.com/d/pfh3znqhdrqr/65322400 https://lulustream.com/d/9pxs4oshgmzf (2026) #anal #blowjob #blonde #bigtits #RIPNSFW</v>
      </c>
      <c r="N1519" s="2" t="s">
        <v>7610</v>
      </c>
      <c r="O1519" s="30" t="s">
        <v>7611</v>
      </c>
      <c r="P1519" s="26"/>
      <c r="R1519" s="23"/>
    </row>
    <row r="1520" spans="1:27" ht="12.75">
      <c r="A1520" s="6" t="s">
        <v>7612</v>
      </c>
      <c r="B1520" s="6" t="s">
        <v>14</v>
      </c>
      <c r="C1520" s="7" t="str">
        <f t="shared" si="20"/>
        <v xml:space="preserve">Sinatra Monroe </v>
      </c>
      <c r="D1520" s="6" t="s">
        <v>7613</v>
      </c>
      <c r="E1520" s="8" t="s">
        <v>7614</v>
      </c>
      <c r="F1520" s="9" t="str">
        <f ca="1">IFERROR(__xludf.DUMMYFUNCTION("""https://streamtape.com/v/""&amp;
REGEXEXTRACT(O1520,""/thumb/([^/]+)/"")&amp;
""/""&amp;K1520"),"https://streamtape.com/v/akzmdk9zl0CxqJJ/41393220")</f>
        <v>https://streamtape.com/v/akzmdk9zl0CxqJJ/41393220</v>
      </c>
      <c r="G1520" s="10" t="e">
        <f t="shared" ca="1" si="21"/>
        <v>#NAME?</v>
      </c>
      <c r="H1520" s="11" t="str">
        <f ca="1">IFERROR(__xludf.DUMMYFUNCTION("IFERROR(SUBSTITUTE(SUBSTITUTE(REGEXEXTRACT(A1520, ""[^-]+- [^-]+- [^-]+ - (.+?)\.jpg""), "".jpg"", """"), ""-"", "", ""), """")"),"Lena the plug")</f>
        <v>Lena the plug</v>
      </c>
      <c r="I1520" s="6"/>
      <c r="J1520" s="7" t="str">
        <f t="shared" ca="1" si="22"/>
        <v>(2026)</v>
      </c>
      <c r="K1520" s="7" t="str">
        <f t="shared" si="23"/>
        <v>41393220</v>
      </c>
      <c r="L1520" s="12" t="s">
        <v>838</v>
      </c>
      <c r="M1520" s="13" t="str">
        <f ca="1">IFERROR(__xludf.DUMMYFUNCTION("TRIM(
  REGEXREPLACE(
    TEXTJOIN("" "",
      TRUE,
      B1520,
      C1520,
      embaralharLinks(E1520,F1520,G1520),
      H1520,
      """",
      J1520,
      N1520,
      ""#RIPNSFW""
    ),
  "",\s*"", "" "")
)"),"{New} Sinatra Monroe https://streamtape.com/v/akzmdk9zl0CxqJJ/41393220 https://doodstream.com/d/gbgcdj55xr0w/41393220 https://lulustream.com/d/q11lbxy8t5su Lena the plug (2026) #MILF #BigTits #Hardcore #Threesome #RIPNSFW")</f>
        <v>{New} Sinatra Monroe https://streamtape.com/v/akzmdk9zl0CxqJJ/41393220 https://doodstream.com/d/gbgcdj55xr0w/41393220 https://lulustream.com/d/q11lbxy8t5su Lena the plug (2026) #MILF #BigTits #Hardcore #Threesome #RIPNSFW</v>
      </c>
      <c r="N1520" s="14" t="s">
        <v>48</v>
      </c>
      <c r="O1520" s="15" t="s">
        <v>7615</v>
      </c>
      <c r="P1520" s="14"/>
      <c r="Q1520" s="6"/>
      <c r="R1520" s="11"/>
      <c r="S1520" s="6"/>
      <c r="T1520" s="6"/>
      <c r="U1520" s="6"/>
      <c r="V1520" s="6"/>
      <c r="W1520" s="6"/>
      <c r="X1520" s="6"/>
      <c r="Y1520" s="6"/>
      <c r="Z1520" s="6"/>
      <c r="AA1520" s="6"/>
    </row>
    <row r="1521" spans="1:27" ht="12.75">
      <c r="A1521" s="6" t="s">
        <v>7616</v>
      </c>
      <c r="B1521" s="6" t="s">
        <v>14</v>
      </c>
      <c r="C1521" s="7" t="str">
        <f t="shared" si="20"/>
        <v xml:space="preserve">Siri Dahl </v>
      </c>
      <c r="D1521" s="6" t="s">
        <v>7617</v>
      </c>
      <c r="E1521" s="8" t="s">
        <v>7618</v>
      </c>
      <c r="F1521" s="9" t="str">
        <f ca="1">IFERROR(__xludf.DUMMYFUNCTION("""https://streamtape.com/v/""&amp;
REGEXEXTRACT(O1521,""/thumb/([^/]+)/"")&amp;
""/""&amp;K1521"),"https://streamtape.com/v/9P7XD1wlPdIa20z/26343434")</f>
        <v>https://streamtape.com/v/9P7XD1wlPdIa20z/26343434</v>
      </c>
      <c r="G1521" s="10" t="e">
        <f t="shared" ca="1" si="21"/>
        <v>#NAME?</v>
      </c>
      <c r="H1521" s="11" t="str">
        <f ca="1">IFERROR(__xludf.DUMMYFUNCTION("IFERROR(SUBSTITUTE(SUBSTITUTE(REGEXEXTRACT(A1521, ""[^-]+- [^-]+- [^-]+ - (.+?)\.jpg""), "".jpg"", """"), ""-"", "", ""), """")"),"")</f>
        <v/>
      </c>
      <c r="I1521" s="6"/>
      <c r="J1521" s="7" t="str">
        <f t="shared" ca="1" si="22"/>
        <v>(2026)</v>
      </c>
      <c r="K1521" s="7" t="str">
        <f t="shared" si="23"/>
        <v>26343434</v>
      </c>
      <c r="L1521" s="12" t="s">
        <v>769</v>
      </c>
      <c r="M1521" s="13" t="str">
        <f ca="1">IFERROR(__xludf.DUMMYFUNCTION("TRIM(
  REGEXREPLACE(
    TEXTJOIN("" "",
      TRUE,
      B1521,
      C1521,
      embaralharLinks(E1521,F1521,G1521),
      H1521,
      """",
      J1521,
      N1521,
      ""#RIPNSFW""
    ),
  "",\s*"", "" "")
)"),"{New} Siri Dahl https://streamtape.com/v/9P7XD1wlPdIa20z/26343434 https://doodstream.com/d/edsbqr7rxy3l/26343434 https://lulustream.com/d/cyygbb4bpwh7 (2026) #MILF #BigTits #Hardcore #Black #Interracial #Bigass #Blowjob #RIPNSFW")</f>
        <v>{New} Siri Dahl https://streamtape.com/v/9P7XD1wlPdIa20z/26343434 https://doodstream.com/d/edsbqr7rxy3l/26343434 https://lulustream.com/d/cyygbb4bpwh7 (2026) #MILF #BigTits #Hardcore #Black #Interracial #Bigass #Blowjob #RIPNSFW</v>
      </c>
      <c r="N1521" s="14" t="s">
        <v>1404</v>
      </c>
      <c r="O1521" s="15" t="s">
        <v>7619</v>
      </c>
      <c r="P1521" s="14"/>
      <c r="Q1521" s="6"/>
      <c r="R1521" s="11"/>
      <c r="S1521" s="6"/>
      <c r="T1521" s="6"/>
      <c r="U1521" s="6"/>
      <c r="V1521" s="6"/>
      <c r="W1521" s="6"/>
      <c r="X1521" s="6"/>
      <c r="Y1521" s="6"/>
      <c r="Z1521" s="6"/>
      <c r="AA1521" s="6"/>
    </row>
    <row r="1522" spans="1:27" ht="12.75">
      <c r="A1522" s="12" t="s">
        <v>7620</v>
      </c>
      <c r="B1522" s="6" t="s">
        <v>14</v>
      </c>
      <c r="C1522" s="7" t="str">
        <f t="shared" si="20"/>
        <v xml:space="preserve">Sky Bri </v>
      </c>
      <c r="D1522" s="24" t="s">
        <v>7621</v>
      </c>
      <c r="E1522" s="25" t="s">
        <v>7622</v>
      </c>
      <c r="F1522" s="9" t="str">
        <f ca="1">IFERROR(__xludf.DUMMYFUNCTION("""https://streamtape.com/v/""&amp;
REGEXEXTRACT(O1522,""/thumb/([^/]+)/"")&amp;
""/""&amp;K1522"),"https://streamtape.com/v/AXop44mWjvfXyla/10452774")</f>
        <v>https://streamtape.com/v/AXop44mWjvfXyla/10452774</v>
      </c>
      <c r="G1522" s="10" t="e">
        <f t="shared" ca="1" si="21"/>
        <v>#NAME?</v>
      </c>
      <c r="H1522" s="11" t="str">
        <f ca="1">IFERROR(__xludf.DUMMYFUNCTION("IFERROR(SUBSTITUTE(SUBSTITUTE(REGEXEXTRACT(A1522, ""[^-]+- [^-]+- [^-]+ - (.+?)\.jpg""), "".jpg"", """"), ""-"", "", ""), """")"),"")</f>
        <v/>
      </c>
      <c r="I1522" s="6"/>
      <c r="J1522" s="7" t="str">
        <f t="shared" ca="1" si="22"/>
        <v>(2026)</v>
      </c>
      <c r="K1522" s="7" t="str">
        <f t="shared" si="23"/>
        <v>10452774</v>
      </c>
      <c r="L1522" s="12" t="s">
        <v>107</v>
      </c>
      <c r="M1522" s="13" t="str">
        <f ca="1">IFERROR(__xludf.DUMMYFUNCTION("TRIM(
  REGEXREPLACE(
    TEXTJOIN("" "",
      TRUE,
      B1522,
      C1522,
      embaralharLinks(E1522,F1522,G1522),
      H1522,
      """",
      J1522,
      N1522,
      ""#RIPNSFW""
    ),
  "",\s*"", "" "")
)"),"{New} Sky Bri https://streamtape.com/v/AXop44mWjvfXyla/10452774 https://lulustream.com/d/k716sgfc9fa3 https://doodstream.com/d/0w059bgd2zc6/10452774 (2026) #BigTits #Creampie #Hardcore #Bigass #RIPNSFW")</f>
        <v>{New} Sky Bri https://streamtape.com/v/AXop44mWjvfXyla/10452774 https://lulustream.com/d/k716sgfc9fa3 https://doodstream.com/d/0w059bgd2zc6/10452774 (2026) #BigTits #Creampie #Hardcore #Bigass #RIPNSFW</v>
      </c>
      <c r="N1522" s="2" t="s">
        <v>108</v>
      </c>
      <c r="O1522" s="30" t="s">
        <v>7623</v>
      </c>
      <c r="P1522" s="26"/>
      <c r="R1522" s="23"/>
    </row>
    <row r="1523" spans="1:27" ht="12.75">
      <c r="A1523" s="12" t="s">
        <v>7624</v>
      </c>
      <c r="B1523" s="6" t="s">
        <v>14</v>
      </c>
      <c r="C1523" s="7" t="str">
        <f t="shared" si="20"/>
        <v xml:space="preserve">Sky Bri </v>
      </c>
      <c r="D1523" s="24" t="s">
        <v>7625</v>
      </c>
      <c r="E1523" s="25" t="s">
        <v>7626</v>
      </c>
      <c r="F1523" s="9" t="str">
        <f ca="1">IFERROR(__xludf.DUMMYFUNCTION("""https://streamtape.com/v/""&amp;
REGEXEXTRACT(O1523,""/thumb/([^/]+)/"")&amp;
""/""&amp;K1523"),"https://streamtape.com/v/0Dvjp7b7r2iDXD/12892926")</f>
        <v>https://streamtape.com/v/0Dvjp7b7r2iDXD/12892926</v>
      </c>
      <c r="G1523" s="10" t="e">
        <f t="shared" ca="1" si="21"/>
        <v>#NAME?</v>
      </c>
      <c r="H1523" s="11" t="str">
        <f ca="1">IFERROR(__xludf.DUMMYFUNCTION("IFERROR(SUBSTITUTE(SUBSTITUTE(REGEXEXTRACT(A1523, ""[^-]+- [^-]+- [^-]+ - (.+?)\.jpg""), "".jpg"", """"), ""-"", "", ""), """")"),"")</f>
        <v/>
      </c>
      <c r="I1523" s="6"/>
      <c r="J1523" s="7" t="str">
        <f t="shared" ca="1" si="22"/>
        <v>(2026)</v>
      </c>
      <c r="K1523" s="7" t="str">
        <f t="shared" si="23"/>
        <v>12892926</v>
      </c>
      <c r="L1523" s="12" t="s">
        <v>1055</v>
      </c>
      <c r="M1523" s="13" t="str">
        <f ca="1">IFERROR(__xludf.DUMMYFUNCTION("TRIM(
  REGEXREPLACE(
    TEXTJOIN("" "",
      TRUE,
      B1523,
      C1523,
      embaralharLinks(E1523,F1523,G1523),
      H1523,
      """",
      J1523,
      N1523,
      ""#RIPNSFW""
    ),
  "",\s*"", "" "")
)"),"{New} Sky Bri https://streamtape.com/v/0Dvjp7b7r2iDXD/12892926 https://lulustream.com/d/fff89cw40krf https://doodstream.com/d/u1rinepv55ix/12892926 (2026) #teen #bigtits #blowjob #blonde #RIPNSFW")</f>
        <v>{New} Sky Bri https://streamtape.com/v/0Dvjp7b7r2iDXD/12892926 https://lulustream.com/d/fff89cw40krf https://doodstream.com/d/u1rinepv55ix/12892926 (2026) #teen #bigtits #blowjob #blonde #RIPNSFW</v>
      </c>
      <c r="N1523" s="2" t="s">
        <v>1055</v>
      </c>
      <c r="O1523" s="30" t="s">
        <v>7627</v>
      </c>
      <c r="P1523" s="26"/>
      <c r="R1523" s="23"/>
    </row>
    <row r="1524" spans="1:27" ht="12.75">
      <c r="A1524" s="6" t="s">
        <v>7628</v>
      </c>
      <c r="B1524" s="6" t="s">
        <v>14</v>
      </c>
      <c r="C1524" s="7" t="str">
        <f t="shared" si="20"/>
        <v xml:space="preserve">Sky Bri </v>
      </c>
      <c r="D1524" s="24" t="s">
        <v>7629</v>
      </c>
      <c r="E1524" s="25" t="s">
        <v>7630</v>
      </c>
      <c r="F1524" s="9" t="str">
        <f ca="1">IFERROR(__xludf.DUMMYFUNCTION("""https://streamtape.com/v/""&amp;
REGEXEXTRACT(O1524,""/thumb/([^/]+)/"")&amp;
""/""&amp;K1524"),"https://streamtape.com/v/R7VbgB0kD3fkpL/13337466")</f>
        <v>https://streamtape.com/v/R7VbgB0kD3fkpL/13337466</v>
      </c>
      <c r="G1524" s="10" t="e">
        <f t="shared" ca="1" si="21"/>
        <v>#NAME?</v>
      </c>
      <c r="H1524" s="11" t="str">
        <f ca="1">IFERROR(__xludf.DUMMYFUNCTION("IFERROR(SUBSTITUTE(SUBSTITUTE(REGEXEXTRACT(A1524, ""[^-]+- [^-]+- [^-]+ - (.+?)\.jpg""), "".jpg"", """"), ""-"", "", ""), """")"),"")</f>
        <v/>
      </c>
      <c r="I1524" s="6"/>
      <c r="J1524" s="7" t="str">
        <f t="shared" ca="1" si="22"/>
        <v>(2026)</v>
      </c>
      <c r="K1524" s="7" t="str">
        <f t="shared" si="23"/>
        <v>13337466</v>
      </c>
      <c r="L1524" s="12" t="s">
        <v>1738</v>
      </c>
      <c r="M1524" s="13" t="str">
        <f ca="1">IFERROR(__xludf.DUMMYFUNCTION("TRIM(
  REGEXREPLACE(
    TEXTJOIN("" "",
      TRUE,
      B1524,
      C1524,
      embaralharLinks(E1524,F1524,G1524),
      H1524,
      """",
      J1524,
      N1524,
      ""#RIPNSFW""
    ),
  "",\s*"", "" "")
)"),"{New} Sky Bri https://streamtape.com/v/R7VbgB0kD3fkpL/13337466 https://lulustream.com/d/g20plc3fbluc https://doodstream.com/d/2ly4dnta1mh1/13337466 (2026) #teen #bigtits #blowjob #bigass #RIPNSFW")</f>
        <v>{New} Sky Bri https://streamtape.com/v/R7VbgB0kD3fkpL/13337466 https://lulustream.com/d/g20plc3fbluc https://doodstream.com/d/2ly4dnta1mh1/13337466 (2026) #teen #bigtits #blowjob #bigass #RIPNSFW</v>
      </c>
      <c r="N1524" s="31" t="s">
        <v>1738</v>
      </c>
      <c r="O1524" s="32" t="s">
        <v>7631</v>
      </c>
      <c r="P1524" s="26"/>
      <c r="Q1524" s="6"/>
      <c r="R1524" s="11"/>
      <c r="S1524" s="6"/>
      <c r="T1524" s="6"/>
      <c r="U1524" s="6"/>
      <c r="V1524" s="6"/>
      <c r="W1524" s="6"/>
      <c r="X1524" s="6"/>
      <c r="Y1524" s="6"/>
      <c r="Z1524" s="6"/>
      <c r="AA1524" s="6"/>
    </row>
    <row r="1525" spans="1:27" ht="12.75">
      <c r="A1525" s="6" t="s">
        <v>7632</v>
      </c>
      <c r="B1525" s="6" t="s">
        <v>14</v>
      </c>
      <c r="C1525" s="7" t="str">
        <f t="shared" si="20"/>
        <v xml:space="preserve">Sky Bri </v>
      </c>
      <c r="D1525" s="6" t="s">
        <v>7633</v>
      </c>
      <c r="E1525" s="8" t="s">
        <v>7634</v>
      </c>
      <c r="F1525" s="9" t="str">
        <f ca="1">IFERROR(__xludf.DUMMYFUNCTION("""https://streamtape.com/v/""&amp;
REGEXEXTRACT(O1525,""/thumb/([^/]+)/"")&amp;
""/""&amp;K1525"),"https://streamtape.com/v/LVB3Xodq86F6PP/20586001")</f>
        <v>https://streamtape.com/v/LVB3Xodq86F6PP/20586001</v>
      </c>
      <c r="G1525" s="10" t="e">
        <f t="shared" ca="1" si="21"/>
        <v>#NAME?</v>
      </c>
      <c r="H1525" s="11" t="str">
        <f ca="1">IFERROR(__xludf.DUMMYFUNCTION("IFERROR(SUBSTITUTE(SUBSTITUTE(REGEXEXTRACT(A1525, ""[^-]+- [^-]+- [^-]+ - (.+?)\.jpg""), "".jpg"", """"), ""-"", "", ""), """")"),"Angela White")</f>
        <v>Angela White</v>
      </c>
      <c r="I1525" s="6"/>
      <c r="J1525" s="7" t="str">
        <f t="shared" ca="1" si="22"/>
        <v>(2026)</v>
      </c>
      <c r="K1525" s="7" t="str">
        <f t="shared" si="23"/>
        <v>20586001</v>
      </c>
      <c r="L1525" s="12" t="s">
        <v>7635</v>
      </c>
      <c r="M1525" s="13" t="str">
        <f ca="1">IFERROR(__xludf.DUMMYFUNCTION("TRIM(
  REGEXREPLACE(
    TEXTJOIN("" "",
      TRUE,
      B1525,
      C1525,
      embaralharLinks(E1525,F1525,G1525),
      H1525,
      """",
      J1525,
      N1525,
      ""#RIPNSFW""
    ),
  "",\s*"", "" "")
)"),"{New} Sky Bri https://streamtape.com/v/LVB3Xodq86F6PP/20586001 https://doodstream.com/d/tcv9fj9vwchu/20586001 https://lulustream.com/d/bb1gwg4uv661 Angela White (2026) #MILF #BigTits #Hardcore #Threesome #Bigass #Teen #Blowjob #Amateur #RIPNSFW")</f>
        <v>{New} Sky Bri https://streamtape.com/v/LVB3Xodq86F6PP/20586001 https://doodstream.com/d/tcv9fj9vwchu/20586001 https://lulustream.com/d/bb1gwg4uv661 Angela White (2026) #MILF #BigTits #Hardcore #Threesome #Bigass #Teen #Blowjob #Amateur #RIPNSFW</v>
      </c>
      <c r="N1525" s="14" t="s">
        <v>7636</v>
      </c>
      <c r="O1525" s="15" t="s">
        <v>7637</v>
      </c>
      <c r="P1525" s="14"/>
      <c r="Q1525" s="6"/>
      <c r="R1525" s="11"/>
      <c r="S1525" s="6"/>
      <c r="T1525" s="6"/>
      <c r="U1525" s="6"/>
      <c r="V1525" s="6"/>
      <c r="W1525" s="6"/>
      <c r="X1525" s="6"/>
      <c r="Y1525" s="6"/>
      <c r="Z1525" s="6"/>
      <c r="AA1525" s="6"/>
    </row>
    <row r="1526" spans="1:27" ht="12.75">
      <c r="A1526" s="12" t="s">
        <v>7638</v>
      </c>
      <c r="B1526" s="6" t="s">
        <v>14</v>
      </c>
      <c r="C1526" s="7" t="str">
        <f t="shared" si="20"/>
        <v xml:space="preserve">Sky Bri </v>
      </c>
      <c r="D1526" s="24" t="s">
        <v>7639</v>
      </c>
      <c r="E1526" s="25" t="s">
        <v>7640</v>
      </c>
      <c r="F1526" s="9" t="str">
        <f ca="1">IFERROR(__xludf.DUMMYFUNCTION("""https://streamtape.com/v/""&amp;
REGEXEXTRACT(O1526,""/thumb/([^/]+)/"")&amp;
""/""&amp;K1526"),"https://streamtape.com/v/gj8vkVmJQesqdaV/22104457")</f>
        <v>https://streamtape.com/v/gj8vkVmJQesqdaV/22104457</v>
      </c>
      <c r="G1526" s="10" t="e">
        <f t="shared" ca="1" si="21"/>
        <v>#NAME?</v>
      </c>
      <c r="H1526" s="11" t="str">
        <f ca="1">IFERROR(__xludf.DUMMYFUNCTION("IFERROR(SUBSTITUTE(SUBSTITUTE(REGEXEXTRACT(A1526, ""[^-]+- [^-]+- [^-]+ - (.+?)\.jpg""), "".jpg"", """"), ""-"", "", ""), """")"),"")</f>
        <v/>
      </c>
      <c r="I1526" s="6"/>
      <c r="J1526" s="7" t="str">
        <f t="shared" ca="1" si="22"/>
        <v>(2026)</v>
      </c>
      <c r="K1526" s="7" t="str">
        <f t="shared" si="23"/>
        <v>22104457</v>
      </c>
      <c r="L1526" s="12" t="s">
        <v>7641</v>
      </c>
      <c r="M1526" s="13" t="str">
        <f ca="1">IFERROR(__xludf.DUMMYFUNCTION("TRIM(
  REGEXREPLACE(
    TEXTJOIN("" "",
      TRUE,
      B1526,
      C1526,
      embaralharLinks(E1526,F1526,G1526),
      H1526,
      """",
      J1526,
      N1526,
      ""#RIPNSFW""
    ),
  "",\s*"", "" "")
)"),"{New} Sky Bri https://streamtape.com/v/gj8vkVmJQesqdaV/22104457 https://lulustream.com/d/z9u8xg9iyn3z https://doodstream.com/d/rvhuljnwst3x/22104457 (2026) #teen #interracial #bigtits #bigass #RIPNSFW")</f>
        <v>{New} Sky Bri https://streamtape.com/v/gj8vkVmJQesqdaV/22104457 https://lulustream.com/d/z9u8xg9iyn3z https://doodstream.com/d/rvhuljnwst3x/22104457 (2026) #teen #interracial #bigtits #bigass #RIPNSFW</v>
      </c>
      <c r="N1526" s="2" t="s">
        <v>7641</v>
      </c>
      <c r="O1526" s="21" t="s">
        <v>7642</v>
      </c>
      <c r="P1526" s="26"/>
      <c r="R1526" s="23"/>
    </row>
    <row r="1527" spans="1:27" ht="12.75">
      <c r="A1527" s="6" t="s">
        <v>7643</v>
      </c>
      <c r="B1527" s="6" t="s">
        <v>14</v>
      </c>
      <c r="C1527" s="7" t="str">
        <f t="shared" si="20"/>
        <v xml:space="preserve">Sky Bri </v>
      </c>
      <c r="D1527" s="6" t="s">
        <v>7644</v>
      </c>
      <c r="E1527" s="8" t="s">
        <v>7645</v>
      </c>
      <c r="F1527" s="9" t="str">
        <f ca="1">IFERROR(__xludf.DUMMYFUNCTION("""https://streamtape.com/v/""&amp;
REGEXEXTRACT(O1527,""/thumb/([^/]+)/"")&amp;
""/""&amp;K1527"),"https://streamtape.com/v/kK71RRwjzqUOXXm/25610133")</f>
        <v>https://streamtape.com/v/kK71RRwjzqUOXXm/25610133</v>
      </c>
      <c r="G1527" s="10" t="e">
        <f t="shared" ca="1" si="21"/>
        <v>#NAME?</v>
      </c>
      <c r="H1527" s="11" t="str">
        <f ca="1">IFERROR(__xludf.DUMMYFUNCTION("IFERROR(SUBSTITUTE(SUBSTITUTE(REGEXEXTRACT(A1527, ""[^-]+- [^-]+- [^-]+ - (.+?)\.jpg""), "".jpg"", """"), ""-"", "", ""), """")"),"Lena the plug")</f>
        <v>Lena the plug</v>
      </c>
      <c r="I1527" s="6"/>
      <c r="J1527" s="7" t="str">
        <f t="shared" ca="1" si="22"/>
        <v>(2026)</v>
      </c>
      <c r="K1527" s="7" t="str">
        <f t="shared" si="23"/>
        <v>25610133</v>
      </c>
      <c r="L1527" s="12" t="s">
        <v>7646</v>
      </c>
      <c r="M1527" s="13" t="str">
        <f ca="1">IFERROR(__xludf.DUMMYFUNCTION("TRIM(
  REGEXREPLACE(
    TEXTJOIN("" "",
      TRUE,
      B1527,
      C1527,
      embaralharLinks(E1527,F1527,G1527),
      H1527,
      """",
      J1527,
      N1527,
      ""#RIPNSFW""
    ),
  "",\s*"", "" "")
)"),"{New} Sky Bri https://lulustream.com/d/xbi4wn6zd7fk https://doodstream.com/d/7nf8pu6k4iqa/25610133 https://streamtape.com/v/kK71RRwjzqUOXXm/25610133 Lena the plug (2026) #BigTits #MILF #Threesome #Bigass #Teen #RIPNSFW")</f>
        <v>{New} Sky Bri https://lulustream.com/d/xbi4wn6zd7fk https://doodstream.com/d/7nf8pu6k4iqa/25610133 https://streamtape.com/v/kK71RRwjzqUOXXm/25610133 Lena the plug (2026) #BigTits #MILF #Threesome #Bigass #Teen #RIPNSFW</v>
      </c>
      <c r="N1527" s="14" t="s">
        <v>7647</v>
      </c>
      <c r="O1527" s="15" t="s">
        <v>7648</v>
      </c>
      <c r="P1527" s="14"/>
      <c r="Q1527" s="6"/>
      <c r="R1527" s="11"/>
      <c r="S1527" s="6"/>
      <c r="T1527" s="6"/>
      <c r="U1527" s="6"/>
      <c r="V1527" s="6"/>
      <c r="W1527" s="6"/>
      <c r="X1527" s="6"/>
      <c r="Y1527" s="6"/>
      <c r="Z1527" s="6"/>
      <c r="AA1527" s="6"/>
    </row>
    <row r="1528" spans="1:27" ht="12.75">
      <c r="A1528" s="6" t="s">
        <v>7649</v>
      </c>
      <c r="B1528" s="6" t="s">
        <v>14</v>
      </c>
      <c r="C1528" s="7" t="str">
        <f t="shared" si="20"/>
        <v xml:space="preserve">Sky Bri </v>
      </c>
      <c r="D1528" s="6" t="s">
        <v>7650</v>
      </c>
      <c r="E1528" s="8" t="s">
        <v>7651</v>
      </c>
      <c r="F1528" s="9" t="str">
        <f ca="1">IFERROR(__xludf.DUMMYFUNCTION("""https://streamtape.com/v/""&amp;
REGEXEXTRACT(O1528,""/thumb/([^/]+)/"")&amp;
""/""&amp;K1528"),"https://streamtape.com/v/JKeLy949mWF66G/27369214")</f>
        <v>https://streamtape.com/v/JKeLy949mWF66G/27369214</v>
      </c>
      <c r="G1528" s="10" t="e">
        <f t="shared" ca="1" si="21"/>
        <v>#NAME?</v>
      </c>
      <c r="H1528" s="11" t="str">
        <f ca="1">IFERROR(__xludf.DUMMYFUNCTION("IFERROR(SUBSTITUTE(SUBSTITUTE(REGEXEXTRACT(A1528, ""[^-]+- [^-]+- [^-]+ - (.+?)\.jpg""), "".jpg"", """"), ""-"", "", ""), """")"),"")</f>
        <v/>
      </c>
      <c r="I1528" s="6"/>
      <c r="J1528" s="7" t="str">
        <f t="shared" ca="1" si="22"/>
        <v>(2026)</v>
      </c>
      <c r="K1528" s="7" t="str">
        <f t="shared" si="23"/>
        <v>27369214</v>
      </c>
      <c r="L1528" s="12" t="s">
        <v>5290</v>
      </c>
      <c r="M1528" s="13" t="str">
        <f ca="1">IFERROR(__xludf.DUMMYFUNCTION("TRIM(
  REGEXREPLACE(
    TEXTJOIN("" "",
      TRUE,
      B1528,
      C1528,
      embaralharLinks(E1528,F1528,G1528),
      H1528,
      """",
      J1528,
      N1528,
      ""#RIPNSFW""
    ),
  "",\s*"", "" "")
)"),"{New} Sky Bri https://lulustream.com/d/swi79jussqr8 https://streamtape.com/v/JKeLy949mWF66G/27369214 https://doodstream.com/d/074fbdcp8dr4/27369214 (2026) #BigTits #Hardcore #Black #Interracial #Bigass #Teen #Blowjob #Amateur #Deepthroat #RIPNSFW")</f>
        <v>{New} Sky Bri https://lulustream.com/d/swi79jussqr8 https://streamtape.com/v/JKeLy949mWF66G/27369214 https://doodstream.com/d/074fbdcp8dr4/27369214 (2026) #BigTits #Hardcore #Black #Interracial #Bigass #Teen #Blowjob #Amateur #Deepthroat #RIPNSFW</v>
      </c>
      <c r="N1528" s="14" t="s">
        <v>5291</v>
      </c>
      <c r="O1528" s="15" t="s">
        <v>7652</v>
      </c>
      <c r="P1528" s="14"/>
      <c r="Q1528" s="6"/>
      <c r="R1528" s="11"/>
      <c r="S1528" s="6"/>
      <c r="T1528" s="6"/>
      <c r="U1528" s="6"/>
      <c r="V1528" s="6"/>
      <c r="W1528" s="6"/>
      <c r="X1528" s="6"/>
      <c r="Y1528" s="6"/>
      <c r="Z1528" s="6"/>
      <c r="AA1528" s="6"/>
    </row>
    <row r="1529" spans="1:27" ht="12.75">
      <c r="A1529" s="12" t="s">
        <v>7653</v>
      </c>
      <c r="B1529" s="6" t="s">
        <v>14</v>
      </c>
      <c r="C1529" s="7" t="str">
        <f t="shared" si="20"/>
        <v xml:space="preserve">Sky Bri </v>
      </c>
      <c r="D1529" s="24" t="s">
        <v>7654</v>
      </c>
      <c r="E1529" s="25" t="s">
        <v>7655</v>
      </c>
      <c r="F1529" s="9" t="str">
        <f ca="1">IFERROR(__xludf.DUMMYFUNCTION("""https://streamtape.com/v/""&amp;
REGEXEXTRACT(O1529,""/thumb/([^/]+)/"")&amp;
""/""&amp;K1529"),"https://streamtape.com/v/z3w9Yx72aYFYRBx/30897205")</f>
        <v>https://streamtape.com/v/z3w9Yx72aYFYRBx/30897205</v>
      </c>
      <c r="G1529" s="10" t="e">
        <f t="shared" ca="1" si="21"/>
        <v>#NAME?</v>
      </c>
      <c r="H1529" s="11" t="str">
        <f ca="1">IFERROR(__xludf.DUMMYFUNCTION("IFERROR(SUBSTITUTE(SUBSTITUTE(REGEXEXTRACT(A1529, ""[^-]+- [^-]+- [^-]+ - (.+?)\.jpg""), "".jpg"", """"), ""-"", "", ""), """")"),"Lena the plug")</f>
        <v>Lena the plug</v>
      </c>
      <c r="I1529" s="6"/>
      <c r="J1529" s="7" t="str">
        <f t="shared" ca="1" si="22"/>
        <v>(2026)</v>
      </c>
      <c r="K1529" s="7" t="str">
        <f t="shared" si="23"/>
        <v>30897205</v>
      </c>
      <c r="L1529" s="12" t="s">
        <v>7656</v>
      </c>
      <c r="M1529" s="13" t="str">
        <f ca="1">IFERROR(__xludf.DUMMYFUNCTION("TRIM(
  REGEXREPLACE(
    TEXTJOIN("" "",
      TRUE,
      B1529,
      C1529,
      embaralharLinks(E1529,F1529,G1529),
      H1529,
      """",
      J1529,
      N1529,
      ""#RIPNSFW""
    ),
  "",\s*"", "" "")
)"),"{New} Sky Bri https://doodstream.com/d/tm9kh8xe6th2/30897205 https://streamtape.com/v/z3w9Yx72aYFYRBx/30897205 https://lulustream.com/d/724rnucunny5 Lena the plug (2026) #threesome #lesbian #bigass #bigtits #RIPNSFW")</f>
        <v>{New} Sky Bri https://doodstream.com/d/tm9kh8xe6th2/30897205 https://streamtape.com/v/z3w9Yx72aYFYRBx/30897205 https://lulustream.com/d/724rnucunny5 Lena the plug (2026) #threesome #lesbian #bigass #bigtits #RIPNSFW</v>
      </c>
      <c r="N1529" s="2" t="s">
        <v>7656</v>
      </c>
      <c r="O1529" s="30" t="s">
        <v>7657</v>
      </c>
      <c r="P1529" s="26"/>
      <c r="R1529" s="23"/>
      <c r="T1529" s="6"/>
      <c r="U1529" s="7"/>
    </row>
    <row r="1530" spans="1:27" ht="12.75">
      <c r="A1530" s="12" t="s">
        <v>7658</v>
      </c>
      <c r="B1530" s="6" t="s">
        <v>14</v>
      </c>
      <c r="C1530" s="7" t="str">
        <f t="shared" si="20"/>
        <v xml:space="preserve">Sky Bri </v>
      </c>
      <c r="D1530" s="27" t="s">
        <v>7659</v>
      </c>
      <c r="E1530" s="28" t="s">
        <v>7660</v>
      </c>
      <c r="F1530" s="9" t="str">
        <f ca="1">IFERROR(__xludf.DUMMYFUNCTION("""https://streamtape.com/v/""&amp;
REGEXEXTRACT(O1530,""/thumb/([^/]+)/"")&amp;
""/""&amp;K1530"),"https://streamtape.com/v/O4mQMmvw0WimOb/46781745")</f>
        <v>https://streamtape.com/v/O4mQMmvw0WimOb/46781745</v>
      </c>
      <c r="G1530" s="10" t="e">
        <f t="shared" ca="1" si="21"/>
        <v>#NAME?</v>
      </c>
      <c r="H1530" s="11" t="str">
        <f ca="1">IFERROR(__xludf.DUMMYFUNCTION("IFERROR(SUBSTITUTE(SUBSTITUTE(REGEXEXTRACT(A1530, ""[^-]+- [^-]+- [^-]+ - (.+?)\.jpg""), "".jpg"", """"), ""-"", "", ""), """")"),"")</f>
        <v/>
      </c>
      <c r="I1530" s="6"/>
      <c r="J1530" s="7" t="str">
        <f t="shared" ca="1" si="22"/>
        <v>(2026)</v>
      </c>
      <c r="K1530" s="7" t="str">
        <f t="shared" si="23"/>
        <v>46781745</v>
      </c>
      <c r="L1530" s="12" t="s">
        <v>3806</v>
      </c>
      <c r="M1530" s="13" t="str">
        <f ca="1">IFERROR(__xludf.DUMMYFUNCTION("TRIM(
  REGEXREPLACE(
    TEXTJOIN("" "",
      TRUE,
      B1530,
      C1530,
      embaralharLinks(E1530,F1530,G1530),
      H1530,
      """",
      J1530,
      N1530,
      ""#RIPNSFW""
    ),
  "",\s*"", "" "")
)"),"{New} Sky Bri https://lulustream.com/d/a50sz7e9662c https://doodstream.com/d/xf70p42aitp2/46781745 https://streamtape.com/v/O4mQMmvw0WimOb/46781745 (2026) #BigTits #Hardcore #Threesome #Bigass #RIPNSFW")</f>
        <v>{New} Sky Bri https://lulustream.com/d/a50sz7e9662c https://doodstream.com/d/xf70p42aitp2/46781745 https://streamtape.com/v/O4mQMmvw0WimOb/46781745 (2026) #BigTits #Hardcore #Threesome #Bigass #RIPNSFW</v>
      </c>
      <c r="N1530" s="2" t="s">
        <v>3554</v>
      </c>
      <c r="O1530" s="21" t="s">
        <v>7661</v>
      </c>
      <c r="P1530" s="26"/>
      <c r="R1530" s="23"/>
    </row>
    <row r="1531" spans="1:27" ht="12.75">
      <c r="A1531" s="6" t="s">
        <v>7662</v>
      </c>
      <c r="B1531" s="6" t="s">
        <v>14</v>
      </c>
      <c r="C1531" s="7" t="str">
        <f t="shared" si="20"/>
        <v xml:space="preserve">Sky Bri </v>
      </c>
      <c r="D1531" s="24" t="s">
        <v>7663</v>
      </c>
      <c r="E1531" s="25" t="s">
        <v>7664</v>
      </c>
      <c r="F1531" s="9" t="str">
        <f ca="1">IFERROR(__xludf.DUMMYFUNCTION("""https://streamtape.com/v/""&amp;
REGEXEXTRACT(O1531,""/thumb/([^/]+)/"")&amp;
""/""&amp;K1531"),"https://streamtape.com/v/AJvZOYlLRkhXpMB/81507660")</f>
        <v>https://streamtape.com/v/AJvZOYlLRkhXpMB/81507660</v>
      </c>
      <c r="G1531" s="10" t="e">
        <f t="shared" ca="1" si="21"/>
        <v>#NAME?</v>
      </c>
      <c r="H1531" s="11" t="str">
        <f ca="1">IFERROR(__xludf.DUMMYFUNCTION("IFERROR(SUBSTITUTE(SUBSTITUTE(REGEXEXTRACT(A1531, ""[^-]+- [^-]+- [^-]+ - (.+?)\.jpg""), "".jpg"", """"), ""-"", "", ""), """")"),"")</f>
        <v/>
      </c>
      <c r="I1531" s="6"/>
      <c r="J1531" s="7" t="str">
        <f t="shared" ca="1" si="22"/>
        <v>(2026)</v>
      </c>
      <c r="K1531" s="7" t="str">
        <f t="shared" si="23"/>
        <v>81507660</v>
      </c>
      <c r="L1531" s="12" t="s">
        <v>7665</v>
      </c>
      <c r="M1531" s="13" t="str">
        <f ca="1">IFERROR(__xludf.DUMMYFUNCTION("TRIM(
  REGEXREPLACE(
    TEXTJOIN("" "",
      TRUE,
      B1531,
      C1531,
      embaralharLinks(E1531,F1531,G1531),
      H1531,
      """",
      J1531,
      N1531,
      ""#RIPNSFW""
    ),
  "",\s*"", "" "")
)"),"{New} Sky Bri https://lulustream.com/d/iv18kzd64ubg https://streamtape.com/v/AJvZOYlLRkhXpMB/81507660 https://doodstream.com/d/8qyqaoplk0ip/81507660 (2026) #teen #threesome #bigtits #bigass #RIPNSFW")</f>
        <v>{New} Sky Bri https://lulustream.com/d/iv18kzd64ubg https://streamtape.com/v/AJvZOYlLRkhXpMB/81507660 https://doodstream.com/d/8qyqaoplk0ip/81507660 (2026) #teen #threesome #bigtits #bigass #RIPNSFW</v>
      </c>
      <c r="N1531" s="31" t="s">
        <v>7665</v>
      </c>
      <c r="O1531" s="32" t="s">
        <v>7666</v>
      </c>
      <c r="P1531" s="26"/>
      <c r="Q1531" s="6"/>
      <c r="R1531" s="11"/>
      <c r="S1531" s="6"/>
      <c r="T1531" s="6"/>
      <c r="U1531" s="6"/>
      <c r="V1531" s="6"/>
      <c r="W1531" s="6"/>
      <c r="X1531" s="6"/>
      <c r="Y1531" s="6"/>
      <c r="Z1531" s="6"/>
      <c r="AA1531" s="6"/>
    </row>
    <row r="1532" spans="1:27" ht="12.75">
      <c r="A1532" s="6" t="s">
        <v>7667</v>
      </c>
      <c r="B1532" s="6" t="s">
        <v>14</v>
      </c>
      <c r="C1532" s="7" t="str">
        <f t="shared" ref="C1532:C1786" si="24">LEFT(A1532,FIND("-",A1532)-1)</f>
        <v xml:space="preserve">Sky Bri </v>
      </c>
      <c r="D1532" s="24" t="s">
        <v>7668</v>
      </c>
      <c r="E1532" s="25" t="s">
        <v>7669</v>
      </c>
      <c r="F1532" s="9" t="str">
        <f ca="1">IFERROR(__xludf.DUMMYFUNCTION("""https://streamtape.com/v/""&amp;
REGEXEXTRACT(O1532,""/thumb/([^/]+)/"")&amp;
""/""&amp;K1532"),"https://streamtape.com/v/39KzAxrYBeHroj/83997240")</f>
        <v>https://streamtape.com/v/39KzAxrYBeHroj/83997240</v>
      </c>
      <c r="G1532" s="10" t="e">
        <f t="shared" ref="G1532:G1786" ca="1" si="25">_xludf.CONCAT(D1532,K1532)</f>
        <v>#NAME?</v>
      </c>
      <c r="H1532" s="11" t="str">
        <f ca="1">IFERROR(__xludf.DUMMYFUNCTION("IFERROR(SUBSTITUTE(SUBSTITUTE(REGEXEXTRACT(A1532, ""[^-]+- [^-]+- [^-]+ - (.+?)\.jpg""), "".jpg"", """"), ""-"", "", ""), """")"),"")</f>
        <v/>
      </c>
      <c r="I1532" s="6"/>
      <c r="J1532" s="7" t="str">
        <f t="shared" ref="J1532:J1786" ca="1" si="26">IF(B1532="{New}", "(" &amp; YEAR(TODAY()) &amp; ")", "")</f>
        <v>(2026)</v>
      </c>
      <c r="K1532" s="7" t="str">
        <f t="shared" ref="K1532:K1786" si="27">MID(A1532,FIND("-",A1532)+2,8)</f>
        <v>83997240</v>
      </c>
      <c r="L1532" s="12" t="s">
        <v>3003</v>
      </c>
      <c r="M1532" s="13" t="str">
        <f ca="1">IFERROR(__xludf.DUMMYFUNCTION("TRIM(
  REGEXREPLACE(
    TEXTJOIN("" "",
      TRUE,
      B1532,
      C1532,
      embaralharLinks(E1532,F1532,G1532),
      H1532,
      """",
      J1532,
      N1532,
      ""#RIPNSFW""
    ),
  "",\s*"", "" "")
)"),"{New} Sky Bri https://streamtape.com/v/39KzAxrYBeHroj/83997240 https://lulustream.com/d/4cxp4hva7xe2 https://doodstream.com/d/iwx3rh8ayfz5/83997240 (2026) #teen #blowjob #bigtits #blonde #RIPNSFW")</f>
        <v>{New} Sky Bri https://streamtape.com/v/39KzAxrYBeHroj/83997240 https://lulustream.com/d/4cxp4hva7xe2 https://doodstream.com/d/iwx3rh8ayfz5/83997240 (2026) #teen #blowjob #bigtits #blonde #RIPNSFW</v>
      </c>
      <c r="N1532" s="31" t="s">
        <v>3003</v>
      </c>
      <c r="O1532" s="32" t="s">
        <v>7670</v>
      </c>
      <c r="P1532" s="26"/>
      <c r="Q1532" s="6"/>
      <c r="R1532" s="23"/>
      <c r="S1532" s="6"/>
      <c r="T1532" s="6"/>
      <c r="U1532" s="7"/>
      <c r="V1532" s="6"/>
      <c r="X1532" s="6"/>
      <c r="Y1532" s="6"/>
      <c r="Z1532" s="6"/>
      <c r="AA1532" s="6"/>
    </row>
    <row r="1533" spans="1:27" ht="12.75">
      <c r="A1533" s="12" t="s">
        <v>7671</v>
      </c>
      <c r="B1533" s="6"/>
      <c r="C1533" s="7" t="str">
        <f t="shared" si="24"/>
        <v xml:space="preserve">Sky Bri </v>
      </c>
      <c r="D1533" s="24" t="s">
        <v>7672</v>
      </c>
      <c r="E1533" s="25" t="s">
        <v>7673</v>
      </c>
      <c r="F1533" s="9" t="str">
        <f ca="1">IFERROR(__xludf.DUMMYFUNCTION("""https://streamtape.com/v/""&amp;
REGEXEXTRACT(O1533,""/thumb/([^/]+)/"")&amp;
""/""&amp;K1533"),"https://streamtape.com/v/GP03zo7qWaH1GZV/91788222")</f>
        <v>https://streamtape.com/v/GP03zo7qWaH1GZV/91788222</v>
      </c>
      <c r="G1533" s="10" t="e">
        <f t="shared" ca="1" si="25"/>
        <v>#NAME?</v>
      </c>
      <c r="H1533" s="11" t="str">
        <f ca="1">IFERROR(__xludf.DUMMYFUNCTION("IFERROR(SUBSTITUTE(SUBSTITUTE(REGEXEXTRACT(A1533, ""[^-]+- [^-]+- [^-]+ - (.+?)\.jpg""), "".jpg"", """"), ""-"", "", ""), """")"),"")</f>
        <v/>
      </c>
      <c r="I1533" s="6"/>
      <c r="J1533" s="7" t="str">
        <f t="shared" ca="1" si="26"/>
        <v/>
      </c>
      <c r="K1533" s="7" t="str">
        <f t="shared" si="27"/>
        <v>91788222</v>
      </c>
      <c r="L1533" s="12" t="s">
        <v>7674</v>
      </c>
      <c r="M1533" s="13" t="str">
        <f ca="1">IFERROR(__xludf.DUMMYFUNCTION("TRIM(
  REGEXREPLACE(
    TEXTJOIN("" "",
      TRUE,
      B1533,
      C1533,
      embaralharLinks(E1533,F1533,G1533),
      H1533,
      """",
      J1533,
      N1533,
      ""#RIPNSFW""
    ),
  "",\s*"", "" "")
)"),"Sky Bri https://streamtape.com/v/GP03zo7qWaH1GZV/91788222 https://doodstream.com/d/peifwp69ui0t/91788222 https://lulustream.com/d/62y8ez7zbj9p #blonde #teen #bigtits #handjob #RIPNSFW")</f>
        <v>Sky Bri https://streamtape.com/v/GP03zo7qWaH1GZV/91788222 https://doodstream.com/d/peifwp69ui0t/91788222 https://lulustream.com/d/62y8ez7zbj9p #blonde #teen #bigtits #handjob #RIPNSFW</v>
      </c>
      <c r="N1533" s="2" t="s">
        <v>7674</v>
      </c>
      <c r="O1533" s="30" t="s">
        <v>7675</v>
      </c>
      <c r="P1533" s="26"/>
      <c r="R1533" s="23"/>
      <c r="T1533" s="6"/>
      <c r="U1533" s="7"/>
    </row>
    <row r="1534" spans="1:27" ht="12.75">
      <c r="A1534" s="6" t="s">
        <v>7676</v>
      </c>
      <c r="B1534" s="6" t="s">
        <v>14</v>
      </c>
      <c r="C1534" s="7" t="str">
        <f t="shared" si="24"/>
        <v xml:space="preserve">Sky Bri </v>
      </c>
      <c r="D1534" s="24" t="s">
        <v>7677</v>
      </c>
      <c r="E1534" s="25" t="s">
        <v>7678</v>
      </c>
      <c r="F1534" s="9" t="str">
        <f ca="1">IFERROR(__xludf.DUMMYFUNCTION("""https://streamtape.com/v/""&amp;
REGEXEXTRACT(O1534,""/thumb/([^/]+)/"")&amp;
""/""&amp;K1534"),"https://streamtape.com/v/vWj1m1a73OcDK6/96295247")</f>
        <v>https://streamtape.com/v/vWj1m1a73OcDK6/96295247</v>
      </c>
      <c r="G1534" s="10" t="e">
        <f t="shared" ca="1" si="25"/>
        <v>#NAME?</v>
      </c>
      <c r="H1534" s="11" t="str">
        <f ca="1">IFERROR(__xludf.DUMMYFUNCTION("IFERROR(SUBSTITUTE(SUBSTITUTE(REGEXEXTRACT(A1534, ""[^-]+- [^-]+- [^-]+ - (.+?)\.jpg""), "".jpg"", """"), ""-"", "", ""), """")"),"")</f>
        <v/>
      </c>
      <c r="I1534" s="6"/>
      <c r="J1534" s="7" t="str">
        <f t="shared" ca="1" si="26"/>
        <v>(2026)</v>
      </c>
      <c r="K1534" s="7" t="str">
        <f t="shared" si="27"/>
        <v>96295247</v>
      </c>
      <c r="L1534" s="12" t="s">
        <v>2736</v>
      </c>
      <c r="M1534" s="13" t="str">
        <f ca="1">IFERROR(__xludf.DUMMYFUNCTION("TRIM(
  REGEXREPLACE(
    TEXTJOIN("" "",
      TRUE,
      B1534,
      C1534,
      embaralharLinks(E1534,F1534,G1534),
      H1534,
      """",
      J1534,
      N1534,
      ""#RIPNSFW""
    ),
  "",\s*"", "" "")
)"),"{New} Sky Bri https://streamtape.com/v/vWj1m1a73OcDK6/96295247 https://lulustream.com/d/g05jdksjeme8 https://doodstream.com/d/fay39lml2xjb/96295247 (2026) #teen #bigtits #blowjob #amateur #RIPNSFW")</f>
        <v>{New} Sky Bri https://streamtape.com/v/vWj1m1a73OcDK6/96295247 https://lulustream.com/d/g05jdksjeme8 https://doodstream.com/d/fay39lml2xjb/96295247 (2026) #teen #bigtits #blowjob #amateur #RIPNSFW</v>
      </c>
      <c r="N1534" s="31" t="s">
        <v>2736</v>
      </c>
      <c r="O1534" s="32" t="s">
        <v>7679</v>
      </c>
      <c r="P1534" s="26"/>
      <c r="Q1534" s="6"/>
      <c r="R1534" s="11"/>
      <c r="S1534" s="6"/>
      <c r="T1534" s="6"/>
      <c r="U1534" s="6"/>
      <c r="V1534" s="6"/>
      <c r="W1534" s="6"/>
      <c r="X1534" s="6"/>
      <c r="Y1534" s="6"/>
      <c r="Z1534" s="6"/>
      <c r="AA1534" s="6"/>
    </row>
    <row r="1535" spans="1:27" ht="12.75">
      <c r="A1535" s="6" t="s">
        <v>7680</v>
      </c>
      <c r="B1535" s="6" t="s">
        <v>14</v>
      </c>
      <c r="C1535" s="7" t="str">
        <f t="shared" si="24"/>
        <v xml:space="preserve">Skye Blue </v>
      </c>
      <c r="D1535" s="6" t="s">
        <v>7681</v>
      </c>
      <c r="E1535" s="8" t="s">
        <v>7682</v>
      </c>
      <c r="F1535" s="9" t="str">
        <f ca="1">IFERROR(__xludf.DUMMYFUNCTION("""https://streamtape.com/v/""&amp;
REGEXEXTRACT(O1535,""/thumb/([^/]+)/"")&amp;
""/""&amp;K1535"),"https://streamtape.com/v/QkyyMkm43dF0m8A/12334640")</f>
        <v>https://streamtape.com/v/QkyyMkm43dF0m8A/12334640</v>
      </c>
      <c r="G1535" s="10" t="e">
        <f t="shared" ca="1" si="25"/>
        <v>#NAME?</v>
      </c>
      <c r="H1535" s="11" t="str">
        <f ca="1">IFERROR(__xludf.DUMMYFUNCTION("IFERROR(SUBSTITUTE(SUBSTITUTE(REGEXEXTRACT(A1535, ""[^-]+- [^-]+- [^-]+ - (.+?)\.jpg""), "".jpg"", """"), ""-"", "", ""), """")"),"JackandJill")</f>
        <v>JackandJill</v>
      </c>
      <c r="I1535" s="6"/>
      <c r="J1535" s="7" t="str">
        <f t="shared" ca="1" si="26"/>
        <v>(2026)</v>
      </c>
      <c r="K1535" s="7" t="str">
        <f t="shared" si="27"/>
        <v>12334640</v>
      </c>
      <c r="L1535" s="12" t="s">
        <v>7683</v>
      </c>
      <c r="M1535" s="13" t="str">
        <f ca="1">IFERROR(__xludf.DUMMYFUNCTION("TRIM(
  REGEXREPLACE(
    TEXTJOIN("" "",
      TRUE,
      B1535,
      C1535,
      embaralharLinks(E1535,F1535,G1535),
      H1535,
      """",
      J1535,
      N1535,
      ""#RIPNSFW""
    ),
  "",\s*"", "" "")
)"),"{New} Skye Blue https://doodstream.com/d/aqjqpua90b0s/12334640 https://streamtape.com/v/QkyyMkm43dF0m8A/12334640 https://lulustream.com/d/12eflmp5zxmb JackandJill (2026) #BigTits #Hardcore #Teen #Teens #Blowjob #Amateur #RIPNSFW")</f>
        <v>{New} Skye Blue https://doodstream.com/d/aqjqpua90b0s/12334640 https://streamtape.com/v/QkyyMkm43dF0m8A/12334640 https://lulustream.com/d/12eflmp5zxmb JackandJill (2026) #BigTits #Hardcore #Teen #Teens #Blowjob #Amateur #RIPNSFW</v>
      </c>
      <c r="N1535" s="14" t="s">
        <v>1115</v>
      </c>
      <c r="O1535" s="15" t="s">
        <v>7684</v>
      </c>
      <c r="P1535" s="14"/>
      <c r="Q1535" s="6"/>
      <c r="R1535" s="11"/>
      <c r="S1535" s="6"/>
      <c r="T1535" s="6"/>
      <c r="U1535" s="6"/>
      <c r="V1535" s="6"/>
      <c r="W1535" s="6"/>
      <c r="X1535" s="6"/>
      <c r="Y1535" s="6"/>
      <c r="Z1535" s="6"/>
      <c r="AA1535" s="6"/>
    </row>
    <row r="1536" spans="1:27" ht="12.75">
      <c r="A1536" s="6" t="s">
        <v>7685</v>
      </c>
      <c r="B1536" s="6" t="s">
        <v>14</v>
      </c>
      <c r="C1536" s="7" t="str">
        <f t="shared" si="24"/>
        <v xml:space="preserve">Skye Blue </v>
      </c>
      <c r="D1536" s="6" t="s">
        <v>7686</v>
      </c>
      <c r="E1536" s="8" t="s">
        <v>7687</v>
      </c>
      <c r="F1536" s="9" t="str">
        <f ca="1">IFERROR(__xludf.DUMMYFUNCTION("""https://streamtape.com/v/""&amp;
REGEXEXTRACT(O1536,""/thumb/([^/]+)/"")&amp;
""/""&amp;K1536"),"https://streamtape.com/v/aGprXogYDDSxqkd/56299693")</f>
        <v>https://streamtape.com/v/aGprXogYDDSxqkd/56299693</v>
      </c>
      <c r="G1536" s="10" t="e">
        <f t="shared" ca="1" si="25"/>
        <v>#NAME?</v>
      </c>
      <c r="H1536" s="11" t="str">
        <f ca="1">IFERROR(__xludf.DUMMYFUNCTION("IFERROR(SUBSTITUTE(SUBSTITUTE(REGEXEXTRACT(A1536, ""[^-]+- [^-]+- [^-]+ - (.+?)\.jpg""), "".jpg"", """"), ""-"", "", ""), """")"),"")</f>
        <v/>
      </c>
      <c r="I1536" s="6"/>
      <c r="J1536" s="7" t="str">
        <f t="shared" ca="1" si="26"/>
        <v>(2026)</v>
      </c>
      <c r="K1536" s="7" t="str">
        <f t="shared" si="27"/>
        <v>56299693</v>
      </c>
      <c r="L1536" s="12" t="s">
        <v>7688</v>
      </c>
      <c r="M1536" s="13" t="str">
        <f ca="1">IFERROR(__xludf.DUMMYFUNCTION("TRIM(
  REGEXREPLACE(
    TEXTJOIN("" "",
      TRUE,
      B1536,
      C1536,
      embaralharLinks(E1536,F1536,G1536),
      H1536,
      """",
      J1536,
      N1536,
      ""#RIPNSFW""
    ),
  "",\s*"", "" "")
)"),"{New} Skye Blue https://doodstream.com/d/4nxy4368sbgb/56299693 https://streamtape.com/v/aGprXogYDDSxqkd/56299693 https://lulustream.com/d/n6jtmf1i496d (2026) #BigTits #Hardcore #Threesome #Teen #Blowjob #Amateur #Deepthroat #Blonde #RIPNSFW")</f>
        <v>{New} Skye Blue https://doodstream.com/d/4nxy4368sbgb/56299693 https://streamtape.com/v/aGprXogYDDSxqkd/56299693 https://lulustream.com/d/n6jtmf1i496d (2026) #BigTits #Hardcore #Threesome #Teen #Blowjob #Amateur #Deepthroat #Blonde #RIPNSFW</v>
      </c>
      <c r="N1536" s="14" t="s">
        <v>7689</v>
      </c>
      <c r="O1536" s="15" t="s">
        <v>7690</v>
      </c>
      <c r="P1536" s="14"/>
      <c r="Q1536" s="6"/>
      <c r="R1536" s="11"/>
      <c r="S1536" s="6"/>
      <c r="T1536" s="6"/>
      <c r="U1536" s="6"/>
      <c r="V1536" s="6"/>
      <c r="W1536" s="6"/>
      <c r="X1536" s="6"/>
      <c r="Y1536" s="6"/>
      <c r="Z1536" s="6"/>
      <c r="AA1536" s="6"/>
    </row>
    <row r="1537" spans="1:27" ht="12.75">
      <c r="A1537" s="12" t="s">
        <v>7691</v>
      </c>
      <c r="B1537" s="6" t="s">
        <v>14</v>
      </c>
      <c r="C1537" s="7" t="str">
        <f t="shared" si="24"/>
        <v xml:space="preserve">Skye Blue </v>
      </c>
      <c r="D1537" s="24" t="s">
        <v>7692</v>
      </c>
      <c r="E1537" s="25" t="s">
        <v>7693</v>
      </c>
      <c r="F1537" s="9" t="str">
        <f ca="1">IFERROR(__xludf.DUMMYFUNCTION("""https://streamtape.com/v/""&amp;
REGEXEXTRACT(O1537,""/thumb/([^/]+)/"")&amp;
""/""&amp;K1537"),"https://streamtape.com/v/16MMJL0B30HezQW/93915326")</f>
        <v>https://streamtape.com/v/16MMJL0B30HezQW/93915326</v>
      </c>
      <c r="G1537" s="10" t="e">
        <f t="shared" ca="1" si="25"/>
        <v>#NAME?</v>
      </c>
      <c r="H1537" s="11" t="str">
        <f ca="1">IFERROR(__xludf.DUMMYFUNCTION("IFERROR(SUBSTITUTE(SUBSTITUTE(REGEXEXTRACT(A1537, ""[^-]+- [^-]+- [^-]+ - (.+?)\.jpg""), "".jpg"", """"), ""-"", "", ""), """")"),"")</f>
        <v/>
      </c>
      <c r="I1537" s="6"/>
      <c r="J1537" s="7" t="str">
        <f t="shared" ca="1" si="26"/>
        <v>(2026)</v>
      </c>
      <c r="K1537" s="7" t="str">
        <f t="shared" si="27"/>
        <v>93915326</v>
      </c>
      <c r="L1537" s="12" t="s">
        <v>7694</v>
      </c>
      <c r="M1537" s="13" t="str">
        <f ca="1">IFERROR(__xludf.DUMMYFUNCTION("TRIM(
  REGEXREPLACE(
    TEXTJOIN("" "",
      TRUE,
      B1537,
      C1537,
      embaralharLinks(E1537,F1537,G1537),
      H1537,
      """",
      J1537,
      N1537,
      ""#RIPNSFW""
    ),
  "",\s*"", "" "")
)"),"{New} Skye Blue https://lulustream.com/d/tan0harr7ijj https://doodstream.com/d/noi4py0qaz3b/93915326 https://streamtape.com/v/16MMJL0B30HezQW/93915326 (2026) #bigass #blowjob #blonde #hairy #RIPNSFW")</f>
        <v>{New} Skye Blue https://lulustream.com/d/tan0harr7ijj https://doodstream.com/d/noi4py0qaz3b/93915326 https://streamtape.com/v/16MMJL0B30HezQW/93915326 (2026) #bigass #blowjob #blonde #hairy #RIPNSFW</v>
      </c>
      <c r="N1537" s="2" t="s">
        <v>7694</v>
      </c>
      <c r="O1537" s="30" t="s">
        <v>7695</v>
      </c>
      <c r="P1537" s="26"/>
      <c r="R1537" s="23"/>
      <c r="T1537" s="6"/>
      <c r="U1537" s="7"/>
    </row>
    <row r="1538" spans="1:27" ht="12.75">
      <c r="A1538" s="12" t="s">
        <v>7696</v>
      </c>
      <c r="B1538" s="6" t="s">
        <v>14</v>
      </c>
      <c r="C1538" s="7" t="str">
        <f t="shared" si="24"/>
        <v xml:space="preserve">Slimthick Vic </v>
      </c>
      <c r="D1538" s="24" t="s">
        <v>7697</v>
      </c>
      <c r="E1538" s="25" t="s">
        <v>7698</v>
      </c>
      <c r="F1538" s="9" t="str">
        <f ca="1">IFERROR(__xludf.DUMMYFUNCTION("""https://streamtape.com/v/""&amp;
REGEXEXTRACT(O1538,""/thumb/([^/]+)/"")&amp;
""/""&amp;K1538"),"https://streamtape.com/v/brXopj76rGiPj1r/88680369")</f>
        <v>https://streamtape.com/v/brXopj76rGiPj1r/88680369</v>
      </c>
      <c r="G1538" s="10" t="e">
        <f t="shared" ca="1" si="25"/>
        <v>#NAME?</v>
      </c>
      <c r="H1538" s="11" t="str">
        <f ca="1">IFERROR(__xludf.DUMMYFUNCTION("IFERROR(SUBSTITUTE(SUBSTITUTE(REGEXEXTRACT(A1538, ""[^-]+- [^-]+- [^-]+ - (.+?)\.jpg""), "".jpg"", """"), ""-"", "", ""), """")"),"Kay Lovely")</f>
        <v>Kay Lovely</v>
      </c>
      <c r="I1538" s="6"/>
      <c r="J1538" s="7" t="str">
        <f t="shared" ca="1" si="26"/>
        <v>(2026)</v>
      </c>
      <c r="K1538" s="7" t="str">
        <f t="shared" si="27"/>
        <v>88680369</v>
      </c>
      <c r="L1538" s="12" t="s">
        <v>7699</v>
      </c>
      <c r="M1538" s="13" t="str">
        <f ca="1">IFERROR(__xludf.DUMMYFUNCTION("TRIM(
  REGEXREPLACE(
    TEXTJOIN("" "",
      TRUE,
      B1538,
      C1538,
      embaralharLinks(E1538,F1538,G1538),
      H1538,
      """",
      J1538,
      N1538,
      ""#RIPNSFW""
    ),
  "",\s*"", "" "")
)"),"{New} Slimthick Vic https://streamtape.com/v/brXopj76rGiPj1r/88680369 https://lulustream.com/d/jsuztvck0t99 https://doodstream.com/d/wn8cmk1ckxxh/88680369 Kay Lovely (2026) #blowjob #bigass #bigtits #blonde #RIPNSFW")</f>
        <v>{New} Slimthick Vic https://streamtape.com/v/brXopj76rGiPj1r/88680369 https://lulustream.com/d/jsuztvck0t99 https://doodstream.com/d/wn8cmk1ckxxh/88680369 Kay Lovely (2026) #blowjob #bigass #bigtits #blonde #RIPNSFW</v>
      </c>
      <c r="N1538" s="2" t="s">
        <v>7699</v>
      </c>
      <c r="O1538" s="30" t="s">
        <v>7700</v>
      </c>
      <c r="P1538" s="26"/>
      <c r="R1538" s="23"/>
    </row>
    <row r="1539" spans="1:27" ht="12.75">
      <c r="A1539" s="6" t="s">
        <v>7701</v>
      </c>
      <c r="B1539" s="6" t="s">
        <v>14</v>
      </c>
      <c r="C1539" s="7" t="str">
        <f t="shared" si="24"/>
        <v xml:space="preserve">Slimthick Vic </v>
      </c>
      <c r="D1539" s="24" t="s">
        <v>7702</v>
      </c>
      <c r="E1539" s="25" t="s">
        <v>7703</v>
      </c>
      <c r="F1539" s="9" t="str">
        <f ca="1">IFERROR(__xludf.DUMMYFUNCTION("""https://streamtape.com/v/""&amp;
REGEXEXTRACT(O1539,""/thumb/([^/]+)/"")&amp;
""/""&amp;K1539"),"https://streamtape.com/v/Z17Z1Qw4D7Tq0mj/96569222")</f>
        <v>https://streamtape.com/v/Z17Z1Qw4D7Tq0mj/96569222</v>
      </c>
      <c r="G1539" s="10" t="e">
        <f t="shared" ca="1" si="25"/>
        <v>#NAME?</v>
      </c>
      <c r="H1539" s="11" t="str">
        <f ca="1">IFERROR(__xludf.DUMMYFUNCTION("IFERROR(SUBSTITUTE(SUBSTITUTE(REGEXEXTRACT(A1539, ""[^-]+- [^-]+- [^-]+ - (.+?)\.jpg""), "".jpg"", """"), ""-"", "", ""), """")"),"Brandy Renee")</f>
        <v>Brandy Renee</v>
      </c>
      <c r="I1539" s="6"/>
      <c r="J1539" s="7" t="str">
        <f t="shared" ca="1" si="26"/>
        <v>(2026)</v>
      </c>
      <c r="K1539" s="7" t="str">
        <f t="shared" si="27"/>
        <v>96569222</v>
      </c>
      <c r="L1539" s="12" t="s">
        <v>1462</v>
      </c>
      <c r="M1539" s="13" t="str">
        <f ca="1">IFERROR(__xludf.DUMMYFUNCTION("TRIM(
  REGEXREPLACE(
    TEXTJOIN("" "",
      TRUE,
      B1539,
      C1539,
      embaralharLinks(E1539,F1539,G1539),
      H1539,
      """",
      J1539,
      N1539,
      ""#RIPNSFW""
    ),
  "",\s*"", "" "")
)"),"{New} Slimthick Vic https://doodstream.com/d/jv081wsrx28f/96569222 https://lulustream.com/d/gkylvh33pstw https://streamtape.com/v/Z17Z1Qw4D7Tq0mj/96569222 Brandy Renee (2026) #milf #bigtits #bigass #blowjob #RIPNSFW")</f>
        <v>{New} Slimthick Vic https://doodstream.com/d/jv081wsrx28f/96569222 https://lulustream.com/d/gkylvh33pstw https://streamtape.com/v/Z17Z1Qw4D7Tq0mj/96569222 Brandy Renee (2026) #milf #bigtits #bigass #blowjob #RIPNSFW</v>
      </c>
      <c r="N1539" s="31" t="s">
        <v>1462</v>
      </c>
      <c r="O1539" s="32" t="s">
        <v>7704</v>
      </c>
      <c r="P1539" s="26"/>
      <c r="Q1539" s="6"/>
      <c r="R1539" s="11"/>
      <c r="S1539" s="6"/>
      <c r="T1539" s="6"/>
      <c r="U1539" s="6"/>
      <c r="V1539" s="6"/>
      <c r="W1539" s="6"/>
      <c r="X1539" s="6"/>
      <c r="Y1539" s="6"/>
      <c r="Z1539" s="6"/>
      <c r="AA1539" s="6"/>
    </row>
    <row r="1540" spans="1:27" ht="12.75">
      <c r="A1540" s="12" t="s">
        <v>7705</v>
      </c>
      <c r="B1540" s="6" t="s">
        <v>14</v>
      </c>
      <c r="C1540" s="7" t="str">
        <f t="shared" si="24"/>
        <v xml:space="preserve">Sophie Reade </v>
      </c>
      <c r="D1540" s="24" t="s">
        <v>7706</v>
      </c>
      <c r="E1540" s="25" t="s">
        <v>7707</v>
      </c>
      <c r="F1540" s="9" t="str">
        <f ca="1">IFERROR(__xludf.DUMMYFUNCTION("""https://streamtape.com/v/""&amp;
REGEXEXTRACT(O1540,""/thumb/([^/]+)/"")&amp;
""/""&amp;K1540"),"https://streamtape.com/v/2rgY6P3Pr3HZXMZ/23896378")</f>
        <v>https://streamtape.com/v/2rgY6P3Pr3HZXMZ/23896378</v>
      </c>
      <c r="G1540" s="10" t="e">
        <f t="shared" ca="1" si="25"/>
        <v>#NAME?</v>
      </c>
      <c r="H1540" s="11" t="str">
        <f ca="1">IFERROR(__xludf.DUMMYFUNCTION("IFERROR(SUBSTITUTE(SUBSTITUTE(REGEXEXTRACT(A1540, ""[^-]+- [^-]+- [^-]+ - (.+?)\.jpg""), "".jpg"", """"), ""-"", "", ""), """")"),"")</f>
        <v/>
      </c>
      <c r="I1540" s="6"/>
      <c r="J1540" s="7" t="str">
        <f t="shared" ca="1" si="26"/>
        <v>(2026)</v>
      </c>
      <c r="K1540" s="7" t="str">
        <f t="shared" si="27"/>
        <v>23896378</v>
      </c>
      <c r="L1540" s="12" t="s">
        <v>7708</v>
      </c>
      <c r="M1540" s="13" t="str">
        <f ca="1">IFERROR(__xludf.DUMMYFUNCTION("TRIM(
  REGEXREPLACE(
    TEXTJOIN("" "",
      TRUE,
      B1540,
      C1540,
      embaralharLinks(E1540,F1540,G1540),
      H1540,
      """",
      J1540,
      N1540,
      ""#RIPNSFW""
    ),
  "",\s*"", "" "")
)"),"{New} Sophie Reade https://streamtape.com/v/2rgY6P3Pr3HZXMZ/23896378 https://lulustream.com/d/x8vexh7ahswc https://doodstream.com/d/y2oso3vcs8tp/23896378 (2026) #milf #blonde #blowjob #bigtits #RIPNSFW")</f>
        <v>{New} Sophie Reade https://streamtape.com/v/2rgY6P3Pr3HZXMZ/23896378 https://lulustream.com/d/x8vexh7ahswc https://doodstream.com/d/y2oso3vcs8tp/23896378 (2026) #milf #blonde #blowjob #bigtits #RIPNSFW</v>
      </c>
      <c r="N1540" s="2" t="s">
        <v>7708</v>
      </c>
      <c r="O1540" s="30" t="s">
        <v>7709</v>
      </c>
      <c r="P1540" s="26"/>
      <c r="R1540" s="23"/>
    </row>
    <row r="1541" spans="1:27" ht="12.75">
      <c r="A1541" s="6" t="s">
        <v>7710</v>
      </c>
      <c r="B1541" s="6" t="s">
        <v>14</v>
      </c>
      <c r="C1541" s="7" t="str">
        <f t="shared" si="24"/>
        <v xml:space="preserve">Sophie Reade </v>
      </c>
      <c r="D1541" s="6" t="s">
        <v>7711</v>
      </c>
      <c r="E1541" s="8" t="s">
        <v>7712</v>
      </c>
      <c r="F1541" s="9" t="str">
        <f ca="1">IFERROR(__xludf.DUMMYFUNCTION("""https://streamtape.com/v/""&amp;
REGEXEXTRACT(O1541,""/thumb/([^/]+)/"")&amp;
""/""&amp;K1541"),"https://streamtape.com/v/R47WjLMyQrTdGxd/31784986")</f>
        <v>https://streamtape.com/v/R47WjLMyQrTdGxd/31784986</v>
      </c>
      <c r="G1541" s="10" t="e">
        <f t="shared" ca="1" si="25"/>
        <v>#NAME?</v>
      </c>
      <c r="H1541" s="11" t="str">
        <f ca="1">IFERROR(__xludf.DUMMYFUNCTION("IFERROR(SUBSTITUTE(SUBSTITUTE(REGEXEXTRACT(A1541, ""[^-]+- [^-]+- [^-]+ - (.+?)\.jpg""), "".jpg"", """"), ""-"", "", ""), """")"),"")</f>
        <v/>
      </c>
      <c r="I1541" s="6"/>
      <c r="J1541" s="7" t="str">
        <f t="shared" ca="1" si="26"/>
        <v>(2026)</v>
      </c>
      <c r="K1541" s="7" t="str">
        <f t="shared" si="27"/>
        <v>31784986</v>
      </c>
      <c r="L1541" s="12" t="s">
        <v>7713</v>
      </c>
      <c r="M1541" s="13" t="str">
        <f ca="1">IFERROR(__xludf.DUMMYFUNCTION("TRIM(
  REGEXREPLACE(
    TEXTJOIN("" "",
      TRUE,
      B1541,
      C1541,
      embaralharLinks(E1541,F1541,G1541),
      H1541,
      """",
      J1541,
      N1541,
      ""#RIPNSFW""
    ),
  "",\s*"", "" "")
)"),"{New} Sophie Reade https://doodstream.com/d/slzni0sqo4ni/31784986 https://lulustream.com/d/069rmys0mfzk https://streamtape.com/v/R47WjLMyQrTdGxd/31784986 (2026) #MILF #BigTits #Creampie #Hardcore #Bigass #RIPNSFW")</f>
        <v>{New} Sophie Reade https://doodstream.com/d/slzni0sqo4ni/31784986 https://lulustream.com/d/069rmys0mfzk https://streamtape.com/v/R47WjLMyQrTdGxd/31784986 (2026) #MILF #BigTits #Creampie #Hardcore #Bigass #RIPNSFW</v>
      </c>
      <c r="N1541" s="14" t="s">
        <v>1436</v>
      </c>
      <c r="O1541" s="15" t="s">
        <v>7714</v>
      </c>
      <c r="P1541" s="14"/>
      <c r="Q1541" s="6"/>
      <c r="R1541" s="11"/>
      <c r="S1541" s="6"/>
      <c r="T1541" s="6"/>
      <c r="U1541" s="6"/>
      <c r="V1541" s="6"/>
      <c r="W1541" s="6"/>
      <c r="X1541" s="6"/>
      <c r="Y1541" s="6"/>
      <c r="Z1541" s="6"/>
      <c r="AA1541" s="6"/>
    </row>
    <row r="1542" spans="1:27" ht="12.75">
      <c r="A1542" s="6" t="s">
        <v>7715</v>
      </c>
      <c r="B1542" s="6" t="s">
        <v>14</v>
      </c>
      <c r="C1542" s="7" t="str">
        <f t="shared" si="24"/>
        <v xml:space="preserve">Sophie Reade </v>
      </c>
      <c r="D1542" s="6" t="s">
        <v>7716</v>
      </c>
      <c r="E1542" s="8" t="s">
        <v>7717</v>
      </c>
      <c r="F1542" s="9" t="str">
        <f ca="1">IFERROR(__xludf.DUMMYFUNCTION("""https://streamtape.com/v/""&amp;
REGEXEXTRACT(O1542,""/thumb/([^/]+)/"")&amp;
""/""&amp;K1542"),"https://streamtape.com/v/ePdXA46qyrFYzpd/43360544")</f>
        <v>https://streamtape.com/v/ePdXA46qyrFYzpd/43360544</v>
      </c>
      <c r="G1542" s="10" t="e">
        <f t="shared" ca="1" si="25"/>
        <v>#NAME?</v>
      </c>
      <c r="H1542" s="11" t="str">
        <f ca="1">IFERROR(__xludf.DUMMYFUNCTION("IFERROR(SUBSTITUTE(SUBSTITUTE(REGEXEXTRACT(A1542, ""[^-]+- [^-]+- [^-]+ - (.+?)\.jpg""), "".jpg"", """"), ""-"", "", ""), """")"),"")</f>
        <v/>
      </c>
      <c r="I1542" s="6"/>
      <c r="J1542" s="7" t="str">
        <f t="shared" ca="1" si="26"/>
        <v>(2026)</v>
      </c>
      <c r="K1542" s="7" t="str">
        <f t="shared" si="27"/>
        <v>43360544</v>
      </c>
      <c r="L1542" s="12" t="s">
        <v>7718</v>
      </c>
      <c r="M1542" s="13" t="str">
        <f ca="1">IFERROR(__xludf.DUMMYFUNCTION("TRIM(
  REGEXREPLACE(
    TEXTJOIN("" "",
      TRUE,
      B1542,
      C1542,
      embaralharLinks(E1542,F1542,G1542),
      H1542,
      """",
      J1542,
      N1542,
      ""#RIPNSFW""
    ),
  "",\s*"", "" "")
)"),"{New} Sophie Reade https://doodstream.com/d/56hg4akeia9j/43360544 https://lulustream.com/d/ot7g2id45wno https://streamtape.com/v/ePdXA46qyrFYzpd/43360544 (2026) #MILF #BigTits #Creampie #Hardcore #Black #Interracial #Bigass #Blowjob #RIPNSFW")</f>
        <v>{New} Sophie Reade https://doodstream.com/d/56hg4akeia9j/43360544 https://lulustream.com/d/ot7g2id45wno https://streamtape.com/v/ePdXA46qyrFYzpd/43360544 (2026) #MILF #BigTits #Creampie #Hardcore #Black #Interracial #Bigass #Blowjob #RIPNSFW</v>
      </c>
      <c r="N1542" s="14" t="s">
        <v>7719</v>
      </c>
      <c r="O1542" s="15" t="s">
        <v>7720</v>
      </c>
      <c r="P1542" s="14"/>
      <c r="Q1542" s="6"/>
      <c r="R1542" s="11"/>
      <c r="S1542" s="6"/>
      <c r="T1542" s="6"/>
      <c r="U1542" s="6"/>
      <c r="V1542" s="6"/>
      <c r="W1542" s="6"/>
      <c r="X1542" s="6"/>
      <c r="Y1542" s="6"/>
      <c r="Z1542" s="6"/>
      <c r="AA1542" s="6"/>
    </row>
    <row r="1543" spans="1:27" ht="12.75">
      <c r="A1543" s="6" t="s">
        <v>7721</v>
      </c>
      <c r="B1543" s="6" t="s">
        <v>14</v>
      </c>
      <c r="C1543" s="7" t="str">
        <f t="shared" si="24"/>
        <v xml:space="preserve">Sophie Reade </v>
      </c>
      <c r="D1543" s="6" t="s">
        <v>7722</v>
      </c>
      <c r="E1543" s="8" t="s">
        <v>7723</v>
      </c>
      <c r="F1543" s="9" t="str">
        <f ca="1">IFERROR(__xludf.DUMMYFUNCTION("""https://streamtape.com/v/""&amp;
REGEXEXTRACT(O1543,""/thumb/([^/]+)/"")&amp;
""/""&amp;K1543"),"https://streamtape.com/v/vWDwOW90lXcwLx/51791022")</f>
        <v>https://streamtape.com/v/vWDwOW90lXcwLx/51791022</v>
      </c>
      <c r="G1543" s="10" t="e">
        <f t="shared" ca="1" si="25"/>
        <v>#NAME?</v>
      </c>
      <c r="H1543" s="11" t="str">
        <f ca="1">IFERROR(__xludf.DUMMYFUNCTION("IFERROR(SUBSTITUTE(SUBSTITUTE(REGEXEXTRACT(A1543, ""[^-]+- [^-]+- [^-]+ - (.+?)\.jpg""), "".jpg"", """"), ""-"", "", ""), """")"),"")</f>
        <v/>
      </c>
      <c r="I1543" s="6"/>
      <c r="J1543" s="7" t="str">
        <f t="shared" ca="1" si="26"/>
        <v>(2026)</v>
      </c>
      <c r="K1543" s="7" t="str">
        <f t="shared" si="27"/>
        <v>51791022</v>
      </c>
      <c r="L1543" s="12" t="s">
        <v>1320</v>
      </c>
      <c r="M1543" s="13" t="str">
        <f ca="1">IFERROR(__xludf.DUMMYFUNCTION("TRIM(
  REGEXREPLACE(
    TEXTJOIN("" "",
      TRUE,
      B1543,
      C1543,
      embaralharLinks(E1543,F1543,G1543),
      H1543,
      """",
      J1543,
      N1543,
      ""#RIPNSFW""
    ),
  "",\s*"", "" "")
)"),"{New} Sophie Reade https://lulustream.com/d/i1lsnz7mqv5y https://streamtape.com/v/vWDwOW90lXcwLx/51791022 https://doodstream.com/d/20j6qdgqfjyu/51791022 (2026) #MILF #BigTits #Hardcore #Bigass #Blowjob #RIPNSFW")</f>
        <v>{New} Sophie Reade https://lulustream.com/d/i1lsnz7mqv5y https://streamtape.com/v/vWDwOW90lXcwLx/51791022 https://doodstream.com/d/20j6qdgqfjyu/51791022 (2026) #MILF #BigTits #Hardcore #Bigass #Blowjob #RIPNSFW</v>
      </c>
      <c r="N1543" s="14" t="s">
        <v>1410</v>
      </c>
      <c r="O1543" s="15" t="s">
        <v>7724</v>
      </c>
      <c r="P1543" s="14"/>
      <c r="Q1543" s="6"/>
      <c r="R1543" s="11"/>
      <c r="S1543" s="6"/>
      <c r="T1543" s="6"/>
      <c r="U1543" s="6"/>
      <c r="V1543" s="6"/>
      <c r="W1543" s="6"/>
      <c r="X1543" s="6"/>
      <c r="Y1543" s="6"/>
      <c r="Z1543" s="6"/>
      <c r="AA1543" s="6"/>
    </row>
    <row r="1544" spans="1:27" ht="12.75">
      <c r="A1544" s="12" t="s">
        <v>7725</v>
      </c>
      <c r="B1544" s="6" t="s">
        <v>14</v>
      </c>
      <c r="C1544" s="7" t="str">
        <f t="shared" si="24"/>
        <v xml:space="preserve">Sophie Reade </v>
      </c>
      <c r="D1544" s="24" t="s">
        <v>7726</v>
      </c>
      <c r="E1544" s="25" t="s">
        <v>7727</v>
      </c>
      <c r="F1544" s="9" t="str">
        <f ca="1">IFERROR(__xludf.DUMMYFUNCTION("""https://streamtape.com/v/""&amp;
REGEXEXTRACT(O1544,""/thumb/([^/]+)/"")&amp;
""/""&amp;K1544"),"https://streamtape.com/v/KwVDaQleyaI0d6e/53603393")</f>
        <v>https://streamtape.com/v/KwVDaQleyaI0d6e/53603393</v>
      </c>
      <c r="G1544" s="10" t="e">
        <f t="shared" ca="1" si="25"/>
        <v>#NAME?</v>
      </c>
      <c r="H1544" s="11" t="str">
        <f ca="1">IFERROR(__xludf.DUMMYFUNCTION("IFERROR(SUBSTITUTE(SUBSTITUTE(REGEXEXTRACT(A1544, ""[^-]+- [^-]+- [^-]+ - (.+?)\.jpg""), "".jpg"", """"), ""-"", "", ""), """")"),"")</f>
        <v/>
      </c>
      <c r="I1544" s="6"/>
      <c r="J1544" s="7" t="str">
        <f t="shared" ca="1" si="26"/>
        <v>(2026)</v>
      </c>
      <c r="K1544" s="7" t="str">
        <f t="shared" si="27"/>
        <v>53603393</v>
      </c>
      <c r="L1544" s="12" t="s">
        <v>7728</v>
      </c>
      <c r="M1544" s="13" t="str">
        <f ca="1">IFERROR(__xludf.DUMMYFUNCTION("TRIM(
  REGEXREPLACE(
    TEXTJOIN("" "",
      TRUE,
      B1544,
      C1544,
      embaralharLinks(E1544,F1544,G1544),
      H1544,
      """",
      J1544,
      N1544,
      ""#RIPNSFW""
    ),
  "",\s*"", "" "")
)"),"{New} Sophie Reade https://lulustream.com/d/mwgdc6rx4uld https://doodstream.com/d/b4gvb4dltmwd/53603393 https://streamtape.com/v/KwVDaQleyaI0d6e/53603393 (2026) #milf #threesome #blowjob #bigtits #RIPNSFW")</f>
        <v>{New} Sophie Reade https://lulustream.com/d/mwgdc6rx4uld https://doodstream.com/d/b4gvb4dltmwd/53603393 https://streamtape.com/v/KwVDaQleyaI0d6e/53603393 (2026) #milf #threesome #blowjob #bigtits #RIPNSFW</v>
      </c>
      <c r="N1544" s="2" t="s">
        <v>7728</v>
      </c>
      <c r="O1544" s="30" t="s">
        <v>7729</v>
      </c>
      <c r="P1544" s="26"/>
      <c r="R1544" s="23"/>
      <c r="T1544" s="6"/>
      <c r="U1544" s="7"/>
    </row>
    <row r="1545" spans="1:27" ht="12.75">
      <c r="A1545" s="12" t="s">
        <v>7730</v>
      </c>
      <c r="B1545" s="6" t="s">
        <v>14</v>
      </c>
      <c r="C1545" s="7" t="str">
        <f t="shared" si="24"/>
        <v xml:space="preserve">Sophie Reade </v>
      </c>
      <c r="D1545" s="24" t="s">
        <v>7731</v>
      </c>
      <c r="E1545" s="25" t="s">
        <v>7732</v>
      </c>
      <c r="F1545" s="9" t="str">
        <f ca="1">IFERROR(__xludf.DUMMYFUNCTION("""https://streamtape.com/v/""&amp;
REGEXEXTRACT(O1545,""/thumb/([^/]+)/"")&amp;
""/""&amp;K1545"),"https://streamtape.com/v/qak80pqb3dIz8gx/54476943")</f>
        <v>https://streamtape.com/v/qak80pqb3dIz8gx/54476943</v>
      </c>
      <c r="G1545" s="10" t="e">
        <f t="shared" ca="1" si="25"/>
        <v>#NAME?</v>
      </c>
      <c r="H1545" s="11" t="str">
        <f ca="1">IFERROR(__xludf.DUMMYFUNCTION("IFERROR(SUBSTITUTE(SUBSTITUTE(REGEXEXTRACT(A1545, ""[^-]+- [^-]+- [^-]+ - (.+?)\.jpg""), "".jpg"", """"), ""-"", "", ""), """")"),"")</f>
        <v/>
      </c>
      <c r="I1545" s="6"/>
      <c r="J1545" s="7" t="str">
        <f t="shared" ca="1" si="26"/>
        <v>(2026)</v>
      </c>
      <c r="K1545" s="7" t="str">
        <f t="shared" si="27"/>
        <v>54476943</v>
      </c>
      <c r="L1545" s="12" t="s">
        <v>2125</v>
      </c>
      <c r="M1545" s="13" t="str">
        <f ca="1">IFERROR(__xludf.DUMMYFUNCTION("TRIM(
  REGEXREPLACE(
    TEXTJOIN("" "",
      TRUE,
      B1545,
      C1545,
      embaralharLinks(E1545,F1545,G1545),
      H1545,
      """",
      J1545,
      N1545,
      ""#RIPNSFW""
    ),
  "",\s*"", "" "")
)"),"{New} Sophie Reade https://lulustream.com/d/5qr1d682estt https://doodstream.com/d/rvi3ik1nubdm/54476943 https://streamtape.com/v/qak80pqb3dIz8gx/54476943 (2026) #milf #bigtits #bigass #lesbian #RIPNSFW")</f>
        <v>{New} Sophie Reade https://lulustream.com/d/5qr1d682estt https://doodstream.com/d/rvi3ik1nubdm/54476943 https://streamtape.com/v/qak80pqb3dIz8gx/54476943 (2026) #milf #bigtits #bigass #lesbian #RIPNSFW</v>
      </c>
      <c r="N1545" s="2" t="s">
        <v>2125</v>
      </c>
      <c r="O1545" s="30" t="s">
        <v>7733</v>
      </c>
      <c r="P1545" s="26"/>
      <c r="R1545" s="23"/>
      <c r="T1545" s="11"/>
      <c r="U1545" s="13"/>
    </row>
    <row r="1546" spans="1:27" ht="12.75">
      <c r="A1546" s="6" t="s">
        <v>7734</v>
      </c>
      <c r="B1546" s="6" t="s">
        <v>14</v>
      </c>
      <c r="C1546" s="7" t="str">
        <f t="shared" si="24"/>
        <v xml:space="preserve">Sophie Reade </v>
      </c>
      <c r="D1546" s="6" t="s">
        <v>7735</v>
      </c>
      <c r="E1546" s="8" t="s">
        <v>7736</v>
      </c>
      <c r="F1546" s="9" t="str">
        <f ca="1">IFERROR(__xludf.DUMMYFUNCTION("""https://streamtape.com/v/""&amp;
REGEXEXTRACT(O1546,""/thumb/([^/]+)/"")&amp;
""/""&amp;K1546"),"https://streamtape.com/v/0zj1Ljg9kQS6yb/64423930")</f>
        <v>https://streamtape.com/v/0zj1Ljg9kQS6yb/64423930</v>
      </c>
      <c r="G1546" s="10" t="e">
        <f t="shared" ca="1" si="25"/>
        <v>#NAME?</v>
      </c>
      <c r="H1546" s="11" t="str">
        <f ca="1">IFERROR(__xludf.DUMMYFUNCTION("IFERROR(SUBSTITUTE(SUBSTITUTE(REGEXEXTRACT(A1546, ""[^-]+- [^-]+- [^-]+ - (.+?)\.jpg""), "".jpg"", """"), ""-"", "", ""), """")"),"")</f>
        <v/>
      </c>
      <c r="I1546" s="6"/>
      <c r="J1546" s="7" t="str">
        <f t="shared" ca="1" si="26"/>
        <v>(2026)</v>
      </c>
      <c r="K1546" s="7" t="str">
        <f t="shared" si="27"/>
        <v>64423930</v>
      </c>
      <c r="L1546" s="12" t="s">
        <v>7737</v>
      </c>
      <c r="M1546" s="13" t="str">
        <f ca="1">IFERROR(__xludf.DUMMYFUNCTION("TRIM(
  REGEXREPLACE(
    TEXTJOIN("" "",
      TRUE,
      B1546,
      C1546,
      embaralharLinks(E1546,F1546,G1546),
      H1546,
      """",
      J1546,
      N1546,
      ""#RIPNSFW""
    ),
  "",\s*"", "" "")
)"),"{New} Sophie Reade https://lulustream.com/d/6x71rwv8jw9t https://streamtape.com/v/0zj1Ljg9kQS6yb/64423930 https://doodstream.com/d/70z1tl0y2lzf/64423930 (2026) #MILF #BigTits #Creampie #Hardcore #Threesome #RIPNSFW")</f>
        <v>{New} Sophie Reade https://lulustream.com/d/6x71rwv8jw9t https://streamtape.com/v/0zj1Ljg9kQS6yb/64423930 https://doodstream.com/d/70z1tl0y2lzf/64423930 (2026) #MILF #BigTits #Creampie #Hardcore #Threesome #RIPNSFW</v>
      </c>
      <c r="N1546" s="14" t="s">
        <v>4303</v>
      </c>
      <c r="O1546" s="15" t="s">
        <v>7738</v>
      </c>
      <c r="P1546" s="14"/>
      <c r="Q1546" s="6"/>
      <c r="R1546" s="11"/>
      <c r="S1546" s="6"/>
      <c r="T1546" s="6"/>
      <c r="U1546" s="6"/>
      <c r="V1546" s="6"/>
      <c r="W1546" s="6"/>
      <c r="X1546" s="6"/>
      <c r="Y1546" s="6"/>
      <c r="Z1546" s="6"/>
      <c r="AA1546" s="6"/>
    </row>
    <row r="1547" spans="1:27" ht="12.75">
      <c r="A1547" s="6" t="s">
        <v>7739</v>
      </c>
      <c r="B1547" s="6" t="s">
        <v>14</v>
      </c>
      <c r="C1547" s="7" t="str">
        <f t="shared" si="24"/>
        <v xml:space="preserve">Sophie Reade </v>
      </c>
      <c r="D1547" s="6" t="s">
        <v>7740</v>
      </c>
      <c r="E1547" s="8" t="s">
        <v>7741</v>
      </c>
      <c r="F1547" s="9" t="str">
        <f ca="1">IFERROR(__xludf.DUMMYFUNCTION("""https://streamtape.com/v/""&amp;
REGEXEXTRACT(O1547,""/thumb/([^/]+)/"")&amp;
""/""&amp;K1547"),"https://streamtape.com/v/A0GP6dQ43wiXK7A/66840415")</f>
        <v>https://streamtape.com/v/A0GP6dQ43wiXK7A/66840415</v>
      </c>
      <c r="G1547" s="10" t="e">
        <f t="shared" ca="1" si="25"/>
        <v>#NAME?</v>
      </c>
      <c r="H1547" s="11" t="str">
        <f ca="1">IFERROR(__xludf.DUMMYFUNCTION("IFERROR(SUBSTITUTE(SUBSTITUTE(REGEXEXTRACT(A1547, ""[^-]+- [^-]+- [^-]+ - (.+?)\.jpg""), "".jpg"", """"), ""-"", "", ""), """")"),"")</f>
        <v/>
      </c>
      <c r="I1547" s="6"/>
      <c r="J1547" s="7" t="str">
        <f t="shared" ca="1" si="26"/>
        <v>(2026)</v>
      </c>
      <c r="K1547" s="7" t="str">
        <f t="shared" si="27"/>
        <v>66840415</v>
      </c>
      <c r="L1547" s="12" t="s">
        <v>7742</v>
      </c>
      <c r="M1547" s="13" t="str">
        <f ca="1">IFERROR(__xludf.DUMMYFUNCTION("TRIM(
  REGEXREPLACE(
    TEXTJOIN("" "",
      TRUE,
      B1547,
      C1547,
      embaralharLinks(E1547,F1547,G1547),
      H1547,
      """",
      J1547,
      N1547,
      ""#RIPNSFW""
    ),
  "",\s*"", "" "")
)"),"{New} Sophie Reade https://streamtape.com/v/A0GP6dQ43wiXK7A/66840415 https://doodstream.com/d/ihjeain7s186/66840415 https://lulustream.com/d/w2o1wn0cp9ft (2026) #MILF #BigTits #Creampie #Hardcore #Bigass #Stepmom #Amateur #Blonde #RIPNSFW")</f>
        <v>{New} Sophie Reade https://streamtape.com/v/A0GP6dQ43wiXK7A/66840415 https://doodstream.com/d/ihjeain7s186/66840415 https://lulustream.com/d/w2o1wn0cp9ft (2026) #MILF #BigTits #Creampie #Hardcore #Bigass #Stepmom #Amateur #Blonde #RIPNSFW</v>
      </c>
      <c r="N1547" s="14" t="s">
        <v>7743</v>
      </c>
      <c r="O1547" s="15" t="s">
        <v>7744</v>
      </c>
      <c r="P1547" s="14"/>
      <c r="Q1547" s="6"/>
      <c r="R1547" s="11"/>
      <c r="S1547" s="6"/>
      <c r="T1547" s="6"/>
      <c r="U1547" s="6"/>
      <c r="V1547" s="6"/>
      <c r="W1547" s="6"/>
      <c r="X1547" s="6"/>
      <c r="Y1547" s="6"/>
      <c r="Z1547" s="6"/>
      <c r="AA1547" s="6"/>
    </row>
    <row r="1548" spans="1:27" ht="12.75">
      <c r="A1548" s="12" t="s">
        <v>7745</v>
      </c>
      <c r="B1548" s="6" t="s">
        <v>14</v>
      </c>
      <c r="C1548" s="7" t="str">
        <f t="shared" si="24"/>
        <v xml:space="preserve">Sophie Reade </v>
      </c>
      <c r="D1548" s="24" t="s">
        <v>7746</v>
      </c>
      <c r="E1548" s="25" t="s">
        <v>7747</v>
      </c>
      <c r="F1548" s="9" t="str">
        <f ca="1">IFERROR(__xludf.DUMMYFUNCTION("""https://streamtape.com/v/""&amp;
REGEXEXTRACT(O1548,""/thumb/([^/]+)/"")&amp;
""/""&amp;K1548"),"https://streamtape.com/v/Y6l6189Q7jIvP43/84515479")</f>
        <v>https://streamtape.com/v/Y6l6189Q7jIvP43/84515479</v>
      </c>
      <c r="G1548" s="10" t="e">
        <f t="shared" ca="1" si="25"/>
        <v>#NAME?</v>
      </c>
      <c r="H1548" s="11" t="str">
        <f ca="1">IFERROR(__xludf.DUMMYFUNCTION("IFERROR(SUBSTITUTE(SUBSTITUTE(REGEXEXTRACT(A1548, ""[^-]+- [^-]+- [^-]+ - (.+?)\.jpg""), "".jpg"", """"), ""-"", "", ""), """")"),"")</f>
        <v/>
      </c>
      <c r="I1548" s="6"/>
      <c r="J1548" s="7" t="str">
        <f t="shared" ca="1" si="26"/>
        <v>(2026)</v>
      </c>
      <c r="K1548" s="7" t="str">
        <f t="shared" si="27"/>
        <v>84515479</v>
      </c>
      <c r="L1548" s="12" t="s">
        <v>7748</v>
      </c>
      <c r="M1548" s="13" t="str">
        <f ca="1">IFERROR(__xludf.DUMMYFUNCTION("TRIM(
  REGEXREPLACE(
    TEXTJOIN("" "",
      TRUE,
      B1548,
      C1548,
      embaralharLinks(E1548,F1548,G1548),
      H1548,
      """",
      J1548,
      N1548,
      ""#RIPNSFW""
    ),
  "",\s*"", "" "")
)"),"{New} Sophie Reade https://streamtape.com/v/Y6l6189Q7jIvP43/84515479 https://lulustream.com/d/fs2wxvsqj7l8 https://doodstream.com/d/9kgeiabs13b0/84515479 (2026) #milf #blonde #piss #interracial #RIPNSFW")</f>
        <v>{New} Sophie Reade https://streamtape.com/v/Y6l6189Q7jIvP43/84515479 https://lulustream.com/d/fs2wxvsqj7l8 https://doodstream.com/d/9kgeiabs13b0/84515479 (2026) #milf #blonde #piss #interracial #RIPNSFW</v>
      </c>
      <c r="N1548" s="2" t="s">
        <v>7748</v>
      </c>
      <c r="O1548" s="30" t="s">
        <v>7749</v>
      </c>
      <c r="P1548" s="26"/>
      <c r="R1548" s="23"/>
      <c r="T1548" s="6"/>
      <c r="U1548" s="7"/>
    </row>
    <row r="1549" spans="1:27" ht="12.75">
      <c r="A1549" s="16" t="s">
        <v>7750</v>
      </c>
      <c r="B1549" s="11" t="s">
        <v>14</v>
      </c>
      <c r="C1549" s="13" t="str">
        <f t="shared" si="24"/>
        <v xml:space="preserve">Sophie Reade </v>
      </c>
      <c r="D1549" s="17" t="s">
        <v>7751</v>
      </c>
      <c r="E1549" s="18" t="s">
        <v>7752</v>
      </c>
      <c r="F1549" s="9" t="str">
        <f ca="1">IFERROR(__xludf.DUMMYFUNCTION("""https://streamtape.com/v/""&amp;
REGEXEXTRACT(O1549,""/thumb/([^/]+)/"")&amp;
""/""&amp;K1549"),"https://streamtape.com/v/Wblmwr9WLRibx6p/96816459")</f>
        <v>https://streamtape.com/v/Wblmwr9WLRibx6p/96816459</v>
      </c>
      <c r="G1549" s="10" t="e">
        <f t="shared" ca="1" si="25"/>
        <v>#NAME?</v>
      </c>
      <c r="H1549" s="11" t="str">
        <f ca="1">IFERROR(__xludf.DUMMYFUNCTION("IFERROR(SUBSTITUTE(SUBSTITUTE(REGEXEXTRACT(A1549, ""[^-]+- [^-]+- [^-]+ - (.+?)\.jpg""), "".jpg"", """"), ""-"", "", ""), """")"),"")</f>
        <v/>
      </c>
      <c r="I1549" s="11"/>
      <c r="J1549" s="13" t="str">
        <f t="shared" ca="1" si="26"/>
        <v>(2026)</v>
      </c>
      <c r="K1549" s="13" t="str">
        <f t="shared" si="27"/>
        <v>96816459</v>
      </c>
      <c r="L1549" s="12" t="s">
        <v>4308</v>
      </c>
      <c r="M1549" s="13" t="str">
        <f ca="1">IFERROR(__xludf.DUMMYFUNCTION("TRIM(
  REGEXREPLACE(
    TEXTJOIN("" "",
      TRUE,
      B1549,
      C1549,
      embaralharLinks(E1549,F1549,G1549),
      H1549,
      """",
      J1549,
      N1549,
      ""#RIPNSFW""
    ),
  "",\s*"", "" "")
)"),"{New} Sophie Reade https://lulustream.com/d/5a326nx6yyps https://doodstream.com/d/p9cefb6tlwrp/96816459 https://streamtape.com/v/Wblmwr9WLRibx6p/96816459 (2026) #milf #bigtits #hardcore #porn #RIPNSFW")</f>
        <v>{New} Sophie Reade https://lulustream.com/d/5a326nx6yyps https://doodstream.com/d/p9cefb6tlwrp/96816459 https://streamtape.com/v/Wblmwr9WLRibx6p/96816459 (2026) #milf #bigtits #hardcore #porn #RIPNSFW</v>
      </c>
      <c r="N1549" s="20" t="s">
        <v>4308</v>
      </c>
      <c r="O1549" s="30" t="s">
        <v>7753</v>
      </c>
      <c r="P1549" s="26"/>
      <c r="Q1549" s="16"/>
      <c r="R1549" s="23"/>
      <c r="S1549" s="16"/>
      <c r="T1549" s="6"/>
      <c r="U1549" s="7"/>
      <c r="V1549" s="16"/>
      <c r="X1549" s="16"/>
      <c r="Y1549" s="16"/>
      <c r="Z1549" s="16"/>
      <c r="AA1549" s="16"/>
    </row>
    <row r="1550" spans="1:27" ht="12.75">
      <c r="A1550" s="6" t="s">
        <v>7754</v>
      </c>
      <c r="B1550" s="6" t="s">
        <v>14</v>
      </c>
      <c r="C1550" s="7" t="str">
        <f t="shared" si="24"/>
        <v xml:space="preserve">Sophie Tyler </v>
      </c>
      <c r="D1550" s="6" t="s">
        <v>7755</v>
      </c>
      <c r="E1550" s="8" t="s">
        <v>7756</v>
      </c>
      <c r="F1550" s="9" t="str">
        <f ca="1">IFERROR(__xludf.DUMMYFUNCTION("""https://streamtape.com/v/""&amp;
REGEXEXTRACT(O1550,""/thumb/([^/]+)/"")&amp;
""/""&amp;K1550"),"https://streamtape.com/v/ldbv2PgWa0f78ye/37800505")</f>
        <v>https://streamtape.com/v/ldbv2PgWa0f78ye/37800505</v>
      </c>
      <c r="G1550" s="10" t="e">
        <f t="shared" ca="1" si="25"/>
        <v>#NAME?</v>
      </c>
      <c r="H1550" s="11" t="str">
        <f ca="1">IFERROR(__xludf.DUMMYFUNCTION("IFERROR(SUBSTITUTE(SUBSTITUTE(REGEXEXTRACT(A1550, ""[^-]+- [^-]+- [^-]+ - (.+?)\.jpg""), "".jpg"", """"), ""-"", "", ""), """")"),"")</f>
        <v/>
      </c>
      <c r="I1550" s="6"/>
      <c r="J1550" s="7" t="str">
        <f t="shared" ca="1" si="26"/>
        <v>(2026)</v>
      </c>
      <c r="K1550" s="7" t="str">
        <f t="shared" si="27"/>
        <v>37800505</v>
      </c>
      <c r="L1550" s="12" t="s">
        <v>6120</v>
      </c>
      <c r="M1550" s="13" t="str">
        <f ca="1">IFERROR(__xludf.DUMMYFUNCTION("TRIM(
  REGEXREPLACE(
    TEXTJOIN("" "",
      TRUE,
      B1550,
      C1550,
      embaralharLinks(E1550,F1550,G1550),
      H1550,
      """",
      J1550,
      N1550,
      ""#RIPNSFW""
    ),
  "",\s*"", "" "")
)"),"{New} Sophie Tyler https://doodstream.com/d/hlfxd12jas5r/37800505 https://lulustream.com/d/pfgij3xv4f97 https://streamtape.com/v/ldbv2PgWa0f78ye/37800505 (2026) #BigTits #Hardcore #Teen #Blowjob #RIPNSFW")</f>
        <v>{New} Sophie Tyler https://doodstream.com/d/hlfxd12jas5r/37800505 https://lulustream.com/d/pfgij3xv4f97 https://streamtape.com/v/ldbv2PgWa0f78ye/37800505 (2026) #BigTits #Hardcore #Teen #Blowjob #RIPNSFW</v>
      </c>
      <c r="N1550" s="14" t="s">
        <v>711</v>
      </c>
      <c r="O1550" s="15" t="s">
        <v>7757</v>
      </c>
      <c r="P1550" s="14"/>
      <c r="Q1550" s="6"/>
      <c r="R1550" s="11"/>
      <c r="S1550" s="6"/>
      <c r="T1550" s="6"/>
      <c r="U1550" s="6"/>
      <c r="V1550" s="6"/>
      <c r="W1550" s="6"/>
      <c r="X1550" s="6"/>
      <c r="Y1550" s="6"/>
      <c r="Z1550" s="6"/>
      <c r="AA1550" s="6"/>
    </row>
    <row r="1551" spans="1:27" ht="12.75">
      <c r="A1551" s="6" t="s">
        <v>7758</v>
      </c>
      <c r="B1551" s="6" t="s">
        <v>14</v>
      </c>
      <c r="C1551" s="7" t="str">
        <f t="shared" si="24"/>
        <v xml:space="preserve">Stella Barey </v>
      </c>
      <c r="D1551" s="24" t="s">
        <v>7759</v>
      </c>
      <c r="E1551" s="25" t="s">
        <v>7760</v>
      </c>
      <c r="F1551" s="9" t="str">
        <f ca="1">IFERROR(__xludf.DUMMYFUNCTION("""https://streamtape.com/v/""&amp;
REGEXEXTRACT(O1551,""/thumb/([^/]+)/"")&amp;
""/""&amp;K1551"),"https://streamtape.com/v/eo0YA4XBRXCYqzY/42384532")</f>
        <v>https://streamtape.com/v/eo0YA4XBRXCYqzY/42384532</v>
      </c>
      <c r="G1551" s="10" t="e">
        <f t="shared" ca="1" si="25"/>
        <v>#NAME?</v>
      </c>
      <c r="H1551" s="11" t="str">
        <f ca="1">IFERROR(__xludf.DUMMYFUNCTION("IFERROR(SUBSTITUTE(SUBSTITUTE(REGEXEXTRACT(A1551, ""[^-]+- [^-]+- [^-]+ - (.+?)\.jpg""), "".jpg"", """"), ""-"", "", ""), """")"),"Harper Red")</f>
        <v>Harper Red</v>
      </c>
      <c r="I1551" s="6"/>
      <c r="J1551" s="7" t="str">
        <f t="shared" ca="1" si="26"/>
        <v>(2026)</v>
      </c>
      <c r="K1551" s="7" t="str">
        <f t="shared" si="27"/>
        <v>42384532</v>
      </c>
      <c r="L1551" s="12" t="s">
        <v>7761</v>
      </c>
      <c r="M1551" s="13" t="str">
        <f ca="1">IFERROR(__xludf.DUMMYFUNCTION("TRIM(
  REGEXREPLACE(
    TEXTJOIN("" "",
      TRUE,
      B1551,
      C1551,
      embaralharLinks(E1551,F1551,G1551),
      H1551,
      """",
      J1551,
      N1551,
      ""#RIPNSFW""
    ),
  "",\s*"", "" "")
)"),"{New} Stella Barey https://lulustream.com/d/pxnadt6w14ei https://streamtape.com/v/eo0YA4XBRXCYqzY/42384532 https://doodstream.com/d/mlght2lw7ym5/42384532 Harper Red (2026) #teens #blowjob #bigass #amateur #RIPNSFW")</f>
        <v>{New} Stella Barey https://lulustream.com/d/pxnadt6w14ei https://streamtape.com/v/eo0YA4XBRXCYqzY/42384532 https://doodstream.com/d/mlght2lw7ym5/42384532 Harper Red (2026) #teens #blowjob #bigass #amateur #RIPNSFW</v>
      </c>
      <c r="N1551" s="31" t="s">
        <v>7761</v>
      </c>
      <c r="O1551" s="32" t="s">
        <v>7762</v>
      </c>
      <c r="P1551" s="26"/>
      <c r="Q1551" s="6"/>
      <c r="R1551" s="11"/>
      <c r="S1551" s="6"/>
      <c r="T1551" s="6"/>
      <c r="U1551" s="6"/>
      <c r="V1551" s="6"/>
      <c r="W1551" s="6"/>
      <c r="X1551" s="6"/>
      <c r="Y1551" s="6"/>
      <c r="Z1551" s="6"/>
      <c r="AA1551" s="6"/>
    </row>
    <row r="1552" spans="1:27" ht="12.75">
      <c r="A1552" s="12" t="s">
        <v>7763</v>
      </c>
      <c r="B1552" s="6" t="s">
        <v>14</v>
      </c>
      <c r="C1552" s="7" t="str">
        <f t="shared" si="24"/>
        <v xml:space="preserve">Stella Barey </v>
      </c>
      <c r="D1552" s="24" t="s">
        <v>7764</v>
      </c>
      <c r="E1552" s="25" t="s">
        <v>7765</v>
      </c>
      <c r="F1552" s="9" t="str">
        <f ca="1">IFERROR(__xludf.DUMMYFUNCTION("""https://streamtape.com/v/""&amp;
REGEXEXTRACT(O1552,""/thumb/([^/]+)/"")&amp;
""/""&amp;K1552"),"https://streamtape.com/v/yPJjzajqaWh1LaA/64932653")</f>
        <v>https://streamtape.com/v/yPJjzajqaWh1LaA/64932653</v>
      </c>
      <c r="G1552" s="10" t="e">
        <f t="shared" ca="1" si="25"/>
        <v>#NAME?</v>
      </c>
      <c r="H1552" s="11" t="str">
        <f ca="1">IFERROR(__xludf.DUMMYFUNCTION("IFERROR(SUBSTITUTE(SUBSTITUTE(REGEXEXTRACT(A1552, ""[^-]+- [^-]+- [^-]+ - (.+?)\.jpg""), "".jpg"", """"), ""-"", "", ""), """")"),"")</f>
        <v/>
      </c>
      <c r="I1552" s="6"/>
      <c r="J1552" s="7" t="str">
        <f t="shared" ca="1" si="26"/>
        <v>(2026)</v>
      </c>
      <c r="K1552" s="7" t="str">
        <f t="shared" si="27"/>
        <v>64932653</v>
      </c>
      <c r="L1552" s="12" t="s">
        <v>7766</v>
      </c>
      <c r="M1552" s="13" t="str">
        <f ca="1">IFERROR(__xludf.DUMMYFUNCTION("TRIM(
  REGEXREPLACE(
    TEXTJOIN("" "",
      TRUE,
      B1552,
      C1552,
      embaralharLinks(E1552,F1552,G1552),
      H1552,
      """",
      J1552,
      N1552,
      ""#RIPNSFW""
    ),
  "",\s*"", "" "")
)"),"{New} Stella Barey https://lulustream.com/d/hr0qhr5ipijh https://streamtape.com/v/yPJjzajqaWh1LaA/64932653 https://doodstream.com/d/7od9t6g01k4f/64932653 (2026) #Hardcore #Threesome #Bigass #Teen #RIPNSFW")</f>
        <v>{New} Stella Barey https://lulustream.com/d/hr0qhr5ipijh https://streamtape.com/v/yPJjzajqaWh1LaA/64932653 https://doodstream.com/d/7od9t6g01k4f/64932653 (2026) #Hardcore #Threesome #Bigass #Teen #RIPNSFW</v>
      </c>
      <c r="N1552" s="2" t="s">
        <v>18</v>
      </c>
      <c r="O1552" s="30" t="s">
        <v>7767</v>
      </c>
      <c r="P1552" s="26"/>
      <c r="R1552" s="23"/>
    </row>
    <row r="1553" spans="1:27" ht="12.75">
      <c r="A1553" s="12" t="s">
        <v>7768</v>
      </c>
      <c r="B1553" s="6" t="s">
        <v>14</v>
      </c>
      <c r="C1553" s="7" t="str">
        <f t="shared" si="24"/>
        <v xml:space="preserve">Stella Brooks </v>
      </c>
      <c r="D1553" s="27" t="s">
        <v>7769</v>
      </c>
      <c r="E1553" s="28" t="s">
        <v>7770</v>
      </c>
      <c r="F1553" s="9" t="str">
        <f ca="1">IFERROR(__xludf.DUMMYFUNCTION("""https://streamtape.com/v/""&amp;
REGEXEXTRACT(O1553,""/thumb/([^/]+)/"")&amp;
""/""&amp;K1553"),"https://streamtape.com/v/vlRYKeXAkvf41Dw/23882974")</f>
        <v>https://streamtape.com/v/vlRYKeXAkvf41Dw/23882974</v>
      </c>
      <c r="G1553" s="10" t="e">
        <f t="shared" ca="1" si="25"/>
        <v>#NAME?</v>
      </c>
      <c r="H1553" s="11" t="str">
        <f ca="1">IFERROR(__xludf.DUMMYFUNCTION("IFERROR(SUBSTITUTE(SUBSTITUTE(REGEXEXTRACT(A1553, ""[^-]+- [^-]+- [^-]+ - (.+?)\.jpg""), "".jpg"", """"), ""-"", "", ""), """")"),"")</f>
        <v/>
      </c>
      <c r="I1553" s="6"/>
      <c r="J1553" s="7" t="str">
        <f t="shared" ca="1" si="26"/>
        <v>(2026)</v>
      </c>
      <c r="K1553" s="7" t="str">
        <f t="shared" si="27"/>
        <v>23882974</v>
      </c>
      <c r="L1553" s="12" t="s">
        <v>7771</v>
      </c>
      <c r="M1553" s="13" t="str">
        <f ca="1">IFERROR(__xludf.DUMMYFUNCTION("TRIM(
  REGEXREPLACE(
    TEXTJOIN("" "",
      TRUE,
      B1553,
      C1553,
      embaralharLinks(E1553,F1553,G1553),
      H1553,
      """",
      J1553,
      N1553,
      ""#RIPNSFW""
    ),
  "",\s*"", "" "")
)"),"{New} Stella Brooks https://doodstream.com/d/0634svrp44tk/23882974 https://lulustream.com/d/xopfeidcb95x https://streamtape.com/v/vlRYKeXAkvf41Dw/23882974 (2026) #MILF #BigTits #Hardcore #Creampie #RIPNSFW")</f>
        <v>{New} Stella Brooks https://doodstream.com/d/0634svrp44tk/23882974 https://lulustream.com/d/xopfeidcb95x https://streamtape.com/v/vlRYKeXAkvf41Dw/23882974 (2026) #MILF #BigTits #Hardcore #Creampie #RIPNSFW</v>
      </c>
      <c r="N1553" s="2" t="s">
        <v>1457</v>
      </c>
      <c r="O1553" s="30" t="s">
        <v>7772</v>
      </c>
      <c r="P1553" s="26"/>
      <c r="R1553" s="23"/>
    </row>
    <row r="1554" spans="1:27" ht="12.75">
      <c r="A1554" s="12" t="s">
        <v>7773</v>
      </c>
      <c r="B1554" s="6" t="s">
        <v>14</v>
      </c>
      <c r="C1554" s="7" t="str">
        <f t="shared" si="24"/>
        <v xml:space="preserve">Stella Brooks </v>
      </c>
      <c r="D1554" s="24" t="s">
        <v>7774</v>
      </c>
      <c r="E1554" s="25" t="s">
        <v>7775</v>
      </c>
      <c r="F1554" s="9" t="str">
        <f ca="1">IFERROR(__xludf.DUMMYFUNCTION("""https://streamtape.com/v/""&amp;
REGEXEXTRACT(O1554,""/thumb/([^/]+)/"")&amp;
""/""&amp;K1554"),"https://streamtape.com/v/12jgVeKXrJtee9X/30501504")</f>
        <v>https://streamtape.com/v/12jgVeKXrJtee9X/30501504</v>
      </c>
      <c r="G1554" s="10" t="e">
        <f t="shared" ca="1" si="25"/>
        <v>#NAME?</v>
      </c>
      <c r="H1554" s="11" t="str">
        <f ca="1">IFERROR(__xludf.DUMMYFUNCTION("IFERROR(SUBSTITUTE(SUBSTITUTE(REGEXEXTRACT(A1554, ""[^-]+- [^-]+- [^-]+ - (.+?)\.jpg""), "".jpg"", """"), ""-"", "", ""), """")"),"")</f>
        <v/>
      </c>
      <c r="I1554" s="6"/>
      <c r="J1554" s="7" t="str">
        <f t="shared" ca="1" si="26"/>
        <v>(2026)</v>
      </c>
      <c r="K1554" s="7" t="str">
        <f t="shared" si="27"/>
        <v>30501504</v>
      </c>
      <c r="L1554" s="12" t="s">
        <v>7776</v>
      </c>
      <c r="M1554" s="13" t="str">
        <f ca="1">IFERROR(__xludf.DUMMYFUNCTION("TRIM(
  REGEXREPLACE(
    TEXTJOIN("" "",
      TRUE,
      B1554,
      C1554,
      embaralharLinks(E1554,F1554,G1554),
      H1554,
      """",
      J1554,
      N1554,
      ""#RIPNSFW""
    ),
  "",\s*"", "" "")
)"),"{New} Stella Brooks https://lulustream.com/d/hd71fy9a8fia https://doodstream.com/d/ed1r5rhmjcqg/30501504 https://streamtape.com/v/12jgVeKXrJtee9X/30501504 (2026) #bigtits #creampie #hardcore #bigass #RIPNSFW")</f>
        <v>{New} Stella Brooks https://lulustream.com/d/hd71fy9a8fia https://doodstream.com/d/ed1r5rhmjcqg/30501504 https://streamtape.com/v/12jgVeKXrJtee9X/30501504 (2026) #bigtits #creampie #hardcore #bigass #RIPNSFW</v>
      </c>
      <c r="N1554" s="2" t="s">
        <v>7776</v>
      </c>
      <c r="O1554" s="21" t="s">
        <v>7777</v>
      </c>
      <c r="P1554" s="26"/>
      <c r="R1554" s="23"/>
      <c r="T1554" s="6"/>
      <c r="U1554" s="7"/>
    </row>
    <row r="1555" spans="1:27" ht="12.75">
      <c r="A1555" s="6" t="s">
        <v>7778</v>
      </c>
      <c r="B1555" s="6" t="s">
        <v>14</v>
      </c>
      <c r="C1555" s="7" t="str">
        <f t="shared" si="24"/>
        <v xml:space="preserve">Stella Brooks </v>
      </c>
      <c r="D1555" s="24" t="s">
        <v>7779</v>
      </c>
      <c r="E1555" s="25" t="s">
        <v>7780</v>
      </c>
      <c r="F1555" s="9" t="str">
        <f ca="1">IFERROR(__xludf.DUMMYFUNCTION("""https://streamtape.com/v/""&amp;
REGEXEXTRACT(O1555,""/thumb/([^/]+)/"")&amp;
""/""&amp;K1555"),"https://streamtape.com/v/VmB3lW1wKMFKWv3/59319855")</f>
        <v>https://streamtape.com/v/VmB3lW1wKMFKWv3/59319855</v>
      </c>
      <c r="G1555" s="10" t="e">
        <f t="shared" ca="1" si="25"/>
        <v>#NAME?</v>
      </c>
      <c r="H1555" s="11" t="str">
        <f ca="1">IFERROR(__xludf.DUMMYFUNCTION("IFERROR(SUBSTITUTE(SUBSTITUTE(REGEXEXTRACT(A1555, ""[^-]+- [^-]+- [^-]+ - (.+?)\.jpg""), "".jpg"", """"), ""-"", "", ""), """")"),"Ivy Lebelle")</f>
        <v>Ivy Lebelle</v>
      </c>
      <c r="I1555" s="6"/>
      <c r="J1555" s="7" t="str">
        <f t="shared" ca="1" si="26"/>
        <v>(2026)</v>
      </c>
      <c r="K1555" s="7" t="str">
        <f t="shared" si="27"/>
        <v>59319855</v>
      </c>
      <c r="L1555" s="12" t="s">
        <v>4775</v>
      </c>
      <c r="M1555" s="13" t="str">
        <f ca="1">IFERROR(__xludf.DUMMYFUNCTION("TRIM(
  REGEXREPLACE(
    TEXTJOIN("" "",
      TRUE,
      B1555,
      C1555,
      embaralharLinks(E1555,F1555,G1555),
      H1555,
      """",
      J1555,
      N1555,
      ""#RIPNSFW""
    ),
  "",\s*"", "" "")
)"),"{New} Stella Brooks https://doodstream.com/d/1z2p6p0e0tmv/59319855 https://lulustream.com/d/76vdozpt3xuo https://streamtape.com/v/VmB3lW1wKMFKWv3/59319855 Ivy Lebelle (2026) #milf #threesome #bigass #bigtits #RIPNSFW")</f>
        <v>{New} Stella Brooks https://doodstream.com/d/1z2p6p0e0tmv/59319855 https://lulustream.com/d/76vdozpt3xuo https://streamtape.com/v/VmB3lW1wKMFKWv3/59319855 Ivy Lebelle (2026) #milf #threesome #bigass #bigtits #RIPNSFW</v>
      </c>
      <c r="N1555" s="31" t="s">
        <v>4775</v>
      </c>
      <c r="O1555" s="15" t="s">
        <v>7781</v>
      </c>
      <c r="P1555" s="26"/>
      <c r="Q1555" s="6"/>
      <c r="R1555" s="11"/>
      <c r="S1555" s="6"/>
      <c r="T1555" s="6"/>
      <c r="U1555" s="6"/>
      <c r="V1555" s="6"/>
      <c r="W1555" s="6"/>
      <c r="X1555" s="6"/>
      <c r="Y1555" s="6"/>
      <c r="Z1555" s="6"/>
      <c r="AA1555" s="6"/>
    </row>
    <row r="1556" spans="1:27" ht="12.75">
      <c r="A1556" s="12" t="s">
        <v>7782</v>
      </c>
      <c r="B1556" s="6" t="s">
        <v>14</v>
      </c>
      <c r="C1556" s="7" t="str">
        <f t="shared" si="24"/>
        <v xml:space="preserve">Stella Brooks </v>
      </c>
      <c r="D1556" s="27" t="s">
        <v>7783</v>
      </c>
      <c r="E1556" s="28" t="s">
        <v>7784</v>
      </c>
      <c r="F1556" s="9" t="str">
        <f ca="1">IFERROR(__xludf.DUMMYFUNCTION("""https://streamtape.com/v/""&amp;
REGEXEXTRACT(O1556,""/thumb/([^/]+)/"")&amp;
""/""&amp;K1556"),"https://streamtape.com/v/AppLmxwWoDIXLRD/71192884")</f>
        <v>https://streamtape.com/v/AppLmxwWoDIXLRD/71192884</v>
      </c>
      <c r="G1556" s="10" t="e">
        <f t="shared" ca="1" si="25"/>
        <v>#NAME?</v>
      </c>
      <c r="H1556" s="11" t="str">
        <f ca="1">IFERROR(__xludf.DUMMYFUNCTION("IFERROR(SUBSTITUTE(SUBSTITUTE(REGEXEXTRACT(A1556, ""[^-]+- [^-]+- [^-]+ - (.+?)\.jpg""), "".jpg"", """"), ""-"", "", ""), """")"),"")</f>
        <v/>
      </c>
      <c r="I1556" s="6"/>
      <c r="J1556" s="7" t="str">
        <f t="shared" ca="1" si="26"/>
        <v>(2026)</v>
      </c>
      <c r="K1556" s="7" t="str">
        <f t="shared" si="27"/>
        <v>71192884</v>
      </c>
      <c r="L1556" s="12" t="s">
        <v>4527</v>
      </c>
      <c r="M1556" s="13" t="str">
        <f ca="1">IFERROR(__xludf.DUMMYFUNCTION("TRIM(
  REGEXREPLACE(
    TEXTJOIN("" "",
      TRUE,
      B1556,
      C1556,
      embaralharLinks(E1556,F1556,G1556),
      H1556,
      """",
      J1556,
      N1556,
      ""#RIPNSFW""
    ),
  "",\s*"", "" "")
)"),"{New} Stella Brooks https://doodstream.com/d/mcldvs09pi9h/71192884 https://streamtape.com/v/AppLmxwWoDIXLRD/71192884 https://lulustream.com/d/w6f1hy2li6j1 (2026) #MILF #BigTits #Creampie #Hardcore #RIPNSFW")</f>
        <v>{New} Stella Brooks https://doodstream.com/d/mcldvs09pi9h/71192884 https://streamtape.com/v/AppLmxwWoDIXLRD/71192884 https://lulustream.com/d/w6f1hy2li6j1 (2026) #MILF #BigTits #Creampie #Hardcore #RIPNSFW</v>
      </c>
      <c r="N1556" s="2" t="s">
        <v>474</v>
      </c>
      <c r="O1556" s="30" t="s">
        <v>7785</v>
      </c>
      <c r="P1556" s="26"/>
      <c r="R1556" s="23"/>
    </row>
    <row r="1557" spans="1:27" ht="12.75">
      <c r="A1557" s="6" t="s">
        <v>7786</v>
      </c>
      <c r="B1557" s="6" t="s">
        <v>14</v>
      </c>
      <c r="C1557" s="7" t="str">
        <f t="shared" si="24"/>
        <v xml:space="preserve">Stella Brooks </v>
      </c>
      <c r="D1557" s="24" t="s">
        <v>7787</v>
      </c>
      <c r="E1557" s="25" t="s">
        <v>7788</v>
      </c>
      <c r="F1557" s="9" t="str">
        <f ca="1">IFERROR(__xludf.DUMMYFUNCTION("""https://streamtape.com/v/""&amp;
REGEXEXTRACT(O1557,""/thumb/([^/]+)/"")&amp;
""/""&amp;K1557"),"https://streamtape.com/v/YWAR23J7dGHv4L9/83024281")</f>
        <v>https://streamtape.com/v/YWAR23J7dGHv4L9/83024281</v>
      </c>
      <c r="G1557" s="10" t="e">
        <f t="shared" ca="1" si="25"/>
        <v>#NAME?</v>
      </c>
      <c r="H1557" s="11" t="str">
        <f ca="1">IFERROR(__xludf.DUMMYFUNCTION("IFERROR(SUBSTITUTE(SUBSTITUTE(REGEXEXTRACT(A1557, ""[^-]+- [^-]+- [^-]+ - (.+?)\.jpg""), "".jpg"", """"), ""-"", "", ""), """")"),"")</f>
        <v/>
      </c>
      <c r="I1557" s="6"/>
      <c r="J1557" s="7" t="str">
        <f t="shared" ca="1" si="26"/>
        <v>(2026)</v>
      </c>
      <c r="K1557" s="7" t="str">
        <f t="shared" si="27"/>
        <v>83024281</v>
      </c>
      <c r="L1557" s="12" t="s">
        <v>1462</v>
      </c>
      <c r="M1557" s="13" t="str">
        <f ca="1">IFERROR(__xludf.DUMMYFUNCTION("TRIM(
  REGEXREPLACE(
    TEXTJOIN("" "",
      TRUE,
      B1557,
      C1557,
      embaralharLinks(E1557,F1557,G1557),
      H1557,
      """",
      J1557,
      N1557,
      ""#RIPNSFW""
    ),
  "",\s*"", "" "")
)"),"{New} Stella Brooks https://doodstream.com/d/hc5r3qw280fx/83024281 https://lulustream.com/d/w0hfrvvf5dpj https://streamtape.com/v/YWAR23J7dGHv4L9/83024281 (2026) #milf #bigtits #bigass #blowjob #RIPNSFW")</f>
        <v>{New} Stella Brooks https://doodstream.com/d/hc5r3qw280fx/83024281 https://lulustream.com/d/w0hfrvvf5dpj https://streamtape.com/v/YWAR23J7dGHv4L9/83024281 (2026) #milf #bigtits #bigass #blowjob #RIPNSFW</v>
      </c>
      <c r="N1557" s="31" t="s">
        <v>1462</v>
      </c>
      <c r="O1557" s="32" t="s">
        <v>7789</v>
      </c>
      <c r="P1557" s="26"/>
      <c r="Q1557" s="6"/>
      <c r="R1557" s="11"/>
      <c r="S1557" s="6"/>
      <c r="T1557" s="6"/>
      <c r="U1557" s="6"/>
      <c r="V1557" s="6"/>
      <c r="W1557" s="6"/>
      <c r="X1557" s="6"/>
      <c r="Y1557" s="6"/>
      <c r="Z1557" s="6"/>
      <c r="AA1557" s="6"/>
    </row>
    <row r="1558" spans="1:27" ht="12.75">
      <c r="A1558" s="12" t="s">
        <v>7790</v>
      </c>
      <c r="B1558" s="6" t="s">
        <v>14</v>
      </c>
      <c r="C1558" s="7" t="str">
        <f t="shared" si="24"/>
        <v xml:space="preserve">Stella Brooks </v>
      </c>
      <c r="D1558" s="24" t="s">
        <v>7791</v>
      </c>
      <c r="E1558" s="25" t="s">
        <v>7792</v>
      </c>
      <c r="F1558" s="9" t="str">
        <f ca="1">IFERROR(__xludf.DUMMYFUNCTION("""https://streamtape.com/v/""&amp;
REGEXEXTRACT(O1558,""/thumb/([^/]+)/"")&amp;
""/""&amp;K1558"),"https://streamtape.com/v/9XZrXXx0LOtyRJ/97821752")</f>
        <v>https://streamtape.com/v/9XZrXXx0LOtyRJ/97821752</v>
      </c>
      <c r="G1558" s="10" t="e">
        <f t="shared" ca="1" si="25"/>
        <v>#NAME?</v>
      </c>
      <c r="H1558" s="11" t="str">
        <f ca="1">IFERROR(__xludf.DUMMYFUNCTION("IFERROR(SUBSTITUTE(SUBSTITUTE(REGEXEXTRACT(A1558, ""[^-]+- [^-]+- [^-]+ - (.+?)\.jpg""), "".jpg"", """"), ""-"", "", ""), """")"),"")</f>
        <v/>
      </c>
      <c r="I1558" s="6"/>
      <c r="J1558" s="7" t="str">
        <f t="shared" ca="1" si="26"/>
        <v>(2026)</v>
      </c>
      <c r="K1558" s="7" t="str">
        <f t="shared" si="27"/>
        <v>97821752</v>
      </c>
      <c r="L1558" s="12" t="s">
        <v>2483</v>
      </c>
      <c r="M1558" s="13" t="str">
        <f ca="1">IFERROR(__xludf.DUMMYFUNCTION("TRIM(
  REGEXREPLACE(
    TEXTJOIN("" "",
      TRUE,
      B1558,
      C1558,
      embaralharLinks(E1558,F1558,G1558),
      H1558,
      """",
      J1558,
      N1558,
      ""#RIPNSFW""
    ),
  "",\s*"", "" "")
)"),"{New} Stella Brooks https://lulustream.com/d/lue0qe7ittpr https://streamtape.com/v/9XZrXXx0LOtyRJ/97821752 https://doodstream.com/d/cotqmp1wcalq/97821752 (2026) #milf #bigtits #bigass #creampie #RIPNSFW")</f>
        <v>{New} Stella Brooks https://lulustream.com/d/lue0qe7ittpr https://streamtape.com/v/9XZrXXx0LOtyRJ/97821752 https://doodstream.com/d/cotqmp1wcalq/97821752 (2026) #milf #bigtits #bigass #creampie #RIPNSFW</v>
      </c>
      <c r="N1558" s="2" t="s">
        <v>2483</v>
      </c>
      <c r="O1558" s="30" t="s">
        <v>7793</v>
      </c>
      <c r="P1558" s="26"/>
      <c r="R1558" s="23"/>
    </row>
    <row r="1559" spans="1:27" ht="12.75">
      <c r="A1559" s="12" t="s">
        <v>7794</v>
      </c>
      <c r="B1559" s="6" t="s">
        <v>14</v>
      </c>
      <c r="C1559" s="7" t="str">
        <f t="shared" si="24"/>
        <v xml:space="preserve">Stella Luxx </v>
      </c>
      <c r="D1559" s="24" t="s">
        <v>7795</v>
      </c>
      <c r="E1559" s="25" t="s">
        <v>7796</v>
      </c>
      <c r="F1559" s="9" t="str">
        <f ca="1">IFERROR(__xludf.DUMMYFUNCTION("""https://streamtape.com/v/""&amp;
REGEXEXTRACT(O1559,""/thumb/([^/]+)/"")&amp;
""/""&amp;K1559"),"https://streamtape.com/v/XxD67dg84XCg8e/50248255")</f>
        <v>https://streamtape.com/v/XxD67dg84XCg8e/50248255</v>
      </c>
      <c r="G1559" s="10" t="e">
        <f t="shared" ca="1" si="25"/>
        <v>#NAME?</v>
      </c>
      <c r="H1559" s="11" t="str">
        <f ca="1">IFERROR(__xludf.DUMMYFUNCTION("IFERROR(SUBSTITUTE(SUBSTITUTE(REGEXEXTRACT(A1559, ""[^-]+- [^-]+- [^-]+ - (.+?)\.jpg""), "".jpg"", """"), ""-"", "", ""), """")"),"")</f>
        <v/>
      </c>
      <c r="I1559" s="6"/>
      <c r="J1559" s="7" t="str">
        <f t="shared" ca="1" si="26"/>
        <v>(2026)</v>
      </c>
      <c r="K1559" s="7" t="str">
        <f t="shared" si="27"/>
        <v>50248255</v>
      </c>
      <c r="L1559" s="12" t="s">
        <v>4775</v>
      </c>
      <c r="M1559" s="13" t="str">
        <f ca="1">IFERROR(__xludf.DUMMYFUNCTION("TRIM(
  REGEXREPLACE(
    TEXTJOIN("" "",
      TRUE,
      B1559,
      C1559,
      embaralharLinks(E1559,F1559,G1559),
      H1559,
      """",
      J1559,
      N1559,
      ""#RIPNSFW""
    ),
  "",\s*"", "" "")
)"),"{New} Stella Luxx https://lulustream.com/d/2kle2vxrvrse https://doodstream.com/d/y8pkhzgjtlun/50248255 https://streamtape.com/v/XxD67dg84XCg8e/50248255 (2026) #milf #threesome #bigass #bigtits #RIPNSFW")</f>
        <v>{New} Stella Luxx https://lulustream.com/d/2kle2vxrvrse https://doodstream.com/d/y8pkhzgjtlun/50248255 https://streamtape.com/v/XxD67dg84XCg8e/50248255 (2026) #milf #threesome #bigass #bigtits #RIPNSFW</v>
      </c>
      <c r="N1559" s="2" t="s">
        <v>4775</v>
      </c>
      <c r="O1559" s="30" t="s">
        <v>7797</v>
      </c>
      <c r="P1559" s="26"/>
      <c r="R1559" s="23"/>
      <c r="T1559" s="6"/>
      <c r="U1559" s="7"/>
    </row>
    <row r="1560" spans="1:27" ht="12.75">
      <c r="A1560" s="6" t="s">
        <v>7798</v>
      </c>
      <c r="B1560" s="6" t="s">
        <v>14</v>
      </c>
      <c r="C1560" s="7" t="str">
        <f t="shared" si="24"/>
        <v xml:space="preserve">Stella Luxx </v>
      </c>
      <c r="D1560" s="6" t="s">
        <v>7799</v>
      </c>
      <c r="E1560" s="8" t="s">
        <v>7800</v>
      </c>
      <c r="F1560" s="9" t="str">
        <f ca="1">IFERROR(__xludf.DUMMYFUNCTION("""https://streamtape.com/v/""&amp;
REGEXEXTRACT(O1560,""/thumb/([^/]+)/"")&amp;
""/""&amp;K1560"),"https://streamtape.com/v/Vk4MDbJvjxCKKRk/60914314")</f>
        <v>https://streamtape.com/v/Vk4MDbJvjxCKKRk/60914314</v>
      </c>
      <c r="G1560" s="10" t="e">
        <f t="shared" ca="1" si="25"/>
        <v>#NAME?</v>
      </c>
      <c r="H1560" s="11" t="str">
        <f ca="1">IFERROR(__xludf.DUMMYFUNCTION("IFERROR(SUBSTITUTE(SUBSTITUTE(REGEXEXTRACT(A1560, ""[^-]+- [^-]+- [^-]+ - (.+?)\.jpg""), "".jpg"", """"), ""-"", "", ""), """")"),"")</f>
        <v/>
      </c>
      <c r="I1560" s="6"/>
      <c r="J1560" s="7" t="str">
        <f t="shared" ca="1" si="26"/>
        <v>(2026)</v>
      </c>
      <c r="K1560" s="7" t="str">
        <f t="shared" si="27"/>
        <v>60914314</v>
      </c>
      <c r="L1560" s="12" t="s">
        <v>7801</v>
      </c>
      <c r="M1560" s="13" t="str">
        <f ca="1">IFERROR(__xludf.DUMMYFUNCTION("TRIM(
  REGEXREPLACE(
    TEXTJOIN("" "",
      TRUE,
      B1560,
      C1560,
      embaralharLinks(E1560,F1560,G1560),
      H1560,
      """",
      J1560,
      N1560,
      ""#RIPNSFW""
    ),
  "",\s*"", "" "")
)"),"{New} Stella Luxx https://lulustream.com/d/g7mbcbkta34a https://doodstream.com/d/hb4l1bih5tws/60914314 https://streamtape.com/v/Vk4MDbJvjxCKKRk/60914314 (2026) #BigTits #Hardcore #Teen #Deepthroat #Amateur #Blowjob #RIPNSFW")</f>
        <v>{New} Stella Luxx https://lulustream.com/d/g7mbcbkta34a https://doodstream.com/d/hb4l1bih5tws/60914314 https://streamtape.com/v/Vk4MDbJvjxCKKRk/60914314 (2026) #BigTits #Hardcore #Teen #Deepthroat #Amateur #Blowjob #RIPNSFW</v>
      </c>
      <c r="N1560" s="14" t="s">
        <v>7802</v>
      </c>
      <c r="O1560" s="15" t="s">
        <v>7803</v>
      </c>
      <c r="P1560" s="14"/>
      <c r="Q1560" s="6"/>
      <c r="R1560" s="11"/>
      <c r="S1560" s="6"/>
      <c r="T1560" s="6"/>
      <c r="U1560" s="6"/>
      <c r="V1560" s="6"/>
      <c r="W1560" s="6"/>
      <c r="X1560" s="6"/>
      <c r="Y1560" s="6"/>
      <c r="Z1560" s="6"/>
      <c r="AA1560" s="6"/>
    </row>
    <row r="1561" spans="1:27" ht="12.75">
      <c r="A1561" s="12" t="s">
        <v>7804</v>
      </c>
      <c r="B1561" s="6" t="s">
        <v>14</v>
      </c>
      <c r="C1561" s="7" t="str">
        <f t="shared" si="24"/>
        <v xml:space="preserve">Stella Luxx </v>
      </c>
      <c r="D1561" s="27" t="s">
        <v>7805</v>
      </c>
      <c r="E1561" s="28" t="s">
        <v>7806</v>
      </c>
      <c r="F1561" s="9" t="str">
        <f ca="1">IFERROR(__xludf.DUMMYFUNCTION("""https://streamtape.com/v/""&amp;
REGEXEXTRACT(O1561,""/thumb/([^/]+)/"")&amp;
""/""&amp;K1561"),"https://streamtape.com/v/xbgGKWx2J6SkJMw/61119564")</f>
        <v>https://streamtape.com/v/xbgGKWx2J6SkJMw/61119564</v>
      </c>
      <c r="G1561" s="10" t="e">
        <f t="shared" ca="1" si="25"/>
        <v>#NAME?</v>
      </c>
      <c r="H1561" s="11" t="str">
        <f ca="1">IFERROR(__xludf.DUMMYFUNCTION("IFERROR(SUBSTITUTE(SUBSTITUTE(REGEXEXTRACT(A1561, ""[^-]+- [^-]+- [^-]+ - (.+?)\.jpg""), "".jpg"", """"), ""-"", "", ""), """")"),"")</f>
        <v/>
      </c>
      <c r="I1561" s="6"/>
      <c r="J1561" s="7" t="str">
        <f t="shared" ca="1" si="26"/>
        <v>(2026)</v>
      </c>
      <c r="K1561" s="7" t="str">
        <f t="shared" si="27"/>
        <v>61119564</v>
      </c>
      <c r="L1561" s="12" t="s">
        <v>5685</v>
      </c>
      <c r="M1561" s="13" t="str">
        <f ca="1">IFERROR(__xludf.DUMMYFUNCTION("TRIM(
  REGEXREPLACE(
    TEXTJOIN("" "",
      TRUE,
      B1561,
      C1561,
      embaralharLinks(E1561,F1561,G1561),
      H1561,
      """",
      J1561,
      N1561,
      ""#RIPNSFW""
    ),
  "",\s*"", "" "")
)"),"{New} Stella Luxx https://streamtape.com/v/xbgGKWx2J6SkJMw/61119564 https://lulustream.com/d/48o2js4d7xit https://doodstream.com/d/f9dxtblqr730/61119564 (2026) #Hardcore #Teen #Blowjob #Amateur #RIPNSFW")</f>
        <v>{New} Stella Luxx https://streamtape.com/v/xbgGKWx2J6SkJMw/61119564 https://lulustream.com/d/48o2js4d7xit https://doodstream.com/d/f9dxtblqr730/61119564 (2026) #Hardcore #Teen #Blowjob #Amateur #RIPNSFW</v>
      </c>
      <c r="N1561" s="2" t="s">
        <v>5686</v>
      </c>
      <c r="O1561" s="30" t="s">
        <v>7807</v>
      </c>
      <c r="P1561" s="26"/>
      <c r="R1561" s="23"/>
    </row>
    <row r="1562" spans="1:27" ht="12.75">
      <c r="A1562" s="12" t="s">
        <v>7808</v>
      </c>
      <c r="B1562" s="6" t="s">
        <v>14</v>
      </c>
      <c r="C1562" s="7" t="str">
        <f t="shared" si="24"/>
        <v xml:space="preserve">Stella Luxx </v>
      </c>
      <c r="D1562" s="27" t="s">
        <v>7809</v>
      </c>
      <c r="E1562" s="28" t="s">
        <v>7810</v>
      </c>
      <c r="F1562" s="9" t="str">
        <f ca="1">IFERROR(__xludf.DUMMYFUNCTION("""https://streamtape.com/v/""&amp;
REGEXEXTRACT(O1562,""/thumb/([^/]+)/"")&amp;
""/""&amp;K1562"),"https://streamtape.com/v/jVwlMRGvBeIz8Rp/94714864")</f>
        <v>https://streamtape.com/v/jVwlMRGvBeIz8Rp/94714864</v>
      </c>
      <c r="G1562" s="10" t="e">
        <f t="shared" ca="1" si="25"/>
        <v>#NAME?</v>
      </c>
      <c r="H1562" s="11" t="str">
        <f ca="1">IFERROR(__xludf.DUMMYFUNCTION("IFERROR(SUBSTITUTE(SUBSTITUTE(REGEXEXTRACT(A1562, ""[^-]+- [^-]+- [^-]+ - (.+?)\.jpg""), "".jpg"", """"), ""-"", "", ""), """")"),"")</f>
        <v/>
      </c>
      <c r="I1562" s="6"/>
      <c r="J1562" s="7" t="str">
        <f t="shared" ca="1" si="26"/>
        <v>(2026)</v>
      </c>
      <c r="K1562" s="7" t="str">
        <f t="shared" si="27"/>
        <v>94714864</v>
      </c>
      <c r="L1562" s="12" t="s">
        <v>7811</v>
      </c>
      <c r="M1562" s="13" t="str">
        <f ca="1">IFERROR(__xludf.DUMMYFUNCTION("TRIM(
  REGEXREPLACE(
    TEXTJOIN("" "",
      TRUE,
      B1562,
      C1562,
      embaralharLinks(E1562,F1562,G1562),
      H1562,
      """",
      J1562,
      N1562,
      ""#RIPNSFW""
    ),
  "",\s*"", "" "")
)"),"{New} Stella Luxx https://doodstream.com/d/vo74srer589x/94714864 https://streamtape.com/v/jVwlMRGvBeIz8Rp/94714864 https://lulustream.com/d/03kxksmf391z (2026) #BigTits #Hardcore #Black #Porn #RIPNSFW")</f>
        <v>{New} Stella Luxx https://doodstream.com/d/vo74srer589x/94714864 https://streamtape.com/v/jVwlMRGvBeIz8Rp/94714864 https://lulustream.com/d/03kxksmf391z (2026) #BigTits #Hardcore #Black #Porn #RIPNSFW</v>
      </c>
      <c r="N1562" s="2" t="s">
        <v>7812</v>
      </c>
      <c r="O1562" s="30" t="s">
        <v>7813</v>
      </c>
      <c r="P1562" s="26"/>
      <c r="R1562" s="23"/>
    </row>
    <row r="1563" spans="1:27" ht="12.75">
      <c r="A1563" s="6" t="s">
        <v>7814</v>
      </c>
      <c r="B1563" s="6" t="s">
        <v>14</v>
      </c>
      <c r="C1563" s="7" t="str">
        <f t="shared" si="24"/>
        <v xml:space="preserve">Stephanie </v>
      </c>
      <c r="D1563" s="6" t="s">
        <v>7815</v>
      </c>
      <c r="E1563" s="8" t="s">
        <v>7816</v>
      </c>
      <c r="F1563" s="9" t="str">
        <f ca="1">IFERROR(__xludf.DUMMYFUNCTION("""https://streamtape.com/v/""&amp;
REGEXEXTRACT(O1563,""/thumb/([^/]+)/"")&amp;
""/""&amp;K1563"),"https://streamtape.com/v/28Jmprakq7fZORQ/77688519")</f>
        <v>https://streamtape.com/v/28Jmprakq7fZORQ/77688519</v>
      </c>
      <c r="G1563" s="10" t="e">
        <f t="shared" ca="1" si="25"/>
        <v>#NAME?</v>
      </c>
      <c r="H1563" s="11" t="str">
        <f ca="1">IFERROR(__xludf.DUMMYFUNCTION("IFERROR(SUBSTITUTE(SUBSTITUTE(REGEXEXTRACT(A1563, ""[^-]+- [^-]+- [^-]+ - (.+?)\.jpg""), "".jpg"", """"), ""-"", "", ""), """")"),"")</f>
        <v/>
      </c>
      <c r="I1563" s="6"/>
      <c r="J1563" s="7" t="str">
        <f t="shared" ca="1" si="26"/>
        <v>(2026)</v>
      </c>
      <c r="K1563" s="7" t="str">
        <f t="shared" si="27"/>
        <v>77688519</v>
      </c>
      <c r="L1563" s="12" t="s">
        <v>7817</v>
      </c>
      <c r="M1563" s="13" t="str">
        <f ca="1">IFERROR(__xludf.DUMMYFUNCTION("TRIM(
  REGEXREPLACE(
    TEXTJOIN("" "",
      TRUE,
      B1563,
      C1563,
      embaralharLinks(E1563,F1563,G1563),
      H1563,
      """",
      J1563,
      N1563,
      ""#RIPNSFW""
    ),
  "",\s*"", "" "")
)"),"{New} Stephanie https://streamtape.com/v/28Jmprakq7fZORQ/77688519 https://lulustream.com/d/nox7cvvqj4e4 https://doodstream.com/d/ol8jagprev1a/77688519 (2026) #MILF #BigTits #Creampie #Hardcore #Bigass #Blowjob #RIPNSFW")</f>
        <v>{New} Stephanie https://streamtape.com/v/28Jmprakq7fZORQ/77688519 https://lulustream.com/d/nox7cvvqj4e4 https://doodstream.com/d/ol8jagprev1a/77688519 (2026) #MILF #BigTits #Creampie #Hardcore #Bigass #Blowjob #RIPNSFW</v>
      </c>
      <c r="N1563" s="14" t="s">
        <v>7818</v>
      </c>
      <c r="O1563" s="15" t="s">
        <v>7819</v>
      </c>
      <c r="P1563" s="14"/>
      <c r="Q1563" s="6"/>
      <c r="R1563" s="11"/>
      <c r="S1563" s="6"/>
      <c r="T1563" s="6"/>
      <c r="U1563" s="6"/>
      <c r="V1563" s="6"/>
      <c r="W1563" s="6"/>
      <c r="X1563" s="6"/>
      <c r="Y1563" s="6"/>
      <c r="Z1563" s="6"/>
      <c r="AA1563" s="6"/>
    </row>
    <row r="1564" spans="1:27" ht="12.75">
      <c r="A1564" s="6" t="s">
        <v>7820</v>
      </c>
      <c r="B1564" s="6" t="s">
        <v>14</v>
      </c>
      <c r="C1564" s="7" t="str">
        <f t="shared" si="24"/>
        <v xml:space="preserve">Sugary Kitty </v>
      </c>
      <c r="D1564" s="6" t="s">
        <v>7821</v>
      </c>
      <c r="E1564" s="8" t="s">
        <v>7822</v>
      </c>
      <c r="F1564" s="9" t="str">
        <f ca="1">IFERROR(__xludf.DUMMYFUNCTION("""https://streamtape.com/v/""&amp;
REGEXEXTRACT(O1564,""/thumb/([^/]+)/"")&amp;
""/""&amp;K1564"),"https://streamtape.com/v/qWGWxvR71gFzV4j/18642191")</f>
        <v>https://streamtape.com/v/qWGWxvR71gFzV4j/18642191</v>
      </c>
      <c r="G1564" s="10" t="e">
        <f t="shared" ca="1" si="25"/>
        <v>#NAME?</v>
      </c>
      <c r="H1564" s="11" t="str">
        <f ca="1">IFERROR(__xludf.DUMMYFUNCTION("IFERROR(SUBSTITUTE(SUBSTITUTE(REGEXEXTRACT(A1564, ""[^-]+- [^-]+- [^-]+ - (.+?)\.jpg""), "".jpg"", """"), ""-"", "", ""), """")"),"")</f>
        <v/>
      </c>
      <c r="I1564" s="6"/>
      <c r="J1564" s="7" t="str">
        <f t="shared" ca="1" si="26"/>
        <v>(2026)</v>
      </c>
      <c r="K1564" s="7" t="str">
        <f t="shared" si="27"/>
        <v>18642191</v>
      </c>
      <c r="L1564" s="12" t="s">
        <v>7823</v>
      </c>
      <c r="M1564" s="13" t="str">
        <f ca="1">IFERROR(__xludf.DUMMYFUNCTION("TRIM(
  REGEXREPLACE(
    TEXTJOIN("" "",
      TRUE,
      B1564,
      C1564,
      embaralharLinks(E1564,F1564,G1564),
      H1564,
      """",
      J1564,
      N1564,
      ""#RIPNSFW""
    ),
  "",\s*"", "" "")
)"),"{New} Sugary Kitty https://doodstream.com/d/sz89o9o99aax/18642191 https://streamtape.com/v/qWGWxvR71gFzV4j/18642191 https://lulustream.com/d/ngr6hayw7xha (2026) #Creampie #Hardcore #Teen #Roleplay #Blowjob #RIPNSFW")</f>
        <v>{New} Sugary Kitty https://doodstream.com/d/sz89o9o99aax/18642191 https://streamtape.com/v/qWGWxvR71gFzV4j/18642191 https://lulustream.com/d/ngr6hayw7xha (2026) #Creampie #Hardcore #Teen #Roleplay #Blowjob #RIPNSFW</v>
      </c>
      <c r="N1564" s="14" t="s">
        <v>7824</v>
      </c>
      <c r="O1564" s="15" t="s">
        <v>7825</v>
      </c>
      <c r="P1564" s="14"/>
      <c r="Q1564" s="6"/>
      <c r="R1564" s="11"/>
      <c r="S1564" s="6"/>
      <c r="T1564" s="6"/>
      <c r="U1564" s="6"/>
      <c r="V1564" s="6"/>
      <c r="W1564" s="6"/>
      <c r="X1564" s="6"/>
      <c r="Y1564" s="6"/>
      <c r="Z1564" s="6"/>
      <c r="AA1564" s="6"/>
    </row>
    <row r="1565" spans="1:27" ht="12.75">
      <c r="A1565" s="6" t="s">
        <v>7826</v>
      </c>
      <c r="B1565" s="6" t="s">
        <v>14</v>
      </c>
      <c r="C1565" s="7" t="str">
        <f t="shared" si="24"/>
        <v xml:space="preserve">Summer Col </v>
      </c>
      <c r="D1565" s="6" t="s">
        <v>7827</v>
      </c>
      <c r="E1565" s="8" t="s">
        <v>7828</v>
      </c>
      <c r="F1565" s="9" t="str">
        <f ca="1">IFERROR(__xludf.DUMMYFUNCTION("""https://streamtape.com/v/""&amp;
REGEXEXTRACT(O1565,""/thumb/([^/]+)/"")&amp;
""/""&amp;K1565"),"https://streamtape.com/v/x944l91jd4twmy/69638452")</f>
        <v>https://streamtape.com/v/x944l91jd4twmy/69638452</v>
      </c>
      <c r="G1565" s="10" t="e">
        <f t="shared" ca="1" si="25"/>
        <v>#NAME?</v>
      </c>
      <c r="H1565" s="11" t="str">
        <f ca="1">IFERROR(__xludf.DUMMYFUNCTION("IFERROR(SUBSTITUTE(SUBSTITUTE(REGEXEXTRACT(A1565, ""[^-]+- [^-]+- [^-]+ - (.+?)\.jpg""), "".jpg"", """"), ""-"", "", ""), """")"),"Lena the plug")</f>
        <v>Lena the plug</v>
      </c>
      <c r="I1565" s="6"/>
      <c r="J1565" s="7" t="str">
        <f t="shared" ca="1" si="26"/>
        <v>(2026)</v>
      </c>
      <c r="K1565" s="7" t="str">
        <f t="shared" si="27"/>
        <v>69638452</v>
      </c>
      <c r="L1565" s="12" t="s">
        <v>7829</v>
      </c>
      <c r="M1565" s="13" t="str">
        <f ca="1">IFERROR(__xludf.DUMMYFUNCTION("TRIM(
  REGEXREPLACE(
    TEXTJOIN("" "",
      TRUE,
      B1565,
      C1565,
      embaralharLinks(E1565,F1565,G1565),
      H1565,
      """",
      J1565,
      N1565,
      ""#RIPNSFW""
    ),
  "",\s*"", "" "")
)"),"{New} Summer Col https://doodstream.com/d/0r5dc1mhkkfl/69638452 https://lulustream.com/d/w7nn83koujt4 https://streamtape.com/v/x944l91jd4twmy/69638452 Lena the plug (2026) #MILF #BigTits #Hardcore #Threesome #Blowjob #Bigass #Amateur #Deepthroat #RIPNSFW")</f>
        <v>{New} Summer Col https://doodstream.com/d/0r5dc1mhkkfl/69638452 https://lulustream.com/d/w7nn83koujt4 https://streamtape.com/v/x944l91jd4twmy/69638452 Lena the plug (2026) #MILF #BigTits #Hardcore #Threesome #Blowjob #Bigass #Amateur #Deepthroat #RIPNSFW</v>
      </c>
      <c r="N1565" s="14" t="s">
        <v>7830</v>
      </c>
      <c r="O1565" s="15" t="s">
        <v>7831</v>
      </c>
      <c r="P1565" s="14"/>
      <c r="Q1565" s="6"/>
      <c r="R1565" s="11"/>
      <c r="S1565" s="6"/>
      <c r="T1565" s="6"/>
      <c r="U1565" s="6"/>
      <c r="V1565" s="6"/>
      <c r="W1565" s="6"/>
      <c r="X1565" s="6"/>
      <c r="Y1565" s="6"/>
      <c r="Z1565" s="6"/>
      <c r="AA1565" s="6"/>
    </row>
    <row r="1566" spans="1:27" ht="12.75">
      <c r="A1566" s="6" t="s">
        <v>7832</v>
      </c>
      <c r="B1566" s="6" t="s">
        <v>14</v>
      </c>
      <c r="C1566" s="7" t="str">
        <f t="shared" si="24"/>
        <v xml:space="preserve">Suzy Wilde </v>
      </c>
      <c r="D1566" s="6" t="s">
        <v>7833</v>
      </c>
      <c r="E1566" s="8" t="s">
        <v>7834</v>
      </c>
      <c r="F1566" s="9" t="str">
        <f ca="1">IFERROR(__xludf.DUMMYFUNCTION("""https://streamtape.com/v/""&amp;
REGEXEXTRACT(O1566,""/thumb/([^/]+)/"")&amp;
""/""&amp;K1566"),"https://streamtape.com/v/2Kyg833RqjFZwoY/81455937")</f>
        <v>https://streamtape.com/v/2Kyg833RqjFZwoY/81455937</v>
      </c>
      <c r="G1566" s="10" t="e">
        <f t="shared" ca="1" si="25"/>
        <v>#NAME?</v>
      </c>
      <c r="H1566" s="11" t="str">
        <f ca="1">IFERROR(__xludf.DUMMYFUNCTION("IFERROR(SUBSTITUTE(SUBSTITUTE(REGEXEXTRACT(A1566, ""[^-]+- [^-]+- [^-]+ - (.+?)\.jpg""), "".jpg"", """"), ""-"", "", ""), """")"),"")</f>
        <v/>
      </c>
      <c r="I1566" s="6"/>
      <c r="J1566" s="7" t="str">
        <f t="shared" ca="1" si="26"/>
        <v>(2026)</v>
      </c>
      <c r="K1566" s="7" t="str">
        <f t="shared" si="27"/>
        <v>81455937</v>
      </c>
      <c r="L1566" s="12" t="s">
        <v>7835</v>
      </c>
      <c r="M1566" s="13" t="str">
        <f ca="1">IFERROR(__xludf.DUMMYFUNCTION("TRIM(
  REGEXREPLACE(
    TEXTJOIN("" "",
      TRUE,
      B1566,
      C1566,
      embaralharLinks(E1566,F1566,G1566),
      H1566,
      """",
      J1566,
      N1566,
      ""#RIPNSFW""
    ),
  "",\s*"", "" "")
)"),"{New} Suzy Wilde https://streamtape.com/v/2Kyg833RqjFZwoY/81455937 https://doodstream.com/d/22sucwowjsfv/81455937 https://lulustream.com/d/vcf1qsbyhg0f (2026) #Anal #MILF #BigTits #Creampie #Hardcore #Bigass #Porn #RIPNSFW")</f>
        <v>{New} Suzy Wilde https://streamtape.com/v/2Kyg833RqjFZwoY/81455937 https://doodstream.com/d/22sucwowjsfv/81455937 https://lulustream.com/d/vcf1qsbyhg0f (2026) #Anal #MILF #BigTits #Creampie #Hardcore #Bigass #Porn #RIPNSFW</v>
      </c>
      <c r="N1566" s="14" t="s">
        <v>7836</v>
      </c>
      <c r="O1566" s="15" t="s">
        <v>7837</v>
      </c>
      <c r="P1566" s="14"/>
      <c r="Q1566" s="6"/>
      <c r="R1566" s="11"/>
      <c r="S1566" s="6"/>
      <c r="T1566" s="6"/>
      <c r="U1566" s="6"/>
      <c r="V1566" s="6"/>
      <c r="W1566" s="6"/>
      <c r="X1566" s="6"/>
      <c r="Y1566" s="6"/>
      <c r="Z1566" s="6"/>
      <c r="AA1566" s="6"/>
    </row>
    <row r="1567" spans="1:27" ht="12.75">
      <c r="A1567" s="12" t="s">
        <v>7838</v>
      </c>
      <c r="B1567" s="6" t="s">
        <v>14</v>
      </c>
      <c r="C1567" s="7" t="str">
        <f t="shared" si="24"/>
        <v xml:space="preserve">Sweetie Fox </v>
      </c>
      <c r="D1567" s="27" t="s">
        <v>7839</v>
      </c>
      <c r="E1567" s="28" t="s">
        <v>7840</v>
      </c>
      <c r="F1567" s="9" t="str">
        <f ca="1">IFERROR(__xludf.DUMMYFUNCTION("""https://streamtape.com/v/""&amp;
REGEXEXTRACT(O1567,""/thumb/([^/]+)/"")&amp;
""/""&amp;K1567"),"https://streamtape.com/v/xXLV1bLB2MhkWw8/14534690")</f>
        <v>https://streamtape.com/v/xXLV1bLB2MhkWw8/14534690</v>
      </c>
      <c r="G1567" s="10" t="e">
        <f t="shared" ca="1" si="25"/>
        <v>#NAME?</v>
      </c>
      <c r="H1567" s="11" t="str">
        <f ca="1">IFERROR(__xludf.DUMMYFUNCTION("IFERROR(SUBSTITUTE(SUBSTITUTE(REGEXEXTRACT(A1567, ""[^-]+- [^-]+- [^-]+ - (.+?)\.jpg""), "".jpg"", """"), ""-"", "", ""), """")"),"")</f>
        <v/>
      </c>
      <c r="I1567" s="6"/>
      <c r="J1567" s="7" t="str">
        <f t="shared" ca="1" si="26"/>
        <v>(2026)</v>
      </c>
      <c r="K1567" s="7" t="str">
        <f t="shared" si="27"/>
        <v>14534690</v>
      </c>
      <c r="L1567" s="12" t="s">
        <v>207</v>
      </c>
      <c r="M1567" s="13" t="str">
        <f ca="1">IFERROR(__xludf.DUMMYFUNCTION("TRIM(
  REGEXREPLACE(
    TEXTJOIN("" "",
      TRUE,
      B1567,
      C1567,
      embaralharLinks(E1567,F1567,G1567),
      H1567,
      """",
      J1567,
      N1567,
      ""#RIPNSFW""
    ),
  "",\s*"", "" "")
)"),"{New} Sweetie Fox https://streamtape.com/v/xXLV1bLB2MhkWw8/14534690 https://lulustream.com/d/vl8a0z3i2fz5 https://doodstream.com/d/u8ozgh1sa14k/14534690 (2026) #BigTits #Hardcore #Bigass #Teen #RIPNSFW")</f>
        <v>{New} Sweetie Fox https://streamtape.com/v/xXLV1bLB2MhkWw8/14534690 https://lulustream.com/d/vl8a0z3i2fz5 https://doodstream.com/d/u8ozgh1sa14k/14534690 (2026) #BigTits #Hardcore #Bigass #Teen #RIPNSFW</v>
      </c>
      <c r="N1567" s="2" t="s">
        <v>208</v>
      </c>
      <c r="O1567" s="30" t="s">
        <v>7841</v>
      </c>
      <c r="P1567" s="26"/>
      <c r="R1567" s="23"/>
    </row>
    <row r="1568" spans="1:27" ht="12.75">
      <c r="A1568" s="6" t="s">
        <v>7842</v>
      </c>
      <c r="B1568" s="6" t="s">
        <v>14</v>
      </c>
      <c r="C1568" s="7" t="str">
        <f t="shared" si="24"/>
        <v xml:space="preserve">Sweetie Fox </v>
      </c>
      <c r="D1568" s="6" t="s">
        <v>7843</v>
      </c>
      <c r="E1568" s="8" t="s">
        <v>7844</v>
      </c>
      <c r="F1568" s="9" t="str">
        <f ca="1">IFERROR(__xludf.DUMMYFUNCTION("""https://streamtape.com/v/""&amp;
REGEXEXTRACT(O1568,""/thumb/([^/]+)/"")&amp;
""/""&amp;K1568"),"https://streamtape.com/v/xo4qm4VMk4h0O3/18070308")</f>
        <v>https://streamtape.com/v/xo4qm4VMk4h0O3/18070308</v>
      </c>
      <c r="G1568" s="10" t="e">
        <f t="shared" ca="1" si="25"/>
        <v>#NAME?</v>
      </c>
      <c r="H1568" s="11" t="str">
        <f ca="1">IFERROR(__xludf.DUMMYFUNCTION("IFERROR(SUBSTITUTE(SUBSTITUTE(REGEXEXTRACT(A1568, ""[^-]+- [^-]+- [^-]+ - (.+?)\.jpg""), "".jpg"", """"), ""-"", "", ""), """")"),"")</f>
        <v/>
      </c>
      <c r="I1568" s="6"/>
      <c r="J1568" s="7" t="str">
        <f t="shared" ca="1" si="26"/>
        <v>(2026)</v>
      </c>
      <c r="K1568" s="7" t="str">
        <f t="shared" si="27"/>
        <v>18070308</v>
      </c>
      <c r="L1568" s="12" t="s">
        <v>7845</v>
      </c>
      <c r="M1568" s="13" t="str">
        <f ca="1">IFERROR(__xludf.DUMMYFUNCTION("TRIM(
  REGEXREPLACE(
    TEXTJOIN("" "",
      TRUE,
      B1568,
      C1568,
      embaralharLinks(E1568,F1568,G1568),
      H1568,
      """",
      J1568,
      N1568,
      ""#RIPNSFW""
    ),
  "",\s*"", "" "")
)"),"{New} Sweetie Fox https://doodstream.com/d/fnhjs3b1lz1e/18070308 https://streamtape.com/v/xo4qm4VMk4h0O3/18070308 https://lulustream.com/d/c7fcxhru9huu (2026) #BigTits #Hardcore #Bigass #Teen #Blowjob #Amateur #RIPNSFW")</f>
        <v>{New} Sweetie Fox https://doodstream.com/d/fnhjs3b1lz1e/18070308 https://streamtape.com/v/xo4qm4VMk4h0O3/18070308 https://lulustream.com/d/c7fcxhru9huu (2026) #BigTits #Hardcore #Bigass #Teen #Blowjob #Amateur #RIPNSFW</v>
      </c>
      <c r="N1568" s="14" t="s">
        <v>193</v>
      </c>
      <c r="O1568" s="15" t="s">
        <v>7846</v>
      </c>
      <c r="P1568" s="14"/>
      <c r="Q1568" s="6"/>
      <c r="R1568" s="11"/>
      <c r="S1568" s="6"/>
      <c r="T1568" s="6"/>
      <c r="U1568" s="6"/>
      <c r="V1568" s="6"/>
      <c r="W1568" s="6"/>
      <c r="X1568" s="6"/>
      <c r="Y1568" s="6"/>
      <c r="Z1568" s="6"/>
      <c r="AA1568" s="6"/>
    </row>
    <row r="1569" spans="1:27" ht="12.75">
      <c r="A1569" s="12" t="s">
        <v>7847</v>
      </c>
      <c r="B1569" s="6" t="s">
        <v>14</v>
      </c>
      <c r="C1569" s="7" t="str">
        <f t="shared" si="24"/>
        <v xml:space="preserve">Sweetie Fox </v>
      </c>
      <c r="D1569" s="24" t="s">
        <v>7848</v>
      </c>
      <c r="E1569" s="25" t="s">
        <v>7849</v>
      </c>
      <c r="F1569" s="9" t="str">
        <f ca="1">IFERROR(__xludf.DUMMYFUNCTION("""https://streamtape.com/v/""&amp;
REGEXEXTRACT(O1569,""/thumb/([^/]+)/"")&amp;
""/""&amp;K1569"),"https://streamtape.com/v/WoOKoPL1Rvcb7XD/26093245")</f>
        <v>https://streamtape.com/v/WoOKoPL1Rvcb7XD/26093245</v>
      </c>
      <c r="G1569" s="10" t="e">
        <f t="shared" ca="1" si="25"/>
        <v>#NAME?</v>
      </c>
      <c r="H1569" s="11" t="str">
        <f ca="1">IFERROR(__xludf.DUMMYFUNCTION("IFERROR(SUBSTITUTE(SUBSTITUTE(REGEXEXTRACT(A1569, ""[^-]+- [^-]+- [^-]+ - (.+?)\.jpg""), "".jpg"", """"), ""-"", "", ""), """")"),"")</f>
        <v/>
      </c>
      <c r="I1569" s="6"/>
      <c r="J1569" s="7" t="str">
        <f t="shared" ca="1" si="26"/>
        <v>(2026)</v>
      </c>
      <c r="K1569" s="7" t="str">
        <f t="shared" si="27"/>
        <v>26093245</v>
      </c>
      <c r="L1569" s="12" t="s">
        <v>7850</v>
      </c>
      <c r="M1569" s="13" t="str">
        <f ca="1">IFERROR(__xludf.DUMMYFUNCTION("TRIM(
  REGEXREPLACE(
    TEXTJOIN("" "",
      TRUE,
      B1569,
      C1569,
      embaralharLinks(E1569,F1569,G1569),
      H1569,
      """",
      J1569,
      N1569,
      ""#RIPNSFW""
    ),
  "",\s*"", "" "")
)"),"{New} Sweetie Fox https://streamtape.com/v/WoOKoPL1Rvcb7XD/26093245 https://lulustream.com/d/htjk6y4ga8q5 https://doodstream.com/d/qv2zk9ciz2og/26093245 (2026) #creampie #bigtits #teen #blowjob #RIPNSFW")</f>
        <v>{New} Sweetie Fox https://streamtape.com/v/WoOKoPL1Rvcb7XD/26093245 https://lulustream.com/d/htjk6y4ga8q5 https://doodstream.com/d/qv2zk9ciz2og/26093245 (2026) #creampie #bigtits #teen #blowjob #RIPNSFW</v>
      </c>
      <c r="N1569" s="2" t="s">
        <v>7850</v>
      </c>
      <c r="O1569" s="30" t="s">
        <v>7851</v>
      </c>
      <c r="P1569" s="26"/>
      <c r="R1569" s="23"/>
    </row>
    <row r="1570" spans="1:27" ht="12.75">
      <c r="A1570" s="6" t="s">
        <v>7852</v>
      </c>
      <c r="B1570" s="6" t="s">
        <v>14</v>
      </c>
      <c r="C1570" s="7" t="str">
        <f t="shared" si="24"/>
        <v xml:space="preserve">Sweetie Fox </v>
      </c>
      <c r="D1570" s="6" t="s">
        <v>7853</v>
      </c>
      <c r="E1570" s="8" t="s">
        <v>7854</v>
      </c>
      <c r="F1570" s="9" t="str">
        <f ca="1">IFERROR(__xludf.DUMMYFUNCTION("""https://streamtape.com/v/""&amp;
REGEXEXTRACT(O1570,""/thumb/([^/]+)/"")&amp;
""/""&amp;K1570"),"https://streamtape.com/v/PLkjDD3bMDH0aB0/31273671")</f>
        <v>https://streamtape.com/v/PLkjDD3bMDH0aB0/31273671</v>
      </c>
      <c r="G1570" s="10" t="e">
        <f t="shared" ca="1" si="25"/>
        <v>#NAME?</v>
      </c>
      <c r="H1570" s="11" t="str">
        <f ca="1">IFERROR(__xludf.DUMMYFUNCTION("IFERROR(SUBSTITUTE(SUBSTITUTE(REGEXEXTRACT(A1570, ""[^-]+- [^-]+- [^-]+ - (.+?)\.jpg""), "".jpg"", """"), ""-"", "", ""), """")"),"")</f>
        <v/>
      </c>
      <c r="I1570" s="6"/>
      <c r="J1570" s="7" t="str">
        <f t="shared" ca="1" si="26"/>
        <v>(2026)</v>
      </c>
      <c r="K1570" s="7" t="str">
        <f t="shared" si="27"/>
        <v>31273671</v>
      </c>
      <c r="L1570" s="12" t="s">
        <v>7855</v>
      </c>
      <c r="M1570" s="13" t="str">
        <f ca="1">IFERROR(__xludf.DUMMYFUNCTION("TRIM(
  REGEXREPLACE(
    TEXTJOIN("" "",
      TRUE,
      B1570,
      C1570,
      embaralharLinks(E1570,F1570,G1570),
      H1570,
      """",
      J1570,
      N1570,
      ""#RIPNSFW""
    ),
  "",\s*"", "" "")
)"),"{New} Sweetie Fox https://doodstream.com/d/egp41i3efh0x/31273671 https://lulustream.com/d/fprxku3rmnoc https://streamtape.com/v/PLkjDD3bMDH0aB0/31273671 (2026) #BigTits #Hardcore #Bigass #Teen #Roleplay #Blowjob #Amateur #RIPNSFW")</f>
        <v>{New} Sweetie Fox https://doodstream.com/d/egp41i3efh0x/31273671 https://lulustream.com/d/fprxku3rmnoc https://streamtape.com/v/PLkjDD3bMDH0aB0/31273671 (2026) #BigTits #Hardcore #Bigass #Teen #Roleplay #Blowjob #Amateur #RIPNSFW</v>
      </c>
      <c r="N1570" s="14" t="s">
        <v>7856</v>
      </c>
      <c r="O1570" s="15" t="s">
        <v>7857</v>
      </c>
      <c r="P1570" s="14"/>
      <c r="Q1570" s="6"/>
      <c r="R1570" s="11"/>
      <c r="S1570" s="6"/>
      <c r="T1570" s="6"/>
      <c r="U1570" s="6"/>
      <c r="V1570" s="6"/>
      <c r="W1570" s="6"/>
      <c r="X1570" s="6"/>
      <c r="Y1570" s="6"/>
      <c r="Z1570" s="6"/>
      <c r="AA1570" s="6"/>
    </row>
    <row r="1571" spans="1:27" ht="12.75">
      <c r="A1571" s="11" t="s">
        <v>7858</v>
      </c>
      <c r="B1571" s="11" t="s">
        <v>14</v>
      </c>
      <c r="C1571" s="13" t="str">
        <f t="shared" si="24"/>
        <v xml:space="preserve">Sweetie Fox </v>
      </c>
      <c r="D1571" s="17" t="s">
        <v>7859</v>
      </c>
      <c r="E1571" s="18" t="s">
        <v>7860</v>
      </c>
      <c r="F1571" s="9" t="str">
        <f ca="1">IFERROR(__xludf.DUMMYFUNCTION("""https://streamtape.com/v/""&amp;
REGEXEXTRACT(O1571,""/thumb/([^/]+)/"")&amp;
""/""&amp;K1571"),"https://streamtape.com/v/Xybl8go8LRh3jo/34904991")</f>
        <v>https://streamtape.com/v/Xybl8go8LRh3jo/34904991</v>
      </c>
      <c r="G1571" s="10" t="e">
        <f t="shared" ca="1" si="25"/>
        <v>#NAME?</v>
      </c>
      <c r="H1571" s="11" t="str">
        <f ca="1">IFERROR(__xludf.DUMMYFUNCTION("IFERROR(SUBSTITUTE(SUBSTITUTE(REGEXEXTRACT(A1571, ""[^-]+- [^-]+- [^-]+ - (.+?)\.jpg""), "".jpg"", """"), ""-"", "", ""), """")"),"Octokuro")</f>
        <v>Octokuro</v>
      </c>
      <c r="I1571" s="11"/>
      <c r="J1571" s="13" t="str">
        <f t="shared" ca="1" si="26"/>
        <v>(2026)</v>
      </c>
      <c r="K1571" s="13" t="str">
        <f t="shared" si="27"/>
        <v>34904991</v>
      </c>
      <c r="L1571" s="12" t="s">
        <v>7861</v>
      </c>
      <c r="M1571" s="13" t="str">
        <f ca="1">IFERROR(__xludf.DUMMYFUNCTION("TRIM(
  REGEXREPLACE(
    TEXTJOIN("" "",
      TRUE,
      B1571,
      C1571,
      embaralharLinks(E1571,F1571,G1571),
      H1571,
      """",
      J1571,
      N1571,
      ""#RIPNSFW""
    ),
  "",\s*"", "" "")
)"),"{New} Sweetie Fox https://lulustream.com/d/a4nhqwtvfhqi https://streamtape.com/v/Xybl8go8LRh3jo/34904991 https://doodstream.com/d/m15uw8niqc0i/34904991 Octokuro (2026) #bigtits #bigass #blowjob #pov #RIPNSFW")</f>
        <v>{New} Sweetie Fox https://lulustream.com/d/a4nhqwtvfhqi https://streamtape.com/v/Xybl8go8LRh3jo/34904991 https://doodstream.com/d/m15uw8niqc0i/34904991 Octokuro (2026) #bigtits #bigass #blowjob #pov #RIPNSFW</v>
      </c>
      <c r="N1571" s="32" t="s">
        <v>7861</v>
      </c>
      <c r="O1571" s="32" t="s">
        <v>7862</v>
      </c>
      <c r="P1571" s="26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</row>
    <row r="1572" spans="1:27" ht="12.75">
      <c r="A1572" s="6" t="s">
        <v>7863</v>
      </c>
      <c r="B1572" s="6" t="s">
        <v>14</v>
      </c>
      <c r="C1572" s="7" t="str">
        <f t="shared" si="24"/>
        <v xml:space="preserve">Sweetie Fox </v>
      </c>
      <c r="D1572" s="6" t="s">
        <v>7864</v>
      </c>
      <c r="E1572" s="8" t="s">
        <v>7865</v>
      </c>
      <c r="F1572" s="9" t="str">
        <f ca="1">IFERROR(__xludf.DUMMYFUNCTION("""https://streamtape.com/v/""&amp;
REGEXEXTRACT(O1572,""/thumb/([^/]+)/"")&amp;
""/""&amp;K1572"),"https://streamtape.com/v/AP0K9m1QzWFXoV1/35718365")</f>
        <v>https://streamtape.com/v/AP0K9m1QzWFXoV1/35718365</v>
      </c>
      <c r="G1572" s="10" t="e">
        <f t="shared" ca="1" si="25"/>
        <v>#NAME?</v>
      </c>
      <c r="H1572" s="11" t="str">
        <f ca="1">IFERROR(__xludf.DUMMYFUNCTION("IFERROR(SUBSTITUTE(SUBSTITUTE(REGEXEXTRACT(A1572, ""[^-]+- [^-]+- [^-]+ - (.+?)\.jpg""), "".jpg"", """"), ""-"", "", ""), """")"),"")</f>
        <v/>
      </c>
      <c r="I1572" s="6"/>
      <c r="J1572" s="7" t="str">
        <f t="shared" ca="1" si="26"/>
        <v>(2026)</v>
      </c>
      <c r="K1572" s="7" t="str">
        <f t="shared" si="27"/>
        <v>35718365</v>
      </c>
      <c r="L1572" s="12" t="s">
        <v>7866</v>
      </c>
      <c r="M1572" s="13" t="str">
        <f ca="1">IFERROR(__xludf.DUMMYFUNCTION("TRIM(
  REGEXREPLACE(
    TEXTJOIN("" "",
      TRUE,
      B1572,
      C1572,
      embaralharLinks(E1572,F1572,G1572),
      H1572,
      """",
      J1572,
      N1572,
      ""#RIPNSFW""
    ),
  "",\s*"", "" "")
)"),"{New} Sweetie Fox https://doodstream.com/d/7k46yndieb5k/35718365 https://streamtape.com/v/AP0K9m1QzWFXoV1/35718365 https://lulustream.com/d/cm7emcauexjy (2026) #BigTits #Hardcore #Bigass #Teen #RIPNSFW")</f>
        <v>{New} Sweetie Fox https://doodstream.com/d/7k46yndieb5k/35718365 https://streamtape.com/v/AP0K9m1QzWFXoV1/35718365 https://lulustream.com/d/cm7emcauexjy (2026) #BigTits #Hardcore #Bigass #Teen #RIPNSFW</v>
      </c>
      <c r="N1572" s="14" t="s">
        <v>208</v>
      </c>
      <c r="O1572" s="15" t="s">
        <v>7867</v>
      </c>
      <c r="P1572" s="14"/>
      <c r="Q1572" s="6"/>
      <c r="R1572" s="11"/>
      <c r="S1572" s="6"/>
      <c r="T1572" s="6"/>
      <c r="U1572" s="6"/>
      <c r="V1572" s="6"/>
      <c r="W1572" s="6"/>
      <c r="X1572" s="6"/>
      <c r="Y1572" s="6"/>
      <c r="Z1572" s="6"/>
      <c r="AA1572" s="6"/>
    </row>
    <row r="1573" spans="1:27" ht="12.75">
      <c r="A1573" s="16" t="s">
        <v>7868</v>
      </c>
      <c r="B1573" s="11" t="s">
        <v>14</v>
      </c>
      <c r="C1573" s="13" t="str">
        <f t="shared" si="24"/>
        <v xml:space="preserve">Sweetie Fox </v>
      </c>
      <c r="D1573" s="17" t="s">
        <v>7869</v>
      </c>
      <c r="E1573" s="18" t="s">
        <v>7870</v>
      </c>
      <c r="F1573" s="9" t="str">
        <f ca="1">IFERROR(__xludf.DUMMYFUNCTION("""https://streamtape.com/v/""&amp;
REGEXEXTRACT(O1573,""/thumb/([^/]+)/"")&amp;
""/""&amp;K1573"),"https://streamtape.com/v/9Bp6KwbJOxSY6w/39327044")</f>
        <v>https://streamtape.com/v/9Bp6KwbJOxSY6w/39327044</v>
      </c>
      <c r="G1573" s="10" t="e">
        <f t="shared" ca="1" si="25"/>
        <v>#NAME?</v>
      </c>
      <c r="H1573" s="11" t="str">
        <f ca="1">IFERROR(__xludf.DUMMYFUNCTION("IFERROR(SUBSTITUTE(SUBSTITUTE(REGEXEXTRACT(A1573, ""[^-]+- [^-]+- [^-]+ - (.+?)\.jpg""), "".jpg"", """"), ""-"", "", ""), """")"),"")</f>
        <v/>
      </c>
      <c r="I1573" s="11"/>
      <c r="J1573" s="13" t="str">
        <f t="shared" ca="1" si="26"/>
        <v>(2026)</v>
      </c>
      <c r="K1573" s="13" t="str">
        <f t="shared" si="27"/>
        <v>39327044</v>
      </c>
      <c r="L1573" s="12" t="s">
        <v>7871</v>
      </c>
      <c r="M1573" s="13" t="str">
        <f ca="1">IFERROR(__xludf.DUMMYFUNCTION("TRIM(
  REGEXREPLACE(
    TEXTJOIN("" "",
      TRUE,
      B1573,
      C1573,
      embaralharLinks(E1573,F1573,G1573),
      H1573,
      """",
      J1573,
      N1573,
      ""#RIPNSFW""
    ),
  "",\s*"", "" "")
)"),"{New} Sweetie Fox https://streamtape.com/v/9Bp6KwbJOxSY6w/39327044 https://doodstream.com/d/6qh83qqi3gb7/39327044 https://lulustream.com/d/qk2h33w8zuxr (2026) #bigtits #teen #bigass #blowjob #RIPNSFW")</f>
        <v>{New} Sweetie Fox https://streamtape.com/v/9Bp6KwbJOxSY6w/39327044 https://doodstream.com/d/6qh83qqi3gb7/39327044 https://lulustream.com/d/qk2h33w8zuxr (2026) #bigtits #teen #bigass #blowjob #RIPNSFW</v>
      </c>
      <c r="N1573" s="20" t="s">
        <v>7871</v>
      </c>
      <c r="O1573" s="30" t="s">
        <v>7872</v>
      </c>
      <c r="P1573" s="26"/>
      <c r="Q1573" s="16"/>
      <c r="R1573" s="23"/>
      <c r="S1573" s="16"/>
      <c r="T1573" s="16"/>
      <c r="U1573" s="16"/>
      <c r="V1573" s="16"/>
      <c r="W1573" s="16"/>
      <c r="X1573" s="16"/>
      <c r="Y1573" s="16"/>
      <c r="Z1573" s="16"/>
      <c r="AA1573" s="16"/>
    </row>
    <row r="1574" spans="1:27" ht="12.75">
      <c r="A1574" s="12" t="s">
        <v>7873</v>
      </c>
      <c r="B1574" s="6" t="s">
        <v>14</v>
      </c>
      <c r="C1574" s="7" t="str">
        <f t="shared" si="24"/>
        <v xml:space="preserve">Sweetie Fox </v>
      </c>
      <c r="D1574" s="24" t="s">
        <v>7874</v>
      </c>
      <c r="E1574" s="25" t="s">
        <v>7875</v>
      </c>
      <c r="F1574" s="9" t="str">
        <f ca="1">IFERROR(__xludf.DUMMYFUNCTION("""https://streamtape.com/v/""&amp;
REGEXEXTRACT(O1574,""/thumb/([^/]+)/"")&amp;
""/""&amp;K1574"),"https://streamtape.com/v/RWkd6K6W8GCdljW/41562688")</f>
        <v>https://streamtape.com/v/RWkd6K6W8GCdljW/41562688</v>
      </c>
      <c r="G1574" s="10" t="e">
        <f t="shared" ca="1" si="25"/>
        <v>#NAME?</v>
      </c>
      <c r="H1574" s="11" t="str">
        <f ca="1">IFERROR(__xludf.DUMMYFUNCTION("IFERROR(SUBSTITUTE(SUBSTITUTE(REGEXEXTRACT(A1574, ""[^-]+- [^-]+- [^-]+ - (.+?)\.jpg""), "".jpg"", """"), ""-"", "", ""), """")"),"")</f>
        <v/>
      </c>
      <c r="I1574" s="6"/>
      <c r="J1574" s="7" t="str">
        <f t="shared" ca="1" si="26"/>
        <v>(2026)</v>
      </c>
      <c r="K1574" s="7" t="str">
        <f t="shared" si="27"/>
        <v>41562688</v>
      </c>
      <c r="L1574" s="12" t="s">
        <v>7876</v>
      </c>
      <c r="M1574" s="13" t="str">
        <f ca="1">IFERROR(__xludf.DUMMYFUNCTION("TRIM(
  REGEXREPLACE(
    TEXTJOIN("" "",
      TRUE,
      B1574,
      C1574,
      embaralharLinks(E1574,F1574,G1574),
      H1574,
      """",
      J1574,
      N1574,
      ""#RIPNSFW""
    ),
  "",\s*"", "" "")
)"),"{New} Sweetie Fox https://streamtape.com/v/RWkd6K6W8GCdljW/41562688 https://doodstream.com/d/3in3axgq91b1/41562688 https://lulustream.com/d/pjvm8z3uilf7 (2026) #bigass #blowjob #teen #bigtits #RIPNSFW")</f>
        <v>{New} Sweetie Fox https://streamtape.com/v/RWkd6K6W8GCdljW/41562688 https://doodstream.com/d/3in3axgq91b1/41562688 https://lulustream.com/d/pjvm8z3uilf7 (2026) #bigass #blowjob #teen #bigtits #RIPNSFW</v>
      </c>
      <c r="N1574" s="2" t="s">
        <v>7876</v>
      </c>
      <c r="O1574" s="30" t="s">
        <v>7877</v>
      </c>
      <c r="P1574" s="26"/>
      <c r="R1574" s="23"/>
      <c r="T1574" s="6"/>
      <c r="U1574" s="7"/>
    </row>
    <row r="1575" spans="1:27" ht="12.75">
      <c r="A1575" s="12" t="s">
        <v>7878</v>
      </c>
      <c r="B1575" s="6" t="s">
        <v>14</v>
      </c>
      <c r="C1575" s="7" t="str">
        <f t="shared" si="24"/>
        <v xml:space="preserve">Sweetie Fox </v>
      </c>
      <c r="D1575" s="24" t="s">
        <v>7879</v>
      </c>
      <c r="E1575" s="25" t="s">
        <v>7880</v>
      </c>
      <c r="F1575" s="9" t="str">
        <f ca="1">IFERROR(__xludf.DUMMYFUNCTION("""https://streamtape.com/v/""&amp;
REGEXEXTRACT(O1575,""/thumb/([^/]+)/"")&amp;
""/""&amp;K1575"),"https://streamtape.com/v/LJpv217OVgI6mQ/49496648")</f>
        <v>https://streamtape.com/v/LJpv217OVgI6mQ/49496648</v>
      </c>
      <c r="G1575" s="10" t="e">
        <f t="shared" ca="1" si="25"/>
        <v>#NAME?</v>
      </c>
      <c r="H1575" s="11" t="str">
        <f ca="1">IFERROR(__xludf.DUMMYFUNCTION("IFERROR(SUBSTITUTE(SUBSTITUTE(REGEXEXTRACT(A1575, ""[^-]+- [^-]+- [^-]+ - (.+?)\.jpg""), "".jpg"", """"), ""-"", "", ""), """")"),"")</f>
        <v/>
      </c>
      <c r="I1575" s="6"/>
      <c r="J1575" s="7" t="str">
        <f t="shared" ca="1" si="26"/>
        <v>(2026)</v>
      </c>
      <c r="K1575" s="7" t="str">
        <f t="shared" si="27"/>
        <v>49496648</v>
      </c>
      <c r="L1575" s="12" t="s">
        <v>5748</v>
      </c>
      <c r="M1575" s="13" t="str">
        <f ca="1">IFERROR(__xludf.DUMMYFUNCTION("TRIM(
  REGEXREPLACE(
    TEXTJOIN("" "",
      TRUE,
      B1575,
      C1575,
      embaralharLinks(E1575,F1575,G1575),
      H1575,
      """",
      J1575,
      N1575,
      ""#RIPNSFW""
    ),
  "",\s*"", "" "")
)"),"{New} Sweetie Fox https://streamtape.com/v/LJpv217OVgI6mQ/49496648 https://lulustream.com/d/qz15lmn3jrby https://doodstream.com/d/bznh9myepbde/49496648 (2026) #bigtits #bigass #teen #blowjob #RIPNSFW")</f>
        <v>{New} Sweetie Fox https://streamtape.com/v/LJpv217OVgI6mQ/49496648 https://lulustream.com/d/qz15lmn3jrby https://doodstream.com/d/bznh9myepbde/49496648 (2026) #bigtits #bigass #teen #blowjob #RIPNSFW</v>
      </c>
      <c r="N1575" s="2" t="s">
        <v>5748</v>
      </c>
      <c r="O1575" s="30" t="s">
        <v>7881</v>
      </c>
      <c r="P1575" s="26"/>
      <c r="R1575" s="23"/>
      <c r="T1575" s="6"/>
      <c r="U1575" s="7"/>
    </row>
    <row r="1576" spans="1:27" ht="12.75">
      <c r="A1576" s="6" t="s">
        <v>7882</v>
      </c>
      <c r="B1576" s="6" t="s">
        <v>14</v>
      </c>
      <c r="C1576" s="7" t="str">
        <f t="shared" si="24"/>
        <v xml:space="preserve">Sweetie Fox </v>
      </c>
      <c r="D1576" s="6" t="s">
        <v>7883</v>
      </c>
      <c r="E1576" s="8" t="s">
        <v>7884</v>
      </c>
      <c r="F1576" s="9" t="str">
        <f ca="1">IFERROR(__xludf.DUMMYFUNCTION("""https://streamtape.com/v/""&amp;
REGEXEXTRACT(O1576,""/thumb/([^/]+)/"")&amp;
""/""&amp;K1576"),"https://streamtape.com/v/YyGrzVW4yxSv0Dv/52485798")</f>
        <v>https://streamtape.com/v/YyGrzVW4yxSv0Dv/52485798</v>
      </c>
      <c r="G1576" s="10" t="e">
        <f t="shared" ca="1" si="25"/>
        <v>#NAME?</v>
      </c>
      <c r="H1576" s="11" t="str">
        <f ca="1">IFERROR(__xludf.DUMMYFUNCTION("IFERROR(SUBSTITUTE(SUBSTITUTE(REGEXEXTRACT(A1576, ""[^-]+- [^-]+- [^-]+ - (.+?)\.jpg""), "".jpg"", """"), ""-"", "", ""), """")"),"")</f>
        <v/>
      </c>
      <c r="I1576" s="6"/>
      <c r="J1576" s="7" t="str">
        <f t="shared" ca="1" si="26"/>
        <v>(2026)</v>
      </c>
      <c r="K1576" s="7" t="str">
        <f t="shared" si="27"/>
        <v>52485798</v>
      </c>
      <c r="L1576" s="12" t="s">
        <v>7845</v>
      </c>
      <c r="M1576" s="13" t="str">
        <f ca="1">IFERROR(__xludf.DUMMYFUNCTION("TRIM(
  REGEXREPLACE(
    TEXTJOIN("" "",
      TRUE,
      B1576,
      C1576,
      embaralharLinks(E1576,F1576,G1576),
      H1576,
      """",
      J1576,
      N1576,
      ""#RIPNSFW""
    ),
  "",\s*"", "" "")
)"),"{New} Sweetie Fox https://lulustream.com/d/5nr8kcwy5hyc https://streamtape.com/v/YyGrzVW4yxSv0Dv/52485798 https://doodstream.com/d/wyyyve1su6mi/52485798 (2026) #BigTits #Hardcore #Bigass #Teen #Blowjob #Amateur #RIPNSFW")</f>
        <v>{New} Sweetie Fox https://lulustream.com/d/5nr8kcwy5hyc https://streamtape.com/v/YyGrzVW4yxSv0Dv/52485798 https://doodstream.com/d/wyyyve1su6mi/52485798 (2026) #BigTits #Hardcore #Bigass #Teen #Blowjob #Amateur #RIPNSFW</v>
      </c>
      <c r="N1576" s="14" t="s">
        <v>193</v>
      </c>
      <c r="O1576" s="15" t="s">
        <v>7885</v>
      </c>
      <c r="P1576" s="14"/>
      <c r="Q1576" s="6"/>
      <c r="R1576" s="11"/>
      <c r="S1576" s="6"/>
      <c r="T1576" s="6"/>
      <c r="U1576" s="6"/>
      <c r="V1576" s="6"/>
      <c r="W1576" s="6"/>
      <c r="X1576" s="6"/>
      <c r="Y1576" s="6"/>
      <c r="Z1576" s="6"/>
      <c r="AA1576" s="6"/>
    </row>
    <row r="1577" spans="1:27" ht="12.75">
      <c r="A1577" s="12" t="s">
        <v>7886</v>
      </c>
      <c r="B1577" s="6" t="s">
        <v>14</v>
      </c>
      <c r="C1577" s="7" t="str">
        <f t="shared" si="24"/>
        <v xml:space="preserve">Sweetie Fox </v>
      </c>
      <c r="D1577" s="24" t="s">
        <v>7887</v>
      </c>
      <c r="E1577" s="25" t="s">
        <v>7888</v>
      </c>
      <c r="F1577" s="9" t="str">
        <f ca="1">IFERROR(__xludf.DUMMYFUNCTION("""https://streamtape.com/v/""&amp;
REGEXEXTRACT(O1577,""/thumb/([^/]+)/"")&amp;
""/""&amp;K1577"),"https://streamtape.com/v/PLWrkQZMYZtb0k/53610530")</f>
        <v>https://streamtape.com/v/PLWrkQZMYZtb0k/53610530</v>
      </c>
      <c r="G1577" s="10" t="e">
        <f t="shared" ca="1" si="25"/>
        <v>#NAME?</v>
      </c>
      <c r="H1577" s="11" t="str">
        <f ca="1">IFERROR(__xludf.DUMMYFUNCTION("IFERROR(SUBSTITUTE(SUBSTITUTE(REGEXEXTRACT(A1577, ""[^-]+- [^-]+- [^-]+ - (.+?)\.jpg""), "".jpg"", """"), ""-"", "", ""), """")"),"")</f>
        <v/>
      </c>
      <c r="I1577" s="6"/>
      <c r="J1577" s="7" t="str">
        <f t="shared" ca="1" si="26"/>
        <v>(2026)</v>
      </c>
      <c r="K1577" s="7" t="str">
        <f t="shared" si="27"/>
        <v>53610530</v>
      </c>
      <c r="L1577" s="12" t="s">
        <v>7889</v>
      </c>
      <c r="M1577" s="13" t="str">
        <f ca="1">IFERROR(__xludf.DUMMYFUNCTION("TRIM(
  REGEXREPLACE(
    TEXTJOIN("" "",
      TRUE,
      B1577,
      C1577,
      embaralharLinks(E1577,F1577,G1577),
      H1577,
      """",
      J1577,
      N1577,
      ""#RIPNSFW""
    ),
  "",\s*"", "" "")
)"),"{New} Sweetie Fox https://streamtape.com/v/PLWrkQZMYZtb0k/53610530 https://lulustream.com/d/kuoqm7d1cqf3 https://doodstream.com/d/ev86i34dsdem/53610530 (2026) #bigtits #hardcore #bigass #teen #RIPNSFW")</f>
        <v>{New} Sweetie Fox https://streamtape.com/v/PLWrkQZMYZtb0k/53610530 https://lulustream.com/d/kuoqm7d1cqf3 https://doodstream.com/d/ev86i34dsdem/53610530 (2026) #bigtits #hardcore #bigass #teen #RIPNSFW</v>
      </c>
      <c r="N1577" s="2" t="s">
        <v>7889</v>
      </c>
      <c r="O1577" s="21" t="s">
        <v>7890</v>
      </c>
      <c r="P1577" s="26"/>
      <c r="R1577" s="23"/>
      <c r="T1577" s="6"/>
      <c r="U1577" s="7"/>
    </row>
    <row r="1578" spans="1:27" ht="12.75">
      <c r="A1578" s="6" t="s">
        <v>7891</v>
      </c>
      <c r="B1578" s="6" t="s">
        <v>14</v>
      </c>
      <c r="C1578" s="7" t="str">
        <f t="shared" si="24"/>
        <v xml:space="preserve">Sweetie Fox </v>
      </c>
      <c r="D1578" s="6" t="s">
        <v>7892</v>
      </c>
      <c r="E1578" s="8" t="s">
        <v>7893</v>
      </c>
      <c r="F1578" s="9" t="str">
        <f ca="1">IFERROR(__xludf.DUMMYFUNCTION("""https://streamtape.com/v/""&amp;
REGEXEXTRACT(O1578,""/thumb/([^/]+)/"")&amp;
""/""&amp;K1578"),"https://streamtape.com/v/gozpy6Q7lVcv4G/57886292")</f>
        <v>https://streamtape.com/v/gozpy6Q7lVcv4G/57886292</v>
      </c>
      <c r="G1578" s="10" t="e">
        <f t="shared" ca="1" si="25"/>
        <v>#NAME?</v>
      </c>
      <c r="H1578" s="11" t="str">
        <f ca="1">IFERROR(__xludf.DUMMYFUNCTION("IFERROR(SUBSTITUTE(SUBSTITUTE(REGEXEXTRACT(A1578, ""[^-]+- [^-]+- [^-]+ - (.+?)\.jpg""), "".jpg"", """"), ""-"", "", ""), """")"),"")</f>
        <v/>
      </c>
      <c r="I1578" s="6"/>
      <c r="J1578" s="7" t="str">
        <f t="shared" ca="1" si="26"/>
        <v>(2026)</v>
      </c>
      <c r="K1578" s="7" t="str">
        <f t="shared" si="27"/>
        <v>57886292</v>
      </c>
      <c r="L1578" s="12" t="s">
        <v>7894</v>
      </c>
      <c r="M1578" s="13" t="str">
        <f ca="1">IFERROR(__xludf.DUMMYFUNCTION("TRIM(
  REGEXREPLACE(
    TEXTJOIN("" "",
      TRUE,
      B1578,
      C1578,
      embaralharLinks(E1578,F1578,G1578),
      H1578,
      """",
      J1578,
      N1578,
      ""#RIPNSFW""
    ),
  "",\s*"", "" "")
)"),"{New} Sweetie Fox https://streamtape.com/v/gozpy6Q7lVcv4G/57886292 https://doodstream.com/d/5xhqszw5o7yq/57886292 https://lulustream.com/d/w4bt2dj52cg7 (2026) #BigTits #Hardcore #Bigass #Teen #Roleplay #Blowjob #RIPNSFW")</f>
        <v>{New} Sweetie Fox https://streamtape.com/v/gozpy6Q7lVcv4G/57886292 https://doodstream.com/d/5xhqszw5o7yq/57886292 https://lulustream.com/d/w4bt2dj52cg7 (2026) #BigTits #Hardcore #Bigass #Teen #Roleplay #Blowjob #RIPNSFW</v>
      </c>
      <c r="N1578" s="14" t="s">
        <v>7895</v>
      </c>
      <c r="O1578" s="15" t="s">
        <v>7896</v>
      </c>
      <c r="P1578" s="14"/>
      <c r="Q1578" s="6"/>
      <c r="R1578" s="11"/>
      <c r="S1578" s="6"/>
      <c r="T1578" s="6"/>
      <c r="U1578" s="6"/>
      <c r="V1578" s="6"/>
      <c r="W1578" s="6"/>
      <c r="X1578" s="6"/>
      <c r="Y1578" s="6"/>
      <c r="Z1578" s="6"/>
      <c r="AA1578" s="6"/>
    </row>
    <row r="1579" spans="1:27" ht="12.75">
      <c r="A1579" s="6" t="s">
        <v>7897</v>
      </c>
      <c r="B1579" s="6" t="s">
        <v>14</v>
      </c>
      <c r="C1579" s="7" t="str">
        <f t="shared" si="24"/>
        <v xml:space="preserve">Sweetie Fox </v>
      </c>
      <c r="D1579" s="24" t="s">
        <v>7898</v>
      </c>
      <c r="E1579" s="25" t="s">
        <v>7899</v>
      </c>
      <c r="F1579" s="9" t="str">
        <f ca="1">IFERROR(__xludf.DUMMYFUNCTION("""https://streamtape.com/v/""&amp;
REGEXEXTRACT(O1579,""/thumb/([^/]+)/"")&amp;
""/""&amp;K1579"),"https://streamtape.com/v/LYBvzZ7JyDHRr6g/59555739")</f>
        <v>https://streamtape.com/v/LYBvzZ7JyDHRr6g/59555739</v>
      </c>
      <c r="G1579" s="10" t="e">
        <f t="shared" ca="1" si="25"/>
        <v>#NAME?</v>
      </c>
      <c r="H1579" s="11" t="str">
        <f ca="1">IFERROR(__xludf.DUMMYFUNCTION("IFERROR(SUBSTITUTE(SUBSTITUTE(REGEXEXTRACT(A1579, ""[^-]+- [^-]+- [^-]+ - (.+?)\.jpg""), "".jpg"", """"), ""-"", "", ""), """")"),"")</f>
        <v/>
      </c>
      <c r="I1579" s="6"/>
      <c r="J1579" s="7" t="str">
        <f t="shared" ca="1" si="26"/>
        <v>(2026)</v>
      </c>
      <c r="K1579" s="7" t="str">
        <f t="shared" si="27"/>
        <v>59555739</v>
      </c>
      <c r="L1579" s="12" t="s">
        <v>1738</v>
      </c>
      <c r="M1579" s="13" t="str">
        <f ca="1">IFERROR(__xludf.DUMMYFUNCTION("TRIM(
  REGEXREPLACE(
    TEXTJOIN("" "",
      TRUE,
      B1579,
      C1579,
      embaralharLinks(E1579,F1579,G1579),
      H1579,
      """",
      J1579,
      N1579,
      ""#RIPNSFW""
    ),
  "",\s*"", "" "")
)"),"{New} Sweetie Fox https://doodstream.com/d/mq6swxs6zddp/59555739 https://lulustream.com/d/8hcso2zusg94 https://streamtape.com/v/LYBvzZ7JyDHRr6g/59555739 (2026) #teen #bigtits #blowjob #bigass #RIPNSFW")</f>
        <v>{New} Sweetie Fox https://doodstream.com/d/mq6swxs6zddp/59555739 https://lulustream.com/d/8hcso2zusg94 https://streamtape.com/v/LYBvzZ7JyDHRr6g/59555739 (2026) #teen #bigtits #blowjob #bigass #RIPNSFW</v>
      </c>
      <c r="N1579" s="31" t="s">
        <v>1738</v>
      </c>
      <c r="O1579" s="15" t="s">
        <v>7900</v>
      </c>
      <c r="P1579" s="26"/>
      <c r="Q1579" s="6"/>
      <c r="R1579" s="11"/>
      <c r="S1579" s="6"/>
      <c r="T1579" s="6"/>
      <c r="U1579" s="6"/>
      <c r="V1579" s="6"/>
      <c r="W1579" s="6"/>
      <c r="X1579" s="6"/>
      <c r="Y1579" s="6"/>
      <c r="Z1579" s="6"/>
      <c r="AA1579" s="6"/>
    </row>
    <row r="1580" spans="1:27" ht="12.75">
      <c r="A1580" s="12" t="s">
        <v>7901</v>
      </c>
      <c r="B1580" s="6" t="s">
        <v>14</v>
      </c>
      <c r="C1580" s="7" t="str">
        <f t="shared" si="24"/>
        <v xml:space="preserve">Sweetie Fox </v>
      </c>
      <c r="D1580" s="27" t="s">
        <v>7902</v>
      </c>
      <c r="E1580" s="28" t="s">
        <v>7903</v>
      </c>
      <c r="F1580" s="9" t="str">
        <f ca="1">IFERROR(__xludf.DUMMYFUNCTION("""https://streamtape.com/v/""&amp;
REGEXEXTRACT(O1580,""/thumb/([^/]+)/"")&amp;
""/""&amp;K1580"),"https://streamtape.com/v/wGJkK3jwQpievk/63836083")</f>
        <v>https://streamtape.com/v/wGJkK3jwQpievk/63836083</v>
      </c>
      <c r="G1580" s="10" t="e">
        <f t="shared" ca="1" si="25"/>
        <v>#NAME?</v>
      </c>
      <c r="H1580" s="11" t="str">
        <f ca="1">IFERROR(__xludf.DUMMYFUNCTION("IFERROR(SUBSTITUTE(SUBSTITUTE(REGEXEXTRACT(A1580, ""[^-]+- [^-]+- [^-]+ - (.+?)\.jpg""), "".jpg"", """"), ""-"", "", ""), """")"),"")</f>
        <v/>
      </c>
      <c r="I1580" s="6"/>
      <c r="J1580" s="7" t="str">
        <f t="shared" ca="1" si="26"/>
        <v>(2026)</v>
      </c>
      <c r="K1580" s="7" t="str">
        <f t="shared" si="27"/>
        <v>63836083</v>
      </c>
      <c r="L1580" s="12" t="s">
        <v>207</v>
      </c>
      <c r="M1580" s="13" t="str">
        <f ca="1">IFERROR(__xludf.DUMMYFUNCTION("TRIM(
  REGEXREPLACE(
    TEXTJOIN("" "",
      TRUE,
      B1580,
      C1580,
      embaralharLinks(E1580,F1580,G1580),
      H1580,
      """",
      J1580,
      N1580,
      ""#RIPNSFW""
    ),
  "",\s*"", "" "")
)"),"{New} Sweetie Fox https://doodstream.com/d/hcv7smc0p48y/63836083 https://streamtape.com/v/wGJkK3jwQpievk/63836083 https://lulustream.com/d/fsku1czuv41y (2026) #BigTits #Hardcore #Bigass #Teen #RIPNSFW")</f>
        <v>{New} Sweetie Fox https://doodstream.com/d/hcv7smc0p48y/63836083 https://streamtape.com/v/wGJkK3jwQpievk/63836083 https://lulustream.com/d/fsku1czuv41y (2026) #BigTits #Hardcore #Bigass #Teen #RIPNSFW</v>
      </c>
      <c r="N1580" s="2" t="s">
        <v>208</v>
      </c>
      <c r="O1580" s="30" t="s">
        <v>7904</v>
      </c>
      <c r="P1580" s="26"/>
      <c r="R1580" s="23"/>
    </row>
    <row r="1581" spans="1:27" ht="12.75">
      <c r="A1581" s="12" t="s">
        <v>7905</v>
      </c>
      <c r="B1581" s="6" t="s">
        <v>14</v>
      </c>
      <c r="C1581" s="7" t="str">
        <f t="shared" si="24"/>
        <v xml:space="preserve">Sweetie Fox </v>
      </c>
      <c r="D1581" s="24" t="s">
        <v>7906</v>
      </c>
      <c r="E1581" s="25" t="s">
        <v>7907</v>
      </c>
      <c r="F1581" s="9" t="str">
        <f ca="1">IFERROR(__xludf.DUMMYFUNCTION("""https://streamtape.com/v/""&amp;
REGEXEXTRACT(O1581,""/thumb/([^/]+)/"")&amp;
""/""&amp;K1581"),"https://streamtape.com/v/Wbr0Y3BV6kib8AX/77006221")</f>
        <v>https://streamtape.com/v/Wbr0Y3BV6kib8AX/77006221</v>
      </c>
      <c r="G1581" s="10" t="e">
        <f t="shared" ca="1" si="25"/>
        <v>#NAME?</v>
      </c>
      <c r="H1581" s="11" t="str">
        <f ca="1">IFERROR(__xludf.DUMMYFUNCTION("IFERROR(SUBSTITUTE(SUBSTITUTE(REGEXEXTRACT(A1581, ""[^-]+- [^-]+- [^-]+ - (.+?)\.jpg""), "".jpg"", """"), ""-"", "", ""), """")"),"")</f>
        <v/>
      </c>
      <c r="I1581" s="6"/>
      <c r="J1581" s="7" t="str">
        <f t="shared" ca="1" si="26"/>
        <v>(2026)</v>
      </c>
      <c r="K1581" s="7" t="str">
        <f t="shared" si="27"/>
        <v>77006221</v>
      </c>
      <c r="L1581" s="12" t="s">
        <v>207</v>
      </c>
      <c r="M1581" s="13" t="str">
        <f ca="1">IFERROR(__xludf.DUMMYFUNCTION("TRIM(
  REGEXREPLACE(
    TEXTJOIN("" "",
      TRUE,
      B1581,
      C1581,
      embaralharLinks(E1581,F1581,G1581),
      H1581,
      """",
      J1581,
      N1581,
      ""#RIPNSFW""
    ),
  "",\s*"", "" "")
)"),"{New} Sweetie Fox https://lulustream.com/d/7q8x854enlt1 https://streamtape.com/v/Wbr0Y3BV6kib8AX/77006221 https://doodstream.com/d/nwbfif6k4r9e/77006221 (2026) #BigTits #Hardcore #Bigass #Teen #RIPNSFW")</f>
        <v>{New} Sweetie Fox https://lulustream.com/d/7q8x854enlt1 https://streamtape.com/v/Wbr0Y3BV6kib8AX/77006221 https://doodstream.com/d/nwbfif6k4r9e/77006221 (2026) #BigTits #Hardcore #Bigass #Teen #RIPNSFW</v>
      </c>
      <c r="N1581" s="2" t="s">
        <v>208</v>
      </c>
      <c r="O1581" s="30" t="s">
        <v>7908</v>
      </c>
      <c r="P1581" s="26"/>
      <c r="R1581" s="23"/>
    </row>
    <row r="1582" spans="1:27" ht="12.75">
      <c r="A1582" s="6" t="s">
        <v>7909</v>
      </c>
      <c r="B1582" s="6" t="s">
        <v>14</v>
      </c>
      <c r="C1582" s="7" t="str">
        <f t="shared" si="24"/>
        <v xml:space="preserve">Sweetie Fox </v>
      </c>
      <c r="D1582" s="29" t="s">
        <v>7910</v>
      </c>
      <c r="E1582" s="8" t="s">
        <v>7911</v>
      </c>
      <c r="F1582" s="9" t="str">
        <f ca="1">IFERROR(__xludf.DUMMYFUNCTION("""https://streamtape.com/v/""&amp;
REGEXEXTRACT(O1582,""/thumb/([^/]+)/"")&amp;
""/""&amp;K1582"),"https://streamtape.com/v/lWaA81qoJ0i706Z/83234134")</f>
        <v>https://streamtape.com/v/lWaA81qoJ0i706Z/83234134</v>
      </c>
      <c r="G1582" s="10" t="e">
        <f t="shared" ca="1" si="25"/>
        <v>#NAME?</v>
      </c>
      <c r="H1582" s="11" t="str">
        <f ca="1">IFERROR(__xludf.DUMMYFUNCTION("IFERROR(SUBSTITUTE(SUBSTITUTE(REGEXEXTRACT(A1582, ""[^-]+- [^-]+- [^-]+ - (.+?)\.jpg""), "".jpg"", """"), ""-"", "", ""), """")"),"")</f>
        <v/>
      </c>
      <c r="I1582" s="6"/>
      <c r="J1582" s="7" t="str">
        <f t="shared" ca="1" si="26"/>
        <v>(2026)</v>
      </c>
      <c r="K1582" s="7" t="str">
        <f t="shared" si="27"/>
        <v>83234134</v>
      </c>
      <c r="L1582" s="12" t="s">
        <v>7912</v>
      </c>
      <c r="M1582" s="13" t="str">
        <f ca="1">IFERROR(__xludf.DUMMYFUNCTION("TRIM(
  REGEXREPLACE(
    TEXTJOIN("" "",
      TRUE,
      B1582,
      C1582,
      embaralharLinks(E1582,F1582,G1582),
      H1582,
      """",
      J1582,
      N1582,
      ""#RIPNSFW""
    ),
  "",\s*"", "" "")
)"),"{New} Sweetie Fox https://lulustream.com/d/70bdvdoht5pg https://streamtape.com/v/lWaA81qoJ0i706Z/83234134 https://doodstream.com/d/sv1tmbi95cui/83234134 (2026) #BigTits #Hardcore #Bigass #Teen #Roleplay #Artporn #RIPNSFW")</f>
        <v>{New} Sweetie Fox https://lulustream.com/d/70bdvdoht5pg https://streamtape.com/v/lWaA81qoJ0i706Z/83234134 https://doodstream.com/d/sv1tmbi95cui/83234134 (2026) #BigTits #Hardcore #Bigass #Teen #Roleplay #Artporn #RIPNSFW</v>
      </c>
      <c r="N1582" s="14" t="s">
        <v>7913</v>
      </c>
      <c r="O1582" s="32" t="s">
        <v>7914</v>
      </c>
      <c r="P1582" s="14"/>
      <c r="Q1582" s="6"/>
      <c r="R1582" s="11"/>
      <c r="S1582" s="6"/>
      <c r="T1582" s="6"/>
      <c r="U1582" s="6"/>
      <c r="V1582" s="6"/>
      <c r="W1582" s="6"/>
      <c r="X1582" s="6"/>
      <c r="Y1582" s="6"/>
      <c r="Z1582" s="6"/>
      <c r="AA1582" s="6"/>
    </row>
    <row r="1583" spans="1:27" ht="12.75">
      <c r="A1583" s="12" t="s">
        <v>7915</v>
      </c>
      <c r="B1583" s="6" t="s">
        <v>14</v>
      </c>
      <c r="C1583" s="7" t="str">
        <f t="shared" si="24"/>
        <v xml:space="preserve">Sweetie Fox </v>
      </c>
      <c r="D1583" s="24" t="s">
        <v>7916</v>
      </c>
      <c r="E1583" s="25" t="s">
        <v>7917</v>
      </c>
      <c r="F1583" s="9" t="str">
        <f ca="1">IFERROR(__xludf.DUMMYFUNCTION("""https://streamtape.com/v/""&amp;
REGEXEXTRACT(O1583,""/thumb/([^/]+)/"")&amp;
""/""&amp;K1583"),"https://streamtape.com/v/DomMrzz1v8uwde/85780578")</f>
        <v>https://streamtape.com/v/DomMrzz1v8uwde/85780578</v>
      </c>
      <c r="G1583" s="10" t="e">
        <f t="shared" ca="1" si="25"/>
        <v>#NAME?</v>
      </c>
      <c r="H1583" s="11" t="str">
        <f ca="1">IFERROR(__xludf.DUMMYFUNCTION("IFERROR(SUBSTITUTE(SUBSTITUTE(REGEXEXTRACT(A1583, ""[^-]+- [^-]+- [^-]+ - (.+?)\.jpg""), "".jpg"", """"), ""-"", "", ""), """")"),"")</f>
        <v/>
      </c>
      <c r="I1583" s="6"/>
      <c r="J1583" s="7" t="str">
        <f t="shared" ca="1" si="26"/>
        <v>(2026)</v>
      </c>
      <c r="K1583" s="7" t="str">
        <f t="shared" si="27"/>
        <v>85780578</v>
      </c>
      <c r="L1583" s="12" t="s">
        <v>7889</v>
      </c>
      <c r="M1583" s="13" t="str">
        <f ca="1">IFERROR(__xludf.DUMMYFUNCTION("TRIM(
  REGEXREPLACE(
    TEXTJOIN("" "",
      TRUE,
      B1583,
      C1583,
      embaralharLinks(E1583,F1583,G1583),
      H1583,
      """",
      J1583,
      N1583,
      ""#RIPNSFW""
    ),
  "",\s*"", "" "")
)"),"{New} Sweetie Fox https://streamtape.com/v/DomMrzz1v8uwde/85780578 https://doodstream.com/d/65cpszihavha/85780578 https://lulustream.com/d/vkwamtsx8jub (2026) #bigtits #hardcore #bigass #teen #RIPNSFW")</f>
        <v>{New} Sweetie Fox https://streamtape.com/v/DomMrzz1v8uwde/85780578 https://doodstream.com/d/65cpszihavha/85780578 https://lulustream.com/d/vkwamtsx8jub (2026) #bigtits #hardcore #bigass #teen #RIPNSFW</v>
      </c>
      <c r="N1583" s="2" t="s">
        <v>7889</v>
      </c>
      <c r="O1583" s="21" t="s">
        <v>7918</v>
      </c>
      <c r="P1583" s="26"/>
      <c r="R1583" s="23"/>
      <c r="T1583" s="6"/>
      <c r="U1583" s="7"/>
      <c r="Z1583" s="12"/>
      <c r="AA1583" s="12"/>
    </row>
    <row r="1584" spans="1:27" ht="12.75">
      <c r="A1584" s="12" t="s">
        <v>7919</v>
      </c>
      <c r="B1584" s="6" t="s">
        <v>14</v>
      </c>
      <c r="C1584" s="7" t="str">
        <f t="shared" si="24"/>
        <v xml:space="preserve">Sweetie Fox </v>
      </c>
      <c r="D1584" s="24" t="s">
        <v>7920</v>
      </c>
      <c r="E1584" s="25" t="s">
        <v>7921</v>
      </c>
      <c r="F1584" s="9" t="str">
        <f ca="1">IFERROR(__xludf.DUMMYFUNCTION("""https://streamtape.com/v/""&amp;
REGEXEXTRACT(O1584,""/thumb/([^/]+)/"")&amp;
""/""&amp;K1584"),"https://streamtape.com/v/xXbxDrgjDeTkb1d/89708658")</f>
        <v>https://streamtape.com/v/xXbxDrgjDeTkb1d/89708658</v>
      </c>
      <c r="G1584" s="10" t="e">
        <f t="shared" ca="1" si="25"/>
        <v>#NAME?</v>
      </c>
      <c r="H1584" s="11" t="str">
        <f ca="1">IFERROR(__xludf.DUMMYFUNCTION("IFERROR(SUBSTITUTE(SUBSTITUTE(REGEXEXTRACT(A1584, ""[^-]+- [^-]+- [^-]+ - (.+?)\.jpg""), "".jpg"", """"), ""-"", "", ""), """")"),"")</f>
        <v/>
      </c>
      <c r="I1584" s="6"/>
      <c r="J1584" s="7" t="str">
        <f t="shared" ca="1" si="26"/>
        <v>(2026)</v>
      </c>
      <c r="K1584" s="7" t="str">
        <f t="shared" si="27"/>
        <v>89708658</v>
      </c>
      <c r="L1584" s="12" t="s">
        <v>7922</v>
      </c>
      <c r="M1584" s="13" t="str">
        <f ca="1">IFERROR(__xludf.DUMMYFUNCTION("TRIM(
  REGEXREPLACE(
    TEXTJOIN("" "",
      TRUE,
      B1584,
      C1584,
      embaralharLinks(E1584,F1584,G1584),
      H1584,
      """",
      J1584,
      N1584,
      ""#RIPNSFW""
    ),
  "",\s*"", "" "")
)"),"{New} Sweetie Fox https://lulustream.com/d/wv28ai2dzitc https://doodstream.com/d/wmoznhomuseg/89708658 https://streamtape.com/v/xXbxDrgjDeTkb1d/89708658 (2026) #teens #bigtits #blowjob #bigass #RIPNSFW")</f>
        <v>{New} Sweetie Fox https://lulustream.com/d/wv28ai2dzitc https://doodstream.com/d/wmoznhomuseg/89708658 https://streamtape.com/v/xXbxDrgjDeTkb1d/89708658 (2026) #teens #bigtits #blowjob #bigass #RIPNSFW</v>
      </c>
      <c r="N1584" s="2" t="s">
        <v>7922</v>
      </c>
      <c r="O1584" s="30" t="s">
        <v>7923</v>
      </c>
      <c r="P1584" s="26"/>
      <c r="R1584" s="23"/>
      <c r="T1584" s="6"/>
      <c r="U1584" s="7"/>
    </row>
    <row r="1585" spans="1:27" ht="12.75">
      <c r="A1585" s="6" t="s">
        <v>7924</v>
      </c>
      <c r="B1585" s="6" t="s">
        <v>14</v>
      </c>
      <c r="C1585" s="7" t="str">
        <f t="shared" si="24"/>
        <v xml:space="preserve">Sweetie Fox </v>
      </c>
      <c r="D1585" s="6" t="s">
        <v>7925</v>
      </c>
      <c r="E1585" s="8" t="s">
        <v>7926</v>
      </c>
      <c r="F1585" s="9" t="str">
        <f ca="1">IFERROR(__xludf.DUMMYFUNCTION("""https://streamtape.com/v/""&amp;
REGEXEXTRACT(O1585,""/thumb/([^/]+)/"")&amp;
""/""&amp;K1585"),"https://streamtape.com/v/Bq4XqGXvBwCyyzP/93425687")</f>
        <v>https://streamtape.com/v/Bq4XqGXvBwCyyzP/93425687</v>
      </c>
      <c r="G1585" s="10" t="e">
        <f t="shared" ca="1" si="25"/>
        <v>#NAME?</v>
      </c>
      <c r="H1585" s="11" t="str">
        <f ca="1">IFERROR(__xludf.DUMMYFUNCTION("IFERROR(SUBSTITUTE(SUBSTITUTE(REGEXEXTRACT(A1585, ""[^-]+- [^-]+- [^-]+ - (.+?)\.jpg""), "".jpg"", """"), ""-"", "", ""), """")"),"")</f>
        <v/>
      </c>
      <c r="I1585" s="6"/>
      <c r="J1585" s="7" t="str">
        <f t="shared" ca="1" si="26"/>
        <v>(2026)</v>
      </c>
      <c r="K1585" s="7" t="str">
        <f t="shared" si="27"/>
        <v>93425687</v>
      </c>
      <c r="L1585" s="12" t="s">
        <v>7927</v>
      </c>
      <c r="M1585" s="13" t="str">
        <f ca="1">IFERROR(__xludf.DUMMYFUNCTION("TRIM(
  REGEXREPLACE(
    TEXTJOIN("" "",
      TRUE,
      B1585,
      C1585,
      embaralharLinks(E1585,F1585,G1585),
      H1585,
      """",
      J1585,
      N1585,
      ""#RIPNSFW""
    ),
  "",\s*"", "" "")
)"),"{New} Sweetie Fox https://streamtape.com/v/Bq4XqGXvBwCyyzP/93425687 https://doodstream.com/d/69s4wozufhq0/93425687 https://lulustream.com/d/4etrcr0vurfd (2026) #BigTits #Hardcore #Bigass #Teen #Blowjob #Roleplay #Amateur #Deepthroat #RIPNSFW")</f>
        <v>{New} Sweetie Fox https://streamtape.com/v/Bq4XqGXvBwCyyzP/93425687 https://doodstream.com/d/69s4wozufhq0/93425687 https://lulustream.com/d/4etrcr0vurfd (2026) #BigTits #Hardcore #Bigass #Teen #Blowjob #Roleplay #Amateur #Deepthroat #RIPNSFW</v>
      </c>
      <c r="N1585" s="14" t="s">
        <v>7928</v>
      </c>
      <c r="O1585" s="15" t="s">
        <v>7929</v>
      </c>
      <c r="P1585" s="14"/>
      <c r="Q1585" s="6"/>
      <c r="R1585" s="11"/>
      <c r="S1585" s="6"/>
      <c r="T1585" s="6"/>
      <c r="U1585" s="6"/>
      <c r="V1585" s="6"/>
      <c r="W1585" s="6"/>
      <c r="X1585" s="6"/>
      <c r="Y1585" s="6"/>
      <c r="Z1585" s="6"/>
      <c r="AA1585" s="6"/>
    </row>
    <row r="1586" spans="1:27" ht="12.75">
      <c r="A1586" s="6" t="s">
        <v>7930</v>
      </c>
      <c r="B1586" s="6" t="s">
        <v>14</v>
      </c>
      <c r="C1586" s="7" t="str">
        <f t="shared" si="24"/>
        <v xml:space="preserve">Sweetie Fox </v>
      </c>
      <c r="D1586" s="6" t="s">
        <v>7931</v>
      </c>
      <c r="E1586" s="8" t="s">
        <v>7932</v>
      </c>
      <c r="F1586" s="9" t="str">
        <f ca="1">IFERROR(__xludf.DUMMYFUNCTION("""https://streamtape.com/v/""&amp;
REGEXEXTRACT(O1586,""/thumb/([^/]+)/"")&amp;
""/""&amp;K1586"),"https://streamtape.com/v/1qxAoQzayotpd7/97460514")</f>
        <v>https://streamtape.com/v/1qxAoQzayotpd7/97460514</v>
      </c>
      <c r="G1586" s="10" t="e">
        <f t="shared" ca="1" si="25"/>
        <v>#NAME?</v>
      </c>
      <c r="H1586" s="11" t="str">
        <f ca="1">IFERROR(__xludf.DUMMYFUNCTION("IFERROR(SUBSTITUTE(SUBSTITUTE(REGEXEXTRACT(A1586, ""[^-]+- [^-]+- [^-]+ - (.+?)\.jpg""), "".jpg"", """"), ""-"", "", ""), """")"),"")</f>
        <v/>
      </c>
      <c r="I1586" s="6"/>
      <c r="J1586" s="7" t="str">
        <f t="shared" ca="1" si="26"/>
        <v>(2026)</v>
      </c>
      <c r="K1586" s="7" t="str">
        <f t="shared" si="27"/>
        <v>97460514</v>
      </c>
      <c r="L1586" s="12" t="s">
        <v>2609</v>
      </c>
      <c r="M1586" s="13" t="str">
        <f ca="1">IFERROR(__xludf.DUMMYFUNCTION("TRIM(
  REGEXREPLACE(
    TEXTJOIN("" "",
      TRUE,
      B1586,
      C1586,
      embaralharLinks(E1586,F1586,G1586),
      H1586,
      """",
      J1586,
      N1586,
      ""#RIPNSFW""
    ),
  "",\s*"", "" "")
)"),"{New} Sweetie Fox https://streamtape.com/v/1qxAoQzayotpd7/97460514 https://doodstream.com/d/tf098wgzhabc/97460514 https://lulustream.com/d/ebxwj2aptfr0 (2026) #BigTits #Hardcore #Bigass #Teen #Blowjob #Amateur #RIPNSFW")</f>
        <v>{New} Sweetie Fox https://streamtape.com/v/1qxAoQzayotpd7/97460514 https://doodstream.com/d/tf098wgzhabc/97460514 https://lulustream.com/d/ebxwj2aptfr0 (2026) #BigTits #Hardcore #Bigass #Teen #Blowjob #Amateur #RIPNSFW</v>
      </c>
      <c r="N1586" s="14" t="s">
        <v>193</v>
      </c>
      <c r="O1586" s="15" t="s">
        <v>7933</v>
      </c>
      <c r="P1586" s="14"/>
      <c r="Q1586" s="6"/>
      <c r="R1586" s="11"/>
      <c r="S1586" s="6"/>
      <c r="T1586" s="6"/>
      <c r="U1586" s="6"/>
      <c r="V1586" s="6"/>
      <c r="W1586" s="6"/>
      <c r="X1586" s="6"/>
      <c r="Y1586" s="6"/>
      <c r="Z1586" s="6"/>
      <c r="AA1586" s="6"/>
    </row>
    <row r="1587" spans="1:27" ht="12.75">
      <c r="A1587" s="12" t="s">
        <v>7934</v>
      </c>
      <c r="B1587" s="6"/>
      <c r="C1587" s="7" t="str">
        <f t="shared" si="24"/>
        <v xml:space="preserve">Tessa </v>
      </c>
      <c r="D1587" s="24" t="s">
        <v>7935</v>
      </c>
      <c r="E1587" s="25" t="s">
        <v>7936</v>
      </c>
      <c r="F1587" s="9" t="str">
        <f ca="1">IFERROR(__xludf.DUMMYFUNCTION("""https://streamtape.com/v/""&amp;
REGEXEXTRACT(O1587,""/thumb/([^/]+)/"")&amp;
""/""&amp;K1587"),"https://streamtape.com/v/R6b4V7qqpgHJ6K/55037351")</f>
        <v>https://streamtape.com/v/R6b4V7qqpgHJ6K/55037351</v>
      </c>
      <c r="G1587" s="10" t="e">
        <f t="shared" ca="1" si="25"/>
        <v>#NAME?</v>
      </c>
      <c r="H1587" s="11" t="str">
        <f ca="1">IFERROR(__xludf.DUMMYFUNCTION("IFERROR(SUBSTITUTE(SUBSTITUTE(REGEXEXTRACT(A1587, ""[^-]+- [^-]+- [^-]+ - (.+?)\.jpg""), "".jpg"", """"), ""-"", "", ""), """")"),"")</f>
        <v/>
      </c>
      <c r="I1587" s="6"/>
      <c r="J1587" s="7" t="str">
        <f t="shared" ca="1" si="26"/>
        <v/>
      </c>
      <c r="K1587" s="7" t="str">
        <f t="shared" si="27"/>
        <v>55037351</v>
      </c>
      <c r="L1587" s="12" t="s">
        <v>7937</v>
      </c>
      <c r="M1587" s="13" t="str">
        <f ca="1">IFERROR(__xludf.DUMMYFUNCTION("TRIM(
  REGEXREPLACE(
    TEXTJOIN("" "",
      TRUE,
      B1587,
      C1587,
      embaralharLinks(E1587,F1587,G1587),
      H1587,
      """",
      J1587,
      N1587,
      ""#RIPNSFW""
    ),
  "",\s*"", "" "")
)"),"Tessa https://lulustream.com/d/kexjnplli0pt https://streamtape.com/v/R6b4V7qqpgHJ6K/55037351 https://doodstream.com/d/st70yg8ybbht/55037351 #anal #blowjob #blonde #casting #RIPNSFW")</f>
        <v>Tessa https://lulustream.com/d/kexjnplli0pt https://streamtape.com/v/R6b4V7qqpgHJ6K/55037351 https://doodstream.com/d/st70yg8ybbht/55037351 #anal #blowjob #blonde #casting #RIPNSFW</v>
      </c>
      <c r="N1587" s="2" t="s">
        <v>7937</v>
      </c>
      <c r="O1587" s="30" t="s">
        <v>7938</v>
      </c>
      <c r="P1587" s="26"/>
      <c r="R1587" s="23"/>
      <c r="T1587" s="6"/>
      <c r="U1587" s="7"/>
    </row>
    <row r="1588" spans="1:27" ht="12.75">
      <c r="A1588" s="12" t="s">
        <v>7939</v>
      </c>
      <c r="B1588" s="6" t="s">
        <v>14</v>
      </c>
      <c r="C1588" s="7" t="str">
        <f t="shared" si="24"/>
        <v xml:space="preserve">TheDanDangler </v>
      </c>
      <c r="D1588" s="24" t="s">
        <v>7940</v>
      </c>
      <c r="E1588" s="25" t="s">
        <v>7941</v>
      </c>
      <c r="F1588" s="9" t="str">
        <f ca="1">IFERROR(__xludf.DUMMYFUNCTION("""https://streamtape.com/v/""&amp;
REGEXEXTRACT(O1588,""/thumb/([^/]+)/"")&amp;
""/""&amp;K1588"),"https://streamtape.com/v/JWgPWar3qDIjLmB/12824636")</f>
        <v>https://streamtape.com/v/JWgPWar3qDIjLmB/12824636</v>
      </c>
      <c r="G1588" s="10" t="e">
        <f t="shared" ca="1" si="25"/>
        <v>#NAME?</v>
      </c>
      <c r="H1588" s="11" t="str">
        <f ca="1">IFERROR(__xludf.DUMMYFUNCTION("IFERROR(SUBSTITUTE(SUBSTITUTE(REGEXEXTRACT(A1588, ""[^-]+- [^-]+- [^-]+ - (.+?)\.jpg""), "".jpg"", """"), ""-"", "", ""), """")"),"Angela White")</f>
        <v>Angela White</v>
      </c>
      <c r="I1588" s="6"/>
      <c r="J1588" s="7" t="str">
        <f t="shared" ca="1" si="26"/>
        <v>(2026)</v>
      </c>
      <c r="K1588" s="7" t="str">
        <f t="shared" si="27"/>
        <v>12824636</v>
      </c>
      <c r="L1588" s="12" t="s">
        <v>1462</v>
      </c>
      <c r="M1588" s="13" t="str">
        <f ca="1">IFERROR(__xludf.DUMMYFUNCTION("TRIM(
  REGEXREPLACE(
    TEXTJOIN("" "",
      TRUE,
      B1588,
      C1588,
      embaralharLinks(E1588,F1588,G1588),
      H1588,
      """",
      J1588,
      N1588,
      ""#RIPNSFW""
    ),
  "",\s*"", "" "")
)"),"{New} TheDanDangler https://doodstream.com/d/3skqimkf72uy/12824636 https://streamtape.com/v/JWgPWar3qDIjLmB/12824636 https://lulustream.com/d/il81k0isycz0 Angela White (2026) #milf #bigtits #bigass #blowjob #RIPNSFW")</f>
        <v>{New} TheDanDangler https://doodstream.com/d/3skqimkf72uy/12824636 https://streamtape.com/v/JWgPWar3qDIjLmB/12824636 https://lulustream.com/d/il81k0isycz0 Angela White (2026) #milf #bigtits #bigass #blowjob #RIPNSFW</v>
      </c>
      <c r="N1588" s="2" t="s">
        <v>1462</v>
      </c>
      <c r="O1588" s="21" t="s">
        <v>7942</v>
      </c>
      <c r="P1588" s="26"/>
      <c r="R1588" s="23"/>
    </row>
    <row r="1589" spans="1:27" ht="12.75">
      <c r="A1589" s="12" t="s">
        <v>7943</v>
      </c>
      <c r="B1589" s="6" t="s">
        <v>14</v>
      </c>
      <c r="C1589" s="7" t="str">
        <f t="shared" si="24"/>
        <v xml:space="preserve">TheDanDangler </v>
      </c>
      <c r="D1589" s="24" t="s">
        <v>7944</v>
      </c>
      <c r="E1589" s="25" t="s">
        <v>7945</v>
      </c>
      <c r="F1589" s="9" t="str">
        <f ca="1">IFERROR(__xludf.DUMMYFUNCTION("""https://streamtape.com/v/""&amp;
REGEXEXTRACT(O1589,""/thumb/([^/]+)/"")&amp;
""/""&amp;K1589"),"https://streamtape.com/v/PrxZ9BgMOGHA7G/17642971")</f>
        <v>https://streamtape.com/v/PrxZ9BgMOGHA7G/17642971</v>
      </c>
      <c r="G1589" s="10" t="e">
        <f t="shared" ca="1" si="25"/>
        <v>#NAME?</v>
      </c>
      <c r="H1589" s="11" t="str">
        <f ca="1">IFERROR(__xludf.DUMMYFUNCTION("IFERROR(SUBSTITUTE(SUBSTITUTE(REGEXEXTRACT(A1589, ""[^-]+- [^-]+- [^-]+ - (.+?)\.jpg""), "".jpg"", """"), ""-"", "", ""), """")"),"Kayla Lea")</f>
        <v>Kayla Lea</v>
      </c>
      <c r="I1589" s="6"/>
      <c r="J1589" s="7" t="str">
        <f t="shared" ca="1" si="26"/>
        <v>(2026)</v>
      </c>
      <c r="K1589" s="7" t="str">
        <f t="shared" si="27"/>
        <v>17642971</v>
      </c>
      <c r="L1589" s="12" t="s">
        <v>7946</v>
      </c>
      <c r="M1589" s="13" t="str">
        <f ca="1">IFERROR(__xludf.DUMMYFUNCTION("TRIM(
  REGEXREPLACE(
    TEXTJOIN("" "",
      TRUE,
      B1589,
      C1589,
      embaralharLinks(E1589,F1589,G1589),
      H1589,
      """",
      J1589,
      N1589,
      ""#RIPNSFW""
    ),
  "",\s*"", "" "")
)"),"{New} TheDanDangler https://streamtape.com/v/PrxZ9BgMOGHA7G/17642971 https://doodstream.com/d/jdfj7u14f02b/17642971 https://lulustream.com/d/yssap7wywxwt Kayla Lea (2026) #interracial #threesome #bigass #bigtits #RIPNSFW")</f>
        <v>{New} TheDanDangler https://streamtape.com/v/PrxZ9BgMOGHA7G/17642971 https://doodstream.com/d/jdfj7u14f02b/17642971 https://lulustream.com/d/yssap7wywxwt Kayla Lea (2026) #interracial #threesome #bigass #bigtits #RIPNSFW</v>
      </c>
      <c r="N1589" s="2" t="s">
        <v>7946</v>
      </c>
      <c r="O1589" s="30" t="s">
        <v>7947</v>
      </c>
      <c r="P1589" s="26"/>
      <c r="R1589" s="23"/>
      <c r="T1589" s="11"/>
      <c r="U1589" s="13"/>
    </row>
    <row r="1590" spans="1:27" ht="12.75">
      <c r="A1590" s="12" t="s">
        <v>7948</v>
      </c>
      <c r="B1590" s="6" t="s">
        <v>14</v>
      </c>
      <c r="C1590" s="7" t="str">
        <f t="shared" si="24"/>
        <v xml:space="preserve">TheDanDangler </v>
      </c>
      <c r="D1590" s="24" t="s">
        <v>7949</v>
      </c>
      <c r="E1590" s="25" t="s">
        <v>7950</v>
      </c>
      <c r="F1590" s="9" t="str">
        <f ca="1">IFERROR(__xludf.DUMMYFUNCTION("""https://streamtape.com/v/""&amp;
REGEXEXTRACT(O1590,""/thumb/([^/]+)/"")&amp;
""/""&amp;K1590"),"https://streamtape.com/v/d3AxKW2rx9hkK2j/22869286")</f>
        <v>https://streamtape.com/v/d3AxKW2rx9hkK2j/22869286</v>
      </c>
      <c r="G1590" s="10" t="e">
        <f t="shared" ca="1" si="25"/>
        <v>#NAME?</v>
      </c>
      <c r="H1590" s="11" t="str">
        <f ca="1">IFERROR(__xludf.DUMMYFUNCTION("IFERROR(SUBSTITUTE(SUBSTITUTE(REGEXEXTRACT(A1590, ""[^-]+- [^-]+- [^-]+ - (.+?)\.jpg""), "".jpg"", """"), ""-"", "", ""), """")"),"")</f>
        <v/>
      </c>
      <c r="I1590" s="6"/>
      <c r="J1590" s="7" t="str">
        <f t="shared" ca="1" si="26"/>
        <v>(2026)</v>
      </c>
      <c r="K1590" s="7" t="str">
        <f t="shared" si="27"/>
        <v>22869286</v>
      </c>
      <c r="L1590" s="12" t="s">
        <v>1738</v>
      </c>
      <c r="M1590" s="13" t="str">
        <f ca="1">IFERROR(__xludf.DUMMYFUNCTION("TRIM(
  REGEXREPLACE(
    TEXTJOIN("" "",
      TRUE,
      B1590,
      C1590,
      embaralharLinks(E1590,F1590,G1590),
      H1590,
      """",
      J1590,
      N1590,
      ""#RIPNSFW""
    ),
  "",\s*"", "" "")
)"),"{New} TheDanDangler https://streamtape.com/v/d3AxKW2rx9hkK2j/22869286 https://doodstream.com/d/gfo3ijhhepmq/22869286 https://lulustream.com/d/fciw0d0wx34l (2026) #teen #bigtits #blowjob #bigass #RIPNSFW")</f>
        <v>{New} TheDanDangler https://streamtape.com/v/d3AxKW2rx9hkK2j/22869286 https://doodstream.com/d/gfo3ijhhepmq/22869286 https://lulustream.com/d/fciw0d0wx34l (2026) #teen #bigtits #blowjob #bigass #RIPNSFW</v>
      </c>
      <c r="N1590" s="2" t="s">
        <v>1738</v>
      </c>
      <c r="O1590" s="30" t="s">
        <v>7951</v>
      </c>
      <c r="P1590" s="26"/>
      <c r="R1590" s="23"/>
      <c r="T1590" s="6"/>
      <c r="U1590" s="7"/>
    </row>
    <row r="1591" spans="1:27" ht="12.75">
      <c r="A1591" s="12" t="s">
        <v>7952</v>
      </c>
      <c r="B1591" s="6" t="s">
        <v>14</v>
      </c>
      <c r="C1591" s="7" t="str">
        <f t="shared" si="24"/>
        <v xml:space="preserve">TheDanDangler </v>
      </c>
      <c r="D1591" s="24" t="s">
        <v>7953</v>
      </c>
      <c r="E1591" s="25" t="s">
        <v>7954</v>
      </c>
      <c r="F1591" s="9" t="str">
        <f ca="1">IFERROR(__xludf.DUMMYFUNCTION("""https://streamtape.com/v/""&amp;
REGEXEXTRACT(O1591,""/thumb/([^/]+)/"")&amp;
""/""&amp;K1591"),"https://streamtape.com/v/g0JO7XVAZptq0w4/41207150")</f>
        <v>https://streamtape.com/v/g0JO7XVAZptq0w4/41207150</v>
      </c>
      <c r="G1591" s="10" t="e">
        <f t="shared" ca="1" si="25"/>
        <v>#NAME?</v>
      </c>
      <c r="H1591" s="11" t="str">
        <f ca="1">IFERROR(__xludf.DUMMYFUNCTION("IFERROR(SUBSTITUTE(SUBSTITUTE(REGEXEXTRACT(A1591, ""[^-]+- [^-]+- [^-]+ - (.+?)\.jpg""), "".jpg"", """"), ""-"", "", ""), """")"),"")</f>
        <v/>
      </c>
      <c r="I1591" s="6"/>
      <c r="J1591" s="7" t="str">
        <f t="shared" ca="1" si="26"/>
        <v>(2026)</v>
      </c>
      <c r="K1591" s="7" t="str">
        <f t="shared" si="27"/>
        <v>41207150</v>
      </c>
      <c r="L1591" s="12" t="s">
        <v>4087</v>
      </c>
      <c r="M1591" s="13" t="str">
        <f ca="1">IFERROR(__xludf.DUMMYFUNCTION("TRIM(
  REGEXREPLACE(
    TEXTJOIN("" "",
      TRUE,
      B1591,
      C1591,
      embaralharLinks(E1591,F1591,G1591),
      H1591,
      """",
      J1591,
      N1591,
      ""#RIPNSFW""
    ),
  "",\s*"", "" "")
)"),"{New} TheDanDangler https://lulustream.com/d/oskcd78dflax https://doodstream.com/d/fyl56peuqf27/41207150 https://streamtape.com/v/g0JO7XVAZptq0w4/41207150 (2026) #milf #bigtits #bigass #interracial #RIPNSFW")</f>
        <v>{New} TheDanDangler https://lulustream.com/d/oskcd78dflax https://doodstream.com/d/fyl56peuqf27/41207150 https://streamtape.com/v/g0JO7XVAZptq0w4/41207150 (2026) #milf #bigtits #bigass #interracial #RIPNSFW</v>
      </c>
      <c r="N1591" s="2" t="s">
        <v>4087</v>
      </c>
      <c r="O1591" s="30" t="s">
        <v>7955</v>
      </c>
      <c r="P1591" s="26"/>
      <c r="R1591" s="23"/>
    </row>
    <row r="1592" spans="1:27" ht="12.75">
      <c r="A1592" s="6" t="s">
        <v>7956</v>
      </c>
      <c r="B1592" s="6" t="s">
        <v>14</v>
      </c>
      <c r="C1592" s="7" t="str">
        <f t="shared" si="24"/>
        <v xml:space="preserve">TheDanDangler </v>
      </c>
      <c r="D1592" s="6" t="s">
        <v>7957</v>
      </c>
      <c r="E1592" s="8" t="s">
        <v>7958</v>
      </c>
      <c r="F1592" s="9" t="str">
        <f ca="1">IFERROR(__xludf.DUMMYFUNCTION("""https://streamtape.com/v/""&amp;
REGEXEXTRACT(O1592,""/thumb/([^/]+)/"")&amp;
""/""&amp;K1592"),"https://streamtape.com/v/P98mb7q7R0hgqR/52688320")</f>
        <v>https://streamtape.com/v/P98mb7q7R0hgqR/52688320</v>
      </c>
      <c r="G1592" s="10" t="e">
        <f t="shared" ca="1" si="25"/>
        <v>#NAME?</v>
      </c>
      <c r="H1592" s="11" t="str">
        <f ca="1">IFERROR(__xludf.DUMMYFUNCTION("IFERROR(SUBSTITUTE(SUBSTITUTE(REGEXEXTRACT(A1592, ""[^-]+- [^-]+- [^-]+ - (.+?)\.jpg""), "".jpg"", """"), ""-"", "", ""), """")"),"")</f>
        <v/>
      </c>
      <c r="I1592" s="6"/>
      <c r="J1592" s="7" t="str">
        <f t="shared" ca="1" si="26"/>
        <v>(2026)</v>
      </c>
      <c r="K1592" s="7" t="str">
        <f t="shared" si="27"/>
        <v>52688320</v>
      </c>
      <c r="L1592" s="12" t="s">
        <v>161</v>
      </c>
      <c r="M1592" s="13" t="str">
        <f ca="1">IFERROR(__xludf.DUMMYFUNCTION("TRIM(
  REGEXREPLACE(
    TEXTJOIN("" "",
      TRUE,
      B1592,
      C1592,
      embaralharLinks(E1592,F1592,G1592),
      H1592,
      """",
      J1592,
      N1592,
      ""#RIPNSFW""
    ),
  "",\s*"", "" "")
)"),"{New} TheDanDangler https://streamtape.com/v/P98mb7q7R0hgqR/52688320 https://lulustream.com/d/0of288be0ker https://doodstream.com/d/63z8wb9mrpb6/52688320 (2026) #BigTits #Hardcore #Bigass #Teen #RIPNSFW")</f>
        <v>{New} TheDanDangler https://streamtape.com/v/P98mb7q7R0hgqR/52688320 https://lulustream.com/d/0of288be0ker https://doodstream.com/d/63z8wb9mrpb6/52688320 (2026) #BigTits #Hardcore #Bigass #Teen #RIPNSFW</v>
      </c>
      <c r="N1592" s="14" t="s">
        <v>208</v>
      </c>
      <c r="O1592" s="15" t="s">
        <v>7959</v>
      </c>
      <c r="P1592" s="14"/>
      <c r="Q1592" s="6"/>
      <c r="R1592" s="11"/>
      <c r="S1592" s="6"/>
      <c r="T1592" s="6"/>
      <c r="U1592" s="6"/>
      <c r="V1592" s="6"/>
      <c r="W1592" s="6"/>
      <c r="X1592" s="6"/>
      <c r="Y1592" s="6"/>
      <c r="Z1592" s="6"/>
      <c r="AA1592" s="6"/>
    </row>
    <row r="1593" spans="1:27" ht="12.75">
      <c r="A1593" s="16" t="s">
        <v>7960</v>
      </c>
      <c r="B1593" s="11" t="s">
        <v>14</v>
      </c>
      <c r="C1593" s="13" t="str">
        <f t="shared" si="24"/>
        <v xml:space="preserve">TheDanDangler </v>
      </c>
      <c r="D1593" s="17" t="s">
        <v>7961</v>
      </c>
      <c r="E1593" s="18" t="s">
        <v>7962</v>
      </c>
      <c r="F1593" s="9" t="str">
        <f ca="1">IFERROR(__xludf.DUMMYFUNCTION("""https://streamtape.com/v/""&amp;
REGEXEXTRACT(O1593,""/thumb/([^/]+)/"")&amp;
""/""&amp;K1593"),"https://streamtape.com/v/op4yqkKJKVfJ2mV/55519215")</f>
        <v>https://streamtape.com/v/op4yqkKJKVfJ2mV/55519215</v>
      </c>
      <c r="G1593" s="10" t="e">
        <f t="shared" ca="1" si="25"/>
        <v>#NAME?</v>
      </c>
      <c r="H1593" s="11" t="str">
        <f ca="1">IFERROR(__xludf.DUMMYFUNCTION("IFERROR(SUBSTITUTE(SUBSTITUTE(REGEXEXTRACT(A1593, ""[^-]+- [^-]+- [^-]+ - (.+?)\.jpg""), "".jpg"", """"), ""-"", "", ""), """")"),"")</f>
        <v/>
      </c>
      <c r="I1593" s="11"/>
      <c r="J1593" s="7" t="str">
        <f t="shared" ca="1" si="26"/>
        <v>(2026)</v>
      </c>
      <c r="K1593" s="13" t="str">
        <f t="shared" si="27"/>
        <v>55519215</v>
      </c>
      <c r="L1593" s="12" t="s">
        <v>3130</v>
      </c>
      <c r="M1593" s="13" t="str">
        <f ca="1">IFERROR(__xludf.DUMMYFUNCTION("TRIM(
  REGEXREPLACE(
    TEXTJOIN("" "",
      TRUE,
      B1593,
      C1593,
      embaralharLinks(E1593,F1593,G1593),
      H1593,
      """",
      J1593,
      N1593,
      ""#RIPNSFW""
    ),
  "",\s*"", "" "")
)"),"{New} TheDanDangler https://doodstream.com/d/ndxayogzkfnc/55519215 https://streamtape.com/v/op4yqkKJKVfJ2mV/55519215 https://lulustream.com/d/k300irbe2ati (2026) #milf #bigtits #blonde #blowjob #RIPNSFW")</f>
        <v>{New} TheDanDangler https://doodstream.com/d/ndxayogzkfnc/55519215 https://streamtape.com/v/op4yqkKJKVfJ2mV/55519215 https://lulustream.com/d/k300irbe2ati (2026) #milf #bigtits #blonde #blowjob #RIPNSFW</v>
      </c>
      <c r="N1593" s="2" t="s">
        <v>3130</v>
      </c>
      <c r="O1593" s="30" t="s">
        <v>7963</v>
      </c>
      <c r="P1593" s="26"/>
      <c r="R1593" s="23"/>
      <c r="T1593" s="6"/>
      <c r="U1593" s="7"/>
    </row>
    <row r="1594" spans="1:27" ht="12.75">
      <c r="A1594" s="6" t="s">
        <v>7964</v>
      </c>
      <c r="B1594" s="6" t="s">
        <v>14</v>
      </c>
      <c r="C1594" s="7" t="str">
        <f t="shared" si="24"/>
        <v xml:space="preserve">TheDanDangler </v>
      </c>
      <c r="D1594" s="24" t="s">
        <v>7965</v>
      </c>
      <c r="E1594" s="25" t="s">
        <v>7966</v>
      </c>
      <c r="F1594" s="9" t="str">
        <f ca="1">IFERROR(__xludf.DUMMYFUNCTION("""https://streamtape.com/v/""&amp;
REGEXEXTRACT(O1594,""/thumb/([^/]+)/"")&amp;
""/""&amp;K1594"),"https://streamtape.com/v/RpeLbpMMbdSJLR/62022952")</f>
        <v>https://streamtape.com/v/RpeLbpMMbdSJLR/62022952</v>
      </c>
      <c r="G1594" s="10" t="e">
        <f t="shared" ca="1" si="25"/>
        <v>#NAME?</v>
      </c>
      <c r="H1594" s="11" t="str">
        <f ca="1">IFERROR(__xludf.DUMMYFUNCTION("IFERROR(SUBSTITUTE(SUBSTITUTE(REGEXEXTRACT(A1594, ""[^-]+- [^-]+- [^-]+ - (.+?)\.jpg""), "".jpg"", """"), ""-"", "", ""), """")"),"")</f>
        <v/>
      </c>
      <c r="I1594" s="6"/>
      <c r="J1594" s="7" t="str">
        <f t="shared" ca="1" si="26"/>
        <v>(2026)</v>
      </c>
      <c r="K1594" s="7" t="str">
        <f t="shared" si="27"/>
        <v>62022952</v>
      </c>
      <c r="L1594" s="12" t="s">
        <v>7967</v>
      </c>
      <c r="M1594" s="13" t="str">
        <f ca="1">IFERROR(__xludf.DUMMYFUNCTION("TRIM(
  REGEXREPLACE(
    TEXTJOIN("" "",
      TRUE,
      B1594,
      C1594,
      embaralharLinks(E1594,F1594,G1594),
      H1594,
      """",
      J1594,
      N1594,
      ""#RIPNSFW""
    ),
  "",\s*"", "" "")
)"),"{New} TheDanDangler https://lulustream.com/d/9i518lxy38qf https://doodstream.com/d/oy25h044hxpp/62022952 https://streamtape.com/v/RpeLbpMMbdSJLR/62022952 (2026) #blowjob #bigass #bigtits #milf #RIPNSFW")</f>
        <v>{New} TheDanDangler https://lulustream.com/d/9i518lxy38qf https://doodstream.com/d/oy25h044hxpp/62022952 https://streamtape.com/v/RpeLbpMMbdSJLR/62022952 (2026) #blowjob #bigass #bigtits #milf #RIPNSFW</v>
      </c>
      <c r="N1594" s="31" t="s">
        <v>7967</v>
      </c>
      <c r="O1594" s="32" t="s">
        <v>7968</v>
      </c>
      <c r="P1594" s="26"/>
      <c r="Q1594" s="6"/>
      <c r="R1594" s="11"/>
      <c r="S1594" s="6"/>
      <c r="T1594" s="6"/>
      <c r="U1594" s="6"/>
      <c r="V1594" s="6"/>
      <c r="W1594" s="6"/>
      <c r="X1594" s="6"/>
      <c r="Y1594" s="6"/>
      <c r="Z1594" s="6"/>
      <c r="AA1594" s="6"/>
    </row>
    <row r="1595" spans="1:27" ht="12.75">
      <c r="A1595" s="12" t="s">
        <v>7969</v>
      </c>
      <c r="B1595" s="6" t="s">
        <v>14</v>
      </c>
      <c r="C1595" s="7" t="str">
        <f t="shared" si="24"/>
        <v xml:space="preserve">TheDanDangler </v>
      </c>
      <c r="D1595" s="24" t="s">
        <v>7970</v>
      </c>
      <c r="E1595" s="25" t="s">
        <v>7971</v>
      </c>
      <c r="F1595" s="9" t="str">
        <f ca="1">IFERROR(__xludf.DUMMYFUNCTION("""https://streamtape.com/v/""&amp;
REGEXEXTRACT(O1595,""/thumb/([^/]+)/"")&amp;
""/""&amp;K1595"),"https://streamtape.com/v/4dx8B791wPFKgMB/63370343")</f>
        <v>https://streamtape.com/v/4dx8B791wPFKgMB/63370343</v>
      </c>
      <c r="G1595" s="10" t="e">
        <f t="shared" ca="1" si="25"/>
        <v>#NAME?</v>
      </c>
      <c r="H1595" s="11" t="str">
        <f ca="1">IFERROR(__xludf.DUMMYFUNCTION("IFERROR(SUBSTITUTE(SUBSTITUTE(REGEXEXTRACT(A1595, ""[^-]+- [^-]+- [^-]+ - (.+?)\.jpg""), "".jpg"", """"), ""-"", "", ""), """")"),"Lena the plug")</f>
        <v>Lena the plug</v>
      </c>
      <c r="I1595" s="6"/>
      <c r="J1595" s="7" t="str">
        <f t="shared" ca="1" si="26"/>
        <v>(2026)</v>
      </c>
      <c r="K1595" s="7" t="str">
        <f t="shared" si="27"/>
        <v>63370343</v>
      </c>
      <c r="L1595" s="12" t="s">
        <v>4775</v>
      </c>
      <c r="M1595" s="13" t="str">
        <f ca="1">IFERROR(__xludf.DUMMYFUNCTION("TRIM(
  REGEXREPLACE(
    TEXTJOIN("" "",
      TRUE,
      B1595,
      C1595,
      embaralharLinks(E1595,F1595,G1595),
      H1595,
      """",
      J1595,
      N1595,
      ""#RIPNSFW""
    ),
  "",\s*"", "" "")
)"),"{New} TheDanDangler https://lulustream.com/d/fch74q6v61x1 https://doodstream.com/d/izyh4kpa1ilo/63370343 https://streamtape.com/v/4dx8B791wPFKgMB/63370343 Lena the plug (2026) #milf #threesome #bigass #bigtits #RIPNSFW")</f>
        <v>{New} TheDanDangler https://lulustream.com/d/fch74q6v61x1 https://doodstream.com/d/izyh4kpa1ilo/63370343 https://streamtape.com/v/4dx8B791wPFKgMB/63370343 Lena the plug (2026) #milf #threesome #bigass #bigtits #RIPNSFW</v>
      </c>
      <c r="N1595" s="2" t="s">
        <v>4775</v>
      </c>
      <c r="O1595" s="30" t="s">
        <v>7972</v>
      </c>
      <c r="P1595" s="26"/>
      <c r="R1595" s="23"/>
    </row>
    <row r="1596" spans="1:27" ht="12.75">
      <c r="A1596" s="12" t="s">
        <v>7973</v>
      </c>
      <c r="B1596" s="6" t="s">
        <v>14</v>
      </c>
      <c r="C1596" s="7" t="str">
        <f t="shared" si="24"/>
        <v xml:space="preserve">TheDanDangler </v>
      </c>
      <c r="D1596" s="24" t="s">
        <v>7974</v>
      </c>
      <c r="E1596" s="25" t="s">
        <v>7975</v>
      </c>
      <c r="F1596" s="9" t="str">
        <f ca="1">IFERROR(__xludf.DUMMYFUNCTION("""https://streamtape.com/v/""&amp;
REGEXEXTRACT(O1596,""/thumb/([^/]+)/"")&amp;
""/""&amp;K1596"),"https://streamtape.com/v/xvvawLy6eYhq8m/69507662")</f>
        <v>https://streamtape.com/v/xvvawLy6eYhq8m/69507662</v>
      </c>
      <c r="G1596" s="10" t="e">
        <f t="shared" ca="1" si="25"/>
        <v>#NAME?</v>
      </c>
      <c r="H1596" s="11" t="str">
        <f ca="1">IFERROR(__xludf.DUMMYFUNCTION("IFERROR(SUBSTITUTE(SUBSTITUTE(REGEXEXTRACT(A1596, ""[^-]+- [^-]+- [^-]+ - (.+?)\.jpg""), "".jpg"", """"), ""-"", "", ""), """")"),"Violet Myers")</f>
        <v>Violet Myers</v>
      </c>
      <c r="I1596" s="6"/>
      <c r="J1596" s="7" t="str">
        <f t="shared" ca="1" si="26"/>
        <v>(2026)</v>
      </c>
      <c r="K1596" s="7" t="str">
        <f t="shared" si="27"/>
        <v>69507662</v>
      </c>
      <c r="L1596" s="12" t="s">
        <v>1711</v>
      </c>
      <c r="M1596" s="13" t="str">
        <f ca="1">IFERROR(__xludf.DUMMYFUNCTION("TRIM(
  REGEXREPLACE(
    TEXTJOIN("" "",
      TRUE,
      B1596,
      C1596,
      embaralharLinks(E1596,F1596,G1596),
      H1596,
      """",
      J1596,
      N1596,
      ""#RIPNSFW""
    ),
  "",\s*"", "" "")
)"),"{New} TheDanDangler https://doodstream.com/d/s4ek0gn1cyny/69507662 https://lulustream.com/d/zgxuldmxzbn9 https://streamtape.com/v/xvvawLy6eYhq8m/69507662 Violet Myers (2026) #milf #bigass #bigtits #blowjob #RIPNSFW")</f>
        <v>{New} TheDanDangler https://doodstream.com/d/s4ek0gn1cyny/69507662 https://lulustream.com/d/zgxuldmxzbn9 https://streamtape.com/v/xvvawLy6eYhq8m/69507662 Violet Myers (2026) #milf #bigass #bigtits #blowjob #RIPNSFW</v>
      </c>
      <c r="N1596" s="2" t="s">
        <v>1711</v>
      </c>
      <c r="O1596" s="30" t="s">
        <v>7976</v>
      </c>
      <c r="P1596" s="26"/>
      <c r="R1596" s="23"/>
    </row>
    <row r="1597" spans="1:27" ht="12.75">
      <c r="A1597" s="12" t="s">
        <v>7977</v>
      </c>
      <c r="B1597" s="6" t="s">
        <v>14</v>
      </c>
      <c r="C1597" s="7" t="str">
        <f t="shared" si="24"/>
        <v xml:space="preserve">TheDanDangler </v>
      </c>
      <c r="D1597" s="24" t="s">
        <v>7978</v>
      </c>
      <c r="E1597" s="25" t="s">
        <v>7979</v>
      </c>
      <c r="F1597" s="9" t="str">
        <f ca="1">IFERROR(__xludf.DUMMYFUNCTION("""https://streamtape.com/v/""&amp;
REGEXEXTRACT(O1597,""/thumb/([^/]+)/"")&amp;
""/""&amp;K1597"),"https://streamtape.com/v/b3goaryzQ9uP8XA/75016114")</f>
        <v>https://streamtape.com/v/b3goaryzQ9uP8XA/75016114</v>
      </c>
      <c r="G1597" s="10" t="e">
        <f t="shared" ca="1" si="25"/>
        <v>#NAME?</v>
      </c>
      <c r="H1597" s="11" t="str">
        <f ca="1">IFERROR(__xludf.DUMMYFUNCTION("IFERROR(SUBSTITUTE(SUBSTITUTE(REGEXEXTRACT(A1597, ""[^-]+- [^-]+- [^-]+ - (.+?)\.jpg""), "".jpg"", """"), ""-"", "", ""), """")"),"")</f>
        <v/>
      </c>
      <c r="I1597" s="6"/>
      <c r="J1597" s="7" t="str">
        <f t="shared" ca="1" si="26"/>
        <v>(2026)</v>
      </c>
      <c r="K1597" s="7" t="str">
        <f t="shared" si="27"/>
        <v>75016114</v>
      </c>
      <c r="L1597" s="12" t="s">
        <v>7980</v>
      </c>
      <c r="M1597" s="13" t="str">
        <f ca="1">IFERROR(__xludf.DUMMYFUNCTION("TRIM(
  REGEXREPLACE(
    TEXTJOIN("" "",
      TRUE,
      B1597,
      C1597,
      embaralharLinks(E1597,F1597,G1597),
      H1597,
      """",
      J1597,
      N1597,
      ""#RIPNSFW""
    ),
  "",\s*"", "" "")
)"),"{New} TheDanDangler https://lulustream.com/d/r5ejl2w5b76u https://streamtape.com/v/b3goaryzQ9uP8XA/75016114 https://doodstream.com/d/ynnlpptojoqs/75016114 (2026) #threesome #interracial #bigtits #bigass #RIPNSFW")</f>
        <v>{New} TheDanDangler https://lulustream.com/d/r5ejl2w5b76u https://streamtape.com/v/b3goaryzQ9uP8XA/75016114 https://doodstream.com/d/ynnlpptojoqs/75016114 (2026) #threesome #interracial #bigtits #bigass #RIPNSFW</v>
      </c>
      <c r="N1597" s="2" t="s">
        <v>7980</v>
      </c>
      <c r="O1597" s="30" t="s">
        <v>7981</v>
      </c>
      <c r="P1597" s="26"/>
      <c r="R1597" s="23"/>
      <c r="T1597" s="11"/>
      <c r="U1597" s="13"/>
    </row>
    <row r="1598" spans="1:27" ht="12.75">
      <c r="A1598" s="12" t="s">
        <v>7982</v>
      </c>
      <c r="B1598" s="6" t="s">
        <v>14</v>
      </c>
      <c r="C1598" s="7" t="str">
        <f t="shared" si="24"/>
        <v xml:space="preserve">TheDanDangler </v>
      </c>
      <c r="D1598" s="24" t="s">
        <v>7983</v>
      </c>
      <c r="E1598" s="25" t="s">
        <v>7984</v>
      </c>
      <c r="F1598" s="9" t="str">
        <f ca="1">IFERROR(__xludf.DUMMYFUNCTION("""https://streamtape.com/v/""&amp;
REGEXEXTRACT(O1598,""/thumb/([^/]+)/"")&amp;
""/""&amp;K1598"),"https://streamtape.com/v/2VwBJDzbDmiZ3ka/75377053")</f>
        <v>https://streamtape.com/v/2VwBJDzbDmiZ3ka/75377053</v>
      </c>
      <c r="G1598" s="10" t="e">
        <f t="shared" ca="1" si="25"/>
        <v>#NAME?</v>
      </c>
      <c r="H1598" s="11" t="str">
        <f ca="1">IFERROR(__xludf.DUMMYFUNCTION("IFERROR(SUBSTITUTE(SUBSTITUTE(REGEXEXTRACT(A1598, ""[^-]+- [^-]+- [^-]+ - (.+?)\.jpg""), "".jpg"", """"), ""-"", "", ""), """")"),"")</f>
        <v/>
      </c>
      <c r="I1598" s="6"/>
      <c r="J1598" s="7" t="str">
        <f t="shared" ca="1" si="26"/>
        <v>(2026)</v>
      </c>
      <c r="K1598" s="7" t="str">
        <f t="shared" si="27"/>
        <v>75377053</v>
      </c>
      <c r="L1598" s="12" t="s">
        <v>4735</v>
      </c>
      <c r="M1598" s="13" t="str">
        <f ca="1">IFERROR(__xludf.DUMMYFUNCTION("TRIM(
  REGEXREPLACE(
    TEXTJOIN("" "",
      TRUE,
      B1598,
      C1598,
      embaralharLinks(E1598,F1598,G1598),
      H1598,
      """",
      J1598,
      N1598,
      ""#RIPNSFW""
    ),
  "",\s*"", "" "")
)"),"{New} TheDanDangler https://lulustream.com/d/dco8m4d1sfrz https://streamtape.com/v/2VwBJDzbDmiZ3ka/75377053 https://doodstream.com/d/8zzkazodoahl/75377053 (2026) #milf #bigtits #bigass #blonde #RIPNSFW")</f>
        <v>{New} TheDanDangler https://lulustream.com/d/dco8m4d1sfrz https://streamtape.com/v/2VwBJDzbDmiZ3ka/75377053 https://doodstream.com/d/8zzkazodoahl/75377053 (2026) #milf #bigtits #bigass #blonde #RIPNSFW</v>
      </c>
      <c r="N1598" s="2" t="s">
        <v>4735</v>
      </c>
      <c r="O1598" s="30" t="s">
        <v>7985</v>
      </c>
      <c r="P1598" s="26"/>
      <c r="R1598" s="23"/>
    </row>
    <row r="1599" spans="1:27" ht="12.75">
      <c r="A1599" s="12" t="s">
        <v>7986</v>
      </c>
      <c r="B1599" s="6"/>
      <c r="C1599" s="7" t="str">
        <f t="shared" si="24"/>
        <v xml:space="preserve">TheDanDangler </v>
      </c>
      <c r="D1599" s="24" t="s">
        <v>7987</v>
      </c>
      <c r="E1599" s="25" t="s">
        <v>7988</v>
      </c>
      <c r="F1599" s="9" t="str">
        <f ca="1">IFERROR(__xludf.DUMMYFUNCTION("""https://streamtape.com/v/""&amp;
REGEXEXTRACT(O1599,""/thumb/([^/]+)/"")&amp;
""/""&amp;K1599"),"https://streamtape.com/v/m66xYJoYDJFbKL4/80371557")</f>
        <v>https://streamtape.com/v/m66xYJoYDJFbKL4/80371557</v>
      </c>
      <c r="G1599" s="10" t="e">
        <f t="shared" ca="1" si="25"/>
        <v>#NAME?</v>
      </c>
      <c r="H1599" s="11" t="str">
        <f ca="1">IFERROR(__xludf.DUMMYFUNCTION("IFERROR(SUBSTITUTE(SUBSTITUTE(REGEXEXTRACT(A1599, ""[^-]+- [^-]+- [^-]+ - (.+?)\.jpg""), "".jpg"", """"), ""-"", "", ""), """")"),"Violet Myers ,  Roxie Sinner ,  Connie Perignon")</f>
        <v>Violet Myers ,  Roxie Sinner ,  Connie Perignon</v>
      </c>
      <c r="I1599" s="6"/>
      <c r="J1599" s="7" t="str">
        <f t="shared" ca="1" si="26"/>
        <v/>
      </c>
      <c r="K1599" s="7" t="str">
        <f t="shared" si="27"/>
        <v>80371557</v>
      </c>
      <c r="L1599" s="12" t="s">
        <v>7989</v>
      </c>
      <c r="M1599" s="13" t="str">
        <f ca="1">IFERROR(__xludf.DUMMYFUNCTION("TRIM(
  REGEXREPLACE(
    TEXTJOIN("" "",
      TRUE,
      B1599,
      C1599,
      embaralharLinks(E1599,F1599,G1599),
      H1599,
      """",
      J1599,
      N1599,
      ""#RIPNSFW""
    ),
  "",\s*"", "" "")
)"),"TheDanDangler https://doodstream.com/d/dqt12h3dmytn/80371557 https://lulustream.com/d/6g7brq3l9pq4 https://streamtape.com/v/m66xYJoYDJFbKL4/80371557 Violet Myers Roxie Sinner Connie Perignon #orgy #bigtits #blowjob #bigass #RIPNSFW")</f>
        <v>TheDanDangler https://doodstream.com/d/dqt12h3dmytn/80371557 https://lulustream.com/d/6g7brq3l9pq4 https://streamtape.com/v/m66xYJoYDJFbKL4/80371557 Violet Myers Roxie Sinner Connie Perignon #orgy #bigtits #blowjob #bigass #RIPNSFW</v>
      </c>
      <c r="N1599" s="2" t="s">
        <v>7989</v>
      </c>
      <c r="O1599" s="30" t="s">
        <v>7990</v>
      </c>
      <c r="P1599" s="26"/>
      <c r="R1599" s="23"/>
      <c r="T1599" s="6"/>
      <c r="U1599" s="7"/>
    </row>
    <row r="1600" spans="1:27" ht="12.75">
      <c r="A1600" s="6" t="s">
        <v>7991</v>
      </c>
      <c r="B1600" s="6" t="s">
        <v>14</v>
      </c>
      <c r="C1600" s="7" t="str">
        <f t="shared" si="24"/>
        <v xml:space="preserve">TheDanDangler </v>
      </c>
      <c r="D1600" s="6" t="s">
        <v>7992</v>
      </c>
      <c r="E1600" s="8" t="s">
        <v>7993</v>
      </c>
      <c r="F1600" s="9" t="str">
        <f ca="1">IFERROR(__xludf.DUMMYFUNCTION("""https://streamtape.com/v/""&amp;
REGEXEXTRACT(O1600,""/thumb/([^/]+)/"")&amp;
""/""&amp;K1600"),"https://streamtape.com/v/oMAzjXZ6betJyZv/81270185")</f>
        <v>https://streamtape.com/v/oMAzjXZ6betJyZv/81270185</v>
      </c>
      <c r="G1600" s="10" t="e">
        <f t="shared" ca="1" si="25"/>
        <v>#NAME?</v>
      </c>
      <c r="H1600" s="11" t="str">
        <f ca="1">IFERROR(__xludf.DUMMYFUNCTION("IFERROR(SUBSTITUTE(SUBSTITUTE(REGEXEXTRACT(A1600, ""[^-]+- [^-]+- [^-]+ - (.+?)\.jpg""), "".jpg"", """"), ""-"", "", ""), """")"),"")</f>
        <v/>
      </c>
      <c r="I1600" s="6"/>
      <c r="J1600" s="7" t="str">
        <f t="shared" ca="1" si="26"/>
        <v>(2026)</v>
      </c>
      <c r="K1600" s="7" t="str">
        <f t="shared" si="27"/>
        <v>81270185</v>
      </c>
      <c r="L1600" s="12" t="s">
        <v>7994</v>
      </c>
      <c r="M1600" s="13" t="str">
        <f ca="1">IFERROR(__xludf.DUMMYFUNCTION("TRIM(
  REGEXREPLACE(
    TEXTJOIN("" "",
      TRUE,
      B1600,
      C1600,
      embaralharLinks(E1600,F1600,G1600),
      H1600,
      """",
      J1600,
      N1600,
      ""#RIPNSFW""
    ),
  "",\s*"", "" "")
)"),"{New} TheDanDangler https://streamtape.com/v/oMAzjXZ6betJyZv/81270185 https://lulustream.com/d/m7lzj7foti8z https://doodstream.com/d/njlvv0ssq6xd/81270185 (2026) #MILF #BigTits #Hardcore #Black #Interracial #Bigass #Blowjob #Amateur #Blonde #RIPNSFW")</f>
        <v>{New} TheDanDangler https://streamtape.com/v/oMAzjXZ6betJyZv/81270185 https://lulustream.com/d/m7lzj7foti8z https://doodstream.com/d/njlvv0ssq6xd/81270185 (2026) #MILF #BigTits #Hardcore #Black #Interracial #Bigass #Blowjob #Amateur #Blonde #RIPNSFW</v>
      </c>
      <c r="N1600" s="14" t="s">
        <v>7995</v>
      </c>
      <c r="O1600" s="15" t="s">
        <v>7996</v>
      </c>
      <c r="P1600" s="14"/>
      <c r="Q1600" s="6"/>
      <c r="R1600" s="11"/>
      <c r="S1600" s="6"/>
      <c r="T1600" s="6"/>
      <c r="U1600" s="6"/>
      <c r="V1600" s="6"/>
      <c r="W1600" s="6"/>
      <c r="X1600" s="6"/>
      <c r="Y1600" s="6"/>
      <c r="Z1600" s="6"/>
      <c r="AA1600" s="6"/>
    </row>
    <row r="1601" spans="1:27" ht="12.75">
      <c r="A1601" s="12" t="s">
        <v>7997</v>
      </c>
      <c r="B1601" s="6"/>
      <c r="C1601" s="7" t="str">
        <f t="shared" si="24"/>
        <v xml:space="preserve">TheDanDangler </v>
      </c>
      <c r="D1601" s="24" t="s">
        <v>7998</v>
      </c>
      <c r="E1601" s="25" t="s">
        <v>7999</v>
      </c>
      <c r="F1601" s="9" t="str">
        <f ca="1">IFERROR(__xludf.DUMMYFUNCTION("""https://streamtape.com/v/""&amp;
REGEXEXTRACT(O1601,""/thumb/([^/]+)/"")&amp;
""/""&amp;K1601"),"https://streamtape.com/v/WP6oPLKLe0Hb323/82758099")</f>
        <v>https://streamtape.com/v/WP6oPLKLe0Hb323/82758099</v>
      </c>
      <c r="G1601" s="10" t="e">
        <f t="shared" ca="1" si="25"/>
        <v>#NAME?</v>
      </c>
      <c r="H1601" s="11" t="str">
        <f ca="1">IFERROR(__xludf.DUMMYFUNCTION("IFERROR(SUBSTITUTE(SUBSTITUTE(REGEXEXTRACT(A1601, ""[^-]+- [^-]+- [^-]+ - (.+?)\.jpg""), "".jpg"", """"), ""-"", "", ""), """")"),"JackandJill")</f>
        <v>JackandJill</v>
      </c>
      <c r="I1601" s="6"/>
      <c r="J1601" s="7" t="str">
        <f t="shared" ca="1" si="26"/>
        <v/>
      </c>
      <c r="K1601" s="7" t="str">
        <f t="shared" si="27"/>
        <v>82758099</v>
      </c>
      <c r="L1601" s="12" t="s">
        <v>8000</v>
      </c>
      <c r="M1601" s="13" t="str">
        <f ca="1">IFERROR(__xludf.DUMMYFUNCTION("TRIM(
  REGEXREPLACE(
    TEXTJOIN("" "",
      TRUE,
      B1601,
      C1601,
      embaralharLinks(E1601,F1601,G1601),
      H1601,
      """",
      J1601,
      N1601,
      ""#RIPNSFW""
    ),
  "",\s*"", "" "")
)"),"TheDanDangler https://lulustream.com/d/it9dce1iw5xf https://doodstream.com/d/fdhf741s03lz/82758099 https://streamtape.com/v/WP6oPLKLe0Hb323/82758099 JackandJill #blonde #threesome #bigtits #bigass #RIPNSFW")</f>
        <v>TheDanDangler https://lulustream.com/d/it9dce1iw5xf https://doodstream.com/d/fdhf741s03lz/82758099 https://streamtape.com/v/WP6oPLKLe0Hb323/82758099 JackandJill #blonde #threesome #bigtits #bigass #RIPNSFW</v>
      </c>
      <c r="N1601" s="2" t="s">
        <v>8000</v>
      </c>
      <c r="O1601" s="30" t="s">
        <v>8001</v>
      </c>
      <c r="P1601" s="26"/>
      <c r="R1601" s="23"/>
      <c r="T1601" s="6"/>
      <c r="U1601" s="7"/>
    </row>
    <row r="1602" spans="1:27" ht="12.75">
      <c r="A1602" s="6" t="s">
        <v>8002</v>
      </c>
      <c r="B1602" s="6" t="s">
        <v>14</v>
      </c>
      <c r="C1602" s="7" t="str">
        <f t="shared" si="24"/>
        <v xml:space="preserve">TheDanDangler </v>
      </c>
      <c r="D1602" s="24" t="s">
        <v>8003</v>
      </c>
      <c r="E1602" s="25" t="s">
        <v>8004</v>
      </c>
      <c r="F1602" s="9" t="str">
        <f ca="1">IFERROR(__xludf.DUMMYFUNCTION("""https://streamtape.com/v/""&amp;
REGEXEXTRACT(O1602,""/thumb/([^/]+)/"")&amp;
""/""&amp;K1602"),"https://streamtape.com/v/4X1db94JjOiKM64/99244604")</f>
        <v>https://streamtape.com/v/4X1db94JjOiKM64/99244604</v>
      </c>
      <c r="G1602" s="10" t="e">
        <f t="shared" ca="1" si="25"/>
        <v>#NAME?</v>
      </c>
      <c r="H1602" s="11" t="str">
        <f ca="1">IFERROR(__xludf.DUMMYFUNCTION("IFERROR(SUBSTITUTE(SUBSTITUTE(REGEXEXTRACT(A1602, ""[^-]+- [^-]+- [^-]+ - (.+?)\.jpg""), "".jpg"", """"), ""-"", "", ""), """")"),"")</f>
        <v/>
      </c>
      <c r="I1602" s="6"/>
      <c r="J1602" s="7" t="str">
        <f t="shared" ca="1" si="26"/>
        <v>(2026)</v>
      </c>
      <c r="K1602" s="7" t="str">
        <f t="shared" si="27"/>
        <v>99244604</v>
      </c>
      <c r="L1602" s="12" t="s">
        <v>1462</v>
      </c>
      <c r="M1602" s="13" t="str">
        <f ca="1">IFERROR(__xludf.DUMMYFUNCTION("TRIM(
  REGEXREPLACE(
    TEXTJOIN("" "",
      TRUE,
      B1602,
      C1602,
      embaralharLinks(E1602,F1602,G1602),
      H1602,
      """",
      J1602,
      N1602,
      ""#RIPNSFW""
    ),
  "",\s*"", "" "")
)"),"{New} TheDanDangler https://lulustream.com/d/c09qgpzah36e https://doodstream.com/d/2te074i1z541/99244604 https://streamtape.com/v/4X1db94JjOiKM64/99244604 (2026) #milf #bigtits #bigass #blowjob #RIPNSFW")</f>
        <v>{New} TheDanDangler https://lulustream.com/d/c09qgpzah36e https://doodstream.com/d/2te074i1z541/99244604 https://streamtape.com/v/4X1db94JjOiKM64/99244604 (2026) #milf #bigtits #bigass #blowjob #RIPNSFW</v>
      </c>
      <c r="N1602" s="31" t="s">
        <v>1462</v>
      </c>
      <c r="O1602" s="32" t="s">
        <v>8005</v>
      </c>
      <c r="P1602" s="26"/>
      <c r="Q1602" s="6"/>
      <c r="R1602" s="11"/>
      <c r="S1602" s="6"/>
      <c r="T1602" s="6"/>
      <c r="U1602" s="6"/>
      <c r="V1602" s="6"/>
      <c r="W1602" s="6"/>
      <c r="X1602" s="6"/>
      <c r="Y1602" s="6"/>
      <c r="Z1602" s="6"/>
      <c r="AA1602" s="6"/>
    </row>
    <row r="1603" spans="1:27" ht="12.75">
      <c r="A1603" s="6" t="s">
        <v>8006</v>
      </c>
      <c r="B1603" s="6" t="s">
        <v>14</v>
      </c>
      <c r="C1603" s="7" t="str">
        <f t="shared" si="24"/>
        <v xml:space="preserve">TheDanDangler </v>
      </c>
      <c r="D1603" s="6" t="s">
        <v>8007</v>
      </c>
      <c r="E1603" s="8" t="s">
        <v>8008</v>
      </c>
      <c r="F1603" s="9" t="str">
        <f ca="1">IFERROR(__xludf.DUMMYFUNCTION("""https://streamtape.com/v/""&amp;
REGEXEXTRACT(O1603,""/thumb/([^/]+)/"")&amp;
""/""&amp;K1603"),"https://streamtape.com/v/ZaLkJrbgwRIB78/99921056")</f>
        <v>https://streamtape.com/v/ZaLkJrbgwRIB78/99921056</v>
      </c>
      <c r="G1603" s="10" t="e">
        <f t="shared" ca="1" si="25"/>
        <v>#NAME?</v>
      </c>
      <c r="H1603" s="11" t="str">
        <f ca="1">IFERROR(__xludf.DUMMYFUNCTION("IFERROR(SUBSTITUTE(SUBSTITUTE(REGEXEXTRACT(A1603, ""[^-]+- [^-]+- [^-]+ - (.+?)\.jpg""), "".jpg"", """"), ""-"", "", ""), """")"),"")</f>
        <v/>
      </c>
      <c r="I1603" s="6"/>
      <c r="J1603" s="7" t="str">
        <f t="shared" ca="1" si="26"/>
        <v>(2026)</v>
      </c>
      <c r="K1603" s="7" t="str">
        <f t="shared" si="27"/>
        <v>99921056</v>
      </c>
      <c r="L1603" s="12" t="s">
        <v>7389</v>
      </c>
      <c r="M1603" s="13" t="str">
        <f ca="1">IFERROR(__xludf.DUMMYFUNCTION("TRIM(
  REGEXREPLACE(
    TEXTJOIN("" "",
      TRUE,
      B1603,
      C1603,
      embaralharLinks(E1603,F1603,G1603),
      H1603,
      """",
      J1603,
      N1603,
      ""#RIPNSFW""
    ),
  "",\s*"", "" "")
)"),"{New} TheDanDangler https://lulustream.com/d/j53tzbh8ea02 https://doodstream.com/d/bwzlazo7fpti/99921056 https://streamtape.com/v/ZaLkJrbgwRIB78/99921056 (2026) #MILF #BigTits #Hardcore #Black #Interracial #Bigass #Porn #RIPNSFW")</f>
        <v>{New} TheDanDangler https://lulustream.com/d/j53tzbh8ea02 https://doodstream.com/d/bwzlazo7fpti/99921056 https://streamtape.com/v/ZaLkJrbgwRIB78/99921056 (2026) #MILF #BigTits #Hardcore #Black #Interracial #Bigass #Porn #RIPNSFW</v>
      </c>
      <c r="N1603" s="14" t="s">
        <v>8009</v>
      </c>
      <c r="O1603" s="15" t="s">
        <v>8010</v>
      </c>
      <c r="P1603" s="14"/>
      <c r="Q1603" s="6"/>
      <c r="R1603" s="11"/>
      <c r="S1603" s="6"/>
      <c r="T1603" s="6"/>
      <c r="U1603" s="6"/>
      <c r="V1603" s="6"/>
      <c r="W1603" s="6"/>
      <c r="X1603" s="6"/>
      <c r="Y1603" s="6"/>
      <c r="Z1603" s="6"/>
      <c r="AA1603" s="6"/>
    </row>
    <row r="1604" spans="1:27" ht="12.75">
      <c r="A1604" s="12" t="s">
        <v>8011</v>
      </c>
      <c r="B1604" s="6" t="s">
        <v>14</v>
      </c>
      <c r="C1604" s="7" t="str">
        <f t="shared" si="24"/>
        <v xml:space="preserve">Theodora </v>
      </c>
      <c r="D1604" s="27" t="s">
        <v>8012</v>
      </c>
      <c r="E1604" s="28" t="s">
        <v>8013</v>
      </c>
      <c r="F1604" s="9" t="str">
        <f ca="1">IFERROR(__xludf.DUMMYFUNCTION("""https://streamtape.com/v/""&amp;
REGEXEXTRACT(O1604,""/thumb/([^/]+)/"")&amp;
""/""&amp;K1604"),"https://streamtape.com/v/jqxJVJkveYILzg/61002102")</f>
        <v>https://streamtape.com/v/jqxJVJkveYILzg/61002102</v>
      </c>
      <c r="G1604" s="10" t="e">
        <f t="shared" ca="1" si="25"/>
        <v>#NAME?</v>
      </c>
      <c r="H1604" s="11" t="str">
        <f ca="1">IFERROR(__xludf.DUMMYFUNCTION("IFERROR(SUBSTITUTE(SUBSTITUTE(REGEXEXTRACT(A1604, ""[^-]+- [^-]+- [^-]+ - (.+?)\.jpg""), "".jpg"", """"), ""-"", "", ""), """")"),"")</f>
        <v/>
      </c>
      <c r="I1604" s="6"/>
      <c r="J1604" s="7" t="str">
        <f t="shared" ca="1" si="26"/>
        <v>(2026)</v>
      </c>
      <c r="K1604" s="7" t="str">
        <f t="shared" si="27"/>
        <v>61002102</v>
      </c>
      <c r="L1604" s="12" t="s">
        <v>8014</v>
      </c>
      <c r="M1604" s="13" t="str">
        <f ca="1">IFERROR(__xludf.DUMMYFUNCTION("TRIM(
  REGEXREPLACE(
    TEXTJOIN("" "",
      TRUE,
      B1604,
      C1604,
      embaralharLinks(E1604,F1604,G1604),
      H1604,
      """",
      J1604,
      N1604,
      ""#RIPNSFW""
    ),
  "",\s*"", "" "")
)"),"{New} Theodora https://doodstream.com/d/05xa23ne8w8z/61002102 https://lulustream.com/d/cmkywxrfrr6l https://streamtape.com/v/jqxJVJkveYILzg/61002102 (2026) #BigTits #Casting #Creampie #Hardcore #RIPNSFW")</f>
        <v>{New} Theodora https://doodstream.com/d/05xa23ne8w8z/61002102 https://lulustream.com/d/cmkywxrfrr6l https://streamtape.com/v/jqxJVJkveYILzg/61002102 (2026) #BigTits #Casting #Creampie #Hardcore #RIPNSFW</v>
      </c>
      <c r="N1604" s="2" t="s">
        <v>8015</v>
      </c>
      <c r="O1604" s="30" t="s">
        <v>8016</v>
      </c>
      <c r="P1604" s="26"/>
      <c r="R1604" s="23"/>
    </row>
    <row r="1605" spans="1:27" ht="12.75">
      <c r="A1605" s="16" t="s">
        <v>8017</v>
      </c>
      <c r="B1605" s="11" t="s">
        <v>14</v>
      </c>
      <c r="C1605" s="13" t="str">
        <f t="shared" si="24"/>
        <v xml:space="preserve">Tru Kait </v>
      </c>
      <c r="D1605" s="17" t="s">
        <v>8018</v>
      </c>
      <c r="E1605" s="18" t="s">
        <v>8019</v>
      </c>
      <c r="F1605" s="9" t="str">
        <f ca="1">IFERROR(__xludf.DUMMYFUNCTION("""https://streamtape.com/v/""&amp;
REGEXEXTRACT(O1605,""/thumb/([^/]+)/"")&amp;
""/""&amp;K1605"),"https://streamtape.com/v/oQAlQwW8OwHOp8/13048826")</f>
        <v>https://streamtape.com/v/oQAlQwW8OwHOp8/13048826</v>
      </c>
      <c r="G1605" s="10" t="e">
        <f t="shared" ca="1" si="25"/>
        <v>#NAME?</v>
      </c>
      <c r="H1605" s="11" t="str">
        <f ca="1">IFERROR(__xludf.DUMMYFUNCTION("IFERROR(SUBSTITUTE(SUBSTITUTE(REGEXEXTRACT(A1605, ""[^-]+- [^-]+- [^-]+ - (.+?)\.jpg""), "".jpg"", """"), ""-"", "", ""), """")"),"")</f>
        <v/>
      </c>
      <c r="I1605" s="11"/>
      <c r="J1605" s="7" t="str">
        <f t="shared" ca="1" si="26"/>
        <v>(2026)</v>
      </c>
      <c r="K1605" s="13" t="str">
        <f t="shared" si="27"/>
        <v>13048826</v>
      </c>
      <c r="L1605" s="12" t="s">
        <v>8020</v>
      </c>
      <c r="M1605" s="13" t="str">
        <f ca="1">IFERROR(__xludf.DUMMYFUNCTION("TRIM(
  REGEXREPLACE(
    TEXTJOIN("" "",
      TRUE,
      B1605,
      C1605,
      embaralharLinks(E1605,F1605,G1605),
      H1605,
      """",
      J1605,
      N1605,
      ""#RIPNSFW""
    ),
  "",\s*"", "" "")
)"),"{New} Tru Kait https://streamtape.com/v/oQAlQwW8OwHOp8/13048826 https://doodstream.com/d/xtewm7pxkfj8/13048826 https://lulustream.com/d/rn83st7vxf0t (2026) #bigtits #bigass #blowjob #brunette #RIPNSFW")</f>
        <v>{New} Tru Kait https://streamtape.com/v/oQAlQwW8OwHOp8/13048826 https://doodstream.com/d/xtewm7pxkfj8/13048826 https://lulustream.com/d/rn83st7vxf0t (2026) #bigtits #bigass #blowjob #brunette #RIPNSFW</v>
      </c>
      <c r="N1605" s="20" t="s">
        <v>8020</v>
      </c>
      <c r="O1605" s="30" t="s">
        <v>8021</v>
      </c>
      <c r="P1605" s="26"/>
      <c r="R1605" s="23"/>
      <c r="T1605" s="6"/>
      <c r="U1605" s="7"/>
    </row>
    <row r="1606" spans="1:27" ht="12.75">
      <c r="A1606" s="6" t="s">
        <v>8022</v>
      </c>
      <c r="B1606" s="6" t="s">
        <v>14</v>
      </c>
      <c r="C1606" s="7" t="str">
        <f t="shared" si="24"/>
        <v xml:space="preserve">Tru Kait </v>
      </c>
      <c r="D1606" s="6" t="s">
        <v>8023</v>
      </c>
      <c r="E1606" s="8" t="s">
        <v>8024</v>
      </c>
      <c r="F1606" s="9" t="str">
        <f ca="1">IFERROR(__xludf.DUMMYFUNCTION("""https://streamtape.com/v/""&amp;
REGEXEXTRACT(O1606,""/thumb/([^/]+)/"")&amp;
""/""&amp;K1606"),"https://streamtape.com/v/41x0PBPR3Qc2eg/27617508")</f>
        <v>https://streamtape.com/v/41x0PBPR3Qc2eg/27617508</v>
      </c>
      <c r="G1606" s="10" t="e">
        <f t="shared" ca="1" si="25"/>
        <v>#NAME?</v>
      </c>
      <c r="H1606" s="11" t="str">
        <f ca="1">IFERROR(__xludf.DUMMYFUNCTION("IFERROR(SUBSTITUTE(SUBSTITUTE(REGEXEXTRACT(A1606, ""[^-]+- [^-]+- [^-]+ - (.+?)\.jpg""), "".jpg"", """"), ""-"", "", ""), """")"),"")</f>
        <v/>
      </c>
      <c r="I1606" s="6"/>
      <c r="J1606" s="7" t="str">
        <f t="shared" ca="1" si="26"/>
        <v>(2026)</v>
      </c>
      <c r="K1606" s="7" t="str">
        <f t="shared" si="27"/>
        <v>27617508</v>
      </c>
      <c r="L1606" s="12" t="s">
        <v>899</v>
      </c>
      <c r="M1606" s="13" t="str">
        <f ca="1">IFERROR(__xludf.DUMMYFUNCTION("TRIM(
  REGEXREPLACE(
    TEXTJOIN("" "",
      TRUE,
      B1606,
      C1606,
      embaralharLinks(E1606,F1606,G1606),
      H1606,
      """",
      J1606,
      N1606,
      ""#RIPNSFW""
    ),
  "",\s*"", "" "")
)"),"{New} Tru Kait https://lulustream.com/d/ue7nib90071z https://doodstream.com/d/zvz8rpvzxls4/27617508 https://streamtape.com/v/41x0PBPR3Qc2eg/27617508 (2026) #MILF #BigTits #Hardcore #Bigass #Blowjob #Amateur #Facial #RIPNSFW")</f>
        <v>{New} Tru Kait https://lulustream.com/d/ue7nib90071z https://doodstream.com/d/zvz8rpvzxls4/27617508 https://streamtape.com/v/41x0PBPR3Qc2eg/27617508 (2026) #MILF #BigTits #Hardcore #Bigass #Blowjob #Amateur #Facial #RIPNSFW</v>
      </c>
      <c r="N1606" s="14" t="s">
        <v>8025</v>
      </c>
      <c r="O1606" s="15" t="s">
        <v>8026</v>
      </c>
      <c r="P1606" s="14"/>
      <c r="Q1606" s="6"/>
      <c r="R1606" s="11"/>
      <c r="S1606" s="6"/>
      <c r="T1606" s="6"/>
      <c r="U1606" s="6"/>
      <c r="V1606" s="6"/>
      <c r="W1606" s="6"/>
      <c r="X1606" s="6"/>
      <c r="Y1606" s="6"/>
      <c r="Z1606" s="6"/>
      <c r="AA1606" s="6"/>
    </row>
    <row r="1607" spans="1:27" ht="12.75">
      <c r="A1607" s="6" t="s">
        <v>8027</v>
      </c>
      <c r="B1607" s="6" t="s">
        <v>14</v>
      </c>
      <c r="C1607" s="7" t="str">
        <f t="shared" si="24"/>
        <v xml:space="preserve">Tru Kait </v>
      </c>
      <c r="D1607" s="6" t="s">
        <v>8028</v>
      </c>
      <c r="E1607" s="8" t="s">
        <v>8029</v>
      </c>
      <c r="F1607" s="9" t="str">
        <f ca="1">IFERROR(__xludf.DUMMYFUNCTION("""https://streamtape.com/v/""&amp;
REGEXEXTRACT(O1607,""/thumb/([^/]+)/"")&amp;
""/""&amp;K1607"),"https://streamtape.com/v/mPQoG9YlyqcbqWg/35274187")</f>
        <v>https://streamtape.com/v/mPQoG9YlyqcbqWg/35274187</v>
      </c>
      <c r="G1607" s="10" t="e">
        <f t="shared" ca="1" si="25"/>
        <v>#NAME?</v>
      </c>
      <c r="H1607" s="11" t="str">
        <f ca="1">IFERROR(__xludf.DUMMYFUNCTION("IFERROR(SUBSTITUTE(SUBSTITUTE(REGEXEXTRACT(A1607, ""[^-]+- [^-]+- [^-]+ - (.+?)\.jpg""), "".jpg"", """"), ""-"", "", ""), """")"),"")</f>
        <v/>
      </c>
      <c r="I1607" s="6"/>
      <c r="J1607" s="7" t="str">
        <f t="shared" ca="1" si="26"/>
        <v>(2026)</v>
      </c>
      <c r="K1607" s="7" t="str">
        <f t="shared" si="27"/>
        <v>35274187</v>
      </c>
      <c r="L1607" s="12" t="s">
        <v>8030</v>
      </c>
      <c r="M1607" s="13" t="str">
        <f ca="1">IFERROR(__xludf.DUMMYFUNCTION("TRIM(
  REGEXREPLACE(
    TEXTJOIN("" "",
      TRUE,
      B1607,
      C1607,
      embaralharLinks(E1607,F1607,G1607),
      H1607,
      """",
      J1607,
      N1607,
      ""#RIPNSFW""
    ),
  "",\s*"", "" "")
)"),"{New} Tru Kait https://doodstream.com/d/9n6smx2ag0et/35274187 https://lulustream.com/d/ki084q25kbej https://streamtape.com/v/mPQoG9YlyqcbqWg/35274187 (2026) #MILF #BigTits #Hardcore #Bigass #Latina #RIPNSFW")</f>
        <v>{New} Tru Kait https://doodstream.com/d/9n6smx2ag0et/35274187 https://lulustream.com/d/ki084q25kbej https://streamtape.com/v/mPQoG9YlyqcbqWg/35274187 (2026) #MILF #BigTits #Hardcore #Bigass #Latina #RIPNSFW</v>
      </c>
      <c r="N1607" s="14" t="s">
        <v>4195</v>
      </c>
      <c r="O1607" s="15" t="s">
        <v>8031</v>
      </c>
      <c r="P1607" s="14"/>
      <c r="Q1607" s="6"/>
      <c r="R1607" s="11"/>
      <c r="S1607" s="6"/>
      <c r="T1607" s="6"/>
      <c r="U1607" s="6"/>
      <c r="V1607" s="6"/>
      <c r="W1607" s="6"/>
      <c r="X1607" s="6"/>
      <c r="Y1607" s="6"/>
      <c r="Z1607" s="6"/>
      <c r="AA1607" s="6"/>
    </row>
    <row r="1608" spans="1:27" ht="12.75">
      <c r="A1608" s="12" t="s">
        <v>8032</v>
      </c>
      <c r="B1608" s="6" t="s">
        <v>14</v>
      </c>
      <c r="C1608" s="7" t="str">
        <f t="shared" si="24"/>
        <v xml:space="preserve">Tru Kait </v>
      </c>
      <c r="D1608" s="27" t="s">
        <v>8033</v>
      </c>
      <c r="E1608" s="28" t="s">
        <v>8034</v>
      </c>
      <c r="F1608" s="9" t="str">
        <f ca="1">IFERROR(__xludf.DUMMYFUNCTION("""https://streamtape.com/v/""&amp;
REGEXEXTRACT(O1608,""/thumb/([^/]+)/"")&amp;
""/""&amp;K1608"),"https://streamtape.com/v/wV746XAKqbIJM9L/60340999")</f>
        <v>https://streamtape.com/v/wV746XAKqbIJM9L/60340999</v>
      </c>
      <c r="G1608" s="10" t="e">
        <f t="shared" ca="1" si="25"/>
        <v>#NAME?</v>
      </c>
      <c r="H1608" s="11" t="str">
        <f ca="1">IFERROR(__xludf.DUMMYFUNCTION("IFERROR(SUBSTITUTE(SUBSTITUTE(REGEXEXTRACT(A1608, ""[^-]+- [^-]+- [^-]+ - (.+?)\.jpg""), "".jpg"", """"), ""-"", "", ""), """")"),"Elle Brooke")</f>
        <v>Elle Brooke</v>
      </c>
      <c r="I1608" s="6"/>
      <c r="J1608" s="7" t="str">
        <f t="shared" ca="1" si="26"/>
        <v>(2026)</v>
      </c>
      <c r="K1608" s="7" t="str">
        <f t="shared" si="27"/>
        <v>60340999</v>
      </c>
      <c r="L1608" s="12" t="s">
        <v>47</v>
      </c>
      <c r="M1608" s="13" t="str">
        <f ca="1">IFERROR(__xludf.DUMMYFUNCTION("TRIM(
  REGEXREPLACE(
    TEXTJOIN("" "",
      TRUE,
      B1608,
      C1608,
      embaralharLinks(E1608,F1608,G1608),
      H1608,
      """",
      J1608,
      N1608,
      ""#RIPNSFW""
    ),
  "",\s*"", "" "")
)"),"{New} Tru Kait https://lulustream.com/d/i6nr7x4814p9 https://streamtape.com/v/wV746XAKqbIJM9L/60340999 https://doodstream.com/d/eiv13rnbx71g/60340999 Elle Brooke (2026) #MILF #BigTits #Hardcore #Threesome #RIPNSFW")</f>
        <v>{New} Tru Kait https://lulustream.com/d/i6nr7x4814p9 https://streamtape.com/v/wV746XAKqbIJM9L/60340999 https://doodstream.com/d/eiv13rnbx71g/60340999 Elle Brooke (2026) #MILF #BigTits #Hardcore #Threesome #RIPNSFW</v>
      </c>
      <c r="N1608" s="2" t="s">
        <v>48</v>
      </c>
      <c r="O1608" s="30" t="s">
        <v>8035</v>
      </c>
      <c r="P1608" s="26"/>
      <c r="R1608" s="23"/>
    </row>
    <row r="1609" spans="1:27" ht="12.75">
      <c r="A1609" s="6" t="s">
        <v>8036</v>
      </c>
      <c r="B1609" s="6" t="s">
        <v>14</v>
      </c>
      <c r="C1609" s="7" t="str">
        <f t="shared" si="24"/>
        <v xml:space="preserve">Tru Kait </v>
      </c>
      <c r="D1609" s="24" t="s">
        <v>8037</v>
      </c>
      <c r="E1609" s="25" t="s">
        <v>8038</v>
      </c>
      <c r="F1609" s="9" t="str">
        <f ca="1">IFERROR(__xludf.DUMMYFUNCTION("""https://streamtape.com/v/""&amp;
REGEXEXTRACT(O1609,""/thumb/([^/]+)/"")&amp;
""/""&amp;K1609"),"https://streamtape.com/v/0RjA88PmvATm7O/64359273")</f>
        <v>https://streamtape.com/v/0RjA88PmvATm7O/64359273</v>
      </c>
      <c r="G1609" s="10" t="e">
        <f t="shared" ca="1" si="25"/>
        <v>#NAME?</v>
      </c>
      <c r="H1609" s="11" t="str">
        <f ca="1">IFERROR(__xludf.DUMMYFUNCTION("IFERROR(SUBSTITUTE(SUBSTITUTE(REGEXEXTRACT(A1609, ""[^-]+- [^-]+- [^-]+ - (.+?)\.jpg""), "".jpg"", """"), ""-"", "", ""), """")"),"")</f>
        <v/>
      </c>
      <c r="I1609" s="6"/>
      <c r="J1609" s="7" t="str">
        <f t="shared" ca="1" si="26"/>
        <v>(2026)</v>
      </c>
      <c r="K1609" s="7" t="str">
        <f t="shared" si="27"/>
        <v>64359273</v>
      </c>
      <c r="L1609" s="12" t="s">
        <v>8039</v>
      </c>
      <c r="M1609" s="13" t="str">
        <f ca="1">IFERROR(__xludf.DUMMYFUNCTION("TRIM(
  REGEXREPLACE(
    TEXTJOIN("" "",
      TRUE,
      B1609,
      C1609,
      embaralharLinks(E1609,F1609,G1609),
      H1609,
      """",
      J1609,
      N1609,
      ""#RIPNSFW""
    ),
  "",\s*"", "" "")
)"),"{New} Tru Kait https://doodstream.com/d/9yjdadw5v99b/64359273 https://lulustream.com/d/ki0yx2n5sncp https://streamtape.com/v/0RjA88PmvATm7O/64359273 (2026) #blowjob #milf #bigtits #pov #RIPNSFW")</f>
        <v>{New} Tru Kait https://doodstream.com/d/9yjdadw5v99b/64359273 https://lulustream.com/d/ki0yx2n5sncp https://streamtape.com/v/0RjA88PmvATm7O/64359273 (2026) #blowjob #milf #bigtits #pov #RIPNSFW</v>
      </c>
      <c r="N1609" s="31" t="s">
        <v>8039</v>
      </c>
      <c r="O1609" s="32" t="s">
        <v>8040</v>
      </c>
      <c r="P1609" s="26"/>
      <c r="Q1609" s="6"/>
      <c r="R1609" s="11"/>
      <c r="S1609" s="6"/>
      <c r="T1609" s="6"/>
      <c r="U1609" s="6"/>
      <c r="V1609" s="6"/>
      <c r="W1609" s="6"/>
      <c r="X1609" s="6"/>
      <c r="Y1609" s="6"/>
      <c r="Z1609" s="6"/>
      <c r="AA1609" s="6"/>
    </row>
    <row r="1610" spans="1:27" ht="12.75">
      <c r="A1610" s="12" t="s">
        <v>8041</v>
      </c>
      <c r="B1610" s="6" t="s">
        <v>14</v>
      </c>
      <c r="C1610" s="7" t="str">
        <f t="shared" si="24"/>
        <v xml:space="preserve">Tru Kait </v>
      </c>
      <c r="D1610" s="24" t="s">
        <v>8042</v>
      </c>
      <c r="E1610" s="25" t="s">
        <v>8043</v>
      </c>
      <c r="F1610" s="9" t="str">
        <f ca="1">IFERROR(__xludf.DUMMYFUNCTION("""https://streamtape.com/v/""&amp;
REGEXEXTRACT(O1610,""/thumb/([^/]+)/"")&amp;
""/""&amp;K1610"),"https://streamtape.com/v/JpqLoeq94AFj3DZ/69147960")</f>
        <v>https://streamtape.com/v/JpqLoeq94AFj3DZ/69147960</v>
      </c>
      <c r="G1610" s="10" t="e">
        <f t="shared" ca="1" si="25"/>
        <v>#NAME?</v>
      </c>
      <c r="H1610" s="11" t="str">
        <f ca="1">IFERROR(__xludf.DUMMYFUNCTION("IFERROR(SUBSTITUTE(SUBSTITUTE(REGEXEXTRACT(A1610, ""[^-]+- [^-]+- [^-]+ - (.+?)\.jpg""), "".jpg"", """"), ""-"", "", ""), """")"),"")</f>
        <v/>
      </c>
      <c r="I1610" s="6"/>
      <c r="J1610" s="7" t="str">
        <f t="shared" ca="1" si="26"/>
        <v>(2026)</v>
      </c>
      <c r="K1610" s="7" t="str">
        <f t="shared" si="27"/>
        <v>69147960</v>
      </c>
      <c r="L1610" s="12" t="s">
        <v>1711</v>
      </c>
      <c r="M1610" s="13" t="str">
        <f ca="1">IFERROR(__xludf.DUMMYFUNCTION("TRIM(
  REGEXREPLACE(
    TEXTJOIN("" "",
      TRUE,
      B1610,
      C1610,
      embaralharLinks(E1610,F1610,G1610),
      H1610,
      """",
      J1610,
      N1610,
      ""#RIPNSFW""
    ),
  "",\s*"", "" "")
)"),"{New} Tru Kait https://streamtape.com/v/JpqLoeq94AFj3DZ/69147960 https://lulustream.com/d/rv8ub73pxcgx https://doodstream.com/d/om1cjy4i3fve/69147960 (2026) #milf #bigass #bigtits #blowjob #RIPNSFW")</f>
        <v>{New} Tru Kait https://streamtape.com/v/JpqLoeq94AFj3DZ/69147960 https://lulustream.com/d/rv8ub73pxcgx https://doodstream.com/d/om1cjy4i3fve/69147960 (2026) #milf #bigass #bigtits #blowjob #RIPNSFW</v>
      </c>
      <c r="N1610" s="2" t="s">
        <v>1711</v>
      </c>
      <c r="O1610" s="30" t="s">
        <v>8044</v>
      </c>
      <c r="P1610" s="26"/>
      <c r="R1610" s="23"/>
      <c r="T1610" s="6"/>
      <c r="U1610" s="7"/>
    </row>
    <row r="1611" spans="1:27" ht="12.75">
      <c r="A1611" s="12" t="s">
        <v>8045</v>
      </c>
      <c r="B1611" s="6" t="s">
        <v>14</v>
      </c>
      <c r="C1611" s="7" t="str">
        <f t="shared" si="24"/>
        <v xml:space="preserve">Tru Kait </v>
      </c>
      <c r="D1611" s="24" t="s">
        <v>8046</v>
      </c>
      <c r="E1611" s="25" t="s">
        <v>8047</v>
      </c>
      <c r="F1611" s="9" t="str">
        <f ca="1">IFERROR(__xludf.DUMMYFUNCTION("""https://streamtape.com/v/""&amp;
REGEXEXTRACT(O1611,""/thumb/([^/]+)/"")&amp;
""/""&amp;K1611"),"https://streamtape.com/v/1PRYJ047XoFeadw/96724229")</f>
        <v>https://streamtape.com/v/1PRYJ047XoFeadw/96724229</v>
      </c>
      <c r="G1611" s="10" t="e">
        <f t="shared" ca="1" si="25"/>
        <v>#NAME?</v>
      </c>
      <c r="H1611" s="11" t="str">
        <f ca="1">IFERROR(__xludf.DUMMYFUNCTION("IFERROR(SUBSTITUTE(SUBSTITUTE(REGEXEXTRACT(A1611, ""[^-]+- [^-]+- [^-]+ - (.+?)\.jpg""), "".jpg"", """"), ""-"", "", ""), """")"),"Hayley Davies")</f>
        <v>Hayley Davies</v>
      </c>
      <c r="I1611" s="6"/>
      <c r="J1611" s="7" t="str">
        <f t="shared" ca="1" si="26"/>
        <v>(2026)</v>
      </c>
      <c r="K1611" s="7" t="str">
        <f t="shared" si="27"/>
        <v>96724229</v>
      </c>
      <c r="L1611" s="12" t="s">
        <v>2909</v>
      </c>
      <c r="M1611" s="13" t="str">
        <f ca="1">IFERROR(__xludf.DUMMYFUNCTION("TRIM(
  REGEXREPLACE(
    TEXTJOIN("" "",
      TRUE,
      B1611,
      C1611,
      embaralharLinks(E1611,F1611,G1611),
      H1611,
      """",
      J1611,
      N1611,
      ""#RIPNSFW""
    ),
  "",\s*"", "" "")
)"),"{New} Tru Kait https://doodstream.com/d/0l1k5givv8db/96724229 https://streamtape.com/v/1PRYJ047XoFeadw/96724229 https://lulustream.com/d/vxcanc23t9gb Hayley Davies (2026) #milf #threesome #bigtits #bigass #RIPNSFW")</f>
        <v>{New} Tru Kait https://doodstream.com/d/0l1k5givv8db/96724229 https://streamtape.com/v/1PRYJ047XoFeadw/96724229 https://lulustream.com/d/vxcanc23t9gb Hayley Davies (2026) #milf #threesome #bigtits #bigass #RIPNSFW</v>
      </c>
      <c r="N1611" s="2" t="s">
        <v>2909</v>
      </c>
      <c r="O1611" s="21" t="s">
        <v>8048</v>
      </c>
      <c r="P1611" s="26"/>
      <c r="R1611" s="23"/>
    </row>
    <row r="1612" spans="1:27" ht="12.75">
      <c r="A1612" s="12" t="s">
        <v>8049</v>
      </c>
      <c r="B1612" s="6" t="s">
        <v>14</v>
      </c>
      <c r="C1612" s="7" t="str">
        <f t="shared" si="24"/>
        <v xml:space="preserve">Valentina Nappi </v>
      </c>
      <c r="D1612" s="24" t="s">
        <v>8050</v>
      </c>
      <c r="E1612" s="25" t="s">
        <v>8051</v>
      </c>
      <c r="F1612" s="9" t="str">
        <f ca="1">IFERROR(__xludf.DUMMYFUNCTION("""https://streamtape.com/v/""&amp;
REGEXEXTRACT(O1612,""/thumb/([^/]+)/"")&amp;
""/""&amp;K1612"),"https://streamtape.com/v/QJ9ypmv7b8C0DAQ/11582220")</f>
        <v>https://streamtape.com/v/QJ9ypmv7b8C0DAQ/11582220</v>
      </c>
      <c r="G1612" s="10" t="e">
        <f t="shared" ca="1" si="25"/>
        <v>#NAME?</v>
      </c>
      <c r="H1612" s="11" t="str">
        <f ca="1">IFERROR(__xludf.DUMMYFUNCTION("IFERROR(SUBSTITUTE(SUBSTITUTE(REGEXEXTRACT(A1612, ""[^-]+- [^-]+- [^-]+ - (.+?)\.jpg""), "".jpg"", """"), ""-"", "", ""), """")"),"")</f>
        <v/>
      </c>
      <c r="I1612" s="6"/>
      <c r="J1612" s="7" t="str">
        <f t="shared" ca="1" si="26"/>
        <v>(2026)</v>
      </c>
      <c r="K1612" s="7" t="str">
        <f t="shared" si="27"/>
        <v>11582220</v>
      </c>
      <c r="L1612" s="12" t="s">
        <v>8052</v>
      </c>
      <c r="M1612" s="13" t="str">
        <f ca="1">IFERROR(__xludf.DUMMYFUNCTION("TRIM(
  REGEXREPLACE(
    TEXTJOIN("" "",
      TRUE,
      B1612,
      C1612,
      embaralharLinks(E1612,F1612,G1612),
      H1612,
      """",
      J1612,
      N1612,
      ""#RIPNSFW""
    ),
  "",\s*"", "" "")
)"),"{New} Valentina Nappi https://doodstream.com/d/tb3curglycv9/11582220 https://lulustream.com/d/fxu0n1edhpou https://streamtape.com/v/QJ9ypmv7b8C0DAQ/11582220 (2026) #creampie #milf #blowjob #bigass #RIPNSFW")</f>
        <v>{New} Valentina Nappi https://doodstream.com/d/tb3curglycv9/11582220 https://lulustream.com/d/fxu0n1edhpou https://streamtape.com/v/QJ9ypmv7b8C0DAQ/11582220 (2026) #creampie #milf #blowjob #bigass #RIPNSFW</v>
      </c>
      <c r="N1612" s="2" t="s">
        <v>8052</v>
      </c>
      <c r="O1612" s="30" t="s">
        <v>8053</v>
      </c>
      <c r="P1612" s="26"/>
      <c r="R1612" s="23"/>
      <c r="T1612" s="6"/>
      <c r="U1612" s="7"/>
    </row>
    <row r="1613" spans="1:27" ht="12.75">
      <c r="A1613" s="12" t="s">
        <v>8054</v>
      </c>
      <c r="B1613" s="6" t="s">
        <v>14</v>
      </c>
      <c r="C1613" s="7" t="str">
        <f t="shared" si="24"/>
        <v xml:space="preserve">Valentina Nappi </v>
      </c>
      <c r="D1613" s="24" t="s">
        <v>8055</v>
      </c>
      <c r="E1613" s="25" t="s">
        <v>8056</v>
      </c>
      <c r="F1613" s="9" t="str">
        <f ca="1">IFERROR(__xludf.DUMMYFUNCTION("""https://streamtape.com/v/""&amp;
REGEXEXTRACT(O1613,""/thumb/([^/]+)/"")&amp;
""/""&amp;K1613"),"https://streamtape.com/v/9WOV0LQRPeIaryV/18075203")</f>
        <v>https://streamtape.com/v/9WOV0LQRPeIaryV/18075203</v>
      </c>
      <c r="G1613" s="10" t="e">
        <f t="shared" ca="1" si="25"/>
        <v>#NAME?</v>
      </c>
      <c r="H1613" s="11" t="str">
        <f ca="1">IFERROR(__xludf.DUMMYFUNCTION("IFERROR(SUBSTITUTE(SUBSTITUTE(REGEXEXTRACT(A1613, ""[^-]+- [^-]+- [^-]+ - (.+?)\.jpg""), "".jpg"", """"), ""-"", "", ""), """")"),"Violet Starr")</f>
        <v>Violet Starr</v>
      </c>
      <c r="I1613" s="6"/>
      <c r="J1613" s="7" t="str">
        <f t="shared" ca="1" si="26"/>
        <v>(2026)</v>
      </c>
      <c r="K1613" s="7" t="str">
        <f t="shared" si="27"/>
        <v>18075203</v>
      </c>
      <c r="L1613" s="12" t="s">
        <v>1462</v>
      </c>
      <c r="M1613" s="13" t="str">
        <f ca="1">IFERROR(__xludf.DUMMYFUNCTION("TRIM(
  REGEXREPLACE(
    TEXTJOIN("" "",
      TRUE,
      B1613,
      C1613,
      embaralharLinks(E1613,F1613,G1613),
      H1613,
      """",
      J1613,
      N1613,
      ""#RIPNSFW""
    ),
  "",\s*"", "" "")
)"),"{New} Valentina Nappi https://streamtape.com/v/9WOV0LQRPeIaryV/18075203 https://doodstream.com/d/hppwlwlygliv/18075203 https://lulustream.com/d/zpejen2os007 Violet Starr (2026) #milf #bigtits #bigass #blowjob #RIPNSFW")</f>
        <v>{New} Valentina Nappi https://streamtape.com/v/9WOV0LQRPeIaryV/18075203 https://doodstream.com/d/hppwlwlygliv/18075203 https://lulustream.com/d/zpejen2os007 Violet Starr (2026) #milf #bigtits #bigass #blowjob #RIPNSFW</v>
      </c>
      <c r="N1613" s="2" t="s">
        <v>1462</v>
      </c>
      <c r="O1613" s="30" t="s">
        <v>8057</v>
      </c>
      <c r="P1613" s="26"/>
      <c r="R1613" s="23"/>
    </row>
    <row r="1614" spans="1:27" ht="12.75">
      <c r="A1614" s="12" t="s">
        <v>8058</v>
      </c>
      <c r="B1614" s="6" t="s">
        <v>14</v>
      </c>
      <c r="C1614" s="7" t="str">
        <f t="shared" si="24"/>
        <v xml:space="preserve">Valentina Nappi </v>
      </c>
      <c r="D1614" s="24" t="s">
        <v>8059</v>
      </c>
      <c r="E1614" s="25" t="s">
        <v>8060</v>
      </c>
      <c r="F1614" s="9" t="str">
        <f ca="1">IFERROR(__xludf.DUMMYFUNCTION("""https://streamtape.com/v/""&amp;
REGEXEXTRACT(O1614,""/thumb/([^/]+)/"")&amp;
""/""&amp;K1614"),"https://streamtape.com/v/xrdey7bqdZiQR2/22365103")</f>
        <v>https://streamtape.com/v/xrdey7bqdZiQR2/22365103</v>
      </c>
      <c r="G1614" s="10" t="e">
        <f t="shared" ca="1" si="25"/>
        <v>#NAME?</v>
      </c>
      <c r="H1614" s="11" t="str">
        <f ca="1">IFERROR(__xludf.DUMMYFUNCTION("IFERROR(SUBSTITUTE(SUBSTITUTE(REGEXEXTRACT(A1614, ""[^-]+- [^-]+- [^-]+ - (.+?)\.jpg""), "".jpg"", """"), ""-"", "", ""), """")"),"")</f>
        <v/>
      </c>
      <c r="I1614" s="6"/>
      <c r="J1614" s="7" t="str">
        <f t="shared" ca="1" si="26"/>
        <v>(2026)</v>
      </c>
      <c r="K1614" s="7" t="str">
        <f t="shared" si="27"/>
        <v>22365103</v>
      </c>
      <c r="L1614" s="12" t="s">
        <v>1462</v>
      </c>
      <c r="M1614" s="13" t="str">
        <f ca="1">IFERROR(__xludf.DUMMYFUNCTION("TRIM(
  REGEXREPLACE(
    TEXTJOIN("" "",
      TRUE,
      B1614,
      C1614,
      embaralharLinks(E1614,F1614,G1614),
      H1614,
      """",
      J1614,
      N1614,
      ""#RIPNSFW""
    ),
  "",\s*"", "" "")
)"),"{New} Valentina Nappi https://doodstream.com/d/1ecko0rxs8yd/22365103 https://lulustream.com/d/tuwjmlp0aqxc https://streamtape.com/v/xrdey7bqdZiQR2/22365103 (2026) #milf #bigtits #bigass #blowjob #RIPNSFW")</f>
        <v>{New} Valentina Nappi https://doodstream.com/d/1ecko0rxs8yd/22365103 https://lulustream.com/d/tuwjmlp0aqxc https://streamtape.com/v/xrdey7bqdZiQR2/22365103 (2026) #milf #bigtits #bigass #blowjob #RIPNSFW</v>
      </c>
      <c r="N1614" s="2" t="s">
        <v>1462</v>
      </c>
      <c r="O1614" s="30" t="s">
        <v>8061</v>
      </c>
      <c r="P1614" s="26"/>
      <c r="R1614" s="23"/>
    </row>
    <row r="1615" spans="1:27" ht="12.75">
      <c r="A1615" s="6" t="s">
        <v>8062</v>
      </c>
      <c r="B1615" s="6" t="s">
        <v>14</v>
      </c>
      <c r="C1615" s="7" t="str">
        <f t="shared" si="24"/>
        <v xml:space="preserve">Valentina Nappi </v>
      </c>
      <c r="D1615" s="6" t="s">
        <v>8063</v>
      </c>
      <c r="E1615" s="8" t="s">
        <v>8064</v>
      </c>
      <c r="F1615" s="9" t="str">
        <f ca="1">IFERROR(__xludf.DUMMYFUNCTION("""https://streamtape.com/v/""&amp;
REGEXEXTRACT(O1615,""/thumb/([^/]+)/"")&amp;
""/""&amp;K1615"),"https://streamtape.com/v/qD9qa3X91aUzXpw/25551660")</f>
        <v>https://streamtape.com/v/qD9qa3X91aUzXpw/25551660</v>
      </c>
      <c r="G1615" s="10" t="e">
        <f t="shared" ca="1" si="25"/>
        <v>#NAME?</v>
      </c>
      <c r="H1615" s="11" t="str">
        <f ca="1">IFERROR(__xludf.DUMMYFUNCTION("IFERROR(SUBSTITUTE(SUBSTITUTE(REGEXEXTRACT(A1615, ""[^-]+- [^-]+- [^-]+ - (.+?)\.jpg""), "".jpg"", """"), ""-"", "", ""), """")"),"")</f>
        <v/>
      </c>
      <c r="I1615" s="6"/>
      <c r="J1615" s="7" t="str">
        <f t="shared" ca="1" si="26"/>
        <v>(2026)</v>
      </c>
      <c r="K1615" s="7" t="str">
        <f t="shared" si="27"/>
        <v>25551660</v>
      </c>
      <c r="L1615" s="12" t="s">
        <v>3359</v>
      </c>
      <c r="M1615" s="13" t="str">
        <f ca="1">IFERROR(__xludf.DUMMYFUNCTION("TRIM(
  REGEXREPLACE(
    TEXTJOIN("" "",
      TRUE,
      B1615,
      C1615,
      embaralharLinks(E1615,F1615,G1615),
      H1615,
      """",
      J1615,
      N1615,
      ""#RIPNSFW""
    ),
  "",\s*"", "" "")
)"),"{New} Valentina Nappi https://streamtape.com/v/qD9qa3X91aUzXpw/25551660 https://doodstream.com/d/zmhdcfmsq8jn/25551660 https://lulustream.com/d/kpqotxup82x3 (2026) #MILF #BigTits #Hardcore #Black #Interracial #Bigass #Porn #Blowjob #RIPNSFW")</f>
        <v>{New} Valentina Nappi https://streamtape.com/v/qD9qa3X91aUzXpw/25551660 https://doodstream.com/d/zmhdcfmsq8jn/25551660 https://lulustream.com/d/kpqotxup82x3 (2026) #MILF #BigTits #Hardcore #Black #Interracial #Bigass #Porn #Blowjob #RIPNSFW</v>
      </c>
      <c r="N1615" s="14" t="s">
        <v>8065</v>
      </c>
      <c r="O1615" s="15" t="s">
        <v>8066</v>
      </c>
      <c r="P1615" s="14"/>
      <c r="Q1615" s="6"/>
      <c r="R1615" s="11"/>
      <c r="S1615" s="6"/>
      <c r="T1615" s="6"/>
      <c r="U1615" s="6"/>
      <c r="V1615" s="6"/>
      <c r="W1615" s="6"/>
      <c r="X1615" s="6"/>
      <c r="Y1615" s="6"/>
      <c r="Z1615" s="6"/>
      <c r="AA1615" s="6"/>
    </row>
    <row r="1616" spans="1:27" ht="12.75">
      <c r="A1616" s="12" t="s">
        <v>8067</v>
      </c>
      <c r="B1616" s="6" t="s">
        <v>14</v>
      </c>
      <c r="C1616" s="7" t="str">
        <f t="shared" si="24"/>
        <v xml:space="preserve">Valentina Nappi </v>
      </c>
      <c r="D1616" s="24" t="s">
        <v>8068</v>
      </c>
      <c r="E1616" s="25" t="s">
        <v>8069</v>
      </c>
      <c r="F1616" s="9" t="str">
        <f ca="1">IFERROR(__xludf.DUMMYFUNCTION("""https://streamtape.com/v/""&amp;
REGEXEXTRACT(O1616,""/thumb/([^/]+)/"")&amp;
""/""&amp;K1616"),"https://streamtape.com/v/k02q2Lalp1IOv3Q/30306316")</f>
        <v>https://streamtape.com/v/k02q2Lalp1IOv3Q/30306316</v>
      </c>
      <c r="G1616" s="10" t="e">
        <f t="shared" ca="1" si="25"/>
        <v>#NAME?</v>
      </c>
      <c r="H1616" s="11" t="str">
        <f ca="1">IFERROR(__xludf.DUMMYFUNCTION("IFERROR(SUBSTITUTE(SUBSTITUTE(REGEXEXTRACT(A1616, ""[^-]+- [^-]+- [^-]+ - (.+?)\.jpg""), "".jpg"", """"), ""-"", "", ""), """")"),"")</f>
        <v/>
      </c>
      <c r="I1616" s="6"/>
      <c r="J1616" s="7" t="str">
        <f t="shared" ca="1" si="26"/>
        <v>(2026)</v>
      </c>
      <c r="K1616" s="7" t="str">
        <f t="shared" si="27"/>
        <v>30306316</v>
      </c>
      <c r="L1616" s="12" t="s">
        <v>8070</v>
      </c>
      <c r="M1616" s="13" t="str">
        <f ca="1">IFERROR(__xludf.DUMMYFUNCTION("TRIM(
  REGEXREPLACE(
    TEXTJOIN("" "",
      TRUE,
      B1616,
      C1616,
      embaralharLinks(E1616,F1616,G1616),
      H1616,
      """",
      J1616,
      N1616,
      ""#RIPNSFW""
    ),
  "",\s*"", "" "")
)"),"{New} Valentina Nappi https://doodstream.com/d/8i7nvwr58v0t/30306316 https://streamtape.com/v/k02q2Lalp1IOv3Q/30306316 https://lulustream.com/d/ly18xxphau8x (2026) #anal #milf #bigtits #threesome #RIPNSFW")</f>
        <v>{New} Valentina Nappi https://doodstream.com/d/8i7nvwr58v0t/30306316 https://streamtape.com/v/k02q2Lalp1IOv3Q/30306316 https://lulustream.com/d/ly18xxphau8x (2026) #anal #milf #bigtits #threesome #RIPNSFW</v>
      </c>
      <c r="N1616" s="2" t="s">
        <v>8070</v>
      </c>
      <c r="O1616" s="30" t="s">
        <v>8071</v>
      </c>
      <c r="P1616" s="26"/>
      <c r="R1616" s="23"/>
      <c r="T1616" s="6"/>
      <c r="U1616" s="7"/>
    </row>
    <row r="1617" spans="1:27" ht="12.75">
      <c r="A1617" s="12" t="s">
        <v>8072</v>
      </c>
      <c r="B1617" s="6" t="s">
        <v>14</v>
      </c>
      <c r="C1617" s="7" t="str">
        <f t="shared" si="24"/>
        <v xml:space="preserve">Valentina Nappi </v>
      </c>
      <c r="D1617" s="27" t="s">
        <v>8073</v>
      </c>
      <c r="E1617" s="28" t="s">
        <v>8074</v>
      </c>
      <c r="F1617" s="9" t="str">
        <f ca="1">IFERROR(__xludf.DUMMYFUNCTION("""https://streamtape.com/v/""&amp;
REGEXEXTRACT(O1617,""/thumb/([^/]+)/"")&amp;
""/""&amp;K1617"),"https://streamtape.com/v/xe7aPKbL9ysjwP/31083478")</f>
        <v>https://streamtape.com/v/xe7aPKbL9ysjwP/31083478</v>
      </c>
      <c r="G1617" s="10" t="e">
        <f t="shared" ca="1" si="25"/>
        <v>#NAME?</v>
      </c>
      <c r="H1617" s="11" t="str">
        <f ca="1">IFERROR(__xludf.DUMMYFUNCTION("IFERROR(SUBSTITUTE(SUBSTITUTE(REGEXEXTRACT(A1617, ""[^-]+- [^-]+- [^-]+ - (.+?)\.jpg""), "".jpg"", """"), ""-"", "", ""), """")"),"Gal Ritchie ,  Chanel Camryn")</f>
        <v>Gal Ritchie ,  Chanel Camryn</v>
      </c>
      <c r="I1617" s="6"/>
      <c r="J1617" s="7" t="str">
        <f t="shared" ca="1" si="26"/>
        <v>(2026)</v>
      </c>
      <c r="K1617" s="7" t="str">
        <f t="shared" si="27"/>
        <v>31083478</v>
      </c>
      <c r="L1617" s="12" t="s">
        <v>680</v>
      </c>
      <c r="M1617" s="13" t="str">
        <f ca="1">IFERROR(__xludf.DUMMYFUNCTION("TRIM(
  REGEXREPLACE(
    TEXTJOIN("" "",
      TRUE,
      B1617,
      C1617,
      embaralharLinks(E1617,F1617,G1617),
      H1617,
      """",
      J1617,
      N1617,
      ""#RIPNSFW""
    ),
  "",\s*"", "" "")
)"),"{New} Valentina Nappi https://doodstream.com/d/okpx79z1khky/31083478 https://streamtape.com/v/xe7aPKbL9ysjwP/31083478 https://lulustream.com/d/rhoket13hei2 Gal Ritchie Chanel Camryn (2026) #MILF #BigTits #Hardcore #Black #RIPNSFW")</f>
        <v>{New} Valentina Nappi https://doodstream.com/d/okpx79z1khky/31083478 https://streamtape.com/v/xe7aPKbL9ysjwP/31083478 https://lulustream.com/d/rhoket13hei2 Gal Ritchie Chanel Camryn (2026) #MILF #BigTits #Hardcore #Black #RIPNSFW</v>
      </c>
      <c r="N1617" s="2" t="s">
        <v>681</v>
      </c>
      <c r="O1617" s="30" t="s">
        <v>8075</v>
      </c>
      <c r="P1617" s="26"/>
      <c r="R1617" s="23"/>
    </row>
    <row r="1618" spans="1:27" ht="12.75">
      <c r="A1618" s="12" t="s">
        <v>8076</v>
      </c>
      <c r="B1618" s="6" t="s">
        <v>14</v>
      </c>
      <c r="C1618" s="7" t="str">
        <f t="shared" si="24"/>
        <v xml:space="preserve">Valentina Nappi </v>
      </c>
      <c r="D1618" s="24" t="s">
        <v>8077</v>
      </c>
      <c r="E1618" s="25" t="s">
        <v>8078</v>
      </c>
      <c r="F1618" s="9" t="str">
        <f ca="1">IFERROR(__xludf.DUMMYFUNCTION("""https://streamtape.com/v/""&amp;
REGEXEXTRACT(O1618,""/thumb/([^/]+)/"")&amp;
""/""&amp;K1618"),"https://streamtape.com/v/ml1vwDMA0bIbYYe/32729334")</f>
        <v>https://streamtape.com/v/ml1vwDMA0bIbYYe/32729334</v>
      </c>
      <c r="G1618" s="10" t="e">
        <f t="shared" ca="1" si="25"/>
        <v>#NAME?</v>
      </c>
      <c r="H1618" s="11" t="str">
        <f ca="1">IFERROR(__xludf.DUMMYFUNCTION("IFERROR(SUBSTITUTE(SUBSTITUTE(REGEXEXTRACT(A1618, ""[^-]+- [^-]+- [^-]+ - (.+?)\.jpg""), "".jpg"", """"), ""-"", "", ""), """")"),"")</f>
        <v/>
      </c>
      <c r="I1618" s="6"/>
      <c r="J1618" s="7" t="str">
        <f t="shared" ca="1" si="26"/>
        <v>(2026)</v>
      </c>
      <c r="K1618" s="7" t="str">
        <f t="shared" si="27"/>
        <v>32729334</v>
      </c>
      <c r="L1618" s="12" t="s">
        <v>2066</v>
      </c>
      <c r="M1618" s="13" t="str">
        <f ca="1">IFERROR(__xludf.DUMMYFUNCTION("TRIM(
  REGEXREPLACE(
    TEXTJOIN("" "",
      TRUE,
      B1618,
      C1618,
      embaralharLinks(E1618,F1618,G1618),
      H1618,
      """",
      J1618,
      N1618,
      ""#RIPNSFW""
    ),
  "",\s*"", "" "")
)"),"{New} Valentina Nappi https://streamtape.com/v/ml1vwDMA0bIbYYe/32729334 https://lulustream.com/d/s5cddseui5kr https://doodstream.com/d/3smwh4uzntca/32729334 (2026) #milf #bigass #blowjob #bigtits #RIPNSFW")</f>
        <v>{New} Valentina Nappi https://streamtape.com/v/ml1vwDMA0bIbYYe/32729334 https://lulustream.com/d/s5cddseui5kr https://doodstream.com/d/3smwh4uzntca/32729334 (2026) #milf #bigass #blowjob #bigtits #RIPNSFW</v>
      </c>
      <c r="N1618" s="2" t="s">
        <v>2066</v>
      </c>
      <c r="O1618" s="30" t="s">
        <v>8079</v>
      </c>
      <c r="P1618" s="26"/>
      <c r="R1618" s="23"/>
    </row>
    <row r="1619" spans="1:27" ht="12.75">
      <c r="A1619" s="12" t="s">
        <v>8080</v>
      </c>
      <c r="B1619" s="6" t="s">
        <v>14</v>
      </c>
      <c r="C1619" s="7" t="str">
        <f t="shared" si="24"/>
        <v xml:space="preserve">Valentina Nappi </v>
      </c>
      <c r="D1619" s="24" t="s">
        <v>8081</v>
      </c>
      <c r="E1619" s="25" t="s">
        <v>8082</v>
      </c>
      <c r="F1619" s="9" t="str">
        <f ca="1">IFERROR(__xludf.DUMMYFUNCTION("""https://streamtape.com/v/""&amp;
REGEXEXTRACT(O1619,""/thumb/([^/]+)/"")&amp;
""/""&amp;K1619"),"https://streamtape.com/v/pxwLVWDzx1tr87L/35990230")</f>
        <v>https://streamtape.com/v/pxwLVWDzx1tr87L/35990230</v>
      </c>
      <c r="G1619" s="10" t="e">
        <f t="shared" ca="1" si="25"/>
        <v>#NAME?</v>
      </c>
      <c r="H1619" s="11" t="str">
        <f ca="1">IFERROR(__xludf.DUMMYFUNCTION("IFERROR(SUBSTITUTE(SUBSTITUTE(REGEXEXTRACT(A1619, ""[^-]+- [^-]+- [^-]+ - (.+?)\.jpg""), "".jpg"", """"), ""-"", "", ""), """")"),"")</f>
        <v/>
      </c>
      <c r="I1619" s="6"/>
      <c r="J1619" s="7" t="str">
        <f t="shared" ca="1" si="26"/>
        <v>(2026)</v>
      </c>
      <c r="K1619" s="7" t="str">
        <f t="shared" si="27"/>
        <v>35990230</v>
      </c>
      <c r="L1619" s="12" t="s">
        <v>4139</v>
      </c>
      <c r="M1619" s="13" t="str">
        <f ca="1">IFERROR(__xludf.DUMMYFUNCTION("TRIM(
  REGEXREPLACE(
    TEXTJOIN("" "",
      TRUE,
      B1619,
      C1619,
      embaralharLinks(E1619,F1619,G1619),
      H1619,
      """",
      J1619,
      N1619,
      ""#RIPNSFW""
    ),
  "",\s*"", "" "")
)"),"{New} Valentina Nappi https://lulustream.com/d/asban2muqd2k https://doodstream.com/d/bckbyiqqp3au/35990230 https://streamtape.com/v/pxwLVWDzx1tr87L/35990230 (2026) #anal #milf #bigtits #bigass #RIPNSFW")</f>
        <v>{New} Valentina Nappi https://lulustream.com/d/asban2muqd2k https://doodstream.com/d/bckbyiqqp3au/35990230 https://streamtape.com/v/pxwLVWDzx1tr87L/35990230 (2026) #anal #milf #bigtits #bigass #RIPNSFW</v>
      </c>
      <c r="N1619" s="2" t="s">
        <v>4139</v>
      </c>
      <c r="O1619" s="30" t="s">
        <v>8083</v>
      </c>
      <c r="P1619" s="26"/>
      <c r="R1619" s="23"/>
      <c r="T1619" s="6"/>
      <c r="U1619" s="7"/>
    </row>
    <row r="1620" spans="1:27" ht="12.75">
      <c r="A1620" s="12" t="s">
        <v>8084</v>
      </c>
      <c r="B1620" s="6" t="s">
        <v>14</v>
      </c>
      <c r="C1620" s="7" t="str">
        <f t="shared" si="24"/>
        <v xml:space="preserve">Valentina Nappi </v>
      </c>
      <c r="D1620" s="24" t="s">
        <v>8085</v>
      </c>
      <c r="E1620" s="25" t="s">
        <v>8086</v>
      </c>
      <c r="F1620" s="9" t="str">
        <f ca="1">IFERROR(__xludf.DUMMYFUNCTION("""https://streamtape.com/v/""&amp;
REGEXEXTRACT(O1620,""/thumb/([^/]+)/"")&amp;
""/""&amp;K1620"),"https://streamtape.com/v/8OpyvdqXlxsJAB/41448076")</f>
        <v>https://streamtape.com/v/8OpyvdqXlxsJAB/41448076</v>
      </c>
      <c r="G1620" s="10" t="e">
        <f t="shared" ca="1" si="25"/>
        <v>#NAME?</v>
      </c>
      <c r="H1620" s="11" t="str">
        <f ca="1">IFERROR(__xludf.DUMMYFUNCTION("IFERROR(SUBSTITUTE(SUBSTITUTE(REGEXEXTRACT(A1620, ""[^-]+- [^-]+- [^-]+ - (.+?)\.jpg""), "".jpg"", """"), ""-"", "", ""), """")"),"")</f>
        <v/>
      </c>
      <c r="I1620" s="6"/>
      <c r="J1620" s="7" t="str">
        <f t="shared" ca="1" si="26"/>
        <v>(2026)</v>
      </c>
      <c r="K1620" s="7" t="str">
        <f t="shared" si="27"/>
        <v>41448076</v>
      </c>
      <c r="L1620" s="12" t="s">
        <v>4239</v>
      </c>
      <c r="M1620" s="13" t="str">
        <f ca="1">IFERROR(__xludf.DUMMYFUNCTION("TRIM(
  REGEXREPLACE(
    TEXTJOIN("" "",
      TRUE,
      B1620,
      C1620,
      embaralharLinks(E1620,F1620,G1620),
      H1620,
      """",
      J1620,
      N1620,
      ""#RIPNSFW""
    ),
  "",\s*"", "" "")
)"),"{New} Valentina Nappi https://lulustream.com/d/5137p22w63kh https://streamtape.com/v/8OpyvdqXlxsJAB/41448076 https://doodstream.com/d/k85nucgmv6s1/41448076 (2026) #milf #interracial #bigtits #bigass #RIPNSFW")</f>
        <v>{New} Valentina Nappi https://lulustream.com/d/5137p22w63kh https://streamtape.com/v/8OpyvdqXlxsJAB/41448076 https://doodstream.com/d/k85nucgmv6s1/41448076 (2026) #milf #interracial #bigtits #bigass #RIPNSFW</v>
      </c>
      <c r="N1620" s="2" t="s">
        <v>4239</v>
      </c>
      <c r="O1620" s="30" t="s">
        <v>8087</v>
      </c>
      <c r="P1620" s="26"/>
      <c r="R1620" s="23"/>
    </row>
    <row r="1621" spans="1:27" ht="12.75">
      <c r="A1621" s="6" t="s">
        <v>8088</v>
      </c>
      <c r="B1621" s="6" t="s">
        <v>14</v>
      </c>
      <c r="C1621" s="7" t="str">
        <f t="shared" si="24"/>
        <v xml:space="preserve">Valentina Nappi </v>
      </c>
      <c r="D1621" s="6" t="s">
        <v>8089</v>
      </c>
      <c r="E1621" s="8" t="s">
        <v>8090</v>
      </c>
      <c r="F1621" s="9" t="str">
        <f ca="1">IFERROR(__xludf.DUMMYFUNCTION("""https://streamtape.com/v/""&amp;
REGEXEXTRACT(O1621,""/thumb/([^/]+)/"")&amp;
""/""&amp;K1621"),"https://streamtape.com/v/k9gAArzxpyFO44M/48112568")</f>
        <v>https://streamtape.com/v/k9gAArzxpyFO44M/48112568</v>
      </c>
      <c r="G1621" s="10" t="e">
        <f t="shared" ca="1" si="25"/>
        <v>#NAME?</v>
      </c>
      <c r="H1621" s="11" t="str">
        <f ca="1">IFERROR(__xludf.DUMMYFUNCTION("IFERROR(SUBSTITUTE(SUBSTITUTE(REGEXEXTRACT(A1621, ""[^-]+- [^-]+- [^-]+ - (.+?)\.jpg""), "".jpg"", """"), ""-"", "", ""), """")"),"")</f>
        <v/>
      </c>
      <c r="I1621" s="6"/>
      <c r="J1621" s="7" t="str">
        <f t="shared" ca="1" si="26"/>
        <v>(2026)</v>
      </c>
      <c r="K1621" s="7" t="str">
        <f t="shared" si="27"/>
        <v>48112568</v>
      </c>
      <c r="L1621" s="12" t="s">
        <v>2100</v>
      </c>
      <c r="M1621" s="13" t="str">
        <f ca="1">IFERROR(__xludf.DUMMYFUNCTION("TRIM(
  REGEXREPLACE(
    TEXTJOIN("" "",
      TRUE,
      B1621,
      C1621,
      embaralharLinks(E1621,F1621,G1621),
      H1621,
      """",
      J1621,
      N1621,
      ""#RIPNSFW""
    ),
  "",\s*"", "" "")
)"),"{New} Valentina Nappi https://doodstream.com/d/k3pzx6qmdthn/48112568 https://lulustream.com/d/w3oqs023oc6i https://streamtape.com/v/k9gAArzxpyFO44M/48112568 (2026) #MILF #BigTits #Bigass #Solo #RIPNSFW")</f>
        <v>{New} Valentina Nappi https://doodstream.com/d/k3pzx6qmdthn/48112568 https://lulustream.com/d/w3oqs023oc6i https://streamtape.com/v/k9gAArzxpyFO44M/48112568 (2026) #MILF #BigTits #Bigass #Solo #RIPNSFW</v>
      </c>
      <c r="N1621" s="14" t="s">
        <v>2101</v>
      </c>
      <c r="O1621" s="15" t="s">
        <v>8091</v>
      </c>
      <c r="P1621" s="14"/>
      <c r="Q1621" s="6"/>
      <c r="R1621" s="11"/>
      <c r="S1621" s="6"/>
      <c r="T1621" s="6"/>
      <c r="U1621" s="6"/>
      <c r="V1621" s="6"/>
      <c r="W1621" s="6"/>
      <c r="X1621" s="6"/>
      <c r="Y1621" s="6"/>
      <c r="Z1621" s="6"/>
      <c r="AA1621" s="6"/>
    </row>
    <row r="1622" spans="1:27" ht="12.75">
      <c r="A1622" s="12" t="s">
        <v>8092</v>
      </c>
      <c r="B1622" s="6" t="s">
        <v>14</v>
      </c>
      <c r="C1622" s="7" t="str">
        <f t="shared" si="24"/>
        <v xml:space="preserve">Valentina Nappi </v>
      </c>
      <c r="D1622" s="24" t="s">
        <v>8093</v>
      </c>
      <c r="E1622" s="25" t="s">
        <v>8094</v>
      </c>
      <c r="F1622" s="9" t="str">
        <f ca="1">IFERROR(__xludf.DUMMYFUNCTION("""https://streamtape.com/v/""&amp;
REGEXEXTRACT(O1622,""/thumb/([^/]+)/"")&amp;
""/""&amp;K1622"),"https://streamtape.com/v/zrBBWRA2e2sYPZb/56651761")</f>
        <v>https://streamtape.com/v/zrBBWRA2e2sYPZb/56651761</v>
      </c>
      <c r="G1622" s="10" t="e">
        <f t="shared" ca="1" si="25"/>
        <v>#NAME?</v>
      </c>
      <c r="H1622" s="11" t="str">
        <f ca="1">IFERROR(__xludf.DUMMYFUNCTION("IFERROR(SUBSTITUTE(SUBSTITUTE(REGEXEXTRACT(A1622, ""[^-]+- [^-]+- [^-]+ - (.+?)\.jpg""), "".jpg"", """"), ""-"", "", ""), """")"),"Violet Myers")</f>
        <v>Violet Myers</v>
      </c>
      <c r="I1622" s="6"/>
      <c r="J1622" s="7" t="str">
        <f t="shared" ca="1" si="26"/>
        <v>(2026)</v>
      </c>
      <c r="K1622" s="7" t="str">
        <f t="shared" si="27"/>
        <v>56651761</v>
      </c>
      <c r="L1622" s="12" t="s">
        <v>8095</v>
      </c>
      <c r="M1622" s="13" t="str">
        <f ca="1">IFERROR(__xludf.DUMMYFUNCTION("TRIM(
  REGEXREPLACE(
    TEXTJOIN("" "",
      TRUE,
      B1622,
      C1622,
      embaralharLinks(E1622,F1622,G1622),
      H1622,
      """",
      J1622,
      N1622,
      ""#RIPNSFW""
    ),
  "",\s*"", "" "")
)"),"{New} Valentina Nappi https://doodstream.com/d/jn2pf4t4djfn/56651761 https://streamtape.com/v/zrBBWRA2e2sYPZb/56651761 https://lulustream.com/d/c3pupgxh8lbm Violet Myers (2026) #bigtits #milf #lesbian #bigass #RIPNSFW")</f>
        <v>{New} Valentina Nappi https://doodstream.com/d/jn2pf4t4djfn/56651761 https://streamtape.com/v/zrBBWRA2e2sYPZb/56651761 https://lulustream.com/d/c3pupgxh8lbm Violet Myers (2026) #bigtits #milf #lesbian #bigass #RIPNSFW</v>
      </c>
      <c r="N1622" s="2" t="s">
        <v>8095</v>
      </c>
      <c r="O1622" s="30" t="s">
        <v>8096</v>
      </c>
      <c r="P1622" s="26"/>
      <c r="R1622" s="23"/>
      <c r="T1622" s="6"/>
      <c r="U1622" s="7"/>
    </row>
    <row r="1623" spans="1:27" ht="12.75">
      <c r="A1623" s="6" t="s">
        <v>8097</v>
      </c>
      <c r="B1623" s="6" t="s">
        <v>14</v>
      </c>
      <c r="C1623" s="7" t="str">
        <f t="shared" si="24"/>
        <v xml:space="preserve">Valentina Nappi </v>
      </c>
      <c r="D1623" s="24" t="s">
        <v>8098</v>
      </c>
      <c r="E1623" s="25" t="s">
        <v>8099</v>
      </c>
      <c r="F1623" s="9" t="str">
        <f ca="1">IFERROR(__xludf.DUMMYFUNCTION("""https://streamtape.com/v/""&amp;
REGEXEXTRACT(O1623,""/thumb/([^/]+)/"")&amp;
""/""&amp;K1623"),"https://streamtape.com/v/Vz80ZadorgSPyk/58549865")</f>
        <v>https://streamtape.com/v/Vz80ZadorgSPyk/58549865</v>
      </c>
      <c r="G1623" s="10" t="e">
        <f t="shared" ca="1" si="25"/>
        <v>#NAME?</v>
      </c>
      <c r="H1623" s="11" t="str">
        <f ca="1">IFERROR(__xludf.DUMMYFUNCTION("IFERROR(SUBSTITUTE(SUBSTITUTE(REGEXEXTRACT(A1623, ""[^-]+- [^-]+- [^-]+ - (.+?)\.jpg""), "".jpg"", """"), ""-"", "", ""), """")"),"")</f>
        <v/>
      </c>
      <c r="I1623" s="6"/>
      <c r="J1623" s="7" t="str">
        <f t="shared" ca="1" si="26"/>
        <v>(2026)</v>
      </c>
      <c r="K1623" s="7" t="str">
        <f t="shared" si="27"/>
        <v>58549865</v>
      </c>
      <c r="L1623" s="12" t="s">
        <v>8100</v>
      </c>
      <c r="M1623" s="13" t="str">
        <f ca="1">IFERROR(__xludf.DUMMYFUNCTION("TRIM(
  REGEXREPLACE(
    TEXTJOIN("" "",
      TRUE,
      B1623,
      C1623,
      embaralharLinks(E1623,F1623,G1623),
      H1623,
      """",
      J1623,
      N1623,
      ""#RIPNSFW""
    ),
  "",\s*"", "" "")
)"),"{New} Valentina Nappi https://doodstream.com/d/mvvpk3565cl3/58549865 https://lulustream.com/d/zxtbetupzeli https://streamtape.com/v/Vz80ZadorgSPyk/58549865 (2026) #milf #pov #blowjob #facial #RIPNSFW")</f>
        <v>{New} Valentina Nappi https://doodstream.com/d/mvvpk3565cl3/58549865 https://lulustream.com/d/zxtbetupzeli https://streamtape.com/v/Vz80ZadorgSPyk/58549865 (2026) #milf #pov #blowjob #facial #RIPNSFW</v>
      </c>
      <c r="N1623" s="31" t="s">
        <v>8100</v>
      </c>
      <c r="O1623" s="32" t="s">
        <v>8101</v>
      </c>
      <c r="P1623" s="26"/>
      <c r="Q1623" s="6"/>
      <c r="R1623" s="11"/>
      <c r="S1623" s="6"/>
      <c r="T1623" s="6"/>
      <c r="U1623" s="6"/>
      <c r="V1623" s="6"/>
      <c r="W1623" s="6"/>
      <c r="X1623" s="6"/>
      <c r="Y1623" s="6"/>
      <c r="Z1623" s="6"/>
      <c r="AA1623" s="6"/>
    </row>
    <row r="1624" spans="1:27" ht="12.75">
      <c r="A1624" s="12" t="s">
        <v>8102</v>
      </c>
      <c r="B1624" s="6" t="s">
        <v>14</v>
      </c>
      <c r="C1624" s="7" t="str">
        <f t="shared" si="24"/>
        <v xml:space="preserve">Valentina Nappi </v>
      </c>
      <c r="D1624" s="24" t="s">
        <v>8103</v>
      </c>
      <c r="E1624" s="25" t="s">
        <v>8104</v>
      </c>
      <c r="F1624" s="9" t="str">
        <f ca="1">IFERROR(__xludf.DUMMYFUNCTION("""https://streamtape.com/v/""&amp;
REGEXEXTRACT(O1624,""/thumb/([^/]+)/"")&amp;
""/""&amp;K1624"),"https://streamtape.com/v/Pvwr2QQo2YU0q1Q/62527848")</f>
        <v>https://streamtape.com/v/Pvwr2QQo2YU0q1Q/62527848</v>
      </c>
      <c r="G1624" s="10" t="e">
        <f t="shared" ca="1" si="25"/>
        <v>#NAME?</v>
      </c>
      <c r="H1624" s="11" t="str">
        <f ca="1">IFERROR(__xludf.DUMMYFUNCTION("IFERROR(SUBSTITUTE(SUBSTITUTE(REGEXEXTRACT(A1624, ""[^-]+- [^-]+- [^-]+ - (.+?)\.jpg""), "".jpg"", """"), ""-"", "", ""), """")"),"")</f>
        <v/>
      </c>
      <c r="I1624" s="6"/>
      <c r="J1624" s="7" t="str">
        <f t="shared" ca="1" si="26"/>
        <v>(2026)</v>
      </c>
      <c r="K1624" s="7" t="str">
        <f t="shared" si="27"/>
        <v>62527848</v>
      </c>
      <c r="L1624" s="12" t="s">
        <v>8105</v>
      </c>
      <c r="M1624" s="13" t="str">
        <f ca="1">IFERROR(__xludf.DUMMYFUNCTION("TRIM(
  REGEXREPLACE(
    TEXTJOIN("" "",
      TRUE,
      B1624,
      C1624,
      embaralharLinks(E1624,F1624,G1624),
      H1624,
      """",
      J1624,
      N1624,
      ""#RIPNSFW""
    ),
  "",\s*"", "" "")
)"),"{New} Valentina Nappi https://streamtape.com/v/Pvwr2QQo2YU0q1Q/62527848 https://doodstream.com/d/khoodc0vvapo/62527848 https://lulustream.com/d/wsqz5qqf7q9k (2026) #milf #interracial #blowjob #bigass #RIPNSFW")</f>
        <v>{New} Valentina Nappi https://streamtape.com/v/Pvwr2QQo2YU0q1Q/62527848 https://doodstream.com/d/khoodc0vvapo/62527848 https://lulustream.com/d/wsqz5qqf7q9k (2026) #milf #interracial #blowjob #bigass #RIPNSFW</v>
      </c>
      <c r="N1624" s="2" t="s">
        <v>8105</v>
      </c>
      <c r="O1624" s="30" t="s">
        <v>8106</v>
      </c>
      <c r="P1624" s="26"/>
      <c r="R1624" s="23"/>
      <c r="T1624" s="6"/>
      <c r="U1624" s="7"/>
    </row>
    <row r="1625" spans="1:27" ht="12.75">
      <c r="A1625" s="12" t="s">
        <v>8107</v>
      </c>
      <c r="B1625" s="6" t="s">
        <v>14</v>
      </c>
      <c r="C1625" s="7" t="str">
        <f t="shared" si="24"/>
        <v xml:space="preserve">Valentina Nappi </v>
      </c>
      <c r="D1625" s="24" t="s">
        <v>8108</v>
      </c>
      <c r="E1625" s="25" t="s">
        <v>8109</v>
      </c>
      <c r="F1625" s="9" t="str">
        <f ca="1">IFERROR(__xludf.DUMMYFUNCTION("""https://streamtape.com/v/""&amp;
REGEXEXTRACT(O1625,""/thumb/([^/]+)/"")&amp;
""/""&amp;K1625"),"https://streamtape.com/v/dpBg1bb6xGhkW7K/62934399")</f>
        <v>https://streamtape.com/v/dpBg1bb6xGhkW7K/62934399</v>
      </c>
      <c r="G1625" s="10" t="e">
        <f t="shared" ca="1" si="25"/>
        <v>#NAME?</v>
      </c>
      <c r="H1625" s="11" t="str">
        <f ca="1">IFERROR(__xludf.DUMMYFUNCTION("IFERROR(SUBSTITUTE(SUBSTITUTE(REGEXEXTRACT(A1625, ""[^-]+- [^-]+- [^-]+ - (.+?)\.jpg""), "".jpg"", """"), ""-"", "", ""), """")"),"")</f>
        <v/>
      </c>
      <c r="I1625" s="6"/>
      <c r="J1625" s="7" t="str">
        <f t="shared" ca="1" si="26"/>
        <v>(2026)</v>
      </c>
      <c r="K1625" s="7" t="str">
        <f t="shared" si="27"/>
        <v>62934399</v>
      </c>
      <c r="L1625" s="12" t="s">
        <v>4239</v>
      </c>
      <c r="M1625" s="13" t="str">
        <f ca="1">IFERROR(__xludf.DUMMYFUNCTION("TRIM(
  REGEXREPLACE(
    TEXTJOIN("" "",
      TRUE,
      B1625,
      C1625,
      embaralharLinks(E1625,F1625,G1625),
      H1625,
      """",
      J1625,
      N1625,
      ""#RIPNSFW""
    ),
  "",\s*"", "" "")
)"),"{New} Valentina Nappi https://lulustream.com/d/q77run5v6y51 https://doodstream.com/d/z1q0hxpl4iri/62934399 https://streamtape.com/v/dpBg1bb6xGhkW7K/62934399 (2026) #milf #interracial #bigtits #bigass #RIPNSFW")</f>
        <v>{New} Valentina Nappi https://lulustream.com/d/q77run5v6y51 https://doodstream.com/d/z1q0hxpl4iri/62934399 https://streamtape.com/v/dpBg1bb6xGhkW7K/62934399 (2026) #milf #interracial #bigtits #bigass #RIPNSFW</v>
      </c>
      <c r="N1625" s="2" t="s">
        <v>4239</v>
      </c>
      <c r="O1625" s="30" t="s">
        <v>8110</v>
      </c>
      <c r="P1625" s="26"/>
      <c r="R1625" s="23"/>
    </row>
    <row r="1626" spans="1:27" ht="12.75">
      <c r="A1626" s="12" t="s">
        <v>8111</v>
      </c>
      <c r="B1626" s="6" t="s">
        <v>14</v>
      </c>
      <c r="C1626" s="7" t="str">
        <f t="shared" si="24"/>
        <v xml:space="preserve">Valentina Nappi </v>
      </c>
      <c r="D1626" s="24" t="s">
        <v>8112</v>
      </c>
      <c r="E1626" s="25" t="s">
        <v>8113</v>
      </c>
      <c r="F1626" s="9" t="str">
        <f ca="1">IFERROR(__xludf.DUMMYFUNCTION("""https://streamtape.com/v/""&amp;
REGEXEXTRACT(O1626,""/thumb/([^/]+)/"")&amp;
""/""&amp;K1626"),"https://streamtape.com/v/4BaLplJd0VTKPmj/64759953")</f>
        <v>https://streamtape.com/v/4BaLplJd0VTKPmj/64759953</v>
      </c>
      <c r="G1626" s="10" t="e">
        <f t="shared" ca="1" si="25"/>
        <v>#NAME?</v>
      </c>
      <c r="H1626" s="11" t="str">
        <f ca="1">IFERROR(__xludf.DUMMYFUNCTION("IFERROR(SUBSTITUTE(SUBSTITUTE(REGEXEXTRACT(A1626, ""[^-]+- [^-]+- [^-]+ - (.+?)\.jpg""), "".jpg"", """"), ""-"", "", ""), """")"),"")</f>
        <v/>
      </c>
      <c r="I1626" s="6"/>
      <c r="J1626" s="7" t="str">
        <f t="shared" ca="1" si="26"/>
        <v>(2026)</v>
      </c>
      <c r="K1626" s="7" t="str">
        <f t="shared" si="27"/>
        <v>64759953</v>
      </c>
      <c r="L1626" s="12" t="s">
        <v>8114</v>
      </c>
      <c r="M1626" s="13" t="str">
        <f ca="1">IFERROR(__xludf.DUMMYFUNCTION("TRIM(
  REGEXREPLACE(
    TEXTJOIN("" "",
      TRUE,
      B1626,
      C1626,
      embaralharLinks(E1626,F1626,G1626),
      H1626,
      """",
      J1626,
      N1626,
      ""#RIPNSFW""
    ),
  "",\s*"", "" "")
)"),"{New} Valentina Nappi https://streamtape.com/v/4BaLplJd0VTKPmj/64759953 https://lulustream.com/d/sr8ooxyd8y7k https://doodstream.com/d/iq2lokpu35ck/64759953 (2026) #anal #milf #interracial #bigass #RIPNSFW")</f>
        <v>{New} Valentina Nappi https://streamtape.com/v/4BaLplJd0VTKPmj/64759953 https://lulustream.com/d/sr8ooxyd8y7k https://doodstream.com/d/iq2lokpu35ck/64759953 (2026) #anal #milf #interracial #bigass #RIPNSFW</v>
      </c>
      <c r="N1626" s="2" t="s">
        <v>8114</v>
      </c>
      <c r="O1626" s="30" t="s">
        <v>8115</v>
      </c>
      <c r="P1626" s="26"/>
      <c r="R1626" s="23"/>
      <c r="T1626" s="6"/>
      <c r="U1626" s="7"/>
    </row>
    <row r="1627" spans="1:27" ht="12.75">
      <c r="A1627" s="6" t="s">
        <v>8116</v>
      </c>
      <c r="B1627" s="6" t="s">
        <v>14</v>
      </c>
      <c r="C1627" s="7" t="str">
        <f t="shared" si="24"/>
        <v xml:space="preserve">Valentina Nappi </v>
      </c>
      <c r="D1627" s="6" t="s">
        <v>8117</v>
      </c>
      <c r="E1627" s="8" t="s">
        <v>8118</v>
      </c>
      <c r="F1627" s="9" t="str">
        <f ca="1">IFERROR(__xludf.DUMMYFUNCTION("""https://streamtape.com/v/""&amp;
REGEXEXTRACT(O1627,""/thumb/([^/]+)/"")&amp;
""/""&amp;K1627"),"https://streamtape.com/v/eakYVb7D7yIoOV/69894279")</f>
        <v>https://streamtape.com/v/eakYVb7D7yIoOV/69894279</v>
      </c>
      <c r="G1627" s="10" t="e">
        <f t="shared" ca="1" si="25"/>
        <v>#NAME?</v>
      </c>
      <c r="H1627" s="11" t="str">
        <f ca="1">IFERROR(__xludf.DUMMYFUNCTION("IFERROR(SUBSTITUTE(SUBSTITUTE(REGEXEXTRACT(A1627, ""[^-]+- [^-]+- [^-]+ - (.+?)\.jpg""), "".jpg"", """"), ""-"", "", ""), """")"),"")</f>
        <v/>
      </c>
      <c r="I1627" s="6"/>
      <c r="J1627" s="7" t="str">
        <f t="shared" ca="1" si="26"/>
        <v>(2026)</v>
      </c>
      <c r="K1627" s="7" t="str">
        <f t="shared" si="27"/>
        <v>69894279</v>
      </c>
      <c r="L1627" s="12" t="s">
        <v>8119</v>
      </c>
      <c r="M1627" s="13" t="str">
        <f ca="1">IFERROR(__xludf.DUMMYFUNCTION("TRIM(
  REGEXREPLACE(
    TEXTJOIN("" "",
      TRUE,
      B1627,
      C1627,
      embaralharLinks(E1627,F1627,G1627),
      H1627,
      """",
      J1627,
      N1627,
      ""#RIPNSFW""
    ),
  "",\s*"", "" "")
)"),"{New} Valentina Nappi https://streamtape.com/v/eakYVb7D7yIoOV/69894279 https://doodstream.com/d/r49sg3e0g4ry/69894279 https://lulustream.com/d/b3i7yoales0m (2026) #MILF #BigTits #Hardcore #Black #Interracial #RIPNSFW")</f>
        <v>{New} Valentina Nappi https://streamtape.com/v/eakYVb7D7yIoOV/69894279 https://doodstream.com/d/r49sg3e0g4ry/69894279 https://lulustream.com/d/b3i7yoales0m (2026) #MILF #BigTits #Hardcore #Black #Interracial #RIPNSFW</v>
      </c>
      <c r="N1627" s="14" t="s">
        <v>770</v>
      </c>
      <c r="O1627" s="15" t="s">
        <v>8120</v>
      </c>
      <c r="P1627" s="14"/>
      <c r="Q1627" s="6"/>
      <c r="R1627" s="11"/>
      <c r="S1627" s="6"/>
      <c r="T1627" s="6"/>
      <c r="U1627" s="6"/>
      <c r="V1627" s="6"/>
      <c r="W1627" s="6"/>
      <c r="X1627" s="6"/>
      <c r="Y1627" s="6"/>
      <c r="Z1627" s="6"/>
      <c r="AA1627" s="6"/>
    </row>
    <row r="1628" spans="1:27" ht="12.75">
      <c r="A1628" s="12" t="s">
        <v>8121</v>
      </c>
      <c r="B1628" s="6" t="s">
        <v>14</v>
      </c>
      <c r="C1628" s="7" t="str">
        <f t="shared" si="24"/>
        <v xml:space="preserve">Valentina Nappi </v>
      </c>
      <c r="D1628" s="24" t="s">
        <v>8122</v>
      </c>
      <c r="E1628" s="25" t="s">
        <v>8123</v>
      </c>
      <c r="F1628" s="9" t="str">
        <f ca="1">IFERROR(__xludf.DUMMYFUNCTION("""https://streamtape.com/v/""&amp;
REGEXEXTRACT(O1628,""/thumb/([^/]+)/"")&amp;
""/""&amp;K1628"),"https://streamtape.com/v/lA36RReLBAS7q3M/71950480")</f>
        <v>https://streamtape.com/v/lA36RReLBAS7q3M/71950480</v>
      </c>
      <c r="G1628" s="10" t="e">
        <f t="shared" ca="1" si="25"/>
        <v>#NAME?</v>
      </c>
      <c r="H1628" s="11" t="str">
        <f ca="1">IFERROR(__xludf.DUMMYFUNCTION("IFERROR(SUBSTITUTE(SUBSTITUTE(REGEXEXTRACT(A1628, ""[^-]+- [^-]+- [^-]+ - (.+?)\.jpg""), "".jpg"", """"), ""-"", "", ""), """")"),"")</f>
        <v/>
      </c>
      <c r="I1628" s="6"/>
      <c r="J1628" s="7" t="str">
        <f t="shared" ca="1" si="26"/>
        <v>(2026)</v>
      </c>
      <c r="K1628" s="7" t="str">
        <f t="shared" si="27"/>
        <v>71950480</v>
      </c>
      <c r="L1628" s="12" t="s">
        <v>8124</v>
      </c>
      <c r="M1628" s="13" t="str">
        <f ca="1">IFERROR(__xludf.DUMMYFUNCTION("TRIM(
  REGEXREPLACE(
    TEXTJOIN("" "",
      TRUE,
      B1628,
      C1628,
      embaralharLinks(E1628,F1628,G1628),
      H1628,
      """",
      J1628,
      N1628,
      ""#RIPNSFW""
    ),
  "",\s*"", "" "")
)"),"{New} Valentina Nappi https://lulustream.com/d/995vhdt3g9wu https://doodstream.com/d/s8p7w16ar5qw/71950480 https://streamtape.com/v/lA36RReLBAS7q3M/71950480 (2026) #milf #interracial #bigass #bigtits #RIPNSFW")</f>
        <v>{New} Valentina Nappi https://lulustream.com/d/995vhdt3g9wu https://doodstream.com/d/s8p7w16ar5qw/71950480 https://streamtape.com/v/lA36RReLBAS7q3M/71950480 (2026) #milf #interracial #bigass #bigtits #RIPNSFW</v>
      </c>
      <c r="N1628" s="2" t="s">
        <v>8124</v>
      </c>
      <c r="O1628" s="30" t="s">
        <v>8125</v>
      </c>
      <c r="P1628" s="26"/>
      <c r="R1628" s="23"/>
      <c r="T1628" s="6"/>
      <c r="U1628" s="7"/>
    </row>
    <row r="1629" spans="1:27" ht="12.75">
      <c r="A1629" s="12" t="s">
        <v>8126</v>
      </c>
      <c r="B1629" s="6" t="s">
        <v>14</v>
      </c>
      <c r="C1629" s="7" t="str">
        <f t="shared" si="24"/>
        <v xml:space="preserve">Valentina Nappi </v>
      </c>
      <c r="D1629" s="24" t="s">
        <v>8127</v>
      </c>
      <c r="E1629" s="25" t="s">
        <v>8128</v>
      </c>
      <c r="F1629" s="9" t="str">
        <f ca="1">IFERROR(__xludf.DUMMYFUNCTION("""https://streamtape.com/v/""&amp;
REGEXEXTRACT(O1629,""/thumb/([^/]+)/"")&amp;
""/""&amp;K1629"),"https://streamtape.com/v/wy13AR77ylUJ7P4/78831902")</f>
        <v>https://streamtape.com/v/wy13AR77ylUJ7P4/78831902</v>
      </c>
      <c r="G1629" s="10" t="e">
        <f t="shared" ca="1" si="25"/>
        <v>#NAME?</v>
      </c>
      <c r="H1629" s="11" t="str">
        <f ca="1">IFERROR(__xludf.DUMMYFUNCTION("IFERROR(SUBSTITUTE(SUBSTITUTE(REGEXEXTRACT(A1629, ""[^-]+- [^-]+- [^-]+ - (.+?)\.jpg""), "".jpg"", """"), ""-"", "", ""), """")"),"Cherie Deville ,  Kayley Gunner ,  Yasmina Khan ,  Luna Star ,  Sara Retali")</f>
        <v>Cherie Deville ,  Kayley Gunner ,  Yasmina Khan ,  Luna Star ,  Sara Retali</v>
      </c>
      <c r="I1629" s="6"/>
      <c r="J1629" s="7" t="str">
        <f t="shared" ca="1" si="26"/>
        <v>(2026)</v>
      </c>
      <c r="K1629" s="7" t="str">
        <f t="shared" si="27"/>
        <v>78831902</v>
      </c>
      <c r="L1629" s="12" t="s">
        <v>7989</v>
      </c>
      <c r="M1629" s="13" t="str">
        <f ca="1">IFERROR(__xludf.DUMMYFUNCTION("TRIM(
  REGEXREPLACE(
    TEXTJOIN("" "",
      TRUE,
      B1629,
      C1629,
      embaralharLinks(E1629,F1629,G1629),
      H1629,
      """",
      J1629,
      N1629,
      ""#RIPNSFW""
    ),
  "",\s*"", "" "")
)"),"{New} Valentina Nappi https://streamtape.com/v/wy13AR77ylUJ7P4/78831902 https://lulustream.com/d/ktko06xewvdf https://doodstream.com/d/ni3fx0wyqsli/78831902 Cherie Deville Kayley Gunner Yasmina Khan Luna Star Sara Retali (2026) #orgy #bigtits #blowjob #bi"&amp;"gass #RIPNSFW")</f>
        <v>{New} Valentina Nappi https://streamtape.com/v/wy13AR77ylUJ7P4/78831902 https://lulustream.com/d/ktko06xewvdf https://doodstream.com/d/ni3fx0wyqsli/78831902 Cherie Deville Kayley Gunner Yasmina Khan Luna Star Sara Retali (2026) #orgy #bigtits #blowjob #bigass #RIPNSFW</v>
      </c>
      <c r="N1629" s="2" t="s">
        <v>7989</v>
      </c>
      <c r="O1629" s="30" t="s">
        <v>8129</v>
      </c>
      <c r="P1629" s="26"/>
      <c r="R1629" s="23"/>
      <c r="T1629" s="6"/>
      <c r="U1629" s="7"/>
    </row>
    <row r="1630" spans="1:27" ht="12.75">
      <c r="A1630" s="6" t="s">
        <v>8130</v>
      </c>
      <c r="B1630" s="6" t="s">
        <v>14</v>
      </c>
      <c r="C1630" s="7" t="str">
        <f t="shared" si="24"/>
        <v xml:space="preserve">Valentina Nappi </v>
      </c>
      <c r="D1630" s="24" t="s">
        <v>8131</v>
      </c>
      <c r="E1630" s="25" t="s">
        <v>8132</v>
      </c>
      <c r="F1630" s="9" t="str">
        <f ca="1">IFERROR(__xludf.DUMMYFUNCTION("""https://streamtape.com/v/""&amp;
REGEXEXTRACT(O1630,""/thumb/([^/]+)/"")&amp;
""/""&amp;K1630"),"https://streamtape.com/v/Ye4vjGL91ZhvD7j/84238758")</f>
        <v>https://streamtape.com/v/Ye4vjGL91ZhvD7j/84238758</v>
      </c>
      <c r="G1630" s="10" t="e">
        <f t="shared" ca="1" si="25"/>
        <v>#NAME?</v>
      </c>
      <c r="H1630" s="11" t="str">
        <f ca="1">IFERROR(__xludf.DUMMYFUNCTION("IFERROR(SUBSTITUTE(SUBSTITUTE(REGEXEXTRACT(A1630, ""[^-]+- [^-]+- [^-]+ - (.+?)\.jpg""), "".jpg"", """"), ""-"", "", ""), """")"),"")</f>
        <v/>
      </c>
      <c r="I1630" s="6"/>
      <c r="J1630" s="7" t="str">
        <f t="shared" ca="1" si="26"/>
        <v>(2026)</v>
      </c>
      <c r="K1630" s="7" t="str">
        <f t="shared" si="27"/>
        <v>84238758</v>
      </c>
      <c r="L1630" s="12" t="s">
        <v>8133</v>
      </c>
      <c r="M1630" s="13" t="str">
        <f ca="1">IFERROR(__xludf.DUMMYFUNCTION("TRIM(
  REGEXREPLACE(
    TEXTJOIN("" "",
      TRUE,
      B1630,
      C1630,
      embaralharLinks(E1630,F1630,G1630),
      H1630,
      """",
      J1630,
      N1630,
      ""#RIPNSFW""
    ),
  "",\s*"", "" "")
)"),"{New} Valentina Nappi https://lulustream.com/d/u4sndoe6uzvt https://streamtape.com/v/Ye4vjGL91ZhvD7j/84238758 https://doodstream.com/d/9fxpxsdwt6l0/84238758 (2026) #milf #pov #blowjob #bigtits #RIPNSFW")</f>
        <v>{New} Valentina Nappi https://lulustream.com/d/u4sndoe6uzvt https://streamtape.com/v/Ye4vjGL91ZhvD7j/84238758 https://doodstream.com/d/9fxpxsdwt6l0/84238758 (2026) #milf #pov #blowjob #bigtits #RIPNSFW</v>
      </c>
      <c r="N1630" s="31" t="s">
        <v>8133</v>
      </c>
      <c r="O1630" s="32" t="s">
        <v>8134</v>
      </c>
      <c r="P1630" s="26"/>
      <c r="Q1630" s="6"/>
      <c r="R1630" s="11"/>
      <c r="S1630" s="6"/>
      <c r="T1630" s="6"/>
      <c r="U1630" s="6"/>
      <c r="V1630" s="6"/>
      <c r="W1630" s="6"/>
      <c r="X1630" s="6"/>
      <c r="Y1630" s="6"/>
      <c r="Z1630" s="6"/>
      <c r="AA1630" s="6"/>
    </row>
    <row r="1631" spans="1:27" ht="12.75">
      <c r="A1631" s="6" t="s">
        <v>8135</v>
      </c>
      <c r="B1631" s="6" t="s">
        <v>14</v>
      </c>
      <c r="C1631" s="7" t="str">
        <f t="shared" si="24"/>
        <v xml:space="preserve">Valentina Nappi </v>
      </c>
      <c r="D1631" s="6" t="s">
        <v>8136</v>
      </c>
      <c r="E1631" s="8" t="s">
        <v>8137</v>
      </c>
      <c r="F1631" s="9" t="str">
        <f ca="1">IFERROR(__xludf.DUMMYFUNCTION("""https://streamtape.com/v/""&amp;
REGEXEXTRACT(O1631,""/thumb/([^/]+)/"")&amp;
""/""&amp;K1631"),"https://streamtape.com/v/x1g0YorzDgUkKQ1/87322396")</f>
        <v>https://streamtape.com/v/x1g0YorzDgUkKQ1/87322396</v>
      </c>
      <c r="G1631" s="10" t="e">
        <f t="shared" ca="1" si="25"/>
        <v>#NAME?</v>
      </c>
      <c r="H1631" s="11" t="str">
        <f ca="1">IFERROR(__xludf.DUMMYFUNCTION("IFERROR(SUBSTITUTE(SUBSTITUTE(REGEXEXTRACT(A1631, ""[^-]+- [^-]+- [^-]+ - (.+?)\.jpg""), "".jpg"", """"), ""-"", "", ""), """")"),"")</f>
        <v/>
      </c>
      <c r="I1631" s="6"/>
      <c r="J1631" s="7" t="str">
        <f t="shared" ca="1" si="26"/>
        <v>(2026)</v>
      </c>
      <c r="K1631" s="7" t="str">
        <f t="shared" si="27"/>
        <v>87322396</v>
      </c>
      <c r="L1631" s="12" t="s">
        <v>745</v>
      </c>
      <c r="M1631" s="13" t="str">
        <f ca="1">IFERROR(__xludf.DUMMYFUNCTION("TRIM(
  REGEXREPLACE(
    TEXTJOIN("" "",
      TRUE,
      B1631,
      C1631,
      embaralharLinks(E1631,F1631,G1631),
      H1631,
      """",
      J1631,
      N1631,
      ""#RIPNSFW""
    ),
  "",\s*"", "" "")
)"),"{New} Valentina Nappi https://streamtape.com/v/x1g0YorzDgUkKQ1/87322396 https://lulustream.com/d/wy9j30e21s0f https://doodstream.com/d/15oo1p2v4g6x/87322396 (2026) #Anal #MILF #BigTits #Hardcore #Bigass #Porn #Blowjob #Deepthroat #RIPNSFW")</f>
        <v>{New} Valentina Nappi https://streamtape.com/v/x1g0YorzDgUkKQ1/87322396 https://lulustream.com/d/wy9j30e21s0f https://doodstream.com/d/15oo1p2v4g6x/87322396 (2026) #Anal #MILF #BigTits #Hardcore #Bigass #Porn #Blowjob #Deepthroat #RIPNSFW</v>
      </c>
      <c r="N1631" s="14" t="s">
        <v>6078</v>
      </c>
      <c r="O1631" s="15" t="s">
        <v>8138</v>
      </c>
      <c r="P1631" s="14"/>
      <c r="Q1631" s="6"/>
      <c r="R1631" s="11"/>
      <c r="S1631" s="6"/>
      <c r="T1631" s="6"/>
      <c r="U1631" s="6"/>
      <c r="V1631" s="6"/>
      <c r="W1631" s="6"/>
      <c r="X1631" s="6"/>
      <c r="Y1631" s="6"/>
      <c r="Z1631" s="6"/>
      <c r="AA1631" s="6"/>
    </row>
    <row r="1632" spans="1:27" ht="12.75">
      <c r="A1632" s="6" t="s">
        <v>8139</v>
      </c>
      <c r="B1632" s="6" t="s">
        <v>14</v>
      </c>
      <c r="C1632" s="7" t="str">
        <f t="shared" si="24"/>
        <v xml:space="preserve">Valentina Nappi </v>
      </c>
      <c r="D1632" s="29" t="s">
        <v>8140</v>
      </c>
      <c r="E1632" s="8" t="s">
        <v>8141</v>
      </c>
      <c r="F1632" s="9" t="str">
        <f ca="1">IFERROR(__xludf.DUMMYFUNCTION("""https://streamtape.com/v/""&amp;
REGEXEXTRACT(O1632,""/thumb/([^/]+)/"")&amp;
""/""&amp;K1632"),"https://streamtape.com/v/eYda3WZeA3UmW2/90064549")</f>
        <v>https://streamtape.com/v/eYda3WZeA3UmW2/90064549</v>
      </c>
      <c r="G1632" s="10" t="e">
        <f t="shared" ca="1" si="25"/>
        <v>#NAME?</v>
      </c>
      <c r="H1632" s="11" t="str">
        <f ca="1">IFERROR(__xludf.DUMMYFUNCTION("IFERROR(SUBSTITUTE(SUBSTITUTE(REGEXEXTRACT(A1632, ""[^-]+- [^-]+- [^-]+ - (.+?)\.jpg""), "".jpg"", """"), ""-"", "", ""), """")"),"")</f>
        <v/>
      </c>
      <c r="I1632" s="6"/>
      <c r="J1632" s="7" t="str">
        <f t="shared" ca="1" si="26"/>
        <v>(2026)</v>
      </c>
      <c r="K1632" s="7" t="str">
        <f t="shared" si="27"/>
        <v>90064549</v>
      </c>
      <c r="L1632" s="12" t="s">
        <v>8142</v>
      </c>
      <c r="M1632" s="13" t="str">
        <f ca="1">IFERROR(__xludf.DUMMYFUNCTION("TRIM(
  REGEXREPLACE(
    TEXTJOIN("" "",
      TRUE,
      B1632,
      C1632,
      embaralharLinks(E1632,F1632,G1632),
      H1632,
      """",
      J1632,
      N1632,
      ""#RIPNSFW""
    ),
  "",\s*"", "" "")
)"),"{New} Valentina Nappi https://doodstream.com/d/39vr2icmue30/90064549 https://lulustream.com/d/vrerd26g5sj2 https://streamtape.com/v/eYda3WZeA3UmW2/90064549 (2026) #MILF #BigTits #Hardcore #Bigass #Porn #Stepmom #Blowjob #Hotwife #RIPNSFW")</f>
        <v>{New} Valentina Nappi https://doodstream.com/d/39vr2icmue30/90064549 https://lulustream.com/d/vrerd26g5sj2 https://streamtape.com/v/eYda3WZeA3UmW2/90064549 (2026) #MILF #BigTits #Hardcore #Bigass #Porn #Stepmom #Blowjob #Hotwife #RIPNSFW</v>
      </c>
      <c r="N1632" s="14" t="s">
        <v>8143</v>
      </c>
      <c r="O1632" s="32" t="s">
        <v>8144</v>
      </c>
      <c r="P1632" s="14"/>
      <c r="Q1632" s="6"/>
      <c r="R1632" s="11"/>
      <c r="S1632" s="6"/>
      <c r="T1632" s="6"/>
      <c r="U1632" s="6"/>
      <c r="V1632" s="6"/>
      <c r="W1632" s="6"/>
      <c r="X1632" s="6"/>
      <c r="Y1632" s="6"/>
      <c r="Z1632" s="6"/>
      <c r="AA1632" s="6"/>
    </row>
    <row r="1633" spans="1:27" ht="12.75">
      <c r="A1633" s="12" t="s">
        <v>8145</v>
      </c>
      <c r="B1633" s="6" t="s">
        <v>14</v>
      </c>
      <c r="C1633" s="7" t="str">
        <f t="shared" si="24"/>
        <v xml:space="preserve">Valentina Nappi </v>
      </c>
      <c r="D1633" s="24" t="s">
        <v>8146</v>
      </c>
      <c r="E1633" s="25" t="s">
        <v>8147</v>
      </c>
      <c r="F1633" s="9" t="str">
        <f ca="1">IFERROR(__xludf.DUMMYFUNCTION("""https://streamtape.com/v/""&amp;
REGEXEXTRACT(O1633,""/thumb/([^/]+)/"")&amp;
""/""&amp;K1633"),"https://streamtape.com/v/Kz4ZqBJGo9C01dP/98211643")</f>
        <v>https://streamtape.com/v/Kz4ZqBJGo9C01dP/98211643</v>
      </c>
      <c r="G1633" s="10" t="e">
        <f t="shared" ca="1" si="25"/>
        <v>#NAME?</v>
      </c>
      <c r="H1633" s="11" t="str">
        <f ca="1">IFERROR(__xludf.DUMMYFUNCTION("IFERROR(SUBSTITUTE(SUBSTITUTE(REGEXEXTRACT(A1633, ""[^-]+- [^-]+- [^-]+ - (.+?)\.jpg""), "".jpg"", """"), ""-"", "", ""), """")"),"Agatha Vega")</f>
        <v>Agatha Vega</v>
      </c>
      <c r="I1633" s="6"/>
      <c r="J1633" s="7" t="str">
        <f t="shared" ca="1" si="26"/>
        <v>(2026)</v>
      </c>
      <c r="K1633" s="7" t="str">
        <f t="shared" si="27"/>
        <v>98211643</v>
      </c>
      <c r="L1633" s="12" t="s">
        <v>7240</v>
      </c>
      <c r="M1633" s="13" t="str">
        <f ca="1">IFERROR(__xludf.DUMMYFUNCTION("TRIM(
  REGEXREPLACE(
    TEXTJOIN("" "",
      TRUE,
      B1633,
      C1633,
      embaralharLinks(E1633,F1633,G1633),
      H1633,
      """",
      J1633,
      N1633,
      ""#RIPNSFW""
    ),
  "",\s*"", "" "")
)"),"{New} Valentina Nappi https://lulustream.com/d/9qbm68pc6btj https://streamtape.com/v/Kz4ZqBJGo9C01dP/98211643 https://doodstream.com/d/jipbex2n9mae/98211643 Agatha Vega (2026) #threesome #milf #bigtits #bigass #RIPNSFW")</f>
        <v>{New} Valentina Nappi https://lulustream.com/d/9qbm68pc6btj https://streamtape.com/v/Kz4ZqBJGo9C01dP/98211643 https://doodstream.com/d/jipbex2n9mae/98211643 Agatha Vega (2026) #threesome #milf #bigtits #bigass #RIPNSFW</v>
      </c>
      <c r="N1633" s="2" t="s">
        <v>7240</v>
      </c>
      <c r="O1633" s="30" t="s">
        <v>8148</v>
      </c>
      <c r="P1633" s="26"/>
      <c r="R1633" s="23"/>
      <c r="T1633" s="6"/>
      <c r="U1633" s="7"/>
    </row>
    <row r="1634" spans="1:27" ht="12.75">
      <c r="A1634" s="12" t="s">
        <v>8149</v>
      </c>
      <c r="B1634" s="6" t="s">
        <v>14</v>
      </c>
      <c r="C1634" s="7" t="str">
        <f t="shared" si="24"/>
        <v xml:space="preserve">Valentina Nappi </v>
      </c>
      <c r="D1634" s="24" t="s">
        <v>8150</v>
      </c>
      <c r="E1634" s="25" t="s">
        <v>8151</v>
      </c>
      <c r="F1634" s="9" t="str">
        <f ca="1">IFERROR(__xludf.DUMMYFUNCTION("""https://streamtape.com/v/""&amp;
REGEXEXTRACT(O1634,""/thumb/([^/]+)/"")&amp;
""/""&amp;K1634"),"https://streamtape.com/v/BeKegeRAZmFK4q/98931095")</f>
        <v>https://streamtape.com/v/BeKegeRAZmFK4q/98931095</v>
      </c>
      <c r="G1634" s="10" t="e">
        <f t="shared" ca="1" si="25"/>
        <v>#NAME?</v>
      </c>
      <c r="H1634" s="11" t="str">
        <f ca="1">IFERROR(__xludf.DUMMYFUNCTION("IFERROR(SUBSTITUTE(SUBSTITUTE(REGEXEXTRACT(A1634, ""[^-]+- [^-]+- [^-]+ - (.+?)\.jpg""), "".jpg"", """"), ""-"", "", ""), """")"),"")</f>
        <v/>
      </c>
      <c r="I1634" s="6"/>
      <c r="J1634" s="7" t="str">
        <f t="shared" ca="1" si="26"/>
        <v>(2026)</v>
      </c>
      <c r="K1634" s="7" t="str">
        <f t="shared" si="27"/>
        <v>98931095</v>
      </c>
      <c r="L1634" s="12" t="s">
        <v>8152</v>
      </c>
      <c r="M1634" s="13" t="str">
        <f ca="1">IFERROR(__xludf.DUMMYFUNCTION("TRIM(
  REGEXREPLACE(
    TEXTJOIN("" "",
      TRUE,
      B1634,
      C1634,
      embaralharLinks(E1634,F1634,G1634),
      H1634,
      """",
      J1634,
      N1634,
      ""#RIPNSFW""
    ),
  "",\s*"", "" "")
)"),"{New} Valentina Nappi https://lulustream.com/d/i47ec2j11qzt https://doodstream.com/d/k9x9velsp1cy/98931095 https://streamtape.com/v/BeKegeRAZmFK4q/98931095 (2026) #milf #interracial #bigass #blowjob #RIPNSFW")</f>
        <v>{New} Valentina Nappi https://lulustream.com/d/i47ec2j11qzt https://doodstream.com/d/k9x9velsp1cy/98931095 https://streamtape.com/v/BeKegeRAZmFK4q/98931095 (2026) #milf #interracial #bigass #blowjob #RIPNSFW</v>
      </c>
      <c r="N1634" s="2" t="s">
        <v>8152</v>
      </c>
      <c r="O1634" s="30" t="s">
        <v>8153</v>
      </c>
      <c r="P1634" s="26"/>
      <c r="R1634" s="23"/>
      <c r="T1634" s="6"/>
      <c r="U1634" s="7"/>
    </row>
    <row r="1635" spans="1:27" ht="12.75">
      <c r="A1635" s="6" t="s">
        <v>8154</v>
      </c>
      <c r="B1635" s="6" t="s">
        <v>14</v>
      </c>
      <c r="C1635" s="7" t="str">
        <f t="shared" si="24"/>
        <v xml:space="preserve">Valentine Vixen </v>
      </c>
      <c r="D1635" s="6" t="s">
        <v>8155</v>
      </c>
      <c r="E1635" s="8" t="s">
        <v>8156</v>
      </c>
      <c r="F1635" s="9" t="str">
        <f ca="1">IFERROR(__xludf.DUMMYFUNCTION("""https://streamtape.com/v/""&amp;
REGEXEXTRACT(O1635,""/thumb/([^/]+)/"")&amp;
""/""&amp;K1635"),"https://streamtape.com/v/WZly8ex0A7FbzPP/67153144")</f>
        <v>https://streamtape.com/v/WZly8ex0A7FbzPP/67153144</v>
      </c>
      <c r="G1635" s="10" t="e">
        <f t="shared" ca="1" si="25"/>
        <v>#NAME?</v>
      </c>
      <c r="H1635" s="11" t="str">
        <f ca="1">IFERROR(__xludf.DUMMYFUNCTION("IFERROR(SUBSTITUTE(SUBSTITUTE(REGEXEXTRACT(A1635, ""[^-]+- [^-]+- [^-]+ - (.+?)\.jpg""), "".jpg"", """"), ""-"", "", ""), """")"),"Lena the plug")</f>
        <v>Lena the plug</v>
      </c>
      <c r="I1635" s="6"/>
      <c r="J1635" s="7" t="str">
        <f t="shared" ca="1" si="26"/>
        <v>(2026)</v>
      </c>
      <c r="K1635" s="7" t="str">
        <f t="shared" si="27"/>
        <v>67153144</v>
      </c>
      <c r="L1635" s="12" t="s">
        <v>838</v>
      </c>
      <c r="M1635" s="13" t="str">
        <f ca="1">IFERROR(__xludf.DUMMYFUNCTION("TRIM(
  REGEXREPLACE(
    TEXTJOIN("" "",
      TRUE,
      B1635,
      C1635,
      embaralharLinks(E1635,F1635,G1635),
      H1635,
      """",
      J1635,
      N1635,
      ""#RIPNSFW""
    ),
  "",\s*"", "" "")
)"),"{New} Valentine Vixen https://doodstream.com/d/hx0dujovxq1o/67153144 https://streamtape.com/v/WZly8ex0A7FbzPP/67153144 https://lulustream.com/d/ywexwux3n4f1 Lena the plug (2026) #MILF #BigTits #Hardcore #Threesome #Bigass #Blowjob #RIPNSFW")</f>
        <v>{New} Valentine Vixen https://doodstream.com/d/hx0dujovxq1o/67153144 https://streamtape.com/v/WZly8ex0A7FbzPP/67153144 https://lulustream.com/d/ywexwux3n4f1 Lena the plug (2026) #MILF #BigTits #Hardcore #Threesome #Bigass #Blowjob #RIPNSFW</v>
      </c>
      <c r="N1635" s="14" t="s">
        <v>839</v>
      </c>
      <c r="O1635" s="15" t="s">
        <v>8157</v>
      </c>
      <c r="P1635" s="14"/>
      <c r="Q1635" s="6"/>
      <c r="R1635" s="11"/>
      <c r="S1635" s="6"/>
      <c r="T1635" s="6"/>
      <c r="U1635" s="6"/>
      <c r="V1635" s="6"/>
      <c r="W1635" s="6"/>
      <c r="X1635" s="6"/>
      <c r="Y1635" s="6"/>
      <c r="Z1635" s="6"/>
      <c r="AA1635" s="6"/>
    </row>
    <row r="1636" spans="1:27" ht="12.75">
      <c r="A1636" s="6" t="s">
        <v>8158</v>
      </c>
      <c r="B1636" s="6" t="s">
        <v>14</v>
      </c>
      <c r="C1636" s="7" t="str">
        <f t="shared" si="24"/>
        <v xml:space="preserve">Valentine Vixen </v>
      </c>
      <c r="D1636" s="29" t="s">
        <v>8159</v>
      </c>
      <c r="E1636" s="8" t="s">
        <v>8160</v>
      </c>
      <c r="F1636" s="9" t="str">
        <f ca="1">IFERROR(__xludf.DUMMYFUNCTION("""https://streamtape.com/v/""&amp;
REGEXEXTRACT(O1636,""/thumb/([^/]+)/"")&amp;
""/""&amp;K1636"),"https://streamtape.com/v/bGz77XYXd2TP1Vq/80195094")</f>
        <v>https://streamtape.com/v/bGz77XYXd2TP1Vq/80195094</v>
      </c>
      <c r="G1636" s="10" t="e">
        <f t="shared" ca="1" si="25"/>
        <v>#NAME?</v>
      </c>
      <c r="H1636" s="11" t="str">
        <f ca="1">IFERROR(__xludf.DUMMYFUNCTION("IFERROR(SUBSTITUTE(SUBSTITUTE(REGEXEXTRACT(A1636, ""[^-]+- [^-]+- [^-]+ - (.+?)\.jpg""), "".jpg"", """"), ""-"", "", ""), """")"),"")</f>
        <v/>
      </c>
      <c r="I1636" s="6"/>
      <c r="J1636" s="7" t="str">
        <f t="shared" ca="1" si="26"/>
        <v>(2026)</v>
      </c>
      <c r="K1636" s="7" t="str">
        <f t="shared" si="27"/>
        <v>80195094</v>
      </c>
      <c r="L1636" s="12" t="s">
        <v>8161</v>
      </c>
      <c r="M1636" s="13" t="str">
        <f ca="1">IFERROR(__xludf.DUMMYFUNCTION("TRIM(
  REGEXREPLACE(
    TEXTJOIN("" "",
      TRUE,
      B1636,
      C1636,
      embaralharLinks(E1636,F1636,G1636),
      H1636,
      """",
      J1636,
      N1636,
      ""#RIPNSFW""
    ),
  "",\s*"", "" "")
)"),"{New} Valentine Vixen https://streamtape.com/v/bGz77XYXd2TP1Vq/80195094 https://lulustream.com/d/y61h47wekycw https://doodstream.com/d/svh8yz1h10zr/80195094 (2026) #MILF #BigTits #Hardcore #Black #Interracial #Bigass #Blowjob #Amateur #RIPNSFW")</f>
        <v>{New} Valentine Vixen https://streamtape.com/v/bGz77XYXd2TP1Vq/80195094 https://lulustream.com/d/y61h47wekycw https://doodstream.com/d/svh8yz1h10zr/80195094 (2026) #MILF #BigTits #Hardcore #Black #Interracial #Bigass #Blowjob #Amateur #RIPNSFW</v>
      </c>
      <c r="N1636" s="14" t="s">
        <v>4390</v>
      </c>
      <c r="O1636" s="32" t="s">
        <v>8162</v>
      </c>
      <c r="P1636" s="14"/>
      <c r="Q1636" s="6"/>
      <c r="R1636" s="11"/>
      <c r="S1636" s="6"/>
      <c r="T1636" s="6"/>
      <c r="U1636" s="6"/>
      <c r="V1636" s="6"/>
      <c r="W1636" s="6"/>
      <c r="X1636" s="6"/>
      <c r="Y1636" s="6"/>
      <c r="Z1636" s="6"/>
      <c r="AA1636" s="6"/>
    </row>
    <row r="1637" spans="1:27" ht="12.75">
      <c r="A1637" s="11" t="s">
        <v>8163</v>
      </c>
      <c r="B1637" s="11" t="s">
        <v>14</v>
      </c>
      <c r="C1637" s="13" t="str">
        <f t="shared" si="24"/>
        <v xml:space="preserve">Valerica Steele </v>
      </c>
      <c r="D1637" s="17" t="s">
        <v>8164</v>
      </c>
      <c r="E1637" s="18" t="s">
        <v>8165</v>
      </c>
      <c r="F1637" s="9" t="str">
        <f ca="1">IFERROR(__xludf.DUMMYFUNCTION("""https://streamtape.com/v/""&amp;
REGEXEXTRACT(O1637,""/thumb/([^/]+)/"")&amp;
""/""&amp;K1637"),"https://streamtape.com/v/pgr0A717J1Cr3z4/17080532")</f>
        <v>https://streamtape.com/v/pgr0A717J1Cr3z4/17080532</v>
      </c>
      <c r="G1637" s="10" t="e">
        <f t="shared" ca="1" si="25"/>
        <v>#NAME?</v>
      </c>
      <c r="H1637" s="11" t="str">
        <f ca="1">IFERROR(__xludf.DUMMYFUNCTION("IFERROR(SUBSTITUTE(SUBSTITUTE(REGEXEXTRACT(A1637, ""[^-]+- [^-]+- [^-]+ - (.+?)\.jpg""), "".jpg"", """"), ""-"", "", ""), """")"),"")</f>
        <v/>
      </c>
      <c r="I1637" s="11"/>
      <c r="J1637" s="13" t="str">
        <f t="shared" ca="1" si="26"/>
        <v>(2026)</v>
      </c>
      <c r="K1637" s="13" t="str">
        <f t="shared" si="27"/>
        <v>17080532</v>
      </c>
      <c r="L1637" s="12" t="s">
        <v>2736</v>
      </c>
      <c r="M1637" s="13" t="str">
        <f ca="1">IFERROR(__xludf.DUMMYFUNCTION("TRIM(
  REGEXREPLACE(
    TEXTJOIN("" "",
      TRUE,
      B1637,
      C1637,
      embaralharLinks(E1637,F1637,G1637),
      H1637,
      """",
      J1637,
      N1637,
      ""#RIPNSFW""
    ),
  "",\s*"", "" "")
)"),"{New} Valerica Steele https://lulustream.com/d/snty3a9doxvy https://doodstream.com/d/ufgs65r35l60/17080532 https://streamtape.com/v/pgr0A717J1Cr3z4/17080532 (2026) #teen #bigtits #blowjob #amateur #RIPNSFW")</f>
        <v>{New} Valerica Steele https://lulustream.com/d/snty3a9doxvy https://doodstream.com/d/ufgs65r35l60/17080532 https://streamtape.com/v/pgr0A717J1Cr3z4/17080532 (2026) #teen #bigtits #blowjob #amateur #RIPNSFW</v>
      </c>
      <c r="N1637" s="32" t="s">
        <v>2736</v>
      </c>
      <c r="O1637" s="32" t="s">
        <v>8166</v>
      </c>
      <c r="P1637" s="26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</row>
    <row r="1638" spans="1:27" ht="12.75">
      <c r="A1638" s="6" t="s">
        <v>8167</v>
      </c>
      <c r="B1638" s="6" t="s">
        <v>14</v>
      </c>
      <c r="C1638" s="7" t="str">
        <f t="shared" si="24"/>
        <v xml:space="preserve">Valerica Steele </v>
      </c>
      <c r="D1638" s="24" t="s">
        <v>8168</v>
      </c>
      <c r="E1638" s="25" t="s">
        <v>8169</v>
      </c>
      <c r="F1638" s="9" t="str">
        <f ca="1">IFERROR(__xludf.DUMMYFUNCTION("""https://streamtape.com/v/""&amp;
REGEXEXTRACT(O1638,""/thumb/([^/]+)/"")&amp;
""/""&amp;K1638"),"https://streamtape.com/v/6jWp49zrJAc93Op/21782896")</f>
        <v>https://streamtape.com/v/6jWp49zrJAc93Op/21782896</v>
      </c>
      <c r="G1638" s="10" t="e">
        <f t="shared" ca="1" si="25"/>
        <v>#NAME?</v>
      </c>
      <c r="H1638" s="11" t="str">
        <f ca="1">IFERROR(__xludf.DUMMYFUNCTION("IFERROR(SUBSTITUTE(SUBSTITUTE(REGEXEXTRACT(A1638, ""[^-]+- [^-]+- [^-]+ - (.+?)\.jpg""), "".jpg"", """"), ""-"", "", ""), """")"),"")</f>
        <v/>
      </c>
      <c r="I1638" s="6"/>
      <c r="J1638" s="7" t="str">
        <f t="shared" ca="1" si="26"/>
        <v>(2026)</v>
      </c>
      <c r="K1638" s="7" t="str">
        <f t="shared" si="27"/>
        <v>21782896</v>
      </c>
      <c r="L1638" s="12" t="s">
        <v>8170</v>
      </c>
      <c r="M1638" s="13" t="str">
        <f ca="1">IFERROR(__xludf.DUMMYFUNCTION("TRIM(
  REGEXREPLACE(
    TEXTJOIN("" "",
      TRUE,
      B1638,
      C1638,
      embaralharLinks(E1638,F1638,G1638),
      H1638,
      """",
      J1638,
      N1638,
      ""#RIPNSFW""
    ),
  "",\s*"", "" "")
)"),"{New} Valerica Steele https://lulustream.com/d/ewuyyv3ki13g https://streamtape.com/v/6jWp49zrJAc93Op/21782896 https://doodstream.com/d/x0hvh9tohfh8/21782896 (2026) #teen #bigtits #blowjob #piss #RIPNSFW")</f>
        <v>{New} Valerica Steele https://lulustream.com/d/ewuyyv3ki13g https://streamtape.com/v/6jWp49zrJAc93Op/21782896 https://doodstream.com/d/x0hvh9tohfh8/21782896 (2026) #teen #bigtits #blowjob #piss #RIPNSFW</v>
      </c>
      <c r="N1638" s="31" t="s">
        <v>8170</v>
      </c>
      <c r="O1638" s="32" t="s">
        <v>8171</v>
      </c>
      <c r="P1638" s="26"/>
      <c r="Q1638" s="6"/>
      <c r="R1638" s="11"/>
      <c r="S1638" s="6"/>
      <c r="T1638" s="6"/>
      <c r="U1638" s="6"/>
      <c r="V1638" s="6"/>
      <c r="W1638" s="6"/>
      <c r="X1638" s="6"/>
      <c r="Y1638" s="6"/>
      <c r="Z1638" s="6"/>
      <c r="AA1638" s="6"/>
    </row>
    <row r="1639" spans="1:27" ht="12.75">
      <c r="A1639" s="6" t="s">
        <v>8172</v>
      </c>
      <c r="B1639" s="6" t="s">
        <v>14</v>
      </c>
      <c r="C1639" s="7" t="str">
        <f t="shared" si="24"/>
        <v xml:space="preserve">Valerica Steele </v>
      </c>
      <c r="D1639" s="24" t="s">
        <v>8173</v>
      </c>
      <c r="E1639" s="25" t="s">
        <v>8174</v>
      </c>
      <c r="F1639" s="9" t="str">
        <f ca="1">IFERROR(__xludf.DUMMYFUNCTION("""https://streamtape.com/v/""&amp;
REGEXEXTRACT(O1639,""/thumb/([^/]+)/"")&amp;
""/""&amp;K1639"),"https://streamtape.com/v/Kel6VKxJXLS0Qlm/33990394")</f>
        <v>https://streamtape.com/v/Kel6VKxJXLS0Qlm/33990394</v>
      </c>
      <c r="G1639" s="10" t="e">
        <f t="shared" ca="1" si="25"/>
        <v>#NAME?</v>
      </c>
      <c r="H1639" s="11" t="str">
        <f ca="1">IFERROR(__xludf.DUMMYFUNCTION("IFERROR(SUBSTITUTE(SUBSTITUTE(REGEXEXTRACT(A1639, ""[^-]+- [^-]+- [^-]+ - (.+?)\.jpg""), "".jpg"", """"), ""-"", "", ""), """")"),"")</f>
        <v/>
      </c>
      <c r="I1639" s="6"/>
      <c r="J1639" s="7" t="str">
        <f t="shared" ca="1" si="26"/>
        <v>(2026)</v>
      </c>
      <c r="K1639" s="7" t="str">
        <f t="shared" si="27"/>
        <v>33990394</v>
      </c>
      <c r="L1639" s="12" t="s">
        <v>8175</v>
      </c>
      <c r="M1639" s="13" t="str">
        <f ca="1">IFERROR(__xludf.DUMMYFUNCTION("TRIM(
  REGEXREPLACE(
    TEXTJOIN("" "",
      TRUE,
      B1639,
      C1639,
      embaralharLinks(E1639,F1639,G1639),
      H1639,
      """",
      J1639,
      N1639,
      ""#RIPNSFW""
    ),
  "",\s*"", "" "")
)"),"{New} Valerica Steele https://doodstream.com/d/hsi8qfulb760/33990394 https://lulustream.com/d/17osyv1mt1nl https://streamtape.com/v/Kel6VKxJXLS0Qlm/33990394 (2026) #blowjob #threesome #bigtits #teen #RIPNSFW")</f>
        <v>{New} Valerica Steele https://doodstream.com/d/hsi8qfulb760/33990394 https://lulustream.com/d/17osyv1mt1nl https://streamtape.com/v/Kel6VKxJXLS0Qlm/33990394 (2026) #blowjob #threesome #bigtits #teen #RIPNSFW</v>
      </c>
      <c r="N1639" s="31" t="s">
        <v>8175</v>
      </c>
      <c r="O1639" s="32" t="s">
        <v>8176</v>
      </c>
      <c r="P1639" s="26"/>
      <c r="Q1639" s="6"/>
      <c r="R1639" s="11"/>
      <c r="S1639" s="6"/>
      <c r="T1639" s="6"/>
      <c r="U1639" s="6"/>
      <c r="V1639" s="6"/>
      <c r="W1639" s="6"/>
      <c r="X1639" s="6"/>
      <c r="Y1639" s="6"/>
      <c r="Z1639" s="6"/>
      <c r="AA1639" s="6"/>
    </row>
    <row r="1640" spans="1:27" ht="12.75">
      <c r="A1640" s="12" t="s">
        <v>8177</v>
      </c>
      <c r="B1640" s="6" t="s">
        <v>14</v>
      </c>
      <c r="C1640" s="7" t="str">
        <f t="shared" si="24"/>
        <v xml:space="preserve">Valerica Steele </v>
      </c>
      <c r="D1640" s="24" t="s">
        <v>8178</v>
      </c>
      <c r="E1640" s="25" t="s">
        <v>8179</v>
      </c>
      <c r="F1640" s="9" t="str">
        <f ca="1">IFERROR(__xludf.DUMMYFUNCTION("""https://streamtape.com/v/""&amp;
REGEXEXTRACT(O1640,""/thumb/([^/]+)/"")&amp;
""/""&amp;K1640"),"https://streamtape.com/v/Y8dRAzr6w0c2dy/35896064")</f>
        <v>https://streamtape.com/v/Y8dRAzr6w0c2dy/35896064</v>
      </c>
      <c r="G1640" s="10" t="e">
        <f t="shared" ca="1" si="25"/>
        <v>#NAME?</v>
      </c>
      <c r="H1640" s="11" t="str">
        <f ca="1">IFERROR(__xludf.DUMMYFUNCTION("IFERROR(SUBSTITUTE(SUBSTITUTE(REGEXEXTRACT(A1640, ""[^-]+- [^-]+- [^-]+ - (.+?)\.jpg""), "".jpg"", """"), ""-"", "", ""), """")"),"")</f>
        <v/>
      </c>
      <c r="I1640" s="6"/>
      <c r="J1640" s="7" t="str">
        <f t="shared" ca="1" si="26"/>
        <v>(2026)</v>
      </c>
      <c r="K1640" s="7" t="str">
        <f t="shared" si="27"/>
        <v>35896064</v>
      </c>
      <c r="L1640" s="12" t="s">
        <v>8180</v>
      </c>
      <c r="M1640" s="13" t="str">
        <f ca="1">IFERROR(__xludf.DUMMYFUNCTION("TRIM(
  REGEXREPLACE(
    TEXTJOIN("" "",
      TRUE,
      B1640,
      C1640,
      embaralharLinks(E1640,F1640,G1640),
      H1640,
      """",
      J1640,
      N1640,
      ""#RIPNSFW""
    ),
  "",\s*"", "" "")
)"),"{New} Valerica Steele https://doodstream.com/d/cvepa15bjz17/35896064 https://streamtape.com/v/Y8dRAzr6w0c2dy/35896064 https://lulustream.com/d/1723lm9eljfj (2026) #teen #bigtits #interracial #blowjob #RIPNSFW")</f>
        <v>{New} Valerica Steele https://doodstream.com/d/cvepa15bjz17/35896064 https://streamtape.com/v/Y8dRAzr6w0c2dy/35896064 https://lulustream.com/d/1723lm9eljfj (2026) #teen #bigtits #interracial #blowjob #RIPNSFW</v>
      </c>
      <c r="N1640" s="2" t="s">
        <v>8180</v>
      </c>
      <c r="O1640" s="30" t="s">
        <v>8181</v>
      </c>
      <c r="P1640" s="26"/>
      <c r="R1640" s="23"/>
    </row>
    <row r="1641" spans="1:27" ht="12.75">
      <c r="A1641" s="12" t="s">
        <v>8182</v>
      </c>
      <c r="B1641" s="6" t="s">
        <v>14</v>
      </c>
      <c r="C1641" s="7" t="str">
        <f t="shared" si="24"/>
        <v xml:space="preserve">Valerica Steele </v>
      </c>
      <c r="D1641" s="24" t="s">
        <v>8183</v>
      </c>
      <c r="E1641" s="25" t="s">
        <v>8184</v>
      </c>
      <c r="F1641" s="9" t="str">
        <f ca="1">IFERROR(__xludf.DUMMYFUNCTION("""https://streamtape.com/v/""&amp;
REGEXEXTRACT(O1641,""/thumb/([^/]+)/"")&amp;
""/""&amp;K1641"),"https://streamtape.com/v/KyKKZ8gOoyC08LZ/40347610")</f>
        <v>https://streamtape.com/v/KyKKZ8gOoyC08LZ/40347610</v>
      </c>
      <c r="G1641" s="10" t="e">
        <f t="shared" ca="1" si="25"/>
        <v>#NAME?</v>
      </c>
      <c r="H1641" s="11" t="str">
        <f ca="1">IFERROR(__xludf.DUMMYFUNCTION("IFERROR(SUBSTITUTE(SUBSTITUTE(REGEXEXTRACT(A1641, ""[^-]+- [^-]+- [^-]+ - (.+?)\.jpg""), "".jpg"", """"), ""-"", "", ""), """")"),"")</f>
        <v/>
      </c>
      <c r="I1641" s="6"/>
      <c r="J1641" s="7" t="str">
        <f t="shared" ca="1" si="26"/>
        <v>(2026)</v>
      </c>
      <c r="K1641" s="7" t="str">
        <f t="shared" si="27"/>
        <v>40347610</v>
      </c>
      <c r="L1641" s="12" t="s">
        <v>2736</v>
      </c>
      <c r="M1641" s="13" t="str">
        <f ca="1">IFERROR(__xludf.DUMMYFUNCTION("TRIM(
  REGEXREPLACE(
    TEXTJOIN("" "",
      TRUE,
      B1641,
      C1641,
      embaralharLinks(E1641,F1641,G1641),
      H1641,
      """",
      J1641,
      N1641,
      ""#RIPNSFW""
    ),
  "",\s*"", "" "")
)"),"{New} Valerica Steele https://doodstream.com/d/nyr85nkm15b3/40347610 https://lulustream.com/d/urz42psjtaiw https://streamtape.com/v/KyKKZ8gOoyC08LZ/40347610 (2026) #teen #bigtits #blowjob #amateur #RIPNSFW")</f>
        <v>{New} Valerica Steele https://doodstream.com/d/nyr85nkm15b3/40347610 https://lulustream.com/d/urz42psjtaiw https://streamtape.com/v/KyKKZ8gOoyC08LZ/40347610 (2026) #teen #bigtits #blowjob #amateur #RIPNSFW</v>
      </c>
      <c r="N1641" s="2" t="s">
        <v>2736</v>
      </c>
      <c r="O1641" s="30" t="s">
        <v>8185</v>
      </c>
      <c r="P1641" s="26"/>
      <c r="R1641" s="23"/>
    </row>
    <row r="1642" spans="1:27" ht="12.75">
      <c r="A1642" s="12" t="s">
        <v>8186</v>
      </c>
      <c r="B1642" s="6" t="s">
        <v>14</v>
      </c>
      <c r="C1642" s="7" t="str">
        <f t="shared" si="24"/>
        <v xml:space="preserve">Valerica Steele </v>
      </c>
      <c r="D1642" s="27" t="s">
        <v>8187</v>
      </c>
      <c r="E1642" s="28" t="s">
        <v>8188</v>
      </c>
      <c r="F1642" s="9" t="str">
        <f ca="1">IFERROR(__xludf.DUMMYFUNCTION("""https://streamtape.com/v/""&amp;
REGEXEXTRACT(O1642,""/thumb/([^/]+)/"")&amp;
""/""&amp;K1642"),"https://streamtape.com/v/7jGOPamBMptJj3/46899517")</f>
        <v>https://streamtape.com/v/7jGOPamBMptJj3/46899517</v>
      </c>
      <c r="G1642" s="10" t="e">
        <f t="shared" ca="1" si="25"/>
        <v>#NAME?</v>
      </c>
      <c r="H1642" s="11" t="str">
        <f ca="1">IFERROR(__xludf.DUMMYFUNCTION("IFERROR(SUBSTITUTE(SUBSTITUTE(REGEXEXTRACT(A1642, ""[^-]+- [^-]+- [^-]+ - (.+?)\.jpg""), "".jpg"", """"), ""-"", "", ""), """")"),"")</f>
        <v/>
      </c>
      <c r="I1642" s="6"/>
      <c r="J1642" s="7" t="str">
        <f t="shared" ca="1" si="26"/>
        <v>(2026)</v>
      </c>
      <c r="K1642" s="7" t="str">
        <f t="shared" si="27"/>
        <v>46899517</v>
      </c>
      <c r="L1642" s="12" t="s">
        <v>3059</v>
      </c>
      <c r="M1642" s="13" t="str">
        <f ca="1">IFERROR(__xludf.DUMMYFUNCTION("TRIM(
  REGEXREPLACE(
    TEXTJOIN("" "",
      TRUE,
      B1642,
      C1642,
      embaralharLinks(E1642,F1642,G1642),
      H1642,
      """",
      J1642,
      N1642,
      ""#RIPNSFW""
    ),
  "",\s*"", "" "")
)"),"{New} Valerica Steele https://streamtape.com/v/7jGOPamBMptJj3/46899517 https://doodstream.com/d/6w27p3t1lqgl/46899517 https://lulustream.com/d/bz8t2gfiifl2 (2026) #BigTits #Creampie #Hardcore #Teen #RIPNSFW")</f>
        <v>{New} Valerica Steele https://streamtape.com/v/7jGOPamBMptJj3/46899517 https://doodstream.com/d/6w27p3t1lqgl/46899517 https://lulustream.com/d/bz8t2gfiifl2 (2026) #BigTits #Creampie #Hardcore #Teen #RIPNSFW</v>
      </c>
      <c r="N1642" s="2" t="s">
        <v>3060</v>
      </c>
      <c r="O1642" s="30" t="s">
        <v>8189</v>
      </c>
      <c r="P1642" s="26"/>
      <c r="R1642" s="23"/>
    </row>
    <row r="1643" spans="1:27" ht="12.75">
      <c r="A1643" s="6" t="s">
        <v>8190</v>
      </c>
      <c r="B1643" s="6" t="s">
        <v>14</v>
      </c>
      <c r="C1643" s="7" t="str">
        <f t="shared" si="24"/>
        <v xml:space="preserve">Valerica Steele </v>
      </c>
      <c r="D1643" s="6" t="s">
        <v>8191</v>
      </c>
      <c r="E1643" s="8" t="s">
        <v>8192</v>
      </c>
      <c r="F1643" s="9" t="str">
        <f ca="1">IFERROR(__xludf.DUMMYFUNCTION("""https://streamtape.com/v/""&amp;
REGEXEXTRACT(O1643,""/thumb/([^/]+)/"")&amp;
""/""&amp;K1643"),"https://streamtape.com/v/29pmxKDmRmSZyx7/47210811")</f>
        <v>https://streamtape.com/v/29pmxKDmRmSZyx7/47210811</v>
      </c>
      <c r="G1643" s="10" t="e">
        <f t="shared" ca="1" si="25"/>
        <v>#NAME?</v>
      </c>
      <c r="H1643" s="11" t="str">
        <f ca="1">IFERROR(__xludf.DUMMYFUNCTION("IFERROR(SUBSTITUTE(SUBSTITUTE(REGEXEXTRACT(A1643, ""[^-]+- [^-]+- [^-]+ - (.+?)\.jpg""), "".jpg"", """"), ""-"", "", ""), """")"),"")</f>
        <v/>
      </c>
      <c r="I1643" s="6"/>
      <c r="J1643" s="7" t="str">
        <f t="shared" ca="1" si="26"/>
        <v>(2026)</v>
      </c>
      <c r="K1643" s="7" t="str">
        <f t="shared" si="27"/>
        <v>47210811</v>
      </c>
      <c r="L1643" s="12" t="s">
        <v>2856</v>
      </c>
      <c r="M1643" s="13" t="str">
        <f ca="1">IFERROR(__xludf.DUMMYFUNCTION("TRIM(
  REGEXREPLACE(
    TEXTJOIN("" "",
      TRUE,
      B1643,
      C1643,
      embaralharLinks(E1643,F1643,G1643),
      H1643,
      """",
      J1643,
      N1643,
      ""#RIPNSFW""
    ),
  "",\s*"", "" "")
)"),"{New} Valerica Steele https://streamtape.com/v/29pmxKDmRmSZyx7/47210811 https://lulustream.com/d/yxbvi4cz58ob https://doodstream.com/d/zdtee12ed137/47210811 (2026) #BigTits #Creampie #Hardcore #Teen #Blowjob #Amateur #RIPNSFW")</f>
        <v>{New} Valerica Steele https://streamtape.com/v/29pmxKDmRmSZyx7/47210811 https://lulustream.com/d/yxbvi4cz58ob https://doodstream.com/d/zdtee12ed137/47210811 (2026) #BigTits #Creampie #Hardcore #Teen #Blowjob #Amateur #RIPNSFW</v>
      </c>
      <c r="N1643" s="14" t="s">
        <v>2857</v>
      </c>
      <c r="O1643" s="15" t="s">
        <v>8193</v>
      </c>
      <c r="P1643" s="14"/>
      <c r="Q1643" s="6"/>
      <c r="R1643" s="11"/>
      <c r="S1643" s="6"/>
      <c r="T1643" s="6"/>
      <c r="U1643" s="6"/>
      <c r="V1643" s="6"/>
      <c r="W1643" s="6"/>
      <c r="X1643" s="6"/>
      <c r="Y1643" s="6"/>
      <c r="Z1643" s="6"/>
      <c r="AA1643" s="6"/>
    </row>
    <row r="1644" spans="1:27" ht="12.75">
      <c r="A1644" s="12" t="s">
        <v>8194</v>
      </c>
      <c r="B1644" s="6" t="s">
        <v>14</v>
      </c>
      <c r="C1644" s="7" t="str">
        <f t="shared" si="24"/>
        <v xml:space="preserve">Valerica Steele </v>
      </c>
      <c r="D1644" s="24" t="s">
        <v>8195</v>
      </c>
      <c r="E1644" s="25" t="s">
        <v>8196</v>
      </c>
      <c r="F1644" s="9" t="str">
        <f ca="1">IFERROR(__xludf.DUMMYFUNCTION("""https://streamtape.com/v/""&amp;
REGEXEXTRACT(O1644,""/thumb/([^/]+)/"")&amp;
""/""&amp;K1644"),"https://streamtape.com/v/pg2oamJJAeTVAa/63981478")</f>
        <v>https://streamtape.com/v/pg2oamJJAeTVAa/63981478</v>
      </c>
      <c r="G1644" s="10" t="e">
        <f t="shared" ca="1" si="25"/>
        <v>#NAME?</v>
      </c>
      <c r="H1644" s="11" t="str">
        <f ca="1">IFERROR(__xludf.DUMMYFUNCTION("IFERROR(SUBSTITUTE(SUBSTITUTE(REGEXEXTRACT(A1644, ""[^-]+- [^-]+- [^-]+ - (.+?)\.jpg""), "".jpg"", """"), ""-"", "", ""), """")"),"")</f>
        <v/>
      </c>
      <c r="I1644" s="6"/>
      <c r="J1644" s="7" t="str">
        <f t="shared" ca="1" si="26"/>
        <v>(2026)</v>
      </c>
      <c r="K1644" s="7" t="str">
        <f t="shared" si="27"/>
        <v>63981478</v>
      </c>
      <c r="L1644" s="12" t="s">
        <v>8180</v>
      </c>
      <c r="M1644" s="13" t="str">
        <f ca="1">IFERROR(__xludf.DUMMYFUNCTION("TRIM(
  REGEXREPLACE(
    TEXTJOIN("" "",
      TRUE,
      B1644,
      C1644,
      embaralharLinks(E1644,F1644,G1644),
      H1644,
      """",
      J1644,
      N1644,
      ""#RIPNSFW""
    ),
  "",\s*"", "" "")
)"),"{New} Valerica Steele https://lulustream.com/d/bvoyfsee93q2 https://streamtape.com/v/pg2oamJJAeTVAa/63981478 https://doodstream.com/d/xztyhn0tflu8/63981478 (2026) #teen #bigtits #interracial #blowjob #RIPNSFW")</f>
        <v>{New} Valerica Steele https://lulustream.com/d/bvoyfsee93q2 https://streamtape.com/v/pg2oamJJAeTVAa/63981478 https://doodstream.com/d/xztyhn0tflu8/63981478 (2026) #teen #bigtits #interracial #blowjob #RIPNSFW</v>
      </c>
      <c r="N1644" s="2" t="s">
        <v>8180</v>
      </c>
      <c r="O1644" s="30" t="s">
        <v>8197</v>
      </c>
      <c r="P1644" s="26"/>
      <c r="R1644" s="23"/>
    </row>
    <row r="1645" spans="1:27" ht="12.75">
      <c r="A1645" s="12" t="s">
        <v>8198</v>
      </c>
      <c r="B1645" s="6" t="s">
        <v>14</v>
      </c>
      <c r="C1645" s="7" t="str">
        <f t="shared" si="24"/>
        <v xml:space="preserve">Valerica Steele </v>
      </c>
      <c r="D1645" s="24" t="s">
        <v>8199</v>
      </c>
      <c r="E1645" s="25" t="s">
        <v>8200</v>
      </c>
      <c r="F1645" s="9" t="str">
        <f ca="1">IFERROR(__xludf.DUMMYFUNCTION("""https://streamtape.com/v/""&amp;
REGEXEXTRACT(O1645,""/thumb/([^/]+)/"")&amp;
""/""&amp;K1645"),"https://streamtape.com/v/wP7Pa2oeApHJ7Al/64528221")</f>
        <v>https://streamtape.com/v/wP7Pa2oeApHJ7Al/64528221</v>
      </c>
      <c r="G1645" s="10" t="e">
        <f t="shared" ca="1" si="25"/>
        <v>#NAME?</v>
      </c>
      <c r="H1645" s="11" t="str">
        <f ca="1">IFERROR(__xludf.DUMMYFUNCTION("IFERROR(SUBSTITUTE(SUBSTITUTE(REGEXEXTRACT(A1645, ""[^-]+- [^-]+- [^-]+ - (.+?)\.jpg""), "".jpg"", """"), ""-"", "", ""), """")"),"Asteria Jade")</f>
        <v>Asteria Jade</v>
      </c>
      <c r="I1645" s="6"/>
      <c r="J1645" s="7" t="str">
        <f t="shared" ca="1" si="26"/>
        <v>(2026)</v>
      </c>
      <c r="K1645" s="7" t="str">
        <f t="shared" si="27"/>
        <v>64528221</v>
      </c>
      <c r="L1645" s="12" t="s">
        <v>8201</v>
      </c>
      <c r="M1645" s="13" t="str">
        <f ca="1">IFERROR(__xludf.DUMMYFUNCTION("TRIM(
  REGEXREPLACE(
    TEXTJOIN("" "",
      TRUE,
      B1645,
      C1645,
      embaralharLinks(E1645,F1645,G1645),
      H1645,
      """",
      J1645,
      N1645,
      ""#RIPNSFW""
    ),
  "",\s*"", "" "")
)"),"{New} Valerica Steele https://doodstream.com/d/jee37s84sucd/64528221 https://streamtape.com/v/wP7Pa2oeApHJ7Al/64528221 https://lulustream.com/d/36a9h9e0mutc Asteria Jade (2026) #bigtits #blowjob #teens #interracial #RIPNSFW")</f>
        <v>{New} Valerica Steele https://doodstream.com/d/jee37s84sucd/64528221 https://streamtape.com/v/wP7Pa2oeApHJ7Al/64528221 https://lulustream.com/d/36a9h9e0mutc Asteria Jade (2026) #bigtits #blowjob #teens #interracial #RIPNSFW</v>
      </c>
      <c r="N1645" s="2" t="s">
        <v>8201</v>
      </c>
      <c r="O1645" s="30" t="s">
        <v>8202</v>
      </c>
      <c r="P1645" s="26"/>
      <c r="R1645" s="23"/>
    </row>
    <row r="1646" spans="1:27" ht="12.75">
      <c r="A1646" s="6" t="s">
        <v>8203</v>
      </c>
      <c r="B1646" s="6" t="s">
        <v>14</v>
      </c>
      <c r="C1646" s="7" t="str">
        <f t="shared" si="24"/>
        <v xml:space="preserve">Valerica Steele </v>
      </c>
      <c r="D1646" s="6" t="s">
        <v>8204</v>
      </c>
      <c r="E1646" s="8" t="s">
        <v>8205</v>
      </c>
      <c r="F1646" s="9" t="str">
        <f ca="1">IFERROR(__xludf.DUMMYFUNCTION("""https://streamtape.com/v/""&amp;
REGEXEXTRACT(O1646,""/thumb/([^/]+)/"")&amp;
""/""&amp;K1646"),"https://streamtape.com/v/DXZ0e4DkgmckaQB/67298684")</f>
        <v>https://streamtape.com/v/DXZ0e4DkgmckaQB/67298684</v>
      </c>
      <c r="G1646" s="10" t="e">
        <f t="shared" ca="1" si="25"/>
        <v>#NAME?</v>
      </c>
      <c r="H1646" s="11" t="str">
        <f ca="1">IFERROR(__xludf.DUMMYFUNCTION("IFERROR(SUBSTITUTE(SUBSTITUTE(REGEXEXTRACT(A1646, ""[^-]+- [^-]+- [^-]+ - (.+?)\.jpg""), "".jpg"", """"), ""-"", "", ""), """")"),"")</f>
        <v/>
      </c>
      <c r="I1646" s="6"/>
      <c r="J1646" s="7" t="str">
        <f t="shared" ca="1" si="26"/>
        <v>(2026)</v>
      </c>
      <c r="K1646" s="7" t="str">
        <f t="shared" si="27"/>
        <v>67298684</v>
      </c>
      <c r="L1646" s="12" t="s">
        <v>8206</v>
      </c>
      <c r="M1646" s="13" t="str">
        <f ca="1">IFERROR(__xludf.DUMMYFUNCTION("TRIM(
  REGEXREPLACE(
    TEXTJOIN("" "",
      TRUE,
      B1646,
      C1646,
      embaralharLinks(E1646,F1646,G1646),
      H1646,
      """",
      J1646,
      N1646,
      ""#RIPNSFW""
    ),
  "",\s*"", "" "")
)"),"{New} Valerica Steele https://lulustream.com/d/agsy6c2zgci4 https://doodstream.com/d/zjbctmdr8235/67298684 https://streamtape.com/v/DXZ0e4DkgmckaQB/67298684 (2026) #Creampie #Hardcore #Black #Interracial #Teen #Squirt #Blowjob #Amateur #RIPNSFW")</f>
        <v>{New} Valerica Steele https://lulustream.com/d/agsy6c2zgci4 https://doodstream.com/d/zjbctmdr8235/67298684 https://streamtape.com/v/DXZ0e4DkgmckaQB/67298684 (2026) #Creampie #Hardcore #Black #Interracial #Teen #Squirt #Blowjob #Amateur #RIPNSFW</v>
      </c>
      <c r="N1646" s="14" t="s">
        <v>8207</v>
      </c>
      <c r="O1646" s="15" t="s">
        <v>8208</v>
      </c>
      <c r="P1646" s="14"/>
      <c r="Q1646" s="6"/>
      <c r="R1646" s="11"/>
      <c r="S1646" s="6"/>
      <c r="T1646" s="6"/>
      <c r="U1646" s="6"/>
      <c r="V1646" s="6"/>
      <c r="W1646" s="6"/>
      <c r="X1646" s="6"/>
      <c r="Y1646" s="6"/>
      <c r="Z1646" s="6"/>
      <c r="AA1646" s="6"/>
    </row>
    <row r="1647" spans="1:27" ht="12.75">
      <c r="A1647" s="6" t="s">
        <v>8209</v>
      </c>
      <c r="B1647" s="6" t="s">
        <v>14</v>
      </c>
      <c r="C1647" s="7" t="str">
        <f t="shared" si="24"/>
        <v xml:space="preserve">Valerica Steele </v>
      </c>
      <c r="D1647" s="24" t="s">
        <v>8210</v>
      </c>
      <c r="E1647" s="25" t="s">
        <v>8211</v>
      </c>
      <c r="F1647" s="9" t="str">
        <f ca="1">IFERROR(__xludf.DUMMYFUNCTION("""https://streamtape.com/v/""&amp;
REGEXEXTRACT(O1647,""/thumb/([^/]+)/"")&amp;
""/""&amp;K1647"),"https://streamtape.com/v/e2Xw1wP70GsYr9G/69304102")</f>
        <v>https://streamtape.com/v/e2Xw1wP70GsYr9G/69304102</v>
      </c>
      <c r="G1647" s="10" t="e">
        <f t="shared" ca="1" si="25"/>
        <v>#NAME?</v>
      </c>
      <c r="H1647" s="11" t="str">
        <f ca="1">IFERROR(__xludf.DUMMYFUNCTION("IFERROR(SUBSTITUTE(SUBSTITUTE(REGEXEXTRACT(A1647, ""[^-]+- [^-]+- [^-]+ - (.+?)\.jpg""), "".jpg"", """"), ""-"", "", ""), """")"),"")</f>
        <v/>
      </c>
      <c r="I1647" s="6"/>
      <c r="J1647" s="7" t="str">
        <f t="shared" ca="1" si="26"/>
        <v>(2026)</v>
      </c>
      <c r="K1647" s="7" t="str">
        <f t="shared" si="27"/>
        <v>69304102</v>
      </c>
      <c r="L1647" s="12" t="s">
        <v>8212</v>
      </c>
      <c r="M1647" s="13" t="str">
        <f ca="1">IFERROR(__xludf.DUMMYFUNCTION("TRIM(
  REGEXREPLACE(
    TEXTJOIN("" "",
      TRUE,
      B1647,
      C1647,
      embaralharLinks(E1647,F1647,G1647),
      H1647,
      """",
      J1647,
      N1647,
      ""#RIPNSFW""
    ),
  "",\s*"", "" "")
)"),"{New} Valerica Steele https://streamtape.com/v/e2Xw1wP70GsYr9G/69304102 https://lulustream.com/d/z0hm2fbqgs8p https://doodstream.com/d/xd4ol3z9h66j/69304102 (2026) #teen #interracial #bigtits #blowjob #RIPNSFW")</f>
        <v>{New} Valerica Steele https://streamtape.com/v/e2Xw1wP70GsYr9G/69304102 https://lulustream.com/d/z0hm2fbqgs8p https://doodstream.com/d/xd4ol3z9h66j/69304102 (2026) #teen #interracial #bigtits #blowjob #RIPNSFW</v>
      </c>
      <c r="N1647" s="31" t="s">
        <v>8212</v>
      </c>
      <c r="O1647" s="32" t="s">
        <v>8213</v>
      </c>
      <c r="P1647" s="26"/>
      <c r="Q1647" s="6"/>
      <c r="R1647" s="11"/>
      <c r="S1647" s="6"/>
      <c r="T1647" s="6"/>
      <c r="U1647" s="6"/>
      <c r="V1647" s="6"/>
      <c r="W1647" s="6"/>
      <c r="X1647" s="6"/>
      <c r="Y1647" s="6"/>
      <c r="Z1647" s="6"/>
      <c r="AA1647" s="6"/>
    </row>
    <row r="1648" spans="1:27" ht="12.75">
      <c r="A1648" s="12" t="s">
        <v>8214</v>
      </c>
      <c r="B1648" s="6" t="s">
        <v>14</v>
      </c>
      <c r="C1648" s="7" t="str">
        <f t="shared" si="24"/>
        <v xml:space="preserve">Valerica Steele </v>
      </c>
      <c r="D1648" s="24" t="s">
        <v>8215</v>
      </c>
      <c r="E1648" s="25" t="s">
        <v>8216</v>
      </c>
      <c r="F1648" s="9" t="str">
        <f ca="1">IFERROR(__xludf.DUMMYFUNCTION("""https://streamtape.com/v/""&amp;
REGEXEXTRACT(O1648,""/thumb/([^/]+)/"")&amp;
""/""&amp;K1648"),"https://streamtape.com/v/MjavKkZ0YlSmjaY/75492502")</f>
        <v>https://streamtape.com/v/MjavKkZ0YlSmjaY/75492502</v>
      </c>
      <c r="G1648" s="10" t="e">
        <f t="shared" ca="1" si="25"/>
        <v>#NAME?</v>
      </c>
      <c r="H1648" s="11" t="str">
        <f ca="1">IFERROR(__xludf.DUMMYFUNCTION("IFERROR(SUBSTITUTE(SUBSTITUTE(REGEXEXTRACT(A1648, ""[^-]+- [^-]+- [^-]+ - (.+?)\.jpg""), "".jpg"", """"), ""-"", "", ""), """")"),"")</f>
        <v/>
      </c>
      <c r="I1648" s="6"/>
      <c r="J1648" s="7" t="str">
        <f t="shared" ca="1" si="26"/>
        <v>(2026)</v>
      </c>
      <c r="K1648" s="7" t="str">
        <f t="shared" si="27"/>
        <v>75492502</v>
      </c>
      <c r="L1648" s="12" t="s">
        <v>8217</v>
      </c>
      <c r="M1648" s="13" t="str">
        <f ca="1">IFERROR(__xludf.DUMMYFUNCTION("TRIM(
  REGEXREPLACE(
    TEXTJOIN("" "",
      TRUE,
      B1648,
      C1648,
      embaralharLinks(E1648,F1648,G1648),
      H1648,
      """",
      J1648,
      N1648,
      ""#RIPNSFW""
    ),
  "",\s*"", "" "")
)"),"{New} Valerica Steele https://doodstream.com/d/c77xubz3h5gb/75492502 https://streamtape.com/v/MjavKkZ0YlSmjaY/75492502 https://lulustream.com/d/4xa3y2htqi70 (2026) #teen #outdoor #bigtits #blowjob #RIPNSFW")</f>
        <v>{New} Valerica Steele https://doodstream.com/d/c77xubz3h5gb/75492502 https://streamtape.com/v/MjavKkZ0YlSmjaY/75492502 https://lulustream.com/d/4xa3y2htqi70 (2026) #teen #outdoor #bigtits #blowjob #RIPNSFW</v>
      </c>
      <c r="N1648" s="2" t="s">
        <v>8217</v>
      </c>
      <c r="O1648" s="30" t="s">
        <v>8218</v>
      </c>
      <c r="P1648" s="26"/>
      <c r="R1648" s="23"/>
    </row>
    <row r="1649" spans="1:27" ht="12.75">
      <c r="A1649" s="6" t="s">
        <v>8219</v>
      </c>
      <c r="B1649" s="6" t="s">
        <v>14</v>
      </c>
      <c r="C1649" s="7" t="str">
        <f t="shared" si="24"/>
        <v xml:space="preserve">Valerica Steele </v>
      </c>
      <c r="D1649" s="6" t="s">
        <v>8220</v>
      </c>
      <c r="E1649" s="8" t="s">
        <v>8221</v>
      </c>
      <c r="F1649" s="9" t="str">
        <f ca="1">IFERROR(__xludf.DUMMYFUNCTION("""https://streamtape.com/v/""&amp;
REGEXEXTRACT(O1649,""/thumb/([^/]+)/"")&amp;
""/""&amp;K1649"),"https://streamtape.com/v/zLqLvyv6LMTYq0o/83725491")</f>
        <v>https://streamtape.com/v/zLqLvyv6LMTYq0o/83725491</v>
      </c>
      <c r="G1649" s="10" t="e">
        <f t="shared" ca="1" si="25"/>
        <v>#NAME?</v>
      </c>
      <c r="H1649" s="11" t="str">
        <f ca="1">IFERROR(__xludf.DUMMYFUNCTION("IFERROR(SUBSTITUTE(SUBSTITUTE(REGEXEXTRACT(A1649, ""[^-]+- [^-]+- [^-]+ - (.+?)\.jpg""), "".jpg"", """"), ""-"", "", ""), """")"),"")</f>
        <v/>
      </c>
      <c r="I1649" s="6"/>
      <c r="J1649" s="7" t="str">
        <f t="shared" ca="1" si="26"/>
        <v>(2026)</v>
      </c>
      <c r="K1649" s="7" t="str">
        <f t="shared" si="27"/>
        <v>83725491</v>
      </c>
      <c r="L1649" s="12" t="s">
        <v>8222</v>
      </c>
      <c r="M1649" s="13" t="str">
        <f ca="1">IFERROR(__xludf.DUMMYFUNCTION("TRIM(
  REGEXREPLACE(
    TEXTJOIN("" "",
      TRUE,
      B1649,
      C1649,
      embaralharLinks(E1649,F1649,G1649),
      H1649,
      """",
      J1649,
      N1649,
      ""#RIPNSFW""
    ),
  "",\s*"", "" "")
)"),"{New} Valerica Steele https://streamtape.com/v/zLqLvyv6LMTYq0o/83725491 https://lulustream.com/d/rm7rq061h5cl https://doodstream.com/d/zoayj3ogdoi8/83725491 (2026) #Hardcore #Black #Interracial #Bigass #RIPNSFW")</f>
        <v>{New} Valerica Steele https://streamtape.com/v/zLqLvyv6LMTYq0o/83725491 https://lulustream.com/d/rm7rq061h5cl https://doodstream.com/d/zoayj3ogdoi8/83725491 (2026) #Hardcore #Black #Interracial #Bigass #RIPNSFW</v>
      </c>
      <c r="N1649" s="14" t="s">
        <v>7022</v>
      </c>
      <c r="O1649" s="15" t="s">
        <v>8223</v>
      </c>
      <c r="P1649" s="14"/>
      <c r="Q1649" s="6"/>
      <c r="R1649" s="11"/>
      <c r="S1649" s="6"/>
      <c r="T1649" s="6"/>
      <c r="U1649" s="6"/>
      <c r="V1649" s="6"/>
      <c r="W1649" s="6"/>
      <c r="X1649" s="6"/>
      <c r="Y1649" s="6"/>
      <c r="Z1649" s="6"/>
      <c r="AA1649" s="6"/>
    </row>
    <row r="1650" spans="1:27" ht="12.75">
      <c r="A1650" s="12" t="s">
        <v>8224</v>
      </c>
      <c r="B1650" s="6" t="s">
        <v>14</v>
      </c>
      <c r="C1650" s="7" t="str">
        <f t="shared" si="24"/>
        <v xml:space="preserve">Valerica Steele </v>
      </c>
      <c r="D1650" s="24" t="s">
        <v>8225</v>
      </c>
      <c r="E1650" s="25" t="s">
        <v>8226</v>
      </c>
      <c r="F1650" s="9" t="str">
        <f ca="1">IFERROR(__xludf.DUMMYFUNCTION("""https://streamtape.com/v/""&amp;
REGEXEXTRACT(O1650,""/thumb/([^/]+)/"")&amp;
""/""&amp;K1650"),"https://streamtape.com/v/Q2B9mOPr1di06Dp/88056051")</f>
        <v>https://streamtape.com/v/Q2B9mOPr1di06Dp/88056051</v>
      </c>
      <c r="G1650" s="10" t="e">
        <f t="shared" ca="1" si="25"/>
        <v>#NAME?</v>
      </c>
      <c r="H1650" s="11" t="str">
        <f ca="1">IFERROR(__xludf.DUMMYFUNCTION("IFERROR(SUBSTITUTE(SUBSTITUTE(REGEXEXTRACT(A1650, ""[^-]+- [^-]+- [^-]+ - (.+?)\.jpg""), "".jpg"", """"), ""-"", "", ""), """")"),"")</f>
        <v/>
      </c>
      <c r="I1650" s="6"/>
      <c r="J1650" s="7" t="str">
        <f t="shared" ca="1" si="26"/>
        <v>(2026)</v>
      </c>
      <c r="K1650" s="7" t="str">
        <f t="shared" si="27"/>
        <v>88056051</v>
      </c>
      <c r="L1650" s="12" t="s">
        <v>2736</v>
      </c>
      <c r="M1650" s="13" t="str">
        <f ca="1">IFERROR(__xludf.DUMMYFUNCTION("TRIM(
  REGEXREPLACE(
    TEXTJOIN("" "",
      TRUE,
      B1650,
      C1650,
      embaralharLinks(E1650,F1650,G1650),
      H1650,
      """",
      J1650,
      N1650,
      ""#RIPNSFW""
    ),
  "",\s*"", "" "")
)"),"{New} Valerica Steele https://lulustream.com/d/ev5o8hddll76 https://streamtape.com/v/Q2B9mOPr1di06Dp/88056051 https://doodstream.com/d/7emozhou77dq/88056051 (2026) #teen #bigtits #blowjob #amateur #RIPNSFW")</f>
        <v>{New} Valerica Steele https://lulustream.com/d/ev5o8hddll76 https://streamtape.com/v/Q2B9mOPr1di06Dp/88056051 https://doodstream.com/d/7emozhou77dq/88056051 (2026) #teen #bigtits #blowjob #amateur #RIPNSFW</v>
      </c>
      <c r="N1650" s="2" t="s">
        <v>2736</v>
      </c>
      <c r="O1650" s="30" t="s">
        <v>8227</v>
      </c>
      <c r="P1650" s="26"/>
      <c r="R1650" s="23"/>
    </row>
    <row r="1651" spans="1:27" ht="12.75">
      <c r="A1651" s="12" t="s">
        <v>8228</v>
      </c>
      <c r="B1651" s="6" t="s">
        <v>14</v>
      </c>
      <c r="C1651" s="7" t="str">
        <f t="shared" si="24"/>
        <v xml:space="preserve">Valerica Steele </v>
      </c>
      <c r="D1651" s="24" t="s">
        <v>8229</v>
      </c>
      <c r="E1651" s="25" t="s">
        <v>8230</v>
      </c>
      <c r="F1651" s="9" t="str">
        <f ca="1">IFERROR(__xludf.DUMMYFUNCTION("""https://streamtape.com/v/""&amp;
REGEXEXTRACT(O1651,""/thumb/([^/]+)/"")&amp;
""/""&amp;K1651"),"https://streamtape.com/v/9O1vrQpJeKiBqw/88316277")</f>
        <v>https://streamtape.com/v/9O1vrQpJeKiBqw/88316277</v>
      </c>
      <c r="G1651" s="10" t="e">
        <f t="shared" ca="1" si="25"/>
        <v>#NAME?</v>
      </c>
      <c r="H1651" s="11" t="str">
        <f ca="1">IFERROR(__xludf.DUMMYFUNCTION("IFERROR(SUBSTITUTE(SUBSTITUTE(REGEXEXTRACT(A1651, ""[^-]+- [^-]+- [^-]+ - (.+?)\.jpg""), "".jpg"", """"), ""-"", "", ""), """")"),"")</f>
        <v/>
      </c>
      <c r="I1651" s="6"/>
      <c r="J1651" s="7" t="str">
        <f t="shared" ca="1" si="26"/>
        <v>(2026)</v>
      </c>
      <c r="K1651" s="7" t="str">
        <f t="shared" si="27"/>
        <v>88316277</v>
      </c>
      <c r="L1651" s="12" t="s">
        <v>2736</v>
      </c>
      <c r="M1651" s="13" t="str">
        <f ca="1">IFERROR(__xludf.DUMMYFUNCTION("TRIM(
  REGEXREPLACE(
    TEXTJOIN("" "",
      TRUE,
      B1651,
      C1651,
      embaralharLinks(E1651,F1651,G1651),
      H1651,
      """",
      J1651,
      N1651,
      ""#RIPNSFW""
    ),
  "",\s*"", "" "")
)"),"{New} Valerica Steele https://lulustream.com/d/5dlpnidr6iic https://streamtape.com/v/9O1vrQpJeKiBqw/88316277 https://doodstream.com/d/3d5593edffzg/88316277 (2026) #teen #bigtits #blowjob #amateur #RIPNSFW")</f>
        <v>{New} Valerica Steele https://lulustream.com/d/5dlpnidr6iic https://streamtape.com/v/9O1vrQpJeKiBqw/88316277 https://doodstream.com/d/3d5593edffzg/88316277 (2026) #teen #bigtits #blowjob #amateur #RIPNSFW</v>
      </c>
      <c r="N1651" s="2" t="s">
        <v>2736</v>
      </c>
      <c r="O1651" s="30" t="s">
        <v>8231</v>
      </c>
      <c r="P1651" s="26"/>
      <c r="R1651" s="23"/>
    </row>
    <row r="1652" spans="1:27" ht="12.75">
      <c r="A1652" s="6" t="s">
        <v>8232</v>
      </c>
      <c r="B1652" s="6" t="s">
        <v>14</v>
      </c>
      <c r="C1652" s="7" t="str">
        <f t="shared" si="24"/>
        <v xml:space="preserve">Valerica Steele </v>
      </c>
      <c r="D1652" s="24" t="s">
        <v>8233</v>
      </c>
      <c r="E1652" s="25" t="s">
        <v>8234</v>
      </c>
      <c r="F1652" s="9" t="str">
        <f ca="1">IFERROR(__xludf.DUMMYFUNCTION("""https://streamtape.com/v/""&amp;
REGEXEXTRACT(O1652,""/thumb/([^/]+)/"")&amp;
""/""&amp;K1652"),"https://streamtape.com/v/6k8AqDV9Lpu9B74/93431306")</f>
        <v>https://streamtape.com/v/6k8AqDV9Lpu9B74/93431306</v>
      </c>
      <c r="G1652" s="10" t="e">
        <f t="shared" ca="1" si="25"/>
        <v>#NAME?</v>
      </c>
      <c r="H1652" s="11" t="str">
        <f ca="1">IFERROR(__xludf.DUMMYFUNCTION("IFERROR(SUBSTITUTE(SUBSTITUTE(REGEXEXTRACT(A1652, ""[^-]+- [^-]+- [^-]+ - (.+?)\.jpg""), "".jpg"", """"), ""-"", "", ""), """")"),"")</f>
        <v/>
      </c>
      <c r="I1652" s="6"/>
      <c r="J1652" s="7" t="str">
        <f t="shared" ca="1" si="26"/>
        <v>(2026)</v>
      </c>
      <c r="K1652" s="7" t="str">
        <f t="shared" si="27"/>
        <v>93431306</v>
      </c>
      <c r="L1652" s="12" t="s">
        <v>2736</v>
      </c>
      <c r="M1652" s="13" t="str">
        <f ca="1">IFERROR(__xludf.DUMMYFUNCTION("TRIM(
  REGEXREPLACE(
    TEXTJOIN("" "",
      TRUE,
      B1652,
      C1652,
      embaralharLinks(E1652,F1652,G1652),
      H1652,
      """",
      J1652,
      N1652,
      ""#RIPNSFW""
    ),
  "",\s*"", "" "")
)"),"{New} Valerica Steele https://streamtape.com/v/6k8AqDV9Lpu9B74/93431306 https://lulustream.com/d/hzc1a4v8zrcj https://doodstream.com/d/kuvb1w2rfal1/93431306 (2026) #teen #bigtits #blowjob #amateur #RIPNSFW")</f>
        <v>{New} Valerica Steele https://streamtape.com/v/6k8AqDV9Lpu9B74/93431306 https://lulustream.com/d/hzc1a4v8zrcj https://doodstream.com/d/kuvb1w2rfal1/93431306 (2026) #teen #bigtits #blowjob #amateur #RIPNSFW</v>
      </c>
      <c r="N1652" s="31" t="s">
        <v>2736</v>
      </c>
      <c r="O1652" s="32" t="s">
        <v>8235</v>
      </c>
      <c r="P1652" s="26"/>
      <c r="Q1652" s="6"/>
      <c r="R1652" s="11"/>
      <c r="S1652" s="6"/>
      <c r="T1652" s="6"/>
      <c r="U1652" s="6"/>
      <c r="V1652" s="6"/>
      <c r="W1652" s="6"/>
      <c r="X1652" s="6"/>
      <c r="Y1652" s="6"/>
      <c r="Z1652" s="6"/>
      <c r="AA1652" s="6"/>
    </row>
    <row r="1653" spans="1:27" ht="12.75">
      <c r="A1653" s="12" t="s">
        <v>8236</v>
      </c>
      <c r="B1653" s="6" t="s">
        <v>14</v>
      </c>
      <c r="C1653" s="7" t="str">
        <f t="shared" si="24"/>
        <v xml:space="preserve">Valerica Steele </v>
      </c>
      <c r="D1653" s="24" t="s">
        <v>8237</v>
      </c>
      <c r="E1653" s="25" t="s">
        <v>8238</v>
      </c>
      <c r="F1653" s="9" t="str">
        <f ca="1">IFERROR(__xludf.DUMMYFUNCTION("""https://streamtape.com/v/""&amp;
REGEXEXTRACT(O1653,""/thumb/([^/]+)/"")&amp;
""/""&amp;K1653"),"https://streamtape.com/v/9kP18KDWDZh9R8/94903486")</f>
        <v>https://streamtape.com/v/9kP18KDWDZh9R8/94903486</v>
      </c>
      <c r="G1653" s="10" t="e">
        <f t="shared" ca="1" si="25"/>
        <v>#NAME?</v>
      </c>
      <c r="H1653" s="11" t="str">
        <f ca="1">IFERROR(__xludf.DUMMYFUNCTION("IFERROR(SUBSTITUTE(SUBSTITUTE(REGEXEXTRACT(A1653, ""[^-]+- [^-]+- [^-]+ - (.+?)\.jpg""), "".jpg"", """"), ""-"", "", ""), """")"),"")</f>
        <v/>
      </c>
      <c r="I1653" s="6"/>
      <c r="J1653" s="7" t="str">
        <f t="shared" ca="1" si="26"/>
        <v>(2026)</v>
      </c>
      <c r="K1653" s="7" t="str">
        <f t="shared" si="27"/>
        <v>94903486</v>
      </c>
      <c r="L1653" s="12" t="s">
        <v>2747</v>
      </c>
      <c r="M1653" s="13" t="str">
        <f ca="1">IFERROR(__xludf.DUMMYFUNCTION("TRIM(
  REGEXREPLACE(
    TEXTJOIN("" "",
      TRUE,
      B1653,
      C1653,
      embaralharLinks(E1653,F1653,G1653),
      H1653,
      """",
      J1653,
      N1653,
      ""#RIPNSFW""
    ),
  "",\s*"", "" "")
)"),"{New} Valerica Steele https://streamtape.com/v/9kP18KDWDZh9R8/94903486 https://doodstream.com/d/o1nzikkpir53/94903486 https://lulustream.com/d/n7h4f8grt3at (2026) #teen #bigtits #pov #blowjob #RIPNSFW")</f>
        <v>{New} Valerica Steele https://streamtape.com/v/9kP18KDWDZh9R8/94903486 https://doodstream.com/d/o1nzikkpir53/94903486 https://lulustream.com/d/n7h4f8grt3at (2026) #teen #bigtits #pov #blowjob #RIPNSFW</v>
      </c>
      <c r="N1653" s="2" t="s">
        <v>2747</v>
      </c>
      <c r="O1653" s="30" t="s">
        <v>8239</v>
      </c>
      <c r="P1653" s="26"/>
      <c r="R1653" s="23"/>
    </row>
    <row r="1654" spans="1:27" ht="12.75">
      <c r="A1654" s="12" t="s">
        <v>8240</v>
      </c>
      <c r="B1654" s="6" t="s">
        <v>14</v>
      </c>
      <c r="C1654" s="7" t="str">
        <f t="shared" si="24"/>
        <v xml:space="preserve">Valerica Steele </v>
      </c>
      <c r="D1654" s="24" t="s">
        <v>8241</v>
      </c>
      <c r="E1654" s="25" t="s">
        <v>8242</v>
      </c>
      <c r="F1654" s="9" t="str">
        <f ca="1">IFERROR(__xludf.DUMMYFUNCTION("""https://streamtape.com/v/""&amp;
REGEXEXTRACT(O1654,""/thumb/([^/]+)/"")&amp;
""/""&amp;K1654"),"https://streamtape.com/v/lqR0y9qWa1U7GXW/96288677")</f>
        <v>https://streamtape.com/v/lqR0y9qWa1U7GXW/96288677</v>
      </c>
      <c r="G1654" s="10" t="e">
        <f t="shared" ca="1" si="25"/>
        <v>#NAME?</v>
      </c>
      <c r="H1654" s="11" t="str">
        <f ca="1">IFERROR(__xludf.DUMMYFUNCTION("IFERROR(SUBSTITUTE(SUBSTITUTE(REGEXEXTRACT(A1654, ""[^-]+- [^-]+- [^-]+ - (.+?)\.jpg""), "".jpg"", """"), ""-"", "", ""), """")"),"")</f>
        <v/>
      </c>
      <c r="I1654" s="6"/>
      <c r="J1654" s="7" t="str">
        <f t="shared" ca="1" si="26"/>
        <v>(2026)</v>
      </c>
      <c r="K1654" s="7" t="str">
        <f t="shared" si="27"/>
        <v>96288677</v>
      </c>
      <c r="L1654" s="12" t="s">
        <v>8243</v>
      </c>
      <c r="M1654" s="13" t="str">
        <f ca="1">IFERROR(__xludf.DUMMYFUNCTION("TRIM(
  REGEXREPLACE(
    TEXTJOIN("" "",
      TRUE,
      B1654,
      C1654,
      embaralharLinks(E1654,F1654,G1654),
      H1654,
      """",
      J1654,
      N1654,
      ""#RIPNSFW""
    ),
  "",\s*"", "" "")
)"),"{New} Valerica Steele https://lulustream.com/d/el9obmlv96rj https://doodstream.com/d/qbb6d88sueg4/96288677 https://streamtape.com/v/lqR0y9qWa1U7GXW/96288677 (2026) #teen #bigtits #blowjob #massage #RIPNSFW")</f>
        <v>{New} Valerica Steele https://lulustream.com/d/el9obmlv96rj https://doodstream.com/d/qbb6d88sueg4/96288677 https://streamtape.com/v/lqR0y9qWa1U7GXW/96288677 (2026) #teen #bigtits #blowjob #massage #RIPNSFW</v>
      </c>
      <c r="N1654" s="2" t="s">
        <v>8243</v>
      </c>
      <c r="O1654" s="30" t="s">
        <v>8244</v>
      </c>
      <c r="P1654" s="26"/>
      <c r="R1654" s="23"/>
      <c r="T1654" s="6"/>
      <c r="U1654" s="7"/>
    </row>
    <row r="1655" spans="1:27" ht="12.75">
      <c r="A1655" s="6" t="s">
        <v>8245</v>
      </c>
      <c r="B1655" s="6" t="s">
        <v>14</v>
      </c>
      <c r="C1655" s="7" t="str">
        <f t="shared" si="24"/>
        <v xml:space="preserve">Valerica Steele </v>
      </c>
      <c r="D1655" s="29" t="s">
        <v>8246</v>
      </c>
      <c r="E1655" s="8" t="s">
        <v>8247</v>
      </c>
      <c r="F1655" s="9" t="str">
        <f ca="1">IFERROR(__xludf.DUMMYFUNCTION("""https://streamtape.com/v/""&amp;
REGEXEXTRACT(O1655,""/thumb/([^/]+)/"")&amp;
""/""&amp;K1655"),"https://streamtape.com/v/m1dmDoKzoQhbbqQ/96346788")</f>
        <v>https://streamtape.com/v/m1dmDoKzoQhbbqQ/96346788</v>
      </c>
      <c r="G1655" s="10" t="e">
        <f t="shared" ca="1" si="25"/>
        <v>#NAME?</v>
      </c>
      <c r="H1655" s="11" t="str">
        <f ca="1">IFERROR(__xludf.DUMMYFUNCTION("IFERROR(SUBSTITUTE(SUBSTITUTE(REGEXEXTRACT(A1655, ""[^-]+- [^-]+- [^-]+ - (.+?)\.jpg""), "".jpg"", """"), ""-"", "", ""), """")"),"")</f>
        <v/>
      </c>
      <c r="I1655" s="6"/>
      <c r="J1655" s="7" t="str">
        <f t="shared" ca="1" si="26"/>
        <v>(2026)</v>
      </c>
      <c r="K1655" s="7" t="str">
        <f t="shared" si="27"/>
        <v>96346788</v>
      </c>
      <c r="L1655" s="12" t="s">
        <v>8248</v>
      </c>
      <c r="M1655" s="13" t="str">
        <f ca="1">IFERROR(__xludf.DUMMYFUNCTION("TRIM(
  REGEXREPLACE(
    TEXTJOIN("" "",
      TRUE,
      B1655,
      C1655,
      embaralharLinks(E1655,F1655,G1655),
      H1655,
      """",
      J1655,
      N1655,
      ""#RIPNSFW""
    ),
  "",\s*"", "" "")
)"),"{New} Valerica Steele https://doodstream.com/d/lbe1kzsgf1r1/96346788 https://streamtape.com/v/m1dmDoKzoQhbbqQ/96346788 https://lulustream.com/d/k208sr9aypke (2026) #BigTits #Hardcore #Threesome #Teen #Porn #RIPNSFW")</f>
        <v>{New} Valerica Steele https://doodstream.com/d/lbe1kzsgf1r1/96346788 https://streamtape.com/v/m1dmDoKzoQhbbqQ/96346788 https://lulustream.com/d/k208sr9aypke (2026) #BigTits #Hardcore #Threesome #Teen #Porn #RIPNSFW</v>
      </c>
      <c r="N1655" s="14" t="s">
        <v>8249</v>
      </c>
      <c r="O1655" s="32" t="s">
        <v>8250</v>
      </c>
      <c r="P1655" s="14"/>
      <c r="Q1655" s="6"/>
      <c r="R1655" s="11"/>
      <c r="S1655" s="6"/>
      <c r="T1655" s="6"/>
      <c r="U1655" s="6"/>
      <c r="V1655" s="6"/>
      <c r="W1655" s="6"/>
      <c r="X1655" s="6"/>
      <c r="Y1655" s="6"/>
      <c r="Z1655" s="6"/>
      <c r="AA1655" s="6"/>
    </row>
    <row r="1656" spans="1:27" ht="12.75">
      <c r="A1656" s="12" t="s">
        <v>8251</v>
      </c>
      <c r="B1656" s="6" t="s">
        <v>14</v>
      </c>
      <c r="C1656" s="7" t="str">
        <f t="shared" si="24"/>
        <v xml:space="preserve">Valerica Steele </v>
      </c>
      <c r="D1656" s="24" t="s">
        <v>8252</v>
      </c>
      <c r="E1656" s="25" t="s">
        <v>8253</v>
      </c>
      <c r="F1656" s="9" t="str">
        <f ca="1">IFERROR(__xludf.DUMMYFUNCTION("""https://streamtape.com/v/""&amp;
REGEXEXTRACT(O1656,""/thumb/([^/]+)/"")&amp;
""/""&amp;K1656"),"https://streamtape.com/v/J3zwRAr1LkFjzbe/97879386")</f>
        <v>https://streamtape.com/v/J3zwRAr1LkFjzbe/97879386</v>
      </c>
      <c r="G1656" s="10" t="e">
        <f t="shared" ca="1" si="25"/>
        <v>#NAME?</v>
      </c>
      <c r="H1656" s="11" t="str">
        <f ca="1">IFERROR(__xludf.DUMMYFUNCTION("IFERROR(SUBSTITUTE(SUBSTITUTE(REGEXEXTRACT(A1656, ""[^-]+- [^-]+- [^-]+ - (.+?)\.jpg""), "".jpg"", """"), ""-"", "", ""), """")"),"")</f>
        <v/>
      </c>
      <c r="I1656" s="6"/>
      <c r="J1656" s="7" t="str">
        <f t="shared" ca="1" si="26"/>
        <v>(2026)</v>
      </c>
      <c r="K1656" s="7" t="str">
        <f t="shared" si="27"/>
        <v>97879386</v>
      </c>
      <c r="L1656" s="12" t="s">
        <v>2736</v>
      </c>
      <c r="M1656" s="13" t="str">
        <f ca="1">IFERROR(__xludf.DUMMYFUNCTION("TRIM(
  REGEXREPLACE(
    TEXTJOIN("" "",
      TRUE,
      B1656,
      C1656,
      embaralharLinks(E1656,F1656,G1656),
      H1656,
      """",
      J1656,
      N1656,
      ""#RIPNSFW""
    ),
  "",\s*"", "" "")
)"),"{New} Valerica Steele https://streamtape.com/v/J3zwRAr1LkFjzbe/97879386 https://doodstream.com/d/09fansd4qe2i/97879386 https://lulustream.com/d/rpxbegz71ilg (2026) #teen #bigtits #blowjob #amateur #RIPNSFW")</f>
        <v>{New} Valerica Steele https://streamtape.com/v/J3zwRAr1LkFjzbe/97879386 https://doodstream.com/d/09fansd4qe2i/97879386 https://lulustream.com/d/rpxbegz71ilg (2026) #teen #bigtits #blowjob #amateur #RIPNSFW</v>
      </c>
      <c r="N1656" s="2" t="s">
        <v>2736</v>
      </c>
      <c r="O1656" s="30" t="s">
        <v>8254</v>
      </c>
      <c r="P1656" s="26"/>
      <c r="R1656" s="23"/>
    </row>
    <row r="1657" spans="1:27" ht="12.75">
      <c r="A1657" s="6" t="s">
        <v>8255</v>
      </c>
      <c r="B1657" s="6" t="s">
        <v>14</v>
      </c>
      <c r="C1657" s="7" t="str">
        <f t="shared" si="24"/>
        <v xml:space="preserve">Vanda Angel </v>
      </c>
      <c r="D1657" s="24" t="s">
        <v>8256</v>
      </c>
      <c r="E1657" s="25" t="s">
        <v>8257</v>
      </c>
      <c r="F1657" s="9" t="str">
        <f ca="1">IFERROR(__xludf.DUMMYFUNCTION("""https://streamtape.com/v/""&amp;
REGEXEXTRACT(O1657,""/thumb/([^/]+)/"")&amp;
""/""&amp;K1657"),"https://streamtape.com/v/gry6337z4ZTq8K8/23666695")</f>
        <v>https://streamtape.com/v/gry6337z4ZTq8K8/23666695</v>
      </c>
      <c r="G1657" s="10" t="e">
        <f t="shared" ca="1" si="25"/>
        <v>#NAME?</v>
      </c>
      <c r="H1657" s="11" t="str">
        <f ca="1">IFERROR(__xludf.DUMMYFUNCTION("IFERROR(SUBSTITUTE(SUBSTITUTE(REGEXEXTRACT(A1657, ""[^-]+- [^-]+- [^-]+ - (.+?)\.jpg""), "".jpg"", """"), ""-"", "", ""), """")"),"")</f>
        <v/>
      </c>
      <c r="I1657" s="6"/>
      <c r="J1657" s="7" t="str">
        <f t="shared" ca="1" si="26"/>
        <v>(2026)</v>
      </c>
      <c r="K1657" s="7" t="str">
        <f t="shared" si="27"/>
        <v>23666695</v>
      </c>
      <c r="L1657" s="12" t="s">
        <v>1569</v>
      </c>
      <c r="M1657" s="13" t="str">
        <f ca="1">IFERROR(__xludf.DUMMYFUNCTION("TRIM(
  REGEXREPLACE(
    TEXTJOIN("" "",
      TRUE,
      B1657,
      C1657,
      embaralharLinks(E1657,F1657,G1657),
      H1657,
      """",
      J1657,
      N1657,
      ""#RIPNSFW""
    ),
  "",\s*"", "" "")
)"),"{New} Vanda Angel https://streamtape.com/v/gry6337z4ZTq8K8/23666695 https://doodstream.com/d/c6a7xivn8iph/23666695 https://lulustream.com/d/4r5vq5v0fydp (2026) #teen #bigtits #bigass #blowjob #RIPNSFW")</f>
        <v>{New} Vanda Angel https://streamtape.com/v/gry6337z4ZTq8K8/23666695 https://doodstream.com/d/c6a7xivn8iph/23666695 https://lulustream.com/d/4r5vq5v0fydp (2026) #teen #bigtits #bigass #blowjob #RIPNSFW</v>
      </c>
      <c r="N1657" s="31" t="s">
        <v>1569</v>
      </c>
      <c r="O1657" s="32" t="s">
        <v>8258</v>
      </c>
      <c r="P1657" s="26"/>
      <c r="Q1657" s="6"/>
      <c r="R1657" s="23"/>
      <c r="S1657" s="6"/>
      <c r="T1657" s="6"/>
      <c r="U1657" s="7"/>
      <c r="V1657" s="6"/>
      <c r="X1657" s="6"/>
      <c r="Y1657" s="6"/>
      <c r="Z1657" s="6"/>
      <c r="AA1657" s="6"/>
    </row>
    <row r="1658" spans="1:27" ht="12.75">
      <c r="A1658" s="6" t="s">
        <v>8259</v>
      </c>
      <c r="B1658" s="6" t="s">
        <v>14</v>
      </c>
      <c r="C1658" s="7" t="str">
        <f t="shared" si="24"/>
        <v xml:space="preserve">Vanda Angel </v>
      </c>
      <c r="D1658" s="24" t="s">
        <v>8260</v>
      </c>
      <c r="E1658" s="25" t="s">
        <v>8261</v>
      </c>
      <c r="F1658" s="9" t="str">
        <f ca="1">IFERROR(__xludf.DUMMYFUNCTION("""https://streamtape.com/v/""&amp;
REGEXEXTRACT(O1658,""/thumb/([^/]+)/"")&amp;
""/""&amp;K1658"),"https://streamtape.com/v/g1pKlp04Q9IqRxj/65423416")</f>
        <v>https://streamtape.com/v/g1pKlp04Q9IqRxj/65423416</v>
      </c>
      <c r="G1658" s="10" t="e">
        <f t="shared" ca="1" si="25"/>
        <v>#NAME?</v>
      </c>
      <c r="H1658" s="11" t="str">
        <f ca="1">IFERROR(__xludf.DUMMYFUNCTION("IFERROR(SUBSTITUTE(SUBSTITUTE(REGEXEXTRACT(A1658, ""[^-]+- [^-]+- [^-]+ - (.+?)\.jpg""), "".jpg"", """"), ""-"", "", ""), """")"),"")</f>
        <v/>
      </c>
      <c r="I1658" s="6"/>
      <c r="J1658" s="7" t="str">
        <f t="shared" ca="1" si="26"/>
        <v>(2026)</v>
      </c>
      <c r="K1658" s="7" t="str">
        <f t="shared" si="27"/>
        <v>65423416</v>
      </c>
      <c r="L1658" s="12" t="s">
        <v>8262</v>
      </c>
      <c r="M1658" s="13" t="str">
        <f ca="1">IFERROR(__xludf.DUMMYFUNCTION("TRIM(
  REGEXREPLACE(
    TEXTJOIN("" "",
      TRUE,
      B1658,
      C1658,
      embaralharLinks(E1658,F1658,G1658),
      H1658,
      """",
      J1658,
      N1658,
      ""#RIPNSFW""
    ),
  "",\s*"", "" "")
)"),"{New} Vanda Angel https://lulustream.com/d/lt7ovqfwdoia https://doodstream.com/d/ce1dtrqufv0c/65423416 https://streamtape.com/v/g1pKlp04Q9IqRxj/65423416 (2026) #teen #blowjob #bigtits #porn #RIPNSFW")</f>
        <v>{New} Vanda Angel https://lulustream.com/d/lt7ovqfwdoia https://doodstream.com/d/ce1dtrqufv0c/65423416 https://streamtape.com/v/g1pKlp04Q9IqRxj/65423416 (2026) #teen #blowjob #bigtits #porn #RIPNSFW</v>
      </c>
      <c r="N1658" s="31" t="s">
        <v>8262</v>
      </c>
      <c r="O1658" s="32" t="s">
        <v>8263</v>
      </c>
      <c r="P1658" s="26"/>
      <c r="Q1658" s="6"/>
      <c r="R1658" s="23"/>
      <c r="S1658" s="6"/>
      <c r="T1658" s="6"/>
      <c r="U1658" s="7"/>
      <c r="V1658" s="6"/>
      <c r="X1658" s="6"/>
      <c r="Y1658" s="6"/>
      <c r="Z1658" s="6"/>
      <c r="AA1658" s="6"/>
    </row>
    <row r="1659" spans="1:27" ht="12.75">
      <c r="A1659" s="12" t="s">
        <v>8264</v>
      </c>
      <c r="B1659" s="6" t="s">
        <v>14</v>
      </c>
      <c r="C1659" s="7" t="str">
        <f t="shared" si="24"/>
        <v xml:space="preserve">Vanessa Sky </v>
      </c>
      <c r="D1659" s="24" t="s">
        <v>8265</v>
      </c>
      <c r="E1659" s="25" t="s">
        <v>8266</v>
      </c>
      <c r="F1659" s="9" t="str">
        <f ca="1">IFERROR(__xludf.DUMMYFUNCTION("""https://streamtape.com/v/""&amp;
REGEXEXTRACT(O1659,""/thumb/([^/]+)/"")&amp;
""/""&amp;K1659"),"https://streamtape.com/v/RDDXDJ2LvMHdQXw/15447404")</f>
        <v>https://streamtape.com/v/RDDXDJ2LvMHdQXw/15447404</v>
      </c>
      <c r="G1659" s="10" t="e">
        <f t="shared" ca="1" si="25"/>
        <v>#NAME?</v>
      </c>
      <c r="H1659" s="11" t="str">
        <f ca="1">IFERROR(__xludf.DUMMYFUNCTION("IFERROR(SUBSTITUTE(SUBSTITUTE(REGEXEXTRACT(A1659, ""[^-]+- [^-]+- [^-]+ - (.+?)\.jpg""), "".jpg"", """"), ""-"", "", ""), """")"),"")</f>
        <v/>
      </c>
      <c r="I1659" s="6"/>
      <c r="J1659" s="7" t="str">
        <f t="shared" ca="1" si="26"/>
        <v>(2026)</v>
      </c>
      <c r="K1659" s="7" t="str">
        <f t="shared" si="27"/>
        <v>15447404</v>
      </c>
      <c r="L1659" s="12" t="s">
        <v>8267</v>
      </c>
      <c r="M1659" s="13" t="str">
        <f ca="1">IFERROR(__xludf.DUMMYFUNCTION("TRIM(
  REGEXREPLACE(
    TEXTJOIN("" "",
      TRUE,
      B1659,
      C1659,
      embaralharLinks(E1659,F1659,G1659),
      H1659,
      """",
      J1659,
      N1659,
      ""#RIPNSFW""
    ),
  "",\s*"", "" "")
)"),"{New} Vanessa Sky https://streamtape.com/v/RDDXDJ2LvMHdQXw/15447404 https://lulustream.com/d/zdhh2vgx5bmp https://doodstream.com/d/s4q3uud9ax97/15447404 (2026) #brunette #blowjob #bigtits #porn #RIPNSFW")</f>
        <v>{New} Vanessa Sky https://streamtape.com/v/RDDXDJ2LvMHdQXw/15447404 https://lulustream.com/d/zdhh2vgx5bmp https://doodstream.com/d/s4q3uud9ax97/15447404 (2026) #brunette #blowjob #bigtits #porn #RIPNSFW</v>
      </c>
      <c r="N1659" s="2" t="s">
        <v>8267</v>
      </c>
      <c r="O1659" s="30" t="s">
        <v>8268</v>
      </c>
      <c r="P1659" s="26"/>
      <c r="R1659" s="23"/>
    </row>
    <row r="1660" spans="1:27" ht="12.75">
      <c r="A1660" s="6" t="s">
        <v>8269</v>
      </c>
      <c r="B1660" s="6" t="s">
        <v>14</v>
      </c>
      <c r="C1660" s="7" t="str">
        <f t="shared" si="24"/>
        <v xml:space="preserve">Violet Dawn </v>
      </c>
      <c r="D1660" s="6" t="s">
        <v>8270</v>
      </c>
      <c r="E1660" s="8" t="s">
        <v>8271</v>
      </c>
      <c r="F1660" s="9" t="str">
        <f ca="1">IFERROR(__xludf.DUMMYFUNCTION("""https://streamtape.com/v/""&amp;
REGEXEXTRACT(O1660,""/thumb/([^/]+)/"")&amp;
""/""&amp;K1660"),"https://streamtape.com/v/pMy82jgyQzhW6e/76000213")</f>
        <v>https://streamtape.com/v/pMy82jgyQzhW6e/76000213</v>
      </c>
      <c r="G1660" s="10" t="e">
        <f t="shared" ca="1" si="25"/>
        <v>#NAME?</v>
      </c>
      <c r="H1660" s="11" t="str">
        <f ca="1">IFERROR(__xludf.DUMMYFUNCTION("IFERROR(SUBSTITUTE(SUBSTITUTE(REGEXEXTRACT(A1660, ""[^-]+- [^-]+- [^-]+ - (.+?)\.jpg""), "".jpg"", """"), ""-"", "", ""), """")"),"")</f>
        <v/>
      </c>
      <c r="I1660" s="6"/>
      <c r="J1660" s="7" t="str">
        <f t="shared" ca="1" si="26"/>
        <v>(2026)</v>
      </c>
      <c r="K1660" s="7" t="str">
        <f t="shared" si="27"/>
        <v>76000213</v>
      </c>
      <c r="L1660" s="12" t="s">
        <v>8272</v>
      </c>
      <c r="M1660" s="13" t="str">
        <f ca="1">IFERROR(__xludf.DUMMYFUNCTION("TRIM(
  REGEXREPLACE(
    TEXTJOIN("" "",
      TRUE,
      B1660,
      C1660,
      embaralharLinks(E1660,F1660,G1660),
      H1660,
      """",
      J1660,
      N1660,
      ""#RIPNSFW""
    ),
  "",\s*"", "" "")
)"),"{New} Violet Dawn https://lulustream.com/d/vjvxzt4mpeuh https://streamtape.com/v/pMy82jgyQzhW6e/76000213 https://doodstream.com/d/8qs1t60gs2kh/76000213 (2026) #Anal #Hardcore #Teen #Blowjob #Amateur #Facial #RIPNSFW")</f>
        <v>{New} Violet Dawn https://lulustream.com/d/vjvxzt4mpeuh https://streamtape.com/v/pMy82jgyQzhW6e/76000213 https://doodstream.com/d/8qs1t60gs2kh/76000213 (2026) #Anal #Hardcore #Teen #Blowjob #Amateur #Facial #RIPNSFW</v>
      </c>
      <c r="N1660" s="14" t="s">
        <v>8273</v>
      </c>
      <c r="O1660" s="15" t="s">
        <v>8274</v>
      </c>
      <c r="P1660" s="14"/>
      <c r="Q1660" s="6"/>
      <c r="R1660" s="11"/>
      <c r="S1660" s="6"/>
      <c r="T1660" s="6"/>
      <c r="U1660" s="6"/>
      <c r="V1660" s="6"/>
      <c r="W1660" s="6"/>
      <c r="X1660" s="6"/>
      <c r="Y1660" s="6"/>
      <c r="Z1660" s="6"/>
      <c r="AA1660" s="6"/>
    </row>
    <row r="1661" spans="1:27" ht="12.75">
      <c r="A1661" s="12" t="s">
        <v>8275</v>
      </c>
      <c r="B1661" s="6" t="s">
        <v>14</v>
      </c>
      <c r="C1661" s="7" t="str">
        <f t="shared" si="24"/>
        <v xml:space="preserve">Violet Myers </v>
      </c>
      <c r="D1661" s="24" t="s">
        <v>8276</v>
      </c>
      <c r="E1661" s="25" t="s">
        <v>8277</v>
      </c>
      <c r="F1661" s="9" t="str">
        <f ca="1">IFERROR(__xludf.DUMMYFUNCTION("""https://streamtape.com/v/""&amp;
REGEXEXTRACT(O1661,""/thumb/([^/]+)/"")&amp;
""/""&amp;K1661"),"https://streamtape.com/v/QgYDPLoRRlf0OZ2/10931012")</f>
        <v>https://streamtape.com/v/QgYDPLoRRlf0OZ2/10931012</v>
      </c>
      <c r="G1661" s="10" t="e">
        <f t="shared" ca="1" si="25"/>
        <v>#NAME?</v>
      </c>
      <c r="H1661" s="11" t="str">
        <f ca="1">IFERROR(__xludf.DUMMYFUNCTION("IFERROR(SUBSTITUTE(SUBSTITUTE(REGEXEXTRACT(A1661, ""[^-]+- [^-]+- [^-]+ - (.+?)\.jpg""), "".jpg"", """"), ""-"", "", ""), """")"),"")</f>
        <v/>
      </c>
      <c r="I1661" s="6"/>
      <c r="J1661" s="7" t="str">
        <f t="shared" ca="1" si="26"/>
        <v>(2026)</v>
      </c>
      <c r="K1661" s="7" t="str">
        <f t="shared" si="27"/>
        <v>10931012</v>
      </c>
      <c r="L1661" s="12" t="s">
        <v>8278</v>
      </c>
      <c r="M1661" s="13" t="str">
        <f ca="1">IFERROR(__xludf.DUMMYFUNCTION("TRIM(
  REGEXREPLACE(
    TEXTJOIN("" "",
      TRUE,
      B1661,
      C1661,
      embaralharLinks(E1661,F1661,G1661),
      H1661,
      """",
      J1661,
      N1661,
      ""#RIPNSFW""
    ),
  "",\s*"", "" "")
)"),"{New} Violet Myers https://streamtape.com/v/QgYDPLoRRlf0OZ2/10931012 https://lulustream.com/d/pbuuaqeftp9c https://doodstream.com/d/2zrw66l28y5q/10931012 (2026) #milf #bigass #bigtits #brunette #RIPNSFW")</f>
        <v>{New} Violet Myers https://streamtape.com/v/QgYDPLoRRlf0OZ2/10931012 https://lulustream.com/d/pbuuaqeftp9c https://doodstream.com/d/2zrw66l28y5q/10931012 (2026) #milf #bigass #bigtits #brunette #RIPNSFW</v>
      </c>
      <c r="N1661" s="2" t="s">
        <v>8278</v>
      </c>
      <c r="O1661" s="30" t="s">
        <v>8279</v>
      </c>
      <c r="P1661" s="26"/>
      <c r="R1661" s="23"/>
    </row>
    <row r="1662" spans="1:27" ht="12.75">
      <c r="A1662" s="12" t="s">
        <v>8280</v>
      </c>
      <c r="B1662" s="6" t="s">
        <v>14</v>
      </c>
      <c r="C1662" s="7" t="str">
        <f t="shared" si="24"/>
        <v xml:space="preserve">Violet Myers </v>
      </c>
      <c r="D1662" s="24" t="s">
        <v>8281</v>
      </c>
      <c r="E1662" s="25" t="s">
        <v>8282</v>
      </c>
      <c r="F1662" s="9" t="str">
        <f ca="1">IFERROR(__xludf.DUMMYFUNCTION("""https://streamtape.com/v/""&amp;
REGEXEXTRACT(O1662,""/thumb/([^/]+)/"")&amp;
""/""&amp;K1662"),"https://streamtape.com/v/dpKr9WBxMWCkW08/10931617")</f>
        <v>https://streamtape.com/v/dpKr9WBxMWCkW08/10931617</v>
      </c>
      <c r="G1662" s="10" t="e">
        <f t="shared" ca="1" si="25"/>
        <v>#NAME?</v>
      </c>
      <c r="H1662" s="11" t="str">
        <f ca="1">IFERROR(__xludf.DUMMYFUNCTION("IFERROR(SUBSTITUTE(SUBSTITUTE(REGEXEXTRACT(A1662, ""[^-]+- [^-]+- [^-]+ - (.+?)\.jpg""), "".jpg"", """"), ""-"", "", ""), """")"),"")</f>
        <v/>
      </c>
      <c r="I1662" s="6"/>
      <c r="J1662" s="7" t="str">
        <f t="shared" ca="1" si="26"/>
        <v>(2026)</v>
      </c>
      <c r="K1662" s="7" t="str">
        <f t="shared" si="27"/>
        <v>10931617</v>
      </c>
      <c r="L1662" s="12" t="s">
        <v>1798</v>
      </c>
      <c r="M1662" s="13" t="str">
        <f ca="1">IFERROR(__xludf.DUMMYFUNCTION("TRIM(
  REGEXREPLACE(
    TEXTJOIN("" "",
      TRUE,
      B1662,
      C1662,
      embaralharLinks(E1662,F1662,G1662),
      H1662,
      """",
      J1662,
      N1662,
      ""#RIPNSFW""
    ),
  "",\s*"", "" "")
)"),"{New} Violet Myers https://doodstream.com/d/ugtpqlv5t84p/10931617 https://streamtape.com/v/dpKr9WBxMWCkW08/10931617 https://lulustream.com/d/k1nvryv3t1f2 (2026) #milf #bigtits #hardcore #bigass #RIPNSFW")</f>
        <v>{New} Violet Myers https://doodstream.com/d/ugtpqlv5t84p/10931617 https://streamtape.com/v/dpKr9WBxMWCkW08/10931617 https://lulustream.com/d/k1nvryv3t1f2 (2026) #milf #bigtits #hardcore #bigass #RIPNSFW</v>
      </c>
      <c r="N1662" s="2" t="s">
        <v>1798</v>
      </c>
      <c r="O1662" s="30" t="s">
        <v>8283</v>
      </c>
      <c r="P1662" s="26"/>
      <c r="R1662" s="23"/>
      <c r="T1662" s="6"/>
      <c r="U1662" s="7"/>
      <c r="Z1662" s="12"/>
      <c r="AA1662" s="12"/>
    </row>
    <row r="1663" spans="1:27" ht="12.75">
      <c r="A1663" s="6" t="s">
        <v>8284</v>
      </c>
      <c r="B1663" s="6" t="s">
        <v>14</v>
      </c>
      <c r="C1663" s="7" t="str">
        <f t="shared" si="24"/>
        <v xml:space="preserve">Violet Myers </v>
      </c>
      <c r="D1663" s="6" t="s">
        <v>8285</v>
      </c>
      <c r="E1663" s="8" t="s">
        <v>8286</v>
      </c>
      <c r="F1663" s="9" t="str">
        <f ca="1">IFERROR(__xludf.DUMMYFUNCTION("""https://streamtape.com/v/""&amp;
REGEXEXTRACT(O1663,""/thumb/([^/]+)/"")&amp;
""/""&amp;K1663"),"https://streamtape.com/v/Z2L1yM762kFqWJV/11112124")</f>
        <v>https://streamtape.com/v/Z2L1yM762kFqWJV/11112124</v>
      </c>
      <c r="G1663" s="10" t="e">
        <f t="shared" ca="1" si="25"/>
        <v>#NAME?</v>
      </c>
      <c r="H1663" s="11" t="str">
        <f ca="1">IFERROR(__xludf.DUMMYFUNCTION("IFERROR(SUBSTITUTE(SUBSTITUTE(REGEXEXTRACT(A1663, ""[^-]+- [^-]+- [^-]+ - (.+?)\.jpg""), "".jpg"", """"), ""-"", "", ""), """")"),"Raissa Bellini")</f>
        <v>Raissa Bellini</v>
      </c>
      <c r="I1663" s="6"/>
      <c r="J1663" s="7" t="str">
        <f t="shared" ca="1" si="26"/>
        <v>(2026)</v>
      </c>
      <c r="K1663" s="7" t="str">
        <f t="shared" si="27"/>
        <v>11112124</v>
      </c>
      <c r="L1663" s="12" t="s">
        <v>8287</v>
      </c>
      <c r="M1663" s="13" t="str">
        <f ca="1">IFERROR(__xludf.DUMMYFUNCTION("TRIM(
  REGEXREPLACE(
    TEXTJOIN("" "",
      TRUE,
      B1663,
      C1663,
      embaralharLinks(E1663,F1663,G1663),
      H1663,
      """",
      J1663,
      N1663,
      ""#RIPNSFW""
    ),
  "",\s*"", "" "")
)"),"{New} Violet Myers https://streamtape.com/v/Z2L1yM762kFqWJV/11112124 https://doodstream.com/d/ieilsa1p9ld1/11112124 https://lulustream.com/d/o05webquflwa Raissa Bellini (2026) #MILF #BigTits #Hardcore #Threesome #Bigass #Latina #RIPNSFW")</f>
        <v>{New} Violet Myers https://streamtape.com/v/Z2L1yM762kFqWJV/11112124 https://doodstream.com/d/ieilsa1p9ld1/11112124 https://lulustream.com/d/o05webquflwa Raissa Bellini (2026) #MILF #BigTits #Hardcore #Threesome #Bigass #Latina #RIPNSFW</v>
      </c>
      <c r="N1663" s="14" t="s">
        <v>8288</v>
      </c>
      <c r="O1663" s="15" t="s">
        <v>8289</v>
      </c>
      <c r="P1663" s="14"/>
      <c r="Q1663" s="6"/>
      <c r="R1663" s="11"/>
      <c r="S1663" s="6"/>
      <c r="T1663" s="6"/>
      <c r="U1663" s="6"/>
      <c r="V1663" s="6"/>
      <c r="W1663" s="6"/>
      <c r="X1663" s="6"/>
      <c r="Y1663" s="6"/>
      <c r="Z1663" s="6"/>
      <c r="AA1663" s="6"/>
    </row>
    <row r="1664" spans="1:27" ht="12.75">
      <c r="A1664" s="6" t="s">
        <v>8290</v>
      </c>
      <c r="B1664" s="6" t="s">
        <v>14</v>
      </c>
      <c r="C1664" s="7" t="str">
        <f t="shared" si="24"/>
        <v xml:space="preserve">Violet Myers </v>
      </c>
      <c r="D1664" s="6" t="s">
        <v>8291</v>
      </c>
      <c r="E1664" s="8" t="s">
        <v>8292</v>
      </c>
      <c r="F1664" s="9" t="str">
        <f ca="1">IFERROR(__xludf.DUMMYFUNCTION("""https://streamtape.com/v/""&amp;
REGEXEXTRACT(O1664,""/thumb/([^/]+)/"")&amp;
""/""&amp;K1664"),"https://streamtape.com/v/aGbzl9BODJFx39j/12322457")</f>
        <v>https://streamtape.com/v/aGbzl9BODJFx39j/12322457</v>
      </c>
      <c r="G1664" s="10" t="e">
        <f t="shared" ca="1" si="25"/>
        <v>#NAME?</v>
      </c>
      <c r="H1664" s="11" t="str">
        <f ca="1">IFERROR(__xludf.DUMMYFUNCTION("IFERROR(SUBSTITUTE(SUBSTITUTE(REGEXEXTRACT(A1664, ""[^-]+- [^-]+- [^-]+ - (.+?)\.jpg""), "".jpg"", """"), ""-"", "", ""), """")"),"Lena the plug")</f>
        <v>Lena the plug</v>
      </c>
      <c r="I1664" s="6"/>
      <c r="J1664" s="7" t="str">
        <f t="shared" ca="1" si="26"/>
        <v>(2026)</v>
      </c>
      <c r="K1664" s="7" t="str">
        <f t="shared" si="27"/>
        <v>12322457</v>
      </c>
      <c r="L1664" s="12" t="s">
        <v>8293</v>
      </c>
      <c r="M1664" s="13" t="str">
        <f ca="1">IFERROR(__xludf.DUMMYFUNCTION("TRIM(
  REGEXREPLACE(
    TEXTJOIN("" "",
      TRUE,
      B1664,
      C1664,
      embaralharLinks(E1664,F1664,G1664),
      H1664,
      """",
      J1664,
      N1664,
      ""#RIPNSFW""
    ),
  "",\s*"", "" "")
)"),"{New} Violet Myers https://lulustream.com/d/2cwswu3wdy5e https://doodstream.com/d/xgflanlsvcar/12322457 https://streamtape.com/v/aGbzl9BODJFx39j/12322457 Lena the plug (2026) #MILF #BigTits #Hardcore #Threesome #Bigass #Latina #RIPNSFW")</f>
        <v>{New} Violet Myers https://lulustream.com/d/2cwswu3wdy5e https://doodstream.com/d/xgflanlsvcar/12322457 https://streamtape.com/v/aGbzl9BODJFx39j/12322457 Lena the plug (2026) #MILF #BigTits #Hardcore #Threesome #Bigass #Latina #RIPNSFW</v>
      </c>
      <c r="N1664" s="14" t="s">
        <v>8288</v>
      </c>
      <c r="O1664" s="15" t="s">
        <v>8294</v>
      </c>
      <c r="P1664" s="14"/>
      <c r="Q1664" s="6"/>
      <c r="R1664" s="11"/>
      <c r="S1664" s="6"/>
      <c r="T1664" s="6"/>
      <c r="U1664" s="6"/>
      <c r="V1664" s="6"/>
      <c r="W1664" s="6"/>
      <c r="X1664" s="6"/>
      <c r="Y1664" s="6"/>
      <c r="Z1664" s="6"/>
      <c r="AA1664" s="6"/>
    </row>
    <row r="1665" spans="1:27" ht="12.75">
      <c r="A1665" s="12" t="s">
        <v>8295</v>
      </c>
      <c r="B1665" s="6" t="s">
        <v>14</v>
      </c>
      <c r="C1665" s="7" t="str">
        <f t="shared" si="24"/>
        <v xml:space="preserve">Violet Myers </v>
      </c>
      <c r="D1665" s="24" t="s">
        <v>8296</v>
      </c>
      <c r="E1665" s="25" t="s">
        <v>8297</v>
      </c>
      <c r="F1665" s="9" t="str">
        <f ca="1">IFERROR(__xludf.DUMMYFUNCTION("""https://streamtape.com/v/""&amp;
REGEXEXTRACT(O1665,""/thumb/([^/]+)/"")&amp;
""/""&amp;K1665"),"https://streamtape.com/v/9oxgYWPRVDSagWA/12378786")</f>
        <v>https://streamtape.com/v/9oxgYWPRVDSagWA/12378786</v>
      </c>
      <c r="G1665" s="10" t="e">
        <f t="shared" ca="1" si="25"/>
        <v>#NAME?</v>
      </c>
      <c r="H1665" s="11" t="str">
        <f ca="1">IFERROR(__xludf.DUMMYFUNCTION("IFERROR(SUBSTITUTE(SUBSTITUTE(REGEXEXTRACT(A1665, ""[^-]+- [^-]+- [^-]+ - (.+?)\.jpg""), "".jpg"", """"), ""-"", "", ""), """")"),"")</f>
        <v/>
      </c>
      <c r="I1665" s="6"/>
      <c r="J1665" s="7" t="str">
        <f t="shared" ca="1" si="26"/>
        <v>(2026)</v>
      </c>
      <c r="K1665" s="7" t="str">
        <f t="shared" si="27"/>
        <v>12378786</v>
      </c>
      <c r="L1665" s="12" t="s">
        <v>1462</v>
      </c>
      <c r="M1665" s="13" t="str">
        <f ca="1">IFERROR(__xludf.DUMMYFUNCTION("TRIM(
  REGEXREPLACE(
    TEXTJOIN("" "",
      TRUE,
      B1665,
      C1665,
      embaralharLinks(E1665,F1665,G1665),
      H1665,
      """",
      J1665,
      N1665,
      ""#RIPNSFW""
    ),
  "",\s*"", "" "")
)"),"{New} Violet Myers https://lulustream.com/d/ggdltog4pig3 https://streamtape.com/v/9oxgYWPRVDSagWA/12378786 https://doodstream.com/d/gigvulgw69wj/12378786 (2026) #milf #bigtits #bigass #blowjob #RIPNSFW")</f>
        <v>{New} Violet Myers https://lulustream.com/d/ggdltog4pig3 https://streamtape.com/v/9oxgYWPRVDSagWA/12378786 https://doodstream.com/d/gigvulgw69wj/12378786 (2026) #milf #bigtits #bigass #blowjob #RIPNSFW</v>
      </c>
      <c r="N1665" s="2" t="s">
        <v>1462</v>
      </c>
      <c r="O1665" s="30" t="s">
        <v>8298</v>
      </c>
      <c r="P1665" s="26"/>
      <c r="R1665" s="23"/>
    </row>
    <row r="1666" spans="1:27" ht="12.75">
      <c r="A1666" s="6" t="s">
        <v>8299</v>
      </c>
      <c r="B1666" s="6" t="s">
        <v>14</v>
      </c>
      <c r="C1666" s="7" t="str">
        <f t="shared" si="24"/>
        <v xml:space="preserve">Violet Myers </v>
      </c>
      <c r="D1666" s="29" t="s">
        <v>8300</v>
      </c>
      <c r="E1666" s="8" t="s">
        <v>8301</v>
      </c>
      <c r="F1666" s="9" t="str">
        <f ca="1">IFERROR(__xludf.DUMMYFUNCTION("""https://streamtape.com/v/""&amp;
REGEXEXTRACT(O1666,""/thumb/([^/]+)/"")&amp;
""/""&amp;K1666"),"https://streamtape.com/v/0z6dgA8LOjTbrlX/15445770")</f>
        <v>https://streamtape.com/v/0z6dgA8LOjTbrlX/15445770</v>
      </c>
      <c r="G1666" s="10" t="e">
        <f t="shared" ca="1" si="25"/>
        <v>#NAME?</v>
      </c>
      <c r="H1666" s="11" t="str">
        <f ca="1">IFERROR(__xludf.DUMMYFUNCTION("IFERROR(SUBSTITUTE(SUBSTITUTE(REGEXEXTRACT(A1666, ""[^-]+- [^-]+- [^-]+ - (.+?)\.jpg""), "".jpg"", """"), ""-"", "", ""), """")"),"Raissa Bellini")</f>
        <v>Raissa Bellini</v>
      </c>
      <c r="I1666" s="6"/>
      <c r="J1666" s="7" t="str">
        <f t="shared" ca="1" si="26"/>
        <v>(2026)</v>
      </c>
      <c r="K1666" s="7" t="str">
        <f t="shared" si="27"/>
        <v>15445770</v>
      </c>
      <c r="L1666" s="12" t="s">
        <v>8302</v>
      </c>
      <c r="M1666" s="13" t="str">
        <f ca="1">IFERROR(__xludf.DUMMYFUNCTION("TRIM(
  REGEXREPLACE(
    TEXTJOIN("" "",
      TRUE,
      B1666,
      C1666,
      embaralharLinks(E1666,F1666,G1666),
      H1666,
      """",
      J1666,
      N1666,
      ""#RIPNSFW""
    ),
  "",\s*"", "" "")
)"),"{New} Violet Myers https://streamtape.com/v/0z6dgA8LOjTbrlX/15445770 https://doodstream.com/d/3ii0p94b41el/15445770 https://lulustream.com/d/dezfkcm0ci1w Raissa Bellini (2026) #MILF #BigTits #Hardcore #Threesome #Bigass #Latina #RIPNSFW")</f>
        <v>{New} Violet Myers https://streamtape.com/v/0z6dgA8LOjTbrlX/15445770 https://doodstream.com/d/3ii0p94b41el/15445770 https://lulustream.com/d/dezfkcm0ci1w Raissa Bellini (2026) #MILF #BigTits #Hardcore #Threesome #Bigass #Latina #RIPNSFW</v>
      </c>
      <c r="N1666" s="14" t="s">
        <v>8288</v>
      </c>
      <c r="O1666" s="32" t="s">
        <v>8303</v>
      </c>
      <c r="P1666" s="14"/>
      <c r="Q1666" s="6"/>
      <c r="R1666" s="11"/>
      <c r="S1666" s="6"/>
      <c r="T1666" s="6"/>
      <c r="U1666" s="6"/>
      <c r="V1666" s="6"/>
      <c r="W1666" s="6"/>
      <c r="X1666" s="6"/>
      <c r="Y1666" s="6"/>
      <c r="Z1666" s="6"/>
      <c r="AA1666" s="6"/>
    </row>
    <row r="1667" spans="1:27" ht="12.75">
      <c r="A1667" s="6" t="s">
        <v>8304</v>
      </c>
      <c r="B1667" s="6" t="s">
        <v>14</v>
      </c>
      <c r="C1667" s="7" t="str">
        <f t="shared" si="24"/>
        <v xml:space="preserve">Violet Myers </v>
      </c>
      <c r="D1667" s="29" t="s">
        <v>8305</v>
      </c>
      <c r="E1667" s="8" t="s">
        <v>8306</v>
      </c>
      <c r="F1667" s="9" t="str">
        <f ca="1">IFERROR(__xludf.DUMMYFUNCTION("""https://streamtape.com/v/""&amp;
REGEXEXTRACT(O1667,""/thumb/([^/]+)/"")&amp;
""/""&amp;K1667"),"https://streamtape.com/v/YPyJL16exqSvYRr/17285742")</f>
        <v>https://streamtape.com/v/YPyJL16exqSvYRr/17285742</v>
      </c>
      <c r="G1667" s="10" t="e">
        <f t="shared" ca="1" si="25"/>
        <v>#NAME?</v>
      </c>
      <c r="H1667" s="11" t="str">
        <f ca="1">IFERROR(__xludf.DUMMYFUNCTION("IFERROR(SUBSTITUTE(SUBSTITUTE(REGEXEXTRACT(A1667, ""[^-]+- [^-]+- [^-]+ - (.+?)\.jpg""), "".jpg"", """"), ""-"", "", ""), """")"),"")</f>
        <v/>
      </c>
      <c r="I1667" s="6"/>
      <c r="J1667" s="7" t="str">
        <f t="shared" ca="1" si="26"/>
        <v>(2026)</v>
      </c>
      <c r="K1667" s="7" t="str">
        <f t="shared" si="27"/>
        <v>17285742</v>
      </c>
      <c r="L1667" s="12" t="s">
        <v>8307</v>
      </c>
      <c r="M1667" s="13" t="str">
        <f ca="1">IFERROR(__xludf.DUMMYFUNCTION("TRIM(
  REGEXREPLACE(
    TEXTJOIN("" "",
      TRUE,
      B1667,
      C1667,
      embaralharLinks(E1667,F1667,G1667),
      H1667,
      """",
      J1667,
      N1667,
      ""#RIPNSFW""
    ),
  "",\s*"", "" "")
)"),"{New} Violet Myers https://lulustream.com/d/7xv11sk1cta6 https://streamtape.com/v/YPyJL16exqSvYRr/17285742 https://doodstream.com/d/uzauou5x0u4e/17285742 (2026) #MILF #BigTits #Hardcore #Black #Interracial #Bigass #Latina #Artporn #RIPNSFW")</f>
        <v>{New} Violet Myers https://lulustream.com/d/7xv11sk1cta6 https://streamtape.com/v/YPyJL16exqSvYRr/17285742 https://doodstream.com/d/uzauou5x0u4e/17285742 (2026) #MILF #BigTits #Hardcore #Black #Interracial #Bigass #Latina #Artporn #RIPNSFW</v>
      </c>
      <c r="N1667" s="14" t="s">
        <v>8308</v>
      </c>
      <c r="O1667" s="32" t="s">
        <v>8309</v>
      </c>
      <c r="P1667" s="14"/>
      <c r="Q1667" s="6"/>
      <c r="R1667" s="11"/>
      <c r="S1667" s="6"/>
      <c r="T1667" s="6"/>
      <c r="U1667" s="6"/>
      <c r="V1667" s="6"/>
      <c r="W1667" s="6"/>
      <c r="X1667" s="6"/>
      <c r="Y1667" s="6"/>
      <c r="Z1667" s="6"/>
      <c r="AA1667" s="6"/>
    </row>
    <row r="1668" spans="1:27" ht="12.75">
      <c r="A1668" s="6" t="s">
        <v>8310</v>
      </c>
      <c r="B1668" s="6" t="s">
        <v>14</v>
      </c>
      <c r="C1668" s="7" t="str">
        <f t="shared" si="24"/>
        <v xml:space="preserve">Violet Myers </v>
      </c>
      <c r="D1668" s="29" t="s">
        <v>8311</v>
      </c>
      <c r="E1668" s="8" t="s">
        <v>8312</v>
      </c>
      <c r="F1668" s="9" t="str">
        <f ca="1">IFERROR(__xludf.DUMMYFUNCTION("""https://streamtape.com/v/""&amp;
REGEXEXTRACT(O1668,""/thumb/([^/]+)/"")&amp;
""/""&amp;K1668"),"https://streamtape.com/v/My3PmLmzjKhmgke/17383595")</f>
        <v>https://streamtape.com/v/My3PmLmzjKhmgke/17383595</v>
      </c>
      <c r="G1668" s="10" t="e">
        <f t="shared" ca="1" si="25"/>
        <v>#NAME?</v>
      </c>
      <c r="H1668" s="11" t="str">
        <f ca="1">IFERROR(__xludf.DUMMYFUNCTION("IFERROR(SUBSTITUTE(SUBSTITUTE(REGEXEXTRACT(A1668, ""[^-]+- [^-]+- [^-]+ - (.+?)\.jpg""), "".jpg"", """"), ""-"", "", ""), """")"),"Emma Magnolia")</f>
        <v>Emma Magnolia</v>
      </c>
      <c r="I1668" s="6"/>
      <c r="J1668" s="7" t="str">
        <f t="shared" ca="1" si="26"/>
        <v>(2026)</v>
      </c>
      <c r="K1668" s="7" t="str">
        <f t="shared" si="27"/>
        <v>17383595</v>
      </c>
      <c r="L1668" s="12" t="s">
        <v>8313</v>
      </c>
      <c r="M1668" s="13" t="str">
        <f ca="1">IFERROR(__xludf.DUMMYFUNCTION("TRIM(
  REGEXREPLACE(
    TEXTJOIN("" "",
      TRUE,
      B1668,
      C1668,
      embaralharLinks(E1668,F1668,G1668),
      H1668,
      """",
      J1668,
      N1668,
      ""#RIPNSFW""
    ),
  "",\s*"", "" "")
)"),"{New} Violet Myers https://lulustream.com/d/1iuqalq63kj4 https://doodstream.com/d/jxxroafwfj6c/17383595 https://streamtape.com/v/My3PmLmzjKhmgke/17383595 Emma Magnolia (2026) #MILF #BigTits #Hardcore #Threesome #Bigass #RIPNSFW")</f>
        <v>{New} Violet Myers https://lulustream.com/d/1iuqalq63kj4 https://doodstream.com/d/jxxroafwfj6c/17383595 https://streamtape.com/v/My3PmLmzjKhmgke/17383595 Emma Magnolia (2026) #MILF #BigTits #Hardcore #Threesome #Bigass #RIPNSFW</v>
      </c>
      <c r="N1668" s="14" t="s">
        <v>1706</v>
      </c>
      <c r="O1668" s="32" t="s">
        <v>8314</v>
      </c>
      <c r="P1668" s="14"/>
      <c r="Q1668" s="6"/>
      <c r="R1668" s="11"/>
      <c r="S1668" s="6"/>
      <c r="T1668" s="6"/>
      <c r="U1668" s="6"/>
      <c r="V1668" s="6"/>
      <c r="W1668" s="6"/>
      <c r="X1668" s="6"/>
      <c r="Y1668" s="6"/>
      <c r="Z1668" s="6"/>
      <c r="AA1668" s="6"/>
    </row>
    <row r="1669" spans="1:27" ht="12.75">
      <c r="A1669" s="12" t="s">
        <v>8315</v>
      </c>
      <c r="B1669" s="6" t="s">
        <v>14</v>
      </c>
      <c r="C1669" s="7" t="str">
        <f t="shared" si="24"/>
        <v xml:space="preserve">Violet Myers </v>
      </c>
      <c r="D1669" s="24" t="s">
        <v>8316</v>
      </c>
      <c r="E1669" s="25" t="s">
        <v>8317</v>
      </c>
      <c r="F1669" s="9" t="str">
        <f ca="1">IFERROR(__xludf.DUMMYFUNCTION("""https://streamtape.com/v/""&amp;
REGEXEXTRACT(O1669,""/thumb/([^/]+)/"")&amp;
""/""&amp;K1669"),"https://streamtape.com/v/Q3q8eQKyAqTGyg/19734092")</f>
        <v>https://streamtape.com/v/Q3q8eQKyAqTGyg/19734092</v>
      </c>
      <c r="G1669" s="10" t="e">
        <f t="shared" ca="1" si="25"/>
        <v>#NAME?</v>
      </c>
      <c r="H1669" s="11" t="str">
        <f ca="1">IFERROR(__xludf.DUMMYFUNCTION("IFERROR(SUBSTITUTE(SUBSTITUTE(REGEXEXTRACT(A1669, ""[^-]+- [^-]+- [^-]+ - (.+?)\.jpg""), "".jpg"", """"), ""-"", "", ""), """")"),"")</f>
        <v/>
      </c>
      <c r="I1669" s="6"/>
      <c r="J1669" s="7" t="str">
        <f t="shared" ca="1" si="26"/>
        <v>(2026)</v>
      </c>
      <c r="K1669" s="7" t="str">
        <f t="shared" si="27"/>
        <v>19734092</v>
      </c>
      <c r="L1669" s="12" t="s">
        <v>1478</v>
      </c>
      <c r="M1669" s="13" t="str">
        <f ca="1">IFERROR(__xludf.DUMMYFUNCTION("TRIM(
  REGEXREPLACE(
    TEXTJOIN("" "",
      TRUE,
      B1669,
      C1669,
      embaralharLinks(E1669,F1669,G1669),
      H1669,
      """",
      J1669,
      N1669,
      ""#RIPNSFW""
    ),
  "",\s*"", "" "")
)"),"{New} Violet Myers https://streamtape.com/v/Q3q8eQKyAqTGyg/19734092 https://lulustream.com/d/i3p3z4ajxz4y https://doodstream.com/d/w3aohckv9h08/19734092 (2026) #milf #blowjob #bigtits #bigass #RIPNSFW")</f>
        <v>{New} Violet Myers https://streamtape.com/v/Q3q8eQKyAqTGyg/19734092 https://lulustream.com/d/i3p3z4ajxz4y https://doodstream.com/d/w3aohckv9h08/19734092 (2026) #milf #blowjob #bigtits #bigass #RIPNSFW</v>
      </c>
      <c r="N1669" s="2" t="s">
        <v>1478</v>
      </c>
      <c r="O1669" s="30" t="s">
        <v>8318</v>
      </c>
      <c r="P1669" s="26"/>
      <c r="R1669" s="23"/>
    </row>
    <row r="1670" spans="1:27" ht="12.75">
      <c r="A1670" s="6" t="s">
        <v>8319</v>
      </c>
      <c r="B1670" s="6" t="s">
        <v>14</v>
      </c>
      <c r="C1670" s="7" t="str">
        <f t="shared" si="24"/>
        <v xml:space="preserve">Violet Myers </v>
      </c>
      <c r="D1670" s="6" t="s">
        <v>8320</v>
      </c>
      <c r="E1670" s="8" t="s">
        <v>8321</v>
      </c>
      <c r="F1670" s="9" t="str">
        <f ca="1">IFERROR(__xludf.DUMMYFUNCTION("""https://streamtape.com/v/""&amp;
REGEXEXTRACT(O1670,""/thumb/([^/]+)/"")&amp;
""/""&amp;K1670"),"https://streamtape.com/v/J0X0gxV4xzCj3Vz/21266101")</f>
        <v>https://streamtape.com/v/J0X0gxV4xzCj3Vz/21266101</v>
      </c>
      <c r="G1670" s="10" t="e">
        <f t="shared" ca="1" si="25"/>
        <v>#NAME?</v>
      </c>
      <c r="H1670" s="11" t="str">
        <f ca="1">IFERROR(__xludf.DUMMYFUNCTION("IFERROR(SUBSTITUTE(SUBSTITUTE(REGEXEXTRACT(A1670, ""[^-]+- [^-]+- [^-]+ - (.+?)\.jpg""), "".jpg"", """"), ""-"", "", ""), """")"),"Lena the plug")</f>
        <v>Lena the plug</v>
      </c>
      <c r="I1670" s="6"/>
      <c r="J1670" s="7" t="str">
        <f t="shared" ca="1" si="26"/>
        <v>(2026)</v>
      </c>
      <c r="K1670" s="7" t="str">
        <f t="shared" si="27"/>
        <v>21266101</v>
      </c>
      <c r="L1670" s="12" t="s">
        <v>8322</v>
      </c>
      <c r="M1670" s="13" t="str">
        <f ca="1">IFERROR(__xludf.DUMMYFUNCTION("TRIM(
  REGEXREPLACE(
    TEXTJOIN("" "",
      TRUE,
      B1670,
      C1670,
      embaralharLinks(E1670,F1670,G1670),
      H1670,
      """",
      J1670,
      N1670,
      ""#RIPNSFW""
    ),
  "",\s*"", "" "")
)"),"{New} Violet Myers https://doodstream.com/d/mkpx212ywhss/21266101 https://lulustream.com/d/060ppfv5328u https://streamtape.com/v/J0X0gxV4xzCj3Vz/21266101 Lena the plug (2026) #MILF #BigTits #Hardcore #Threesome #Bigass #Latina #Blowjob #Amateur #RIPNSFW")</f>
        <v>{New} Violet Myers https://doodstream.com/d/mkpx212ywhss/21266101 https://lulustream.com/d/060ppfv5328u https://streamtape.com/v/J0X0gxV4xzCj3Vz/21266101 Lena the plug (2026) #MILF #BigTits #Hardcore #Threesome #Bigass #Latina #Blowjob #Amateur #RIPNSFW</v>
      </c>
      <c r="N1670" s="14" t="s">
        <v>8323</v>
      </c>
      <c r="O1670" s="15" t="s">
        <v>8324</v>
      </c>
      <c r="P1670" s="14"/>
      <c r="Q1670" s="6"/>
      <c r="R1670" s="11"/>
      <c r="S1670" s="6"/>
      <c r="T1670" s="6"/>
      <c r="U1670" s="6"/>
      <c r="V1670" s="6"/>
      <c r="W1670" s="6"/>
      <c r="X1670" s="6"/>
      <c r="Y1670" s="6"/>
      <c r="Z1670" s="6"/>
      <c r="AA1670" s="6"/>
    </row>
    <row r="1671" spans="1:27" ht="12.75">
      <c r="A1671" s="12" t="s">
        <v>8325</v>
      </c>
      <c r="B1671" s="6" t="s">
        <v>14</v>
      </c>
      <c r="C1671" s="7" t="str">
        <f t="shared" si="24"/>
        <v xml:space="preserve">Violet Myers </v>
      </c>
      <c r="D1671" s="24" t="s">
        <v>8326</v>
      </c>
      <c r="E1671" s="25" t="s">
        <v>8327</v>
      </c>
      <c r="F1671" s="9" t="str">
        <f ca="1">IFERROR(__xludf.DUMMYFUNCTION("""https://streamtape.com/v/""&amp;
REGEXEXTRACT(O1671,""/thumb/([^/]+)/"")&amp;
""/""&amp;K1671"),"https://streamtape.com/v/oegp3bxpX1sJwj2/21770202")</f>
        <v>https://streamtape.com/v/oegp3bxpX1sJwj2/21770202</v>
      </c>
      <c r="G1671" s="10" t="e">
        <f t="shared" ca="1" si="25"/>
        <v>#NAME?</v>
      </c>
      <c r="H1671" s="11" t="str">
        <f ca="1">IFERROR(__xludf.DUMMYFUNCTION("IFERROR(SUBSTITUTE(SUBSTITUTE(REGEXEXTRACT(A1671, ""[^-]+- [^-]+- [^-]+ - (.+?)\.jpg""), "".jpg"", """"), ""-"", "", ""), """")"),"")</f>
        <v/>
      </c>
      <c r="I1671" s="6"/>
      <c r="J1671" s="7" t="str">
        <f t="shared" ca="1" si="26"/>
        <v>(2026)</v>
      </c>
      <c r="K1671" s="7" t="str">
        <f t="shared" si="27"/>
        <v>21770202</v>
      </c>
      <c r="L1671" s="12" t="s">
        <v>2291</v>
      </c>
      <c r="M1671" s="13" t="str">
        <f ca="1">IFERROR(__xludf.DUMMYFUNCTION("TRIM(
  REGEXREPLACE(
    TEXTJOIN("" "",
      TRUE,
      B1671,
      C1671,
      embaralharLinks(E1671,F1671,G1671),
      H1671,
      """",
      J1671,
      N1671,
      ""#RIPNSFW""
    ),
  "",\s*"", "" "")
)"),"{New} Violet Myers https://streamtape.com/v/oegp3bxpX1sJwj2/21770202 https://doodstream.com/d/m2ki90v2207j/21770202 https://lulustream.com/d/we5a67gu6h0t (2026) #milf #bigtits #blowjob #bigass #RIPNSFW")</f>
        <v>{New} Violet Myers https://streamtape.com/v/oegp3bxpX1sJwj2/21770202 https://doodstream.com/d/m2ki90v2207j/21770202 https://lulustream.com/d/we5a67gu6h0t (2026) #milf #bigtits #blowjob #bigass #RIPNSFW</v>
      </c>
      <c r="N1671" s="2" t="s">
        <v>2291</v>
      </c>
      <c r="O1671" s="30" t="s">
        <v>8328</v>
      </c>
      <c r="P1671" s="26"/>
      <c r="R1671" s="23"/>
      <c r="T1671" s="6"/>
      <c r="U1671" s="7"/>
    </row>
    <row r="1672" spans="1:27" ht="12.75">
      <c r="A1672" s="6" t="s">
        <v>8329</v>
      </c>
      <c r="B1672" s="6" t="s">
        <v>14</v>
      </c>
      <c r="C1672" s="7" t="str">
        <f t="shared" si="24"/>
        <v xml:space="preserve">Violet Myers </v>
      </c>
      <c r="D1672" s="24" t="s">
        <v>8330</v>
      </c>
      <c r="E1672" s="25" t="s">
        <v>8331</v>
      </c>
      <c r="F1672" s="9" t="str">
        <f ca="1">IFERROR(__xludf.DUMMYFUNCTION("""https://streamtape.com/v/""&amp;
REGEXEXTRACT(O1672,""/thumb/([^/]+)/"")&amp;
""/""&amp;K1672"),"https://streamtape.com/v/6QWLRJlqp2t9GGK/22947103")</f>
        <v>https://streamtape.com/v/6QWLRJlqp2t9GGK/22947103</v>
      </c>
      <c r="G1672" s="10" t="e">
        <f t="shared" ca="1" si="25"/>
        <v>#NAME?</v>
      </c>
      <c r="H1672" s="11" t="str">
        <f ca="1">IFERROR(__xludf.DUMMYFUNCTION("IFERROR(SUBSTITUTE(SUBSTITUTE(REGEXEXTRACT(A1672, ""[^-]+- [^-]+- [^-]+ - (.+?)\.jpg""), "".jpg"", """"), ""-"", "", ""), """")"),"")</f>
        <v/>
      </c>
      <c r="I1672" s="6"/>
      <c r="J1672" s="7" t="str">
        <f t="shared" ca="1" si="26"/>
        <v>(2026)</v>
      </c>
      <c r="K1672" s="7" t="str">
        <f t="shared" si="27"/>
        <v>22947103</v>
      </c>
      <c r="L1672" s="12" t="s">
        <v>1743</v>
      </c>
      <c r="M1672" s="13" t="str">
        <f ca="1">IFERROR(__xludf.DUMMYFUNCTION("TRIM(
  REGEXREPLACE(
    TEXTJOIN("" "",
      TRUE,
      B1672,
      C1672,
      embaralharLinks(E1672,F1672,G1672),
      H1672,
      """",
      J1672,
      N1672,
      ""#RIPNSFW""
    ),
  "",\s*"", "" "")
)"),"{New} Violet Myers https://streamtape.com/v/6QWLRJlqp2t9GGK/22947103 https://lulustream.com/d/d7a8h9d8rcaf https://doodstream.com/d/yr83m3ntr92o/22947103 (2026) #anal #bigtits #hardcore #bigass #RIPNSFW")</f>
        <v>{New} Violet Myers https://streamtape.com/v/6QWLRJlqp2t9GGK/22947103 https://lulustream.com/d/d7a8h9d8rcaf https://doodstream.com/d/yr83m3ntr92o/22947103 (2026) #anal #bigtits #hardcore #bigass #RIPNSFW</v>
      </c>
      <c r="N1672" s="31" t="s">
        <v>1743</v>
      </c>
      <c r="O1672" s="32" t="s">
        <v>8332</v>
      </c>
      <c r="P1672" s="26"/>
      <c r="R1672" s="23"/>
      <c r="T1672" s="6"/>
      <c r="U1672" s="7"/>
    </row>
    <row r="1673" spans="1:27" ht="12.75">
      <c r="A1673" s="12" t="s">
        <v>8333</v>
      </c>
      <c r="B1673" s="6" t="s">
        <v>14</v>
      </c>
      <c r="C1673" s="7" t="str">
        <f t="shared" si="24"/>
        <v xml:space="preserve">Violet Myers </v>
      </c>
      <c r="D1673" s="24" t="s">
        <v>8334</v>
      </c>
      <c r="E1673" s="25" t="s">
        <v>8335</v>
      </c>
      <c r="F1673" s="9" t="str">
        <f ca="1">IFERROR(__xludf.DUMMYFUNCTION("""https://streamtape.com/v/""&amp;
REGEXEXTRACT(O1673,""/thumb/([^/]+)/"")&amp;
""/""&amp;K1673"),"https://streamtape.com/v/LJ6kk9YWrgcWjY/24446612")</f>
        <v>https://streamtape.com/v/LJ6kk9YWrgcWjY/24446612</v>
      </c>
      <c r="G1673" s="10" t="e">
        <f t="shared" ca="1" si="25"/>
        <v>#NAME?</v>
      </c>
      <c r="H1673" s="11" t="str">
        <f ca="1">IFERROR(__xludf.DUMMYFUNCTION("IFERROR(SUBSTITUTE(SUBSTITUTE(REGEXEXTRACT(A1673, ""[^-]+- [^-]+- [^-]+ - (.+?)\.jpg""), "".jpg"", """"), ""-"", "", ""), """")"),"")</f>
        <v/>
      </c>
      <c r="I1673" s="6"/>
      <c r="J1673" s="7" t="str">
        <f t="shared" ca="1" si="26"/>
        <v>(2026)</v>
      </c>
      <c r="K1673" s="7" t="str">
        <f t="shared" si="27"/>
        <v>24446612</v>
      </c>
      <c r="L1673" s="12" t="s">
        <v>1462</v>
      </c>
      <c r="M1673" s="13" t="str">
        <f ca="1">IFERROR(__xludf.DUMMYFUNCTION("TRIM(
  REGEXREPLACE(
    TEXTJOIN("" "",
      TRUE,
      B1673,
      C1673,
      embaralharLinks(E1673,F1673,G1673),
      H1673,
      """",
      J1673,
      N1673,
      ""#RIPNSFW""
    ),
  "",\s*"", "" "")
)"),"{New} Violet Myers https://lulustream.com/d/slkjn497d9gx https://doodstream.com/d/llbbnyhxcksr/24446612 https://streamtape.com/v/LJ6kk9YWrgcWjY/24446612 (2026) #milf #bigtits #bigass #blowjob #RIPNSFW")</f>
        <v>{New} Violet Myers https://lulustream.com/d/slkjn497d9gx https://doodstream.com/d/llbbnyhxcksr/24446612 https://streamtape.com/v/LJ6kk9YWrgcWjY/24446612 (2026) #milf #bigtits #bigass #blowjob #RIPNSFW</v>
      </c>
      <c r="N1673" s="2" t="s">
        <v>1462</v>
      </c>
      <c r="O1673" s="30" t="s">
        <v>8336</v>
      </c>
      <c r="P1673" s="26"/>
      <c r="R1673" s="23"/>
    </row>
    <row r="1674" spans="1:27" ht="12.75">
      <c r="A1674" s="12" t="s">
        <v>8337</v>
      </c>
      <c r="B1674" s="6" t="s">
        <v>14</v>
      </c>
      <c r="C1674" s="7" t="str">
        <f t="shared" si="24"/>
        <v xml:space="preserve">Violet Myers </v>
      </c>
      <c r="D1674" s="27" t="s">
        <v>8338</v>
      </c>
      <c r="E1674" s="28" t="s">
        <v>8339</v>
      </c>
      <c r="F1674" s="9" t="str">
        <f ca="1">IFERROR(__xludf.DUMMYFUNCTION("""https://streamtape.com/v/""&amp;
REGEXEXTRACT(O1674,""/thumb/([^/]+)/"")&amp;
""/""&amp;K1674"),"https://streamtape.com/v/GwVgvWyjqRF9Ov/25360649")</f>
        <v>https://streamtape.com/v/GwVgvWyjqRF9Ov/25360649</v>
      </c>
      <c r="G1674" s="10" t="e">
        <f t="shared" ca="1" si="25"/>
        <v>#NAME?</v>
      </c>
      <c r="H1674" s="11" t="str">
        <f ca="1">IFERROR(__xludf.DUMMYFUNCTION("IFERROR(SUBSTITUTE(SUBSTITUTE(REGEXEXTRACT(A1674, ""[^-]+- [^-]+- [^-]+ - (.+?)\.jpg""), "".jpg"", """"), ""-"", "", ""), """")"),"Hailey Rose ,  Jaaden Kyrelle")</f>
        <v>Hailey Rose ,  Jaaden Kyrelle</v>
      </c>
      <c r="I1674" s="6"/>
      <c r="J1674" s="7" t="str">
        <f t="shared" ca="1" si="26"/>
        <v>(2026)</v>
      </c>
      <c r="K1674" s="7" t="str">
        <f t="shared" si="27"/>
        <v>25360649</v>
      </c>
      <c r="L1674" s="12" t="s">
        <v>8340</v>
      </c>
      <c r="M1674" s="13" t="str">
        <f ca="1">IFERROR(__xludf.DUMMYFUNCTION("TRIM(
  REGEXREPLACE(
    TEXTJOIN("" "",
      TRUE,
      B1674,
      C1674,
      embaralharLinks(E1674,F1674,G1674),
      H1674,
      """",
      J1674,
      N1674,
      ""#RIPNSFW""
    ),
  "",\s*"", "" "")
)"),"{New} Violet Myers https://doodstream.com/d/55rb7ph0dhk2/25360649 https://lulustream.com/d/8w6uckk30k2y https://streamtape.com/v/GwVgvWyjqRF9Ov/25360649 Hailey Rose Jaaden Kyrelle (2026) #MILF #BigTits #Lesbian #Threesome #RIPNSFW")</f>
        <v>{New} Violet Myers https://doodstream.com/d/55rb7ph0dhk2/25360649 https://lulustream.com/d/8w6uckk30k2y https://streamtape.com/v/GwVgvWyjqRF9Ov/25360649 Hailey Rose Jaaden Kyrelle (2026) #MILF #BigTits #Lesbian #Threesome #RIPNSFW</v>
      </c>
      <c r="N1674" s="2" t="s">
        <v>8341</v>
      </c>
      <c r="O1674" s="30" t="s">
        <v>8342</v>
      </c>
      <c r="P1674" s="26"/>
      <c r="R1674" s="23"/>
    </row>
    <row r="1675" spans="1:27" ht="12.75">
      <c r="A1675" s="12" t="s">
        <v>8343</v>
      </c>
      <c r="B1675" s="6" t="s">
        <v>14</v>
      </c>
      <c r="C1675" s="7" t="str">
        <f t="shared" si="24"/>
        <v xml:space="preserve">Violet Myers </v>
      </c>
      <c r="D1675" s="27" t="s">
        <v>8344</v>
      </c>
      <c r="E1675" s="28" t="s">
        <v>8345</v>
      </c>
      <c r="F1675" s="9" t="str">
        <f ca="1">IFERROR(__xludf.DUMMYFUNCTION("""https://streamtape.com/v/""&amp;
REGEXEXTRACT(O1675,""/thumb/([^/]+)/"")&amp;
""/""&amp;K1675"),"https://streamtape.com/v/OWMXJ63oWjHZ8Rm/25687268")</f>
        <v>https://streamtape.com/v/OWMXJ63oWjHZ8Rm/25687268</v>
      </c>
      <c r="G1675" s="10" t="e">
        <f t="shared" ca="1" si="25"/>
        <v>#NAME?</v>
      </c>
      <c r="H1675" s="11" t="str">
        <f ca="1">IFERROR(__xludf.DUMMYFUNCTION("IFERROR(SUBSTITUTE(SUBSTITUTE(REGEXEXTRACT(A1675, ""[^-]+- [^-]+- [^-]+ - (.+?)\.jpg""), "".jpg"", """"), ""-"", "", ""), """")"),"")</f>
        <v/>
      </c>
      <c r="I1675" s="6"/>
      <c r="J1675" s="7" t="str">
        <f t="shared" ca="1" si="26"/>
        <v>(2026)</v>
      </c>
      <c r="K1675" s="7" t="str">
        <f t="shared" si="27"/>
        <v>25687268</v>
      </c>
      <c r="L1675" s="12" t="s">
        <v>127</v>
      </c>
      <c r="M1675" s="13" t="str">
        <f ca="1">IFERROR(__xludf.DUMMYFUNCTION("TRIM(
  REGEXREPLACE(
    TEXTJOIN("" "",
      TRUE,
      B1675,
      C1675,
      embaralharLinks(E1675,F1675,G1675),
      H1675,
      """",
      J1675,
      N1675,
      ""#RIPNSFW""
    ),
  "",\s*"", "" "")
)"),"{New} Violet Myers https://doodstream.com/d/8yhyxweo2j8l/25687268 https://streamtape.com/v/OWMXJ63oWjHZ8Rm/25687268 https://lulustream.com/d/pjbel9drcf0z (2026) #MILF #BigTits #Hardcore #Bigass #RIPNSFW")</f>
        <v>{New} Violet Myers https://doodstream.com/d/8yhyxweo2j8l/25687268 https://streamtape.com/v/OWMXJ63oWjHZ8Rm/25687268 https://lulustream.com/d/pjbel9drcf0z (2026) #MILF #BigTits #Hardcore #Bigass #RIPNSFW</v>
      </c>
      <c r="N1675" s="2" t="s">
        <v>128</v>
      </c>
      <c r="O1675" s="30" t="s">
        <v>8346</v>
      </c>
      <c r="P1675" s="26"/>
      <c r="R1675" s="23"/>
    </row>
    <row r="1676" spans="1:27" ht="12.75">
      <c r="A1676" s="12" t="s">
        <v>8347</v>
      </c>
      <c r="B1676" s="6" t="s">
        <v>14</v>
      </c>
      <c r="C1676" s="7" t="str">
        <f t="shared" si="24"/>
        <v xml:space="preserve">Violet Myers </v>
      </c>
      <c r="D1676" s="24" t="s">
        <v>8348</v>
      </c>
      <c r="E1676" s="25" t="s">
        <v>8349</v>
      </c>
      <c r="F1676" s="9" t="str">
        <f ca="1">IFERROR(__xludf.DUMMYFUNCTION("""https://streamtape.com/v/""&amp;
REGEXEXTRACT(O1676,""/thumb/([^/]+)/"")&amp;
""/""&amp;K1676"),"https://streamtape.com/v/W1Wxrl1ol6Ub9jB/33024590")</f>
        <v>https://streamtape.com/v/W1Wxrl1ol6Ub9jB/33024590</v>
      </c>
      <c r="G1676" s="10" t="e">
        <f t="shared" ca="1" si="25"/>
        <v>#NAME?</v>
      </c>
      <c r="H1676" s="11" t="str">
        <f ca="1">IFERROR(__xludf.DUMMYFUNCTION("IFERROR(SUBSTITUTE(SUBSTITUTE(REGEXEXTRACT(A1676, ""[^-]+- [^-]+- [^-]+ - (.+?)\.jpg""), "".jpg"", """"), ""-"", "", ""), """")"),"Kianna Dior")</f>
        <v>Kianna Dior</v>
      </c>
      <c r="I1676" s="6"/>
      <c r="J1676" s="7" t="str">
        <f t="shared" ca="1" si="26"/>
        <v>(2026)</v>
      </c>
      <c r="K1676" s="7" t="str">
        <f t="shared" si="27"/>
        <v>33024590</v>
      </c>
      <c r="L1676" s="12" t="s">
        <v>2619</v>
      </c>
      <c r="M1676" s="13" t="str">
        <f ca="1">IFERROR(__xludf.DUMMYFUNCTION("TRIM(
  REGEXREPLACE(
    TEXTJOIN("" "",
      TRUE,
      B1676,
      C1676,
      embaralharLinks(E1676,F1676,G1676),
      H1676,
      """",
      J1676,
      N1676,
      ""#RIPNSFW""
    ),
  "",\s*"", "" "")
)"),"{New} Violet Myers https://streamtape.com/v/W1Wxrl1ol6Ub9jB/33024590 https://lulustream.com/d/ozlbc94q4eu2 https://doodstream.com/d/2yz4f2bv4esu/33024590 Kianna Dior (2026) #threesome #bigtits #blowjob #bigass #RIPNSFW")</f>
        <v>{New} Violet Myers https://streamtape.com/v/W1Wxrl1ol6Ub9jB/33024590 https://lulustream.com/d/ozlbc94q4eu2 https://doodstream.com/d/2yz4f2bv4esu/33024590 Kianna Dior (2026) #threesome #bigtits #blowjob #bigass #RIPNSFW</v>
      </c>
      <c r="N1676" s="2" t="s">
        <v>2619</v>
      </c>
      <c r="O1676" s="30" t="s">
        <v>8350</v>
      </c>
      <c r="P1676" s="26"/>
      <c r="R1676" s="23"/>
      <c r="T1676" s="6"/>
      <c r="U1676" s="7"/>
    </row>
    <row r="1677" spans="1:27" ht="12.75">
      <c r="A1677" s="12" t="s">
        <v>8351</v>
      </c>
      <c r="B1677" s="6" t="s">
        <v>14</v>
      </c>
      <c r="C1677" s="7" t="str">
        <f t="shared" si="24"/>
        <v xml:space="preserve">Violet Myers </v>
      </c>
      <c r="D1677" s="27" t="s">
        <v>8352</v>
      </c>
      <c r="E1677" s="28" t="s">
        <v>8353</v>
      </c>
      <c r="F1677" s="9" t="str">
        <f ca="1">IFERROR(__xludf.DUMMYFUNCTION("""https://streamtape.com/v/""&amp;
REGEXEXTRACT(O1677,""/thumb/([^/]+)/"")&amp;
""/""&amp;K1677"),"https://streamtape.com/v/8wlmkwljGGTogbo/34531153")</f>
        <v>https://streamtape.com/v/8wlmkwljGGTogbo/34531153</v>
      </c>
      <c r="G1677" s="10" t="e">
        <f t="shared" ca="1" si="25"/>
        <v>#NAME?</v>
      </c>
      <c r="H1677" s="11" t="str">
        <f ca="1">IFERROR(__xludf.DUMMYFUNCTION("IFERROR(SUBSTITUTE(SUBSTITUTE(REGEXEXTRACT(A1677, ""[^-]+- [^-]+- [^-]+ - (.+?)\.jpg""), "".jpg"", """"), ""-"", "", ""), """")"),"")</f>
        <v/>
      </c>
      <c r="I1677" s="6"/>
      <c r="J1677" s="7" t="str">
        <f t="shared" ca="1" si="26"/>
        <v>(2026)</v>
      </c>
      <c r="K1677" s="7" t="str">
        <f t="shared" si="27"/>
        <v>34531153</v>
      </c>
      <c r="L1677" s="12" t="s">
        <v>127</v>
      </c>
      <c r="M1677" s="13" t="str">
        <f ca="1">IFERROR(__xludf.DUMMYFUNCTION("TRIM(
  REGEXREPLACE(
    TEXTJOIN("" "",
      TRUE,
      B1677,
      C1677,
      embaralharLinks(E1677,F1677,G1677),
      H1677,
      """",
      J1677,
      N1677,
      ""#RIPNSFW""
    ),
  "",\s*"", "" "")
)"),"{New} Violet Myers https://lulustream.com/d/o84irb0hkauj https://streamtape.com/v/8wlmkwljGGTogbo/34531153 https://doodstream.com/d/11qpayzdvr3d/34531153 (2026) #MILF #BigTits #Hardcore #Bigass #RIPNSFW")</f>
        <v>{New} Violet Myers https://lulustream.com/d/o84irb0hkauj https://streamtape.com/v/8wlmkwljGGTogbo/34531153 https://doodstream.com/d/11qpayzdvr3d/34531153 (2026) #MILF #BigTits #Hardcore #Bigass #RIPNSFW</v>
      </c>
      <c r="N1677" s="2" t="s">
        <v>128</v>
      </c>
      <c r="O1677" s="30" t="s">
        <v>8354</v>
      </c>
      <c r="P1677" s="26"/>
      <c r="R1677" s="23"/>
    </row>
    <row r="1678" spans="1:27" ht="12.75">
      <c r="A1678" s="6" t="s">
        <v>8355</v>
      </c>
      <c r="B1678" s="6" t="s">
        <v>14</v>
      </c>
      <c r="C1678" s="7" t="str">
        <f t="shared" si="24"/>
        <v xml:space="preserve">Violet Myers </v>
      </c>
      <c r="D1678" s="24" t="s">
        <v>8356</v>
      </c>
      <c r="E1678" s="25" t="s">
        <v>8357</v>
      </c>
      <c r="F1678" s="9" t="str">
        <f ca="1">IFERROR(__xludf.DUMMYFUNCTION("""https://streamtape.com/v/""&amp;
REGEXEXTRACT(O1678,""/thumb/([^/]+)/"")&amp;
""/""&amp;K1678"),"https://streamtape.com/v/DzgyBBLjWxFkrG1/36670339")</f>
        <v>https://streamtape.com/v/DzgyBBLjWxFkrG1/36670339</v>
      </c>
      <c r="G1678" s="10" t="e">
        <f t="shared" ca="1" si="25"/>
        <v>#NAME?</v>
      </c>
      <c r="H1678" s="11" t="str">
        <f ca="1">IFERROR(__xludf.DUMMYFUNCTION("IFERROR(SUBSTITUTE(SUBSTITUTE(REGEXEXTRACT(A1678, ""[^-]+- [^-]+- [^-]+ - (.+?)\.jpg""), "".jpg"", """"), ""-"", "", ""), """")"),"")</f>
        <v/>
      </c>
      <c r="I1678" s="6"/>
      <c r="J1678" s="7" t="str">
        <f t="shared" ca="1" si="26"/>
        <v>(2026)</v>
      </c>
      <c r="K1678" s="7" t="str">
        <f t="shared" si="27"/>
        <v>36670339</v>
      </c>
      <c r="L1678" s="12" t="s">
        <v>2909</v>
      </c>
      <c r="M1678" s="13" t="str">
        <f ca="1">IFERROR(__xludf.DUMMYFUNCTION("TRIM(
  REGEXREPLACE(
    TEXTJOIN("" "",
      TRUE,
      B1678,
      C1678,
      embaralharLinks(E1678,F1678,G1678),
      H1678,
      """",
      J1678,
      N1678,
      ""#RIPNSFW""
    ),
  "",\s*"", "" "")
)"),"{New} Violet Myers https://doodstream.com/d/hvaixvu0n9ac/36670339 https://lulustream.com/d/x3w3kvpepoyc https://streamtape.com/v/DzgyBBLjWxFkrG1/36670339 (2026) #milf #threesome #bigtits #bigass #RIPNSFW")</f>
        <v>{New} Violet Myers https://doodstream.com/d/hvaixvu0n9ac/36670339 https://lulustream.com/d/x3w3kvpepoyc https://streamtape.com/v/DzgyBBLjWxFkrG1/36670339 (2026) #milf #threesome #bigtits #bigass #RIPNSFW</v>
      </c>
      <c r="N1678" s="31" t="s">
        <v>2909</v>
      </c>
      <c r="O1678" s="32" t="s">
        <v>8358</v>
      </c>
      <c r="P1678" s="26"/>
      <c r="Q1678" s="6"/>
      <c r="R1678" s="11"/>
      <c r="S1678" s="6"/>
      <c r="T1678" s="6"/>
      <c r="U1678" s="6"/>
      <c r="V1678" s="6"/>
      <c r="W1678" s="6"/>
      <c r="X1678" s="6"/>
      <c r="Y1678" s="6"/>
      <c r="Z1678" s="6"/>
      <c r="AA1678" s="6"/>
    </row>
    <row r="1679" spans="1:27" ht="12.75">
      <c r="A1679" s="12" t="s">
        <v>8359</v>
      </c>
      <c r="B1679" s="6" t="s">
        <v>14</v>
      </c>
      <c r="C1679" s="7" t="str">
        <f t="shared" si="24"/>
        <v xml:space="preserve">Violet Myers </v>
      </c>
      <c r="D1679" s="24" t="s">
        <v>8360</v>
      </c>
      <c r="E1679" s="25" t="s">
        <v>8361</v>
      </c>
      <c r="F1679" s="9" t="str">
        <f ca="1">IFERROR(__xludf.DUMMYFUNCTION("""https://streamtape.com/v/""&amp;
REGEXEXTRACT(O1679,""/thumb/([^/]+)/"")&amp;
""/""&amp;K1679"),"https://streamtape.com/v/6pb1jQjjd1U9Xga/37239826")</f>
        <v>https://streamtape.com/v/6pb1jQjjd1U9Xga/37239826</v>
      </c>
      <c r="G1679" s="10" t="e">
        <f t="shared" ca="1" si="25"/>
        <v>#NAME?</v>
      </c>
      <c r="H1679" s="11" t="str">
        <f ca="1">IFERROR(__xludf.DUMMYFUNCTION("IFERROR(SUBSTITUTE(SUBSTITUTE(REGEXEXTRACT(A1679, ""[^-]+- [^-]+- [^-]+ - (.+?)\.jpg""), "".jpg"", """"), ""-"", "", ""), """")"),"Angel Youngs")</f>
        <v>Angel Youngs</v>
      </c>
      <c r="I1679" s="6"/>
      <c r="J1679" s="7" t="str">
        <f t="shared" ca="1" si="26"/>
        <v>(2026)</v>
      </c>
      <c r="K1679" s="7" t="str">
        <f t="shared" si="27"/>
        <v>37239826</v>
      </c>
      <c r="L1679" s="12" t="s">
        <v>1711</v>
      </c>
      <c r="M1679" s="13" t="str">
        <f ca="1">IFERROR(__xludf.DUMMYFUNCTION("TRIM(
  REGEXREPLACE(
    TEXTJOIN("" "",
      TRUE,
      B1679,
      C1679,
      embaralharLinks(E1679,F1679,G1679),
      H1679,
      """",
      J1679,
      N1679,
      ""#RIPNSFW""
    ),
  "",\s*"", "" "")
)"),"{New} Violet Myers https://streamtape.com/v/6pb1jQjjd1U9Xga/37239826 https://doodstream.com/d/f94lypdvrgx0/37239826 https://lulustream.com/d/twxryvslupfk Angel Youngs (2026) #milf #bigass #bigtits #blowjob #RIPNSFW")</f>
        <v>{New} Violet Myers https://streamtape.com/v/6pb1jQjjd1U9Xga/37239826 https://doodstream.com/d/f94lypdvrgx0/37239826 https://lulustream.com/d/twxryvslupfk Angel Youngs (2026) #milf #bigass #bigtits #blowjob #RIPNSFW</v>
      </c>
      <c r="N1679" s="2" t="s">
        <v>1711</v>
      </c>
      <c r="O1679" s="30" t="s">
        <v>8362</v>
      </c>
      <c r="P1679" s="26"/>
      <c r="R1679" s="23"/>
    </row>
    <row r="1680" spans="1:27" ht="12.75">
      <c r="A1680" s="12" t="s">
        <v>8363</v>
      </c>
      <c r="B1680" s="6" t="s">
        <v>14</v>
      </c>
      <c r="C1680" s="7" t="str">
        <f t="shared" si="24"/>
        <v xml:space="preserve">Violet Myers </v>
      </c>
      <c r="D1680" s="24" t="s">
        <v>8364</v>
      </c>
      <c r="E1680" s="25" t="s">
        <v>8365</v>
      </c>
      <c r="F1680" s="9" t="str">
        <f ca="1">IFERROR(__xludf.DUMMYFUNCTION("""https://streamtape.com/v/""&amp;
REGEXEXTRACT(O1680,""/thumb/([^/]+)/"")&amp;
""/""&amp;K1680"),"https://streamtape.com/v/YGJ33ZaW3DtLBY/38601761")</f>
        <v>https://streamtape.com/v/YGJ33ZaW3DtLBY/38601761</v>
      </c>
      <c r="G1680" s="10" t="e">
        <f t="shared" ca="1" si="25"/>
        <v>#NAME?</v>
      </c>
      <c r="H1680" s="11" t="str">
        <f ca="1">IFERROR(__xludf.DUMMYFUNCTION("IFERROR(SUBSTITUTE(SUBSTITUTE(REGEXEXTRACT(A1680, ""[^-]+- [^-]+- [^-]+ - (.+?)\.jpg""), "".jpg"", """"), ""-"", "", ""), """")"),"")</f>
        <v/>
      </c>
      <c r="I1680" s="6"/>
      <c r="J1680" s="7" t="str">
        <f t="shared" ca="1" si="26"/>
        <v>(2026)</v>
      </c>
      <c r="K1680" s="7" t="str">
        <f t="shared" si="27"/>
        <v>38601761</v>
      </c>
      <c r="L1680" s="12" t="s">
        <v>8366</v>
      </c>
      <c r="M1680" s="13" t="str">
        <f ca="1">IFERROR(__xludf.DUMMYFUNCTION("TRIM(
  REGEXREPLACE(
    TEXTJOIN("" "",
      TRUE,
      B1680,
      C1680,
      embaralharLinks(E1680,F1680,G1680),
      H1680,
      """",
      J1680,
      N1680,
      ""#RIPNSFW""
    ),
  "",\s*"", "" "")
)"),"{New} Violet Myers https://doodstream.com/d/r3xdz6kzy6r3/38601761 https://streamtape.com/v/YGJ33ZaW3DtLBY/38601761 https://lulustream.com/d/rfkj8oanaaae (2026) #bigtits #milf #bigass #blowjob #RIPNSFW")</f>
        <v>{New} Violet Myers https://doodstream.com/d/r3xdz6kzy6r3/38601761 https://streamtape.com/v/YGJ33ZaW3DtLBY/38601761 https://lulustream.com/d/rfkj8oanaaae (2026) #bigtits #milf #bigass #blowjob #RIPNSFW</v>
      </c>
      <c r="N1680" s="2" t="s">
        <v>8366</v>
      </c>
      <c r="O1680" s="30" t="s">
        <v>8367</v>
      </c>
      <c r="P1680" s="26"/>
      <c r="R1680" s="23"/>
      <c r="T1680" s="6"/>
      <c r="U1680" s="7"/>
    </row>
    <row r="1681" spans="1:27" ht="12.75">
      <c r="A1681" s="12" t="s">
        <v>8368</v>
      </c>
      <c r="B1681" s="6" t="s">
        <v>14</v>
      </c>
      <c r="C1681" s="7" t="str">
        <f t="shared" si="24"/>
        <v xml:space="preserve">Violet Myers </v>
      </c>
      <c r="D1681" s="24" t="s">
        <v>8369</v>
      </c>
      <c r="E1681" s="25" t="s">
        <v>8370</v>
      </c>
      <c r="F1681" s="9" t="str">
        <f ca="1">IFERROR(__xludf.DUMMYFUNCTION("""https://streamtape.com/v/""&amp;
REGEXEXTRACT(O1681,""/thumb/([^/]+)/"")&amp;
""/""&amp;K1681"),"https://streamtape.com/v/GbZW3WvmGgS1kk3/39780174")</f>
        <v>https://streamtape.com/v/GbZW3WvmGgS1kk3/39780174</v>
      </c>
      <c r="G1681" s="10" t="e">
        <f t="shared" ca="1" si="25"/>
        <v>#NAME?</v>
      </c>
      <c r="H1681" s="11" t="str">
        <f ca="1">IFERROR(__xludf.DUMMYFUNCTION("IFERROR(SUBSTITUTE(SUBSTITUTE(REGEXEXTRACT(A1681, ""[^-]+- [^-]+- [^-]+ - (.+?)\.jpg""), "".jpg"", """"), ""-"", "", ""), """")"),"")</f>
        <v/>
      </c>
      <c r="I1681" s="6"/>
      <c r="J1681" s="7" t="str">
        <f t="shared" ca="1" si="26"/>
        <v>(2026)</v>
      </c>
      <c r="K1681" s="7" t="str">
        <f t="shared" si="27"/>
        <v>39780174</v>
      </c>
      <c r="L1681" s="12" t="s">
        <v>2291</v>
      </c>
      <c r="M1681" s="13" t="str">
        <f ca="1">IFERROR(__xludf.DUMMYFUNCTION("TRIM(
  REGEXREPLACE(
    TEXTJOIN("" "",
      TRUE,
      B1681,
      C1681,
      embaralharLinks(E1681,F1681,G1681),
      H1681,
      """",
      J1681,
      N1681,
      ""#RIPNSFW""
    ),
  "",\s*"", "" "")
)"),"{New} Violet Myers https://doodstream.com/d/imu20unhxafb/39780174 https://streamtape.com/v/GbZW3WvmGgS1kk3/39780174 https://lulustream.com/d/3btbwzexvkfb (2026) #milf #bigtits #blowjob #bigass #RIPNSFW")</f>
        <v>{New} Violet Myers https://doodstream.com/d/imu20unhxafb/39780174 https://streamtape.com/v/GbZW3WvmGgS1kk3/39780174 https://lulustream.com/d/3btbwzexvkfb (2026) #milf #bigtits #blowjob #bigass #RIPNSFW</v>
      </c>
      <c r="N1681" s="2" t="s">
        <v>2291</v>
      </c>
      <c r="O1681" s="30" t="s">
        <v>8371</v>
      </c>
      <c r="P1681" s="26"/>
      <c r="R1681" s="23"/>
      <c r="T1681" s="6"/>
      <c r="U1681" s="7"/>
    </row>
    <row r="1682" spans="1:27" ht="12.75">
      <c r="A1682" s="12" t="s">
        <v>8372</v>
      </c>
      <c r="B1682" s="6" t="s">
        <v>14</v>
      </c>
      <c r="C1682" s="7" t="str">
        <f t="shared" si="24"/>
        <v xml:space="preserve">Violet Myers </v>
      </c>
      <c r="D1682" s="27" t="s">
        <v>8373</v>
      </c>
      <c r="E1682" s="28" t="s">
        <v>8374</v>
      </c>
      <c r="F1682" s="9" t="str">
        <f ca="1">IFERROR(__xludf.DUMMYFUNCTION("""https://streamtape.com/v/""&amp;
REGEXEXTRACT(O1682,""/thumb/([^/]+)/"")&amp;
""/""&amp;K1682"),"https://streamtape.com/v/LMdG3v6kgZhbZj/41586485")</f>
        <v>https://streamtape.com/v/LMdG3v6kgZhbZj/41586485</v>
      </c>
      <c r="G1682" s="10" t="e">
        <f t="shared" ca="1" si="25"/>
        <v>#NAME?</v>
      </c>
      <c r="H1682" s="11" t="str">
        <f ca="1">IFERROR(__xludf.DUMMYFUNCTION("IFERROR(SUBSTITUTE(SUBSTITUTE(REGEXEXTRACT(A1682, ""[^-]+- [^-]+- [^-]+ - (.+?)\.jpg""), "".jpg"", """"), ""-"", "", ""), """")"),"")</f>
        <v/>
      </c>
      <c r="I1682" s="6"/>
      <c r="J1682" s="7" t="str">
        <f t="shared" ca="1" si="26"/>
        <v>(2026)</v>
      </c>
      <c r="K1682" s="7" t="str">
        <f t="shared" si="27"/>
        <v>41586485</v>
      </c>
      <c r="L1682" s="12" t="s">
        <v>71</v>
      </c>
      <c r="M1682" s="13" t="str">
        <f ca="1">IFERROR(__xludf.DUMMYFUNCTION("TRIM(
  REGEXREPLACE(
    TEXTJOIN("" "",
      TRUE,
      B1682,
      C1682,
      embaralharLinks(E1682,F1682,G1682),
      H1682,
      """",
      J1682,
      N1682,
      ""#RIPNSFW""
    ),
  "",\s*"", "" "")
)"),"{New} Violet Myers https://doodstream.com/d/bbudh4ssbcfa/41586485 https://lulustream.com/d/dfto4hqk23zi https://streamtape.com/v/LMdG3v6kgZhbZj/41586485 (2026) #Anal #MILF #BigTits #Hardcore #RIPNSFW")</f>
        <v>{New} Violet Myers https://doodstream.com/d/bbudh4ssbcfa/41586485 https://lulustream.com/d/dfto4hqk23zi https://streamtape.com/v/LMdG3v6kgZhbZj/41586485 (2026) #Anal #MILF #BigTits #Hardcore #RIPNSFW</v>
      </c>
      <c r="N1682" s="2" t="s">
        <v>72</v>
      </c>
      <c r="O1682" s="30" t="s">
        <v>8375</v>
      </c>
      <c r="P1682" s="26"/>
      <c r="R1682" s="23"/>
    </row>
    <row r="1683" spans="1:27" ht="12.75">
      <c r="A1683" s="12" t="s">
        <v>8376</v>
      </c>
      <c r="B1683" s="6" t="s">
        <v>14</v>
      </c>
      <c r="C1683" s="7" t="str">
        <f t="shared" si="24"/>
        <v xml:space="preserve">Violet Myers </v>
      </c>
      <c r="D1683" s="24" t="s">
        <v>8377</v>
      </c>
      <c r="E1683" s="25" t="s">
        <v>8378</v>
      </c>
      <c r="F1683" s="9" t="str">
        <f ca="1">IFERROR(__xludf.DUMMYFUNCTION("""https://streamtape.com/v/""&amp;
REGEXEXTRACT(O1683,""/thumb/([^/]+)/"")&amp;
""/""&amp;K1683"),"https://streamtape.com/v/6Kb67bb0k6H90vb/42955362")</f>
        <v>https://streamtape.com/v/6Kb67bb0k6H90vb/42955362</v>
      </c>
      <c r="G1683" s="10" t="e">
        <f t="shared" ca="1" si="25"/>
        <v>#NAME?</v>
      </c>
      <c r="H1683" s="11" t="str">
        <f ca="1">IFERROR(__xludf.DUMMYFUNCTION("IFERROR(SUBSTITUTE(SUBSTITUTE(REGEXEXTRACT(A1683, ""[^-]+- [^-]+- [^-]+ - (.+?)\.jpg""), "".jpg"", """"), ""-"", "", ""), """")"),"")</f>
        <v/>
      </c>
      <c r="I1683" s="6"/>
      <c r="J1683" s="7" t="str">
        <f t="shared" ca="1" si="26"/>
        <v>(2026)</v>
      </c>
      <c r="K1683" s="7" t="str">
        <f t="shared" si="27"/>
        <v>42955362</v>
      </c>
      <c r="L1683" s="12" t="s">
        <v>1478</v>
      </c>
      <c r="M1683" s="13" t="str">
        <f ca="1">IFERROR(__xludf.DUMMYFUNCTION("TRIM(
  REGEXREPLACE(
    TEXTJOIN("" "",
      TRUE,
      B1683,
      C1683,
      embaralharLinks(E1683,F1683,G1683),
      H1683,
      """",
      J1683,
      N1683,
      ""#RIPNSFW""
    ),
  "",\s*"", "" "")
)"),"{New} Violet Myers https://lulustream.com/d/h6jigzrrz011 https://doodstream.com/d/bcy248u63p68/42955362 https://streamtape.com/v/6Kb67bb0k6H90vb/42955362 (2026) #milf #blowjob #bigtits #bigass #RIPNSFW")</f>
        <v>{New} Violet Myers https://lulustream.com/d/h6jigzrrz011 https://doodstream.com/d/bcy248u63p68/42955362 https://streamtape.com/v/6Kb67bb0k6H90vb/42955362 (2026) #milf #blowjob #bigtits #bigass #RIPNSFW</v>
      </c>
      <c r="N1683" s="2" t="s">
        <v>1478</v>
      </c>
      <c r="O1683" s="30" t="s">
        <v>8379</v>
      </c>
      <c r="P1683" s="26"/>
      <c r="R1683" s="23"/>
    </row>
    <row r="1684" spans="1:27" ht="12.75">
      <c r="A1684" s="12" t="s">
        <v>8380</v>
      </c>
      <c r="B1684" s="6" t="s">
        <v>14</v>
      </c>
      <c r="C1684" s="7" t="str">
        <f t="shared" si="24"/>
        <v xml:space="preserve">Violet Myers </v>
      </c>
      <c r="D1684" s="27" t="s">
        <v>8381</v>
      </c>
      <c r="E1684" s="28" t="s">
        <v>8382</v>
      </c>
      <c r="F1684" s="9" t="str">
        <f ca="1">IFERROR(__xludf.DUMMYFUNCTION("""https://streamtape.com/v/""&amp;
REGEXEXTRACT(O1684,""/thumb/([^/]+)/"")&amp;
""/""&amp;K1684"),"https://streamtape.com/v/VBBLy3Qop1tKryx/43312973")</f>
        <v>https://streamtape.com/v/VBBLy3Qop1tKryx/43312973</v>
      </c>
      <c r="G1684" s="10" t="e">
        <f t="shared" ca="1" si="25"/>
        <v>#NAME?</v>
      </c>
      <c r="H1684" s="11" t="str">
        <f ca="1">IFERROR(__xludf.DUMMYFUNCTION("IFERROR(SUBSTITUTE(SUBSTITUTE(REGEXEXTRACT(A1684, ""[^-]+- [^-]+- [^-]+ - (.+?)\.jpg""), "".jpg"", """"), ""-"", "", ""), """")"),"")</f>
        <v/>
      </c>
      <c r="I1684" s="6"/>
      <c r="J1684" s="7" t="str">
        <f t="shared" ca="1" si="26"/>
        <v>(2026)</v>
      </c>
      <c r="K1684" s="7" t="str">
        <f t="shared" si="27"/>
        <v>43312973</v>
      </c>
      <c r="L1684" s="12" t="s">
        <v>127</v>
      </c>
      <c r="M1684" s="13" t="str">
        <f ca="1">IFERROR(__xludf.DUMMYFUNCTION("TRIM(
  REGEXREPLACE(
    TEXTJOIN("" "",
      TRUE,
      B1684,
      C1684,
      embaralharLinks(E1684,F1684,G1684),
      H1684,
      """",
      J1684,
      N1684,
      ""#RIPNSFW""
    ),
  "",\s*"", "" "")
)"),"{New} Violet Myers https://lulustream.com/d/32m7ub6nwwu3 https://doodstream.com/d/zzz5haaoyo2n/43312973 https://streamtape.com/v/VBBLy3Qop1tKryx/43312973 (2026) #MILF #BigTits #Hardcore #Bigass #RIPNSFW")</f>
        <v>{New} Violet Myers https://lulustream.com/d/32m7ub6nwwu3 https://doodstream.com/d/zzz5haaoyo2n/43312973 https://streamtape.com/v/VBBLy3Qop1tKryx/43312973 (2026) #MILF #BigTits #Hardcore #Bigass #RIPNSFW</v>
      </c>
      <c r="N1684" s="2" t="s">
        <v>128</v>
      </c>
      <c r="O1684" s="30" t="s">
        <v>8383</v>
      </c>
      <c r="P1684" s="26"/>
      <c r="R1684" s="23"/>
    </row>
    <row r="1685" spans="1:27" ht="12.75">
      <c r="A1685" s="12" t="s">
        <v>8384</v>
      </c>
      <c r="B1685" s="6" t="s">
        <v>14</v>
      </c>
      <c r="C1685" s="7" t="str">
        <f t="shared" si="24"/>
        <v xml:space="preserve">Violet Myers </v>
      </c>
      <c r="D1685" s="24" t="s">
        <v>8385</v>
      </c>
      <c r="E1685" s="25" t="s">
        <v>8386</v>
      </c>
      <c r="F1685" s="9" t="str">
        <f ca="1">IFERROR(__xludf.DUMMYFUNCTION("""https://streamtape.com/v/""&amp;
REGEXEXTRACT(O1685,""/thumb/([^/]+)/"")&amp;
""/""&amp;K1685"),"https://streamtape.com/v/MXqzP9Yz1mcmg1J/44431372")</f>
        <v>https://streamtape.com/v/MXqzP9Yz1mcmg1J/44431372</v>
      </c>
      <c r="G1685" s="10" t="e">
        <f t="shared" ca="1" si="25"/>
        <v>#NAME?</v>
      </c>
      <c r="H1685" s="11" t="str">
        <f ca="1">IFERROR(__xludf.DUMMYFUNCTION("IFERROR(SUBSTITUTE(SUBSTITUTE(REGEXEXTRACT(A1685, ""[^-]+- [^-]+- [^-]+ - (.+?)\.jpg""), "".jpg"", """"), ""-"", "", ""), """")"),"")</f>
        <v/>
      </c>
      <c r="I1685" s="6"/>
      <c r="J1685" s="7" t="str">
        <f t="shared" ca="1" si="26"/>
        <v>(2026)</v>
      </c>
      <c r="K1685" s="7" t="str">
        <f t="shared" si="27"/>
        <v>44431372</v>
      </c>
      <c r="L1685" s="12" t="s">
        <v>1478</v>
      </c>
      <c r="M1685" s="13" t="str">
        <f ca="1">IFERROR(__xludf.DUMMYFUNCTION("TRIM(
  REGEXREPLACE(
    TEXTJOIN("" "",
      TRUE,
      B1685,
      C1685,
      embaralharLinks(E1685,F1685,G1685),
      H1685,
      """",
      J1685,
      N1685,
      ""#RIPNSFW""
    ),
  "",\s*"", "" "")
)"),"{New} Violet Myers https://lulustream.com/d/q6ztar9gp1sp https://doodstream.com/d/i2bk3let2vu7/44431372 https://streamtape.com/v/MXqzP9Yz1mcmg1J/44431372 (2026) #milf #blowjob #bigtits #bigass #RIPNSFW")</f>
        <v>{New} Violet Myers https://lulustream.com/d/q6ztar9gp1sp https://doodstream.com/d/i2bk3let2vu7/44431372 https://streamtape.com/v/MXqzP9Yz1mcmg1J/44431372 (2026) #milf #blowjob #bigtits #bigass #RIPNSFW</v>
      </c>
      <c r="N1685" s="2" t="s">
        <v>1478</v>
      </c>
      <c r="O1685" s="30" t="s">
        <v>8387</v>
      </c>
      <c r="P1685" s="26"/>
      <c r="R1685" s="23"/>
    </row>
    <row r="1686" spans="1:27" ht="12.75">
      <c r="A1686" s="12" t="s">
        <v>8388</v>
      </c>
      <c r="B1686" s="6" t="s">
        <v>14</v>
      </c>
      <c r="C1686" s="7" t="str">
        <f t="shared" si="24"/>
        <v xml:space="preserve">Violet Myers </v>
      </c>
      <c r="D1686" s="24" t="s">
        <v>8389</v>
      </c>
      <c r="E1686" s="25" t="s">
        <v>8390</v>
      </c>
      <c r="F1686" s="9" t="str">
        <f ca="1">IFERROR(__xludf.DUMMYFUNCTION("""https://streamtape.com/v/""&amp;
REGEXEXTRACT(O1686,""/thumb/([^/]+)/"")&amp;
""/""&amp;K1686"),"https://streamtape.com/v/X1BvP70pgJhBde/48173020")</f>
        <v>https://streamtape.com/v/X1BvP70pgJhBde/48173020</v>
      </c>
      <c r="G1686" s="10" t="e">
        <f t="shared" ca="1" si="25"/>
        <v>#NAME?</v>
      </c>
      <c r="H1686" s="11" t="str">
        <f ca="1">IFERROR(__xludf.DUMMYFUNCTION("IFERROR(SUBSTITUTE(SUBSTITUTE(REGEXEXTRACT(A1686, ""[^-]+- [^-]+- [^-]+ - (.+?)\.jpg""), "".jpg"", """"), ""-"", "", ""), """")"),"")</f>
        <v/>
      </c>
      <c r="I1686" s="6"/>
      <c r="J1686" s="7" t="str">
        <f t="shared" ca="1" si="26"/>
        <v>(2026)</v>
      </c>
      <c r="K1686" s="7" t="str">
        <f t="shared" si="27"/>
        <v>48173020</v>
      </c>
      <c r="L1686" s="12" t="s">
        <v>1711</v>
      </c>
      <c r="M1686" s="13" t="str">
        <f ca="1">IFERROR(__xludf.DUMMYFUNCTION("TRIM(
  REGEXREPLACE(
    TEXTJOIN("" "",
      TRUE,
      B1686,
      C1686,
      embaralharLinks(E1686,F1686,G1686),
      H1686,
      """",
      J1686,
      N1686,
      ""#RIPNSFW""
    ),
  "",\s*"", "" "")
)"),"{New} Violet Myers https://doodstream.com/d/4le1ihaxxuy0/48173020 https://streamtape.com/v/X1BvP70pgJhBde/48173020 https://lulustream.com/d/pmpyuh6ang3l (2026) #milf #bigass #bigtits #blowjob #RIPNSFW")</f>
        <v>{New} Violet Myers https://doodstream.com/d/4le1ihaxxuy0/48173020 https://streamtape.com/v/X1BvP70pgJhBde/48173020 https://lulustream.com/d/pmpyuh6ang3l (2026) #milf #bigass #bigtits #blowjob #RIPNSFW</v>
      </c>
      <c r="N1686" s="2" t="s">
        <v>1711</v>
      </c>
      <c r="O1686" s="30" t="s">
        <v>8391</v>
      </c>
      <c r="P1686" s="26"/>
      <c r="R1686" s="23"/>
      <c r="T1686" s="6"/>
      <c r="U1686" s="7"/>
    </row>
    <row r="1687" spans="1:27" ht="12.75">
      <c r="A1687" s="12" t="s">
        <v>8392</v>
      </c>
      <c r="B1687" s="6" t="s">
        <v>14</v>
      </c>
      <c r="C1687" s="7" t="str">
        <f t="shared" si="24"/>
        <v xml:space="preserve">Violet Myers </v>
      </c>
      <c r="D1687" s="24" t="s">
        <v>8393</v>
      </c>
      <c r="E1687" s="25" t="s">
        <v>8394</v>
      </c>
      <c r="F1687" s="9" t="str">
        <f ca="1">IFERROR(__xludf.DUMMYFUNCTION("""https://streamtape.com/v/""&amp;
REGEXEXTRACT(O1687,""/thumb/([^/]+)/"")&amp;
""/""&amp;K1687"),"https://streamtape.com/v/ybMPR4mvaVH1Vv1/48491010")</f>
        <v>https://streamtape.com/v/ybMPR4mvaVH1Vv1/48491010</v>
      </c>
      <c r="G1687" s="10" t="e">
        <f t="shared" ca="1" si="25"/>
        <v>#NAME?</v>
      </c>
      <c r="H1687" s="11" t="str">
        <f ca="1">IFERROR(__xludf.DUMMYFUNCTION("IFERROR(SUBSTITUTE(SUBSTITUTE(REGEXEXTRACT(A1687, ""[^-]+- [^-]+- [^-]+ - (.+?)\.jpg""), "".jpg"", """"), ""-"", "", ""), """")"),"")</f>
        <v/>
      </c>
      <c r="I1687" s="6"/>
      <c r="J1687" s="7" t="str">
        <f t="shared" ca="1" si="26"/>
        <v>(2026)</v>
      </c>
      <c r="K1687" s="7" t="str">
        <f t="shared" si="27"/>
        <v>48491010</v>
      </c>
      <c r="L1687" s="12" t="s">
        <v>8395</v>
      </c>
      <c r="M1687" s="13" t="str">
        <f ca="1">IFERROR(__xludf.DUMMYFUNCTION("TRIM(
  REGEXREPLACE(
    TEXTJOIN("" "",
      TRUE,
      B1687,
      C1687,
      embaralharLinks(E1687,F1687,G1687),
      H1687,
      """",
      J1687,
      N1687,
      ""#RIPNSFW""
    ),
  "",\s*"", "" "")
)"),"{New} Violet Myers https://streamtape.com/v/ybMPR4mvaVH1Vv1/48491010 https://lulustream.com/d/ke7p7vagpuf4 https://doodstream.com/d/k85z6j21iora/48491010 (2026) #milf #bigtits #roleplay #joi #RIPNSFW")</f>
        <v>{New} Violet Myers https://streamtape.com/v/ybMPR4mvaVH1Vv1/48491010 https://lulustream.com/d/ke7p7vagpuf4 https://doodstream.com/d/k85z6j21iora/48491010 (2026) #milf #bigtits #roleplay #joi #RIPNSFW</v>
      </c>
      <c r="N1687" s="2" t="s">
        <v>8395</v>
      </c>
      <c r="O1687" s="30" t="s">
        <v>8396</v>
      </c>
      <c r="P1687" s="26"/>
      <c r="R1687" s="23"/>
    </row>
    <row r="1688" spans="1:27" ht="12.75">
      <c r="A1688" s="12" t="s">
        <v>8397</v>
      </c>
      <c r="B1688" s="6" t="s">
        <v>14</v>
      </c>
      <c r="C1688" s="7" t="str">
        <f t="shared" si="24"/>
        <v xml:space="preserve">Violet Myers </v>
      </c>
      <c r="D1688" s="24" t="s">
        <v>8398</v>
      </c>
      <c r="E1688" s="25" t="s">
        <v>8399</v>
      </c>
      <c r="F1688" s="9" t="str">
        <f ca="1">IFERROR(__xludf.DUMMYFUNCTION("""https://streamtape.com/v/""&amp;
REGEXEXTRACT(O1688,""/thumb/([^/]+)/"")&amp;
""/""&amp;K1688"),"https://streamtape.com/v/lgPkgbpV6MI7XZl/49168775")</f>
        <v>https://streamtape.com/v/lgPkgbpV6MI7XZl/49168775</v>
      </c>
      <c r="G1688" s="10" t="e">
        <f t="shared" ca="1" si="25"/>
        <v>#NAME?</v>
      </c>
      <c r="H1688" s="11" t="str">
        <f ca="1">IFERROR(__xludf.DUMMYFUNCTION("IFERROR(SUBSTITUTE(SUBSTITUTE(REGEXEXTRACT(A1688, ""[^-]+- [^-]+- [^-]+ - (.+?)\.jpg""), "".jpg"", """"), ""-"", "", ""), """")"),"Elly Clutch")</f>
        <v>Elly Clutch</v>
      </c>
      <c r="I1688" s="6"/>
      <c r="J1688" s="7" t="str">
        <f t="shared" ca="1" si="26"/>
        <v>(2026)</v>
      </c>
      <c r="K1688" s="7" t="str">
        <f t="shared" si="27"/>
        <v>49168775</v>
      </c>
      <c r="L1688" s="12" t="s">
        <v>8400</v>
      </c>
      <c r="M1688" s="13" t="str">
        <f ca="1">IFERROR(__xludf.DUMMYFUNCTION("TRIM(
  REGEXREPLACE(
    TEXTJOIN("" "",
      TRUE,
      B1688,
      C1688,
      embaralharLinks(E1688,F1688,G1688),
      H1688,
      """",
      J1688,
      N1688,
      ""#RIPNSFW""
    ),
  "",\s*"", "" "")
)"),"{New} Violet Myers https://doodstream.com/d/ewdb9v8gidwl/49168775 https://lulustream.com/d/m4rvepadrkr1 https://streamtape.com/v/lgPkgbpV6MI7XZl/49168775 Elly Clutch (2026) #threesome #teen #bigtits #blowjob #RIPNSFW")</f>
        <v>{New} Violet Myers https://doodstream.com/d/ewdb9v8gidwl/49168775 https://lulustream.com/d/m4rvepadrkr1 https://streamtape.com/v/lgPkgbpV6MI7XZl/49168775 Elly Clutch (2026) #threesome #teen #bigtits #blowjob #RIPNSFW</v>
      </c>
      <c r="N1688" s="2" t="s">
        <v>8400</v>
      </c>
      <c r="O1688" s="30" t="s">
        <v>8401</v>
      </c>
      <c r="P1688" s="26"/>
      <c r="R1688" s="23"/>
      <c r="T1688" s="11"/>
      <c r="U1688" s="13"/>
    </row>
    <row r="1689" spans="1:27" ht="12.75">
      <c r="A1689" s="12" t="s">
        <v>8402</v>
      </c>
      <c r="B1689" s="6" t="s">
        <v>14</v>
      </c>
      <c r="C1689" s="7" t="str">
        <f t="shared" si="24"/>
        <v xml:space="preserve">Violet Myers </v>
      </c>
      <c r="D1689" s="24" t="s">
        <v>8403</v>
      </c>
      <c r="E1689" s="25" t="s">
        <v>8404</v>
      </c>
      <c r="F1689" s="9" t="str">
        <f ca="1">IFERROR(__xludf.DUMMYFUNCTION("""https://streamtape.com/v/""&amp;
REGEXEXTRACT(O1689,""/thumb/([^/]+)/"")&amp;
""/""&amp;K1689"),"https://streamtape.com/v/4BwROQ4VXkFKM9d/49779351")</f>
        <v>https://streamtape.com/v/4BwROQ4VXkFKM9d/49779351</v>
      </c>
      <c r="G1689" s="10" t="e">
        <f t="shared" ca="1" si="25"/>
        <v>#NAME?</v>
      </c>
      <c r="H1689" s="11" t="str">
        <f ca="1">IFERROR(__xludf.DUMMYFUNCTION("IFERROR(SUBSTITUTE(SUBSTITUTE(REGEXEXTRACT(A1689, ""[^-]+- [^-]+- [^-]+ - (.+?)\.jpg""), "".jpg"", """"), ""-"", "", ""), """")"),"")</f>
        <v/>
      </c>
      <c r="I1689" s="6"/>
      <c r="J1689" s="7" t="str">
        <f t="shared" ca="1" si="26"/>
        <v>(2026)</v>
      </c>
      <c r="K1689" s="7" t="str">
        <f t="shared" si="27"/>
        <v>49779351</v>
      </c>
      <c r="L1689" s="12" t="s">
        <v>1462</v>
      </c>
      <c r="M1689" s="13" t="str">
        <f ca="1">IFERROR(__xludf.DUMMYFUNCTION("TRIM(
  REGEXREPLACE(
    TEXTJOIN("" "",
      TRUE,
      B1689,
      C1689,
      embaralharLinks(E1689,F1689,G1689),
      H1689,
      """",
      J1689,
      N1689,
      ""#RIPNSFW""
    ),
  "",\s*"", "" "")
)"),"{New} Violet Myers https://lulustream.com/d/olgw2tv1by1x https://doodstream.com/d/xqv8ncrci03o/49779351 https://streamtape.com/v/4BwROQ4VXkFKM9d/49779351 (2026) #milf #bigtits #bigass #blowjob #RIPNSFW")</f>
        <v>{New} Violet Myers https://lulustream.com/d/olgw2tv1by1x https://doodstream.com/d/xqv8ncrci03o/49779351 https://streamtape.com/v/4BwROQ4VXkFKM9d/49779351 (2026) #milf #bigtits #bigass #blowjob #RIPNSFW</v>
      </c>
      <c r="N1689" s="2" t="s">
        <v>1462</v>
      </c>
      <c r="O1689" s="30" t="s">
        <v>8405</v>
      </c>
      <c r="P1689" s="26"/>
      <c r="R1689" s="23"/>
      <c r="T1689" s="6"/>
      <c r="U1689" s="7"/>
    </row>
    <row r="1690" spans="1:27" ht="12.75">
      <c r="A1690" s="6" t="s">
        <v>8406</v>
      </c>
      <c r="B1690" s="6" t="s">
        <v>14</v>
      </c>
      <c r="C1690" s="7" t="str">
        <f t="shared" si="24"/>
        <v xml:space="preserve">Violet Myers </v>
      </c>
      <c r="D1690" s="24" t="s">
        <v>8407</v>
      </c>
      <c r="E1690" s="25" t="s">
        <v>8408</v>
      </c>
      <c r="F1690" s="9" t="str">
        <f ca="1">IFERROR(__xludf.DUMMYFUNCTION("""https://streamtape.com/v/""&amp;
REGEXEXTRACT(O1690,""/thumb/([^/]+)/"")&amp;
""/""&amp;K1690"),"https://streamtape.com/v/XPQp8ZJ7j7iDyl3/51020078")</f>
        <v>https://streamtape.com/v/XPQp8ZJ7j7iDyl3/51020078</v>
      </c>
      <c r="G1690" s="10" t="e">
        <f t="shared" ca="1" si="25"/>
        <v>#NAME?</v>
      </c>
      <c r="H1690" s="11" t="str">
        <f ca="1">IFERROR(__xludf.DUMMYFUNCTION("IFERROR(SUBSTITUTE(SUBSTITUTE(REGEXEXTRACT(A1690, ""[^-]+- [^-]+- [^-]+ - (.+?)\.jpg""), "".jpg"", """"), ""-"", "", ""), """")"),"")</f>
        <v/>
      </c>
      <c r="I1690" s="6"/>
      <c r="J1690" s="7" t="str">
        <f t="shared" ca="1" si="26"/>
        <v>(2026)</v>
      </c>
      <c r="K1690" s="7" t="str">
        <f t="shared" si="27"/>
        <v>51020078</v>
      </c>
      <c r="L1690" s="12" t="s">
        <v>3896</v>
      </c>
      <c r="M1690" s="13" t="str">
        <f ca="1">IFERROR(__xludf.DUMMYFUNCTION("TRIM(
  REGEXREPLACE(
    TEXTJOIN("" "",
      TRUE,
      B1690,
      C1690,
      embaralharLinks(E1690,F1690,G1690),
      H1690,
      """",
      J1690,
      N1690,
      ""#RIPNSFW""
    ),
  "",\s*"", "" "")
)"),"{New} Violet Myers https://lulustream.com/d/c6gjf5uk6bis https://streamtape.com/v/XPQp8ZJ7j7iDyl3/51020078 https://doodstream.com/d/fkleswtqlvx1/51020078 (2026) #milf #blowjob #bigtits #brunette #RIPNSFW")</f>
        <v>{New} Violet Myers https://lulustream.com/d/c6gjf5uk6bis https://streamtape.com/v/XPQp8ZJ7j7iDyl3/51020078 https://doodstream.com/d/fkleswtqlvx1/51020078 (2026) #milf #blowjob #bigtits #brunette #RIPNSFW</v>
      </c>
      <c r="N1690" s="31" t="s">
        <v>3896</v>
      </c>
      <c r="O1690" s="32" t="s">
        <v>8409</v>
      </c>
      <c r="P1690" s="26"/>
      <c r="Q1690" s="6"/>
      <c r="R1690" s="23"/>
      <c r="S1690" s="6"/>
      <c r="T1690" s="6"/>
      <c r="U1690" s="7"/>
      <c r="V1690" s="6"/>
      <c r="X1690" s="6"/>
      <c r="Y1690" s="6"/>
      <c r="Z1690" s="6"/>
      <c r="AA1690" s="6"/>
    </row>
    <row r="1691" spans="1:27" ht="12.75">
      <c r="A1691" s="12" t="s">
        <v>8410</v>
      </c>
      <c r="B1691" s="6" t="s">
        <v>14</v>
      </c>
      <c r="C1691" s="7" t="str">
        <f t="shared" si="24"/>
        <v xml:space="preserve">Violet Myers </v>
      </c>
      <c r="D1691" s="24" t="s">
        <v>8411</v>
      </c>
      <c r="E1691" s="25" t="s">
        <v>8412</v>
      </c>
      <c r="F1691" s="9" t="str">
        <f ca="1">IFERROR(__xludf.DUMMYFUNCTION("""https://streamtape.com/v/""&amp;
REGEXEXTRACT(O1691,""/thumb/([^/]+)/"")&amp;
""/""&amp;K1691"),"https://streamtape.com/v/m9qVv4xwrZIbJ6q/51617269")</f>
        <v>https://streamtape.com/v/m9qVv4xwrZIbJ6q/51617269</v>
      </c>
      <c r="G1691" s="10" t="e">
        <f t="shared" ca="1" si="25"/>
        <v>#NAME?</v>
      </c>
      <c r="H1691" s="11" t="str">
        <f ca="1">IFERROR(__xludf.DUMMYFUNCTION("IFERROR(SUBSTITUTE(SUBSTITUTE(REGEXEXTRACT(A1691, ""[^-]+- [^-]+- [^-]+ - (.+?)\.jpg""), "".jpg"", """"), ""-"", "", ""), """")"),"Angela White")</f>
        <v>Angela White</v>
      </c>
      <c r="I1691" s="6"/>
      <c r="J1691" s="7" t="str">
        <f t="shared" ca="1" si="26"/>
        <v>(2026)</v>
      </c>
      <c r="K1691" s="7" t="str">
        <f t="shared" si="27"/>
        <v>51617269</v>
      </c>
      <c r="L1691" s="12" t="s">
        <v>47</v>
      </c>
      <c r="M1691" s="13" t="str">
        <f ca="1">IFERROR(__xludf.DUMMYFUNCTION("TRIM(
  REGEXREPLACE(
    TEXTJOIN("" "",
      TRUE,
      B1691,
      C1691,
      embaralharLinks(E1691,F1691,G1691),
      H1691,
      """",
      J1691,
      N1691,
      ""#RIPNSFW""
    ),
  "",\s*"", "" "")
)"),"{New} Violet Myers https://streamtape.com/v/m9qVv4xwrZIbJ6q/51617269 https://lulustream.com/d/gsk3q89h96af https://doodstream.com/d/0nnz9sggc6vk/51617269 Angela White (2026) #MILF #BigTits #Hardcore #Threesome #RIPNSFW")</f>
        <v>{New} Violet Myers https://streamtape.com/v/m9qVv4xwrZIbJ6q/51617269 https://lulustream.com/d/gsk3q89h96af https://doodstream.com/d/0nnz9sggc6vk/51617269 Angela White (2026) #MILF #BigTits #Hardcore #Threesome #RIPNSFW</v>
      </c>
      <c r="N1691" s="2" t="s">
        <v>48</v>
      </c>
      <c r="O1691" s="30" t="s">
        <v>8413</v>
      </c>
      <c r="P1691" s="26"/>
      <c r="R1691" s="23"/>
    </row>
    <row r="1692" spans="1:27" ht="12.75">
      <c r="A1692" s="12" t="s">
        <v>8414</v>
      </c>
      <c r="B1692" s="6" t="s">
        <v>14</v>
      </c>
      <c r="C1692" s="7" t="str">
        <f t="shared" si="24"/>
        <v xml:space="preserve">Violet Myers </v>
      </c>
      <c r="D1692" s="27" t="s">
        <v>8415</v>
      </c>
      <c r="E1692" s="28" t="s">
        <v>8416</v>
      </c>
      <c r="F1692" s="9" t="str">
        <f ca="1">IFERROR(__xludf.DUMMYFUNCTION("""https://streamtape.com/v/""&amp;
REGEXEXTRACT(O1692,""/thumb/([^/]+)/"")&amp;
""/""&amp;K1692"),"https://streamtape.com/v/O74Q2BkG3ZTZBag/52285724")</f>
        <v>https://streamtape.com/v/O74Q2BkG3ZTZBag/52285724</v>
      </c>
      <c r="G1692" s="10" t="e">
        <f t="shared" ca="1" si="25"/>
        <v>#NAME?</v>
      </c>
      <c r="H1692" s="11" t="str">
        <f ca="1">IFERROR(__xludf.DUMMYFUNCTION("IFERROR(SUBSTITUTE(SUBSTITUTE(REGEXEXTRACT(A1692, ""[^-]+- [^-]+- [^-]+ - (.+?)\.jpg""), "".jpg"", """"), ""-"", "", ""), """")"),"")</f>
        <v/>
      </c>
      <c r="I1692" s="6"/>
      <c r="J1692" s="7" t="str">
        <f t="shared" ca="1" si="26"/>
        <v>(2026)</v>
      </c>
      <c r="K1692" s="7" t="str">
        <f t="shared" si="27"/>
        <v>52285724</v>
      </c>
      <c r="L1692" s="12" t="s">
        <v>127</v>
      </c>
      <c r="M1692" s="13" t="str">
        <f ca="1">IFERROR(__xludf.DUMMYFUNCTION("TRIM(
  REGEXREPLACE(
    TEXTJOIN("" "",
      TRUE,
      B1692,
      C1692,
      embaralharLinks(E1692,F1692,G1692),
      H1692,
      """",
      J1692,
      N1692,
      ""#RIPNSFW""
    ),
  "",\s*"", "" "")
)"),"{New} Violet Myers https://doodstream.com/d/odtx0gbhqj2f/52285724 https://lulustream.com/d/u8mv89alsqlq https://streamtape.com/v/O74Q2BkG3ZTZBag/52285724 (2026) #MILF #BigTits #Hardcore #Bigass #RIPNSFW")</f>
        <v>{New} Violet Myers https://doodstream.com/d/odtx0gbhqj2f/52285724 https://lulustream.com/d/u8mv89alsqlq https://streamtape.com/v/O74Q2BkG3ZTZBag/52285724 (2026) #MILF #BigTits #Hardcore #Bigass #RIPNSFW</v>
      </c>
      <c r="N1692" s="2" t="s">
        <v>128</v>
      </c>
      <c r="O1692" s="30" t="s">
        <v>8417</v>
      </c>
      <c r="P1692" s="26"/>
      <c r="R1692" s="23"/>
    </row>
    <row r="1693" spans="1:27" ht="12.75">
      <c r="A1693" s="16" t="s">
        <v>8418</v>
      </c>
      <c r="B1693" s="11"/>
      <c r="C1693" s="13" t="str">
        <f t="shared" si="24"/>
        <v xml:space="preserve">Violet Myers </v>
      </c>
      <c r="D1693" s="17" t="s">
        <v>8419</v>
      </c>
      <c r="E1693" s="18" t="s">
        <v>8420</v>
      </c>
      <c r="F1693" s="9" t="str">
        <f ca="1">IFERROR(__xludf.DUMMYFUNCTION("""https://streamtape.com/v/""&amp;
REGEXEXTRACT(O1693,""/thumb/([^/]+)/"")&amp;
""/""&amp;K1693"),"https://streamtape.com/v/2rlKObQ3z4cZXxW/52594792")</f>
        <v>https://streamtape.com/v/2rlKObQ3z4cZXxW/52594792</v>
      </c>
      <c r="G1693" s="10" t="e">
        <f t="shared" ca="1" si="25"/>
        <v>#NAME?</v>
      </c>
      <c r="H1693" s="11" t="str">
        <f ca="1">IFERROR(__xludf.DUMMYFUNCTION("IFERROR(SUBSTITUTE(SUBSTITUTE(REGEXEXTRACT(A1693, ""[^-]+- [^-]+- [^-]+ - (.+?)\.jpg""), "".jpg"", """"), ""-"", "", ""), """")"),"")</f>
        <v/>
      </c>
      <c r="I1693" s="11"/>
      <c r="J1693" s="7" t="str">
        <f t="shared" ca="1" si="26"/>
        <v/>
      </c>
      <c r="K1693" s="13" t="str">
        <f t="shared" si="27"/>
        <v>52594792</v>
      </c>
      <c r="L1693" s="12" t="s">
        <v>8421</v>
      </c>
      <c r="M1693" s="13" t="str">
        <f ca="1">IFERROR(__xludf.DUMMYFUNCTION("TRIM(
  REGEXREPLACE(
    TEXTJOIN("" "",
      TRUE,
      B1693,
      C1693,
      embaralharLinks(E1693,F1693,G1693),
      H1693,
      """",
      J1693,
      N1693,
      ""#RIPNSFW""
    ),
  "",\s*"", "" "")
)"),"Violet Myers https://lulustream.com/d/nah62mlejy8q https://doodstream.com/d/kvkvobxd6knu/52594792 https://streamtape.com/v/2rlKObQ3z4cZXxW/52594792 #bigtits #blowjob #bigass #milf #RIPNSFW")</f>
        <v>Violet Myers https://lulustream.com/d/nah62mlejy8q https://doodstream.com/d/kvkvobxd6knu/52594792 https://streamtape.com/v/2rlKObQ3z4cZXxW/52594792 #bigtits #blowjob #bigass #milf #RIPNSFW</v>
      </c>
      <c r="N1693" s="20" t="s">
        <v>8421</v>
      </c>
      <c r="O1693" s="30" t="s">
        <v>8422</v>
      </c>
      <c r="P1693" s="26"/>
      <c r="R1693" s="23"/>
      <c r="T1693" s="6"/>
      <c r="U1693" s="7"/>
    </row>
    <row r="1694" spans="1:27" ht="12.75">
      <c r="A1694" s="6" t="s">
        <v>8423</v>
      </c>
      <c r="B1694" s="6" t="s">
        <v>14</v>
      </c>
      <c r="C1694" s="7" t="str">
        <f t="shared" si="24"/>
        <v xml:space="preserve">Violet Myers </v>
      </c>
      <c r="D1694" s="24" t="s">
        <v>8424</v>
      </c>
      <c r="E1694" s="25" t="s">
        <v>8425</v>
      </c>
      <c r="F1694" s="9" t="str">
        <f ca="1">IFERROR(__xludf.DUMMYFUNCTION("""https://streamtape.com/v/""&amp;
REGEXEXTRACT(O1694,""/thumb/([^/]+)/"")&amp;
""/""&amp;K1694"),"https://streamtape.com/v/lOY3mWXb9pT73Rq/54315108")</f>
        <v>https://streamtape.com/v/lOY3mWXb9pT73Rq/54315108</v>
      </c>
      <c r="G1694" s="10" t="e">
        <f t="shared" ca="1" si="25"/>
        <v>#NAME?</v>
      </c>
      <c r="H1694" s="11" t="str">
        <f ca="1">IFERROR(__xludf.DUMMYFUNCTION("IFERROR(SUBSTITUTE(SUBSTITUTE(REGEXEXTRACT(A1694, ""[^-]+- [^-]+- [^-]+ - (.+?)\.jpg""), "".jpg"", """"), ""-"", "", ""), """")"),"")</f>
        <v/>
      </c>
      <c r="I1694" s="6"/>
      <c r="J1694" s="7" t="str">
        <f t="shared" ca="1" si="26"/>
        <v>(2026)</v>
      </c>
      <c r="K1694" s="7" t="str">
        <f t="shared" si="27"/>
        <v>54315108</v>
      </c>
      <c r="L1694" s="12" t="s">
        <v>2309</v>
      </c>
      <c r="M1694" s="13" t="str">
        <f ca="1">IFERROR(__xludf.DUMMYFUNCTION("TRIM(
  REGEXREPLACE(
    TEXTJOIN("" "",
      TRUE,
      B1694,
      C1694,
      embaralharLinks(E1694,F1694,G1694),
      H1694,
      """",
      J1694,
      N1694,
      ""#RIPNSFW""
    ),
  "",\s*"", "" "")
)"),"{New} Violet Myers https://lulustream.com/d/i5efxqtgz5q6 https://doodstream.com/d/t7r8chlxh1mb/54315108 https://streamtape.com/v/lOY3mWXb9pT73Rq/54315108 (2026) #milf #bigtits #bigass #joi #RIPNSFW")</f>
        <v>{New} Violet Myers https://lulustream.com/d/i5efxqtgz5q6 https://doodstream.com/d/t7r8chlxh1mb/54315108 https://streamtape.com/v/lOY3mWXb9pT73Rq/54315108 (2026) #milf #bigtits #bigass #joi #RIPNSFW</v>
      </c>
      <c r="N1694" s="31" t="s">
        <v>2309</v>
      </c>
      <c r="O1694" s="15" t="s">
        <v>8426</v>
      </c>
      <c r="P1694" s="26"/>
      <c r="Q1694" s="6"/>
      <c r="R1694" s="11"/>
      <c r="S1694" s="6"/>
      <c r="T1694" s="6"/>
      <c r="U1694" s="6"/>
      <c r="V1694" s="6"/>
      <c r="W1694" s="6"/>
      <c r="X1694" s="6"/>
      <c r="Y1694" s="6"/>
      <c r="Z1694" s="6"/>
      <c r="AA1694" s="6"/>
    </row>
    <row r="1695" spans="1:27" ht="12.75">
      <c r="A1695" s="6" t="s">
        <v>8427</v>
      </c>
      <c r="B1695" s="6" t="s">
        <v>14</v>
      </c>
      <c r="C1695" s="7" t="str">
        <f t="shared" si="24"/>
        <v xml:space="preserve">Violet Myers </v>
      </c>
      <c r="D1695" s="24" t="s">
        <v>8428</v>
      </c>
      <c r="E1695" s="25" t="s">
        <v>8429</v>
      </c>
      <c r="F1695" s="9" t="str">
        <f ca="1">IFERROR(__xludf.DUMMYFUNCTION("""https://streamtape.com/v/""&amp;
REGEXEXTRACT(O1695,""/thumb/([^/]+)/"")&amp;
""/""&amp;K1695"),"https://streamtape.com/v/oGGg0BzGdKUJ1qd/56549820")</f>
        <v>https://streamtape.com/v/oGGg0BzGdKUJ1qd/56549820</v>
      </c>
      <c r="G1695" s="10" t="e">
        <f t="shared" ca="1" si="25"/>
        <v>#NAME?</v>
      </c>
      <c r="H1695" s="11" t="str">
        <f ca="1">IFERROR(__xludf.DUMMYFUNCTION("IFERROR(SUBSTITUTE(SUBSTITUTE(REGEXEXTRACT(A1695, ""[^-]+- [^-]+- [^-]+ - (.+?)\.jpg""), "".jpg"", """"), ""-"", "", ""), """")"),"")</f>
        <v/>
      </c>
      <c r="I1695" s="6"/>
      <c r="J1695" s="7" t="str">
        <f t="shared" ca="1" si="26"/>
        <v>(2026)</v>
      </c>
      <c r="K1695" s="7" t="str">
        <f t="shared" si="27"/>
        <v>56549820</v>
      </c>
      <c r="L1695" s="12" t="s">
        <v>2061</v>
      </c>
      <c r="M1695" s="13" t="str">
        <f ca="1">IFERROR(__xludf.DUMMYFUNCTION("TRIM(
  REGEXREPLACE(
    TEXTJOIN("" "",
      TRUE,
      B1695,
      C1695,
      embaralharLinks(E1695,F1695,G1695),
      H1695,
      """",
      J1695,
      N1695,
      ""#RIPNSFW""
    ),
  "",\s*"", "" "")
)"),"{New} Violet Myers https://doodstream.com/d/5g2u19sa3dvd/56549820 https://lulustream.com/d/m586yxybf4ig https://streamtape.com/v/oGGg0BzGdKUJ1qd/56549820 (2026) #milf #bigtits #bigass #solo #RIPNSFW")</f>
        <v>{New} Violet Myers https://doodstream.com/d/5g2u19sa3dvd/56549820 https://lulustream.com/d/m586yxybf4ig https://streamtape.com/v/oGGg0BzGdKUJ1qd/56549820 (2026) #milf #bigtits #bigass #solo #RIPNSFW</v>
      </c>
      <c r="N1695" s="31" t="s">
        <v>2061</v>
      </c>
      <c r="O1695" s="15" t="s">
        <v>8430</v>
      </c>
      <c r="P1695" s="26"/>
      <c r="Q1695" s="6"/>
      <c r="R1695" s="11"/>
      <c r="S1695" s="6"/>
      <c r="T1695" s="6"/>
      <c r="U1695" s="6"/>
      <c r="V1695" s="6"/>
      <c r="W1695" s="6"/>
      <c r="X1695" s="6"/>
      <c r="Y1695" s="6"/>
      <c r="Z1695" s="6"/>
      <c r="AA1695" s="6"/>
    </row>
    <row r="1696" spans="1:27" ht="12.75">
      <c r="A1696" s="6" t="s">
        <v>8431</v>
      </c>
      <c r="B1696" s="6" t="s">
        <v>14</v>
      </c>
      <c r="C1696" s="7" t="str">
        <f t="shared" si="24"/>
        <v xml:space="preserve">Violet Myers </v>
      </c>
      <c r="D1696" s="6" t="s">
        <v>8432</v>
      </c>
      <c r="E1696" s="8" t="s">
        <v>8433</v>
      </c>
      <c r="F1696" s="9" t="str">
        <f ca="1">IFERROR(__xludf.DUMMYFUNCTION("""https://streamtape.com/v/""&amp;
REGEXEXTRACT(O1696,""/thumb/([^/]+)/"")&amp;
""/""&amp;K1696"),"https://streamtape.com/v/vr8Q3z42zRI41kz/57220845")</f>
        <v>https://streamtape.com/v/vr8Q3z42zRI41kz/57220845</v>
      </c>
      <c r="G1696" s="10" t="e">
        <f t="shared" ca="1" si="25"/>
        <v>#NAME?</v>
      </c>
      <c r="H1696" s="11" t="str">
        <f ca="1">IFERROR(__xludf.DUMMYFUNCTION("IFERROR(SUBSTITUTE(SUBSTITUTE(REGEXEXTRACT(A1696, ""[^-]+- [^-]+- [^-]+ - (.+?)\.jpg""), "".jpg"", """"), ""-"", "", ""), """")"),"Angela White")</f>
        <v>Angela White</v>
      </c>
      <c r="I1696" s="6"/>
      <c r="J1696" s="7" t="str">
        <f t="shared" ca="1" si="26"/>
        <v>(2026)</v>
      </c>
      <c r="K1696" s="7" t="str">
        <f t="shared" si="27"/>
        <v>57220845</v>
      </c>
      <c r="L1696" s="12" t="s">
        <v>8434</v>
      </c>
      <c r="M1696" s="13" t="str">
        <f ca="1">IFERROR(__xludf.DUMMYFUNCTION("TRIM(
  REGEXREPLACE(
    TEXTJOIN("" "",
      TRUE,
      B1696,
      C1696,
      embaralharLinks(E1696,F1696,G1696),
      H1696,
      """",
      J1696,
      N1696,
      ""#RIPNSFW""
    ),
  "",\s*"", "" "")
)"),"{New} Violet Myers https://doodstream.com/d/4ab5qfr56r00/57220845 https://streamtape.com/v/vr8Q3z42zRI41kz/57220845 https://lulustream.com/d/royzcplgcg2j Angela White (2026) #MILF #BigTits #Hardcore #Threesome #Black #Interracial #Bigass #RIPNSFW")</f>
        <v>{New} Violet Myers https://doodstream.com/d/4ab5qfr56r00/57220845 https://streamtape.com/v/vr8Q3z42zRI41kz/57220845 https://lulustream.com/d/royzcplgcg2j Angela White (2026) #MILF #BigTits #Hardcore #Threesome #Black #Interracial #Bigass #RIPNSFW</v>
      </c>
      <c r="N1696" s="14" t="s">
        <v>8435</v>
      </c>
      <c r="O1696" s="15" t="s">
        <v>8436</v>
      </c>
      <c r="P1696" s="14"/>
      <c r="Q1696" s="6"/>
      <c r="R1696" s="11"/>
      <c r="S1696" s="6"/>
      <c r="T1696" s="6"/>
      <c r="U1696" s="6"/>
      <c r="V1696" s="6"/>
      <c r="W1696" s="6"/>
      <c r="X1696" s="6"/>
      <c r="Y1696" s="6"/>
      <c r="Z1696" s="6"/>
      <c r="AA1696" s="6"/>
    </row>
    <row r="1697" spans="1:27" ht="12.75">
      <c r="A1697" s="12" t="s">
        <v>8437</v>
      </c>
      <c r="B1697" s="6" t="s">
        <v>14</v>
      </c>
      <c r="C1697" s="7" t="str">
        <f t="shared" si="24"/>
        <v xml:space="preserve">Violet Myers </v>
      </c>
      <c r="D1697" s="24" t="s">
        <v>8438</v>
      </c>
      <c r="E1697" s="25" t="s">
        <v>8439</v>
      </c>
      <c r="F1697" s="9" t="str">
        <f ca="1">IFERROR(__xludf.DUMMYFUNCTION("""https://streamtape.com/v/""&amp;
REGEXEXTRACT(O1697,""/thumb/([^/]+)/"")&amp;
""/""&amp;K1697"),"https://streamtape.com/v/k0QmDPlYQGHOKXo/57616791")</f>
        <v>https://streamtape.com/v/k0QmDPlYQGHOKXo/57616791</v>
      </c>
      <c r="G1697" s="10" t="e">
        <f t="shared" ca="1" si="25"/>
        <v>#NAME?</v>
      </c>
      <c r="H1697" s="11" t="str">
        <f ca="1">IFERROR(__xludf.DUMMYFUNCTION("IFERROR(SUBSTITUTE(SUBSTITUTE(REGEXEXTRACT(A1697, ""[^-]+- [^-]+- [^-]+ - (.+?)\.jpg""), "".jpg"", """"), ""-"", "", ""), """")"),"")</f>
        <v/>
      </c>
      <c r="I1697" s="6"/>
      <c r="J1697" s="7" t="str">
        <f t="shared" ca="1" si="26"/>
        <v>(2026)</v>
      </c>
      <c r="K1697" s="7" t="str">
        <f t="shared" si="27"/>
        <v>57616791</v>
      </c>
      <c r="L1697" s="12" t="s">
        <v>1798</v>
      </c>
      <c r="M1697" s="13" t="str">
        <f ca="1">IFERROR(__xludf.DUMMYFUNCTION("TRIM(
  REGEXREPLACE(
    TEXTJOIN("" "",
      TRUE,
      B1697,
      C1697,
      embaralharLinks(E1697,F1697,G1697),
      H1697,
      """",
      J1697,
      N1697,
      ""#RIPNSFW""
    ),
  "",\s*"", "" "")
)"),"{New} Violet Myers https://doodstream.com/d/j4xjw6plb6c2/57616791 https://lulustream.com/d/29rraopezcwp https://streamtape.com/v/k0QmDPlYQGHOKXo/57616791 (2026) #milf #bigtits #hardcore #bigass #RIPNSFW")</f>
        <v>{New} Violet Myers https://doodstream.com/d/j4xjw6plb6c2/57616791 https://lulustream.com/d/29rraopezcwp https://streamtape.com/v/k0QmDPlYQGHOKXo/57616791 (2026) #milf #bigtits #hardcore #bigass #RIPNSFW</v>
      </c>
      <c r="N1697" s="2" t="s">
        <v>1798</v>
      </c>
      <c r="O1697" s="21" t="s">
        <v>8440</v>
      </c>
      <c r="P1697" s="26"/>
      <c r="R1697" s="23"/>
      <c r="T1697" s="6"/>
      <c r="U1697" s="7"/>
    </row>
    <row r="1698" spans="1:27" ht="12.75">
      <c r="A1698" s="12" t="s">
        <v>8441</v>
      </c>
      <c r="B1698" s="6" t="s">
        <v>14</v>
      </c>
      <c r="C1698" s="7" t="str">
        <f t="shared" si="24"/>
        <v xml:space="preserve">Violet Myers </v>
      </c>
      <c r="D1698" s="24" t="s">
        <v>8442</v>
      </c>
      <c r="E1698" s="25" t="s">
        <v>8443</v>
      </c>
      <c r="F1698" s="9" t="str">
        <f ca="1">IFERROR(__xludf.DUMMYFUNCTION("""https://streamtape.com/v/""&amp;
REGEXEXTRACT(O1698,""/thumb/([^/]+)/"")&amp;
""/""&amp;K1698"),"https://streamtape.com/v/qljzA9WweAHzJzw/58334536")</f>
        <v>https://streamtape.com/v/qljzA9WweAHzJzw/58334536</v>
      </c>
      <c r="G1698" s="10" t="e">
        <f t="shared" ca="1" si="25"/>
        <v>#NAME?</v>
      </c>
      <c r="H1698" s="11" t="str">
        <f ca="1">IFERROR(__xludf.DUMMYFUNCTION("IFERROR(SUBSTITUTE(SUBSTITUTE(REGEXEXTRACT(A1698, ""[^-]+- [^-]+- [^-]+ - (.+?)\.jpg""), "".jpg"", """"), ""-"", "", ""), """")"),"Angela White")</f>
        <v>Angela White</v>
      </c>
      <c r="I1698" s="6"/>
      <c r="J1698" s="7" t="str">
        <f t="shared" ca="1" si="26"/>
        <v>(2026)</v>
      </c>
      <c r="K1698" s="7" t="str">
        <f t="shared" si="27"/>
        <v>58334536</v>
      </c>
      <c r="L1698" s="12" t="s">
        <v>2066</v>
      </c>
      <c r="M1698" s="13" t="str">
        <f ca="1">IFERROR(__xludf.DUMMYFUNCTION("TRIM(
  REGEXREPLACE(
    TEXTJOIN("" "",
      TRUE,
      B1698,
      C1698,
      embaralharLinks(E1698,F1698,G1698),
      H1698,
      """",
      J1698,
      N1698,
      ""#RIPNSFW""
    ),
  "",\s*"", "" "")
)"),"{New} Violet Myers https://streamtape.com/v/qljzA9WweAHzJzw/58334536 https://lulustream.com/d/njw2f4wtbuea https://doodstream.com/d/1npj6r6jegmi/58334536 Angela White (2026) #milf #bigass #blowjob #bigtits #RIPNSFW")</f>
        <v>{New} Violet Myers https://streamtape.com/v/qljzA9WweAHzJzw/58334536 https://lulustream.com/d/njw2f4wtbuea https://doodstream.com/d/1npj6r6jegmi/58334536 Angela White (2026) #milf #bigass #blowjob #bigtits #RIPNSFW</v>
      </c>
      <c r="N1698" s="2" t="s">
        <v>2066</v>
      </c>
      <c r="O1698" s="21" t="s">
        <v>8444</v>
      </c>
      <c r="P1698" s="26"/>
      <c r="R1698" s="23"/>
    </row>
    <row r="1699" spans="1:27" ht="12.75">
      <c r="A1699" s="12" t="s">
        <v>8445</v>
      </c>
      <c r="B1699" s="6" t="s">
        <v>14</v>
      </c>
      <c r="C1699" s="7" t="str">
        <f t="shared" si="24"/>
        <v xml:space="preserve">Violet Myers </v>
      </c>
      <c r="D1699" s="27" t="s">
        <v>8446</v>
      </c>
      <c r="E1699" s="28" t="s">
        <v>8447</v>
      </c>
      <c r="F1699" s="9" t="str">
        <f ca="1">IFERROR(__xludf.DUMMYFUNCTION("""https://streamtape.com/v/""&amp;
REGEXEXTRACT(O1699,""/thumb/([^/]+)/"")&amp;
""/""&amp;K1699"),"https://streamtape.com/v/ApB4LVe9aMIXqA4/59964539")</f>
        <v>https://streamtape.com/v/ApB4LVe9aMIXqA4/59964539</v>
      </c>
      <c r="G1699" s="10" t="e">
        <f t="shared" ca="1" si="25"/>
        <v>#NAME?</v>
      </c>
      <c r="H1699" s="11" t="str">
        <f ca="1">IFERROR(__xludf.DUMMYFUNCTION("IFERROR(SUBSTITUTE(SUBSTITUTE(REGEXEXTRACT(A1699, ""[^-]+- [^-]+- [^-]+ - (.+?)\.jpg""), "".jpg"", """"), ""-"", "", ""), """")"),"")</f>
        <v/>
      </c>
      <c r="I1699" s="6"/>
      <c r="J1699" s="7" t="str">
        <f t="shared" ca="1" si="26"/>
        <v>(2026)</v>
      </c>
      <c r="K1699" s="7" t="str">
        <f t="shared" si="27"/>
        <v>59964539</v>
      </c>
      <c r="L1699" s="12" t="s">
        <v>71</v>
      </c>
      <c r="M1699" s="13" t="str">
        <f ca="1">IFERROR(__xludf.DUMMYFUNCTION("TRIM(
  REGEXREPLACE(
    TEXTJOIN("" "",
      TRUE,
      B1699,
      C1699,
      embaralharLinks(E1699,F1699,G1699),
      H1699,
      """",
      J1699,
      N1699,
      ""#RIPNSFW""
    ),
  "",\s*"", "" "")
)"),"{New} Violet Myers https://streamtape.com/v/ApB4LVe9aMIXqA4/59964539 https://doodstream.com/d/27vvx5df98pv/59964539 https://lulustream.com/d/e9ufgv3j9sb4 (2026) #Anal #MILF #BigTits #Hardcore #RIPNSFW")</f>
        <v>{New} Violet Myers https://streamtape.com/v/ApB4LVe9aMIXqA4/59964539 https://doodstream.com/d/27vvx5df98pv/59964539 https://lulustream.com/d/e9ufgv3j9sb4 (2026) #Anal #MILF #BigTits #Hardcore #RIPNSFW</v>
      </c>
      <c r="N1699" s="2" t="s">
        <v>72</v>
      </c>
      <c r="O1699" s="21" t="s">
        <v>8448</v>
      </c>
      <c r="P1699" s="26"/>
      <c r="R1699" s="23"/>
    </row>
    <row r="1700" spans="1:27" ht="12.75">
      <c r="A1700" s="12" t="s">
        <v>8449</v>
      </c>
      <c r="B1700" s="6" t="s">
        <v>14</v>
      </c>
      <c r="C1700" s="7" t="str">
        <f t="shared" si="24"/>
        <v xml:space="preserve">Violet Myers </v>
      </c>
      <c r="D1700" s="24" t="s">
        <v>8450</v>
      </c>
      <c r="E1700" s="25" t="s">
        <v>8451</v>
      </c>
      <c r="F1700" s="9" t="str">
        <f ca="1">IFERROR(__xludf.DUMMYFUNCTION("""https://streamtape.com/v/""&amp;
REGEXEXTRACT(O1700,""/thumb/([^/]+)/"")&amp;
""/""&amp;K1700"),"https://streamtape.com/v/GW8mb0KZ6bS1Rey/62469806")</f>
        <v>https://streamtape.com/v/GW8mb0KZ6bS1Rey/62469806</v>
      </c>
      <c r="G1700" s="10" t="e">
        <f t="shared" ca="1" si="25"/>
        <v>#NAME?</v>
      </c>
      <c r="H1700" s="11" t="str">
        <f ca="1">IFERROR(__xludf.DUMMYFUNCTION("IFERROR(SUBSTITUTE(SUBSTITUTE(REGEXEXTRACT(A1700, ""[^-]+- [^-]+- [^-]+ - (.+?)\.jpg""), "".jpg"", """"), ""-"", "", ""), """")"),"")</f>
        <v/>
      </c>
      <c r="I1700" s="6"/>
      <c r="J1700" s="7" t="str">
        <f t="shared" ca="1" si="26"/>
        <v>(2026)</v>
      </c>
      <c r="K1700" s="7" t="str">
        <f t="shared" si="27"/>
        <v>62469806</v>
      </c>
      <c r="L1700" s="12" t="s">
        <v>2153</v>
      </c>
      <c r="M1700" s="13" t="str">
        <f ca="1">IFERROR(__xludf.DUMMYFUNCTION("TRIM(
  REGEXREPLACE(
    TEXTJOIN("" "",
      TRUE,
      B1700,
      C1700,
      embaralharLinks(E1700,F1700,G1700),
      H1700,
      """",
      J1700,
      N1700,
      ""#RIPNSFW""
    ),
  "",\s*"", "" "")
)"),"{New} Violet Myers https://lulustream.com/d/i3j71ok2xbyb https://doodstream.com/d/82gwfj4apzfi/62469806 https://streamtape.com/v/GW8mb0KZ6bS1Rey/62469806 (2026) #milf #blowjob #bigtits #pov #RIPNSFW")</f>
        <v>{New} Violet Myers https://lulustream.com/d/i3j71ok2xbyb https://doodstream.com/d/82gwfj4apzfi/62469806 https://streamtape.com/v/GW8mb0KZ6bS1Rey/62469806 (2026) #milf #blowjob #bigtits #pov #RIPNSFW</v>
      </c>
      <c r="N1700" s="2" t="s">
        <v>2153</v>
      </c>
      <c r="O1700" s="21" t="s">
        <v>8452</v>
      </c>
      <c r="P1700" s="26"/>
      <c r="R1700" s="23"/>
    </row>
    <row r="1701" spans="1:27" ht="12.75">
      <c r="A1701" s="12" t="s">
        <v>8453</v>
      </c>
      <c r="B1701" s="6" t="s">
        <v>14</v>
      </c>
      <c r="C1701" s="7" t="str">
        <f t="shared" si="24"/>
        <v xml:space="preserve">Violet Myers </v>
      </c>
      <c r="D1701" s="24" t="s">
        <v>8454</v>
      </c>
      <c r="E1701" s="25" t="s">
        <v>8455</v>
      </c>
      <c r="F1701" s="9" t="str">
        <f ca="1">IFERROR(__xludf.DUMMYFUNCTION("""https://streamtape.com/v/""&amp;
REGEXEXTRACT(O1701,""/thumb/([^/]+)/"")&amp;
""/""&amp;K1701"),"https://streamtape.com/v/eYXG9LzllRH9qo/62986674")</f>
        <v>https://streamtape.com/v/eYXG9LzllRH9qo/62986674</v>
      </c>
      <c r="G1701" s="10" t="e">
        <f t="shared" ca="1" si="25"/>
        <v>#NAME?</v>
      </c>
      <c r="H1701" s="11" t="str">
        <f ca="1">IFERROR(__xludf.DUMMYFUNCTION("IFERROR(SUBSTITUTE(SUBSTITUTE(REGEXEXTRACT(A1701, ""[^-]+- [^-]+- [^-]+ - (.+?)\.jpg""), "".jpg"", """"), ""-"", "", ""), """")"),"")</f>
        <v/>
      </c>
      <c r="I1701" s="6"/>
      <c r="J1701" s="7" t="str">
        <f t="shared" ca="1" si="26"/>
        <v>(2026)</v>
      </c>
      <c r="K1701" s="7" t="str">
        <f t="shared" si="27"/>
        <v>62986674</v>
      </c>
      <c r="L1701" s="12" t="s">
        <v>8456</v>
      </c>
      <c r="M1701" s="13" t="str">
        <f ca="1">IFERROR(__xludf.DUMMYFUNCTION("TRIM(
  REGEXREPLACE(
    TEXTJOIN("" "",
      TRUE,
      B1701,
      C1701,
      embaralharLinks(E1701,F1701,G1701),
      H1701,
      """",
      J1701,
      N1701,
      ""#RIPNSFW""
    ),
  "",\s*"", "" "")
)"),"{New} Violet Myers https://doodstream.com/d/8i40uov6ufa3/62986674 https://streamtape.com/v/eYXG9LzllRH9qo/62986674 https://lulustream.com/d/ydy5ofqbxev4 (2026) #teens #bigass #bigtits #lesbian #RIPNSFW")</f>
        <v>{New} Violet Myers https://doodstream.com/d/8i40uov6ufa3/62986674 https://streamtape.com/v/eYXG9LzllRH9qo/62986674 https://lulustream.com/d/ydy5ofqbxev4 (2026) #teens #bigass #bigtits #lesbian #RIPNSFW</v>
      </c>
      <c r="N1701" s="2" t="s">
        <v>8456</v>
      </c>
      <c r="O1701" s="21" t="s">
        <v>8457</v>
      </c>
      <c r="P1701" s="26"/>
      <c r="R1701" s="23"/>
    </row>
    <row r="1702" spans="1:27" ht="12.75">
      <c r="A1702" s="12" t="s">
        <v>8458</v>
      </c>
      <c r="B1702" s="6" t="s">
        <v>14</v>
      </c>
      <c r="C1702" s="7" t="str">
        <f t="shared" si="24"/>
        <v xml:space="preserve">Violet Myers </v>
      </c>
      <c r="D1702" s="24" t="s">
        <v>8459</v>
      </c>
      <c r="E1702" s="25" t="s">
        <v>8460</v>
      </c>
      <c r="F1702" s="9" t="str">
        <f ca="1">IFERROR(__xludf.DUMMYFUNCTION("""https://streamtape.com/v/""&amp;
REGEXEXTRACT(O1702,""/thumb/([^/]+)/"")&amp;
""/""&amp;K1702"),"https://streamtape.com/v/zKMmoYbMpLTYYee/64925967")</f>
        <v>https://streamtape.com/v/zKMmoYbMpLTYYee/64925967</v>
      </c>
      <c r="G1702" s="10" t="e">
        <f t="shared" ca="1" si="25"/>
        <v>#NAME?</v>
      </c>
      <c r="H1702" s="11" t="str">
        <f ca="1">IFERROR(__xludf.DUMMYFUNCTION("IFERROR(SUBSTITUTE(SUBSTITUTE(REGEXEXTRACT(A1702, ""[^-]+- [^-]+- [^-]+ - (.+?)\.jpg""), "".jpg"", """"), ""-"", "", ""), """")"),"")</f>
        <v/>
      </c>
      <c r="I1702" s="6"/>
      <c r="J1702" s="7" t="str">
        <f t="shared" ca="1" si="26"/>
        <v>(2026)</v>
      </c>
      <c r="K1702" s="7" t="str">
        <f t="shared" si="27"/>
        <v>64925967</v>
      </c>
      <c r="L1702" s="12" t="s">
        <v>1462</v>
      </c>
      <c r="M1702" s="13" t="str">
        <f ca="1">IFERROR(__xludf.DUMMYFUNCTION("TRIM(
  REGEXREPLACE(
    TEXTJOIN("" "",
      TRUE,
      B1702,
      C1702,
      embaralharLinks(E1702,F1702,G1702),
      H1702,
      """",
      J1702,
      N1702,
      ""#RIPNSFW""
    ),
  "",\s*"", "" "")
)"),"{New} Violet Myers https://lulustream.com/d/hyf0y231dxp6 https://doodstream.com/d/j8d1igyrkhuy/64925967 https://streamtape.com/v/zKMmoYbMpLTYYee/64925967 (2026) #milf #bigtits #bigass #blowjob #RIPNSFW")</f>
        <v>{New} Violet Myers https://lulustream.com/d/hyf0y231dxp6 https://doodstream.com/d/j8d1igyrkhuy/64925967 https://streamtape.com/v/zKMmoYbMpLTYYee/64925967 (2026) #milf #bigtits #bigass #blowjob #RIPNSFW</v>
      </c>
      <c r="N1702" s="2" t="s">
        <v>1462</v>
      </c>
      <c r="O1702" s="21" t="s">
        <v>8461</v>
      </c>
      <c r="P1702" s="26"/>
      <c r="R1702" s="23"/>
    </row>
    <row r="1703" spans="1:27" ht="12.75">
      <c r="A1703" s="12" t="s">
        <v>8462</v>
      </c>
      <c r="B1703" s="6" t="s">
        <v>14</v>
      </c>
      <c r="C1703" s="7" t="str">
        <f t="shared" si="24"/>
        <v xml:space="preserve">Violet Myers </v>
      </c>
      <c r="D1703" s="24" t="s">
        <v>8463</v>
      </c>
      <c r="E1703" s="25" t="s">
        <v>8464</v>
      </c>
      <c r="F1703" s="9" t="str">
        <f ca="1">IFERROR(__xludf.DUMMYFUNCTION("""https://streamtape.com/v/""&amp;
REGEXEXTRACT(O1703,""/thumb/([^/]+)/"")&amp;
""/""&amp;K1703"),"https://streamtape.com/v/ydd4rvm4RPHm6y/65437027")</f>
        <v>https://streamtape.com/v/ydd4rvm4RPHm6y/65437027</v>
      </c>
      <c r="G1703" s="10" t="e">
        <f t="shared" ca="1" si="25"/>
        <v>#NAME?</v>
      </c>
      <c r="H1703" s="11" t="str">
        <f ca="1">IFERROR(__xludf.DUMMYFUNCTION("IFERROR(SUBSTITUTE(SUBSTITUTE(REGEXEXTRACT(A1703, ""[^-]+- [^-]+- [^-]+ - (.+?)\.jpg""), "".jpg"", """"), ""-"", "", ""), """")"),"")</f>
        <v/>
      </c>
      <c r="I1703" s="6"/>
      <c r="J1703" s="7" t="str">
        <f t="shared" ca="1" si="26"/>
        <v>(2026)</v>
      </c>
      <c r="K1703" s="7" t="str">
        <f t="shared" si="27"/>
        <v>65437027</v>
      </c>
      <c r="L1703" s="12" t="s">
        <v>1798</v>
      </c>
      <c r="M1703" s="13" t="str">
        <f ca="1">IFERROR(__xludf.DUMMYFUNCTION("TRIM(
  REGEXREPLACE(
    TEXTJOIN("" "",
      TRUE,
      B1703,
      C1703,
      embaralharLinks(E1703,F1703,G1703),
      H1703,
      """",
      J1703,
      N1703,
      ""#RIPNSFW""
    ),
  "",\s*"", "" "")
)"),"{New} Violet Myers https://streamtape.com/v/ydd4rvm4RPHm6y/65437027 https://lulustream.com/d/1mor1untjidp https://doodstream.com/d/0lv394y15pri/65437027 (2026) #milf #bigtits #hardcore #bigass #RIPNSFW")</f>
        <v>{New} Violet Myers https://streamtape.com/v/ydd4rvm4RPHm6y/65437027 https://lulustream.com/d/1mor1untjidp https://doodstream.com/d/0lv394y15pri/65437027 (2026) #milf #bigtits #hardcore #bigass #RIPNSFW</v>
      </c>
      <c r="N1703" s="2" t="s">
        <v>1798</v>
      </c>
      <c r="O1703" s="21" t="s">
        <v>8465</v>
      </c>
      <c r="P1703" s="26"/>
      <c r="R1703" s="23"/>
      <c r="T1703" s="6"/>
      <c r="U1703" s="7"/>
    </row>
    <row r="1704" spans="1:27" ht="12.75">
      <c r="A1704" s="6" t="s">
        <v>8466</v>
      </c>
      <c r="B1704" s="6" t="s">
        <v>14</v>
      </c>
      <c r="C1704" s="7" t="str">
        <f t="shared" si="24"/>
        <v xml:space="preserve">Violet Myers </v>
      </c>
      <c r="D1704" s="24" t="s">
        <v>8467</v>
      </c>
      <c r="E1704" s="25" t="s">
        <v>8468</v>
      </c>
      <c r="F1704" s="9" t="str">
        <f ca="1">IFERROR(__xludf.DUMMYFUNCTION("""https://streamtape.com/v/""&amp;
REGEXEXTRACT(O1704,""/thumb/([^/]+)/"")&amp;
""/""&amp;K1704"),"https://streamtape.com/v/y2MqwpXy1jC1zGp/68380227")</f>
        <v>https://streamtape.com/v/y2MqwpXy1jC1zGp/68380227</v>
      </c>
      <c r="G1704" s="10" t="e">
        <f t="shared" ca="1" si="25"/>
        <v>#NAME?</v>
      </c>
      <c r="H1704" s="11" t="str">
        <f ca="1">IFERROR(__xludf.DUMMYFUNCTION("IFERROR(SUBSTITUTE(SUBSTITUTE(REGEXEXTRACT(A1704, ""[^-]+- [^-]+- [^-]+ - (.+?)\.jpg""), "".jpg"", """"), ""-"", "", ""), """")"),"")</f>
        <v/>
      </c>
      <c r="I1704" s="6"/>
      <c r="J1704" s="7" t="str">
        <f t="shared" ca="1" si="26"/>
        <v>(2026)</v>
      </c>
      <c r="K1704" s="7" t="str">
        <f t="shared" si="27"/>
        <v>68380227</v>
      </c>
      <c r="L1704" s="12" t="s">
        <v>1462</v>
      </c>
      <c r="M1704" s="13" t="str">
        <f ca="1">IFERROR(__xludf.DUMMYFUNCTION("TRIM(
  REGEXREPLACE(
    TEXTJOIN("" "",
      TRUE,
      B1704,
      C1704,
      embaralharLinks(E1704,F1704,G1704),
      H1704,
      """",
      J1704,
      N1704,
      ""#RIPNSFW""
    ),
  "",\s*"", "" "")
)"),"{New} Violet Myers https://doodstream.com/d/f4fvc52lu4yc/68380227 https://lulustream.com/d/xzq07zze1e8d https://streamtape.com/v/y2MqwpXy1jC1zGp/68380227 (2026) #milf #bigtits #bigass #blowjob #RIPNSFW")</f>
        <v>{New} Violet Myers https://doodstream.com/d/f4fvc52lu4yc/68380227 https://lulustream.com/d/xzq07zze1e8d https://streamtape.com/v/y2MqwpXy1jC1zGp/68380227 (2026) #milf #bigtits #bigass #blowjob #RIPNSFW</v>
      </c>
      <c r="N1704" s="31" t="s">
        <v>1462</v>
      </c>
      <c r="O1704" s="15" t="s">
        <v>8469</v>
      </c>
      <c r="P1704" s="26"/>
      <c r="Q1704" s="6"/>
      <c r="R1704" s="11"/>
      <c r="S1704" s="6"/>
      <c r="T1704" s="6"/>
      <c r="U1704" s="6"/>
      <c r="V1704" s="6"/>
      <c r="W1704" s="6"/>
      <c r="X1704" s="6"/>
      <c r="Y1704" s="6"/>
      <c r="Z1704" s="6"/>
      <c r="AA1704" s="6"/>
    </row>
    <row r="1705" spans="1:27" ht="12.75">
      <c r="A1705" s="12" t="s">
        <v>8470</v>
      </c>
      <c r="B1705" s="6" t="s">
        <v>14</v>
      </c>
      <c r="C1705" s="7" t="str">
        <f t="shared" si="24"/>
        <v xml:space="preserve">Violet Myers </v>
      </c>
      <c r="D1705" s="24" t="s">
        <v>8471</v>
      </c>
      <c r="E1705" s="25" t="s">
        <v>8472</v>
      </c>
      <c r="F1705" s="9" t="str">
        <f ca="1">IFERROR(__xludf.DUMMYFUNCTION("""https://streamtape.com/v/""&amp;
REGEXEXTRACT(O1705,""/thumb/([^/]+)/"")&amp;
""/""&amp;K1705"),"https://streamtape.com/v/k2oLaPl7PvUOkrK/69941077")</f>
        <v>https://streamtape.com/v/k2oLaPl7PvUOkrK/69941077</v>
      </c>
      <c r="G1705" s="10" t="e">
        <f t="shared" ca="1" si="25"/>
        <v>#NAME?</v>
      </c>
      <c r="H1705" s="11" t="str">
        <f ca="1">IFERROR(__xludf.DUMMYFUNCTION("IFERROR(SUBSTITUTE(SUBSTITUTE(REGEXEXTRACT(A1705, ""[^-]+- [^-]+- [^-]+ - (.+?)\.jpg""), "".jpg"", """"), ""-"", "", ""), """")"),"Lexi Lore ,  Bec The Barbie ,  Linda Lan")</f>
        <v>Lexi Lore ,  Bec The Barbie ,  Linda Lan</v>
      </c>
      <c r="I1705" s="6"/>
      <c r="J1705" s="7" t="str">
        <f t="shared" ca="1" si="26"/>
        <v>(2026)</v>
      </c>
      <c r="K1705" s="7" t="str">
        <f t="shared" si="27"/>
        <v>69941077</v>
      </c>
      <c r="L1705" s="12" t="s">
        <v>8473</v>
      </c>
      <c r="M1705" s="13" t="str">
        <f ca="1">IFERROR(__xludf.DUMMYFUNCTION("TRIM(
  REGEXREPLACE(
    TEXTJOIN("" "",
      TRUE,
      B1705,
      C1705,
      embaralharLinks(E1705,F1705,G1705),
      H1705,
      """",
      J1705,
      N1705,
      ""#RIPNSFW""
    ),
  "",\s*"", "" "")
)"),"{New} Violet Myers https://lulustream.com/d/0fd64nsat136 https://doodstream.com/d/3u5ghup8eqoa/69941077 https://streamtape.com/v/k2oLaPl7PvUOkrK/69941077 Lexi Lore Bec The Barbie Linda Lan (2026) #orgy #milf #bigass #bigtits #RIPNSFW")</f>
        <v>{New} Violet Myers https://lulustream.com/d/0fd64nsat136 https://doodstream.com/d/3u5ghup8eqoa/69941077 https://streamtape.com/v/k2oLaPl7PvUOkrK/69941077 Lexi Lore Bec The Barbie Linda Lan (2026) #orgy #milf #bigass #bigtits #RIPNSFW</v>
      </c>
      <c r="N1705" s="2" t="s">
        <v>8473</v>
      </c>
      <c r="O1705" s="30" t="s">
        <v>8474</v>
      </c>
      <c r="P1705" s="26"/>
      <c r="R1705" s="23"/>
      <c r="T1705" s="6"/>
      <c r="U1705" s="7"/>
    </row>
    <row r="1706" spans="1:27" ht="12.75">
      <c r="A1706" s="12" t="s">
        <v>8475</v>
      </c>
      <c r="B1706" s="6" t="s">
        <v>14</v>
      </c>
      <c r="C1706" s="7" t="str">
        <f t="shared" si="24"/>
        <v xml:space="preserve">Violet Myers </v>
      </c>
      <c r="D1706" s="27" t="s">
        <v>8476</v>
      </c>
      <c r="E1706" s="28" t="s">
        <v>8477</v>
      </c>
      <c r="F1706" s="9" t="str">
        <f ca="1">IFERROR(__xludf.DUMMYFUNCTION("""https://streamtape.com/v/""&amp;
REGEXEXTRACT(O1706,""/thumb/([^/]+)/"")&amp;
""/""&amp;K1706"),"https://streamtape.com/v/royqrxpgYXSbz13/71852868")</f>
        <v>https://streamtape.com/v/royqrxpgYXSbz13/71852868</v>
      </c>
      <c r="G1706" s="10" t="e">
        <f t="shared" ca="1" si="25"/>
        <v>#NAME?</v>
      </c>
      <c r="H1706" s="11" t="str">
        <f ca="1">IFERROR(__xludf.DUMMYFUNCTION("IFERROR(SUBSTITUTE(SUBSTITUTE(REGEXEXTRACT(A1706, ""[^-]+- [^-]+- [^-]+ - (.+?)\.jpg""), "".jpg"", """"), ""-"", "", ""), """")"),"")</f>
        <v/>
      </c>
      <c r="I1706" s="6"/>
      <c r="J1706" s="7" t="str">
        <f t="shared" ca="1" si="26"/>
        <v>(2026)</v>
      </c>
      <c r="K1706" s="7" t="str">
        <f t="shared" si="27"/>
        <v>71852868</v>
      </c>
      <c r="L1706" s="12" t="s">
        <v>127</v>
      </c>
      <c r="M1706" s="13" t="str">
        <f ca="1">IFERROR(__xludf.DUMMYFUNCTION("TRIM(
  REGEXREPLACE(
    TEXTJOIN("" "",
      TRUE,
      B1706,
      C1706,
      embaralharLinks(E1706,F1706,G1706),
      H1706,
      """",
      J1706,
      N1706,
      ""#RIPNSFW""
    ),
  "",\s*"", "" "")
)"),"{New} Violet Myers https://doodstream.com/d/x5es1rhdd9g3/71852868 https://lulustream.com/d/f8chqntzv4cy https://streamtape.com/v/royqrxpgYXSbz13/71852868 (2026) #MILF #BigTits #Hardcore #Bigass #RIPNSFW")</f>
        <v>{New} Violet Myers https://doodstream.com/d/x5es1rhdd9g3/71852868 https://lulustream.com/d/f8chqntzv4cy https://streamtape.com/v/royqrxpgYXSbz13/71852868 (2026) #MILF #BigTits #Hardcore #Bigass #RIPNSFW</v>
      </c>
      <c r="N1706" s="2" t="s">
        <v>128</v>
      </c>
      <c r="O1706" s="30" t="s">
        <v>8478</v>
      </c>
      <c r="P1706" s="26"/>
      <c r="R1706" s="23"/>
    </row>
    <row r="1707" spans="1:27" ht="12.75">
      <c r="A1707" s="12" t="s">
        <v>8479</v>
      </c>
      <c r="B1707" s="6" t="s">
        <v>14</v>
      </c>
      <c r="C1707" s="7" t="str">
        <f t="shared" si="24"/>
        <v xml:space="preserve">Violet Myers </v>
      </c>
      <c r="D1707" s="38" t="s">
        <v>8480</v>
      </c>
      <c r="E1707" s="28" t="s">
        <v>8481</v>
      </c>
      <c r="F1707" s="9" t="str">
        <f ca="1">IFERROR(__xludf.DUMMYFUNCTION("""https://streamtape.com/v/""&amp;
REGEXEXTRACT(O1707,""/thumb/([^/]+)/"")&amp;
""/""&amp;K1707"),"https://streamtape.com/v/dPxr6lylwJukVyW/72100664")</f>
        <v>https://streamtape.com/v/dPxr6lylwJukVyW/72100664</v>
      </c>
      <c r="G1707" s="10" t="e">
        <f t="shared" ca="1" si="25"/>
        <v>#NAME?</v>
      </c>
      <c r="H1707" s="11" t="str">
        <f ca="1">IFERROR(__xludf.DUMMYFUNCTION("IFERROR(SUBSTITUTE(SUBSTITUTE(REGEXEXTRACT(A1707, ""[^-]+- [^-]+- [^-]+ - (.+?)\.jpg""), "".jpg"", """"), ""-"", "", ""), """")"),"")</f>
        <v/>
      </c>
      <c r="I1707" s="6"/>
      <c r="J1707" s="7" t="str">
        <f t="shared" ca="1" si="26"/>
        <v>(2026)</v>
      </c>
      <c r="K1707" s="7" t="str">
        <f t="shared" si="27"/>
        <v>72100664</v>
      </c>
      <c r="L1707" s="12" t="s">
        <v>8030</v>
      </c>
      <c r="M1707" s="13" t="str">
        <f ca="1">IFERROR(__xludf.DUMMYFUNCTION("TRIM(
  REGEXREPLACE(
    TEXTJOIN("" "",
      TRUE,
      B1707,
      C1707,
      embaralharLinks(E1707,F1707,G1707),
      H1707,
      """",
      J1707,
      N1707,
      ""#RIPNSFW""
    ),
  "",\s*"", "" "")
)"),"{New} Violet Myers https://streamtape.com/v/dPxr6lylwJukVyW/72100664 https://lulustream.com/d/9dcm0ixvncrf https://doodstream.com/d/l3kykru3zogh/72100664 (2026) #MILF #BigTits #Hardcore #Bigass #Latina #Blowjob #Amateur #RIPNSFW")</f>
        <v>{New} Violet Myers https://streamtape.com/v/dPxr6lylwJukVyW/72100664 https://lulustream.com/d/9dcm0ixvncrf https://doodstream.com/d/l3kykru3zogh/72100664 (2026) #MILF #BigTits #Hardcore #Bigass #Latina #Blowjob #Amateur #RIPNSFW</v>
      </c>
      <c r="N1707" s="2" t="s">
        <v>8482</v>
      </c>
      <c r="O1707" s="21" t="s">
        <v>8483</v>
      </c>
      <c r="P1707" s="26"/>
      <c r="R1707" s="23"/>
    </row>
    <row r="1708" spans="1:27" ht="12.75">
      <c r="A1708" s="12" t="s">
        <v>8484</v>
      </c>
      <c r="B1708" s="6" t="s">
        <v>14</v>
      </c>
      <c r="C1708" s="7" t="str">
        <f t="shared" si="24"/>
        <v xml:space="preserve">Violet Myers </v>
      </c>
      <c r="D1708" s="24" t="s">
        <v>8485</v>
      </c>
      <c r="E1708" s="25" t="s">
        <v>8486</v>
      </c>
      <c r="F1708" s="9" t="str">
        <f ca="1">IFERROR(__xludf.DUMMYFUNCTION("""https://streamtape.com/v/""&amp;
REGEXEXTRACT(O1708,""/thumb/([^/]+)/"")&amp;
""/""&amp;K1708"),"https://streamtape.com/v/klBAxVRAWRtOO7e/73689223")</f>
        <v>https://streamtape.com/v/klBAxVRAWRtOO7e/73689223</v>
      </c>
      <c r="G1708" s="10" t="e">
        <f t="shared" ca="1" si="25"/>
        <v>#NAME?</v>
      </c>
      <c r="H1708" s="11" t="str">
        <f ca="1">IFERROR(__xludf.DUMMYFUNCTION("IFERROR(SUBSTITUTE(SUBSTITUTE(REGEXEXTRACT(A1708, ""[^-]+- [^-]+- [^-]+ - (.+?)\.jpg""), "".jpg"", """"), ""-"", "", ""), """")"),"")</f>
        <v/>
      </c>
      <c r="I1708" s="6"/>
      <c r="J1708" s="7" t="str">
        <f t="shared" ca="1" si="26"/>
        <v>(2026)</v>
      </c>
      <c r="K1708" s="7" t="str">
        <f t="shared" si="27"/>
        <v>73689223</v>
      </c>
      <c r="L1708" s="12" t="s">
        <v>127</v>
      </c>
      <c r="M1708" s="13" t="str">
        <f ca="1">IFERROR(__xludf.DUMMYFUNCTION("TRIM(
  REGEXREPLACE(
    TEXTJOIN("" "",
      TRUE,
      B1708,
      C1708,
      embaralharLinks(E1708,F1708,G1708),
      H1708,
      """",
      J1708,
      N1708,
      ""#RIPNSFW""
    ),
  "",\s*"", "" "")
)"),"{New} Violet Myers https://streamtape.com/v/klBAxVRAWRtOO7e/73689223 https://lulustream.com/d/ejbgr7cjkz2x https://doodstream.com/d/c4salq425zs0/73689223 (2026) #MILF #BigTits #Hardcore #Bigass #RIPNSFW")</f>
        <v>{New} Violet Myers https://streamtape.com/v/klBAxVRAWRtOO7e/73689223 https://lulustream.com/d/ejbgr7cjkz2x https://doodstream.com/d/c4salq425zs0/73689223 (2026) #MILF #BigTits #Hardcore #Bigass #RIPNSFW</v>
      </c>
      <c r="N1708" s="2" t="s">
        <v>128</v>
      </c>
      <c r="O1708" s="30" t="s">
        <v>8487</v>
      </c>
      <c r="P1708" s="26"/>
      <c r="R1708" s="23"/>
      <c r="T1708" s="6"/>
      <c r="U1708" s="7"/>
      <c r="Z1708" s="12"/>
      <c r="AA1708" s="12"/>
    </row>
    <row r="1709" spans="1:27" ht="12.75">
      <c r="A1709" s="12" t="s">
        <v>8488</v>
      </c>
      <c r="B1709" s="6" t="s">
        <v>14</v>
      </c>
      <c r="C1709" s="7" t="str">
        <f t="shared" si="24"/>
        <v xml:space="preserve">Violet Myers </v>
      </c>
      <c r="D1709" s="24" t="s">
        <v>8489</v>
      </c>
      <c r="E1709" s="25" t="s">
        <v>8490</v>
      </c>
      <c r="F1709" s="9" t="str">
        <f ca="1">IFERROR(__xludf.DUMMYFUNCTION("""https://streamtape.com/v/""&amp;
REGEXEXTRACT(O1709,""/thumb/([^/]+)/"")&amp;
""/""&amp;K1709"),"https://streamtape.com/v/d7p3Aay1zpik4jO/74529932")</f>
        <v>https://streamtape.com/v/d7p3Aay1zpik4jO/74529932</v>
      </c>
      <c r="G1709" s="10" t="e">
        <f t="shared" ca="1" si="25"/>
        <v>#NAME?</v>
      </c>
      <c r="H1709" s="11" t="str">
        <f ca="1">IFERROR(__xludf.DUMMYFUNCTION("IFERROR(SUBSTITUTE(SUBSTITUTE(REGEXEXTRACT(A1709, ""[^-]+- [^-]+- [^-]+ - (.+?)\.jpg""), "".jpg"", """"), ""-"", "", ""), """")"),"")</f>
        <v/>
      </c>
      <c r="I1709" s="6"/>
      <c r="J1709" s="7" t="str">
        <f t="shared" ca="1" si="26"/>
        <v>(2026)</v>
      </c>
      <c r="K1709" s="7" t="str">
        <f t="shared" si="27"/>
        <v>74529932</v>
      </c>
      <c r="L1709" s="12" t="s">
        <v>2163</v>
      </c>
      <c r="M1709" s="13" t="str">
        <f ca="1">IFERROR(__xludf.DUMMYFUNCTION("TRIM(
  REGEXREPLACE(
    TEXTJOIN("" "",
      TRUE,
      B1709,
      C1709,
      embaralharLinks(E1709,F1709,G1709),
      H1709,
      """",
      J1709,
      N1709,
      ""#RIPNSFW""
    ),
  "",\s*"", "" "")
)"),"{New} Violet Myers https://lulustream.com/d/z5u2da94cj2h https://streamtape.com/v/d7p3Aay1zpik4jO/74529932 https://doodstream.com/d/8u576wljfehj/74529932 (2026) #MILF #BigTits #Bigass #Blowjob #RIPNSFW")</f>
        <v>{New} Violet Myers https://lulustream.com/d/z5u2da94cj2h https://streamtape.com/v/d7p3Aay1zpik4jO/74529932 https://doodstream.com/d/8u576wljfehj/74529932 (2026) #MILF #BigTits #Bigass #Blowjob #RIPNSFW</v>
      </c>
      <c r="N1709" s="2" t="s">
        <v>2135</v>
      </c>
      <c r="O1709" s="30" t="s">
        <v>8491</v>
      </c>
      <c r="P1709" s="26"/>
      <c r="R1709" s="23"/>
      <c r="T1709" s="6"/>
      <c r="U1709" s="7"/>
    </row>
    <row r="1710" spans="1:27" ht="12.75">
      <c r="A1710" s="6" t="s">
        <v>8492</v>
      </c>
      <c r="B1710" s="6" t="s">
        <v>14</v>
      </c>
      <c r="C1710" s="7" t="str">
        <f t="shared" si="24"/>
        <v xml:space="preserve">Violet Myers </v>
      </c>
      <c r="D1710" s="24" t="s">
        <v>8493</v>
      </c>
      <c r="E1710" s="25" t="s">
        <v>8494</v>
      </c>
      <c r="F1710" s="9" t="str">
        <f ca="1">IFERROR(__xludf.DUMMYFUNCTION("""https://streamtape.com/v/""&amp;
REGEXEXTRACT(O1710,""/thumb/([^/]+)/"")&amp;
""/""&amp;K1710"),"https://streamtape.com/v/bpoePbJ2p7CxJO/74865421")</f>
        <v>https://streamtape.com/v/bpoePbJ2p7CxJO/74865421</v>
      </c>
      <c r="G1710" s="10" t="e">
        <f t="shared" ca="1" si="25"/>
        <v>#NAME?</v>
      </c>
      <c r="H1710" s="11" t="str">
        <f ca="1">IFERROR(__xludf.DUMMYFUNCTION("IFERROR(SUBSTITUTE(SUBSTITUTE(REGEXEXTRACT(A1710, ""[^-]+- [^-]+- [^-]+ - (.+?)\.jpg""), "".jpg"", """"), ""-"", "", ""), """")"),"")</f>
        <v/>
      </c>
      <c r="I1710" s="6"/>
      <c r="J1710" s="7" t="str">
        <f t="shared" ca="1" si="26"/>
        <v>(2026)</v>
      </c>
      <c r="K1710" s="7" t="str">
        <f t="shared" si="27"/>
        <v>74865421</v>
      </c>
      <c r="L1710" s="12" t="s">
        <v>2163</v>
      </c>
      <c r="M1710" s="13" t="str">
        <f ca="1">IFERROR(__xludf.DUMMYFUNCTION("TRIM(
  REGEXREPLACE(
    TEXTJOIN("" "",
      TRUE,
      B1710,
      C1710,
      embaralharLinks(E1710,F1710,G1710),
      H1710,
      """",
      J1710,
      N1710,
      ""#RIPNSFW""
    ),
  "",\s*"", "" "")
)"),"{New} Violet Myers https://doodstream.com/d/vfq6ppt9dtus/74865421 https://streamtape.com/v/bpoePbJ2p7CxJO/74865421 https://lulustream.com/d/1w3niws7wxzc (2026) #MILF #BigTits #Bigass #Blowjob #RIPNSFW")</f>
        <v>{New} Violet Myers https://doodstream.com/d/vfq6ppt9dtus/74865421 https://streamtape.com/v/bpoePbJ2p7CxJO/74865421 https://lulustream.com/d/1w3niws7wxzc (2026) #MILF #BigTits #Bigass #Blowjob #RIPNSFW</v>
      </c>
      <c r="N1710" s="31" t="s">
        <v>2135</v>
      </c>
      <c r="O1710" s="32" t="s">
        <v>8495</v>
      </c>
      <c r="P1710" s="26"/>
      <c r="Q1710" s="6"/>
      <c r="R1710" s="11"/>
      <c r="S1710" s="6"/>
      <c r="T1710" s="6"/>
      <c r="U1710" s="6"/>
      <c r="V1710" s="6"/>
      <c r="W1710" s="6"/>
      <c r="X1710" s="6"/>
      <c r="Y1710" s="6"/>
      <c r="Z1710" s="6"/>
      <c r="AA1710" s="6"/>
    </row>
    <row r="1711" spans="1:27" ht="12.75">
      <c r="A1711" s="12" t="s">
        <v>8496</v>
      </c>
      <c r="B1711" s="6" t="s">
        <v>14</v>
      </c>
      <c r="C1711" s="7" t="str">
        <f t="shared" si="24"/>
        <v xml:space="preserve">Violet Myers </v>
      </c>
      <c r="D1711" s="27" t="s">
        <v>8497</v>
      </c>
      <c r="E1711" s="28" t="s">
        <v>8498</v>
      </c>
      <c r="F1711" s="9" t="str">
        <f ca="1">IFERROR(__xludf.DUMMYFUNCTION("""https://streamtape.com/v/""&amp;
REGEXEXTRACT(O1711,""/thumb/([^/]+)/"")&amp;
""/""&amp;K1711"),"https://streamtape.com/v/gam1G79ja7fqr2L/75494414")</f>
        <v>https://streamtape.com/v/gam1G79ja7fqr2L/75494414</v>
      </c>
      <c r="G1711" s="10" t="e">
        <f t="shared" ca="1" si="25"/>
        <v>#NAME?</v>
      </c>
      <c r="H1711" s="11" t="str">
        <f ca="1">IFERROR(__xludf.DUMMYFUNCTION("IFERROR(SUBSTITUTE(SUBSTITUTE(REGEXEXTRACT(A1711, ""[^-]+- [^-]+- [^-]+ - (.+?)\.jpg""), "".jpg"", """"), ""-"", "", ""), """")"),"")</f>
        <v/>
      </c>
      <c r="I1711" s="6"/>
      <c r="J1711" s="7" t="str">
        <f t="shared" ca="1" si="26"/>
        <v>(2026)</v>
      </c>
      <c r="K1711" s="7" t="str">
        <f t="shared" si="27"/>
        <v>75494414</v>
      </c>
      <c r="L1711" s="12" t="s">
        <v>127</v>
      </c>
      <c r="M1711" s="13" t="str">
        <f ca="1">IFERROR(__xludf.DUMMYFUNCTION("TRIM(
  REGEXREPLACE(
    TEXTJOIN("" "",
      TRUE,
      B1711,
      C1711,
      embaralharLinks(E1711,F1711,G1711),
      H1711,
      """",
      J1711,
      N1711,
      ""#RIPNSFW""
    ),
  "",\s*"", "" "")
)"),"{New} Violet Myers https://lulustream.com/d/1paksnry551o https://doodstream.com/d/aj1i0c6qkb3d/75494414 https://streamtape.com/v/gam1G79ja7fqr2L/75494414 (2026) #MILF #BigTits #Hardcore #Bigass #RIPNSFW")</f>
        <v>{New} Violet Myers https://lulustream.com/d/1paksnry551o https://doodstream.com/d/aj1i0c6qkb3d/75494414 https://streamtape.com/v/gam1G79ja7fqr2L/75494414 (2026) #MILF #BigTits #Hardcore #Bigass #RIPNSFW</v>
      </c>
      <c r="N1711" s="2" t="s">
        <v>128</v>
      </c>
      <c r="O1711" s="30" t="s">
        <v>8499</v>
      </c>
      <c r="P1711" s="26"/>
      <c r="R1711" s="23"/>
    </row>
    <row r="1712" spans="1:27" ht="12.75">
      <c r="A1712" s="6" t="s">
        <v>8500</v>
      </c>
      <c r="B1712" s="6" t="s">
        <v>14</v>
      </c>
      <c r="C1712" s="7" t="str">
        <f t="shared" si="24"/>
        <v xml:space="preserve">Violet Myers </v>
      </c>
      <c r="D1712" s="36" t="s">
        <v>8501</v>
      </c>
      <c r="E1712" s="25" t="s">
        <v>8502</v>
      </c>
      <c r="F1712" s="9" t="str">
        <f ca="1">IFERROR(__xludf.DUMMYFUNCTION("""https://streamtape.com/v/""&amp;
REGEXEXTRACT(O1712,""/thumb/([^/]+)/"")&amp;
""/""&amp;K1712"),"https://streamtape.com/v/m7q4DzrwdXTbxJ9/76155839")</f>
        <v>https://streamtape.com/v/m7q4DzrwdXTbxJ9/76155839</v>
      </c>
      <c r="G1712" s="10" t="e">
        <f t="shared" ca="1" si="25"/>
        <v>#NAME?</v>
      </c>
      <c r="H1712" s="11" t="str">
        <f ca="1">IFERROR(__xludf.DUMMYFUNCTION("IFERROR(SUBSTITUTE(SUBSTITUTE(REGEXEXTRACT(A1712, ""[^-]+- [^-]+- [^-]+ - (.+?)\.jpg""), "".jpg"", """"), ""-"", "", ""), """")"),"Alina Lopez")</f>
        <v>Alina Lopez</v>
      </c>
      <c r="I1712" s="6"/>
      <c r="J1712" s="7" t="str">
        <f t="shared" ca="1" si="26"/>
        <v>(2026)</v>
      </c>
      <c r="K1712" s="7" t="str">
        <f t="shared" si="27"/>
        <v>76155839</v>
      </c>
      <c r="L1712" s="12" t="s">
        <v>3806</v>
      </c>
      <c r="M1712" s="13" t="str">
        <f ca="1">IFERROR(__xludf.DUMMYFUNCTION("TRIM(
  REGEXREPLACE(
    TEXTJOIN("" "",
      TRUE,
      B1712,
      C1712,
      embaralharLinks(E1712,F1712,G1712),
      H1712,
      """",
      J1712,
      N1712,
      ""#RIPNSFW""
    ),
  "",\s*"", "" "")
)"),"{New} Violet Myers https://streamtape.com/v/m7q4DzrwdXTbxJ9/76155839 https://doodstream.com/d/jkyvpfemb7sj/76155839 https://lulustream.com/d/34pchsyjzfq4 Alina Lopez (2026) #BigTits #Hardcore #Threesome #Bigass #RIPNSFW")</f>
        <v>{New} Violet Myers https://streamtape.com/v/m7q4DzrwdXTbxJ9/76155839 https://doodstream.com/d/jkyvpfemb7sj/76155839 https://lulustream.com/d/34pchsyjzfq4 Alina Lopez (2026) #BigTits #Hardcore #Threesome #Bigass #RIPNSFW</v>
      </c>
      <c r="N1712" s="31" t="s">
        <v>3554</v>
      </c>
      <c r="O1712" s="15" t="s">
        <v>8503</v>
      </c>
      <c r="P1712" s="26"/>
      <c r="R1712" s="23"/>
      <c r="T1712" s="6"/>
      <c r="U1712" s="7"/>
    </row>
    <row r="1713" spans="1:27" ht="12.75">
      <c r="A1713" s="12" t="s">
        <v>8504</v>
      </c>
      <c r="B1713" s="6" t="s">
        <v>14</v>
      </c>
      <c r="C1713" s="7" t="str">
        <f t="shared" si="24"/>
        <v xml:space="preserve">Violet Myers </v>
      </c>
      <c r="D1713" s="24" t="s">
        <v>8505</v>
      </c>
      <c r="E1713" s="25" t="s">
        <v>8506</v>
      </c>
      <c r="F1713" s="9" t="str">
        <f ca="1">IFERROR(__xludf.DUMMYFUNCTION("""https://streamtape.com/v/""&amp;
REGEXEXTRACT(O1713,""/thumb/([^/]+)/"")&amp;
""/""&amp;K1713"),"https://streamtape.com/v/G3DZJJygoOHA4D/76308967")</f>
        <v>https://streamtape.com/v/G3DZJJygoOHA4D/76308967</v>
      </c>
      <c r="G1713" s="10" t="e">
        <f t="shared" ca="1" si="25"/>
        <v>#NAME?</v>
      </c>
      <c r="H1713" s="11" t="str">
        <f ca="1">IFERROR(__xludf.DUMMYFUNCTION("IFERROR(SUBSTITUTE(SUBSTITUTE(REGEXEXTRACT(A1713, ""[^-]+- [^-]+- [^-]+ - (.+?)\.jpg""), "".jpg"", """"), ""-"", "", ""), """")"),"")</f>
        <v/>
      </c>
      <c r="I1713" s="6"/>
      <c r="J1713" s="7" t="str">
        <f t="shared" ca="1" si="26"/>
        <v>(2026)</v>
      </c>
      <c r="K1713" s="7" t="str">
        <f t="shared" si="27"/>
        <v>76308967</v>
      </c>
      <c r="L1713" s="12" t="s">
        <v>2100</v>
      </c>
      <c r="M1713" s="13" t="str">
        <f ca="1">IFERROR(__xludf.DUMMYFUNCTION("TRIM(
  REGEXREPLACE(
    TEXTJOIN("" "",
      TRUE,
      B1713,
      C1713,
      embaralharLinks(E1713,F1713,G1713),
      H1713,
      """",
      J1713,
      N1713,
      ""#RIPNSFW""
    ),
  "",\s*"", "" "")
)"),"{New} Violet Myers https://doodstream.com/d/xxp63eokdi4r/76308967 https://lulustream.com/d/5ia8sh7dufrb https://streamtape.com/v/G3DZJJygoOHA4D/76308967 (2026) #MILF #BigTits #Bigass #Solo #RIPNSFW")</f>
        <v>{New} Violet Myers https://doodstream.com/d/xxp63eokdi4r/76308967 https://lulustream.com/d/5ia8sh7dufrb https://streamtape.com/v/G3DZJJygoOHA4D/76308967 (2026) #MILF #BigTits #Bigass #Solo #RIPNSFW</v>
      </c>
      <c r="N1713" s="2" t="s">
        <v>2101</v>
      </c>
      <c r="O1713" s="30" t="s">
        <v>8507</v>
      </c>
      <c r="P1713" s="26"/>
      <c r="R1713" s="23"/>
    </row>
    <row r="1714" spans="1:27" ht="12.75">
      <c r="A1714" s="12" t="s">
        <v>8508</v>
      </c>
      <c r="B1714" s="6" t="s">
        <v>14</v>
      </c>
      <c r="C1714" s="7" t="str">
        <f t="shared" si="24"/>
        <v xml:space="preserve">Violet Myers </v>
      </c>
      <c r="D1714" s="24" t="s">
        <v>8509</v>
      </c>
      <c r="E1714" s="25" t="s">
        <v>8510</v>
      </c>
      <c r="F1714" s="9" t="str">
        <f ca="1">IFERROR(__xludf.DUMMYFUNCTION("""https://streamtape.com/v/""&amp;
REGEXEXTRACT(O1714,""/thumb/([^/]+)/"")&amp;
""/""&amp;K1714"),"https://streamtape.com/v/V048ryQzXQhKwev/81824789")</f>
        <v>https://streamtape.com/v/V048ryQzXQhKwev/81824789</v>
      </c>
      <c r="G1714" s="10" t="e">
        <f t="shared" ca="1" si="25"/>
        <v>#NAME?</v>
      </c>
      <c r="H1714" s="11" t="str">
        <f ca="1">IFERROR(__xludf.DUMMYFUNCTION("IFERROR(SUBSTITUTE(SUBSTITUTE(REGEXEXTRACT(A1714, ""[^-]+- [^-]+- [^-]+ - (.+?)\.jpg""), "".jpg"", """"), ""-"", "", ""), """")"),"")</f>
        <v/>
      </c>
      <c r="I1714" s="6"/>
      <c r="J1714" s="7" t="str">
        <f t="shared" ca="1" si="26"/>
        <v>(2026)</v>
      </c>
      <c r="K1714" s="7" t="str">
        <f t="shared" si="27"/>
        <v>81824789</v>
      </c>
      <c r="L1714" s="12" t="s">
        <v>2163</v>
      </c>
      <c r="M1714" s="13" t="str">
        <f ca="1">IFERROR(__xludf.DUMMYFUNCTION("TRIM(
  REGEXREPLACE(
    TEXTJOIN("" "",
      TRUE,
      B1714,
      C1714,
      embaralharLinks(E1714,F1714,G1714),
      H1714,
      """",
      J1714,
      N1714,
      ""#RIPNSFW""
    ),
  "",\s*"", "" "")
)"),"{New} Violet Myers https://streamtape.com/v/V048ryQzXQhKwev/81824789 https://lulustream.com/d/ee8is38pvgdf https://doodstream.com/d/t2jaoxdkkn6t/81824789 (2026) #MILF #BigTits #Bigass #Blowjob #RIPNSFW")</f>
        <v>{New} Violet Myers https://streamtape.com/v/V048ryQzXQhKwev/81824789 https://lulustream.com/d/ee8is38pvgdf https://doodstream.com/d/t2jaoxdkkn6t/81824789 (2026) #MILF #BigTits #Bigass #Blowjob #RIPNSFW</v>
      </c>
      <c r="N1714" s="2" t="s">
        <v>2135</v>
      </c>
      <c r="O1714" s="30" t="s">
        <v>8511</v>
      </c>
      <c r="P1714" s="26"/>
      <c r="R1714" s="23"/>
    </row>
    <row r="1715" spans="1:27" ht="12.75">
      <c r="A1715" s="6" t="s">
        <v>8512</v>
      </c>
      <c r="B1715" s="6" t="s">
        <v>14</v>
      </c>
      <c r="C1715" s="7" t="str">
        <f t="shared" si="24"/>
        <v xml:space="preserve">Violet Myers </v>
      </c>
      <c r="D1715" s="29" t="s">
        <v>8513</v>
      </c>
      <c r="E1715" s="25" t="s">
        <v>8514</v>
      </c>
      <c r="F1715" s="9" t="str">
        <f ca="1">IFERROR(__xludf.DUMMYFUNCTION("""https://streamtape.com/v/""&amp;
REGEXEXTRACT(O1715,""/thumb/([^/]+)/"")&amp;
""/""&amp;K1715"),"https://streamtape.com/v/Va0yXeQpYJiOdB/82928322")</f>
        <v>https://streamtape.com/v/Va0yXeQpYJiOdB/82928322</v>
      </c>
      <c r="G1715" s="10" t="e">
        <f t="shared" ca="1" si="25"/>
        <v>#NAME?</v>
      </c>
      <c r="H1715" s="11" t="str">
        <f ca="1">IFERROR(__xludf.DUMMYFUNCTION("IFERROR(SUBSTITUTE(SUBSTITUTE(REGEXEXTRACT(A1715, ""[^-]+- [^-]+- [^-]+ - (.+?)\.jpg""), "".jpg"", """"), ""-"", "", ""), """")"),"")</f>
        <v/>
      </c>
      <c r="I1715" s="6"/>
      <c r="J1715" s="7" t="str">
        <f t="shared" ca="1" si="26"/>
        <v>(2026)</v>
      </c>
      <c r="K1715" s="7" t="str">
        <f t="shared" si="27"/>
        <v>82928322</v>
      </c>
      <c r="L1715" s="12" t="s">
        <v>2100</v>
      </c>
      <c r="M1715" s="13" t="str">
        <f ca="1">IFERROR(__xludf.DUMMYFUNCTION("TRIM(
  REGEXREPLACE(
    TEXTJOIN("" "",
      TRUE,
      B1715,
      C1715,
      embaralharLinks(E1715,F1715,G1715),
      H1715,
      """",
      J1715,
      N1715,
      ""#RIPNSFW""
    ),
  "",\s*"", "" "")
)"),"{New} Violet Myers https://streamtape.com/v/Va0yXeQpYJiOdB/82928322 https://lulustream.com/d/sv78rod8s92b https://doodstream.com/d/c4wiplw89cek/82928322 (2026) #MILF #BigTits #Bigass #Solo #RIPNSFW")</f>
        <v>{New} Violet Myers https://streamtape.com/v/Va0yXeQpYJiOdB/82928322 https://lulustream.com/d/sv78rod8s92b https://doodstream.com/d/c4wiplw89cek/82928322 (2026) #MILF #BigTits #Bigass #Solo #RIPNSFW</v>
      </c>
      <c r="N1715" s="14" t="s">
        <v>2101</v>
      </c>
      <c r="O1715" s="32" t="s">
        <v>8515</v>
      </c>
      <c r="P1715" s="14"/>
      <c r="Q1715" s="6"/>
      <c r="R1715" s="11"/>
      <c r="S1715" s="6"/>
      <c r="T1715" s="6"/>
      <c r="U1715" s="6"/>
      <c r="V1715" s="6"/>
      <c r="W1715" s="6"/>
      <c r="X1715" s="6"/>
      <c r="Y1715" s="6"/>
      <c r="Z1715" s="6"/>
      <c r="AA1715" s="6"/>
    </row>
    <row r="1716" spans="1:27" ht="12.75">
      <c r="A1716" s="6" t="s">
        <v>8516</v>
      </c>
      <c r="B1716" s="6" t="s">
        <v>14</v>
      </c>
      <c r="C1716" s="7" t="str">
        <f t="shared" si="24"/>
        <v xml:space="preserve">Violet Myers </v>
      </c>
      <c r="D1716" s="29" t="s">
        <v>8517</v>
      </c>
      <c r="E1716" s="25" t="s">
        <v>8518</v>
      </c>
      <c r="F1716" s="9" t="str">
        <f ca="1">IFERROR(__xludf.DUMMYFUNCTION("""https://streamtape.com/v/""&amp;
REGEXEXTRACT(O1716,""/thumb/([^/]+)/"")&amp;
""/""&amp;K1716"),"https://streamtape.com/v/WZ4ZZXd2DgcblRg/85075742")</f>
        <v>https://streamtape.com/v/WZ4ZZXd2DgcblRg/85075742</v>
      </c>
      <c r="G1716" s="10" t="e">
        <f t="shared" ca="1" si="25"/>
        <v>#NAME?</v>
      </c>
      <c r="H1716" s="11" t="str">
        <f ca="1">IFERROR(__xludf.DUMMYFUNCTION("IFERROR(SUBSTITUTE(SUBSTITUTE(REGEXEXTRACT(A1716, ""[^-]+- [^-]+- [^-]+ - (.+?)\.jpg""), "".jpg"", """"), ""-"", "", ""), """")"),"")</f>
        <v/>
      </c>
      <c r="I1716" s="6"/>
      <c r="J1716" s="7" t="str">
        <f t="shared" ca="1" si="26"/>
        <v>(2026)</v>
      </c>
      <c r="K1716" s="7" t="str">
        <f t="shared" si="27"/>
        <v>85075742</v>
      </c>
      <c r="L1716" s="12" t="s">
        <v>8519</v>
      </c>
      <c r="M1716" s="13" t="str">
        <f ca="1">IFERROR(__xludf.DUMMYFUNCTION("TRIM(
  REGEXREPLACE(
    TEXTJOIN("" "",
      TRUE,
      B1716,
      C1716,
      embaralharLinks(E1716,F1716,G1716),
      H1716,
      """",
      J1716,
      N1716,
      ""#RIPNSFW""
    ),
  "",\s*"", "" "")
)"),"{New} Violet Myers https://lulustream.com/d/6a1ng2acsyyg https://streamtape.com/v/WZ4ZZXd2DgcblRg/85075742 https://doodstream.com/d/5gb9lqi8azc6/85075742 (2026) #MILF #BigTits #Hardcore #Bigass #Latina #Artporn #RIPNSFW")</f>
        <v>{New} Violet Myers https://lulustream.com/d/6a1ng2acsyyg https://streamtape.com/v/WZ4ZZXd2DgcblRg/85075742 https://doodstream.com/d/5gb9lqi8azc6/85075742 (2026) #MILF #BigTits #Hardcore #Bigass #Latina #Artporn #RIPNSFW</v>
      </c>
      <c r="N1716" s="14" t="s">
        <v>8520</v>
      </c>
      <c r="O1716" s="32" t="s">
        <v>8521</v>
      </c>
      <c r="P1716" s="14"/>
      <c r="Q1716" s="6"/>
      <c r="R1716" s="11"/>
      <c r="S1716" s="6"/>
      <c r="T1716" s="6"/>
      <c r="U1716" s="6"/>
      <c r="V1716" s="6"/>
      <c r="W1716" s="6"/>
      <c r="X1716" s="6"/>
      <c r="Y1716" s="6"/>
      <c r="Z1716" s="6"/>
      <c r="AA1716" s="6"/>
    </row>
    <row r="1717" spans="1:27" ht="12.75">
      <c r="A1717" s="12" t="s">
        <v>8522</v>
      </c>
      <c r="B1717" s="6" t="s">
        <v>14</v>
      </c>
      <c r="C1717" s="7" t="str">
        <f t="shared" si="24"/>
        <v xml:space="preserve">Violet Myers </v>
      </c>
      <c r="D1717" s="27" t="s">
        <v>8523</v>
      </c>
      <c r="E1717" s="25" t="s">
        <v>8524</v>
      </c>
      <c r="F1717" s="9" t="str">
        <f ca="1">IFERROR(__xludf.DUMMYFUNCTION("""https://streamtape.com/v/""&amp;
REGEXEXTRACT(O1717,""/thumb/([^/]+)/"")&amp;
""/""&amp;K1717"),"https://streamtape.com/v/RXlOVpGl4ztX7d/87190925")</f>
        <v>https://streamtape.com/v/RXlOVpGl4ztX7d/87190925</v>
      </c>
      <c r="G1717" s="10" t="e">
        <f t="shared" ca="1" si="25"/>
        <v>#NAME?</v>
      </c>
      <c r="H1717" s="11" t="str">
        <f ca="1">IFERROR(__xludf.DUMMYFUNCTION("IFERROR(SUBSTITUTE(SUBSTITUTE(REGEXEXTRACT(A1717, ""[^-]+- [^-]+- [^-]+ - (.+?)\.jpg""), "".jpg"", """"), ""-"", "", ""), """")"),"")</f>
        <v/>
      </c>
      <c r="I1717" s="6"/>
      <c r="J1717" s="7" t="str">
        <f t="shared" ca="1" si="26"/>
        <v>(2026)</v>
      </c>
      <c r="K1717" s="7" t="str">
        <f t="shared" si="27"/>
        <v>87190925</v>
      </c>
      <c r="L1717" s="12" t="s">
        <v>2100</v>
      </c>
      <c r="M1717" s="13" t="str">
        <f ca="1">IFERROR(__xludf.DUMMYFUNCTION("TRIM(
  REGEXREPLACE(
    TEXTJOIN("" "",
      TRUE,
      B1717,
      C1717,
      embaralharLinks(E1717,F1717,G1717),
      H1717,
      """",
      J1717,
      N1717,
      ""#RIPNSFW""
    ),
  "",\s*"", "" "")
)"),"{New} Violet Myers https://doodstream.com/d/ra8geunks1i3/87190925 https://streamtape.com/v/RXlOVpGl4ztX7d/87190925 https://lulustream.com/d/n1ljoac1pkan (2026) #MILF #BigTits #Bigass #Solo #RIPNSFW")</f>
        <v>{New} Violet Myers https://doodstream.com/d/ra8geunks1i3/87190925 https://streamtape.com/v/RXlOVpGl4ztX7d/87190925 https://lulustream.com/d/n1ljoac1pkan (2026) #MILF #BigTits #Bigass #Solo #RIPNSFW</v>
      </c>
      <c r="N1717" s="2" t="s">
        <v>2101</v>
      </c>
      <c r="O1717" s="30" t="s">
        <v>8525</v>
      </c>
      <c r="P1717" s="26"/>
      <c r="R1717" s="23"/>
    </row>
    <row r="1718" spans="1:27" ht="12.75">
      <c r="A1718" s="12" t="s">
        <v>8526</v>
      </c>
      <c r="B1718" s="6" t="s">
        <v>14</v>
      </c>
      <c r="C1718" s="7" t="str">
        <f t="shared" si="24"/>
        <v xml:space="preserve">Violet Myers </v>
      </c>
      <c r="D1718" s="27" t="s">
        <v>8527</v>
      </c>
      <c r="E1718" s="25" t="s">
        <v>8528</v>
      </c>
      <c r="F1718" s="9" t="str">
        <f ca="1">IFERROR(__xludf.DUMMYFUNCTION("""https://streamtape.com/v/""&amp;
REGEXEXTRACT(O1718,""/thumb/([^/]+)/"")&amp;
""/""&amp;K1718"),"https://streamtape.com/v/x2wJMg2KKlSje0/87442420")</f>
        <v>https://streamtape.com/v/x2wJMg2KKlSje0/87442420</v>
      </c>
      <c r="G1718" s="10" t="e">
        <f t="shared" ca="1" si="25"/>
        <v>#NAME?</v>
      </c>
      <c r="H1718" s="11" t="str">
        <f ca="1">IFERROR(__xludf.DUMMYFUNCTION("IFERROR(SUBSTITUTE(SUBSTITUTE(REGEXEXTRACT(A1718, ""[^-]+- [^-]+- [^-]+ - (.+?)\.jpg""), "".jpg"", """"), ""-"", "", ""), """")"),"")</f>
        <v/>
      </c>
      <c r="I1718" s="6"/>
      <c r="J1718" s="7" t="str">
        <f t="shared" ca="1" si="26"/>
        <v>(2026)</v>
      </c>
      <c r="K1718" s="7" t="str">
        <f t="shared" si="27"/>
        <v>87442420</v>
      </c>
      <c r="L1718" s="12" t="s">
        <v>47</v>
      </c>
      <c r="M1718" s="13" t="str">
        <f ca="1">IFERROR(__xludf.DUMMYFUNCTION("TRIM(
  REGEXREPLACE(
    TEXTJOIN("" "",
      TRUE,
      B1718,
      C1718,
      embaralharLinks(E1718,F1718,G1718),
      H1718,
      """",
      J1718,
      N1718,
      ""#RIPNSFW""
    ),
  "",\s*"", "" "")
)"),"#ERROR!")</f>
        <v>#ERROR!</v>
      </c>
      <c r="N1718" s="2" t="s">
        <v>48</v>
      </c>
      <c r="O1718" s="30" t="s">
        <v>8529</v>
      </c>
      <c r="P1718" s="26"/>
      <c r="R1718" s="23"/>
    </row>
    <row r="1719" spans="1:27" ht="12.75">
      <c r="A1719" s="6" t="s">
        <v>8530</v>
      </c>
      <c r="B1719" s="6" t="s">
        <v>14</v>
      </c>
      <c r="C1719" s="7" t="str">
        <f t="shared" si="24"/>
        <v xml:space="preserve">Violet Myers </v>
      </c>
      <c r="D1719" s="6" t="s">
        <v>8531</v>
      </c>
      <c r="E1719" s="25" t="s">
        <v>8532</v>
      </c>
      <c r="F1719" s="9" t="str">
        <f ca="1">IFERROR(__xludf.DUMMYFUNCTION("""https://streamtape.com/v/""&amp;
REGEXEXTRACT(O1719,""/thumb/([^/]+)/"")&amp;
""/""&amp;K1719"),"https://streamtape.com/v/xgx9AwR2jgu9qV/89461594")</f>
        <v>https://streamtape.com/v/xgx9AwR2jgu9qV/89461594</v>
      </c>
      <c r="G1719" s="10" t="e">
        <f t="shared" ca="1" si="25"/>
        <v>#NAME?</v>
      </c>
      <c r="H1719" s="11" t="str">
        <f ca="1">IFERROR(__xludf.DUMMYFUNCTION("IFERROR(SUBSTITUTE(SUBSTITUTE(REGEXEXTRACT(A1719, ""[^-]+- [^-]+- [^-]+ - (.+?)\.jpg""), "".jpg"", """"), ""-"", "", ""), """")"),"Lena the plug")</f>
        <v>Lena the plug</v>
      </c>
      <c r="I1719" s="6"/>
      <c r="J1719" s="7" t="str">
        <f t="shared" ca="1" si="26"/>
        <v>(2026)</v>
      </c>
      <c r="K1719" s="7" t="str">
        <f t="shared" si="27"/>
        <v>89461594</v>
      </c>
      <c r="L1719" s="12" t="s">
        <v>3410</v>
      </c>
      <c r="M1719" s="13" t="str">
        <f ca="1">IFERROR(__xludf.DUMMYFUNCTION("TRIM(
  REGEXREPLACE(
    TEXTJOIN("" "",
      TRUE,
      B1719,
      C1719,
      embaralharLinks(E1719,F1719,G1719),
      H1719,
      """",
      J1719,
      N1719,
      ""#RIPNSFW""
    ),
  "",\s*"", "" "")
)"),"{New} Violet Myers https://doodstream.com/d/i051w3ymlb3y/89461594 https://lulustream.com/d/gzy7wian6751 https://streamtape.com/v/xgx9AwR2jgu9qV/89461594 Lena the plug (2026) #MILF #BigTits #Hardcore #Threesome #Bigass #Latina #Blowjob #Amateur #Hotwife #R"&amp;"IPNSFW")</f>
        <v>{New} Violet Myers https://doodstream.com/d/i051w3ymlb3y/89461594 https://lulustream.com/d/gzy7wian6751 https://streamtape.com/v/xgx9AwR2jgu9qV/89461594 Lena the plug (2026) #MILF #BigTits #Hardcore #Threesome #Bigass #Latina #Blowjob #Amateur #Hotwife #RIPNSFW</v>
      </c>
      <c r="N1719" s="14" t="s">
        <v>8533</v>
      </c>
      <c r="O1719" s="15" t="s">
        <v>8534</v>
      </c>
      <c r="P1719" s="14"/>
      <c r="Q1719" s="6"/>
      <c r="R1719" s="11"/>
      <c r="S1719" s="6"/>
      <c r="T1719" s="6"/>
      <c r="U1719" s="6"/>
      <c r="V1719" s="6"/>
      <c r="W1719" s="6"/>
      <c r="X1719" s="6"/>
      <c r="Y1719" s="6"/>
      <c r="Z1719" s="6"/>
      <c r="AA1719" s="6"/>
    </row>
    <row r="1720" spans="1:27" ht="12.75">
      <c r="A1720" s="12" t="s">
        <v>8535</v>
      </c>
      <c r="B1720" s="6" t="s">
        <v>14</v>
      </c>
      <c r="C1720" s="7" t="str">
        <f t="shared" si="24"/>
        <v xml:space="preserve">Violet Myers </v>
      </c>
      <c r="D1720" s="24" t="s">
        <v>8536</v>
      </c>
      <c r="E1720" s="25" t="s">
        <v>8537</v>
      </c>
      <c r="F1720" s="9" t="str">
        <f ca="1">IFERROR(__xludf.DUMMYFUNCTION("""https://streamtape.com/v/""&amp;
REGEXEXTRACT(O1720,""/thumb/([^/]+)/"")&amp;
""/""&amp;K1720"),"https://streamtape.com/v/79ZVL0QRYeTxWr/90005104")</f>
        <v>https://streamtape.com/v/79ZVL0QRYeTxWr/90005104</v>
      </c>
      <c r="G1720" s="10" t="e">
        <f t="shared" ca="1" si="25"/>
        <v>#NAME?</v>
      </c>
      <c r="H1720" s="11" t="str">
        <f ca="1">IFERROR(__xludf.DUMMYFUNCTION("IFERROR(SUBSTITUTE(SUBSTITUTE(REGEXEXTRACT(A1720, ""[^-]+- [^-]+- [^-]+ - (.+?)\.jpg""), "".jpg"", """"), ""-"", "", ""), """")"),"")</f>
        <v/>
      </c>
      <c r="I1720" s="6"/>
      <c r="J1720" s="7" t="str">
        <f t="shared" ca="1" si="26"/>
        <v>(2026)</v>
      </c>
      <c r="K1720" s="7" t="str">
        <f t="shared" si="27"/>
        <v>90005104</v>
      </c>
      <c r="L1720" s="12" t="s">
        <v>2163</v>
      </c>
      <c r="M1720" s="13" t="str">
        <f ca="1">IFERROR(__xludf.DUMMYFUNCTION("TRIM(
  REGEXREPLACE(
    TEXTJOIN("" "",
      TRUE,
      B1720,
      C1720,
      embaralharLinks(E1720,F1720,G1720),
      H1720,
      """",
      J1720,
      N1720,
      ""#RIPNSFW""
    ),
  "",\s*"", "" "")
)"),"{New} Violet Myers https://doodstream.com/d/cnctkvc1xtg4/90005104 https://lulustream.com/d/yeoi6r0sxx9i https://streamtape.com/v/79ZVL0QRYeTxWr/90005104 (2026) #MILF #BigTits #Bigass #Blowjob #RIPNSFW")</f>
        <v>{New} Violet Myers https://doodstream.com/d/cnctkvc1xtg4/90005104 https://lulustream.com/d/yeoi6r0sxx9i https://streamtape.com/v/79ZVL0QRYeTxWr/90005104 (2026) #MILF #BigTits #Bigass #Blowjob #RIPNSFW</v>
      </c>
      <c r="N1720" s="2" t="s">
        <v>2135</v>
      </c>
      <c r="O1720" s="30" t="s">
        <v>8538</v>
      </c>
      <c r="P1720" s="26"/>
      <c r="R1720" s="23"/>
    </row>
    <row r="1721" spans="1:27" ht="12.75">
      <c r="A1721" s="6" t="s">
        <v>8539</v>
      </c>
      <c r="B1721" s="6" t="s">
        <v>14</v>
      </c>
      <c r="C1721" s="7" t="str">
        <f t="shared" si="24"/>
        <v xml:space="preserve">Violet Myers </v>
      </c>
      <c r="D1721" s="24" t="s">
        <v>8540</v>
      </c>
      <c r="E1721" s="25" t="s">
        <v>8541</v>
      </c>
      <c r="F1721" s="9" t="str">
        <f ca="1">IFERROR(__xludf.DUMMYFUNCTION("""https://streamtape.com/v/""&amp;
REGEXEXTRACT(O1721,""/thumb/([^/]+)/"")&amp;
""/""&amp;K1721"),"https://streamtape.com/v/XjXyAq849JS3J8/92812758")</f>
        <v>https://streamtape.com/v/XjXyAq849JS3J8/92812758</v>
      </c>
      <c r="G1721" s="10" t="e">
        <f t="shared" ca="1" si="25"/>
        <v>#NAME?</v>
      </c>
      <c r="H1721" s="11" t="str">
        <f ca="1">IFERROR(__xludf.DUMMYFUNCTION("IFERROR(SUBSTITUTE(SUBSTITUTE(REGEXEXTRACT(A1721, ""[^-]+- [^-]+- [^-]+ - (.+?)\.jpg""), "".jpg"", """"), ""-"", "", ""), """")"),"")</f>
        <v/>
      </c>
      <c r="I1721" s="6"/>
      <c r="J1721" s="7" t="str">
        <f t="shared" ca="1" si="26"/>
        <v>(2026)</v>
      </c>
      <c r="K1721" s="7" t="str">
        <f t="shared" si="27"/>
        <v>92812758</v>
      </c>
      <c r="L1721" s="12" t="s">
        <v>127</v>
      </c>
      <c r="M1721" s="13" t="str">
        <f ca="1">IFERROR(__xludf.DUMMYFUNCTION("TRIM(
  REGEXREPLACE(
    TEXTJOIN("" "",
      TRUE,
      B1721,
      C1721,
      embaralharLinks(E1721,F1721,G1721),
      H1721,
      """",
      J1721,
      N1721,
      ""#RIPNSFW""
    ),
  "",\s*"", "" "")
)"),"{New} Violet Myers https://doodstream.com/d/q6aojmowapev/92812758 https://lulustream.com/d/w19ln2qv4nug https://streamtape.com/v/XjXyAq849JS3J8/92812758 (2026) #MILF #BigTits #Hardcore #Bigass #RIPNSFW")</f>
        <v>{New} Violet Myers https://doodstream.com/d/q6aojmowapev/92812758 https://lulustream.com/d/w19ln2qv4nug https://streamtape.com/v/XjXyAq849JS3J8/92812758 (2026) #MILF #BigTits #Hardcore #Bigass #RIPNSFW</v>
      </c>
      <c r="N1721" s="31" t="s">
        <v>128</v>
      </c>
      <c r="O1721" s="32" t="s">
        <v>8542</v>
      </c>
      <c r="P1721" s="26"/>
      <c r="Q1721" s="6"/>
      <c r="R1721" s="11"/>
      <c r="S1721" s="6"/>
      <c r="T1721" s="6"/>
      <c r="U1721" s="6"/>
      <c r="V1721" s="6"/>
      <c r="W1721" s="6"/>
      <c r="X1721" s="6"/>
      <c r="Y1721" s="6"/>
      <c r="Z1721" s="6"/>
      <c r="AA1721" s="6"/>
    </row>
    <row r="1722" spans="1:27" ht="12.75">
      <c r="A1722" s="12" t="s">
        <v>8543</v>
      </c>
      <c r="B1722" s="6" t="s">
        <v>14</v>
      </c>
      <c r="C1722" s="7" t="str">
        <f t="shared" si="24"/>
        <v xml:space="preserve">Violet Myers </v>
      </c>
      <c r="D1722" s="24" t="s">
        <v>8544</v>
      </c>
      <c r="E1722" s="25" t="s">
        <v>8545</v>
      </c>
      <c r="F1722" s="9" t="str">
        <f ca="1">IFERROR(__xludf.DUMMYFUNCTION("""https://streamtape.com/v/""&amp;
REGEXEXTRACT(O1722,""/thumb/([^/]+)/"")&amp;
""/""&amp;K1722"),"https://streamtape.com/v/g00dDr47evHqlp7/96688536")</f>
        <v>https://streamtape.com/v/g00dDr47evHqlp7/96688536</v>
      </c>
      <c r="G1722" s="10" t="e">
        <f t="shared" ca="1" si="25"/>
        <v>#NAME?</v>
      </c>
      <c r="H1722" s="11" t="str">
        <f ca="1">IFERROR(__xludf.DUMMYFUNCTION("IFERROR(SUBSTITUTE(SUBSTITUTE(REGEXEXTRACT(A1722, ""[^-]+- [^-]+- [^-]+ - (.+?)\.jpg""), "".jpg"", """"), ""-"", "", ""), """")"),"")</f>
        <v/>
      </c>
      <c r="I1722" s="6"/>
      <c r="J1722" s="7" t="str">
        <f t="shared" ca="1" si="26"/>
        <v>(2026)</v>
      </c>
      <c r="K1722" s="7" t="str">
        <f t="shared" si="27"/>
        <v>96688536</v>
      </c>
      <c r="L1722" s="12" t="s">
        <v>680</v>
      </c>
      <c r="M1722" s="13" t="str">
        <f ca="1">IFERROR(__xludf.DUMMYFUNCTION("TRIM(
  REGEXREPLACE(
    TEXTJOIN("" "",
      TRUE,
      B1722,
      C1722,
      embaralharLinks(E1722,F1722,G1722),
      H1722,
      """",
      J1722,
      N1722,
      ""#RIPNSFW""
    ),
  "",\s*"", "" "")
)"),"{New} Violet Myers https://streamtape.com/v/g00dDr47evHqlp7/96688536 https://doodstream.com/d/fns4tu6wn1jm/96688536 https://lulustream.com/d/q1cae03i65z0 (2026) #MILF #BigTits #Hardcore #Black #RIPNSFW")</f>
        <v>{New} Violet Myers https://streamtape.com/v/g00dDr47evHqlp7/96688536 https://doodstream.com/d/fns4tu6wn1jm/96688536 https://lulustream.com/d/q1cae03i65z0 (2026) #MILF #BigTits #Hardcore #Black #RIPNSFW</v>
      </c>
      <c r="N1722" s="2" t="s">
        <v>681</v>
      </c>
      <c r="O1722" s="30" t="s">
        <v>8546</v>
      </c>
      <c r="P1722" s="26"/>
      <c r="R1722" s="23"/>
      <c r="T1722" s="6"/>
      <c r="U1722" s="7"/>
    </row>
    <row r="1723" spans="1:27" ht="12.75">
      <c r="A1723" s="11" t="s">
        <v>8547</v>
      </c>
      <c r="B1723" s="11" t="s">
        <v>14</v>
      </c>
      <c r="C1723" s="13" t="str">
        <f t="shared" si="24"/>
        <v xml:space="preserve">Violet Myers </v>
      </c>
      <c r="D1723" s="17" t="s">
        <v>8548</v>
      </c>
      <c r="E1723" s="25" t="s">
        <v>8549</v>
      </c>
      <c r="F1723" s="9" t="str">
        <f ca="1">IFERROR(__xludf.DUMMYFUNCTION("""https://streamtape.com/v/""&amp;
REGEXEXTRACT(O1723,""/thumb/([^/]+)/"")&amp;
""/""&amp;K1723"),"https://streamtape.com/v/ZVwqb2ZOv1TyAj/99229329")</f>
        <v>https://streamtape.com/v/ZVwqb2ZOv1TyAj/99229329</v>
      </c>
      <c r="G1723" s="10" t="e">
        <f t="shared" ca="1" si="25"/>
        <v>#NAME?</v>
      </c>
      <c r="H1723" s="11" t="str">
        <f ca="1">IFERROR(__xludf.DUMMYFUNCTION("IFERROR(SUBSTITUTE(SUBSTITUTE(REGEXEXTRACT(A1723, ""[^-]+- [^-]+- [^-]+ - (.+?)\.jpg""), "".jpg"", """"), ""-"", "", ""), """")"),"Lena the plug")</f>
        <v>Lena the plug</v>
      </c>
      <c r="I1723" s="11"/>
      <c r="J1723" s="13" t="str">
        <f t="shared" ca="1" si="26"/>
        <v>(2026)</v>
      </c>
      <c r="K1723" s="13" t="str">
        <f t="shared" si="27"/>
        <v>99229329</v>
      </c>
      <c r="L1723" s="12" t="s">
        <v>47</v>
      </c>
      <c r="M1723" s="13" t="str">
        <f ca="1">IFERROR(__xludf.DUMMYFUNCTION("TRIM(
  REGEXREPLACE(
    TEXTJOIN("" "",
      TRUE,
      B1723,
      C1723,
      embaralharLinks(E1723,F1723,G1723),
      H1723,
      """",
      J1723,
      N1723,
      ""#RIPNSFW""
    ),
  "",\s*"", "" "")
)"),"{New} Violet Myers https://lulustream.com/d/rmigrup740kr https://doodstream.com/d/v5yp4xh38npg/99229329 https://streamtape.com/v/ZVwqb2ZOv1TyAj/99229329 Lena the plug (2026) #MILF #BigTits #Hardcore #Threesome #RIPNSFW")</f>
        <v>{New} Violet Myers https://lulustream.com/d/rmigrup740kr https://doodstream.com/d/v5yp4xh38npg/99229329 https://streamtape.com/v/ZVwqb2ZOv1TyAj/99229329 Lena the plug (2026) #MILF #BigTits #Hardcore #Threesome #RIPNSFW</v>
      </c>
      <c r="N1723" s="32" t="s">
        <v>48</v>
      </c>
      <c r="O1723" s="15" t="s">
        <v>8550</v>
      </c>
      <c r="P1723" s="26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</row>
    <row r="1724" spans="1:27" ht="12.75">
      <c r="A1724" s="12" t="s">
        <v>8551</v>
      </c>
      <c r="B1724" s="6"/>
      <c r="C1724" s="7" t="str">
        <f t="shared" si="24"/>
        <v xml:space="preserve">Violet Ray </v>
      </c>
      <c r="D1724" s="24" t="s">
        <v>8552</v>
      </c>
      <c r="E1724" s="25" t="s">
        <v>8553</v>
      </c>
      <c r="F1724" s="9" t="str">
        <f ca="1">IFERROR(__xludf.DUMMYFUNCTION("""https://streamtape.com/v/""&amp;
REGEXEXTRACT(O1724,""/thumb/([^/]+)/"")&amp;
""/""&amp;K1724"),"https://streamtape.com/v/Qb4lrA6oW9i0LAe/56804782")</f>
        <v>https://streamtape.com/v/Qb4lrA6oW9i0LAe/56804782</v>
      </c>
      <c r="G1724" s="10" t="e">
        <f t="shared" ca="1" si="25"/>
        <v>#NAME?</v>
      </c>
      <c r="H1724" s="11" t="str">
        <f ca="1">IFERROR(__xludf.DUMMYFUNCTION("IFERROR(SUBSTITUTE(SUBSTITUTE(REGEXEXTRACT(A1724, ""[^-]+- [^-]+- [^-]+ - (.+?)\.jpg""), "".jpg"", """"), ""-"", "", ""), """")"),"")</f>
        <v/>
      </c>
      <c r="I1724" s="6"/>
      <c r="J1724" s="7" t="str">
        <f t="shared" ca="1" si="26"/>
        <v/>
      </c>
      <c r="K1724" s="7" t="str">
        <f t="shared" si="27"/>
        <v>56804782</v>
      </c>
      <c r="L1724" s="12" t="s">
        <v>8554</v>
      </c>
      <c r="M1724" s="13" t="str">
        <f ca="1">IFERROR(__xludf.DUMMYFUNCTION("TRIM(
  REGEXREPLACE(
    TEXTJOIN("" "",
      TRUE,
      B1724,
      C1724,
      embaralharLinks(E1724,F1724,G1724),
      H1724,
      """",
      J1724,
      N1724,
      ""#RIPNSFW""
    ),
  "",\s*"", "" "")
)"),"Violet Ray https://streamtape.com/v/Qb4lrA6oW9i0LAe/56804782 https://doodstream.com/d/9ovcilm31wrs/56804782 https://lulustream.com/d/l12h7m4ik63f #Casting #Hardcore #Porn #Teen #RIPNSFW")</f>
        <v>Violet Ray https://streamtape.com/v/Qb4lrA6oW9i0LAe/56804782 https://doodstream.com/d/9ovcilm31wrs/56804782 https://lulustream.com/d/l12h7m4ik63f #Casting #Hardcore #Porn #Teen #RIPNSFW</v>
      </c>
      <c r="N1724" s="2" t="s">
        <v>8555</v>
      </c>
      <c r="O1724" s="30" t="s">
        <v>8556</v>
      </c>
      <c r="P1724" s="26"/>
      <c r="R1724" s="23"/>
      <c r="T1724" s="6"/>
      <c r="U1724" s="7"/>
    </row>
    <row r="1725" spans="1:27" ht="12.75">
      <c r="A1725" s="12" t="s">
        <v>8557</v>
      </c>
      <c r="B1725" s="6" t="s">
        <v>14</v>
      </c>
      <c r="C1725" s="7" t="str">
        <f t="shared" si="24"/>
        <v xml:space="preserve">Vivian Taylor </v>
      </c>
      <c r="D1725" s="24" t="s">
        <v>8558</v>
      </c>
      <c r="E1725" s="25" t="s">
        <v>8559</v>
      </c>
      <c r="F1725" s="9" t="str">
        <f ca="1">IFERROR(__xludf.DUMMYFUNCTION("""https://streamtape.com/v/""&amp;
REGEXEXTRACT(O1725,""/thumb/([^/]+)/"")&amp;
""/""&amp;K1725"),"https://streamtape.com/v/ZJX2rJYMW1TqAaM/21079570")</f>
        <v>https://streamtape.com/v/ZJX2rJYMW1TqAaM/21079570</v>
      </c>
      <c r="G1725" s="10" t="e">
        <f t="shared" ca="1" si="25"/>
        <v>#NAME?</v>
      </c>
      <c r="H1725" s="11" t="str">
        <f ca="1">IFERROR(__xludf.DUMMYFUNCTION("IFERROR(SUBSTITUTE(SUBSTITUTE(REGEXEXTRACT(A1725, ""[^-]+- [^-]+- [^-]+ - (.+?)\.jpg""), "".jpg"", """"), ""-"", "", ""), """")"),"")</f>
        <v/>
      </c>
      <c r="I1725" s="6"/>
      <c r="J1725" s="7" t="str">
        <f t="shared" ca="1" si="26"/>
        <v>(2026)</v>
      </c>
      <c r="K1725" s="7" t="str">
        <f t="shared" si="27"/>
        <v>21079570</v>
      </c>
      <c r="L1725" s="12" t="s">
        <v>127</v>
      </c>
      <c r="M1725" s="13" t="str">
        <f ca="1">IFERROR(__xludf.DUMMYFUNCTION("TRIM(
  REGEXREPLACE(
    TEXTJOIN("" "",
      TRUE,
      B1725,
      C1725,
      embaralharLinks(E1725,F1725,G1725),
      H1725,
      """",
      J1725,
      N1725,
      ""#RIPNSFW""
    ),
  "",\s*"", "" "")
)"),"{New} Vivian Taylor https://lulustream.com/d/1rlemxm0wf0c https://streamtape.com/v/ZJX2rJYMW1TqAaM/21079570 https://doodstream.com/d/j0mu5xt7gj2n/21079570 (2026) #MILF #BigTits #Hardcore #Bigass #RIPNSFW")</f>
        <v>{New} Vivian Taylor https://lulustream.com/d/1rlemxm0wf0c https://streamtape.com/v/ZJX2rJYMW1TqAaM/21079570 https://doodstream.com/d/j0mu5xt7gj2n/21079570 (2026) #MILF #BigTits #Hardcore #Bigass #RIPNSFW</v>
      </c>
      <c r="N1725" s="2" t="s">
        <v>128</v>
      </c>
      <c r="O1725" s="21" t="s">
        <v>8560</v>
      </c>
      <c r="P1725" s="26"/>
      <c r="R1725" s="23"/>
      <c r="T1725" s="6"/>
      <c r="U1725" s="7"/>
    </row>
    <row r="1726" spans="1:27" ht="12.75">
      <c r="A1726" s="12" t="s">
        <v>8561</v>
      </c>
      <c r="B1726" s="6" t="s">
        <v>14</v>
      </c>
      <c r="C1726" s="7" t="str">
        <f t="shared" si="24"/>
        <v xml:space="preserve">Vivian Taylor </v>
      </c>
      <c r="D1726" s="27" t="s">
        <v>8562</v>
      </c>
      <c r="E1726" s="28" t="s">
        <v>8563</v>
      </c>
      <c r="F1726" s="9" t="str">
        <f ca="1">IFERROR(__xludf.DUMMYFUNCTION("""https://streamtape.com/v/""&amp;
REGEXEXTRACT(O1726,""/thumb/([^/]+)/"")&amp;
""/""&amp;K1726"),"https://streamtape.com/v/zQzYpD9va8iYDrW/22537547")</f>
        <v>https://streamtape.com/v/zQzYpD9va8iYDrW/22537547</v>
      </c>
      <c r="G1726" s="10" t="e">
        <f t="shared" ca="1" si="25"/>
        <v>#NAME?</v>
      </c>
      <c r="H1726" s="11" t="str">
        <f ca="1">IFERROR(__xludf.DUMMYFUNCTION("IFERROR(SUBSTITUTE(SUBSTITUTE(REGEXEXTRACT(A1726, ""[^-]+- [^-]+- [^-]+ - (.+?)\.jpg""), "".jpg"", """"), ""-"", "", ""), """")"),"")</f>
        <v/>
      </c>
      <c r="I1726" s="6"/>
      <c r="J1726" s="7" t="str">
        <f t="shared" ca="1" si="26"/>
        <v>(2026)</v>
      </c>
      <c r="K1726" s="7" t="str">
        <f t="shared" si="27"/>
        <v>22537547</v>
      </c>
      <c r="L1726" s="12" t="s">
        <v>127</v>
      </c>
      <c r="M1726" s="13" t="str">
        <f ca="1">IFERROR(__xludf.DUMMYFUNCTION("TRIM(
  REGEXREPLACE(
    TEXTJOIN("" "",
      TRUE,
      B1726,
      C1726,
      embaralharLinks(E1726,F1726,G1726),
      H1726,
      """",
      J1726,
      N1726,
      ""#RIPNSFW""
    ),
  "",\s*"", "" "")
)"),"{New} Vivian Taylor https://lulustream.com/d/ibo8soj9yda3 https://doodstream.com/d/lr55d6vg4rxt/22537547 https://streamtape.com/v/zQzYpD9va8iYDrW/22537547 (2026) #MILF #BigTits #Hardcore #Bigass #RIPNSFW")</f>
        <v>{New} Vivian Taylor https://lulustream.com/d/ibo8soj9yda3 https://doodstream.com/d/lr55d6vg4rxt/22537547 https://streamtape.com/v/zQzYpD9va8iYDrW/22537547 (2026) #MILF #BigTits #Hardcore #Bigass #RIPNSFW</v>
      </c>
      <c r="N1726" s="2" t="s">
        <v>128</v>
      </c>
      <c r="O1726" s="21" t="s">
        <v>8564</v>
      </c>
      <c r="P1726" s="26"/>
      <c r="R1726" s="23"/>
    </row>
    <row r="1727" spans="1:27" ht="12.75">
      <c r="A1727" s="12" t="s">
        <v>8565</v>
      </c>
      <c r="B1727" s="6" t="s">
        <v>14</v>
      </c>
      <c r="C1727" s="7" t="str">
        <f t="shared" si="24"/>
        <v xml:space="preserve">Vivian Taylor </v>
      </c>
      <c r="D1727" s="24" t="s">
        <v>8566</v>
      </c>
      <c r="E1727" s="25" t="s">
        <v>8567</v>
      </c>
      <c r="F1727" s="9" t="str">
        <f ca="1">IFERROR(__xludf.DUMMYFUNCTION("""https://streamtape.com/v/""&amp;
REGEXEXTRACT(O1727,""/thumb/([^/]+)/"")&amp;
""/""&amp;K1727"),"https://streamtape.com/v/mqz0dBX47LCbwem/23340937")</f>
        <v>https://streamtape.com/v/mqz0dBX47LCbwem/23340937</v>
      </c>
      <c r="G1727" s="10" t="e">
        <f t="shared" ca="1" si="25"/>
        <v>#NAME?</v>
      </c>
      <c r="H1727" s="11" t="str">
        <f ca="1">IFERROR(__xludf.DUMMYFUNCTION("IFERROR(SUBSTITUTE(SUBSTITUTE(REGEXEXTRACT(A1727, ""[^-]+- [^-]+- [^-]+ - (.+?)\.jpg""), "".jpg"", """"), ""-"", "", ""), """")"),"")</f>
        <v/>
      </c>
      <c r="I1727" s="6"/>
      <c r="J1727" s="7" t="str">
        <f t="shared" ca="1" si="26"/>
        <v>(2026)</v>
      </c>
      <c r="K1727" s="7" t="str">
        <f t="shared" si="27"/>
        <v>23340937</v>
      </c>
      <c r="L1727" s="12" t="s">
        <v>4527</v>
      </c>
      <c r="M1727" s="13" t="str">
        <f ca="1">IFERROR(__xludf.DUMMYFUNCTION("TRIM(
  REGEXREPLACE(
    TEXTJOIN("" "",
      TRUE,
      B1727,
      C1727,
      embaralharLinks(E1727,F1727,G1727),
      H1727,
      """",
      J1727,
      N1727,
      ""#RIPNSFW""
    ),
  "",\s*"", "" "")
)"),"{New} Vivian Taylor https://lulustream.com/d/wbd5gw5fn0yi https://doodstream.com/d/jgcm9da2cdmr/23340937 https://streamtape.com/v/mqz0dBX47LCbwem/23340937 (2026) #MILF #BigTits #Creampie #Hardcore #RIPNSFW")</f>
        <v>{New} Vivian Taylor https://lulustream.com/d/wbd5gw5fn0yi https://doodstream.com/d/jgcm9da2cdmr/23340937 https://streamtape.com/v/mqz0dBX47LCbwem/23340937 (2026) #MILF #BigTits #Creampie #Hardcore #RIPNSFW</v>
      </c>
      <c r="N1727" s="2" t="s">
        <v>474</v>
      </c>
      <c r="O1727" s="30" t="s">
        <v>8568</v>
      </c>
      <c r="P1727" s="26"/>
      <c r="R1727" s="23"/>
      <c r="T1727" s="6"/>
      <c r="U1727" s="7"/>
    </row>
    <row r="1728" spans="1:27" ht="12.75">
      <c r="A1728" s="6" t="s">
        <v>8569</v>
      </c>
      <c r="B1728" s="6" t="s">
        <v>14</v>
      </c>
      <c r="C1728" s="7" t="str">
        <f t="shared" si="24"/>
        <v xml:space="preserve">Vivian Taylor </v>
      </c>
      <c r="D1728" s="29" t="s">
        <v>8570</v>
      </c>
      <c r="E1728" s="8" t="s">
        <v>8571</v>
      </c>
      <c r="F1728" s="9" t="str">
        <f ca="1">IFERROR(__xludf.DUMMYFUNCTION("""https://streamtape.com/v/""&amp;
REGEXEXTRACT(O1728,""/thumb/([^/]+)/"")&amp;
""/""&amp;K1728"),"https://streamtape.com/v/be307xGgX8uPwAv/23782061")</f>
        <v>https://streamtape.com/v/be307xGgX8uPwAv/23782061</v>
      </c>
      <c r="G1728" s="10" t="e">
        <f t="shared" ca="1" si="25"/>
        <v>#NAME?</v>
      </c>
      <c r="H1728" s="11" t="str">
        <f ca="1">IFERROR(__xludf.DUMMYFUNCTION("IFERROR(SUBSTITUTE(SUBSTITUTE(REGEXEXTRACT(A1728, ""[^-]+- [^-]+- [^-]+ - (.+?)\.jpg""), "".jpg"", """"), ""-"", "", ""), """")"),"")</f>
        <v/>
      </c>
      <c r="I1728" s="6"/>
      <c r="J1728" s="7" t="str">
        <f t="shared" ca="1" si="26"/>
        <v>(2026)</v>
      </c>
      <c r="K1728" s="7" t="str">
        <f t="shared" si="27"/>
        <v>23782061</v>
      </c>
      <c r="L1728" s="12" t="s">
        <v>8572</v>
      </c>
      <c r="M1728" s="13" t="str">
        <f ca="1">IFERROR(__xludf.DUMMYFUNCTION("TRIM(
  REGEXREPLACE(
    TEXTJOIN("" "",
      TRUE,
      B1728,
      C1728,
      embaralharLinks(E1728,F1728,G1728),
      H1728,
      """",
      J1728,
      N1728,
      ""#RIPNSFW""
    ),
  "",\s*"", "" "")
)"),"{New} Vivian Taylor https://lulustream.com/d/074f4yzskpc8 https://doodstream.com/d/tq05gs2smzfz/23782061 https://streamtape.com/v/be307xGgX8uPwAv/23782061 (2026) #MILF #BigTits #Hardcore #Bigass #Porn #Blowjob #RIPNSFW")</f>
        <v>{New} Vivian Taylor https://lulustream.com/d/074f4yzskpc8 https://doodstream.com/d/tq05gs2smzfz/23782061 https://streamtape.com/v/be307xGgX8uPwAv/23782061 (2026) #MILF #BigTits #Hardcore #Bigass #Porn #Blowjob #RIPNSFW</v>
      </c>
      <c r="N1728" s="14" t="s">
        <v>4780</v>
      </c>
      <c r="O1728" s="32" t="s">
        <v>8573</v>
      </c>
      <c r="P1728" s="14"/>
      <c r="Q1728" s="6"/>
      <c r="R1728" s="11"/>
      <c r="S1728" s="6"/>
      <c r="T1728" s="6"/>
      <c r="U1728" s="6"/>
      <c r="V1728" s="6"/>
      <c r="W1728" s="6"/>
      <c r="X1728" s="6"/>
      <c r="Y1728" s="6"/>
      <c r="Z1728" s="6"/>
      <c r="AA1728" s="6"/>
    </row>
    <row r="1729" spans="1:27" ht="12.75">
      <c r="A1729" s="6" t="s">
        <v>8574</v>
      </c>
      <c r="B1729" s="6" t="s">
        <v>14</v>
      </c>
      <c r="C1729" s="7" t="str">
        <f t="shared" si="24"/>
        <v xml:space="preserve">Vivian Taylor </v>
      </c>
      <c r="D1729" s="6" t="s">
        <v>8575</v>
      </c>
      <c r="E1729" s="8" t="s">
        <v>8576</v>
      </c>
      <c r="F1729" s="9" t="str">
        <f ca="1">IFERROR(__xludf.DUMMYFUNCTION("""https://streamtape.com/v/""&amp;
REGEXEXTRACT(O1729,""/thumb/([^/]+)/"")&amp;
""/""&amp;K1729"),"https://streamtape.com/v/rexl2Q281yubb8y/27988189")</f>
        <v>https://streamtape.com/v/rexl2Q281yubb8y/27988189</v>
      </c>
      <c r="G1729" s="10" t="e">
        <f t="shared" ca="1" si="25"/>
        <v>#NAME?</v>
      </c>
      <c r="H1729" s="11" t="str">
        <f ca="1">IFERROR(__xludf.DUMMYFUNCTION("IFERROR(SUBSTITUTE(SUBSTITUTE(REGEXEXTRACT(A1729, ""[^-]+- [^-]+- [^-]+ - (.+?)\.jpg""), "".jpg"", """"), ""-"", "", ""), """")"),"")</f>
        <v/>
      </c>
      <c r="I1729" s="6"/>
      <c r="J1729" s="7" t="str">
        <f t="shared" ca="1" si="26"/>
        <v>(2026)</v>
      </c>
      <c r="K1729" s="7" t="str">
        <f t="shared" si="27"/>
        <v>27988189</v>
      </c>
      <c r="L1729" s="12" t="s">
        <v>8577</v>
      </c>
      <c r="M1729" s="13" t="str">
        <f ca="1">IFERROR(__xludf.DUMMYFUNCTION("TRIM(
  REGEXREPLACE(
    TEXTJOIN("" "",
      TRUE,
      B1729,
      C1729,
      embaralharLinks(E1729,F1729,G1729),
      H1729,
      """",
      J1729,
      N1729,
      ""#RIPNSFW""
    ),
  "",\s*"", "" "")
)"),"{New} Vivian Taylor https://lulustream.com/d/5meu70yjhetk https://doodstream.com/d/8gyk27yeyk8g/27988189 https://streamtape.com/v/rexl2Q281yubb8y/27988189 (2026) #MILF #BigTits #Hardcore #Black #Bigass #Interracial #Porn #RIPNSFW")</f>
        <v>{New} Vivian Taylor https://lulustream.com/d/5meu70yjhetk https://doodstream.com/d/8gyk27yeyk8g/27988189 https://streamtape.com/v/rexl2Q281yubb8y/27988189 (2026) #MILF #BigTits #Hardcore #Black #Bigass #Interracial #Porn #RIPNSFW</v>
      </c>
      <c r="N1729" s="14" t="s">
        <v>7443</v>
      </c>
      <c r="O1729" s="15" t="s">
        <v>8578</v>
      </c>
      <c r="P1729" s="14"/>
      <c r="Q1729" s="6"/>
      <c r="R1729" s="11"/>
      <c r="S1729" s="6"/>
      <c r="T1729" s="6"/>
      <c r="U1729" s="6"/>
      <c r="V1729" s="6"/>
      <c r="W1729" s="6"/>
      <c r="X1729" s="6"/>
      <c r="Y1729" s="6"/>
      <c r="Z1729" s="6"/>
      <c r="AA1729" s="6"/>
    </row>
    <row r="1730" spans="1:27" ht="12.75">
      <c r="A1730" s="16" t="s">
        <v>8579</v>
      </c>
      <c r="B1730" s="11" t="s">
        <v>14</v>
      </c>
      <c r="C1730" s="13" t="str">
        <f t="shared" si="24"/>
        <v xml:space="preserve">Vivian Taylor </v>
      </c>
      <c r="D1730" s="17" t="s">
        <v>8580</v>
      </c>
      <c r="E1730" s="18" t="s">
        <v>8581</v>
      </c>
      <c r="F1730" s="9" t="str">
        <f ca="1">IFERROR(__xludf.DUMMYFUNCTION("""https://streamtape.com/v/""&amp;
REGEXEXTRACT(O1730,""/thumb/([^/]+)/"")&amp;
""/""&amp;K1730"),"https://streamtape.com/v/GpdVX1v2YVudk9/30693922")</f>
        <v>https://streamtape.com/v/GpdVX1v2YVudk9/30693922</v>
      </c>
      <c r="G1730" s="10" t="e">
        <f t="shared" ca="1" si="25"/>
        <v>#NAME?</v>
      </c>
      <c r="H1730" s="11" t="str">
        <f ca="1">IFERROR(__xludf.DUMMYFUNCTION("IFERROR(SUBSTITUTE(SUBSTITUTE(REGEXEXTRACT(A1730, ""[^-]+- [^-]+- [^-]+ - (.+?)\.jpg""), "".jpg"", """"), ""-"", "", ""), """")"),"")</f>
        <v/>
      </c>
      <c r="I1730" s="11"/>
      <c r="J1730" s="13" t="str">
        <f t="shared" ca="1" si="26"/>
        <v>(2026)</v>
      </c>
      <c r="K1730" s="13" t="str">
        <f t="shared" si="27"/>
        <v>30693922</v>
      </c>
      <c r="L1730" s="12" t="s">
        <v>127</v>
      </c>
      <c r="M1730" s="13" t="str">
        <f ca="1">IFERROR(__xludf.DUMMYFUNCTION("TRIM(
  REGEXREPLACE(
    TEXTJOIN("" "",
      TRUE,
      B1730,
      C1730,
      embaralharLinks(E1730,F1730,G1730),
      H1730,
      """",
      J1730,
      N1730,
      ""#RIPNSFW""
    ),
  "",\s*"", "" "")
)"),"{New} Vivian Taylor https://doodstream.com/d/6lpc86h2ai7x/30693922 https://streamtape.com/v/GpdVX1v2YVudk9/30693922 https://lulustream.com/d/25j6wvyvayo4 (2026) #MILF #BigTits #Hardcore #Bigass #RIPNSFW")</f>
        <v>{New} Vivian Taylor https://doodstream.com/d/6lpc86h2ai7x/30693922 https://streamtape.com/v/GpdVX1v2YVudk9/30693922 https://lulustream.com/d/25j6wvyvayo4 (2026) #MILF #BigTits #Hardcore #Bigass #RIPNSFW</v>
      </c>
      <c r="N1730" s="20" t="s">
        <v>128</v>
      </c>
      <c r="O1730" s="30" t="s">
        <v>8582</v>
      </c>
      <c r="P1730" s="26"/>
      <c r="Q1730" s="16"/>
      <c r="R1730" s="23"/>
      <c r="S1730" s="16"/>
      <c r="T1730" s="16"/>
      <c r="U1730" s="16"/>
      <c r="V1730" s="16"/>
      <c r="W1730" s="16"/>
      <c r="X1730" s="16"/>
      <c r="Y1730" s="16"/>
      <c r="Z1730" s="16"/>
      <c r="AA1730" s="16"/>
    </row>
    <row r="1731" spans="1:27" ht="12.75">
      <c r="A1731" s="6" t="s">
        <v>8583</v>
      </c>
      <c r="B1731" s="6" t="s">
        <v>14</v>
      </c>
      <c r="C1731" s="7" t="str">
        <f t="shared" si="24"/>
        <v xml:space="preserve">Vivian Taylor </v>
      </c>
      <c r="D1731" s="6" t="s">
        <v>8584</v>
      </c>
      <c r="E1731" s="8" t="s">
        <v>8585</v>
      </c>
      <c r="F1731" s="9" t="str">
        <f ca="1">IFERROR(__xludf.DUMMYFUNCTION("""https://streamtape.com/v/""&amp;
REGEXEXTRACT(O1731,""/thumb/([^/]+)/"")&amp;
""/""&amp;K1731"),"https://streamtape.com/v/7GPxxdwgPlfAr1e/31149052")</f>
        <v>https://streamtape.com/v/7GPxxdwgPlfAr1e/31149052</v>
      </c>
      <c r="G1731" s="10" t="e">
        <f t="shared" ca="1" si="25"/>
        <v>#NAME?</v>
      </c>
      <c r="H1731" s="11" t="str">
        <f ca="1">IFERROR(__xludf.DUMMYFUNCTION("IFERROR(SUBSTITUTE(SUBSTITUTE(REGEXEXTRACT(A1731, ""[^-]+- [^-]+- [^-]+ - (.+?)\.jpg""), "".jpg"", """"), ""-"", "", ""), """")"),"")</f>
        <v/>
      </c>
      <c r="I1731" s="6"/>
      <c r="J1731" s="7" t="str">
        <f t="shared" ca="1" si="26"/>
        <v>(2026)</v>
      </c>
      <c r="K1731" s="7" t="str">
        <f t="shared" si="27"/>
        <v>31149052</v>
      </c>
      <c r="L1731" s="12" t="s">
        <v>8586</v>
      </c>
      <c r="M1731" s="13" t="str">
        <f ca="1">IFERROR(__xludf.DUMMYFUNCTION("TRIM(
  REGEXREPLACE(
    TEXTJOIN("" "",
      TRUE,
      B1731,
      C1731,
      embaralharLinks(E1731,F1731,G1731),
      H1731,
      """",
      J1731,
      N1731,
      ""#RIPNSFW""
    ),
  "",\s*"", "" "")
)"),"{New} Vivian Taylor https://lulustream.com/d/3z3mm60onm64 https://streamtape.com/v/7GPxxdwgPlfAr1e/31149052 https://doodstream.com/d/hpt9g8zfb1kw/31149052 (2026) #BigTits #Hardcore #Black #Interracial #Bigass #Porn #Teen #Blowjob #Deepthroat #Facial #Foot"&amp;"job #RIPNSFW")</f>
        <v>{New} Vivian Taylor https://lulustream.com/d/3z3mm60onm64 https://streamtape.com/v/7GPxxdwgPlfAr1e/31149052 https://doodstream.com/d/hpt9g8zfb1kw/31149052 (2026) #BigTits #Hardcore #Black #Interracial #Bigass #Porn #Teen #Blowjob #Deepthroat #Facial #Footjob #RIPNSFW</v>
      </c>
      <c r="N1731" s="14" t="s">
        <v>8587</v>
      </c>
      <c r="O1731" s="15" t="s">
        <v>8588</v>
      </c>
      <c r="P1731" s="14"/>
      <c r="Q1731" s="6"/>
      <c r="R1731" s="11"/>
      <c r="S1731" s="6"/>
      <c r="T1731" s="6"/>
      <c r="U1731" s="6"/>
      <c r="V1731" s="6"/>
      <c r="W1731" s="6"/>
      <c r="X1731" s="6"/>
      <c r="Y1731" s="6"/>
      <c r="Z1731" s="6"/>
      <c r="AA1731" s="6"/>
    </row>
    <row r="1732" spans="1:27" ht="12.75">
      <c r="A1732" s="12" t="s">
        <v>8589</v>
      </c>
      <c r="B1732" s="6" t="s">
        <v>14</v>
      </c>
      <c r="C1732" s="7" t="str">
        <f t="shared" si="24"/>
        <v xml:space="preserve">Vivian Taylor </v>
      </c>
      <c r="D1732" s="24" t="s">
        <v>8590</v>
      </c>
      <c r="E1732" s="25" t="s">
        <v>8591</v>
      </c>
      <c r="F1732" s="9" t="str">
        <f ca="1">IFERROR(__xludf.DUMMYFUNCTION("""https://streamtape.com/v/""&amp;
REGEXEXTRACT(O1732,""/thumb/([^/]+)/"")&amp;
""/""&amp;K1732"),"https://streamtape.com/v/QDZ03Bvqp0C000v/34896965")</f>
        <v>https://streamtape.com/v/QDZ03Bvqp0C000v/34896965</v>
      </c>
      <c r="G1732" s="10" t="e">
        <f t="shared" ca="1" si="25"/>
        <v>#NAME?</v>
      </c>
      <c r="H1732" s="11" t="str">
        <f ca="1">IFERROR(__xludf.DUMMYFUNCTION("IFERROR(SUBSTITUTE(SUBSTITUTE(REGEXEXTRACT(A1732, ""[^-]+- [^-]+- [^-]+ - (.+?)\.jpg""), "".jpg"", """"), ""-"", "", ""), """")"),"")</f>
        <v/>
      </c>
      <c r="I1732" s="6"/>
      <c r="J1732" s="7" t="str">
        <f t="shared" ca="1" si="26"/>
        <v>(2026)</v>
      </c>
      <c r="K1732" s="7" t="str">
        <f t="shared" si="27"/>
        <v>34896965</v>
      </c>
      <c r="L1732" s="12" t="s">
        <v>4527</v>
      </c>
      <c r="M1732" s="13" t="str">
        <f ca="1">IFERROR(__xludf.DUMMYFUNCTION("TRIM(
  REGEXREPLACE(
    TEXTJOIN("" "",
      TRUE,
      B1732,
      C1732,
      embaralharLinks(E1732,F1732,G1732),
      H1732,
      """",
      J1732,
      N1732,
      ""#RIPNSFW""
    ),
  "",\s*"", "" "")
)"),"{New} Vivian Taylor https://doodstream.com/d/9t1x90jftvk7/34896965 https://streamtape.com/v/QDZ03Bvqp0C000v/34896965 https://lulustream.com/d/rnk8zu4tsxzh (2026) #MILF #BigTits #Creampie #Hardcore #RIPNSFW")</f>
        <v>{New} Vivian Taylor https://doodstream.com/d/9t1x90jftvk7/34896965 https://streamtape.com/v/QDZ03Bvqp0C000v/34896965 https://lulustream.com/d/rnk8zu4tsxzh (2026) #MILF #BigTits #Creampie #Hardcore #RIPNSFW</v>
      </c>
      <c r="N1732" s="2" t="s">
        <v>474</v>
      </c>
      <c r="O1732" s="30" t="s">
        <v>8592</v>
      </c>
      <c r="P1732" s="26"/>
      <c r="R1732" s="23"/>
      <c r="T1732" s="6"/>
      <c r="U1732" s="7"/>
    </row>
    <row r="1733" spans="1:27" ht="12.75">
      <c r="A1733" s="6" t="s">
        <v>8593</v>
      </c>
      <c r="B1733" s="6" t="s">
        <v>14</v>
      </c>
      <c r="C1733" s="7" t="str">
        <f t="shared" si="24"/>
        <v xml:space="preserve">Vivian Taylor </v>
      </c>
      <c r="D1733" s="6" t="s">
        <v>8594</v>
      </c>
      <c r="E1733" s="8" t="s">
        <v>8595</v>
      </c>
      <c r="F1733" s="9" t="str">
        <f ca="1">IFERROR(__xludf.DUMMYFUNCTION("""https://streamtape.com/v/""&amp;
REGEXEXTRACT(O1733,""/thumb/([^/]+)/"")&amp;
""/""&amp;K1733"),"https://streamtape.com/v/qKOe03D3vlfz0Jj/39152588")</f>
        <v>https://streamtape.com/v/qKOe03D3vlfz0Jj/39152588</v>
      </c>
      <c r="G1733" s="10" t="e">
        <f t="shared" ca="1" si="25"/>
        <v>#NAME?</v>
      </c>
      <c r="H1733" s="11" t="str">
        <f ca="1">IFERROR(__xludf.DUMMYFUNCTION("IFERROR(SUBSTITUTE(SUBSTITUTE(REGEXEXTRACT(A1733, ""[^-]+- [^-]+- [^-]+ - (.+?)\.jpg""), "".jpg"", """"), ""-"", "", ""), """")"),"")</f>
        <v/>
      </c>
      <c r="I1733" s="6"/>
      <c r="J1733" s="7" t="str">
        <f t="shared" ca="1" si="26"/>
        <v>(2026)</v>
      </c>
      <c r="K1733" s="7" t="str">
        <f t="shared" si="27"/>
        <v>39152588</v>
      </c>
      <c r="L1733" s="12" t="s">
        <v>3364</v>
      </c>
      <c r="M1733" s="13" t="str">
        <f ca="1">IFERROR(__xludf.DUMMYFUNCTION("TRIM(
  REGEXREPLACE(
    TEXTJOIN("" "",
      TRUE,
      B1733,
      C1733,
      embaralharLinks(E1733,F1733,G1733),
      H1733,
      """",
      J1733,
      N1733,
      ""#RIPNSFW""
    ),
  "",\s*"", "" "")
)"),"{New} Vivian Taylor https://doodstream.com/d/b3iql8ao00ns/39152588 https://lulustream.com/d/rttcxjsxbti9 https://streamtape.com/v/qKOe03D3vlfz0Jj/39152588 (2026) #MILF #BigTits #Hardcore #Bigass #Porn #RIPNSFW")</f>
        <v>{New} Vivian Taylor https://doodstream.com/d/b3iql8ao00ns/39152588 https://lulustream.com/d/rttcxjsxbti9 https://streamtape.com/v/qKOe03D3vlfz0Jj/39152588 (2026) #MILF #BigTits #Hardcore #Bigass #Porn #RIPNSFW</v>
      </c>
      <c r="N1733" s="14" t="s">
        <v>1180</v>
      </c>
      <c r="O1733" s="15" t="s">
        <v>8596</v>
      </c>
      <c r="P1733" s="14"/>
      <c r="Q1733" s="6"/>
      <c r="R1733" s="11"/>
      <c r="S1733" s="6"/>
      <c r="T1733" s="6"/>
      <c r="U1733" s="6"/>
      <c r="V1733" s="6"/>
      <c r="W1733" s="6"/>
      <c r="X1733" s="6"/>
      <c r="Y1733" s="6"/>
      <c r="Z1733" s="6"/>
      <c r="AA1733" s="6"/>
    </row>
    <row r="1734" spans="1:27" ht="12.75">
      <c r="A1734" s="6" t="s">
        <v>8597</v>
      </c>
      <c r="B1734" s="6" t="s">
        <v>14</v>
      </c>
      <c r="C1734" s="7" t="str">
        <f t="shared" si="24"/>
        <v xml:space="preserve">Vivian Taylor </v>
      </c>
      <c r="D1734" s="6" t="s">
        <v>8598</v>
      </c>
      <c r="E1734" s="8" t="s">
        <v>8599</v>
      </c>
      <c r="F1734" s="9" t="str">
        <f ca="1">IFERROR(__xludf.DUMMYFUNCTION("""https://streamtape.com/v/""&amp;
REGEXEXTRACT(O1734,""/thumb/([^/]+)/"")&amp;
""/""&amp;K1734"),"https://streamtape.com/v/dqKlp9DG71hkKD4/41045332")</f>
        <v>https://streamtape.com/v/dqKlp9DG71hkKD4/41045332</v>
      </c>
      <c r="G1734" s="10" t="e">
        <f t="shared" ca="1" si="25"/>
        <v>#NAME?</v>
      </c>
      <c r="H1734" s="11" t="str">
        <f ca="1">IFERROR(__xludf.DUMMYFUNCTION("IFERROR(SUBSTITUTE(SUBSTITUTE(REGEXEXTRACT(A1734, ""[^-]+- [^-]+- [^-]+ - (.+?)\.jpg""), "".jpg"", """"), ""-"", "", ""), """")"),"")</f>
        <v/>
      </c>
      <c r="I1734" s="6"/>
      <c r="J1734" s="7" t="str">
        <f t="shared" ca="1" si="26"/>
        <v>(2026)</v>
      </c>
      <c r="K1734" s="7" t="str">
        <f t="shared" si="27"/>
        <v>41045332</v>
      </c>
      <c r="L1734" s="12" t="s">
        <v>4293</v>
      </c>
      <c r="M1734" s="13" t="str">
        <f ca="1">IFERROR(__xludf.DUMMYFUNCTION("TRIM(
  REGEXREPLACE(
    TEXTJOIN("" "",
      TRUE,
      B1734,
      C1734,
      embaralharLinks(E1734,F1734,G1734),
      H1734,
      """",
      J1734,
      N1734,
      ""#RIPNSFW""
    ),
  "",\s*"", "" "")
)"),"{New} Vivian Taylor https://streamtape.com/v/dqKlp9DG71hkKD4/41045332 https://doodstream.com/d/9i7iezlk7cou/41045332 https://lulustream.com/d/kx13krhjaiwe (2026) #MILF #BigTits #Hardcore #Bigass #Blowjob #Amateur #Deepthroat #Facial #RIPNSFW")</f>
        <v>{New} Vivian Taylor https://streamtape.com/v/dqKlp9DG71hkKD4/41045332 https://doodstream.com/d/9i7iezlk7cou/41045332 https://lulustream.com/d/kx13krhjaiwe (2026) #MILF #BigTits #Hardcore #Bigass #Blowjob #Amateur #Deepthroat #Facial #RIPNSFW</v>
      </c>
      <c r="N1734" s="14" t="s">
        <v>4590</v>
      </c>
      <c r="O1734" s="15" t="s">
        <v>8600</v>
      </c>
      <c r="P1734" s="14"/>
      <c r="Q1734" s="6"/>
      <c r="R1734" s="11"/>
      <c r="S1734" s="6"/>
      <c r="T1734" s="6"/>
      <c r="U1734" s="6"/>
      <c r="V1734" s="6"/>
      <c r="W1734" s="6"/>
      <c r="X1734" s="6"/>
      <c r="Y1734" s="6"/>
      <c r="Z1734" s="6"/>
      <c r="AA1734" s="6"/>
    </row>
    <row r="1735" spans="1:27" ht="12.75">
      <c r="A1735" s="12" t="s">
        <v>8601</v>
      </c>
      <c r="B1735" s="6" t="s">
        <v>14</v>
      </c>
      <c r="C1735" s="7" t="str">
        <f t="shared" si="24"/>
        <v xml:space="preserve">Vivian Taylor </v>
      </c>
      <c r="D1735" s="24" t="s">
        <v>8602</v>
      </c>
      <c r="E1735" s="25" t="s">
        <v>8603</v>
      </c>
      <c r="F1735" s="9" t="str">
        <f ca="1">IFERROR(__xludf.DUMMYFUNCTION("""https://streamtape.com/v/""&amp;
REGEXEXTRACT(O1735,""/thumb/([^/]+)/"")&amp;
""/""&amp;K1735"),"https://streamtape.com/v/eLwO7wo32bSkKe/42892117")</f>
        <v>https://streamtape.com/v/eLwO7wo32bSkKe/42892117</v>
      </c>
      <c r="G1735" s="10" t="e">
        <f t="shared" ca="1" si="25"/>
        <v>#NAME?</v>
      </c>
      <c r="H1735" s="11" t="str">
        <f ca="1">IFERROR(__xludf.DUMMYFUNCTION("IFERROR(SUBSTITUTE(SUBSTITUTE(REGEXEXTRACT(A1735, ""[^-]+- [^-]+- [^-]+ - (.+?)\.jpg""), "".jpg"", """"), ""-"", "", ""), """")"),"")</f>
        <v/>
      </c>
      <c r="I1735" s="6"/>
      <c r="J1735" s="7" t="str">
        <f t="shared" ca="1" si="26"/>
        <v>(2026)</v>
      </c>
      <c r="K1735" s="7" t="str">
        <f t="shared" si="27"/>
        <v>42892117</v>
      </c>
      <c r="L1735" s="12" t="s">
        <v>4527</v>
      </c>
      <c r="M1735" s="13" t="str">
        <f ca="1">IFERROR(__xludf.DUMMYFUNCTION("TRIM(
  REGEXREPLACE(
    TEXTJOIN("" "",
      TRUE,
      B1735,
      C1735,
      embaralharLinks(E1735,F1735,G1735),
      H1735,
      """",
      J1735,
      N1735,
      ""#RIPNSFW""
    ),
  "",\s*"", "" "")
)"),"{New} Vivian Taylor https://doodstream.com/d/4znzisvz8z86/42892117 https://streamtape.com/v/eLwO7wo32bSkKe/42892117 https://lulustream.com/d/crt7140cusez (2026) #MILF #BigTits #Creampie #Hardcore #RIPNSFW")</f>
        <v>{New} Vivian Taylor https://doodstream.com/d/4znzisvz8z86/42892117 https://streamtape.com/v/eLwO7wo32bSkKe/42892117 https://lulustream.com/d/crt7140cusez (2026) #MILF #BigTits #Creampie #Hardcore #RIPNSFW</v>
      </c>
      <c r="N1735" s="2" t="s">
        <v>474</v>
      </c>
      <c r="O1735" s="30" t="s">
        <v>8604</v>
      </c>
      <c r="P1735" s="26"/>
      <c r="R1735" s="23"/>
      <c r="T1735" s="6"/>
      <c r="U1735" s="7"/>
    </row>
    <row r="1736" spans="1:27" ht="12.75">
      <c r="A1736" s="6" t="s">
        <v>8605</v>
      </c>
      <c r="B1736" s="6" t="s">
        <v>14</v>
      </c>
      <c r="C1736" s="7" t="str">
        <f t="shared" si="24"/>
        <v xml:space="preserve">Vivian Taylor </v>
      </c>
      <c r="D1736" s="6" t="s">
        <v>8606</v>
      </c>
      <c r="E1736" s="8" t="s">
        <v>8607</v>
      </c>
      <c r="F1736" s="9" t="str">
        <f ca="1">IFERROR(__xludf.DUMMYFUNCTION("""https://streamtape.com/v/""&amp;
REGEXEXTRACT(O1736,""/thumb/([^/]+)/"")&amp;
""/""&amp;K1736"),"https://streamtape.com/v/AXzL1XGYz1uBgB/44884635")</f>
        <v>https://streamtape.com/v/AXzL1XGYz1uBgB/44884635</v>
      </c>
      <c r="G1736" s="10" t="e">
        <f t="shared" ca="1" si="25"/>
        <v>#NAME?</v>
      </c>
      <c r="H1736" s="11" t="str">
        <f ca="1">IFERROR(__xludf.DUMMYFUNCTION("IFERROR(SUBSTITUTE(SUBSTITUTE(REGEXEXTRACT(A1736, ""[^-]+- [^-]+- [^-]+ - (.+?)\.jpg""), "".jpg"", """"), ""-"", "", ""), """")"),"")</f>
        <v/>
      </c>
      <c r="I1736" s="6"/>
      <c r="J1736" s="7" t="str">
        <f t="shared" ca="1" si="26"/>
        <v>(2026)</v>
      </c>
      <c r="K1736" s="7" t="str">
        <f t="shared" si="27"/>
        <v>44884635</v>
      </c>
      <c r="L1736" s="12" t="s">
        <v>8608</v>
      </c>
      <c r="M1736" s="13" t="str">
        <f ca="1">IFERROR(__xludf.DUMMYFUNCTION("TRIM(
  REGEXREPLACE(
    TEXTJOIN("" "",
      TRUE,
      B1736,
      C1736,
      embaralharLinks(E1736,F1736,G1736),
      H1736,
      """",
      J1736,
      N1736,
      ""#RIPNSFW""
    ),
  "",\s*"", "" "")
)"),"{New} Vivian Taylor https://lulustream.com/d/7wtvmlsi7b05 https://doodstream.com/d/7vyrkjvdc4j7/44884635 https://streamtape.com/v/AXzL1XGYz1uBgB/44884635 (2026) #MILF #BigTits #Hardcore #Black #Threesome #Interracial #Bigass #Porn #RIPNSFW")</f>
        <v>{New} Vivian Taylor https://lulustream.com/d/7wtvmlsi7b05 https://doodstream.com/d/7vyrkjvdc4j7/44884635 https://streamtape.com/v/AXzL1XGYz1uBgB/44884635 (2026) #MILF #BigTits #Hardcore #Black #Threesome #Interracial #Bigass #Porn #RIPNSFW</v>
      </c>
      <c r="N1736" s="14" t="s">
        <v>8609</v>
      </c>
      <c r="O1736" s="15" t="s">
        <v>8610</v>
      </c>
      <c r="P1736" s="14"/>
      <c r="Q1736" s="6"/>
      <c r="R1736" s="11"/>
      <c r="S1736" s="6"/>
      <c r="T1736" s="6"/>
      <c r="U1736" s="6"/>
      <c r="V1736" s="6"/>
      <c r="W1736" s="6"/>
      <c r="X1736" s="6"/>
      <c r="Y1736" s="6"/>
      <c r="Z1736" s="6"/>
      <c r="AA1736" s="6"/>
    </row>
    <row r="1737" spans="1:27" ht="12.75">
      <c r="A1737" s="12" t="s">
        <v>8611</v>
      </c>
      <c r="B1737" s="6" t="s">
        <v>14</v>
      </c>
      <c r="C1737" s="7" t="str">
        <f t="shared" si="24"/>
        <v xml:space="preserve">Vivian Taylor </v>
      </c>
      <c r="D1737" s="7" t="s">
        <v>8612</v>
      </c>
      <c r="E1737" s="25" t="s">
        <v>8613</v>
      </c>
      <c r="F1737" s="9" t="str">
        <f ca="1">IFERROR(__xludf.DUMMYFUNCTION("""https://streamtape.com/v/""&amp;
REGEXEXTRACT(O1737,""/thumb/([^/]+)/"")&amp;
""/""&amp;K1737"),"https://streamtape.com/v/mDk21K0MoQfbZD4/53117148")</f>
        <v>https://streamtape.com/v/mDk21K0MoQfbZD4/53117148</v>
      </c>
      <c r="G1737" s="10" t="e">
        <f t="shared" ca="1" si="25"/>
        <v>#NAME?</v>
      </c>
      <c r="H1737" s="11" t="str">
        <f ca="1">IFERROR(__xludf.DUMMYFUNCTION("IFERROR(SUBSTITUTE(SUBSTITUTE(REGEXEXTRACT(A1737, ""[^-]+- [^-]+- [^-]+ - (.+?)\.jpg""), "".jpg"", """"), ""-"", "", ""), """")"),"")</f>
        <v/>
      </c>
      <c r="I1737" s="6"/>
      <c r="J1737" s="7" t="str">
        <f t="shared" ca="1" si="26"/>
        <v>(2026)</v>
      </c>
      <c r="K1737" s="7" t="str">
        <f t="shared" si="27"/>
        <v>53117148</v>
      </c>
      <c r="L1737" s="12" t="s">
        <v>127</v>
      </c>
      <c r="M1737" s="13" t="str">
        <f ca="1">IFERROR(__xludf.DUMMYFUNCTION("TRIM(
  REGEXREPLACE(
    TEXTJOIN("" "",
      TRUE,
      B1737,
      C1737,
      embaralharLinks(E1737,F1737,G1737),
      H1737,
      """",
      J1737,
      N1737,
      ""#RIPNSFW""
    ),
  "",\s*"", "" "")
)"),"{New} Vivian Taylor https://doodstream.com/d/315vbdirsmps/53117148 https://lulustream.com/d/wakcrirpcm87 https://streamtape.com/v/mDk21K0MoQfbZD4/53117148 (2026) #MILF #BigTits #Hardcore #Bigass #RIPNSFW")</f>
        <v>{New} Vivian Taylor https://doodstream.com/d/315vbdirsmps/53117148 https://lulustream.com/d/wakcrirpcm87 https://streamtape.com/v/mDk21K0MoQfbZD4/53117148 (2026) #MILF #BigTits #Hardcore #Bigass #RIPNSFW</v>
      </c>
      <c r="N1737" s="2" t="s">
        <v>128</v>
      </c>
      <c r="O1737" s="21" t="s">
        <v>8614</v>
      </c>
      <c r="P1737" s="26"/>
      <c r="R1737" s="23"/>
    </row>
    <row r="1738" spans="1:27" ht="12.75">
      <c r="A1738" s="12" t="s">
        <v>8615</v>
      </c>
      <c r="B1738" s="6" t="s">
        <v>14</v>
      </c>
      <c r="C1738" s="7" t="str">
        <f t="shared" si="24"/>
        <v xml:space="preserve">Vivian Taylor </v>
      </c>
      <c r="D1738" s="24" t="s">
        <v>8616</v>
      </c>
      <c r="E1738" s="25" t="s">
        <v>8617</v>
      </c>
      <c r="F1738" s="9" t="str">
        <f ca="1">IFERROR(__xludf.DUMMYFUNCTION("""https://streamtape.com/v/""&amp;
REGEXEXTRACT(O1738,""/thumb/([^/]+)/"")&amp;
""/""&amp;K1738"),"https://streamtape.com/v/Qg8KDXbXZWCJ9K/61592313")</f>
        <v>https://streamtape.com/v/Qg8KDXbXZWCJ9K/61592313</v>
      </c>
      <c r="G1738" s="10" t="e">
        <f t="shared" ca="1" si="25"/>
        <v>#NAME?</v>
      </c>
      <c r="H1738" s="11" t="str">
        <f ca="1">IFERROR(__xludf.DUMMYFUNCTION("IFERROR(SUBSTITUTE(SUBSTITUTE(REGEXEXTRACT(A1738, ""[^-]+- [^-]+- [^-]+ - (.+?)\.jpg""), "".jpg"", """"), ""-"", "", ""), """")"),"")</f>
        <v/>
      </c>
      <c r="I1738" s="6"/>
      <c r="J1738" s="7" t="str">
        <f t="shared" ca="1" si="26"/>
        <v>(2026)</v>
      </c>
      <c r="K1738" s="7" t="str">
        <f t="shared" si="27"/>
        <v>61592313</v>
      </c>
      <c r="L1738" s="12" t="s">
        <v>127</v>
      </c>
      <c r="M1738" s="13" t="str">
        <f ca="1">IFERROR(__xludf.DUMMYFUNCTION("TRIM(
  REGEXREPLACE(
    TEXTJOIN("" "",
      TRUE,
      B1738,
      C1738,
      embaralharLinks(E1738,F1738,G1738),
      H1738,
      """",
      J1738,
      N1738,
      ""#RIPNSFW""
    ),
  "",\s*"", "" "")
)"),"{New} Vivian Taylor https://lulustream.com/d/g6e9o28for03 https://streamtape.com/v/Qg8KDXbXZWCJ9K/61592313 https://doodstream.com/d/5mvco2u5y62o/61592313 (2026) #MILF #BigTits #Hardcore #Bigass #RIPNSFW")</f>
        <v>{New} Vivian Taylor https://lulustream.com/d/g6e9o28for03 https://streamtape.com/v/Qg8KDXbXZWCJ9K/61592313 https://doodstream.com/d/5mvco2u5y62o/61592313 (2026) #MILF #BigTits #Hardcore #Bigass #RIPNSFW</v>
      </c>
      <c r="N1738" s="2" t="s">
        <v>128</v>
      </c>
      <c r="O1738" s="30" t="s">
        <v>8618</v>
      </c>
      <c r="P1738" s="26"/>
      <c r="R1738" s="23"/>
    </row>
    <row r="1739" spans="1:27" ht="12.75">
      <c r="A1739" s="6" t="s">
        <v>8619</v>
      </c>
      <c r="B1739" s="6" t="s">
        <v>14</v>
      </c>
      <c r="C1739" s="7" t="str">
        <f t="shared" si="24"/>
        <v xml:space="preserve">Vivian Taylor </v>
      </c>
      <c r="D1739" s="6" t="s">
        <v>8620</v>
      </c>
      <c r="E1739" s="8" t="s">
        <v>8621</v>
      </c>
      <c r="F1739" s="9" t="str">
        <f ca="1">IFERROR(__xludf.DUMMYFUNCTION("""https://streamtape.com/v/""&amp;
REGEXEXTRACT(O1739,""/thumb/([^/]+)/"")&amp;
""/""&amp;K1739"),"https://streamtape.com/v/dKw10jRyBpckRZ4/66850404")</f>
        <v>https://streamtape.com/v/dKw10jRyBpckRZ4/66850404</v>
      </c>
      <c r="G1739" s="10" t="e">
        <f t="shared" ca="1" si="25"/>
        <v>#NAME?</v>
      </c>
      <c r="H1739" s="11" t="str">
        <f ca="1">IFERROR(__xludf.DUMMYFUNCTION("IFERROR(SUBSTITUTE(SUBSTITUTE(REGEXEXTRACT(A1739, ""[^-]+- [^-]+- [^-]+ - (.+?)\.jpg""), "".jpg"", """"), ""-"", "", ""), """")"),"")</f>
        <v/>
      </c>
      <c r="I1739" s="6"/>
      <c r="J1739" s="7" t="str">
        <f t="shared" ca="1" si="26"/>
        <v>(2026)</v>
      </c>
      <c r="K1739" s="7" t="str">
        <f t="shared" si="27"/>
        <v>66850404</v>
      </c>
      <c r="L1739" s="12" t="s">
        <v>2609</v>
      </c>
      <c r="M1739" s="13" t="str">
        <f ca="1">IFERROR(__xludf.DUMMYFUNCTION("TRIM(
  REGEXREPLACE(
    TEXTJOIN("" "",
      TRUE,
      B1739,
      C1739,
      embaralharLinks(E1739,F1739,G1739),
      H1739,
      """",
      J1739,
      N1739,
      ""#RIPNSFW""
    ),
  "",\s*"", "" "")
)"),"{New} Vivian Taylor https://streamtape.com/v/dKw10jRyBpckRZ4/66850404 https://doodstream.com/d/4zcqn5lf1qsj/66850404 https://lulustream.com/d/d2swwq2jwyil (2026) #BigTits #Hardcore #Bigass #Teen #Blowjob #Amateur #RIPNSFW")</f>
        <v>{New} Vivian Taylor https://streamtape.com/v/dKw10jRyBpckRZ4/66850404 https://doodstream.com/d/4zcqn5lf1qsj/66850404 https://lulustream.com/d/d2swwq2jwyil (2026) #BigTits #Hardcore #Bigass #Teen #Blowjob #Amateur #RIPNSFW</v>
      </c>
      <c r="N1739" s="14" t="s">
        <v>193</v>
      </c>
      <c r="O1739" s="15" t="s">
        <v>8622</v>
      </c>
      <c r="P1739" s="14"/>
      <c r="Q1739" s="6"/>
      <c r="R1739" s="11"/>
      <c r="S1739" s="6"/>
      <c r="T1739" s="6"/>
      <c r="U1739" s="6"/>
      <c r="V1739" s="6"/>
      <c r="W1739" s="6"/>
      <c r="X1739" s="6"/>
      <c r="Y1739" s="6"/>
      <c r="Z1739" s="6"/>
      <c r="AA1739" s="6"/>
    </row>
    <row r="1740" spans="1:27" ht="12.75">
      <c r="A1740" s="12" t="s">
        <v>8623</v>
      </c>
      <c r="B1740" s="6" t="s">
        <v>14</v>
      </c>
      <c r="C1740" s="7" t="str">
        <f t="shared" si="24"/>
        <v xml:space="preserve">Vivian Taylor </v>
      </c>
      <c r="D1740" s="24" t="s">
        <v>8624</v>
      </c>
      <c r="E1740" s="25" t="s">
        <v>8625</v>
      </c>
      <c r="F1740" s="9" t="str">
        <f ca="1">IFERROR(__xludf.DUMMYFUNCTION("""https://streamtape.com/v/""&amp;
REGEXEXTRACT(O1740,""/thumb/([^/]+)/"")&amp;
""/""&amp;K1740"),"https://streamtape.com/v/Zw9W672DJehMoM/67870189")</f>
        <v>https://streamtape.com/v/Zw9W672DJehMoM/67870189</v>
      </c>
      <c r="G1740" s="10" t="e">
        <f t="shared" ca="1" si="25"/>
        <v>#NAME?</v>
      </c>
      <c r="H1740" s="11" t="str">
        <f ca="1">IFERROR(__xludf.DUMMYFUNCTION("IFERROR(SUBSTITUTE(SUBSTITUTE(REGEXEXTRACT(A1740, ""[^-]+- [^-]+- [^-]+ - (.+?)\.jpg""), "".jpg"", """"), ""-"", "", ""), """")"),"")</f>
        <v/>
      </c>
      <c r="I1740" s="6"/>
      <c r="J1740" s="7" t="str">
        <f t="shared" ca="1" si="26"/>
        <v>(2026)</v>
      </c>
      <c r="K1740" s="7" t="str">
        <f t="shared" si="27"/>
        <v>67870189</v>
      </c>
      <c r="L1740" s="12" t="s">
        <v>680</v>
      </c>
      <c r="M1740" s="13" t="str">
        <f ca="1">IFERROR(__xludf.DUMMYFUNCTION("TRIM(
  REGEXREPLACE(
    TEXTJOIN("" "",
      TRUE,
      B1740,
      C1740,
      embaralharLinks(E1740,F1740,G1740),
      H1740,
      """",
      J1740,
      N1740,
      ""#RIPNSFW""
    ),
  "",\s*"", "" "")
)"),"{New} Vivian Taylor https://lulustream.com/d/ze3s49ol6w44 https://streamtape.com/v/Zw9W672DJehMoM/67870189 https://doodstream.com/d/y25vp7ac0a36/67870189 (2026) #MILF #BigTits #Hardcore #Black #RIPNSFW")</f>
        <v>{New} Vivian Taylor https://lulustream.com/d/ze3s49ol6w44 https://streamtape.com/v/Zw9W672DJehMoM/67870189 https://doodstream.com/d/y25vp7ac0a36/67870189 (2026) #MILF #BigTits #Hardcore #Black #RIPNSFW</v>
      </c>
      <c r="N1740" s="2" t="s">
        <v>681</v>
      </c>
      <c r="O1740" s="21" t="s">
        <v>8626</v>
      </c>
      <c r="P1740" s="26"/>
      <c r="R1740" s="23"/>
      <c r="T1740" s="6"/>
      <c r="U1740" s="7"/>
    </row>
    <row r="1741" spans="1:27" ht="12.75">
      <c r="A1741" s="6" t="s">
        <v>8627</v>
      </c>
      <c r="B1741" s="6" t="s">
        <v>14</v>
      </c>
      <c r="C1741" s="7" t="str">
        <f t="shared" si="24"/>
        <v xml:space="preserve">Vivian Taylor </v>
      </c>
      <c r="D1741" s="6" t="s">
        <v>8628</v>
      </c>
      <c r="E1741" s="8" t="s">
        <v>8629</v>
      </c>
      <c r="F1741" s="9" t="str">
        <f ca="1">IFERROR(__xludf.DUMMYFUNCTION("""https://streamtape.com/v/""&amp;
REGEXEXTRACT(O1741,""/thumb/([^/]+)/"")&amp;
""/""&amp;K1741"),"https://streamtape.com/v/QgM17X13bdt0bqk/70927654")</f>
        <v>https://streamtape.com/v/QgM17X13bdt0bqk/70927654</v>
      </c>
      <c r="G1741" s="10" t="e">
        <f t="shared" ca="1" si="25"/>
        <v>#NAME?</v>
      </c>
      <c r="H1741" s="11" t="str">
        <f ca="1">IFERROR(__xludf.DUMMYFUNCTION("IFERROR(SUBSTITUTE(SUBSTITUTE(REGEXEXTRACT(A1741, ""[^-]+- [^-]+- [^-]+ - (.+?)\.jpg""), "".jpg"", """"), ""-"", "", ""), """")"),"")</f>
        <v/>
      </c>
      <c r="I1741" s="6"/>
      <c r="J1741" s="7" t="str">
        <f t="shared" ca="1" si="26"/>
        <v>(2026)</v>
      </c>
      <c r="K1741" s="7" t="str">
        <f t="shared" si="27"/>
        <v>70927654</v>
      </c>
      <c r="L1741" s="12" t="s">
        <v>4293</v>
      </c>
      <c r="M1741" s="13" t="str">
        <f ca="1">IFERROR(__xludf.DUMMYFUNCTION("TRIM(
  REGEXREPLACE(
    TEXTJOIN("" "",
      TRUE,
      B1741,
      C1741,
      embaralharLinks(E1741,F1741,G1741),
      H1741,
      """",
      J1741,
      N1741,
      ""#RIPNSFW""
    ),
  "",\s*"", "" "")
)"),"{New} Vivian Taylor https://streamtape.com/v/QgM17X13bdt0bqk/70927654 https://doodstream.com/d/g2q8ah4t4zbn/70927654 https://lulustream.com/d/35fk9sqbf3zk (2026) #MILF #BigTits #Hardcore #Bigass #Blowjob #Amateur #RIPNSFW")</f>
        <v>{New} Vivian Taylor https://streamtape.com/v/QgM17X13bdt0bqk/70927654 https://doodstream.com/d/g2q8ah4t4zbn/70927654 https://lulustream.com/d/35fk9sqbf3zk (2026) #MILF #BigTits #Hardcore #Bigass #Blowjob #Amateur #RIPNSFW</v>
      </c>
      <c r="N1741" s="14" t="s">
        <v>999</v>
      </c>
      <c r="O1741" s="15" t="s">
        <v>8630</v>
      </c>
      <c r="P1741" s="14"/>
      <c r="Q1741" s="6"/>
      <c r="R1741" s="11"/>
      <c r="S1741" s="6"/>
      <c r="T1741" s="6"/>
      <c r="U1741" s="6"/>
      <c r="V1741" s="6"/>
      <c r="W1741" s="6"/>
      <c r="X1741" s="6"/>
      <c r="Y1741" s="6"/>
      <c r="Z1741" s="6"/>
      <c r="AA1741" s="6"/>
    </row>
    <row r="1742" spans="1:27" ht="12.75">
      <c r="A1742" s="12" t="s">
        <v>8631</v>
      </c>
      <c r="B1742" s="6" t="s">
        <v>14</v>
      </c>
      <c r="C1742" s="7" t="str">
        <f t="shared" si="24"/>
        <v xml:space="preserve">Vivian Taylor </v>
      </c>
      <c r="D1742" s="27" t="s">
        <v>8632</v>
      </c>
      <c r="E1742" s="28" t="s">
        <v>8633</v>
      </c>
      <c r="F1742" s="9" t="str">
        <f ca="1">IFERROR(__xludf.DUMMYFUNCTION("""https://streamtape.com/v/""&amp;
REGEXEXTRACT(O1742,""/thumb/([^/]+)/"")&amp;
""/""&amp;K1742"),"https://streamtape.com/v/QbVOvAx3YLF0lDm/74834685")</f>
        <v>https://streamtape.com/v/QbVOvAx3YLF0lDm/74834685</v>
      </c>
      <c r="G1742" s="10" t="e">
        <f t="shared" ca="1" si="25"/>
        <v>#NAME?</v>
      </c>
      <c r="H1742" s="11" t="str">
        <f ca="1">IFERROR(__xludf.DUMMYFUNCTION("IFERROR(SUBSTITUTE(SUBSTITUTE(REGEXEXTRACT(A1742, ""[^-]+- [^-]+- [^-]+ - (.+?)\.jpg""), "".jpg"", """"), ""-"", "", ""), """")"),"")</f>
        <v/>
      </c>
      <c r="I1742" s="6"/>
      <c r="J1742" s="7" t="str">
        <f t="shared" ca="1" si="26"/>
        <v>(2026)</v>
      </c>
      <c r="K1742" s="7" t="str">
        <f t="shared" si="27"/>
        <v>74834685</v>
      </c>
      <c r="L1742" s="12" t="s">
        <v>680</v>
      </c>
      <c r="M1742" s="13" t="str">
        <f ca="1">IFERROR(__xludf.DUMMYFUNCTION("TRIM(
  REGEXREPLACE(
    TEXTJOIN("" "",
      TRUE,
      B1742,
      C1742,
      embaralharLinks(E1742,F1742,G1742),
      H1742,
      """",
      J1742,
      N1742,
      ""#RIPNSFW""
    ),
  "",\s*"", "" "")
)"),"{New} Vivian Taylor https://doodstream.com/d/rv6h6rjpyi1a/74834685 https://lulustream.com/d/qt4osndwmvgu https://streamtape.com/v/QbVOvAx3YLF0lDm/74834685 (2026) #MILF #BigTits #Hardcore #Black #RIPNSFW")</f>
        <v>{New} Vivian Taylor https://doodstream.com/d/rv6h6rjpyi1a/74834685 https://lulustream.com/d/qt4osndwmvgu https://streamtape.com/v/QbVOvAx3YLF0lDm/74834685 (2026) #MILF #BigTits #Hardcore #Black #RIPNSFW</v>
      </c>
      <c r="N1742" s="2" t="s">
        <v>681</v>
      </c>
      <c r="O1742" s="30" t="s">
        <v>8634</v>
      </c>
      <c r="P1742" s="26"/>
      <c r="R1742" s="23"/>
    </row>
    <row r="1743" spans="1:27" ht="12.75">
      <c r="A1743" s="16" t="s">
        <v>8635</v>
      </c>
      <c r="B1743" s="11" t="s">
        <v>14</v>
      </c>
      <c r="C1743" s="13" t="str">
        <f t="shared" si="24"/>
        <v xml:space="preserve">Vivian Taylor </v>
      </c>
      <c r="D1743" s="17" t="s">
        <v>8636</v>
      </c>
      <c r="E1743" s="18" t="s">
        <v>8637</v>
      </c>
      <c r="F1743" s="9" t="str">
        <f ca="1">IFERROR(__xludf.DUMMYFUNCTION("""https://streamtape.com/v/""&amp;
REGEXEXTRACT(O1743,""/thumb/([^/]+)/"")&amp;
""/""&amp;K1743"),"https://streamtape.com/v/QKdy96gB0gUyq7/76201123")</f>
        <v>https://streamtape.com/v/QKdy96gB0gUyq7/76201123</v>
      </c>
      <c r="G1743" s="10" t="e">
        <f t="shared" ca="1" si="25"/>
        <v>#NAME?</v>
      </c>
      <c r="H1743" s="11" t="str">
        <f ca="1">IFERROR(__xludf.DUMMYFUNCTION("IFERROR(SUBSTITUTE(SUBSTITUTE(REGEXEXTRACT(A1743, ""[^-]+- [^-]+- [^-]+ - (.+?)\.jpg""), "".jpg"", """"), ""-"", "", ""), """")"),"")</f>
        <v/>
      </c>
      <c r="I1743" s="11"/>
      <c r="J1743" s="13" t="str">
        <f t="shared" ca="1" si="26"/>
        <v>(2026)</v>
      </c>
      <c r="K1743" s="13" t="str">
        <f t="shared" si="27"/>
        <v>76201123</v>
      </c>
      <c r="L1743" s="12" t="s">
        <v>127</v>
      </c>
      <c r="M1743" s="13" t="str">
        <f ca="1">IFERROR(__xludf.DUMMYFUNCTION("TRIM(
  REGEXREPLACE(
    TEXTJOIN("" "",
      TRUE,
      B1743,
      C1743,
      embaralharLinks(E1743,F1743,G1743),
      H1743,
      """",
      J1743,
      N1743,
      ""#RIPNSFW""
    ),
  "",\s*"", "" "")
)"),"{New} Vivian Taylor https://lulustream.com/d/gqeffat6evds https://doodstream.com/d/xxyk9eci3w8t/76201123 https://streamtape.com/v/QKdy96gB0gUyq7/76201123 (2026) #MILF #BigTits #Hardcore #Bigass #RIPNSFW")</f>
        <v>{New} Vivian Taylor https://lulustream.com/d/gqeffat6evds https://doodstream.com/d/xxyk9eci3w8t/76201123 https://streamtape.com/v/QKdy96gB0gUyq7/76201123 (2026) #MILF #BigTits #Hardcore #Bigass #RIPNSFW</v>
      </c>
      <c r="N1743" s="20" t="s">
        <v>128</v>
      </c>
      <c r="O1743" s="30" t="s">
        <v>8638</v>
      </c>
      <c r="P1743" s="26"/>
      <c r="Q1743" s="16"/>
      <c r="R1743" s="23"/>
      <c r="S1743" s="16"/>
      <c r="T1743" s="16"/>
      <c r="U1743" s="16"/>
      <c r="V1743" s="16"/>
      <c r="W1743" s="16"/>
      <c r="X1743" s="16"/>
      <c r="Y1743" s="16"/>
      <c r="Z1743" s="16"/>
      <c r="AA1743" s="16"/>
    </row>
    <row r="1744" spans="1:27" ht="12.75">
      <c r="A1744" s="6" t="s">
        <v>8639</v>
      </c>
      <c r="B1744" s="6" t="s">
        <v>14</v>
      </c>
      <c r="C1744" s="7" t="str">
        <f t="shared" si="24"/>
        <v xml:space="preserve">Vivian Taylor </v>
      </c>
      <c r="D1744" s="6" t="s">
        <v>8640</v>
      </c>
      <c r="E1744" s="8" t="s">
        <v>8641</v>
      </c>
      <c r="F1744" s="9" t="str">
        <f ca="1">IFERROR(__xludf.DUMMYFUNCTION("""https://streamtape.com/v/""&amp;
REGEXEXTRACT(O1744,""/thumb/([^/]+)/"")&amp;
""/""&amp;K1744"),"https://streamtape.com/v/RmPQ0adzWgcdbaV/78534742")</f>
        <v>https://streamtape.com/v/RmPQ0adzWgcdbaV/78534742</v>
      </c>
      <c r="G1744" s="10" t="e">
        <f t="shared" ca="1" si="25"/>
        <v>#NAME?</v>
      </c>
      <c r="H1744" s="11" t="str">
        <f ca="1">IFERROR(__xludf.DUMMYFUNCTION("IFERROR(SUBSTITUTE(SUBSTITUTE(REGEXEXTRACT(A1744, ""[^-]+- [^-]+- [^-]+ - (.+?)\.jpg""), "".jpg"", """"), ""-"", "", ""), """")"),"")</f>
        <v/>
      </c>
      <c r="I1744" s="6"/>
      <c r="J1744" s="7" t="str">
        <f t="shared" ca="1" si="26"/>
        <v>(2026)</v>
      </c>
      <c r="K1744" s="7" t="str">
        <f t="shared" si="27"/>
        <v>78534742</v>
      </c>
      <c r="L1744" s="12" t="s">
        <v>1252</v>
      </c>
      <c r="M1744" s="13" t="str">
        <f ca="1">IFERROR(__xludf.DUMMYFUNCTION("TRIM(
  REGEXREPLACE(
    TEXTJOIN("" "",
      TRUE,
      B1744,
      C1744,
      embaralharLinks(E1744,F1744,G1744),
      H1744,
      """",
      J1744,
      N1744,
      ""#RIPNSFW""
    ),
  "",\s*"", "" "")
)"),"{New} Vivian Taylor https://streamtape.com/v/RmPQ0adzWgcdbaV/78534742 https://lulustream.com/d/6122y6inry27 https://doodstream.com/d/b06dcfzc1jq2/78534742 (2026) #MILF #BigTits #Hardcore #Bigass #Blowjob #Amateur #Blonde #RIPNSFW")</f>
        <v>{New} Vivian Taylor https://streamtape.com/v/RmPQ0adzWgcdbaV/78534742 https://lulustream.com/d/6122y6inry27 https://doodstream.com/d/b06dcfzc1jq2/78534742 (2026) #MILF #BigTits #Hardcore #Bigass #Blowjob #Amateur #Blonde #RIPNSFW</v>
      </c>
      <c r="N1744" s="14" t="s">
        <v>8642</v>
      </c>
      <c r="O1744" s="15" t="s">
        <v>8643</v>
      </c>
      <c r="P1744" s="14"/>
      <c r="Q1744" s="6"/>
      <c r="R1744" s="11"/>
      <c r="S1744" s="6"/>
      <c r="T1744" s="6"/>
      <c r="U1744" s="6"/>
      <c r="V1744" s="6"/>
      <c r="W1744" s="6"/>
      <c r="X1744" s="6"/>
      <c r="Y1744" s="6"/>
      <c r="Z1744" s="6"/>
      <c r="AA1744" s="6"/>
    </row>
    <row r="1745" spans="1:27" ht="12.75">
      <c r="A1745" s="12" t="s">
        <v>8644</v>
      </c>
      <c r="B1745" s="6" t="s">
        <v>14</v>
      </c>
      <c r="C1745" s="7" t="str">
        <f t="shared" si="24"/>
        <v xml:space="preserve">Vivian Taylor </v>
      </c>
      <c r="D1745" s="24" t="s">
        <v>8645</v>
      </c>
      <c r="E1745" s="25" t="s">
        <v>8646</v>
      </c>
      <c r="F1745" s="9" t="str">
        <f ca="1">IFERROR(__xludf.DUMMYFUNCTION("""https://streamtape.com/v/""&amp;
REGEXEXTRACT(O1745,""/thumb/([^/]+)/"")&amp;
""/""&amp;K1745"),"https://streamtape.com/v/DQl2vlko2jTkgvY/83159571")</f>
        <v>https://streamtape.com/v/DQl2vlko2jTkgvY/83159571</v>
      </c>
      <c r="G1745" s="10" t="e">
        <f t="shared" ca="1" si="25"/>
        <v>#NAME?</v>
      </c>
      <c r="H1745" s="11" t="str">
        <f ca="1">IFERROR(__xludf.DUMMYFUNCTION("IFERROR(SUBSTITUTE(SUBSTITUTE(REGEXEXTRACT(A1745, ""[^-]+- [^-]+- [^-]+ - (.+?)\.jpg""), "".jpg"", """"), ""-"", "", ""), """")"),"")</f>
        <v/>
      </c>
      <c r="I1745" s="6"/>
      <c r="J1745" s="7" t="str">
        <f t="shared" ca="1" si="26"/>
        <v>(2026)</v>
      </c>
      <c r="K1745" s="7" t="str">
        <f t="shared" si="27"/>
        <v>83159571</v>
      </c>
      <c r="L1745" s="12" t="s">
        <v>47</v>
      </c>
      <c r="M1745" s="13" t="str">
        <f ca="1">IFERROR(__xludf.DUMMYFUNCTION("TRIM(
  REGEXREPLACE(
    TEXTJOIN("" "",
      TRUE,
      B1745,
      C1745,
      embaralharLinks(E1745,F1745,G1745),
      H1745,
      """",
      J1745,
      N1745,
      ""#RIPNSFW""
    ),
  "",\s*"", "" "")
)"),"{New} Vivian Taylor https://doodstream.com/d/2a6iwow6htaa/83159571 https://lulustream.com/d/2prwpdfo6h57 https://streamtape.com/v/DQl2vlko2jTkgvY/83159571 (2026) #MILF #BigTits #Hardcore #Threesome #RIPNSFW")</f>
        <v>{New} Vivian Taylor https://doodstream.com/d/2a6iwow6htaa/83159571 https://lulustream.com/d/2prwpdfo6h57 https://streamtape.com/v/DQl2vlko2jTkgvY/83159571 (2026) #MILF #BigTits #Hardcore #Threesome #RIPNSFW</v>
      </c>
      <c r="N1745" s="2" t="s">
        <v>48</v>
      </c>
      <c r="O1745" s="30" t="s">
        <v>8647</v>
      </c>
      <c r="P1745" s="26"/>
      <c r="R1745" s="23"/>
      <c r="T1745" s="6"/>
      <c r="U1745" s="7"/>
    </row>
    <row r="1746" spans="1:27" ht="12.75">
      <c r="A1746" s="6" t="s">
        <v>8648</v>
      </c>
      <c r="B1746" s="6" t="s">
        <v>14</v>
      </c>
      <c r="C1746" s="7" t="str">
        <f t="shared" si="24"/>
        <v xml:space="preserve">Vivian Taylor </v>
      </c>
      <c r="D1746" s="6" t="s">
        <v>8649</v>
      </c>
      <c r="E1746" s="8" t="s">
        <v>8650</v>
      </c>
      <c r="F1746" s="9" t="str">
        <f ca="1">IFERROR(__xludf.DUMMYFUNCTION("""https://streamtape.com/v/""&amp;
REGEXEXTRACT(O1746,""/thumb/([^/]+)/"")&amp;
""/""&amp;K1746"),"https://streamtape.com/v/mgdLjgk6l2Cbaw4/94947900")</f>
        <v>https://streamtape.com/v/mgdLjgk6l2Cbaw4/94947900</v>
      </c>
      <c r="G1746" s="10" t="e">
        <f t="shared" ca="1" si="25"/>
        <v>#NAME?</v>
      </c>
      <c r="H1746" s="11" t="str">
        <f ca="1">IFERROR(__xludf.DUMMYFUNCTION("IFERROR(SUBSTITUTE(SUBSTITUTE(REGEXEXTRACT(A1746, ""[^-]+- [^-]+- [^-]+ - (.+?)\.jpg""), "".jpg"", """"), ""-"", "", ""), """")"),"")</f>
        <v/>
      </c>
      <c r="I1746" s="6"/>
      <c r="J1746" s="7" t="str">
        <f t="shared" ca="1" si="26"/>
        <v>(2026)</v>
      </c>
      <c r="K1746" s="7" t="str">
        <f t="shared" si="27"/>
        <v>94947900</v>
      </c>
      <c r="L1746" s="12" t="s">
        <v>4332</v>
      </c>
      <c r="M1746" s="13" t="str">
        <f ca="1">IFERROR(__xludf.DUMMYFUNCTION("TRIM(
  REGEXREPLACE(
    TEXTJOIN("" "",
      TRUE,
      B1746,
      C1746,
      embaralharLinks(E1746,F1746,G1746),
      H1746,
      """",
      J1746,
      N1746,
      ""#RIPNSFW""
    ),
  "",\s*"", "" "")
)"),"{New} Vivian Taylor https://streamtape.com/v/mgdLjgk6l2Cbaw4/94947900 https://doodstream.com/d/ueihhaghw38u/94947900 https://lulustream.com/d/vbo8hqnpz6ex (2026) #MILF #BigTits #Creampie #Hardcore #RIPNSFW")</f>
        <v>{New} Vivian Taylor https://streamtape.com/v/mgdLjgk6l2Cbaw4/94947900 https://doodstream.com/d/ueihhaghw38u/94947900 https://lulustream.com/d/vbo8hqnpz6ex (2026) #MILF #BigTits #Creampie #Hardcore #RIPNSFW</v>
      </c>
      <c r="N1746" s="14" t="s">
        <v>474</v>
      </c>
      <c r="O1746" s="15" t="s">
        <v>8651</v>
      </c>
      <c r="P1746" s="14"/>
      <c r="Q1746" s="6"/>
      <c r="R1746" s="11"/>
      <c r="S1746" s="6"/>
      <c r="T1746" s="6"/>
      <c r="U1746" s="6"/>
      <c r="V1746" s="6"/>
      <c r="W1746" s="6"/>
      <c r="X1746" s="6"/>
      <c r="Y1746" s="6"/>
      <c r="Z1746" s="6"/>
      <c r="AA1746" s="6"/>
    </row>
    <row r="1747" spans="1:27" ht="12.75">
      <c r="A1747" s="6" t="s">
        <v>8652</v>
      </c>
      <c r="B1747" s="6" t="s">
        <v>14</v>
      </c>
      <c r="C1747" s="7" t="str">
        <f t="shared" si="24"/>
        <v xml:space="preserve">Vivian Taylor </v>
      </c>
      <c r="D1747" s="6" t="s">
        <v>8653</v>
      </c>
      <c r="E1747" s="8" t="s">
        <v>8654</v>
      </c>
      <c r="F1747" s="9" t="str">
        <f ca="1">IFERROR(__xludf.DUMMYFUNCTION("""https://streamtape.com/v/""&amp;
REGEXEXTRACT(O1747,""/thumb/([^/]+)/"")&amp;
""/""&amp;K1747"),"https://streamtape.com/v/lDKVlOOLzaFBO4/94975125")</f>
        <v>https://streamtape.com/v/lDKVlOOLzaFBO4/94975125</v>
      </c>
      <c r="G1747" s="10" t="e">
        <f t="shared" ca="1" si="25"/>
        <v>#NAME?</v>
      </c>
      <c r="H1747" s="11" t="str">
        <f ca="1">IFERROR(__xludf.DUMMYFUNCTION("IFERROR(SUBSTITUTE(SUBSTITUTE(REGEXEXTRACT(A1747, ""[^-]+- [^-]+- [^-]+ - (.+?)\.jpg""), "".jpg"", """"), ""-"", "", ""), """")"),"")</f>
        <v/>
      </c>
      <c r="I1747" s="6"/>
      <c r="J1747" s="7" t="str">
        <f t="shared" ca="1" si="26"/>
        <v>(2026)</v>
      </c>
      <c r="K1747" s="7" t="str">
        <f t="shared" si="27"/>
        <v>94975125</v>
      </c>
      <c r="L1747" s="12" t="s">
        <v>7021</v>
      </c>
      <c r="M1747" s="13" t="str">
        <f ca="1">IFERROR(__xludf.DUMMYFUNCTION("TRIM(
  REGEXREPLACE(
    TEXTJOIN("" "",
      TRUE,
      B1747,
      C1747,
      embaralharLinks(E1747,F1747,G1747),
      H1747,
      """",
      J1747,
      N1747,
      ""#RIPNSFW""
    ),
  "",\s*"", "" "")
)"),"{New} Vivian Taylor https://doodstream.com/d/gec7nyfmnpl2/94975125 https://streamtape.com/v/lDKVlOOLzaFBO4/94975125 https://lulustream.com/d/ux1fk1hm6ocu (2026) #Hardcore #Black #Interracial #Bigass #Porn #Teen #RIPNSFW")</f>
        <v>{New} Vivian Taylor https://doodstream.com/d/gec7nyfmnpl2/94975125 https://streamtape.com/v/lDKVlOOLzaFBO4/94975125 https://lulustream.com/d/ux1fk1hm6ocu (2026) #Hardcore #Black #Interracial #Bigass #Porn #Teen #RIPNSFW</v>
      </c>
      <c r="N1747" s="14" t="s">
        <v>7229</v>
      </c>
      <c r="O1747" s="15" t="s">
        <v>8655</v>
      </c>
      <c r="P1747" s="14"/>
      <c r="Q1747" s="6"/>
      <c r="R1747" s="11"/>
      <c r="S1747" s="6"/>
      <c r="T1747" s="6"/>
      <c r="U1747" s="6"/>
      <c r="V1747" s="6"/>
      <c r="W1747" s="6"/>
      <c r="X1747" s="6"/>
      <c r="Y1747" s="6"/>
      <c r="Z1747" s="6"/>
      <c r="AA1747" s="6"/>
    </row>
    <row r="1748" spans="1:27" ht="12.75">
      <c r="A1748" s="6" t="s">
        <v>8656</v>
      </c>
      <c r="B1748" s="6" t="s">
        <v>14</v>
      </c>
      <c r="C1748" s="7" t="str">
        <f t="shared" si="24"/>
        <v xml:space="preserve">Vivian Taylor </v>
      </c>
      <c r="D1748" s="6" t="s">
        <v>8657</v>
      </c>
      <c r="E1748" s="8" t="s">
        <v>8658</v>
      </c>
      <c r="F1748" s="9" t="str">
        <f ca="1">IFERROR(__xludf.DUMMYFUNCTION("""https://streamtape.com/v/""&amp;
REGEXEXTRACT(O1748,""/thumb/([^/]+)/"")&amp;
""/""&amp;K1748"),"https://streamtape.com/v/ZbDxXrj6vxFRbw/96078743")</f>
        <v>https://streamtape.com/v/ZbDxXrj6vxFRbw/96078743</v>
      </c>
      <c r="G1748" s="10" t="e">
        <f t="shared" ca="1" si="25"/>
        <v>#NAME?</v>
      </c>
      <c r="H1748" s="11" t="str">
        <f ca="1">IFERROR(__xludf.DUMMYFUNCTION("IFERROR(SUBSTITUTE(SUBSTITUTE(REGEXEXTRACT(A1748, ""[^-]+- [^-]+- [^-]+ - (.+?)\.jpg""), "".jpg"", """"), ""-"", "", ""), """")"),"")</f>
        <v/>
      </c>
      <c r="I1748" s="6"/>
      <c r="J1748" s="7" t="str">
        <f t="shared" ca="1" si="26"/>
        <v>(2026)</v>
      </c>
      <c r="K1748" s="7" t="str">
        <f t="shared" si="27"/>
        <v>96078743</v>
      </c>
      <c r="L1748" s="12" t="s">
        <v>762</v>
      </c>
      <c r="M1748" s="13" t="str">
        <f ca="1">IFERROR(__xludf.DUMMYFUNCTION("TRIM(
  REGEXREPLACE(
    TEXTJOIN("" "",
      TRUE,
      B1748,
      C1748,
      embaralharLinks(E1748,F1748,G1748),
      H1748,
      """",
      J1748,
      N1748,
      ""#RIPNSFW""
    ),
  "",\s*"", "" "")
)"),"{New} Vivian Taylor https://doodstream.com/d/6uhhjkdixzui/96078743 https://streamtape.com/v/ZbDxXrj6vxFRbw/96078743 https://lulustream.com/d/6jr4sapyl4yp (2026) #BigTits #Hardcore #Bigass #Porn #Teen #RIPNSFW")</f>
        <v>{New} Vivian Taylor https://doodstream.com/d/6uhhjkdixzui/96078743 https://streamtape.com/v/ZbDxXrj6vxFRbw/96078743 https://lulustream.com/d/6jr4sapyl4yp (2026) #BigTits #Hardcore #Bigass #Porn #Teen #RIPNSFW</v>
      </c>
      <c r="N1748" s="14" t="s">
        <v>1236</v>
      </c>
      <c r="O1748" s="15" t="s">
        <v>8659</v>
      </c>
      <c r="P1748" s="14"/>
      <c r="Q1748" s="6"/>
      <c r="R1748" s="11"/>
      <c r="S1748" s="6"/>
      <c r="T1748" s="6"/>
      <c r="U1748" s="6"/>
      <c r="V1748" s="6"/>
      <c r="W1748" s="6"/>
      <c r="X1748" s="6"/>
      <c r="Y1748" s="6"/>
      <c r="Z1748" s="6"/>
      <c r="AA1748" s="6"/>
    </row>
    <row r="1749" spans="1:27" ht="12.75">
      <c r="A1749" s="6" t="s">
        <v>8660</v>
      </c>
      <c r="B1749" s="6" t="s">
        <v>14</v>
      </c>
      <c r="C1749" s="7" t="str">
        <f t="shared" si="24"/>
        <v xml:space="preserve">Vivian Taylor </v>
      </c>
      <c r="D1749" s="6" t="s">
        <v>8661</v>
      </c>
      <c r="E1749" s="8" t="s">
        <v>8662</v>
      </c>
      <c r="F1749" s="9" t="str">
        <f ca="1">IFERROR(__xludf.DUMMYFUNCTION("""https://streamtape.com/v/""&amp;
REGEXEXTRACT(O1749,""/thumb/([^/]+)/"")&amp;
""/""&amp;K1749"),"https://streamtape.com/v/0JlxZMGMZ4iL1X/99978734")</f>
        <v>https://streamtape.com/v/0JlxZMGMZ4iL1X/99978734</v>
      </c>
      <c r="G1749" s="10" t="e">
        <f t="shared" ca="1" si="25"/>
        <v>#NAME?</v>
      </c>
      <c r="H1749" s="11" t="str">
        <f ca="1">IFERROR(__xludf.DUMMYFUNCTION("IFERROR(SUBSTITUTE(SUBSTITUTE(REGEXEXTRACT(A1749, ""[^-]+- [^-]+- [^-]+ - (.+?)\.jpg""), "".jpg"", """"), ""-"", "", ""), """")"),"")</f>
        <v/>
      </c>
      <c r="I1749" s="6"/>
      <c r="J1749" s="7" t="str">
        <f t="shared" ca="1" si="26"/>
        <v>(2026)</v>
      </c>
      <c r="K1749" s="7" t="str">
        <f t="shared" si="27"/>
        <v>99978734</v>
      </c>
      <c r="L1749" s="12" t="s">
        <v>8663</v>
      </c>
      <c r="M1749" s="13" t="str">
        <f ca="1">IFERROR(__xludf.DUMMYFUNCTION("TRIM(
  REGEXREPLACE(
    TEXTJOIN("" "",
      TRUE,
      B1749,
      C1749,
      embaralharLinks(E1749,F1749,G1749),
      H1749,
      """",
      J1749,
      N1749,
      ""#RIPNSFW""
    ),
  "",\s*"", "" "")
)"),"{New} Vivian Taylor https://doodstream.com/d/z636wk73z8ug/99978734 https://lulustream.com/d/3jy3zsscurn3 https://streamtape.com/v/0JlxZMGMZ4iL1X/99978734 (2026) #MILF #BigTits #Creampie #Hardcore #Bigass #RIPNSFW")</f>
        <v>{New} Vivian Taylor https://doodstream.com/d/z636wk73z8ug/99978734 https://lulustream.com/d/3jy3zsscurn3 https://streamtape.com/v/0JlxZMGMZ4iL1X/99978734 (2026) #MILF #BigTits #Creampie #Hardcore #Bigass #RIPNSFW</v>
      </c>
      <c r="N1749" s="14" t="s">
        <v>1436</v>
      </c>
      <c r="O1749" s="15" t="s">
        <v>8664</v>
      </c>
      <c r="P1749" s="14"/>
      <c r="Q1749" s="6"/>
      <c r="R1749" s="11"/>
      <c r="S1749" s="6"/>
      <c r="T1749" s="6"/>
      <c r="U1749" s="6"/>
      <c r="V1749" s="6"/>
      <c r="W1749" s="6"/>
      <c r="X1749" s="6"/>
      <c r="Y1749" s="6"/>
      <c r="Z1749" s="6"/>
      <c r="AA1749" s="6"/>
    </row>
    <row r="1750" spans="1:27" ht="12.75">
      <c r="A1750" s="12" t="s">
        <v>8665</v>
      </c>
      <c r="B1750" s="6" t="s">
        <v>14</v>
      </c>
      <c r="C1750" s="7" t="str">
        <f t="shared" si="24"/>
        <v xml:space="preserve">Wild Halli </v>
      </c>
      <c r="D1750" s="24" t="s">
        <v>8666</v>
      </c>
      <c r="E1750" s="25" t="s">
        <v>8667</v>
      </c>
      <c r="F1750" s="9" t="str">
        <f ca="1">IFERROR(__xludf.DUMMYFUNCTION("""https://streamtape.com/v/""&amp;
REGEXEXTRACT(O1750,""/thumb/([^/]+)/"")&amp;
""/""&amp;K1750"),"https://streamtape.com/v/LDA44W8VpZTR2Yv/81526399")</f>
        <v>https://streamtape.com/v/LDA44W8VpZTR2Yv/81526399</v>
      </c>
      <c r="G1750" s="10" t="e">
        <f t="shared" ca="1" si="25"/>
        <v>#NAME?</v>
      </c>
      <c r="H1750" s="11" t="str">
        <f ca="1">IFERROR(__xludf.DUMMYFUNCTION("IFERROR(SUBSTITUTE(SUBSTITUTE(REGEXEXTRACT(A1750, ""[^-]+- [^-]+- [^-]+ - (.+?)\.jpg""), "".jpg"", """"), ""-"", "", ""), """")"),"")</f>
        <v/>
      </c>
      <c r="I1750" s="6"/>
      <c r="J1750" s="7" t="str">
        <f t="shared" ca="1" si="26"/>
        <v>(2026)</v>
      </c>
      <c r="K1750" s="7" t="str">
        <f t="shared" si="27"/>
        <v>81526399</v>
      </c>
      <c r="L1750" s="12" t="s">
        <v>47</v>
      </c>
      <c r="M1750" s="13" t="str">
        <f ca="1">IFERROR(__xludf.DUMMYFUNCTION("TRIM(
  REGEXREPLACE(
    TEXTJOIN("" "",
      TRUE,
      B1750,
      C1750,
      embaralharLinks(E1750,F1750,G1750),
      H1750,
      """",
      J1750,
      N1750,
      ""#RIPNSFW""
    ),
  "",\s*"", "" "")
)"),"{New} Wild Halli https://doodstream.com/d/jn5y96nr9sll/81526399 https://lulustream.com/d/1rmn06ii4y9w https://streamtape.com/v/LDA44W8VpZTR2Yv/81526399 (2026) #MILF #BigTits #Hardcore #Threesome #RIPNSFW")</f>
        <v>{New} Wild Halli https://doodstream.com/d/jn5y96nr9sll/81526399 https://lulustream.com/d/1rmn06ii4y9w https://streamtape.com/v/LDA44W8VpZTR2Yv/81526399 (2026) #MILF #BigTits #Hardcore #Threesome #RIPNSFW</v>
      </c>
      <c r="N1750" s="2" t="s">
        <v>48</v>
      </c>
      <c r="O1750" s="30" t="s">
        <v>8668</v>
      </c>
      <c r="P1750" s="26"/>
      <c r="R1750" s="23"/>
    </row>
    <row r="1751" spans="1:27" ht="12.75">
      <c r="A1751" s="6" t="s">
        <v>8669</v>
      </c>
      <c r="B1751" s="6" t="s">
        <v>14</v>
      </c>
      <c r="C1751" s="7" t="str">
        <f t="shared" si="24"/>
        <v xml:space="preserve">Witchersdoll </v>
      </c>
      <c r="D1751" s="6" t="s">
        <v>8670</v>
      </c>
      <c r="E1751" s="8" t="s">
        <v>8671</v>
      </c>
      <c r="F1751" s="9" t="str">
        <f ca="1">IFERROR(__xludf.DUMMYFUNCTION("""https://streamtape.com/v/""&amp;
REGEXEXTRACT(O1751,""/thumb/([^/]+)/"")&amp;
""/""&amp;K1751"),"https://streamtape.com/v/7P0b7jPqJgFAgxx/68351388")</f>
        <v>https://streamtape.com/v/7P0b7jPqJgFAgxx/68351388</v>
      </c>
      <c r="G1751" s="10" t="e">
        <f t="shared" ca="1" si="25"/>
        <v>#NAME?</v>
      </c>
      <c r="H1751" s="11" t="str">
        <f ca="1">IFERROR(__xludf.DUMMYFUNCTION("IFERROR(SUBSTITUTE(SUBSTITUTE(REGEXEXTRACT(A1751, ""[^-]+- [^-]+- [^-]+ - (.+?)\.jpg""), "".jpg"", """"), ""-"", "", ""), """")"),"")</f>
        <v/>
      </c>
      <c r="I1751" s="6"/>
      <c r="J1751" s="7" t="str">
        <f t="shared" ca="1" si="26"/>
        <v>(2026)</v>
      </c>
      <c r="K1751" s="7" t="str">
        <f t="shared" si="27"/>
        <v>68351388</v>
      </c>
      <c r="L1751" s="12" t="s">
        <v>8672</v>
      </c>
      <c r="M1751" s="13" t="str">
        <f ca="1">IFERROR(__xludf.DUMMYFUNCTION("TRIM(
  REGEXREPLACE(
    TEXTJOIN("" "",
      TRUE,
      B1751,
      C1751,
      embaralharLinks(E1751,F1751,G1751),
      H1751,
      """",
      J1751,
      N1751,
      ""#RIPNSFW""
    ),
  "",\s*"", "" "")
)"),"{New} Witchersdoll https://streamtape.com/v/7P0b7jPqJgFAgxx/68351388 https://doodstream.com/d/ht2mxxr35m0z/68351388 https://lulustream.com/d/gkgxv7qvhv5o (2026) #BigTits #Hardcore #Bigass #Teen #Roleplay #Blowjob #RIPNSFW")</f>
        <v>{New} Witchersdoll https://streamtape.com/v/7P0b7jPqJgFAgxx/68351388 https://doodstream.com/d/ht2mxxr35m0z/68351388 https://lulustream.com/d/gkgxv7qvhv5o (2026) #BigTits #Hardcore #Bigass #Teen #Roleplay #Blowjob #RIPNSFW</v>
      </c>
      <c r="N1751" s="14" t="s">
        <v>7895</v>
      </c>
      <c r="O1751" s="15" t="s">
        <v>8673</v>
      </c>
      <c r="P1751" s="14"/>
      <c r="Q1751" s="6"/>
      <c r="R1751" s="11"/>
      <c r="S1751" s="6"/>
      <c r="T1751" s="6"/>
      <c r="U1751" s="6"/>
      <c r="V1751" s="6"/>
      <c r="W1751" s="6"/>
      <c r="X1751" s="6"/>
      <c r="Y1751" s="6"/>
      <c r="Z1751" s="6"/>
      <c r="AA1751" s="6"/>
    </row>
    <row r="1752" spans="1:27" ht="12.75">
      <c r="A1752" s="12" t="s">
        <v>8674</v>
      </c>
      <c r="B1752" s="6" t="s">
        <v>14</v>
      </c>
      <c r="C1752" s="7" t="str">
        <f t="shared" si="24"/>
        <v xml:space="preserve">Yuiwoo </v>
      </c>
      <c r="D1752" s="24" t="s">
        <v>8675</v>
      </c>
      <c r="E1752" s="25" t="s">
        <v>8676</v>
      </c>
      <c r="F1752" s="9" t="str">
        <f ca="1">IFERROR(__xludf.DUMMYFUNCTION("""https://streamtape.com/v/""&amp;
REGEXEXTRACT(O1752,""/thumb/([^/]+)/"")&amp;
""/""&amp;K1752"),"https://streamtape.com/v/vLMRworRj0I40ex/35203460")</f>
        <v>https://streamtape.com/v/vLMRworRj0I40ex/35203460</v>
      </c>
      <c r="G1752" s="10" t="e">
        <f t="shared" ca="1" si="25"/>
        <v>#NAME?</v>
      </c>
      <c r="H1752" s="11" t="str">
        <f ca="1">IFERROR(__xludf.DUMMYFUNCTION("IFERROR(SUBSTITUTE(SUBSTITUTE(REGEXEXTRACT(A1752, ""[^-]+- [^-]+- [^-]+ - (.+?)\.jpg""), "".jpg"", """"), ""-"", "", ""), """")"),"")</f>
        <v/>
      </c>
      <c r="I1752" s="6"/>
      <c r="J1752" s="7" t="str">
        <f t="shared" ca="1" si="26"/>
        <v>(2026)</v>
      </c>
      <c r="K1752" s="7" t="str">
        <f t="shared" si="27"/>
        <v>35203460</v>
      </c>
      <c r="L1752" s="12" t="s">
        <v>8677</v>
      </c>
      <c r="M1752" s="13" t="str">
        <f ca="1">IFERROR(__xludf.DUMMYFUNCTION("TRIM(
  REGEXREPLACE(
    TEXTJOIN("" "",
      TRUE,
      B1752,
      C1752,
      embaralharLinks(E1752,F1752,G1752),
      H1752,
      """",
      J1752,
      N1752,
      ""#RIPNSFW""
    ),
  "",\s*"", "" "")
)"),"{New} Yuiwoo https://lulustream.com/d/4865g3g49ncq https://doodstream.com/d/ht09ip6ybqwp/35203460 https://streamtape.com/v/vLMRworRj0I40ex/35203460 (2026) #Teen #Blowjob #Amateur #Blonde #RIPNSFW")</f>
        <v>{New} Yuiwoo https://lulustream.com/d/4865g3g49ncq https://doodstream.com/d/ht09ip6ybqwp/35203460 https://streamtape.com/v/vLMRworRj0I40ex/35203460 (2026) #Teen #Blowjob #Amateur #Blonde #RIPNSFW</v>
      </c>
      <c r="N1752" s="2" t="s">
        <v>8678</v>
      </c>
      <c r="O1752" s="30" t="s">
        <v>8679</v>
      </c>
      <c r="P1752" s="26"/>
      <c r="R1752" s="23"/>
      <c r="Z1752" s="12"/>
      <c r="AA1752" s="12"/>
    </row>
    <row r="1753" spans="1:27" ht="12.75">
      <c r="A1753" s="12" t="s">
        <v>8680</v>
      </c>
      <c r="B1753" s="6" t="s">
        <v>14</v>
      </c>
      <c r="C1753" s="7" t="str">
        <f t="shared" si="24"/>
        <v xml:space="preserve">Yuiwoo </v>
      </c>
      <c r="D1753" s="24" t="s">
        <v>8681</v>
      </c>
      <c r="E1753" s="25" t="s">
        <v>8682</v>
      </c>
      <c r="F1753" s="9" t="str">
        <f ca="1">IFERROR(__xludf.DUMMYFUNCTION("""https://streamtape.com/v/""&amp;
REGEXEXTRACT(O1753,""/thumb/([^/]+)/"")&amp;
""/""&amp;K1753"),"https://streamtape.com/v/ekqPXQ9P4Dfo4v/38709626")</f>
        <v>https://streamtape.com/v/ekqPXQ9P4Dfo4v/38709626</v>
      </c>
      <c r="G1753" s="10" t="e">
        <f t="shared" ca="1" si="25"/>
        <v>#NAME?</v>
      </c>
      <c r="H1753" s="11" t="str">
        <f ca="1">IFERROR(__xludf.DUMMYFUNCTION("IFERROR(SUBSTITUTE(SUBSTITUTE(REGEXEXTRACT(A1753, ""[^-]+- [^-]+- [^-]+ - (.+?)\.jpg""), "".jpg"", """"), ""-"", "", ""), """")"),"")</f>
        <v/>
      </c>
      <c r="I1753" s="6"/>
      <c r="J1753" s="7" t="str">
        <f t="shared" ca="1" si="26"/>
        <v>(2026)</v>
      </c>
      <c r="K1753" s="7" t="str">
        <f t="shared" si="27"/>
        <v>38709626</v>
      </c>
      <c r="L1753" s="12" t="s">
        <v>8677</v>
      </c>
      <c r="M1753" s="13" t="str">
        <f ca="1">IFERROR(__xludf.DUMMYFUNCTION("TRIM(
  REGEXREPLACE(
    TEXTJOIN("" "",
      TRUE,
      B1753,
      C1753,
      embaralharLinks(E1753,F1753,G1753),
      H1753,
      """",
      J1753,
      N1753,
      ""#RIPNSFW""
    ),
  "",\s*"", "" "")
)"),"{New} Yuiwoo https://lulustream.com/d/lu88yaebpfhe https://streamtape.com/v/ekqPXQ9P4Dfo4v/38709626 https://doodstream.com/d/vp95a8ljqbgk/38709626 (2026) #Teen #Blowjob #Amateur #Blonde #RIPNSFW")</f>
        <v>{New} Yuiwoo https://lulustream.com/d/lu88yaebpfhe https://streamtape.com/v/ekqPXQ9P4Dfo4v/38709626 https://doodstream.com/d/vp95a8ljqbgk/38709626 (2026) #Teen #Blowjob #Amateur #Blonde #RIPNSFW</v>
      </c>
      <c r="N1753" s="2" t="s">
        <v>8678</v>
      </c>
      <c r="O1753" s="21" t="s">
        <v>8683</v>
      </c>
      <c r="P1753" s="26"/>
      <c r="R1753" s="23"/>
    </row>
    <row r="1754" spans="1:27" ht="12.75">
      <c r="A1754" s="12" t="s">
        <v>8684</v>
      </c>
      <c r="B1754" s="6" t="s">
        <v>14</v>
      </c>
      <c r="C1754" s="7" t="str">
        <f t="shared" si="24"/>
        <v xml:space="preserve">ZiaFox </v>
      </c>
      <c r="D1754" s="24" t="s">
        <v>8685</v>
      </c>
      <c r="E1754" s="25" t="s">
        <v>8686</v>
      </c>
      <c r="F1754" s="9" t="str">
        <f ca="1">IFERROR(__xludf.DUMMYFUNCTION("""https://streamtape.com/v/""&amp;
REGEXEXTRACT(O1754,""/thumb/([^/]+)/"")&amp;
""/""&amp;K1754"),"https://streamtape.com/v/wDJ4VLapARtJJjq/37596286")</f>
        <v>https://streamtape.com/v/wDJ4VLapARtJJjq/37596286</v>
      </c>
      <c r="G1754" s="10" t="e">
        <f t="shared" ca="1" si="25"/>
        <v>#NAME?</v>
      </c>
      <c r="H1754" s="11" t="str">
        <f ca="1">IFERROR(__xludf.DUMMYFUNCTION("IFERROR(SUBSTITUTE(SUBSTITUTE(REGEXEXTRACT(A1754, ""[^-]+- [^-]+- [^-]+ - (.+?)\.jpg""), "".jpg"", """"), ""-"", "", ""), """")"),"")</f>
        <v/>
      </c>
      <c r="I1754" s="6"/>
      <c r="J1754" s="7" t="str">
        <f t="shared" ca="1" si="26"/>
        <v>(2026)</v>
      </c>
      <c r="K1754" s="7" t="str">
        <f t="shared" si="27"/>
        <v>37596286</v>
      </c>
      <c r="L1754" s="12" t="s">
        <v>8687</v>
      </c>
      <c r="M1754" s="13" t="str">
        <f ca="1">IFERROR(__xludf.DUMMYFUNCTION("TRIM(
  REGEXREPLACE(
    TEXTJOIN("" "",
      TRUE,
      B1754,
      C1754,
      embaralharLinks(E1754,F1754,G1754),
      H1754,
      """",
      J1754,
      N1754,
      ""#RIPNSFW""
    ),
  "",\s*"", "" "")
)"),"{New} ZiaFox https://streamtape.com/v/wDJ4VLapARtJJjq/37596286 https://doodstream.com/d/6m7k0d7i3xdp/37596286 https://lulustream.com/d/u9s8ndol074x (2026) #Teen #Artporn #Blowjob #Amateur #RIPNSFW")</f>
        <v>{New} ZiaFox https://streamtape.com/v/wDJ4VLapARtJJjq/37596286 https://doodstream.com/d/6m7k0d7i3xdp/37596286 https://lulustream.com/d/u9s8ndol074x (2026) #Teen #Artporn #Blowjob #Amateur #RIPNSFW</v>
      </c>
      <c r="N1754" s="2" t="s">
        <v>8688</v>
      </c>
      <c r="O1754" s="30" t="s">
        <v>8689</v>
      </c>
      <c r="P1754" s="26"/>
      <c r="R1754" s="23"/>
    </row>
    <row r="1755" spans="1:27" ht="12.75">
      <c r="A1755" s="12" t="s">
        <v>8690</v>
      </c>
      <c r="B1755" s="6" t="s">
        <v>14</v>
      </c>
      <c r="C1755" s="7" t="str">
        <f t="shared" si="24"/>
        <v xml:space="preserve">Lauren Phillips </v>
      </c>
      <c r="D1755" s="7" t="s">
        <v>8691</v>
      </c>
      <c r="E1755" s="25" t="s">
        <v>8692</v>
      </c>
      <c r="F1755" s="9" t="str">
        <f ca="1">IFERROR(__xludf.DUMMYFUNCTION("""https://streamtape.com/v/""&amp;
REGEXEXTRACT(O1755,""/thumb/([^/]+)/"")&amp;
""/""&amp;K1755"),"https://streamtape.com/v/Oe0mm8lJ9DFZvdz/88227658")</f>
        <v>https://streamtape.com/v/Oe0mm8lJ9DFZvdz/88227658</v>
      </c>
      <c r="G1755" s="10" t="e">
        <f t="shared" ca="1" si="25"/>
        <v>#NAME?</v>
      </c>
      <c r="H1755" s="11" t="str">
        <f ca="1">IFERROR(__xludf.DUMMYFUNCTION("IFERROR(SUBSTITUTE(SUBSTITUTE(REGEXEXTRACT(A1755, ""[^-]+- [^-]+- [^-]+ - (.+?)\.jpg""), "".jpg"", """"), ""-"", "", ""), """")"),"")</f>
        <v/>
      </c>
      <c r="I1755" s="6"/>
      <c r="J1755" s="7" t="str">
        <f t="shared" ca="1" si="26"/>
        <v>(2026)</v>
      </c>
      <c r="K1755" s="7" t="str">
        <f t="shared" si="27"/>
        <v>88227658</v>
      </c>
      <c r="L1755" s="12" t="s">
        <v>3364</v>
      </c>
      <c r="M1755" s="13" t="str">
        <f ca="1">IFERROR(__xludf.DUMMYFUNCTION("TRIM(
  REGEXREPLACE(
    TEXTJOIN("" "",
      TRUE,
      B1755,
      C1755,
      embaralharLinks(E1755,F1755,G1755),
      H1755,
      """",
      J1755,
      N1755,
      ""#RIPNSFW""
    ),
  "",\s*"", "" "")
)"),"{New} Lauren Phillips https://streamtape.com/v/Oe0mm8lJ9DFZvdz/88227658 https://doodstream.com/d/tnwrko0xvsce/88227658 https://lulustream.com/d/1a6jj2rp1qai (2026) #MILF #BigTits #Hardcore #Bigass #Porn #Blowjob #RIPNSFW")</f>
        <v>{New} Lauren Phillips https://streamtape.com/v/Oe0mm8lJ9DFZvdz/88227658 https://doodstream.com/d/tnwrko0xvsce/88227658 https://lulustream.com/d/1a6jj2rp1qai (2026) #MILF #BigTits #Hardcore #Bigass #Porn #Blowjob #RIPNSFW</v>
      </c>
      <c r="N1755" s="2" t="s">
        <v>4780</v>
      </c>
      <c r="O1755" s="30" t="s">
        <v>8693</v>
      </c>
      <c r="P1755" s="26"/>
      <c r="R1755" s="23"/>
    </row>
    <row r="1756" spans="1:27" ht="12.75">
      <c r="A1756" s="12" t="s">
        <v>8694</v>
      </c>
      <c r="B1756" s="6" t="s">
        <v>14</v>
      </c>
      <c r="C1756" s="7" t="str">
        <f t="shared" si="24"/>
        <v xml:space="preserve">Melody Marks </v>
      </c>
      <c r="D1756" s="7" t="s">
        <v>8695</v>
      </c>
      <c r="E1756" s="25" t="s">
        <v>8696</v>
      </c>
      <c r="F1756" s="9" t="str">
        <f ca="1">IFERROR(__xludf.DUMMYFUNCTION("""https://streamtape.com/v/""&amp;
REGEXEXTRACT(O1756,""/thumb/([^/]+)/"")&amp;
""/""&amp;K1756"),"https://streamtape.com/v/d3MJlqo22QhgeQ/52689070")</f>
        <v>https://streamtape.com/v/d3MJlqo22QhgeQ/52689070</v>
      </c>
      <c r="G1756" s="10" t="e">
        <f t="shared" ca="1" si="25"/>
        <v>#NAME?</v>
      </c>
      <c r="H1756" s="11" t="str">
        <f ca="1">IFERROR(__xludf.DUMMYFUNCTION("IFERROR(SUBSTITUTE(SUBSTITUTE(REGEXEXTRACT(A1756, ""[^-]+- [^-]+- [^-]+ - (.+?)\.jpg""), "".jpg"", """"), ""-"", "", ""), """")"),"Lexi Lore")</f>
        <v>Lexi Lore</v>
      </c>
      <c r="I1756" s="6"/>
      <c r="J1756" s="7" t="str">
        <f t="shared" ca="1" si="26"/>
        <v>(2026)</v>
      </c>
      <c r="K1756" s="7" t="str">
        <f t="shared" si="27"/>
        <v>52689070</v>
      </c>
      <c r="L1756" s="12" t="s">
        <v>8697</v>
      </c>
      <c r="M1756" s="13" t="str">
        <f ca="1">IFERROR(__xludf.DUMMYFUNCTION("TRIM(
  REGEXREPLACE(
    TEXTJOIN("" "",
      TRUE,
      B1756,
      C1756,
      embaralharLinks(E1756,F1756,G1756),
      H1756,
      """",
      J1756,
      N1756,
      ""#RIPNSFW""
    ),
  "",\s*"", "" "")
)"),"{New} Melody Marks https://doodstream.com/d/7529yqz351k1/52689070 https://streamtape.com/v/d3MJlqo22QhgeQ/52689070 https://lulustream.com/d/4mek0h25mp8x Lexi Lore (2026) #BigTits #Hardcore #Black #Interracial #RIPNSFW")</f>
        <v>{New} Melody Marks https://doodstream.com/d/7529yqz351k1/52689070 https://streamtape.com/v/d3MJlqo22QhgeQ/52689070 https://lulustream.com/d/4mek0h25mp8x Lexi Lore (2026) #BigTits #Hardcore #Black #Interracial #RIPNSFW</v>
      </c>
      <c r="N1756" s="2" t="s">
        <v>646</v>
      </c>
      <c r="O1756" s="30" t="s">
        <v>8698</v>
      </c>
      <c r="P1756" s="26"/>
      <c r="R1756" s="23"/>
    </row>
    <row r="1757" spans="1:27" ht="12.75">
      <c r="A1757" s="12" t="s">
        <v>8699</v>
      </c>
      <c r="B1757" s="6" t="s">
        <v>14</v>
      </c>
      <c r="C1757" s="7" t="str">
        <f t="shared" si="24"/>
        <v xml:space="preserve">Dani Daniels </v>
      </c>
      <c r="D1757" s="7" t="s">
        <v>8700</v>
      </c>
      <c r="E1757" s="25" t="s">
        <v>8701</v>
      </c>
      <c r="F1757" s="9" t="str">
        <f ca="1">IFERROR(__xludf.DUMMYFUNCTION("""https://streamtape.com/v/""&amp;
REGEXEXTRACT(O1757,""/thumb/([^/]+)/"")&amp;
""/""&amp;K1757"),"https://streamtape.com/v/4DJlZO9glxHKqMk/15999002")</f>
        <v>https://streamtape.com/v/4DJlZO9glxHKqMk/15999002</v>
      </c>
      <c r="G1757" s="10" t="e">
        <f t="shared" ca="1" si="25"/>
        <v>#NAME?</v>
      </c>
      <c r="H1757" s="11" t="str">
        <f ca="1">IFERROR(__xludf.DUMMYFUNCTION("IFERROR(SUBSTITUTE(SUBSTITUTE(REGEXEXTRACT(A1757, ""[^-]+- [^-]+- [^-]+ - (.+?)\.jpg""), "".jpg"", """"), ""-"", "", ""), """")"),"")</f>
        <v/>
      </c>
      <c r="I1757" s="6"/>
      <c r="J1757" s="7" t="str">
        <f t="shared" ca="1" si="26"/>
        <v>(2026)</v>
      </c>
      <c r="K1757" s="7" t="str">
        <f t="shared" si="27"/>
        <v>15999002</v>
      </c>
      <c r="L1757" s="12" t="s">
        <v>2077</v>
      </c>
      <c r="M1757" s="13" t="str">
        <f ca="1">IFERROR(__xludf.DUMMYFUNCTION("TRIM(
  REGEXREPLACE(
    TEXTJOIN("" "",
      TRUE,
      B1757,
      C1757,
      embaralharLinks(E1757,F1757,G1757),
      H1757,
      """",
      J1757,
      N1757,
      ""#RIPNSFW""
    ),
  "",\s*"", "" "")
)"),"{New} Dani Daniels https://doodstream.com/d/9tzfdytpppnk/15999002 https://streamtape.com/v/4DJlZO9glxHKqMk/15999002 https://lulustream.com/d/zobh67ng0akb (2026) #MILF #BigTits #Bigass #Roleplay #RIPNSFW")</f>
        <v>{New} Dani Daniels https://doodstream.com/d/9tzfdytpppnk/15999002 https://streamtape.com/v/4DJlZO9glxHKqMk/15999002 https://lulustream.com/d/zobh67ng0akb (2026) #MILF #BigTits #Bigass #Roleplay #RIPNSFW</v>
      </c>
      <c r="N1757" s="2" t="s">
        <v>2072</v>
      </c>
      <c r="O1757" s="30" t="s">
        <v>8702</v>
      </c>
      <c r="P1757" s="26"/>
      <c r="R1757" s="23"/>
    </row>
    <row r="1758" spans="1:27" ht="12.75">
      <c r="A1758" s="12" t="s">
        <v>8703</v>
      </c>
      <c r="B1758" s="6" t="s">
        <v>14</v>
      </c>
      <c r="C1758" s="7" t="str">
        <f t="shared" si="24"/>
        <v xml:space="preserve">Savannah Bond </v>
      </c>
      <c r="D1758" s="7" t="s">
        <v>8704</v>
      </c>
      <c r="E1758" s="25" t="s">
        <v>8705</v>
      </c>
      <c r="F1758" s="9" t="str">
        <f ca="1">IFERROR(__xludf.DUMMYFUNCTION("""https://streamtape.com/v/""&amp;
REGEXEXTRACT(O1758,""/thumb/([^/]+)/"")&amp;
""/""&amp;K1758"),"https://streamtape.com/v/evQWejwDpQcO9e/43230045")</f>
        <v>https://streamtape.com/v/evQWejwDpQcO9e/43230045</v>
      </c>
      <c r="G1758" s="10" t="e">
        <f t="shared" ca="1" si="25"/>
        <v>#NAME?</v>
      </c>
      <c r="H1758" s="11" t="str">
        <f ca="1">IFERROR(__xludf.DUMMYFUNCTION("IFERROR(SUBSTITUTE(SUBSTITUTE(REGEXEXTRACT(A1758, ""[^-]+- [^-]+- [^-]+ - (.+?)\.jpg""), "".jpg"", """"), ""-"", "", ""), """")"),"")</f>
        <v/>
      </c>
      <c r="I1758" s="6"/>
      <c r="J1758" s="7" t="str">
        <f t="shared" ca="1" si="26"/>
        <v>(2026)</v>
      </c>
      <c r="K1758" s="7" t="str">
        <f t="shared" si="27"/>
        <v>43230045</v>
      </c>
      <c r="L1758" s="12" t="s">
        <v>1409</v>
      </c>
      <c r="M1758" s="13" t="str">
        <f ca="1">IFERROR(__xludf.DUMMYFUNCTION("TRIM(
  REGEXREPLACE(
    TEXTJOIN("" "",
      TRUE,
      B1758,
      C1758,
      embaralharLinks(E1758,F1758,G1758),
      H1758,
      """",
      J1758,
      N1758,
      ""#RIPNSFW""
    ),
  "",\s*"", "" "")
)"),"{New} Savannah Bond https://streamtape.com/v/evQWejwDpQcO9e/43230045 https://lulustream.com/d/k661x2wa5dy0 https://doodstream.com/d/5k05n87r4nv5/43230045 (2026) #MILF #BigTits #Hardcore #Bigass #Blowjob #Amateur #RIPNSFW")</f>
        <v>{New} Savannah Bond https://streamtape.com/v/evQWejwDpQcO9e/43230045 https://lulustream.com/d/k661x2wa5dy0 https://doodstream.com/d/5k05n87r4nv5/43230045 (2026) #MILF #BigTits #Hardcore #Bigass #Blowjob #Amateur #RIPNSFW</v>
      </c>
      <c r="N1758" s="2" t="s">
        <v>999</v>
      </c>
      <c r="O1758" s="30" t="s">
        <v>8706</v>
      </c>
      <c r="P1758" s="26"/>
      <c r="R1758" s="23"/>
    </row>
    <row r="1759" spans="1:27" ht="12.75">
      <c r="A1759" s="12" t="s">
        <v>8707</v>
      </c>
      <c r="B1759" s="6" t="s">
        <v>14</v>
      </c>
      <c r="C1759" s="7" t="str">
        <f t="shared" si="24"/>
        <v xml:space="preserve">Savannah Bond </v>
      </c>
      <c r="D1759" s="7" t="s">
        <v>8708</v>
      </c>
      <c r="E1759" s="25" t="s">
        <v>8709</v>
      </c>
      <c r="F1759" s="9" t="str">
        <f ca="1">IFERROR(__xludf.DUMMYFUNCTION("""https://streamtape.com/v/""&amp;
REGEXEXTRACT(O1759,""/thumb/([^/]+)/"")&amp;
""/""&amp;K1759"),"https://streamtape.com/v/YZGjP4MMRXFvYop/57797769")</f>
        <v>https://streamtape.com/v/YZGjP4MMRXFvYop/57797769</v>
      </c>
      <c r="G1759" s="10" t="e">
        <f t="shared" ca="1" si="25"/>
        <v>#NAME?</v>
      </c>
      <c r="H1759" s="11" t="str">
        <f ca="1">IFERROR(__xludf.DUMMYFUNCTION("IFERROR(SUBSTITUTE(SUBSTITUTE(REGEXEXTRACT(A1759, ""[^-]+- [^-]+- [^-]+ - (.+?)\.jpg""), "".jpg"", """"), ""-"", "", ""), """")"),"")</f>
        <v/>
      </c>
      <c r="I1759" s="6"/>
      <c r="J1759" s="7" t="str">
        <f t="shared" ca="1" si="26"/>
        <v>(2026)</v>
      </c>
      <c r="K1759" s="7" t="str">
        <f t="shared" si="27"/>
        <v>57797769</v>
      </c>
      <c r="L1759" s="12" t="s">
        <v>5581</v>
      </c>
      <c r="M1759" s="13" t="str">
        <f ca="1">IFERROR(__xludf.DUMMYFUNCTION("TRIM(
  REGEXREPLACE(
    TEXTJOIN("" "",
      TRUE,
      B1759,
      C1759,
      embaralharLinks(E1759,F1759,G1759),
      H1759,
      """",
      J1759,
      N1759,
      ""#RIPNSFW""
    ),
  "",\s*"", "" "")
)"),"{New} Savannah Bond https://doodstream.com/d/03st6n6thdjh/57797769 https://streamtape.com/v/YZGjP4MMRXFvYop/57797769 https://lulustream.com/d/szfbofb9p2tx (2026) #MILF #BigTits #Bigass #Solo #RIPNSFW")</f>
        <v>{New} Savannah Bond https://doodstream.com/d/03st6n6thdjh/57797769 https://streamtape.com/v/YZGjP4MMRXFvYop/57797769 https://lulustream.com/d/szfbofb9p2tx (2026) #MILF #BigTits #Bigass #Solo #RIPNSFW</v>
      </c>
      <c r="N1759" s="2" t="s">
        <v>2101</v>
      </c>
      <c r="O1759" s="30" t="s">
        <v>8710</v>
      </c>
      <c r="P1759" s="26"/>
      <c r="R1759" s="23"/>
    </row>
    <row r="1760" spans="1:27" ht="12.75">
      <c r="A1760" s="12" t="s">
        <v>8711</v>
      </c>
      <c r="B1760" s="6" t="s">
        <v>14</v>
      </c>
      <c r="C1760" s="7" t="str">
        <f t="shared" si="24"/>
        <v xml:space="preserve">Audrey Bitoni </v>
      </c>
      <c r="D1760" s="7" t="s">
        <v>8712</v>
      </c>
      <c r="E1760" s="25" t="s">
        <v>8713</v>
      </c>
      <c r="F1760" s="9" t="str">
        <f ca="1">IFERROR(__xludf.DUMMYFUNCTION("""https://streamtape.com/v/""&amp;
REGEXEXTRACT(O1760,""/thumb/([^/]+)/"")&amp;
""/""&amp;K1760"),"https://streamtape.com/v/Or3QDpLG6ZsZv4y/43598517")</f>
        <v>https://streamtape.com/v/Or3QDpLG6ZsZv4y/43598517</v>
      </c>
      <c r="G1760" s="10" t="e">
        <f t="shared" ca="1" si="25"/>
        <v>#NAME?</v>
      </c>
      <c r="H1760" s="11" t="str">
        <f ca="1">IFERROR(__xludf.DUMMYFUNCTION("IFERROR(SUBSTITUTE(SUBSTITUTE(REGEXEXTRACT(A1760, ""[^-]+- [^-]+- [^-]+ - (.+?)\.jpg""), "".jpg"", """"), ""-"", "", ""), """")"),"")</f>
        <v/>
      </c>
      <c r="I1760" s="6"/>
      <c r="J1760" s="7" t="str">
        <f t="shared" ca="1" si="26"/>
        <v>(2026)</v>
      </c>
      <c r="K1760" s="7" t="str">
        <f t="shared" si="27"/>
        <v>43598517</v>
      </c>
      <c r="L1760" s="12" t="s">
        <v>8714</v>
      </c>
      <c r="M1760" s="13" t="str">
        <f ca="1">IFERROR(__xludf.DUMMYFUNCTION("TRIM(
  REGEXREPLACE(
    TEXTJOIN("" "",
      TRUE,
      B1760,
      C1760,
      embaralharLinks(E1760,F1760,G1760),
      H1760,
      """",
      J1760,
      N1760,
      ""#RIPNSFW""
    ),
  "",\s*"", "" "")
)"),"{New} Audrey Bitoni https://lulustream.com/d/i3bhatrz455b https://streamtape.com/v/Or3QDpLG6ZsZv4y/43598517 https://doodstream.com/d/rj21im27iw2v/43598517 (2026) #MILF #BigTits #Hardcore #Porn #Blowjob #Deepthroat #Facial #RIPNSFW")</f>
        <v>{New} Audrey Bitoni https://lulustream.com/d/i3bhatrz455b https://streamtape.com/v/Or3QDpLG6ZsZv4y/43598517 https://doodstream.com/d/rj21im27iw2v/43598517 (2026) #MILF #BigTits #Hardcore #Porn #Blowjob #Deepthroat #Facial #RIPNSFW</v>
      </c>
      <c r="N1760" s="2" t="s">
        <v>8715</v>
      </c>
      <c r="O1760" s="30" t="s">
        <v>8716</v>
      </c>
      <c r="P1760" s="26"/>
      <c r="R1760" s="23"/>
    </row>
    <row r="1761" spans="1:18" ht="12.75">
      <c r="A1761" s="12" t="s">
        <v>8717</v>
      </c>
      <c r="B1761" s="6" t="s">
        <v>14</v>
      </c>
      <c r="C1761" s="7" t="str">
        <f t="shared" si="24"/>
        <v xml:space="preserve">Dallas </v>
      </c>
      <c r="D1761" s="7" t="s">
        <v>8718</v>
      </c>
      <c r="E1761" s="25" t="s">
        <v>8719</v>
      </c>
      <c r="F1761" s="9" t="str">
        <f ca="1">IFERROR(__xludf.DUMMYFUNCTION("""https://streamtape.com/v/""&amp;
REGEXEXTRACT(O1761,""/thumb/([^/]+)/"")&amp;
""/""&amp;K1761"),"https://streamtape.com/v/VWAABQjYXDcKvy8/79482146")</f>
        <v>https://streamtape.com/v/VWAABQjYXDcKvy8/79482146</v>
      </c>
      <c r="G1761" s="10" t="e">
        <f t="shared" ca="1" si="25"/>
        <v>#NAME?</v>
      </c>
      <c r="H1761" s="11" t="str">
        <f ca="1">IFERROR(__xludf.DUMMYFUNCTION("IFERROR(SUBSTITUTE(SUBSTITUTE(REGEXEXTRACT(A1761, ""[^-]+- [^-]+- [^-]+ - (.+?)\.jpg""), "".jpg"", """"), ""-"", "", ""), """")"),"")</f>
        <v/>
      </c>
      <c r="I1761" s="6"/>
      <c r="J1761" s="7" t="str">
        <f t="shared" ca="1" si="26"/>
        <v>(2026)</v>
      </c>
      <c r="K1761" s="7" t="str">
        <f t="shared" si="27"/>
        <v>79482146</v>
      </c>
      <c r="L1761" s="12" t="s">
        <v>8720</v>
      </c>
      <c r="M1761" s="13" t="str">
        <f ca="1">IFERROR(__xludf.DUMMYFUNCTION("TRIM(
  REGEXREPLACE(
    TEXTJOIN("" "",
      TRUE,
      B1761,
      C1761,
      embaralharLinks(E1761,F1761,G1761),
      H1761,
      """",
      J1761,
      N1761,
      ""#RIPNSFW""
    ),
  "",\s*"", "" "")
)"),"{New} Dallas https://streamtape.com/v/VWAABQjYXDcKvy8/79482146 https://doodstream.com/d/msbdrz49auwo/79482146 https://lulustream.com/d/u9hkyyat701p (2026) #Anal #BigTits #Hardcore #Threesome #Bigass #Porn #Teen #Casting #RIPNSFW")</f>
        <v>{New} Dallas https://streamtape.com/v/VWAABQjYXDcKvy8/79482146 https://doodstream.com/d/msbdrz49auwo/79482146 https://lulustream.com/d/u9hkyyat701p (2026) #Anal #BigTits #Hardcore #Threesome #Bigass #Porn #Teen #Casting #RIPNSFW</v>
      </c>
      <c r="N1761" s="2" t="s">
        <v>8721</v>
      </c>
      <c r="O1761" s="30" t="s">
        <v>8722</v>
      </c>
      <c r="P1761" s="26"/>
      <c r="R1761" s="23"/>
    </row>
    <row r="1762" spans="1:18" ht="12.75">
      <c r="A1762" s="12" t="s">
        <v>8723</v>
      </c>
      <c r="B1762" s="6" t="s">
        <v>14</v>
      </c>
      <c r="C1762" s="7" t="str">
        <f t="shared" si="24"/>
        <v xml:space="preserve">Angel Youngs </v>
      </c>
      <c r="D1762" s="7" t="s">
        <v>8724</v>
      </c>
      <c r="E1762" s="25" t="s">
        <v>8725</v>
      </c>
      <c r="F1762" s="9" t="str">
        <f ca="1">IFERROR(__xludf.DUMMYFUNCTION("""https://streamtape.com/v/""&amp;
REGEXEXTRACT(O1762,""/thumb/([^/]+)/"")&amp;
""/""&amp;K1762"),"https://streamtape.com/v/kKMZvrg4zpFO4Og/99978168")</f>
        <v>https://streamtape.com/v/kKMZvrg4zpFO4Og/99978168</v>
      </c>
      <c r="G1762" s="10" t="e">
        <f t="shared" ca="1" si="25"/>
        <v>#NAME?</v>
      </c>
      <c r="H1762" s="11" t="str">
        <f ca="1">IFERROR(__xludf.DUMMYFUNCTION("IFERROR(SUBSTITUTE(SUBSTITUTE(REGEXEXTRACT(A1762, ""[^-]+- [^-]+- [^-]+ - (.+?)\.jpg""), "".jpg"", """"), ""-"", "", ""), """")"),"Angela White")</f>
        <v>Angela White</v>
      </c>
      <c r="I1762" s="6"/>
      <c r="J1762" s="7" t="str">
        <f t="shared" ca="1" si="26"/>
        <v>(2026)</v>
      </c>
      <c r="K1762" s="7" t="str">
        <f t="shared" si="27"/>
        <v>99978168</v>
      </c>
      <c r="L1762" s="12" t="s">
        <v>7635</v>
      </c>
      <c r="M1762" s="13" t="str">
        <f ca="1">IFERROR(__xludf.DUMMYFUNCTION("TRIM(
  REGEXREPLACE(
    TEXTJOIN("" "",
      TRUE,
      B1762,
      C1762,
      embaralharLinks(E1762,F1762,G1762),
      H1762,
      """",
      J1762,
      N1762,
      ""#RIPNSFW""
    ),
  "",\s*"", "" "")
)"),"{New} Angel Youngs https://streamtape.com/v/kKMZvrg4zpFO4Og/99978168 https://doodstream.com/d/wllnqzp4xqm9/99978168 https://lulustream.com/d/2jmyok09qkcx Angela White (2026) #MILF #BigTits #Hardcore #Threesome #Bigass #Teen #Blowjob #Amateur #RIPNSFW")</f>
        <v>{New} Angel Youngs https://streamtape.com/v/kKMZvrg4zpFO4Og/99978168 https://doodstream.com/d/wllnqzp4xqm9/99978168 https://lulustream.com/d/2jmyok09qkcx Angela White (2026) #MILF #BigTits #Hardcore #Threesome #Bigass #Teen #Blowjob #Amateur #RIPNSFW</v>
      </c>
      <c r="N1762" s="2" t="s">
        <v>7636</v>
      </c>
      <c r="O1762" s="30" t="s">
        <v>8726</v>
      </c>
      <c r="P1762" s="26"/>
      <c r="R1762" s="23"/>
    </row>
    <row r="1763" spans="1:18" ht="12.75">
      <c r="A1763" s="12" t="s">
        <v>8727</v>
      </c>
      <c r="B1763" s="6" t="s">
        <v>14</v>
      </c>
      <c r="C1763" s="7" t="str">
        <f t="shared" si="24"/>
        <v xml:space="preserve">Angela White </v>
      </c>
      <c r="D1763" s="7" t="s">
        <v>8728</v>
      </c>
      <c r="E1763" s="25" t="s">
        <v>8729</v>
      </c>
      <c r="F1763" s="9" t="str">
        <f ca="1">IFERROR(__xludf.DUMMYFUNCTION("""https://streamtape.com/v/""&amp;
REGEXEXTRACT(O1763,""/thumb/([^/]+)/"")&amp;
""/""&amp;K1763"),"https://streamtape.com/v/dpbVzeq3zjCkqjb/18835676")</f>
        <v>https://streamtape.com/v/dpbVzeq3zjCkqjb/18835676</v>
      </c>
      <c r="G1763" s="10" t="e">
        <f t="shared" ca="1" si="25"/>
        <v>#NAME?</v>
      </c>
      <c r="H1763" s="11" t="str">
        <f ca="1">IFERROR(__xludf.DUMMYFUNCTION("IFERROR(SUBSTITUTE(SUBSTITUTE(REGEXEXTRACT(A1763, ""[^-]+- [^-]+- [^-]+ - (.+?)\.jpg""), "".jpg"", """"), ""-"", "", ""), """")"),"")</f>
        <v/>
      </c>
      <c r="I1763" s="6"/>
      <c r="J1763" s="7" t="str">
        <f t="shared" ca="1" si="26"/>
        <v>(2026)</v>
      </c>
      <c r="K1763" s="7" t="str">
        <f t="shared" si="27"/>
        <v>18835676</v>
      </c>
      <c r="L1763" s="12" t="s">
        <v>769</v>
      </c>
      <c r="M1763" s="13" t="str">
        <f ca="1">IFERROR(__xludf.DUMMYFUNCTION("TRIM(
  REGEXREPLACE(
    TEXTJOIN("" "",
      TRUE,
      B1763,
      C1763,
      embaralharLinks(E1763,F1763,G1763),
      H1763,
      """",
      J1763,
      N1763,
      ""#RIPNSFW""
    ),
  "",\s*"", "" "")
)"),"{New} Angela White https://doodstream.com/d/hgh27vn7albd/18835676 https://lulustream.com/d/5phe9e2ee347 https://streamtape.com/v/dpbVzeq3zjCkqjb/18835676 (2026) #MILF #BigTits #Hardcore #Black #Interracial #Bigass #Blowjob #Amateur #RIPNSFW")</f>
        <v>{New} Angela White https://doodstream.com/d/hgh27vn7albd/18835676 https://lulustream.com/d/5phe9e2ee347 https://streamtape.com/v/dpbVzeq3zjCkqjb/18835676 (2026) #MILF #BigTits #Hardcore #Black #Interracial #Bigass #Blowjob #Amateur #RIPNSFW</v>
      </c>
      <c r="N1763" s="2" t="s">
        <v>4390</v>
      </c>
      <c r="O1763" s="30" t="s">
        <v>8730</v>
      </c>
      <c r="P1763" s="26"/>
      <c r="R1763" s="23"/>
    </row>
    <row r="1764" spans="1:18" ht="12.75">
      <c r="A1764" s="12" t="s">
        <v>8731</v>
      </c>
      <c r="B1764" s="6" t="s">
        <v>14</v>
      </c>
      <c r="C1764" s="7" t="str">
        <f t="shared" si="24"/>
        <v xml:space="preserve">Elly Clutch </v>
      </c>
      <c r="D1764" s="7" t="s">
        <v>8732</v>
      </c>
      <c r="E1764" s="25" t="s">
        <v>8733</v>
      </c>
      <c r="F1764" s="9" t="str">
        <f ca="1">IFERROR(__xludf.DUMMYFUNCTION("""https://streamtape.com/v/""&amp;
REGEXEXTRACT(O1764,""/thumb/([^/]+)/"")&amp;
""/""&amp;K1764"),"https://streamtape.com/v/pl2aYvqjo3Ur88d/19643052")</f>
        <v>https://streamtape.com/v/pl2aYvqjo3Ur88d/19643052</v>
      </c>
      <c r="G1764" s="10" t="e">
        <f t="shared" ca="1" si="25"/>
        <v>#NAME?</v>
      </c>
      <c r="H1764" s="11" t="str">
        <f ca="1">IFERROR(__xludf.DUMMYFUNCTION("IFERROR(SUBSTITUTE(SUBSTITUTE(REGEXEXTRACT(A1764, ""[^-]+- [^-]+- [^-]+ - (.+?)\.jpg""), "".jpg"", """"), ""-"", "", ""), """")"),"")</f>
        <v/>
      </c>
      <c r="I1764" s="6"/>
      <c r="J1764" s="7" t="str">
        <f t="shared" ca="1" si="26"/>
        <v>(2026)</v>
      </c>
      <c r="K1764" s="7" t="str">
        <f t="shared" si="27"/>
        <v>19643052</v>
      </c>
      <c r="L1764" s="12" t="s">
        <v>8734</v>
      </c>
      <c r="M1764" s="13" t="str">
        <f ca="1">IFERROR(__xludf.DUMMYFUNCTION("TRIM(
  REGEXREPLACE(
    TEXTJOIN("" "",
      TRUE,
      B1764,
      C1764,
      embaralharLinks(E1764,F1764,G1764),
      H1764,
      """",
      J1764,
      N1764,
      ""#RIPNSFW""
    ),
  "",\s*"", "" "")
)"),"{New} Elly Clutch https://streamtape.com/v/pl2aYvqjo3Ur88d/19643052 https://doodstream.com/d/0tf2h6dzy9cl/19643052 https://lulustream.com/d/oc4zqno6esxi (2026) #BigTits #Hardcore #Teen #Blowjob #Amateur #Deepthroat #RIPNSFW")</f>
        <v>{New} Elly Clutch https://streamtape.com/v/pl2aYvqjo3Ur88d/19643052 https://doodstream.com/d/0tf2h6dzy9cl/19643052 https://lulustream.com/d/oc4zqno6esxi (2026) #BigTits #Hardcore #Teen #Blowjob #Amateur #Deepthroat #RIPNSFW</v>
      </c>
      <c r="N1764" s="2" t="s">
        <v>6822</v>
      </c>
      <c r="O1764" s="30" t="s">
        <v>8735</v>
      </c>
      <c r="P1764" s="26"/>
      <c r="R1764" s="23"/>
    </row>
    <row r="1765" spans="1:18" ht="12.75">
      <c r="A1765" s="12" t="s">
        <v>8736</v>
      </c>
      <c r="B1765" s="6" t="s">
        <v>14</v>
      </c>
      <c r="C1765" s="7" t="str">
        <f t="shared" si="24"/>
        <v xml:space="preserve">JackandJill </v>
      </c>
      <c r="D1765" s="7" t="s">
        <v>8737</v>
      </c>
      <c r="E1765" s="25" t="s">
        <v>8738</v>
      </c>
      <c r="F1765" s="9" t="str">
        <f ca="1">IFERROR(__xludf.DUMMYFUNCTION("""https://streamtape.com/v/""&amp;
REGEXEXTRACT(O1765,""/thumb/([^/]+)/"")&amp;
""/""&amp;K1765"),"https://streamtape.com/v/gdaa6lzomaTqqe3/77873799")</f>
        <v>https://streamtape.com/v/gdaa6lzomaTqqe3/77873799</v>
      </c>
      <c r="G1765" s="10" t="e">
        <f t="shared" ca="1" si="25"/>
        <v>#NAME?</v>
      </c>
      <c r="H1765" s="11" t="str">
        <f ca="1">IFERROR(__xludf.DUMMYFUNCTION("IFERROR(SUBSTITUTE(SUBSTITUTE(REGEXEXTRACT(A1765, ""[^-]+- [^-]+- [^-]+ - (.+?)\.jpg""), "".jpg"", """"), ""-"", "", ""), """")"),"")</f>
        <v/>
      </c>
      <c r="I1765" s="6"/>
      <c r="J1765" s="7" t="str">
        <f t="shared" ca="1" si="26"/>
        <v>(2026)</v>
      </c>
      <c r="K1765" s="7" t="str">
        <f t="shared" si="27"/>
        <v>77873799</v>
      </c>
      <c r="L1765" s="12" t="s">
        <v>8739</v>
      </c>
      <c r="M1765" s="13" t="str">
        <f ca="1">IFERROR(__xludf.DUMMYFUNCTION("TRIM(
  REGEXREPLACE(
    TEXTJOIN("" "",
      TRUE,
      B1765,
      C1765,
      embaralharLinks(E1765,F1765,G1765),
      H1765,
      """",
      J1765,
      N1765,
      ""#RIPNSFW""
    ),
  "",\s*"", "" "")
)"),"{New} JackandJill https://streamtape.com/v/gdaa6lzomaTqqe3/77873799 https://doodstream.com/d/8ypaktfh3n7l/77873799 https://lulustream.com/d/zeg9bpp14cg6 (2026) #MILF #BigTits #Hardcore #Blowjob #Amateur #Deepthroat #RIPNSFW")</f>
        <v>{New} JackandJill https://streamtape.com/v/gdaa6lzomaTqqe3/77873799 https://doodstream.com/d/8ypaktfh3n7l/77873799 https://lulustream.com/d/zeg9bpp14cg6 (2026) #MILF #BigTits #Hardcore #Blowjob #Amateur #Deepthroat #RIPNSFW</v>
      </c>
      <c r="N1765" s="2" t="s">
        <v>8740</v>
      </c>
      <c r="O1765" s="30" t="s">
        <v>8741</v>
      </c>
      <c r="P1765" s="26"/>
      <c r="R1765" s="23"/>
    </row>
    <row r="1766" spans="1:18" ht="12.75">
      <c r="A1766" s="12" t="s">
        <v>8742</v>
      </c>
      <c r="B1766" s="6" t="s">
        <v>14</v>
      </c>
      <c r="C1766" s="7" t="str">
        <f t="shared" si="24"/>
        <v xml:space="preserve">Riley Reid </v>
      </c>
      <c r="D1766" s="7" t="s">
        <v>8743</v>
      </c>
      <c r="E1766" s="25" t="s">
        <v>8744</v>
      </c>
      <c r="F1766" s="9" t="str">
        <f ca="1">IFERROR(__xludf.DUMMYFUNCTION("""https://streamtape.com/v/""&amp;
REGEXEXTRACT(O1766,""/thumb/([^/]+)/"")&amp;
""/""&amp;K1766"),"https://streamtape.com/v/A6q4BJbxZQuZZo/74517398")</f>
        <v>https://streamtape.com/v/A6q4BJbxZQuZZo/74517398</v>
      </c>
      <c r="G1766" s="10" t="e">
        <f t="shared" ca="1" si="25"/>
        <v>#NAME?</v>
      </c>
      <c r="H1766" s="11" t="str">
        <f ca="1">IFERROR(__xludf.DUMMYFUNCTION("IFERROR(SUBSTITUTE(SUBSTITUTE(REGEXEXTRACT(A1766, ""[^-]+- [^-]+- [^-]+ - (.+?)\.jpg""), "".jpg"", """"), ""-"", "", ""), """")"),"")</f>
        <v/>
      </c>
      <c r="I1766" s="6"/>
      <c r="J1766" s="7" t="str">
        <f t="shared" ca="1" si="26"/>
        <v>(2026)</v>
      </c>
      <c r="K1766" s="7" t="str">
        <f t="shared" si="27"/>
        <v>74517398</v>
      </c>
      <c r="L1766" s="12" t="s">
        <v>8745</v>
      </c>
      <c r="M1766" s="13" t="str">
        <f ca="1">IFERROR(__xludf.DUMMYFUNCTION("TRIM(
  REGEXREPLACE(
    TEXTJOIN("" "",
      TRUE,
      B1766,
      C1766,
      embaralharLinks(E1766,F1766,G1766),
      H1766,
      """",
      J1766,
      N1766,
      ""#RIPNSFW""
    ),
  "",\s*"", "" "")
)"),"{New} Riley Reid https://streamtape.com/v/A6q4BJbxZQuZZo/74517398 https://doodstream.com/d/yf3qsazyl9t4/74517398 https://lulustream.com/d/clg9u6rpsojn (2026) #Anal #Hardcore #Gangbang #Bigass #Teen #Blowjob #Amateur #DoublePenetration #RIPNSFW")</f>
        <v>{New} Riley Reid https://streamtape.com/v/A6q4BJbxZQuZZo/74517398 https://doodstream.com/d/yf3qsazyl9t4/74517398 https://lulustream.com/d/clg9u6rpsojn (2026) #Anal #Hardcore #Gangbang #Bigass #Teen #Blowjob #Amateur #DoublePenetration #RIPNSFW</v>
      </c>
      <c r="N1766" s="2" t="s">
        <v>8746</v>
      </c>
      <c r="O1766" s="30" t="s">
        <v>8747</v>
      </c>
      <c r="P1766" s="26"/>
      <c r="R1766" s="23"/>
    </row>
    <row r="1767" spans="1:18" ht="12.75">
      <c r="A1767" s="12" t="s">
        <v>8748</v>
      </c>
      <c r="B1767" s="6" t="s">
        <v>14</v>
      </c>
      <c r="C1767" s="7" t="str">
        <f t="shared" si="24"/>
        <v xml:space="preserve">Codi Vore </v>
      </c>
      <c r="D1767" s="7" t="s">
        <v>8749</v>
      </c>
      <c r="E1767" s="25" t="s">
        <v>8750</v>
      </c>
      <c r="F1767" s="9" t="str">
        <f ca="1">IFERROR(__xludf.DUMMYFUNCTION("""https://streamtape.com/v/""&amp;
REGEXEXTRACT(O1767,""/thumb/([^/]+)/"")&amp;
""/""&amp;K1767"),"https://streamtape.com/v/ZDkomXkwWRIqDBp/54419516")</f>
        <v>https://streamtape.com/v/ZDkomXkwWRIqDBp/54419516</v>
      </c>
      <c r="G1767" s="10" t="e">
        <f t="shared" ca="1" si="25"/>
        <v>#NAME?</v>
      </c>
      <c r="H1767" s="11" t="str">
        <f ca="1">IFERROR(__xludf.DUMMYFUNCTION("IFERROR(SUBSTITUTE(SUBSTITUTE(REGEXEXTRACT(A1767, ""[^-]+- [^-]+- [^-]+ - (.+?)\.jpg""), "".jpg"", """"), ""-"", "", ""), """")"),"")</f>
        <v/>
      </c>
      <c r="I1767" s="6"/>
      <c r="J1767" s="7" t="str">
        <f t="shared" ca="1" si="26"/>
        <v>(2026)</v>
      </c>
      <c r="K1767" s="7" t="str">
        <f t="shared" si="27"/>
        <v>54419516</v>
      </c>
      <c r="L1767" s="12" t="s">
        <v>8751</v>
      </c>
      <c r="M1767" s="13" t="str">
        <f ca="1">IFERROR(__xludf.DUMMYFUNCTION("TRIM(
  REGEXREPLACE(
    TEXTJOIN("" "",
      TRUE,
      B1767,
      C1767,
      embaralharLinks(E1767,F1767,G1767),
      H1767,
      """",
      J1767,
      N1767,
      ""#RIPNSFW""
    ),
  "",\s*"", "" "")
)"),"{New} Codi Vore https://streamtape.com/v/ZDkomXkwWRIqDBp/54419516 https://lulustream.com/d/g3nipxhbmgiz https://doodstream.com/d/kx9hvpvs57nm/54419516 (2026) #BigTits #Hardcore #Threesome #Bigass #Porn #Teen #Blowjob #Blonde #Facial #RIPNSFW")</f>
        <v>{New} Codi Vore https://streamtape.com/v/ZDkomXkwWRIqDBp/54419516 https://lulustream.com/d/g3nipxhbmgiz https://doodstream.com/d/kx9hvpvs57nm/54419516 (2026) #BigTits #Hardcore #Threesome #Bigass #Porn #Teen #Blowjob #Blonde #Facial #RIPNSFW</v>
      </c>
      <c r="N1767" s="2" t="s">
        <v>8752</v>
      </c>
      <c r="O1767" s="30" t="s">
        <v>8753</v>
      </c>
      <c r="P1767" s="26"/>
      <c r="R1767" s="23"/>
    </row>
    <row r="1768" spans="1:18" ht="12.75">
      <c r="A1768" s="12" t="s">
        <v>8754</v>
      </c>
      <c r="B1768" s="6" t="s">
        <v>14</v>
      </c>
      <c r="C1768" s="7" t="str">
        <f t="shared" si="24"/>
        <v xml:space="preserve">Kimmy Granger </v>
      </c>
      <c r="D1768" s="7" t="s">
        <v>8755</v>
      </c>
      <c r="E1768" s="25" t="s">
        <v>8756</v>
      </c>
      <c r="F1768" s="9" t="str">
        <f ca="1">IFERROR(__xludf.DUMMYFUNCTION("""https://streamtape.com/v/""&amp;
REGEXEXTRACT(O1768,""/thumb/([^/]+)/"")&amp;
""/""&amp;K1768"),"https://streamtape.com/v/ZyDmzWl1z2CqLrZ/68499628")</f>
        <v>https://streamtape.com/v/ZyDmzWl1z2CqLrZ/68499628</v>
      </c>
      <c r="G1768" s="10" t="e">
        <f t="shared" ca="1" si="25"/>
        <v>#NAME?</v>
      </c>
      <c r="H1768" s="11" t="str">
        <f ca="1">IFERROR(__xludf.DUMMYFUNCTION("IFERROR(SUBSTITUTE(SUBSTITUTE(REGEXEXTRACT(A1768, ""[^-]+- [^-]+- [^-]+ - (.+?)\.jpg""), "".jpg"", """"), ""-"", "", ""), """")"),"")</f>
        <v/>
      </c>
      <c r="I1768" s="6"/>
      <c r="J1768" s="7" t="str">
        <f t="shared" ca="1" si="26"/>
        <v>(2026)</v>
      </c>
      <c r="K1768" s="7" t="str">
        <f t="shared" si="27"/>
        <v>68499628</v>
      </c>
      <c r="L1768" s="12" t="s">
        <v>8757</v>
      </c>
      <c r="M1768" s="13" t="str">
        <f ca="1">IFERROR(__xludf.DUMMYFUNCTION("TRIM(
  REGEXREPLACE(
    TEXTJOIN("" "",
      TRUE,
      B1768,
      C1768,
      embaralharLinks(E1768,F1768,G1768),
      H1768,
      """",
      J1768,
      N1768,
      ""#RIPNSFW""
    ),
  "",\s*"", "" "")
)"),"{New} Kimmy Granger https://doodstream.com/d/j8hunxz8efji/68499628 https://streamtape.com/v/ZyDmzWl1z2CqLrZ/68499628 https://lulustream.com/d/ozolotc03e3p (2026) #MILF #BigTits #Hardcore #Creampie #Blowjob #Amateur #Blonde #RIPNSFW")</f>
        <v>{New} Kimmy Granger https://doodstream.com/d/j8hunxz8efji/68499628 https://streamtape.com/v/ZyDmzWl1z2CqLrZ/68499628 https://lulustream.com/d/ozolotc03e3p (2026) #MILF #BigTits #Hardcore #Creampie #Blowjob #Amateur #Blonde #RIPNSFW</v>
      </c>
      <c r="N1768" s="2" t="s">
        <v>8758</v>
      </c>
      <c r="O1768" s="30" t="s">
        <v>8759</v>
      </c>
      <c r="P1768" s="26"/>
      <c r="R1768" s="23"/>
    </row>
    <row r="1769" spans="1:18" ht="12.75">
      <c r="A1769" s="12" t="s">
        <v>8760</v>
      </c>
      <c r="B1769" s="6" t="s">
        <v>14</v>
      </c>
      <c r="C1769" s="7" t="str">
        <f t="shared" si="24"/>
        <v xml:space="preserve">Jewelz Blu </v>
      </c>
      <c r="D1769" s="7" t="s">
        <v>8761</v>
      </c>
      <c r="E1769" s="25" t="s">
        <v>8762</v>
      </c>
      <c r="F1769" s="9" t="str">
        <f ca="1">IFERROR(__xludf.DUMMYFUNCTION("""https://streamtape.com/v/""&amp;
REGEXEXTRACT(O1769,""/thumb/([^/]+)/"")&amp;
""/""&amp;K1769"),"https://streamtape.com/v/pbjqZ2OKJxFr9Pk/72073394")</f>
        <v>https://streamtape.com/v/pbjqZ2OKJxFr9Pk/72073394</v>
      </c>
      <c r="G1769" s="10" t="e">
        <f t="shared" ca="1" si="25"/>
        <v>#NAME?</v>
      </c>
      <c r="H1769" s="11" t="str">
        <f ca="1">IFERROR(__xludf.DUMMYFUNCTION("IFERROR(SUBSTITUTE(SUBSTITUTE(REGEXEXTRACT(A1769, ""[^-]+- [^-]+- [^-]+ - (.+?)\.jpg""), "".jpg"", """"), ""-"", "", ""), """")"),"")</f>
        <v/>
      </c>
      <c r="I1769" s="6"/>
      <c r="J1769" s="7" t="str">
        <f t="shared" ca="1" si="26"/>
        <v>(2026)</v>
      </c>
      <c r="K1769" s="7" t="str">
        <f t="shared" si="27"/>
        <v>72073394</v>
      </c>
      <c r="L1769" s="12" t="s">
        <v>8763</v>
      </c>
      <c r="M1769" s="13" t="str">
        <f ca="1">IFERROR(__xludf.DUMMYFUNCTION("TRIM(
  REGEXREPLACE(
    TEXTJOIN("" "",
      TRUE,
      B1769,
      C1769,
      embaralharLinks(E1769,F1769,G1769),
      H1769,
      """",
      J1769,
      N1769,
      ""#RIPNSFW""
    ),
  "",\s*"", "" "")
)"),"{New} Jewelz Blu https://lulustream.com/d/5kndrr1rl87o https://streamtape.com/v/pbjqZ2OKJxFr9Pk/72073394 https://doodstream.com/d/yagu1ddssi7p/72073394 (2026) #Anal #MILF #BigTits #Hardcore #Black #Interracial #Bigass #Porn #Blowjob #Deepthroat #RIPNSFW")</f>
        <v>{New} Jewelz Blu https://lulustream.com/d/5kndrr1rl87o https://streamtape.com/v/pbjqZ2OKJxFr9Pk/72073394 https://doodstream.com/d/yagu1ddssi7p/72073394 (2026) #Anal #MILF #BigTits #Hardcore #Black #Interracial #Bigass #Porn #Blowjob #Deepthroat #RIPNSFW</v>
      </c>
      <c r="N1769" s="2" t="s">
        <v>8764</v>
      </c>
      <c r="O1769" s="30" t="s">
        <v>8765</v>
      </c>
      <c r="P1769" s="26"/>
      <c r="R1769" s="23"/>
    </row>
    <row r="1770" spans="1:18" ht="12.75">
      <c r="A1770" s="12" t="s">
        <v>8766</v>
      </c>
      <c r="B1770" s="6" t="s">
        <v>14</v>
      </c>
      <c r="C1770" s="7" t="str">
        <f t="shared" si="24"/>
        <v xml:space="preserve">Bonnie Blue </v>
      </c>
      <c r="D1770" s="7" t="s">
        <v>8767</v>
      </c>
      <c r="E1770" s="25" t="s">
        <v>8768</v>
      </c>
      <c r="F1770" s="9" t="str">
        <f ca="1">IFERROR(__xludf.DUMMYFUNCTION("""https://streamtape.com/v/""&amp;
REGEXEXTRACT(O1770,""/thumb/([^/]+)/"")&amp;
""/""&amp;K1770"),"https://streamtape.com/v/wr14QV00MySJvKr/58246826")</f>
        <v>https://streamtape.com/v/wr14QV00MySJvKr/58246826</v>
      </c>
      <c r="G1770" s="10" t="e">
        <f t="shared" ca="1" si="25"/>
        <v>#NAME?</v>
      </c>
      <c r="H1770" s="11" t="str">
        <f ca="1">IFERROR(__xludf.DUMMYFUNCTION("IFERROR(SUBSTITUTE(SUBSTITUTE(REGEXEXTRACT(A1770, ""[^-]+- [^-]+- [^-]+ - (.+?)\.jpg""), "".jpg"", """"), ""-"", "", ""), """")"),"")</f>
        <v/>
      </c>
      <c r="I1770" s="6"/>
      <c r="J1770" s="7" t="str">
        <f t="shared" ca="1" si="26"/>
        <v>(2026)</v>
      </c>
      <c r="K1770" s="7" t="str">
        <f t="shared" si="27"/>
        <v>58246826</v>
      </c>
      <c r="L1770" s="12" t="s">
        <v>8769</v>
      </c>
      <c r="M1770" s="13" t="str">
        <f ca="1">IFERROR(__xludf.DUMMYFUNCTION("TRIM(
  REGEXREPLACE(
    TEXTJOIN("" "",
      TRUE,
      B1770,
      C1770,
      embaralharLinks(E1770,F1770,G1770),
      H1770,
      """",
      J1770,
      N1770,
      ""#RIPNSFW""
    ),
  "",\s*"", "" "")
)"),"{New} Bonnie Blue https://lulustream.com/d/jc3q15tqlkuq https://doodstream.com/d/tlmz7vtyt1c3/58246826 https://streamtape.com/v/wr14QV00MySJvKr/58246826 (2026) #MILF #BigTits #Hardcore #Threesome #Bigass #Blowjob #Amateur #Hotwife #Deepthroat #Blonde #Pre"&amp;"gnant #RIPNSFW")</f>
        <v>{New} Bonnie Blue https://lulustream.com/d/jc3q15tqlkuq https://doodstream.com/d/tlmz7vtyt1c3/58246826 https://streamtape.com/v/wr14QV00MySJvKr/58246826 (2026) #MILF #BigTits #Hardcore #Threesome #Bigass #Blowjob #Amateur #Hotwife #Deepthroat #Blonde #Pregnant #RIPNSFW</v>
      </c>
      <c r="N1770" s="2" t="s">
        <v>8770</v>
      </c>
      <c r="O1770" s="30" t="s">
        <v>8771</v>
      </c>
      <c r="P1770" s="26"/>
      <c r="R1770" s="23"/>
    </row>
    <row r="1771" spans="1:18" ht="12.75">
      <c r="A1771" s="12" t="s">
        <v>8772</v>
      </c>
      <c r="B1771" s="6" t="s">
        <v>14</v>
      </c>
      <c r="C1771" s="7" t="str">
        <f t="shared" si="24"/>
        <v xml:space="preserve">Angela White </v>
      </c>
      <c r="D1771" s="7" t="s">
        <v>8773</v>
      </c>
      <c r="E1771" s="25" t="s">
        <v>8774</v>
      </c>
      <c r="F1771" s="9" t="str">
        <f ca="1">IFERROR(__xludf.DUMMYFUNCTION("""https://streamtape.com/v/""&amp;
REGEXEXTRACT(O1771,""/thumb/([^/]+)/"")&amp;
""/""&amp;K1771"),"https://streamtape.com/v/k2rmMBL2rkiO7La/99269914")</f>
        <v>https://streamtape.com/v/k2rmMBL2rkiO7La/99269914</v>
      </c>
      <c r="G1771" s="10" t="e">
        <f t="shared" ca="1" si="25"/>
        <v>#NAME?</v>
      </c>
      <c r="H1771" s="11" t="str">
        <f ca="1">IFERROR(__xludf.DUMMYFUNCTION("IFERROR(SUBSTITUTE(SUBSTITUTE(REGEXEXTRACT(A1771, ""[^-]+- [^-]+- [^-]+ - (.+?)\.jpg""), "".jpg"", """"), ""-"", "", ""), """")"),"Little Puck")</f>
        <v>Little Puck</v>
      </c>
      <c r="I1771" s="6"/>
      <c r="J1771" s="7" t="str">
        <f t="shared" ca="1" si="26"/>
        <v>(2026)</v>
      </c>
      <c r="K1771" s="7" t="str">
        <f t="shared" si="27"/>
        <v>99269914</v>
      </c>
      <c r="L1771" s="12" t="s">
        <v>8775</v>
      </c>
      <c r="M1771" s="13" t="str">
        <f ca="1">IFERROR(__xludf.DUMMYFUNCTION("TRIM(
  REGEXREPLACE(
    TEXTJOIN("" "",
      TRUE,
      B1771,
      C1771,
      embaralharLinks(E1771,F1771,G1771),
      H1771,
      """",
      J1771,
      N1771,
      ""#RIPNSFW""
    ),
  "",\s*"", "" "")
)"),"{New} Angela White https://streamtape.com/v/k2rmMBL2rkiO7La/99269914 https://doodstream.com/d/vup3k9gsumvy/99269914 https://lulustream.com/d/h5o1bn2eoe53 Little Puck (2026) #MILF #BigTits #Hardcore #Threesome #RIPNSFW")</f>
        <v>{New} Angela White https://streamtape.com/v/k2rmMBL2rkiO7La/99269914 https://doodstream.com/d/vup3k9gsumvy/99269914 https://lulustream.com/d/h5o1bn2eoe53 Little Puck (2026) #MILF #BigTits #Hardcore #Threesome #RIPNSFW</v>
      </c>
      <c r="N1771" s="2" t="s">
        <v>48</v>
      </c>
      <c r="O1771" s="30" t="s">
        <v>8776</v>
      </c>
      <c r="P1771" s="26"/>
      <c r="R1771" s="23"/>
    </row>
    <row r="1772" spans="1:18" ht="12.75">
      <c r="A1772" s="12" t="s">
        <v>8777</v>
      </c>
      <c r="B1772" s="6" t="s">
        <v>14</v>
      </c>
      <c r="C1772" s="7" t="str">
        <f t="shared" si="24"/>
        <v xml:space="preserve">Elly Clutch </v>
      </c>
      <c r="D1772" s="7" t="s">
        <v>8778</v>
      </c>
      <c r="E1772" s="25" t="s">
        <v>8779</v>
      </c>
      <c r="F1772" s="9" t="str">
        <f ca="1">IFERROR(__xludf.DUMMYFUNCTION("""https://streamtape.com/v/""&amp;
REGEXEXTRACT(O1772,""/thumb/([^/]+)/"")&amp;
""/""&amp;K1772"),"https://streamtape.com/v/K9bJRYLgpbc0xVq/77597006")</f>
        <v>https://streamtape.com/v/K9bJRYLgpbc0xVq/77597006</v>
      </c>
      <c r="G1772" s="10" t="e">
        <f t="shared" ca="1" si="25"/>
        <v>#NAME?</v>
      </c>
      <c r="H1772" s="11" t="str">
        <f ca="1">IFERROR(__xludf.DUMMYFUNCTION("IFERROR(SUBSTITUTE(SUBSTITUTE(REGEXEXTRACT(A1772, ""[^-]+- [^-]+- [^-]+ - (.+?)\.jpg""), "".jpg"", """"), ""-"", "", ""), """")"),"")</f>
        <v/>
      </c>
      <c r="I1772" s="6"/>
      <c r="J1772" s="7" t="str">
        <f t="shared" ca="1" si="26"/>
        <v>(2026)</v>
      </c>
      <c r="K1772" s="7" t="str">
        <f t="shared" si="27"/>
        <v>77597006</v>
      </c>
      <c r="L1772" s="12" t="s">
        <v>6120</v>
      </c>
      <c r="M1772" s="13" t="str">
        <f ca="1">IFERROR(__xludf.DUMMYFUNCTION("TRIM(
  REGEXREPLACE(
    TEXTJOIN("" "",
      TRUE,
      B1772,
      C1772,
      embaralharLinks(E1772,F1772,G1772),
      H1772,
      """",
      J1772,
      N1772,
      ""#RIPNSFW""
    ),
  "",\s*"", "" "")
)"),"{New} Elly Clutch https://streamtape.com/v/K9bJRYLgpbc0xVq/77597006 https://lulustream.com/d/03njdkszx9p9 https://doodstream.com/d/5ajdjcv8vbsy/77597006 (2026) #BigTits #Hardcore #Teen #Blowjob #Amateur #Facial #RIPNSFW")</f>
        <v>{New} Elly Clutch https://streamtape.com/v/K9bJRYLgpbc0xVq/77597006 https://lulustream.com/d/03njdkszx9p9 https://doodstream.com/d/5ajdjcv8vbsy/77597006 (2026) #BigTits #Hardcore #Teen #Blowjob #Amateur #Facial #RIPNSFW</v>
      </c>
      <c r="N1772" s="2" t="s">
        <v>8780</v>
      </c>
      <c r="O1772" s="30" t="s">
        <v>8781</v>
      </c>
      <c r="P1772" s="26"/>
      <c r="R1772" s="23"/>
    </row>
    <row r="1773" spans="1:18" ht="12.75">
      <c r="A1773" s="12" t="s">
        <v>8782</v>
      </c>
      <c r="B1773" s="6" t="s">
        <v>14</v>
      </c>
      <c r="C1773" s="7" t="str">
        <f t="shared" si="24"/>
        <v xml:space="preserve">Alanna Pow </v>
      </c>
      <c r="D1773" s="7" t="s">
        <v>8783</v>
      </c>
      <c r="E1773" s="25" t="s">
        <v>8784</v>
      </c>
      <c r="F1773" s="9" t="str">
        <f ca="1">IFERROR(__xludf.DUMMYFUNCTION("""https://streamtape.com/v/""&amp;
REGEXEXTRACT(O1773,""/thumb/([^/]+)/"")&amp;
""/""&amp;K1773"),"https://streamtape.com/v/pMa9r0bQAZcrvWP/65985439")</f>
        <v>https://streamtape.com/v/pMa9r0bQAZcrvWP/65985439</v>
      </c>
      <c r="G1773" s="10" t="e">
        <f t="shared" ca="1" si="25"/>
        <v>#NAME?</v>
      </c>
      <c r="H1773" s="11" t="str">
        <f ca="1">IFERROR(__xludf.DUMMYFUNCTION("IFERROR(SUBSTITUTE(SUBSTITUTE(REGEXEXTRACT(A1773, ""[^-]+- [^-]+- [^-]+ - (.+?)\.jpg""), "".jpg"", """"), ""-"", "", ""), """")"),"")</f>
        <v/>
      </c>
      <c r="I1773" s="6"/>
      <c r="J1773" s="7" t="str">
        <f t="shared" ca="1" si="26"/>
        <v>(2026)</v>
      </c>
      <c r="K1773" s="7" t="str">
        <f t="shared" si="27"/>
        <v>65985439</v>
      </c>
      <c r="L1773" s="12" t="s">
        <v>8785</v>
      </c>
      <c r="M1773" s="13" t="str">
        <f ca="1">IFERROR(__xludf.DUMMYFUNCTION("TRIM(
  REGEXREPLACE(
    TEXTJOIN("" "",
      TRUE,
      B1773,
      C1773,
      embaralharLinks(E1773,F1773,G1773),
      H1773,
      """",
      J1773,
      N1773,
      ""#RIPNSFW""
    ),
  "",\s*"", "" "")
)"),"{New} Alanna Pow https://lulustream.com/d/qyhbx3lvreab https://doodstream.com/d/k2xigorbbls3/65985439 https://streamtape.com/v/pMa9r0bQAZcrvWP/65985439 (2026) #BigTits #Hardcore #Bigass #Teen #Blowjob #Amateur #RIPNSFW")</f>
        <v>{New} Alanna Pow https://lulustream.com/d/qyhbx3lvreab https://doodstream.com/d/k2xigorbbls3/65985439 https://streamtape.com/v/pMa9r0bQAZcrvWP/65985439 (2026) #BigTits #Hardcore #Bigass #Teen #Blowjob #Amateur #RIPNSFW</v>
      </c>
      <c r="N1773" s="2" t="s">
        <v>193</v>
      </c>
      <c r="O1773" s="30" t="s">
        <v>8786</v>
      </c>
      <c r="P1773" s="26"/>
      <c r="R1773" s="23"/>
    </row>
    <row r="1774" spans="1:18" ht="12.75">
      <c r="A1774" s="12" t="s">
        <v>8787</v>
      </c>
      <c r="B1774" s="6" t="s">
        <v>14</v>
      </c>
      <c r="C1774" s="7" t="str">
        <f t="shared" si="24"/>
        <v xml:space="preserve">Angel Youngs </v>
      </c>
      <c r="D1774" s="7" t="s">
        <v>8788</v>
      </c>
      <c r="E1774" s="25" t="s">
        <v>8789</v>
      </c>
      <c r="F1774" s="9" t="str">
        <f ca="1">IFERROR(__xludf.DUMMYFUNCTION("""https://streamtape.com/v/""&amp;
REGEXEXTRACT(O1774,""/thumb/([^/]+)/"")&amp;
""/""&amp;K1774"),"https://streamtape.com/v/V6VjG7k9wRCKAev/15926635")</f>
        <v>https://streamtape.com/v/V6VjG7k9wRCKAev/15926635</v>
      </c>
      <c r="G1774" s="10" t="e">
        <f t="shared" ca="1" si="25"/>
        <v>#NAME?</v>
      </c>
      <c r="H1774" s="11" t="str">
        <f ca="1">IFERROR(__xludf.DUMMYFUNCTION("IFERROR(SUBSTITUTE(SUBSTITUTE(REGEXEXTRACT(A1774, ""[^-]+- [^-]+- [^-]+ - (.+?)\.jpg""), "".jpg"", """"), ""-"", "", ""), """")"),"")</f>
        <v/>
      </c>
      <c r="I1774" s="6"/>
      <c r="J1774" s="7" t="str">
        <f t="shared" ca="1" si="26"/>
        <v>(2026)</v>
      </c>
      <c r="K1774" s="7" t="str">
        <f t="shared" si="27"/>
        <v>15926635</v>
      </c>
      <c r="L1774" s="12" t="s">
        <v>591</v>
      </c>
      <c r="M1774" s="13" t="str">
        <f ca="1">IFERROR(__xludf.DUMMYFUNCTION("TRIM(
  REGEXREPLACE(
    TEXTJOIN("" "",
      TRUE,
      B1774,
      C1774,
      embaralharLinks(E1774,F1774,G1774),
      H1774,
      """",
      J1774,
      N1774,
      ""#RIPNSFW""
    ),
  "",\s*"", "" "")
)"),"{New} Angel Youngs https://lulustream.com/d/sseluw62w2h0 https://streamtape.com/v/V6VjG7k9wRCKAev/15926635 https://doodstream.com/d/ehv8rpktdy9b/15926635 (2026) #BigTits #Hardcore #Teen #Blowjob #Amateur #RIPNSFW")</f>
        <v>{New} Angel Youngs https://lulustream.com/d/sseluw62w2h0 https://streamtape.com/v/V6VjG7k9wRCKAev/15926635 https://doodstream.com/d/ehv8rpktdy9b/15926635 (2026) #BigTits #Hardcore #Teen #Blowjob #Amateur #RIPNSFW</v>
      </c>
      <c r="N1774" s="2" t="s">
        <v>1121</v>
      </c>
      <c r="O1774" s="30" t="s">
        <v>8790</v>
      </c>
      <c r="P1774" s="26"/>
      <c r="R1774" s="23"/>
    </row>
    <row r="1775" spans="1:18" ht="12.75">
      <c r="A1775" s="12" t="s">
        <v>8791</v>
      </c>
      <c r="B1775" s="6" t="s">
        <v>14</v>
      </c>
      <c r="C1775" s="7" t="str">
        <f t="shared" si="24"/>
        <v xml:space="preserve">Chanel Camryn </v>
      </c>
      <c r="D1775" s="7" t="s">
        <v>8792</v>
      </c>
      <c r="E1775" s="25" t="s">
        <v>8793</v>
      </c>
      <c r="F1775" s="9" t="str">
        <f ca="1">IFERROR(__xludf.DUMMYFUNCTION("""https://streamtape.com/v/""&amp;
REGEXEXTRACT(O1775,""/thumb/([^/]+)/"")&amp;
""/""&amp;K1775"),"https://streamtape.com/v/8v2aBKWmDWFompl/69640605")</f>
        <v>https://streamtape.com/v/8v2aBKWmDWFompl/69640605</v>
      </c>
      <c r="G1775" s="10" t="e">
        <f t="shared" ca="1" si="25"/>
        <v>#NAME?</v>
      </c>
      <c r="H1775" s="11" t="str">
        <f ca="1">IFERROR(__xludf.DUMMYFUNCTION("IFERROR(SUBSTITUTE(SUBSTITUTE(REGEXEXTRACT(A1775, ""[^-]+- [^-]+- [^-]+ - (.+?)\.jpg""), "".jpg"", """"), ""-"", "", ""), """")"),"")</f>
        <v/>
      </c>
      <c r="I1775" s="6"/>
      <c r="J1775" s="7" t="str">
        <f t="shared" ca="1" si="26"/>
        <v>(2026)</v>
      </c>
      <c r="K1775" s="7" t="str">
        <f t="shared" si="27"/>
        <v>69640605</v>
      </c>
      <c r="L1775" s="12" t="s">
        <v>8794</v>
      </c>
      <c r="M1775" s="13" t="str">
        <f ca="1">IFERROR(__xludf.DUMMYFUNCTION("TRIM(
  REGEXREPLACE(
    TEXTJOIN("" "",
      TRUE,
      B1775,
      C1775,
      embaralharLinks(E1775,F1775,G1775),
      H1775,
      """",
      J1775,
      N1775,
      ""#RIPNSFW""
    ),
  "",\s*"", "" "")
)"),"{New} Chanel Camryn https://doodstream.com/d/d46k2cii8k11/69640605 https://streamtape.com/v/8v2aBKWmDWFompl/69640605 https://lulustream.com/d/6hh9ay372c0c (2026) #Hardcore #Porn #Teen #Blowjob #RIPNSFW")</f>
        <v>{New} Chanel Camryn https://doodstream.com/d/d46k2cii8k11/69640605 https://streamtape.com/v/8v2aBKWmDWFompl/69640605 https://lulustream.com/d/6hh9ay372c0c (2026) #Hardcore #Porn #Teen #Blowjob #RIPNSFW</v>
      </c>
      <c r="N1775" s="2" t="s">
        <v>5934</v>
      </c>
      <c r="O1775" s="30" t="s">
        <v>8795</v>
      </c>
      <c r="P1775" s="26"/>
      <c r="R1775" s="23"/>
    </row>
    <row r="1776" spans="1:18" ht="12.75">
      <c r="A1776" s="12" t="s">
        <v>8796</v>
      </c>
      <c r="B1776" s="6" t="s">
        <v>14</v>
      </c>
      <c r="C1776" s="7" t="str">
        <f t="shared" si="24"/>
        <v xml:space="preserve">Cory Chase </v>
      </c>
      <c r="D1776" s="7" t="s">
        <v>8797</v>
      </c>
      <c r="E1776" s="25" t="s">
        <v>8798</v>
      </c>
      <c r="F1776" s="9" t="str">
        <f ca="1">IFERROR(__xludf.DUMMYFUNCTION("""https://streamtape.com/v/""&amp;
REGEXEXTRACT(O1776,""/thumb/([^/]+)/"")&amp;
""/""&amp;K1776"),"https://streamtape.com/v/MXY42x00lOHm88v/32061429")</f>
        <v>https://streamtape.com/v/MXY42x00lOHm88v/32061429</v>
      </c>
      <c r="G1776" s="10" t="e">
        <f t="shared" ca="1" si="25"/>
        <v>#NAME?</v>
      </c>
      <c r="H1776" s="11" t="str">
        <f ca="1">IFERROR(__xludf.DUMMYFUNCTION("IFERROR(SUBSTITUTE(SUBSTITUTE(REGEXEXTRACT(A1776, ""[^-]+- [^-]+- [^-]+ - (.+?)\.jpg""), "".jpg"", """"), ""-"", "", ""), """")"),"")</f>
        <v/>
      </c>
      <c r="I1776" s="6"/>
      <c r="J1776" s="7" t="str">
        <f t="shared" ca="1" si="26"/>
        <v>(2026)</v>
      </c>
      <c r="K1776" s="7" t="str">
        <f t="shared" si="27"/>
        <v>32061429</v>
      </c>
      <c r="L1776" s="12" t="s">
        <v>8799</v>
      </c>
      <c r="M1776" s="13" t="str">
        <f ca="1">IFERROR(__xludf.DUMMYFUNCTION("TRIM(
  REGEXREPLACE(
    TEXTJOIN("" "",
      TRUE,
      B1776,
      C1776,
      embaralharLinks(E1776,F1776,G1776),
      H1776,
      """",
      J1776,
      N1776,
      ""#RIPNSFW""
    ),
  "",\s*"", "" "")
)"),"{New} Cory Chase https://streamtape.com/v/MXY42x00lOHm88v/32061429 https://doodstream.com/d/elwruvi8xe49/32061429 https://lulustream.com/d/pamg9csuj4ef (2026) #Anal #MILF #BigTits #Hardcore #Threesome #Interracial #RIPNSFW")</f>
        <v>{New} Cory Chase https://streamtape.com/v/MXY42x00lOHm88v/32061429 https://doodstream.com/d/elwruvi8xe49/32061429 https://lulustream.com/d/pamg9csuj4ef (2026) #Anal #MILF #BigTits #Hardcore #Threesome #Interracial #RIPNSFW</v>
      </c>
      <c r="N1776" s="2" t="s">
        <v>8800</v>
      </c>
      <c r="O1776" s="30" t="s">
        <v>8801</v>
      </c>
      <c r="P1776" s="26"/>
      <c r="R1776" s="23"/>
    </row>
    <row r="1777" spans="1:18" ht="12.75">
      <c r="A1777" s="12" t="s">
        <v>8802</v>
      </c>
      <c r="B1777" s="6" t="s">
        <v>14</v>
      </c>
      <c r="C1777" s="7" t="str">
        <f t="shared" si="24"/>
        <v xml:space="preserve">Dakota Lyn </v>
      </c>
      <c r="D1777" s="7" t="s">
        <v>8803</v>
      </c>
      <c r="E1777" s="25" t="s">
        <v>8804</v>
      </c>
      <c r="F1777" s="9" t="str">
        <f ca="1">IFERROR(__xludf.DUMMYFUNCTION("""https://streamtape.com/v/""&amp;
REGEXEXTRACT(O1777,""/thumb/([^/]+)/"")&amp;
""/""&amp;K1777"),"https://streamtape.com/v/AKBO9zY9jpTwqY/65009550")</f>
        <v>https://streamtape.com/v/AKBO9zY9jpTwqY/65009550</v>
      </c>
      <c r="G1777" s="10" t="e">
        <f t="shared" ca="1" si="25"/>
        <v>#NAME?</v>
      </c>
      <c r="H1777" s="11" t="str">
        <f ca="1">IFERROR(__xludf.DUMMYFUNCTION("IFERROR(SUBSTITUTE(SUBSTITUTE(REGEXEXTRACT(A1777, ""[^-]+- [^-]+- [^-]+ - (.+?)\.jpg""), "".jpg"", """"), ""-"", "", ""), """")"),"")</f>
        <v/>
      </c>
      <c r="I1777" s="6"/>
      <c r="J1777" s="7" t="str">
        <f t="shared" ca="1" si="26"/>
        <v>(2026)</v>
      </c>
      <c r="K1777" s="7" t="str">
        <f t="shared" si="27"/>
        <v>65009550</v>
      </c>
      <c r="L1777" s="12" t="s">
        <v>8805</v>
      </c>
      <c r="M1777" s="13" t="str">
        <f ca="1">IFERROR(__xludf.DUMMYFUNCTION("TRIM(
  REGEXREPLACE(
    TEXTJOIN("" "",
      TRUE,
      B1777,
      C1777,
      embaralharLinks(E1777,F1777,G1777),
      H1777,
      """",
      J1777,
      N1777,
      ""#RIPNSFW""
    ),
  "",\s*"", "" "")
)"),"{New} Dakota Lyn https://lulustream.com/d/tytihx7uelzr https://doodstream.com/d/5nz08586807e/65009550 https://streamtape.com/v/AKBO9zY9jpTwqY/65009550 (2026) #Hardcore #Porn #Teen #Blowjob #Deepthroat #Blonde #Facial #RIPNSFW")</f>
        <v>{New} Dakota Lyn https://lulustream.com/d/tytihx7uelzr https://doodstream.com/d/5nz08586807e/65009550 https://streamtape.com/v/AKBO9zY9jpTwqY/65009550 (2026) #Hardcore #Porn #Teen #Blowjob #Deepthroat #Blonde #Facial #RIPNSFW</v>
      </c>
      <c r="N1777" s="2" t="s">
        <v>8806</v>
      </c>
      <c r="O1777" s="30" t="s">
        <v>8807</v>
      </c>
      <c r="P1777" s="26"/>
      <c r="R1777" s="23"/>
    </row>
    <row r="1778" spans="1:18" ht="12.75">
      <c r="A1778" s="12" t="s">
        <v>8808</v>
      </c>
      <c r="B1778" s="6" t="s">
        <v>14</v>
      </c>
      <c r="C1778" s="7" t="str">
        <f t="shared" si="24"/>
        <v xml:space="preserve">Eva Nyx </v>
      </c>
      <c r="D1778" s="7" t="s">
        <v>8809</v>
      </c>
      <c r="E1778" s="25" t="s">
        <v>8810</v>
      </c>
      <c r="F1778" s="9" t="str">
        <f ca="1">IFERROR(__xludf.DUMMYFUNCTION("""https://streamtape.com/v/""&amp;
REGEXEXTRACT(O1778,""/thumb/([^/]+)/"")&amp;
""/""&amp;K1778"),"https://streamtape.com/v/RLjPWaMkzBcdz32/65490161")</f>
        <v>https://streamtape.com/v/RLjPWaMkzBcdz32/65490161</v>
      </c>
      <c r="G1778" s="10" t="e">
        <f t="shared" ca="1" si="25"/>
        <v>#NAME?</v>
      </c>
      <c r="H1778" s="11" t="str">
        <f ca="1">IFERROR(__xludf.DUMMYFUNCTION("IFERROR(SUBSTITUTE(SUBSTITUTE(REGEXEXTRACT(A1778, ""[^-]+- [^-]+- [^-]+ - (.+?)\.jpg""), "".jpg"", """"), ""-"", "", ""), """")"),"")</f>
        <v/>
      </c>
      <c r="I1778" s="6"/>
      <c r="J1778" s="7" t="str">
        <f t="shared" ca="1" si="26"/>
        <v>(2026)</v>
      </c>
      <c r="K1778" s="7" t="str">
        <f t="shared" si="27"/>
        <v>65490161</v>
      </c>
      <c r="L1778" s="12" t="s">
        <v>8811</v>
      </c>
      <c r="M1778" s="13" t="str">
        <f ca="1">IFERROR(__xludf.DUMMYFUNCTION("TRIM(
  REGEXREPLACE(
    TEXTJOIN("" "",
      TRUE,
      B1778,
      C1778,
      embaralharLinks(E1778,F1778,G1778),
      H1778,
      """",
      J1778,
      N1778,
      ""#RIPNSFW""
    ),
  "",\s*"", "" "")
)"),"{New} Eva Nyx https://streamtape.com/v/RLjPWaMkzBcdz32/65490161 https://lulustream.com/d/fzgujnsl4sj7 https://doodstream.com/d/ojw752meqnn5/65490161 (2026) #BigTits #Creampie #Hardcore #Bigass #RIPNSFW")</f>
        <v>{New} Eva Nyx https://streamtape.com/v/RLjPWaMkzBcdz32/65490161 https://lulustream.com/d/fzgujnsl4sj7 https://doodstream.com/d/ojw752meqnn5/65490161 (2026) #BigTits #Creampie #Hardcore #Bigass #RIPNSFW</v>
      </c>
      <c r="N1778" s="2" t="s">
        <v>108</v>
      </c>
      <c r="O1778" s="30" t="s">
        <v>8812</v>
      </c>
      <c r="P1778" s="26"/>
      <c r="R1778" s="23"/>
    </row>
    <row r="1779" spans="1:18" ht="12.75">
      <c r="A1779" s="12" t="s">
        <v>8813</v>
      </c>
      <c r="B1779" s="6" t="s">
        <v>14</v>
      </c>
      <c r="C1779" s="7" t="str">
        <f t="shared" si="24"/>
        <v xml:space="preserve">Hot Pearl </v>
      </c>
      <c r="D1779" s="7" t="s">
        <v>8814</v>
      </c>
      <c r="E1779" s="25" t="s">
        <v>8815</v>
      </c>
      <c r="F1779" s="9" t="str">
        <f ca="1">IFERROR(__xludf.DUMMYFUNCTION("""https://streamtape.com/v/""&amp;
REGEXEXTRACT(O1779,""/thumb/([^/]+)/"")&amp;
""/""&amp;K1779"),"https://streamtape.com/v/Dlb7rep9zMT6mO/62415070")</f>
        <v>https://streamtape.com/v/Dlb7rep9zMT6mO/62415070</v>
      </c>
      <c r="G1779" s="10" t="e">
        <f t="shared" ca="1" si="25"/>
        <v>#NAME?</v>
      </c>
      <c r="H1779" s="11" t="str">
        <f ca="1">IFERROR(__xludf.DUMMYFUNCTION("IFERROR(SUBSTITUTE(SUBSTITUTE(REGEXEXTRACT(A1779, ""[^-]+- [^-]+- [^-]+ - (.+?)\.jpg""), "".jpg"", """"), ""-"", "", ""), """")"),"")</f>
        <v/>
      </c>
      <c r="I1779" s="6"/>
      <c r="J1779" s="7" t="str">
        <f t="shared" ca="1" si="26"/>
        <v>(2026)</v>
      </c>
      <c r="K1779" s="7" t="str">
        <f t="shared" si="27"/>
        <v>62415070</v>
      </c>
      <c r="L1779" s="12" t="s">
        <v>8816</v>
      </c>
      <c r="M1779" s="13" t="str">
        <f ca="1">IFERROR(__xludf.DUMMYFUNCTION("TRIM(
  REGEXREPLACE(
    TEXTJOIN("" "",
      TRUE,
      B1779,
      C1779,
      embaralharLinks(E1779,F1779,G1779),
      H1779,
      """",
      J1779,
      N1779,
      ""#RIPNSFW""
    ),
  "",\s*"", "" "")
)"),"{New} Hot Pearl https://streamtape.com/v/Dlb7rep9zMT6mO/62415070 https://lulustream.com/d/570qgjqsrd33 https://doodstream.com/d/frfa2pqfz5vk/62415070 (2026) #Anal #Hardcore #Threesome #Teen #Blowjob #Amateur #RIPNSFW")</f>
        <v>{New} Hot Pearl https://streamtape.com/v/Dlb7rep9zMT6mO/62415070 https://lulustream.com/d/570qgjqsrd33 https://doodstream.com/d/frfa2pqfz5vk/62415070 (2026) #Anal #Hardcore #Threesome #Teen #Blowjob #Amateur #RIPNSFW</v>
      </c>
      <c r="N1779" s="2" t="s">
        <v>8817</v>
      </c>
      <c r="O1779" s="30" t="s">
        <v>8818</v>
      </c>
      <c r="P1779" s="26"/>
      <c r="R1779" s="23"/>
    </row>
    <row r="1780" spans="1:18" ht="12.75">
      <c r="A1780" s="12" t="s">
        <v>8819</v>
      </c>
      <c r="B1780" s="6" t="s">
        <v>14</v>
      </c>
      <c r="C1780" s="7" t="str">
        <f t="shared" si="24"/>
        <v xml:space="preserve">Iris Leon </v>
      </c>
      <c r="D1780" s="7" t="s">
        <v>8820</v>
      </c>
      <c r="E1780" s="25" t="s">
        <v>8821</v>
      </c>
      <c r="F1780" s="9" t="str">
        <f ca="1">IFERROR(__xludf.DUMMYFUNCTION("""https://streamtape.com/v/""&amp;
REGEXEXTRACT(O1780,""/thumb/([^/]+)/"")&amp;
""/""&amp;K1780"),"https://streamtape.com/v/a2j9pgL9AkCx1g7/64346618")</f>
        <v>https://streamtape.com/v/a2j9pgL9AkCx1g7/64346618</v>
      </c>
      <c r="G1780" s="10" t="e">
        <f t="shared" ca="1" si="25"/>
        <v>#NAME?</v>
      </c>
      <c r="H1780" s="11" t="str">
        <f ca="1">IFERROR(__xludf.DUMMYFUNCTION("IFERROR(SUBSTITUTE(SUBSTITUTE(REGEXEXTRACT(A1780, ""[^-]+- [^-]+- [^-]+ - (.+?)\.jpg""), "".jpg"", """"), ""-"", "", ""), """")"),"")</f>
        <v/>
      </c>
      <c r="I1780" s="40" t="s">
        <v>8822</v>
      </c>
      <c r="J1780" s="7" t="str">
        <f t="shared" ca="1" si="26"/>
        <v>(2026)</v>
      </c>
      <c r="K1780" s="7" t="str">
        <f t="shared" si="27"/>
        <v>64346618</v>
      </c>
      <c r="L1780" s="12" t="s">
        <v>8823</v>
      </c>
      <c r="M1780" s="13" t="str">
        <f ca="1">IFERROR(__xludf.DUMMYFUNCTION("TRIM(
  REGEXREPLACE(
    TEXTJOIN("" "",
      TRUE,
      B1780,
      C1780,
      embaralharLinks(E1780,F1780,G1780),
      H1780,
      """",
      J1780,
      N1780,
      ""#RIPNSFW""
    ),
  "",\s*"", "" "")
)"),"{New} Iris Leon https://doodstream.com/d/auo6gpc2cubf/64346618 https://streamtape.com/v/a2j9pgL9AkCx1g7/64346618 https://lulustream.com/d/ievnfaseak1q (2026) #BigTits #Hardcore #Piss #Bigass #Porn #Teen #Blowjob #Deepthroat #RIPNSFW")</f>
        <v>{New} Iris Leon https://doodstream.com/d/auo6gpc2cubf/64346618 https://streamtape.com/v/a2j9pgL9AkCx1g7/64346618 https://lulustream.com/d/ievnfaseak1q (2026) #BigTits #Hardcore #Piss #Bigass #Porn #Teen #Blowjob #Deepthroat #RIPNSFW</v>
      </c>
      <c r="N1780" s="2" t="s">
        <v>8824</v>
      </c>
      <c r="O1780" s="30" t="s">
        <v>8825</v>
      </c>
      <c r="P1780" s="26"/>
      <c r="R1780" s="23"/>
    </row>
    <row r="1781" spans="1:18" ht="12.75">
      <c r="A1781" s="12" t="s">
        <v>8826</v>
      </c>
      <c r="B1781" s="6" t="s">
        <v>14</v>
      </c>
      <c r="C1781" s="7" t="str">
        <f t="shared" si="24"/>
        <v xml:space="preserve">Jewel Diamant </v>
      </c>
      <c r="D1781" s="7" t="s">
        <v>8827</v>
      </c>
      <c r="E1781" s="25" t="s">
        <v>8828</v>
      </c>
      <c r="F1781" s="9" t="str">
        <f ca="1">IFERROR(__xludf.DUMMYFUNCTION("""https://streamtape.com/v/""&amp;
REGEXEXTRACT(O1781,""/thumb/([^/]+)/"")&amp;
""/""&amp;K1781"),"https://streamtape.com/v/ygRRxAPGm8i1MmD/91184699")</f>
        <v>https://streamtape.com/v/ygRRxAPGm8i1MmD/91184699</v>
      </c>
      <c r="G1781" s="10" t="e">
        <f t="shared" ca="1" si="25"/>
        <v>#NAME?</v>
      </c>
      <c r="H1781" s="11" t="str">
        <f ca="1">IFERROR(__xludf.DUMMYFUNCTION("IFERROR(SUBSTITUTE(SUBSTITUTE(REGEXEXTRACT(A1781, ""[^-]+- [^-]+- [^-]+ - (.+?)\.jpg""), "".jpg"", """"), ""-"", "", ""), """")"),"Lena the plug")</f>
        <v>Lena the plug</v>
      </c>
      <c r="I1781" s="40" t="s">
        <v>8829</v>
      </c>
      <c r="J1781" s="7" t="str">
        <f t="shared" ca="1" si="26"/>
        <v>(2026)</v>
      </c>
      <c r="K1781" s="7" t="str">
        <f t="shared" si="27"/>
        <v>91184699</v>
      </c>
      <c r="L1781" s="12" t="s">
        <v>3343</v>
      </c>
      <c r="M1781" s="13" t="str">
        <f ca="1">IFERROR(__xludf.DUMMYFUNCTION("TRIM(
  REGEXREPLACE(
    TEXTJOIN("" "",
      TRUE,
      B1781,
      C1781,
      embaralharLinks(E1781,F1781,G1781),
      H1781,
      """",
      J1781,
      N1781,
      ""#RIPNSFW""
    ),
  "",\s*"", "" "")
)"),"{New} Jewel Diamant https://lulustream.com/d/h589o4idi0h6 https://streamtape.com/v/ygRRxAPGm8i1MmD/91184699 https://doodstream.com/d/ej21wmj1kn2e/91184699 Lena the plug (2026) #MILF #BigTits #Hardcore #Threesome #Bigass #Teen #Blowjob #RIPNSFW")</f>
        <v>{New} Jewel Diamant https://lulustream.com/d/h589o4idi0h6 https://streamtape.com/v/ygRRxAPGm8i1MmD/91184699 https://doodstream.com/d/ej21wmj1kn2e/91184699 Lena the plug (2026) #MILF #BigTits #Hardcore #Threesome #Bigass #Teen #Blowjob #RIPNSFW</v>
      </c>
      <c r="N1781" s="2" t="s">
        <v>156</v>
      </c>
      <c r="O1781" s="30" t="s">
        <v>8830</v>
      </c>
      <c r="P1781" s="26"/>
      <c r="R1781" s="23"/>
    </row>
    <row r="1782" spans="1:18" ht="12.75">
      <c r="A1782" s="12" t="s">
        <v>8831</v>
      </c>
      <c r="B1782" s="6" t="s">
        <v>14</v>
      </c>
      <c r="C1782" s="7" t="str">
        <f t="shared" si="24"/>
        <v xml:space="preserve">Scarlet Chase </v>
      </c>
      <c r="D1782" s="7" t="s">
        <v>8832</v>
      </c>
      <c r="E1782" s="25" t="s">
        <v>8833</v>
      </c>
      <c r="F1782" s="9" t="str">
        <f ca="1">IFERROR(__xludf.DUMMYFUNCTION("""https://streamtape.com/v/""&amp;
REGEXEXTRACT(O1782,""/thumb/([^/]+)/"")&amp;
""/""&amp;K1782"),"https://streamtape.com/v/pdVvG7XxR7FryQa/37202021")</f>
        <v>https://streamtape.com/v/pdVvG7XxR7FryQa/37202021</v>
      </c>
      <c r="G1782" s="10" t="e">
        <f t="shared" ca="1" si="25"/>
        <v>#NAME?</v>
      </c>
      <c r="H1782" s="11" t="str">
        <f ca="1">IFERROR(__xludf.DUMMYFUNCTION("IFERROR(SUBSTITUTE(SUBSTITUTE(REGEXEXTRACT(A1782, ""[^-]+- [^-]+- [^-]+ - (.+?)\.jpg""), "".jpg"", """"), ""-"", "", ""), """")"),"")</f>
        <v/>
      </c>
      <c r="I1782" s="40" t="s">
        <v>8834</v>
      </c>
      <c r="J1782" s="7" t="str">
        <f t="shared" ca="1" si="26"/>
        <v>(2026)</v>
      </c>
      <c r="K1782" s="7" t="str">
        <f t="shared" si="27"/>
        <v>37202021</v>
      </c>
      <c r="L1782" s="12" t="s">
        <v>8835</v>
      </c>
      <c r="M1782" s="13" t="str">
        <f ca="1">IFERROR(__xludf.DUMMYFUNCTION("TRIM(
  REGEXREPLACE(
    TEXTJOIN("" "",
      TRUE,
      B1782,
      C1782,
      embaralharLinks(E1782,F1782,G1782),
      H1782,
      """",
      J1782,
      N1782,
      ""#RIPNSFW""
    ),
  "",\s*"", "" "")
)"),"{New} Scarlet Chase https://lulustream.com/d/7hpxojxblf4f https://doodstream.com/d/frbu1lv7gm1p/37202021 https://streamtape.com/v/pdVvG7XxR7FryQa/37202021 (2026) #Anal #BigTits #Hardcore #Bigass #Teen #Blowjob #Amateur #Deepthroat #Blonde #RIPNSFW")</f>
        <v>{New} Scarlet Chase https://lulustream.com/d/7hpxojxblf4f https://doodstream.com/d/frbu1lv7gm1p/37202021 https://streamtape.com/v/pdVvG7XxR7FryQa/37202021 (2026) #Anal #BigTits #Hardcore #Bigass #Teen #Blowjob #Amateur #Deepthroat #Blonde #RIPNSFW</v>
      </c>
      <c r="N1782" s="2" t="s">
        <v>8836</v>
      </c>
      <c r="O1782" s="30" t="s">
        <v>8837</v>
      </c>
      <c r="P1782" s="26"/>
      <c r="R1782" s="23"/>
    </row>
    <row r="1783" spans="1:18" ht="12.75">
      <c r="A1783" s="12" t="s">
        <v>8838</v>
      </c>
      <c r="B1783" s="6" t="s">
        <v>14</v>
      </c>
      <c r="C1783" s="7" t="str">
        <f t="shared" si="24"/>
        <v xml:space="preserve">Scarlett </v>
      </c>
      <c r="D1783" s="7" t="s">
        <v>8839</v>
      </c>
      <c r="E1783" s="25" t="s">
        <v>8840</v>
      </c>
      <c r="F1783" s="9" t="str">
        <f ca="1">IFERROR(__xludf.DUMMYFUNCTION("""https://streamtape.com/v/""&amp;
REGEXEXTRACT(O1783,""/thumb/([^/]+)/"")&amp;
""/""&amp;K1783"),"https://streamtape.com/v/a21lm0povVCxR28/18238704")</f>
        <v>https://streamtape.com/v/a21lm0povVCxR28/18238704</v>
      </c>
      <c r="G1783" s="10" t="e">
        <f t="shared" ca="1" si="25"/>
        <v>#NAME?</v>
      </c>
      <c r="H1783" s="11" t="str">
        <f ca="1">IFERROR(__xludf.DUMMYFUNCTION("IFERROR(SUBSTITUTE(SUBSTITUTE(REGEXEXTRACT(A1783, ""[^-]+- [^-]+- [^-]+ - (.+?)\.jpg""), "".jpg"", """"), ""-"", "", ""), """")"),"")</f>
        <v/>
      </c>
      <c r="I1783" s="40" t="s">
        <v>8841</v>
      </c>
      <c r="J1783" s="7" t="str">
        <f t="shared" ca="1" si="26"/>
        <v>(2026)</v>
      </c>
      <c r="K1783" s="7" t="str">
        <f t="shared" si="27"/>
        <v>18238704</v>
      </c>
      <c r="L1783" s="12" t="s">
        <v>8842</v>
      </c>
      <c r="M1783" s="13" t="str">
        <f ca="1">IFERROR(__xludf.DUMMYFUNCTION("TRIM(
  REGEXREPLACE(
    TEXTJOIN("" "",
      TRUE,
      B1783,
      C1783,
      embaralharLinks(E1783,F1783,G1783),
      H1783,
      """",
      J1783,
      N1783,
      ""#RIPNSFW""
    ),
  "",\s*"", "" "")
)"),"{New} Scarlett https://streamtape.com/v/a21lm0povVCxR28/18238704 https://doodstream.com/d/wfwsvwmam6b4/18238704 https://lulustream.com/d/x39m65m6l3xx (2026) #BigTits #Hardcore #Porn #Blowjob #RIPNSFW")</f>
        <v>{New} Scarlett https://streamtape.com/v/a21lm0povVCxR28/18238704 https://doodstream.com/d/wfwsvwmam6b4/18238704 https://lulustream.com/d/x39m65m6l3xx (2026) #BigTits #Hardcore #Porn #Blowjob #RIPNSFW</v>
      </c>
      <c r="N1783" s="2" t="s">
        <v>8843</v>
      </c>
      <c r="O1783" s="30" t="s">
        <v>8844</v>
      </c>
      <c r="P1783" s="26"/>
      <c r="R1783" s="23"/>
    </row>
    <row r="1784" spans="1:18" ht="12.75">
      <c r="A1784" s="12" t="s">
        <v>8845</v>
      </c>
      <c r="B1784" s="6" t="s">
        <v>14</v>
      </c>
      <c r="C1784" s="7" t="str">
        <f t="shared" si="24"/>
        <v xml:space="preserve">Wendy Marvell </v>
      </c>
      <c r="D1784" s="7" t="s">
        <v>8846</v>
      </c>
      <c r="E1784" s="25" t="s">
        <v>8847</v>
      </c>
      <c r="F1784" s="9" t="str">
        <f ca="1">IFERROR(__xludf.DUMMYFUNCTION("""https://streamtape.com/v/""&amp;
REGEXEXTRACT(O1784,""/thumb/([^/]+)/"")&amp;
""/""&amp;K1784"),"https://streamtape.com/v/3aR4OaPkQ8hdw33/58763065")</f>
        <v>https://streamtape.com/v/3aR4OaPkQ8hdw33/58763065</v>
      </c>
      <c r="G1784" s="10" t="e">
        <f t="shared" ca="1" si="25"/>
        <v>#NAME?</v>
      </c>
      <c r="H1784" s="11" t="str">
        <f ca="1">IFERROR(__xludf.DUMMYFUNCTION("IFERROR(SUBSTITUTE(SUBSTITUTE(REGEXEXTRACT(A1784, ""[^-]+- [^-]+- [^-]+ - (.+?)\.jpg""), "".jpg"", """"), ""-"", "", ""), """")"),"")</f>
        <v/>
      </c>
      <c r="I1784" s="6"/>
      <c r="J1784" s="7" t="str">
        <f t="shared" ca="1" si="26"/>
        <v>(2026)</v>
      </c>
      <c r="K1784" s="7" t="str">
        <f t="shared" si="27"/>
        <v>58763065</v>
      </c>
      <c r="L1784" s="12" t="s">
        <v>8848</v>
      </c>
      <c r="M1784" s="13" t="str">
        <f ca="1">IFERROR(__xludf.DUMMYFUNCTION("TRIM(
  REGEXREPLACE(
    TEXTJOIN("" "",
      TRUE,
      B1784,
      C1784,
      embaralharLinks(E1784,F1784,G1784),
      H1784,
      """",
      J1784,
      N1784,
      ""#RIPNSFW""
    ),
  "",\s*"", "" "")
)"),"{New} Wendy Marvell https://doodstream.com/d/sl0xz6l9gne6/58763065 https://lulustream.com/d/ban6qd99gspv https://streamtape.com/v/3aR4OaPkQ8hdw33/58763065 (2026) #Anal #BigTits #Hardcore #Porn #RIPNSFW")</f>
        <v>{New} Wendy Marvell https://doodstream.com/d/sl0xz6l9gne6/58763065 https://lulustream.com/d/ban6qd99gspv https://streamtape.com/v/3aR4OaPkQ8hdw33/58763065 (2026) #Anal #BigTits #Hardcore #Porn #RIPNSFW</v>
      </c>
      <c r="N1784" s="2" t="s">
        <v>6115</v>
      </c>
      <c r="O1784" s="30" t="s">
        <v>8849</v>
      </c>
      <c r="P1784" s="26"/>
      <c r="R1784" s="23"/>
    </row>
    <row r="1785" spans="1:18" ht="12.75">
      <c r="A1785" s="12" t="s">
        <v>8850</v>
      </c>
      <c r="B1785" s="6" t="s">
        <v>14</v>
      </c>
      <c r="C1785" s="7" t="str">
        <f t="shared" si="24"/>
        <v xml:space="preserve">Angela White </v>
      </c>
      <c r="D1785" s="7" t="s">
        <v>8851</v>
      </c>
      <c r="E1785" s="25" t="s">
        <v>8852</v>
      </c>
      <c r="F1785" s="9" t="str">
        <f ca="1">IFERROR(__xludf.DUMMYFUNCTION("""https://streamtape.com/v/""&amp;
REGEXEXTRACT(O1785,""/thumb/([^/]+)/"")&amp;
""/""&amp;K1785"),"https://streamtape.com/v/DPlxVbewAXTkrlz/77762607")</f>
        <v>https://streamtape.com/v/DPlxVbewAXTkrlz/77762607</v>
      </c>
      <c r="G1785" s="10" t="e">
        <f t="shared" ca="1" si="25"/>
        <v>#NAME?</v>
      </c>
      <c r="H1785" s="11" t="str">
        <f ca="1">IFERROR(__xludf.DUMMYFUNCTION("IFERROR(SUBSTITUTE(SUBSTITUTE(REGEXEXTRACT(A1785, ""[^-]+- [^-]+- [^-]+ - (.+?)\.jpg""), "".jpg"", """"), ""-"", "", ""), """")"),"")</f>
        <v/>
      </c>
      <c r="I1785" s="40" t="s">
        <v>8853</v>
      </c>
      <c r="J1785" s="7" t="str">
        <f t="shared" ca="1" si="26"/>
        <v>(2026)</v>
      </c>
      <c r="K1785" s="7" t="str">
        <f t="shared" si="27"/>
        <v>77762607</v>
      </c>
      <c r="L1785" s="12" t="s">
        <v>8854</v>
      </c>
      <c r="M1785" s="13" t="str">
        <f ca="1">IFERROR(__xludf.DUMMYFUNCTION("TRIM(
  REGEXREPLACE(
    TEXTJOIN("" "",
      TRUE,
      B1785,
      C1785,
      embaralharLinks(E1785,F1785,G1785),
      H1785,
      """",
      J1785,
      N1785,
      ""#RIPNSFW""
    ),
  "",\s*"", "" "")
)"),"{New} Angela White https://lulustream.com/d/4hslkyyzmtfp https://doodstream.com/d/lm29kuked01f/77762607 https://streamtape.com/v/DPlxVbewAXTkrlz/77762607 (2026) #Anal #MILF #BigTits #Hardcore #Bigass #RIPNSFW")</f>
        <v>{New} Angela White https://lulustream.com/d/4hslkyyzmtfp https://doodstream.com/d/lm29kuked01f/77762607 https://streamtape.com/v/DPlxVbewAXTkrlz/77762607 (2026) #Anal #MILF #BigTits #Hardcore #Bigass #RIPNSFW</v>
      </c>
      <c r="N1785" s="2" t="s">
        <v>746</v>
      </c>
      <c r="O1785" s="30" t="s">
        <v>8855</v>
      </c>
      <c r="P1785" s="26"/>
      <c r="R1785" s="23"/>
    </row>
    <row r="1786" spans="1:18" ht="12.75">
      <c r="A1786" s="12" t="s">
        <v>8856</v>
      </c>
      <c r="B1786" s="6" t="s">
        <v>14</v>
      </c>
      <c r="C1786" s="7" t="str">
        <f t="shared" si="24"/>
        <v xml:space="preserve">Cory Chase </v>
      </c>
      <c r="D1786" s="7" t="s">
        <v>8857</v>
      </c>
      <c r="E1786" s="25" t="s">
        <v>8858</v>
      </c>
      <c r="F1786" s="9" t="str">
        <f ca="1">IFERROR(__xludf.DUMMYFUNCTION("""https://streamtape.com/v/""&amp;
REGEXEXTRACT(O1786,""/thumb/([^/]+)/"")&amp;
""/""&amp;K1786"),"https://streamtape.com/v/xe8QOYJvgwFk4Z7/97797979")</f>
        <v>https://streamtape.com/v/xe8QOYJvgwFk4Z7/97797979</v>
      </c>
      <c r="G1786" s="10" t="e">
        <f t="shared" ca="1" si="25"/>
        <v>#NAME?</v>
      </c>
      <c r="H1786" s="11" t="str">
        <f ca="1">IFERROR(__xludf.DUMMYFUNCTION("IFERROR(SUBSTITUTE(SUBSTITUTE(REGEXEXTRACT(A1786, ""[^-]+- [^-]+- [^-]+ - (.+?)\.jpg""), "".jpg"", """"), ""-"", "", ""), """")"),"")</f>
        <v/>
      </c>
      <c r="I1786" s="40" t="s">
        <v>8859</v>
      </c>
      <c r="J1786" s="7" t="str">
        <f t="shared" ca="1" si="26"/>
        <v>(2026)</v>
      </c>
      <c r="K1786" s="7" t="str">
        <f t="shared" si="27"/>
        <v>97797979</v>
      </c>
      <c r="L1786" s="12" t="s">
        <v>8860</v>
      </c>
      <c r="M1786" s="13" t="str">
        <f ca="1">IFERROR(__xludf.DUMMYFUNCTION("TRIM(
  REGEXREPLACE(
    TEXTJOIN("" "",
      TRUE,
      B1786,
      C1786,
      embaralharLinks(E1786,F1786,G1786),
      H1786,
      """",
      J1786,
      N1786,
      ""#RIPNSFW""
    ),
  "",\s*"", "" "")
)"),"{New} Cory Chase https://streamtape.com/v/xe8QOYJvgwFk4Z7/97797979 https://doodstream.com/d/w1lzw9rt47il/97797979 https://lulustream.com/d/544rc5hsvlfa (2026) #Anal #MILF #BigTits #Hardcore #Black #RIPNSFW")</f>
        <v>{New} Cory Chase https://streamtape.com/v/xe8QOYJvgwFk4Z7/97797979 https://doodstream.com/d/w1lzw9rt47il/97797979 https://lulustream.com/d/544rc5hsvlfa (2026) #Anal #MILF #BigTits #Hardcore #Black #RIPNSFW</v>
      </c>
      <c r="N1786" s="2" t="s">
        <v>7331</v>
      </c>
      <c r="O1786" s="30" t="s">
        <v>8861</v>
      </c>
      <c r="P1786" s="26"/>
      <c r="R1786" s="23"/>
    </row>
    <row r="1787" spans="1:18" ht="12.75">
      <c r="A1787" s="12" t="s">
        <v>8862</v>
      </c>
      <c r="B1787" s="6" t="s">
        <v>14</v>
      </c>
      <c r="C1787" s="7" t="str">
        <f t="shared" ref="C1787:C1791" si="28">LEFT(A1787,FIND("-",A1787)-1)</f>
        <v xml:space="preserve">Dani Daniels </v>
      </c>
      <c r="D1787" s="7" t="s">
        <v>8863</v>
      </c>
      <c r="E1787" s="25" t="s">
        <v>8864</v>
      </c>
      <c r="F1787" s="9" t="str">
        <f ca="1">IFERROR(__xludf.DUMMYFUNCTION("""https://streamtape.com/v/""&amp;
REGEXEXTRACT(O1787,""/thumb/([^/]+)/"")&amp;
""/""&amp;K1787"),"https://streamtape.com/v/yxAA89B93yH1Gew/88978315")</f>
        <v>https://streamtape.com/v/yxAA89B93yH1Gew/88978315</v>
      </c>
      <c r="G1787" s="10" t="e">
        <f t="shared" ref="G1787:G1791" ca="1" si="29">_xludf.CONCAT(D1787,K1787)</f>
        <v>#NAME?</v>
      </c>
      <c r="H1787" s="11" t="str">
        <f ca="1">IFERROR(__xludf.DUMMYFUNCTION("IFERROR(SUBSTITUTE(SUBSTITUTE(REGEXEXTRACT(A1787, ""[^-]+- [^-]+- [^-]+ - (.+?)\.jpg""), "".jpg"", """"), ""-"", "", ""), """")"),"")</f>
        <v/>
      </c>
      <c r="I1787" s="40" t="s">
        <v>8865</v>
      </c>
      <c r="J1787" s="7" t="str">
        <f t="shared" ref="J1787:J1791" ca="1" si="30">IF(B1787="{New}", "(" &amp; YEAR(TODAY()) &amp; ")", "")</f>
        <v>(2026)</v>
      </c>
      <c r="K1787" s="7" t="str">
        <f t="shared" ref="K1787:K1791" si="31">MID(A1787,FIND("-",A1787)+2,8)</f>
        <v>88978315</v>
      </c>
      <c r="L1787" s="12" t="s">
        <v>2350</v>
      </c>
      <c r="M1787" s="13" t="str">
        <f ca="1">IFERROR(__xludf.DUMMYFUNCTION("TRIM(
  REGEXREPLACE(
    TEXTJOIN("" "",
      TRUE,
      B1787,
      C1787,
      embaralharLinks(E1787,F1787,G1787),
      H1787,
      """",
      J1787,
      N1787,
      ""#RIPNSFW""
    ),
  "",\s*"", "" "")
)"),"{New} Dani Daniels https://streamtape.com/v/yxAA89B93yH1Gew/88978315 https://lulustream.com/d/9u3dkj6lmilo https://doodstream.com/d/4fs8ir27dvuj/88978315 (2026) #MILF #BigTits #Bigass #Blowjob #Amateur #RIPNSFW")</f>
        <v>{New} Dani Daniels https://streamtape.com/v/yxAA89B93yH1Gew/88978315 https://lulustream.com/d/9u3dkj6lmilo https://doodstream.com/d/4fs8ir27dvuj/88978315 (2026) #MILF #BigTits #Bigass #Blowjob #Amateur #RIPNSFW</v>
      </c>
      <c r="N1787" s="2" t="s">
        <v>1326</v>
      </c>
      <c r="O1787" s="30" t="s">
        <v>8866</v>
      </c>
      <c r="P1787" s="26"/>
      <c r="R1787" s="23"/>
    </row>
    <row r="1788" spans="1:18" ht="12.75">
      <c r="A1788" s="12" t="s">
        <v>8867</v>
      </c>
      <c r="B1788" s="6" t="s">
        <v>14</v>
      </c>
      <c r="C1788" s="7" t="str">
        <f t="shared" si="28"/>
        <v xml:space="preserve">Lauren Phillips </v>
      </c>
      <c r="D1788" s="7" t="s">
        <v>8868</v>
      </c>
      <c r="E1788" s="25" t="s">
        <v>8869</v>
      </c>
      <c r="F1788" s="9" t="str">
        <f ca="1">IFERROR(__xludf.DUMMYFUNCTION("""https://streamtape.com/v/""&amp;
REGEXEXTRACT(O1788,""/thumb/([^/]+)/"")&amp;
""/""&amp;K1788"),"https://streamtape.com/v/OY08ZDDqBpU1BV/51000890")</f>
        <v>https://streamtape.com/v/OY08ZDDqBpU1BV/51000890</v>
      </c>
      <c r="G1788" s="10" t="e">
        <f t="shared" ca="1" si="29"/>
        <v>#NAME?</v>
      </c>
      <c r="H1788" s="11" t="str">
        <f ca="1">IFERROR(__xludf.DUMMYFUNCTION("IFERROR(SUBSTITUTE(SUBSTITUTE(REGEXEXTRACT(A1788, ""[^-]+- [^-]+- [^-]+ - (.+?)\.jpg""), "".jpg"", """"), ""-"", "", ""), """")"),"")</f>
        <v/>
      </c>
      <c r="I1788" s="40" t="s">
        <v>8870</v>
      </c>
      <c r="J1788" s="7" t="str">
        <f t="shared" ca="1" si="30"/>
        <v>(2026)</v>
      </c>
      <c r="K1788" s="7" t="str">
        <f t="shared" si="31"/>
        <v>51000890</v>
      </c>
      <c r="L1788" s="12" t="s">
        <v>8871</v>
      </c>
      <c r="M1788" s="13" t="str">
        <f ca="1">IFERROR(__xludf.DUMMYFUNCTION("TRIM(
  REGEXREPLACE(
    TEXTJOIN("" "",
      TRUE,
      B1788,
      C1788,
      embaralharLinks(E1788,F1788,G1788),
      H1788,
      """",
      J1788,
      N1788,
      ""#RIPNSFW""
    ),
  "",\s*"", "" "")
)"),"{New} Lauren Phillips https://streamtape.com/v/OY08ZDDqBpU1BV/51000890 https://doodstream.com/d/61ipexl7zv8u/51000890 https://lulustream.com/d/slxlkk9xzghy (2026) #MILF #BigTits #Hardcore #Bigass #Porn #Blowjob #RIPNSFW")</f>
        <v>{New} Lauren Phillips https://streamtape.com/v/OY08ZDDqBpU1BV/51000890 https://doodstream.com/d/61ipexl7zv8u/51000890 https://lulustream.com/d/slxlkk9xzghy (2026) #MILF #BigTits #Hardcore #Bigass #Porn #Blowjob #RIPNSFW</v>
      </c>
      <c r="N1788" s="2" t="s">
        <v>4780</v>
      </c>
      <c r="O1788" s="30" t="s">
        <v>8872</v>
      </c>
      <c r="P1788" s="26"/>
      <c r="R1788" s="23"/>
    </row>
    <row r="1789" spans="1:18" ht="12.75">
      <c r="A1789" s="12" t="s">
        <v>8873</v>
      </c>
      <c r="B1789" s="6" t="s">
        <v>14</v>
      </c>
      <c r="C1789" s="7" t="str">
        <f t="shared" si="28"/>
        <v xml:space="preserve">Melody Marks </v>
      </c>
      <c r="D1789" s="7" t="s">
        <v>8874</v>
      </c>
      <c r="E1789" s="25" t="s">
        <v>8875</v>
      </c>
      <c r="F1789" s="9" t="str">
        <f ca="1">IFERROR(__xludf.DUMMYFUNCTION("""https://streamtape.com/v/""&amp;
REGEXEXTRACT(O1789,""/thumb/([^/]+)/"")&amp;
""/""&amp;K1789"),"https://streamtape.com/v/1D230VxDzVCe4qL/14814003")</f>
        <v>https://streamtape.com/v/1D230VxDzVCe4qL/14814003</v>
      </c>
      <c r="G1789" s="10" t="e">
        <f t="shared" ca="1" si="29"/>
        <v>#NAME?</v>
      </c>
      <c r="H1789" s="11" t="str">
        <f ca="1">IFERROR(__xludf.DUMMYFUNCTION("IFERROR(SUBSTITUTE(SUBSTITUTE(REGEXEXTRACT(A1789, ""[^-]+- [^-]+- [^-]+ - (.+?)\.jpg""), "".jpg"", """"), ""-"", "", ""), """")"),"")</f>
        <v/>
      </c>
      <c r="I1789" s="40" t="s">
        <v>8876</v>
      </c>
      <c r="J1789" s="7" t="str">
        <f t="shared" ca="1" si="30"/>
        <v>(2026)</v>
      </c>
      <c r="K1789" s="7" t="str">
        <f t="shared" si="31"/>
        <v>14814003</v>
      </c>
      <c r="L1789" s="12" t="s">
        <v>8877</v>
      </c>
      <c r="M1789" s="13" t="str">
        <f ca="1">IFERROR(__xludf.DUMMYFUNCTION("TRIM(
  REGEXREPLACE(
    TEXTJOIN("" "",
      TRUE,
      B1789,
      C1789,
      embaralharLinks(E1789,F1789,G1789),
      H1789,
      """",
      J1789,
      N1789,
      ""#RIPNSFW""
    ),
  "",\s*"", "" "")
)"),"{New} Melody Marks https://streamtape.com/v/1D230VxDzVCe4qL/14814003 https://doodstream.com/d/0b6tip4s9ck1/14814003 https://lulustream.com/d/7whdeuiaxloh (2026) #BigTits #Hardcore #Porn #Teen #Blowjob #RIPNSFW")</f>
        <v>{New} Melody Marks https://streamtape.com/v/1D230VxDzVCe4qL/14814003 https://doodstream.com/d/0b6tip4s9ck1/14814003 https://lulustream.com/d/7whdeuiaxloh (2026) #BigTits #Hardcore #Porn #Teen #Blowjob #RIPNSFW</v>
      </c>
      <c r="N1789" s="2" t="s">
        <v>612</v>
      </c>
      <c r="O1789" s="30" t="s">
        <v>8878</v>
      </c>
      <c r="P1789" s="26"/>
      <c r="R1789" s="23"/>
    </row>
    <row r="1790" spans="1:18" ht="12.75">
      <c r="A1790" s="12" t="s">
        <v>8879</v>
      </c>
      <c r="B1790" s="6" t="s">
        <v>14</v>
      </c>
      <c r="C1790" s="7" t="str">
        <f t="shared" si="28"/>
        <v xml:space="preserve">Savannah Bond </v>
      </c>
      <c r="D1790" s="7" t="s">
        <v>8880</v>
      </c>
      <c r="E1790" s="25" t="s">
        <v>8881</v>
      </c>
      <c r="F1790" s="9" t="str">
        <f ca="1">IFERROR(__xludf.DUMMYFUNCTION("""https://streamtape.com/v/""&amp;
REGEXEXTRACT(O1790,""/thumb/([^/]+)/"")&amp;
""/""&amp;K1790"),"https://streamtape.com/v/VmjOjWG1lXCyw6/89639486")</f>
        <v>https://streamtape.com/v/VmjOjWG1lXCyw6/89639486</v>
      </c>
      <c r="G1790" s="10" t="e">
        <f t="shared" ca="1" si="29"/>
        <v>#NAME?</v>
      </c>
      <c r="H1790" s="11" t="str">
        <f ca="1">IFERROR(__xludf.DUMMYFUNCTION("IFERROR(SUBSTITUTE(SUBSTITUTE(REGEXEXTRACT(A1790, ""[^-]+- [^-]+- [^-]+ - (.+?)\.jpg""), "".jpg"", """"), ""-"", "", ""), """")"),"")</f>
        <v/>
      </c>
      <c r="I1790" s="40" t="s">
        <v>8882</v>
      </c>
      <c r="J1790" s="7" t="str">
        <f t="shared" ca="1" si="30"/>
        <v>(2026)</v>
      </c>
      <c r="K1790" s="7" t="str">
        <f t="shared" si="31"/>
        <v>89639486</v>
      </c>
      <c r="L1790" s="12" t="s">
        <v>8883</v>
      </c>
      <c r="M1790" s="13" t="str">
        <f ca="1">IFERROR(__xludf.DUMMYFUNCTION("TRIM(
  REGEXREPLACE(
    TEXTJOIN("" "",
      TRUE,
      B1790,
      C1790,
      embaralharLinks(E1790,F1790,G1790),
      H1790,
      """",
      J1790,
      N1790,
      ""#RIPNSFW""
    ),
  "",\s*"", "" "")
)"),"{New} Savannah Bond https://doodstream.com/d/etbvn6zrha46/89639486 https://streamtape.com/v/VmjOjWG1lXCyw6/89639486 https://lulustream.com/d/mxz0ouee6tb2 (2026) #MILF #BigTits #Hardcore #Black #RIPNSFW")</f>
        <v>{New} Savannah Bond https://doodstream.com/d/etbvn6zrha46/89639486 https://streamtape.com/v/VmjOjWG1lXCyw6/89639486 https://lulustream.com/d/mxz0ouee6tb2 (2026) #MILF #BigTits #Hardcore #Black #RIPNSFW</v>
      </c>
      <c r="N1790" s="2" t="s">
        <v>681</v>
      </c>
      <c r="O1790" s="30" t="s">
        <v>8884</v>
      </c>
      <c r="P1790" s="26"/>
      <c r="R1790" s="23"/>
    </row>
    <row r="1791" spans="1:18" ht="12.75">
      <c r="A1791" s="12" t="s">
        <v>8885</v>
      </c>
      <c r="B1791" s="6" t="s">
        <v>14</v>
      </c>
      <c r="C1791" s="7" t="str">
        <f t="shared" si="28"/>
        <v xml:space="preserve">Vivian Taylor </v>
      </c>
      <c r="D1791" s="7" t="s">
        <v>8886</v>
      </c>
      <c r="E1791" s="25" t="s">
        <v>8887</v>
      </c>
      <c r="F1791" s="9" t="str">
        <f ca="1">IFERROR(__xludf.DUMMYFUNCTION("""https://streamtape.com/v/""&amp;
REGEXEXTRACT(O1791,""/thumb/([^/]+)/"")&amp;
""/""&amp;K1791"),"https://streamtape.com/v/4vGp2JRrqxCKobZ/52516759")</f>
        <v>https://streamtape.com/v/4vGp2JRrqxCKobZ/52516759</v>
      </c>
      <c r="G1791" s="10" t="e">
        <f t="shared" ca="1" si="29"/>
        <v>#NAME?</v>
      </c>
      <c r="H1791" s="11" t="str">
        <f ca="1">IFERROR(__xludf.DUMMYFUNCTION("IFERROR(SUBSTITUTE(SUBSTITUTE(REGEXEXTRACT(A1791, ""[^-]+- [^-]+- [^-]+ - (.+?)\.jpg""), "".jpg"", """"), ""-"", "", ""), """")"),"")</f>
        <v/>
      </c>
      <c r="I1791" s="40" t="s">
        <v>8888</v>
      </c>
      <c r="J1791" s="7" t="str">
        <f t="shared" ca="1" si="30"/>
        <v>(2026)</v>
      </c>
      <c r="K1791" s="7" t="str">
        <f t="shared" si="31"/>
        <v>52516759</v>
      </c>
      <c r="L1791" s="12" t="s">
        <v>8889</v>
      </c>
      <c r="M1791" s="13" t="str">
        <f ca="1">IFERROR(__xludf.DUMMYFUNCTION("TRIM(
  REGEXREPLACE(
    TEXTJOIN("" "",
      TRUE,
      B1791,
      C1791,
      embaralharLinks(E1791,F1791,G1791),
      H1791,
      """",
      J1791,
      N1791,
      ""#RIPNSFW""
    ),
  "",\s*"", "" "")
)"),"{New} Vivian Taylor https://streamtape.com/v/4vGp2JRrqxCKobZ/52516759 https://doodstream.com/d/d8ldui0um55e/52516759 https://lulustream.com/d/nths7amrmmij (2026) #MILF #BigTits #Hardcore #Bigass #Porn #Blowjob #RIPNSFW")</f>
        <v>{New} Vivian Taylor https://streamtape.com/v/4vGp2JRrqxCKobZ/52516759 https://doodstream.com/d/d8ldui0um55e/52516759 https://lulustream.com/d/nths7amrmmij (2026) #MILF #BigTits #Hardcore #Bigass #Porn #Blowjob #RIPNSFW</v>
      </c>
      <c r="N1791" s="2" t="s">
        <v>4780</v>
      </c>
      <c r="O1791" s="30" t="s">
        <v>8890</v>
      </c>
      <c r="P1791" s="41"/>
      <c r="R1791" s="23"/>
    </row>
    <row r="1792" spans="1:18" ht="12.75">
      <c r="A1792" s="12"/>
      <c r="D1792" s="12"/>
      <c r="E1792" s="12"/>
      <c r="F1792" s="6"/>
      <c r="H1792" s="11" t="str">
        <f ca="1">IFERROR(__xludf.DUMMYFUNCTION("IFERROR(SUBSTITUTE(SUBSTITUTE(REGEXEXTRACT(A1792, ""[^-]+- [^-]+- [^-]+ - (.+?)\.jpg""), "".jpg"", """"), ""-"", "", ""), """")"),"")</f>
        <v/>
      </c>
      <c r="L1792" s="12"/>
      <c r="M1792" s="13"/>
      <c r="N1792" s="2"/>
      <c r="O1792" s="20"/>
      <c r="P1792" s="42"/>
      <c r="R1792" s="23"/>
    </row>
    <row r="1793" spans="1:18" ht="12.75">
      <c r="A1793" s="12"/>
      <c r="D1793" s="12"/>
      <c r="E1793" s="12"/>
      <c r="F1793" s="6"/>
      <c r="H1793" s="11" t="str">
        <f ca="1">IFERROR(__xludf.DUMMYFUNCTION("IFERROR(SUBSTITUTE(SUBSTITUTE(REGEXEXTRACT(A1793, ""[^-]+- [^-]+- [^-]+ - (.+?)\.jpg""), "".jpg"", """"), ""-"", "", ""), """")"),"")</f>
        <v/>
      </c>
      <c r="L1793" s="12"/>
      <c r="M1793" s="13"/>
      <c r="N1793" s="2"/>
      <c r="O1793" s="20"/>
      <c r="P1793" s="42"/>
      <c r="R1793" s="23"/>
    </row>
    <row r="1794" spans="1:18" ht="12.75">
      <c r="F1794" s="6"/>
      <c r="H1794" s="12"/>
      <c r="O1794" s="12"/>
      <c r="P1794" s="2"/>
    </row>
    <row r="1795" spans="1:18" ht="12.75">
      <c r="A1795" s="12"/>
      <c r="D1795" s="12"/>
      <c r="E1795" s="12"/>
      <c r="F1795" s="6"/>
      <c r="H1795" s="11" t="str">
        <f ca="1">IFERROR(__xludf.DUMMYFUNCTION("IFERROR(SUBSTITUTE(SUBSTITUTE(REGEXEXTRACT(A1795, ""[^-]+- [^-]+- [^-]+ - (.+?)\.jpg""), "".jpg"", """"), ""-"", "", ""), """")"),"")</f>
        <v/>
      </c>
      <c r="L1795" s="12"/>
      <c r="M1795" s="13"/>
      <c r="N1795" s="2"/>
      <c r="O1795" s="20"/>
      <c r="P1795" s="42"/>
      <c r="R1795" s="23"/>
    </row>
    <row r="1796" spans="1:18" ht="12.75">
      <c r="A1796" s="12"/>
      <c r="D1796" s="12"/>
      <c r="E1796" s="12"/>
      <c r="F1796" s="6"/>
      <c r="H1796" s="11" t="str">
        <f ca="1">IFERROR(__xludf.DUMMYFUNCTION("IFERROR(SUBSTITUTE(SUBSTITUTE(REGEXEXTRACT(A1796, ""[^-]+- [^-]+- [^-]+ - (.+?)\.jpg""), "".jpg"", """"), ""-"", "", ""), """")"),"")</f>
        <v/>
      </c>
      <c r="L1796" s="12"/>
      <c r="M1796" s="13"/>
      <c r="N1796" s="2"/>
      <c r="O1796" s="20"/>
      <c r="P1796" s="42"/>
      <c r="R1796" s="23"/>
    </row>
    <row r="1797" spans="1:18" ht="12.75">
      <c r="A1797" s="12"/>
      <c r="D1797" s="12"/>
      <c r="E1797" s="12"/>
      <c r="F1797" s="6"/>
      <c r="H1797" s="11" t="str">
        <f ca="1">IFERROR(__xludf.DUMMYFUNCTION("IFERROR(SUBSTITUTE(SUBSTITUTE(REGEXEXTRACT(A1797, ""[^-]+- [^-]+- [^-]+ - (.+?)\.jpg""), "".jpg"", """"), ""-"", "", ""), """")"),"")</f>
        <v/>
      </c>
      <c r="L1797" s="12"/>
      <c r="M1797" s="13"/>
      <c r="N1797" s="2"/>
      <c r="O1797" s="20"/>
      <c r="P1797" s="42"/>
      <c r="R1797" s="23"/>
    </row>
    <row r="1798" spans="1:18" ht="12.75">
      <c r="A1798" s="12"/>
      <c r="D1798" s="12"/>
      <c r="E1798" s="12"/>
      <c r="F1798" s="6"/>
      <c r="H1798" s="11" t="str">
        <f ca="1">IFERROR(__xludf.DUMMYFUNCTION("IFERROR(SUBSTITUTE(SUBSTITUTE(REGEXEXTRACT(A1798, ""[^-]+- [^-]+- [^-]+ - (.+?)\.jpg""), "".jpg"", """"), ""-"", "", ""), """")"),"")</f>
        <v/>
      </c>
      <c r="L1798" s="12"/>
      <c r="M1798" s="13"/>
      <c r="N1798" s="2"/>
      <c r="O1798" s="20"/>
      <c r="P1798" s="42"/>
      <c r="R1798" s="23"/>
    </row>
    <row r="1799" spans="1:18" ht="12.75">
      <c r="H1799" s="12"/>
      <c r="O1799" s="12"/>
      <c r="P1799" s="2"/>
    </row>
    <row r="1800" spans="1:18" ht="12.75">
      <c r="A1800" s="12"/>
      <c r="D1800" s="12"/>
      <c r="E1800" s="12"/>
      <c r="H1800" s="11" t="str">
        <f ca="1">IFERROR(__xludf.DUMMYFUNCTION("IFERROR(SUBSTITUTE(SUBSTITUTE(REGEXEXTRACT(A1800, ""[^-]+- [^-]+- [^-]+ - (.+?)\.jpg""), "".jpg"", """"), ""-"", "", ""), """")"),"")</f>
        <v/>
      </c>
      <c r="L1800" s="12"/>
      <c r="M1800" s="13"/>
      <c r="N1800" s="2"/>
      <c r="O1800" s="20"/>
      <c r="P1800" s="42"/>
      <c r="R1800" s="23"/>
    </row>
    <row r="1801" spans="1:18" ht="12.75">
      <c r="A1801" s="12"/>
      <c r="D1801" s="12"/>
      <c r="E1801" s="12"/>
      <c r="H1801" s="11" t="str">
        <f ca="1">IFERROR(__xludf.DUMMYFUNCTION("IFERROR(SUBSTITUTE(SUBSTITUTE(REGEXEXTRACT(A1801, ""[^-]+- [^-]+- [^-]+ - (.+?)\.jpg""), "".jpg"", """"), ""-"", "", ""), """")"),"")</f>
        <v/>
      </c>
      <c r="L1801" s="12"/>
      <c r="M1801" s="13"/>
      <c r="N1801" s="2"/>
      <c r="O1801" s="20"/>
      <c r="P1801" s="42"/>
      <c r="R1801" s="23"/>
    </row>
    <row r="1802" spans="1:18" ht="12.75">
      <c r="A1802" s="12"/>
      <c r="D1802" s="12"/>
      <c r="E1802" s="12"/>
      <c r="H1802" s="11" t="str">
        <f ca="1">IFERROR(__xludf.DUMMYFUNCTION("IFERROR(SUBSTITUTE(SUBSTITUTE(REGEXEXTRACT(A1802, ""[^-]+- [^-]+- [^-]+ - (.+?)\.jpg""), "".jpg"", """"), ""-"", "", ""), """")"),"")</f>
        <v/>
      </c>
      <c r="L1802" s="12"/>
      <c r="M1802" s="13"/>
      <c r="N1802" s="2"/>
      <c r="O1802" s="20"/>
      <c r="P1802" s="42"/>
      <c r="R1802" s="23"/>
    </row>
    <row r="1803" spans="1:18" ht="12.75">
      <c r="A1803" s="12"/>
      <c r="D1803" s="12"/>
      <c r="E1803" s="12"/>
      <c r="H1803" s="11" t="str">
        <f ca="1">IFERROR(__xludf.DUMMYFUNCTION("IFERROR(SUBSTITUTE(SUBSTITUTE(REGEXEXTRACT(A1803, ""[^-]+- [^-]+- [^-]+ - (.+?)\.jpg""), "".jpg"", """"), ""-"", "", ""), """")"),"")</f>
        <v/>
      </c>
      <c r="L1803" s="12"/>
      <c r="M1803" s="13"/>
      <c r="N1803" s="2"/>
      <c r="O1803" s="20"/>
      <c r="P1803" s="42"/>
      <c r="R1803" s="23"/>
    </row>
    <row r="1804" spans="1:18" ht="12.75">
      <c r="A1804" s="12"/>
      <c r="D1804" s="12"/>
      <c r="E1804" s="12"/>
      <c r="H1804" s="11" t="str">
        <f ca="1">IFERROR(__xludf.DUMMYFUNCTION("IFERROR(SUBSTITUTE(SUBSTITUTE(REGEXEXTRACT(A1804, ""[^-]+- [^-]+- [^-]+ - (.+?)\.jpg""), "".jpg"", """"), ""-"", "", ""), """")"),"")</f>
        <v/>
      </c>
      <c r="L1804" s="12"/>
      <c r="M1804" s="13"/>
      <c r="N1804" s="2"/>
      <c r="O1804" s="20"/>
      <c r="P1804" s="42"/>
      <c r="R1804" s="23"/>
    </row>
    <row r="1805" spans="1:18" ht="12.75">
      <c r="H1805" s="12"/>
      <c r="O1805" s="12"/>
      <c r="P1805" s="2"/>
    </row>
    <row r="1806" spans="1:18" ht="12.75">
      <c r="A1806" s="12"/>
      <c r="D1806" s="12"/>
      <c r="E1806" s="12"/>
      <c r="H1806" s="11" t="str">
        <f ca="1">IFERROR(__xludf.DUMMYFUNCTION("IFERROR(SUBSTITUTE(SUBSTITUTE(REGEXEXTRACT(A1806, ""[^-]+- [^-]+- [^-]+ - (.+?)\.jpg""), "".jpg"", """"), ""-"", "", ""), """")"),"")</f>
        <v/>
      </c>
      <c r="L1806" s="12"/>
      <c r="M1806" s="13"/>
      <c r="N1806" s="2"/>
      <c r="O1806" s="20"/>
      <c r="P1806" s="42"/>
      <c r="R1806" s="23"/>
    </row>
    <row r="1807" spans="1:18" ht="12.75">
      <c r="A1807" s="12"/>
      <c r="D1807" s="12"/>
      <c r="E1807" s="12"/>
      <c r="H1807" s="11" t="str">
        <f ca="1">IFERROR(__xludf.DUMMYFUNCTION("IFERROR(SUBSTITUTE(SUBSTITUTE(REGEXEXTRACT(A1807, ""[^-]+- [^-]+- [^-]+ - (.+?)\.jpg""), "".jpg"", """"), ""-"", "", ""), """")"),"")</f>
        <v/>
      </c>
      <c r="L1807" s="12"/>
      <c r="M1807" s="13"/>
      <c r="N1807" s="2"/>
      <c r="O1807" s="20"/>
      <c r="P1807" s="42"/>
      <c r="R1807" s="23"/>
    </row>
    <row r="1808" spans="1:18" ht="12.75">
      <c r="A1808" s="12"/>
      <c r="D1808" s="12"/>
      <c r="E1808" s="12"/>
      <c r="H1808" s="11" t="str">
        <f ca="1">IFERROR(__xludf.DUMMYFUNCTION("IFERROR(SUBSTITUTE(SUBSTITUTE(REGEXEXTRACT(A1808, ""[^-]+- [^-]+- [^-]+ - (.+?)\.jpg""), "".jpg"", """"), ""-"", "", ""), """")"),"")</f>
        <v/>
      </c>
      <c r="L1808" s="12"/>
      <c r="M1808" s="13"/>
      <c r="N1808" s="2"/>
      <c r="O1808" s="20"/>
      <c r="P1808" s="42"/>
      <c r="R1808" s="23"/>
    </row>
    <row r="1809" spans="1:18" ht="12.75">
      <c r="A1809" s="12"/>
      <c r="D1809" s="12"/>
      <c r="E1809" s="12"/>
      <c r="H1809" s="11" t="str">
        <f ca="1">IFERROR(__xludf.DUMMYFUNCTION("IFERROR(SUBSTITUTE(SUBSTITUTE(REGEXEXTRACT(A1809, ""[^-]+- [^-]+- [^-]+ - (.+?)\.jpg""), "".jpg"", """"), ""-"", "", ""), """")"),"")</f>
        <v/>
      </c>
      <c r="L1809" s="12"/>
      <c r="M1809" s="13"/>
      <c r="N1809" s="2"/>
      <c r="O1809" s="20"/>
      <c r="P1809" s="42"/>
      <c r="R1809" s="23"/>
    </row>
    <row r="1810" spans="1:18" ht="12.75">
      <c r="H1810" s="12"/>
      <c r="O1810" s="12"/>
      <c r="P1810" s="2"/>
    </row>
    <row r="1811" spans="1:18" ht="12.75">
      <c r="A1811" s="12"/>
      <c r="D1811" s="12"/>
      <c r="E1811" s="12"/>
      <c r="H1811" s="11" t="str">
        <f ca="1">IFERROR(__xludf.DUMMYFUNCTION("IFERROR(SUBSTITUTE(SUBSTITUTE(REGEXEXTRACT(A1811, ""[^-]+- [^-]+- [^-]+ - (.+?)\.jpg""), "".jpg"", """"), ""-"", "", ""), """")"),"")</f>
        <v/>
      </c>
      <c r="L1811" s="12"/>
      <c r="M1811" s="13"/>
      <c r="N1811" s="2"/>
      <c r="O1811" s="20"/>
      <c r="P1811" s="42"/>
      <c r="R1811" s="23"/>
    </row>
    <row r="1812" spans="1:18" ht="12.75">
      <c r="A1812" s="12"/>
      <c r="D1812" s="12"/>
      <c r="E1812" s="12"/>
      <c r="H1812" s="11" t="str">
        <f ca="1">IFERROR(__xludf.DUMMYFUNCTION("IFERROR(SUBSTITUTE(SUBSTITUTE(REGEXEXTRACT(A1812, ""[^-]+- [^-]+- [^-]+ - (.+?)\.jpg""), "".jpg"", """"), ""-"", "", ""), """")"),"")</f>
        <v/>
      </c>
      <c r="L1812" s="12"/>
      <c r="M1812" s="13"/>
      <c r="N1812" s="2"/>
      <c r="O1812" s="20"/>
      <c r="P1812" s="42"/>
      <c r="R1812" s="23"/>
    </row>
    <row r="1813" spans="1:18" ht="12.75">
      <c r="A1813" s="12"/>
      <c r="D1813" s="12"/>
      <c r="E1813" s="12"/>
      <c r="H1813" s="11" t="str">
        <f ca="1">IFERROR(__xludf.DUMMYFUNCTION("IFERROR(SUBSTITUTE(SUBSTITUTE(REGEXEXTRACT(A1813, ""[^-]+- [^-]+- [^-]+ - (.+?)\.jpg""), "".jpg"", """"), ""-"", "", ""), """")"),"")</f>
        <v/>
      </c>
      <c r="L1813" s="12"/>
      <c r="M1813" s="13"/>
      <c r="N1813" s="2"/>
      <c r="O1813" s="20"/>
      <c r="P1813" s="42"/>
      <c r="R1813" s="23"/>
    </row>
    <row r="1814" spans="1:18" ht="12.75">
      <c r="A1814" s="12"/>
      <c r="D1814" s="12"/>
      <c r="E1814" s="12"/>
      <c r="H1814" s="11" t="str">
        <f ca="1">IFERROR(__xludf.DUMMYFUNCTION("IFERROR(SUBSTITUTE(SUBSTITUTE(REGEXEXTRACT(A1814, ""[^-]+- [^-]+- [^-]+ - (.+?)\.jpg""), "".jpg"", """"), ""-"", "", ""), """")"),"")</f>
        <v/>
      </c>
      <c r="L1814" s="12"/>
      <c r="M1814" s="13"/>
      <c r="N1814" s="2"/>
      <c r="O1814" s="20"/>
      <c r="P1814" s="42"/>
      <c r="R1814" s="23"/>
    </row>
    <row r="1815" spans="1:18" ht="12.75">
      <c r="H1815" s="12"/>
      <c r="O1815" s="12"/>
      <c r="P1815" s="2"/>
    </row>
    <row r="1816" spans="1:18" ht="12.75">
      <c r="A1816" s="12"/>
      <c r="D1816" s="12"/>
      <c r="E1816" s="12"/>
      <c r="H1816" s="11" t="str">
        <f ca="1">IFERROR(__xludf.DUMMYFUNCTION("IFERROR(SUBSTITUTE(SUBSTITUTE(REGEXEXTRACT(A1816, ""[^-]+- [^-]+- [^-]+ - (.+?)\.jpg""), "".jpg"", """"), ""-"", "", ""), """")"),"")</f>
        <v/>
      </c>
      <c r="L1816" s="12"/>
      <c r="M1816" s="13"/>
      <c r="N1816" s="2"/>
      <c r="O1816" s="20"/>
      <c r="P1816" s="42"/>
      <c r="R1816" s="23"/>
    </row>
    <row r="1817" spans="1:18" ht="12.75">
      <c r="A1817" s="12"/>
      <c r="D1817" s="12"/>
      <c r="E1817" s="12"/>
      <c r="H1817" s="11" t="str">
        <f ca="1">IFERROR(__xludf.DUMMYFUNCTION("IFERROR(SUBSTITUTE(SUBSTITUTE(REGEXEXTRACT(A1817, ""[^-]+- [^-]+- [^-]+ - (.+?)\.jpg""), "".jpg"", """"), ""-"", "", ""), """")"),"")</f>
        <v/>
      </c>
      <c r="L1817" s="12"/>
      <c r="M1817" s="13"/>
      <c r="N1817" s="2"/>
      <c r="O1817" s="20"/>
      <c r="P1817" s="42"/>
      <c r="R1817" s="23"/>
    </row>
    <row r="1818" spans="1:18" ht="12.75">
      <c r="A1818" s="12"/>
      <c r="D1818" s="12"/>
      <c r="E1818" s="12"/>
      <c r="H1818" s="11" t="str">
        <f ca="1">IFERROR(__xludf.DUMMYFUNCTION("IFERROR(SUBSTITUTE(SUBSTITUTE(REGEXEXTRACT(A1818, ""[^-]+- [^-]+- [^-]+ - (.+?)\.jpg""), "".jpg"", """"), ""-"", "", ""), """")"),"")</f>
        <v/>
      </c>
      <c r="L1818" s="12"/>
      <c r="M1818" s="13"/>
      <c r="N1818" s="2"/>
      <c r="O1818" s="20"/>
      <c r="P1818" s="42"/>
      <c r="R1818" s="23"/>
    </row>
    <row r="1819" spans="1:18" ht="12.75">
      <c r="A1819" s="12"/>
      <c r="D1819" s="12"/>
      <c r="E1819" s="12"/>
      <c r="H1819" s="11" t="str">
        <f ca="1">IFERROR(__xludf.DUMMYFUNCTION("IFERROR(SUBSTITUTE(SUBSTITUTE(REGEXEXTRACT(A1819, ""[^-]+- [^-]+- [^-]+ - (.+?)\.jpg""), "".jpg"", """"), ""-"", "", ""), """")"),"")</f>
        <v/>
      </c>
      <c r="L1819" s="12"/>
      <c r="M1819" s="13"/>
      <c r="N1819" s="2"/>
      <c r="O1819" s="20"/>
      <c r="P1819" s="42"/>
      <c r="R1819" s="23"/>
    </row>
    <row r="1820" spans="1:18" ht="12.75">
      <c r="A1820" s="12"/>
      <c r="B1820" s="6"/>
      <c r="C1820" s="7"/>
      <c r="D1820" s="36"/>
      <c r="E1820" s="7"/>
      <c r="F1820" s="6"/>
      <c r="G1820" s="43"/>
      <c r="H1820" s="11"/>
      <c r="I1820" s="6"/>
      <c r="J1820" s="7"/>
      <c r="K1820" s="7"/>
      <c r="L1820" s="12"/>
      <c r="M1820" s="13"/>
      <c r="N1820" s="2"/>
      <c r="O1820" s="20"/>
      <c r="P1820" s="26"/>
      <c r="R1820" s="23"/>
    </row>
    <row r="1821" spans="1:18" ht="12.75">
      <c r="A1821" s="12"/>
      <c r="D1821" s="12"/>
      <c r="E1821" s="12"/>
      <c r="H1821" s="11" t="str">
        <f ca="1">IFERROR(__xludf.DUMMYFUNCTION("IFERROR(SUBSTITUTE(SUBSTITUTE(REGEXEXTRACT(A1821, ""[^-]+- [^-]+- [^-]+ - (.+?)\.jpg""), "".jpg"", """"), ""-"", "", ""), """")"),"")</f>
        <v/>
      </c>
      <c r="L1821" s="12"/>
      <c r="M1821" s="13"/>
      <c r="N1821" s="2"/>
      <c r="O1821" s="20"/>
      <c r="P1821" s="42"/>
      <c r="R1821" s="23"/>
    </row>
    <row r="1822" spans="1:18" ht="12.75">
      <c r="A1822" s="12"/>
      <c r="D1822" s="12"/>
      <c r="E1822" s="12"/>
      <c r="H1822" s="11" t="str">
        <f ca="1">IFERROR(__xludf.DUMMYFUNCTION("IFERROR(SUBSTITUTE(SUBSTITUTE(REGEXEXTRACT(A1822, ""[^-]+- [^-]+- [^-]+ - (.+?)\.jpg""), "".jpg"", """"), ""-"", "", ""), """")"),"")</f>
        <v/>
      </c>
      <c r="L1822" s="12"/>
      <c r="M1822" s="13"/>
      <c r="N1822" s="2"/>
      <c r="O1822" s="20"/>
      <c r="P1822" s="42"/>
      <c r="R1822" s="23"/>
    </row>
    <row r="1823" spans="1:18" ht="12.75">
      <c r="A1823" s="12"/>
      <c r="D1823" s="12"/>
      <c r="E1823" s="12"/>
      <c r="H1823" s="11" t="str">
        <f ca="1">IFERROR(__xludf.DUMMYFUNCTION("IFERROR(SUBSTITUTE(SUBSTITUTE(REGEXEXTRACT(A1823, ""[^-]+- [^-]+- [^-]+ - (.+?)\.jpg""), "".jpg"", """"), ""-"", "", ""), """")"),"")</f>
        <v/>
      </c>
      <c r="L1823" s="12"/>
      <c r="M1823" s="13"/>
      <c r="N1823" s="2"/>
      <c r="O1823" s="20"/>
      <c r="P1823" s="42"/>
      <c r="R1823" s="23"/>
    </row>
    <row r="1824" spans="1:18" ht="12.75">
      <c r="A1824" s="12"/>
      <c r="D1824" s="12"/>
      <c r="E1824" s="12"/>
      <c r="H1824" s="11" t="str">
        <f ca="1">IFERROR(__xludf.DUMMYFUNCTION("IFERROR(SUBSTITUTE(SUBSTITUTE(REGEXEXTRACT(A1824, ""[^-]+- [^-]+- [^-]+ - (.+?)\.jpg""), "".jpg"", """"), ""-"", "", ""), """")"),"")</f>
        <v/>
      </c>
      <c r="L1824" s="12"/>
      <c r="M1824" s="13"/>
      <c r="N1824" s="2"/>
      <c r="O1824" s="20"/>
      <c r="P1824" s="42"/>
      <c r="R1824" s="23"/>
    </row>
    <row r="1825" spans="1:18" ht="12.75">
      <c r="A1825" s="12"/>
      <c r="D1825" s="12"/>
      <c r="E1825" s="12"/>
      <c r="H1825" s="11" t="str">
        <f ca="1">IFERROR(__xludf.DUMMYFUNCTION("IFERROR(SUBSTITUTE(SUBSTITUTE(REGEXEXTRACT(A1825, ""[^-]+- [^-]+- [^-]+ - (.+?)\.jpg""), "".jpg"", """"), ""-"", "", ""), """")"),"")</f>
        <v/>
      </c>
      <c r="L1825" s="12"/>
      <c r="M1825" s="13"/>
      <c r="N1825" s="2"/>
      <c r="O1825" s="20"/>
      <c r="P1825" s="42"/>
      <c r="R1825" s="23"/>
    </row>
    <row r="1826" spans="1:18" ht="12.75">
      <c r="A1826" s="12"/>
      <c r="D1826" s="12"/>
      <c r="E1826" s="12"/>
      <c r="H1826" s="11" t="str">
        <f ca="1">IFERROR(__xludf.DUMMYFUNCTION("IFERROR(SUBSTITUTE(SUBSTITUTE(REGEXEXTRACT(A1826, ""[^-]+- [^-]+- [^-]+ - (.+?)\.jpg""), "".jpg"", """"), ""-"", "", ""), """")"),"")</f>
        <v/>
      </c>
      <c r="L1826" s="12"/>
      <c r="M1826" s="13"/>
      <c r="N1826" s="2"/>
      <c r="O1826" s="20"/>
      <c r="P1826" s="42"/>
      <c r="R1826" s="23"/>
    </row>
    <row r="1827" spans="1:18" ht="12.75">
      <c r="A1827" s="12"/>
      <c r="D1827" s="12"/>
      <c r="E1827" s="12"/>
      <c r="H1827" s="11" t="str">
        <f ca="1">IFERROR(__xludf.DUMMYFUNCTION("IFERROR(SUBSTITUTE(SUBSTITUTE(REGEXEXTRACT(A1827, ""[^-]+- [^-]+- [^-]+ - (.+?)\.jpg""), "".jpg"", """"), ""-"", "", ""), """")"),"")</f>
        <v/>
      </c>
      <c r="L1827" s="12"/>
      <c r="M1827" s="13"/>
      <c r="N1827" s="2"/>
      <c r="O1827" s="20"/>
      <c r="P1827" s="42"/>
      <c r="R1827" s="23"/>
    </row>
    <row r="1828" spans="1:18" ht="12.75">
      <c r="A1828" s="12"/>
      <c r="D1828" s="12"/>
      <c r="E1828" s="12"/>
      <c r="H1828" s="11" t="str">
        <f ca="1">IFERROR(__xludf.DUMMYFUNCTION("IFERROR(SUBSTITUTE(SUBSTITUTE(REGEXEXTRACT(A1828, ""[^-]+- [^-]+- [^-]+ - (.+?)\.jpg""), "".jpg"", """"), ""-"", "", ""), """")"),"")</f>
        <v/>
      </c>
      <c r="L1828" s="12"/>
      <c r="M1828" s="13"/>
      <c r="N1828" s="2"/>
      <c r="O1828" s="20"/>
      <c r="P1828" s="42"/>
      <c r="R1828" s="23"/>
    </row>
    <row r="1829" spans="1:18" ht="12.75">
      <c r="A1829" s="12"/>
      <c r="D1829" s="12"/>
      <c r="E1829" s="12"/>
      <c r="H1829" s="11" t="str">
        <f ca="1">IFERROR(__xludf.DUMMYFUNCTION("IFERROR(SUBSTITUTE(SUBSTITUTE(REGEXEXTRACT(A1829, ""[^-]+- [^-]+- [^-]+ - (.+?)\.jpg""), "".jpg"", """"), ""-"", "", ""), """")"),"")</f>
        <v/>
      </c>
      <c r="L1829" s="12"/>
      <c r="M1829" s="13"/>
      <c r="N1829" s="2"/>
      <c r="O1829" s="20"/>
      <c r="P1829" s="42"/>
      <c r="R1829" s="23"/>
    </row>
    <row r="1830" spans="1:18" ht="12.75">
      <c r="A1830" s="12"/>
      <c r="D1830" s="12"/>
      <c r="E1830" s="12"/>
      <c r="H1830" s="11" t="str">
        <f ca="1">IFERROR(__xludf.DUMMYFUNCTION("IFERROR(SUBSTITUTE(SUBSTITUTE(REGEXEXTRACT(A1830, ""[^-]+- [^-]+- [^-]+ - (.+?)\.jpg""), "".jpg"", """"), ""-"", "", ""), """")"),"")</f>
        <v/>
      </c>
      <c r="L1830" s="12"/>
      <c r="M1830" s="13"/>
      <c r="N1830" s="2"/>
      <c r="O1830" s="20"/>
      <c r="P1830" s="42"/>
      <c r="R1830" s="23"/>
    </row>
    <row r="1831" spans="1:18" ht="12.75">
      <c r="A1831" s="12"/>
      <c r="D1831" s="12"/>
      <c r="E1831" s="12"/>
      <c r="H1831" s="11" t="str">
        <f ca="1">IFERROR(__xludf.DUMMYFUNCTION("IFERROR(SUBSTITUTE(SUBSTITUTE(REGEXEXTRACT(A1831, ""[^-]+- [^-]+- [^-]+ - (.+?)\.jpg""), "".jpg"", """"), ""-"", "", ""), """")"),"")</f>
        <v/>
      </c>
      <c r="L1831" s="12"/>
      <c r="M1831" s="13"/>
      <c r="N1831" s="2"/>
      <c r="O1831" s="20"/>
      <c r="P1831" s="42"/>
      <c r="R1831" s="23"/>
    </row>
    <row r="1832" spans="1:18" ht="12.75">
      <c r="A1832" s="12"/>
      <c r="D1832" s="12"/>
      <c r="E1832" s="12"/>
      <c r="H1832" s="11" t="str">
        <f ca="1">IFERROR(__xludf.DUMMYFUNCTION("IFERROR(SUBSTITUTE(SUBSTITUTE(REGEXEXTRACT(A1832, ""[^-]+- [^-]+- [^-]+ - (.+?)\.jpg""), "".jpg"", """"), ""-"", "", ""), """")"),"")</f>
        <v/>
      </c>
      <c r="L1832" s="12"/>
      <c r="M1832" s="13"/>
      <c r="N1832" s="2"/>
      <c r="O1832" s="20"/>
      <c r="P1832" s="42"/>
      <c r="R1832" s="23"/>
    </row>
    <row r="1833" spans="1:18" ht="12.75">
      <c r="A1833" s="12"/>
      <c r="D1833" s="12"/>
      <c r="E1833" s="12"/>
      <c r="H1833" s="11" t="str">
        <f ca="1">IFERROR(__xludf.DUMMYFUNCTION("IFERROR(SUBSTITUTE(SUBSTITUTE(REGEXEXTRACT(A1833, ""[^-]+- [^-]+- [^-]+ - (.+?)\.jpg""), "".jpg"", """"), ""-"", "", ""), """")"),"")</f>
        <v/>
      </c>
      <c r="L1833" s="12"/>
      <c r="M1833" s="13"/>
      <c r="N1833" s="2"/>
      <c r="O1833" s="20"/>
      <c r="P1833" s="42"/>
      <c r="R1833" s="23"/>
    </row>
    <row r="1834" spans="1:18" ht="12.75">
      <c r="A1834" s="12"/>
      <c r="D1834" s="12"/>
      <c r="E1834" s="12"/>
      <c r="H1834" s="11" t="str">
        <f ca="1">IFERROR(__xludf.DUMMYFUNCTION("IFERROR(SUBSTITUTE(SUBSTITUTE(REGEXEXTRACT(A1834, ""[^-]+- [^-]+- [^-]+ - (.+?)\.jpg""), "".jpg"", """"), ""-"", "", ""), """")"),"")</f>
        <v/>
      </c>
      <c r="L1834" s="12"/>
      <c r="M1834" s="13"/>
      <c r="N1834" s="2"/>
      <c r="O1834" s="20"/>
      <c r="P1834" s="42"/>
      <c r="R1834" s="23"/>
    </row>
    <row r="1835" spans="1:18" ht="12.75">
      <c r="A1835" s="12"/>
      <c r="D1835" s="12"/>
      <c r="E1835" s="12"/>
      <c r="H1835" s="11" t="str">
        <f ca="1">IFERROR(__xludf.DUMMYFUNCTION("IFERROR(SUBSTITUTE(SUBSTITUTE(REGEXEXTRACT(A1835, ""[^-]+- [^-]+- [^-]+ - (.+?)\.jpg""), "".jpg"", """"), ""-"", "", ""), """")"),"")</f>
        <v/>
      </c>
      <c r="L1835" s="12"/>
      <c r="M1835" s="13"/>
      <c r="N1835" s="2"/>
      <c r="O1835" s="20"/>
      <c r="P1835" s="42"/>
      <c r="R1835" s="23"/>
    </row>
    <row r="1836" spans="1:18" ht="12.75">
      <c r="A1836" s="12"/>
      <c r="D1836" s="12"/>
      <c r="E1836" s="12"/>
      <c r="H1836" s="11" t="str">
        <f ca="1">IFERROR(__xludf.DUMMYFUNCTION("IFERROR(SUBSTITUTE(SUBSTITUTE(REGEXEXTRACT(A1836, ""[^-]+- [^-]+- [^-]+ - (.+?)\.jpg""), "".jpg"", """"), ""-"", "", ""), """")"),"")</f>
        <v/>
      </c>
      <c r="L1836" s="12"/>
      <c r="M1836" s="13"/>
      <c r="N1836" s="2"/>
      <c r="O1836" s="20"/>
      <c r="P1836" s="42"/>
      <c r="R1836" s="23"/>
    </row>
    <row r="1837" spans="1:18" ht="12.75">
      <c r="A1837" s="12"/>
      <c r="D1837" s="12"/>
      <c r="E1837" s="12"/>
      <c r="H1837" s="11" t="str">
        <f ca="1">IFERROR(__xludf.DUMMYFUNCTION("IFERROR(SUBSTITUTE(SUBSTITUTE(REGEXEXTRACT(A1837, ""[^-]+- [^-]+- [^-]+ - (.+?)\.jpg""), "".jpg"", """"), ""-"", "", ""), """")"),"")</f>
        <v/>
      </c>
      <c r="L1837" s="12"/>
      <c r="M1837" s="13"/>
      <c r="N1837" s="2"/>
      <c r="O1837" s="20"/>
      <c r="P1837" s="42"/>
      <c r="R1837" s="23"/>
    </row>
    <row r="1838" spans="1:18" ht="12.75">
      <c r="A1838" s="12"/>
      <c r="D1838" s="12"/>
      <c r="E1838" s="12"/>
      <c r="H1838" s="11" t="str">
        <f ca="1">IFERROR(__xludf.DUMMYFUNCTION("IFERROR(SUBSTITUTE(SUBSTITUTE(REGEXEXTRACT(A1838, ""[^-]+- [^-]+- [^-]+ - (.+?)\.jpg""), "".jpg"", """"), ""-"", "", ""), """")"),"")</f>
        <v/>
      </c>
      <c r="L1838" s="12"/>
      <c r="M1838" s="13"/>
      <c r="N1838" s="2"/>
      <c r="O1838" s="20"/>
      <c r="P1838" s="42"/>
      <c r="R1838" s="23"/>
    </row>
    <row r="1839" spans="1:18" ht="12.75">
      <c r="A1839" s="12"/>
      <c r="D1839" s="12"/>
      <c r="E1839" s="12"/>
      <c r="H1839" s="11" t="str">
        <f ca="1">IFERROR(__xludf.DUMMYFUNCTION("IFERROR(SUBSTITUTE(SUBSTITUTE(REGEXEXTRACT(A1839, ""[^-]+- [^-]+- [^-]+ - (.+?)\.jpg""), "".jpg"", """"), ""-"", "", ""), """")"),"")</f>
        <v/>
      </c>
      <c r="L1839" s="12"/>
      <c r="M1839" s="13"/>
      <c r="N1839" s="2"/>
      <c r="O1839" s="20"/>
      <c r="P1839" s="42"/>
      <c r="R1839" s="23"/>
    </row>
    <row r="1840" spans="1:18" ht="12.75">
      <c r="A1840" s="12"/>
      <c r="D1840" s="12"/>
      <c r="E1840" s="12"/>
      <c r="H1840" s="11" t="str">
        <f ca="1">IFERROR(__xludf.DUMMYFUNCTION("IFERROR(SUBSTITUTE(SUBSTITUTE(REGEXEXTRACT(A1840, ""[^-]+- [^-]+- [^-]+ - (.+?)\.jpg""), "".jpg"", """"), ""-"", "", ""), """")"),"")</f>
        <v/>
      </c>
      <c r="L1840" s="12"/>
      <c r="M1840" s="13"/>
      <c r="N1840" s="2"/>
      <c r="O1840" s="20"/>
      <c r="P1840" s="42"/>
      <c r="R1840" s="23"/>
    </row>
    <row r="1841" spans="1:18" ht="12.75">
      <c r="A1841" s="12"/>
      <c r="D1841" s="12"/>
      <c r="E1841" s="12"/>
      <c r="H1841" s="11" t="str">
        <f ca="1">IFERROR(__xludf.DUMMYFUNCTION("IFERROR(SUBSTITUTE(SUBSTITUTE(REGEXEXTRACT(A1841, ""[^-]+- [^-]+- [^-]+ - (.+?)\.jpg""), "".jpg"", """"), ""-"", "", ""), """")"),"")</f>
        <v/>
      </c>
      <c r="L1841" s="12"/>
      <c r="M1841" s="13"/>
      <c r="N1841" s="2"/>
      <c r="O1841" s="20"/>
      <c r="P1841" s="42"/>
      <c r="R1841" s="23"/>
    </row>
    <row r="1842" spans="1:18" ht="12.75">
      <c r="A1842" s="12"/>
      <c r="D1842" s="12"/>
      <c r="E1842" s="12"/>
      <c r="H1842" s="11" t="str">
        <f ca="1">IFERROR(__xludf.DUMMYFUNCTION("IFERROR(SUBSTITUTE(SUBSTITUTE(REGEXEXTRACT(A1842, ""[^-]+- [^-]+- [^-]+ - (.+?)\.jpg""), "".jpg"", """"), ""-"", "", ""), """")"),"")</f>
        <v/>
      </c>
      <c r="L1842" s="12"/>
      <c r="M1842" s="13"/>
      <c r="N1842" s="2"/>
      <c r="O1842" s="20"/>
      <c r="P1842" s="42"/>
      <c r="R1842" s="23"/>
    </row>
    <row r="1843" spans="1:18" ht="12.75">
      <c r="A1843" s="12"/>
      <c r="D1843" s="12"/>
      <c r="E1843" s="12"/>
      <c r="H1843" s="11" t="str">
        <f ca="1">IFERROR(__xludf.DUMMYFUNCTION("IFERROR(SUBSTITUTE(SUBSTITUTE(REGEXEXTRACT(A1843, ""[^-]+- [^-]+- [^-]+ - (.+?)\.jpg""), "".jpg"", """"), ""-"", "", ""), """")"),"")</f>
        <v/>
      </c>
      <c r="L1843" s="12"/>
      <c r="M1843" s="13"/>
      <c r="N1843" s="2"/>
      <c r="O1843" s="20"/>
      <c r="P1843" s="42"/>
      <c r="R1843" s="23"/>
    </row>
    <row r="1844" spans="1:18" ht="12.75">
      <c r="A1844" s="12"/>
      <c r="D1844" s="12"/>
      <c r="E1844" s="12"/>
      <c r="H1844" s="11" t="str">
        <f ca="1">IFERROR(__xludf.DUMMYFUNCTION("IFERROR(SUBSTITUTE(SUBSTITUTE(REGEXEXTRACT(A1844, ""[^-]+- [^-]+- [^-]+ - (.+?)\.jpg""), "".jpg"", """"), ""-"", "", ""), """")"),"")</f>
        <v/>
      </c>
      <c r="L1844" s="12"/>
      <c r="M1844" s="13"/>
      <c r="N1844" s="2"/>
      <c r="O1844" s="20"/>
      <c r="P1844" s="42"/>
      <c r="R1844" s="23"/>
    </row>
    <row r="1845" spans="1:18" ht="12.75">
      <c r="A1845" s="12"/>
      <c r="D1845" s="12"/>
      <c r="E1845" s="12"/>
      <c r="H1845" s="11" t="str">
        <f ca="1">IFERROR(__xludf.DUMMYFUNCTION("IFERROR(SUBSTITUTE(SUBSTITUTE(REGEXEXTRACT(A1845, ""[^-]+- [^-]+- [^-]+ - (.+?)\.jpg""), "".jpg"", """"), ""-"", "", ""), """")"),"")</f>
        <v/>
      </c>
      <c r="L1845" s="12"/>
      <c r="M1845" s="13"/>
      <c r="N1845" s="2"/>
      <c r="O1845" s="20"/>
      <c r="P1845" s="42"/>
      <c r="R1845" s="23"/>
    </row>
    <row r="1846" spans="1:18" ht="12.75">
      <c r="A1846" s="12"/>
      <c r="D1846" s="12"/>
      <c r="E1846" s="12"/>
      <c r="H1846" s="11" t="str">
        <f ca="1">IFERROR(__xludf.DUMMYFUNCTION("IFERROR(SUBSTITUTE(SUBSTITUTE(REGEXEXTRACT(A1846, ""[^-]+- [^-]+- [^-]+ - (.+?)\.jpg""), "".jpg"", """"), ""-"", "", ""), """")"),"")</f>
        <v/>
      </c>
      <c r="L1846" s="12"/>
      <c r="M1846" s="13"/>
      <c r="N1846" s="2"/>
      <c r="O1846" s="20"/>
      <c r="P1846" s="42"/>
      <c r="R1846" s="23"/>
    </row>
    <row r="1847" spans="1:18" ht="12.75">
      <c r="A1847" s="12"/>
      <c r="D1847" s="12"/>
      <c r="E1847" s="12"/>
      <c r="H1847" s="11" t="str">
        <f ca="1">IFERROR(__xludf.DUMMYFUNCTION("IFERROR(SUBSTITUTE(SUBSTITUTE(REGEXEXTRACT(A1847, ""[^-]+- [^-]+- [^-]+ - (.+?)\.jpg""), "".jpg"", """"), ""-"", "", ""), """")"),"")</f>
        <v/>
      </c>
      <c r="L1847" s="12"/>
      <c r="M1847" s="13"/>
      <c r="N1847" s="2"/>
      <c r="O1847" s="20"/>
      <c r="P1847" s="42"/>
      <c r="R1847" s="23"/>
    </row>
    <row r="1848" spans="1:18" ht="12.75">
      <c r="A1848" s="12"/>
      <c r="D1848" s="12"/>
      <c r="E1848" s="12"/>
      <c r="H1848" s="11" t="str">
        <f ca="1">IFERROR(__xludf.DUMMYFUNCTION("IFERROR(SUBSTITUTE(SUBSTITUTE(REGEXEXTRACT(A1848, ""[^-]+- [^-]+- [^-]+ - (.+?)\.jpg""), "".jpg"", """"), ""-"", "", ""), """")"),"")</f>
        <v/>
      </c>
      <c r="L1848" s="12"/>
      <c r="M1848" s="13"/>
      <c r="N1848" s="2"/>
      <c r="O1848" s="20"/>
      <c r="P1848" s="42"/>
      <c r="R1848" s="23"/>
    </row>
    <row r="1849" spans="1:18" ht="12.75">
      <c r="A1849" s="12"/>
      <c r="D1849" s="12"/>
      <c r="E1849" s="12"/>
      <c r="H1849" s="11" t="str">
        <f ca="1">IFERROR(__xludf.DUMMYFUNCTION("IFERROR(SUBSTITUTE(SUBSTITUTE(REGEXEXTRACT(A1849, ""[^-]+- [^-]+- [^-]+ - (.+?)\.jpg""), "".jpg"", """"), ""-"", "", ""), """")"),"")</f>
        <v/>
      </c>
      <c r="L1849" s="12"/>
      <c r="M1849" s="13"/>
      <c r="N1849" s="2"/>
      <c r="O1849" s="20"/>
      <c r="P1849" s="42"/>
      <c r="R1849" s="23"/>
    </row>
    <row r="1850" spans="1:18" ht="12.75">
      <c r="A1850" s="12"/>
      <c r="D1850" s="12"/>
      <c r="E1850" s="12"/>
      <c r="H1850" s="11" t="str">
        <f ca="1">IFERROR(__xludf.DUMMYFUNCTION("IFERROR(SUBSTITUTE(SUBSTITUTE(REGEXEXTRACT(A1850, ""[^-]+- [^-]+- [^-]+ - (.+?)\.jpg""), "".jpg"", """"), ""-"", "", ""), """")"),"")</f>
        <v/>
      </c>
      <c r="L1850" s="12"/>
      <c r="M1850" s="13"/>
      <c r="N1850" s="2"/>
      <c r="O1850" s="20"/>
      <c r="P1850" s="42"/>
      <c r="R1850" s="23"/>
    </row>
    <row r="1851" spans="1:18" ht="12.75">
      <c r="A1851" s="12"/>
      <c r="D1851" s="12"/>
      <c r="E1851" s="12"/>
      <c r="H1851" s="11" t="str">
        <f ca="1">IFERROR(__xludf.DUMMYFUNCTION("IFERROR(SUBSTITUTE(SUBSTITUTE(REGEXEXTRACT(A1851, ""[^-]+- [^-]+- [^-]+ - (.+?)\.jpg""), "".jpg"", """"), ""-"", "", ""), """")"),"")</f>
        <v/>
      </c>
      <c r="L1851" s="12"/>
      <c r="M1851" s="13"/>
      <c r="N1851" s="2"/>
      <c r="O1851" s="20"/>
      <c r="P1851" s="42"/>
      <c r="R1851" s="23"/>
    </row>
    <row r="1852" spans="1:18" ht="12.75">
      <c r="A1852" s="12"/>
      <c r="D1852" s="12"/>
      <c r="E1852" s="12"/>
      <c r="H1852" s="11" t="str">
        <f ca="1">IFERROR(__xludf.DUMMYFUNCTION("IFERROR(SUBSTITUTE(SUBSTITUTE(REGEXEXTRACT(A1852, ""[^-]+- [^-]+- [^-]+ - (.+?)\.jpg""), "".jpg"", """"), ""-"", "", ""), """")"),"")</f>
        <v/>
      </c>
      <c r="L1852" s="12"/>
      <c r="M1852" s="13"/>
      <c r="N1852" s="2"/>
      <c r="O1852" s="20"/>
      <c r="P1852" s="42"/>
      <c r="R1852" s="23"/>
    </row>
    <row r="1853" spans="1:18" ht="12.75">
      <c r="A1853" s="12"/>
      <c r="D1853" s="12"/>
      <c r="E1853" s="12"/>
      <c r="H1853" s="11" t="str">
        <f ca="1">IFERROR(__xludf.DUMMYFUNCTION("IFERROR(SUBSTITUTE(SUBSTITUTE(REGEXEXTRACT(A1853, ""[^-]+- [^-]+- [^-]+ - (.+?)\.jpg""), "".jpg"", """"), ""-"", "", ""), """")"),"")</f>
        <v/>
      </c>
      <c r="L1853" s="12"/>
      <c r="M1853" s="13"/>
      <c r="N1853" s="2"/>
      <c r="O1853" s="20"/>
      <c r="P1853" s="42"/>
      <c r="R1853" s="23"/>
    </row>
    <row r="1854" spans="1:18" ht="12.75">
      <c r="A1854" s="12"/>
      <c r="D1854" s="12"/>
      <c r="E1854" s="12"/>
      <c r="H1854" s="11" t="str">
        <f ca="1">IFERROR(__xludf.DUMMYFUNCTION("IFERROR(SUBSTITUTE(SUBSTITUTE(REGEXEXTRACT(A1854, ""[^-]+- [^-]+- [^-]+ - (.+?)\.jpg""), "".jpg"", """"), ""-"", "", ""), """")"),"")</f>
        <v/>
      </c>
      <c r="L1854" s="12"/>
      <c r="M1854" s="13"/>
      <c r="N1854" s="2"/>
      <c r="O1854" s="20"/>
      <c r="P1854" s="42"/>
      <c r="R1854" s="23"/>
    </row>
    <row r="1855" spans="1:18" ht="12.75">
      <c r="A1855" s="12"/>
      <c r="D1855" s="12"/>
      <c r="E1855" s="12"/>
      <c r="H1855" s="11" t="str">
        <f ca="1">IFERROR(__xludf.DUMMYFUNCTION("IFERROR(SUBSTITUTE(SUBSTITUTE(REGEXEXTRACT(A1855, ""[^-]+- [^-]+- [^-]+ - (.+?)\.jpg""), "".jpg"", """"), ""-"", "", ""), """")"),"")</f>
        <v/>
      </c>
      <c r="L1855" s="12"/>
      <c r="M1855" s="13"/>
      <c r="N1855" s="2"/>
      <c r="O1855" s="20"/>
      <c r="P1855" s="42"/>
      <c r="R1855" s="23"/>
    </row>
    <row r="1856" spans="1:18" ht="12.75">
      <c r="A1856" s="12"/>
      <c r="D1856" s="12"/>
      <c r="E1856" s="12"/>
      <c r="H1856" s="11" t="str">
        <f ca="1">IFERROR(__xludf.DUMMYFUNCTION("IFERROR(SUBSTITUTE(SUBSTITUTE(REGEXEXTRACT(A1856, ""[^-]+- [^-]+- [^-]+ - (.+?)\.jpg""), "".jpg"", """"), ""-"", "", ""), """")"),"")</f>
        <v/>
      </c>
      <c r="L1856" s="12"/>
      <c r="M1856" s="13"/>
      <c r="N1856" s="2"/>
      <c r="O1856" s="20"/>
      <c r="P1856" s="42"/>
      <c r="R1856" s="23"/>
    </row>
    <row r="1857" spans="1:18" ht="12.75">
      <c r="A1857" s="12"/>
      <c r="D1857" s="12"/>
      <c r="E1857" s="12"/>
      <c r="H1857" s="11" t="str">
        <f ca="1">IFERROR(__xludf.DUMMYFUNCTION("IFERROR(SUBSTITUTE(SUBSTITUTE(REGEXEXTRACT(A1857, ""[^-]+- [^-]+- [^-]+ - (.+?)\.jpg""), "".jpg"", """"), ""-"", "", ""), """")"),"")</f>
        <v/>
      </c>
      <c r="L1857" s="12"/>
      <c r="M1857" s="13"/>
      <c r="N1857" s="2"/>
      <c r="O1857" s="20"/>
      <c r="P1857" s="42"/>
      <c r="R1857" s="23"/>
    </row>
    <row r="1858" spans="1:18" ht="12.75">
      <c r="A1858" s="12"/>
      <c r="D1858" s="12"/>
      <c r="E1858" s="12"/>
      <c r="H1858" s="11" t="str">
        <f ca="1">IFERROR(__xludf.DUMMYFUNCTION("IFERROR(SUBSTITUTE(SUBSTITUTE(REGEXEXTRACT(A1858, ""[^-]+- [^-]+- [^-]+ - (.+?)\.jpg""), "".jpg"", """"), ""-"", "", ""), """")"),"")</f>
        <v/>
      </c>
      <c r="L1858" s="12"/>
      <c r="M1858" s="13"/>
      <c r="N1858" s="2"/>
      <c r="O1858" s="20"/>
      <c r="P1858" s="42"/>
      <c r="R1858" s="23"/>
    </row>
    <row r="1859" spans="1:18" ht="12.75">
      <c r="A1859" s="12"/>
      <c r="D1859" s="12"/>
      <c r="E1859" s="12"/>
      <c r="H1859" s="11" t="str">
        <f ca="1">IFERROR(__xludf.DUMMYFUNCTION("IFERROR(SUBSTITUTE(SUBSTITUTE(REGEXEXTRACT(A1859, ""[^-]+- [^-]+- [^-]+ - (.+?)\.jpg""), "".jpg"", """"), ""-"", "", ""), """")"),"")</f>
        <v/>
      </c>
      <c r="L1859" s="12"/>
      <c r="M1859" s="13"/>
      <c r="N1859" s="2"/>
      <c r="O1859" s="20"/>
      <c r="P1859" s="42"/>
      <c r="R1859" s="23"/>
    </row>
    <row r="1860" spans="1:18" ht="12.75">
      <c r="A1860" s="12"/>
      <c r="D1860" s="12"/>
      <c r="E1860" s="12"/>
      <c r="H1860" s="11" t="str">
        <f ca="1">IFERROR(__xludf.DUMMYFUNCTION("IFERROR(SUBSTITUTE(SUBSTITUTE(REGEXEXTRACT(A1860, ""[^-]+- [^-]+- [^-]+ - (.+?)\.jpg""), "".jpg"", """"), ""-"", "", ""), """")"),"")</f>
        <v/>
      </c>
      <c r="L1860" s="12"/>
      <c r="M1860" s="13"/>
      <c r="N1860" s="2"/>
      <c r="O1860" s="20"/>
      <c r="P1860" s="42"/>
      <c r="R1860" s="23"/>
    </row>
    <row r="1861" spans="1:18" ht="12.75">
      <c r="A1861" s="12"/>
      <c r="D1861" s="12"/>
      <c r="E1861" s="12"/>
      <c r="H1861" s="11" t="str">
        <f ca="1">IFERROR(__xludf.DUMMYFUNCTION("IFERROR(SUBSTITUTE(SUBSTITUTE(REGEXEXTRACT(A1861, ""[^-]+- [^-]+- [^-]+ - (.+?)\.jpg""), "".jpg"", """"), ""-"", "", ""), """")"),"")</f>
        <v/>
      </c>
      <c r="L1861" s="12"/>
      <c r="M1861" s="13"/>
      <c r="N1861" s="2"/>
      <c r="O1861" s="20"/>
      <c r="P1861" s="42"/>
      <c r="R1861" s="23"/>
    </row>
    <row r="1862" spans="1:18" ht="12.75">
      <c r="A1862" s="12"/>
      <c r="D1862" s="12"/>
      <c r="E1862" s="12"/>
      <c r="H1862" s="11" t="str">
        <f ca="1">IFERROR(__xludf.DUMMYFUNCTION("IFERROR(SUBSTITUTE(SUBSTITUTE(REGEXEXTRACT(A1862, ""[^-]+- [^-]+- [^-]+ - (.+?)\.jpg""), "".jpg"", """"), ""-"", "", ""), """")"),"")</f>
        <v/>
      </c>
      <c r="L1862" s="12"/>
      <c r="M1862" s="13"/>
      <c r="N1862" s="2"/>
      <c r="O1862" s="20"/>
      <c r="P1862" s="42"/>
      <c r="R1862" s="23"/>
    </row>
    <row r="1863" spans="1:18" ht="12.75">
      <c r="A1863" s="12"/>
      <c r="D1863" s="12"/>
      <c r="E1863" s="12"/>
      <c r="H1863" s="11" t="str">
        <f ca="1">IFERROR(__xludf.DUMMYFUNCTION("IFERROR(SUBSTITUTE(SUBSTITUTE(REGEXEXTRACT(A1863, ""[^-]+- [^-]+- [^-]+ - (.+?)\.jpg""), "".jpg"", """"), ""-"", "", ""), """")"),"")</f>
        <v/>
      </c>
      <c r="L1863" s="12"/>
      <c r="M1863" s="13"/>
      <c r="N1863" s="2"/>
      <c r="O1863" s="20"/>
      <c r="P1863" s="42"/>
      <c r="R1863" s="23"/>
    </row>
    <row r="1864" spans="1:18" ht="12.75">
      <c r="A1864" s="12"/>
      <c r="D1864" s="12"/>
      <c r="E1864" s="12"/>
      <c r="H1864" s="11" t="str">
        <f ca="1">IFERROR(__xludf.DUMMYFUNCTION("IFERROR(SUBSTITUTE(SUBSTITUTE(REGEXEXTRACT(A1864, ""[^-]+- [^-]+- [^-]+ - (.+?)\.jpg""), "".jpg"", """"), ""-"", "", ""), """")"),"")</f>
        <v/>
      </c>
      <c r="L1864" s="12"/>
      <c r="M1864" s="13"/>
      <c r="N1864" s="2"/>
      <c r="O1864" s="20"/>
      <c r="P1864" s="42"/>
      <c r="R1864" s="23"/>
    </row>
    <row r="1865" spans="1:18" ht="12.75">
      <c r="A1865" s="12"/>
      <c r="D1865" s="12"/>
      <c r="E1865" s="12"/>
      <c r="H1865" s="11" t="str">
        <f ca="1">IFERROR(__xludf.DUMMYFUNCTION("IFERROR(SUBSTITUTE(SUBSTITUTE(REGEXEXTRACT(A1865, ""[^-]+- [^-]+- [^-]+ - (.+?)\.jpg""), "".jpg"", """"), ""-"", "", ""), """")"),"")</f>
        <v/>
      </c>
      <c r="L1865" s="12"/>
      <c r="M1865" s="13"/>
      <c r="N1865" s="2"/>
      <c r="O1865" s="20"/>
      <c r="P1865" s="42"/>
      <c r="R1865" s="23"/>
    </row>
    <row r="1866" spans="1:18" ht="12.75">
      <c r="A1866" s="12"/>
      <c r="D1866" s="12"/>
      <c r="E1866" s="12"/>
      <c r="H1866" s="11" t="str">
        <f ca="1">IFERROR(__xludf.DUMMYFUNCTION("IFERROR(SUBSTITUTE(SUBSTITUTE(REGEXEXTRACT(A1866, ""[^-]+- [^-]+- [^-]+ - (.+?)\.jpg""), "".jpg"", """"), ""-"", "", ""), """")"),"")</f>
        <v/>
      </c>
      <c r="L1866" s="12"/>
      <c r="M1866" s="13"/>
      <c r="N1866" s="2"/>
      <c r="O1866" s="20"/>
      <c r="P1866" s="42"/>
      <c r="R1866" s="23"/>
    </row>
    <row r="1867" spans="1:18" ht="12.75">
      <c r="A1867" s="12"/>
      <c r="D1867" s="12"/>
      <c r="E1867" s="12"/>
      <c r="H1867" s="11" t="str">
        <f ca="1">IFERROR(__xludf.DUMMYFUNCTION("IFERROR(SUBSTITUTE(SUBSTITUTE(REGEXEXTRACT(A1867, ""[^-]+- [^-]+- [^-]+ - (.+?)\.jpg""), "".jpg"", """"), ""-"", "", ""), """")"),"")</f>
        <v/>
      </c>
      <c r="L1867" s="12"/>
      <c r="M1867" s="13"/>
      <c r="N1867" s="2"/>
      <c r="O1867" s="20"/>
      <c r="P1867" s="42"/>
      <c r="R1867" s="23"/>
    </row>
    <row r="1868" spans="1:18" ht="12.75">
      <c r="A1868" s="12"/>
      <c r="D1868" s="12"/>
      <c r="E1868" s="12"/>
      <c r="H1868" s="11" t="str">
        <f ca="1">IFERROR(__xludf.DUMMYFUNCTION("IFERROR(SUBSTITUTE(SUBSTITUTE(REGEXEXTRACT(A1868, ""[^-]+- [^-]+- [^-]+ - (.+?)\.jpg""), "".jpg"", """"), ""-"", "", ""), """")"),"")</f>
        <v/>
      </c>
      <c r="L1868" s="12"/>
      <c r="M1868" s="13"/>
      <c r="N1868" s="2"/>
      <c r="O1868" s="20"/>
      <c r="P1868" s="42"/>
      <c r="R1868" s="23"/>
    </row>
    <row r="1869" spans="1:18" ht="12.75">
      <c r="A1869" s="12"/>
      <c r="D1869" s="12"/>
      <c r="E1869" s="12"/>
      <c r="H1869" s="11" t="str">
        <f ca="1">IFERROR(__xludf.DUMMYFUNCTION("IFERROR(SUBSTITUTE(SUBSTITUTE(REGEXEXTRACT(A1869, ""[^-]+- [^-]+- [^-]+ - (.+?)\.jpg""), "".jpg"", """"), ""-"", "", ""), """")"),"")</f>
        <v/>
      </c>
      <c r="L1869" s="12"/>
      <c r="M1869" s="13"/>
      <c r="N1869" s="2"/>
      <c r="O1869" s="20"/>
      <c r="P1869" s="42"/>
      <c r="R1869" s="23"/>
    </row>
    <row r="1870" spans="1:18" ht="12.75">
      <c r="A1870" s="12"/>
      <c r="D1870" s="12"/>
      <c r="E1870" s="12"/>
      <c r="H1870" s="11" t="str">
        <f ca="1">IFERROR(__xludf.DUMMYFUNCTION("IFERROR(SUBSTITUTE(SUBSTITUTE(REGEXEXTRACT(A1870, ""[^-]+- [^-]+- [^-]+ - (.+?)\.jpg""), "".jpg"", """"), ""-"", "", ""), """")"),"")</f>
        <v/>
      </c>
      <c r="L1870" s="12"/>
      <c r="M1870" s="13"/>
      <c r="N1870" s="2"/>
      <c r="O1870" s="20"/>
      <c r="P1870" s="42"/>
      <c r="R1870" s="23"/>
    </row>
    <row r="1871" spans="1:18" ht="12.75">
      <c r="A1871" s="12"/>
      <c r="D1871" s="12"/>
      <c r="E1871" s="12"/>
      <c r="H1871" s="11" t="str">
        <f ca="1">IFERROR(__xludf.DUMMYFUNCTION("IFERROR(SUBSTITUTE(SUBSTITUTE(REGEXEXTRACT(A1871, ""[^-]+- [^-]+- [^-]+ - (.+?)\.jpg""), "".jpg"", """"), ""-"", "", ""), """")"),"")</f>
        <v/>
      </c>
      <c r="L1871" s="12"/>
      <c r="M1871" s="13"/>
      <c r="N1871" s="2"/>
      <c r="O1871" s="20"/>
      <c r="P1871" s="42"/>
      <c r="R1871" s="23"/>
    </row>
    <row r="1872" spans="1:18" ht="12.75">
      <c r="A1872" s="12"/>
      <c r="D1872" s="12"/>
      <c r="E1872" s="12"/>
      <c r="H1872" s="11" t="str">
        <f ca="1">IFERROR(__xludf.DUMMYFUNCTION("IFERROR(SUBSTITUTE(SUBSTITUTE(REGEXEXTRACT(A1872, ""[^-]+- [^-]+- [^-]+ - (.+?)\.jpg""), "".jpg"", """"), ""-"", "", ""), """")"),"")</f>
        <v/>
      </c>
      <c r="L1872" s="12"/>
      <c r="M1872" s="13"/>
      <c r="N1872" s="2"/>
      <c r="O1872" s="20"/>
      <c r="P1872" s="42"/>
      <c r="R1872" s="23"/>
    </row>
    <row r="1873" spans="1:18" ht="12.75">
      <c r="A1873" s="12"/>
      <c r="D1873" s="12"/>
      <c r="E1873" s="12"/>
      <c r="H1873" s="11" t="str">
        <f ca="1">IFERROR(__xludf.DUMMYFUNCTION("IFERROR(SUBSTITUTE(SUBSTITUTE(REGEXEXTRACT(A1873, ""[^-]+- [^-]+- [^-]+ - (.+?)\.jpg""), "".jpg"", """"), ""-"", "", ""), """")"),"")</f>
        <v/>
      </c>
      <c r="L1873" s="12"/>
      <c r="M1873" s="13"/>
      <c r="N1873" s="2"/>
      <c r="O1873" s="20"/>
      <c r="P1873" s="42"/>
      <c r="R1873" s="23"/>
    </row>
    <row r="1874" spans="1:18" ht="12.75">
      <c r="A1874" s="12"/>
      <c r="D1874" s="12"/>
      <c r="E1874" s="12"/>
      <c r="H1874" s="11" t="str">
        <f ca="1">IFERROR(__xludf.DUMMYFUNCTION("IFERROR(SUBSTITUTE(SUBSTITUTE(REGEXEXTRACT(A1874, ""[^-]+- [^-]+- [^-]+ - (.+?)\.jpg""), "".jpg"", """"), ""-"", "", ""), """")"),"")</f>
        <v/>
      </c>
      <c r="L1874" s="12"/>
      <c r="M1874" s="13"/>
      <c r="N1874" s="2"/>
      <c r="O1874" s="20"/>
      <c r="P1874" s="42"/>
      <c r="R1874" s="23"/>
    </row>
    <row r="1875" spans="1:18" ht="12.75">
      <c r="A1875" s="12"/>
      <c r="D1875" s="12"/>
      <c r="E1875" s="12"/>
      <c r="H1875" s="11" t="str">
        <f ca="1">IFERROR(__xludf.DUMMYFUNCTION("IFERROR(SUBSTITUTE(SUBSTITUTE(REGEXEXTRACT(A1875, ""[^-]+- [^-]+- [^-]+ - (.+?)\.jpg""), "".jpg"", """"), ""-"", "", ""), """")"),"")</f>
        <v/>
      </c>
      <c r="L1875" s="12"/>
      <c r="M1875" s="13"/>
      <c r="N1875" s="2"/>
      <c r="O1875" s="20"/>
      <c r="P1875" s="42"/>
      <c r="R1875" s="23"/>
    </row>
    <row r="1876" spans="1:18" ht="12.75">
      <c r="A1876" s="12"/>
      <c r="D1876" s="12"/>
      <c r="E1876" s="12"/>
      <c r="H1876" s="11" t="str">
        <f ca="1">IFERROR(__xludf.DUMMYFUNCTION("IFERROR(SUBSTITUTE(SUBSTITUTE(REGEXEXTRACT(A1876, ""[^-]+- [^-]+- [^-]+ - (.+?)\.jpg""), "".jpg"", """"), ""-"", "", ""), """")"),"")</f>
        <v/>
      </c>
      <c r="L1876" s="12"/>
      <c r="M1876" s="13"/>
      <c r="N1876" s="2"/>
      <c r="O1876" s="20"/>
      <c r="P1876" s="42"/>
      <c r="R1876" s="23"/>
    </row>
    <row r="1877" spans="1:18" ht="12.75">
      <c r="A1877" s="12"/>
      <c r="D1877" s="12"/>
      <c r="E1877" s="12"/>
      <c r="H1877" s="11" t="str">
        <f ca="1">IFERROR(__xludf.DUMMYFUNCTION("IFERROR(SUBSTITUTE(SUBSTITUTE(REGEXEXTRACT(A1877, ""[^-]+- [^-]+- [^-]+ - (.+?)\.jpg""), "".jpg"", """"), ""-"", "", ""), """")"),"")</f>
        <v/>
      </c>
      <c r="L1877" s="12"/>
      <c r="M1877" s="13"/>
      <c r="N1877" s="2"/>
      <c r="O1877" s="20"/>
      <c r="P1877" s="42"/>
      <c r="R1877" s="23"/>
    </row>
    <row r="1878" spans="1:18" ht="12.75">
      <c r="A1878" s="12"/>
      <c r="D1878" s="12"/>
      <c r="E1878" s="12"/>
      <c r="H1878" s="11" t="str">
        <f ca="1">IFERROR(__xludf.DUMMYFUNCTION("IFERROR(SUBSTITUTE(SUBSTITUTE(REGEXEXTRACT(A1878, ""[^-]+- [^-]+- [^-]+ - (.+?)\.jpg""), "".jpg"", """"), ""-"", "", ""), """")"),"")</f>
        <v/>
      </c>
      <c r="L1878" s="12"/>
      <c r="M1878" s="13"/>
      <c r="N1878" s="2"/>
      <c r="O1878" s="20"/>
      <c r="P1878" s="42"/>
      <c r="R1878" s="23"/>
    </row>
    <row r="1879" spans="1:18" ht="12.75">
      <c r="A1879" s="12"/>
      <c r="D1879" s="12"/>
      <c r="E1879" s="12"/>
      <c r="H1879" s="11" t="str">
        <f ca="1">IFERROR(__xludf.DUMMYFUNCTION("IFERROR(SUBSTITUTE(SUBSTITUTE(REGEXEXTRACT(A1879, ""[^-]+- [^-]+- [^-]+ - (.+?)\.jpg""), "".jpg"", """"), ""-"", "", ""), """")"),"")</f>
        <v/>
      </c>
      <c r="L1879" s="12"/>
      <c r="M1879" s="13"/>
      <c r="N1879" s="2"/>
      <c r="O1879" s="20"/>
      <c r="P1879" s="42"/>
      <c r="R1879" s="23"/>
    </row>
    <row r="1880" spans="1:18" ht="12.75">
      <c r="A1880" s="12"/>
      <c r="D1880" s="12"/>
      <c r="E1880" s="12"/>
      <c r="H1880" s="11" t="str">
        <f ca="1">IFERROR(__xludf.DUMMYFUNCTION("IFERROR(SUBSTITUTE(SUBSTITUTE(REGEXEXTRACT(A1880, ""[^-]+- [^-]+- [^-]+ - (.+?)\.jpg""), "".jpg"", """"), ""-"", "", ""), """")"),"")</f>
        <v/>
      </c>
      <c r="L1880" s="12"/>
      <c r="M1880" s="13"/>
      <c r="N1880" s="2"/>
      <c r="O1880" s="20"/>
      <c r="P1880" s="42"/>
      <c r="R1880" s="23"/>
    </row>
    <row r="1881" spans="1:18" ht="12.75">
      <c r="A1881" s="12"/>
      <c r="D1881" s="12"/>
      <c r="E1881" s="12"/>
      <c r="H1881" s="11" t="str">
        <f ca="1">IFERROR(__xludf.DUMMYFUNCTION("IFERROR(SUBSTITUTE(SUBSTITUTE(REGEXEXTRACT(A1881, ""[^-]+- [^-]+- [^-]+ - (.+?)\.jpg""), "".jpg"", """"), ""-"", "", ""), """")"),"")</f>
        <v/>
      </c>
      <c r="L1881" s="12"/>
      <c r="M1881" s="13"/>
      <c r="N1881" s="2"/>
      <c r="O1881" s="20"/>
      <c r="P1881" s="42"/>
      <c r="R1881" s="23"/>
    </row>
    <row r="1882" spans="1:18" ht="12.75">
      <c r="A1882" s="12"/>
      <c r="D1882" s="12"/>
      <c r="E1882" s="12"/>
      <c r="H1882" s="11" t="str">
        <f ca="1">IFERROR(__xludf.DUMMYFUNCTION("IFERROR(SUBSTITUTE(SUBSTITUTE(REGEXEXTRACT(A1882, ""[^-]+- [^-]+- [^-]+ - (.+?)\.jpg""), "".jpg"", """"), ""-"", "", ""), """")"),"")</f>
        <v/>
      </c>
      <c r="L1882" s="12"/>
      <c r="M1882" s="13"/>
      <c r="N1882" s="2"/>
      <c r="O1882" s="20"/>
      <c r="P1882" s="42"/>
      <c r="R1882" s="23"/>
    </row>
    <row r="1883" spans="1:18" ht="12.75">
      <c r="A1883" s="12"/>
      <c r="D1883" s="12"/>
      <c r="E1883" s="12"/>
      <c r="H1883" s="11" t="str">
        <f ca="1">IFERROR(__xludf.DUMMYFUNCTION("IFERROR(SUBSTITUTE(SUBSTITUTE(REGEXEXTRACT(A1883, ""[^-]+- [^-]+- [^-]+ - (.+?)\.jpg""), "".jpg"", """"), ""-"", "", ""), """")"),"")</f>
        <v/>
      </c>
      <c r="L1883" s="12"/>
      <c r="M1883" s="13"/>
      <c r="N1883" s="2"/>
      <c r="O1883" s="20"/>
      <c r="P1883" s="42"/>
      <c r="R1883" s="23"/>
    </row>
    <row r="1884" spans="1:18" ht="12.75">
      <c r="A1884" s="12"/>
      <c r="D1884" s="12"/>
      <c r="E1884" s="12"/>
      <c r="H1884" s="11" t="str">
        <f ca="1">IFERROR(__xludf.DUMMYFUNCTION("IFERROR(SUBSTITUTE(SUBSTITUTE(REGEXEXTRACT(A1884, ""[^-]+- [^-]+- [^-]+ - (.+?)\.jpg""), "".jpg"", """"), ""-"", "", ""), """")"),"")</f>
        <v/>
      </c>
      <c r="L1884" s="12"/>
      <c r="M1884" s="13"/>
      <c r="N1884" s="2"/>
      <c r="O1884" s="20"/>
      <c r="P1884" s="42"/>
      <c r="R1884" s="23"/>
    </row>
    <row r="1885" spans="1:18" ht="12.75">
      <c r="A1885" s="12"/>
      <c r="D1885" s="12"/>
      <c r="E1885" s="12"/>
      <c r="H1885" s="11" t="str">
        <f ca="1">IFERROR(__xludf.DUMMYFUNCTION("IFERROR(SUBSTITUTE(SUBSTITUTE(REGEXEXTRACT(A1885, ""[^-]+- [^-]+- [^-]+ - (.+?)\.jpg""), "".jpg"", """"), ""-"", "", ""), """")"),"")</f>
        <v/>
      </c>
      <c r="L1885" s="12"/>
      <c r="M1885" s="13"/>
      <c r="N1885" s="2"/>
      <c r="O1885" s="20"/>
      <c r="P1885" s="42"/>
      <c r="R1885" s="23"/>
    </row>
    <row r="1886" spans="1:18" ht="12.75">
      <c r="A1886" s="12"/>
      <c r="D1886" s="12"/>
      <c r="E1886" s="12"/>
      <c r="H1886" s="11" t="str">
        <f ca="1">IFERROR(__xludf.DUMMYFUNCTION("IFERROR(SUBSTITUTE(SUBSTITUTE(REGEXEXTRACT(A1886, ""[^-]+- [^-]+- [^-]+ - (.+?)\.jpg""), "".jpg"", """"), ""-"", "", ""), """")"),"")</f>
        <v/>
      </c>
      <c r="L1886" s="12"/>
      <c r="M1886" s="13"/>
      <c r="N1886" s="2"/>
      <c r="O1886" s="20"/>
      <c r="P1886" s="42"/>
      <c r="R1886" s="23"/>
    </row>
    <row r="1887" spans="1:18" ht="12.75">
      <c r="A1887" s="12"/>
      <c r="D1887" s="12"/>
      <c r="E1887" s="12"/>
      <c r="H1887" s="11" t="str">
        <f ca="1">IFERROR(__xludf.DUMMYFUNCTION("IFERROR(SUBSTITUTE(SUBSTITUTE(REGEXEXTRACT(A1887, ""[^-]+- [^-]+- [^-]+ - (.+?)\.jpg""), "".jpg"", """"), ""-"", "", ""), """")"),"")</f>
        <v/>
      </c>
      <c r="L1887" s="12"/>
      <c r="M1887" s="13"/>
      <c r="N1887" s="2"/>
      <c r="O1887" s="20"/>
      <c r="P1887" s="42"/>
      <c r="R1887" s="23"/>
    </row>
    <row r="1888" spans="1:18" ht="12.75">
      <c r="A1888" s="12"/>
      <c r="D1888" s="12"/>
      <c r="E1888" s="12"/>
      <c r="H1888" s="11" t="str">
        <f ca="1">IFERROR(__xludf.DUMMYFUNCTION("IFERROR(SUBSTITUTE(SUBSTITUTE(REGEXEXTRACT(A1888, ""[^-]+- [^-]+- [^-]+ - (.+?)\.jpg""), "".jpg"", """"), ""-"", "", ""), """")"),"")</f>
        <v/>
      </c>
      <c r="L1888" s="12"/>
      <c r="M1888" s="13"/>
      <c r="N1888" s="2"/>
      <c r="O1888" s="20"/>
      <c r="P1888" s="42"/>
      <c r="R1888" s="23"/>
    </row>
    <row r="1889" spans="1:18" ht="12.75">
      <c r="A1889" s="12"/>
      <c r="D1889" s="12"/>
      <c r="E1889" s="12"/>
      <c r="H1889" s="11" t="str">
        <f ca="1">IFERROR(__xludf.DUMMYFUNCTION("IFERROR(SUBSTITUTE(SUBSTITUTE(REGEXEXTRACT(A1889, ""[^-]+- [^-]+- [^-]+ - (.+?)\.jpg""), "".jpg"", """"), ""-"", "", ""), """")"),"")</f>
        <v/>
      </c>
      <c r="L1889" s="12"/>
      <c r="M1889" s="13"/>
      <c r="N1889" s="2"/>
      <c r="O1889" s="20"/>
      <c r="P1889" s="42"/>
      <c r="R1889" s="23"/>
    </row>
    <row r="1890" spans="1:18" ht="12.75">
      <c r="A1890" s="12"/>
      <c r="D1890" s="12"/>
      <c r="E1890" s="12"/>
      <c r="H1890" s="11" t="str">
        <f ca="1">IFERROR(__xludf.DUMMYFUNCTION("IFERROR(SUBSTITUTE(SUBSTITUTE(REGEXEXTRACT(A1890, ""[^-]+- [^-]+- [^-]+ - (.+?)\.jpg""), "".jpg"", """"), ""-"", "", ""), """")"),"")</f>
        <v/>
      </c>
      <c r="L1890" s="12"/>
      <c r="M1890" s="13"/>
      <c r="N1890" s="2"/>
      <c r="O1890" s="20"/>
      <c r="P1890" s="42"/>
      <c r="R1890" s="23"/>
    </row>
    <row r="1891" spans="1:18" ht="12.75">
      <c r="A1891" s="12"/>
      <c r="D1891" s="12"/>
      <c r="E1891" s="12"/>
      <c r="H1891" s="11" t="str">
        <f ca="1">IFERROR(__xludf.DUMMYFUNCTION("IFERROR(SUBSTITUTE(SUBSTITUTE(REGEXEXTRACT(A1891, ""[^-]+- [^-]+- [^-]+ - (.+?)\.jpg""), "".jpg"", """"), ""-"", "", ""), """")"),"")</f>
        <v/>
      </c>
      <c r="L1891" s="12"/>
      <c r="M1891" s="13"/>
      <c r="N1891" s="2"/>
      <c r="O1891" s="20"/>
      <c r="P1891" s="42"/>
      <c r="R1891" s="23"/>
    </row>
    <row r="1892" spans="1:18" ht="12.75">
      <c r="A1892" s="12"/>
      <c r="D1892" s="12"/>
      <c r="E1892" s="12"/>
      <c r="H1892" s="11" t="str">
        <f ca="1">IFERROR(__xludf.DUMMYFUNCTION("IFERROR(SUBSTITUTE(SUBSTITUTE(REGEXEXTRACT(A1892, ""[^-]+- [^-]+- [^-]+ - (.+?)\.jpg""), "".jpg"", """"), ""-"", "", ""), """")"),"")</f>
        <v/>
      </c>
      <c r="L1892" s="12"/>
      <c r="M1892" s="13"/>
      <c r="N1892" s="2"/>
      <c r="O1892" s="20"/>
      <c r="P1892" s="42"/>
      <c r="R1892" s="23"/>
    </row>
    <row r="1893" spans="1:18" ht="12.75">
      <c r="A1893" s="12"/>
      <c r="D1893" s="12"/>
      <c r="E1893" s="12"/>
      <c r="H1893" s="11" t="str">
        <f ca="1">IFERROR(__xludf.DUMMYFUNCTION("IFERROR(SUBSTITUTE(SUBSTITUTE(REGEXEXTRACT(A1893, ""[^-]+- [^-]+- [^-]+ - (.+?)\.jpg""), "".jpg"", """"), ""-"", "", ""), """")"),"")</f>
        <v/>
      </c>
      <c r="L1893" s="12"/>
      <c r="M1893" s="13"/>
      <c r="N1893" s="2"/>
      <c r="O1893" s="20"/>
      <c r="P1893" s="42"/>
      <c r="R1893" s="23"/>
    </row>
    <row r="1894" spans="1:18" ht="12.75">
      <c r="A1894" s="12"/>
      <c r="D1894" s="12"/>
      <c r="E1894" s="12"/>
      <c r="H1894" s="11" t="str">
        <f ca="1">IFERROR(__xludf.DUMMYFUNCTION("IFERROR(SUBSTITUTE(SUBSTITUTE(REGEXEXTRACT(A1894, ""[^-]+- [^-]+- [^-]+ - (.+?)\.jpg""), "".jpg"", """"), ""-"", "", ""), """")"),"")</f>
        <v/>
      </c>
      <c r="L1894" s="12"/>
      <c r="M1894" s="13"/>
      <c r="N1894" s="2"/>
      <c r="O1894" s="20"/>
      <c r="P1894" s="42"/>
      <c r="R1894" s="23"/>
    </row>
    <row r="1895" spans="1:18" ht="12.75">
      <c r="A1895" s="12"/>
      <c r="D1895" s="12"/>
      <c r="E1895" s="12"/>
      <c r="H1895" s="11" t="str">
        <f ca="1">IFERROR(__xludf.DUMMYFUNCTION("IFERROR(SUBSTITUTE(SUBSTITUTE(REGEXEXTRACT(A1895, ""[^-]+- [^-]+- [^-]+ - (.+?)\.jpg""), "".jpg"", """"), ""-"", "", ""), """")"),"")</f>
        <v/>
      </c>
      <c r="L1895" s="12"/>
      <c r="M1895" s="13"/>
      <c r="N1895" s="2"/>
      <c r="O1895" s="20"/>
      <c r="P1895" s="42"/>
      <c r="R1895" s="23"/>
    </row>
    <row r="1896" spans="1:18" ht="12.75">
      <c r="A1896" s="12"/>
      <c r="D1896" s="12"/>
      <c r="E1896" s="12"/>
      <c r="H1896" s="11" t="str">
        <f ca="1">IFERROR(__xludf.DUMMYFUNCTION("IFERROR(SUBSTITUTE(SUBSTITUTE(REGEXEXTRACT(A1896, ""[^-]+- [^-]+- [^-]+ - (.+?)\.jpg""), "".jpg"", """"), ""-"", "", ""), """")"),"")</f>
        <v/>
      </c>
      <c r="L1896" s="12"/>
      <c r="M1896" s="13"/>
      <c r="N1896" s="2"/>
      <c r="O1896" s="20"/>
      <c r="P1896" s="42"/>
      <c r="R1896" s="23"/>
    </row>
    <row r="1897" spans="1:18" ht="12.75">
      <c r="A1897" s="12"/>
      <c r="D1897" s="12"/>
      <c r="E1897" s="12"/>
      <c r="H1897" s="11" t="str">
        <f ca="1">IFERROR(__xludf.DUMMYFUNCTION("IFERROR(SUBSTITUTE(SUBSTITUTE(REGEXEXTRACT(A1897, ""[^-]+- [^-]+- [^-]+ - (.+?)\.jpg""), "".jpg"", """"), ""-"", "", ""), """")"),"")</f>
        <v/>
      </c>
      <c r="L1897" s="12"/>
      <c r="M1897" s="13"/>
      <c r="N1897" s="2"/>
      <c r="O1897" s="20"/>
      <c r="P1897" s="42"/>
      <c r="R1897" s="23"/>
    </row>
    <row r="1898" spans="1:18" ht="12.75">
      <c r="A1898" s="12"/>
      <c r="D1898" s="12"/>
      <c r="E1898" s="12"/>
      <c r="H1898" s="11" t="str">
        <f ca="1">IFERROR(__xludf.DUMMYFUNCTION("IFERROR(SUBSTITUTE(SUBSTITUTE(REGEXEXTRACT(A1898, ""[^-]+- [^-]+- [^-]+ - (.+?)\.jpg""), "".jpg"", """"), ""-"", "", ""), """")"),"")</f>
        <v/>
      </c>
      <c r="L1898" s="12"/>
      <c r="M1898" s="13"/>
      <c r="N1898" s="2"/>
      <c r="O1898" s="20"/>
      <c r="P1898" s="42"/>
      <c r="R1898" s="23"/>
    </row>
    <row r="1899" spans="1:18" ht="12.75">
      <c r="A1899" s="12"/>
      <c r="D1899" s="12"/>
      <c r="E1899" s="12"/>
      <c r="H1899" s="11" t="str">
        <f ca="1">IFERROR(__xludf.DUMMYFUNCTION("IFERROR(SUBSTITUTE(SUBSTITUTE(REGEXEXTRACT(A1899, ""[^-]+- [^-]+- [^-]+ - (.+?)\.jpg""), "".jpg"", """"), ""-"", "", ""), """")"),"")</f>
        <v/>
      </c>
      <c r="L1899" s="12"/>
      <c r="M1899" s="13"/>
      <c r="N1899" s="2"/>
      <c r="O1899" s="20"/>
      <c r="P1899" s="42"/>
      <c r="R1899" s="23"/>
    </row>
    <row r="1900" spans="1:18" ht="12.75">
      <c r="A1900" s="12"/>
      <c r="D1900" s="12"/>
      <c r="E1900" s="12"/>
      <c r="H1900" s="11" t="str">
        <f ca="1">IFERROR(__xludf.DUMMYFUNCTION("IFERROR(SUBSTITUTE(SUBSTITUTE(REGEXEXTRACT(A1900, ""[^-]+- [^-]+- [^-]+ - (.+?)\.jpg""), "".jpg"", """"), ""-"", "", ""), """")"),"")</f>
        <v/>
      </c>
      <c r="L1900" s="12"/>
      <c r="M1900" s="13"/>
      <c r="N1900" s="2"/>
      <c r="O1900" s="20"/>
      <c r="P1900" s="42"/>
      <c r="R1900" s="23"/>
    </row>
    <row r="1901" spans="1:18" ht="12.75">
      <c r="A1901" s="12"/>
      <c r="D1901" s="12"/>
      <c r="E1901" s="12"/>
      <c r="H1901" s="11" t="str">
        <f ca="1">IFERROR(__xludf.DUMMYFUNCTION("IFERROR(SUBSTITUTE(SUBSTITUTE(REGEXEXTRACT(A1901, ""[^-]+- [^-]+- [^-]+ - (.+?)\.jpg""), "".jpg"", """"), ""-"", "", ""), """")"),"")</f>
        <v/>
      </c>
      <c r="L1901" s="12"/>
      <c r="M1901" s="13"/>
      <c r="N1901" s="2"/>
      <c r="O1901" s="20"/>
      <c r="P1901" s="42"/>
      <c r="R1901" s="23"/>
    </row>
    <row r="1902" spans="1:18" ht="12.75">
      <c r="A1902" s="12"/>
      <c r="D1902" s="12"/>
      <c r="E1902" s="12"/>
      <c r="H1902" s="11" t="str">
        <f ca="1">IFERROR(__xludf.DUMMYFUNCTION("IFERROR(SUBSTITUTE(SUBSTITUTE(REGEXEXTRACT(A1902, ""[^-]+- [^-]+- [^-]+ - (.+?)\.jpg""), "".jpg"", """"), ""-"", "", ""), """")"),"")</f>
        <v/>
      </c>
      <c r="L1902" s="12"/>
      <c r="M1902" s="13"/>
      <c r="N1902" s="2"/>
      <c r="O1902" s="20"/>
      <c r="P1902" s="42"/>
      <c r="R1902" s="23"/>
    </row>
    <row r="1903" spans="1:18" ht="12.75">
      <c r="A1903" s="12"/>
      <c r="D1903" s="12"/>
      <c r="E1903" s="12"/>
      <c r="H1903" s="11" t="str">
        <f ca="1">IFERROR(__xludf.DUMMYFUNCTION("IFERROR(SUBSTITUTE(SUBSTITUTE(REGEXEXTRACT(A1903, ""[^-]+- [^-]+- [^-]+ - (.+?)\.jpg""), "".jpg"", """"), ""-"", "", ""), """")"),"")</f>
        <v/>
      </c>
      <c r="L1903" s="12"/>
      <c r="M1903" s="13"/>
      <c r="N1903" s="2"/>
      <c r="O1903" s="20"/>
      <c r="P1903" s="42"/>
      <c r="R1903" s="23"/>
    </row>
    <row r="1904" spans="1:18" ht="12.75">
      <c r="A1904" s="12"/>
      <c r="D1904" s="12"/>
      <c r="E1904" s="12"/>
      <c r="H1904" s="11" t="str">
        <f ca="1">IFERROR(__xludf.DUMMYFUNCTION("IFERROR(SUBSTITUTE(SUBSTITUTE(REGEXEXTRACT(A1904, ""[^-]+- [^-]+- [^-]+ - (.+?)\.jpg""), "".jpg"", """"), ""-"", "", ""), """")"),"")</f>
        <v/>
      </c>
      <c r="L1904" s="12"/>
      <c r="M1904" s="13"/>
      <c r="N1904" s="2"/>
      <c r="O1904" s="20"/>
      <c r="P1904" s="42"/>
      <c r="R1904" s="23"/>
    </row>
    <row r="1905" spans="1:18" ht="12.75">
      <c r="A1905" s="12"/>
      <c r="D1905" s="12"/>
      <c r="E1905" s="12"/>
      <c r="H1905" s="11" t="str">
        <f ca="1">IFERROR(__xludf.DUMMYFUNCTION("IFERROR(SUBSTITUTE(SUBSTITUTE(REGEXEXTRACT(A1905, ""[^-]+- [^-]+- [^-]+ - (.+?)\.jpg""), "".jpg"", """"), ""-"", "", ""), """")"),"")</f>
        <v/>
      </c>
      <c r="L1905" s="12"/>
      <c r="M1905" s="13"/>
      <c r="N1905" s="2"/>
      <c r="O1905" s="20"/>
      <c r="P1905" s="42"/>
      <c r="R1905" s="23"/>
    </row>
    <row r="1906" spans="1:18" ht="12.75">
      <c r="A1906" s="12"/>
      <c r="D1906" s="12"/>
      <c r="E1906" s="12"/>
      <c r="H1906" s="11" t="str">
        <f ca="1">IFERROR(__xludf.DUMMYFUNCTION("IFERROR(SUBSTITUTE(SUBSTITUTE(REGEXEXTRACT(A1906, ""[^-]+- [^-]+- [^-]+ - (.+?)\.jpg""), "".jpg"", """"), ""-"", "", ""), """")"),"")</f>
        <v/>
      </c>
      <c r="L1906" s="12"/>
      <c r="M1906" s="13"/>
      <c r="N1906" s="2"/>
      <c r="O1906" s="20"/>
      <c r="P1906" s="42"/>
      <c r="R1906" s="23"/>
    </row>
    <row r="1907" spans="1:18" ht="12.75">
      <c r="A1907" s="12"/>
      <c r="D1907" s="12"/>
      <c r="E1907" s="12"/>
      <c r="H1907" s="11" t="str">
        <f ca="1">IFERROR(__xludf.DUMMYFUNCTION("IFERROR(SUBSTITUTE(SUBSTITUTE(REGEXEXTRACT(A1907, ""[^-]+- [^-]+- [^-]+ - (.+?)\.jpg""), "".jpg"", """"), ""-"", "", ""), """")"),"")</f>
        <v/>
      </c>
      <c r="L1907" s="12"/>
      <c r="M1907" s="13"/>
      <c r="N1907" s="2"/>
      <c r="O1907" s="20"/>
      <c r="P1907" s="42"/>
      <c r="R1907" s="23"/>
    </row>
    <row r="1908" spans="1:18" ht="12.75">
      <c r="A1908" s="12"/>
      <c r="D1908" s="12"/>
      <c r="E1908" s="12"/>
      <c r="H1908" s="11" t="str">
        <f ca="1">IFERROR(__xludf.DUMMYFUNCTION("IFERROR(SUBSTITUTE(SUBSTITUTE(REGEXEXTRACT(A1908, ""[^-]+- [^-]+- [^-]+ - (.+?)\.jpg""), "".jpg"", """"), ""-"", "", ""), """")"),"")</f>
        <v/>
      </c>
      <c r="L1908" s="12"/>
      <c r="M1908" s="13"/>
      <c r="N1908" s="2"/>
      <c r="O1908" s="20"/>
      <c r="P1908" s="42"/>
      <c r="R1908" s="23"/>
    </row>
    <row r="1909" spans="1:18" ht="12.75">
      <c r="A1909" s="12"/>
      <c r="D1909" s="12"/>
      <c r="E1909" s="12"/>
      <c r="H1909" s="11" t="str">
        <f ca="1">IFERROR(__xludf.DUMMYFUNCTION("IFERROR(SUBSTITUTE(SUBSTITUTE(REGEXEXTRACT(A1909, ""[^-]+- [^-]+- [^-]+ - (.+?)\.jpg""), "".jpg"", """"), ""-"", "", ""), """")"),"")</f>
        <v/>
      </c>
      <c r="L1909" s="12"/>
      <c r="M1909" s="13"/>
      <c r="N1909" s="2"/>
      <c r="O1909" s="20"/>
      <c r="P1909" s="42"/>
      <c r="R1909" s="23"/>
    </row>
    <row r="1910" spans="1:18" ht="12.75">
      <c r="A1910" s="12"/>
      <c r="D1910" s="12"/>
      <c r="E1910" s="12"/>
      <c r="H1910" s="11" t="str">
        <f ca="1">IFERROR(__xludf.DUMMYFUNCTION("IFERROR(SUBSTITUTE(SUBSTITUTE(REGEXEXTRACT(A1910, ""[^-]+- [^-]+- [^-]+ - (.+?)\.jpg""), "".jpg"", """"), ""-"", "", ""), """")"),"")</f>
        <v/>
      </c>
      <c r="L1910" s="12"/>
      <c r="M1910" s="13"/>
      <c r="N1910" s="2"/>
      <c r="O1910" s="20"/>
      <c r="P1910" s="42"/>
      <c r="R1910" s="23"/>
    </row>
    <row r="1911" spans="1:18" ht="12.75">
      <c r="A1911" s="12"/>
      <c r="D1911" s="12"/>
      <c r="E1911" s="12"/>
      <c r="H1911" s="11" t="str">
        <f ca="1">IFERROR(__xludf.DUMMYFUNCTION("IFERROR(SUBSTITUTE(SUBSTITUTE(REGEXEXTRACT(A1911, ""[^-]+- [^-]+- [^-]+ - (.+?)\.jpg""), "".jpg"", """"), ""-"", "", ""), """")"),"")</f>
        <v/>
      </c>
      <c r="L1911" s="12"/>
      <c r="M1911" s="13"/>
      <c r="N1911" s="2"/>
      <c r="O1911" s="20"/>
      <c r="P1911" s="42"/>
      <c r="R1911" s="23"/>
    </row>
    <row r="1912" spans="1:18" ht="12.75">
      <c r="A1912" s="12"/>
      <c r="D1912" s="12"/>
      <c r="E1912" s="12"/>
      <c r="H1912" s="11" t="str">
        <f ca="1">IFERROR(__xludf.DUMMYFUNCTION("IFERROR(SUBSTITUTE(SUBSTITUTE(REGEXEXTRACT(A1912, ""[^-]+- [^-]+- [^-]+ - (.+?)\.jpg""), "".jpg"", """"), ""-"", "", ""), """")"),"")</f>
        <v/>
      </c>
      <c r="L1912" s="12"/>
      <c r="M1912" s="13"/>
      <c r="N1912" s="2"/>
      <c r="O1912" s="20"/>
      <c r="P1912" s="42"/>
      <c r="R1912" s="23"/>
    </row>
    <row r="1913" spans="1:18" ht="12.75">
      <c r="A1913" s="12"/>
      <c r="D1913" s="12"/>
      <c r="E1913" s="12"/>
      <c r="H1913" s="11" t="str">
        <f ca="1">IFERROR(__xludf.DUMMYFUNCTION("IFERROR(SUBSTITUTE(SUBSTITUTE(REGEXEXTRACT(A1913, ""[^-]+- [^-]+- [^-]+ - (.+?)\.jpg""), "".jpg"", """"), ""-"", "", ""), """")"),"")</f>
        <v/>
      </c>
      <c r="L1913" s="12"/>
      <c r="M1913" s="13"/>
      <c r="N1913" s="2"/>
      <c r="O1913" s="20"/>
      <c r="P1913" s="42"/>
      <c r="R1913" s="23"/>
    </row>
    <row r="1914" spans="1:18" ht="12.75">
      <c r="A1914" s="12"/>
      <c r="D1914" s="12"/>
      <c r="E1914" s="12"/>
      <c r="H1914" s="11" t="str">
        <f ca="1">IFERROR(__xludf.DUMMYFUNCTION("IFERROR(SUBSTITUTE(SUBSTITUTE(REGEXEXTRACT(A1914, ""[^-]+- [^-]+- [^-]+ - (.+?)\.jpg""), "".jpg"", """"), ""-"", "", ""), """")"),"")</f>
        <v/>
      </c>
      <c r="L1914" s="12"/>
      <c r="M1914" s="13"/>
      <c r="N1914" s="2"/>
      <c r="O1914" s="20"/>
      <c r="P1914" s="42"/>
      <c r="R1914" s="23"/>
    </row>
    <row r="1915" spans="1:18" ht="12.75">
      <c r="A1915" s="12"/>
      <c r="D1915" s="12"/>
      <c r="E1915" s="12"/>
      <c r="H1915" s="11" t="str">
        <f ca="1">IFERROR(__xludf.DUMMYFUNCTION("IFERROR(SUBSTITUTE(SUBSTITUTE(REGEXEXTRACT(A1915, ""[^-]+- [^-]+- [^-]+ - (.+?)\.jpg""), "".jpg"", """"), ""-"", "", ""), """")"),"")</f>
        <v/>
      </c>
      <c r="L1915" s="12"/>
      <c r="M1915" s="13"/>
      <c r="N1915" s="2"/>
      <c r="O1915" s="20"/>
      <c r="P1915" s="42"/>
      <c r="R1915" s="23"/>
    </row>
    <row r="1916" spans="1:18" ht="12.75">
      <c r="A1916" s="12"/>
      <c r="D1916" s="12"/>
      <c r="E1916" s="12"/>
      <c r="H1916" s="11" t="str">
        <f ca="1">IFERROR(__xludf.DUMMYFUNCTION("IFERROR(SUBSTITUTE(SUBSTITUTE(REGEXEXTRACT(A1916, ""[^-]+- [^-]+- [^-]+ - (.+?)\.jpg""), "".jpg"", """"), ""-"", "", ""), """")"),"")</f>
        <v/>
      </c>
      <c r="L1916" s="12"/>
      <c r="M1916" s="13"/>
      <c r="N1916" s="2"/>
      <c r="O1916" s="20"/>
      <c r="P1916" s="42"/>
      <c r="R1916" s="23"/>
    </row>
    <row r="1917" spans="1:18" ht="12.75">
      <c r="A1917" s="12"/>
      <c r="D1917" s="12"/>
      <c r="E1917" s="12"/>
      <c r="H1917" s="11" t="str">
        <f ca="1">IFERROR(__xludf.DUMMYFUNCTION("IFERROR(SUBSTITUTE(SUBSTITUTE(REGEXEXTRACT(A1917, ""[^-]+- [^-]+- [^-]+ - (.+?)\.jpg""), "".jpg"", """"), ""-"", "", ""), """")"),"")</f>
        <v/>
      </c>
      <c r="L1917" s="12"/>
      <c r="M1917" s="13"/>
      <c r="N1917" s="2"/>
      <c r="O1917" s="20"/>
      <c r="P1917" s="42"/>
      <c r="R1917" s="23"/>
    </row>
    <row r="1918" spans="1:18" ht="12.75">
      <c r="A1918" s="12"/>
      <c r="D1918" s="12"/>
      <c r="E1918" s="12"/>
      <c r="H1918" s="11" t="str">
        <f ca="1">IFERROR(__xludf.DUMMYFUNCTION("IFERROR(SUBSTITUTE(SUBSTITUTE(REGEXEXTRACT(A1918, ""[^-]+- [^-]+- [^-]+ - (.+?)\.jpg""), "".jpg"", """"), ""-"", "", ""), """")"),"")</f>
        <v/>
      </c>
      <c r="L1918" s="12"/>
      <c r="M1918" s="13"/>
      <c r="N1918" s="2"/>
      <c r="O1918" s="20"/>
      <c r="P1918" s="42"/>
      <c r="R1918" s="23"/>
    </row>
    <row r="1919" spans="1:18" ht="12.75">
      <c r="A1919" s="12"/>
      <c r="D1919" s="12"/>
      <c r="E1919" s="12"/>
      <c r="H1919" s="11" t="str">
        <f ca="1">IFERROR(__xludf.DUMMYFUNCTION("IFERROR(SUBSTITUTE(SUBSTITUTE(REGEXEXTRACT(A1919, ""[^-]+- [^-]+- [^-]+ - (.+?)\.jpg""), "".jpg"", """"), ""-"", "", ""), """")"),"")</f>
        <v/>
      </c>
      <c r="L1919" s="12"/>
      <c r="M1919" s="13"/>
      <c r="N1919" s="2"/>
      <c r="O1919" s="20"/>
      <c r="P1919" s="42"/>
      <c r="R1919" s="23"/>
    </row>
    <row r="1920" spans="1:18" ht="12.75">
      <c r="A1920" s="12"/>
      <c r="D1920" s="12"/>
      <c r="E1920" s="12"/>
      <c r="H1920" s="11" t="str">
        <f ca="1">IFERROR(__xludf.DUMMYFUNCTION("IFERROR(SUBSTITUTE(SUBSTITUTE(REGEXEXTRACT(A1920, ""[^-]+- [^-]+- [^-]+ - (.+?)\.jpg""), "".jpg"", """"), ""-"", "", ""), """")"),"")</f>
        <v/>
      </c>
      <c r="L1920" s="12"/>
      <c r="M1920" s="13"/>
      <c r="N1920" s="2"/>
      <c r="O1920" s="20"/>
      <c r="P1920" s="42"/>
      <c r="R1920" s="23"/>
    </row>
    <row r="1921" spans="1:18" ht="12.75">
      <c r="A1921" s="12"/>
      <c r="D1921" s="12"/>
      <c r="E1921" s="12"/>
      <c r="H1921" s="11" t="str">
        <f ca="1">IFERROR(__xludf.DUMMYFUNCTION("IFERROR(SUBSTITUTE(SUBSTITUTE(REGEXEXTRACT(A1921, ""[^-]+- [^-]+- [^-]+ - (.+?)\.jpg""), "".jpg"", """"), ""-"", "", ""), """")"),"")</f>
        <v/>
      </c>
      <c r="L1921" s="12"/>
      <c r="M1921" s="13"/>
      <c r="N1921" s="2"/>
      <c r="O1921" s="20"/>
      <c r="P1921" s="42"/>
      <c r="R1921" s="23"/>
    </row>
    <row r="1922" spans="1:18" ht="12.75">
      <c r="A1922" s="12"/>
      <c r="D1922" s="12"/>
      <c r="E1922" s="12"/>
      <c r="H1922" s="11" t="str">
        <f ca="1">IFERROR(__xludf.DUMMYFUNCTION("IFERROR(SUBSTITUTE(SUBSTITUTE(REGEXEXTRACT(A1922, ""[^-]+- [^-]+- [^-]+ - (.+?)\.jpg""), "".jpg"", """"), ""-"", "", ""), """")"),"")</f>
        <v/>
      </c>
      <c r="L1922" s="12"/>
      <c r="M1922" s="13"/>
      <c r="N1922" s="2"/>
      <c r="O1922" s="20"/>
      <c r="P1922" s="42"/>
      <c r="R1922" s="23"/>
    </row>
    <row r="1923" spans="1:18" ht="12.75">
      <c r="A1923" s="12"/>
      <c r="D1923" s="12"/>
      <c r="E1923" s="12"/>
      <c r="H1923" s="11" t="str">
        <f ca="1">IFERROR(__xludf.DUMMYFUNCTION("IFERROR(SUBSTITUTE(SUBSTITUTE(REGEXEXTRACT(A1923, ""[^-]+- [^-]+- [^-]+ - (.+?)\.jpg""), "".jpg"", """"), ""-"", "", ""), """")"),"")</f>
        <v/>
      </c>
      <c r="L1923" s="12"/>
      <c r="M1923" s="13"/>
      <c r="N1923" s="2"/>
      <c r="O1923" s="20"/>
      <c r="P1923" s="42"/>
      <c r="R1923" s="23"/>
    </row>
    <row r="1924" spans="1:18" ht="12.75">
      <c r="A1924" s="12"/>
      <c r="D1924" s="12"/>
      <c r="E1924" s="12"/>
      <c r="H1924" s="11" t="str">
        <f ca="1">IFERROR(__xludf.DUMMYFUNCTION("IFERROR(SUBSTITUTE(SUBSTITUTE(REGEXEXTRACT(A1924, ""[^-]+- [^-]+- [^-]+ - (.+?)\.jpg""), "".jpg"", """"), ""-"", "", ""), """")"),"")</f>
        <v/>
      </c>
      <c r="L1924" s="12"/>
      <c r="M1924" s="13"/>
      <c r="N1924" s="2"/>
      <c r="O1924" s="20"/>
      <c r="P1924" s="42"/>
      <c r="R1924" s="23"/>
    </row>
    <row r="1925" spans="1:18" ht="12.75">
      <c r="A1925" s="12"/>
      <c r="D1925" s="12"/>
      <c r="E1925" s="12"/>
      <c r="H1925" s="11" t="str">
        <f ca="1">IFERROR(__xludf.DUMMYFUNCTION("IFERROR(SUBSTITUTE(SUBSTITUTE(REGEXEXTRACT(A1925, ""[^-]+- [^-]+- [^-]+ - (.+?)\.jpg""), "".jpg"", """"), ""-"", "", ""), """")"),"")</f>
        <v/>
      </c>
      <c r="L1925" s="12"/>
      <c r="M1925" s="13"/>
      <c r="N1925" s="2"/>
      <c r="O1925" s="20"/>
      <c r="P1925" s="42"/>
      <c r="R1925" s="23"/>
    </row>
    <row r="1926" spans="1:18" ht="12.75">
      <c r="A1926" s="12"/>
      <c r="D1926" s="12"/>
      <c r="E1926" s="12"/>
      <c r="H1926" s="11" t="str">
        <f ca="1">IFERROR(__xludf.DUMMYFUNCTION("IFERROR(SUBSTITUTE(SUBSTITUTE(REGEXEXTRACT(A1926, ""[^-]+- [^-]+- [^-]+ - (.+?)\.jpg""), "".jpg"", """"), ""-"", "", ""), """")"),"")</f>
        <v/>
      </c>
      <c r="L1926" s="12"/>
      <c r="M1926" s="13"/>
      <c r="N1926" s="2"/>
      <c r="O1926" s="20"/>
      <c r="P1926" s="42"/>
      <c r="R1926" s="23"/>
    </row>
    <row r="1927" spans="1:18" ht="12.75">
      <c r="A1927" s="12"/>
      <c r="D1927" s="12"/>
      <c r="E1927" s="12"/>
      <c r="H1927" s="11" t="str">
        <f ca="1">IFERROR(__xludf.DUMMYFUNCTION("IFERROR(SUBSTITUTE(SUBSTITUTE(REGEXEXTRACT(A1927, ""[^-]+- [^-]+- [^-]+ - (.+?)\.jpg""), "".jpg"", """"), ""-"", "", ""), """")"),"")</f>
        <v/>
      </c>
      <c r="L1927" s="12"/>
      <c r="M1927" s="13"/>
      <c r="N1927" s="2"/>
      <c r="O1927" s="20"/>
      <c r="P1927" s="42"/>
      <c r="R1927" s="23"/>
    </row>
    <row r="1928" spans="1:18" ht="12.75">
      <c r="A1928" s="12"/>
      <c r="D1928" s="12"/>
      <c r="E1928" s="12"/>
      <c r="H1928" s="11" t="str">
        <f ca="1">IFERROR(__xludf.DUMMYFUNCTION("IFERROR(SUBSTITUTE(SUBSTITUTE(REGEXEXTRACT(A1928, ""[^-]+- [^-]+- [^-]+ - (.+?)\.jpg""), "".jpg"", """"), ""-"", "", ""), """")"),"")</f>
        <v/>
      </c>
      <c r="L1928" s="12"/>
      <c r="M1928" s="13"/>
      <c r="N1928" s="2"/>
      <c r="O1928" s="20"/>
      <c r="P1928" s="42"/>
      <c r="R1928" s="23"/>
    </row>
    <row r="1929" spans="1:18" ht="12.75">
      <c r="A1929" s="12"/>
      <c r="D1929" s="12"/>
      <c r="E1929" s="12"/>
      <c r="H1929" s="11" t="str">
        <f ca="1">IFERROR(__xludf.DUMMYFUNCTION("IFERROR(SUBSTITUTE(SUBSTITUTE(REGEXEXTRACT(A1929, ""[^-]+- [^-]+- [^-]+ - (.+?)\.jpg""), "".jpg"", """"), ""-"", "", ""), """")"),"")</f>
        <v/>
      </c>
      <c r="L1929" s="12"/>
      <c r="M1929" s="13"/>
      <c r="N1929" s="2"/>
      <c r="O1929" s="20"/>
      <c r="P1929" s="42"/>
      <c r="R1929" s="23"/>
    </row>
    <row r="1930" spans="1:18" ht="12.75">
      <c r="A1930" s="12"/>
      <c r="D1930" s="12"/>
      <c r="E1930" s="12"/>
      <c r="H1930" s="11" t="str">
        <f ca="1">IFERROR(__xludf.DUMMYFUNCTION("IFERROR(SUBSTITUTE(SUBSTITUTE(REGEXEXTRACT(A1930, ""[^-]+- [^-]+- [^-]+ - (.+?)\.jpg""), "".jpg"", """"), ""-"", "", ""), """")"),"")</f>
        <v/>
      </c>
      <c r="L1930" s="12"/>
      <c r="M1930" s="13"/>
      <c r="N1930" s="2"/>
      <c r="O1930" s="20"/>
      <c r="P1930" s="42"/>
      <c r="R1930" s="23"/>
    </row>
    <row r="1931" spans="1:18" ht="12.75">
      <c r="A1931" s="12"/>
      <c r="D1931" s="12"/>
      <c r="E1931" s="12"/>
      <c r="H1931" s="11" t="str">
        <f ca="1">IFERROR(__xludf.DUMMYFUNCTION("IFERROR(SUBSTITUTE(SUBSTITUTE(REGEXEXTRACT(A1931, ""[^-]+- [^-]+- [^-]+ - (.+?)\.jpg""), "".jpg"", """"), ""-"", "", ""), """")"),"")</f>
        <v/>
      </c>
      <c r="L1931" s="12"/>
      <c r="M1931" s="13"/>
      <c r="N1931" s="2"/>
      <c r="O1931" s="20"/>
      <c r="P1931" s="42"/>
      <c r="R1931" s="23"/>
    </row>
    <row r="1932" spans="1:18" ht="12.75">
      <c r="A1932" s="12"/>
      <c r="D1932" s="12"/>
      <c r="E1932" s="12"/>
      <c r="H1932" s="11" t="str">
        <f ca="1">IFERROR(__xludf.DUMMYFUNCTION("IFERROR(SUBSTITUTE(SUBSTITUTE(REGEXEXTRACT(A1932, ""[^-]+- [^-]+- [^-]+ - (.+?)\.jpg""), "".jpg"", """"), ""-"", "", ""), """")"),"")</f>
        <v/>
      </c>
      <c r="L1932" s="12"/>
      <c r="M1932" s="13"/>
      <c r="N1932" s="2"/>
      <c r="O1932" s="20"/>
      <c r="P1932" s="42"/>
      <c r="R1932" s="23"/>
    </row>
    <row r="1933" spans="1:18" ht="12.75">
      <c r="A1933" s="12"/>
      <c r="D1933" s="12"/>
      <c r="E1933" s="12"/>
      <c r="H1933" s="11" t="str">
        <f ca="1">IFERROR(__xludf.DUMMYFUNCTION("IFERROR(SUBSTITUTE(SUBSTITUTE(REGEXEXTRACT(A1933, ""[^-]+- [^-]+- [^-]+ - (.+?)\.jpg""), "".jpg"", """"), ""-"", "", ""), """")"),"")</f>
        <v/>
      </c>
      <c r="L1933" s="12"/>
      <c r="M1933" s="13"/>
      <c r="N1933" s="2"/>
      <c r="O1933" s="20"/>
      <c r="P1933" s="42"/>
      <c r="R1933" s="23"/>
    </row>
    <row r="1934" spans="1:18" ht="12.75">
      <c r="A1934" s="12"/>
      <c r="D1934" s="12"/>
      <c r="E1934" s="12"/>
      <c r="H1934" s="11" t="str">
        <f ca="1">IFERROR(__xludf.DUMMYFUNCTION("IFERROR(SUBSTITUTE(SUBSTITUTE(REGEXEXTRACT(A1934, ""[^-]+- [^-]+- [^-]+ - (.+?)\.jpg""), "".jpg"", """"), ""-"", "", ""), """")"),"")</f>
        <v/>
      </c>
      <c r="L1934" s="12"/>
      <c r="M1934" s="13"/>
      <c r="N1934" s="2"/>
      <c r="O1934" s="20"/>
      <c r="P1934" s="42"/>
      <c r="R1934" s="23"/>
    </row>
    <row r="1935" spans="1:18" ht="12.75">
      <c r="A1935" s="12"/>
      <c r="D1935" s="12"/>
      <c r="E1935" s="12"/>
      <c r="H1935" s="11" t="str">
        <f ca="1">IFERROR(__xludf.DUMMYFUNCTION("IFERROR(SUBSTITUTE(SUBSTITUTE(REGEXEXTRACT(A1935, ""[^-]+- [^-]+- [^-]+ - (.+?)\.jpg""), "".jpg"", """"), ""-"", "", ""), """")"),"")</f>
        <v/>
      </c>
      <c r="L1935" s="12"/>
      <c r="M1935" s="13"/>
      <c r="N1935" s="2"/>
      <c r="O1935" s="20"/>
      <c r="P1935" s="42"/>
      <c r="R1935" s="23"/>
    </row>
    <row r="1936" spans="1:18" ht="12.75">
      <c r="A1936" s="12"/>
      <c r="D1936" s="12"/>
      <c r="E1936" s="12"/>
      <c r="H1936" s="11" t="str">
        <f ca="1">IFERROR(__xludf.DUMMYFUNCTION("IFERROR(SUBSTITUTE(SUBSTITUTE(REGEXEXTRACT(A1936, ""[^-]+- [^-]+- [^-]+ - (.+?)\.jpg""), "".jpg"", """"), ""-"", "", ""), """")"),"")</f>
        <v/>
      </c>
      <c r="L1936" s="12"/>
      <c r="M1936" s="13"/>
      <c r="N1936" s="2"/>
      <c r="O1936" s="20"/>
      <c r="P1936" s="42"/>
      <c r="R1936" s="23"/>
    </row>
    <row r="1937" spans="1:18" ht="12.75">
      <c r="A1937" s="12"/>
      <c r="D1937" s="12"/>
      <c r="E1937" s="12"/>
      <c r="H1937" s="11" t="str">
        <f ca="1">IFERROR(__xludf.DUMMYFUNCTION("IFERROR(SUBSTITUTE(SUBSTITUTE(REGEXEXTRACT(A1937, ""[^-]+- [^-]+- [^-]+ - (.+?)\.jpg""), "".jpg"", """"), ""-"", "", ""), """")"),"")</f>
        <v/>
      </c>
      <c r="L1937" s="12"/>
      <c r="M1937" s="13"/>
      <c r="N1937" s="2"/>
      <c r="O1937" s="20"/>
      <c r="P1937" s="42"/>
      <c r="R1937" s="23"/>
    </row>
    <row r="1938" spans="1:18" ht="12.75">
      <c r="A1938" s="12"/>
      <c r="D1938" s="12"/>
      <c r="E1938" s="12"/>
      <c r="H1938" s="11" t="str">
        <f ca="1">IFERROR(__xludf.DUMMYFUNCTION("IFERROR(SUBSTITUTE(SUBSTITUTE(REGEXEXTRACT(A1938, ""[^-]+- [^-]+- [^-]+ - (.+?)\.jpg""), "".jpg"", """"), ""-"", "", ""), """")"),"")</f>
        <v/>
      </c>
      <c r="L1938" s="12"/>
      <c r="M1938" s="13"/>
      <c r="N1938" s="2"/>
      <c r="O1938" s="20"/>
      <c r="P1938" s="42"/>
      <c r="R1938" s="23"/>
    </row>
    <row r="1939" spans="1:18" ht="12.75">
      <c r="A1939" s="12"/>
      <c r="D1939" s="12"/>
      <c r="E1939" s="12"/>
      <c r="H1939" s="11" t="str">
        <f ca="1">IFERROR(__xludf.DUMMYFUNCTION("IFERROR(SUBSTITUTE(SUBSTITUTE(REGEXEXTRACT(A1939, ""[^-]+- [^-]+- [^-]+ - (.+?)\.jpg""), "".jpg"", """"), ""-"", "", ""), """")"),"")</f>
        <v/>
      </c>
      <c r="L1939" s="12"/>
      <c r="M1939" s="13"/>
      <c r="N1939" s="2"/>
      <c r="O1939" s="20"/>
      <c r="P1939" s="42"/>
      <c r="R1939" s="23"/>
    </row>
    <row r="1940" spans="1:18" ht="12.75">
      <c r="A1940" s="12"/>
      <c r="D1940" s="12"/>
      <c r="E1940" s="12"/>
      <c r="H1940" s="11" t="str">
        <f ca="1">IFERROR(__xludf.DUMMYFUNCTION("IFERROR(SUBSTITUTE(SUBSTITUTE(REGEXEXTRACT(A1940, ""[^-]+- [^-]+- [^-]+ - (.+?)\.jpg""), "".jpg"", """"), ""-"", "", ""), """")"),"")</f>
        <v/>
      </c>
      <c r="L1940" s="12"/>
      <c r="M1940" s="13"/>
      <c r="N1940" s="2"/>
      <c r="O1940" s="20"/>
      <c r="P1940" s="42"/>
      <c r="R1940" s="23"/>
    </row>
    <row r="1941" spans="1:18" ht="12.75">
      <c r="A1941" s="12"/>
      <c r="D1941" s="12"/>
      <c r="E1941" s="12"/>
      <c r="H1941" s="11" t="str">
        <f ca="1">IFERROR(__xludf.DUMMYFUNCTION("IFERROR(SUBSTITUTE(SUBSTITUTE(REGEXEXTRACT(A1941, ""[^-]+- [^-]+- [^-]+ - (.+?)\.jpg""), "".jpg"", """"), ""-"", "", ""), """")"),"")</f>
        <v/>
      </c>
      <c r="L1941" s="12"/>
      <c r="M1941" s="13"/>
      <c r="N1941" s="2"/>
      <c r="O1941" s="20"/>
      <c r="P1941" s="42"/>
      <c r="R1941" s="23"/>
    </row>
    <row r="1942" spans="1:18" ht="12.75">
      <c r="A1942" s="12"/>
      <c r="D1942" s="12"/>
      <c r="E1942" s="12"/>
      <c r="H1942" s="11" t="str">
        <f ca="1">IFERROR(__xludf.DUMMYFUNCTION("IFERROR(SUBSTITUTE(SUBSTITUTE(REGEXEXTRACT(A1942, ""[^-]+- [^-]+- [^-]+ - (.+?)\.jpg""), "".jpg"", """"), ""-"", "", ""), """")"),"")</f>
        <v/>
      </c>
      <c r="L1942" s="12"/>
      <c r="M1942" s="13"/>
      <c r="N1942" s="2"/>
      <c r="O1942" s="20"/>
      <c r="P1942" s="42"/>
      <c r="R1942" s="23"/>
    </row>
    <row r="1943" spans="1:18" ht="12.75">
      <c r="A1943" s="12"/>
      <c r="D1943" s="12"/>
      <c r="E1943" s="12"/>
      <c r="H1943" s="11" t="str">
        <f ca="1">IFERROR(__xludf.DUMMYFUNCTION("IFERROR(SUBSTITUTE(SUBSTITUTE(REGEXEXTRACT(A1943, ""[^-]+- [^-]+- [^-]+ - (.+?)\.jpg""), "".jpg"", """"), ""-"", "", ""), """")"),"")</f>
        <v/>
      </c>
      <c r="L1943" s="12"/>
      <c r="M1943" s="13"/>
      <c r="N1943" s="2"/>
      <c r="O1943" s="20"/>
      <c r="P1943" s="42"/>
      <c r="R1943" s="23"/>
    </row>
    <row r="1944" spans="1:18" ht="12.75">
      <c r="A1944" s="12"/>
      <c r="D1944" s="12"/>
      <c r="E1944" s="12"/>
      <c r="H1944" s="11" t="str">
        <f ca="1">IFERROR(__xludf.DUMMYFUNCTION("IFERROR(SUBSTITUTE(SUBSTITUTE(REGEXEXTRACT(A1944, ""[^-]+- [^-]+- [^-]+ - (.+?)\.jpg""), "".jpg"", """"), ""-"", "", ""), """")"),"")</f>
        <v/>
      </c>
      <c r="L1944" s="12"/>
      <c r="M1944" s="13"/>
      <c r="N1944" s="2"/>
      <c r="O1944" s="20"/>
      <c r="P1944" s="42"/>
      <c r="R1944" s="23"/>
    </row>
    <row r="1945" spans="1:18" ht="12.75">
      <c r="A1945" s="12"/>
      <c r="D1945" s="12"/>
      <c r="E1945" s="12"/>
      <c r="H1945" s="11" t="str">
        <f ca="1">IFERROR(__xludf.DUMMYFUNCTION("IFERROR(SUBSTITUTE(SUBSTITUTE(REGEXEXTRACT(A1945, ""[^-]+- [^-]+- [^-]+ - (.+?)\.jpg""), "".jpg"", """"), ""-"", "", ""), """")"),"")</f>
        <v/>
      </c>
      <c r="L1945" s="12"/>
      <c r="M1945" s="13"/>
      <c r="N1945" s="2"/>
      <c r="O1945" s="20"/>
      <c r="P1945" s="42"/>
      <c r="R1945" s="23"/>
    </row>
    <row r="1946" spans="1:18" ht="12.75">
      <c r="A1946" s="12"/>
      <c r="D1946" s="12"/>
      <c r="E1946" s="12"/>
      <c r="H1946" s="11" t="str">
        <f ca="1">IFERROR(__xludf.DUMMYFUNCTION("IFERROR(SUBSTITUTE(SUBSTITUTE(REGEXEXTRACT(A1946, ""[^-]+- [^-]+- [^-]+ - (.+?)\.jpg""), "".jpg"", """"), ""-"", "", ""), """")"),"")</f>
        <v/>
      </c>
      <c r="L1946" s="12"/>
      <c r="M1946" s="13"/>
      <c r="N1946" s="2"/>
      <c r="O1946" s="20"/>
      <c r="P1946" s="42"/>
      <c r="R1946" s="23"/>
    </row>
    <row r="1947" spans="1:18" ht="12.75">
      <c r="A1947" s="12"/>
      <c r="D1947" s="12"/>
      <c r="E1947" s="12"/>
      <c r="H1947" s="11" t="str">
        <f ca="1">IFERROR(__xludf.DUMMYFUNCTION("IFERROR(SUBSTITUTE(SUBSTITUTE(REGEXEXTRACT(A1947, ""[^-]+- [^-]+- [^-]+ - (.+?)\.jpg""), "".jpg"", """"), ""-"", "", ""), """")"),"")</f>
        <v/>
      </c>
      <c r="L1947" s="12"/>
      <c r="M1947" s="13"/>
      <c r="N1947" s="2"/>
      <c r="O1947" s="20"/>
      <c r="P1947" s="42"/>
      <c r="R1947" s="23"/>
    </row>
    <row r="1948" spans="1:18" ht="12.75">
      <c r="A1948" s="12"/>
      <c r="D1948" s="12"/>
      <c r="E1948" s="12"/>
      <c r="H1948" s="11" t="str">
        <f ca="1">IFERROR(__xludf.DUMMYFUNCTION("IFERROR(SUBSTITUTE(SUBSTITUTE(REGEXEXTRACT(A1948, ""[^-]+- [^-]+- [^-]+ - (.+?)\.jpg""), "".jpg"", """"), ""-"", "", ""), """")"),"")</f>
        <v/>
      </c>
      <c r="L1948" s="12"/>
      <c r="M1948" s="13"/>
      <c r="N1948" s="2"/>
      <c r="O1948" s="20"/>
      <c r="P1948" s="42"/>
      <c r="R1948" s="23"/>
    </row>
    <row r="1949" spans="1:18" ht="12.75">
      <c r="A1949" s="12"/>
      <c r="D1949" s="12"/>
      <c r="E1949" s="12"/>
      <c r="H1949" s="11" t="str">
        <f ca="1">IFERROR(__xludf.DUMMYFUNCTION("IFERROR(SUBSTITUTE(SUBSTITUTE(REGEXEXTRACT(A1949, ""[^-]+- [^-]+- [^-]+ - (.+?)\.jpg""), "".jpg"", """"), ""-"", "", ""), """")"),"")</f>
        <v/>
      </c>
      <c r="L1949" s="12"/>
      <c r="M1949" s="13"/>
      <c r="N1949" s="2"/>
      <c r="O1949" s="20"/>
      <c r="P1949" s="42"/>
      <c r="R1949" s="23"/>
    </row>
    <row r="1950" spans="1:18" ht="12.75">
      <c r="A1950" s="12"/>
      <c r="D1950" s="12"/>
      <c r="E1950" s="12"/>
      <c r="H1950" s="11" t="str">
        <f ca="1">IFERROR(__xludf.DUMMYFUNCTION("IFERROR(SUBSTITUTE(SUBSTITUTE(REGEXEXTRACT(A1950, ""[^-]+- [^-]+- [^-]+ - (.+?)\.jpg""), "".jpg"", """"), ""-"", "", ""), """")"),"")</f>
        <v/>
      </c>
      <c r="L1950" s="12"/>
      <c r="M1950" s="13"/>
      <c r="N1950" s="2"/>
      <c r="O1950" s="20"/>
      <c r="P1950" s="42"/>
      <c r="R1950" s="23"/>
    </row>
    <row r="1951" spans="1:18" ht="12.75">
      <c r="A1951" s="12"/>
      <c r="D1951" s="12"/>
      <c r="E1951" s="12"/>
      <c r="H1951" s="11" t="str">
        <f ca="1">IFERROR(__xludf.DUMMYFUNCTION("IFERROR(SUBSTITUTE(SUBSTITUTE(REGEXEXTRACT(A1951, ""[^-]+- [^-]+- [^-]+ - (.+?)\.jpg""), "".jpg"", """"), ""-"", "", ""), """")"),"")</f>
        <v/>
      </c>
      <c r="L1951" s="12"/>
      <c r="M1951" s="13"/>
      <c r="N1951" s="2"/>
      <c r="O1951" s="20"/>
      <c r="P1951" s="42"/>
      <c r="R1951" s="23"/>
    </row>
    <row r="1952" spans="1:18" ht="12.75">
      <c r="A1952" s="12"/>
      <c r="D1952" s="12"/>
      <c r="E1952" s="12"/>
      <c r="H1952" s="11" t="str">
        <f ca="1">IFERROR(__xludf.DUMMYFUNCTION("IFERROR(SUBSTITUTE(SUBSTITUTE(REGEXEXTRACT(A1952, ""[^-]+- [^-]+- [^-]+ - (.+?)\.jpg""), "".jpg"", """"), ""-"", "", ""), """")"),"")</f>
        <v/>
      </c>
      <c r="L1952" s="12"/>
      <c r="M1952" s="13"/>
      <c r="N1952" s="2"/>
      <c r="O1952" s="20"/>
      <c r="P1952" s="42"/>
      <c r="R1952" s="23"/>
    </row>
    <row r="1953" spans="1:18" ht="12.75">
      <c r="A1953" s="12"/>
      <c r="D1953" s="12"/>
      <c r="E1953" s="12"/>
      <c r="H1953" s="11" t="str">
        <f ca="1">IFERROR(__xludf.DUMMYFUNCTION("IFERROR(SUBSTITUTE(SUBSTITUTE(REGEXEXTRACT(A1953, ""[^-]+- [^-]+- [^-]+ - (.+?)\.jpg""), "".jpg"", """"), ""-"", "", ""), """")"),"")</f>
        <v/>
      </c>
      <c r="L1953" s="12"/>
      <c r="M1953" s="13"/>
      <c r="N1953" s="2"/>
      <c r="O1953" s="20"/>
      <c r="P1953" s="42"/>
      <c r="R1953" s="23"/>
    </row>
    <row r="1954" spans="1:18" ht="12.75">
      <c r="A1954" s="12"/>
      <c r="D1954" s="12"/>
      <c r="E1954" s="12"/>
      <c r="H1954" s="11" t="str">
        <f ca="1">IFERROR(__xludf.DUMMYFUNCTION("IFERROR(SUBSTITUTE(SUBSTITUTE(REGEXEXTRACT(A1954, ""[^-]+- [^-]+- [^-]+ - (.+?)\.jpg""), "".jpg"", """"), ""-"", "", ""), """")"),"")</f>
        <v/>
      </c>
      <c r="L1954" s="12"/>
      <c r="M1954" s="13"/>
      <c r="N1954" s="2"/>
      <c r="O1954" s="20"/>
      <c r="P1954" s="42"/>
      <c r="R1954" s="23"/>
    </row>
    <row r="1955" spans="1:18" ht="12.75">
      <c r="A1955" s="12"/>
      <c r="D1955" s="12"/>
      <c r="E1955" s="12"/>
      <c r="H1955" s="11" t="str">
        <f ca="1">IFERROR(__xludf.DUMMYFUNCTION("IFERROR(SUBSTITUTE(SUBSTITUTE(REGEXEXTRACT(A1955, ""[^-]+- [^-]+- [^-]+ - (.+?)\.jpg""), "".jpg"", """"), ""-"", "", ""), """")"),"")</f>
        <v/>
      </c>
      <c r="L1955" s="12"/>
      <c r="M1955" s="13"/>
      <c r="N1955" s="2"/>
      <c r="O1955" s="20"/>
      <c r="P1955" s="42"/>
      <c r="R1955" s="23"/>
    </row>
    <row r="1956" spans="1:18" ht="12.75">
      <c r="A1956" s="12"/>
      <c r="D1956" s="12"/>
      <c r="E1956" s="12"/>
      <c r="H1956" s="11" t="str">
        <f ca="1">IFERROR(__xludf.DUMMYFUNCTION("IFERROR(SUBSTITUTE(SUBSTITUTE(REGEXEXTRACT(A1956, ""[^-]+- [^-]+- [^-]+ - (.+?)\.jpg""), "".jpg"", """"), ""-"", "", ""), """")"),"")</f>
        <v/>
      </c>
      <c r="L1956" s="12"/>
      <c r="M1956" s="13"/>
      <c r="N1956" s="2"/>
      <c r="O1956" s="20"/>
      <c r="P1956" s="42"/>
      <c r="R1956" s="23"/>
    </row>
    <row r="1957" spans="1:18" ht="12.75">
      <c r="A1957" s="12"/>
      <c r="D1957" s="12"/>
      <c r="E1957" s="12"/>
      <c r="H1957" s="11" t="str">
        <f ca="1">IFERROR(__xludf.DUMMYFUNCTION("IFERROR(SUBSTITUTE(SUBSTITUTE(REGEXEXTRACT(A1957, ""[^-]+- [^-]+- [^-]+ - (.+?)\.jpg""), "".jpg"", """"), ""-"", "", ""), """")"),"")</f>
        <v/>
      </c>
      <c r="L1957" s="12"/>
      <c r="M1957" s="13"/>
      <c r="N1957" s="2"/>
      <c r="O1957" s="20"/>
      <c r="P1957" s="42"/>
      <c r="R1957" s="23"/>
    </row>
    <row r="1958" spans="1:18" ht="12.75">
      <c r="A1958" s="12"/>
      <c r="D1958" s="12"/>
      <c r="E1958" s="12"/>
      <c r="H1958" s="11" t="str">
        <f ca="1">IFERROR(__xludf.DUMMYFUNCTION("IFERROR(SUBSTITUTE(SUBSTITUTE(REGEXEXTRACT(A1958, ""[^-]+- [^-]+- [^-]+ - (.+?)\.jpg""), "".jpg"", """"), ""-"", "", ""), """")"),"")</f>
        <v/>
      </c>
      <c r="L1958" s="12"/>
      <c r="M1958" s="13"/>
      <c r="N1958" s="2"/>
      <c r="O1958" s="20"/>
      <c r="P1958" s="42"/>
      <c r="R1958" s="23"/>
    </row>
    <row r="1959" spans="1:18" ht="12.75">
      <c r="A1959" s="12"/>
      <c r="D1959" s="12"/>
      <c r="E1959" s="12"/>
      <c r="H1959" s="11" t="str">
        <f ca="1">IFERROR(__xludf.DUMMYFUNCTION("IFERROR(SUBSTITUTE(SUBSTITUTE(REGEXEXTRACT(A1959, ""[^-]+- [^-]+- [^-]+ - (.+?)\.jpg""), "".jpg"", """"), ""-"", "", ""), """")"),"")</f>
        <v/>
      </c>
      <c r="L1959" s="12"/>
      <c r="M1959" s="13"/>
      <c r="N1959" s="2"/>
      <c r="O1959" s="20"/>
      <c r="P1959" s="42"/>
      <c r="R1959" s="23"/>
    </row>
    <row r="1960" spans="1:18" ht="12.75">
      <c r="A1960" s="12"/>
      <c r="D1960" s="12"/>
      <c r="E1960" s="12"/>
      <c r="H1960" s="11" t="str">
        <f ca="1">IFERROR(__xludf.DUMMYFUNCTION("IFERROR(SUBSTITUTE(SUBSTITUTE(REGEXEXTRACT(A1960, ""[^-]+- [^-]+- [^-]+ - (.+?)\.jpg""), "".jpg"", """"), ""-"", "", ""), """")"),"")</f>
        <v/>
      </c>
      <c r="L1960" s="12"/>
      <c r="M1960" s="13"/>
      <c r="N1960" s="2"/>
      <c r="O1960" s="20"/>
      <c r="P1960" s="42"/>
      <c r="R1960" s="23"/>
    </row>
    <row r="1961" spans="1:18" ht="12.75">
      <c r="A1961" s="12"/>
      <c r="D1961" s="12"/>
      <c r="E1961" s="12"/>
      <c r="H1961" s="11" t="str">
        <f ca="1">IFERROR(__xludf.DUMMYFUNCTION("IFERROR(SUBSTITUTE(SUBSTITUTE(REGEXEXTRACT(A1961, ""[^-]+- [^-]+- [^-]+ - (.+?)\.jpg""), "".jpg"", """"), ""-"", "", ""), """")"),"")</f>
        <v/>
      </c>
      <c r="L1961" s="12"/>
      <c r="M1961" s="13"/>
      <c r="N1961" s="2"/>
      <c r="O1961" s="20"/>
      <c r="P1961" s="42"/>
      <c r="R1961" s="23"/>
    </row>
    <row r="1962" spans="1:18" ht="12.75">
      <c r="A1962" s="12"/>
      <c r="D1962" s="12"/>
      <c r="E1962" s="12"/>
      <c r="H1962" s="11" t="str">
        <f ca="1">IFERROR(__xludf.DUMMYFUNCTION("IFERROR(SUBSTITUTE(SUBSTITUTE(REGEXEXTRACT(A1962, ""[^-]+- [^-]+- [^-]+ - (.+?)\.jpg""), "".jpg"", """"), ""-"", "", ""), """")"),"")</f>
        <v/>
      </c>
      <c r="L1962" s="12"/>
      <c r="M1962" s="13"/>
      <c r="N1962" s="2"/>
      <c r="O1962" s="20"/>
      <c r="P1962" s="42"/>
      <c r="R1962" s="23"/>
    </row>
    <row r="1963" spans="1:18" ht="12.75">
      <c r="A1963" s="12"/>
      <c r="D1963" s="12"/>
      <c r="E1963" s="12"/>
      <c r="H1963" s="11" t="str">
        <f ca="1">IFERROR(__xludf.DUMMYFUNCTION("IFERROR(SUBSTITUTE(SUBSTITUTE(REGEXEXTRACT(A1963, ""[^-]+- [^-]+- [^-]+ - (.+?)\.jpg""), "".jpg"", """"), ""-"", "", ""), """")"),"")</f>
        <v/>
      </c>
      <c r="L1963" s="12"/>
      <c r="M1963" s="13"/>
      <c r="N1963" s="2"/>
      <c r="O1963" s="20"/>
      <c r="P1963" s="42"/>
      <c r="R1963" s="23"/>
    </row>
    <row r="1964" spans="1:18" ht="12.75">
      <c r="A1964" s="12"/>
      <c r="D1964" s="12"/>
      <c r="E1964" s="12"/>
      <c r="H1964" s="11" t="str">
        <f ca="1">IFERROR(__xludf.DUMMYFUNCTION("IFERROR(SUBSTITUTE(SUBSTITUTE(REGEXEXTRACT(A1964, ""[^-]+- [^-]+- [^-]+ - (.+?)\.jpg""), "".jpg"", """"), ""-"", "", ""), """")"),"")</f>
        <v/>
      </c>
      <c r="L1964" s="12"/>
      <c r="M1964" s="13"/>
      <c r="N1964" s="2"/>
      <c r="O1964" s="20"/>
      <c r="P1964" s="42"/>
      <c r="R1964" s="23"/>
    </row>
    <row r="1965" spans="1:18" ht="12.75">
      <c r="A1965" s="12"/>
      <c r="D1965" s="12"/>
      <c r="E1965" s="12"/>
      <c r="H1965" s="11" t="str">
        <f ca="1">IFERROR(__xludf.DUMMYFUNCTION("IFERROR(SUBSTITUTE(SUBSTITUTE(REGEXEXTRACT(A1965, ""[^-]+- [^-]+- [^-]+ - (.+?)\.jpg""), "".jpg"", """"), ""-"", "", ""), """")"),"")</f>
        <v/>
      </c>
      <c r="L1965" s="12"/>
      <c r="M1965" s="13"/>
      <c r="N1965" s="2"/>
      <c r="O1965" s="20"/>
      <c r="P1965" s="42"/>
      <c r="R1965" s="23"/>
    </row>
    <row r="1966" spans="1:18" ht="12.75">
      <c r="A1966" s="12"/>
      <c r="D1966" s="12"/>
      <c r="E1966" s="12"/>
      <c r="H1966" s="11" t="str">
        <f ca="1">IFERROR(__xludf.DUMMYFUNCTION("IFERROR(SUBSTITUTE(SUBSTITUTE(REGEXEXTRACT(A1966, ""[^-]+- [^-]+- [^-]+ - (.+?)\.jpg""), "".jpg"", """"), ""-"", "", ""), """")"),"")</f>
        <v/>
      </c>
      <c r="L1966" s="12"/>
      <c r="M1966" s="13"/>
      <c r="N1966" s="2"/>
      <c r="O1966" s="20"/>
      <c r="P1966" s="42"/>
      <c r="R1966" s="23"/>
    </row>
    <row r="1967" spans="1:18" ht="12.75">
      <c r="A1967" s="12"/>
      <c r="D1967" s="12"/>
      <c r="E1967" s="12"/>
      <c r="H1967" s="11" t="str">
        <f ca="1">IFERROR(__xludf.DUMMYFUNCTION("IFERROR(SUBSTITUTE(SUBSTITUTE(REGEXEXTRACT(A1967, ""[^-]+- [^-]+- [^-]+ - (.+?)\.jpg""), "".jpg"", """"), ""-"", "", ""), """")"),"")</f>
        <v/>
      </c>
      <c r="L1967" s="12"/>
      <c r="M1967" s="13"/>
      <c r="N1967" s="2"/>
      <c r="O1967" s="20"/>
      <c r="P1967" s="42"/>
      <c r="R1967" s="23"/>
    </row>
    <row r="1968" spans="1:18" ht="12.75">
      <c r="A1968" s="12"/>
      <c r="D1968" s="12"/>
      <c r="E1968" s="12"/>
      <c r="H1968" s="11" t="str">
        <f ca="1">IFERROR(__xludf.DUMMYFUNCTION("IFERROR(SUBSTITUTE(SUBSTITUTE(REGEXEXTRACT(A1968, ""[^-]+- [^-]+- [^-]+ - (.+?)\.jpg""), "".jpg"", """"), ""-"", "", ""), """")"),"")</f>
        <v/>
      </c>
      <c r="L1968" s="12"/>
      <c r="M1968" s="13"/>
      <c r="N1968" s="2"/>
      <c r="O1968" s="20"/>
      <c r="P1968" s="42"/>
      <c r="R1968" s="23"/>
    </row>
    <row r="1969" spans="1:18" ht="12.75">
      <c r="A1969" s="12"/>
      <c r="D1969" s="12"/>
      <c r="E1969" s="12"/>
      <c r="H1969" s="11" t="str">
        <f ca="1">IFERROR(__xludf.DUMMYFUNCTION("IFERROR(SUBSTITUTE(SUBSTITUTE(REGEXEXTRACT(A1969, ""[^-]+- [^-]+- [^-]+ - (.+?)\.jpg""), "".jpg"", """"), ""-"", "", ""), """")"),"")</f>
        <v/>
      </c>
      <c r="L1969" s="12"/>
      <c r="M1969" s="13"/>
      <c r="N1969" s="2"/>
      <c r="O1969" s="20"/>
      <c r="P1969" s="42"/>
      <c r="R1969" s="23"/>
    </row>
    <row r="1970" spans="1:18" ht="12.75">
      <c r="A1970" s="12"/>
      <c r="D1970" s="12"/>
      <c r="E1970" s="12"/>
      <c r="H1970" s="11" t="str">
        <f ca="1">IFERROR(__xludf.DUMMYFUNCTION("IFERROR(SUBSTITUTE(SUBSTITUTE(REGEXEXTRACT(A1970, ""[^-]+- [^-]+- [^-]+ - (.+?)\.jpg""), "".jpg"", """"), ""-"", "", ""), """")"),"")</f>
        <v/>
      </c>
      <c r="L1970" s="12"/>
      <c r="M1970" s="13"/>
      <c r="N1970" s="2"/>
      <c r="O1970" s="20"/>
      <c r="P1970" s="42"/>
      <c r="R1970" s="23"/>
    </row>
    <row r="1971" spans="1:18" ht="12.75">
      <c r="A1971" s="12"/>
      <c r="D1971" s="12"/>
      <c r="E1971" s="12"/>
      <c r="H1971" s="11" t="str">
        <f ca="1">IFERROR(__xludf.DUMMYFUNCTION("IFERROR(SUBSTITUTE(SUBSTITUTE(REGEXEXTRACT(A1971, ""[^-]+- [^-]+- [^-]+ - (.+?)\.jpg""), "".jpg"", """"), ""-"", "", ""), """")"),"")</f>
        <v/>
      </c>
      <c r="L1971" s="12"/>
      <c r="M1971" s="13"/>
      <c r="N1971" s="2"/>
      <c r="O1971" s="20"/>
      <c r="P1971" s="42"/>
      <c r="R1971" s="23"/>
    </row>
    <row r="1972" spans="1:18" ht="12.75">
      <c r="A1972" s="12"/>
      <c r="D1972" s="12"/>
      <c r="E1972" s="12"/>
      <c r="H1972" s="11" t="str">
        <f ca="1">IFERROR(__xludf.DUMMYFUNCTION("IFERROR(SUBSTITUTE(SUBSTITUTE(REGEXEXTRACT(A1972, ""[^-]+- [^-]+- [^-]+ - (.+?)\.jpg""), "".jpg"", """"), ""-"", "", ""), """")"),"")</f>
        <v/>
      </c>
      <c r="L1972" s="12"/>
      <c r="M1972" s="13"/>
      <c r="N1972" s="2"/>
      <c r="O1972" s="20"/>
      <c r="P1972" s="42"/>
      <c r="R1972" s="23"/>
    </row>
    <row r="1973" spans="1:18" ht="12.75">
      <c r="A1973" s="12"/>
      <c r="D1973" s="12"/>
      <c r="E1973" s="12"/>
      <c r="H1973" s="11" t="str">
        <f ca="1">IFERROR(__xludf.DUMMYFUNCTION("IFERROR(SUBSTITUTE(SUBSTITUTE(REGEXEXTRACT(A1973, ""[^-]+- [^-]+- [^-]+ - (.+?)\.jpg""), "".jpg"", """"), ""-"", "", ""), """")"),"")</f>
        <v/>
      </c>
      <c r="L1973" s="12"/>
      <c r="M1973" s="13"/>
      <c r="N1973" s="2"/>
      <c r="O1973" s="20"/>
      <c r="P1973" s="42"/>
      <c r="R1973" s="23"/>
    </row>
    <row r="1974" spans="1:18" ht="12.75">
      <c r="A1974" s="12"/>
      <c r="D1974" s="12"/>
      <c r="E1974" s="12"/>
      <c r="H1974" s="11" t="str">
        <f ca="1">IFERROR(__xludf.DUMMYFUNCTION("IFERROR(SUBSTITUTE(SUBSTITUTE(REGEXEXTRACT(A1974, ""[^-]+- [^-]+- [^-]+ - (.+?)\.jpg""), "".jpg"", """"), ""-"", "", ""), """")"),"")</f>
        <v/>
      </c>
      <c r="L1974" s="12"/>
      <c r="M1974" s="13"/>
      <c r="N1974" s="2"/>
      <c r="O1974" s="20"/>
      <c r="P1974" s="42"/>
      <c r="R1974" s="23"/>
    </row>
    <row r="1975" spans="1:18" ht="12.75">
      <c r="A1975" s="12"/>
      <c r="D1975" s="12"/>
      <c r="E1975" s="12"/>
      <c r="H1975" s="11" t="str">
        <f ca="1">IFERROR(__xludf.DUMMYFUNCTION("IFERROR(SUBSTITUTE(SUBSTITUTE(REGEXEXTRACT(A1975, ""[^-]+- [^-]+- [^-]+ - (.+?)\.jpg""), "".jpg"", """"), ""-"", "", ""), """")"),"")</f>
        <v/>
      </c>
      <c r="L1975" s="12"/>
      <c r="M1975" s="13"/>
      <c r="N1975" s="2"/>
      <c r="O1975" s="20"/>
      <c r="P1975" s="42"/>
      <c r="R1975" s="23"/>
    </row>
    <row r="1976" spans="1:18" ht="12.75">
      <c r="A1976" s="12"/>
      <c r="D1976" s="12"/>
      <c r="E1976" s="12"/>
      <c r="H1976" s="11" t="str">
        <f ca="1">IFERROR(__xludf.DUMMYFUNCTION("IFERROR(SUBSTITUTE(SUBSTITUTE(REGEXEXTRACT(A1976, ""[^-]+- [^-]+- [^-]+ - (.+?)\.jpg""), "".jpg"", """"), ""-"", "", ""), """")"),"")</f>
        <v/>
      </c>
      <c r="L1976" s="12"/>
      <c r="M1976" s="13"/>
      <c r="N1976" s="2"/>
      <c r="O1976" s="20"/>
      <c r="P1976" s="42"/>
      <c r="R1976" s="23"/>
    </row>
    <row r="1977" spans="1:18" ht="12.75">
      <c r="A1977" s="12"/>
      <c r="D1977" s="12"/>
      <c r="E1977" s="12"/>
      <c r="H1977" s="11" t="str">
        <f ca="1">IFERROR(__xludf.DUMMYFUNCTION("IFERROR(SUBSTITUTE(SUBSTITUTE(REGEXEXTRACT(A1977, ""[^-]+- [^-]+- [^-]+ - (.+?)\.jpg""), "".jpg"", """"), ""-"", "", ""), """")"),"")</f>
        <v/>
      </c>
      <c r="L1977" s="12"/>
      <c r="M1977" s="13"/>
      <c r="N1977" s="2"/>
      <c r="O1977" s="20"/>
      <c r="P1977" s="42"/>
      <c r="R1977" s="23"/>
    </row>
    <row r="1978" spans="1:18" ht="12.75">
      <c r="A1978" s="12"/>
      <c r="D1978" s="12"/>
      <c r="E1978" s="12"/>
      <c r="H1978" s="11" t="str">
        <f ca="1">IFERROR(__xludf.DUMMYFUNCTION("IFERROR(SUBSTITUTE(SUBSTITUTE(REGEXEXTRACT(A1978, ""[^-]+- [^-]+- [^-]+ - (.+?)\.jpg""), "".jpg"", """"), ""-"", "", ""), """")"),"")</f>
        <v/>
      </c>
      <c r="L1978" s="12"/>
      <c r="M1978" s="13"/>
      <c r="N1978" s="2"/>
      <c r="O1978" s="20"/>
      <c r="P1978" s="42"/>
      <c r="R1978" s="23"/>
    </row>
    <row r="1979" spans="1:18" ht="12.75">
      <c r="A1979" s="12"/>
      <c r="D1979" s="12"/>
      <c r="E1979" s="12"/>
      <c r="H1979" s="11" t="str">
        <f ca="1">IFERROR(__xludf.DUMMYFUNCTION("IFERROR(SUBSTITUTE(SUBSTITUTE(REGEXEXTRACT(A1979, ""[^-]+- [^-]+- [^-]+ - (.+?)\.jpg""), "".jpg"", """"), ""-"", "", ""), """")"),"")</f>
        <v/>
      </c>
      <c r="L1979" s="12"/>
      <c r="M1979" s="13"/>
      <c r="N1979" s="2"/>
      <c r="O1979" s="20"/>
      <c r="P1979" s="42"/>
      <c r="R1979" s="23"/>
    </row>
    <row r="1980" spans="1:18" ht="12.75">
      <c r="A1980" s="12"/>
      <c r="D1980" s="12"/>
      <c r="E1980" s="12"/>
      <c r="H1980" s="11" t="str">
        <f ca="1">IFERROR(__xludf.DUMMYFUNCTION("IFERROR(SUBSTITUTE(SUBSTITUTE(REGEXEXTRACT(A1980, ""[^-]+- [^-]+- [^-]+ - (.+?)\.jpg""), "".jpg"", """"), ""-"", "", ""), """")"),"")</f>
        <v/>
      </c>
      <c r="L1980" s="12"/>
      <c r="M1980" s="13"/>
      <c r="N1980" s="2"/>
      <c r="O1980" s="20"/>
      <c r="P1980" s="42"/>
      <c r="R1980" s="23"/>
    </row>
    <row r="1981" spans="1:18" ht="12.75">
      <c r="A1981" s="12"/>
      <c r="D1981" s="12"/>
      <c r="E1981" s="12"/>
      <c r="H1981" s="11" t="str">
        <f ca="1">IFERROR(__xludf.DUMMYFUNCTION("IFERROR(SUBSTITUTE(SUBSTITUTE(REGEXEXTRACT(A1981, ""[^-]+- [^-]+- [^-]+ - (.+?)\.jpg""), "".jpg"", """"), ""-"", "", ""), """")"),"")</f>
        <v/>
      </c>
      <c r="L1981" s="12"/>
      <c r="M1981" s="13"/>
      <c r="N1981" s="2"/>
      <c r="O1981" s="20"/>
      <c r="P1981" s="42"/>
      <c r="R1981" s="23"/>
    </row>
    <row r="1982" spans="1:18" ht="12.75">
      <c r="A1982" s="12"/>
      <c r="D1982" s="12"/>
      <c r="E1982" s="12"/>
      <c r="H1982" s="11" t="str">
        <f ca="1">IFERROR(__xludf.DUMMYFUNCTION("IFERROR(SUBSTITUTE(SUBSTITUTE(REGEXEXTRACT(A1982, ""[^-]+- [^-]+- [^-]+ - (.+?)\.jpg""), "".jpg"", """"), ""-"", "", ""), """")"),"")</f>
        <v/>
      </c>
      <c r="L1982" s="12"/>
      <c r="M1982" s="13"/>
      <c r="N1982" s="2"/>
      <c r="O1982" s="20"/>
      <c r="P1982" s="42"/>
      <c r="R1982" s="23"/>
    </row>
    <row r="1983" spans="1:18" ht="12.75">
      <c r="A1983" s="12"/>
      <c r="D1983" s="12"/>
      <c r="E1983" s="12"/>
      <c r="H1983" s="11" t="str">
        <f ca="1">IFERROR(__xludf.DUMMYFUNCTION("IFERROR(SUBSTITUTE(SUBSTITUTE(REGEXEXTRACT(A1983, ""[^-]+- [^-]+- [^-]+ - (.+?)\.jpg""), "".jpg"", """"), ""-"", "", ""), """")"),"")</f>
        <v/>
      </c>
      <c r="L1983" s="12"/>
      <c r="M1983" s="13"/>
      <c r="N1983" s="2"/>
      <c r="O1983" s="20"/>
      <c r="P1983" s="42"/>
      <c r="R1983" s="23"/>
    </row>
    <row r="1984" spans="1:18" ht="12.75">
      <c r="A1984" s="12"/>
      <c r="D1984" s="12"/>
      <c r="E1984" s="12"/>
      <c r="H1984" s="11" t="str">
        <f ca="1">IFERROR(__xludf.DUMMYFUNCTION("IFERROR(SUBSTITUTE(SUBSTITUTE(REGEXEXTRACT(A1984, ""[^-]+- [^-]+- [^-]+ - (.+?)\.jpg""), "".jpg"", """"), ""-"", "", ""), """")"),"")</f>
        <v/>
      </c>
      <c r="L1984" s="12"/>
      <c r="M1984" s="13"/>
      <c r="N1984" s="2"/>
      <c r="O1984" s="20"/>
      <c r="P1984" s="42"/>
      <c r="R1984" s="23"/>
    </row>
    <row r="1985" spans="1:18" ht="12.75">
      <c r="A1985" s="12"/>
      <c r="D1985" s="12"/>
      <c r="E1985" s="12"/>
      <c r="H1985" s="11" t="str">
        <f ca="1">IFERROR(__xludf.DUMMYFUNCTION("IFERROR(SUBSTITUTE(SUBSTITUTE(REGEXEXTRACT(A1985, ""[^-]+- [^-]+- [^-]+ - (.+?)\.jpg""), "".jpg"", """"), ""-"", "", ""), """")"),"")</f>
        <v/>
      </c>
      <c r="L1985" s="12"/>
      <c r="M1985" s="13"/>
      <c r="N1985" s="2"/>
      <c r="O1985" s="20"/>
      <c r="P1985" s="42"/>
      <c r="R1985" s="23"/>
    </row>
    <row r="1986" spans="1:18" ht="12.75">
      <c r="A1986" s="12"/>
      <c r="D1986" s="12"/>
      <c r="E1986" s="12"/>
      <c r="H1986" s="11" t="str">
        <f ca="1">IFERROR(__xludf.DUMMYFUNCTION("IFERROR(SUBSTITUTE(SUBSTITUTE(REGEXEXTRACT(A1986, ""[^-]+- [^-]+- [^-]+ - (.+?)\.jpg""), "".jpg"", """"), ""-"", "", ""), """")"),"")</f>
        <v/>
      </c>
      <c r="L1986" s="12"/>
      <c r="M1986" s="13"/>
      <c r="N1986" s="2"/>
      <c r="O1986" s="20"/>
      <c r="P1986" s="42"/>
      <c r="R1986" s="23"/>
    </row>
    <row r="1987" spans="1:18" ht="12.75">
      <c r="A1987" s="12"/>
      <c r="D1987" s="12"/>
      <c r="E1987" s="12"/>
      <c r="H1987" s="11" t="str">
        <f ca="1">IFERROR(__xludf.DUMMYFUNCTION("IFERROR(SUBSTITUTE(SUBSTITUTE(REGEXEXTRACT(A1987, ""[^-]+- [^-]+- [^-]+ - (.+?)\.jpg""), "".jpg"", """"), ""-"", "", ""), """")"),"")</f>
        <v/>
      </c>
      <c r="L1987" s="12"/>
      <c r="M1987" s="13"/>
      <c r="N1987" s="2"/>
      <c r="O1987" s="20"/>
      <c r="P1987" s="42"/>
      <c r="R1987" s="23"/>
    </row>
    <row r="1988" spans="1:18" ht="12.75">
      <c r="A1988" s="12"/>
      <c r="D1988" s="12"/>
      <c r="E1988" s="12"/>
      <c r="H1988" s="11" t="str">
        <f ca="1">IFERROR(__xludf.DUMMYFUNCTION("IFERROR(SUBSTITUTE(SUBSTITUTE(REGEXEXTRACT(A1988, ""[^-]+- [^-]+- [^-]+ - (.+?)\.jpg""), "".jpg"", """"), ""-"", "", ""), """")"),"")</f>
        <v/>
      </c>
      <c r="L1988" s="12"/>
      <c r="M1988" s="13"/>
      <c r="N1988" s="2"/>
      <c r="O1988" s="20"/>
      <c r="P1988" s="42"/>
      <c r="R1988" s="23"/>
    </row>
    <row r="1989" spans="1:18" ht="12.75">
      <c r="A1989" s="12"/>
      <c r="D1989" s="12"/>
      <c r="E1989" s="12"/>
      <c r="H1989" s="11" t="str">
        <f ca="1">IFERROR(__xludf.DUMMYFUNCTION("IFERROR(SUBSTITUTE(SUBSTITUTE(REGEXEXTRACT(A1989, ""[^-]+- [^-]+- [^-]+ - (.+?)\.jpg""), "".jpg"", """"), ""-"", "", ""), """")"),"")</f>
        <v/>
      </c>
      <c r="L1989" s="12"/>
      <c r="M1989" s="13"/>
      <c r="N1989" s="2"/>
      <c r="O1989" s="20"/>
      <c r="P1989" s="42"/>
      <c r="R1989" s="23"/>
    </row>
    <row r="1990" spans="1:18" ht="12.75">
      <c r="A1990" s="12"/>
      <c r="D1990" s="12"/>
      <c r="E1990" s="12"/>
      <c r="H1990" s="11" t="str">
        <f ca="1">IFERROR(__xludf.DUMMYFUNCTION("IFERROR(SUBSTITUTE(SUBSTITUTE(REGEXEXTRACT(A1990, ""[^-]+- [^-]+- [^-]+ - (.+?)\.jpg""), "".jpg"", """"), ""-"", "", ""), """")"),"")</f>
        <v/>
      </c>
      <c r="L1990" s="12"/>
      <c r="M1990" s="13"/>
      <c r="N1990" s="2"/>
      <c r="O1990" s="20"/>
      <c r="P1990" s="42"/>
      <c r="R1990" s="23"/>
    </row>
    <row r="1991" spans="1:18" ht="12.75">
      <c r="A1991" s="12"/>
      <c r="D1991" s="12"/>
      <c r="E1991" s="12"/>
      <c r="H1991" s="11" t="str">
        <f ca="1">IFERROR(__xludf.DUMMYFUNCTION("IFERROR(SUBSTITUTE(SUBSTITUTE(REGEXEXTRACT(A1991, ""[^-]+- [^-]+- [^-]+ - (.+?)\.jpg""), "".jpg"", """"), ""-"", "", ""), """")"),"")</f>
        <v/>
      </c>
      <c r="L1991" s="12"/>
      <c r="M1991" s="13"/>
      <c r="N1991" s="2"/>
      <c r="O1991" s="20"/>
      <c r="P1991" s="42"/>
      <c r="R1991" s="23"/>
    </row>
    <row r="1992" spans="1:18" ht="12.75">
      <c r="A1992" s="12"/>
      <c r="D1992" s="12"/>
      <c r="E1992" s="12"/>
      <c r="H1992" s="11" t="str">
        <f ca="1">IFERROR(__xludf.DUMMYFUNCTION("IFERROR(SUBSTITUTE(SUBSTITUTE(REGEXEXTRACT(A1992, ""[^-]+- [^-]+- [^-]+ - (.+?)\.jpg""), "".jpg"", """"), ""-"", "", ""), """")"),"")</f>
        <v/>
      </c>
      <c r="L1992" s="12"/>
      <c r="M1992" s="13"/>
      <c r="N1992" s="2"/>
      <c r="O1992" s="20"/>
      <c r="P1992" s="42"/>
      <c r="R1992" s="23"/>
    </row>
    <row r="1993" spans="1:18" ht="12.75">
      <c r="A1993" s="12"/>
      <c r="D1993" s="12"/>
      <c r="E1993" s="12"/>
      <c r="H1993" s="11" t="str">
        <f ca="1">IFERROR(__xludf.DUMMYFUNCTION("IFERROR(SUBSTITUTE(SUBSTITUTE(REGEXEXTRACT(A1993, ""[^-]+- [^-]+- [^-]+ - (.+?)\.jpg""), "".jpg"", """"), ""-"", "", ""), """")"),"")</f>
        <v/>
      </c>
      <c r="L1993" s="12"/>
      <c r="M1993" s="13"/>
      <c r="N1993" s="2"/>
      <c r="O1993" s="20"/>
      <c r="P1993" s="42"/>
      <c r="R1993" s="23"/>
    </row>
    <row r="1994" spans="1:18" ht="12.75">
      <c r="A1994" s="12"/>
      <c r="D1994" s="12"/>
      <c r="E1994" s="12"/>
      <c r="H1994" s="11" t="str">
        <f ca="1">IFERROR(__xludf.DUMMYFUNCTION("IFERROR(SUBSTITUTE(SUBSTITUTE(REGEXEXTRACT(A1994, ""[^-]+- [^-]+- [^-]+ - (.+?)\.jpg""), "".jpg"", """"), ""-"", "", ""), """")"),"")</f>
        <v/>
      </c>
      <c r="L1994" s="12"/>
      <c r="M1994" s="13"/>
      <c r="N1994" s="2"/>
      <c r="O1994" s="20"/>
      <c r="P1994" s="42"/>
      <c r="R1994" s="23"/>
    </row>
    <row r="1995" spans="1:18" ht="12.75">
      <c r="A1995" s="12"/>
      <c r="D1995" s="12"/>
      <c r="E1995" s="12"/>
      <c r="H1995" s="11" t="str">
        <f ca="1">IFERROR(__xludf.DUMMYFUNCTION("IFERROR(SUBSTITUTE(SUBSTITUTE(REGEXEXTRACT(A1995, ""[^-]+- [^-]+- [^-]+ - (.+?)\.jpg""), "".jpg"", """"), ""-"", "", ""), """")"),"")</f>
        <v/>
      </c>
      <c r="L1995" s="12"/>
      <c r="M1995" s="13"/>
      <c r="N1995" s="2"/>
      <c r="O1995" s="20"/>
      <c r="P1995" s="42"/>
      <c r="R1995" s="23"/>
    </row>
    <row r="1996" spans="1:18" ht="12.75">
      <c r="A1996" s="12"/>
      <c r="D1996" s="12"/>
      <c r="E1996" s="12"/>
      <c r="H1996" s="11" t="str">
        <f ca="1">IFERROR(__xludf.DUMMYFUNCTION("IFERROR(SUBSTITUTE(SUBSTITUTE(REGEXEXTRACT(A1996, ""[^-]+- [^-]+- [^-]+ - (.+?)\.jpg""), "".jpg"", """"), ""-"", "", ""), """")"),"")</f>
        <v/>
      </c>
      <c r="L1996" s="12"/>
      <c r="M1996" s="13"/>
      <c r="N1996" s="2"/>
      <c r="O1996" s="20"/>
      <c r="P1996" s="42"/>
      <c r="R1996" s="23"/>
    </row>
    <row r="1997" spans="1:18" ht="12.75">
      <c r="A1997" s="12"/>
      <c r="D1997" s="12"/>
      <c r="E1997" s="12"/>
      <c r="H1997" s="11" t="str">
        <f ca="1">IFERROR(__xludf.DUMMYFUNCTION("IFERROR(SUBSTITUTE(SUBSTITUTE(REGEXEXTRACT(A1997, ""[^-]+- [^-]+- [^-]+ - (.+?)\.jpg""), "".jpg"", """"), ""-"", "", ""), """")"),"")</f>
        <v/>
      </c>
      <c r="L1997" s="12"/>
      <c r="M1997" s="13"/>
      <c r="N1997" s="2"/>
      <c r="O1997" s="20"/>
      <c r="P1997" s="42"/>
      <c r="R1997" s="23"/>
    </row>
    <row r="1998" spans="1:18" ht="12.75">
      <c r="A1998" s="12"/>
      <c r="D1998" s="12"/>
      <c r="E1998" s="12"/>
      <c r="H1998" s="11" t="str">
        <f ca="1">IFERROR(__xludf.DUMMYFUNCTION("IFERROR(SUBSTITUTE(SUBSTITUTE(REGEXEXTRACT(A1998, ""[^-]+- [^-]+- [^-]+ - (.+?)\.jpg""), "".jpg"", """"), ""-"", "", ""), """")"),"")</f>
        <v/>
      </c>
      <c r="L1998" s="12"/>
      <c r="M1998" s="13"/>
      <c r="N1998" s="2"/>
      <c r="O1998" s="20"/>
      <c r="P1998" s="42"/>
      <c r="R1998" s="23"/>
    </row>
    <row r="1999" spans="1:18" ht="12.75">
      <c r="A1999" s="12"/>
      <c r="D1999" s="12"/>
      <c r="E1999" s="12"/>
      <c r="H1999" s="11" t="str">
        <f ca="1">IFERROR(__xludf.DUMMYFUNCTION("IFERROR(SUBSTITUTE(SUBSTITUTE(REGEXEXTRACT(A1999, ""[^-]+- [^-]+- [^-]+ - (.+?)\.jpg""), "".jpg"", """"), ""-"", "", ""), """")"),"")</f>
        <v/>
      </c>
      <c r="L1999" s="12"/>
      <c r="M1999" s="13"/>
      <c r="N1999" s="2"/>
      <c r="O1999" s="20"/>
      <c r="P1999" s="42"/>
      <c r="R1999" s="23"/>
    </row>
    <row r="2000" spans="1:18" ht="12.75">
      <c r="A2000" s="12"/>
      <c r="D2000" s="12"/>
      <c r="E2000" s="12"/>
      <c r="H2000" s="11" t="str">
        <f ca="1">IFERROR(__xludf.DUMMYFUNCTION("IFERROR(SUBSTITUTE(SUBSTITUTE(REGEXEXTRACT(A2000, ""[^-]+- [^-]+- [^-]+ - (.+?)\.jpg""), "".jpg"", """"), ""-"", "", ""), """")"),"")</f>
        <v/>
      </c>
      <c r="L2000" s="12"/>
      <c r="M2000" s="13"/>
      <c r="N2000" s="2"/>
      <c r="O2000" s="20"/>
      <c r="P2000" s="42"/>
      <c r="R2000" s="23"/>
    </row>
    <row r="2001" spans="1:18" ht="12.75">
      <c r="A2001" s="12"/>
      <c r="D2001" s="12"/>
      <c r="E2001" s="12"/>
      <c r="H2001" s="11" t="str">
        <f ca="1">IFERROR(__xludf.DUMMYFUNCTION("IFERROR(SUBSTITUTE(SUBSTITUTE(REGEXEXTRACT(A2001, ""[^-]+- [^-]+- [^-]+ - (.+?)\.jpg""), "".jpg"", """"), ""-"", "", ""), """")"),"")</f>
        <v/>
      </c>
      <c r="L2001" s="12"/>
      <c r="M2001" s="13"/>
      <c r="N2001" s="2"/>
      <c r="O2001" s="20"/>
      <c r="P2001" s="42"/>
      <c r="R2001" s="23"/>
    </row>
    <row r="2002" spans="1:18" ht="12.75">
      <c r="A2002" s="12"/>
      <c r="D2002" s="12"/>
      <c r="E2002" s="12"/>
      <c r="H2002" s="11" t="str">
        <f ca="1">IFERROR(__xludf.DUMMYFUNCTION("IFERROR(SUBSTITUTE(SUBSTITUTE(REGEXEXTRACT(A2002, ""[^-]+- [^-]+- [^-]+ - (.+?)\.jpg""), "".jpg"", """"), ""-"", "", ""), """")"),"")</f>
        <v/>
      </c>
      <c r="L2002" s="12"/>
      <c r="M2002" s="13"/>
      <c r="N2002" s="2"/>
      <c r="O2002" s="20"/>
      <c r="P2002" s="42"/>
      <c r="R2002" s="23"/>
    </row>
    <row r="2003" spans="1:18" ht="12.75">
      <c r="A2003" s="12"/>
      <c r="D2003" s="12"/>
      <c r="E2003" s="12"/>
      <c r="H2003" s="11" t="str">
        <f ca="1">IFERROR(__xludf.DUMMYFUNCTION("IFERROR(SUBSTITUTE(SUBSTITUTE(REGEXEXTRACT(A2003, ""[^-]+- [^-]+- [^-]+ - (.+?)\.jpg""), "".jpg"", """"), ""-"", "", ""), """")"),"")</f>
        <v/>
      </c>
      <c r="L2003" s="12"/>
      <c r="M2003" s="13"/>
      <c r="N2003" s="2"/>
      <c r="O2003" s="20"/>
      <c r="P2003" s="42"/>
      <c r="R2003" s="23"/>
    </row>
    <row r="2004" spans="1:18" ht="12.75">
      <c r="A2004" s="12"/>
      <c r="D2004" s="12"/>
      <c r="E2004" s="12"/>
      <c r="H2004" s="11" t="str">
        <f ca="1">IFERROR(__xludf.DUMMYFUNCTION("IFERROR(SUBSTITUTE(SUBSTITUTE(REGEXEXTRACT(A2004, ""[^-]+- [^-]+- [^-]+ - (.+?)\.jpg""), "".jpg"", """"), ""-"", "", ""), """")"),"")</f>
        <v/>
      </c>
      <c r="L2004" s="12"/>
      <c r="M2004" s="13"/>
      <c r="N2004" s="2"/>
      <c r="O2004" s="20"/>
      <c r="P2004" s="42"/>
      <c r="R2004" s="23"/>
    </row>
    <row r="2005" spans="1:18" ht="12.75">
      <c r="A2005" s="12"/>
      <c r="D2005" s="12"/>
      <c r="E2005" s="12"/>
      <c r="H2005" s="11" t="str">
        <f ca="1">IFERROR(__xludf.DUMMYFUNCTION("IFERROR(SUBSTITUTE(SUBSTITUTE(REGEXEXTRACT(A2005, ""[^-]+- [^-]+- [^-]+ - (.+?)\.jpg""), "".jpg"", """"), ""-"", "", ""), """")"),"")</f>
        <v/>
      </c>
      <c r="L2005" s="12"/>
      <c r="M2005" s="13"/>
      <c r="N2005" s="2"/>
      <c r="O2005" s="20"/>
      <c r="P2005" s="42"/>
      <c r="R2005" s="23"/>
    </row>
    <row r="2006" spans="1:18" ht="12.75">
      <c r="A2006" s="12"/>
      <c r="D2006" s="12"/>
      <c r="E2006" s="12"/>
      <c r="H2006" s="11" t="str">
        <f ca="1">IFERROR(__xludf.DUMMYFUNCTION("IFERROR(SUBSTITUTE(SUBSTITUTE(REGEXEXTRACT(A2006, ""[^-]+- [^-]+- [^-]+ - (.+?)\.jpg""), "".jpg"", """"), ""-"", "", ""), """")"),"")</f>
        <v/>
      </c>
      <c r="L2006" s="12"/>
      <c r="M2006" s="13"/>
      <c r="N2006" s="2"/>
      <c r="O2006" s="20"/>
      <c r="P2006" s="42"/>
      <c r="R2006" s="23"/>
    </row>
    <row r="2007" spans="1:18" ht="12.75">
      <c r="A2007" s="12"/>
      <c r="D2007" s="12"/>
      <c r="E2007" s="12"/>
      <c r="H2007" s="11" t="str">
        <f ca="1">IFERROR(__xludf.DUMMYFUNCTION("IFERROR(SUBSTITUTE(SUBSTITUTE(REGEXEXTRACT(A2007, ""[^-]+- [^-]+- [^-]+ - (.+?)\.jpg""), "".jpg"", """"), ""-"", "", ""), """")"),"")</f>
        <v/>
      </c>
      <c r="L2007" s="12"/>
      <c r="M2007" s="13"/>
      <c r="N2007" s="2"/>
      <c r="O2007" s="20"/>
      <c r="P2007" s="42"/>
      <c r="R2007" s="23"/>
    </row>
    <row r="2008" spans="1:18" ht="12.75">
      <c r="A2008" s="12"/>
      <c r="D2008" s="12"/>
      <c r="E2008" s="12"/>
      <c r="H2008" s="11" t="str">
        <f ca="1">IFERROR(__xludf.DUMMYFUNCTION("IFERROR(SUBSTITUTE(SUBSTITUTE(REGEXEXTRACT(A2008, ""[^-]+- [^-]+- [^-]+ - (.+?)\.jpg""), "".jpg"", """"), ""-"", "", ""), """")"),"")</f>
        <v/>
      </c>
      <c r="L2008" s="12"/>
      <c r="M2008" s="13"/>
      <c r="N2008" s="2"/>
      <c r="O2008" s="20"/>
      <c r="P2008" s="42"/>
      <c r="R2008" s="23"/>
    </row>
    <row r="2009" spans="1:18" ht="12.75">
      <c r="A2009" s="12"/>
      <c r="D2009" s="12"/>
      <c r="E2009" s="12"/>
      <c r="H2009" s="11" t="str">
        <f ca="1">IFERROR(__xludf.DUMMYFUNCTION("IFERROR(SUBSTITUTE(SUBSTITUTE(REGEXEXTRACT(A2009, ""[^-]+- [^-]+- [^-]+ - (.+?)\.jpg""), "".jpg"", """"), ""-"", "", ""), """")"),"")</f>
        <v/>
      </c>
      <c r="L2009" s="12"/>
      <c r="M2009" s="13"/>
      <c r="N2009" s="2"/>
      <c r="O2009" s="20"/>
      <c r="P2009" s="42"/>
      <c r="R2009" s="23"/>
    </row>
    <row r="2010" spans="1:18" ht="12.75">
      <c r="A2010" s="12"/>
      <c r="D2010" s="12"/>
      <c r="E2010" s="12"/>
      <c r="H2010" s="11" t="str">
        <f ca="1">IFERROR(__xludf.DUMMYFUNCTION("IFERROR(SUBSTITUTE(SUBSTITUTE(REGEXEXTRACT(A2010, ""[^-]+- [^-]+- [^-]+ - (.+?)\.jpg""), "".jpg"", """"), ""-"", "", ""), """")"),"")</f>
        <v/>
      </c>
      <c r="L2010" s="12"/>
      <c r="M2010" s="13"/>
      <c r="N2010" s="2"/>
      <c r="O2010" s="20"/>
      <c r="P2010" s="42"/>
      <c r="R2010" s="23"/>
    </row>
    <row r="2011" spans="1:18" ht="12.75">
      <c r="A2011" s="12"/>
      <c r="D2011" s="12"/>
      <c r="E2011" s="12"/>
      <c r="H2011" s="11" t="str">
        <f ca="1">IFERROR(__xludf.DUMMYFUNCTION("IFERROR(SUBSTITUTE(SUBSTITUTE(REGEXEXTRACT(A2011, ""[^-]+- [^-]+- [^-]+ - (.+?)\.jpg""), "".jpg"", """"), ""-"", "", ""), """")"),"")</f>
        <v/>
      </c>
      <c r="L2011" s="12"/>
      <c r="M2011" s="13"/>
      <c r="N2011" s="2"/>
      <c r="O2011" s="20"/>
      <c r="P2011" s="42"/>
      <c r="R2011" s="23"/>
    </row>
    <row r="2012" spans="1:18" ht="12.75">
      <c r="A2012" s="12"/>
      <c r="D2012" s="12"/>
      <c r="E2012" s="12"/>
      <c r="H2012" s="11" t="str">
        <f ca="1">IFERROR(__xludf.DUMMYFUNCTION("IFERROR(SUBSTITUTE(SUBSTITUTE(REGEXEXTRACT(A2012, ""[^-]+- [^-]+- [^-]+ - (.+?)\.jpg""), "".jpg"", """"), ""-"", "", ""), """")"),"")</f>
        <v/>
      </c>
      <c r="L2012" s="12"/>
      <c r="M2012" s="13"/>
      <c r="N2012" s="2"/>
      <c r="O2012" s="20"/>
      <c r="P2012" s="42"/>
      <c r="R2012" s="23"/>
    </row>
    <row r="2013" spans="1:18" ht="12.75">
      <c r="A2013" s="12"/>
      <c r="D2013" s="12"/>
      <c r="E2013" s="12"/>
      <c r="H2013" s="11" t="str">
        <f ca="1">IFERROR(__xludf.DUMMYFUNCTION("IFERROR(SUBSTITUTE(SUBSTITUTE(REGEXEXTRACT(A2013, ""[^-]+- [^-]+- [^-]+ - (.+?)\.jpg""), "".jpg"", """"), ""-"", "", ""), """")"),"")</f>
        <v/>
      </c>
      <c r="L2013" s="12"/>
      <c r="M2013" s="13"/>
      <c r="N2013" s="2"/>
      <c r="O2013" s="20"/>
      <c r="P2013" s="42"/>
      <c r="R2013" s="23"/>
    </row>
    <row r="2014" spans="1:18" ht="12.75">
      <c r="A2014" s="12"/>
      <c r="D2014" s="12"/>
      <c r="E2014" s="12"/>
      <c r="H2014" s="11" t="str">
        <f ca="1">IFERROR(__xludf.DUMMYFUNCTION("IFERROR(SUBSTITUTE(SUBSTITUTE(REGEXEXTRACT(A2014, ""[^-]+- [^-]+- [^-]+ - (.+?)\.jpg""), "".jpg"", """"), ""-"", "", ""), """")"),"")</f>
        <v/>
      </c>
      <c r="L2014" s="12"/>
      <c r="M2014" s="13"/>
      <c r="N2014" s="2"/>
      <c r="O2014" s="20"/>
      <c r="P2014" s="42"/>
      <c r="R2014" s="23"/>
    </row>
    <row r="2015" spans="1:18" ht="12.75">
      <c r="A2015" s="12"/>
      <c r="D2015" s="12"/>
      <c r="E2015" s="12"/>
      <c r="H2015" s="11" t="str">
        <f ca="1">IFERROR(__xludf.DUMMYFUNCTION("IFERROR(SUBSTITUTE(SUBSTITUTE(REGEXEXTRACT(A2015, ""[^-]+- [^-]+- [^-]+ - (.+?)\.jpg""), "".jpg"", """"), ""-"", "", ""), """")"),"")</f>
        <v/>
      </c>
      <c r="L2015" s="12"/>
      <c r="M2015" s="13"/>
      <c r="N2015" s="2"/>
      <c r="O2015" s="20"/>
      <c r="P2015" s="42"/>
      <c r="R2015" s="23"/>
    </row>
    <row r="2016" spans="1:18" ht="12.75">
      <c r="A2016" s="12"/>
      <c r="D2016" s="12"/>
      <c r="E2016" s="12"/>
      <c r="H2016" s="11" t="str">
        <f ca="1">IFERROR(__xludf.DUMMYFUNCTION("IFERROR(SUBSTITUTE(SUBSTITUTE(REGEXEXTRACT(A2016, ""[^-]+- [^-]+- [^-]+ - (.+?)\.jpg""), "".jpg"", """"), ""-"", "", ""), """")"),"")</f>
        <v/>
      </c>
      <c r="L2016" s="12"/>
      <c r="M2016" s="13"/>
      <c r="N2016" s="2"/>
      <c r="O2016" s="20"/>
      <c r="P2016" s="42"/>
      <c r="R2016" s="23"/>
    </row>
    <row r="2017" spans="1:18" ht="12.75">
      <c r="A2017" s="12"/>
      <c r="D2017" s="12"/>
      <c r="E2017" s="12"/>
      <c r="H2017" s="11" t="str">
        <f ca="1">IFERROR(__xludf.DUMMYFUNCTION("IFERROR(SUBSTITUTE(SUBSTITUTE(REGEXEXTRACT(A2017, ""[^-]+- [^-]+- [^-]+ - (.+?)\.jpg""), "".jpg"", """"), ""-"", "", ""), """")"),"")</f>
        <v/>
      </c>
      <c r="L2017" s="12"/>
      <c r="M2017" s="13"/>
      <c r="N2017" s="2"/>
      <c r="O2017" s="20"/>
      <c r="P2017" s="42"/>
      <c r="R2017" s="23"/>
    </row>
    <row r="2018" spans="1:18" ht="12.75">
      <c r="A2018" s="12"/>
      <c r="D2018" s="12"/>
      <c r="E2018" s="12"/>
      <c r="H2018" s="11" t="str">
        <f ca="1">IFERROR(__xludf.DUMMYFUNCTION("IFERROR(SUBSTITUTE(SUBSTITUTE(REGEXEXTRACT(A2018, ""[^-]+- [^-]+- [^-]+ - (.+?)\.jpg""), "".jpg"", """"), ""-"", "", ""), """")"),"")</f>
        <v/>
      </c>
      <c r="L2018" s="12"/>
      <c r="M2018" s="13"/>
      <c r="N2018" s="2"/>
      <c r="O2018" s="20"/>
      <c r="P2018" s="42"/>
      <c r="R2018" s="23"/>
    </row>
    <row r="2019" spans="1:18" ht="12.75">
      <c r="A2019" s="12"/>
      <c r="D2019" s="12"/>
      <c r="E2019" s="12"/>
      <c r="H2019" s="11" t="str">
        <f ca="1">IFERROR(__xludf.DUMMYFUNCTION("IFERROR(SUBSTITUTE(SUBSTITUTE(REGEXEXTRACT(A2019, ""[^-]+- [^-]+- [^-]+ - (.+?)\.jpg""), "".jpg"", """"), ""-"", "", ""), """")"),"")</f>
        <v/>
      </c>
      <c r="L2019" s="12"/>
      <c r="M2019" s="13"/>
      <c r="N2019" s="2"/>
      <c r="O2019" s="20"/>
      <c r="P2019" s="42"/>
      <c r="R2019" s="23"/>
    </row>
    <row r="2020" spans="1:18" ht="12.75">
      <c r="A2020" s="12"/>
      <c r="D2020" s="12"/>
      <c r="E2020" s="12"/>
      <c r="H2020" s="11" t="str">
        <f ca="1">IFERROR(__xludf.DUMMYFUNCTION("IFERROR(SUBSTITUTE(SUBSTITUTE(REGEXEXTRACT(A2020, ""[^-]+- [^-]+- [^-]+ - (.+?)\.jpg""), "".jpg"", """"), ""-"", "", ""), """")"),"")</f>
        <v/>
      </c>
      <c r="L2020" s="12"/>
      <c r="M2020" s="13"/>
      <c r="N2020" s="2"/>
      <c r="O2020" s="20"/>
      <c r="P2020" s="42"/>
      <c r="R2020" s="23"/>
    </row>
    <row r="2021" spans="1:18" ht="12.75">
      <c r="A2021" s="12"/>
      <c r="D2021" s="12"/>
      <c r="E2021" s="12"/>
      <c r="H2021" s="11" t="str">
        <f ca="1">IFERROR(__xludf.DUMMYFUNCTION("IFERROR(SUBSTITUTE(SUBSTITUTE(REGEXEXTRACT(A2021, ""[^-]+- [^-]+- [^-]+ - (.+?)\.jpg""), "".jpg"", """"), ""-"", "", ""), """")"),"")</f>
        <v/>
      </c>
      <c r="L2021" s="12"/>
      <c r="M2021" s="13"/>
      <c r="N2021" s="2"/>
      <c r="O2021" s="20"/>
      <c r="P2021" s="42"/>
      <c r="R2021" s="23"/>
    </row>
    <row r="2022" spans="1:18" ht="12.75">
      <c r="A2022" s="12"/>
      <c r="D2022" s="12"/>
      <c r="E2022" s="12"/>
      <c r="H2022" s="11" t="str">
        <f ca="1">IFERROR(__xludf.DUMMYFUNCTION("IFERROR(SUBSTITUTE(SUBSTITUTE(REGEXEXTRACT(A2022, ""[^-]+- [^-]+- [^-]+ - (.+?)\.jpg""), "".jpg"", """"), ""-"", "", ""), """")"),"")</f>
        <v/>
      </c>
      <c r="L2022" s="12"/>
      <c r="M2022" s="13"/>
      <c r="N2022" s="2"/>
      <c r="O2022" s="20"/>
      <c r="P2022" s="42"/>
      <c r="R2022" s="23"/>
    </row>
    <row r="2023" spans="1:18" ht="12.75">
      <c r="A2023" s="12"/>
      <c r="D2023" s="12"/>
      <c r="E2023" s="12"/>
      <c r="H2023" s="11" t="str">
        <f ca="1">IFERROR(__xludf.DUMMYFUNCTION("IFERROR(SUBSTITUTE(SUBSTITUTE(REGEXEXTRACT(A2023, ""[^-]+- [^-]+- [^-]+ - (.+?)\.jpg""), "".jpg"", """"), ""-"", "", ""), """")"),"")</f>
        <v/>
      </c>
      <c r="L2023" s="12"/>
      <c r="M2023" s="13"/>
      <c r="N2023" s="2"/>
      <c r="O2023" s="20"/>
      <c r="P2023" s="42"/>
      <c r="R2023" s="23"/>
    </row>
    <row r="2024" spans="1:18" ht="12.75">
      <c r="A2024" s="12"/>
      <c r="D2024" s="12"/>
      <c r="E2024" s="12"/>
      <c r="H2024" s="11" t="str">
        <f ca="1">IFERROR(__xludf.DUMMYFUNCTION("IFERROR(SUBSTITUTE(SUBSTITUTE(REGEXEXTRACT(A2024, ""[^-]+- [^-]+- [^-]+ - (.+?)\.jpg""), "".jpg"", """"), ""-"", "", ""), """")"),"")</f>
        <v/>
      </c>
      <c r="L2024" s="12"/>
      <c r="M2024" s="13"/>
      <c r="N2024" s="2"/>
      <c r="O2024" s="20"/>
      <c r="P2024" s="42"/>
      <c r="R2024" s="23"/>
    </row>
    <row r="2025" spans="1:18" ht="12.75">
      <c r="A2025" s="12"/>
      <c r="D2025" s="12"/>
      <c r="E2025" s="12"/>
      <c r="H2025" s="11" t="str">
        <f ca="1">IFERROR(__xludf.DUMMYFUNCTION("IFERROR(SUBSTITUTE(SUBSTITUTE(REGEXEXTRACT(A2025, ""[^-]+- [^-]+- [^-]+ - (.+?)\.jpg""), "".jpg"", """"), ""-"", "", ""), """")"),"")</f>
        <v/>
      </c>
      <c r="L2025" s="12"/>
      <c r="M2025" s="13"/>
      <c r="N2025" s="2"/>
      <c r="O2025" s="20"/>
      <c r="P2025" s="42"/>
      <c r="R2025" s="23"/>
    </row>
    <row r="2026" spans="1:18" ht="12.75">
      <c r="A2026" s="12"/>
      <c r="D2026" s="12"/>
      <c r="E2026" s="12"/>
      <c r="H2026" s="11" t="str">
        <f ca="1">IFERROR(__xludf.DUMMYFUNCTION("IFERROR(SUBSTITUTE(SUBSTITUTE(REGEXEXTRACT(A2026, ""[^-]+- [^-]+- [^-]+ - (.+?)\.jpg""), "".jpg"", """"), ""-"", "", ""), """")"),"")</f>
        <v/>
      </c>
      <c r="L2026" s="12"/>
      <c r="M2026" s="13"/>
      <c r="N2026" s="2"/>
      <c r="O2026" s="20"/>
      <c r="P2026" s="42"/>
      <c r="R2026" s="23"/>
    </row>
    <row r="2027" spans="1:18" ht="12.75">
      <c r="A2027" s="12"/>
      <c r="D2027" s="12"/>
      <c r="E2027" s="12"/>
      <c r="H2027" s="11" t="str">
        <f ca="1">IFERROR(__xludf.DUMMYFUNCTION("IFERROR(SUBSTITUTE(SUBSTITUTE(REGEXEXTRACT(A2027, ""[^-]+- [^-]+- [^-]+ - (.+?)\.jpg""), "".jpg"", """"), ""-"", "", ""), """")"),"")</f>
        <v/>
      </c>
      <c r="L2027" s="12"/>
      <c r="M2027" s="13"/>
      <c r="N2027" s="2"/>
      <c r="O2027" s="20"/>
      <c r="P2027" s="42"/>
      <c r="R2027" s="23"/>
    </row>
    <row r="2028" spans="1:18" ht="12.75">
      <c r="A2028" s="12"/>
      <c r="D2028" s="12"/>
      <c r="E2028" s="12"/>
      <c r="H2028" s="11" t="str">
        <f ca="1">IFERROR(__xludf.DUMMYFUNCTION("IFERROR(SUBSTITUTE(SUBSTITUTE(REGEXEXTRACT(A2028, ""[^-]+- [^-]+- [^-]+ - (.+?)\.jpg""), "".jpg"", """"), ""-"", "", ""), """")"),"")</f>
        <v/>
      </c>
      <c r="L2028" s="12"/>
      <c r="M2028" s="13"/>
      <c r="N2028" s="2"/>
      <c r="O2028" s="20"/>
      <c r="P2028" s="42"/>
      <c r="R2028" s="23"/>
    </row>
    <row r="2029" spans="1:18" ht="12.75">
      <c r="A2029" s="12"/>
      <c r="D2029" s="12"/>
      <c r="E2029" s="12"/>
      <c r="H2029" s="11" t="str">
        <f ca="1">IFERROR(__xludf.DUMMYFUNCTION("IFERROR(SUBSTITUTE(SUBSTITUTE(REGEXEXTRACT(A2029, ""[^-]+- [^-]+- [^-]+ - (.+?)\.jpg""), "".jpg"", """"), ""-"", "", ""), """")"),"")</f>
        <v/>
      </c>
      <c r="L2029" s="12"/>
      <c r="M2029" s="13"/>
      <c r="N2029" s="2"/>
      <c r="O2029" s="20"/>
      <c r="P2029" s="42"/>
      <c r="R2029" s="23"/>
    </row>
    <row r="2030" spans="1:18" ht="12.75">
      <c r="A2030" s="12"/>
      <c r="D2030" s="12"/>
      <c r="E2030" s="12"/>
      <c r="H2030" s="11" t="str">
        <f ca="1">IFERROR(__xludf.DUMMYFUNCTION("IFERROR(SUBSTITUTE(SUBSTITUTE(REGEXEXTRACT(A2030, ""[^-]+- [^-]+- [^-]+ - (.+?)\.jpg""), "".jpg"", """"), ""-"", "", ""), """")"),"")</f>
        <v/>
      </c>
      <c r="L2030" s="12"/>
      <c r="M2030" s="13"/>
      <c r="N2030" s="2"/>
      <c r="O2030" s="20"/>
      <c r="P2030" s="42"/>
      <c r="R2030" s="23"/>
    </row>
    <row r="2031" spans="1:18" ht="12.75">
      <c r="A2031" s="12"/>
      <c r="D2031" s="12"/>
      <c r="E2031" s="12"/>
      <c r="H2031" s="11" t="str">
        <f ca="1">IFERROR(__xludf.DUMMYFUNCTION("IFERROR(SUBSTITUTE(SUBSTITUTE(REGEXEXTRACT(A2031, ""[^-]+- [^-]+- [^-]+ - (.+?)\.jpg""), "".jpg"", """"), ""-"", "", ""), """")"),"")</f>
        <v/>
      </c>
      <c r="L2031" s="12"/>
      <c r="M2031" s="13"/>
      <c r="N2031" s="2"/>
      <c r="O2031" s="20"/>
      <c r="P2031" s="42"/>
      <c r="R2031" s="23"/>
    </row>
    <row r="2032" spans="1:18" ht="12.75">
      <c r="A2032" s="12"/>
      <c r="D2032" s="12"/>
      <c r="E2032" s="12"/>
      <c r="H2032" s="11" t="str">
        <f ca="1">IFERROR(__xludf.DUMMYFUNCTION("IFERROR(SUBSTITUTE(SUBSTITUTE(REGEXEXTRACT(A2032, ""[^-]+- [^-]+- [^-]+ - (.+?)\.jpg""), "".jpg"", """"), ""-"", "", ""), """")"),"")</f>
        <v/>
      </c>
      <c r="L2032" s="12"/>
      <c r="M2032" s="13"/>
      <c r="N2032" s="2"/>
      <c r="O2032" s="20"/>
      <c r="P2032" s="42"/>
      <c r="R2032" s="23"/>
    </row>
    <row r="2033" spans="1:18" ht="12.75">
      <c r="A2033" s="12"/>
      <c r="D2033" s="12"/>
      <c r="E2033" s="12"/>
      <c r="H2033" s="11" t="str">
        <f ca="1">IFERROR(__xludf.DUMMYFUNCTION("IFERROR(SUBSTITUTE(SUBSTITUTE(REGEXEXTRACT(A2033, ""[^-]+- [^-]+- [^-]+ - (.+?)\.jpg""), "".jpg"", """"), ""-"", "", ""), """")"),"")</f>
        <v/>
      </c>
      <c r="L2033" s="12"/>
      <c r="M2033" s="13"/>
      <c r="N2033" s="2"/>
      <c r="O2033" s="20"/>
      <c r="P2033" s="42"/>
      <c r="R2033" s="23"/>
    </row>
    <row r="2034" spans="1:18" ht="12.75">
      <c r="A2034" s="12"/>
      <c r="D2034" s="12"/>
      <c r="E2034" s="12"/>
      <c r="H2034" s="11" t="str">
        <f ca="1">IFERROR(__xludf.DUMMYFUNCTION("IFERROR(SUBSTITUTE(SUBSTITUTE(REGEXEXTRACT(A2034, ""[^-]+- [^-]+- [^-]+ - (.+?)\.jpg""), "".jpg"", """"), ""-"", "", ""), """")"),"")</f>
        <v/>
      </c>
      <c r="L2034" s="12"/>
      <c r="M2034" s="13"/>
      <c r="N2034" s="2"/>
      <c r="O2034" s="20"/>
      <c r="P2034" s="42"/>
      <c r="R2034" s="23"/>
    </row>
    <row r="2035" spans="1:18" ht="12.75">
      <c r="A2035" s="12"/>
      <c r="D2035" s="12"/>
      <c r="E2035" s="12"/>
      <c r="H2035" s="11" t="str">
        <f ca="1">IFERROR(__xludf.DUMMYFUNCTION("IFERROR(SUBSTITUTE(SUBSTITUTE(REGEXEXTRACT(A2035, ""[^-]+- [^-]+- [^-]+ - (.+?)\.jpg""), "".jpg"", """"), ""-"", "", ""), """")"),"")</f>
        <v/>
      </c>
      <c r="L2035" s="12"/>
      <c r="M2035" s="13"/>
      <c r="N2035" s="2"/>
      <c r="O2035" s="20"/>
      <c r="P2035" s="42"/>
      <c r="R2035" s="23"/>
    </row>
    <row r="2036" spans="1:18" ht="12.75">
      <c r="A2036" s="12"/>
      <c r="D2036" s="12"/>
      <c r="E2036" s="12"/>
      <c r="H2036" s="11" t="str">
        <f ca="1">IFERROR(__xludf.DUMMYFUNCTION("IFERROR(SUBSTITUTE(SUBSTITUTE(REGEXEXTRACT(A2036, ""[^-]+- [^-]+- [^-]+ - (.+?)\.jpg""), "".jpg"", """"), ""-"", "", ""), """")"),"")</f>
        <v/>
      </c>
      <c r="L2036" s="12"/>
      <c r="M2036" s="13"/>
      <c r="N2036" s="2"/>
      <c r="O2036" s="20"/>
      <c r="P2036" s="42"/>
      <c r="R2036" s="23"/>
    </row>
    <row r="2037" spans="1:18" ht="12.75">
      <c r="A2037" s="12"/>
      <c r="D2037" s="12"/>
      <c r="E2037" s="12"/>
      <c r="H2037" s="11" t="str">
        <f ca="1">IFERROR(__xludf.DUMMYFUNCTION("IFERROR(SUBSTITUTE(SUBSTITUTE(REGEXEXTRACT(A2037, ""[^-]+- [^-]+- [^-]+ - (.+?)\.jpg""), "".jpg"", """"), ""-"", "", ""), """")"),"")</f>
        <v/>
      </c>
      <c r="L2037" s="12"/>
      <c r="M2037" s="13"/>
      <c r="N2037" s="2"/>
      <c r="O2037" s="20"/>
      <c r="P2037" s="42"/>
      <c r="R2037" s="23"/>
    </row>
    <row r="2038" spans="1:18" ht="12.75">
      <c r="A2038" s="12"/>
      <c r="D2038" s="12"/>
      <c r="E2038" s="12"/>
      <c r="H2038" s="11" t="str">
        <f ca="1">IFERROR(__xludf.DUMMYFUNCTION("IFERROR(SUBSTITUTE(SUBSTITUTE(REGEXEXTRACT(A2038, ""[^-]+- [^-]+- [^-]+ - (.+?)\.jpg""), "".jpg"", """"), ""-"", "", ""), """")"),"")</f>
        <v/>
      </c>
      <c r="L2038" s="12"/>
      <c r="M2038" s="13"/>
      <c r="N2038" s="2"/>
      <c r="O2038" s="20"/>
      <c r="P2038" s="42"/>
      <c r="R2038" s="23"/>
    </row>
    <row r="2039" spans="1:18" ht="12.75">
      <c r="A2039" s="12"/>
      <c r="D2039" s="12"/>
      <c r="E2039" s="12"/>
      <c r="H2039" s="11" t="str">
        <f ca="1">IFERROR(__xludf.DUMMYFUNCTION("IFERROR(SUBSTITUTE(SUBSTITUTE(REGEXEXTRACT(A2039, ""[^-]+- [^-]+- [^-]+ - (.+?)\.jpg""), "".jpg"", """"), ""-"", "", ""), """")"),"")</f>
        <v/>
      </c>
      <c r="L2039" s="12"/>
      <c r="M2039" s="13"/>
      <c r="N2039" s="2"/>
      <c r="O2039" s="20"/>
      <c r="P2039" s="42"/>
      <c r="R2039" s="23"/>
    </row>
    <row r="2040" spans="1:18" ht="12.75">
      <c r="A2040" s="12"/>
      <c r="D2040" s="12"/>
      <c r="E2040" s="12"/>
      <c r="H2040" s="11" t="str">
        <f ca="1">IFERROR(__xludf.DUMMYFUNCTION("IFERROR(SUBSTITUTE(SUBSTITUTE(REGEXEXTRACT(A2040, ""[^-]+- [^-]+- [^-]+ - (.+?)\.jpg""), "".jpg"", """"), ""-"", "", ""), """")"),"")</f>
        <v/>
      </c>
      <c r="L2040" s="12"/>
      <c r="M2040" s="13"/>
      <c r="N2040" s="2"/>
      <c r="O2040" s="20"/>
      <c r="P2040" s="42"/>
      <c r="R2040" s="23"/>
    </row>
    <row r="2041" spans="1:18" ht="12.75">
      <c r="A2041" s="12"/>
      <c r="D2041" s="12"/>
      <c r="E2041" s="12"/>
      <c r="H2041" s="11" t="str">
        <f ca="1">IFERROR(__xludf.DUMMYFUNCTION("IFERROR(SUBSTITUTE(SUBSTITUTE(REGEXEXTRACT(A2041, ""[^-]+- [^-]+- [^-]+ - (.+?)\.jpg""), "".jpg"", """"), ""-"", "", ""), """")"),"")</f>
        <v/>
      </c>
      <c r="L2041" s="12"/>
      <c r="M2041" s="13"/>
      <c r="N2041" s="2"/>
      <c r="O2041" s="20"/>
      <c r="P2041" s="42"/>
      <c r="R2041" s="23"/>
    </row>
    <row r="2042" spans="1:18" ht="12.75">
      <c r="A2042" s="12"/>
      <c r="D2042" s="12"/>
      <c r="E2042" s="12"/>
      <c r="H2042" s="11" t="str">
        <f ca="1">IFERROR(__xludf.DUMMYFUNCTION("IFERROR(SUBSTITUTE(SUBSTITUTE(REGEXEXTRACT(A2042, ""[^-]+- [^-]+- [^-]+ - (.+?)\.jpg""), "".jpg"", """"), ""-"", "", ""), """")"),"")</f>
        <v/>
      </c>
      <c r="L2042" s="12"/>
      <c r="M2042" s="13"/>
      <c r="N2042" s="2"/>
      <c r="O2042" s="20"/>
      <c r="P2042" s="42"/>
      <c r="R2042" s="23"/>
    </row>
    <row r="2043" spans="1:18" ht="12.75">
      <c r="A2043" s="12"/>
      <c r="D2043" s="12"/>
      <c r="E2043" s="12"/>
      <c r="H2043" s="11" t="str">
        <f ca="1">IFERROR(__xludf.DUMMYFUNCTION("IFERROR(SUBSTITUTE(SUBSTITUTE(REGEXEXTRACT(A2043, ""[^-]+- [^-]+- [^-]+ - (.+?)\.jpg""), "".jpg"", """"), ""-"", "", ""), """")"),"")</f>
        <v/>
      </c>
      <c r="L2043" s="12"/>
      <c r="M2043" s="13"/>
      <c r="N2043" s="2"/>
      <c r="O2043" s="20"/>
      <c r="P2043" s="42"/>
      <c r="R2043" s="23"/>
    </row>
    <row r="2044" spans="1:18" ht="12.75">
      <c r="A2044" s="12"/>
      <c r="D2044" s="12"/>
      <c r="E2044" s="12"/>
      <c r="H2044" s="11" t="str">
        <f ca="1">IFERROR(__xludf.DUMMYFUNCTION("IFERROR(SUBSTITUTE(SUBSTITUTE(REGEXEXTRACT(A2044, ""[^-]+- [^-]+- [^-]+ - (.+?)\.jpg""), "".jpg"", """"), ""-"", "", ""), """")"),"")</f>
        <v/>
      </c>
      <c r="L2044" s="12"/>
      <c r="M2044" s="13"/>
      <c r="N2044" s="2"/>
      <c r="O2044" s="20"/>
      <c r="P2044" s="42"/>
      <c r="R2044" s="23"/>
    </row>
    <row r="2045" spans="1:18" ht="12.75">
      <c r="A2045" s="12"/>
      <c r="D2045" s="12"/>
      <c r="E2045" s="12"/>
      <c r="H2045" s="11" t="str">
        <f ca="1">IFERROR(__xludf.DUMMYFUNCTION("IFERROR(SUBSTITUTE(SUBSTITUTE(REGEXEXTRACT(A2045, ""[^-]+- [^-]+- [^-]+ - (.+?)\.jpg""), "".jpg"", """"), ""-"", "", ""), """")"),"")</f>
        <v/>
      </c>
      <c r="L2045" s="12"/>
      <c r="M2045" s="13"/>
      <c r="N2045" s="2"/>
      <c r="O2045" s="20"/>
      <c r="P2045" s="42"/>
      <c r="R2045" s="23"/>
    </row>
    <row r="2046" spans="1:18" ht="12.75">
      <c r="A2046" s="12"/>
      <c r="D2046" s="12"/>
      <c r="E2046" s="12"/>
      <c r="H2046" s="11" t="str">
        <f ca="1">IFERROR(__xludf.DUMMYFUNCTION("IFERROR(SUBSTITUTE(SUBSTITUTE(REGEXEXTRACT(A2046, ""[^-]+- [^-]+- [^-]+ - (.+?)\.jpg""), "".jpg"", """"), ""-"", "", ""), """")"),"")</f>
        <v/>
      </c>
      <c r="L2046" s="12"/>
      <c r="M2046" s="13"/>
      <c r="N2046" s="2"/>
      <c r="O2046" s="20"/>
      <c r="P2046" s="42"/>
      <c r="R2046" s="23"/>
    </row>
    <row r="2047" spans="1:18" ht="12.75">
      <c r="A2047" s="12"/>
      <c r="D2047" s="12"/>
      <c r="E2047" s="12"/>
      <c r="H2047" s="11" t="str">
        <f ca="1">IFERROR(__xludf.DUMMYFUNCTION("IFERROR(SUBSTITUTE(SUBSTITUTE(REGEXEXTRACT(A2047, ""[^-]+- [^-]+- [^-]+ - (.+?)\.jpg""), "".jpg"", """"), ""-"", "", ""), """")"),"")</f>
        <v/>
      </c>
      <c r="L2047" s="12"/>
      <c r="M2047" s="13"/>
      <c r="N2047" s="2"/>
      <c r="O2047" s="20"/>
      <c r="P2047" s="42"/>
      <c r="R2047" s="23"/>
    </row>
    <row r="2048" spans="1:18" ht="12.75">
      <c r="A2048" s="12"/>
      <c r="D2048" s="12"/>
      <c r="E2048" s="12"/>
      <c r="H2048" s="11" t="str">
        <f ca="1">IFERROR(__xludf.DUMMYFUNCTION("IFERROR(SUBSTITUTE(SUBSTITUTE(REGEXEXTRACT(A2048, ""[^-]+- [^-]+- [^-]+ - (.+?)\.jpg""), "".jpg"", """"), ""-"", "", ""), """")"),"")</f>
        <v/>
      </c>
      <c r="L2048" s="12"/>
      <c r="M2048" s="13"/>
      <c r="N2048" s="2"/>
      <c r="O2048" s="20"/>
      <c r="P2048" s="42"/>
      <c r="R2048" s="23"/>
    </row>
    <row r="2049" spans="1:18" ht="12.75">
      <c r="A2049" s="12"/>
      <c r="D2049" s="12"/>
      <c r="E2049" s="12"/>
      <c r="H2049" s="11" t="str">
        <f ca="1">IFERROR(__xludf.DUMMYFUNCTION("IFERROR(SUBSTITUTE(SUBSTITUTE(REGEXEXTRACT(A2049, ""[^-]+- [^-]+- [^-]+ - (.+?)\.jpg""), "".jpg"", """"), ""-"", "", ""), """")"),"")</f>
        <v/>
      </c>
      <c r="L2049" s="12"/>
      <c r="M2049" s="13"/>
      <c r="N2049" s="2"/>
      <c r="O2049" s="20"/>
      <c r="P2049" s="42"/>
      <c r="R2049" s="23"/>
    </row>
    <row r="2050" spans="1:18" ht="12.75">
      <c r="A2050" s="12"/>
      <c r="D2050" s="12"/>
      <c r="E2050" s="12"/>
      <c r="H2050" s="11" t="str">
        <f ca="1">IFERROR(__xludf.DUMMYFUNCTION("IFERROR(SUBSTITUTE(SUBSTITUTE(REGEXEXTRACT(A2050, ""[^-]+- [^-]+- [^-]+ - (.+?)\.jpg""), "".jpg"", """"), ""-"", "", ""), """")"),"")</f>
        <v/>
      </c>
      <c r="L2050" s="12"/>
      <c r="M2050" s="13"/>
      <c r="N2050" s="2"/>
      <c r="O2050" s="20"/>
      <c r="P2050" s="42"/>
      <c r="R2050" s="23"/>
    </row>
    <row r="2051" spans="1:18" ht="12.75">
      <c r="A2051" s="12"/>
      <c r="D2051" s="12"/>
      <c r="E2051" s="12"/>
      <c r="H2051" s="11" t="str">
        <f ca="1">IFERROR(__xludf.DUMMYFUNCTION("IFERROR(SUBSTITUTE(SUBSTITUTE(REGEXEXTRACT(A2051, ""[^-]+- [^-]+- [^-]+ - (.+?)\.jpg""), "".jpg"", """"), ""-"", "", ""), """")"),"")</f>
        <v/>
      </c>
      <c r="L2051" s="12"/>
      <c r="M2051" s="13"/>
      <c r="N2051" s="2"/>
      <c r="O2051" s="20"/>
      <c r="P2051" s="42"/>
      <c r="R2051" s="23"/>
    </row>
    <row r="2052" spans="1:18" ht="12.75">
      <c r="A2052" s="12"/>
      <c r="D2052" s="12"/>
      <c r="E2052" s="12"/>
      <c r="H2052" s="11" t="str">
        <f ca="1">IFERROR(__xludf.DUMMYFUNCTION("IFERROR(SUBSTITUTE(SUBSTITUTE(REGEXEXTRACT(A2052, ""[^-]+- [^-]+- [^-]+ - (.+?)\.jpg""), "".jpg"", """"), ""-"", "", ""), """")"),"")</f>
        <v/>
      </c>
      <c r="L2052" s="12"/>
      <c r="M2052" s="13"/>
      <c r="N2052" s="2"/>
      <c r="O2052" s="20"/>
      <c r="P2052" s="42"/>
      <c r="R2052" s="23"/>
    </row>
    <row r="2053" spans="1:18" ht="12.75">
      <c r="A2053" s="12"/>
      <c r="D2053" s="12"/>
      <c r="E2053" s="12"/>
      <c r="H2053" s="11" t="str">
        <f ca="1">IFERROR(__xludf.DUMMYFUNCTION("IFERROR(SUBSTITUTE(SUBSTITUTE(REGEXEXTRACT(A2053, ""[^-]+- [^-]+- [^-]+ - (.+?)\.jpg""), "".jpg"", """"), ""-"", "", ""), """")"),"")</f>
        <v/>
      </c>
      <c r="L2053" s="12"/>
      <c r="M2053" s="13"/>
      <c r="N2053" s="2"/>
      <c r="O2053" s="20"/>
      <c r="P2053" s="42"/>
      <c r="R2053" s="23"/>
    </row>
    <row r="2054" spans="1:18" ht="12.75">
      <c r="A2054" s="12"/>
      <c r="D2054" s="12"/>
      <c r="E2054" s="12"/>
      <c r="H2054" s="11" t="str">
        <f ca="1">IFERROR(__xludf.DUMMYFUNCTION("IFERROR(SUBSTITUTE(SUBSTITUTE(REGEXEXTRACT(A2054, ""[^-]+- [^-]+- [^-]+ - (.+?)\.jpg""), "".jpg"", """"), ""-"", "", ""), """")"),"")</f>
        <v/>
      </c>
      <c r="L2054" s="12"/>
      <c r="M2054" s="13"/>
      <c r="N2054" s="2"/>
      <c r="O2054" s="20"/>
      <c r="P2054" s="42"/>
      <c r="R2054" s="23"/>
    </row>
    <row r="2055" spans="1:18" ht="12.75">
      <c r="A2055" s="12"/>
      <c r="D2055" s="12"/>
      <c r="E2055" s="12"/>
      <c r="H2055" s="11" t="str">
        <f ca="1">IFERROR(__xludf.DUMMYFUNCTION("IFERROR(SUBSTITUTE(SUBSTITUTE(REGEXEXTRACT(A2055, ""[^-]+- [^-]+- [^-]+ - (.+?)\.jpg""), "".jpg"", """"), ""-"", "", ""), """")"),"")</f>
        <v/>
      </c>
      <c r="L2055" s="12"/>
      <c r="M2055" s="13"/>
      <c r="N2055" s="2"/>
      <c r="O2055" s="20"/>
      <c r="P2055" s="42"/>
      <c r="R2055" s="23"/>
    </row>
    <row r="2056" spans="1:18" ht="12.75">
      <c r="A2056" s="12"/>
      <c r="D2056" s="12"/>
      <c r="E2056" s="12"/>
      <c r="H2056" s="11" t="str">
        <f ca="1">IFERROR(__xludf.DUMMYFUNCTION("IFERROR(SUBSTITUTE(SUBSTITUTE(REGEXEXTRACT(A2056, ""[^-]+- [^-]+- [^-]+ - (.+?)\.jpg""), "".jpg"", """"), ""-"", "", ""), """")"),"")</f>
        <v/>
      </c>
      <c r="L2056" s="12"/>
      <c r="M2056" s="13"/>
      <c r="N2056" s="2"/>
      <c r="O2056" s="20"/>
      <c r="P2056" s="42"/>
      <c r="R2056" s="23"/>
    </row>
    <row r="2057" spans="1:18" ht="12.75">
      <c r="A2057" s="12"/>
      <c r="D2057" s="12"/>
      <c r="E2057" s="12"/>
      <c r="H2057" s="11" t="str">
        <f ca="1">IFERROR(__xludf.DUMMYFUNCTION("IFERROR(SUBSTITUTE(SUBSTITUTE(REGEXEXTRACT(A2057, ""[^-]+- [^-]+- [^-]+ - (.+?)\.jpg""), "".jpg"", """"), ""-"", "", ""), """")"),"")</f>
        <v/>
      </c>
      <c r="L2057" s="12"/>
      <c r="M2057" s="13"/>
      <c r="N2057" s="2"/>
      <c r="O2057" s="20"/>
      <c r="P2057" s="42"/>
      <c r="R2057" s="23"/>
    </row>
    <row r="2058" spans="1:18" ht="12.75">
      <c r="A2058" s="12"/>
      <c r="D2058" s="12"/>
      <c r="E2058" s="12"/>
      <c r="H2058" s="11" t="str">
        <f ca="1">IFERROR(__xludf.DUMMYFUNCTION("IFERROR(SUBSTITUTE(SUBSTITUTE(REGEXEXTRACT(A2058, ""[^-]+- [^-]+- [^-]+ - (.+?)\.jpg""), "".jpg"", """"), ""-"", "", ""), """")"),"")</f>
        <v/>
      </c>
      <c r="L2058" s="12"/>
      <c r="M2058" s="13"/>
      <c r="N2058" s="2"/>
      <c r="O2058" s="20"/>
      <c r="P2058" s="42"/>
      <c r="R2058" s="23"/>
    </row>
    <row r="2059" spans="1:18" ht="12.75">
      <c r="A2059" s="12"/>
      <c r="D2059" s="12"/>
      <c r="E2059" s="12"/>
      <c r="H2059" s="11" t="str">
        <f ca="1">IFERROR(__xludf.DUMMYFUNCTION("IFERROR(SUBSTITUTE(SUBSTITUTE(REGEXEXTRACT(A2059, ""[^-]+- [^-]+- [^-]+ - (.+?)\.jpg""), "".jpg"", """"), ""-"", "", ""), """")"),"")</f>
        <v/>
      </c>
      <c r="L2059" s="12"/>
      <c r="M2059" s="13"/>
      <c r="N2059" s="2"/>
      <c r="O2059" s="20"/>
      <c r="P2059" s="42"/>
      <c r="R2059" s="23"/>
    </row>
    <row r="2060" spans="1:18" ht="12.75">
      <c r="A2060" s="12"/>
      <c r="D2060" s="12"/>
      <c r="E2060" s="12"/>
      <c r="H2060" s="11" t="str">
        <f ca="1">IFERROR(__xludf.DUMMYFUNCTION("IFERROR(SUBSTITUTE(SUBSTITUTE(REGEXEXTRACT(A2060, ""[^-]+- [^-]+- [^-]+ - (.+?)\.jpg""), "".jpg"", """"), ""-"", "", ""), """")"),"")</f>
        <v/>
      </c>
      <c r="L2060" s="12"/>
      <c r="M2060" s="13"/>
      <c r="N2060" s="2"/>
      <c r="O2060" s="20"/>
      <c r="P2060" s="42"/>
      <c r="R2060" s="23"/>
    </row>
    <row r="2061" spans="1:18" ht="12.75">
      <c r="A2061" s="12"/>
      <c r="D2061" s="12"/>
      <c r="E2061" s="12"/>
      <c r="H2061" s="11" t="str">
        <f ca="1">IFERROR(__xludf.DUMMYFUNCTION("IFERROR(SUBSTITUTE(SUBSTITUTE(REGEXEXTRACT(A2061, ""[^-]+- [^-]+- [^-]+ - (.+?)\.jpg""), "".jpg"", """"), ""-"", "", ""), """")"),"")</f>
        <v/>
      </c>
      <c r="L2061" s="12"/>
      <c r="M2061" s="13"/>
      <c r="N2061" s="2"/>
      <c r="O2061" s="20"/>
      <c r="P2061" s="42"/>
      <c r="R2061" s="23"/>
    </row>
    <row r="2062" spans="1:18" ht="12.75">
      <c r="A2062" s="12"/>
      <c r="D2062" s="12"/>
      <c r="E2062" s="12"/>
      <c r="H2062" s="11" t="str">
        <f ca="1">IFERROR(__xludf.DUMMYFUNCTION("IFERROR(SUBSTITUTE(SUBSTITUTE(REGEXEXTRACT(A2062, ""[^-]+- [^-]+- [^-]+ - (.+?)\.jpg""), "".jpg"", """"), ""-"", "", ""), """")"),"")</f>
        <v/>
      </c>
      <c r="L2062" s="12"/>
      <c r="M2062" s="13"/>
      <c r="N2062" s="2"/>
      <c r="O2062" s="20"/>
      <c r="P2062" s="42"/>
      <c r="R2062" s="23"/>
    </row>
    <row r="2063" spans="1:18" ht="12.75">
      <c r="A2063" s="12"/>
      <c r="D2063" s="12"/>
      <c r="E2063" s="12"/>
      <c r="H2063" s="11" t="str">
        <f ca="1">IFERROR(__xludf.DUMMYFUNCTION("IFERROR(SUBSTITUTE(SUBSTITUTE(REGEXEXTRACT(A2063, ""[^-]+- [^-]+- [^-]+ - (.+?)\.jpg""), "".jpg"", """"), ""-"", "", ""), """")"),"")</f>
        <v/>
      </c>
      <c r="L2063" s="12"/>
      <c r="M2063" s="13"/>
      <c r="N2063" s="2"/>
      <c r="O2063" s="20"/>
      <c r="P2063" s="42"/>
      <c r="R2063" s="23"/>
    </row>
    <row r="2064" spans="1:18" ht="12.75">
      <c r="A2064" s="12"/>
      <c r="D2064" s="12"/>
      <c r="E2064" s="12"/>
      <c r="H2064" s="11" t="str">
        <f ca="1">IFERROR(__xludf.DUMMYFUNCTION("IFERROR(SUBSTITUTE(SUBSTITUTE(REGEXEXTRACT(A2064, ""[^-]+- [^-]+- [^-]+ - (.+?)\.jpg""), "".jpg"", """"), ""-"", "", ""), """")"),"")</f>
        <v/>
      </c>
      <c r="L2064" s="12"/>
      <c r="M2064" s="13"/>
      <c r="N2064" s="2"/>
      <c r="O2064" s="20"/>
      <c r="P2064" s="42"/>
      <c r="R2064" s="23"/>
    </row>
    <row r="2065" spans="1:18" ht="12.75">
      <c r="A2065" s="12"/>
      <c r="D2065" s="12"/>
      <c r="E2065" s="12"/>
      <c r="H2065" s="11" t="str">
        <f ca="1">IFERROR(__xludf.DUMMYFUNCTION("IFERROR(SUBSTITUTE(SUBSTITUTE(REGEXEXTRACT(A2065, ""[^-]+- [^-]+- [^-]+ - (.+?)\.jpg""), "".jpg"", """"), ""-"", "", ""), """")"),"")</f>
        <v/>
      </c>
      <c r="L2065" s="12"/>
      <c r="M2065" s="13"/>
      <c r="N2065" s="2"/>
      <c r="O2065" s="20"/>
      <c r="P2065" s="42"/>
      <c r="R2065" s="23"/>
    </row>
    <row r="2066" spans="1:18" ht="12.75">
      <c r="A2066" s="12"/>
      <c r="D2066" s="12"/>
      <c r="E2066" s="12"/>
      <c r="H2066" s="11" t="str">
        <f ca="1">IFERROR(__xludf.DUMMYFUNCTION("IFERROR(SUBSTITUTE(SUBSTITUTE(REGEXEXTRACT(A2066, ""[^-]+- [^-]+- [^-]+ - (.+?)\.jpg""), "".jpg"", """"), ""-"", "", ""), """")"),"")</f>
        <v/>
      </c>
      <c r="L2066" s="12"/>
      <c r="M2066" s="13"/>
      <c r="N2066" s="2"/>
      <c r="O2066" s="20"/>
      <c r="P2066" s="42"/>
      <c r="R2066" s="23"/>
    </row>
    <row r="2067" spans="1:18" ht="12.75">
      <c r="A2067" s="12"/>
      <c r="D2067" s="12"/>
      <c r="E2067" s="12"/>
      <c r="H2067" s="11" t="str">
        <f ca="1">IFERROR(__xludf.DUMMYFUNCTION("IFERROR(SUBSTITUTE(SUBSTITUTE(REGEXEXTRACT(A2067, ""[^-]+- [^-]+- [^-]+ - (.+?)\.jpg""), "".jpg"", """"), ""-"", "", ""), """")"),"")</f>
        <v/>
      </c>
      <c r="L2067" s="12"/>
      <c r="M2067" s="13"/>
      <c r="N2067" s="2"/>
      <c r="O2067" s="20"/>
      <c r="P2067" s="42"/>
      <c r="R2067" s="23"/>
    </row>
    <row r="2068" spans="1:18" ht="12.75">
      <c r="A2068" s="12"/>
      <c r="D2068" s="12"/>
      <c r="E2068" s="12"/>
      <c r="H2068" s="11" t="str">
        <f ca="1">IFERROR(__xludf.DUMMYFUNCTION("IFERROR(SUBSTITUTE(SUBSTITUTE(REGEXEXTRACT(A2068, ""[^-]+- [^-]+- [^-]+ - (.+?)\.jpg""), "".jpg"", """"), ""-"", "", ""), """")"),"")</f>
        <v/>
      </c>
      <c r="L2068" s="12"/>
      <c r="M2068" s="13"/>
      <c r="N2068" s="2"/>
      <c r="O2068" s="20"/>
      <c r="P2068" s="42"/>
      <c r="R2068" s="23"/>
    </row>
    <row r="2069" spans="1:18" ht="12.75">
      <c r="A2069" s="12"/>
      <c r="D2069" s="12"/>
      <c r="E2069" s="12"/>
      <c r="H2069" s="11" t="str">
        <f ca="1">IFERROR(__xludf.DUMMYFUNCTION("IFERROR(SUBSTITUTE(SUBSTITUTE(REGEXEXTRACT(A2069, ""[^-]+- [^-]+- [^-]+ - (.+?)\.jpg""), "".jpg"", """"), ""-"", "", ""), """")"),"")</f>
        <v/>
      </c>
      <c r="L2069" s="12"/>
      <c r="M2069" s="13"/>
      <c r="N2069" s="2"/>
      <c r="O2069" s="20"/>
      <c r="P2069" s="42"/>
      <c r="R2069" s="23"/>
    </row>
    <row r="2070" spans="1:18" ht="12.75">
      <c r="A2070" s="12"/>
      <c r="D2070" s="12"/>
      <c r="E2070" s="12"/>
      <c r="H2070" s="11" t="str">
        <f ca="1">IFERROR(__xludf.DUMMYFUNCTION("IFERROR(SUBSTITUTE(SUBSTITUTE(REGEXEXTRACT(A2070, ""[^-]+- [^-]+- [^-]+ - (.+?)\.jpg""), "".jpg"", """"), ""-"", "", ""), """")"),"")</f>
        <v/>
      </c>
      <c r="L2070" s="12"/>
      <c r="M2070" s="13"/>
      <c r="N2070" s="2"/>
      <c r="O2070" s="20"/>
      <c r="P2070" s="42"/>
      <c r="R2070" s="23"/>
    </row>
    <row r="2071" spans="1:18" ht="12.75">
      <c r="A2071" s="12"/>
      <c r="D2071" s="12"/>
      <c r="E2071" s="12"/>
      <c r="H2071" s="11" t="str">
        <f ca="1">IFERROR(__xludf.DUMMYFUNCTION("IFERROR(SUBSTITUTE(SUBSTITUTE(REGEXEXTRACT(A2071, ""[^-]+- [^-]+- [^-]+ - (.+?)\.jpg""), "".jpg"", """"), ""-"", "", ""), """")"),"")</f>
        <v/>
      </c>
      <c r="L2071" s="12"/>
      <c r="M2071" s="13"/>
      <c r="N2071" s="2"/>
      <c r="O2071" s="20"/>
      <c r="P2071" s="42"/>
      <c r="R2071" s="23"/>
    </row>
    <row r="2072" spans="1:18" ht="12.75">
      <c r="A2072" s="12"/>
      <c r="D2072" s="12"/>
      <c r="E2072" s="12"/>
      <c r="H2072" s="11" t="str">
        <f ca="1">IFERROR(__xludf.DUMMYFUNCTION("IFERROR(SUBSTITUTE(SUBSTITUTE(REGEXEXTRACT(A2072, ""[^-]+- [^-]+- [^-]+ - (.+?)\.jpg""), "".jpg"", """"), ""-"", "", ""), """")"),"")</f>
        <v/>
      </c>
      <c r="L2072" s="12"/>
      <c r="M2072" s="13"/>
      <c r="N2072" s="2"/>
      <c r="O2072" s="20"/>
      <c r="P2072" s="42"/>
      <c r="R2072" s="23"/>
    </row>
    <row r="2073" spans="1:18" ht="12.75">
      <c r="A2073" s="12"/>
      <c r="D2073" s="12"/>
      <c r="E2073" s="12"/>
      <c r="H2073" s="11" t="str">
        <f ca="1">IFERROR(__xludf.DUMMYFUNCTION("IFERROR(SUBSTITUTE(SUBSTITUTE(REGEXEXTRACT(A2073, ""[^-]+- [^-]+- [^-]+ - (.+?)\.jpg""), "".jpg"", """"), ""-"", "", ""), """")"),"")</f>
        <v/>
      </c>
      <c r="L2073" s="12"/>
      <c r="M2073" s="13"/>
      <c r="N2073" s="2"/>
      <c r="O2073" s="20"/>
      <c r="P2073" s="42"/>
      <c r="R2073" s="23"/>
    </row>
    <row r="2074" spans="1:18" ht="12.75">
      <c r="A2074" s="12"/>
      <c r="D2074" s="12"/>
      <c r="E2074" s="12"/>
      <c r="H2074" s="11" t="str">
        <f ca="1">IFERROR(__xludf.DUMMYFUNCTION("IFERROR(SUBSTITUTE(SUBSTITUTE(REGEXEXTRACT(A2074, ""[^-]+- [^-]+- [^-]+ - (.+?)\.jpg""), "".jpg"", """"), ""-"", "", ""), """")"),"")</f>
        <v/>
      </c>
      <c r="L2074" s="12"/>
      <c r="M2074" s="13"/>
      <c r="N2074" s="2"/>
      <c r="O2074" s="20"/>
      <c r="P2074" s="42"/>
      <c r="R2074" s="23"/>
    </row>
    <row r="2075" spans="1:18" ht="12.75">
      <c r="A2075" s="12"/>
      <c r="D2075" s="12"/>
      <c r="E2075" s="12"/>
      <c r="H2075" s="11" t="str">
        <f ca="1">IFERROR(__xludf.DUMMYFUNCTION("IFERROR(SUBSTITUTE(SUBSTITUTE(REGEXEXTRACT(A2075, ""[^-]+- [^-]+- [^-]+ - (.+?)\.jpg""), "".jpg"", """"), ""-"", "", ""), """")"),"")</f>
        <v/>
      </c>
      <c r="L2075" s="12"/>
      <c r="M2075" s="13"/>
      <c r="N2075" s="2"/>
      <c r="O2075" s="20"/>
      <c r="P2075" s="42"/>
      <c r="R2075" s="23"/>
    </row>
    <row r="2076" spans="1:18" ht="12.75">
      <c r="A2076" s="12"/>
      <c r="D2076" s="12"/>
      <c r="E2076" s="12"/>
      <c r="H2076" s="11" t="str">
        <f ca="1">IFERROR(__xludf.DUMMYFUNCTION("IFERROR(SUBSTITUTE(SUBSTITUTE(REGEXEXTRACT(A2076, ""[^-]+- [^-]+- [^-]+ - (.+?)\.jpg""), "".jpg"", """"), ""-"", "", ""), """")"),"")</f>
        <v/>
      </c>
      <c r="L2076" s="12"/>
      <c r="M2076" s="13"/>
      <c r="N2076" s="2"/>
      <c r="O2076" s="20"/>
      <c r="P2076" s="42"/>
      <c r="R2076" s="23"/>
    </row>
    <row r="2077" spans="1:18" ht="12.75">
      <c r="A2077" s="12"/>
      <c r="D2077" s="12"/>
      <c r="E2077" s="12"/>
      <c r="H2077" s="11" t="str">
        <f ca="1">IFERROR(__xludf.DUMMYFUNCTION("IFERROR(SUBSTITUTE(SUBSTITUTE(REGEXEXTRACT(A2077, ""[^-]+- [^-]+- [^-]+ - (.+?)\.jpg""), "".jpg"", """"), ""-"", "", ""), """")"),"")</f>
        <v/>
      </c>
      <c r="L2077" s="12"/>
      <c r="M2077" s="13"/>
      <c r="N2077" s="2"/>
      <c r="O2077" s="20"/>
      <c r="P2077" s="42"/>
      <c r="R2077" s="23"/>
    </row>
    <row r="2078" spans="1:18" ht="12.75">
      <c r="A2078" s="12"/>
      <c r="D2078" s="12"/>
      <c r="E2078" s="12"/>
      <c r="H2078" s="11" t="str">
        <f ca="1">IFERROR(__xludf.DUMMYFUNCTION("IFERROR(SUBSTITUTE(SUBSTITUTE(REGEXEXTRACT(A2078, ""[^-]+- [^-]+- [^-]+ - (.+?)\.jpg""), "".jpg"", """"), ""-"", "", ""), """")"),"")</f>
        <v/>
      </c>
      <c r="L2078" s="12"/>
      <c r="M2078" s="13"/>
      <c r="N2078" s="2"/>
      <c r="O2078" s="20"/>
      <c r="P2078" s="42"/>
      <c r="R2078" s="23"/>
    </row>
    <row r="2079" spans="1:18" ht="12.75">
      <c r="A2079" s="12"/>
      <c r="D2079" s="12"/>
      <c r="E2079" s="12"/>
      <c r="H2079" s="11" t="str">
        <f ca="1">IFERROR(__xludf.DUMMYFUNCTION("IFERROR(SUBSTITUTE(SUBSTITUTE(REGEXEXTRACT(A2079, ""[^-]+- [^-]+- [^-]+ - (.+?)\.jpg""), "".jpg"", """"), ""-"", "", ""), """")"),"")</f>
        <v/>
      </c>
      <c r="L2079" s="12"/>
      <c r="M2079" s="13"/>
      <c r="N2079" s="2"/>
      <c r="O2079" s="20"/>
      <c r="P2079" s="42"/>
      <c r="R2079" s="23"/>
    </row>
    <row r="2080" spans="1:18" ht="12.75">
      <c r="A2080" s="12"/>
      <c r="D2080" s="12"/>
      <c r="E2080" s="12"/>
      <c r="H2080" s="11" t="str">
        <f ca="1">IFERROR(__xludf.DUMMYFUNCTION("IFERROR(SUBSTITUTE(SUBSTITUTE(REGEXEXTRACT(A2080, ""[^-]+- [^-]+- [^-]+ - (.+?)\.jpg""), "".jpg"", """"), ""-"", "", ""), """")"),"")</f>
        <v/>
      </c>
      <c r="L2080" s="12"/>
      <c r="M2080" s="13"/>
      <c r="N2080" s="2"/>
      <c r="O2080" s="20"/>
      <c r="P2080" s="42"/>
      <c r="R2080" s="23"/>
    </row>
    <row r="2081" spans="1:18" ht="12.75">
      <c r="A2081" s="12"/>
      <c r="D2081" s="12"/>
      <c r="E2081" s="12"/>
      <c r="H2081" s="11" t="str">
        <f ca="1">IFERROR(__xludf.DUMMYFUNCTION("IFERROR(SUBSTITUTE(SUBSTITUTE(REGEXEXTRACT(A2081, ""[^-]+- [^-]+- [^-]+ - (.+?)\.jpg""), "".jpg"", """"), ""-"", "", ""), """")"),"")</f>
        <v/>
      </c>
      <c r="L2081" s="12"/>
      <c r="M2081" s="13"/>
      <c r="N2081" s="2"/>
      <c r="O2081" s="20"/>
      <c r="P2081" s="42"/>
      <c r="R2081" s="23"/>
    </row>
    <row r="2082" spans="1:18" ht="12.75">
      <c r="A2082" s="12"/>
      <c r="D2082" s="12"/>
      <c r="E2082" s="12"/>
      <c r="H2082" s="11" t="str">
        <f ca="1">IFERROR(__xludf.DUMMYFUNCTION("IFERROR(SUBSTITUTE(SUBSTITUTE(REGEXEXTRACT(A2082, ""[^-]+- [^-]+- [^-]+ - (.+?)\.jpg""), "".jpg"", """"), ""-"", "", ""), """")"),"")</f>
        <v/>
      </c>
      <c r="L2082" s="12"/>
      <c r="M2082" s="13"/>
      <c r="N2082" s="2"/>
      <c r="O2082" s="20"/>
      <c r="P2082" s="42"/>
      <c r="R2082" s="23"/>
    </row>
    <row r="2083" spans="1:18" ht="12.75">
      <c r="A2083" s="12"/>
      <c r="D2083" s="12"/>
      <c r="E2083" s="12"/>
      <c r="H2083" s="11" t="str">
        <f ca="1">IFERROR(__xludf.DUMMYFUNCTION("IFERROR(SUBSTITUTE(SUBSTITUTE(REGEXEXTRACT(A2083, ""[^-]+- [^-]+- [^-]+ - (.+?)\.jpg""), "".jpg"", """"), ""-"", "", ""), """")"),"")</f>
        <v/>
      </c>
      <c r="L2083" s="12"/>
      <c r="M2083" s="13"/>
      <c r="N2083" s="2"/>
      <c r="O2083" s="20"/>
      <c r="P2083" s="42"/>
      <c r="R2083" s="23"/>
    </row>
    <row r="2084" spans="1:18" ht="12.75">
      <c r="A2084" s="12"/>
      <c r="D2084" s="12"/>
      <c r="E2084" s="12"/>
      <c r="H2084" s="11" t="str">
        <f ca="1">IFERROR(__xludf.DUMMYFUNCTION("IFERROR(SUBSTITUTE(SUBSTITUTE(REGEXEXTRACT(A2084, ""[^-]+- [^-]+- [^-]+ - (.+?)\.jpg""), "".jpg"", """"), ""-"", "", ""), """")"),"")</f>
        <v/>
      </c>
      <c r="L2084" s="12"/>
      <c r="M2084" s="13"/>
      <c r="N2084" s="2"/>
      <c r="O2084" s="20"/>
      <c r="P2084" s="42"/>
      <c r="R2084" s="23"/>
    </row>
    <row r="2085" spans="1:18" ht="12.75">
      <c r="A2085" s="12"/>
      <c r="D2085" s="12"/>
      <c r="E2085" s="12"/>
      <c r="H2085" s="11" t="str">
        <f ca="1">IFERROR(__xludf.DUMMYFUNCTION("IFERROR(SUBSTITUTE(SUBSTITUTE(REGEXEXTRACT(A2085, ""[^-]+- [^-]+- [^-]+ - (.+?)\.jpg""), "".jpg"", """"), ""-"", "", ""), """")"),"")</f>
        <v/>
      </c>
      <c r="L2085" s="12"/>
      <c r="M2085" s="13"/>
      <c r="N2085" s="2"/>
      <c r="O2085" s="20"/>
      <c r="P2085" s="42"/>
      <c r="R2085" s="23"/>
    </row>
    <row r="2086" spans="1:18" ht="12.75">
      <c r="A2086" s="12"/>
      <c r="D2086" s="12"/>
      <c r="E2086" s="12"/>
      <c r="H2086" s="11" t="str">
        <f ca="1">IFERROR(__xludf.DUMMYFUNCTION("IFERROR(SUBSTITUTE(SUBSTITUTE(REGEXEXTRACT(A2086, ""[^-]+- [^-]+- [^-]+ - (.+?)\.jpg""), "".jpg"", """"), ""-"", "", ""), """")"),"")</f>
        <v/>
      </c>
      <c r="L2086" s="12"/>
      <c r="M2086" s="13"/>
      <c r="N2086" s="2"/>
      <c r="O2086" s="20"/>
      <c r="P2086" s="42"/>
      <c r="R2086" s="23"/>
    </row>
    <row r="2087" spans="1:18" ht="12.75">
      <c r="A2087" s="12"/>
      <c r="D2087" s="12"/>
      <c r="E2087" s="12"/>
      <c r="H2087" s="11" t="str">
        <f ca="1">IFERROR(__xludf.DUMMYFUNCTION("IFERROR(SUBSTITUTE(SUBSTITUTE(REGEXEXTRACT(A2087, ""[^-]+- [^-]+- [^-]+ - (.+?)\.jpg""), "".jpg"", """"), ""-"", "", ""), """")"),"")</f>
        <v/>
      </c>
      <c r="L2087" s="12"/>
      <c r="M2087" s="13"/>
      <c r="N2087" s="2"/>
      <c r="O2087" s="20"/>
      <c r="P2087" s="42"/>
      <c r="R2087" s="23"/>
    </row>
    <row r="2088" spans="1:18" ht="12.75">
      <c r="A2088" s="12"/>
      <c r="D2088" s="12"/>
      <c r="E2088" s="12"/>
      <c r="H2088" s="11" t="str">
        <f ca="1">IFERROR(__xludf.DUMMYFUNCTION("IFERROR(SUBSTITUTE(SUBSTITUTE(REGEXEXTRACT(A2088, ""[^-]+- [^-]+- [^-]+ - (.+?)\.jpg""), "".jpg"", """"), ""-"", "", ""), """")"),"")</f>
        <v/>
      </c>
      <c r="L2088" s="12"/>
      <c r="M2088" s="13"/>
      <c r="N2088" s="2"/>
      <c r="O2088" s="20"/>
      <c r="P2088" s="42"/>
      <c r="R2088" s="23"/>
    </row>
    <row r="2089" spans="1:18" ht="12.75">
      <c r="A2089" s="12"/>
      <c r="D2089" s="12"/>
      <c r="E2089" s="12"/>
      <c r="H2089" s="11" t="str">
        <f ca="1">IFERROR(__xludf.DUMMYFUNCTION("IFERROR(SUBSTITUTE(SUBSTITUTE(REGEXEXTRACT(A2089, ""[^-]+- [^-]+- [^-]+ - (.+?)\.jpg""), "".jpg"", """"), ""-"", "", ""), """")"),"")</f>
        <v/>
      </c>
      <c r="L2089" s="12"/>
      <c r="M2089" s="13"/>
      <c r="N2089" s="2"/>
      <c r="O2089" s="20"/>
      <c r="P2089" s="42"/>
      <c r="R2089" s="23"/>
    </row>
    <row r="2090" spans="1:18" ht="12.75">
      <c r="A2090" s="12"/>
      <c r="D2090" s="12"/>
      <c r="E2090" s="12"/>
      <c r="H2090" s="11" t="str">
        <f ca="1">IFERROR(__xludf.DUMMYFUNCTION("IFERROR(SUBSTITUTE(SUBSTITUTE(REGEXEXTRACT(A2090, ""[^-]+- [^-]+- [^-]+ - (.+?)\.jpg""), "".jpg"", """"), ""-"", "", ""), """")"),"")</f>
        <v/>
      </c>
      <c r="L2090" s="12"/>
      <c r="M2090" s="13"/>
      <c r="N2090" s="2"/>
      <c r="O2090" s="20"/>
      <c r="P2090" s="42"/>
      <c r="R2090" s="23"/>
    </row>
    <row r="2091" spans="1:18" ht="12.75">
      <c r="A2091" s="12"/>
      <c r="D2091" s="12"/>
      <c r="E2091" s="12"/>
      <c r="H2091" s="11" t="str">
        <f ca="1">IFERROR(__xludf.DUMMYFUNCTION("IFERROR(SUBSTITUTE(SUBSTITUTE(REGEXEXTRACT(A2091, ""[^-]+- [^-]+- [^-]+ - (.+?)\.jpg""), "".jpg"", """"), ""-"", "", ""), """")"),"")</f>
        <v/>
      </c>
      <c r="L2091" s="12"/>
      <c r="M2091" s="13"/>
      <c r="N2091" s="2"/>
      <c r="O2091" s="20"/>
      <c r="P2091" s="42"/>
      <c r="R2091" s="23"/>
    </row>
    <row r="2092" spans="1:18" ht="12.75">
      <c r="A2092" s="12"/>
      <c r="D2092" s="12"/>
      <c r="E2092" s="12"/>
      <c r="H2092" s="11" t="str">
        <f ca="1">IFERROR(__xludf.DUMMYFUNCTION("IFERROR(SUBSTITUTE(SUBSTITUTE(REGEXEXTRACT(A2092, ""[^-]+- [^-]+- [^-]+ - (.+?)\.jpg""), "".jpg"", """"), ""-"", "", ""), """")"),"")</f>
        <v/>
      </c>
      <c r="L2092" s="12"/>
      <c r="M2092" s="13"/>
      <c r="N2092" s="2"/>
      <c r="O2092" s="20"/>
      <c r="P2092" s="42"/>
      <c r="R2092" s="23"/>
    </row>
    <row r="2093" spans="1:18" ht="12.75">
      <c r="A2093" s="12"/>
      <c r="D2093" s="12"/>
      <c r="E2093" s="12"/>
      <c r="H2093" s="11" t="str">
        <f ca="1">IFERROR(__xludf.DUMMYFUNCTION("IFERROR(SUBSTITUTE(SUBSTITUTE(REGEXEXTRACT(A2093, ""[^-]+- [^-]+- [^-]+ - (.+?)\.jpg""), "".jpg"", """"), ""-"", "", ""), """")"),"")</f>
        <v/>
      </c>
      <c r="L2093" s="12"/>
      <c r="M2093" s="13"/>
      <c r="N2093" s="2"/>
      <c r="O2093" s="20"/>
      <c r="P2093" s="42"/>
      <c r="R2093" s="23"/>
    </row>
    <row r="2094" spans="1:18" ht="12.75">
      <c r="A2094" s="12"/>
      <c r="D2094" s="12"/>
      <c r="E2094" s="12"/>
      <c r="H2094" s="11" t="str">
        <f ca="1">IFERROR(__xludf.DUMMYFUNCTION("IFERROR(SUBSTITUTE(SUBSTITUTE(REGEXEXTRACT(A2094, ""[^-]+- [^-]+- [^-]+ - (.+?)\.jpg""), "".jpg"", """"), ""-"", "", ""), """")"),"")</f>
        <v/>
      </c>
      <c r="L2094" s="12"/>
      <c r="M2094" s="13"/>
      <c r="N2094" s="2"/>
      <c r="O2094" s="20"/>
      <c r="P2094" s="42"/>
      <c r="R2094" s="23"/>
    </row>
    <row r="2095" spans="1:18" ht="12.75">
      <c r="A2095" s="12"/>
      <c r="D2095" s="12"/>
      <c r="E2095" s="12"/>
      <c r="H2095" s="11" t="str">
        <f ca="1">IFERROR(__xludf.DUMMYFUNCTION("IFERROR(SUBSTITUTE(SUBSTITUTE(REGEXEXTRACT(A2095, ""[^-]+- [^-]+- [^-]+ - (.+?)\.jpg""), "".jpg"", """"), ""-"", "", ""), """")"),"")</f>
        <v/>
      </c>
      <c r="L2095" s="12"/>
      <c r="M2095" s="13"/>
      <c r="N2095" s="2"/>
      <c r="O2095" s="20"/>
      <c r="P2095" s="42"/>
      <c r="R2095" s="23"/>
    </row>
    <row r="2096" spans="1:18" ht="12.75">
      <c r="A2096" s="12"/>
      <c r="D2096" s="12"/>
      <c r="E2096" s="12"/>
      <c r="H2096" s="11" t="str">
        <f ca="1">IFERROR(__xludf.DUMMYFUNCTION("IFERROR(SUBSTITUTE(SUBSTITUTE(REGEXEXTRACT(A2096, ""[^-]+- [^-]+- [^-]+ - (.+?)\.jpg""), "".jpg"", """"), ""-"", "", ""), """")"),"")</f>
        <v/>
      </c>
      <c r="L2096" s="12"/>
      <c r="M2096" s="13"/>
      <c r="N2096" s="2"/>
      <c r="O2096" s="20"/>
      <c r="P2096" s="42"/>
      <c r="R2096" s="23"/>
    </row>
    <row r="2097" spans="1:18" ht="12.75">
      <c r="A2097" s="12"/>
      <c r="D2097" s="12"/>
      <c r="E2097" s="12"/>
      <c r="H2097" s="11" t="str">
        <f ca="1">IFERROR(__xludf.DUMMYFUNCTION("IFERROR(SUBSTITUTE(SUBSTITUTE(REGEXEXTRACT(A2097, ""[^-]+- [^-]+- [^-]+ - (.+?)\.jpg""), "".jpg"", """"), ""-"", "", ""), """")"),"")</f>
        <v/>
      </c>
      <c r="L2097" s="12"/>
      <c r="M2097" s="13"/>
      <c r="N2097" s="2"/>
      <c r="O2097" s="20"/>
      <c r="P2097" s="42"/>
      <c r="R2097" s="23"/>
    </row>
    <row r="2098" spans="1:18" ht="12.75">
      <c r="A2098" s="12"/>
      <c r="D2098" s="12"/>
      <c r="E2098" s="12"/>
      <c r="H2098" s="11" t="str">
        <f ca="1">IFERROR(__xludf.DUMMYFUNCTION("IFERROR(SUBSTITUTE(SUBSTITUTE(REGEXEXTRACT(A2098, ""[^-]+- [^-]+- [^-]+ - (.+?)\.jpg""), "".jpg"", """"), ""-"", "", ""), """")"),"")</f>
        <v/>
      </c>
      <c r="L2098" s="12"/>
      <c r="M2098" s="13"/>
      <c r="N2098" s="2"/>
      <c r="O2098" s="20"/>
      <c r="P2098" s="42"/>
      <c r="R2098" s="23"/>
    </row>
    <row r="2099" spans="1:18" ht="12.75">
      <c r="A2099" s="12"/>
      <c r="D2099" s="12"/>
      <c r="E2099" s="12"/>
      <c r="H2099" s="11" t="str">
        <f ca="1">IFERROR(__xludf.DUMMYFUNCTION("IFERROR(SUBSTITUTE(SUBSTITUTE(REGEXEXTRACT(A2099, ""[^-]+- [^-]+- [^-]+ - (.+?)\.jpg""), "".jpg"", """"), ""-"", "", ""), """")"),"")</f>
        <v/>
      </c>
      <c r="L2099" s="12"/>
      <c r="M2099" s="13"/>
      <c r="N2099" s="2"/>
      <c r="O2099" s="20"/>
      <c r="P2099" s="42"/>
      <c r="R2099" s="23"/>
    </row>
    <row r="2100" spans="1:18" ht="12.75">
      <c r="A2100" s="12"/>
      <c r="D2100" s="12"/>
      <c r="E2100" s="12"/>
      <c r="H2100" s="11" t="str">
        <f ca="1">IFERROR(__xludf.DUMMYFUNCTION("IFERROR(SUBSTITUTE(SUBSTITUTE(REGEXEXTRACT(A2100, ""[^-]+- [^-]+- [^-]+ - (.+?)\.jpg""), "".jpg"", """"), ""-"", "", ""), """")"),"")</f>
        <v/>
      </c>
      <c r="L2100" s="12"/>
      <c r="M2100" s="13"/>
      <c r="N2100" s="2"/>
      <c r="O2100" s="20"/>
      <c r="P2100" s="42"/>
      <c r="R2100" s="23"/>
    </row>
    <row r="2101" spans="1:18" ht="12.75">
      <c r="A2101" s="12"/>
      <c r="D2101" s="12"/>
      <c r="E2101" s="12"/>
      <c r="H2101" s="11" t="str">
        <f ca="1">IFERROR(__xludf.DUMMYFUNCTION("IFERROR(SUBSTITUTE(SUBSTITUTE(REGEXEXTRACT(A2101, ""[^-]+- [^-]+- [^-]+ - (.+?)\.jpg""), "".jpg"", """"), ""-"", "", ""), """")"),"")</f>
        <v/>
      </c>
      <c r="L2101" s="12"/>
      <c r="M2101" s="13"/>
      <c r="N2101" s="2"/>
      <c r="O2101" s="20"/>
      <c r="P2101" s="42"/>
      <c r="R2101" s="23"/>
    </row>
    <row r="2102" spans="1:18" ht="12.75">
      <c r="A2102" s="12"/>
      <c r="D2102" s="12"/>
      <c r="E2102" s="12"/>
      <c r="H2102" s="11" t="str">
        <f ca="1">IFERROR(__xludf.DUMMYFUNCTION("IFERROR(SUBSTITUTE(SUBSTITUTE(REGEXEXTRACT(A2102, ""[^-]+- [^-]+- [^-]+ - (.+?)\.jpg""), "".jpg"", """"), ""-"", "", ""), """")"),"")</f>
        <v/>
      </c>
      <c r="L2102" s="12"/>
      <c r="M2102" s="13"/>
      <c r="N2102" s="2"/>
      <c r="O2102" s="20"/>
      <c r="P2102" s="42"/>
      <c r="R2102" s="23"/>
    </row>
    <row r="2103" spans="1:18" ht="12.75">
      <c r="A2103" s="12"/>
      <c r="D2103" s="12"/>
      <c r="E2103" s="12"/>
      <c r="H2103" s="11" t="str">
        <f ca="1">IFERROR(__xludf.DUMMYFUNCTION("IFERROR(SUBSTITUTE(SUBSTITUTE(REGEXEXTRACT(A2103, ""[^-]+- [^-]+- [^-]+ - (.+?)\.jpg""), "".jpg"", """"), ""-"", "", ""), """")"),"")</f>
        <v/>
      </c>
      <c r="L2103" s="12"/>
      <c r="M2103" s="13"/>
      <c r="N2103" s="2"/>
      <c r="O2103" s="20"/>
      <c r="P2103" s="42"/>
      <c r="R2103" s="23"/>
    </row>
    <row r="2104" spans="1:18" ht="12.75">
      <c r="A2104" s="12"/>
      <c r="D2104" s="12"/>
      <c r="E2104" s="12"/>
      <c r="H2104" s="11" t="str">
        <f ca="1">IFERROR(__xludf.DUMMYFUNCTION("IFERROR(SUBSTITUTE(SUBSTITUTE(REGEXEXTRACT(A2104, ""[^-]+- [^-]+- [^-]+ - (.+?)\.jpg""), "".jpg"", """"), ""-"", "", ""), """")"),"")</f>
        <v/>
      </c>
      <c r="L2104" s="12"/>
      <c r="M2104" s="13"/>
      <c r="N2104" s="2"/>
      <c r="O2104" s="20"/>
      <c r="P2104" s="42"/>
      <c r="R2104" s="23"/>
    </row>
    <row r="2105" spans="1:18" ht="12.75">
      <c r="A2105" s="12"/>
      <c r="D2105" s="12"/>
      <c r="E2105" s="12"/>
      <c r="H2105" s="11" t="str">
        <f ca="1">IFERROR(__xludf.DUMMYFUNCTION("IFERROR(SUBSTITUTE(SUBSTITUTE(REGEXEXTRACT(A2105, ""[^-]+- [^-]+- [^-]+ - (.+?)\.jpg""), "".jpg"", """"), ""-"", "", ""), """")"),"")</f>
        <v/>
      </c>
      <c r="L2105" s="12"/>
      <c r="M2105" s="13"/>
      <c r="N2105" s="2"/>
      <c r="O2105" s="20"/>
      <c r="P2105" s="42"/>
      <c r="R2105" s="23"/>
    </row>
    <row r="2106" spans="1:18" ht="12.75">
      <c r="A2106" s="12"/>
      <c r="D2106" s="12"/>
      <c r="E2106" s="12"/>
      <c r="H2106" s="11" t="str">
        <f ca="1">IFERROR(__xludf.DUMMYFUNCTION("IFERROR(SUBSTITUTE(SUBSTITUTE(REGEXEXTRACT(A2106, ""[^-]+- [^-]+- [^-]+ - (.+?)\.jpg""), "".jpg"", """"), ""-"", "", ""), """")"),"")</f>
        <v/>
      </c>
      <c r="L2106" s="12"/>
      <c r="M2106" s="13"/>
      <c r="N2106" s="2"/>
      <c r="O2106" s="20"/>
      <c r="P2106" s="42"/>
      <c r="R2106" s="23"/>
    </row>
    <row r="2107" spans="1:18" ht="12.75">
      <c r="A2107" s="12"/>
      <c r="D2107" s="12"/>
      <c r="E2107" s="12"/>
      <c r="H2107" s="11" t="str">
        <f ca="1">IFERROR(__xludf.DUMMYFUNCTION("IFERROR(SUBSTITUTE(SUBSTITUTE(REGEXEXTRACT(A2107, ""[^-]+- [^-]+- [^-]+ - (.+?)\.jpg""), "".jpg"", """"), ""-"", "", ""), """")"),"")</f>
        <v/>
      </c>
      <c r="L2107" s="12"/>
      <c r="M2107" s="13"/>
      <c r="N2107" s="2"/>
      <c r="O2107" s="20"/>
      <c r="P2107" s="42"/>
      <c r="R2107" s="23"/>
    </row>
    <row r="2108" spans="1:18" ht="12.75">
      <c r="A2108" s="12"/>
      <c r="D2108" s="12"/>
      <c r="E2108" s="12"/>
      <c r="H2108" s="11" t="str">
        <f ca="1">IFERROR(__xludf.DUMMYFUNCTION("IFERROR(SUBSTITUTE(SUBSTITUTE(REGEXEXTRACT(A2108, ""[^-]+- [^-]+- [^-]+ - (.+?)\.jpg""), "".jpg"", """"), ""-"", "", ""), """")"),"")</f>
        <v/>
      </c>
      <c r="L2108" s="12"/>
      <c r="M2108" s="13"/>
      <c r="N2108" s="2"/>
      <c r="O2108" s="20"/>
      <c r="P2108" s="42"/>
      <c r="R2108" s="23"/>
    </row>
    <row r="2109" spans="1:18" ht="12.75">
      <c r="A2109" s="12"/>
      <c r="D2109" s="12"/>
      <c r="E2109" s="12"/>
      <c r="H2109" s="11" t="str">
        <f ca="1">IFERROR(__xludf.DUMMYFUNCTION("IFERROR(SUBSTITUTE(SUBSTITUTE(REGEXEXTRACT(A2109, ""[^-]+- [^-]+- [^-]+ - (.+?)\.jpg""), "".jpg"", """"), ""-"", "", ""), """")"),"")</f>
        <v/>
      </c>
      <c r="L2109" s="12"/>
      <c r="M2109" s="13"/>
      <c r="N2109" s="2"/>
      <c r="O2109" s="20"/>
      <c r="P2109" s="42"/>
      <c r="R2109" s="23"/>
    </row>
    <row r="2110" spans="1:18" ht="12.75">
      <c r="A2110" s="12"/>
      <c r="D2110" s="12"/>
      <c r="E2110" s="12"/>
      <c r="H2110" s="11" t="str">
        <f ca="1">IFERROR(__xludf.DUMMYFUNCTION("IFERROR(SUBSTITUTE(SUBSTITUTE(REGEXEXTRACT(A2110, ""[^-]+- [^-]+- [^-]+ - (.+?)\.jpg""), "".jpg"", """"), ""-"", "", ""), """")"),"")</f>
        <v/>
      </c>
      <c r="L2110" s="12"/>
      <c r="M2110" s="13"/>
      <c r="N2110" s="2"/>
      <c r="O2110" s="20"/>
      <c r="P2110" s="42"/>
      <c r="R2110" s="23"/>
    </row>
    <row r="2111" spans="1:18" ht="12.75">
      <c r="A2111" s="12"/>
      <c r="D2111" s="12"/>
      <c r="E2111" s="12"/>
      <c r="H2111" s="11" t="str">
        <f ca="1">IFERROR(__xludf.DUMMYFUNCTION("IFERROR(SUBSTITUTE(SUBSTITUTE(REGEXEXTRACT(A2111, ""[^-]+- [^-]+- [^-]+ - (.+?)\.jpg""), "".jpg"", """"), ""-"", "", ""), """")"),"")</f>
        <v/>
      </c>
      <c r="L2111" s="12"/>
      <c r="M2111" s="13"/>
      <c r="N2111" s="2"/>
      <c r="O2111" s="20"/>
      <c r="P2111" s="42"/>
      <c r="R2111" s="23"/>
    </row>
    <row r="2112" spans="1:18" ht="12.75">
      <c r="A2112" s="12"/>
      <c r="D2112" s="12"/>
      <c r="E2112" s="12"/>
      <c r="H2112" s="11" t="str">
        <f ca="1">IFERROR(__xludf.DUMMYFUNCTION("IFERROR(SUBSTITUTE(SUBSTITUTE(REGEXEXTRACT(A2112, ""[^-]+- [^-]+- [^-]+ - (.+?)\.jpg""), "".jpg"", """"), ""-"", "", ""), """")"),"")</f>
        <v/>
      </c>
      <c r="L2112" s="12"/>
      <c r="M2112" s="13"/>
      <c r="N2112" s="2"/>
      <c r="O2112" s="20"/>
      <c r="P2112" s="42"/>
      <c r="R2112" s="23"/>
    </row>
    <row r="2113" spans="1:18" ht="12.75">
      <c r="A2113" s="12"/>
      <c r="D2113" s="12"/>
      <c r="E2113" s="12"/>
      <c r="H2113" s="11" t="str">
        <f ca="1">IFERROR(__xludf.DUMMYFUNCTION("IFERROR(SUBSTITUTE(SUBSTITUTE(REGEXEXTRACT(A2113, ""[^-]+- [^-]+- [^-]+ - (.+?)\.jpg""), "".jpg"", """"), ""-"", "", ""), """")"),"")</f>
        <v/>
      </c>
      <c r="L2113" s="12"/>
      <c r="M2113" s="13"/>
      <c r="N2113" s="2"/>
      <c r="O2113" s="20"/>
      <c r="P2113" s="42"/>
      <c r="R2113" s="23"/>
    </row>
    <row r="2114" spans="1:18" ht="12.75">
      <c r="A2114" s="12"/>
      <c r="D2114" s="12"/>
      <c r="E2114" s="12"/>
      <c r="H2114" s="11" t="str">
        <f ca="1">IFERROR(__xludf.DUMMYFUNCTION("IFERROR(SUBSTITUTE(SUBSTITUTE(REGEXEXTRACT(A2114, ""[^-]+- [^-]+- [^-]+ - (.+?)\.jpg""), "".jpg"", """"), ""-"", "", ""), """")"),"")</f>
        <v/>
      </c>
      <c r="L2114" s="12"/>
      <c r="M2114" s="13"/>
      <c r="N2114" s="2"/>
      <c r="O2114" s="20"/>
      <c r="P2114" s="42"/>
      <c r="R2114" s="23"/>
    </row>
    <row r="2115" spans="1:18" ht="12.75">
      <c r="A2115" s="12"/>
      <c r="D2115" s="12"/>
      <c r="E2115" s="12"/>
      <c r="H2115" s="11" t="str">
        <f ca="1">IFERROR(__xludf.DUMMYFUNCTION("IFERROR(SUBSTITUTE(SUBSTITUTE(REGEXEXTRACT(A2115, ""[^-]+- [^-]+- [^-]+ - (.+?)\.jpg""), "".jpg"", """"), ""-"", "", ""), """")"),"")</f>
        <v/>
      </c>
      <c r="L2115" s="12"/>
      <c r="M2115" s="13"/>
      <c r="N2115" s="2"/>
      <c r="O2115" s="20"/>
      <c r="P2115" s="42"/>
      <c r="R2115" s="23"/>
    </row>
    <row r="2116" spans="1:18" ht="12.75">
      <c r="A2116" s="12"/>
      <c r="D2116" s="12"/>
      <c r="E2116" s="12"/>
      <c r="H2116" s="11" t="str">
        <f ca="1">IFERROR(__xludf.DUMMYFUNCTION("IFERROR(SUBSTITUTE(SUBSTITUTE(REGEXEXTRACT(A2116, ""[^-]+- [^-]+- [^-]+ - (.+?)\.jpg""), "".jpg"", """"), ""-"", "", ""), """")"),"")</f>
        <v/>
      </c>
      <c r="L2116" s="12"/>
      <c r="M2116" s="13"/>
      <c r="N2116" s="2"/>
      <c r="O2116" s="20"/>
      <c r="P2116" s="42"/>
      <c r="R2116" s="23"/>
    </row>
    <row r="2117" spans="1:18" ht="12.75">
      <c r="A2117" s="12"/>
      <c r="D2117" s="12"/>
      <c r="E2117" s="12"/>
      <c r="H2117" s="11" t="str">
        <f ca="1">IFERROR(__xludf.DUMMYFUNCTION("IFERROR(SUBSTITUTE(SUBSTITUTE(REGEXEXTRACT(A2117, ""[^-]+- [^-]+- [^-]+ - (.+?)\.jpg""), "".jpg"", """"), ""-"", "", ""), """")"),"")</f>
        <v/>
      </c>
      <c r="L2117" s="12"/>
      <c r="M2117" s="13"/>
      <c r="N2117" s="2"/>
      <c r="O2117" s="20"/>
      <c r="P2117" s="42"/>
      <c r="R2117" s="23"/>
    </row>
    <row r="2118" spans="1:18" ht="12.75">
      <c r="A2118" s="12"/>
      <c r="D2118" s="12"/>
      <c r="E2118" s="12"/>
      <c r="H2118" s="11" t="str">
        <f ca="1">IFERROR(__xludf.DUMMYFUNCTION("IFERROR(SUBSTITUTE(SUBSTITUTE(REGEXEXTRACT(A2118, ""[^-]+- [^-]+- [^-]+ - (.+?)\.jpg""), "".jpg"", """"), ""-"", "", ""), """")"),"")</f>
        <v/>
      </c>
      <c r="L2118" s="12"/>
      <c r="M2118" s="13"/>
      <c r="N2118" s="2"/>
      <c r="O2118" s="20"/>
      <c r="P2118" s="42"/>
      <c r="R2118" s="23"/>
    </row>
    <row r="2119" spans="1:18" ht="12.75">
      <c r="A2119" s="12"/>
      <c r="D2119" s="12"/>
      <c r="E2119" s="12"/>
      <c r="H2119" s="11" t="str">
        <f ca="1">IFERROR(__xludf.DUMMYFUNCTION("IFERROR(SUBSTITUTE(SUBSTITUTE(REGEXEXTRACT(A2119, ""[^-]+- [^-]+- [^-]+ - (.+?)\.jpg""), "".jpg"", """"), ""-"", "", ""), """")"),"")</f>
        <v/>
      </c>
      <c r="L2119" s="12"/>
      <c r="M2119" s="13"/>
      <c r="N2119" s="2"/>
      <c r="O2119" s="20"/>
      <c r="P2119" s="42"/>
      <c r="R2119" s="23"/>
    </row>
    <row r="2120" spans="1:18" ht="12.75">
      <c r="A2120" s="12"/>
      <c r="D2120" s="12"/>
      <c r="E2120" s="12"/>
      <c r="H2120" s="11" t="str">
        <f ca="1">IFERROR(__xludf.DUMMYFUNCTION("IFERROR(SUBSTITUTE(SUBSTITUTE(REGEXEXTRACT(A2120, ""[^-]+- [^-]+- [^-]+ - (.+?)\.jpg""), "".jpg"", """"), ""-"", "", ""), """")"),"")</f>
        <v/>
      </c>
      <c r="L2120" s="12"/>
      <c r="M2120" s="13"/>
      <c r="N2120" s="2"/>
      <c r="O2120" s="20"/>
      <c r="P2120" s="42"/>
      <c r="R2120" s="23"/>
    </row>
    <row r="2121" spans="1:18" ht="12.75">
      <c r="A2121" s="12"/>
      <c r="D2121" s="12"/>
      <c r="E2121" s="12"/>
      <c r="H2121" s="11" t="str">
        <f ca="1">IFERROR(__xludf.DUMMYFUNCTION("IFERROR(SUBSTITUTE(SUBSTITUTE(REGEXEXTRACT(A2121, ""[^-]+- [^-]+- [^-]+ - (.+?)\.jpg""), "".jpg"", """"), ""-"", "", ""), """")"),"")</f>
        <v/>
      </c>
      <c r="L2121" s="12"/>
      <c r="M2121" s="13"/>
      <c r="N2121" s="2"/>
      <c r="O2121" s="20"/>
      <c r="P2121" s="42"/>
      <c r="R2121" s="23"/>
    </row>
    <row r="2122" spans="1:18" ht="12.75">
      <c r="A2122" s="12"/>
      <c r="D2122" s="12"/>
      <c r="E2122" s="12"/>
      <c r="H2122" s="11" t="str">
        <f ca="1">IFERROR(__xludf.DUMMYFUNCTION("IFERROR(SUBSTITUTE(SUBSTITUTE(REGEXEXTRACT(A2122, ""[^-]+- [^-]+- [^-]+ - (.+?)\.jpg""), "".jpg"", """"), ""-"", "", ""), """")"),"")</f>
        <v/>
      </c>
      <c r="L2122" s="12"/>
      <c r="M2122" s="13"/>
      <c r="N2122" s="2"/>
      <c r="O2122" s="20"/>
      <c r="P2122" s="42"/>
      <c r="R2122" s="23"/>
    </row>
    <row r="2123" spans="1:18" ht="12.75">
      <c r="A2123" s="12"/>
      <c r="D2123" s="12"/>
      <c r="E2123" s="12"/>
      <c r="H2123" s="11" t="str">
        <f ca="1">IFERROR(__xludf.DUMMYFUNCTION("IFERROR(SUBSTITUTE(SUBSTITUTE(REGEXEXTRACT(A2123, ""[^-]+- [^-]+- [^-]+ - (.+?)\.jpg""), "".jpg"", """"), ""-"", "", ""), """")"),"")</f>
        <v/>
      </c>
      <c r="L2123" s="12"/>
      <c r="M2123" s="13"/>
      <c r="N2123" s="2"/>
      <c r="O2123" s="20"/>
      <c r="P2123" s="42"/>
      <c r="R2123" s="23"/>
    </row>
    <row r="2124" spans="1:18" ht="12.75">
      <c r="A2124" s="12"/>
      <c r="D2124" s="12"/>
      <c r="E2124" s="12"/>
      <c r="H2124" s="11" t="str">
        <f ca="1">IFERROR(__xludf.DUMMYFUNCTION("IFERROR(SUBSTITUTE(SUBSTITUTE(REGEXEXTRACT(A2124, ""[^-]+- [^-]+- [^-]+ - (.+?)\.jpg""), "".jpg"", """"), ""-"", "", ""), """")"),"")</f>
        <v/>
      </c>
      <c r="L2124" s="12"/>
      <c r="M2124" s="13"/>
      <c r="N2124" s="2"/>
      <c r="O2124" s="20"/>
      <c r="P2124" s="42"/>
      <c r="R2124" s="23"/>
    </row>
    <row r="2125" spans="1:18" ht="12.75">
      <c r="A2125" s="12"/>
      <c r="D2125" s="12"/>
      <c r="E2125" s="12"/>
      <c r="H2125" s="11" t="str">
        <f ca="1">IFERROR(__xludf.DUMMYFUNCTION("IFERROR(SUBSTITUTE(SUBSTITUTE(REGEXEXTRACT(A2125, ""[^-]+- [^-]+- [^-]+ - (.+?)\.jpg""), "".jpg"", """"), ""-"", "", ""), """")"),"")</f>
        <v/>
      </c>
      <c r="L2125" s="12"/>
      <c r="M2125" s="13"/>
      <c r="N2125" s="2"/>
      <c r="O2125" s="20"/>
      <c r="P2125" s="42"/>
      <c r="R2125" s="23"/>
    </row>
    <row r="2126" spans="1:18" ht="12.75">
      <c r="A2126" s="12"/>
      <c r="D2126" s="12"/>
      <c r="E2126" s="12"/>
      <c r="H2126" s="11" t="str">
        <f ca="1">IFERROR(__xludf.DUMMYFUNCTION("IFERROR(SUBSTITUTE(SUBSTITUTE(REGEXEXTRACT(A2126, ""[^-]+- [^-]+- [^-]+ - (.+?)\.jpg""), "".jpg"", """"), ""-"", "", ""), """")"),"")</f>
        <v/>
      </c>
      <c r="L2126" s="12"/>
      <c r="M2126" s="13"/>
      <c r="N2126" s="2"/>
      <c r="O2126" s="20"/>
      <c r="P2126" s="42"/>
      <c r="R2126" s="23"/>
    </row>
    <row r="2127" spans="1:18" ht="12.75">
      <c r="A2127" s="12"/>
      <c r="D2127" s="12"/>
      <c r="E2127" s="12"/>
      <c r="H2127" s="11" t="str">
        <f ca="1">IFERROR(__xludf.DUMMYFUNCTION("IFERROR(SUBSTITUTE(SUBSTITUTE(REGEXEXTRACT(A2127, ""[^-]+- [^-]+- [^-]+ - (.+?)\.jpg""), "".jpg"", """"), ""-"", "", ""), """")"),"")</f>
        <v/>
      </c>
      <c r="L2127" s="12"/>
      <c r="M2127" s="13"/>
      <c r="N2127" s="2"/>
      <c r="O2127" s="20"/>
      <c r="P2127" s="42"/>
      <c r="R2127" s="23"/>
    </row>
    <row r="2128" spans="1:18" ht="12.75">
      <c r="A2128" s="12"/>
      <c r="D2128" s="12"/>
      <c r="E2128" s="12"/>
      <c r="H2128" s="11" t="str">
        <f ca="1">IFERROR(__xludf.DUMMYFUNCTION("IFERROR(SUBSTITUTE(SUBSTITUTE(REGEXEXTRACT(A2128, ""[^-]+- [^-]+- [^-]+ - (.+?)\.jpg""), "".jpg"", """"), ""-"", "", ""), """")"),"")</f>
        <v/>
      </c>
      <c r="L2128" s="12"/>
      <c r="M2128" s="13"/>
      <c r="N2128" s="2"/>
      <c r="O2128" s="20"/>
      <c r="P2128" s="42"/>
      <c r="R2128" s="23"/>
    </row>
    <row r="2129" spans="1:18" ht="12.75">
      <c r="A2129" s="12"/>
      <c r="D2129" s="12"/>
      <c r="E2129" s="12"/>
      <c r="H2129" s="11" t="str">
        <f ca="1">IFERROR(__xludf.DUMMYFUNCTION("IFERROR(SUBSTITUTE(SUBSTITUTE(REGEXEXTRACT(A2129, ""[^-]+- [^-]+- [^-]+ - (.+?)\.jpg""), "".jpg"", """"), ""-"", "", ""), """")"),"")</f>
        <v/>
      </c>
      <c r="L2129" s="12"/>
      <c r="M2129" s="13"/>
      <c r="N2129" s="2"/>
      <c r="O2129" s="20"/>
      <c r="P2129" s="42"/>
      <c r="R2129" s="23"/>
    </row>
    <row r="2130" spans="1:18" ht="12.75">
      <c r="A2130" s="12"/>
      <c r="D2130" s="12"/>
      <c r="E2130" s="12"/>
      <c r="H2130" s="11" t="str">
        <f ca="1">IFERROR(__xludf.DUMMYFUNCTION("IFERROR(SUBSTITUTE(SUBSTITUTE(REGEXEXTRACT(A2130, ""[^-]+- [^-]+- [^-]+ - (.+?)\.jpg""), "".jpg"", """"), ""-"", "", ""), """")"),"")</f>
        <v/>
      </c>
      <c r="L2130" s="12"/>
      <c r="M2130" s="13"/>
      <c r="N2130" s="2"/>
      <c r="O2130" s="20"/>
      <c r="P2130" s="42"/>
      <c r="R2130" s="23"/>
    </row>
    <row r="2131" spans="1:18" ht="12.75">
      <c r="A2131" s="12"/>
      <c r="D2131" s="12"/>
      <c r="E2131" s="12"/>
      <c r="H2131" s="11" t="str">
        <f ca="1">IFERROR(__xludf.DUMMYFUNCTION("IFERROR(SUBSTITUTE(SUBSTITUTE(REGEXEXTRACT(A2131, ""[^-]+- [^-]+- [^-]+ - (.+?)\.jpg""), "".jpg"", """"), ""-"", "", ""), """")"),"")</f>
        <v/>
      </c>
      <c r="L2131" s="12"/>
      <c r="M2131" s="13"/>
      <c r="N2131" s="2"/>
      <c r="O2131" s="20"/>
      <c r="P2131" s="42"/>
      <c r="R2131" s="23"/>
    </row>
    <row r="2132" spans="1:18" ht="12.75">
      <c r="A2132" s="12"/>
      <c r="D2132" s="12"/>
      <c r="E2132" s="12"/>
      <c r="H2132" s="11" t="str">
        <f ca="1">IFERROR(__xludf.DUMMYFUNCTION("IFERROR(SUBSTITUTE(SUBSTITUTE(REGEXEXTRACT(A2132, ""[^-]+- [^-]+- [^-]+ - (.+?)\.jpg""), "".jpg"", """"), ""-"", "", ""), """")"),"")</f>
        <v/>
      </c>
      <c r="L2132" s="12"/>
      <c r="M2132" s="13"/>
      <c r="N2132" s="2"/>
      <c r="O2132" s="20"/>
      <c r="P2132" s="42"/>
      <c r="R2132" s="23"/>
    </row>
    <row r="2133" spans="1:18" ht="12.75">
      <c r="A2133" s="12"/>
      <c r="D2133" s="12"/>
      <c r="E2133" s="12"/>
      <c r="H2133" s="11" t="str">
        <f ca="1">IFERROR(__xludf.DUMMYFUNCTION("IFERROR(SUBSTITUTE(SUBSTITUTE(REGEXEXTRACT(A2133, ""[^-]+- [^-]+- [^-]+ - (.+?)\.jpg""), "".jpg"", """"), ""-"", "", ""), """")"),"")</f>
        <v/>
      </c>
      <c r="L2133" s="12"/>
      <c r="M2133" s="13"/>
      <c r="N2133" s="2"/>
      <c r="O2133" s="20"/>
      <c r="P2133" s="42"/>
      <c r="R2133" s="23"/>
    </row>
    <row r="2134" spans="1:18" ht="12.75">
      <c r="A2134" s="12"/>
      <c r="D2134" s="12"/>
      <c r="E2134" s="12"/>
      <c r="H2134" s="11" t="str">
        <f ca="1">IFERROR(__xludf.DUMMYFUNCTION("IFERROR(SUBSTITUTE(SUBSTITUTE(REGEXEXTRACT(A2134, ""[^-]+- [^-]+- [^-]+ - (.+?)\.jpg""), "".jpg"", """"), ""-"", "", ""), """")"),"")</f>
        <v/>
      </c>
      <c r="L2134" s="12"/>
      <c r="M2134" s="13"/>
      <c r="N2134" s="2"/>
      <c r="O2134" s="20"/>
      <c r="P2134" s="42"/>
      <c r="R2134" s="23"/>
    </row>
    <row r="2135" spans="1:18" ht="12.75">
      <c r="A2135" s="12"/>
      <c r="D2135" s="12"/>
      <c r="E2135" s="12"/>
      <c r="H2135" s="11" t="str">
        <f ca="1">IFERROR(__xludf.DUMMYFUNCTION("IFERROR(SUBSTITUTE(SUBSTITUTE(REGEXEXTRACT(A2135, ""[^-]+- [^-]+- [^-]+ - (.+?)\.jpg""), "".jpg"", """"), ""-"", "", ""), """")"),"")</f>
        <v/>
      </c>
      <c r="L2135" s="12"/>
      <c r="M2135" s="13"/>
      <c r="N2135" s="2"/>
      <c r="O2135" s="20"/>
      <c r="P2135" s="42"/>
      <c r="R2135" s="23"/>
    </row>
    <row r="2136" spans="1:18" ht="12.75">
      <c r="A2136" s="12"/>
      <c r="D2136" s="12"/>
      <c r="E2136" s="12"/>
      <c r="H2136" s="11" t="str">
        <f ca="1">IFERROR(__xludf.DUMMYFUNCTION("IFERROR(SUBSTITUTE(SUBSTITUTE(REGEXEXTRACT(A2136, ""[^-]+- [^-]+- [^-]+ - (.+?)\.jpg""), "".jpg"", """"), ""-"", "", ""), """")"),"")</f>
        <v/>
      </c>
      <c r="L2136" s="12"/>
      <c r="M2136" s="13"/>
      <c r="N2136" s="2"/>
      <c r="O2136" s="20"/>
      <c r="P2136" s="42"/>
      <c r="R2136" s="23"/>
    </row>
    <row r="2137" spans="1:18" ht="12.75">
      <c r="A2137" s="12"/>
      <c r="D2137" s="12"/>
      <c r="E2137" s="12"/>
      <c r="H2137" s="11" t="str">
        <f ca="1">IFERROR(__xludf.DUMMYFUNCTION("IFERROR(SUBSTITUTE(SUBSTITUTE(REGEXEXTRACT(A2137, ""[^-]+- [^-]+- [^-]+ - (.+?)\.jpg""), "".jpg"", """"), ""-"", "", ""), """")"),"")</f>
        <v/>
      </c>
      <c r="L2137" s="12"/>
      <c r="M2137" s="13"/>
      <c r="N2137" s="2"/>
      <c r="O2137" s="20"/>
      <c r="P2137" s="42"/>
      <c r="R2137" s="23"/>
    </row>
    <row r="2138" spans="1:18" ht="12.75">
      <c r="A2138" s="12"/>
      <c r="D2138" s="12"/>
      <c r="E2138" s="12"/>
      <c r="H2138" s="11" t="str">
        <f ca="1">IFERROR(__xludf.DUMMYFUNCTION("IFERROR(SUBSTITUTE(SUBSTITUTE(REGEXEXTRACT(A2138, ""[^-]+- [^-]+- [^-]+ - (.+?)\.jpg""), "".jpg"", """"), ""-"", "", ""), """")"),"")</f>
        <v/>
      </c>
      <c r="L2138" s="12"/>
      <c r="M2138" s="13"/>
      <c r="N2138" s="2"/>
      <c r="O2138" s="20"/>
      <c r="P2138" s="42"/>
      <c r="R2138" s="23"/>
    </row>
    <row r="2139" spans="1:18" ht="12.75">
      <c r="A2139" s="12"/>
      <c r="D2139" s="12"/>
      <c r="E2139" s="12"/>
      <c r="H2139" s="11" t="str">
        <f ca="1">IFERROR(__xludf.DUMMYFUNCTION("IFERROR(SUBSTITUTE(SUBSTITUTE(REGEXEXTRACT(A2139, ""[^-]+- [^-]+- [^-]+ - (.+?)\.jpg""), "".jpg"", """"), ""-"", "", ""), """")"),"")</f>
        <v/>
      </c>
      <c r="L2139" s="12"/>
      <c r="M2139" s="13"/>
      <c r="N2139" s="2"/>
      <c r="O2139" s="20"/>
      <c r="P2139" s="42"/>
      <c r="R2139" s="23"/>
    </row>
    <row r="2140" spans="1:18" ht="12.75">
      <c r="A2140" s="12"/>
      <c r="D2140" s="12"/>
      <c r="E2140" s="12"/>
      <c r="H2140" s="11" t="str">
        <f ca="1">IFERROR(__xludf.DUMMYFUNCTION("IFERROR(SUBSTITUTE(SUBSTITUTE(REGEXEXTRACT(A2140, ""[^-]+- [^-]+- [^-]+ - (.+?)\.jpg""), "".jpg"", """"), ""-"", "", ""), """")"),"")</f>
        <v/>
      </c>
      <c r="L2140" s="12"/>
      <c r="M2140" s="13"/>
      <c r="N2140" s="2"/>
      <c r="O2140" s="20"/>
      <c r="P2140" s="42"/>
      <c r="R2140" s="23"/>
    </row>
    <row r="2141" spans="1:18" ht="12.75">
      <c r="A2141" s="12"/>
      <c r="D2141" s="12"/>
      <c r="E2141" s="12"/>
      <c r="H2141" s="11" t="str">
        <f ca="1">IFERROR(__xludf.DUMMYFUNCTION("IFERROR(SUBSTITUTE(SUBSTITUTE(REGEXEXTRACT(A2141, ""[^-]+- [^-]+- [^-]+ - (.+?)\.jpg""), "".jpg"", """"), ""-"", "", ""), """")"),"")</f>
        <v/>
      </c>
      <c r="L2141" s="12"/>
      <c r="M2141" s="13"/>
      <c r="N2141" s="2"/>
      <c r="O2141" s="20"/>
      <c r="P2141" s="42"/>
      <c r="R2141" s="23"/>
    </row>
    <row r="2142" spans="1:18" ht="12.75">
      <c r="A2142" s="12"/>
      <c r="D2142" s="12"/>
      <c r="E2142" s="12"/>
      <c r="H2142" s="11" t="str">
        <f ca="1">IFERROR(__xludf.DUMMYFUNCTION("IFERROR(SUBSTITUTE(SUBSTITUTE(REGEXEXTRACT(A2142, ""[^-]+- [^-]+- [^-]+ - (.+?)\.jpg""), "".jpg"", """"), ""-"", "", ""), """")"),"")</f>
        <v/>
      </c>
      <c r="L2142" s="12"/>
      <c r="M2142" s="13"/>
      <c r="N2142" s="2"/>
      <c r="O2142" s="20"/>
      <c r="P2142" s="42"/>
      <c r="R2142" s="23"/>
    </row>
    <row r="2143" spans="1:18" ht="12.75">
      <c r="A2143" s="12"/>
      <c r="D2143" s="12"/>
      <c r="E2143" s="12"/>
      <c r="H2143" s="11" t="str">
        <f ca="1">IFERROR(__xludf.DUMMYFUNCTION("IFERROR(SUBSTITUTE(SUBSTITUTE(REGEXEXTRACT(A2143, ""[^-]+- [^-]+- [^-]+ - (.+?)\.jpg""), "".jpg"", """"), ""-"", "", ""), """")"),"")</f>
        <v/>
      </c>
      <c r="L2143" s="12"/>
      <c r="M2143" s="13"/>
      <c r="N2143" s="2"/>
      <c r="O2143" s="20"/>
      <c r="P2143" s="42"/>
      <c r="R2143" s="23"/>
    </row>
    <row r="2144" spans="1:18" ht="12.75">
      <c r="A2144" s="12"/>
      <c r="D2144" s="12"/>
      <c r="E2144" s="12"/>
      <c r="H2144" s="11" t="str">
        <f ca="1">IFERROR(__xludf.DUMMYFUNCTION("IFERROR(SUBSTITUTE(SUBSTITUTE(REGEXEXTRACT(A2144, ""[^-]+- [^-]+- [^-]+ - (.+?)\.jpg""), "".jpg"", """"), ""-"", "", ""), """")"),"")</f>
        <v/>
      </c>
      <c r="L2144" s="12"/>
      <c r="M2144" s="13"/>
      <c r="N2144" s="2"/>
      <c r="O2144" s="20"/>
      <c r="P2144" s="42"/>
      <c r="R2144" s="23"/>
    </row>
    <row r="2145" spans="1:18" ht="12.75">
      <c r="A2145" s="12"/>
      <c r="D2145" s="12"/>
      <c r="E2145" s="12"/>
      <c r="H2145" s="11" t="str">
        <f ca="1">IFERROR(__xludf.DUMMYFUNCTION("IFERROR(SUBSTITUTE(SUBSTITUTE(REGEXEXTRACT(A2145, ""[^-]+- [^-]+- [^-]+ - (.+?)\.jpg""), "".jpg"", """"), ""-"", "", ""), """")"),"")</f>
        <v/>
      </c>
      <c r="L2145" s="12"/>
      <c r="M2145" s="13"/>
      <c r="N2145" s="2"/>
      <c r="O2145" s="20"/>
      <c r="P2145" s="42"/>
      <c r="R2145" s="23"/>
    </row>
    <row r="2146" spans="1:18" ht="12.75">
      <c r="A2146" s="12"/>
      <c r="D2146" s="12"/>
      <c r="E2146" s="12"/>
      <c r="H2146" s="11" t="str">
        <f ca="1">IFERROR(__xludf.DUMMYFUNCTION("IFERROR(SUBSTITUTE(SUBSTITUTE(REGEXEXTRACT(A2146, ""[^-]+- [^-]+- [^-]+ - (.+?)\.jpg""), "".jpg"", """"), ""-"", "", ""), """")"),"")</f>
        <v/>
      </c>
      <c r="L2146" s="12"/>
      <c r="M2146" s="13"/>
      <c r="N2146" s="2"/>
      <c r="O2146" s="20"/>
      <c r="P2146" s="42"/>
      <c r="R2146" s="23"/>
    </row>
    <row r="2147" spans="1:18" ht="12.75">
      <c r="A2147" s="12"/>
      <c r="D2147" s="12"/>
      <c r="E2147" s="12"/>
      <c r="H2147" s="11" t="str">
        <f ca="1">IFERROR(__xludf.DUMMYFUNCTION("IFERROR(SUBSTITUTE(SUBSTITUTE(REGEXEXTRACT(A2147, ""[^-]+- [^-]+- [^-]+ - (.+?)\.jpg""), "".jpg"", """"), ""-"", "", ""), """")"),"")</f>
        <v/>
      </c>
      <c r="L2147" s="12"/>
      <c r="M2147" s="13"/>
      <c r="N2147" s="2"/>
      <c r="O2147" s="20"/>
      <c r="P2147" s="42"/>
      <c r="R2147" s="23"/>
    </row>
    <row r="2148" spans="1:18" ht="12.75">
      <c r="A2148" s="12"/>
      <c r="D2148" s="12"/>
      <c r="E2148" s="12"/>
      <c r="H2148" s="11" t="str">
        <f ca="1">IFERROR(__xludf.DUMMYFUNCTION("IFERROR(SUBSTITUTE(SUBSTITUTE(REGEXEXTRACT(A2148, ""[^-]+- [^-]+- [^-]+ - (.+?)\.jpg""), "".jpg"", """"), ""-"", "", ""), """")"),"")</f>
        <v/>
      </c>
      <c r="L2148" s="12"/>
      <c r="M2148" s="13"/>
      <c r="N2148" s="2"/>
      <c r="O2148" s="20"/>
      <c r="P2148" s="42"/>
      <c r="R2148" s="23"/>
    </row>
    <row r="2149" spans="1:18" ht="12.75">
      <c r="A2149" s="12"/>
      <c r="D2149" s="12"/>
      <c r="E2149" s="12"/>
      <c r="H2149" s="11" t="str">
        <f ca="1">IFERROR(__xludf.DUMMYFUNCTION("IFERROR(SUBSTITUTE(SUBSTITUTE(REGEXEXTRACT(A2149, ""[^-]+- [^-]+- [^-]+ - (.+?)\.jpg""), "".jpg"", """"), ""-"", "", ""), """")"),"")</f>
        <v/>
      </c>
      <c r="L2149" s="12"/>
      <c r="M2149" s="13"/>
      <c r="N2149" s="2"/>
      <c r="O2149" s="20"/>
      <c r="P2149" s="42"/>
      <c r="R2149" s="23"/>
    </row>
    <row r="2150" spans="1:18" ht="12.75">
      <c r="A2150" s="12"/>
      <c r="D2150" s="12"/>
      <c r="E2150" s="12"/>
      <c r="H2150" s="11" t="str">
        <f ca="1">IFERROR(__xludf.DUMMYFUNCTION("IFERROR(SUBSTITUTE(SUBSTITUTE(REGEXEXTRACT(A2150, ""[^-]+- [^-]+- [^-]+ - (.+?)\.jpg""), "".jpg"", """"), ""-"", "", ""), """")"),"")</f>
        <v/>
      </c>
      <c r="L2150" s="12"/>
      <c r="M2150" s="13"/>
      <c r="N2150" s="2"/>
      <c r="O2150" s="20"/>
      <c r="P2150" s="42"/>
      <c r="R2150" s="23"/>
    </row>
    <row r="2151" spans="1:18" ht="12.75">
      <c r="A2151" s="12"/>
      <c r="D2151" s="12"/>
      <c r="E2151" s="12"/>
      <c r="H2151" s="11" t="str">
        <f ca="1">IFERROR(__xludf.DUMMYFUNCTION("IFERROR(SUBSTITUTE(SUBSTITUTE(REGEXEXTRACT(A2151, ""[^-]+- [^-]+- [^-]+ - (.+?)\.jpg""), "".jpg"", """"), ""-"", "", ""), """")"),"")</f>
        <v/>
      </c>
      <c r="L2151" s="12"/>
      <c r="M2151" s="13"/>
      <c r="N2151" s="2"/>
      <c r="O2151" s="20"/>
      <c r="P2151" s="42"/>
      <c r="R2151" s="23"/>
    </row>
    <row r="2152" spans="1:18" ht="12.75">
      <c r="A2152" s="12"/>
      <c r="D2152" s="12"/>
      <c r="E2152" s="12"/>
      <c r="H2152" s="11" t="str">
        <f ca="1">IFERROR(__xludf.DUMMYFUNCTION("IFERROR(SUBSTITUTE(SUBSTITUTE(REGEXEXTRACT(A2152, ""[^-]+- [^-]+- [^-]+ - (.+?)\.jpg""), "".jpg"", """"), ""-"", "", ""), """")"),"")</f>
        <v/>
      </c>
      <c r="L2152" s="12"/>
      <c r="M2152" s="13"/>
      <c r="N2152" s="2"/>
      <c r="O2152" s="20"/>
      <c r="P2152" s="42"/>
      <c r="R2152" s="23"/>
    </row>
    <row r="2153" spans="1:18" ht="12.75">
      <c r="A2153" s="12"/>
      <c r="D2153" s="12"/>
      <c r="E2153" s="12"/>
      <c r="H2153" s="11" t="str">
        <f ca="1">IFERROR(__xludf.DUMMYFUNCTION("IFERROR(SUBSTITUTE(SUBSTITUTE(REGEXEXTRACT(A2153, ""[^-]+- [^-]+- [^-]+ - (.+?)\.jpg""), "".jpg"", """"), ""-"", "", ""), """")"),"")</f>
        <v/>
      </c>
      <c r="L2153" s="12"/>
      <c r="M2153" s="13"/>
      <c r="N2153" s="2"/>
      <c r="O2153" s="20"/>
      <c r="P2153" s="42"/>
      <c r="R2153" s="23"/>
    </row>
    <row r="2154" spans="1:18" ht="12.75">
      <c r="A2154" s="12"/>
      <c r="D2154" s="12"/>
      <c r="E2154" s="12"/>
      <c r="H2154" s="11" t="str">
        <f ca="1">IFERROR(__xludf.DUMMYFUNCTION("IFERROR(SUBSTITUTE(SUBSTITUTE(REGEXEXTRACT(A2154, ""[^-]+- [^-]+- [^-]+ - (.+?)\.jpg""), "".jpg"", """"), ""-"", "", ""), """")"),"")</f>
        <v/>
      </c>
      <c r="L2154" s="12"/>
      <c r="M2154" s="13"/>
      <c r="N2154" s="2"/>
      <c r="O2154" s="20"/>
      <c r="P2154" s="42"/>
      <c r="R2154" s="23"/>
    </row>
    <row r="2155" spans="1:18" ht="12.75">
      <c r="A2155" s="12"/>
      <c r="D2155" s="12"/>
      <c r="E2155" s="12"/>
      <c r="H2155" s="11" t="str">
        <f ca="1">IFERROR(__xludf.DUMMYFUNCTION("IFERROR(SUBSTITUTE(SUBSTITUTE(REGEXEXTRACT(A2155, ""[^-]+- [^-]+- [^-]+ - (.+?)\.jpg""), "".jpg"", """"), ""-"", "", ""), """")"),"")</f>
        <v/>
      </c>
      <c r="L2155" s="12"/>
      <c r="M2155" s="13"/>
      <c r="N2155" s="2"/>
      <c r="O2155" s="20"/>
      <c r="P2155" s="42"/>
      <c r="R2155" s="23"/>
    </row>
    <row r="2156" spans="1:18" ht="12.75">
      <c r="A2156" s="12"/>
      <c r="D2156" s="12"/>
      <c r="E2156" s="12"/>
      <c r="H2156" s="11" t="str">
        <f ca="1">IFERROR(__xludf.DUMMYFUNCTION("IFERROR(SUBSTITUTE(SUBSTITUTE(REGEXEXTRACT(A2156, ""[^-]+- [^-]+- [^-]+ - (.+?)\.jpg""), "".jpg"", """"), ""-"", "", ""), """")"),"")</f>
        <v/>
      </c>
      <c r="L2156" s="12"/>
      <c r="M2156" s="13"/>
      <c r="N2156" s="2"/>
      <c r="O2156" s="20"/>
      <c r="P2156" s="42"/>
      <c r="R2156" s="23"/>
    </row>
    <row r="2157" spans="1:18" ht="12.75">
      <c r="A2157" s="12"/>
      <c r="D2157" s="12"/>
      <c r="E2157" s="12"/>
      <c r="H2157" s="11" t="str">
        <f ca="1">IFERROR(__xludf.DUMMYFUNCTION("IFERROR(SUBSTITUTE(SUBSTITUTE(REGEXEXTRACT(A2157, ""[^-]+- [^-]+- [^-]+ - (.+?)\.jpg""), "".jpg"", """"), ""-"", "", ""), """")"),"")</f>
        <v/>
      </c>
      <c r="L2157" s="12"/>
      <c r="M2157" s="13"/>
      <c r="N2157" s="2"/>
      <c r="O2157" s="20"/>
      <c r="P2157" s="42"/>
      <c r="R2157" s="23"/>
    </row>
    <row r="2158" spans="1:18" ht="12.75">
      <c r="A2158" s="12"/>
      <c r="D2158" s="12"/>
      <c r="E2158" s="12"/>
      <c r="H2158" s="11" t="str">
        <f ca="1">IFERROR(__xludf.DUMMYFUNCTION("IFERROR(SUBSTITUTE(SUBSTITUTE(REGEXEXTRACT(A2158, ""[^-]+- [^-]+- [^-]+ - (.+?)\.jpg""), "".jpg"", """"), ""-"", "", ""), """")"),"")</f>
        <v/>
      </c>
      <c r="L2158" s="12"/>
      <c r="M2158" s="13"/>
      <c r="N2158" s="2"/>
      <c r="O2158" s="20"/>
      <c r="P2158" s="42"/>
      <c r="R2158" s="23"/>
    </row>
    <row r="2159" spans="1:18" ht="12.75">
      <c r="A2159" s="12"/>
      <c r="D2159" s="12"/>
      <c r="E2159" s="12"/>
      <c r="H2159" s="11" t="str">
        <f ca="1">IFERROR(__xludf.DUMMYFUNCTION("IFERROR(SUBSTITUTE(SUBSTITUTE(REGEXEXTRACT(A2159, ""[^-]+- [^-]+- [^-]+ - (.+?)\.jpg""), "".jpg"", """"), ""-"", "", ""), """")"),"")</f>
        <v/>
      </c>
      <c r="L2159" s="12"/>
      <c r="M2159" s="13"/>
      <c r="N2159" s="2"/>
      <c r="O2159" s="20"/>
      <c r="P2159" s="42"/>
      <c r="R2159" s="23"/>
    </row>
    <row r="2160" spans="1:18" ht="12.75">
      <c r="A2160" s="12"/>
      <c r="D2160" s="12"/>
      <c r="E2160" s="12"/>
      <c r="H2160" s="11" t="str">
        <f ca="1">IFERROR(__xludf.DUMMYFUNCTION("IFERROR(SUBSTITUTE(SUBSTITUTE(REGEXEXTRACT(A2160, ""[^-]+- [^-]+- [^-]+ - (.+?)\.jpg""), "".jpg"", """"), ""-"", "", ""), """")"),"")</f>
        <v/>
      </c>
      <c r="L2160" s="12"/>
      <c r="M2160" s="13"/>
      <c r="N2160" s="2"/>
      <c r="O2160" s="20"/>
      <c r="P2160" s="42"/>
      <c r="R2160" s="23"/>
    </row>
    <row r="2161" spans="1:18" ht="12.75">
      <c r="A2161" s="12"/>
      <c r="D2161" s="12"/>
      <c r="E2161" s="12"/>
      <c r="H2161" s="11" t="str">
        <f ca="1">IFERROR(__xludf.DUMMYFUNCTION("IFERROR(SUBSTITUTE(SUBSTITUTE(REGEXEXTRACT(A2161, ""[^-]+- [^-]+- [^-]+ - (.+?)\.jpg""), "".jpg"", """"), ""-"", "", ""), """")"),"")</f>
        <v/>
      </c>
      <c r="L2161" s="12"/>
      <c r="M2161" s="13"/>
      <c r="N2161" s="2"/>
      <c r="O2161" s="20"/>
      <c r="P2161" s="42"/>
      <c r="R2161" s="23"/>
    </row>
    <row r="2162" spans="1:18" ht="12.75">
      <c r="A2162" s="12"/>
      <c r="D2162" s="12"/>
      <c r="E2162" s="12"/>
      <c r="H2162" s="11" t="str">
        <f ca="1">IFERROR(__xludf.DUMMYFUNCTION("IFERROR(SUBSTITUTE(SUBSTITUTE(REGEXEXTRACT(A2162, ""[^-]+- [^-]+- [^-]+ - (.+?)\.jpg""), "".jpg"", """"), ""-"", "", ""), """")"),"")</f>
        <v/>
      </c>
      <c r="L2162" s="12"/>
      <c r="M2162" s="13"/>
      <c r="N2162" s="2"/>
      <c r="O2162" s="20"/>
      <c r="P2162" s="42"/>
      <c r="R2162" s="23"/>
    </row>
    <row r="2163" spans="1:18" ht="12.75">
      <c r="A2163" s="12"/>
      <c r="D2163" s="12"/>
      <c r="E2163" s="12"/>
      <c r="H2163" s="11" t="str">
        <f ca="1">IFERROR(__xludf.DUMMYFUNCTION("IFERROR(SUBSTITUTE(SUBSTITUTE(REGEXEXTRACT(A2163, ""[^-]+- [^-]+- [^-]+ - (.+?)\.jpg""), "".jpg"", """"), ""-"", "", ""), """")"),"")</f>
        <v/>
      </c>
      <c r="L2163" s="12"/>
      <c r="M2163" s="13"/>
      <c r="N2163" s="2"/>
      <c r="O2163" s="20"/>
      <c r="P2163" s="42"/>
      <c r="R2163" s="23"/>
    </row>
    <row r="2164" spans="1:18" ht="12.75">
      <c r="A2164" s="12"/>
      <c r="D2164" s="12"/>
      <c r="E2164" s="12"/>
      <c r="H2164" s="11" t="str">
        <f ca="1">IFERROR(__xludf.DUMMYFUNCTION("IFERROR(SUBSTITUTE(SUBSTITUTE(REGEXEXTRACT(A2164, ""[^-]+- [^-]+- [^-]+ - (.+?)\.jpg""), "".jpg"", """"), ""-"", "", ""), """")"),"")</f>
        <v/>
      </c>
      <c r="L2164" s="12"/>
      <c r="M2164" s="13"/>
      <c r="N2164" s="2"/>
      <c r="O2164" s="20"/>
      <c r="P2164" s="42"/>
      <c r="R2164" s="23"/>
    </row>
    <row r="2165" spans="1:18" ht="12.75">
      <c r="A2165" s="12"/>
      <c r="D2165" s="12"/>
      <c r="E2165" s="12"/>
      <c r="H2165" s="11" t="str">
        <f ca="1">IFERROR(__xludf.DUMMYFUNCTION("IFERROR(SUBSTITUTE(SUBSTITUTE(REGEXEXTRACT(A2165, ""[^-]+- [^-]+- [^-]+ - (.+?)\.jpg""), "".jpg"", """"), ""-"", "", ""), """")"),"")</f>
        <v/>
      </c>
      <c r="L2165" s="12"/>
      <c r="M2165" s="13"/>
      <c r="N2165" s="2"/>
      <c r="O2165" s="20"/>
      <c r="P2165" s="42"/>
      <c r="R2165" s="23"/>
    </row>
    <row r="2166" spans="1:18" ht="12.75">
      <c r="A2166" s="12"/>
      <c r="D2166" s="12"/>
      <c r="E2166" s="12"/>
      <c r="H2166" s="11" t="str">
        <f ca="1">IFERROR(__xludf.DUMMYFUNCTION("IFERROR(SUBSTITUTE(SUBSTITUTE(REGEXEXTRACT(A2166, ""[^-]+- [^-]+- [^-]+ - (.+?)\.jpg""), "".jpg"", """"), ""-"", "", ""), """")"),"")</f>
        <v/>
      </c>
      <c r="L2166" s="12"/>
      <c r="M2166" s="13"/>
      <c r="N2166" s="2"/>
      <c r="O2166" s="20"/>
      <c r="P2166" s="42"/>
      <c r="R2166" s="23"/>
    </row>
    <row r="2167" spans="1:18" ht="12.75">
      <c r="A2167" s="12"/>
      <c r="D2167" s="12"/>
      <c r="E2167" s="12"/>
      <c r="H2167" s="11" t="str">
        <f ca="1">IFERROR(__xludf.DUMMYFUNCTION("IFERROR(SUBSTITUTE(SUBSTITUTE(REGEXEXTRACT(A2167, ""[^-]+- [^-]+- [^-]+ - (.+?)\.jpg""), "".jpg"", """"), ""-"", "", ""), """")"),"")</f>
        <v/>
      </c>
      <c r="L2167" s="12"/>
      <c r="M2167" s="13"/>
      <c r="N2167" s="2"/>
      <c r="O2167" s="20"/>
      <c r="P2167" s="42"/>
      <c r="R2167" s="23"/>
    </row>
    <row r="2168" spans="1:18" ht="12.75">
      <c r="A2168" s="12"/>
      <c r="D2168" s="12"/>
      <c r="E2168" s="12"/>
      <c r="H2168" s="11" t="str">
        <f ca="1">IFERROR(__xludf.DUMMYFUNCTION("IFERROR(SUBSTITUTE(SUBSTITUTE(REGEXEXTRACT(A2168, ""[^-]+- [^-]+- [^-]+ - (.+?)\.jpg""), "".jpg"", """"), ""-"", "", ""), """")"),"")</f>
        <v/>
      </c>
      <c r="L2168" s="12"/>
      <c r="M2168" s="13"/>
      <c r="N2168" s="2"/>
      <c r="O2168" s="20"/>
      <c r="P2168" s="42"/>
      <c r="R2168" s="23"/>
    </row>
    <row r="2169" spans="1:18" ht="12.75">
      <c r="A2169" s="12"/>
      <c r="D2169" s="12"/>
      <c r="E2169" s="12"/>
      <c r="H2169" s="11" t="str">
        <f ca="1">IFERROR(__xludf.DUMMYFUNCTION("IFERROR(SUBSTITUTE(SUBSTITUTE(REGEXEXTRACT(A2169, ""[^-]+- [^-]+- [^-]+ - (.+?)\.jpg""), "".jpg"", """"), ""-"", "", ""), """")"),"")</f>
        <v/>
      </c>
      <c r="L2169" s="12"/>
      <c r="M2169" s="13"/>
      <c r="N2169" s="2"/>
      <c r="O2169" s="20"/>
      <c r="P2169" s="42"/>
      <c r="R2169" s="23"/>
    </row>
    <row r="2170" spans="1:18" ht="12.75">
      <c r="A2170" s="12"/>
      <c r="D2170" s="12"/>
      <c r="E2170" s="12"/>
      <c r="H2170" s="11" t="str">
        <f ca="1">IFERROR(__xludf.DUMMYFUNCTION("IFERROR(SUBSTITUTE(SUBSTITUTE(REGEXEXTRACT(A2170, ""[^-]+- [^-]+- [^-]+ - (.+?)\.jpg""), "".jpg"", """"), ""-"", "", ""), """")"),"")</f>
        <v/>
      </c>
      <c r="L2170" s="12"/>
      <c r="M2170" s="13"/>
      <c r="N2170" s="2"/>
      <c r="O2170" s="20"/>
      <c r="P2170" s="42"/>
      <c r="R2170" s="23"/>
    </row>
    <row r="2171" spans="1:18" ht="12.75">
      <c r="A2171" s="12"/>
      <c r="D2171" s="12"/>
      <c r="E2171" s="12"/>
      <c r="H2171" s="11" t="str">
        <f ca="1">IFERROR(__xludf.DUMMYFUNCTION("IFERROR(SUBSTITUTE(SUBSTITUTE(REGEXEXTRACT(A2171, ""[^-]+- [^-]+- [^-]+ - (.+?)\.jpg""), "".jpg"", """"), ""-"", "", ""), """")"),"")</f>
        <v/>
      </c>
      <c r="L2171" s="12"/>
      <c r="M2171" s="13"/>
      <c r="N2171" s="2"/>
      <c r="O2171" s="20"/>
      <c r="P2171" s="42"/>
      <c r="R2171" s="23"/>
    </row>
    <row r="2172" spans="1:18" ht="12.75">
      <c r="A2172" s="12"/>
      <c r="D2172" s="12"/>
      <c r="E2172" s="12"/>
      <c r="H2172" s="11" t="str">
        <f ca="1">IFERROR(__xludf.DUMMYFUNCTION("IFERROR(SUBSTITUTE(SUBSTITUTE(REGEXEXTRACT(A2172, ""[^-]+- [^-]+- [^-]+ - (.+?)\.jpg""), "".jpg"", """"), ""-"", "", ""), """")"),"")</f>
        <v/>
      </c>
      <c r="L2172" s="12"/>
      <c r="M2172" s="13"/>
      <c r="N2172" s="2"/>
      <c r="O2172" s="20"/>
      <c r="P2172" s="42"/>
      <c r="R2172" s="23"/>
    </row>
    <row r="2173" spans="1:18" ht="12.75">
      <c r="A2173" s="12"/>
      <c r="D2173" s="12"/>
      <c r="E2173" s="12"/>
      <c r="H2173" s="11" t="str">
        <f ca="1">IFERROR(__xludf.DUMMYFUNCTION("IFERROR(SUBSTITUTE(SUBSTITUTE(REGEXEXTRACT(A2173, ""[^-]+- [^-]+- [^-]+ - (.+?)\.jpg""), "".jpg"", """"), ""-"", "", ""), """")"),"")</f>
        <v/>
      </c>
      <c r="L2173" s="12"/>
      <c r="M2173" s="13"/>
      <c r="N2173" s="2"/>
      <c r="O2173" s="20"/>
      <c r="P2173" s="42"/>
      <c r="R2173" s="23"/>
    </row>
    <row r="2174" spans="1:18" ht="12.75">
      <c r="A2174" s="12"/>
      <c r="D2174" s="12"/>
      <c r="E2174" s="12"/>
      <c r="H2174" s="11" t="str">
        <f ca="1">IFERROR(__xludf.DUMMYFUNCTION("IFERROR(SUBSTITUTE(SUBSTITUTE(REGEXEXTRACT(A2174, ""[^-]+- [^-]+- [^-]+ - (.+?)\.jpg""), "".jpg"", """"), ""-"", "", ""), """")"),"")</f>
        <v/>
      </c>
      <c r="L2174" s="12"/>
      <c r="M2174" s="13"/>
      <c r="N2174" s="2"/>
      <c r="O2174" s="20"/>
      <c r="P2174" s="42"/>
      <c r="R2174" s="23"/>
    </row>
    <row r="2175" spans="1:18" ht="12.75">
      <c r="A2175" s="12"/>
      <c r="D2175" s="12"/>
      <c r="E2175" s="12"/>
      <c r="H2175" s="11" t="str">
        <f ca="1">IFERROR(__xludf.DUMMYFUNCTION("IFERROR(SUBSTITUTE(SUBSTITUTE(REGEXEXTRACT(A2175, ""[^-]+- [^-]+- [^-]+ - (.+?)\.jpg""), "".jpg"", """"), ""-"", "", ""), """")"),"")</f>
        <v/>
      </c>
      <c r="L2175" s="12"/>
      <c r="M2175" s="13"/>
      <c r="N2175" s="2"/>
      <c r="O2175" s="20"/>
      <c r="P2175" s="42"/>
      <c r="R2175" s="23"/>
    </row>
    <row r="2176" spans="1:18" ht="12.75">
      <c r="A2176" s="12"/>
      <c r="D2176" s="12"/>
      <c r="E2176" s="12"/>
      <c r="H2176" s="11" t="str">
        <f ca="1">IFERROR(__xludf.DUMMYFUNCTION("IFERROR(SUBSTITUTE(SUBSTITUTE(REGEXEXTRACT(A2176, ""[^-]+- [^-]+- [^-]+ - (.+?)\.jpg""), "".jpg"", """"), ""-"", "", ""), """")"),"")</f>
        <v/>
      </c>
      <c r="L2176" s="12"/>
      <c r="M2176" s="13"/>
      <c r="N2176" s="2"/>
      <c r="O2176" s="20"/>
      <c r="P2176" s="42"/>
      <c r="R2176" s="23"/>
    </row>
    <row r="2177" spans="1:18" ht="12.75">
      <c r="A2177" s="12"/>
      <c r="D2177" s="12"/>
      <c r="E2177" s="12"/>
      <c r="H2177" s="11" t="str">
        <f ca="1">IFERROR(__xludf.DUMMYFUNCTION("IFERROR(SUBSTITUTE(SUBSTITUTE(REGEXEXTRACT(A2177, ""[^-]+- [^-]+- [^-]+ - (.+?)\.jpg""), "".jpg"", """"), ""-"", "", ""), """")"),"")</f>
        <v/>
      </c>
      <c r="L2177" s="12"/>
      <c r="M2177" s="13"/>
      <c r="N2177" s="2"/>
      <c r="O2177" s="20"/>
      <c r="P2177" s="42"/>
      <c r="R2177" s="23"/>
    </row>
    <row r="2178" spans="1:18" ht="12.75">
      <c r="A2178" s="12"/>
      <c r="D2178" s="12"/>
      <c r="E2178" s="12"/>
      <c r="H2178" s="11" t="str">
        <f ca="1">IFERROR(__xludf.DUMMYFUNCTION("IFERROR(SUBSTITUTE(SUBSTITUTE(REGEXEXTRACT(A2178, ""[^-]+- [^-]+- [^-]+ - (.+?)\.jpg""), "".jpg"", """"), ""-"", "", ""), """")"),"")</f>
        <v/>
      </c>
      <c r="L2178" s="12"/>
      <c r="M2178" s="13"/>
      <c r="N2178" s="2"/>
      <c r="O2178" s="20"/>
      <c r="P2178" s="42"/>
      <c r="R2178" s="23"/>
    </row>
    <row r="2179" spans="1:18" ht="12.75">
      <c r="A2179" s="12"/>
      <c r="D2179" s="12"/>
      <c r="E2179" s="12"/>
      <c r="H2179" s="11" t="str">
        <f ca="1">IFERROR(__xludf.DUMMYFUNCTION("IFERROR(SUBSTITUTE(SUBSTITUTE(REGEXEXTRACT(A2179, ""[^-]+- [^-]+- [^-]+ - (.+?)\.jpg""), "".jpg"", """"), ""-"", "", ""), """")"),"")</f>
        <v/>
      </c>
      <c r="L2179" s="12"/>
      <c r="M2179" s="13"/>
      <c r="N2179" s="2"/>
      <c r="O2179" s="20"/>
      <c r="P2179" s="42"/>
      <c r="R2179" s="23"/>
    </row>
    <row r="2180" spans="1:18" ht="12.75">
      <c r="A2180" s="12"/>
      <c r="D2180" s="12"/>
      <c r="E2180" s="12"/>
      <c r="H2180" s="11" t="str">
        <f ca="1">IFERROR(__xludf.DUMMYFUNCTION("IFERROR(SUBSTITUTE(SUBSTITUTE(REGEXEXTRACT(A2180, ""[^-]+- [^-]+- [^-]+ - (.+?)\.jpg""), "".jpg"", """"), ""-"", "", ""), """")"),"")</f>
        <v/>
      </c>
      <c r="L2180" s="12"/>
      <c r="M2180" s="13"/>
      <c r="N2180" s="2"/>
      <c r="O2180" s="20"/>
      <c r="P2180" s="42"/>
      <c r="R2180" s="23"/>
    </row>
    <row r="2181" spans="1:18" ht="12.75">
      <c r="A2181" s="12"/>
      <c r="D2181" s="12"/>
      <c r="E2181" s="12"/>
      <c r="H2181" s="11" t="str">
        <f ca="1">IFERROR(__xludf.DUMMYFUNCTION("IFERROR(SUBSTITUTE(SUBSTITUTE(REGEXEXTRACT(A2181, ""[^-]+- [^-]+- [^-]+ - (.+?)\.jpg""), "".jpg"", """"), ""-"", "", ""), """")"),"")</f>
        <v/>
      </c>
      <c r="L2181" s="12"/>
      <c r="M2181" s="13"/>
      <c r="N2181" s="2"/>
      <c r="O2181" s="20"/>
      <c r="P2181" s="42"/>
      <c r="R2181" s="23"/>
    </row>
    <row r="2182" spans="1:18" ht="12.75">
      <c r="A2182" s="12"/>
      <c r="D2182" s="12"/>
      <c r="E2182" s="12"/>
      <c r="H2182" s="11" t="str">
        <f ca="1">IFERROR(__xludf.DUMMYFUNCTION("IFERROR(SUBSTITUTE(SUBSTITUTE(REGEXEXTRACT(A2182, ""[^-]+- [^-]+- [^-]+ - (.+?)\.jpg""), "".jpg"", """"), ""-"", "", ""), """")"),"")</f>
        <v/>
      </c>
      <c r="L2182" s="12"/>
      <c r="M2182" s="13"/>
      <c r="N2182" s="2"/>
      <c r="O2182" s="20"/>
      <c r="P2182" s="42"/>
      <c r="R2182" s="23"/>
    </row>
    <row r="2183" spans="1:18" ht="12.75">
      <c r="A2183" s="12"/>
      <c r="D2183" s="12"/>
      <c r="E2183" s="12"/>
      <c r="H2183" s="11" t="str">
        <f ca="1">IFERROR(__xludf.DUMMYFUNCTION("IFERROR(SUBSTITUTE(SUBSTITUTE(REGEXEXTRACT(A2183, ""[^-]+- [^-]+- [^-]+ - (.+?)\.jpg""), "".jpg"", """"), ""-"", "", ""), """")"),"")</f>
        <v/>
      </c>
      <c r="L2183" s="12"/>
      <c r="M2183" s="13"/>
      <c r="N2183" s="2"/>
      <c r="O2183" s="20"/>
      <c r="P2183" s="42"/>
      <c r="R2183" s="23"/>
    </row>
    <row r="2184" spans="1:18" ht="12.75">
      <c r="A2184" s="12"/>
      <c r="D2184" s="12"/>
      <c r="E2184" s="12"/>
      <c r="H2184" s="11" t="str">
        <f ca="1">IFERROR(__xludf.DUMMYFUNCTION("IFERROR(SUBSTITUTE(SUBSTITUTE(REGEXEXTRACT(A2184, ""[^-]+- [^-]+- [^-]+ - (.+?)\.jpg""), "".jpg"", """"), ""-"", "", ""), """")"),"")</f>
        <v/>
      </c>
      <c r="L2184" s="12"/>
      <c r="M2184" s="13"/>
      <c r="N2184" s="2"/>
      <c r="O2184" s="20"/>
      <c r="P2184" s="42"/>
      <c r="R2184" s="23"/>
    </row>
    <row r="2185" spans="1:18" ht="12.75">
      <c r="A2185" s="12"/>
      <c r="D2185" s="12"/>
      <c r="E2185" s="12"/>
      <c r="H2185" s="11" t="str">
        <f ca="1">IFERROR(__xludf.DUMMYFUNCTION("IFERROR(SUBSTITUTE(SUBSTITUTE(REGEXEXTRACT(A2185, ""[^-]+- [^-]+- [^-]+ - (.+?)\.jpg""), "".jpg"", """"), ""-"", "", ""), """")"),"")</f>
        <v/>
      </c>
      <c r="L2185" s="12"/>
      <c r="M2185" s="13"/>
      <c r="N2185" s="2"/>
      <c r="O2185" s="20"/>
      <c r="P2185" s="42"/>
      <c r="R2185" s="23"/>
    </row>
    <row r="2186" spans="1:18" ht="12.75">
      <c r="A2186" s="12"/>
      <c r="D2186" s="12"/>
      <c r="E2186" s="12"/>
      <c r="H2186" s="11" t="str">
        <f ca="1">IFERROR(__xludf.DUMMYFUNCTION("IFERROR(SUBSTITUTE(SUBSTITUTE(REGEXEXTRACT(A2186, ""[^-]+- [^-]+- [^-]+ - (.+?)\.jpg""), "".jpg"", """"), ""-"", "", ""), """")"),"")</f>
        <v/>
      </c>
      <c r="L2186" s="12"/>
      <c r="M2186" s="13"/>
      <c r="N2186" s="2"/>
      <c r="O2186" s="20"/>
      <c r="P2186" s="42"/>
      <c r="R2186" s="23"/>
    </row>
    <row r="2187" spans="1:18" ht="12.75">
      <c r="A2187" s="12"/>
      <c r="D2187" s="12"/>
      <c r="E2187" s="12"/>
      <c r="H2187" s="11" t="str">
        <f ca="1">IFERROR(__xludf.DUMMYFUNCTION("IFERROR(SUBSTITUTE(SUBSTITUTE(REGEXEXTRACT(A2187, ""[^-]+- [^-]+- [^-]+ - (.+?)\.jpg""), "".jpg"", """"), ""-"", "", ""), """")"),"")</f>
        <v/>
      </c>
      <c r="L2187" s="12"/>
      <c r="M2187" s="13"/>
      <c r="N2187" s="2"/>
      <c r="O2187" s="20"/>
      <c r="P2187" s="42"/>
      <c r="R2187" s="23"/>
    </row>
    <row r="2188" spans="1:18" ht="12.75">
      <c r="A2188" s="12"/>
      <c r="D2188" s="12"/>
      <c r="E2188" s="12"/>
      <c r="H2188" s="11" t="str">
        <f ca="1">IFERROR(__xludf.DUMMYFUNCTION("IFERROR(SUBSTITUTE(SUBSTITUTE(REGEXEXTRACT(A2188, ""[^-]+- [^-]+- [^-]+ - (.+?)\.jpg""), "".jpg"", """"), ""-"", "", ""), """")"),"")</f>
        <v/>
      </c>
      <c r="L2188" s="12"/>
      <c r="M2188" s="13"/>
      <c r="N2188" s="2"/>
      <c r="O2188" s="20"/>
      <c r="P2188" s="42"/>
      <c r="R2188" s="23"/>
    </row>
    <row r="2189" spans="1:18" ht="12.75">
      <c r="A2189" s="12"/>
      <c r="D2189" s="12"/>
      <c r="E2189" s="12"/>
      <c r="H2189" s="11" t="str">
        <f ca="1">IFERROR(__xludf.DUMMYFUNCTION("IFERROR(SUBSTITUTE(SUBSTITUTE(REGEXEXTRACT(A2189, ""[^-]+- [^-]+- [^-]+ - (.+?)\.jpg""), "".jpg"", """"), ""-"", "", ""), """")"),"")</f>
        <v/>
      </c>
      <c r="L2189" s="12"/>
      <c r="M2189" s="13"/>
      <c r="N2189" s="2"/>
      <c r="O2189" s="20"/>
      <c r="P2189" s="42"/>
      <c r="R2189" s="23"/>
    </row>
    <row r="2190" spans="1:18" ht="12.75">
      <c r="A2190" s="12"/>
      <c r="D2190" s="12"/>
      <c r="E2190" s="12"/>
      <c r="H2190" s="11" t="str">
        <f ca="1">IFERROR(__xludf.DUMMYFUNCTION("IFERROR(SUBSTITUTE(SUBSTITUTE(REGEXEXTRACT(A2190, ""[^-]+- [^-]+- [^-]+ - (.+?)\.jpg""), "".jpg"", """"), ""-"", "", ""), """")"),"")</f>
        <v/>
      </c>
      <c r="L2190" s="12"/>
      <c r="M2190" s="13"/>
      <c r="N2190" s="2"/>
      <c r="O2190" s="20"/>
      <c r="P2190" s="42"/>
      <c r="R2190" s="23"/>
    </row>
    <row r="2191" spans="1:18" ht="12.75">
      <c r="A2191" s="12"/>
      <c r="D2191" s="12"/>
      <c r="E2191" s="12"/>
      <c r="H2191" s="11" t="str">
        <f ca="1">IFERROR(__xludf.DUMMYFUNCTION("IFERROR(SUBSTITUTE(SUBSTITUTE(REGEXEXTRACT(A2191, ""[^-]+- [^-]+- [^-]+ - (.+?)\.jpg""), "".jpg"", """"), ""-"", "", ""), """")"),"")</f>
        <v/>
      </c>
      <c r="L2191" s="12"/>
      <c r="M2191" s="13"/>
      <c r="N2191" s="2"/>
      <c r="O2191" s="20"/>
      <c r="P2191" s="42"/>
      <c r="R2191" s="23"/>
    </row>
    <row r="2192" spans="1:18" ht="12.75">
      <c r="A2192" s="12"/>
      <c r="D2192" s="12"/>
      <c r="E2192" s="12"/>
      <c r="H2192" s="11" t="str">
        <f ca="1">IFERROR(__xludf.DUMMYFUNCTION("IFERROR(SUBSTITUTE(SUBSTITUTE(REGEXEXTRACT(A2192, ""[^-]+- [^-]+- [^-]+ - (.+?)\.jpg""), "".jpg"", """"), ""-"", "", ""), """")"),"")</f>
        <v/>
      </c>
      <c r="L2192" s="12"/>
      <c r="M2192" s="13"/>
      <c r="N2192" s="2"/>
      <c r="O2192" s="20"/>
      <c r="P2192" s="42"/>
      <c r="R2192" s="23"/>
    </row>
    <row r="2193" spans="1:18" ht="12.75">
      <c r="A2193" s="12"/>
      <c r="D2193" s="12"/>
      <c r="E2193" s="12"/>
      <c r="H2193" s="11" t="str">
        <f ca="1">IFERROR(__xludf.DUMMYFUNCTION("IFERROR(SUBSTITUTE(SUBSTITUTE(REGEXEXTRACT(A2193, ""[^-]+- [^-]+- [^-]+ - (.+?)\.jpg""), "".jpg"", """"), ""-"", "", ""), """")"),"")</f>
        <v/>
      </c>
      <c r="L2193" s="12"/>
      <c r="M2193" s="13"/>
      <c r="N2193" s="2"/>
      <c r="O2193" s="20"/>
      <c r="P2193" s="42"/>
      <c r="R2193" s="23"/>
    </row>
    <row r="2194" spans="1:18" ht="12.75">
      <c r="A2194" s="12"/>
      <c r="D2194" s="12"/>
      <c r="E2194" s="12"/>
      <c r="H2194" s="11" t="str">
        <f ca="1">IFERROR(__xludf.DUMMYFUNCTION("IFERROR(SUBSTITUTE(SUBSTITUTE(REGEXEXTRACT(A2194, ""[^-]+- [^-]+- [^-]+ - (.+?)\.jpg""), "".jpg"", """"), ""-"", "", ""), """")"),"")</f>
        <v/>
      </c>
      <c r="L2194" s="12"/>
      <c r="M2194" s="13"/>
      <c r="N2194" s="2"/>
      <c r="O2194" s="20"/>
      <c r="P2194" s="42"/>
      <c r="R2194" s="23"/>
    </row>
    <row r="2195" spans="1:18" ht="12.75">
      <c r="A2195" s="12"/>
      <c r="D2195" s="12"/>
      <c r="E2195" s="12"/>
      <c r="H2195" s="11" t="str">
        <f ca="1">IFERROR(__xludf.DUMMYFUNCTION("IFERROR(SUBSTITUTE(SUBSTITUTE(REGEXEXTRACT(A2195, ""[^-]+- [^-]+- [^-]+ - (.+?)\.jpg""), "".jpg"", """"), ""-"", "", ""), """")"),"")</f>
        <v/>
      </c>
      <c r="L2195" s="12"/>
      <c r="M2195" s="13"/>
      <c r="N2195" s="2"/>
      <c r="O2195" s="20"/>
      <c r="P2195" s="42"/>
      <c r="R2195" s="23"/>
    </row>
    <row r="2196" spans="1:18" ht="12.75">
      <c r="A2196" s="12"/>
      <c r="D2196" s="12"/>
      <c r="E2196" s="12"/>
      <c r="H2196" s="11" t="str">
        <f ca="1">IFERROR(__xludf.DUMMYFUNCTION("IFERROR(SUBSTITUTE(SUBSTITUTE(REGEXEXTRACT(A2196, ""[^-]+- [^-]+- [^-]+ - (.+?)\.jpg""), "".jpg"", """"), ""-"", "", ""), """")"),"")</f>
        <v/>
      </c>
      <c r="L2196" s="12"/>
      <c r="M2196" s="13"/>
      <c r="N2196" s="2"/>
      <c r="O2196" s="20"/>
      <c r="P2196" s="42"/>
      <c r="R2196" s="23"/>
    </row>
    <row r="2197" spans="1:18" ht="12.75">
      <c r="A2197" s="12"/>
      <c r="D2197" s="12"/>
      <c r="E2197" s="12"/>
      <c r="H2197" s="11" t="str">
        <f ca="1">IFERROR(__xludf.DUMMYFUNCTION("IFERROR(SUBSTITUTE(SUBSTITUTE(REGEXEXTRACT(A2197, ""[^-]+- [^-]+- [^-]+ - (.+?)\.jpg""), "".jpg"", """"), ""-"", "", ""), """")"),"")</f>
        <v/>
      </c>
      <c r="L2197" s="12"/>
      <c r="M2197" s="13"/>
      <c r="N2197" s="2"/>
      <c r="O2197" s="20"/>
      <c r="P2197" s="42"/>
      <c r="R2197" s="23"/>
    </row>
    <row r="2198" spans="1:18" ht="12.75">
      <c r="A2198" s="12"/>
      <c r="D2198" s="12"/>
      <c r="E2198" s="12"/>
      <c r="H2198" s="11" t="str">
        <f ca="1">IFERROR(__xludf.DUMMYFUNCTION("IFERROR(SUBSTITUTE(SUBSTITUTE(REGEXEXTRACT(A2198, ""[^-]+- [^-]+- [^-]+ - (.+?)\.jpg""), "".jpg"", """"), ""-"", "", ""), """")"),"")</f>
        <v/>
      </c>
      <c r="L2198" s="12"/>
      <c r="M2198" s="13"/>
      <c r="N2198" s="2"/>
      <c r="O2198" s="20"/>
      <c r="P2198" s="42"/>
      <c r="R2198" s="23"/>
    </row>
    <row r="2199" spans="1:18" ht="12.75">
      <c r="A2199" s="12"/>
      <c r="D2199" s="12"/>
      <c r="E2199" s="12"/>
      <c r="H2199" s="11" t="str">
        <f ca="1">IFERROR(__xludf.DUMMYFUNCTION("IFERROR(SUBSTITUTE(SUBSTITUTE(REGEXEXTRACT(A2199, ""[^-]+- [^-]+- [^-]+ - (.+?)\.jpg""), "".jpg"", """"), ""-"", "", ""), """")"),"")</f>
        <v/>
      </c>
      <c r="L2199" s="12"/>
      <c r="M2199" s="13"/>
      <c r="N2199" s="2"/>
      <c r="O2199" s="20"/>
      <c r="P2199" s="42"/>
      <c r="R2199" s="23"/>
    </row>
    <row r="2200" spans="1:18" ht="12.75">
      <c r="A2200" s="12"/>
      <c r="D2200" s="12"/>
      <c r="E2200" s="12"/>
      <c r="H2200" s="11" t="str">
        <f ca="1">IFERROR(__xludf.DUMMYFUNCTION("IFERROR(SUBSTITUTE(SUBSTITUTE(REGEXEXTRACT(A2200, ""[^-]+- [^-]+- [^-]+ - (.+?)\.jpg""), "".jpg"", """"), ""-"", "", ""), """")"),"")</f>
        <v/>
      </c>
      <c r="L2200" s="12"/>
      <c r="M2200" s="13"/>
      <c r="N2200" s="2"/>
      <c r="O2200" s="20"/>
      <c r="P2200" s="42"/>
      <c r="R2200" s="23"/>
    </row>
    <row r="2201" spans="1:18" ht="12.75">
      <c r="A2201" s="12"/>
      <c r="D2201" s="12"/>
      <c r="E2201" s="12"/>
      <c r="H2201" s="11" t="str">
        <f ca="1">IFERROR(__xludf.DUMMYFUNCTION("IFERROR(SUBSTITUTE(SUBSTITUTE(REGEXEXTRACT(A2201, ""[^-]+- [^-]+- [^-]+ - (.+?)\.jpg""), "".jpg"", """"), ""-"", "", ""), """")"),"")</f>
        <v/>
      </c>
      <c r="L2201" s="12"/>
      <c r="M2201" s="13"/>
      <c r="N2201" s="2"/>
      <c r="O2201" s="20"/>
      <c r="P2201" s="42"/>
      <c r="R2201" s="23"/>
    </row>
    <row r="2202" spans="1:18" ht="12.75">
      <c r="A2202" s="12"/>
      <c r="D2202" s="12"/>
      <c r="E2202" s="12"/>
      <c r="H2202" s="11" t="str">
        <f ca="1">IFERROR(__xludf.DUMMYFUNCTION("IFERROR(SUBSTITUTE(SUBSTITUTE(REGEXEXTRACT(A2202, ""[^-]+- [^-]+- [^-]+ - (.+?)\.jpg""), "".jpg"", """"), ""-"", "", ""), """")"),"")</f>
        <v/>
      </c>
      <c r="L2202" s="12"/>
      <c r="M2202" s="13"/>
      <c r="N2202" s="2"/>
      <c r="O2202" s="20"/>
      <c r="P2202" s="42"/>
      <c r="R2202" s="23"/>
    </row>
    <row r="2203" spans="1:18" ht="12.75">
      <c r="A2203" s="12"/>
      <c r="D2203" s="12"/>
      <c r="E2203" s="12"/>
      <c r="H2203" s="11" t="str">
        <f ca="1">IFERROR(__xludf.DUMMYFUNCTION("IFERROR(SUBSTITUTE(SUBSTITUTE(REGEXEXTRACT(A2203, ""[^-]+- [^-]+- [^-]+ - (.+?)\.jpg""), "".jpg"", """"), ""-"", "", ""), """")"),"")</f>
        <v/>
      </c>
      <c r="L2203" s="12"/>
      <c r="M2203" s="13"/>
      <c r="N2203" s="2"/>
      <c r="O2203" s="20"/>
      <c r="P2203" s="42"/>
      <c r="R2203" s="23"/>
    </row>
    <row r="2204" spans="1:18" ht="12.75">
      <c r="A2204" s="12"/>
      <c r="D2204" s="12"/>
      <c r="E2204" s="12"/>
      <c r="H2204" s="11" t="str">
        <f ca="1">IFERROR(__xludf.DUMMYFUNCTION("IFERROR(SUBSTITUTE(SUBSTITUTE(REGEXEXTRACT(A2204, ""[^-]+- [^-]+- [^-]+ - (.+?)\.jpg""), "".jpg"", """"), ""-"", "", ""), """")"),"")</f>
        <v/>
      </c>
      <c r="L2204" s="12"/>
      <c r="M2204" s="13"/>
      <c r="N2204" s="2"/>
      <c r="O2204" s="20"/>
      <c r="P2204" s="42"/>
      <c r="R2204" s="23"/>
    </row>
    <row r="2205" spans="1:18" ht="12.75">
      <c r="A2205" s="12"/>
      <c r="D2205" s="12"/>
      <c r="E2205" s="12"/>
      <c r="H2205" s="11" t="str">
        <f ca="1">IFERROR(__xludf.DUMMYFUNCTION("IFERROR(SUBSTITUTE(SUBSTITUTE(REGEXEXTRACT(A2205, ""[^-]+- [^-]+- [^-]+ - (.+?)\.jpg""), "".jpg"", """"), ""-"", "", ""), """")"),"")</f>
        <v/>
      </c>
      <c r="L2205" s="12"/>
      <c r="M2205" s="13"/>
      <c r="N2205" s="2"/>
      <c r="O2205" s="20"/>
      <c r="P2205" s="42"/>
      <c r="R2205" s="23"/>
    </row>
    <row r="2206" spans="1:18" ht="12.75">
      <c r="A2206" s="12"/>
      <c r="D2206" s="12"/>
      <c r="E2206" s="12"/>
      <c r="H2206" s="11" t="str">
        <f ca="1">IFERROR(__xludf.DUMMYFUNCTION("IFERROR(SUBSTITUTE(SUBSTITUTE(REGEXEXTRACT(A2206, ""[^-]+- [^-]+- [^-]+ - (.+?)\.jpg""), "".jpg"", """"), ""-"", "", ""), """")"),"")</f>
        <v/>
      </c>
      <c r="L2206" s="12"/>
      <c r="M2206" s="13"/>
      <c r="N2206" s="2"/>
      <c r="O2206" s="20"/>
      <c r="P2206" s="42"/>
      <c r="R2206" s="23"/>
    </row>
    <row r="2207" spans="1:18" ht="12.75">
      <c r="A2207" s="12"/>
      <c r="D2207" s="12"/>
      <c r="E2207" s="12"/>
      <c r="H2207" s="11" t="str">
        <f ca="1">IFERROR(__xludf.DUMMYFUNCTION("IFERROR(SUBSTITUTE(SUBSTITUTE(REGEXEXTRACT(A2207, ""[^-]+- [^-]+- [^-]+ - (.+?)\.jpg""), "".jpg"", """"), ""-"", "", ""), """")"),"")</f>
        <v/>
      </c>
      <c r="L2207" s="12"/>
      <c r="M2207" s="13"/>
      <c r="N2207" s="2"/>
      <c r="O2207" s="20"/>
      <c r="P2207" s="42"/>
      <c r="R2207" s="23"/>
    </row>
    <row r="2208" spans="1:18" ht="12.75">
      <c r="A2208" s="12"/>
      <c r="D2208" s="12"/>
      <c r="E2208" s="12"/>
      <c r="H2208" s="11" t="str">
        <f ca="1">IFERROR(__xludf.DUMMYFUNCTION("IFERROR(SUBSTITUTE(SUBSTITUTE(REGEXEXTRACT(A2208, ""[^-]+- [^-]+- [^-]+ - (.+?)\.jpg""), "".jpg"", """"), ""-"", "", ""), """")"),"")</f>
        <v/>
      </c>
      <c r="L2208" s="12"/>
      <c r="M2208" s="13"/>
      <c r="N2208" s="2"/>
      <c r="O2208" s="20"/>
      <c r="P2208" s="42"/>
      <c r="R2208" s="23"/>
    </row>
    <row r="2209" spans="1:18" ht="12.75">
      <c r="A2209" s="12"/>
      <c r="D2209" s="12"/>
      <c r="E2209" s="12"/>
      <c r="H2209" s="11" t="str">
        <f ca="1">IFERROR(__xludf.DUMMYFUNCTION("IFERROR(SUBSTITUTE(SUBSTITUTE(REGEXEXTRACT(A2209, ""[^-]+- [^-]+- [^-]+ - (.+?)\.jpg""), "".jpg"", """"), ""-"", "", ""), """")"),"")</f>
        <v/>
      </c>
      <c r="L2209" s="12"/>
      <c r="M2209" s="13"/>
      <c r="N2209" s="2"/>
      <c r="O2209" s="20"/>
      <c r="P2209" s="42"/>
      <c r="R2209" s="23"/>
    </row>
    <row r="2210" spans="1:18" ht="12.75">
      <c r="A2210" s="12"/>
      <c r="D2210" s="12"/>
      <c r="E2210" s="12"/>
      <c r="H2210" s="11" t="str">
        <f ca="1">IFERROR(__xludf.DUMMYFUNCTION("IFERROR(SUBSTITUTE(SUBSTITUTE(REGEXEXTRACT(A2210, ""[^-]+- [^-]+- [^-]+ - (.+?)\.jpg""), "".jpg"", """"), ""-"", "", ""), """")"),"")</f>
        <v/>
      </c>
      <c r="L2210" s="12"/>
      <c r="M2210" s="13"/>
      <c r="N2210" s="2"/>
      <c r="O2210" s="20"/>
      <c r="P2210" s="42"/>
      <c r="R2210" s="23"/>
    </row>
    <row r="2211" spans="1:18" ht="12.75">
      <c r="A2211" s="12"/>
      <c r="D2211" s="12"/>
      <c r="E2211" s="12"/>
      <c r="H2211" s="11" t="str">
        <f ca="1">IFERROR(__xludf.DUMMYFUNCTION("IFERROR(SUBSTITUTE(SUBSTITUTE(REGEXEXTRACT(A2211, ""[^-]+- [^-]+- [^-]+ - (.+?)\.jpg""), "".jpg"", """"), ""-"", "", ""), """")"),"")</f>
        <v/>
      </c>
      <c r="L2211" s="12"/>
      <c r="M2211" s="13"/>
      <c r="N2211" s="2"/>
      <c r="O2211" s="20"/>
      <c r="P2211" s="42"/>
      <c r="R2211" s="23"/>
    </row>
    <row r="2212" spans="1:18" ht="12.75">
      <c r="A2212" s="12"/>
      <c r="D2212" s="12"/>
      <c r="E2212" s="12"/>
      <c r="H2212" s="11" t="str">
        <f ca="1">IFERROR(__xludf.DUMMYFUNCTION("IFERROR(SUBSTITUTE(SUBSTITUTE(REGEXEXTRACT(A2212, ""[^-]+- [^-]+- [^-]+ - (.+?)\.jpg""), "".jpg"", """"), ""-"", "", ""), """")"),"")</f>
        <v/>
      </c>
      <c r="L2212" s="12"/>
      <c r="M2212" s="13"/>
      <c r="N2212" s="2"/>
      <c r="O2212" s="20"/>
      <c r="P2212" s="42"/>
      <c r="R2212" s="23"/>
    </row>
    <row r="2213" spans="1:18" ht="12.75">
      <c r="A2213" s="12"/>
      <c r="D2213" s="12"/>
      <c r="E2213" s="12"/>
      <c r="H2213" s="11" t="str">
        <f ca="1">IFERROR(__xludf.DUMMYFUNCTION("IFERROR(SUBSTITUTE(SUBSTITUTE(REGEXEXTRACT(A2213, ""[^-]+- [^-]+- [^-]+ - (.+?)\.jpg""), "".jpg"", """"), ""-"", "", ""), """")"),"")</f>
        <v/>
      </c>
      <c r="L2213" s="12"/>
      <c r="M2213" s="13"/>
      <c r="N2213" s="2"/>
      <c r="O2213" s="20"/>
      <c r="P2213" s="42"/>
      <c r="R2213" s="23"/>
    </row>
    <row r="2214" spans="1:18" ht="12.75">
      <c r="A2214" s="12"/>
      <c r="D2214" s="12"/>
      <c r="E2214" s="12"/>
      <c r="H2214" s="11" t="str">
        <f ca="1">IFERROR(__xludf.DUMMYFUNCTION("IFERROR(SUBSTITUTE(SUBSTITUTE(REGEXEXTRACT(A2214, ""[^-]+- [^-]+- [^-]+ - (.+?)\.jpg""), "".jpg"", """"), ""-"", "", ""), """")"),"")</f>
        <v/>
      </c>
      <c r="L2214" s="12"/>
      <c r="M2214" s="13"/>
      <c r="N2214" s="2"/>
      <c r="O2214" s="20"/>
      <c r="P2214" s="42"/>
      <c r="R2214" s="23"/>
    </row>
    <row r="2215" spans="1:18" ht="12.75">
      <c r="A2215" s="12"/>
      <c r="D2215" s="12"/>
      <c r="E2215" s="12"/>
      <c r="H2215" s="11" t="str">
        <f ca="1">IFERROR(__xludf.DUMMYFUNCTION("IFERROR(SUBSTITUTE(SUBSTITUTE(REGEXEXTRACT(A2215, ""[^-]+- [^-]+- [^-]+ - (.+?)\.jpg""), "".jpg"", """"), ""-"", "", ""), """")"),"")</f>
        <v/>
      </c>
      <c r="L2215" s="12"/>
      <c r="M2215" s="13"/>
      <c r="N2215" s="2"/>
      <c r="O2215" s="20"/>
      <c r="P2215" s="42"/>
      <c r="R2215" s="23"/>
    </row>
    <row r="2216" spans="1:18" ht="12.75">
      <c r="A2216" s="12"/>
      <c r="D2216" s="12"/>
      <c r="E2216" s="12"/>
      <c r="H2216" s="11" t="str">
        <f ca="1">IFERROR(__xludf.DUMMYFUNCTION("IFERROR(SUBSTITUTE(SUBSTITUTE(REGEXEXTRACT(A2216, ""[^-]+- [^-]+- [^-]+ - (.+?)\.jpg""), "".jpg"", """"), ""-"", "", ""), """")"),"")</f>
        <v/>
      </c>
      <c r="L2216" s="12"/>
      <c r="M2216" s="13"/>
      <c r="N2216" s="2"/>
      <c r="O2216" s="20"/>
      <c r="P2216" s="42"/>
      <c r="R2216" s="23"/>
    </row>
    <row r="2217" spans="1:18" ht="12.75">
      <c r="A2217" s="12"/>
      <c r="D2217" s="12"/>
      <c r="E2217" s="12"/>
      <c r="H2217" s="11" t="str">
        <f ca="1">IFERROR(__xludf.DUMMYFUNCTION("IFERROR(SUBSTITUTE(SUBSTITUTE(REGEXEXTRACT(A2217, ""[^-]+- [^-]+- [^-]+ - (.+?)\.jpg""), "".jpg"", """"), ""-"", "", ""), """")"),"")</f>
        <v/>
      </c>
      <c r="L2217" s="12"/>
      <c r="M2217" s="13"/>
      <c r="N2217" s="2"/>
      <c r="O2217" s="20"/>
      <c r="P2217" s="42"/>
      <c r="R2217" s="23"/>
    </row>
    <row r="2218" spans="1:18" ht="12.75">
      <c r="A2218" s="12"/>
      <c r="D2218" s="12"/>
      <c r="E2218" s="12"/>
      <c r="H2218" s="11" t="str">
        <f ca="1">IFERROR(__xludf.DUMMYFUNCTION("IFERROR(SUBSTITUTE(SUBSTITUTE(REGEXEXTRACT(A2218, ""[^-]+- [^-]+- [^-]+ - (.+?)\.jpg""), "".jpg"", """"), ""-"", "", ""), """")"),"")</f>
        <v/>
      </c>
      <c r="L2218" s="12"/>
      <c r="M2218" s="13"/>
      <c r="N2218" s="2"/>
      <c r="O2218" s="20"/>
      <c r="P2218" s="42"/>
      <c r="R2218" s="23"/>
    </row>
    <row r="2219" spans="1:18" ht="12.75">
      <c r="A2219" s="12"/>
      <c r="D2219" s="12"/>
      <c r="E2219" s="12"/>
      <c r="H2219" s="11" t="str">
        <f ca="1">IFERROR(__xludf.DUMMYFUNCTION("IFERROR(SUBSTITUTE(SUBSTITUTE(REGEXEXTRACT(A2219, ""[^-]+- [^-]+- [^-]+ - (.+?)\.jpg""), "".jpg"", """"), ""-"", "", ""), """")"),"")</f>
        <v/>
      </c>
      <c r="L2219" s="12"/>
      <c r="M2219" s="13"/>
      <c r="N2219" s="2"/>
      <c r="O2219" s="20"/>
      <c r="P2219" s="42"/>
      <c r="R2219" s="23"/>
    </row>
    <row r="2220" spans="1:18" ht="12.75">
      <c r="A2220" s="12"/>
      <c r="D2220" s="12"/>
      <c r="E2220" s="12"/>
      <c r="H2220" s="11" t="str">
        <f ca="1">IFERROR(__xludf.DUMMYFUNCTION("IFERROR(SUBSTITUTE(SUBSTITUTE(REGEXEXTRACT(A2220, ""[^-]+- [^-]+- [^-]+ - (.+?)\.jpg""), "".jpg"", """"), ""-"", "", ""), """")"),"")</f>
        <v/>
      </c>
      <c r="L2220" s="12"/>
      <c r="M2220" s="13"/>
      <c r="N2220" s="2"/>
      <c r="O2220" s="20"/>
      <c r="P2220" s="42"/>
      <c r="R2220" s="23"/>
    </row>
    <row r="2221" spans="1:18" ht="12.75">
      <c r="A2221" s="12"/>
      <c r="D2221" s="12"/>
      <c r="E2221" s="12"/>
      <c r="H2221" s="11" t="str">
        <f ca="1">IFERROR(__xludf.DUMMYFUNCTION("IFERROR(SUBSTITUTE(SUBSTITUTE(REGEXEXTRACT(A2221, ""[^-]+- [^-]+- [^-]+ - (.+?)\.jpg""), "".jpg"", """"), ""-"", "", ""), """")"),"")</f>
        <v/>
      </c>
      <c r="L2221" s="12"/>
      <c r="M2221" s="13"/>
      <c r="N2221" s="2"/>
      <c r="O2221" s="20"/>
      <c r="P2221" s="42"/>
      <c r="R2221" s="23"/>
    </row>
    <row r="2222" spans="1:18" ht="12.75">
      <c r="A2222" s="12"/>
      <c r="D2222" s="12"/>
      <c r="E2222" s="12"/>
      <c r="H2222" s="11" t="str">
        <f ca="1">IFERROR(__xludf.DUMMYFUNCTION("IFERROR(SUBSTITUTE(SUBSTITUTE(REGEXEXTRACT(A2222, ""[^-]+- [^-]+- [^-]+ - (.+?)\.jpg""), "".jpg"", """"), ""-"", "", ""), """")"),"")</f>
        <v/>
      </c>
      <c r="L2222" s="12"/>
      <c r="M2222" s="13"/>
      <c r="N2222" s="2"/>
      <c r="O2222" s="20"/>
      <c r="P2222" s="42"/>
      <c r="R2222" s="23"/>
    </row>
    <row r="2223" spans="1:18" ht="12.75">
      <c r="A2223" s="12"/>
      <c r="D2223" s="12"/>
      <c r="E2223" s="12"/>
      <c r="H2223" s="11" t="str">
        <f ca="1">IFERROR(__xludf.DUMMYFUNCTION("IFERROR(SUBSTITUTE(SUBSTITUTE(REGEXEXTRACT(A2223, ""[^-]+- [^-]+- [^-]+ - (.+?)\.jpg""), "".jpg"", """"), ""-"", "", ""), """")"),"")</f>
        <v/>
      </c>
      <c r="L2223" s="12"/>
      <c r="M2223" s="13"/>
      <c r="N2223" s="2"/>
      <c r="O2223" s="20"/>
      <c r="P2223" s="42"/>
      <c r="R2223" s="23"/>
    </row>
    <row r="2224" spans="1:18" ht="12.75">
      <c r="A2224" s="12"/>
      <c r="D2224" s="12"/>
      <c r="E2224" s="12"/>
      <c r="H2224" s="11" t="str">
        <f ca="1">IFERROR(__xludf.DUMMYFUNCTION("IFERROR(SUBSTITUTE(SUBSTITUTE(REGEXEXTRACT(A2224, ""[^-]+- [^-]+- [^-]+ - (.+?)\.jpg""), "".jpg"", """"), ""-"", "", ""), """")"),"")</f>
        <v/>
      </c>
      <c r="L2224" s="12"/>
      <c r="M2224" s="13"/>
      <c r="N2224" s="2"/>
      <c r="O2224" s="20"/>
      <c r="P2224" s="42"/>
      <c r="R2224" s="23"/>
    </row>
    <row r="2225" spans="1:18" ht="12.75">
      <c r="A2225" s="12"/>
      <c r="D2225" s="12"/>
      <c r="E2225" s="12"/>
      <c r="H2225" s="11" t="str">
        <f ca="1">IFERROR(__xludf.DUMMYFUNCTION("IFERROR(SUBSTITUTE(SUBSTITUTE(REGEXEXTRACT(A2225, ""[^-]+- [^-]+- [^-]+ - (.+?)\.jpg""), "".jpg"", """"), ""-"", "", ""), """")"),"")</f>
        <v/>
      </c>
      <c r="L2225" s="12"/>
      <c r="M2225" s="13"/>
      <c r="N2225" s="2"/>
      <c r="O2225" s="20"/>
      <c r="P2225" s="42"/>
      <c r="R2225" s="23"/>
    </row>
    <row r="2226" spans="1:18" ht="12.75">
      <c r="A2226" s="12"/>
      <c r="D2226" s="12"/>
      <c r="E2226" s="12"/>
      <c r="H2226" s="11" t="str">
        <f ca="1">IFERROR(__xludf.DUMMYFUNCTION("IFERROR(SUBSTITUTE(SUBSTITUTE(REGEXEXTRACT(A2226, ""[^-]+- [^-]+- [^-]+ - (.+?)\.jpg""), "".jpg"", """"), ""-"", "", ""), """")"),"")</f>
        <v/>
      </c>
      <c r="L2226" s="12"/>
      <c r="M2226" s="13"/>
      <c r="N2226" s="2"/>
      <c r="O2226" s="20"/>
      <c r="P2226" s="42"/>
      <c r="R2226" s="23"/>
    </row>
    <row r="2227" spans="1:18" ht="12.75">
      <c r="A2227" s="12"/>
      <c r="D2227" s="12"/>
      <c r="E2227" s="12"/>
      <c r="H2227" s="11" t="str">
        <f ca="1">IFERROR(__xludf.DUMMYFUNCTION("IFERROR(SUBSTITUTE(SUBSTITUTE(REGEXEXTRACT(A2227, ""[^-]+- [^-]+- [^-]+ - (.+?)\.jpg""), "".jpg"", """"), ""-"", "", ""), """")"),"")</f>
        <v/>
      </c>
      <c r="L2227" s="12"/>
      <c r="M2227" s="13"/>
      <c r="N2227" s="2"/>
      <c r="O2227" s="20"/>
      <c r="P2227" s="42"/>
      <c r="R2227" s="23"/>
    </row>
    <row r="2228" spans="1:18" ht="12.75">
      <c r="A2228" s="12"/>
      <c r="D2228" s="12"/>
      <c r="E2228" s="12"/>
      <c r="H2228" s="11" t="str">
        <f ca="1">IFERROR(__xludf.DUMMYFUNCTION("IFERROR(SUBSTITUTE(SUBSTITUTE(REGEXEXTRACT(A2228, ""[^-]+- [^-]+- [^-]+ - (.+?)\.jpg""), "".jpg"", """"), ""-"", "", ""), """")"),"")</f>
        <v/>
      </c>
      <c r="L2228" s="12"/>
      <c r="M2228" s="13"/>
      <c r="N2228" s="2"/>
      <c r="O2228" s="20"/>
      <c r="P2228" s="42"/>
      <c r="R2228" s="23"/>
    </row>
    <row r="2229" spans="1:18" ht="12.75">
      <c r="A2229" s="12"/>
      <c r="D2229" s="12"/>
      <c r="E2229" s="12"/>
      <c r="H2229" s="11" t="str">
        <f ca="1">IFERROR(__xludf.DUMMYFUNCTION("IFERROR(SUBSTITUTE(SUBSTITUTE(REGEXEXTRACT(A2229, ""[^-]+- [^-]+- [^-]+ - (.+?)\.jpg""), "".jpg"", """"), ""-"", "", ""), """")"),"")</f>
        <v/>
      </c>
      <c r="L2229" s="12"/>
      <c r="M2229" s="13"/>
      <c r="N2229" s="2"/>
      <c r="O2229" s="20"/>
      <c r="P2229" s="42"/>
      <c r="R2229" s="23"/>
    </row>
    <row r="2230" spans="1:18" ht="12.75">
      <c r="A2230" s="12"/>
      <c r="D2230" s="12"/>
      <c r="E2230" s="12"/>
      <c r="H2230" s="11" t="str">
        <f ca="1">IFERROR(__xludf.DUMMYFUNCTION("IFERROR(SUBSTITUTE(SUBSTITUTE(REGEXEXTRACT(A2230, ""[^-]+- [^-]+- [^-]+ - (.+?)\.jpg""), "".jpg"", """"), ""-"", "", ""), """")"),"")</f>
        <v/>
      </c>
      <c r="L2230" s="12"/>
      <c r="M2230" s="13"/>
      <c r="N2230" s="2"/>
      <c r="O2230" s="20"/>
      <c r="P2230" s="42"/>
      <c r="R2230" s="23"/>
    </row>
    <row r="2231" spans="1:18" ht="12.75">
      <c r="A2231" s="12"/>
      <c r="D2231" s="12"/>
      <c r="E2231" s="12"/>
      <c r="H2231" s="11" t="str">
        <f ca="1">IFERROR(__xludf.DUMMYFUNCTION("IFERROR(SUBSTITUTE(SUBSTITUTE(REGEXEXTRACT(A2231, ""[^-]+- [^-]+- [^-]+ - (.+?)\.jpg""), "".jpg"", """"), ""-"", "", ""), """")"),"")</f>
        <v/>
      </c>
      <c r="L2231" s="12"/>
      <c r="M2231" s="13"/>
      <c r="N2231" s="2"/>
      <c r="O2231" s="20"/>
      <c r="P2231" s="42"/>
      <c r="R2231" s="23"/>
    </row>
    <row r="2232" spans="1:18" ht="12.75">
      <c r="A2232" s="12"/>
      <c r="D2232" s="12"/>
      <c r="E2232" s="12"/>
      <c r="H2232" s="11" t="str">
        <f ca="1">IFERROR(__xludf.DUMMYFUNCTION("IFERROR(SUBSTITUTE(SUBSTITUTE(REGEXEXTRACT(A2232, ""[^-]+- [^-]+- [^-]+ - (.+?)\.jpg""), "".jpg"", """"), ""-"", "", ""), """")"),"")</f>
        <v/>
      </c>
      <c r="L2232" s="12"/>
      <c r="M2232" s="13"/>
      <c r="N2232" s="2"/>
      <c r="O2232" s="20"/>
      <c r="P2232" s="42"/>
      <c r="R2232" s="23"/>
    </row>
    <row r="2233" spans="1:18" ht="12.75">
      <c r="A2233" s="12"/>
      <c r="D2233" s="12"/>
      <c r="E2233" s="12"/>
      <c r="H2233" s="11" t="str">
        <f ca="1">IFERROR(__xludf.DUMMYFUNCTION("IFERROR(SUBSTITUTE(SUBSTITUTE(REGEXEXTRACT(A2233, ""[^-]+- [^-]+- [^-]+ - (.+?)\.jpg""), "".jpg"", """"), ""-"", "", ""), """")"),"")</f>
        <v/>
      </c>
      <c r="L2233" s="12"/>
      <c r="M2233" s="13"/>
      <c r="N2233" s="2"/>
      <c r="O2233" s="20"/>
      <c r="P2233" s="42"/>
      <c r="R2233" s="23"/>
    </row>
    <row r="2234" spans="1:18" ht="12.75">
      <c r="A2234" s="12"/>
      <c r="D2234" s="12"/>
      <c r="E2234" s="12"/>
      <c r="H2234" s="11" t="str">
        <f ca="1">IFERROR(__xludf.DUMMYFUNCTION("IFERROR(SUBSTITUTE(SUBSTITUTE(REGEXEXTRACT(A2234, ""[^-]+- [^-]+- [^-]+ - (.+?)\.jpg""), "".jpg"", """"), ""-"", "", ""), """")"),"")</f>
        <v/>
      </c>
      <c r="L2234" s="12"/>
      <c r="M2234" s="13"/>
      <c r="N2234" s="2"/>
      <c r="O2234" s="20"/>
      <c r="P2234" s="42"/>
      <c r="R2234" s="23"/>
    </row>
    <row r="2235" spans="1:18" ht="12.75">
      <c r="A2235" s="12"/>
      <c r="D2235" s="12"/>
      <c r="E2235" s="12"/>
      <c r="H2235" s="11" t="str">
        <f ca="1">IFERROR(__xludf.DUMMYFUNCTION("IFERROR(SUBSTITUTE(SUBSTITUTE(REGEXEXTRACT(A2235, ""[^-]+- [^-]+- [^-]+ - (.+?)\.jpg""), "".jpg"", """"), ""-"", "", ""), """")"),"")</f>
        <v/>
      </c>
      <c r="L2235" s="12"/>
      <c r="M2235" s="13"/>
      <c r="N2235" s="2"/>
      <c r="O2235" s="20"/>
      <c r="P2235" s="42"/>
      <c r="R2235" s="23"/>
    </row>
    <row r="2236" spans="1:18" ht="12.75">
      <c r="A2236" s="12"/>
      <c r="D2236" s="12"/>
      <c r="E2236" s="12"/>
      <c r="H2236" s="11" t="str">
        <f ca="1">IFERROR(__xludf.DUMMYFUNCTION("IFERROR(SUBSTITUTE(SUBSTITUTE(REGEXEXTRACT(A2236, ""[^-]+- [^-]+- [^-]+ - (.+?)\.jpg""), "".jpg"", """"), ""-"", "", ""), """")"),"")</f>
        <v/>
      </c>
      <c r="L2236" s="12"/>
      <c r="M2236" s="13"/>
      <c r="N2236" s="2"/>
      <c r="O2236" s="20"/>
      <c r="P2236" s="42"/>
      <c r="R2236" s="23"/>
    </row>
    <row r="2237" spans="1:18" ht="12.75">
      <c r="A2237" s="12"/>
      <c r="D2237" s="12"/>
      <c r="E2237" s="12"/>
      <c r="H2237" s="11" t="str">
        <f ca="1">IFERROR(__xludf.DUMMYFUNCTION("IFERROR(SUBSTITUTE(SUBSTITUTE(REGEXEXTRACT(A2237, ""[^-]+- [^-]+- [^-]+ - (.+?)\.jpg""), "".jpg"", """"), ""-"", "", ""), """")"),"")</f>
        <v/>
      </c>
      <c r="L2237" s="12"/>
      <c r="M2237" s="13"/>
      <c r="N2237" s="2"/>
      <c r="O2237" s="20"/>
      <c r="P2237" s="42"/>
      <c r="R2237" s="23"/>
    </row>
    <row r="2238" spans="1:18" ht="12.75">
      <c r="A2238" s="12"/>
      <c r="D2238" s="12"/>
      <c r="E2238" s="12"/>
      <c r="H2238" s="11" t="str">
        <f ca="1">IFERROR(__xludf.DUMMYFUNCTION("IFERROR(SUBSTITUTE(SUBSTITUTE(REGEXEXTRACT(A2238, ""[^-]+- [^-]+- [^-]+ - (.+?)\.jpg""), "".jpg"", """"), ""-"", "", ""), """")"),"")</f>
        <v/>
      </c>
      <c r="L2238" s="12"/>
      <c r="M2238" s="13"/>
      <c r="N2238" s="2"/>
      <c r="O2238" s="20"/>
      <c r="P2238" s="42"/>
      <c r="R2238" s="23"/>
    </row>
    <row r="2239" spans="1:18" ht="12.75">
      <c r="A2239" s="12"/>
      <c r="D2239" s="12"/>
      <c r="E2239" s="12"/>
      <c r="H2239" s="11" t="str">
        <f ca="1">IFERROR(__xludf.DUMMYFUNCTION("IFERROR(SUBSTITUTE(SUBSTITUTE(REGEXEXTRACT(A2239, ""[^-]+- [^-]+- [^-]+ - (.+?)\.jpg""), "".jpg"", """"), ""-"", "", ""), """")"),"")</f>
        <v/>
      </c>
      <c r="L2239" s="12"/>
      <c r="M2239" s="13"/>
      <c r="N2239" s="2"/>
      <c r="O2239" s="20"/>
      <c r="P2239" s="42"/>
      <c r="R2239" s="23"/>
    </row>
    <row r="2240" spans="1:18" ht="12.75">
      <c r="A2240" s="12"/>
      <c r="D2240" s="12"/>
      <c r="E2240" s="12"/>
      <c r="H2240" s="11" t="str">
        <f ca="1">IFERROR(__xludf.DUMMYFUNCTION("IFERROR(SUBSTITUTE(SUBSTITUTE(REGEXEXTRACT(A2240, ""[^-]+- [^-]+- [^-]+ - (.+?)\.jpg""), "".jpg"", """"), ""-"", "", ""), """")"),"")</f>
        <v/>
      </c>
      <c r="L2240" s="12"/>
      <c r="M2240" s="13"/>
      <c r="N2240" s="2"/>
      <c r="O2240" s="20"/>
      <c r="P2240" s="42"/>
      <c r="R2240" s="23"/>
    </row>
    <row r="2241" spans="1:18" ht="12.75">
      <c r="A2241" s="12"/>
      <c r="D2241" s="12"/>
      <c r="E2241" s="12"/>
      <c r="H2241" s="11" t="str">
        <f ca="1">IFERROR(__xludf.DUMMYFUNCTION("IFERROR(SUBSTITUTE(SUBSTITUTE(REGEXEXTRACT(A2241, ""[^-]+- [^-]+- [^-]+ - (.+?)\.jpg""), "".jpg"", """"), ""-"", "", ""), """")"),"")</f>
        <v/>
      </c>
      <c r="L2241" s="12"/>
      <c r="M2241" s="13"/>
      <c r="N2241" s="2"/>
      <c r="O2241" s="20"/>
      <c r="P2241" s="42"/>
      <c r="R2241" s="23"/>
    </row>
    <row r="2242" spans="1:18" ht="12.75">
      <c r="A2242" s="12"/>
      <c r="D2242" s="12"/>
      <c r="E2242" s="12"/>
      <c r="H2242" s="11" t="str">
        <f ca="1">IFERROR(__xludf.DUMMYFUNCTION("IFERROR(SUBSTITUTE(SUBSTITUTE(REGEXEXTRACT(A2242, ""[^-]+- [^-]+- [^-]+ - (.+?)\.jpg""), "".jpg"", """"), ""-"", "", ""), """")"),"")</f>
        <v/>
      </c>
      <c r="L2242" s="12"/>
      <c r="M2242" s="13"/>
      <c r="N2242" s="2"/>
      <c r="O2242" s="20"/>
      <c r="P2242" s="42"/>
      <c r="R2242" s="23"/>
    </row>
    <row r="2243" spans="1:18" ht="12.75">
      <c r="A2243" s="12"/>
      <c r="D2243" s="12"/>
      <c r="E2243" s="12"/>
      <c r="H2243" s="11" t="str">
        <f ca="1">IFERROR(__xludf.DUMMYFUNCTION("IFERROR(SUBSTITUTE(SUBSTITUTE(REGEXEXTRACT(A2243, ""[^-]+- [^-]+- [^-]+ - (.+?)\.jpg""), "".jpg"", """"), ""-"", "", ""), """")"),"")</f>
        <v/>
      </c>
      <c r="L2243" s="12"/>
      <c r="M2243" s="13"/>
      <c r="N2243" s="2"/>
      <c r="O2243" s="20"/>
      <c r="P2243" s="42"/>
      <c r="R2243" s="23"/>
    </row>
    <row r="2244" spans="1:18" ht="12.75">
      <c r="A2244" s="12"/>
      <c r="D2244" s="12"/>
      <c r="E2244" s="12"/>
      <c r="H2244" s="11" t="str">
        <f ca="1">IFERROR(__xludf.DUMMYFUNCTION("IFERROR(SUBSTITUTE(SUBSTITUTE(REGEXEXTRACT(A2244, ""[^-]+- [^-]+- [^-]+ - (.+?)\.jpg""), "".jpg"", """"), ""-"", "", ""), """")"),"")</f>
        <v/>
      </c>
      <c r="L2244" s="12"/>
      <c r="M2244" s="13"/>
      <c r="N2244" s="2"/>
      <c r="O2244" s="20"/>
      <c r="P2244" s="42"/>
      <c r="R2244" s="23"/>
    </row>
    <row r="2245" spans="1:18" ht="12.75">
      <c r="A2245" s="12"/>
      <c r="D2245" s="12"/>
      <c r="E2245" s="12"/>
      <c r="H2245" s="11" t="str">
        <f ca="1">IFERROR(__xludf.DUMMYFUNCTION("IFERROR(SUBSTITUTE(SUBSTITUTE(REGEXEXTRACT(A2245, ""[^-]+- [^-]+- [^-]+ - (.+?)\.jpg""), "".jpg"", """"), ""-"", "", ""), """")"),"")</f>
        <v/>
      </c>
      <c r="L2245" s="12"/>
      <c r="M2245" s="13"/>
      <c r="N2245" s="2"/>
      <c r="O2245" s="20"/>
      <c r="P2245" s="42"/>
      <c r="R2245" s="23"/>
    </row>
    <row r="2246" spans="1:18" ht="12.75">
      <c r="A2246" s="12"/>
      <c r="D2246" s="12"/>
      <c r="E2246" s="12"/>
      <c r="H2246" s="11" t="str">
        <f ca="1">IFERROR(__xludf.DUMMYFUNCTION("IFERROR(SUBSTITUTE(SUBSTITUTE(REGEXEXTRACT(A2246, ""[^-]+- [^-]+- [^-]+ - (.+?)\.jpg""), "".jpg"", """"), ""-"", "", ""), """")"),"")</f>
        <v/>
      </c>
      <c r="L2246" s="12"/>
      <c r="M2246" s="13"/>
      <c r="N2246" s="2"/>
      <c r="O2246" s="20"/>
      <c r="P2246" s="42"/>
      <c r="R2246" s="23"/>
    </row>
    <row r="2247" spans="1:18" ht="12.75">
      <c r="A2247" s="12"/>
      <c r="D2247" s="12"/>
      <c r="E2247" s="12"/>
      <c r="H2247" s="11" t="str">
        <f ca="1">IFERROR(__xludf.DUMMYFUNCTION("IFERROR(SUBSTITUTE(SUBSTITUTE(REGEXEXTRACT(A2247, ""[^-]+- [^-]+- [^-]+ - (.+?)\.jpg""), "".jpg"", """"), ""-"", "", ""), """")"),"")</f>
        <v/>
      </c>
      <c r="L2247" s="12"/>
      <c r="M2247" s="13"/>
      <c r="N2247" s="2"/>
      <c r="O2247" s="20"/>
      <c r="P2247" s="42"/>
      <c r="R2247" s="23"/>
    </row>
    <row r="2248" spans="1:18" ht="12.75">
      <c r="A2248" s="12"/>
      <c r="D2248" s="12"/>
      <c r="E2248" s="12"/>
      <c r="H2248" s="11" t="str">
        <f ca="1">IFERROR(__xludf.DUMMYFUNCTION("IFERROR(SUBSTITUTE(SUBSTITUTE(REGEXEXTRACT(A2248, ""[^-]+- [^-]+- [^-]+ - (.+?)\.jpg""), "".jpg"", """"), ""-"", "", ""), """")"),"")</f>
        <v/>
      </c>
      <c r="L2248" s="12"/>
      <c r="M2248" s="13"/>
      <c r="N2248" s="2"/>
      <c r="O2248" s="20"/>
      <c r="P2248" s="42"/>
      <c r="R2248" s="23"/>
    </row>
    <row r="2249" spans="1:18" ht="12.75">
      <c r="A2249" s="12"/>
      <c r="D2249" s="12"/>
      <c r="E2249" s="12"/>
      <c r="H2249" s="11" t="str">
        <f ca="1">IFERROR(__xludf.DUMMYFUNCTION("IFERROR(SUBSTITUTE(SUBSTITUTE(REGEXEXTRACT(A2249, ""[^-]+- [^-]+- [^-]+ - (.+?)\.jpg""), "".jpg"", """"), ""-"", "", ""), """")"),"")</f>
        <v/>
      </c>
      <c r="L2249" s="12"/>
      <c r="M2249" s="13"/>
      <c r="N2249" s="2"/>
      <c r="O2249" s="20"/>
      <c r="P2249" s="42"/>
      <c r="R2249" s="23"/>
    </row>
    <row r="2250" spans="1:18" ht="12.75">
      <c r="A2250" s="12"/>
      <c r="D2250" s="12"/>
      <c r="E2250" s="12"/>
      <c r="H2250" s="11" t="str">
        <f ca="1">IFERROR(__xludf.DUMMYFUNCTION("IFERROR(SUBSTITUTE(SUBSTITUTE(REGEXEXTRACT(A2250, ""[^-]+- [^-]+- [^-]+ - (.+?)\.jpg""), "".jpg"", """"), ""-"", "", ""), """")"),"")</f>
        <v/>
      </c>
      <c r="L2250" s="12"/>
      <c r="M2250" s="13"/>
      <c r="N2250" s="2"/>
      <c r="O2250" s="20"/>
      <c r="P2250" s="42"/>
      <c r="R2250" s="23"/>
    </row>
    <row r="2251" spans="1:18" ht="12.75">
      <c r="A2251" s="12"/>
      <c r="D2251" s="12"/>
      <c r="E2251" s="12"/>
      <c r="H2251" s="11" t="str">
        <f ca="1">IFERROR(__xludf.DUMMYFUNCTION("IFERROR(SUBSTITUTE(SUBSTITUTE(REGEXEXTRACT(A2251, ""[^-]+- [^-]+- [^-]+ - (.+?)\.jpg""), "".jpg"", """"), ""-"", "", ""), """")"),"")</f>
        <v/>
      </c>
      <c r="L2251" s="12"/>
      <c r="M2251" s="13"/>
      <c r="N2251" s="2"/>
      <c r="O2251" s="20"/>
      <c r="P2251" s="42"/>
      <c r="R2251" s="23"/>
    </row>
    <row r="2252" spans="1:18" ht="12.75">
      <c r="A2252" s="12"/>
      <c r="D2252" s="12"/>
      <c r="E2252" s="12"/>
      <c r="H2252" s="11" t="str">
        <f ca="1">IFERROR(__xludf.DUMMYFUNCTION("IFERROR(SUBSTITUTE(SUBSTITUTE(REGEXEXTRACT(A2252, ""[^-]+- [^-]+- [^-]+ - (.+?)\.jpg""), "".jpg"", """"), ""-"", "", ""), """")"),"")</f>
        <v/>
      </c>
      <c r="L2252" s="12"/>
      <c r="M2252" s="13"/>
      <c r="N2252" s="2"/>
      <c r="O2252" s="20"/>
      <c r="P2252" s="42"/>
      <c r="R2252" s="23"/>
    </row>
    <row r="2253" spans="1:18" ht="12.75">
      <c r="A2253" s="12"/>
      <c r="D2253" s="12"/>
      <c r="E2253" s="12"/>
      <c r="H2253" s="11" t="str">
        <f ca="1">IFERROR(__xludf.DUMMYFUNCTION("IFERROR(SUBSTITUTE(SUBSTITUTE(REGEXEXTRACT(A2253, ""[^-]+- [^-]+- [^-]+ - (.+?)\.jpg""), "".jpg"", """"), ""-"", "", ""), """")"),"")</f>
        <v/>
      </c>
      <c r="L2253" s="12"/>
      <c r="M2253" s="13"/>
      <c r="N2253" s="2"/>
      <c r="O2253" s="20"/>
      <c r="P2253" s="42"/>
      <c r="R2253" s="23"/>
    </row>
    <row r="2254" spans="1:18" ht="12.75">
      <c r="A2254" s="12"/>
      <c r="D2254" s="12"/>
      <c r="E2254" s="12"/>
      <c r="H2254" s="11" t="str">
        <f ca="1">IFERROR(__xludf.DUMMYFUNCTION("IFERROR(SUBSTITUTE(SUBSTITUTE(REGEXEXTRACT(A2254, ""[^-]+- [^-]+- [^-]+ - (.+?)\.jpg""), "".jpg"", """"), ""-"", "", ""), """")"),"")</f>
        <v/>
      </c>
      <c r="L2254" s="12"/>
      <c r="M2254" s="13"/>
      <c r="N2254" s="2"/>
      <c r="O2254" s="20"/>
      <c r="P2254" s="42"/>
      <c r="R2254" s="23"/>
    </row>
    <row r="2255" spans="1:18" ht="12.75">
      <c r="A2255" s="12"/>
      <c r="D2255" s="12"/>
      <c r="E2255" s="12"/>
      <c r="H2255" s="11" t="str">
        <f ca="1">IFERROR(__xludf.DUMMYFUNCTION("IFERROR(SUBSTITUTE(SUBSTITUTE(REGEXEXTRACT(A2255, ""[^-]+- [^-]+- [^-]+ - (.+?)\.jpg""), "".jpg"", """"), ""-"", "", ""), """")"),"")</f>
        <v/>
      </c>
      <c r="L2255" s="12"/>
      <c r="M2255" s="13"/>
      <c r="N2255" s="2"/>
      <c r="O2255" s="20"/>
      <c r="P2255" s="42"/>
      <c r="R2255" s="23"/>
    </row>
    <row r="2256" spans="1:18" ht="12.75">
      <c r="A2256" s="12"/>
      <c r="D2256" s="12"/>
      <c r="E2256" s="12"/>
      <c r="H2256" s="11" t="str">
        <f ca="1">IFERROR(__xludf.DUMMYFUNCTION("IFERROR(SUBSTITUTE(SUBSTITUTE(REGEXEXTRACT(A2256, ""[^-]+- [^-]+- [^-]+ - (.+?)\.jpg""), "".jpg"", """"), ""-"", "", ""), """")"),"")</f>
        <v/>
      </c>
      <c r="L2256" s="12"/>
      <c r="M2256" s="13"/>
      <c r="N2256" s="2"/>
      <c r="O2256" s="20"/>
      <c r="P2256" s="42"/>
      <c r="R2256" s="23"/>
    </row>
    <row r="2257" spans="1:18" ht="12.75">
      <c r="A2257" s="12"/>
      <c r="D2257" s="12"/>
      <c r="E2257" s="12"/>
      <c r="H2257" s="11" t="str">
        <f ca="1">IFERROR(__xludf.DUMMYFUNCTION("IFERROR(SUBSTITUTE(SUBSTITUTE(REGEXEXTRACT(A2257, ""[^-]+- [^-]+- [^-]+ - (.+?)\.jpg""), "".jpg"", """"), ""-"", "", ""), """")"),"")</f>
        <v/>
      </c>
      <c r="L2257" s="12"/>
      <c r="M2257" s="13"/>
      <c r="N2257" s="2"/>
      <c r="O2257" s="20"/>
      <c r="P2257" s="42"/>
      <c r="R2257" s="23"/>
    </row>
    <row r="2258" spans="1:18" ht="12.75">
      <c r="A2258" s="12"/>
      <c r="D2258" s="12"/>
      <c r="E2258" s="12"/>
      <c r="H2258" s="11" t="str">
        <f ca="1">IFERROR(__xludf.DUMMYFUNCTION("IFERROR(SUBSTITUTE(SUBSTITUTE(REGEXEXTRACT(A2258, ""[^-]+- [^-]+- [^-]+ - (.+?)\.jpg""), "".jpg"", """"), ""-"", "", ""), """")"),"")</f>
        <v/>
      </c>
      <c r="L2258" s="12"/>
      <c r="M2258" s="13"/>
      <c r="N2258" s="2"/>
      <c r="O2258" s="20"/>
      <c r="P2258" s="42"/>
      <c r="R2258" s="23"/>
    </row>
    <row r="2259" spans="1:18" ht="12.75">
      <c r="A2259" s="12"/>
      <c r="D2259" s="12"/>
      <c r="E2259" s="12"/>
      <c r="H2259" s="11" t="str">
        <f ca="1">IFERROR(__xludf.DUMMYFUNCTION("IFERROR(SUBSTITUTE(SUBSTITUTE(REGEXEXTRACT(A2259, ""[^-]+- [^-]+- [^-]+ - (.+?)\.jpg""), "".jpg"", """"), ""-"", "", ""), """")"),"")</f>
        <v/>
      </c>
      <c r="L2259" s="12"/>
      <c r="M2259" s="13"/>
      <c r="N2259" s="2"/>
      <c r="O2259" s="20"/>
      <c r="P2259" s="42"/>
      <c r="R2259" s="23"/>
    </row>
    <row r="2260" spans="1:18" ht="12.75">
      <c r="A2260" s="12"/>
      <c r="D2260" s="12"/>
      <c r="E2260" s="12"/>
      <c r="H2260" s="11" t="str">
        <f ca="1">IFERROR(__xludf.DUMMYFUNCTION("IFERROR(SUBSTITUTE(SUBSTITUTE(REGEXEXTRACT(A2260, ""[^-]+- [^-]+- [^-]+ - (.+?)\.jpg""), "".jpg"", """"), ""-"", "", ""), """")"),"")</f>
        <v/>
      </c>
      <c r="L2260" s="12"/>
      <c r="M2260" s="13"/>
      <c r="N2260" s="2"/>
      <c r="O2260" s="20"/>
      <c r="P2260" s="42"/>
      <c r="R2260" s="23"/>
    </row>
    <row r="2261" spans="1:18" ht="12.75">
      <c r="A2261" s="12"/>
      <c r="D2261" s="12"/>
      <c r="E2261" s="12"/>
      <c r="H2261" s="11" t="str">
        <f ca="1">IFERROR(__xludf.DUMMYFUNCTION("IFERROR(SUBSTITUTE(SUBSTITUTE(REGEXEXTRACT(A2261, ""[^-]+- [^-]+- [^-]+ - (.+?)\.jpg""), "".jpg"", """"), ""-"", "", ""), """")"),"")</f>
        <v/>
      </c>
      <c r="L2261" s="12"/>
      <c r="M2261" s="13"/>
      <c r="N2261" s="2"/>
      <c r="O2261" s="20"/>
      <c r="P2261" s="42"/>
      <c r="R2261" s="23"/>
    </row>
    <row r="2262" spans="1:18" ht="12.75">
      <c r="A2262" s="12"/>
      <c r="D2262" s="12"/>
      <c r="E2262" s="12"/>
      <c r="H2262" s="11" t="str">
        <f ca="1">IFERROR(__xludf.DUMMYFUNCTION("IFERROR(SUBSTITUTE(SUBSTITUTE(REGEXEXTRACT(A2262, ""[^-]+- [^-]+- [^-]+ - (.+?)\.jpg""), "".jpg"", """"), ""-"", "", ""), """")"),"")</f>
        <v/>
      </c>
      <c r="L2262" s="12"/>
      <c r="M2262" s="13"/>
      <c r="N2262" s="2"/>
      <c r="O2262" s="20"/>
      <c r="P2262" s="42"/>
      <c r="R2262" s="23"/>
    </row>
    <row r="2263" spans="1:18" ht="12.75">
      <c r="A2263" s="12"/>
      <c r="D2263" s="12"/>
      <c r="E2263" s="12"/>
      <c r="H2263" s="11" t="str">
        <f ca="1">IFERROR(__xludf.DUMMYFUNCTION("IFERROR(SUBSTITUTE(SUBSTITUTE(REGEXEXTRACT(A2263, ""[^-]+- [^-]+- [^-]+ - (.+?)\.jpg""), "".jpg"", """"), ""-"", "", ""), """")"),"")</f>
        <v/>
      </c>
      <c r="L2263" s="12"/>
      <c r="M2263" s="13"/>
      <c r="N2263" s="2"/>
      <c r="O2263" s="20"/>
      <c r="P2263" s="42"/>
      <c r="R2263" s="23"/>
    </row>
    <row r="2264" spans="1:18" ht="12.75">
      <c r="A2264" s="12"/>
      <c r="D2264" s="12"/>
      <c r="E2264" s="12"/>
      <c r="H2264" s="11" t="str">
        <f ca="1">IFERROR(__xludf.DUMMYFUNCTION("IFERROR(SUBSTITUTE(SUBSTITUTE(REGEXEXTRACT(A2264, ""[^-]+- [^-]+- [^-]+ - (.+?)\.jpg""), "".jpg"", """"), ""-"", "", ""), """")"),"")</f>
        <v/>
      </c>
      <c r="L2264" s="12"/>
      <c r="M2264" s="13"/>
      <c r="N2264" s="2"/>
      <c r="O2264" s="20"/>
      <c r="P2264" s="42"/>
      <c r="R2264" s="23"/>
    </row>
    <row r="2265" spans="1:18" ht="12.75">
      <c r="A2265" s="12"/>
      <c r="D2265" s="12"/>
      <c r="E2265" s="12"/>
      <c r="H2265" s="11" t="str">
        <f ca="1">IFERROR(__xludf.DUMMYFUNCTION("IFERROR(SUBSTITUTE(SUBSTITUTE(REGEXEXTRACT(A2265, ""[^-]+- [^-]+- [^-]+ - (.+?)\.jpg""), "".jpg"", """"), ""-"", "", ""), """")"),"")</f>
        <v/>
      </c>
      <c r="L2265" s="12"/>
      <c r="M2265" s="13"/>
      <c r="N2265" s="2"/>
      <c r="O2265" s="20"/>
      <c r="P2265" s="42"/>
      <c r="R2265" s="23"/>
    </row>
    <row r="2266" spans="1:18" ht="12.75">
      <c r="A2266" s="12"/>
      <c r="D2266" s="12"/>
      <c r="E2266" s="12"/>
      <c r="H2266" s="11" t="str">
        <f ca="1">IFERROR(__xludf.DUMMYFUNCTION("IFERROR(SUBSTITUTE(SUBSTITUTE(REGEXEXTRACT(A2266, ""[^-]+- [^-]+- [^-]+ - (.+?)\.jpg""), "".jpg"", """"), ""-"", "", ""), """")"),"")</f>
        <v/>
      </c>
      <c r="L2266" s="12"/>
      <c r="M2266" s="13"/>
      <c r="N2266" s="2"/>
      <c r="O2266" s="20"/>
      <c r="P2266" s="42"/>
      <c r="R2266" s="23"/>
    </row>
    <row r="2267" spans="1:18" ht="12.75">
      <c r="A2267" s="12"/>
      <c r="D2267" s="12"/>
      <c r="E2267" s="12"/>
      <c r="H2267" s="11" t="str">
        <f ca="1">IFERROR(__xludf.DUMMYFUNCTION("IFERROR(SUBSTITUTE(SUBSTITUTE(REGEXEXTRACT(A2267, ""[^-]+- [^-]+- [^-]+ - (.+?)\.jpg""), "".jpg"", """"), ""-"", "", ""), """")"),"")</f>
        <v/>
      </c>
      <c r="L2267" s="12"/>
      <c r="M2267" s="13"/>
      <c r="N2267" s="2"/>
      <c r="O2267" s="20"/>
      <c r="P2267" s="42"/>
      <c r="R2267" s="23"/>
    </row>
    <row r="2268" spans="1:18" ht="12.75">
      <c r="A2268" s="12"/>
      <c r="D2268" s="12"/>
      <c r="E2268" s="12"/>
      <c r="H2268" s="11" t="str">
        <f ca="1">IFERROR(__xludf.DUMMYFUNCTION("IFERROR(SUBSTITUTE(SUBSTITUTE(REGEXEXTRACT(A2268, ""[^-]+- [^-]+- [^-]+ - (.+?)\.jpg""), "".jpg"", """"), ""-"", "", ""), """")"),"")</f>
        <v/>
      </c>
      <c r="L2268" s="12"/>
      <c r="M2268" s="13"/>
      <c r="N2268" s="2"/>
      <c r="O2268" s="20"/>
      <c r="P2268" s="42"/>
      <c r="R2268" s="23"/>
    </row>
    <row r="2269" spans="1:18" ht="12.75">
      <c r="A2269" s="12"/>
      <c r="D2269" s="12"/>
      <c r="E2269" s="12"/>
      <c r="H2269" s="11" t="str">
        <f ca="1">IFERROR(__xludf.DUMMYFUNCTION("IFERROR(SUBSTITUTE(SUBSTITUTE(REGEXEXTRACT(A2269, ""[^-]+- [^-]+- [^-]+ - (.+?)\.jpg""), "".jpg"", """"), ""-"", "", ""), """")"),"")</f>
        <v/>
      </c>
      <c r="L2269" s="12"/>
      <c r="M2269" s="13"/>
      <c r="N2269" s="2"/>
      <c r="O2269" s="20"/>
      <c r="P2269" s="42"/>
      <c r="R2269" s="23"/>
    </row>
    <row r="2270" spans="1:18" ht="12.75">
      <c r="A2270" s="12"/>
      <c r="D2270" s="12"/>
      <c r="E2270" s="12"/>
      <c r="H2270" s="11" t="str">
        <f ca="1">IFERROR(__xludf.DUMMYFUNCTION("IFERROR(SUBSTITUTE(SUBSTITUTE(REGEXEXTRACT(A2270, ""[^-]+- [^-]+- [^-]+ - (.+?)\.jpg""), "".jpg"", """"), ""-"", "", ""), """")"),"")</f>
        <v/>
      </c>
      <c r="L2270" s="12"/>
      <c r="M2270" s="13"/>
      <c r="N2270" s="2"/>
      <c r="O2270" s="20"/>
      <c r="P2270" s="42"/>
      <c r="R2270" s="23"/>
    </row>
    <row r="2271" spans="1:18" ht="12.75">
      <c r="A2271" s="12"/>
      <c r="D2271" s="12"/>
      <c r="E2271" s="12"/>
      <c r="H2271" s="11" t="str">
        <f ca="1">IFERROR(__xludf.DUMMYFUNCTION("IFERROR(SUBSTITUTE(SUBSTITUTE(REGEXEXTRACT(A2271, ""[^-]+- [^-]+- [^-]+ - (.+?)\.jpg""), "".jpg"", """"), ""-"", "", ""), """")"),"")</f>
        <v/>
      </c>
      <c r="L2271" s="12"/>
      <c r="M2271" s="13"/>
      <c r="N2271" s="2"/>
      <c r="O2271" s="20"/>
      <c r="P2271" s="42"/>
      <c r="R2271" s="23"/>
    </row>
    <row r="2272" spans="1:18" ht="12.75">
      <c r="A2272" s="12"/>
      <c r="D2272" s="12"/>
      <c r="E2272" s="12"/>
      <c r="H2272" s="11" t="str">
        <f ca="1">IFERROR(__xludf.DUMMYFUNCTION("IFERROR(SUBSTITUTE(SUBSTITUTE(REGEXEXTRACT(A2272, ""[^-]+- [^-]+- [^-]+ - (.+?)\.jpg""), "".jpg"", """"), ""-"", "", ""), """")"),"")</f>
        <v/>
      </c>
      <c r="L2272" s="12"/>
      <c r="M2272" s="13"/>
      <c r="N2272" s="2"/>
      <c r="O2272" s="20"/>
      <c r="P2272" s="42"/>
      <c r="R2272" s="23"/>
    </row>
    <row r="2273" spans="1:18" ht="12.75">
      <c r="A2273" s="12"/>
      <c r="D2273" s="12"/>
      <c r="E2273" s="12"/>
      <c r="H2273" s="11" t="str">
        <f ca="1">IFERROR(__xludf.DUMMYFUNCTION("IFERROR(SUBSTITUTE(SUBSTITUTE(REGEXEXTRACT(A2273, ""[^-]+- [^-]+- [^-]+ - (.+?)\.jpg""), "".jpg"", """"), ""-"", "", ""), """")"),"")</f>
        <v/>
      </c>
      <c r="L2273" s="12"/>
      <c r="M2273" s="13"/>
      <c r="N2273" s="2"/>
      <c r="O2273" s="20"/>
      <c r="P2273" s="42"/>
      <c r="R2273" s="23"/>
    </row>
    <row r="2274" spans="1:18" ht="12.75">
      <c r="A2274" s="12"/>
      <c r="D2274" s="12"/>
      <c r="E2274" s="12"/>
      <c r="H2274" s="11" t="str">
        <f ca="1">IFERROR(__xludf.DUMMYFUNCTION("IFERROR(SUBSTITUTE(SUBSTITUTE(REGEXEXTRACT(A2274, ""[^-]+- [^-]+- [^-]+ - (.+?)\.jpg""), "".jpg"", """"), ""-"", "", ""), """")"),"")</f>
        <v/>
      </c>
      <c r="L2274" s="12"/>
      <c r="M2274" s="13"/>
      <c r="N2274" s="2"/>
      <c r="O2274" s="20"/>
      <c r="P2274" s="42"/>
      <c r="R2274" s="23"/>
    </row>
    <row r="2275" spans="1:18" ht="12.75">
      <c r="A2275" s="12"/>
      <c r="D2275" s="12"/>
      <c r="E2275" s="12"/>
      <c r="H2275" s="11" t="str">
        <f ca="1">IFERROR(__xludf.DUMMYFUNCTION("IFERROR(SUBSTITUTE(SUBSTITUTE(REGEXEXTRACT(A2275, ""[^-]+- [^-]+- [^-]+ - (.+?)\.jpg""), "".jpg"", """"), ""-"", "", ""), """")"),"")</f>
        <v/>
      </c>
      <c r="L2275" s="12"/>
      <c r="M2275" s="13"/>
      <c r="N2275" s="2"/>
      <c r="O2275" s="20"/>
      <c r="P2275" s="42"/>
      <c r="R2275" s="23"/>
    </row>
    <row r="2276" spans="1:18" ht="12.75">
      <c r="A2276" s="12"/>
      <c r="D2276" s="12"/>
      <c r="E2276" s="12"/>
      <c r="H2276" s="11" t="str">
        <f ca="1">IFERROR(__xludf.DUMMYFUNCTION("IFERROR(SUBSTITUTE(SUBSTITUTE(REGEXEXTRACT(A2276, ""[^-]+- [^-]+- [^-]+ - (.+?)\.jpg""), "".jpg"", """"), ""-"", "", ""), """")"),"")</f>
        <v/>
      </c>
      <c r="L2276" s="12"/>
      <c r="M2276" s="13"/>
      <c r="N2276" s="2"/>
      <c r="O2276" s="20"/>
      <c r="P2276" s="42"/>
      <c r="R2276" s="23"/>
    </row>
    <row r="2277" spans="1:18" ht="12.75">
      <c r="A2277" s="12"/>
      <c r="D2277" s="12"/>
      <c r="E2277" s="12"/>
      <c r="H2277" s="11" t="str">
        <f ca="1">IFERROR(__xludf.DUMMYFUNCTION("IFERROR(SUBSTITUTE(SUBSTITUTE(REGEXEXTRACT(A2277, ""[^-]+- [^-]+- [^-]+ - (.+?)\.jpg""), "".jpg"", """"), ""-"", "", ""), """")"),"")</f>
        <v/>
      </c>
      <c r="L2277" s="12"/>
      <c r="M2277" s="13"/>
      <c r="N2277" s="2"/>
      <c r="O2277" s="20"/>
      <c r="P2277" s="42"/>
      <c r="R2277" s="23"/>
    </row>
    <row r="2278" spans="1:18" ht="12.75">
      <c r="A2278" s="12"/>
      <c r="D2278" s="12"/>
      <c r="E2278" s="12"/>
      <c r="H2278" s="11" t="str">
        <f ca="1">IFERROR(__xludf.DUMMYFUNCTION("IFERROR(SUBSTITUTE(SUBSTITUTE(REGEXEXTRACT(A2278, ""[^-]+- [^-]+- [^-]+ - (.+?)\.jpg""), "".jpg"", """"), ""-"", "", ""), """")"),"")</f>
        <v/>
      </c>
      <c r="L2278" s="12"/>
      <c r="M2278" s="13"/>
      <c r="N2278" s="2"/>
      <c r="O2278" s="20"/>
      <c r="P2278" s="42"/>
      <c r="R2278" s="23"/>
    </row>
    <row r="2279" spans="1:18" ht="12.75">
      <c r="A2279" s="12"/>
      <c r="D2279" s="12"/>
      <c r="E2279" s="12"/>
      <c r="H2279" s="11" t="str">
        <f ca="1">IFERROR(__xludf.DUMMYFUNCTION("IFERROR(SUBSTITUTE(SUBSTITUTE(REGEXEXTRACT(A2279, ""[^-]+- [^-]+- [^-]+ - (.+?)\.jpg""), "".jpg"", """"), ""-"", "", ""), """")"),"")</f>
        <v/>
      </c>
      <c r="L2279" s="12"/>
      <c r="M2279" s="13"/>
      <c r="N2279" s="2"/>
      <c r="O2279" s="20"/>
      <c r="P2279" s="42"/>
      <c r="R2279" s="23"/>
    </row>
    <row r="2280" spans="1:18" ht="12.75">
      <c r="A2280" s="12"/>
      <c r="D2280" s="12"/>
      <c r="E2280" s="12"/>
      <c r="H2280" s="11" t="str">
        <f ca="1">IFERROR(__xludf.DUMMYFUNCTION("IFERROR(SUBSTITUTE(SUBSTITUTE(REGEXEXTRACT(A2280, ""[^-]+- [^-]+- [^-]+ - (.+?)\.jpg""), "".jpg"", """"), ""-"", "", ""), """")"),"")</f>
        <v/>
      </c>
      <c r="L2280" s="12"/>
      <c r="M2280" s="13"/>
      <c r="N2280" s="2"/>
      <c r="O2280" s="20"/>
      <c r="P2280" s="42"/>
      <c r="R2280" s="23"/>
    </row>
    <row r="2281" spans="1:18" ht="12.75">
      <c r="A2281" s="12"/>
      <c r="D2281" s="12"/>
      <c r="E2281" s="12"/>
      <c r="H2281" s="11" t="str">
        <f ca="1">IFERROR(__xludf.DUMMYFUNCTION("IFERROR(SUBSTITUTE(SUBSTITUTE(REGEXEXTRACT(A2281, ""[^-]+- [^-]+- [^-]+ - (.+?)\.jpg""), "".jpg"", """"), ""-"", "", ""), """")"),"")</f>
        <v/>
      </c>
      <c r="L2281" s="12"/>
      <c r="M2281" s="13"/>
      <c r="N2281" s="2"/>
      <c r="O2281" s="20"/>
      <c r="P2281" s="42"/>
      <c r="R2281" s="23"/>
    </row>
    <row r="2282" spans="1:18" ht="12.75">
      <c r="A2282" s="12"/>
      <c r="D2282" s="12"/>
      <c r="E2282" s="12"/>
      <c r="H2282" s="11" t="str">
        <f ca="1">IFERROR(__xludf.DUMMYFUNCTION("IFERROR(SUBSTITUTE(SUBSTITUTE(REGEXEXTRACT(A2282, ""[^-]+- [^-]+- [^-]+ - (.+?)\.jpg""), "".jpg"", """"), ""-"", "", ""), """")"),"")</f>
        <v/>
      </c>
      <c r="L2282" s="12"/>
      <c r="M2282" s="13"/>
      <c r="N2282" s="2"/>
      <c r="O2282" s="20"/>
      <c r="P2282" s="42"/>
      <c r="R2282" s="23"/>
    </row>
    <row r="2283" spans="1:18" ht="12.75">
      <c r="A2283" s="12"/>
      <c r="D2283" s="12"/>
      <c r="E2283" s="12"/>
      <c r="H2283" s="11" t="str">
        <f ca="1">IFERROR(__xludf.DUMMYFUNCTION("IFERROR(SUBSTITUTE(SUBSTITUTE(REGEXEXTRACT(A2283, ""[^-]+- [^-]+- [^-]+ - (.+?)\.jpg""), "".jpg"", """"), ""-"", "", ""), """")"),"")</f>
        <v/>
      </c>
      <c r="L2283" s="12"/>
      <c r="M2283" s="13"/>
      <c r="N2283" s="2"/>
      <c r="O2283" s="20"/>
      <c r="P2283" s="42"/>
      <c r="R2283" s="23"/>
    </row>
    <row r="2284" spans="1:18" ht="12.75">
      <c r="A2284" s="12"/>
      <c r="D2284" s="12"/>
      <c r="E2284" s="12"/>
      <c r="H2284" s="11" t="str">
        <f ca="1">IFERROR(__xludf.DUMMYFUNCTION("IFERROR(SUBSTITUTE(SUBSTITUTE(REGEXEXTRACT(A2284, ""[^-]+- [^-]+- [^-]+ - (.+?)\.jpg""), "".jpg"", """"), ""-"", "", ""), """")"),"")</f>
        <v/>
      </c>
      <c r="L2284" s="12"/>
      <c r="M2284" s="13"/>
      <c r="N2284" s="2"/>
      <c r="O2284" s="20"/>
      <c r="P2284" s="42"/>
      <c r="R2284" s="23"/>
    </row>
    <row r="2285" spans="1:18" ht="12.75">
      <c r="A2285" s="12"/>
      <c r="D2285" s="12"/>
      <c r="E2285" s="12"/>
      <c r="H2285" s="11" t="str">
        <f ca="1">IFERROR(__xludf.DUMMYFUNCTION("IFERROR(SUBSTITUTE(SUBSTITUTE(REGEXEXTRACT(A2285, ""[^-]+- [^-]+- [^-]+ - (.+?)\.jpg""), "".jpg"", """"), ""-"", "", ""), """")"),"")</f>
        <v/>
      </c>
      <c r="L2285" s="12"/>
      <c r="M2285" s="13"/>
      <c r="N2285" s="2"/>
      <c r="O2285" s="20"/>
      <c r="P2285" s="42"/>
      <c r="R2285" s="23"/>
    </row>
    <row r="2286" spans="1:18" ht="12.75">
      <c r="A2286" s="12"/>
      <c r="D2286" s="12"/>
      <c r="E2286" s="12"/>
      <c r="H2286" s="11" t="str">
        <f ca="1">IFERROR(__xludf.DUMMYFUNCTION("IFERROR(SUBSTITUTE(SUBSTITUTE(REGEXEXTRACT(A2286, ""[^-]+- [^-]+- [^-]+ - (.+?)\.jpg""), "".jpg"", """"), ""-"", "", ""), """")"),"")</f>
        <v/>
      </c>
      <c r="L2286" s="12"/>
      <c r="M2286" s="13"/>
      <c r="N2286" s="2"/>
      <c r="O2286" s="20"/>
      <c r="P2286" s="42"/>
      <c r="R2286" s="23"/>
    </row>
    <row r="2287" spans="1:18" ht="12.75">
      <c r="A2287" s="12"/>
      <c r="D2287" s="12"/>
      <c r="E2287" s="12"/>
      <c r="H2287" s="11" t="str">
        <f ca="1">IFERROR(__xludf.DUMMYFUNCTION("IFERROR(SUBSTITUTE(SUBSTITUTE(REGEXEXTRACT(A2287, ""[^-]+- [^-]+- [^-]+ - (.+?)\.jpg""), "".jpg"", """"), ""-"", "", ""), """")"),"")</f>
        <v/>
      </c>
      <c r="L2287" s="12"/>
      <c r="M2287" s="13"/>
      <c r="N2287" s="2"/>
      <c r="O2287" s="20"/>
      <c r="P2287" s="42"/>
      <c r="R2287" s="23"/>
    </row>
    <row r="2288" spans="1:18" ht="12.75">
      <c r="A2288" s="12"/>
      <c r="D2288" s="12"/>
      <c r="E2288" s="12"/>
      <c r="H2288" s="11" t="str">
        <f ca="1">IFERROR(__xludf.DUMMYFUNCTION("IFERROR(SUBSTITUTE(SUBSTITUTE(REGEXEXTRACT(A2288, ""[^-]+- [^-]+- [^-]+ - (.+?)\.jpg""), "".jpg"", """"), ""-"", "", ""), """")"),"")</f>
        <v/>
      </c>
      <c r="L2288" s="12"/>
      <c r="M2288" s="13"/>
      <c r="N2288" s="2"/>
      <c r="O2288" s="20"/>
      <c r="P2288" s="42"/>
      <c r="R2288" s="23"/>
    </row>
    <row r="2289" spans="1:18" ht="12.75">
      <c r="A2289" s="12"/>
      <c r="D2289" s="12"/>
      <c r="E2289" s="12"/>
      <c r="H2289" s="11" t="str">
        <f ca="1">IFERROR(__xludf.DUMMYFUNCTION("IFERROR(SUBSTITUTE(SUBSTITUTE(REGEXEXTRACT(A2289, ""[^-]+- [^-]+- [^-]+ - (.+?)\.jpg""), "".jpg"", """"), ""-"", "", ""), """")"),"")</f>
        <v/>
      </c>
      <c r="L2289" s="12"/>
      <c r="M2289" s="13"/>
      <c r="N2289" s="2"/>
      <c r="O2289" s="20"/>
      <c r="P2289" s="42"/>
      <c r="R2289" s="23"/>
    </row>
    <row r="2290" spans="1:18" ht="12.75">
      <c r="A2290" s="12"/>
      <c r="D2290" s="12"/>
      <c r="E2290" s="12"/>
      <c r="H2290" s="11" t="str">
        <f ca="1">IFERROR(__xludf.DUMMYFUNCTION("IFERROR(SUBSTITUTE(SUBSTITUTE(REGEXEXTRACT(A2290, ""[^-]+- [^-]+- [^-]+ - (.+?)\.jpg""), "".jpg"", """"), ""-"", "", ""), """")"),"")</f>
        <v/>
      </c>
      <c r="L2290" s="12"/>
      <c r="M2290" s="13"/>
      <c r="N2290" s="2"/>
      <c r="O2290" s="20"/>
      <c r="P2290" s="42"/>
      <c r="R2290" s="23"/>
    </row>
    <row r="2291" spans="1:18" ht="12.75">
      <c r="A2291" s="12"/>
      <c r="D2291" s="12"/>
      <c r="E2291" s="12"/>
      <c r="H2291" s="11" t="str">
        <f ca="1">IFERROR(__xludf.DUMMYFUNCTION("IFERROR(SUBSTITUTE(SUBSTITUTE(REGEXEXTRACT(A2291, ""[^-]+- [^-]+- [^-]+ - (.+?)\.jpg""), "".jpg"", """"), ""-"", "", ""), """")"),"")</f>
        <v/>
      </c>
      <c r="L2291" s="12"/>
      <c r="M2291" s="13"/>
      <c r="N2291" s="2"/>
      <c r="O2291" s="20"/>
      <c r="P2291" s="42"/>
      <c r="R2291" s="23"/>
    </row>
    <row r="2292" spans="1:18" ht="12.75">
      <c r="A2292" s="12"/>
      <c r="D2292" s="12"/>
      <c r="E2292" s="12"/>
      <c r="H2292" s="11" t="str">
        <f ca="1">IFERROR(__xludf.DUMMYFUNCTION("IFERROR(SUBSTITUTE(SUBSTITUTE(REGEXEXTRACT(A2292, ""[^-]+- [^-]+- [^-]+ - (.+?)\.jpg""), "".jpg"", """"), ""-"", "", ""), """")"),"")</f>
        <v/>
      </c>
      <c r="L2292" s="12"/>
      <c r="M2292" s="13"/>
      <c r="N2292" s="2"/>
      <c r="O2292" s="20"/>
      <c r="P2292" s="42"/>
      <c r="R2292" s="23"/>
    </row>
    <row r="2293" spans="1:18" ht="12.75">
      <c r="A2293" s="12"/>
      <c r="D2293" s="12"/>
      <c r="E2293" s="12"/>
      <c r="H2293" s="11" t="str">
        <f ca="1">IFERROR(__xludf.DUMMYFUNCTION("IFERROR(SUBSTITUTE(SUBSTITUTE(REGEXEXTRACT(A2293, ""[^-]+- [^-]+- [^-]+ - (.+?)\.jpg""), "".jpg"", """"), ""-"", "", ""), """")"),"")</f>
        <v/>
      </c>
      <c r="L2293" s="12"/>
      <c r="M2293" s="13"/>
      <c r="N2293" s="2"/>
      <c r="O2293" s="20"/>
      <c r="P2293" s="42"/>
      <c r="R2293" s="23"/>
    </row>
    <row r="2294" spans="1:18" ht="12.75">
      <c r="A2294" s="12"/>
      <c r="D2294" s="12"/>
      <c r="E2294" s="12"/>
      <c r="H2294" s="11" t="str">
        <f ca="1">IFERROR(__xludf.DUMMYFUNCTION("IFERROR(SUBSTITUTE(SUBSTITUTE(REGEXEXTRACT(A2294, ""[^-]+- [^-]+- [^-]+ - (.+?)\.jpg""), "".jpg"", """"), ""-"", "", ""), """")"),"")</f>
        <v/>
      </c>
      <c r="L2294" s="12"/>
      <c r="M2294" s="13"/>
      <c r="N2294" s="2"/>
      <c r="O2294" s="20"/>
      <c r="P2294" s="42"/>
      <c r="R2294" s="23"/>
    </row>
    <row r="2295" spans="1:18" ht="12.75">
      <c r="A2295" s="12"/>
      <c r="D2295" s="12"/>
      <c r="E2295" s="12"/>
      <c r="H2295" s="11" t="str">
        <f ca="1">IFERROR(__xludf.DUMMYFUNCTION("IFERROR(SUBSTITUTE(SUBSTITUTE(REGEXEXTRACT(A2295, ""[^-]+- [^-]+- [^-]+ - (.+?)\.jpg""), "".jpg"", """"), ""-"", "", ""), """")"),"")</f>
        <v/>
      </c>
      <c r="L2295" s="12"/>
      <c r="M2295" s="13"/>
      <c r="N2295" s="2"/>
      <c r="O2295" s="20"/>
      <c r="P2295" s="42"/>
      <c r="R2295" s="23"/>
    </row>
    <row r="2296" spans="1:18" ht="12.75">
      <c r="A2296" s="12"/>
      <c r="D2296" s="12"/>
      <c r="E2296" s="12"/>
      <c r="H2296" s="11" t="str">
        <f ca="1">IFERROR(__xludf.DUMMYFUNCTION("IFERROR(SUBSTITUTE(SUBSTITUTE(REGEXEXTRACT(A2296, ""[^-]+- [^-]+- [^-]+ - (.+?)\.jpg""), "".jpg"", """"), ""-"", "", ""), """")"),"")</f>
        <v/>
      </c>
      <c r="L2296" s="12"/>
      <c r="M2296" s="13"/>
      <c r="N2296" s="2"/>
      <c r="O2296" s="20"/>
      <c r="P2296" s="42"/>
      <c r="R2296" s="23"/>
    </row>
    <row r="2297" spans="1:18" ht="12.75">
      <c r="A2297" s="12"/>
      <c r="D2297" s="12"/>
      <c r="E2297" s="12"/>
      <c r="H2297" s="11" t="str">
        <f ca="1">IFERROR(__xludf.DUMMYFUNCTION("IFERROR(SUBSTITUTE(SUBSTITUTE(REGEXEXTRACT(A2297, ""[^-]+- [^-]+- [^-]+ - (.+?)\.jpg""), "".jpg"", """"), ""-"", "", ""), """")"),"")</f>
        <v/>
      </c>
      <c r="L2297" s="12"/>
      <c r="M2297" s="13"/>
      <c r="N2297" s="2"/>
      <c r="O2297" s="20"/>
      <c r="P2297" s="42"/>
      <c r="R2297" s="23"/>
    </row>
    <row r="2298" spans="1:18" ht="12.75">
      <c r="A2298" s="12"/>
      <c r="D2298" s="12"/>
      <c r="E2298" s="12"/>
      <c r="H2298" s="11" t="str">
        <f ca="1">IFERROR(__xludf.DUMMYFUNCTION("IFERROR(SUBSTITUTE(SUBSTITUTE(REGEXEXTRACT(A2298, ""[^-]+- [^-]+- [^-]+ - (.+?)\.jpg""), "".jpg"", """"), ""-"", "", ""), """")"),"")</f>
        <v/>
      </c>
      <c r="L2298" s="12"/>
      <c r="M2298" s="13"/>
      <c r="N2298" s="2"/>
      <c r="O2298" s="20"/>
      <c r="P2298" s="42"/>
      <c r="R2298" s="23"/>
    </row>
    <row r="2299" spans="1:18" ht="12.75">
      <c r="A2299" s="12"/>
      <c r="D2299" s="12"/>
      <c r="E2299" s="12"/>
      <c r="H2299" s="11" t="str">
        <f ca="1">IFERROR(__xludf.DUMMYFUNCTION("IFERROR(SUBSTITUTE(SUBSTITUTE(REGEXEXTRACT(A2299, ""[^-]+- [^-]+- [^-]+ - (.+?)\.jpg""), "".jpg"", """"), ""-"", "", ""), """")"),"")</f>
        <v/>
      </c>
      <c r="L2299" s="12"/>
      <c r="M2299" s="13"/>
      <c r="N2299" s="2"/>
      <c r="O2299" s="20"/>
      <c r="P2299" s="42"/>
      <c r="R2299" s="23"/>
    </row>
    <row r="2300" spans="1:18" ht="12.75">
      <c r="A2300" s="12"/>
      <c r="D2300" s="12"/>
      <c r="E2300" s="12"/>
      <c r="H2300" s="11" t="str">
        <f ca="1">IFERROR(__xludf.DUMMYFUNCTION("IFERROR(SUBSTITUTE(SUBSTITUTE(REGEXEXTRACT(A2300, ""[^-]+- [^-]+- [^-]+ - (.+?)\.jpg""), "".jpg"", """"), ""-"", "", ""), """")"),"")</f>
        <v/>
      </c>
      <c r="L2300" s="12"/>
      <c r="M2300" s="13"/>
      <c r="N2300" s="2"/>
      <c r="O2300" s="20"/>
      <c r="P2300" s="42"/>
      <c r="R2300" s="23"/>
    </row>
    <row r="2301" spans="1:18" ht="12.75">
      <c r="A2301" s="12"/>
      <c r="D2301" s="12"/>
      <c r="E2301" s="12"/>
      <c r="H2301" s="11" t="str">
        <f ca="1">IFERROR(__xludf.DUMMYFUNCTION("IFERROR(SUBSTITUTE(SUBSTITUTE(REGEXEXTRACT(A2301, ""[^-]+- [^-]+- [^-]+ - (.+?)\.jpg""), "".jpg"", """"), ""-"", "", ""), """")"),"")</f>
        <v/>
      </c>
      <c r="L2301" s="12"/>
      <c r="M2301" s="13"/>
      <c r="N2301" s="2"/>
      <c r="O2301" s="20"/>
      <c r="P2301" s="42"/>
      <c r="R2301" s="23"/>
    </row>
    <row r="2302" spans="1:18" ht="12.75">
      <c r="A2302" s="12"/>
      <c r="D2302" s="12"/>
      <c r="E2302" s="12"/>
      <c r="H2302" s="11" t="str">
        <f ca="1">IFERROR(__xludf.DUMMYFUNCTION("IFERROR(SUBSTITUTE(SUBSTITUTE(REGEXEXTRACT(A2302, ""[^-]+- [^-]+- [^-]+ - (.+?)\.jpg""), "".jpg"", """"), ""-"", "", ""), """")"),"")</f>
        <v/>
      </c>
      <c r="L2302" s="12"/>
      <c r="M2302" s="13"/>
      <c r="N2302" s="2"/>
      <c r="O2302" s="20"/>
      <c r="P2302" s="42"/>
      <c r="R2302" s="23"/>
    </row>
    <row r="2303" spans="1:18" ht="12.75">
      <c r="A2303" s="12"/>
      <c r="D2303" s="12"/>
      <c r="E2303" s="12"/>
      <c r="H2303" s="11" t="str">
        <f ca="1">IFERROR(__xludf.DUMMYFUNCTION("IFERROR(SUBSTITUTE(SUBSTITUTE(REGEXEXTRACT(A2303, ""[^-]+- [^-]+- [^-]+ - (.+?)\.jpg""), "".jpg"", """"), ""-"", "", ""), """")"),"")</f>
        <v/>
      </c>
      <c r="L2303" s="12"/>
      <c r="M2303" s="13"/>
      <c r="N2303" s="2"/>
      <c r="O2303" s="20"/>
      <c r="P2303" s="42"/>
      <c r="R2303" s="23"/>
    </row>
    <row r="2304" spans="1:18" ht="12.75">
      <c r="A2304" s="12"/>
      <c r="D2304" s="12"/>
      <c r="E2304" s="12"/>
      <c r="H2304" s="11" t="str">
        <f ca="1">IFERROR(__xludf.DUMMYFUNCTION("IFERROR(SUBSTITUTE(SUBSTITUTE(REGEXEXTRACT(A2304, ""[^-]+- [^-]+- [^-]+ - (.+?)\.jpg""), "".jpg"", """"), ""-"", "", ""), """")"),"")</f>
        <v/>
      </c>
      <c r="L2304" s="12"/>
      <c r="M2304" s="13"/>
      <c r="N2304" s="2"/>
      <c r="O2304" s="20"/>
      <c r="P2304" s="42"/>
      <c r="R2304" s="23"/>
    </row>
    <row r="2305" spans="1:18" ht="12.75">
      <c r="A2305" s="12"/>
      <c r="D2305" s="12"/>
      <c r="E2305" s="12"/>
      <c r="H2305" s="11" t="str">
        <f ca="1">IFERROR(__xludf.DUMMYFUNCTION("IFERROR(SUBSTITUTE(SUBSTITUTE(REGEXEXTRACT(A2305, ""[^-]+- [^-]+- [^-]+ - (.+?)\.jpg""), "".jpg"", """"), ""-"", "", ""), """")"),"")</f>
        <v/>
      </c>
      <c r="L2305" s="12"/>
      <c r="M2305" s="13"/>
      <c r="N2305" s="2"/>
      <c r="O2305" s="20"/>
      <c r="P2305" s="42"/>
      <c r="R2305" s="23"/>
    </row>
    <row r="2306" spans="1:18" ht="12.75">
      <c r="A2306" s="12"/>
      <c r="D2306" s="12"/>
      <c r="E2306" s="12"/>
      <c r="H2306" s="11" t="str">
        <f ca="1">IFERROR(__xludf.DUMMYFUNCTION("IFERROR(SUBSTITUTE(SUBSTITUTE(REGEXEXTRACT(A2306, ""[^-]+- [^-]+- [^-]+ - (.+?)\.jpg""), "".jpg"", """"), ""-"", "", ""), """")"),"")</f>
        <v/>
      </c>
      <c r="L2306" s="12"/>
      <c r="M2306" s="13"/>
      <c r="N2306" s="2"/>
      <c r="O2306" s="20"/>
      <c r="P2306" s="42"/>
      <c r="R2306" s="23"/>
    </row>
    <row r="2307" spans="1:18" ht="12.75">
      <c r="A2307" s="12"/>
      <c r="D2307" s="12"/>
      <c r="E2307" s="12"/>
      <c r="H2307" s="11" t="str">
        <f ca="1">IFERROR(__xludf.DUMMYFUNCTION("IFERROR(SUBSTITUTE(SUBSTITUTE(REGEXEXTRACT(A2307, ""[^-]+- [^-]+- [^-]+ - (.+?)\.jpg""), "".jpg"", """"), ""-"", "", ""), """")"),"")</f>
        <v/>
      </c>
      <c r="L2307" s="12"/>
      <c r="M2307" s="13"/>
      <c r="N2307" s="2"/>
      <c r="O2307" s="20"/>
      <c r="P2307" s="42"/>
      <c r="R2307" s="23"/>
    </row>
    <row r="2308" spans="1:18" ht="12.75">
      <c r="A2308" s="12"/>
      <c r="D2308" s="12"/>
      <c r="E2308" s="12"/>
      <c r="H2308" s="11" t="str">
        <f ca="1">IFERROR(__xludf.DUMMYFUNCTION("IFERROR(SUBSTITUTE(SUBSTITUTE(REGEXEXTRACT(A2308, ""[^-]+- [^-]+- [^-]+ - (.+?)\.jpg""), "".jpg"", """"), ""-"", "", ""), """")"),"")</f>
        <v/>
      </c>
      <c r="L2308" s="12"/>
      <c r="M2308" s="13"/>
      <c r="N2308" s="2"/>
      <c r="O2308" s="20"/>
      <c r="P2308" s="42"/>
      <c r="R2308" s="23"/>
    </row>
    <row r="2309" spans="1:18" ht="12.75">
      <c r="A2309" s="12"/>
      <c r="D2309" s="12"/>
      <c r="E2309" s="12"/>
      <c r="H2309" s="11" t="str">
        <f ca="1">IFERROR(__xludf.DUMMYFUNCTION("IFERROR(SUBSTITUTE(SUBSTITUTE(REGEXEXTRACT(A2309, ""[^-]+- [^-]+- [^-]+ - (.+?)\.jpg""), "".jpg"", """"), ""-"", "", ""), """")"),"")</f>
        <v/>
      </c>
      <c r="L2309" s="12"/>
      <c r="M2309" s="13"/>
      <c r="N2309" s="2"/>
      <c r="O2309" s="20"/>
      <c r="P2309" s="42"/>
      <c r="R2309" s="23"/>
    </row>
    <row r="2310" spans="1:18" ht="12.75">
      <c r="A2310" s="12"/>
      <c r="D2310" s="12"/>
      <c r="E2310" s="12"/>
      <c r="H2310" s="11" t="str">
        <f ca="1">IFERROR(__xludf.DUMMYFUNCTION("IFERROR(SUBSTITUTE(SUBSTITUTE(REGEXEXTRACT(A2310, ""[^-]+- [^-]+- [^-]+ - (.+?)\.jpg""), "".jpg"", """"), ""-"", "", ""), """")"),"")</f>
        <v/>
      </c>
      <c r="L2310" s="12"/>
      <c r="M2310" s="13"/>
      <c r="N2310" s="2"/>
      <c r="O2310" s="20"/>
      <c r="P2310" s="42"/>
      <c r="R2310" s="23"/>
    </row>
    <row r="2311" spans="1:18" ht="12.75">
      <c r="A2311" s="12"/>
      <c r="D2311" s="12"/>
      <c r="E2311" s="12"/>
      <c r="H2311" s="11" t="str">
        <f ca="1">IFERROR(__xludf.DUMMYFUNCTION("IFERROR(SUBSTITUTE(SUBSTITUTE(REGEXEXTRACT(A2311, ""[^-]+- [^-]+- [^-]+ - (.+?)\.jpg""), "".jpg"", """"), ""-"", "", ""), """")"),"")</f>
        <v/>
      </c>
      <c r="L2311" s="12"/>
      <c r="M2311" s="13"/>
      <c r="N2311" s="2"/>
      <c r="O2311" s="20"/>
      <c r="P2311" s="42"/>
      <c r="R2311" s="23"/>
    </row>
    <row r="2312" spans="1:18" ht="12.75">
      <c r="A2312" s="12"/>
      <c r="D2312" s="12"/>
      <c r="E2312" s="12"/>
      <c r="H2312" s="11" t="str">
        <f ca="1">IFERROR(__xludf.DUMMYFUNCTION("IFERROR(SUBSTITUTE(SUBSTITUTE(REGEXEXTRACT(A2312, ""[^-]+- [^-]+- [^-]+ - (.+?)\.jpg""), "".jpg"", """"), ""-"", "", ""), """")"),"")</f>
        <v/>
      </c>
      <c r="L2312" s="12"/>
      <c r="M2312" s="13"/>
      <c r="N2312" s="2"/>
      <c r="O2312" s="20"/>
      <c r="P2312" s="42"/>
      <c r="R2312" s="23"/>
    </row>
    <row r="2313" spans="1:18" ht="12.75">
      <c r="A2313" s="12"/>
      <c r="D2313" s="12"/>
      <c r="E2313" s="12"/>
      <c r="H2313" s="11" t="str">
        <f ca="1">IFERROR(__xludf.DUMMYFUNCTION("IFERROR(SUBSTITUTE(SUBSTITUTE(REGEXEXTRACT(A2313, ""[^-]+- [^-]+- [^-]+ - (.+?)\.jpg""), "".jpg"", """"), ""-"", "", ""), """")"),"")</f>
        <v/>
      </c>
      <c r="L2313" s="12"/>
      <c r="M2313" s="13"/>
      <c r="N2313" s="2"/>
      <c r="O2313" s="20"/>
      <c r="P2313" s="42"/>
      <c r="R2313" s="23"/>
    </row>
    <row r="2314" spans="1:18" ht="12.75">
      <c r="A2314" s="12"/>
      <c r="D2314" s="12"/>
      <c r="E2314" s="12"/>
      <c r="H2314" s="11" t="str">
        <f ca="1">IFERROR(__xludf.DUMMYFUNCTION("IFERROR(SUBSTITUTE(SUBSTITUTE(REGEXEXTRACT(A2314, ""[^-]+- [^-]+- [^-]+ - (.+?)\.jpg""), "".jpg"", """"), ""-"", "", ""), """")"),"")</f>
        <v/>
      </c>
      <c r="L2314" s="12"/>
      <c r="M2314" s="13"/>
      <c r="N2314" s="2"/>
      <c r="O2314" s="20"/>
      <c r="P2314" s="42"/>
      <c r="R2314" s="23"/>
    </row>
    <row r="2315" spans="1:18" ht="12.75">
      <c r="A2315" s="12"/>
      <c r="D2315" s="12"/>
      <c r="E2315" s="12"/>
      <c r="H2315" s="11" t="str">
        <f ca="1">IFERROR(__xludf.DUMMYFUNCTION("IFERROR(SUBSTITUTE(SUBSTITUTE(REGEXEXTRACT(A2315, ""[^-]+- [^-]+- [^-]+ - (.+?)\.jpg""), "".jpg"", """"), ""-"", "", ""), """")"),"")</f>
        <v/>
      </c>
      <c r="L2315" s="12"/>
      <c r="M2315" s="13"/>
      <c r="N2315" s="2"/>
      <c r="O2315" s="20"/>
      <c r="P2315" s="42"/>
      <c r="R2315" s="23"/>
    </row>
    <row r="2316" spans="1:18" ht="12.75">
      <c r="A2316" s="12"/>
      <c r="D2316" s="12"/>
      <c r="E2316" s="12"/>
      <c r="H2316" s="11" t="str">
        <f ca="1">IFERROR(__xludf.DUMMYFUNCTION("IFERROR(SUBSTITUTE(SUBSTITUTE(REGEXEXTRACT(A2316, ""[^-]+- [^-]+- [^-]+ - (.+?)\.jpg""), "".jpg"", """"), ""-"", "", ""), """")"),"")</f>
        <v/>
      </c>
      <c r="L2316" s="12"/>
      <c r="M2316" s="13"/>
      <c r="N2316" s="2"/>
      <c r="O2316" s="20"/>
      <c r="P2316" s="42"/>
      <c r="R2316" s="23"/>
    </row>
    <row r="2317" spans="1:18" ht="12.75">
      <c r="A2317" s="12"/>
      <c r="D2317" s="12"/>
      <c r="E2317" s="12"/>
      <c r="H2317" s="11" t="str">
        <f ca="1">IFERROR(__xludf.DUMMYFUNCTION("IFERROR(SUBSTITUTE(SUBSTITUTE(REGEXEXTRACT(A2317, ""[^-]+- [^-]+- [^-]+ - (.+?)\.jpg""), "".jpg"", """"), ""-"", "", ""), """")"),"")</f>
        <v/>
      </c>
      <c r="L2317" s="12"/>
      <c r="M2317" s="13"/>
      <c r="N2317" s="2"/>
      <c r="O2317" s="20"/>
      <c r="P2317" s="42"/>
      <c r="R2317" s="23"/>
    </row>
    <row r="2318" spans="1:18" ht="12.75">
      <c r="A2318" s="12"/>
      <c r="D2318" s="12"/>
      <c r="E2318" s="12"/>
      <c r="H2318" s="11" t="str">
        <f ca="1">IFERROR(__xludf.DUMMYFUNCTION("IFERROR(SUBSTITUTE(SUBSTITUTE(REGEXEXTRACT(A2318, ""[^-]+- [^-]+- [^-]+ - (.+?)\.jpg""), "".jpg"", """"), ""-"", "", ""), """")"),"")</f>
        <v/>
      </c>
      <c r="L2318" s="12"/>
      <c r="M2318" s="13"/>
      <c r="N2318" s="2"/>
      <c r="O2318" s="20"/>
      <c r="P2318" s="42"/>
      <c r="R2318" s="23"/>
    </row>
    <row r="2319" spans="1:18" ht="12.75">
      <c r="A2319" s="12"/>
      <c r="D2319" s="12"/>
      <c r="E2319" s="12"/>
      <c r="H2319" s="11" t="str">
        <f ca="1">IFERROR(__xludf.DUMMYFUNCTION("IFERROR(SUBSTITUTE(SUBSTITUTE(REGEXEXTRACT(A2319, ""[^-]+- [^-]+- [^-]+ - (.+?)\.jpg""), "".jpg"", """"), ""-"", "", ""), """")"),"")</f>
        <v/>
      </c>
      <c r="L2319" s="12"/>
      <c r="M2319" s="13"/>
      <c r="N2319" s="2"/>
      <c r="O2319" s="20"/>
      <c r="P2319" s="42"/>
      <c r="R2319" s="23"/>
    </row>
    <row r="2320" spans="1:18" ht="12.75">
      <c r="A2320" s="12"/>
      <c r="D2320" s="12"/>
      <c r="E2320" s="12"/>
      <c r="H2320" s="11" t="str">
        <f ca="1">IFERROR(__xludf.DUMMYFUNCTION("IFERROR(SUBSTITUTE(SUBSTITUTE(REGEXEXTRACT(A2320, ""[^-]+- [^-]+- [^-]+ - (.+?)\.jpg""), "".jpg"", """"), ""-"", "", ""), """")"),"")</f>
        <v/>
      </c>
      <c r="L2320" s="12"/>
      <c r="M2320" s="13"/>
      <c r="N2320" s="2"/>
      <c r="O2320" s="20"/>
      <c r="P2320" s="42"/>
      <c r="R2320" s="23"/>
    </row>
    <row r="2321" spans="1:18" ht="12.75">
      <c r="A2321" s="12"/>
      <c r="D2321" s="12"/>
      <c r="E2321" s="12"/>
      <c r="H2321" s="11" t="str">
        <f ca="1">IFERROR(__xludf.DUMMYFUNCTION("IFERROR(SUBSTITUTE(SUBSTITUTE(REGEXEXTRACT(A2321, ""[^-]+- [^-]+- [^-]+ - (.+?)\.jpg""), "".jpg"", """"), ""-"", "", ""), """")"),"")</f>
        <v/>
      </c>
      <c r="L2321" s="12"/>
      <c r="M2321" s="13"/>
      <c r="N2321" s="2"/>
      <c r="O2321" s="20"/>
      <c r="P2321" s="42"/>
      <c r="R2321" s="23"/>
    </row>
    <row r="2322" spans="1:18" ht="12.75">
      <c r="A2322" s="12"/>
      <c r="D2322" s="12"/>
      <c r="E2322" s="12"/>
      <c r="H2322" s="11" t="str">
        <f ca="1">IFERROR(__xludf.DUMMYFUNCTION("IFERROR(SUBSTITUTE(SUBSTITUTE(REGEXEXTRACT(A2322, ""[^-]+- [^-]+- [^-]+ - (.+?)\.jpg""), "".jpg"", """"), ""-"", "", ""), """")"),"")</f>
        <v/>
      </c>
      <c r="L2322" s="12"/>
      <c r="M2322" s="13"/>
      <c r="N2322" s="2"/>
      <c r="O2322" s="20"/>
      <c r="P2322" s="42"/>
      <c r="R2322" s="23"/>
    </row>
    <row r="2323" spans="1:18" ht="12.75">
      <c r="A2323" s="12"/>
      <c r="D2323" s="12"/>
      <c r="E2323" s="12"/>
      <c r="H2323" s="11" t="str">
        <f ca="1">IFERROR(__xludf.DUMMYFUNCTION("IFERROR(SUBSTITUTE(SUBSTITUTE(REGEXEXTRACT(A2323, ""[^-]+- [^-]+- [^-]+ - (.+?)\.jpg""), "".jpg"", """"), ""-"", "", ""), """")"),"")</f>
        <v/>
      </c>
      <c r="L2323" s="12"/>
      <c r="M2323" s="13"/>
      <c r="N2323" s="2"/>
      <c r="O2323" s="20"/>
      <c r="P2323" s="42"/>
      <c r="R2323" s="23"/>
    </row>
    <row r="2324" spans="1:18" ht="12.75">
      <c r="A2324" s="12"/>
      <c r="D2324" s="12"/>
      <c r="E2324" s="12"/>
      <c r="H2324" s="11" t="str">
        <f ca="1">IFERROR(__xludf.DUMMYFUNCTION("IFERROR(SUBSTITUTE(SUBSTITUTE(REGEXEXTRACT(A2324, ""[^-]+- [^-]+- [^-]+ - (.+?)\.jpg""), "".jpg"", """"), ""-"", "", ""), """")"),"")</f>
        <v/>
      </c>
      <c r="L2324" s="12"/>
      <c r="M2324" s="13"/>
      <c r="N2324" s="2"/>
      <c r="O2324" s="20"/>
      <c r="P2324" s="42"/>
      <c r="R2324" s="23"/>
    </row>
    <row r="2325" spans="1:18" ht="12.75">
      <c r="A2325" s="12"/>
      <c r="D2325" s="12"/>
      <c r="E2325" s="12"/>
      <c r="H2325" s="11" t="str">
        <f ca="1">IFERROR(__xludf.DUMMYFUNCTION("IFERROR(SUBSTITUTE(SUBSTITUTE(REGEXEXTRACT(A2325, ""[^-]+- [^-]+- [^-]+ - (.+?)\.jpg""), "".jpg"", """"), ""-"", "", ""), """")"),"")</f>
        <v/>
      </c>
      <c r="L2325" s="12"/>
      <c r="M2325" s="13"/>
      <c r="N2325" s="2"/>
      <c r="O2325" s="20"/>
      <c r="P2325" s="42"/>
      <c r="R2325" s="23"/>
    </row>
    <row r="2326" spans="1:18" ht="12.75">
      <c r="A2326" s="12"/>
      <c r="D2326" s="12"/>
      <c r="E2326" s="12"/>
      <c r="H2326" s="11" t="str">
        <f ca="1">IFERROR(__xludf.DUMMYFUNCTION("IFERROR(SUBSTITUTE(SUBSTITUTE(REGEXEXTRACT(A2326, ""[^-]+- [^-]+- [^-]+ - (.+?)\.jpg""), "".jpg"", """"), ""-"", "", ""), """")"),"")</f>
        <v/>
      </c>
      <c r="L2326" s="12"/>
      <c r="M2326" s="13"/>
      <c r="N2326" s="2"/>
      <c r="O2326" s="20"/>
      <c r="P2326" s="42"/>
      <c r="R2326" s="23"/>
    </row>
    <row r="2327" spans="1:18" ht="12.75">
      <c r="A2327" s="12"/>
      <c r="D2327" s="12"/>
      <c r="E2327" s="12"/>
      <c r="H2327" s="11" t="str">
        <f ca="1">IFERROR(__xludf.DUMMYFUNCTION("IFERROR(SUBSTITUTE(SUBSTITUTE(REGEXEXTRACT(A2327, ""[^-]+- [^-]+- [^-]+ - (.+?)\.jpg""), "".jpg"", """"), ""-"", "", ""), """")"),"")</f>
        <v/>
      </c>
      <c r="L2327" s="12"/>
      <c r="M2327" s="13"/>
      <c r="N2327" s="2"/>
      <c r="O2327" s="20"/>
      <c r="P2327" s="42"/>
      <c r="R2327" s="23"/>
    </row>
    <row r="2328" spans="1:18" ht="12.75">
      <c r="A2328" s="12"/>
      <c r="D2328" s="12"/>
      <c r="E2328" s="12"/>
      <c r="H2328" s="11" t="str">
        <f ca="1">IFERROR(__xludf.DUMMYFUNCTION("IFERROR(SUBSTITUTE(SUBSTITUTE(REGEXEXTRACT(A2328, ""[^-]+- [^-]+- [^-]+ - (.+?)\.jpg""), "".jpg"", """"), ""-"", "", ""), """")"),"")</f>
        <v/>
      </c>
      <c r="L2328" s="12"/>
      <c r="M2328" s="13"/>
      <c r="N2328" s="2"/>
      <c r="O2328" s="20"/>
      <c r="P2328" s="42"/>
      <c r="R2328" s="23"/>
    </row>
    <row r="2329" spans="1:18" ht="12.75">
      <c r="A2329" s="12"/>
      <c r="D2329" s="12"/>
      <c r="E2329" s="12"/>
      <c r="H2329" s="11" t="str">
        <f ca="1">IFERROR(__xludf.DUMMYFUNCTION("IFERROR(SUBSTITUTE(SUBSTITUTE(REGEXEXTRACT(A2329, ""[^-]+- [^-]+- [^-]+ - (.+?)\.jpg""), "".jpg"", """"), ""-"", "", ""), """")"),"")</f>
        <v/>
      </c>
      <c r="L2329" s="12"/>
      <c r="M2329" s="13"/>
      <c r="N2329" s="2"/>
      <c r="O2329" s="20"/>
      <c r="P2329" s="42"/>
      <c r="R2329" s="23"/>
    </row>
    <row r="2330" spans="1:18" ht="12.75">
      <c r="A2330" s="12"/>
      <c r="D2330" s="12"/>
      <c r="E2330" s="12"/>
      <c r="H2330" s="11" t="str">
        <f ca="1">IFERROR(__xludf.DUMMYFUNCTION("IFERROR(SUBSTITUTE(SUBSTITUTE(REGEXEXTRACT(A2330, ""[^-]+- [^-]+- [^-]+ - (.+?)\.jpg""), "".jpg"", """"), ""-"", "", ""), """")"),"")</f>
        <v/>
      </c>
      <c r="L2330" s="12"/>
      <c r="M2330" s="13"/>
      <c r="N2330" s="2"/>
      <c r="O2330" s="20"/>
      <c r="P2330" s="42"/>
      <c r="R2330" s="23"/>
    </row>
    <row r="2331" spans="1:18" ht="12.75">
      <c r="A2331" s="12"/>
      <c r="D2331" s="12"/>
      <c r="E2331" s="12"/>
      <c r="H2331" s="11" t="str">
        <f ca="1">IFERROR(__xludf.DUMMYFUNCTION("IFERROR(SUBSTITUTE(SUBSTITUTE(REGEXEXTRACT(A2331, ""[^-]+- [^-]+- [^-]+ - (.+?)\.jpg""), "".jpg"", """"), ""-"", "", ""), """")"),"")</f>
        <v/>
      </c>
      <c r="L2331" s="12"/>
      <c r="M2331" s="13"/>
      <c r="N2331" s="2"/>
      <c r="O2331" s="20"/>
      <c r="P2331" s="42"/>
      <c r="R2331" s="23"/>
    </row>
    <row r="2332" spans="1:18" ht="12.75">
      <c r="A2332" s="12"/>
      <c r="D2332" s="12"/>
      <c r="E2332" s="12"/>
      <c r="H2332" s="11" t="str">
        <f ca="1">IFERROR(__xludf.DUMMYFUNCTION("IFERROR(SUBSTITUTE(SUBSTITUTE(REGEXEXTRACT(A2332, ""[^-]+- [^-]+- [^-]+ - (.+?)\.jpg""), "".jpg"", """"), ""-"", "", ""), """")"),"")</f>
        <v/>
      </c>
      <c r="L2332" s="12"/>
      <c r="M2332" s="13"/>
      <c r="N2332" s="2"/>
      <c r="O2332" s="20"/>
      <c r="P2332" s="42"/>
      <c r="R2332" s="23"/>
    </row>
    <row r="2333" spans="1:18" ht="12.75">
      <c r="A2333" s="12"/>
      <c r="D2333" s="12"/>
      <c r="E2333" s="12"/>
      <c r="H2333" s="11" t="str">
        <f ca="1">IFERROR(__xludf.DUMMYFUNCTION("IFERROR(SUBSTITUTE(SUBSTITUTE(REGEXEXTRACT(A2333, ""[^-]+- [^-]+- [^-]+ - (.+?)\.jpg""), "".jpg"", """"), ""-"", "", ""), """")"),"")</f>
        <v/>
      </c>
      <c r="L2333" s="12"/>
      <c r="M2333" s="13"/>
      <c r="N2333" s="2"/>
      <c r="O2333" s="20"/>
      <c r="P2333" s="42"/>
      <c r="R2333" s="23"/>
    </row>
    <row r="2334" spans="1:18" ht="12.75">
      <c r="A2334" s="12"/>
      <c r="D2334" s="12"/>
      <c r="E2334" s="12"/>
      <c r="H2334" s="11" t="str">
        <f ca="1">IFERROR(__xludf.DUMMYFUNCTION("IFERROR(SUBSTITUTE(SUBSTITUTE(REGEXEXTRACT(A2334, ""[^-]+- [^-]+- [^-]+ - (.+?)\.jpg""), "".jpg"", """"), ""-"", "", ""), """")"),"")</f>
        <v/>
      </c>
      <c r="L2334" s="12"/>
      <c r="M2334" s="13"/>
      <c r="N2334" s="2"/>
      <c r="O2334" s="20"/>
      <c r="P2334" s="42"/>
      <c r="R2334" s="23"/>
    </row>
    <row r="2335" spans="1:18" ht="12.75">
      <c r="A2335" s="12"/>
      <c r="D2335" s="12"/>
      <c r="E2335" s="12"/>
      <c r="H2335" s="11" t="str">
        <f ca="1">IFERROR(__xludf.DUMMYFUNCTION("IFERROR(SUBSTITUTE(SUBSTITUTE(REGEXEXTRACT(A2335, ""[^-]+- [^-]+- [^-]+ - (.+?)\.jpg""), "".jpg"", """"), ""-"", "", ""), """")"),"")</f>
        <v/>
      </c>
      <c r="L2335" s="12"/>
      <c r="M2335" s="13"/>
      <c r="N2335" s="2"/>
      <c r="O2335" s="20"/>
      <c r="P2335" s="42"/>
      <c r="R2335" s="23"/>
    </row>
    <row r="2336" spans="1:18" ht="12.75">
      <c r="A2336" s="12"/>
      <c r="D2336" s="12"/>
      <c r="E2336" s="12"/>
      <c r="H2336" s="11" t="str">
        <f ca="1">IFERROR(__xludf.DUMMYFUNCTION("IFERROR(SUBSTITUTE(SUBSTITUTE(REGEXEXTRACT(A2336, ""[^-]+- [^-]+- [^-]+ - (.+?)\.jpg""), "".jpg"", """"), ""-"", "", ""), """")"),"")</f>
        <v/>
      </c>
      <c r="L2336" s="12"/>
      <c r="M2336" s="13"/>
      <c r="N2336" s="2"/>
      <c r="O2336" s="20"/>
      <c r="P2336" s="42"/>
      <c r="R2336" s="23"/>
    </row>
    <row r="2337" spans="1:18" ht="12.75">
      <c r="A2337" s="12"/>
      <c r="D2337" s="12"/>
      <c r="E2337" s="12"/>
      <c r="H2337" s="11" t="str">
        <f ca="1">IFERROR(__xludf.DUMMYFUNCTION("IFERROR(SUBSTITUTE(SUBSTITUTE(REGEXEXTRACT(A2337, ""[^-]+- [^-]+- [^-]+ - (.+?)\.jpg""), "".jpg"", """"), ""-"", "", ""), """")"),"")</f>
        <v/>
      </c>
      <c r="L2337" s="12"/>
      <c r="M2337" s="13"/>
      <c r="N2337" s="2"/>
      <c r="O2337" s="20"/>
      <c r="P2337" s="42"/>
      <c r="R2337" s="23"/>
    </row>
    <row r="2338" spans="1:18" ht="12.75">
      <c r="A2338" s="12"/>
      <c r="D2338" s="12"/>
      <c r="E2338" s="12"/>
      <c r="H2338" s="11" t="str">
        <f ca="1">IFERROR(__xludf.DUMMYFUNCTION("IFERROR(SUBSTITUTE(SUBSTITUTE(REGEXEXTRACT(A2338, ""[^-]+- [^-]+- [^-]+ - (.+?)\.jpg""), "".jpg"", """"), ""-"", "", ""), """")"),"")</f>
        <v/>
      </c>
      <c r="L2338" s="12"/>
      <c r="M2338" s="13"/>
      <c r="N2338" s="2"/>
      <c r="O2338" s="20"/>
      <c r="P2338" s="42"/>
      <c r="R2338" s="23"/>
    </row>
    <row r="2339" spans="1:18" ht="12.75">
      <c r="A2339" s="12"/>
      <c r="D2339" s="12"/>
      <c r="E2339" s="12"/>
      <c r="H2339" s="11" t="str">
        <f ca="1">IFERROR(__xludf.DUMMYFUNCTION("IFERROR(SUBSTITUTE(SUBSTITUTE(REGEXEXTRACT(A2339, ""[^-]+- [^-]+- [^-]+ - (.+?)\.jpg""), "".jpg"", """"), ""-"", "", ""), """")"),"")</f>
        <v/>
      </c>
      <c r="L2339" s="12"/>
      <c r="M2339" s="13"/>
      <c r="N2339" s="2"/>
      <c r="O2339" s="20"/>
      <c r="P2339" s="42"/>
      <c r="R2339" s="23"/>
    </row>
    <row r="2340" spans="1:18" ht="12.75">
      <c r="A2340" s="12"/>
      <c r="D2340" s="12"/>
      <c r="E2340" s="12"/>
      <c r="H2340" s="11" t="str">
        <f ca="1">IFERROR(__xludf.DUMMYFUNCTION("IFERROR(SUBSTITUTE(SUBSTITUTE(REGEXEXTRACT(A2340, ""[^-]+- [^-]+- [^-]+ - (.+?)\.jpg""), "".jpg"", """"), ""-"", "", ""), """")"),"")</f>
        <v/>
      </c>
      <c r="L2340" s="12"/>
      <c r="M2340" s="13"/>
      <c r="N2340" s="2"/>
      <c r="O2340" s="20"/>
      <c r="P2340" s="42"/>
      <c r="R2340" s="23"/>
    </row>
    <row r="2341" spans="1:18" ht="12.75">
      <c r="A2341" s="12"/>
      <c r="D2341" s="12"/>
      <c r="E2341" s="12"/>
      <c r="H2341" s="11" t="str">
        <f ca="1">IFERROR(__xludf.DUMMYFUNCTION("IFERROR(SUBSTITUTE(SUBSTITUTE(REGEXEXTRACT(A2341, ""[^-]+- [^-]+- [^-]+ - (.+?)\.jpg""), "".jpg"", """"), ""-"", "", ""), """")"),"")</f>
        <v/>
      </c>
      <c r="L2341" s="12"/>
      <c r="M2341" s="13"/>
      <c r="N2341" s="2"/>
      <c r="O2341" s="20"/>
      <c r="P2341" s="42"/>
      <c r="R2341" s="23"/>
    </row>
    <row r="2342" spans="1:18" ht="12.75">
      <c r="A2342" s="12"/>
      <c r="D2342" s="12"/>
      <c r="E2342" s="12"/>
      <c r="H2342" s="11" t="str">
        <f ca="1">IFERROR(__xludf.DUMMYFUNCTION("IFERROR(SUBSTITUTE(SUBSTITUTE(REGEXEXTRACT(A2342, ""[^-]+- [^-]+- [^-]+ - (.+?)\.jpg""), "".jpg"", """"), ""-"", "", ""), """")"),"")</f>
        <v/>
      </c>
      <c r="L2342" s="12"/>
      <c r="M2342" s="13"/>
      <c r="N2342" s="2"/>
      <c r="O2342" s="20"/>
      <c r="P2342" s="42"/>
      <c r="R2342" s="23"/>
    </row>
    <row r="2343" spans="1:18" ht="12.75">
      <c r="A2343" s="12"/>
      <c r="D2343" s="12"/>
      <c r="E2343" s="12"/>
      <c r="H2343" s="11" t="str">
        <f ca="1">IFERROR(__xludf.DUMMYFUNCTION("IFERROR(SUBSTITUTE(SUBSTITUTE(REGEXEXTRACT(A2343, ""[^-]+- [^-]+- [^-]+ - (.+?)\.jpg""), "".jpg"", """"), ""-"", "", ""), """")"),"")</f>
        <v/>
      </c>
      <c r="L2343" s="12"/>
      <c r="M2343" s="13"/>
      <c r="N2343" s="2"/>
      <c r="O2343" s="20"/>
      <c r="P2343" s="42"/>
      <c r="R2343" s="23"/>
    </row>
    <row r="2344" spans="1:18" ht="12.75">
      <c r="A2344" s="12"/>
      <c r="D2344" s="12"/>
      <c r="E2344" s="12"/>
      <c r="H2344" s="11" t="str">
        <f ca="1">IFERROR(__xludf.DUMMYFUNCTION("IFERROR(SUBSTITUTE(SUBSTITUTE(REGEXEXTRACT(A2344, ""[^-]+- [^-]+- [^-]+ - (.+?)\.jpg""), "".jpg"", """"), ""-"", "", ""), """")"),"")</f>
        <v/>
      </c>
      <c r="L2344" s="12"/>
      <c r="M2344" s="13"/>
      <c r="N2344" s="2"/>
      <c r="O2344" s="20"/>
      <c r="P2344" s="42"/>
      <c r="R2344" s="23"/>
    </row>
    <row r="2345" spans="1:18" ht="12.75">
      <c r="A2345" s="12"/>
      <c r="D2345" s="12"/>
      <c r="E2345" s="12"/>
      <c r="H2345" s="11" t="str">
        <f ca="1">IFERROR(__xludf.DUMMYFUNCTION("IFERROR(SUBSTITUTE(SUBSTITUTE(REGEXEXTRACT(A2345, ""[^-]+- [^-]+- [^-]+ - (.+?)\.jpg""), "".jpg"", """"), ""-"", "", ""), """")"),"")</f>
        <v/>
      </c>
      <c r="L2345" s="12"/>
      <c r="M2345" s="13"/>
      <c r="N2345" s="2"/>
      <c r="O2345" s="20"/>
      <c r="P2345" s="42"/>
      <c r="R2345" s="23"/>
    </row>
    <row r="2346" spans="1:18" ht="12.75">
      <c r="A2346" s="12"/>
      <c r="D2346" s="12"/>
      <c r="E2346" s="12"/>
      <c r="H2346" s="11" t="str">
        <f ca="1">IFERROR(__xludf.DUMMYFUNCTION("IFERROR(SUBSTITUTE(SUBSTITUTE(REGEXEXTRACT(A2346, ""[^-]+- [^-]+- [^-]+ - (.+?)\.jpg""), "".jpg"", """"), ""-"", "", ""), """")"),"")</f>
        <v/>
      </c>
      <c r="L2346" s="12"/>
      <c r="M2346" s="13"/>
      <c r="N2346" s="2"/>
      <c r="O2346" s="20"/>
      <c r="P2346" s="42"/>
      <c r="R2346" s="23"/>
    </row>
    <row r="2347" spans="1:18" ht="12.75">
      <c r="A2347" s="12"/>
      <c r="D2347" s="12"/>
      <c r="E2347" s="12"/>
      <c r="H2347" s="11" t="str">
        <f ca="1">IFERROR(__xludf.DUMMYFUNCTION("IFERROR(SUBSTITUTE(SUBSTITUTE(REGEXEXTRACT(A2347, ""[^-]+- [^-]+- [^-]+ - (.+?)\.jpg""), "".jpg"", """"), ""-"", "", ""), """")"),"")</f>
        <v/>
      </c>
      <c r="L2347" s="12"/>
      <c r="M2347" s="13"/>
      <c r="N2347" s="2"/>
      <c r="O2347" s="20"/>
      <c r="P2347" s="42"/>
      <c r="R2347" s="23"/>
    </row>
    <row r="2348" spans="1:18" ht="12.75">
      <c r="A2348" s="12"/>
      <c r="D2348" s="12"/>
      <c r="E2348" s="12"/>
      <c r="H2348" s="11" t="str">
        <f ca="1">IFERROR(__xludf.DUMMYFUNCTION("IFERROR(SUBSTITUTE(SUBSTITUTE(REGEXEXTRACT(A2348, ""[^-]+- [^-]+- [^-]+ - (.+?)\.jpg""), "".jpg"", """"), ""-"", "", ""), """")"),"")</f>
        <v/>
      </c>
      <c r="L2348" s="12"/>
      <c r="M2348" s="13"/>
      <c r="N2348" s="2"/>
      <c r="O2348" s="20"/>
      <c r="P2348" s="42"/>
      <c r="R2348" s="23"/>
    </row>
    <row r="2349" spans="1:18" ht="12.75">
      <c r="A2349" s="12"/>
      <c r="D2349" s="12"/>
      <c r="E2349" s="12"/>
      <c r="H2349" s="11" t="str">
        <f ca="1">IFERROR(__xludf.DUMMYFUNCTION("IFERROR(SUBSTITUTE(SUBSTITUTE(REGEXEXTRACT(A2349, ""[^-]+- [^-]+- [^-]+ - (.+?)\.jpg""), "".jpg"", """"), ""-"", "", ""), """")"),"")</f>
        <v/>
      </c>
      <c r="L2349" s="12"/>
      <c r="M2349" s="13"/>
      <c r="N2349" s="2"/>
      <c r="O2349" s="20"/>
      <c r="P2349" s="42"/>
      <c r="R2349" s="23"/>
    </row>
    <row r="2350" spans="1:18" ht="12.75">
      <c r="A2350" s="12"/>
      <c r="D2350" s="12"/>
      <c r="E2350" s="12"/>
      <c r="H2350" s="11" t="str">
        <f ca="1">IFERROR(__xludf.DUMMYFUNCTION("IFERROR(SUBSTITUTE(SUBSTITUTE(REGEXEXTRACT(A2350, ""[^-]+- [^-]+- [^-]+ - (.+?)\.jpg""), "".jpg"", """"), ""-"", "", ""), """")"),"")</f>
        <v/>
      </c>
      <c r="L2350" s="12"/>
      <c r="M2350" s="13"/>
      <c r="N2350" s="2"/>
      <c r="O2350" s="20"/>
      <c r="P2350" s="42"/>
      <c r="R2350" s="23"/>
    </row>
    <row r="2351" spans="1:18" ht="12.75">
      <c r="A2351" s="12"/>
      <c r="D2351" s="12"/>
      <c r="E2351" s="12"/>
      <c r="H2351" s="11" t="str">
        <f ca="1">IFERROR(__xludf.DUMMYFUNCTION("IFERROR(SUBSTITUTE(SUBSTITUTE(REGEXEXTRACT(A2351, ""[^-]+- [^-]+- [^-]+ - (.+?)\.jpg""), "".jpg"", """"), ""-"", "", ""), """")"),"")</f>
        <v/>
      </c>
      <c r="L2351" s="12"/>
      <c r="M2351" s="13"/>
      <c r="N2351" s="2"/>
      <c r="O2351" s="20"/>
      <c r="P2351" s="42"/>
      <c r="R2351" s="23"/>
    </row>
    <row r="2352" spans="1:18" ht="12.75">
      <c r="A2352" s="12"/>
      <c r="D2352" s="12"/>
      <c r="E2352" s="12"/>
      <c r="H2352" s="11" t="str">
        <f ca="1">IFERROR(__xludf.DUMMYFUNCTION("IFERROR(SUBSTITUTE(SUBSTITUTE(REGEXEXTRACT(A2352, ""[^-]+- [^-]+- [^-]+ - (.+?)\.jpg""), "".jpg"", """"), ""-"", "", ""), """")"),"")</f>
        <v/>
      </c>
      <c r="L2352" s="12"/>
      <c r="M2352" s="13"/>
      <c r="N2352" s="2"/>
      <c r="O2352" s="20"/>
      <c r="P2352" s="42"/>
      <c r="R2352" s="23"/>
    </row>
    <row r="2353" spans="1:18" ht="12.75">
      <c r="A2353" s="12"/>
      <c r="D2353" s="12"/>
      <c r="E2353" s="12"/>
      <c r="H2353" s="11" t="str">
        <f ca="1">IFERROR(__xludf.DUMMYFUNCTION("IFERROR(SUBSTITUTE(SUBSTITUTE(REGEXEXTRACT(A2353, ""[^-]+- [^-]+- [^-]+ - (.+?)\.jpg""), "".jpg"", """"), ""-"", "", ""), """")"),"")</f>
        <v/>
      </c>
      <c r="L2353" s="12"/>
      <c r="M2353" s="13"/>
      <c r="N2353" s="2"/>
      <c r="O2353" s="20"/>
      <c r="P2353" s="42"/>
      <c r="R2353" s="23"/>
    </row>
    <row r="2354" spans="1:18" ht="12.75">
      <c r="A2354" s="12"/>
      <c r="D2354" s="12"/>
      <c r="E2354" s="12"/>
      <c r="H2354" s="11" t="str">
        <f ca="1">IFERROR(__xludf.DUMMYFUNCTION("IFERROR(SUBSTITUTE(SUBSTITUTE(REGEXEXTRACT(A2354, ""[^-]+- [^-]+- [^-]+ - (.+?)\.jpg""), "".jpg"", """"), ""-"", "", ""), """")"),"")</f>
        <v/>
      </c>
      <c r="L2354" s="12"/>
      <c r="M2354" s="13"/>
      <c r="N2354" s="2"/>
      <c r="O2354" s="20"/>
      <c r="P2354" s="42"/>
      <c r="R2354" s="23"/>
    </row>
    <row r="2355" spans="1:18" ht="12.75">
      <c r="A2355" s="12"/>
      <c r="D2355" s="12"/>
      <c r="E2355" s="12"/>
      <c r="H2355" s="11" t="str">
        <f ca="1">IFERROR(__xludf.DUMMYFUNCTION("IFERROR(SUBSTITUTE(SUBSTITUTE(REGEXEXTRACT(A2355, ""[^-]+- [^-]+- [^-]+ - (.+?)\.jpg""), "".jpg"", """"), ""-"", "", ""), """")"),"")</f>
        <v/>
      </c>
      <c r="L2355" s="12"/>
      <c r="M2355" s="13"/>
      <c r="N2355" s="2"/>
      <c r="O2355" s="20"/>
      <c r="P2355" s="42"/>
      <c r="R2355" s="23"/>
    </row>
    <row r="2356" spans="1:18" ht="12.75">
      <c r="A2356" s="12"/>
      <c r="D2356" s="12"/>
      <c r="E2356" s="12"/>
      <c r="H2356" s="11" t="str">
        <f ca="1">IFERROR(__xludf.DUMMYFUNCTION("IFERROR(SUBSTITUTE(SUBSTITUTE(REGEXEXTRACT(A2356, ""[^-]+- [^-]+- [^-]+ - (.+?)\.jpg""), "".jpg"", """"), ""-"", "", ""), """")"),"")</f>
        <v/>
      </c>
      <c r="L2356" s="12"/>
      <c r="M2356" s="13"/>
      <c r="N2356" s="2"/>
      <c r="O2356" s="20"/>
      <c r="P2356" s="42"/>
      <c r="R2356" s="23"/>
    </row>
    <row r="2357" spans="1:18" ht="12.75">
      <c r="A2357" s="12"/>
      <c r="D2357" s="12"/>
      <c r="E2357" s="12"/>
      <c r="H2357" s="11" t="str">
        <f ca="1">IFERROR(__xludf.DUMMYFUNCTION("IFERROR(SUBSTITUTE(SUBSTITUTE(REGEXEXTRACT(A2357, ""[^-]+- [^-]+- [^-]+ - (.+?)\.jpg""), "".jpg"", """"), ""-"", "", ""), """")"),"")</f>
        <v/>
      </c>
      <c r="L2357" s="12"/>
      <c r="M2357" s="13"/>
      <c r="N2357" s="2"/>
      <c r="O2357" s="20"/>
      <c r="P2357" s="42"/>
      <c r="R2357" s="23"/>
    </row>
    <row r="2358" spans="1:18" ht="12.75">
      <c r="A2358" s="12"/>
      <c r="D2358" s="12"/>
      <c r="E2358" s="12"/>
      <c r="H2358" s="11" t="str">
        <f ca="1">IFERROR(__xludf.DUMMYFUNCTION("IFERROR(SUBSTITUTE(SUBSTITUTE(REGEXEXTRACT(A2358, ""[^-]+- [^-]+- [^-]+ - (.+?)\.jpg""), "".jpg"", """"), ""-"", "", ""), """")"),"")</f>
        <v/>
      </c>
      <c r="L2358" s="12"/>
      <c r="M2358" s="13"/>
      <c r="N2358" s="2"/>
      <c r="O2358" s="20"/>
      <c r="P2358" s="42"/>
      <c r="R2358" s="23"/>
    </row>
    <row r="2359" spans="1:18" ht="12.75">
      <c r="A2359" s="12"/>
      <c r="D2359" s="12"/>
      <c r="E2359" s="12"/>
      <c r="H2359" s="11" t="str">
        <f ca="1">IFERROR(__xludf.DUMMYFUNCTION("IFERROR(SUBSTITUTE(SUBSTITUTE(REGEXEXTRACT(A2359, ""[^-]+- [^-]+- [^-]+ - (.+?)\.jpg""), "".jpg"", """"), ""-"", "", ""), """")"),"")</f>
        <v/>
      </c>
      <c r="L2359" s="12"/>
      <c r="M2359" s="13"/>
      <c r="N2359" s="2"/>
      <c r="O2359" s="20"/>
      <c r="P2359" s="42"/>
      <c r="R2359" s="23"/>
    </row>
    <row r="2360" spans="1:18" ht="12.75">
      <c r="A2360" s="12"/>
      <c r="D2360" s="12"/>
      <c r="E2360" s="12"/>
      <c r="H2360" s="11" t="str">
        <f ca="1">IFERROR(__xludf.DUMMYFUNCTION("IFERROR(SUBSTITUTE(SUBSTITUTE(REGEXEXTRACT(A2360, ""[^-]+- [^-]+- [^-]+ - (.+?)\.jpg""), "".jpg"", """"), ""-"", "", ""), """")"),"")</f>
        <v/>
      </c>
      <c r="L2360" s="12"/>
      <c r="M2360" s="13"/>
      <c r="N2360" s="2"/>
      <c r="O2360" s="20"/>
      <c r="P2360" s="42"/>
      <c r="R2360" s="23"/>
    </row>
    <row r="2361" spans="1:18" ht="12.75">
      <c r="A2361" s="12"/>
      <c r="D2361" s="12"/>
      <c r="E2361" s="12"/>
      <c r="H2361" s="11" t="str">
        <f ca="1">IFERROR(__xludf.DUMMYFUNCTION("IFERROR(SUBSTITUTE(SUBSTITUTE(REGEXEXTRACT(A2361, ""[^-]+- [^-]+- [^-]+ - (.+?)\.jpg""), "".jpg"", """"), ""-"", "", ""), """")"),"")</f>
        <v/>
      </c>
      <c r="L2361" s="12"/>
      <c r="M2361" s="13"/>
      <c r="N2361" s="2"/>
      <c r="O2361" s="20"/>
      <c r="P2361" s="42"/>
      <c r="R2361" s="23"/>
    </row>
    <row r="2362" spans="1:18" ht="12.75">
      <c r="A2362" s="12"/>
      <c r="D2362" s="12"/>
      <c r="E2362" s="12"/>
      <c r="H2362" s="11" t="str">
        <f ca="1">IFERROR(__xludf.DUMMYFUNCTION("IFERROR(SUBSTITUTE(SUBSTITUTE(REGEXEXTRACT(A2362, ""[^-]+- [^-]+- [^-]+ - (.+?)\.jpg""), "".jpg"", """"), ""-"", "", ""), """")"),"")</f>
        <v/>
      </c>
      <c r="L2362" s="12"/>
      <c r="M2362" s="13"/>
      <c r="N2362" s="2"/>
      <c r="O2362" s="20"/>
      <c r="P2362" s="42"/>
      <c r="R2362" s="23"/>
    </row>
    <row r="2363" spans="1:18" ht="12.75">
      <c r="A2363" s="12"/>
      <c r="D2363" s="12"/>
      <c r="E2363" s="12"/>
      <c r="H2363" s="11" t="str">
        <f ca="1">IFERROR(__xludf.DUMMYFUNCTION("IFERROR(SUBSTITUTE(SUBSTITUTE(REGEXEXTRACT(A2363, ""[^-]+- [^-]+- [^-]+ - (.+?)\.jpg""), "".jpg"", """"), ""-"", "", ""), """")"),"")</f>
        <v/>
      </c>
      <c r="L2363" s="12"/>
      <c r="M2363" s="13"/>
      <c r="N2363" s="2"/>
      <c r="O2363" s="20"/>
      <c r="P2363" s="42"/>
      <c r="R2363" s="23"/>
    </row>
    <row r="2364" spans="1:18" ht="12.75">
      <c r="A2364" s="12"/>
      <c r="D2364" s="12"/>
      <c r="E2364" s="12"/>
      <c r="H2364" s="11" t="str">
        <f ca="1">IFERROR(__xludf.DUMMYFUNCTION("IFERROR(SUBSTITUTE(SUBSTITUTE(REGEXEXTRACT(A2364, ""[^-]+- [^-]+- [^-]+ - (.+?)\.jpg""), "".jpg"", """"), ""-"", "", ""), """")"),"")</f>
        <v/>
      </c>
      <c r="L2364" s="12"/>
      <c r="M2364" s="13"/>
      <c r="N2364" s="2"/>
      <c r="O2364" s="20"/>
      <c r="P2364" s="42"/>
      <c r="R2364" s="23"/>
    </row>
    <row r="2365" spans="1:18" ht="12.75">
      <c r="A2365" s="12"/>
      <c r="D2365" s="12"/>
      <c r="E2365" s="12"/>
      <c r="H2365" s="11" t="str">
        <f ca="1">IFERROR(__xludf.DUMMYFUNCTION("IFERROR(SUBSTITUTE(SUBSTITUTE(REGEXEXTRACT(A2365, ""[^-]+- [^-]+- [^-]+ - (.+?)\.jpg""), "".jpg"", """"), ""-"", "", ""), """")"),"")</f>
        <v/>
      </c>
      <c r="L2365" s="12"/>
      <c r="M2365" s="13"/>
      <c r="N2365" s="2"/>
      <c r="O2365" s="20"/>
      <c r="P2365" s="42"/>
      <c r="R2365" s="23"/>
    </row>
    <row r="2366" spans="1:18" ht="12.75">
      <c r="A2366" s="12"/>
      <c r="D2366" s="12"/>
      <c r="E2366" s="12"/>
      <c r="H2366" s="11" t="str">
        <f ca="1">IFERROR(__xludf.DUMMYFUNCTION("IFERROR(SUBSTITUTE(SUBSTITUTE(REGEXEXTRACT(A2366, ""[^-]+- [^-]+- [^-]+ - (.+?)\.jpg""), "".jpg"", """"), ""-"", "", ""), """")"),"")</f>
        <v/>
      </c>
      <c r="L2366" s="12"/>
      <c r="M2366" s="13"/>
      <c r="N2366" s="2"/>
      <c r="O2366" s="20"/>
      <c r="P2366" s="42"/>
      <c r="R2366" s="23"/>
    </row>
    <row r="2367" spans="1:18" ht="12.75">
      <c r="A2367" s="12"/>
      <c r="D2367" s="12"/>
      <c r="E2367" s="12"/>
      <c r="H2367" s="11" t="str">
        <f ca="1">IFERROR(__xludf.DUMMYFUNCTION("IFERROR(SUBSTITUTE(SUBSTITUTE(REGEXEXTRACT(A2367, ""[^-]+- [^-]+- [^-]+ - (.+?)\.jpg""), "".jpg"", """"), ""-"", "", ""), """")"),"")</f>
        <v/>
      </c>
      <c r="L2367" s="12"/>
      <c r="M2367" s="13"/>
      <c r="N2367" s="2"/>
      <c r="O2367" s="20"/>
      <c r="P2367" s="42"/>
      <c r="R2367" s="23"/>
    </row>
    <row r="2368" spans="1:18" ht="12.75">
      <c r="A2368" s="12"/>
      <c r="D2368" s="12"/>
      <c r="E2368" s="12"/>
      <c r="H2368" s="11" t="str">
        <f ca="1">IFERROR(__xludf.DUMMYFUNCTION("IFERROR(SUBSTITUTE(SUBSTITUTE(REGEXEXTRACT(A2368, ""[^-]+- [^-]+- [^-]+ - (.+?)\.jpg""), "".jpg"", """"), ""-"", "", ""), """")"),"")</f>
        <v/>
      </c>
      <c r="L2368" s="12"/>
      <c r="M2368" s="13"/>
      <c r="N2368" s="2"/>
      <c r="O2368" s="20"/>
      <c r="P2368" s="42"/>
      <c r="R2368" s="23"/>
    </row>
    <row r="2369" spans="1:18" ht="12.75">
      <c r="A2369" s="12"/>
      <c r="D2369" s="12"/>
      <c r="E2369" s="12"/>
      <c r="H2369" s="11" t="str">
        <f ca="1">IFERROR(__xludf.DUMMYFUNCTION("IFERROR(SUBSTITUTE(SUBSTITUTE(REGEXEXTRACT(A2369, ""[^-]+- [^-]+- [^-]+ - (.+?)\.jpg""), "".jpg"", """"), ""-"", "", ""), """")"),"")</f>
        <v/>
      </c>
      <c r="L2369" s="12"/>
      <c r="M2369" s="13"/>
      <c r="N2369" s="2"/>
      <c r="O2369" s="20"/>
      <c r="P2369" s="42"/>
      <c r="R2369" s="23"/>
    </row>
    <row r="2370" spans="1:18" ht="12.75">
      <c r="A2370" s="12"/>
      <c r="D2370" s="12"/>
      <c r="E2370" s="12"/>
      <c r="H2370" s="11" t="str">
        <f ca="1">IFERROR(__xludf.DUMMYFUNCTION("IFERROR(SUBSTITUTE(SUBSTITUTE(REGEXEXTRACT(A2370, ""[^-]+- [^-]+- [^-]+ - (.+?)\.jpg""), "".jpg"", """"), ""-"", "", ""), """")"),"")</f>
        <v/>
      </c>
      <c r="L2370" s="12"/>
      <c r="M2370" s="13"/>
      <c r="N2370" s="2"/>
      <c r="O2370" s="20"/>
      <c r="P2370" s="42"/>
      <c r="R2370" s="23"/>
    </row>
    <row r="2371" spans="1:18" ht="12.75">
      <c r="A2371" s="12"/>
      <c r="D2371" s="12"/>
      <c r="E2371" s="12"/>
      <c r="H2371" s="11" t="str">
        <f ca="1">IFERROR(__xludf.DUMMYFUNCTION("IFERROR(SUBSTITUTE(SUBSTITUTE(REGEXEXTRACT(A2371, ""[^-]+- [^-]+- [^-]+ - (.+?)\.jpg""), "".jpg"", """"), ""-"", "", ""), """")"),"")</f>
        <v/>
      </c>
      <c r="L2371" s="12"/>
      <c r="M2371" s="13"/>
      <c r="N2371" s="2"/>
      <c r="O2371" s="20"/>
      <c r="P2371" s="42"/>
      <c r="R2371" s="23"/>
    </row>
    <row r="2372" spans="1:18" ht="12.75">
      <c r="A2372" s="12"/>
      <c r="D2372" s="12"/>
      <c r="E2372" s="12"/>
      <c r="H2372" s="11" t="str">
        <f ca="1">IFERROR(__xludf.DUMMYFUNCTION("IFERROR(SUBSTITUTE(SUBSTITUTE(REGEXEXTRACT(A2372, ""[^-]+- [^-]+- [^-]+ - (.+?)\.jpg""), "".jpg"", """"), ""-"", "", ""), """")"),"")</f>
        <v/>
      </c>
      <c r="L2372" s="12"/>
      <c r="M2372" s="13"/>
      <c r="N2372" s="2"/>
      <c r="O2372" s="20"/>
      <c r="P2372" s="42"/>
      <c r="R2372" s="23"/>
    </row>
    <row r="2373" spans="1:18" ht="12.75">
      <c r="A2373" s="12"/>
      <c r="D2373" s="12"/>
      <c r="E2373" s="12"/>
      <c r="H2373" s="11" t="str">
        <f ca="1">IFERROR(__xludf.DUMMYFUNCTION("IFERROR(SUBSTITUTE(SUBSTITUTE(REGEXEXTRACT(A2373, ""[^-]+- [^-]+- [^-]+ - (.+?)\.jpg""), "".jpg"", """"), ""-"", "", ""), """")"),"")</f>
        <v/>
      </c>
      <c r="L2373" s="12"/>
      <c r="M2373" s="13"/>
      <c r="N2373" s="2"/>
      <c r="O2373" s="20"/>
      <c r="P2373" s="42"/>
      <c r="R2373" s="23"/>
    </row>
    <row r="2374" spans="1:18" ht="12.75">
      <c r="A2374" s="12"/>
      <c r="D2374" s="12"/>
      <c r="E2374" s="12"/>
      <c r="H2374" s="11" t="str">
        <f ca="1">IFERROR(__xludf.DUMMYFUNCTION("IFERROR(SUBSTITUTE(SUBSTITUTE(REGEXEXTRACT(A2374, ""[^-]+- [^-]+- [^-]+ - (.+?)\.jpg""), "".jpg"", """"), ""-"", "", ""), """")"),"")</f>
        <v/>
      </c>
      <c r="L2374" s="12"/>
      <c r="M2374" s="13"/>
      <c r="N2374" s="2"/>
      <c r="O2374" s="20"/>
      <c r="P2374" s="42"/>
      <c r="R2374" s="23"/>
    </row>
    <row r="2375" spans="1:18" ht="12.75">
      <c r="A2375" s="12"/>
      <c r="D2375" s="12"/>
      <c r="E2375" s="12"/>
      <c r="H2375" s="11" t="str">
        <f ca="1">IFERROR(__xludf.DUMMYFUNCTION("IFERROR(SUBSTITUTE(SUBSTITUTE(REGEXEXTRACT(A2375, ""[^-]+- [^-]+- [^-]+ - (.+?)\.jpg""), "".jpg"", """"), ""-"", "", ""), """")"),"")</f>
        <v/>
      </c>
      <c r="L2375" s="12"/>
      <c r="M2375" s="13"/>
      <c r="N2375" s="2"/>
      <c r="O2375" s="20"/>
      <c r="P2375" s="42"/>
      <c r="R2375" s="23"/>
    </row>
    <row r="2376" spans="1:18" ht="12.75">
      <c r="A2376" s="12"/>
      <c r="D2376" s="12"/>
      <c r="E2376" s="12"/>
      <c r="H2376" s="11" t="str">
        <f ca="1">IFERROR(__xludf.DUMMYFUNCTION("IFERROR(SUBSTITUTE(SUBSTITUTE(REGEXEXTRACT(A2376, ""[^-]+- [^-]+- [^-]+ - (.+?)\.jpg""), "".jpg"", """"), ""-"", "", ""), """")"),"")</f>
        <v/>
      </c>
      <c r="L2376" s="12"/>
      <c r="M2376" s="13"/>
      <c r="N2376" s="2"/>
      <c r="O2376" s="20"/>
      <c r="P2376" s="42"/>
      <c r="R2376" s="23"/>
    </row>
    <row r="2377" spans="1:18" ht="12.75">
      <c r="A2377" s="12"/>
      <c r="D2377" s="12"/>
      <c r="E2377" s="12"/>
      <c r="H2377" s="11" t="str">
        <f ca="1">IFERROR(__xludf.DUMMYFUNCTION("IFERROR(SUBSTITUTE(SUBSTITUTE(REGEXEXTRACT(A2377, ""[^-]+- [^-]+- [^-]+ - (.+?)\.jpg""), "".jpg"", """"), ""-"", "", ""), """")"),"")</f>
        <v/>
      </c>
      <c r="L2377" s="12"/>
      <c r="M2377" s="13"/>
      <c r="N2377" s="2"/>
      <c r="O2377" s="20"/>
      <c r="P2377" s="42"/>
      <c r="R2377" s="23"/>
    </row>
    <row r="2378" spans="1:18" ht="12.75">
      <c r="A2378" s="12"/>
      <c r="D2378" s="12"/>
      <c r="E2378" s="12"/>
      <c r="H2378" s="11" t="str">
        <f ca="1">IFERROR(__xludf.DUMMYFUNCTION("IFERROR(SUBSTITUTE(SUBSTITUTE(REGEXEXTRACT(A2378, ""[^-]+- [^-]+- [^-]+ - (.+?)\.jpg""), "".jpg"", """"), ""-"", "", ""), """")"),"")</f>
        <v/>
      </c>
      <c r="L2378" s="12"/>
      <c r="M2378" s="13"/>
      <c r="N2378" s="2"/>
      <c r="O2378" s="20"/>
      <c r="P2378" s="42"/>
      <c r="R2378" s="23"/>
    </row>
    <row r="2379" spans="1:18" ht="12.75">
      <c r="A2379" s="12"/>
      <c r="D2379" s="12"/>
      <c r="E2379" s="12"/>
      <c r="H2379" s="11" t="str">
        <f ca="1">IFERROR(__xludf.DUMMYFUNCTION("IFERROR(SUBSTITUTE(SUBSTITUTE(REGEXEXTRACT(A2379, ""[^-]+- [^-]+- [^-]+ - (.+?)\.jpg""), "".jpg"", """"), ""-"", "", ""), """")"),"")</f>
        <v/>
      </c>
      <c r="L2379" s="12"/>
      <c r="M2379" s="13"/>
      <c r="N2379" s="2"/>
      <c r="O2379" s="20"/>
      <c r="P2379" s="42"/>
      <c r="R2379" s="23"/>
    </row>
    <row r="2380" spans="1:18" ht="12.75">
      <c r="A2380" s="12"/>
      <c r="D2380" s="12"/>
      <c r="E2380" s="12"/>
      <c r="H2380" s="11" t="str">
        <f ca="1">IFERROR(__xludf.DUMMYFUNCTION("IFERROR(SUBSTITUTE(SUBSTITUTE(REGEXEXTRACT(A2380, ""[^-]+- [^-]+- [^-]+ - (.+?)\.jpg""), "".jpg"", """"), ""-"", "", ""), """")"),"")</f>
        <v/>
      </c>
      <c r="L2380" s="12"/>
      <c r="M2380" s="13"/>
      <c r="N2380" s="2"/>
      <c r="O2380" s="20"/>
      <c r="P2380" s="42"/>
      <c r="R2380" s="23"/>
    </row>
    <row r="2381" spans="1:18" ht="12.75">
      <c r="A2381" s="12"/>
      <c r="D2381" s="12"/>
      <c r="E2381" s="12"/>
      <c r="H2381" s="11" t="str">
        <f ca="1">IFERROR(__xludf.DUMMYFUNCTION("IFERROR(SUBSTITUTE(SUBSTITUTE(REGEXEXTRACT(A2381, ""[^-]+- [^-]+- [^-]+ - (.+?)\.jpg""), "".jpg"", """"), ""-"", "", ""), """")"),"")</f>
        <v/>
      </c>
      <c r="L2381" s="12"/>
      <c r="M2381" s="13"/>
      <c r="N2381" s="2"/>
      <c r="O2381" s="20"/>
      <c r="P2381" s="42"/>
      <c r="R2381" s="23"/>
    </row>
    <row r="2382" spans="1:18" ht="12.75">
      <c r="A2382" s="12"/>
      <c r="D2382" s="12"/>
      <c r="E2382" s="12"/>
      <c r="H2382" s="11" t="str">
        <f ca="1">IFERROR(__xludf.DUMMYFUNCTION("IFERROR(SUBSTITUTE(SUBSTITUTE(REGEXEXTRACT(A2382, ""[^-]+- [^-]+- [^-]+ - (.+?)\.jpg""), "".jpg"", """"), ""-"", "", ""), """")"),"")</f>
        <v/>
      </c>
      <c r="L2382" s="12"/>
      <c r="M2382" s="13"/>
      <c r="N2382" s="2"/>
      <c r="O2382" s="20"/>
      <c r="P2382" s="42"/>
      <c r="R2382" s="23"/>
    </row>
    <row r="2383" spans="1:18" ht="12.75">
      <c r="A2383" s="12"/>
      <c r="D2383" s="12"/>
      <c r="E2383" s="12"/>
      <c r="H2383" s="11" t="str">
        <f ca="1">IFERROR(__xludf.DUMMYFUNCTION("IFERROR(SUBSTITUTE(SUBSTITUTE(REGEXEXTRACT(A2383, ""[^-]+- [^-]+- [^-]+ - (.+?)\.jpg""), "".jpg"", """"), ""-"", "", ""), """")"),"")</f>
        <v/>
      </c>
      <c r="L2383" s="12"/>
      <c r="M2383" s="13"/>
      <c r="N2383" s="2"/>
      <c r="O2383" s="20"/>
      <c r="P2383" s="42"/>
      <c r="R2383" s="23"/>
    </row>
    <row r="2384" spans="1:18" ht="12.75">
      <c r="A2384" s="12"/>
      <c r="D2384" s="12"/>
      <c r="E2384" s="12"/>
      <c r="H2384" s="11" t="str">
        <f ca="1">IFERROR(__xludf.DUMMYFUNCTION("IFERROR(SUBSTITUTE(SUBSTITUTE(REGEXEXTRACT(A2384, ""[^-]+- [^-]+- [^-]+ - (.+?)\.jpg""), "".jpg"", """"), ""-"", "", ""), """")"),"")</f>
        <v/>
      </c>
      <c r="L2384" s="12"/>
      <c r="M2384" s="13"/>
      <c r="N2384" s="2"/>
      <c r="O2384" s="20"/>
      <c r="P2384" s="42"/>
      <c r="R2384" s="23"/>
    </row>
    <row r="2385" spans="1:18" ht="12.75">
      <c r="A2385" s="12"/>
      <c r="D2385" s="12"/>
      <c r="E2385" s="12"/>
      <c r="H2385" s="11" t="str">
        <f ca="1">IFERROR(__xludf.DUMMYFUNCTION("IFERROR(SUBSTITUTE(SUBSTITUTE(REGEXEXTRACT(A2385, ""[^-]+- [^-]+- [^-]+ - (.+?)\.jpg""), "".jpg"", """"), ""-"", "", ""), """")"),"")</f>
        <v/>
      </c>
      <c r="L2385" s="12"/>
      <c r="M2385" s="13"/>
      <c r="N2385" s="2"/>
      <c r="O2385" s="20"/>
      <c r="P2385" s="42"/>
      <c r="R2385" s="23"/>
    </row>
    <row r="2386" spans="1:18" ht="12.75">
      <c r="A2386" s="12"/>
      <c r="D2386" s="12"/>
      <c r="E2386" s="12"/>
      <c r="H2386" s="11" t="str">
        <f ca="1">IFERROR(__xludf.DUMMYFUNCTION("IFERROR(SUBSTITUTE(SUBSTITUTE(REGEXEXTRACT(A2386, ""[^-]+- [^-]+- [^-]+ - (.+?)\.jpg""), "".jpg"", """"), ""-"", "", ""), """")"),"")</f>
        <v/>
      </c>
      <c r="L2386" s="12"/>
      <c r="M2386" s="13"/>
      <c r="N2386" s="2"/>
      <c r="O2386" s="20"/>
      <c r="P2386" s="42"/>
      <c r="R2386" s="23"/>
    </row>
    <row r="2387" spans="1:18" ht="12.75">
      <c r="A2387" s="12"/>
      <c r="D2387" s="12"/>
      <c r="E2387" s="12"/>
      <c r="H2387" s="11" t="str">
        <f ca="1">IFERROR(__xludf.DUMMYFUNCTION("IFERROR(SUBSTITUTE(SUBSTITUTE(REGEXEXTRACT(A2387, ""[^-]+- [^-]+- [^-]+ - (.+?)\.jpg""), "".jpg"", """"), ""-"", "", ""), """")"),"")</f>
        <v/>
      </c>
      <c r="L2387" s="12"/>
      <c r="M2387" s="13"/>
      <c r="N2387" s="2"/>
      <c r="O2387" s="20"/>
      <c r="P2387" s="42"/>
      <c r="R2387" s="23"/>
    </row>
    <row r="2388" spans="1:18" ht="12.75">
      <c r="A2388" s="12"/>
      <c r="D2388" s="12"/>
      <c r="E2388" s="12"/>
      <c r="H2388" s="11" t="str">
        <f ca="1">IFERROR(__xludf.DUMMYFUNCTION("IFERROR(SUBSTITUTE(SUBSTITUTE(REGEXEXTRACT(A2388, ""[^-]+- [^-]+- [^-]+ - (.+?)\.jpg""), "".jpg"", """"), ""-"", "", ""), """")"),"")</f>
        <v/>
      </c>
      <c r="L2388" s="12"/>
      <c r="M2388" s="13"/>
      <c r="N2388" s="2"/>
      <c r="O2388" s="20"/>
      <c r="P2388" s="42"/>
      <c r="R2388" s="23"/>
    </row>
    <row r="2389" spans="1:18" ht="12.75">
      <c r="A2389" s="12"/>
      <c r="D2389" s="12"/>
      <c r="E2389" s="12"/>
      <c r="H2389" s="11" t="str">
        <f ca="1">IFERROR(__xludf.DUMMYFUNCTION("IFERROR(SUBSTITUTE(SUBSTITUTE(REGEXEXTRACT(A2389, ""[^-]+- [^-]+- [^-]+ - (.+?)\.jpg""), "".jpg"", """"), ""-"", "", ""), """")"),"")</f>
        <v/>
      </c>
      <c r="L2389" s="12"/>
      <c r="M2389" s="13"/>
      <c r="N2389" s="2"/>
      <c r="O2389" s="20"/>
      <c r="P2389" s="42"/>
      <c r="R2389" s="23"/>
    </row>
    <row r="2390" spans="1:18" ht="12.75">
      <c r="A2390" s="12"/>
      <c r="D2390" s="12"/>
      <c r="E2390" s="12"/>
      <c r="H2390" s="11" t="str">
        <f ca="1">IFERROR(__xludf.DUMMYFUNCTION("IFERROR(SUBSTITUTE(SUBSTITUTE(REGEXEXTRACT(A2390, ""[^-]+- [^-]+- [^-]+ - (.+?)\.jpg""), "".jpg"", """"), ""-"", "", ""), """")"),"")</f>
        <v/>
      </c>
      <c r="L2390" s="12"/>
      <c r="M2390" s="13"/>
      <c r="N2390" s="2"/>
      <c r="O2390" s="20"/>
      <c r="P2390" s="42"/>
      <c r="R2390" s="23"/>
    </row>
    <row r="2391" spans="1:18" ht="12.75">
      <c r="A2391" s="12"/>
      <c r="D2391" s="12"/>
      <c r="E2391" s="12"/>
      <c r="H2391" s="11" t="str">
        <f ca="1">IFERROR(__xludf.DUMMYFUNCTION("IFERROR(SUBSTITUTE(SUBSTITUTE(REGEXEXTRACT(A2391, ""[^-]+- [^-]+- [^-]+ - (.+?)\.jpg""), "".jpg"", """"), ""-"", "", ""), """")"),"")</f>
        <v/>
      </c>
      <c r="L2391" s="12"/>
      <c r="M2391" s="13"/>
      <c r="N2391" s="2"/>
      <c r="O2391" s="20"/>
      <c r="P2391" s="42"/>
      <c r="R2391" s="23"/>
    </row>
    <row r="2392" spans="1:18" ht="12.75">
      <c r="A2392" s="12"/>
      <c r="D2392" s="12"/>
      <c r="E2392" s="12"/>
      <c r="H2392" s="11" t="str">
        <f ca="1">IFERROR(__xludf.DUMMYFUNCTION("IFERROR(SUBSTITUTE(SUBSTITUTE(REGEXEXTRACT(A2392, ""[^-]+- [^-]+- [^-]+ - (.+?)\.jpg""), "".jpg"", """"), ""-"", "", ""), """")"),"")</f>
        <v/>
      </c>
      <c r="L2392" s="12"/>
      <c r="M2392" s="13"/>
      <c r="N2392" s="2"/>
      <c r="O2392" s="20"/>
      <c r="P2392" s="42"/>
      <c r="R2392" s="23"/>
    </row>
    <row r="2393" spans="1:18" ht="12.75">
      <c r="A2393" s="12"/>
      <c r="D2393" s="12"/>
      <c r="E2393" s="12"/>
      <c r="H2393" s="11" t="str">
        <f ca="1">IFERROR(__xludf.DUMMYFUNCTION("IFERROR(SUBSTITUTE(SUBSTITUTE(REGEXEXTRACT(A2393, ""[^-]+- [^-]+- [^-]+ - (.+?)\.jpg""), "".jpg"", """"), ""-"", "", ""), """")"),"")</f>
        <v/>
      </c>
      <c r="L2393" s="12"/>
      <c r="M2393" s="13"/>
      <c r="N2393" s="2"/>
      <c r="O2393" s="20"/>
      <c r="P2393" s="42"/>
      <c r="R2393" s="23"/>
    </row>
    <row r="2394" spans="1:18" ht="12.75">
      <c r="A2394" s="12"/>
      <c r="D2394" s="12"/>
      <c r="E2394" s="12"/>
      <c r="H2394" s="11" t="str">
        <f ca="1">IFERROR(__xludf.DUMMYFUNCTION("IFERROR(SUBSTITUTE(SUBSTITUTE(REGEXEXTRACT(A2394, ""[^-]+- [^-]+- [^-]+ - (.+?)\.jpg""), "".jpg"", """"), ""-"", "", ""), """")"),"")</f>
        <v/>
      </c>
      <c r="L2394" s="12"/>
      <c r="M2394" s="13"/>
      <c r="N2394" s="2"/>
      <c r="O2394" s="20"/>
      <c r="P2394" s="42"/>
      <c r="R2394" s="23"/>
    </row>
    <row r="2395" spans="1:18" ht="12.75">
      <c r="A2395" s="12"/>
      <c r="D2395" s="12"/>
      <c r="E2395" s="12"/>
      <c r="H2395" s="11" t="str">
        <f ca="1">IFERROR(__xludf.DUMMYFUNCTION("IFERROR(SUBSTITUTE(SUBSTITUTE(REGEXEXTRACT(A2395, ""[^-]+- [^-]+- [^-]+ - (.+?)\.jpg""), "".jpg"", """"), ""-"", "", ""), """")"),"")</f>
        <v/>
      </c>
      <c r="L2395" s="12"/>
      <c r="M2395" s="13"/>
      <c r="N2395" s="2"/>
      <c r="O2395" s="20"/>
      <c r="P2395" s="42"/>
      <c r="R2395" s="23"/>
    </row>
    <row r="2396" spans="1:18" ht="12.75">
      <c r="A2396" s="12"/>
      <c r="D2396" s="12"/>
      <c r="E2396" s="12"/>
      <c r="H2396" s="11" t="str">
        <f ca="1">IFERROR(__xludf.DUMMYFUNCTION("IFERROR(SUBSTITUTE(SUBSTITUTE(REGEXEXTRACT(A2396, ""[^-]+- [^-]+- [^-]+ - (.+?)\.jpg""), "".jpg"", """"), ""-"", "", ""), """")"),"")</f>
        <v/>
      </c>
      <c r="L2396" s="12"/>
      <c r="M2396" s="13"/>
      <c r="N2396" s="2"/>
      <c r="O2396" s="20"/>
      <c r="P2396" s="42"/>
      <c r="R2396" s="23"/>
    </row>
    <row r="2397" spans="1:18" ht="12.75">
      <c r="A2397" s="12"/>
      <c r="D2397" s="12"/>
      <c r="E2397" s="12"/>
      <c r="H2397" s="11" t="str">
        <f ca="1">IFERROR(__xludf.DUMMYFUNCTION("IFERROR(SUBSTITUTE(SUBSTITUTE(REGEXEXTRACT(A2397, ""[^-]+- [^-]+- [^-]+ - (.+?)\.jpg""), "".jpg"", """"), ""-"", "", ""), """")"),"")</f>
        <v/>
      </c>
      <c r="L2397" s="12"/>
      <c r="M2397" s="13"/>
      <c r="N2397" s="2"/>
      <c r="O2397" s="20"/>
      <c r="P2397" s="42"/>
      <c r="R2397" s="23"/>
    </row>
    <row r="2398" spans="1:18" ht="12.75">
      <c r="A2398" s="12"/>
      <c r="D2398" s="12"/>
      <c r="E2398" s="12"/>
      <c r="H2398" s="11" t="str">
        <f ca="1">IFERROR(__xludf.DUMMYFUNCTION("IFERROR(SUBSTITUTE(SUBSTITUTE(REGEXEXTRACT(A2398, ""[^-]+- [^-]+- [^-]+ - (.+?)\.jpg""), "".jpg"", """"), ""-"", "", ""), """")"),"")</f>
        <v/>
      </c>
      <c r="L2398" s="12"/>
      <c r="M2398" s="13"/>
      <c r="N2398" s="2"/>
      <c r="O2398" s="20"/>
      <c r="P2398" s="42"/>
      <c r="R2398" s="23"/>
    </row>
    <row r="2399" spans="1:18" ht="12.75">
      <c r="A2399" s="12"/>
      <c r="D2399" s="12"/>
      <c r="E2399" s="12"/>
      <c r="H2399" s="11" t="str">
        <f ca="1">IFERROR(__xludf.DUMMYFUNCTION("IFERROR(SUBSTITUTE(SUBSTITUTE(REGEXEXTRACT(A2399, ""[^-]+- [^-]+- [^-]+ - (.+?)\.jpg""), "".jpg"", """"), ""-"", "", ""), """")"),"")</f>
        <v/>
      </c>
      <c r="L2399" s="12"/>
      <c r="M2399" s="13"/>
      <c r="N2399" s="2"/>
      <c r="O2399" s="20"/>
      <c r="P2399" s="42"/>
      <c r="R2399" s="23"/>
    </row>
    <row r="2400" spans="1:18" ht="12.75">
      <c r="A2400" s="12"/>
      <c r="D2400" s="12"/>
      <c r="E2400" s="12"/>
      <c r="H2400" s="11" t="str">
        <f ca="1">IFERROR(__xludf.DUMMYFUNCTION("IFERROR(SUBSTITUTE(SUBSTITUTE(REGEXEXTRACT(A2400, ""[^-]+- [^-]+- [^-]+ - (.+?)\.jpg""), "".jpg"", """"), ""-"", "", ""), """")"),"")</f>
        <v/>
      </c>
      <c r="L2400" s="12"/>
      <c r="M2400" s="13"/>
      <c r="N2400" s="2"/>
      <c r="O2400" s="20"/>
      <c r="P2400" s="42"/>
      <c r="R2400" s="23"/>
    </row>
    <row r="2401" spans="1:18" ht="12.75">
      <c r="A2401" s="12"/>
      <c r="D2401" s="12"/>
      <c r="E2401" s="12"/>
      <c r="H2401" s="11" t="str">
        <f ca="1">IFERROR(__xludf.DUMMYFUNCTION("IFERROR(SUBSTITUTE(SUBSTITUTE(REGEXEXTRACT(A2401, ""[^-]+- [^-]+- [^-]+ - (.+?)\.jpg""), "".jpg"", """"), ""-"", "", ""), """")"),"")</f>
        <v/>
      </c>
      <c r="L2401" s="12"/>
      <c r="M2401" s="13"/>
      <c r="N2401" s="2"/>
      <c r="O2401" s="20"/>
      <c r="P2401" s="42"/>
      <c r="R2401" s="23"/>
    </row>
    <row r="2402" spans="1:18" ht="12.75">
      <c r="A2402" s="12"/>
      <c r="D2402" s="12"/>
      <c r="E2402" s="12"/>
      <c r="H2402" s="11" t="str">
        <f ca="1">IFERROR(__xludf.DUMMYFUNCTION("IFERROR(SUBSTITUTE(SUBSTITUTE(REGEXEXTRACT(A2402, ""[^-]+- [^-]+- [^-]+ - (.+?)\.jpg""), "".jpg"", """"), ""-"", "", ""), """")"),"")</f>
        <v/>
      </c>
      <c r="L2402" s="12"/>
      <c r="M2402" s="13"/>
      <c r="N2402" s="2"/>
      <c r="O2402" s="20"/>
      <c r="P2402" s="42"/>
      <c r="R2402" s="23"/>
    </row>
    <row r="2403" spans="1:18" ht="12.75">
      <c r="A2403" s="12"/>
      <c r="D2403" s="12"/>
      <c r="E2403" s="12"/>
      <c r="H2403" s="11" t="str">
        <f ca="1">IFERROR(__xludf.DUMMYFUNCTION("IFERROR(SUBSTITUTE(SUBSTITUTE(REGEXEXTRACT(A2403, ""[^-]+- [^-]+- [^-]+ - (.+?)\.jpg""), "".jpg"", """"), ""-"", "", ""), """")"),"")</f>
        <v/>
      </c>
      <c r="L2403" s="12"/>
      <c r="M2403" s="13"/>
      <c r="N2403" s="2"/>
      <c r="O2403" s="20"/>
      <c r="P2403" s="42"/>
      <c r="R2403" s="23"/>
    </row>
    <row r="2404" spans="1:18" ht="12.75">
      <c r="A2404" s="12"/>
      <c r="D2404" s="12"/>
      <c r="E2404" s="12"/>
      <c r="H2404" s="11" t="str">
        <f ca="1">IFERROR(__xludf.DUMMYFUNCTION("IFERROR(SUBSTITUTE(SUBSTITUTE(REGEXEXTRACT(A2404, ""[^-]+- [^-]+- [^-]+ - (.+?)\.jpg""), "".jpg"", """"), ""-"", "", ""), """")"),"")</f>
        <v/>
      </c>
      <c r="L2404" s="12"/>
      <c r="M2404" s="13"/>
      <c r="N2404" s="2"/>
      <c r="O2404" s="20"/>
      <c r="P2404" s="42"/>
      <c r="R2404" s="23"/>
    </row>
    <row r="2405" spans="1:18" ht="12.75">
      <c r="A2405" s="12"/>
      <c r="D2405" s="12"/>
      <c r="E2405" s="12"/>
      <c r="H2405" s="11" t="str">
        <f ca="1">IFERROR(__xludf.DUMMYFUNCTION("IFERROR(SUBSTITUTE(SUBSTITUTE(REGEXEXTRACT(A2405, ""[^-]+- [^-]+- [^-]+ - (.+?)\.jpg""), "".jpg"", """"), ""-"", "", ""), """")"),"")</f>
        <v/>
      </c>
      <c r="L2405" s="12"/>
      <c r="M2405" s="13"/>
      <c r="N2405" s="2"/>
      <c r="O2405" s="20"/>
      <c r="P2405" s="42"/>
      <c r="R2405" s="23"/>
    </row>
    <row r="2406" spans="1:18" ht="12.75">
      <c r="A2406" s="12"/>
      <c r="D2406" s="12"/>
      <c r="E2406" s="12"/>
      <c r="H2406" s="11" t="str">
        <f ca="1">IFERROR(__xludf.DUMMYFUNCTION("IFERROR(SUBSTITUTE(SUBSTITUTE(REGEXEXTRACT(A2406, ""[^-]+- [^-]+- [^-]+ - (.+?)\.jpg""), "".jpg"", """"), ""-"", "", ""), """")"),"")</f>
        <v/>
      </c>
      <c r="L2406" s="12"/>
      <c r="M2406" s="13"/>
      <c r="N2406" s="2"/>
      <c r="O2406" s="20"/>
      <c r="P2406" s="42"/>
      <c r="R2406" s="23"/>
    </row>
    <row r="2407" spans="1:18" ht="12.75">
      <c r="A2407" s="12"/>
      <c r="D2407" s="12"/>
      <c r="E2407" s="12"/>
      <c r="H2407" s="11" t="str">
        <f ca="1">IFERROR(__xludf.DUMMYFUNCTION("IFERROR(SUBSTITUTE(SUBSTITUTE(REGEXEXTRACT(A2407, ""[^-]+- [^-]+- [^-]+ - (.+?)\.jpg""), "".jpg"", """"), ""-"", "", ""), """")"),"")</f>
        <v/>
      </c>
      <c r="L2407" s="12"/>
      <c r="M2407" s="13"/>
      <c r="N2407" s="2"/>
      <c r="O2407" s="20"/>
      <c r="P2407" s="42"/>
      <c r="R2407" s="23"/>
    </row>
    <row r="2408" spans="1:18" ht="12.75">
      <c r="A2408" s="12"/>
      <c r="D2408" s="12"/>
      <c r="E2408" s="12"/>
      <c r="H2408" s="11" t="str">
        <f ca="1">IFERROR(__xludf.DUMMYFUNCTION("IFERROR(SUBSTITUTE(SUBSTITUTE(REGEXEXTRACT(A2408, ""[^-]+- [^-]+- [^-]+ - (.+?)\.jpg""), "".jpg"", """"), ""-"", "", ""), """")"),"")</f>
        <v/>
      </c>
      <c r="L2408" s="12"/>
      <c r="M2408" s="13"/>
      <c r="N2408" s="2"/>
      <c r="O2408" s="20"/>
      <c r="P2408" s="42"/>
      <c r="R2408" s="23"/>
    </row>
    <row r="2409" spans="1:18" ht="12.75">
      <c r="A2409" s="12"/>
      <c r="D2409" s="12"/>
      <c r="E2409" s="12"/>
      <c r="H2409" s="11" t="str">
        <f ca="1">IFERROR(__xludf.DUMMYFUNCTION("IFERROR(SUBSTITUTE(SUBSTITUTE(REGEXEXTRACT(A2409, ""[^-]+- [^-]+- [^-]+ - (.+?)\.jpg""), "".jpg"", """"), ""-"", "", ""), """")"),"")</f>
        <v/>
      </c>
      <c r="L2409" s="12"/>
      <c r="M2409" s="13"/>
      <c r="N2409" s="2"/>
      <c r="O2409" s="20"/>
      <c r="P2409" s="42"/>
      <c r="R2409" s="23"/>
    </row>
    <row r="2410" spans="1:18" ht="12.75">
      <c r="A2410" s="12"/>
      <c r="D2410" s="12"/>
      <c r="E2410" s="12"/>
      <c r="H2410" s="11" t="str">
        <f ca="1">IFERROR(__xludf.DUMMYFUNCTION("IFERROR(SUBSTITUTE(SUBSTITUTE(REGEXEXTRACT(A2410, ""[^-]+- [^-]+- [^-]+ - (.+?)\.jpg""), "".jpg"", """"), ""-"", "", ""), """")"),"")</f>
        <v/>
      </c>
      <c r="L2410" s="12"/>
      <c r="M2410" s="13"/>
      <c r="N2410" s="2"/>
      <c r="O2410" s="20"/>
      <c r="P2410" s="42"/>
      <c r="R2410" s="23"/>
    </row>
    <row r="2411" spans="1:18" ht="12.75">
      <c r="A2411" s="12"/>
      <c r="D2411" s="12"/>
      <c r="E2411" s="12"/>
      <c r="H2411" s="11" t="str">
        <f ca="1">IFERROR(__xludf.DUMMYFUNCTION("IFERROR(SUBSTITUTE(SUBSTITUTE(REGEXEXTRACT(A2411, ""[^-]+- [^-]+- [^-]+ - (.+?)\.jpg""), "".jpg"", """"), ""-"", "", ""), """")"),"")</f>
        <v/>
      </c>
      <c r="L2411" s="12"/>
      <c r="M2411" s="13"/>
      <c r="N2411" s="2"/>
      <c r="O2411" s="20"/>
      <c r="P2411" s="42"/>
      <c r="R2411" s="23"/>
    </row>
    <row r="2412" spans="1:18" ht="12.75">
      <c r="A2412" s="12"/>
      <c r="D2412" s="12"/>
      <c r="E2412" s="12"/>
      <c r="H2412" s="11" t="str">
        <f ca="1">IFERROR(__xludf.DUMMYFUNCTION("IFERROR(SUBSTITUTE(SUBSTITUTE(REGEXEXTRACT(A2412, ""[^-]+- [^-]+- [^-]+ - (.+?)\.jpg""), "".jpg"", """"), ""-"", "", ""), """")"),"")</f>
        <v/>
      </c>
      <c r="L2412" s="12"/>
      <c r="M2412" s="13"/>
      <c r="N2412" s="2"/>
      <c r="O2412" s="20"/>
      <c r="P2412" s="42"/>
      <c r="R2412" s="23"/>
    </row>
    <row r="2413" spans="1:18" ht="12.75">
      <c r="A2413" s="12"/>
      <c r="D2413" s="12"/>
      <c r="E2413" s="12"/>
      <c r="H2413" s="11" t="str">
        <f ca="1">IFERROR(__xludf.DUMMYFUNCTION("IFERROR(SUBSTITUTE(SUBSTITUTE(REGEXEXTRACT(A2413, ""[^-]+- [^-]+- [^-]+ - (.+?)\.jpg""), "".jpg"", """"), ""-"", "", ""), """")"),"")</f>
        <v/>
      </c>
      <c r="L2413" s="12"/>
      <c r="M2413" s="13"/>
      <c r="N2413" s="2"/>
      <c r="O2413" s="20"/>
      <c r="P2413" s="42"/>
      <c r="R2413" s="23"/>
    </row>
    <row r="2414" spans="1:18" ht="12.75">
      <c r="A2414" s="12"/>
      <c r="D2414" s="12"/>
      <c r="E2414" s="12"/>
      <c r="H2414" s="11" t="str">
        <f ca="1">IFERROR(__xludf.DUMMYFUNCTION("IFERROR(SUBSTITUTE(SUBSTITUTE(REGEXEXTRACT(A2414, ""[^-]+- [^-]+- [^-]+ - (.+?)\.jpg""), "".jpg"", """"), ""-"", "", ""), """")"),"")</f>
        <v/>
      </c>
      <c r="L2414" s="12"/>
      <c r="M2414" s="13"/>
      <c r="N2414" s="2"/>
      <c r="O2414" s="20"/>
      <c r="P2414" s="42"/>
      <c r="R2414" s="23"/>
    </row>
    <row r="2415" spans="1:18" ht="12.75">
      <c r="A2415" s="12"/>
      <c r="D2415" s="12"/>
      <c r="E2415" s="12"/>
      <c r="H2415" s="11" t="str">
        <f ca="1">IFERROR(__xludf.DUMMYFUNCTION("IFERROR(SUBSTITUTE(SUBSTITUTE(REGEXEXTRACT(A2415, ""[^-]+- [^-]+- [^-]+ - (.+?)\.jpg""), "".jpg"", """"), ""-"", "", ""), """")"),"")</f>
        <v/>
      </c>
      <c r="L2415" s="12"/>
      <c r="M2415" s="13"/>
      <c r="N2415" s="2"/>
      <c r="O2415" s="20"/>
      <c r="P2415" s="42"/>
      <c r="R2415" s="23"/>
    </row>
    <row r="2416" spans="1:18" ht="12.75">
      <c r="A2416" s="12"/>
      <c r="D2416" s="12"/>
      <c r="E2416" s="12"/>
      <c r="H2416" s="11" t="str">
        <f ca="1">IFERROR(__xludf.DUMMYFUNCTION("IFERROR(SUBSTITUTE(SUBSTITUTE(REGEXEXTRACT(A2416, ""[^-]+- [^-]+- [^-]+ - (.+?)\.jpg""), "".jpg"", """"), ""-"", "", ""), """")"),"")</f>
        <v/>
      </c>
      <c r="L2416" s="12"/>
      <c r="M2416" s="13"/>
      <c r="N2416" s="2"/>
      <c r="O2416" s="20"/>
      <c r="P2416" s="42"/>
      <c r="R2416" s="23"/>
    </row>
    <row r="2417" spans="1:18" ht="12.75">
      <c r="A2417" s="12"/>
      <c r="D2417" s="12"/>
      <c r="E2417" s="12"/>
      <c r="H2417" s="11" t="str">
        <f ca="1">IFERROR(__xludf.DUMMYFUNCTION("IFERROR(SUBSTITUTE(SUBSTITUTE(REGEXEXTRACT(A2417, ""[^-]+- [^-]+- [^-]+ - (.+?)\.jpg""), "".jpg"", """"), ""-"", "", ""), """")"),"")</f>
        <v/>
      </c>
      <c r="L2417" s="12"/>
      <c r="M2417" s="13"/>
      <c r="N2417" s="2"/>
      <c r="O2417" s="20"/>
      <c r="P2417" s="42"/>
      <c r="R2417" s="23"/>
    </row>
    <row r="2418" spans="1:18" ht="12.75">
      <c r="A2418" s="12"/>
      <c r="D2418" s="12"/>
      <c r="E2418" s="12"/>
      <c r="H2418" s="11" t="str">
        <f ca="1">IFERROR(__xludf.DUMMYFUNCTION("IFERROR(SUBSTITUTE(SUBSTITUTE(REGEXEXTRACT(A2418, ""[^-]+- [^-]+- [^-]+ - (.+?)\.jpg""), "".jpg"", """"), ""-"", "", ""), """")"),"")</f>
        <v/>
      </c>
      <c r="L2418" s="12"/>
      <c r="M2418" s="13"/>
      <c r="N2418" s="2"/>
      <c r="O2418" s="20"/>
      <c r="P2418" s="42"/>
      <c r="R2418" s="23"/>
    </row>
    <row r="2419" spans="1:18" ht="12.75">
      <c r="A2419" s="12"/>
      <c r="D2419" s="12"/>
      <c r="E2419" s="12"/>
      <c r="H2419" s="11" t="str">
        <f ca="1">IFERROR(__xludf.DUMMYFUNCTION("IFERROR(SUBSTITUTE(SUBSTITUTE(REGEXEXTRACT(A2419, ""[^-]+- [^-]+- [^-]+ - (.+?)\.jpg""), "".jpg"", """"), ""-"", "", ""), """")"),"")</f>
        <v/>
      </c>
      <c r="L2419" s="12"/>
      <c r="M2419" s="13"/>
      <c r="N2419" s="2"/>
      <c r="O2419" s="20"/>
      <c r="P2419" s="42"/>
      <c r="R2419" s="23"/>
    </row>
    <row r="2420" spans="1:18" ht="12.75">
      <c r="A2420" s="12"/>
      <c r="D2420" s="12"/>
      <c r="E2420" s="12"/>
      <c r="H2420" s="11" t="str">
        <f ca="1">IFERROR(__xludf.DUMMYFUNCTION("IFERROR(SUBSTITUTE(SUBSTITUTE(REGEXEXTRACT(A2420, ""[^-]+- [^-]+- [^-]+ - (.+?)\.jpg""), "".jpg"", """"), ""-"", "", ""), """")"),"")</f>
        <v/>
      </c>
      <c r="L2420" s="12"/>
      <c r="M2420" s="13"/>
      <c r="N2420" s="2"/>
      <c r="O2420" s="20"/>
      <c r="P2420" s="42"/>
      <c r="R2420" s="23"/>
    </row>
    <row r="2421" spans="1:18" ht="12.75">
      <c r="A2421" s="12"/>
      <c r="D2421" s="12"/>
      <c r="E2421" s="12"/>
      <c r="H2421" s="11" t="str">
        <f ca="1">IFERROR(__xludf.DUMMYFUNCTION("IFERROR(SUBSTITUTE(SUBSTITUTE(REGEXEXTRACT(A2421, ""[^-]+- [^-]+- [^-]+ - (.+?)\.jpg""), "".jpg"", """"), ""-"", "", ""), """")"),"")</f>
        <v/>
      </c>
      <c r="L2421" s="12"/>
      <c r="M2421" s="13"/>
      <c r="N2421" s="2"/>
      <c r="O2421" s="20"/>
      <c r="P2421" s="42"/>
      <c r="R2421" s="23"/>
    </row>
    <row r="2422" spans="1:18" ht="12.75">
      <c r="A2422" s="12"/>
      <c r="D2422" s="12"/>
      <c r="E2422" s="12"/>
      <c r="H2422" s="11" t="str">
        <f ca="1">IFERROR(__xludf.DUMMYFUNCTION("IFERROR(SUBSTITUTE(SUBSTITUTE(REGEXEXTRACT(A2422, ""[^-]+- [^-]+- [^-]+ - (.+?)\.jpg""), "".jpg"", """"), ""-"", "", ""), """")"),"")</f>
        <v/>
      </c>
      <c r="L2422" s="12"/>
      <c r="M2422" s="13"/>
      <c r="N2422" s="2"/>
      <c r="O2422" s="20"/>
      <c r="P2422" s="42"/>
      <c r="R2422" s="23"/>
    </row>
    <row r="2423" spans="1:18" ht="12.75">
      <c r="A2423" s="12"/>
      <c r="D2423" s="12"/>
      <c r="E2423" s="12"/>
      <c r="H2423" s="11" t="str">
        <f ca="1">IFERROR(__xludf.DUMMYFUNCTION("IFERROR(SUBSTITUTE(SUBSTITUTE(REGEXEXTRACT(A2423, ""[^-]+- [^-]+- [^-]+ - (.+?)\.jpg""), "".jpg"", """"), ""-"", "", ""), """")"),"")</f>
        <v/>
      </c>
      <c r="L2423" s="12"/>
      <c r="M2423" s="13"/>
      <c r="N2423" s="2"/>
      <c r="O2423" s="20"/>
      <c r="P2423" s="42"/>
      <c r="R2423" s="23"/>
    </row>
    <row r="2424" spans="1:18" ht="12.75">
      <c r="A2424" s="12"/>
      <c r="D2424" s="12"/>
      <c r="E2424" s="12"/>
      <c r="H2424" s="11" t="str">
        <f ca="1">IFERROR(__xludf.DUMMYFUNCTION("IFERROR(SUBSTITUTE(SUBSTITUTE(REGEXEXTRACT(A2424, ""[^-]+- [^-]+- [^-]+ - (.+?)\.jpg""), "".jpg"", """"), ""-"", "", ""), """")"),"")</f>
        <v/>
      </c>
      <c r="L2424" s="12"/>
      <c r="M2424" s="13"/>
      <c r="N2424" s="2"/>
      <c r="O2424" s="20"/>
      <c r="P2424" s="42"/>
      <c r="R2424" s="23"/>
    </row>
    <row r="2425" spans="1:18" ht="12.75">
      <c r="A2425" s="12"/>
      <c r="D2425" s="12"/>
      <c r="E2425" s="12"/>
      <c r="H2425" s="11" t="str">
        <f ca="1">IFERROR(__xludf.DUMMYFUNCTION("IFERROR(SUBSTITUTE(SUBSTITUTE(REGEXEXTRACT(A2425, ""[^-]+- [^-]+- [^-]+ - (.+?)\.jpg""), "".jpg"", """"), ""-"", "", ""), """")"),"")</f>
        <v/>
      </c>
      <c r="L2425" s="12"/>
      <c r="M2425" s="13"/>
      <c r="N2425" s="2"/>
      <c r="O2425" s="20"/>
      <c r="P2425" s="42"/>
      <c r="R2425" s="23"/>
    </row>
    <row r="2426" spans="1:18" ht="12.75">
      <c r="A2426" s="12"/>
      <c r="D2426" s="12"/>
      <c r="E2426" s="12"/>
      <c r="H2426" s="11" t="str">
        <f ca="1">IFERROR(__xludf.DUMMYFUNCTION("IFERROR(SUBSTITUTE(SUBSTITUTE(REGEXEXTRACT(A2426, ""[^-]+- [^-]+- [^-]+ - (.+?)\.jpg""), "".jpg"", """"), ""-"", "", ""), """")"),"")</f>
        <v/>
      </c>
      <c r="L2426" s="12"/>
      <c r="M2426" s="13"/>
      <c r="N2426" s="2"/>
      <c r="O2426" s="20"/>
      <c r="P2426" s="42"/>
      <c r="R2426" s="23"/>
    </row>
    <row r="2427" spans="1:18" ht="12.75">
      <c r="A2427" s="12"/>
      <c r="D2427" s="12"/>
      <c r="E2427" s="12"/>
      <c r="H2427" s="11" t="str">
        <f ca="1">IFERROR(__xludf.DUMMYFUNCTION("IFERROR(SUBSTITUTE(SUBSTITUTE(REGEXEXTRACT(A2427, ""[^-]+- [^-]+- [^-]+ - (.+?)\.jpg""), "".jpg"", """"), ""-"", "", ""), """")"),"")</f>
        <v/>
      </c>
      <c r="L2427" s="12"/>
      <c r="M2427" s="13"/>
      <c r="N2427" s="2"/>
      <c r="O2427" s="20"/>
      <c r="P2427" s="42"/>
      <c r="R2427" s="23"/>
    </row>
    <row r="2428" spans="1:18" ht="12.75">
      <c r="A2428" s="12"/>
      <c r="D2428" s="12"/>
      <c r="E2428" s="12"/>
      <c r="H2428" s="11" t="str">
        <f ca="1">IFERROR(__xludf.DUMMYFUNCTION("IFERROR(SUBSTITUTE(SUBSTITUTE(REGEXEXTRACT(A2428, ""[^-]+- [^-]+- [^-]+ - (.+?)\.jpg""), "".jpg"", """"), ""-"", "", ""), """")"),"")</f>
        <v/>
      </c>
      <c r="L2428" s="12"/>
      <c r="M2428" s="13"/>
      <c r="N2428" s="2"/>
      <c r="O2428" s="20"/>
      <c r="P2428" s="42"/>
      <c r="R2428" s="23"/>
    </row>
    <row r="2429" spans="1:18" ht="12.75">
      <c r="A2429" s="12"/>
      <c r="D2429" s="12"/>
      <c r="E2429" s="12"/>
      <c r="H2429" s="11" t="str">
        <f ca="1">IFERROR(__xludf.DUMMYFUNCTION("IFERROR(SUBSTITUTE(SUBSTITUTE(REGEXEXTRACT(A2429, ""[^-]+- [^-]+- [^-]+ - (.+?)\.jpg""), "".jpg"", """"), ""-"", "", ""), """")"),"")</f>
        <v/>
      </c>
      <c r="L2429" s="12"/>
      <c r="M2429" s="13"/>
      <c r="N2429" s="2"/>
      <c r="O2429" s="20"/>
      <c r="P2429" s="42"/>
      <c r="R2429" s="23"/>
    </row>
    <row r="2430" spans="1:18" ht="12.75">
      <c r="A2430" s="12"/>
      <c r="D2430" s="12"/>
      <c r="E2430" s="12"/>
      <c r="H2430" s="11" t="str">
        <f ca="1">IFERROR(__xludf.DUMMYFUNCTION("IFERROR(SUBSTITUTE(SUBSTITUTE(REGEXEXTRACT(A2430, ""[^-]+- [^-]+- [^-]+ - (.+?)\.jpg""), "".jpg"", """"), ""-"", "", ""), """")"),"")</f>
        <v/>
      </c>
      <c r="L2430" s="12"/>
      <c r="M2430" s="13"/>
      <c r="N2430" s="2"/>
      <c r="O2430" s="20"/>
      <c r="P2430" s="42"/>
      <c r="R2430" s="23"/>
    </row>
    <row r="2431" spans="1:18" ht="12.75">
      <c r="A2431" s="12"/>
      <c r="D2431" s="12"/>
      <c r="E2431" s="12"/>
      <c r="H2431" s="11" t="str">
        <f ca="1">IFERROR(__xludf.DUMMYFUNCTION("IFERROR(SUBSTITUTE(SUBSTITUTE(REGEXEXTRACT(A2431, ""[^-]+- [^-]+- [^-]+ - (.+?)\.jpg""), "".jpg"", """"), ""-"", "", ""), """")"),"")</f>
        <v/>
      </c>
      <c r="L2431" s="12"/>
      <c r="M2431" s="13"/>
      <c r="N2431" s="2"/>
      <c r="O2431" s="20"/>
      <c r="P2431" s="42"/>
      <c r="R2431" s="23"/>
    </row>
    <row r="2432" spans="1:18" ht="12.75">
      <c r="A2432" s="12"/>
      <c r="D2432" s="12"/>
      <c r="E2432" s="12"/>
      <c r="H2432" s="11" t="str">
        <f ca="1">IFERROR(__xludf.DUMMYFUNCTION("IFERROR(SUBSTITUTE(SUBSTITUTE(REGEXEXTRACT(A2432, ""[^-]+- [^-]+- [^-]+ - (.+?)\.jpg""), "".jpg"", """"), ""-"", "", ""), """")"),"")</f>
        <v/>
      </c>
      <c r="L2432" s="12"/>
      <c r="M2432" s="13"/>
      <c r="N2432" s="2"/>
      <c r="O2432" s="20"/>
      <c r="P2432" s="42"/>
      <c r="R2432" s="23"/>
    </row>
    <row r="2433" spans="1:18" ht="12.75">
      <c r="A2433" s="12"/>
      <c r="D2433" s="12"/>
      <c r="E2433" s="12"/>
      <c r="H2433" s="11" t="str">
        <f ca="1">IFERROR(__xludf.DUMMYFUNCTION("IFERROR(SUBSTITUTE(SUBSTITUTE(REGEXEXTRACT(A2433, ""[^-]+- [^-]+- [^-]+ - (.+?)\.jpg""), "".jpg"", """"), ""-"", "", ""), """")"),"")</f>
        <v/>
      </c>
      <c r="L2433" s="12"/>
      <c r="M2433" s="13"/>
      <c r="N2433" s="2"/>
      <c r="O2433" s="20"/>
      <c r="P2433" s="42"/>
      <c r="R2433" s="23"/>
    </row>
    <row r="2434" spans="1:18" ht="12.75">
      <c r="A2434" s="12"/>
      <c r="D2434" s="12"/>
      <c r="E2434" s="12"/>
      <c r="H2434" s="11" t="str">
        <f ca="1">IFERROR(__xludf.DUMMYFUNCTION("IFERROR(SUBSTITUTE(SUBSTITUTE(REGEXEXTRACT(A2434, ""[^-]+- [^-]+- [^-]+ - (.+?)\.jpg""), "".jpg"", """"), ""-"", "", ""), """")"),"")</f>
        <v/>
      </c>
      <c r="L2434" s="12"/>
      <c r="M2434" s="13"/>
      <c r="N2434" s="2"/>
      <c r="O2434" s="20"/>
      <c r="P2434" s="42"/>
      <c r="R2434" s="23"/>
    </row>
    <row r="2435" spans="1:18" ht="12.75">
      <c r="A2435" s="12"/>
      <c r="D2435" s="12"/>
      <c r="E2435" s="12"/>
      <c r="H2435" s="11" t="str">
        <f ca="1">IFERROR(__xludf.DUMMYFUNCTION("IFERROR(SUBSTITUTE(SUBSTITUTE(REGEXEXTRACT(A2435, ""[^-]+- [^-]+- [^-]+ - (.+?)\.jpg""), "".jpg"", """"), ""-"", "", ""), """")"),"")</f>
        <v/>
      </c>
      <c r="L2435" s="12"/>
      <c r="M2435" s="13"/>
      <c r="N2435" s="2"/>
      <c r="O2435" s="20"/>
      <c r="P2435" s="42"/>
      <c r="R2435" s="23"/>
    </row>
    <row r="2436" spans="1:18" ht="12.75">
      <c r="A2436" s="12"/>
      <c r="D2436" s="12"/>
      <c r="E2436" s="12"/>
      <c r="H2436" s="11" t="str">
        <f ca="1">IFERROR(__xludf.DUMMYFUNCTION("IFERROR(SUBSTITUTE(SUBSTITUTE(REGEXEXTRACT(A2436, ""[^-]+- [^-]+- [^-]+ - (.+?)\.jpg""), "".jpg"", """"), ""-"", "", ""), """")"),"")</f>
        <v/>
      </c>
      <c r="L2436" s="12"/>
      <c r="M2436" s="13"/>
      <c r="N2436" s="2"/>
      <c r="O2436" s="20"/>
      <c r="P2436" s="42"/>
      <c r="R2436" s="23"/>
    </row>
    <row r="2437" spans="1:18" ht="12.75">
      <c r="A2437" s="12"/>
      <c r="D2437" s="12"/>
      <c r="E2437" s="12"/>
      <c r="H2437" s="11" t="str">
        <f ca="1">IFERROR(__xludf.DUMMYFUNCTION("IFERROR(SUBSTITUTE(SUBSTITUTE(REGEXEXTRACT(A2437, ""[^-]+- [^-]+- [^-]+ - (.+?)\.jpg""), "".jpg"", """"), ""-"", "", ""), """")"),"")</f>
        <v/>
      </c>
      <c r="L2437" s="12"/>
      <c r="M2437" s="13"/>
      <c r="N2437" s="2"/>
      <c r="O2437" s="20"/>
      <c r="P2437" s="42"/>
      <c r="R2437" s="23"/>
    </row>
    <row r="2438" spans="1:18" ht="12.75">
      <c r="A2438" s="12"/>
      <c r="D2438" s="12"/>
      <c r="E2438" s="12"/>
      <c r="H2438" s="11" t="str">
        <f ca="1">IFERROR(__xludf.DUMMYFUNCTION("IFERROR(SUBSTITUTE(SUBSTITUTE(REGEXEXTRACT(A2438, ""[^-]+- [^-]+- [^-]+ - (.+?)\.jpg""), "".jpg"", """"), ""-"", "", ""), """")"),"")</f>
        <v/>
      </c>
      <c r="L2438" s="12"/>
      <c r="M2438" s="13"/>
      <c r="N2438" s="2"/>
      <c r="O2438" s="20"/>
      <c r="P2438" s="42"/>
      <c r="R2438" s="23"/>
    </row>
    <row r="2439" spans="1:18" ht="12.75">
      <c r="A2439" s="12"/>
      <c r="D2439" s="12"/>
      <c r="E2439" s="12"/>
      <c r="H2439" s="11" t="str">
        <f ca="1">IFERROR(__xludf.DUMMYFUNCTION("IFERROR(SUBSTITUTE(SUBSTITUTE(REGEXEXTRACT(A2439, ""[^-]+- [^-]+- [^-]+ - (.+?)\.jpg""), "".jpg"", """"), ""-"", "", ""), """")"),"")</f>
        <v/>
      </c>
      <c r="L2439" s="12"/>
      <c r="M2439" s="13"/>
      <c r="N2439" s="2"/>
      <c r="O2439" s="20"/>
      <c r="P2439" s="42"/>
      <c r="R2439" s="23"/>
    </row>
    <row r="2440" spans="1:18" ht="12.75">
      <c r="A2440" s="12"/>
      <c r="D2440" s="12"/>
      <c r="E2440" s="12"/>
      <c r="H2440" s="11" t="str">
        <f ca="1">IFERROR(__xludf.DUMMYFUNCTION("IFERROR(SUBSTITUTE(SUBSTITUTE(REGEXEXTRACT(A2440, ""[^-]+- [^-]+- [^-]+ - (.+?)\.jpg""), "".jpg"", """"), ""-"", "", ""), """")"),"")</f>
        <v/>
      </c>
      <c r="L2440" s="12"/>
      <c r="M2440" s="13"/>
      <c r="N2440" s="2"/>
      <c r="O2440" s="20"/>
      <c r="P2440" s="42"/>
      <c r="R2440" s="23"/>
    </row>
    <row r="2441" spans="1:18" ht="12.75">
      <c r="A2441" s="12"/>
      <c r="D2441" s="12"/>
      <c r="E2441" s="12"/>
      <c r="H2441" s="11" t="str">
        <f ca="1">IFERROR(__xludf.DUMMYFUNCTION("IFERROR(SUBSTITUTE(SUBSTITUTE(REGEXEXTRACT(A2441, ""[^-]+- [^-]+- [^-]+ - (.+?)\.jpg""), "".jpg"", """"), ""-"", "", ""), """")"),"")</f>
        <v/>
      </c>
      <c r="L2441" s="12"/>
      <c r="M2441" s="13"/>
      <c r="N2441" s="2"/>
      <c r="O2441" s="20"/>
      <c r="P2441" s="42"/>
      <c r="R2441" s="23"/>
    </row>
    <row r="2442" spans="1:18" ht="12.75">
      <c r="A2442" s="12"/>
      <c r="D2442" s="12"/>
      <c r="E2442" s="12"/>
      <c r="H2442" s="11" t="str">
        <f ca="1">IFERROR(__xludf.DUMMYFUNCTION("IFERROR(SUBSTITUTE(SUBSTITUTE(REGEXEXTRACT(A2442, ""[^-]+- [^-]+- [^-]+ - (.+?)\.jpg""), "".jpg"", """"), ""-"", "", ""), """")"),"")</f>
        <v/>
      </c>
      <c r="L2442" s="12"/>
      <c r="M2442" s="13"/>
      <c r="N2442" s="2"/>
      <c r="O2442" s="20"/>
      <c r="P2442" s="42"/>
      <c r="R2442" s="23"/>
    </row>
    <row r="2443" spans="1:18" ht="12.75">
      <c r="A2443" s="12"/>
      <c r="D2443" s="12"/>
      <c r="E2443" s="12"/>
      <c r="H2443" s="11" t="str">
        <f ca="1">IFERROR(__xludf.DUMMYFUNCTION("IFERROR(SUBSTITUTE(SUBSTITUTE(REGEXEXTRACT(A2443, ""[^-]+- [^-]+- [^-]+ - (.+?)\.jpg""), "".jpg"", """"), ""-"", "", ""), """")"),"")</f>
        <v/>
      </c>
      <c r="L2443" s="12"/>
      <c r="M2443" s="13"/>
      <c r="N2443" s="2"/>
      <c r="O2443" s="20"/>
      <c r="P2443" s="42"/>
      <c r="R2443" s="23"/>
    </row>
    <row r="2444" spans="1:18" ht="12.75">
      <c r="A2444" s="12"/>
      <c r="D2444" s="12"/>
      <c r="E2444" s="12"/>
      <c r="H2444" s="11" t="str">
        <f ca="1">IFERROR(__xludf.DUMMYFUNCTION("IFERROR(SUBSTITUTE(SUBSTITUTE(REGEXEXTRACT(A2444, ""[^-]+- [^-]+- [^-]+ - (.+?)\.jpg""), "".jpg"", """"), ""-"", "", ""), """")"),"")</f>
        <v/>
      </c>
      <c r="L2444" s="12"/>
      <c r="M2444" s="13"/>
      <c r="N2444" s="2"/>
      <c r="O2444" s="20"/>
      <c r="P2444" s="42"/>
      <c r="R2444" s="23"/>
    </row>
    <row r="2445" spans="1:18" ht="12.75">
      <c r="A2445" s="12"/>
      <c r="D2445" s="12"/>
      <c r="E2445" s="12"/>
      <c r="H2445" s="11" t="str">
        <f ca="1">IFERROR(__xludf.DUMMYFUNCTION("IFERROR(SUBSTITUTE(SUBSTITUTE(REGEXEXTRACT(A2445, ""[^-]+- [^-]+- [^-]+ - (.+?)\.jpg""), "".jpg"", """"), ""-"", "", ""), """")"),"")</f>
        <v/>
      </c>
      <c r="L2445" s="12"/>
      <c r="M2445" s="13"/>
      <c r="N2445" s="2"/>
      <c r="O2445" s="20"/>
      <c r="P2445" s="42"/>
      <c r="R2445" s="23"/>
    </row>
    <row r="2446" spans="1:18" ht="12.75">
      <c r="A2446" s="12"/>
      <c r="D2446" s="12"/>
      <c r="E2446" s="12"/>
      <c r="H2446" s="11" t="str">
        <f ca="1">IFERROR(__xludf.DUMMYFUNCTION("IFERROR(SUBSTITUTE(SUBSTITUTE(REGEXEXTRACT(A2446, ""[^-]+- [^-]+- [^-]+ - (.+?)\.jpg""), "".jpg"", """"), ""-"", "", ""), """")"),"")</f>
        <v/>
      </c>
      <c r="L2446" s="12"/>
      <c r="M2446" s="13"/>
      <c r="N2446" s="2"/>
      <c r="O2446" s="20"/>
      <c r="P2446" s="42"/>
      <c r="R2446" s="23"/>
    </row>
    <row r="2447" spans="1:18" ht="12.75">
      <c r="A2447" s="12"/>
      <c r="D2447" s="12"/>
      <c r="E2447" s="12"/>
      <c r="H2447" s="11" t="str">
        <f ca="1">IFERROR(__xludf.DUMMYFUNCTION("IFERROR(SUBSTITUTE(SUBSTITUTE(REGEXEXTRACT(A2447, ""[^-]+- [^-]+- [^-]+ - (.+?)\.jpg""), "".jpg"", """"), ""-"", "", ""), """")"),"")</f>
        <v/>
      </c>
      <c r="L2447" s="12"/>
      <c r="M2447" s="13"/>
      <c r="N2447" s="2"/>
      <c r="O2447" s="20"/>
      <c r="P2447" s="42"/>
      <c r="R2447" s="23"/>
    </row>
    <row r="2448" spans="1:18" ht="12.75">
      <c r="A2448" s="12"/>
      <c r="D2448" s="12"/>
      <c r="E2448" s="12"/>
      <c r="H2448" s="11" t="str">
        <f ca="1">IFERROR(__xludf.DUMMYFUNCTION("IFERROR(SUBSTITUTE(SUBSTITUTE(REGEXEXTRACT(A2448, ""[^-]+- [^-]+- [^-]+ - (.+?)\.jpg""), "".jpg"", """"), ""-"", "", ""), """")"),"")</f>
        <v/>
      </c>
      <c r="L2448" s="12"/>
      <c r="M2448" s="13"/>
      <c r="N2448" s="2"/>
      <c r="O2448" s="20"/>
      <c r="P2448" s="42"/>
      <c r="R2448" s="23"/>
    </row>
    <row r="2449" spans="1:18" ht="12.75">
      <c r="A2449" s="12"/>
      <c r="D2449" s="12"/>
      <c r="E2449" s="12"/>
      <c r="H2449" s="11" t="str">
        <f ca="1">IFERROR(__xludf.DUMMYFUNCTION("IFERROR(SUBSTITUTE(SUBSTITUTE(REGEXEXTRACT(A2449, ""[^-]+- [^-]+- [^-]+ - (.+?)\.jpg""), "".jpg"", """"), ""-"", "", ""), """")"),"")</f>
        <v/>
      </c>
      <c r="L2449" s="12"/>
      <c r="M2449" s="13"/>
      <c r="N2449" s="2"/>
      <c r="O2449" s="20"/>
      <c r="P2449" s="42"/>
      <c r="R2449" s="23"/>
    </row>
    <row r="2450" spans="1:18" ht="12.75">
      <c r="A2450" s="12"/>
      <c r="D2450" s="12"/>
      <c r="E2450" s="12"/>
      <c r="H2450" s="11" t="str">
        <f ca="1">IFERROR(__xludf.DUMMYFUNCTION("IFERROR(SUBSTITUTE(SUBSTITUTE(REGEXEXTRACT(A2450, ""[^-]+- [^-]+- [^-]+ - (.+?)\.jpg""), "".jpg"", """"), ""-"", "", ""), """")"),"")</f>
        <v/>
      </c>
      <c r="L2450" s="12"/>
      <c r="M2450" s="13"/>
      <c r="N2450" s="2"/>
      <c r="O2450" s="20"/>
      <c r="P2450" s="42"/>
      <c r="R2450" s="23"/>
    </row>
    <row r="2451" spans="1:18" ht="12.75">
      <c r="A2451" s="12"/>
      <c r="D2451" s="12"/>
      <c r="E2451" s="12"/>
      <c r="H2451" s="11" t="str">
        <f ca="1">IFERROR(__xludf.DUMMYFUNCTION("IFERROR(SUBSTITUTE(SUBSTITUTE(REGEXEXTRACT(A2451, ""[^-]+- [^-]+- [^-]+ - (.+?)\.jpg""), "".jpg"", """"), ""-"", "", ""), """")"),"")</f>
        <v/>
      </c>
      <c r="L2451" s="12"/>
      <c r="M2451" s="13"/>
      <c r="N2451" s="2"/>
      <c r="O2451" s="20"/>
      <c r="P2451" s="42"/>
      <c r="R2451" s="23"/>
    </row>
    <row r="2452" spans="1:18" ht="12.75">
      <c r="A2452" s="12"/>
      <c r="D2452" s="12"/>
      <c r="E2452" s="12"/>
      <c r="H2452" s="11" t="str">
        <f ca="1">IFERROR(__xludf.DUMMYFUNCTION("IFERROR(SUBSTITUTE(SUBSTITUTE(REGEXEXTRACT(A2452, ""[^-]+- [^-]+- [^-]+ - (.+?)\.jpg""), "".jpg"", """"), ""-"", "", ""), """")"),"")</f>
        <v/>
      </c>
      <c r="L2452" s="12"/>
      <c r="M2452" s="13"/>
      <c r="N2452" s="2"/>
      <c r="O2452" s="20"/>
      <c r="P2452" s="42"/>
      <c r="R2452" s="23"/>
    </row>
    <row r="2453" spans="1:18" ht="12.75">
      <c r="A2453" s="12"/>
      <c r="D2453" s="12"/>
      <c r="E2453" s="12"/>
      <c r="H2453" s="11" t="str">
        <f ca="1">IFERROR(__xludf.DUMMYFUNCTION("IFERROR(SUBSTITUTE(SUBSTITUTE(REGEXEXTRACT(A2453, ""[^-]+- [^-]+- [^-]+ - (.+?)\.jpg""), "".jpg"", """"), ""-"", "", ""), """")"),"")</f>
        <v/>
      </c>
      <c r="L2453" s="12"/>
      <c r="M2453" s="13"/>
      <c r="N2453" s="2"/>
      <c r="O2453" s="20"/>
      <c r="P2453" s="42"/>
      <c r="R2453" s="23"/>
    </row>
    <row r="2454" spans="1:18" ht="12.75">
      <c r="A2454" s="12"/>
      <c r="D2454" s="12"/>
      <c r="E2454" s="12"/>
      <c r="H2454" s="11" t="str">
        <f ca="1">IFERROR(__xludf.DUMMYFUNCTION("IFERROR(SUBSTITUTE(SUBSTITUTE(REGEXEXTRACT(A2454, ""[^-]+- [^-]+- [^-]+ - (.+?)\.jpg""), "".jpg"", """"), ""-"", "", ""), """")"),"")</f>
        <v/>
      </c>
      <c r="L2454" s="12"/>
      <c r="M2454" s="13"/>
      <c r="N2454" s="2"/>
      <c r="O2454" s="20"/>
      <c r="P2454" s="42"/>
      <c r="R2454" s="23"/>
    </row>
    <row r="2455" spans="1:18" ht="12.75">
      <c r="A2455" s="12"/>
      <c r="D2455" s="12"/>
      <c r="E2455" s="12"/>
      <c r="H2455" s="11" t="str">
        <f ca="1">IFERROR(__xludf.DUMMYFUNCTION("IFERROR(SUBSTITUTE(SUBSTITUTE(REGEXEXTRACT(A2455, ""[^-]+- [^-]+- [^-]+ - (.+?)\.jpg""), "".jpg"", """"), ""-"", "", ""), """")"),"")</f>
        <v/>
      </c>
      <c r="L2455" s="12"/>
      <c r="M2455" s="13"/>
      <c r="N2455" s="2"/>
      <c r="O2455" s="20"/>
      <c r="P2455" s="42"/>
      <c r="R2455" s="23"/>
    </row>
    <row r="2456" spans="1:18" ht="12.75">
      <c r="A2456" s="12"/>
      <c r="D2456" s="12"/>
      <c r="E2456" s="12"/>
      <c r="H2456" s="11" t="str">
        <f ca="1">IFERROR(__xludf.DUMMYFUNCTION("IFERROR(SUBSTITUTE(SUBSTITUTE(REGEXEXTRACT(A2456, ""[^-]+- [^-]+- [^-]+ - (.+?)\.jpg""), "".jpg"", """"), ""-"", "", ""), """")"),"")</f>
        <v/>
      </c>
      <c r="L2456" s="12"/>
      <c r="M2456" s="13"/>
      <c r="N2456" s="2"/>
      <c r="O2456" s="20"/>
      <c r="P2456" s="42"/>
      <c r="R2456" s="23"/>
    </row>
    <row r="2457" spans="1:18" ht="12.75">
      <c r="A2457" s="12"/>
      <c r="D2457" s="12"/>
      <c r="E2457" s="12"/>
      <c r="H2457" s="11" t="str">
        <f ca="1">IFERROR(__xludf.DUMMYFUNCTION("IFERROR(SUBSTITUTE(SUBSTITUTE(REGEXEXTRACT(A2457, ""[^-]+- [^-]+- [^-]+ - (.+?)\.jpg""), "".jpg"", """"), ""-"", "", ""), """")"),"")</f>
        <v/>
      </c>
      <c r="L2457" s="12"/>
      <c r="M2457" s="13"/>
      <c r="N2457" s="2"/>
      <c r="O2457" s="20"/>
      <c r="P2457" s="42"/>
      <c r="R2457" s="23"/>
    </row>
    <row r="2458" spans="1:18" ht="12.75">
      <c r="A2458" s="12"/>
      <c r="D2458" s="12"/>
      <c r="E2458" s="12"/>
      <c r="H2458" s="11" t="str">
        <f ca="1">IFERROR(__xludf.DUMMYFUNCTION("IFERROR(SUBSTITUTE(SUBSTITUTE(REGEXEXTRACT(A2458, ""[^-]+- [^-]+- [^-]+ - (.+?)\.jpg""), "".jpg"", """"), ""-"", "", ""), """")"),"")</f>
        <v/>
      </c>
      <c r="L2458" s="12"/>
      <c r="M2458" s="13"/>
      <c r="N2458" s="2"/>
      <c r="O2458" s="20"/>
      <c r="P2458" s="42"/>
      <c r="R2458" s="23"/>
    </row>
    <row r="2459" spans="1:18" ht="12.75">
      <c r="A2459" s="12"/>
      <c r="D2459" s="12"/>
      <c r="E2459" s="12"/>
      <c r="H2459" s="11" t="str">
        <f ca="1">IFERROR(__xludf.DUMMYFUNCTION("IFERROR(SUBSTITUTE(SUBSTITUTE(REGEXEXTRACT(A2459, ""[^-]+- [^-]+- [^-]+ - (.+?)\.jpg""), "".jpg"", """"), ""-"", "", ""), """")"),"")</f>
        <v/>
      </c>
      <c r="L2459" s="12"/>
      <c r="M2459" s="13"/>
      <c r="N2459" s="2"/>
      <c r="O2459" s="20"/>
      <c r="P2459" s="42"/>
      <c r="R2459" s="23"/>
    </row>
    <row r="2460" spans="1:18" ht="12.75">
      <c r="A2460" s="12"/>
      <c r="D2460" s="12"/>
      <c r="E2460" s="12"/>
      <c r="H2460" s="11" t="str">
        <f ca="1">IFERROR(__xludf.DUMMYFUNCTION("IFERROR(SUBSTITUTE(SUBSTITUTE(REGEXEXTRACT(A2460, ""[^-]+- [^-]+- [^-]+ - (.+?)\.jpg""), "".jpg"", """"), ""-"", "", ""), """")"),"")</f>
        <v/>
      </c>
      <c r="L2460" s="12"/>
      <c r="M2460" s="13"/>
      <c r="N2460" s="2"/>
      <c r="O2460" s="20"/>
      <c r="P2460" s="42"/>
      <c r="R2460" s="23"/>
    </row>
    <row r="2461" spans="1:18" ht="12.75">
      <c r="A2461" s="12"/>
      <c r="D2461" s="12"/>
      <c r="E2461" s="12"/>
      <c r="H2461" s="11" t="str">
        <f ca="1">IFERROR(__xludf.DUMMYFUNCTION("IFERROR(SUBSTITUTE(SUBSTITUTE(REGEXEXTRACT(A2461, ""[^-]+- [^-]+- [^-]+ - (.+?)\.jpg""), "".jpg"", """"), ""-"", "", ""), """")"),"")</f>
        <v/>
      </c>
      <c r="L2461" s="12"/>
      <c r="M2461" s="13"/>
      <c r="N2461" s="2"/>
      <c r="O2461" s="20"/>
      <c r="P2461" s="42"/>
      <c r="R2461" s="23"/>
    </row>
    <row r="2462" spans="1:18" ht="12.75">
      <c r="A2462" s="12"/>
      <c r="D2462" s="12"/>
      <c r="E2462" s="12"/>
      <c r="H2462" s="11" t="str">
        <f ca="1">IFERROR(__xludf.DUMMYFUNCTION("IFERROR(SUBSTITUTE(SUBSTITUTE(REGEXEXTRACT(A2462, ""[^-]+- [^-]+- [^-]+ - (.+?)\.jpg""), "".jpg"", """"), ""-"", "", ""), """")"),"")</f>
        <v/>
      </c>
      <c r="L2462" s="12"/>
      <c r="M2462" s="13"/>
      <c r="N2462" s="2"/>
      <c r="O2462" s="20"/>
      <c r="P2462" s="42"/>
      <c r="R2462" s="23"/>
    </row>
    <row r="2463" spans="1:18" ht="12.75">
      <c r="A2463" s="12"/>
      <c r="D2463" s="12"/>
      <c r="E2463" s="12"/>
      <c r="H2463" s="11" t="str">
        <f ca="1">IFERROR(__xludf.DUMMYFUNCTION("IFERROR(SUBSTITUTE(SUBSTITUTE(REGEXEXTRACT(A2463, ""[^-]+- [^-]+- [^-]+ - (.+?)\.jpg""), "".jpg"", """"), ""-"", "", ""), """")"),"")</f>
        <v/>
      </c>
      <c r="L2463" s="12"/>
      <c r="M2463" s="13"/>
      <c r="N2463" s="2"/>
      <c r="O2463" s="20"/>
      <c r="P2463" s="42"/>
      <c r="R2463" s="23"/>
    </row>
    <row r="2464" spans="1:18" ht="12.75">
      <c r="A2464" s="12"/>
      <c r="D2464" s="12"/>
      <c r="E2464" s="12"/>
      <c r="H2464" s="11" t="str">
        <f ca="1">IFERROR(__xludf.DUMMYFUNCTION("IFERROR(SUBSTITUTE(SUBSTITUTE(REGEXEXTRACT(A2464, ""[^-]+- [^-]+- [^-]+ - (.+?)\.jpg""), "".jpg"", """"), ""-"", "", ""), """")"),"")</f>
        <v/>
      </c>
      <c r="L2464" s="12"/>
      <c r="M2464" s="13"/>
      <c r="N2464" s="2"/>
      <c r="O2464" s="20"/>
      <c r="P2464" s="42"/>
      <c r="R2464" s="23"/>
    </row>
    <row r="2465" spans="1:18" ht="12.75">
      <c r="A2465" s="12"/>
      <c r="D2465" s="12"/>
      <c r="E2465" s="12"/>
      <c r="H2465" s="11" t="str">
        <f ca="1">IFERROR(__xludf.DUMMYFUNCTION("IFERROR(SUBSTITUTE(SUBSTITUTE(REGEXEXTRACT(A2465, ""[^-]+- [^-]+- [^-]+ - (.+?)\.jpg""), "".jpg"", """"), ""-"", "", ""), """")"),"")</f>
        <v/>
      </c>
      <c r="L2465" s="12"/>
      <c r="M2465" s="13"/>
      <c r="N2465" s="2"/>
      <c r="O2465" s="20"/>
      <c r="P2465" s="42"/>
      <c r="R2465" s="23"/>
    </row>
    <row r="2466" spans="1:18" ht="12.75">
      <c r="A2466" s="12"/>
      <c r="D2466" s="12"/>
      <c r="E2466" s="12"/>
      <c r="H2466" s="11" t="str">
        <f ca="1">IFERROR(__xludf.DUMMYFUNCTION("IFERROR(SUBSTITUTE(SUBSTITUTE(REGEXEXTRACT(A2466, ""[^-]+- [^-]+- [^-]+ - (.+?)\.jpg""), "".jpg"", """"), ""-"", "", ""), """")"),"")</f>
        <v/>
      </c>
      <c r="L2466" s="12"/>
      <c r="M2466" s="13"/>
      <c r="N2466" s="2"/>
      <c r="O2466" s="20"/>
      <c r="P2466" s="42"/>
      <c r="R2466" s="23"/>
    </row>
    <row r="2467" spans="1:18" ht="12.75">
      <c r="A2467" s="12"/>
      <c r="D2467" s="12"/>
      <c r="E2467" s="12"/>
      <c r="H2467" s="11" t="str">
        <f ca="1">IFERROR(__xludf.DUMMYFUNCTION("IFERROR(SUBSTITUTE(SUBSTITUTE(REGEXEXTRACT(A2467, ""[^-]+- [^-]+- [^-]+ - (.+?)\.jpg""), "".jpg"", """"), ""-"", "", ""), """")"),"")</f>
        <v/>
      </c>
      <c r="L2467" s="12"/>
      <c r="M2467" s="13"/>
      <c r="N2467" s="2"/>
      <c r="O2467" s="20"/>
      <c r="P2467" s="42"/>
      <c r="R2467" s="23"/>
    </row>
    <row r="2468" spans="1:18" ht="12.75">
      <c r="A2468" s="12"/>
      <c r="D2468" s="12"/>
      <c r="E2468" s="12"/>
      <c r="H2468" s="11" t="str">
        <f ca="1">IFERROR(__xludf.DUMMYFUNCTION("IFERROR(SUBSTITUTE(SUBSTITUTE(REGEXEXTRACT(A2468, ""[^-]+- [^-]+- [^-]+ - (.+?)\.jpg""), "".jpg"", """"), ""-"", "", ""), """")"),"")</f>
        <v/>
      </c>
      <c r="L2468" s="12"/>
      <c r="M2468" s="13"/>
      <c r="N2468" s="2"/>
      <c r="O2468" s="20"/>
      <c r="P2468" s="42"/>
      <c r="R2468" s="23"/>
    </row>
    <row r="2469" spans="1:18" ht="12.75">
      <c r="A2469" s="12"/>
      <c r="D2469" s="12"/>
      <c r="E2469" s="12"/>
      <c r="H2469" s="11" t="str">
        <f ca="1">IFERROR(__xludf.DUMMYFUNCTION("IFERROR(SUBSTITUTE(SUBSTITUTE(REGEXEXTRACT(A2469, ""[^-]+- [^-]+- [^-]+ - (.+?)\.jpg""), "".jpg"", """"), ""-"", "", ""), """")"),"")</f>
        <v/>
      </c>
      <c r="L2469" s="12"/>
      <c r="M2469" s="13"/>
      <c r="N2469" s="2"/>
      <c r="O2469" s="20"/>
      <c r="P2469" s="42"/>
      <c r="R2469" s="23"/>
    </row>
    <row r="2470" spans="1:18" ht="12.75">
      <c r="A2470" s="12"/>
      <c r="D2470" s="12"/>
      <c r="E2470" s="12"/>
      <c r="H2470" s="11" t="str">
        <f ca="1">IFERROR(__xludf.DUMMYFUNCTION("IFERROR(SUBSTITUTE(SUBSTITUTE(REGEXEXTRACT(A2470, ""[^-]+- [^-]+- [^-]+ - (.+?)\.jpg""), "".jpg"", """"), ""-"", "", ""), """")"),"")</f>
        <v/>
      </c>
      <c r="L2470" s="12"/>
      <c r="M2470" s="13"/>
      <c r="N2470" s="2"/>
      <c r="O2470" s="20"/>
      <c r="P2470" s="42"/>
      <c r="R2470" s="23"/>
    </row>
    <row r="2471" spans="1:18" ht="12.75">
      <c r="A2471" s="12"/>
      <c r="D2471" s="12"/>
      <c r="E2471" s="12"/>
      <c r="H2471" s="11" t="str">
        <f ca="1">IFERROR(__xludf.DUMMYFUNCTION("IFERROR(SUBSTITUTE(SUBSTITUTE(REGEXEXTRACT(A2471, ""[^-]+- [^-]+- [^-]+ - (.+?)\.jpg""), "".jpg"", """"), ""-"", "", ""), """")"),"")</f>
        <v/>
      </c>
      <c r="L2471" s="12"/>
      <c r="M2471" s="13"/>
      <c r="N2471" s="2"/>
      <c r="O2471" s="20"/>
      <c r="P2471" s="42"/>
      <c r="R2471" s="23"/>
    </row>
    <row r="2472" spans="1:18" ht="12.75">
      <c r="A2472" s="12"/>
      <c r="D2472" s="12"/>
      <c r="E2472" s="12"/>
      <c r="H2472" s="11" t="str">
        <f ca="1">IFERROR(__xludf.DUMMYFUNCTION("IFERROR(SUBSTITUTE(SUBSTITUTE(REGEXEXTRACT(A2472, ""[^-]+- [^-]+- [^-]+ - (.+?)\.jpg""), "".jpg"", """"), ""-"", "", ""), """")"),"")</f>
        <v/>
      </c>
      <c r="L2472" s="12"/>
      <c r="M2472" s="13"/>
      <c r="N2472" s="2"/>
      <c r="O2472" s="20"/>
      <c r="P2472" s="42"/>
      <c r="R2472" s="23"/>
    </row>
    <row r="2473" spans="1:18" ht="12.75">
      <c r="A2473" s="12"/>
      <c r="D2473" s="12"/>
      <c r="E2473" s="12"/>
      <c r="H2473" s="11" t="str">
        <f ca="1">IFERROR(__xludf.DUMMYFUNCTION("IFERROR(SUBSTITUTE(SUBSTITUTE(REGEXEXTRACT(A2473, ""[^-]+- [^-]+- [^-]+ - (.+?)\.jpg""), "".jpg"", """"), ""-"", "", ""), """")"),"")</f>
        <v/>
      </c>
      <c r="L2473" s="12"/>
      <c r="M2473" s="13"/>
      <c r="N2473" s="2"/>
      <c r="O2473" s="20"/>
      <c r="P2473" s="42"/>
      <c r="R2473" s="23"/>
    </row>
    <row r="2474" spans="1:18" ht="12.75">
      <c r="A2474" s="12"/>
      <c r="D2474" s="12"/>
      <c r="E2474" s="12"/>
      <c r="H2474" s="11" t="str">
        <f ca="1">IFERROR(__xludf.DUMMYFUNCTION("IFERROR(SUBSTITUTE(SUBSTITUTE(REGEXEXTRACT(A2474, ""[^-]+- [^-]+- [^-]+ - (.+?)\.jpg""), "".jpg"", """"), ""-"", "", ""), """")"),"")</f>
        <v/>
      </c>
      <c r="L2474" s="12"/>
      <c r="M2474" s="13"/>
      <c r="N2474" s="2"/>
      <c r="O2474" s="20"/>
      <c r="P2474" s="42"/>
      <c r="R2474" s="23"/>
    </row>
    <row r="2475" spans="1:18" ht="12.75">
      <c r="A2475" s="12"/>
      <c r="D2475" s="12"/>
      <c r="E2475" s="12"/>
      <c r="H2475" s="11" t="str">
        <f ca="1">IFERROR(__xludf.DUMMYFUNCTION("IFERROR(SUBSTITUTE(SUBSTITUTE(REGEXEXTRACT(A2475, ""[^-]+- [^-]+- [^-]+ - (.+?)\.jpg""), "".jpg"", """"), ""-"", "", ""), """")"),"")</f>
        <v/>
      </c>
      <c r="L2475" s="12"/>
      <c r="M2475" s="13"/>
      <c r="N2475" s="2"/>
      <c r="O2475" s="20"/>
      <c r="P2475" s="42"/>
      <c r="R2475" s="23"/>
    </row>
    <row r="2476" spans="1:18" ht="12.75">
      <c r="A2476" s="12"/>
      <c r="D2476" s="12"/>
      <c r="E2476" s="12"/>
      <c r="H2476" s="11" t="str">
        <f ca="1">IFERROR(__xludf.DUMMYFUNCTION("IFERROR(SUBSTITUTE(SUBSTITUTE(REGEXEXTRACT(A2476, ""[^-]+- [^-]+- [^-]+ - (.+?)\.jpg""), "".jpg"", """"), ""-"", "", ""), """")"),"")</f>
        <v/>
      </c>
      <c r="L2476" s="12"/>
      <c r="M2476" s="13"/>
      <c r="N2476" s="2"/>
      <c r="O2476" s="20"/>
      <c r="P2476" s="42"/>
      <c r="R2476" s="23"/>
    </row>
    <row r="2477" spans="1:18" ht="12.75">
      <c r="A2477" s="12"/>
      <c r="D2477" s="12"/>
      <c r="E2477" s="12"/>
      <c r="H2477" s="11" t="str">
        <f ca="1">IFERROR(__xludf.DUMMYFUNCTION("IFERROR(SUBSTITUTE(SUBSTITUTE(REGEXEXTRACT(A2477, ""[^-]+- [^-]+- [^-]+ - (.+?)\.jpg""), "".jpg"", """"), ""-"", "", ""), """")"),"")</f>
        <v/>
      </c>
      <c r="L2477" s="12"/>
      <c r="M2477" s="13"/>
      <c r="N2477" s="2"/>
      <c r="O2477" s="20"/>
      <c r="P2477" s="42"/>
      <c r="R2477" s="23"/>
    </row>
    <row r="2478" spans="1:18" ht="12.75">
      <c r="A2478" s="12"/>
      <c r="D2478" s="12"/>
      <c r="E2478" s="12"/>
      <c r="H2478" s="11" t="str">
        <f ca="1">IFERROR(__xludf.DUMMYFUNCTION("IFERROR(SUBSTITUTE(SUBSTITUTE(REGEXEXTRACT(A2478, ""[^-]+- [^-]+- [^-]+ - (.+?)\.jpg""), "".jpg"", """"), ""-"", "", ""), """")"),"")</f>
        <v/>
      </c>
      <c r="L2478" s="12"/>
      <c r="M2478" s="13"/>
      <c r="N2478" s="2"/>
      <c r="O2478" s="20"/>
      <c r="P2478" s="42"/>
      <c r="R2478" s="23"/>
    </row>
    <row r="2479" spans="1:18" ht="12.75">
      <c r="A2479" s="12"/>
      <c r="D2479" s="12"/>
      <c r="E2479" s="12"/>
      <c r="H2479" s="11" t="str">
        <f ca="1">IFERROR(__xludf.DUMMYFUNCTION("IFERROR(SUBSTITUTE(SUBSTITUTE(REGEXEXTRACT(A2479, ""[^-]+- [^-]+- [^-]+ - (.+?)\.jpg""), "".jpg"", """"), ""-"", "", ""), """")"),"")</f>
        <v/>
      </c>
      <c r="L2479" s="12"/>
      <c r="M2479" s="13"/>
      <c r="N2479" s="2"/>
      <c r="O2479" s="20"/>
      <c r="P2479" s="42"/>
      <c r="R2479" s="23"/>
    </row>
    <row r="2480" spans="1:18" ht="12.75">
      <c r="A2480" s="12"/>
      <c r="D2480" s="12"/>
      <c r="E2480" s="12"/>
      <c r="H2480" s="11" t="str">
        <f ca="1">IFERROR(__xludf.DUMMYFUNCTION("IFERROR(SUBSTITUTE(SUBSTITUTE(REGEXEXTRACT(A2480, ""[^-]+- [^-]+- [^-]+ - (.+?)\.jpg""), "".jpg"", """"), ""-"", "", ""), """")"),"")</f>
        <v/>
      </c>
      <c r="L2480" s="12"/>
      <c r="M2480" s="13"/>
      <c r="N2480" s="2"/>
      <c r="O2480" s="20"/>
      <c r="P2480" s="42"/>
      <c r="R2480" s="23"/>
    </row>
    <row r="2481" spans="1:18" ht="12.75">
      <c r="A2481" s="12"/>
      <c r="D2481" s="12"/>
      <c r="E2481" s="12"/>
      <c r="H2481" s="11" t="str">
        <f ca="1">IFERROR(__xludf.DUMMYFUNCTION("IFERROR(SUBSTITUTE(SUBSTITUTE(REGEXEXTRACT(A2481, ""[^-]+- [^-]+- [^-]+ - (.+?)\.jpg""), "".jpg"", """"), ""-"", "", ""), """")"),"")</f>
        <v/>
      </c>
      <c r="L2481" s="12"/>
      <c r="M2481" s="13"/>
      <c r="N2481" s="2"/>
      <c r="O2481" s="20"/>
      <c r="P2481" s="42"/>
      <c r="R2481" s="23"/>
    </row>
    <row r="2482" spans="1:18" ht="12.75">
      <c r="A2482" s="12"/>
      <c r="D2482" s="12"/>
      <c r="E2482" s="12"/>
      <c r="H2482" s="11" t="str">
        <f ca="1">IFERROR(__xludf.DUMMYFUNCTION("IFERROR(SUBSTITUTE(SUBSTITUTE(REGEXEXTRACT(A2482, ""[^-]+- [^-]+- [^-]+ - (.+?)\.jpg""), "".jpg"", """"), ""-"", "", ""), """")"),"")</f>
        <v/>
      </c>
      <c r="L2482" s="12"/>
      <c r="M2482" s="13"/>
      <c r="N2482" s="2"/>
      <c r="O2482" s="20"/>
      <c r="P2482" s="42"/>
      <c r="R2482" s="23"/>
    </row>
    <row r="2483" spans="1:18" ht="12.75">
      <c r="A2483" s="12"/>
      <c r="D2483" s="12"/>
      <c r="E2483" s="12"/>
      <c r="H2483" s="11" t="str">
        <f ca="1">IFERROR(__xludf.DUMMYFUNCTION("IFERROR(SUBSTITUTE(SUBSTITUTE(REGEXEXTRACT(A2483, ""[^-]+- [^-]+- [^-]+ - (.+?)\.jpg""), "".jpg"", """"), ""-"", "", ""), """")"),"")</f>
        <v/>
      </c>
      <c r="L2483" s="12"/>
      <c r="M2483" s="13"/>
      <c r="N2483" s="2"/>
      <c r="O2483" s="20"/>
      <c r="P2483" s="42"/>
      <c r="R2483" s="23"/>
    </row>
    <row r="2484" spans="1:18" ht="12.75">
      <c r="A2484" s="12"/>
      <c r="D2484" s="12"/>
      <c r="E2484" s="12"/>
      <c r="H2484" s="11" t="str">
        <f ca="1">IFERROR(__xludf.DUMMYFUNCTION("IFERROR(SUBSTITUTE(SUBSTITUTE(REGEXEXTRACT(A2484, ""[^-]+- [^-]+- [^-]+ - (.+?)\.jpg""), "".jpg"", """"), ""-"", "", ""), """")"),"")</f>
        <v/>
      </c>
      <c r="L2484" s="12"/>
      <c r="M2484" s="13"/>
      <c r="N2484" s="2"/>
      <c r="O2484" s="20"/>
      <c r="P2484" s="42"/>
      <c r="R2484" s="23"/>
    </row>
    <row r="2485" spans="1:18" ht="12.75">
      <c r="A2485" s="12"/>
      <c r="D2485" s="12"/>
      <c r="E2485" s="12"/>
      <c r="H2485" s="11" t="str">
        <f ca="1">IFERROR(__xludf.DUMMYFUNCTION("IFERROR(SUBSTITUTE(SUBSTITUTE(REGEXEXTRACT(A2485, ""[^-]+- [^-]+- [^-]+ - (.+?)\.jpg""), "".jpg"", """"), ""-"", "", ""), """")"),"")</f>
        <v/>
      </c>
      <c r="L2485" s="12"/>
      <c r="M2485" s="13"/>
      <c r="N2485" s="2"/>
      <c r="O2485" s="20"/>
      <c r="P2485" s="42"/>
      <c r="R2485" s="23"/>
    </row>
    <row r="2486" spans="1:18" ht="12.75">
      <c r="A2486" s="12"/>
      <c r="D2486" s="12"/>
      <c r="E2486" s="12"/>
      <c r="H2486" s="11" t="str">
        <f ca="1">IFERROR(__xludf.DUMMYFUNCTION("IFERROR(SUBSTITUTE(SUBSTITUTE(REGEXEXTRACT(A2486, ""[^-]+- [^-]+- [^-]+ - (.+?)\.jpg""), "".jpg"", """"), ""-"", "", ""), """")"),"")</f>
        <v/>
      </c>
      <c r="L2486" s="12"/>
      <c r="M2486" s="13"/>
      <c r="N2486" s="2"/>
      <c r="O2486" s="20"/>
      <c r="P2486" s="42"/>
      <c r="R2486" s="23"/>
    </row>
    <row r="2487" spans="1:18" ht="12.75">
      <c r="A2487" s="12"/>
      <c r="D2487" s="12"/>
      <c r="E2487" s="12"/>
      <c r="H2487" s="11" t="str">
        <f ca="1">IFERROR(__xludf.DUMMYFUNCTION("IFERROR(SUBSTITUTE(SUBSTITUTE(REGEXEXTRACT(A2487, ""[^-]+- [^-]+- [^-]+ - (.+?)\.jpg""), "".jpg"", """"), ""-"", "", ""), """")"),"")</f>
        <v/>
      </c>
      <c r="L2487" s="12"/>
      <c r="M2487" s="13"/>
      <c r="N2487" s="2"/>
      <c r="O2487" s="20"/>
      <c r="P2487" s="42"/>
      <c r="R2487" s="23"/>
    </row>
    <row r="2488" spans="1:18" ht="12.75">
      <c r="A2488" s="12"/>
      <c r="D2488" s="12"/>
      <c r="E2488" s="12"/>
      <c r="H2488" s="11" t="str">
        <f ca="1">IFERROR(__xludf.DUMMYFUNCTION("IFERROR(SUBSTITUTE(SUBSTITUTE(REGEXEXTRACT(A2488, ""[^-]+- [^-]+- [^-]+ - (.+?)\.jpg""), "".jpg"", """"), ""-"", "", ""), """")"),"")</f>
        <v/>
      </c>
      <c r="L2488" s="12"/>
      <c r="M2488" s="13"/>
      <c r="N2488" s="2"/>
      <c r="O2488" s="20"/>
      <c r="P2488" s="42"/>
      <c r="R2488" s="23"/>
    </row>
    <row r="2489" spans="1:18" ht="12.75">
      <c r="A2489" s="12"/>
      <c r="D2489" s="12"/>
      <c r="E2489" s="12"/>
      <c r="H2489" s="11" t="str">
        <f ca="1">IFERROR(__xludf.DUMMYFUNCTION("IFERROR(SUBSTITUTE(SUBSTITUTE(REGEXEXTRACT(A2489, ""[^-]+- [^-]+- [^-]+ - (.+?)\.jpg""), "".jpg"", """"), ""-"", "", ""), """")"),"")</f>
        <v/>
      </c>
      <c r="L2489" s="12"/>
      <c r="M2489" s="13"/>
      <c r="N2489" s="2"/>
      <c r="O2489" s="20"/>
      <c r="P2489" s="42"/>
      <c r="R2489" s="23"/>
    </row>
    <row r="2490" spans="1:18" ht="12.75">
      <c r="A2490" s="12"/>
      <c r="D2490" s="12"/>
      <c r="E2490" s="12"/>
      <c r="H2490" s="11" t="str">
        <f ca="1">IFERROR(__xludf.DUMMYFUNCTION("IFERROR(SUBSTITUTE(SUBSTITUTE(REGEXEXTRACT(A2490, ""[^-]+- [^-]+- [^-]+ - (.+?)\.jpg""), "".jpg"", """"), ""-"", "", ""), """")"),"")</f>
        <v/>
      </c>
      <c r="L2490" s="12"/>
      <c r="M2490" s="13"/>
      <c r="N2490" s="2"/>
      <c r="O2490" s="20"/>
      <c r="P2490" s="42"/>
      <c r="R2490" s="23"/>
    </row>
    <row r="2491" spans="1:18" ht="12.75">
      <c r="A2491" s="12"/>
      <c r="D2491" s="12"/>
      <c r="E2491" s="12"/>
      <c r="H2491" s="11" t="str">
        <f ca="1">IFERROR(__xludf.DUMMYFUNCTION("IFERROR(SUBSTITUTE(SUBSTITUTE(REGEXEXTRACT(A2491, ""[^-]+- [^-]+- [^-]+ - (.+?)\.jpg""), "".jpg"", """"), ""-"", "", ""), """")"),"")</f>
        <v/>
      </c>
      <c r="L2491" s="12"/>
      <c r="M2491" s="13"/>
      <c r="N2491" s="2"/>
      <c r="O2491" s="20"/>
      <c r="P2491" s="42"/>
      <c r="R2491" s="23"/>
    </row>
    <row r="2492" spans="1:18" ht="12.75">
      <c r="A2492" s="12"/>
      <c r="D2492" s="12"/>
      <c r="E2492" s="12"/>
      <c r="H2492" s="11" t="str">
        <f ca="1">IFERROR(__xludf.DUMMYFUNCTION("IFERROR(SUBSTITUTE(SUBSTITUTE(REGEXEXTRACT(A2492, ""[^-]+- [^-]+- [^-]+ - (.+?)\.jpg""), "".jpg"", """"), ""-"", "", ""), """")"),"")</f>
        <v/>
      </c>
      <c r="L2492" s="12"/>
      <c r="M2492" s="13"/>
      <c r="N2492" s="2"/>
      <c r="O2492" s="20"/>
      <c r="P2492" s="42"/>
      <c r="R2492" s="23"/>
    </row>
    <row r="2493" spans="1:18" ht="12.75">
      <c r="A2493" s="12"/>
      <c r="D2493" s="12"/>
      <c r="E2493" s="12"/>
      <c r="H2493" s="11" t="str">
        <f ca="1">IFERROR(__xludf.DUMMYFUNCTION("IFERROR(SUBSTITUTE(SUBSTITUTE(REGEXEXTRACT(A2493, ""[^-]+- [^-]+- [^-]+ - (.+?)\.jpg""), "".jpg"", """"), ""-"", "", ""), """")"),"")</f>
        <v/>
      </c>
      <c r="L2493" s="12"/>
      <c r="M2493" s="13"/>
      <c r="N2493" s="2"/>
      <c r="O2493" s="20"/>
      <c r="P2493" s="42"/>
      <c r="R2493" s="23"/>
    </row>
    <row r="2494" spans="1:18" ht="12.75">
      <c r="A2494" s="12"/>
      <c r="D2494" s="12"/>
      <c r="E2494" s="12"/>
      <c r="H2494" s="11" t="str">
        <f ca="1">IFERROR(__xludf.DUMMYFUNCTION("IFERROR(SUBSTITUTE(SUBSTITUTE(REGEXEXTRACT(A2494, ""[^-]+- [^-]+- [^-]+ - (.+?)\.jpg""), "".jpg"", """"), ""-"", "", ""), """")"),"")</f>
        <v/>
      </c>
      <c r="L2494" s="12"/>
      <c r="M2494" s="13"/>
      <c r="N2494" s="2"/>
      <c r="O2494" s="20"/>
      <c r="P2494" s="42"/>
      <c r="R2494" s="23"/>
    </row>
    <row r="2495" spans="1:18" ht="12.75">
      <c r="A2495" s="12"/>
      <c r="D2495" s="12"/>
      <c r="E2495" s="12"/>
      <c r="H2495" s="11" t="str">
        <f ca="1">IFERROR(__xludf.DUMMYFUNCTION("IFERROR(SUBSTITUTE(SUBSTITUTE(REGEXEXTRACT(A2495, ""[^-]+- [^-]+- [^-]+ - (.+?)\.jpg""), "".jpg"", """"), ""-"", "", ""), """")"),"")</f>
        <v/>
      </c>
      <c r="L2495" s="12"/>
      <c r="M2495" s="13"/>
      <c r="N2495" s="2"/>
      <c r="O2495" s="20"/>
      <c r="P2495" s="42"/>
      <c r="R2495" s="23"/>
    </row>
    <row r="2496" spans="1:18" ht="12.75">
      <c r="A2496" s="12"/>
      <c r="D2496" s="12"/>
      <c r="E2496" s="12"/>
      <c r="H2496" s="11" t="str">
        <f ca="1">IFERROR(__xludf.DUMMYFUNCTION("IFERROR(SUBSTITUTE(SUBSTITUTE(REGEXEXTRACT(A2496, ""[^-]+- [^-]+- [^-]+ - (.+?)\.jpg""), "".jpg"", """"), ""-"", "", ""), """")"),"")</f>
        <v/>
      </c>
      <c r="L2496" s="12"/>
      <c r="M2496" s="13"/>
      <c r="N2496" s="2"/>
      <c r="O2496" s="20"/>
      <c r="P2496" s="42"/>
      <c r="R2496" s="23"/>
    </row>
    <row r="2497" spans="1:18" ht="12.75">
      <c r="A2497" s="12"/>
      <c r="D2497" s="12"/>
      <c r="E2497" s="12"/>
      <c r="H2497" s="11" t="str">
        <f ca="1">IFERROR(__xludf.DUMMYFUNCTION("IFERROR(SUBSTITUTE(SUBSTITUTE(REGEXEXTRACT(A2497, ""[^-]+- [^-]+- [^-]+ - (.+?)\.jpg""), "".jpg"", """"), ""-"", "", ""), """")"),"")</f>
        <v/>
      </c>
      <c r="L2497" s="12"/>
      <c r="M2497" s="13"/>
      <c r="N2497" s="2"/>
      <c r="O2497" s="20"/>
      <c r="P2497" s="42"/>
      <c r="R2497" s="23"/>
    </row>
    <row r="2498" spans="1:18" ht="12.75">
      <c r="A2498" s="12"/>
      <c r="D2498" s="12"/>
      <c r="E2498" s="12"/>
      <c r="H2498" s="11" t="str">
        <f ca="1">IFERROR(__xludf.DUMMYFUNCTION("IFERROR(SUBSTITUTE(SUBSTITUTE(REGEXEXTRACT(A2498, ""[^-]+- [^-]+- [^-]+ - (.+?)\.jpg""), "".jpg"", """"), ""-"", "", ""), """")"),"")</f>
        <v/>
      </c>
      <c r="L2498" s="12"/>
      <c r="M2498" s="13"/>
      <c r="N2498" s="2"/>
      <c r="O2498" s="20"/>
      <c r="P2498" s="42"/>
      <c r="R2498" s="23"/>
    </row>
    <row r="2499" spans="1:18" ht="12.75">
      <c r="A2499" s="12"/>
      <c r="D2499" s="12"/>
      <c r="E2499" s="12"/>
      <c r="H2499" s="11" t="str">
        <f ca="1">IFERROR(__xludf.DUMMYFUNCTION("IFERROR(SUBSTITUTE(SUBSTITUTE(REGEXEXTRACT(A2499, ""[^-]+- [^-]+- [^-]+ - (.+?)\.jpg""), "".jpg"", """"), ""-"", "", ""), """")"),"")</f>
        <v/>
      </c>
      <c r="L2499" s="12"/>
      <c r="M2499" s="13"/>
      <c r="N2499" s="2"/>
      <c r="O2499" s="20"/>
      <c r="P2499" s="42"/>
      <c r="R2499" s="23"/>
    </row>
    <row r="2500" spans="1:18" ht="12.75">
      <c r="A2500" s="12"/>
      <c r="D2500" s="12"/>
      <c r="E2500" s="12"/>
      <c r="H2500" s="11" t="str">
        <f ca="1">IFERROR(__xludf.DUMMYFUNCTION("IFERROR(SUBSTITUTE(SUBSTITUTE(REGEXEXTRACT(A2500, ""[^-]+- [^-]+- [^-]+ - (.+?)\.jpg""), "".jpg"", """"), ""-"", "", ""), """")"),"")</f>
        <v/>
      </c>
      <c r="L2500" s="12"/>
      <c r="M2500" s="13"/>
      <c r="N2500" s="2"/>
      <c r="O2500" s="20"/>
      <c r="P2500" s="42"/>
      <c r="R2500" s="23"/>
    </row>
    <row r="2501" spans="1:18" ht="12.75">
      <c r="A2501" s="12"/>
      <c r="D2501" s="12"/>
      <c r="E2501" s="12"/>
      <c r="H2501" s="11" t="str">
        <f ca="1">IFERROR(__xludf.DUMMYFUNCTION("IFERROR(SUBSTITUTE(SUBSTITUTE(REGEXEXTRACT(A2501, ""[^-]+- [^-]+- [^-]+ - (.+?)\.jpg""), "".jpg"", """"), ""-"", "", ""), """")"),"")</f>
        <v/>
      </c>
      <c r="L2501" s="12"/>
      <c r="M2501" s="13"/>
      <c r="N2501" s="2"/>
      <c r="O2501" s="20"/>
      <c r="P2501" s="42"/>
      <c r="R2501" s="23"/>
    </row>
    <row r="2502" spans="1:18" ht="12.75">
      <c r="A2502" s="12"/>
      <c r="D2502" s="12"/>
      <c r="E2502" s="12"/>
      <c r="H2502" s="11" t="str">
        <f ca="1">IFERROR(__xludf.DUMMYFUNCTION("IFERROR(SUBSTITUTE(SUBSTITUTE(REGEXEXTRACT(A2502, ""[^-]+- [^-]+- [^-]+ - (.+?)\.jpg""), "".jpg"", """"), ""-"", "", ""), """")"),"")</f>
        <v/>
      </c>
      <c r="L2502" s="12"/>
      <c r="M2502" s="13"/>
      <c r="N2502" s="2"/>
      <c r="O2502" s="20"/>
      <c r="P2502" s="42"/>
      <c r="R2502" s="23"/>
    </row>
    <row r="2503" spans="1:18" ht="12.75">
      <c r="A2503" s="12"/>
      <c r="D2503" s="12"/>
      <c r="E2503" s="12"/>
      <c r="H2503" s="11" t="str">
        <f ca="1">IFERROR(__xludf.DUMMYFUNCTION("IFERROR(SUBSTITUTE(SUBSTITUTE(REGEXEXTRACT(A2503, ""[^-]+- [^-]+- [^-]+ - (.+?)\.jpg""), "".jpg"", """"), ""-"", "", ""), """")"),"")</f>
        <v/>
      </c>
      <c r="L2503" s="12"/>
      <c r="M2503" s="13"/>
      <c r="N2503" s="2"/>
      <c r="O2503" s="20"/>
      <c r="P2503" s="42"/>
      <c r="R2503" s="23"/>
    </row>
    <row r="2504" spans="1:18" ht="12.75">
      <c r="A2504" s="12"/>
      <c r="D2504" s="12"/>
      <c r="E2504" s="12"/>
      <c r="H2504" s="11" t="str">
        <f ca="1">IFERROR(__xludf.DUMMYFUNCTION("IFERROR(SUBSTITUTE(SUBSTITUTE(REGEXEXTRACT(A2504, ""[^-]+- [^-]+- [^-]+ - (.+?)\.jpg""), "".jpg"", """"), ""-"", "", ""), """")"),"")</f>
        <v/>
      </c>
      <c r="L2504" s="12"/>
      <c r="M2504" s="13"/>
      <c r="N2504" s="2"/>
      <c r="O2504" s="20"/>
      <c r="P2504" s="42"/>
      <c r="R2504" s="23"/>
    </row>
    <row r="2505" spans="1:18" ht="12.75">
      <c r="A2505" s="12"/>
      <c r="D2505" s="12"/>
      <c r="E2505" s="12"/>
      <c r="H2505" s="11" t="str">
        <f ca="1">IFERROR(__xludf.DUMMYFUNCTION("IFERROR(SUBSTITUTE(SUBSTITUTE(REGEXEXTRACT(A2505, ""[^-]+- [^-]+- [^-]+ - (.+?)\.jpg""), "".jpg"", """"), ""-"", "", ""), """")"),"")</f>
        <v/>
      </c>
      <c r="L2505" s="12"/>
      <c r="M2505" s="13"/>
      <c r="N2505" s="2"/>
      <c r="O2505" s="20"/>
      <c r="P2505" s="42"/>
      <c r="R2505" s="23"/>
    </row>
    <row r="2506" spans="1:18" ht="12.75">
      <c r="A2506" s="12"/>
      <c r="D2506" s="12"/>
      <c r="E2506" s="12"/>
      <c r="H2506" s="11" t="str">
        <f ca="1">IFERROR(__xludf.DUMMYFUNCTION("IFERROR(SUBSTITUTE(SUBSTITUTE(REGEXEXTRACT(A2506, ""[^-]+- [^-]+- [^-]+ - (.+?)\.jpg""), "".jpg"", """"), ""-"", "", ""), """")"),"")</f>
        <v/>
      </c>
      <c r="L2506" s="12"/>
      <c r="M2506" s="13"/>
      <c r="N2506" s="2"/>
      <c r="O2506" s="20"/>
      <c r="P2506" s="42"/>
      <c r="R2506" s="23"/>
    </row>
    <row r="2507" spans="1:18" ht="12.75">
      <c r="A2507" s="12"/>
      <c r="D2507" s="12"/>
      <c r="E2507" s="12"/>
      <c r="H2507" s="11" t="str">
        <f ca="1">IFERROR(__xludf.DUMMYFUNCTION("IFERROR(SUBSTITUTE(SUBSTITUTE(REGEXEXTRACT(A2507, ""[^-]+- [^-]+- [^-]+ - (.+?)\.jpg""), "".jpg"", """"), ""-"", "", ""), """")"),"")</f>
        <v/>
      </c>
      <c r="L2507" s="12"/>
      <c r="M2507" s="13"/>
      <c r="N2507" s="2"/>
      <c r="O2507" s="20"/>
      <c r="P2507" s="42"/>
      <c r="R2507" s="23"/>
    </row>
    <row r="2508" spans="1:18" ht="12.75">
      <c r="A2508" s="12"/>
      <c r="D2508" s="12"/>
      <c r="E2508" s="12"/>
      <c r="H2508" s="11" t="str">
        <f ca="1">IFERROR(__xludf.DUMMYFUNCTION("IFERROR(SUBSTITUTE(SUBSTITUTE(REGEXEXTRACT(A2508, ""[^-]+- [^-]+- [^-]+ - (.+?)\.jpg""), "".jpg"", """"), ""-"", "", ""), """")"),"")</f>
        <v/>
      </c>
      <c r="L2508" s="12"/>
      <c r="M2508" s="13"/>
      <c r="N2508" s="2"/>
      <c r="O2508" s="20"/>
      <c r="P2508" s="42"/>
      <c r="R2508" s="23"/>
    </row>
    <row r="2509" spans="1:18" ht="12.75">
      <c r="A2509" s="12"/>
      <c r="D2509" s="12"/>
      <c r="E2509" s="12"/>
      <c r="H2509" s="11" t="str">
        <f ca="1">IFERROR(__xludf.DUMMYFUNCTION("IFERROR(SUBSTITUTE(SUBSTITUTE(REGEXEXTRACT(A2509, ""[^-]+- [^-]+- [^-]+ - (.+?)\.jpg""), "".jpg"", """"), ""-"", "", ""), """")"),"")</f>
        <v/>
      </c>
      <c r="L2509" s="12"/>
      <c r="M2509" s="13"/>
      <c r="N2509" s="2"/>
      <c r="O2509" s="20"/>
      <c r="P2509" s="42"/>
      <c r="R2509" s="23"/>
    </row>
    <row r="2510" spans="1:18" ht="12.75">
      <c r="A2510" s="12"/>
      <c r="D2510" s="12"/>
      <c r="E2510" s="12"/>
      <c r="H2510" s="11" t="str">
        <f ca="1">IFERROR(__xludf.DUMMYFUNCTION("IFERROR(SUBSTITUTE(SUBSTITUTE(REGEXEXTRACT(A2510, ""[^-]+- [^-]+- [^-]+ - (.+?)\.jpg""), "".jpg"", """"), ""-"", "", ""), """")"),"")</f>
        <v/>
      </c>
      <c r="L2510" s="12"/>
      <c r="M2510" s="13"/>
      <c r="N2510" s="2"/>
      <c r="O2510" s="20"/>
      <c r="P2510" s="42"/>
      <c r="R2510" s="23"/>
    </row>
    <row r="2511" spans="1:18" ht="12.75">
      <c r="A2511" s="12"/>
      <c r="D2511" s="12"/>
      <c r="E2511" s="12"/>
      <c r="H2511" s="11" t="str">
        <f ca="1">IFERROR(__xludf.DUMMYFUNCTION("IFERROR(SUBSTITUTE(SUBSTITUTE(REGEXEXTRACT(A2511, ""[^-]+- [^-]+- [^-]+ - (.+?)\.jpg""), "".jpg"", """"), ""-"", "", ""), """")"),"")</f>
        <v/>
      </c>
      <c r="L2511" s="12"/>
      <c r="M2511" s="13"/>
      <c r="N2511" s="2"/>
      <c r="O2511" s="20"/>
      <c r="P2511" s="42"/>
      <c r="R2511" s="23"/>
    </row>
    <row r="2512" spans="1:18" ht="12.75">
      <c r="A2512" s="12"/>
      <c r="D2512" s="12"/>
      <c r="E2512" s="12"/>
      <c r="H2512" s="11" t="str">
        <f ca="1">IFERROR(__xludf.DUMMYFUNCTION("IFERROR(SUBSTITUTE(SUBSTITUTE(REGEXEXTRACT(A2512, ""[^-]+- [^-]+- [^-]+ - (.+?)\.jpg""), "".jpg"", """"), ""-"", "", ""), """")"),"")</f>
        <v/>
      </c>
      <c r="L2512" s="12"/>
      <c r="M2512" s="13"/>
      <c r="N2512" s="2"/>
      <c r="O2512" s="20"/>
      <c r="P2512" s="42"/>
      <c r="R2512" s="23"/>
    </row>
    <row r="2513" spans="1:18" ht="12.75">
      <c r="A2513" s="12"/>
      <c r="D2513" s="12"/>
      <c r="E2513" s="12"/>
      <c r="H2513" s="11" t="str">
        <f ca="1">IFERROR(__xludf.DUMMYFUNCTION("IFERROR(SUBSTITUTE(SUBSTITUTE(REGEXEXTRACT(A2513, ""[^-]+- [^-]+- [^-]+ - (.+?)\.jpg""), "".jpg"", """"), ""-"", "", ""), """")"),"")</f>
        <v/>
      </c>
      <c r="L2513" s="12"/>
      <c r="M2513" s="13"/>
      <c r="N2513" s="2"/>
      <c r="O2513" s="20"/>
      <c r="P2513" s="42"/>
      <c r="R2513" s="23"/>
    </row>
    <row r="2514" spans="1:18" ht="12.75">
      <c r="A2514" s="12"/>
      <c r="D2514" s="12"/>
      <c r="E2514" s="12"/>
      <c r="H2514" s="11" t="str">
        <f ca="1">IFERROR(__xludf.DUMMYFUNCTION("IFERROR(SUBSTITUTE(SUBSTITUTE(REGEXEXTRACT(A2514, ""[^-]+- [^-]+- [^-]+ - (.+?)\.jpg""), "".jpg"", """"), ""-"", "", ""), """")"),"")</f>
        <v/>
      </c>
      <c r="L2514" s="12"/>
      <c r="M2514" s="13"/>
      <c r="N2514" s="2"/>
      <c r="O2514" s="20"/>
      <c r="P2514" s="42"/>
      <c r="R2514" s="23"/>
    </row>
    <row r="2515" spans="1:18" ht="12.75">
      <c r="A2515" s="12"/>
      <c r="D2515" s="12"/>
      <c r="E2515" s="12"/>
      <c r="H2515" s="11" t="str">
        <f ca="1">IFERROR(__xludf.DUMMYFUNCTION("IFERROR(SUBSTITUTE(SUBSTITUTE(REGEXEXTRACT(A2515, ""[^-]+- [^-]+- [^-]+ - (.+?)\.jpg""), "".jpg"", """"), ""-"", "", ""), """")"),"")</f>
        <v/>
      </c>
      <c r="L2515" s="12"/>
      <c r="M2515" s="13"/>
      <c r="N2515" s="2"/>
      <c r="O2515" s="20"/>
      <c r="P2515" s="42"/>
      <c r="R2515" s="23"/>
    </row>
    <row r="2516" spans="1:18" ht="12.75">
      <c r="A2516" s="12"/>
      <c r="D2516" s="12"/>
      <c r="E2516" s="12"/>
      <c r="H2516" s="11" t="str">
        <f ca="1">IFERROR(__xludf.DUMMYFUNCTION("IFERROR(SUBSTITUTE(SUBSTITUTE(REGEXEXTRACT(A2516, ""[^-]+- [^-]+- [^-]+ - (.+?)\.jpg""), "".jpg"", """"), ""-"", "", ""), """")"),"")</f>
        <v/>
      </c>
      <c r="L2516" s="12"/>
      <c r="M2516" s="13"/>
      <c r="N2516" s="2"/>
      <c r="O2516" s="20"/>
      <c r="P2516" s="42"/>
      <c r="R2516" s="23"/>
    </row>
    <row r="2517" spans="1:18" ht="12.75">
      <c r="A2517" s="12"/>
      <c r="D2517" s="12"/>
      <c r="E2517" s="12"/>
      <c r="H2517" s="11" t="str">
        <f ca="1">IFERROR(__xludf.DUMMYFUNCTION("IFERROR(SUBSTITUTE(SUBSTITUTE(REGEXEXTRACT(A2517, ""[^-]+- [^-]+- [^-]+ - (.+?)\.jpg""), "".jpg"", """"), ""-"", "", ""), """")"),"")</f>
        <v/>
      </c>
      <c r="L2517" s="12"/>
      <c r="M2517" s="13"/>
      <c r="N2517" s="2"/>
      <c r="O2517" s="20"/>
      <c r="P2517" s="42"/>
      <c r="R2517" s="23"/>
    </row>
    <row r="2518" spans="1:18" ht="12.75">
      <c r="A2518" s="12"/>
      <c r="D2518" s="12"/>
      <c r="E2518" s="12"/>
      <c r="H2518" s="11" t="str">
        <f ca="1">IFERROR(__xludf.DUMMYFUNCTION("IFERROR(SUBSTITUTE(SUBSTITUTE(REGEXEXTRACT(A2518, ""[^-]+- [^-]+- [^-]+ - (.+?)\.jpg""), "".jpg"", """"), ""-"", "", ""), """")"),"")</f>
        <v/>
      </c>
      <c r="L2518" s="12"/>
      <c r="M2518" s="13"/>
      <c r="N2518" s="2"/>
      <c r="O2518" s="20"/>
      <c r="P2518" s="42"/>
      <c r="R2518" s="23"/>
    </row>
    <row r="2519" spans="1:18" ht="12.75">
      <c r="A2519" s="12"/>
      <c r="D2519" s="12"/>
      <c r="E2519" s="12"/>
      <c r="H2519" s="11" t="str">
        <f ca="1">IFERROR(__xludf.DUMMYFUNCTION("IFERROR(SUBSTITUTE(SUBSTITUTE(REGEXEXTRACT(A2519, ""[^-]+- [^-]+- [^-]+ - (.+?)\.jpg""), "".jpg"", """"), ""-"", "", ""), """")"),"")</f>
        <v/>
      </c>
      <c r="L2519" s="12"/>
      <c r="M2519" s="13"/>
      <c r="N2519" s="2"/>
      <c r="O2519" s="20"/>
      <c r="P2519" s="42"/>
      <c r="R2519" s="23"/>
    </row>
    <row r="2520" spans="1:18" ht="12.75">
      <c r="A2520" s="12"/>
      <c r="D2520" s="12"/>
      <c r="E2520" s="12"/>
      <c r="H2520" s="11" t="str">
        <f ca="1">IFERROR(__xludf.DUMMYFUNCTION("IFERROR(SUBSTITUTE(SUBSTITUTE(REGEXEXTRACT(A2520, ""[^-]+- [^-]+- [^-]+ - (.+?)\.jpg""), "".jpg"", """"), ""-"", "", ""), """")"),"")</f>
        <v/>
      </c>
      <c r="L2520" s="12"/>
      <c r="M2520" s="13"/>
      <c r="N2520" s="2"/>
      <c r="O2520" s="20"/>
      <c r="P2520" s="42"/>
      <c r="R2520" s="23"/>
    </row>
    <row r="2521" spans="1:18" ht="12.75">
      <c r="A2521" s="12"/>
      <c r="D2521" s="12"/>
      <c r="E2521" s="12"/>
      <c r="H2521" s="11" t="str">
        <f ca="1">IFERROR(__xludf.DUMMYFUNCTION("IFERROR(SUBSTITUTE(SUBSTITUTE(REGEXEXTRACT(A2521, ""[^-]+- [^-]+- [^-]+ - (.+?)\.jpg""), "".jpg"", """"), ""-"", "", ""), """")"),"")</f>
        <v/>
      </c>
      <c r="L2521" s="12"/>
      <c r="M2521" s="13"/>
      <c r="N2521" s="2"/>
      <c r="O2521" s="20"/>
      <c r="P2521" s="42"/>
      <c r="R2521" s="23"/>
    </row>
    <row r="2522" spans="1:18" ht="12.75">
      <c r="A2522" s="12"/>
      <c r="D2522" s="12"/>
      <c r="E2522" s="12"/>
      <c r="H2522" s="11" t="str">
        <f ca="1">IFERROR(__xludf.DUMMYFUNCTION("IFERROR(SUBSTITUTE(SUBSTITUTE(REGEXEXTRACT(A2522, ""[^-]+- [^-]+- [^-]+ - (.+?)\.jpg""), "".jpg"", """"), ""-"", "", ""), """")"),"")</f>
        <v/>
      </c>
      <c r="L2522" s="12"/>
      <c r="M2522" s="13"/>
      <c r="N2522" s="2"/>
      <c r="O2522" s="20"/>
      <c r="P2522" s="42"/>
      <c r="R2522" s="23"/>
    </row>
    <row r="2523" spans="1:18" ht="12.75">
      <c r="A2523" s="12"/>
      <c r="D2523" s="12"/>
      <c r="E2523" s="12"/>
      <c r="H2523" s="11" t="str">
        <f ca="1">IFERROR(__xludf.DUMMYFUNCTION("IFERROR(SUBSTITUTE(SUBSTITUTE(REGEXEXTRACT(A2523, ""[^-]+- [^-]+- [^-]+ - (.+?)\.jpg""), "".jpg"", """"), ""-"", "", ""), """")"),"")</f>
        <v/>
      </c>
      <c r="L2523" s="12"/>
      <c r="M2523" s="13"/>
      <c r="N2523" s="2"/>
      <c r="O2523" s="20"/>
      <c r="P2523" s="42"/>
      <c r="R2523" s="23"/>
    </row>
    <row r="2524" spans="1:18" ht="12.75">
      <c r="A2524" s="12"/>
      <c r="D2524" s="12"/>
      <c r="E2524" s="12"/>
      <c r="H2524" s="11" t="str">
        <f ca="1">IFERROR(__xludf.DUMMYFUNCTION("IFERROR(SUBSTITUTE(SUBSTITUTE(REGEXEXTRACT(A2524, ""[^-]+- [^-]+- [^-]+ - (.+?)\.jpg""), "".jpg"", """"), ""-"", "", ""), """")"),"")</f>
        <v/>
      </c>
      <c r="L2524" s="12"/>
      <c r="M2524" s="13"/>
      <c r="N2524" s="2"/>
      <c r="O2524" s="20"/>
      <c r="P2524" s="42"/>
      <c r="R2524" s="23"/>
    </row>
    <row r="2525" spans="1:18" ht="12.75">
      <c r="A2525" s="12"/>
      <c r="D2525" s="12"/>
      <c r="E2525" s="12"/>
      <c r="H2525" s="11" t="str">
        <f ca="1">IFERROR(__xludf.DUMMYFUNCTION("IFERROR(SUBSTITUTE(SUBSTITUTE(REGEXEXTRACT(A2525, ""[^-]+- [^-]+- [^-]+ - (.+?)\.jpg""), "".jpg"", """"), ""-"", "", ""), """")"),"")</f>
        <v/>
      </c>
      <c r="L2525" s="12"/>
      <c r="M2525" s="13"/>
      <c r="N2525" s="2"/>
      <c r="O2525" s="20"/>
      <c r="P2525" s="42"/>
      <c r="R2525" s="23"/>
    </row>
    <row r="2526" spans="1:18" ht="12.75">
      <c r="A2526" s="12"/>
      <c r="D2526" s="12"/>
      <c r="E2526" s="12"/>
      <c r="H2526" s="11" t="str">
        <f ca="1">IFERROR(__xludf.DUMMYFUNCTION("IFERROR(SUBSTITUTE(SUBSTITUTE(REGEXEXTRACT(A2526, ""[^-]+- [^-]+- [^-]+ - (.+?)\.jpg""), "".jpg"", """"), ""-"", "", ""), """")"),"")</f>
        <v/>
      </c>
      <c r="L2526" s="12"/>
      <c r="M2526" s="13"/>
      <c r="N2526" s="2"/>
      <c r="O2526" s="20"/>
      <c r="P2526" s="42"/>
      <c r="R2526" s="23"/>
    </row>
    <row r="2527" spans="1:18" ht="12.75">
      <c r="A2527" s="12"/>
      <c r="D2527" s="12"/>
      <c r="E2527" s="12"/>
      <c r="H2527" s="11" t="str">
        <f ca="1">IFERROR(__xludf.DUMMYFUNCTION("IFERROR(SUBSTITUTE(SUBSTITUTE(REGEXEXTRACT(A2527, ""[^-]+- [^-]+- [^-]+ - (.+?)\.jpg""), "".jpg"", """"), ""-"", "", ""), """")"),"")</f>
        <v/>
      </c>
      <c r="L2527" s="12"/>
      <c r="M2527" s="13"/>
      <c r="N2527" s="2"/>
      <c r="O2527" s="20"/>
      <c r="P2527" s="42"/>
      <c r="R2527" s="23"/>
    </row>
    <row r="2528" spans="1:18" ht="12.75">
      <c r="A2528" s="12"/>
      <c r="D2528" s="12"/>
      <c r="E2528" s="12"/>
      <c r="H2528" s="11" t="str">
        <f ca="1">IFERROR(__xludf.DUMMYFUNCTION("IFERROR(SUBSTITUTE(SUBSTITUTE(REGEXEXTRACT(A2528, ""[^-]+- [^-]+- [^-]+ - (.+?)\.jpg""), "".jpg"", """"), ""-"", "", ""), """")"),"")</f>
        <v/>
      </c>
      <c r="L2528" s="12"/>
      <c r="M2528" s="13"/>
      <c r="N2528" s="2"/>
      <c r="O2528" s="20"/>
      <c r="P2528" s="42"/>
      <c r="R2528" s="23"/>
    </row>
    <row r="2529" spans="1:18" ht="12.75">
      <c r="A2529" s="12"/>
      <c r="D2529" s="12"/>
      <c r="E2529" s="12"/>
      <c r="H2529" s="11" t="str">
        <f ca="1">IFERROR(__xludf.DUMMYFUNCTION("IFERROR(SUBSTITUTE(SUBSTITUTE(REGEXEXTRACT(A2529, ""[^-]+- [^-]+- [^-]+ - (.+?)\.jpg""), "".jpg"", """"), ""-"", "", ""), """")"),"")</f>
        <v/>
      </c>
      <c r="L2529" s="12"/>
      <c r="M2529" s="13"/>
      <c r="N2529" s="2"/>
      <c r="O2529" s="20"/>
      <c r="P2529" s="42"/>
      <c r="R2529" s="23"/>
    </row>
    <row r="2530" spans="1:18" ht="12.75">
      <c r="A2530" s="12"/>
      <c r="D2530" s="12"/>
      <c r="E2530" s="12"/>
      <c r="H2530" s="11" t="str">
        <f ca="1">IFERROR(__xludf.DUMMYFUNCTION("IFERROR(SUBSTITUTE(SUBSTITUTE(REGEXEXTRACT(A2530, ""[^-]+- [^-]+- [^-]+ - (.+?)\.jpg""), "".jpg"", """"), ""-"", "", ""), """")"),"")</f>
        <v/>
      </c>
      <c r="L2530" s="12"/>
      <c r="M2530" s="13"/>
      <c r="N2530" s="2"/>
      <c r="O2530" s="20"/>
      <c r="P2530" s="42"/>
      <c r="R2530" s="23"/>
    </row>
    <row r="2531" spans="1:18" ht="12.75">
      <c r="A2531" s="12"/>
      <c r="D2531" s="12"/>
      <c r="E2531" s="12"/>
      <c r="H2531" s="11" t="str">
        <f ca="1">IFERROR(__xludf.DUMMYFUNCTION("IFERROR(SUBSTITUTE(SUBSTITUTE(REGEXEXTRACT(A2531, ""[^-]+- [^-]+- [^-]+ - (.+?)\.jpg""), "".jpg"", """"), ""-"", "", ""), """")"),"")</f>
        <v/>
      </c>
      <c r="L2531" s="12"/>
      <c r="M2531" s="13"/>
      <c r="N2531" s="2"/>
      <c r="O2531" s="20"/>
      <c r="P2531" s="42"/>
      <c r="R2531" s="23"/>
    </row>
    <row r="2532" spans="1:18" ht="12.75">
      <c r="A2532" s="12"/>
      <c r="D2532" s="12"/>
      <c r="E2532" s="12"/>
      <c r="H2532" s="11" t="str">
        <f ca="1">IFERROR(__xludf.DUMMYFUNCTION("IFERROR(SUBSTITUTE(SUBSTITUTE(REGEXEXTRACT(A2532, ""[^-]+- [^-]+- [^-]+ - (.+?)\.jpg""), "".jpg"", """"), ""-"", "", ""), """")"),"")</f>
        <v/>
      </c>
      <c r="L2532" s="12"/>
      <c r="M2532" s="13"/>
      <c r="N2532" s="2"/>
      <c r="O2532" s="20"/>
      <c r="P2532" s="42"/>
      <c r="R2532" s="23"/>
    </row>
    <row r="2533" spans="1:18" ht="12.75">
      <c r="A2533" s="12"/>
      <c r="D2533" s="12"/>
      <c r="E2533" s="12"/>
      <c r="H2533" s="11" t="str">
        <f ca="1">IFERROR(__xludf.DUMMYFUNCTION("IFERROR(SUBSTITUTE(SUBSTITUTE(REGEXEXTRACT(A2533, ""[^-]+- [^-]+- [^-]+ - (.+?)\.jpg""), "".jpg"", """"), ""-"", "", ""), """")"),"")</f>
        <v/>
      </c>
      <c r="L2533" s="12"/>
      <c r="M2533" s="13"/>
      <c r="N2533" s="2"/>
      <c r="O2533" s="20"/>
      <c r="P2533" s="42"/>
      <c r="R2533" s="23"/>
    </row>
    <row r="2534" spans="1:18" ht="12.75">
      <c r="A2534" s="12"/>
      <c r="D2534" s="12"/>
      <c r="E2534" s="12"/>
      <c r="H2534" s="11" t="str">
        <f ca="1">IFERROR(__xludf.DUMMYFUNCTION("IFERROR(SUBSTITUTE(SUBSTITUTE(REGEXEXTRACT(A2534, ""[^-]+- [^-]+- [^-]+ - (.+?)\.jpg""), "".jpg"", """"), ""-"", "", ""), """")"),"")</f>
        <v/>
      </c>
      <c r="L2534" s="12"/>
      <c r="M2534" s="13"/>
      <c r="N2534" s="2"/>
      <c r="O2534" s="20"/>
      <c r="P2534" s="42"/>
      <c r="R2534" s="23"/>
    </row>
    <row r="2535" spans="1:18" ht="12.75">
      <c r="A2535" s="12"/>
      <c r="D2535" s="12"/>
      <c r="E2535" s="12"/>
      <c r="H2535" s="11" t="str">
        <f ca="1">IFERROR(__xludf.DUMMYFUNCTION("IFERROR(SUBSTITUTE(SUBSTITUTE(REGEXEXTRACT(A2535, ""[^-]+- [^-]+- [^-]+ - (.+?)\.jpg""), "".jpg"", """"), ""-"", "", ""), """")"),"")</f>
        <v/>
      </c>
      <c r="L2535" s="12"/>
      <c r="M2535" s="13"/>
      <c r="N2535" s="2"/>
      <c r="O2535" s="20"/>
      <c r="P2535" s="42"/>
      <c r="R2535" s="23"/>
    </row>
    <row r="2536" spans="1:18" ht="12.75">
      <c r="A2536" s="12"/>
      <c r="D2536" s="12"/>
      <c r="E2536" s="12"/>
      <c r="H2536" s="11" t="str">
        <f ca="1">IFERROR(__xludf.DUMMYFUNCTION("IFERROR(SUBSTITUTE(SUBSTITUTE(REGEXEXTRACT(A2536, ""[^-]+- [^-]+- [^-]+ - (.+?)\.jpg""), "".jpg"", """"), ""-"", "", ""), """")"),"")</f>
        <v/>
      </c>
      <c r="L2536" s="12"/>
      <c r="M2536" s="13"/>
      <c r="N2536" s="2"/>
      <c r="O2536" s="20"/>
      <c r="P2536" s="42"/>
      <c r="R2536" s="23"/>
    </row>
    <row r="2537" spans="1:18" ht="12.75">
      <c r="A2537" s="12"/>
      <c r="D2537" s="12"/>
      <c r="E2537" s="12"/>
      <c r="H2537" s="11" t="str">
        <f ca="1">IFERROR(__xludf.DUMMYFUNCTION("IFERROR(SUBSTITUTE(SUBSTITUTE(REGEXEXTRACT(A2537, ""[^-]+- [^-]+- [^-]+ - (.+?)\.jpg""), "".jpg"", """"), ""-"", "", ""), """")"),"")</f>
        <v/>
      </c>
      <c r="L2537" s="12"/>
      <c r="M2537" s="13"/>
      <c r="N2537" s="2"/>
      <c r="O2537" s="20"/>
      <c r="P2537" s="42"/>
      <c r="R2537" s="23"/>
    </row>
    <row r="2538" spans="1:18" ht="12.75">
      <c r="A2538" s="12"/>
      <c r="D2538" s="12"/>
      <c r="E2538" s="12"/>
      <c r="H2538" s="11" t="str">
        <f ca="1">IFERROR(__xludf.DUMMYFUNCTION("IFERROR(SUBSTITUTE(SUBSTITUTE(REGEXEXTRACT(A2538, ""[^-]+- [^-]+- [^-]+ - (.+?)\.jpg""), "".jpg"", """"), ""-"", "", ""), """")"),"")</f>
        <v/>
      </c>
      <c r="L2538" s="12"/>
      <c r="M2538" s="13"/>
      <c r="N2538" s="2"/>
      <c r="O2538" s="20"/>
      <c r="P2538" s="42"/>
      <c r="R2538" s="23"/>
    </row>
    <row r="2539" spans="1:18" ht="12.75">
      <c r="A2539" s="12"/>
      <c r="D2539" s="12"/>
      <c r="E2539" s="12"/>
      <c r="H2539" s="11" t="str">
        <f ca="1">IFERROR(__xludf.DUMMYFUNCTION("IFERROR(SUBSTITUTE(SUBSTITUTE(REGEXEXTRACT(A2539, ""[^-]+- [^-]+- [^-]+ - (.+?)\.jpg""), "".jpg"", """"), ""-"", "", ""), """")"),"")</f>
        <v/>
      </c>
      <c r="L2539" s="12"/>
      <c r="M2539" s="13"/>
      <c r="N2539" s="2"/>
      <c r="O2539" s="20"/>
      <c r="P2539" s="42"/>
      <c r="R2539" s="23"/>
    </row>
    <row r="2540" spans="1:18" ht="12.75">
      <c r="A2540" s="12"/>
      <c r="D2540" s="12"/>
      <c r="E2540" s="12"/>
      <c r="H2540" s="11" t="str">
        <f ca="1">IFERROR(__xludf.DUMMYFUNCTION("IFERROR(SUBSTITUTE(SUBSTITUTE(REGEXEXTRACT(A2540, ""[^-]+- [^-]+- [^-]+ - (.+?)\.jpg""), "".jpg"", """"), ""-"", "", ""), """")"),"")</f>
        <v/>
      </c>
      <c r="L2540" s="12"/>
      <c r="M2540" s="13"/>
      <c r="N2540" s="2"/>
      <c r="O2540" s="20"/>
      <c r="P2540" s="42"/>
      <c r="R2540" s="23"/>
    </row>
    <row r="2541" spans="1:18" ht="12.75">
      <c r="A2541" s="12"/>
      <c r="D2541" s="12"/>
      <c r="E2541" s="12"/>
      <c r="H2541" s="11" t="str">
        <f ca="1">IFERROR(__xludf.DUMMYFUNCTION("IFERROR(SUBSTITUTE(SUBSTITUTE(REGEXEXTRACT(A2541, ""[^-]+- [^-]+- [^-]+ - (.+?)\.jpg""), "".jpg"", """"), ""-"", "", ""), """")"),"")</f>
        <v/>
      </c>
      <c r="L2541" s="12"/>
      <c r="M2541" s="13"/>
      <c r="N2541" s="2"/>
      <c r="O2541" s="20"/>
      <c r="P2541" s="42"/>
      <c r="R2541" s="23"/>
    </row>
    <row r="2542" spans="1:18" ht="12.75">
      <c r="A2542" s="12"/>
      <c r="D2542" s="12"/>
      <c r="E2542" s="12"/>
      <c r="H2542" s="11" t="str">
        <f ca="1">IFERROR(__xludf.DUMMYFUNCTION("IFERROR(SUBSTITUTE(SUBSTITUTE(REGEXEXTRACT(A2542, ""[^-]+- [^-]+- [^-]+ - (.+?)\.jpg""), "".jpg"", """"), ""-"", "", ""), """")"),"")</f>
        <v/>
      </c>
      <c r="L2542" s="12"/>
      <c r="M2542" s="13"/>
      <c r="N2542" s="2"/>
      <c r="O2542" s="20"/>
      <c r="P2542" s="42"/>
      <c r="R2542" s="23"/>
    </row>
    <row r="2543" spans="1:18" ht="12.75">
      <c r="A2543" s="12"/>
      <c r="D2543" s="12"/>
      <c r="E2543" s="12"/>
      <c r="H2543" s="11" t="str">
        <f ca="1">IFERROR(__xludf.DUMMYFUNCTION("IFERROR(SUBSTITUTE(SUBSTITUTE(REGEXEXTRACT(A2543, ""[^-]+- [^-]+- [^-]+ - (.+?)\.jpg""), "".jpg"", """"), ""-"", "", ""), """")"),"")</f>
        <v/>
      </c>
      <c r="L2543" s="12"/>
      <c r="M2543" s="13"/>
      <c r="N2543" s="2"/>
      <c r="O2543" s="20"/>
      <c r="P2543" s="42"/>
      <c r="R2543" s="23"/>
    </row>
    <row r="2544" spans="1:18" ht="12.75">
      <c r="A2544" s="12"/>
      <c r="D2544" s="12"/>
      <c r="E2544" s="12"/>
      <c r="H2544" s="11" t="str">
        <f ca="1">IFERROR(__xludf.DUMMYFUNCTION("IFERROR(SUBSTITUTE(SUBSTITUTE(REGEXEXTRACT(A2544, ""[^-]+- [^-]+- [^-]+ - (.+?)\.jpg""), "".jpg"", """"), ""-"", "", ""), """")"),"")</f>
        <v/>
      </c>
      <c r="L2544" s="12"/>
      <c r="M2544" s="13"/>
      <c r="N2544" s="2"/>
      <c r="O2544" s="20"/>
      <c r="P2544" s="42"/>
      <c r="R2544" s="23"/>
    </row>
    <row r="2545" spans="1:18" ht="12.75">
      <c r="A2545" s="12"/>
      <c r="D2545" s="12"/>
      <c r="E2545" s="12"/>
      <c r="H2545" s="11" t="str">
        <f ca="1">IFERROR(__xludf.DUMMYFUNCTION("IFERROR(SUBSTITUTE(SUBSTITUTE(REGEXEXTRACT(A2545, ""[^-]+- [^-]+- [^-]+ - (.+?)\.jpg""), "".jpg"", """"), ""-"", "", ""), """")"),"")</f>
        <v/>
      </c>
      <c r="L2545" s="12"/>
      <c r="M2545" s="13"/>
      <c r="N2545" s="2"/>
      <c r="O2545" s="20"/>
      <c r="P2545" s="42"/>
      <c r="R2545" s="23"/>
    </row>
    <row r="2546" spans="1:18" ht="12.75">
      <c r="A2546" s="12"/>
      <c r="D2546" s="12"/>
      <c r="E2546" s="12"/>
      <c r="H2546" s="11" t="str">
        <f ca="1">IFERROR(__xludf.DUMMYFUNCTION("IFERROR(SUBSTITUTE(SUBSTITUTE(REGEXEXTRACT(A2546, ""[^-]+- [^-]+- [^-]+ - (.+?)\.jpg""), "".jpg"", """"), ""-"", "", ""), """")"),"")</f>
        <v/>
      </c>
      <c r="L2546" s="12"/>
      <c r="M2546" s="13"/>
      <c r="N2546" s="2"/>
      <c r="O2546" s="20"/>
      <c r="P2546" s="42"/>
      <c r="R2546" s="23"/>
    </row>
    <row r="2547" spans="1:18" ht="12.75">
      <c r="A2547" s="12"/>
      <c r="D2547" s="12"/>
      <c r="E2547" s="12"/>
      <c r="H2547" s="11" t="str">
        <f ca="1">IFERROR(__xludf.DUMMYFUNCTION("IFERROR(SUBSTITUTE(SUBSTITUTE(REGEXEXTRACT(A2547, ""[^-]+- [^-]+- [^-]+ - (.+?)\.jpg""), "".jpg"", """"), ""-"", "", ""), """")"),"")</f>
        <v/>
      </c>
      <c r="L2547" s="12"/>
      <c r="M2547" s="13"/>
      <c r="N2547" s="2"/>
      <c r="O2547" s="20"/>
      <c r="P2547" s="42"/>
      <c r="R2547" s="23"/>
    </row>
    <row r="2548" spans="1:18" ht="12.75">
      <c r="A2548" s="12"/>
      <c r="D2548" s="12"/>
      <c r="E2548" s="12"/>
      <c r="H2548" s="11" t="str">
        <f ca="1">IFERROR(__xludf.DUMMYFUNCTION("IFERROR(SUBSTITUTE(SUBSTITUTE(REGEXEXTRACT(A2548, ""[^-]+- [^-]+- [^-]+ - (.+?)\.jpg""), "".jpg"", """"), ""-"", "", ""), """")"),"")</f>
        <v/>
      </c>
      <c r="L2548" s="12"/>
      <c r="M2548" s="13"/>
      <c r="N2548" s="2"/>
      <c r="O2548" s="20"/>
      <c r="P2548" s="42"/>
      <c r="R2548" s="23"/>
    </row>
    <row r="2549" spans="1:18" ht="12.75">
      <c r="A2549" s="12"/>
      <c r="D2549" s="12"/>
      <c r="E2549" s="12"/>
      <c r="H2549" s="11" t="str">
        <f ca="1">IFERROR(__xludf.DUMMYFUNCTION("IFERROR(SUBSTITUTE(SUBSTITUTE(REGEXEXTRACT(A2549, ""[^-]+- [^-]+- [^-]+ - (.+?)\.jpg""), "".jpg"", """"), ""-"", "", ""), """")"),"")</f>
        <v/>
      </c>
      <c r="L2549" s="12"/>
      <c r="M2549" s="13"/>
      <c r="N2549" s="2"/>
      <c r="O2549" s="20"/>
      <c r="P2549" s="42"/>
      <c r="R2549" s="23"/>
    </row>
    <row r="2550" spans="1:18" ht="12.75">
      <c r="A2550" s="12"/>
      <c r="D2550" s="12"/>
      <c r="E2550" s="12"/>
      <c r="H2550" s="11" t="str">
        <f ca="1">IFERROR(__xludf.DUMMYFUNCTION("IFERROR(SUBSTITUTE(SUBSTITUTE(REGEXEXTRACT(A2550, ""[^-]+- [^-]+- [^-]+ - (.+?)\.jpg""), "".jpg"", """"), ""-"", "", ""), """")"),"")</f>
        <v/>
      </c>
      <c r="L2550" s="12"/>
      <c r="M2550" s="13"/>
      <c r="N2550" s="2"/>
      <c r="O2550" s="20"/>
      <c r="P2550" s="42"/>
      <c r="R2550" s="23"/>
    </row>
    <row r="2551" spans="1:18" ht="12.75">
      <c r="A2551" s="12"/>
      <c r="D2551" s="12"/>
      <c r="E2551" s="12"/>
      <c r="H2551" s="11" t="str">
        <f ca="1">IFERROR(__xludf.DUMMYFUNCTION("IFERROR(SUBSTITUTE(SUBSTITUTE(REGEXEXTRACT(A2551, ""[^-]+- [^-]+- [^-]+ - (.+?)\.jpg""), "".jpg"", """"), ""-"", "", ""), """")"),"")</f>
        <v/>
      </c>
      <c r="L2551" s="12"/>
      <c r="M2551" s="13"/>
      <c r="N2551" s="2"/>
      <c r="O2551" s="20"/>
      <c r="P2551" s="42"/>
      <c r="R2551" s="23"/>
    </row>
    <row r="2552" spans="1:18" ht="12.75">
      <c r="A2552" s="12"/>
      <c r="D2552" s="12"/>
      <c r="E2552" s="12"/>
      <c r="H2552" s="11" t="str">
        <f ca="1">IFERROR(__xludf.DUMMYFUNCTION("IFERROR(SUBSTITUTE(SUBSTITUTE(REGEXEXTRACT(A2552, ""[^-]+- [^-]+- [^-]+ - (.+?)\.jpg""), "".jpg"", """"), ""-"", "", ""), """")"),"")</f>
        <v/>
      </c>
      <c r="L2552" s="12"/>
      <c r="M2552" s="13"/>
      <c r="N2552" s="2"/>
      <c r="O2552" s="20"/>
      <c r="P2552" s="42"/>
      <c r="R2552" s="23"/>
    </row>
    <row r="2553" spans="1:18" ht="12.75">
      <c r="A2553" s="12"/>
      <c r="D2553" s="12"/>
      <c r="E2553" s="12"/>
      <c r="H2553" s="11" t="str">
        <f ca="1">IFERROR(__xludf.DUMMYFUNCTION("IFERROR(SUBSTITUTE(SUBSTITUTE(REGEXEXTRACT(A2553, ""[^-]+- [^-]+- [^-]+ - (.+?)\.jpg""), "".jpg"", """"), ""-"", "", ""), """")"),"")</f>
        <v/>
      </c>
      <c r="L2553" s="12"/>
      <c r="M2553" s="13"/>
      <c r="N2553" s="2"/>
      <c r="O2553" s="20"/>
      <c r="P2553" s="42"/>
      <c r="R2553" s="23"/>
    </row>
    <row r="2554" spans="1:18" ht="12.75">
      <c r="A2554" s="12"/>
      <c r="D2554" s="12"/>
      <c r="E2554" s="12"/>
      <c r="H2554" s="11" t="str">
        <f ca="1">IFERROR(__xludf.DUMMYFUNCTION("IFERROR(SUBSTITUTE(SUBSTITUTE(REGEXEXTRACT(A2554, ""[^-]+- [^-]+- [^-]+ - (.+?)\.jpg""), "".jpg"", """"), ""-"", "", ""), """")"),"")</f>
        <v/>
      </c>
      <c r="L2554" s="12"/>
      <c r="M2554" s="13"/>
      <c r="N2554" s="2"/>
      <c r="O2554" s="20"/>
      <c r="P2554" s="42"/>
      <c r="R2554" s="23"/>
    </row>
    <row r="2555" spans="1:18" ht="12.75">
      <c r="A2555" s="12"/>
      <c r="D2555" s="12"/>
      <c r="E2555" s="12"/>
      <c r="H2555" s="11" t="str">
        <f ca="1">IFERROR(__xludf.DUMMYFUNCTION("IFERROR(SUBSTITUTE(SUBSTITUTE(REGEXEXTRACT(A2555, ""[^-]+- [^-]+- [^-]+ - (.+?)\.jpg""), "".jpg"", """"), ""-"", "", ""), """")"),"")</f>
        <v/>
      </c>
      <c r="L2555" s="12"/>
      <c r="M2555" s="13"/>
      <c r="N2555" s="2"/>
      <c r="O2555" s="20"/>
      <c r="P2555" s="42"/>
      <c r="R2555" s="23"/>
    </row>
    <row r="2556" spans="1:18" ht="12.75">
      <c r="A2556" s="12"/>
      <c r="D2556" s="12"/>
      <c r="E2556" s="12"/>
      <c r="H2556" s="11" t="str">
        <f ca="1">IFERROR(__xludf.DUMMYFUNCTION("IFERROR(SUBSTITUTE(SUBSTITUTE(REGEXEXTRACT(A2556, ""[^-]+- [^-]+- [^-]+ - (.+?)\.jpg""), "".jpg"", """"), ""-"", "", ""), """")"),"")</f>
        <v/>
      </c>
      <c r="L2556" s="12"/>
      <c r="M2556" s="13"/>
      <c r="N2556" s="2"/>
      <c r="O2556" s="20"/>
      <c r="P2556" s="42"/>
      <c r="R2556" s="23"/>
    </row>
    <row r="2557" spans="1:18" ht="12.75">
      <c r="A2557" s="12"/>
      <c r="D2557" s="12"/>
      <c r="E2557" s="12"/>
      <c r="H2557" s="11" t="str">
        <f ca="1">IFERROR(__xludf.DUMMYFUNCTION("IFERROR(SUBSTITUTE(SUBSTITUTE(REGEXEXTRACT(A2557, ""[^-]+- [^-]+- [^-]+ - (.+?)\.jpg""), "".jpg"", """"), ""-"", "", ""), """")"),"")</f>
        <v/>
      </c>
      <c r="L2557" s="12"/>
      <c r="M2557" s="13"/>
      <c r="N2557" s="2"/>
      <c r="O2557" s="20"/>
      <c r="P2557" s="42"/>
      <c r="R2557" s="23"/>
    </row>
    <row r="2558" spans="1:18" ht="12.75">
      <c r="A2558" s="12"/>
      <c r="D2558" s="12"/>
      <c r="E2558" s="12"/>
      <c r="H2558" s="11" t="str">
        <f ca="1">IFERROR(__xludf.DUMMYFUNCTION("IFERROR(SUBSTITUTE(SUBSTITUTE(REGEXEXTRACT(A2558, ""[^-]+- [^-]+- [^-]+ - (.+?)\.jpg""), "".jpg"", """"), ""-"", "", ""), """")"),"")</f>
        <v/>
      </c>
      <c r="L2558" s="12"/>
      <c r="M2558" s="13"/>
      <c r="N2558" s="2"/>
      <c r="O2558" s="20"/>
      <c r="P2558" s="42"/>
      <c r="R2558" s="23"/>
    </row>
    <row r="2559" spans="1:18" ht="12.75">
      <c r="A2559" s="12"/>
      <c r="D2559" s="12"/>
      <c r="E2559" s="12"/>
      <c r="H2559" s="11" t="str">
        <f ca="1">IFERROR(__xludf.DUMMYFUNCTION("IFERROR(SUBSTITUTE(SUBSTITUTE(REGEXEXTRACT(A2559, ""[^-]+- [^-]+- [^-]+ - (.+?)\.jpg""), "".jpg"", """"), ""-"", "", ""), """")"),"")</f>
        <v/>
      </c>
      <c r="L2559" s="12"/>
      <c r="M2559" s="13"/>
      <c r="N2559" s="2"/>
      <c r="O2559" s="20"/>
      <c r="P2559" s="42"/>
      <c r="R2559" s="23"/>
    </row>
    <row r="2560" spans="1:18" ht="12.75">
      <c r="A2560" s="12"/>
      <c r="D2560" s="12"/>
      <c r="E2560" s="12"/>
      <c r="H2560" s="11" t="str">
        <f ca="1">IFERROR(__xludf.DUMMYFUNCTION("IFERROR(SUBSTITUTE(SUBSTITUTE(REGEXEXTRACT(A2560, ""[^-]+- [^-]+- [^-]+ - (.+?)\.jpg""), "".jpg"", """"), ""-"", "", ""), """")"),"")</f>
        <v/>
      </c>
      <c r="L2560" s="12"/>
      <c r="M2560" s="13"/>
      <c r="N2560" s="2"/>
      <c r="O2560" s="20"/>
      <c r="P2560" s="42"/>
      <c r="R2560" s="23"/>
    </row>
    <row r="2561" spans="1:18" ht="12.75">
      <c r="A2561" s="12"/>
      <c r="D2561" s="12"/>
      <c r="E2561" s="12"/>
      <c r="H2561" s="11" t="str">
        <f ca="1">IFERROR(__xludf.DUMMYFUNCTION("IFERROR(SUBSTITUTE(SUBSTITUTE(REGEXEXTRACT(A2561, ""[^-]+- [^-]+- [^-]+ - (.+?)\.jpg""), "".jpg"", """"), ""-"", "", ""), """")"),"")</f>
        <v/>
      </c>
      <c r="L2561" s="12"/>
      <c r="M2561" s="13"/>
      <c r="N2561" s="2"/>
      <c r="O2561" s="20"/>
      <c r="P2561" s="42"/>
      <c r="R2561" s="23"/>
    </row>
    <row r="2562" spans="1:18" ht="12.75">
      <c r="A2562" s="12"/>
      <c r="D2562" s="12"/>
      <c r="E2562" s="12"/>
      <c r="H2562" s="11" t="str">
        <f ca="1">IFERROR(__xludf.DUMMYFUNCTION("IFERROR(SUBSTITUTE(SUBSTITUTE(REGEXEXTRACT(A2562, ""[^-]+- [^-]+- [^-]+ - (.+?)\.jpg""), "".jpg"", """"), ""-"", "", ""), """")"),"")</f>
        <v/>
      </c>
      <c r="L2562" s="12"/>
      <c r="M2562" s="13"/>
      <c r="N2562" s="2"/>
      <c r="O2562" s="20"/>
      <c r="P2562" s="42"/>
      <c r="R2562" s="23"/>
    </row>
    <row r="2563" spans="1:18" ht="12.75">
      <c r="A2563" s="12"/>
      <c r="D2563" s="12"/>
      <c r="E2563" s="12"/>
      <c r="H2563" s="11" t="str">
        <f ca="1">IFERROR(__xludf.DUMMYFUNCTION("IFERROR(SUBSTITUTE(SUBSTITUTE(REGEXEXTRACT(A2563, ""[^-]+- [^-]+- [^-]+ - (.+?)\.jpg""), "".jpg"", """"), ""-"", "", ""), """")"),"")</f>
        <v/>
      </c>
      <c r="L2563" s="12"/>
      <c r="M2563" s="13"/>
      <c r="N2563" s="2"/>
      <c r="O2563" s="20"/>
      <c r="P2563" s="42"/>
      <c r="R2563" s="23"/>
    </row>
    <row r="2564" spans="1:18" ht="12.75">
      <c r="A2564" s="12"/>
      <c r="D2564" s="12"/>
      <c r="E2564" s="12"/>
      <c r="H2564" s="11" t="str">
        <f ca="1">IFERROR(__xludf.DUMMYFUNCTION("IFERROR(SUBSTITUTE(SUBSTITUTE(REGEXEXTRACT(A2564, ""[^-]+- [^-]+- [^-]+ - (.+?)\.jpg""), "".jpg"", """"), ""-"", "", ""), """")"),"")</f>
        <v/>
      </c>
      <c r="L2564" s="12"/>
      <c r="M2564" s="13"/>
      <c r="N2564" s="2"/>
      <c r="O2564" s="20"/>
      <c r="P2564" s="42"/>
      <c r="R2564" s="23"/>
    </row>
    <row r="2565" spans="1:18" ht="12.75">
      <c r="A2565" s="12"/>
      <c r="D2565" s="12"/>
      <c r="E2565" s="12"/>
      <c r="H2565" s="11" t="str">
        <f ca="1">IFERROR(__xludf.DUMMYFUNCTION("IFERROR(SUBSTITUTE(SUBSTITUTE(REGEXEXTRACT(A2565, ""[^-]+- [^-]+- [^-]+ - (.+?)\.jpg""), "".jpg"", """"), ""-"", "", ""), """")"),"")</f>
        <v/>
      </c>
      <c r="L2565" s="12"/>
      <c r="M2565" s="13"/>
      <c r="N2565" s="2"/>
      <c r="O2565" s="20"/>
      <c r="P2565" s="42"/>
      <c r="R2565" s="23"/>
    </row>
    <row r="2566" spans="1:18" ht="12.75">
      <c r="A2566" s="12"/>
      <c r="D2566" s="12"/>
      <c r="E2566" s="12"/>
      <c r="H2566" s="11" t="str">
        <f ca="1">IFERROR(__xludf.DUMMYFUNCTION("IFERROR(SUBSTITUTE(SUBSTITUTE(REGEXEXTRACT(A2566, ""[^-]+- [^-]+- [^-]+ - (.+?)\.jpg""), "".jpg"", """"), ""-"", "", ""), """")"),"")</f>
        <v/>
      </c>
      <c r="L2566" s="12"/>
      <c r="M2566" s="13"/>
      <c r="N2566" s="2"/>
      <c r="O2566" s="20"/>
      <c r="P2566" s="42"/>
      <c r="R2566" s="23"/>
    </row>
    <row r="2567" spans="1:18" ht="12.75">
      <c r="A2567" s="12"/>
      <c r="D2567" s="12"/>
      <c r="E2567" s="12"/>
      <c r="H2567" s="11" t="str">
        <f ca="1">IFERROR(__xludf.DUMMYFUNCTION("IFERROR(SUBSTITUTE(SUBSTITUTE(REGEXEXTRACT(A2567, ""[^-]+- [^-]+- [^-]+ - (.+?)\.jpg""), "".jpg"", """"), ""-"", "", ""), """")"),"")</f>
        <v/>
      </c>
      <c r="L2567" s="12"/>
      <c r="M2567" s="13"/>
      <c r="N2567" s="2"/>
      <c r="O2567" s="20"/>
      <c r="P2567" s="42"/>
      <c r="R2567" s="23"/>
    </row>
    <row r="2568" spans="1:18" ht="12.75">
      <c r="A2568" s="12"/>
      <c r="D2568" s="12"/>
      <c r="E2568" s="12"/>
      <c r="H2568" s="11" t="str">
        <f ca="1">IFERROR(__xludf.DUMMYFUNCTION("IFERROR(SUBSTITUTE(SUBSTITUTE(REGEXEXTRACT(A2568, ""[^-]+- [^-]+- [^-]+ - (.+?)\.jpg""), "".jpg"", """"), ""-"", "", ""), """")"),"")</f>
        <v/>
      </c>
      <c r="L2568" s="12"/>
      <c r="M2568" s="13"/>
      <c r="N2568" s="2"/>
      <c r="O2568" s="20"/>
      <c r="P2568" s="42"/>
      <c r="R2568" s="23"/>
    </row>
    <row r="2569" spans="1:18" ht="12.75">
      <c r="A2569" s="12"/>
      <c r="D2569" s="12"/>
      <c r="E2569" s="12"/>
      <c r="H2569" s="11" t="str">
        <f ca="1">IFERROR(__xludf.DUMMYFUNCTION("IFERROR(SUBSTITUTE(SUBSTITUTE(REGEXEXTRACT(A2569, ""[^-]+- [^-]+- [^-]+ - (.+?)\.jpg""), "".jpg"", """"), ""-"", "", ""), """")"),"")</f>
        <v/>
      </c>
      <c r="L2569" s="12"/>
      <c r="M2569" s="13"/>
      <c r="N2569" s="2"/>
      <c r="O2569" s="20"/>
      <c r="P2569" s="42"/>
      <c r="R2569" s="23"/>
    </row>
    <row r="2570" spans="1:18" ht="12.75">
      <c r="A2570" s="12"/>
      <c r="D2570" s="12"/>
      <c r="E2570" s="12"/>
      <c r="H2570" s="11" t="str">
        <f ca="1">IFERROR(__xludf.DUMMYFUNCTION("IFERROR(SUBSTITUTE(SUBSTITUTE(REGEXEXTRACT(A2570, ""[^-]+- [^-]+- [^-]+ - (.+?)\.jpg""), "".jpg"", """"), ""-"", "", ""), """")"),"")</f>
        <v/>
      </c>
      <c r="L2570" s="12"/>
      <c r="M2570" s="13"/>
      <c r="N2570" s="2"/>
      <c r="O2570" s="20"/>
      <c r="P2570" s="42"/>
      <c r="R2570" s="23"/>
    </row>
    <row r="2571" spans="1:18" ht="12.75">
      <c r="A2571" s="12"/>
      <c r="D2571" s="12"/>
      <c r="E2571" s="12"/>
      <c r="H2571" s="11" t="str">
        <f ca="1">IFERROR(__xludf.DUMMYFUNCTION("IFERROR(SUBSTITUTE(SUBSTITUTE(REGEXEXTRACT(A2571, ""[^-]+- [^-]+- [^-]+ - (.+?)\.jpg""), "".jpg"", """"), ""-"", "", ""), """")"),"")</f>
        <v/>
      </c>
      <c r="L2571" s="12"/>
      <c r="M2571" s="13"/>
      <c r="N2571" s="2"/>
      <c r="O2571" s="20"/>
      <c r="P2571" s="42"/>
      <c r="R2571" s="23"/>
    </row>
    <row r="2572" spans="1:18" ht="12.75">
      <c r="A2572" s="12"/>
      <c r="D2572" s="12"/>
      <c r="E2572" s="12"/>
      <c r="H2572" s="11" t="str">
        <f ca="1">IFERROR(__xludf.DUMMYFUNCTION("IFERROR(SUBSTITUTE(SUBSTITUTE(REGEXEXTRACT(A2572, ""[^-]+- [^-]+- [^-]+ - (.+?)\.jpg""), "".jpg"", """"), ""-"", "", ""), """")"),"")</f>
        <v/>
      </c>
      <c r="L2572" s="12"/>
      <c r="M2572" s="13"/>
      <c r="N2572" s="2"/>
      <c r="O2572" s="20"/>
      <c r="P2572" s="42"/>
      <c r="R2572" s="23"/>
    </row>
    <row r="2573" spans="1:18" ht="12.75">
      <c r="A2573" s="12"/>
      <c r="D2573" s="12"/>
      <c r="E2573" s="12"/>
      <c r="H2573" s="11" t="str">
        <f ca="1">IFERROR(__xludf.DUMMYFUNCTION("IFERROR(SUBSTITUTE(SUBSTITUTE(REGEXEXTRACT(A2573, ""[^-]+- [^-]+- [^-]+ - (.+?)\.jpg""), "".jpg"", """"), ""-"", "", ""), """")"),"")</f>
        <v/>
      </c>
      <c r="L2573" s="12"/>
      <c r="M2573" s="13"/>
      <c r="N2573" s="2"/>
      <c r="O2573" s="20"/>
      <c r="P2573" s="42"/>
      <c r="R2573" s="23"/>
    </row>
    <row r="2574" spans="1:18" ht="12.75">
      <c r="A2574" s="12"/>
      <c r="D2574" s="12"/>
      <c r="E2574" s="12"/>
      <c r="H2574" s="11" t="str">
        <f ca="1">IFERROR(__xludf.DUMMYFUNCTION("IFERROR(SUBSTITUTE(SUBSTITUTE(REGEXEXTRACT(A2574, ""[^-]+- [^-]+- [^-]+ - (.+?)\.jpg""), "".jpg"", """"), ""-"", "", ""), """")"),"")</f>
        <v/>
      </c>
      <c r="L2574" s="12"/>
      <c r="M2574" s="13"/>
      <c r="N2574" s="2"/>
      <c r="O2574" s="20"/>
      <c r="P2574" s="42"/>
      <c r="R2574" s="23"/>
    </row>
    <row r="2575" spans="1:18" ht="12.75">
      <c r="A2575" s="12"/>
      <c r="D2575" s="12"/>
      <c r="E2575" s="12"/>
      <c r="H2575" s="11" t="str">
        <f ca="1">IFERROR(__xludf.DUMMYFUNCTION("IFERROR(SUBSTITUTE(SUBSTITUTE(REGEXEXTRACT(A2575, ""[^-]+- [^-]+- [^-]+ - (.+?)\.jpg""), "".jpg"", """"), ""-"", "", ""), """")"),"")</f>
        <v/>
      </c>
      <c r="L2575" s="12"/>
      <c r="M2575" s="13"/>
      <c r="N2575" s="2"/>
      <c r="O2575" s="20"/>
      <c r="P2575" s="42"/>
      <c r="R2575" s="23"/>
    </row>
    <row r="2576" spans="1:18" ht="12.75">
      <c r="A2576" s="12"/>
      <c r="D2576" s="12"/>
      <c r="E2576" s="12"/>
      <c r="H2576" s="11" t="str">
        <f ca="1">IFERROR(__xludf.DUMMYFUNCTION("IFERROR(SUBSTITUTE(SUBSTITUTE(REGEXEXTRACT(A2576, ""[^-]+- [^-]+- [^-]+ - (.+?)\.jpg""), "".jpg"", """"), ""-"", "", ""), """")"),"")</f>
        <v/>
      </c>
      <c r="L2576" s="12"/>
      <c r="M2576" s="13"/>
      <c r="N2576" s="2"/>
      <c r="O2576" s="20"/>
      <c r="P2576" s="42"/>
      <c r="R2576" s="23"/>
    </row>
    <row r="2577" spans="1:18" ht="12.75">
      <c r="A2577" s="12"/>
      <c r="D2577" s="12"/>
      <c r="E2577" s="12"/>
      <c r="H2577" s="11" t="str">
        <f ca="1">IFERROR(__xludf.DUMMYFUNCTION("IFERROR(SUBSTITUTE(SUBSTITUTE(REGEXEXTRACT(A2577, ""[^-]+- [^-]+- [^-]+ - (.+?)\.jpg""), "".jpg"", """"), ""-"", "", ""), """")"),"")</f>
        <v/>
      </c>
      <c r="L2577" s="12"/>
      <c r="M2577" s="13"/>
      <c r="N2577" s="2"/>
      <c r="O2577" s="20"/>
      <c r="P2577" s="42"/>
      <c r="R2577" s="23"/>
    </row>
    <row r="2578" spans="1:18" ht="12.75">
      <c r="A2578" s="12"/>
      <c r="D2578" s="12"/>
      <c r="E2578" s="12"/>
      <c r="H2578" s="11" t="str">
        <f ca="1">IFERROR(__xludf.DUMMYFUNCTION("IFERROR(SUBSTITUTE(SUBSTITUTE(REGEXEXTRACT(A2578, ""[^-]+- [^-]+- [^-]+ - (.+?)\.jpg""), "".jpg"", """"), ""-"", "", ""), """")"),"")</f>
        <v/>
      </c>
      <c r="L2578" s="12"/>
      <c r="M2578" s="13"/>
      <c r="N2578" s="2"/>
      <c r="O2578" s="20"/>
      <c r="P2578" s="42"/>
      <c r="R2578" s="23"/>
    </row>
    <row r="2579" spans="1:18" ht="12.75">
      <c r="A2579" s="12"/>
      <c r="D2579" s="12"/>
      <c r="E2579" s="12"/>
      <c r="H2579" s="11" t="str">
        <f ca="1">IFERROR(__xludf.DUMMYFUNCTION("IFERROR(SUBSTITUTE(SUBSTITUTE(REGEXEXTRACT(A2579, ""[^-]+- [^-]+- [^-]+ - (.+?)\.jpg""), "".jpg"", """"), ""-"", "", ""), """")"),"")</f>
        <v/>
      </c>
      <c r="L2579" s="12"/>
      <c r="M2579" s="13"/>
      <c r="N2579" s="2"/>
      <c r="O2579" s="20"/>
      <c r="P2579" s="42"/>
      <c r="R2579" s="23"/>
    </row>
    <row r="2580" spans="1:18" ht="12.75">
      <c r="A2580" s="12"/>
      <c r="D2580" s="12"/>
      <c r="E2580" s="12"/>
      <c r="H2580" s="11" t="str">
        <f ca="1">IFERROR(__xludf.DUMMYFUNCTION("IFERROR(SUBSTITUTE(SUBSTITUTE(REGEXEXTRACT(A2580, ""[^-]+- [^-]+- [^-]+ - (.+?)\.jpg""), "".jpg"", """"), ""-"", "", ""), """")"),"")</f>
        <v/>
      </c>
      <c r="L2580" s="12"/>
      <c r="M2580" s="13"/>
      <c r="N2580" s="2"/>
      <c r="O2580" s="20"/>
      <c r="P2580" s="42"/>
      <c r="R2580" s="23"/>
    </row>
    <row r="2581" spans="1:18" ht="12.75">
      <c r="A2581" s="12"/>
      <c r="D2581" s="12"/>
      <c r="E2581" s="12"/>
      <c r="H2581" s="11" t="str">
        <f ca="1">IFERROR(__xludf.DUMMYFUNCTION("IFERROR(SUBSTITUTE(SUBSTITUTE(REGEXEXTRACT(A2581, ""[^-]+- [^-]+- [^-]+ - (.+?)\.jpg""), "".jpg"", """"), ""-"", "", ""), """")"),"")</f>
        <v/>
      </c>
      <c r="L2581" s="12"/>
      <c r="M2581" s="13"/>
      <c r="N2581" s="2"/>
      <c r="O2581" s="20"/>
      <c r="P2581" s="42"/>
      <c r="R2581" s="23"/>
    </row>
    <row r="2582" spans="1:18" ht="12.75">
      <c r="A2582" s="12"/>
      <c r="D2582" s="12"/>
      <c r="E2582" s="12"/>
      <c r="H2582" s="11" t="str">
        <f ca="1">IFERROR(__xludf.DUMMYFUNCTION("IFERROR(SUBSTITUTE(SUBSTITUTE(REGEXEXTRACT(A2582, ""[^-]+- [^-]+- [^-]+ - (.+?)\.jpg""), "".jpg"", """"), ""-"", "", ""), """")"),"")</f>
        <v/>
      </c>
      <c r="L2582" s="12"/>
      <c r="M2582" s="13"/>
      <c r="N2582" s="2"/>
      <c r="O2582" s="20"/>
      <c r="P2582" s="42"/>
      <c r="R2582" s="23"/>
    </row>
    <row r="2583" spans="1:18" ht="12.75">
      <c r="A2583" s="12"/>
      <c r="D2583" s="12"/>
      <c r="E2583" s="12"/>
      <c r="H2583" s="11" t="str">
        <f ca="1">IFERROR(__xludf.DUMMYFUNCTION("IFERROR(SUBSTITUTE(SUBSTITUTE(REGEXEXTRACT(A2583, ""[^-]+- [^-]+- [^-]+ - (.+?)\.jpg""), "".jpg"", """"), ""-"", "", ""), """")"),"")</f>
        <v/>
      </c>
      <c r="L2583" s="12"/>
      <c r="M2583" s="13"/>
      <c r="N2583" s="2"/>
      <c r="O2583" s="20"/>
      <c r="P2583" s="42"/>
      <c r="R2583" s="23"/>
    </row>
    <row r="2584" spans="1:18" ht="12.75">
      <c r="A2584" s="12"/>
      <c r="D2584" s="12"/>
      <c r="E2584" s="12"/>
      <c r="H2584" s="11" t="str">
        <f ca="1">IFERROR(__xludf.DUMMYFUNCTION("IFERROR(SUBSTITUTE(SUBSTITUTE(REGEXEXTRACT(A2584, ""[^-]+- [^-]+- [^-]+ - (.+?)\.jpg""), "".jpg"", """"), ""-"", "", ""), """")"),"")</f>
        <v/>
      </c>
      <c r="L2584" s="12"/>
      <c r="M2584" s="13"/>
      <c r="N2584" s="2"/>
      <c r="O2584" s="20"/>
      <c r="P2584" s="42"/>
      <c r="R2584" s="23"/>
    </row>
    <row r="2585" spans="1:18" ht="12.75">
      <c r="A2585" s="12"/>
      <c r="D2585" s="12"/>
      <c r="E2585" s="12"/>
      <c r="H2585" s="11" t="str">
        <f ca="1">IFERROR(__xludf.DUMMYFUNCTION("IFERROR(SUBSTITUTE(SUBSTITUTE(REGEXEXTRACT(A2585, ""[^-]+- [^-]+- [^-]+ - (.+?)\.jpg""), "".jpg"", """"), ""-"", "", ""), """")"),"")</f>
        <v/>
      </c>
      <c r="L2585" s="12"/>
      <c r="M2585" s="13"/>
      <c r="N2585" s="2"/>
      <c r="O2585" s="20"/>
      <c r="P2585" s="42"/>
      <c r="R2585" s="23"/>
    </row>
    <row r="2586" spans="1:18" ht="12.75">
      <c r="A2586" s="12"/>
      <c r="D2586" s="12"/>
      <c r="E2586" s="12"/>
      <c r="H2586" s="11" t="str">
        <f ca="1">IFERROR(__xludf.DUMMYFUNCTION("IFERROR(SUBSTITUTE(SUBSTITUTE(REGEXEXTRACT(A2586, ""[^-]+- [^-]+- [^-]+ - (.+?)\.jpg""), "".jpg"", """"), ""-"", "", ""), """")"),"")</f>
        <v/>
      </c>
      <c r="L2586" s="12"/>
      <c r="M2586" s="13"/>
      <c r="N2586" s="2"/>
      <c r="O2586" s="20"/>
      <c r="P2586" s="42"/>
      <c r="R2586" s="23"/>
    </row>
    <row r="2587" spans="1:18" ht="12.75">
      <c r="A2587" s="12"/>
      <c r="D2587" s="12"/>
      <c r="E2587" s="12"/>
      <c r="H2587" s="11" t="str">
        <f ca="1">IFERROR(__xludf.DUMMYFUNCTION("IFERROR(SUBSTITUTE(SUBSTITUTE(REGEXEXTRACT(A2587, ""[^-]+- [^-]+- [^-]+ - (.+?)\.jpg""), "".jpg"", """"), ""-"", "", ""), """")"),"")</f>
        <v/>
      </c>
      <c r="L2587" s="12"/>
      <c r="M2587" s="13"/>
      <c r="N2587" s="2"/>
      <c r="O2587" s="20"/>
      <c r="P2587" s="42"/>
      <c r="R2587" s="23"/>
    </row>
    <row r="2588" spans="1:18" ht="12.75">
      <c r="A2588" s="12"/>
      <c r="D2588" s="12"/>
      <c r="E2588" s="12"/>
      <c r="H2588" s="11" t="str">
        <f ca="1">IFERROR(__xludf.DUMMYFUNCTION("IFERROR(SUBSTITUTE(SUBSTITUTE(REGEXEXTRACT(A2588, ""[^-]+- [^-]+- [^-]+ - (.+?)\.jpg""), "".jpg"", """"), ""-"", "", ""), """")"),"")</f>
        <v/>
      </c>
      <c r="L2588" s="12"/>
      <c r="M2588" s="13"/>
      <c r="N2588" s="2"/>
      <c r="O2588" s="20"/>
      <c r="P2588" s="42"/>
      <c r="R2588" s="23"/>
    </row>
    <row r="2589" spans="1:18" ht="12.75">
      <c r="A2589" s="12"/>
      <c r="D2589" s="12"/>
      <c r="E2589" s="12"/>
      <c r="H2589" s="11" t="str">
        <f ca="1">IFERROR(__xludf.DUMMYFUNCTION("IFERROR(SUBSTITUTE(SUBSTITUTE(REGEXEXTRACT(A2589, ""[^-]+- [^-]+- [^-]+ - (.+?)\.jpg""), "".jpg"", """"), ""-"", "", ""), """")"),"")</f>
        <v/>
      </c>
      <c r="L2589" s="12"/>
      <c r="M2589" s="13"/>
      <c r="N2589" s="2"/>
      <c r="O2589" s="20"/>
      <c r="P2589" s="42"/>
      <c r="R2589" s="23"/>
    </row>
    <row r="2590" spans="1:18" ht="12.75">
      <c r="A2590" s="12"/>
      <c r="D2590" s="12"/>
      <c r="E2590" s="12"/>
      <c r="H2590" s="11" t="str">
        <f ca="1">IFERROR(__xludf.DUMMYFUNCTION("IFERROR(SUBSTITUTE(SUBSTITUTE(REGEXEXTRACT(A2590, ""[^-]+- [^-]+- [^-]+ - (.+?)\.jpg""), "".jpg"", """"), ""-"", "", ""), """")"),"")</f>
        <v/>
      </c>
      <c r="L2590" s="12"/>
      <c r="M2590" s="13"/>
      <c r="N2590" s="2"/>
      <c r="O2590" s="20"/>
      <c r="P2590" s="42"/>
      <c r="R2590" s="23"/>
    </row>
    <row r="2591" spans="1:18" ht="12.75">
      <c r="A2591" s="12"/>
      <c r="D2591" s="12"/>
      <c r="E2591" s="12"/>
      <c r="H2591" s="11" t="str">
        <f ca="1">IFERROR(__xludf.DUMMYFUNCTION("IFERROR(SUBSTITUTE(SUBSTITUTE(REGEXEXTRACT(A2591, ""[^-]+- [^-]+- [^-]+ - (.+?)\.jpg""), "".jpg"", """"), ""-"", "", ""), """")"),"")</f>
        <v/>
      </c>
      <c r="L2591" s="12"/>
      <c r="M2591" s="13"/>
      <c r="N2591" s="2"/>
      <c r="O2591" s="20"/>
      <c r="P2591" s="42"/>
      <c r="R2591" s="23"/>
    </row>
    <row r="2592" spans="1:18" ht="12.75">
      <c r="A2592" s="12"/>
      <c r="D2592" s="12"/>
      <c r="E2592" s="12"/>
      <c r="H2592" s="11" t="str">
        <f ca="1">IFERROR(__xludf.DUMMYFUNCTION("IFERROR(SUBSTITUTE(SUBSTITUTE(REGEXEXTRACT(A2592, ""[^-]+- [^-]+- [^-]+ - (.+?)\.jpg""), "".jpg"", """"), ""-"", "", ""), """")"),"")</f>
        <v/>
      </c>
      <c r="L2592" s="12"/>
      <c r="M2592" s="13"/>
      <c r="N2592" s="2"/>
      <c r="O2592" s="20"/>
      <c r="P2592" s="42"/>
      <c r="R2592" s="23"/>
    </row>
    <row r="2593" spans="1:18" ht="12.75">
      <c r="A2593" s="12"/>
      <c r="D2593" s="12"/>
      <c r="E2593" s="12"/>
      <c r="H2593" s="11" t="str">
        <f ca="1">IFERROR(__xludf.DUMMYFUNCTION("IFERROR(SUBSTITUTE(SUBSTITUTE(REGEXEXTRACT(A2593, ""[^-]+- [^-]+- [^-]+ - (.+?)\.jpg""), "".jpg"", """"), ""-"", "", ""), """")"),"")</f>
        <v/>
      </c>
      <c r="L2593" s="12"/>
      <c r="M2593" s="13"/>
      <c r="N2593" s="2"/>
      <c r="O2593" s="20"/>
      <c r="P2593" s="42"/>
      <c r="R2593" s="23"/>
    </row>
    <row r="2594" spans="1:18" ht="12.75">
      <c r="A2594" s="12"/>
      <c r="D2594" s="12"/>
      <c r="E2594" s="12"/>
      <c r="H2594" s="11" t="str">
        <f ca="1">IFERROR(__xludf.DUMMYFUNCTION("IFERROR(SUBSTITUTE(SUBSTITUTE(REGEXEXTRACT(A2594, ""[^-]+- [^-]+- [^-]+ - (.+?)\.jpg""), "".jpg"", """"), ""-"", "", ""), """")"),"")</f>
        <v/>
      </c>
      <c r="L2594" s="12"/>
      <c r="M2594" s="13"/>
      <c r="N2594" s="2"/>
      <c r="O2594" s="20"/>
      <c r="P2594" s="42"/>
      <c r="R2594" s="23"/>
    </row>
    <row r="2595" spans="1:18" ht="12.75">
      <c r="A2595" s="12"/>
      <c r="D2595" s="12"/>
      <c r="E2595" s="12"/>
      <c r="H2595" s="11" t="str">
        <f ca="1">IFERROR(__xludf.DUMMYFUNCTION("IFERROR(SUBSTITUTE(SUBSTITUTE(REGEXEXTRACT(A2595, ""[^-]+- [^-]+- [^-]+ - (.+?)\.jpg""), "".jpg"", """"), ""-"", "", ""), """")"),"")</f>
        <v/>
      </c>
      <c r="L2595" s="12"/>
      <c r="M2595" s="13"/>
      <c r="N2595" s="2"/>
      <c r="O2595" s="20"/>
      <c r="P2595" s="42"/>
      <c r="R2595" s="23"/>
    </row>
    <row r="2596" spans="1:18" ht="12.75">
      <c r="A2596" s="12"/>
      <c r="D2596" s="12"/>
      <c r="E2596" s="12"/>
      <c r="H2596" s="11" t="str">
        <f ca="1">IFERROR(__xludf.DUMMYFUNCTION("IFERROR(SUBSTITUTE(SUBSTITUTE(REGEXEXTRACT(A2596, ""[^-]+- [^-]+- [^-]+ - (.+?)\.jpg""), "".jpg"", """"), ""-"", "", ""), """")"),"")</f>
        <v/>
      </c>
      <c r="L2596" s="12"/>
      <c r="M2596" s="13"/>
      <c r="N2596" s="2"/>
      <c r="O2596" s="20"/>
      <c r="P2596" s="42"/>
      <c r="R2596" s="23"/>
    </row>
    <row r="2597" spans="1:18" ht="12.75">
      <c r="A2597" s="12"/>
      <c r="D2597" s="12"/>
      <c r="E2597" s="12"/>
      <c r="H2597" s="11" t="str">
        <f ca="1">IFERROR(__xludf.DUMMYFUNCTION("IFERROR(SUBSTITUTE(SUBSTITUTE(REGEXEXTRACT(A2597, ""[^-]+- [^-]+- [^-]+ - (.+?)\.jpg""), "".jpg"", """"), ""-"", "", ""), """")"),"")</f>
        <v/>
      </c>
      <c r="L2597" s="12"/>
      <c r="M2597" s="13"/>
      <c r="N2597" s="2"/>
      <c r="O2597" s="20"/>
      <c r="P2597" s="42"/>
      <c r="R2597" s="23"/>
    </row>
    <row r="2598" spans="1:18" ht="12.75">
      <c r="A2598" s="12"/>
      <c r="D2598" s="12"/>
      <c r="E2598" s="12"/>
      <c r="H2598" s="11" t="str">
        <f ca="1">IFERROR(__xludf.DUMMYFUNCTION("IFERROR(SUBSTITUTE(SUBSTITUTE(REGEXEXTRACT(A2598, ""[^-]+- [^-]+- [^-]+ - (.+?)\.jpg""), "".jpg"", """"), ""-"", "", ""), """")"),"")</f>
        <v/>
      </c>
      <c r="L2598" s="12"/>
      <c r="M2598" s="13"/>
      <c r="N2598" s="2"/>
      <c r="O2598" s="20"/>
      <c r="P2598" s="42"/>
      <c r="R2598" s="23"/>
    </row>
    <row r="2599" spans="1:18" ht="12.75">
      <c r="A2599" s="12"/>
      <c r="D2599" s="12"/>
      <c r="E2599" s="12"/>
      <c r="H2599" s="11" t="str">
        <f ca="1">IFERROR(__xludf.DUMMYFUNCTION("IFERROR(SUBSTITUTE(SUBSTITUTE(REGEXEXTRACT(A2599, ""[^-]+- [^-]+- [^-]+ - (.+?)\.jpg""), "".jpg"", """"), ""-"", "", ""), """")"),"")</f>
        <v/>
      </c>
      <c r="L2599" s="12"/>
      <c r="M2599" s="13"/>
      <c r="N2599" s="2"/>
      <c r="O2599" s="20"/>
      <c r="P2599" s="42"/>
      <c r="R2599" s="23"/>
    </row>
    <row r="2600" spans="1:18" ht="12.75">
      <c r="A2600" s="12"/>
      <c r="D2600" s="12"/>
      <c r="E2600" s="12"/>
      <c r="H2600" s="11" t="str">
        <f ca="1">IFERROR(__xludf.DUMMYFUNCTION("IFERROR(SUBSTITUTE(SUBSTITUTE(REGEXEXTRACT(A2600, ""[^-]+- [^-]+- [^-]+ - (.+?)\.jpg""), "".jpg"", """"), ""-"", "", ""), """")"),"")</f>
        <v/>
      </c>
      <c r="L2600" s="12"/>
      <c r="M2600" s="13"/>
      <c r="N2600" s="2"/>
      <c r="O2600" s="20"/>
      <c r="P2600" s="42"/>
      <c r="R2600" s="23"/>
    </row>
    <row r="2601" spans="1:18" ht="12.75">
      <c r="A2601" s="12"/>
      <c r="D2601" s="12"/>
      <c r="E2601" s="12"/>
      <c r="H2601" s="11" t="str">
        <f ca="1">IFERROR(__xludf.DUMMYFUNCTION("IFERROR(SUBSTITUTE(SUBSTITUTE(REGEXEXTRACT(A2601, ""[^-]+- [^-]+- [^-]+ - (.+?)\.jpg""), "".jpg"", """"), ""-"", "", ""), """")"),"")</f>
        <v/>
      </c>
      <c r="L2601" s="12"/>
      <c r="M2601" s="13"/>
      <c r="N2601" s="2"/>
      <c r="O2601" s="20"/>
      <c r="P2601" s="42"/>
      <c r="R2601" s="23"/>
    </row>
    <row r="2602" spans="1:18" ht="12.75">
      <c r="A2602" s="12"/>
      <c r="D2602" s="12"/>
      <c r="E2602" s="12"/>
      <c r="H2602" s="11" t="str">
        <f ca="1">IFERROR(__xludf.DUMMYFUNCTION("IFERROR(SUBSTITUTE(SUBSTITUTE(REGEXEXTRACT(A2602, ""[^-]+- [^-]+- [^-]+ - (.+?)\.jpg""), "".jpg"", """"), ""-"", "", ""), """")"),"")</f>
        <v/>
      </c>
      <c r="L2602" s="12"/>
      <c r="M2602" s="13"/>
      <c r="N2602" s="2"/>
      <c r="O2602" s="20"/>
      <c r="P2602" s="42"/>
      <c r="R2602" s="23"/>
    </row>
    <row r="2603" spans="1:18" ht="12.75">
      <c r="A2603" s="12"/>
      <c r="D2603" s="12"/>
      <c r="E2603" s="12"/>
      <c r="H2603" s="11" t="str">
        <f ca="1">IFERROR(__xludf.DUMMYFUNCTION("IFERROR(SUBSTITUTE(SUBSTITUTE(REGEXEXTRACT(A2603, ""[^-]+- [^-]+- [^-]+ - (.+?)\.jpg""), "".jpg"", """"), ""-"", "", ""), """")"),"")</f>
        <v/>
      </c>
      <c r="L2603" s="12"/>
      <c r="M2603" s="13"/>
      <c r="N2603" s="2"/>
      <c r="O2603" s="20"/>
      <c r="P2603" s="42"/>
      <c r="R2603" s="23"/>
    </row>
    <row r="2604" spans="1:18" ht="12.75">
      <c r="A2604" s="12"/>
      <c r="D2604" s="12"/>
      <c r="E2604" s="12"/>
      <c r="H2604" s="11" t="str">
        <f ca="1">IFERROR(__xludf.DUMMYFUNCTION("IFERROR(SUBSTITUTE(SUBSTITUTE(REGEXEXTRACT(A2604, ""[^-]+- [^-]+- [^-]+ - (.+?)\.jpg""), "".jpg"", """"), ""-"", "", ""), """")"),"")</f>
        <v/>
      </c>
      <c r="L2604" s="12"/>
      <c r="M2604" s="13"/>
      <c r="N2604" s="2"/>
      <c r="O2604" s="20"/>
      <c r="P2604" s="42"/>
      <c r="R2604" s="23"/>
    </row>
    <row r="2605" spans="1:18" ht="12.75">
      <c r="A2605" s="12"/>
      <c r="D2605" s="12"/>
      <c r="E2605" s="12"/>
      <c r="H2605" s="11" t="str">
        <f ca="1">IFERROR(__xludf.DUMMYFUNCTION("IFERROR(SUBSTITUTE(SUBSTITUTE(REGEXEXTRACT(A2605, ""[^-]+- [^-]+- [^-]+ - (.+?)\.jpg""), "".jpg"", """"), ""-"", "", ""), """")"),"")</f>
        <v/>
      </c>
      <c r="L2605" s="12"/>
      <c r="M2605" s="13"/>
      <c r="N2605" s="2"/>
      <c r="O2605" s="20"/>
      <c r="P2605" s="42"/>
      <c r="R2605" s="23"/>
    </row>
    <row r="2606" spans="1:18" ht="12.75">
      <c r="A2606" s="12"/>
      <c r="D2606" s="12"/>
      <c r="E2606" s="12"/>
      <c r="H2606" s="11" t="str">
        <f ca="1">IFERROR(__xludf.DUMMYFUNCTION("IFERROR(SUBSTITUTE(SUBSTITUTE(REGEXEXTRACT(A2606, ""[^-]+- [^-]+- [^-]+ - (.+?)\.jpg""), "".jpg"", """"), ""-"", "", ""), """")"),"")</f>
        <v/>
      </c>
      <c r="L2606" s="12"/>
      <c r="M2606" s="13"/>
      <c r="N2606" s="2"/>
      <c r="O2606" s="20"/>
      <c r="P2606" s="42"/>
      <c r="R2606" s="23"/>
    </row>
    <row r="2607" spans="1:18" ht="12.75">
      <c r="A2607" s="12"/>
      <c r="D2607" s="12"/>
      <c r="E2607" s="12"/>
      <c r="H2607" s="11" t="str">
        <f ca="1">IFERROR(__xludf.DUMMYFUNCTION("IFERROR(SUBSTITUTE(SUBSTITUTE(REGEXEXTRACT(A2607, ""[^-]+- [^-]+- [^-]+ - (.+?)\.jpg""), "".jpg"", """"), ""-"", "", ""), """")"),"")</f>
        <v/>
      </c>
      <c r="L2607" s="12"/>
      <c r="M2607" s="13"/>
      <c r="N2607" s="2"/>
      <c r="O2607" s="20"/>
      <c r="P2607" s="42"/>
      <c r="R2607" s="23"/>
    </row>
    <row r="2608" spans="1:18" ht="12.75">
      <c r="A2608" s="12"/>
      <c r="D2608" s="12"/>
      <c r="E2608" s="12"/>
      <c r="H2608" s="11" t="str">
        <f ca="1">IFERROR(__xludf.DUMMYFUNCTION("IFERROR(SUBSTITUTE(SUBSTITUTE(REGEXEXTRACT(A2608, ""[^-]+- [^-]+- [^-]+ - (.+?)\.jpg""), "".jpg"", """"), ""-"", "", ""), """")"),"")</f>
        <v/>
      </c>
      <c r="L2608" s="12"/>
      <c r="M2608" s="13"/>
      <c r="N2608" s="2"/>
      <c r="O2608" s="20"/>
      <c r="P2608" s="42"/>
      <c r="R2608" s="23"/>
    </row>
    <row r="2609" spans="1:18" ht="12.75">
      <c r="A2609" s="12"/>
      <c r="D2609" s="12"/>
      <c r="E2609" s="12"/>
      <c r="H2609" s="11" t="str">
        <f ca="1">IFERROR(__xludf.DUMMYFUNCTION("IFERROR(SUBSTITUTE(SUBSTITUTE(REGEXEXTRACT(A2609, ""[^-]+- [^-]+- [^-]+ - (.+?)\.jpg""), "".jpg"", """"), ""-"", "", ""), """")"),"")</f>
        <v/>
      </c>
      <c r="L2609" s="12"/>
      <c r="M2609" s="13"/>
      <c r="N2609" s="2"/>
      <c r="O2609" s="20"/>
      <c r="P2609" s="42"/>
      <c r="R2609" s="23"/>
    </row>
    <row r="2610" spans="1:18" ht="12.75">
      <c r="A2610" s="12"/>
      <c r="D2610" s="12"/>
      <c r="E2610" s="12"/>
      <c r="H2610" s="11" t="str">
        <f ca="1">IFERROR(__xludf.DUMMYFUNCTION("IFERROR(SUBSTITUTE(SUBSTITUTE(REGEXEXTRACT(A2610, ""[^-]+- [^-]+- [^-]+ - (.+?)\.jpg""), "".jpg"", """"), ""-"", "", ""), """")"),"")</f>
        <v/>
      </c>
      <c r="L2610" s="12"/>
      <c r="M2610" s="13"/>
      <c r="N2610" s="2"/>
      <c r="O2610" s="20"/>
      <c r="P2610" s="42"/>
      <c r="R2610" s="23"/>
    </row>
    <row r="2611" spans="1:18" ht="12.75">
      <c r="A2611" s="12"/>
      <c r="D2611" s="12"/>
      <c r="E2611" s="12"/>
      <c r="H2611" s="11" t="str">
        <f ca="1">IFERROR(__xludf.DUMMYFUNCTION("IFERROR(SUBSTITUTE(SUBSTITUTE(REGEXEXTRACT(A2611, ""[^-]+- [^-]+- [^-]+ - (.+?)\.jpg""), "".jpg"", """"), ""-"", "", ""), """")"),"")</f>
        <v/>
      </c>
      <c r="L2611" s="12"/>
      <c r="M2611" s="13"/>
      <c r="N2611" s="2"/>
      <c r="O2611" s="20"/>
      <c r="P2611" s="42"/>
      <c r="R2611" s="23"/>
    </row>
    <row r="2612" spans="1:18" ht="12.75">
      <c r="A2612" s="12"/>
      <c r="D2612" s="12"/>
      <c r="E2612" s="12"/>
      <c r="H2612" s="11" t="str">
        <f ca="1">IFERROR(__xludf.DUMMYFUNCTION("IFERROR(SUBSTITUTE(SUBSTITUTE(REGEXEXTRACT(A2612, ""[^-]+- [^-]+- [^-]+ - (.+?)\.jpg""), "".jpg"", """"), ""-"", "", ""), """")"),"")</f>
        <v/>
      </c>
      <c r="L2612" s="12"/>
      <c r="M2612" s="13"/>
      <c r="N2612" s="2"/>
      <c r="O2612" s="20"/>
      <c r="P2612" s="42"/>
      <c r="R2612" s="23"/>
    </row>
    <row r="2613" spans="1:18" ht="12.75">
      <c r="A2613" s="12"/>
      <c r="D2613" s="12"/>
      <c r="E2613" s="12"/>
      <c r="H2613" s="11" t="str">
        <f ca="1">IFERROR(__xludf.DUMMYFUNCTION("IFERROR(SUBSTITUTE(SUBSTITUTE(REGEXEXTRACT(A2613, ""[^-]+- [^-]+- [^-]+ - (.+?)\.jpg""), "".jpg"", """"), ""-"", "", ""), """")"),"")</f>
        <v/>
      </c>
      <c r="L2613" s="12"/>
      <c r="M2613" s="13"/>
      <c r="N2613" s="2"/>
      <c r="O2613" s="20"/>
      <c r="P2613" s="42"/>
      <c r="R2613" s="23"/>
    </row>
    <row r="2614" spans="1:18" ht="12.75">
      <c r="A2614" s="12"/>
      <c r="D2614" s="12"/>
      <c r="E2614" s="12"/>
      <c r="H2614" s="11" t="str">
        <f ca="1">IFERROR(__xludf.DUMMYFUNCTION("IFERROR(SUBSTITUTE(SUBSTITUTE(REGEXEXTRACT(A2614, ""[^-]+- [^-]+- [^-]+ - (.+?)\.jpg""), "".jpg"", """"), ""-"", "", ""), """")"),"")</f>
        <v/>
      </c>
      <c r="L2614" s="12"/>
      <c r="M2614" s="13"/>
      <c r="N2614" s="2"/>
      <c r="O2614" s="20"/>
      <c r="P2614" s="42"/>
      <c r="R2614" s="23"/>
    </row>
    <row r="2615" spans="1:18" ht="12.75">
      <c r="A2615" s="12"/>
      <c r="D2615" s="12"/>
      <c r="E2615" s="12"/>
      <c r="H2615" s="11" t="str">
        <f ca="1">IFERROR(__xludf.DUMMYFUNCTION("IFERROR(SUBSTITUTE(SUBSTITUTE(REGEXEXTRACT(A2615, ""[^-]+- [^-]+- [^-]+ - (.+?)\.jpg""), "".jpg"", """"), ""-"", "", ""), """")"),"")</f>
        <v/>
      </c>
      <c r="L2615" s="12"/>
      <c r="M2615" s="13"/>
      <c r="N2615" s="2"/>
      <c r="O2615" s="20"/>
      <c r="P2615" s="42"/>
      <c r="R2615" s="23"/>
    </row>
    <row r="2616" spans="1:18" ht="12.75">
      <c r="A2616" s="12"/>
      <c r="D2616" s="12"/>
      <c r="E2616" s="12"/>
      <c r="H2616" s="11" t="str">
        <f ca="1">IFERROR(__xludf.DUMMYFUNCTION("IFERROR(SUBSTITUTE(SUBSTITUTE(REGEXEXTRACT(A2616, ""[^-]+- [^-]+- [^-]+ - (.+?)\.jpg""), "".jpg"", """"), ""-"", "", ""), """")"),"")</f>
        <v/>
      </c>
      <c r="L2616" s="12"/>
      <c r="M2616" s="13"/>
      <c r="N2616" s="2"/>
      <c r="O2616" s="20"/>
      <c r="P2616" s="42"/>
      <c r="R2616" s="23"/>
    </row>
    <row r="2617" spans="1:18" ht="12.75">
      <c r="A2617" s="12"/>
      <c r="D2617" s="12"/>
      <c r="E2617" s="12"/>
      <c r="H2617" s="11" t="str">
        <f ca="1">IFERROR(__xludf.DUMMYFUNCTION("IFERROR(SUBSTITUTE(SUBSTITUTE(REGEXEXTRACT(A2617, ""[^-]+- [^-]+- [^-]+ - (.+?)\.jpg""), "".jpg"", """"), ""-"", "", ""), """")"),"")</f>
        <v/>
      </c>
      <c r="L2617" s="12"/>
      <c r="M2617" s="13"/>
      <c r="N2617" s="2"/>
      <c r="O2617" s="20"/>
      <c r="P2617" s="42"/>
      <c r="R2617" s="23"/>
    </row>
    <row r="2618" spans="1:18" ht="12.75">
      <c r="A2618" s="12"/>
      <c r="D2618" s="12"/>
      <c r="E2618" s="12"/>
      <c r="H2618" s="11" t="str">
        <f ca="1">IFERROR(__xludf.DUMMYFUNCTION("IFERROR(SUBSTITUTE(SUBSTITUTE(REGEXEXTRACT(A2618, ""[^-]+- [^-]+- [^-]+ - (.+?)\.jpg""), "".jpg"", """"), ""-"", "", ""), """")"),"")</f>
        <v/>
      </c>
      <c r="L2618" s="12"/>
      <c r="M2618" s="13"/>
      <c r="N2618" s="2"/>
      <c r="O2618" s="20"/>
      <c r="P2618" s="42"/>
      <c r="R2618" s="23"/>
    </row>
    <row r="2619" spans="1:18" ht="12.75">
      <c r="A2619" s="12"/>
      <c r="D2619" s="12"/>
      <c r="E2619" s="12"/>
      <c r="H2619" s="11" t="str">
        <f ca="1">IFERROR(__xludf.DUMMYFUNCTION("IFERROR(SUBSTITUTE(SUBSTITUTE(REGEXEXTRACT(A2619, ""[^-]+- [^-]+- [^-]+ - (.+?)\.jpg""), "".jpg"", """"), ""-"", "", ""), """")"),"")</f>
        <v/>
      </c>
      <c r="L2619" s="12"/>
      <c r="M2619" s="13"/>
      <c r="N2619" s="2"/>
      <c r="O2619" s="20"/>
      <c r="P2619" s="42"/>
      <c r="R2619" s="23"/>
    </row>
    <row r="2620" spans="1:18" ht="12.75">
      <c r="A2620" s="12"/>
      <c r="D2620" s="12"/>
      <c r="E2620" s="12"/>
      <c r="H2620" s="11" t="str">
        <f ca="1">IFERROR(__xludf.DUMMYFUNCTION("IFERROR(SUBSTITUTE(SUBSTITUTE(REGEXEXTRACT(A2620, ""[^-]+- [^-]+- [^-]+ - (.+?)\.jpg""), "".jpg"", """"), ""-"", "", ""), """")"),"")</f>
        <v/>
      </c>
      <c r="L2620" s="12"/>
      <c r="M2620" s="13"/>
      <c r="N2620" s="2"/>
      <c r="O2620" s="20"/>
      <c r="P2620" s="42"/>
      <c r="R2620" s="23"/>
    </row>
    <row r="2621" spans="1:18" ht="12.75">
      <c r="A2621" s="12"/>
      <c r="D2621" s="12"/>
      <c r="E2621" s="12"/>
      <c r="H2621" s="11" t="str">
        <f ca="1">IFERROR(__xludf.DUMMYFUNCTION("IFERROR(SUBSTITUTE(SUBSTITUTE(REGEXEXTRACT(A2621, ""[^-]+- [^-]+- [^-]+ - (.+?)\.jpg""), "".jpg"", """"), ""-"", "", ""), """")"),"")</f>
        <v/>
      </c>
      <c r="L2621" s="12"/>
      <c r="M2621" s="13"/>
      <c r="N2621" s="2"/>
      <c r="O2621" s="20"/>
      <c r="P2621" s="42"/>
      <c r="R2621" s="23"/>
    </row>
    <row r="2622" spans="1:18" ht="12.75">
      <c r="A2622" s="12"/>
      <c r="D2622" s="12"/>
      <c r="E2622" s="12"/>
      <c r="H2622" s="11" t="str">
        <f ca="1">IFERROR(__xludf.DUMMYFUNCTION("IFERROR(SUBSTITUTE(SUBSTITUTE(REGEXEXTRACT(A2622, ""[^-]+- [^-]+- [^-]+ - (.+?)\.jpg""), "".jpg"", """"), ""-"", "", ""), """")"),"")</f>
        <v/>
      </c>
      <c r="L2622" s="12"/>
      <c r="M2622" s="13"/>
      <c r="N2622" s="2"/>
      <c r="O2622" s="20"/>
      <c r="P2622" s="42"/>
      <c r="R2622" s="23"/>
    </row>
    <row r="2623" spans="1:18" ht="12.75">
      <c r="A2623" s="12"/>
      <c r="D2623" s="12"/>
      <c r="E2623" s="12"/>
      <c r="H2623" s="11" t="str">
        <f ca="1">IFERROR(__xludf.DUMMYFUNCTION("IFERROR(SUBSTITUTE(SUBSTITUTE(REGEXEXTRACT(A2623, ""[^-]+- [^-]+- [^-]+ - (.+?)\.jpg""), "".jpg"", """"), ""-"", "", ""), """")"),"")</f>
        <v/>
      </c>
      <c r="L2623" s="12"/>
      <c r="M2623" s="13"/>
      <c r="N2623" s="2"/>
      <c r="O2623" s="20"/>
      <c r="P2623" s="42"/>
      <c r="R2623" s="23"/>
    </row>
    <row r="2624" spans="1:18" ht="12.75">
      <c r="A2624" s="12"/>
      <c r="D2624" s="12"/>
      <c r="E2624" s="12"/>
      <c r="H2624" s="11" t="str">
        <f ca="1">IFERROR(__xludf.DUMMYFUNCTION("IFERROR(SUBSTITUTE(SUBSTITUTE(REGEXEXTRACT(A2624, ""[^-]+- [^-]+- [^-]+ - (.+?)\.jpg""), "".jpg"", """"), ""-"", "", ""), """")"),"")</f>
        <v/>
      </c>
      <c r="L2624" s="12"/>
      <c r="M2624" s="13"/>
      <c r="N2624" s="2"/>
      <c r="O2624" s="20"/>
      <c r="P2624" s="42"/>
      <c r="R2624" s="23"/>
    </row>
    <row r="2625" spans="1:18" ht="12.75">
      <c r="A2625" s="12"/>
      <c r="D2625" s="12"/>
      <c r="E2625" s="12"/>
      <c r="H2625" s="11" t="str">
        <f ca="1">IFERROR(__xludf.DUMMYFUNCTION("IFERROR(SUBSTITUTE(SUBSTITUTE(REGEXEXTRACT(A2625, ""[^-]+- [^-]+- [^-]+ - (.+?)\.jpg""), "".jpg"", """"), ""-"", "", ""), """")"),"")</f>
        <v/>
      </c>
      <c r="L2625" s="12"/>
      <c r="M2625" s="13"/>
      <c r="N2625" s="2"/>
      <c r="O2625" s="20"/>
      <c r="P2625" s="42"/>
      <c r="R2625" s="23"/>
    </row>
    <row r="2626" spans="1:18" ht="12.75">
      <c r="A2626" s="12"/>
      <c r="D2626" s="12"/>
      <c r="E2626" s="12"/>
      <c r="H2626" s="11" t="str">
        <f ca="1">IFERROR(__xludf.DUMMYFUNCTION("IFERROR(SUBSTITUTE(SUBSTITUTE(REGEXEXTRACT(A2626, ""[^-]+- [^-]+- [^-]+ - (.+?)\.jpg""), "".jpg"", """"), ""-"", "", ""), """")"),"")</f>
        <v/>
      </c>
      <c r="L2626" s="12"/>
      <c r="M2626" s="13"/>
      <c r="N2626" s="2"/>
      <c r="O2626" s="20"/>
      <c r="P2626" s="42"/>
      <c r="R2626" s="23"/>
    </row>
    <row r="2627" spans="1:18" ht="12.75">
      <c r="A2627" s="12"/>
      <c r="D2627" s="12"/>
      <c r="E2627" s="12"/>
      <c r="H2627" s="11" t="str">
        <f ca="1">IFERROR(__xludf.DUMMYFUNCTION("IFERROR(SUBSTITUTE(SUBSTITUTE(REGEXEXTRACT(A2627, ""[^-]+- [^-]+- [^-]+ - (.+?)\.jpg""), "".jpg"", """"), ""-"", "", ""), """")"),"")</f>
        <v/>
      </c>
      <c r="L2627" s="12"/>
      <c r="M2627" s="13"/>
      <c r="N2627" s="2"/>
      <c r="O2627" s="20"/>
      <c r="P2627" s="42"/>
      <c r="R2627" s="23"/>
    </row>
    <row r="2628" spans="1:18" ht="12.75">
      <c r="A2628" s="12"/>
      <c r="D2628" s="12"/>
      <c r="E2628" s="12"/>
      <c r="H2628" s="11" t="str">
        <f ca="1">IFERROR(__xludf.DUMMYFUNCTION("IFERROR(SUBSTITUTE(SUBSTITUTE(REGEXEXTRACT(A2628, ""[^-]+- [^-]+- [^-]+ - (.+?)\.jpg""), "".jpg"", """"), ""-"", "", ""), """")"),"")</f>
        <v/>
      </c>
      <c r="L2628" s="12"/>
      <c r="M2628" s="13"/>
      <c r="N2628" s="2"/>
      <c r="O2628" s="20"/>
      <c r="P2628" s="42"/>
      <c r="R2628" s="23"/>
    </row>
    <row r="2629" spans="1:18" ht="12.75">
      <c r="A2629" s="12"/>
      <c r="D2629" s="12"/>
      <c r="E2629" s="12"/>
      <c r="H2629" s="11" t="str">
        <f ca="1">IFERROR(__xludf.DUMMYFUNCTION("IFERROR(SUBSTITUTE(SUBSTITUTE(REGEXEXTRACT(A2629, ""[^-]+- [^-]+- [^-]+ - (.+?)\.jpg""), "".jpg"", """"), ""-"", "", ""), """")"),"")</f>
        <v/>
      </c>
      <c r="L2629" s="12"/>
      <c r="M2629" s="13"/>
      <c r="N2629" s="2"/>
      <c r="O2629" s="20"/>
      <c r="P2629" s="42"/>
      <c r="R2629" s="23"/>
    </row>
    <row r="2630" spans="1:18" ht="12.75">
      <c r="A2630" s="12"/>
      <c r="D2630" s="12"/>
      <c r="E2630" s="12"/>
      <c r="H2630" s="11" t="str">
        <f ca="1">IFERROR(__xludf.DUMMYFUNCTION("IFERROR(SUBSTITUTE(SUBSTITUTE(REGEXEXTRACT(A2630, ""[^-]+- [^-]+- [^-]+ - (.+?)\.jpg""), "".jpg"", """"), ""-"", "", ""), """")"),"")</f>
        <v/>
      </c>
      <c r="L2630" s="12"/>
      <c r="M2630" s="13"/>
      <c r="N2630" s="2"/>
      <c r="O2630" s="20"/>
      <c r="P2630" s="42"/>
      <c r="R2630" s="23"/>
    </row>
    <row r="2631" spans="1:18" ht="12.75">
      <c r="A2631" s="12"/>
      <c r="D2631" s="12"/>
      <c r="E2631" s="12"/>
      <c r="H2631" s="11" t="str">
        <f ca="1">IFERROR(__xludf.DUMMYFUNCTION("IFERROR(SUBSTITUTE(SUBSTITUTE(REGEXEXTRACT(A2631, ""[^-]+- [^-]+- [^-]+ - (.+?)\.jpg""), "".jpg"", """"), ""-"", "", ""), """")"),"")</f>
        <v/>
      </c>
      <c r="L2631" s="12"/>
      <c r="M2631" s="13"/>
      <c r="N2631" s="2"/>
      <c r="O2631" s="20"/>
      <c r="P2631" s="42"/>
      <c r="R2631" s="23"/>
    </row>
    <row r="2632" spans="1:18" ht="12.75">
      <c r="A2632" s="12"/>
      <c r="D2632" s="12"/>
      <c r="E2632" s="12"/>
      <c r="H2632" s="11" t="str">
        <f ca="1">IFERROR(__xludf.DUMMYFUNCTION("IFERROR(SUBSTITUTE(SUBSTITUTE(REGEXEXTRACT(A2632, ""[^-]+- [^-]+- [^-]+ - (.+?)\.jpg""), "".jpg"", """"), ""-"", "", ""), """")"),"")</f>
        <v/>
      </c>
      <c r="L2632" s="12"/>
      <c r="M2632" s="13"/>
      <c r="N2632" s="2"/>
      <c r="O2632" s="20"/>
      <c r="P2632" s="42"/>
      <c r="R2632" s="23"/>
    </row>
    <row r="2633" spans="1:18" ht="12.75">
      <c r="A2633" s="12"/>
      <c r="D2633" s="12"/>
      <c r="E2633" s="12"/>
      <c r="H2633" s="11" t="str">
        <f ca="1">IFERROR(__xludf.DUMMYFUNCTION("IFERROR(SUBSTITUTE(SUBSTITUTE(REGEXEXTRACT(A2633, ""[^-]+- [^-]+- [^-]+ - (.+?)\.jpg""), "".jpg"", """"), ""-"", "", ""), """")"),"")</f>
        <v/>
      </c>
      <c r="L2633" s="12"/>
      <c r="M2633" s="13"/>
      <c r="N2633" s="2"/>
      <c r="O2633" s="20"/>
      <c r="P2633" s="42"/>
      <c r="R2633" s="23"/>
    </row>
    <row r="2634" spans="1:18" ht="12.75">
      <c r="A2634" s="12"/>
      <c r="D2634" s="12"/>
      <c r="E2634" s="12"/>
      <c r="H2634" s="11" t="str">
        <f ca="1">IFERROR(__xludf.DUMMYFUNCTION("IFERROR(SUBSTITUTE(SUBSTITUTE(REGEXEXTRACT(A2634, ""[^-]+- [^-]+- [^-]+ - (.+?)\.jpg""), "".jpg"", """"), ""-"", "", ""), """")"),"")</f>
        <v/>
      </c>
      <c r="L2634" s="12"/>
      <c r="M2634" s="13"/>
      <c r="N2634" s="2"/>
      <c r="O2634" s="20"/>
      <c r="P2634" s="42"/>
      <c r="R2634" s="23"/>
    </row>
    <row r="2635" spans="1:18" ht="12.75">
      <c r="A2635" s="12"/>
      <c r="D2635" s="12"/>
      <c r="E2635" s="12"/>
      <c r="H2635" s="11" t="str">
        <f ca="1">IFERROR(__xludf.DUMMYFUNCTION("IFERROR(SUBSTITUTE(SUBSTITUTE(REGEXEXTRACT(A2635, ""[^-]+- [^-]+- [^-]+ - (.+?)\.jpg""), "".jpg"", """"), ""-"", "", ""), """")"),"")</f>
        <v/>
      </c>
      <c r="L2635" s="12"/>
      <c r="M2635" s="13"/>
      <c r="N2635" s="2"/>
      <c r="O2635" s="20"/>
      <c r="P2635" s="42"/>
      <c r="R2635" s="23"/>
    </row>
    <row r="2636" spans="1:18" ht="12.75">
      <c r="A2636" s="12"/>
      <c r="D2636" s="12"/>
      <c r="E2636" s="12"/>
      <c r="H2636" s="11" t="str">
        <f ca="1">IFERROR(__xludf.DUMMYFUNCTION("IFERROR(SUBSTITUTE(SUBSTITUTE(REGEXEXTRACT(A2636, ""[^-]+- [^-]+- [^-]+ - (.+?)\.jpg""), "".jpg"", """"), ""-"", "", ""), """")"),"")</f>
        <v/>
      </c>
      <c r="L2636" s="12"/>
      <c r="M2636" s="13"/>
      <c r="N2636" s="2"/>
      <c r="O2636" s="20"/>
      <c r="P2636" s="42"/>
      <c r="R2636" s="23"/>
    </row>
    <row r="2637" spans="1:18" ht="12.75">
      <c r="A2637" s="12"/>
      <c r="D2637" s="12"/>
      <c r="E2637" s="12"/>
      <c r="H2637" s="11" t="str">
        <f ca="1">IFERROR(__xludf.DUMMYFUNCTION("IFERROR(SUBSTITUTE(SUBSTITUTE(REGEXEXTRACT(A2637, ""[^-]+- [^-]+- [^-]+ - (.+?)\.jpg""), "".jpg"", """"), ""-"", "", ""), """")"),"")</f>
        <v/>
      </c>
      <c r="L2637" s="12"/>
      <c r="M2637" s="13"/>
      <c r="N2637" s="2"/>
      <c r="O2637" s="20"/>
      <c r="P2637" s="42"/>
      <c r="R2637" s="23"/>
    </row>
    <row r="2638" spans="1:18" ht="12.75">
      <c r="A2638" s="12"/>
      <c r="D2638" s="12"/>
      <c r="E2638" s="12"/>
      <c r="H2638" s="11" t="str">
        <f ca="1">IFERROR(__xludf.DUMMYFUNCTION("IFERROR(SUBSTITUTE(SUBSTITUTE(REGEXEXTRACT(A2638, ""[^-]+- [^-]+- [^-]+ - (.+?)\.jpg""), "".jpg"", """"), ""-"", "", ""), """")"),"")</f>
        <v/>
      </c>
      <c r="L2638" s="12"/>
      <c r="M2638" s="13"/>
      <c r="N2638" s="2"/>
      <c r="O2638" s="20"/>
      <c r="P2638" s="42"/>
      <c r="R2638" s="23"/>
    </row>
    <row r="2639" spans="1:18" ht="12.75">
      <c r="A2639" s="12"/>
      <c r="D2639" s="12"/>
      <c r="E2639" s="12"/>
      <c r="H2639" s="11" t="str">
        <f ca="1">IFERROR(__xludf.DUMMYFUNCTION("IFERROR(SUBSTITUTE(SUBSTITUTE(REGEXEXTRACT(A2639, ""[^-]+- [^-]+- [^-]+ - (.+?)\.jpg""), "".jpg"", """"), ""-"", "", ""), """")"),"")</f>
        <v/>
      </c>
      <c r="L2639" s="12"/>
      <c r="M2639" s="13"/>
      <c r="N2639" s="2"/>
      <c r="O2639" s="20"/>
      <c r="P2639" s="42"/>
      <c r="R2639" s="23"/>
    </row>
    <row r="2640" spans="1:18" ht="12.75">
      <c r="A2640" s="12"/>
      <c r="D2640" s="12"/>
      <c r="E2640" s="12"/>
      <c r="H2640" s="11" t="str">
        <f ca="1">IFERROR(__xludf.DUMMYFUNCTION("IFERROR(SUBSTITUTE(SUBSTITUTE(REGEXEXTRACT(A2640, ""[^-]+- [^-]+- [^-]+ - (.+?)\.jpg""), "".jpg"", """"), ""-"", "", ""), """")"),"")</f>
        <v/>
      </c>
      <c r="L2640" s="12"/>
      <c r="M2640" s="13"/>
      <c r="N2640" s="2"/>
      <c r="O2640" s="20"/>
      <c r="P2640" s="42"/>
      <c r="R2640" s="23"/>
    </row>
    <row r="2641" spans="1:18" ht="12.75">
      <c r="A2641" s="12"/>
      <c r="D2641" s="12"/>
      <c r="E2641" s="12"/>
      <c r="H2641" s="11" t="str">
        <f ca="1">IFERROR(__xludf.DUMMYFUNCTION("IFERROR(SUBSTITUTE(SUBSTITUTE(REGEXEXTRACT(A2641, ""[^-]+- [^-]+- [^-]+ - (.+?)\.jpg""), "".jpg"", """"), ""-"", "", ""), """")"),"")</f>
        <v/>
      </c>
      <c r="L2641" s="12"/>
      <c r="M2641" s="13"/>
      <c r="N2641" s="2"/>
      <c r="O2641" s="20"/>
      <c r="P2641" s="42"/>
      <c r="R2641" s="23"/>
    </row>
    <row r="2642" spans="1:18" ht="12.75">
      <c r="A2642" s="12"/>
      <c r="D2642" s="12"/>
      <c r="E2642" s="12"/>
      <c r="H2642" s="11" t="str">
        <f ca="1">IFERROR(__xludf.DUMMYFUNCTION("IFERROR(SUBSTITUTE(SUBSTITUTE(REGEXEXTRACT(A2642, ""[^-]+- [^-]+- [^-]+ - (.+?)\.jpg""), "".jpg"", """"), ""-"", "", ""), """")"),"")</f>
        <v/>
      </c>
      <c r="L2642" s="12"/>
      <c r="M2642" s="13"/>
      <c r="N2642" s="2"/>
      <c r="O2642" s="20"/>
      <c r="P2642" s="42"/>
      <c r="R2642" s="23"/>
    </row>
    <row r="2643" spans="1:18" ht="12.75">
      <c r="A2643" s="12"/>
      <c r="D2643" s="12"/>
      <c r="E2643" s="12"/>
      <c r="H2643" s="11" t="str">
        <f ca="1">IFERROR(__xludf.DUMMYFUNCTION("IFERROR(SUBSTITUTE(SUBSTITUTE(REGEXEXTRACT(A2643, ""[^-]+- [^-]+- [^-]+ - (.+?)\.jpg""), "".jpg"", """"), ""-"", "", ""), """")"),"")</f>
        <v/>
      </c>
      <c r="L2643" s="12"/>
      <c r="M2643" s="13"/>
      <c r="N2643" s="2"/>
      <c r="O2643" s="20"/>
      <c r="P2643" s="42"/>
      <c r="R2643" s="23"/>
    </row>
    <row r="2644" spans="1:18" ht="12.75">
      <c r="A2644" s="12"/>
      <c r="D2644" s="12"/>
      <c r="E2644" s="12"/>
      <c r="H2644" s="11" t="str">
        <f ca="1">IFERROR(__xludf.DUMMYFUNCTION("IFERROR(SUBSTITUTE(SUBSTITUTE(REGEXEXTRACT(A2644, ""[^-]+- [^-]+- [^-]+ - (.+?)\.jpg""), "".jpg"", """"), ""-"", "", ""), """")"),"")</f>
        <v/>
      </c>
      <c r="L2644" s="12"/>
      <c r="M2644" s="13"/>
      <c r="N2644" s="2"/>
      <c r="O2644" s="20"/>
      <c r="P2644" s="42"/>
      <c r="R2644" s="23"/>
    </row>
    <row r="2645" spans="1:18" ht="12.75">
      <c r="A2645" s="12"/>
      <c r="D2645" s="12"/>
      <c r="E2645" s="12"/>
      <c r="H2645" s="11" t="str">
        <f ca="1">IFERROR(__xludf.DUMMYFUNCTION("IFERROR(SUBSTITUTE(SUBSTITUTE(REGEXEXTRACT(A2645, ""[^-]+- [^-]+- [^-]+ - (.+?)\.jpg""), "".jpg"", """"), ""-"", "", ""), """")"),"")</f>
        <v/>
      </c>
      <c r="L2645" s="12"/>
      <c r="M2645" s="13"/>
      <c r="N2645" s="2"/>
      <c r="O2645" s="20"/>
      <c r="P2645" s="42"/>
      <c r="R2645" s="23"/>
    </row>
    <row r="2646" spans="1:18" ht="12.75">
      <c r="A2646" s="12"/>
      <c r="D2646" s="12"/>
      <c r="E2646" s="12"/>
      <c r="H2646" s="11" t="str">
        <f ca="1">IFERROR(__xludf.DUMMYFUNCTION("IFERROR(SUBSTITUTE(SUBSTITUTE(REGEXEXTRACT(A2646, ""[^-]+- [^-]+- [^-]+ - (.+?)\.jpg""), "".jpg"", """"), ""-"", "", ""), """")"),"")</f>
        <v/>
      </c>
      <c r="L2646" s="12"/>
      <c r="M2646" s="13"/>
      <c r="N2646" s="2"/>
      <c r="O2646" s="20"/>
      <c r="P2646" s="42"/>
      <c r="R2646" s="23"/>
    </row>
    <row r="2647" spans="1:18" ht="12.75">
      <c r="A2647" s="12"/>
      <c r="D2647" s="12"/>
      <c r="E2647" s="12"/>
      <c r="H2647" s="11" t="str">
        <f ca="1">IFERROR(__xludf.DUMMYFUNCTION("IFERROR(SUBSTITUTE(SUBSTITUTE(REGEXEXTRACT(A2647, ""[^-]+- [^-]+- [^-]+ - (.+?)\.jpg""), "".jpg"", """"), ""-"", "", ""), """")"),"")</f>
        <v/>
      </c>
      <c r="L2647" s="12"/>
      <c r="M2647" s="13"/>
      <c r="N2647" s="2"/>
      <c r="O2647" s="20"/>
      <c r="P2647" s="42"/>
      <c r="R2647" s="23"/>
    </row>
    <row r="2648" spans="1:18" ht="12.75">
      <c r="A2648" s="12"/>
      <c r="D2648" s="12"/>
      <c r="E2648" s="12"/>
      <c r="H2648" s="11" t="str">
        <f ca="1">IFERROR(__xludf.DUMMYFUNCTION("IFERROR(SUBSTITUTE(SUBSTITUTE(REGEXEXTRACT(A2648, ""[^-]+- [^-]+- [^-]+ - (.+?)\.jpg""), "".jpg"", """"), ""-"", "", ""), """")"),"")</f>
        <v/>
      </c>
      <c r="L2648" s="12"/>
      <c r="M2648" s="13"/>
      <c r="N2648" s="2"/>
      <c r="O2648" s="20"/>
      <c r="P2648" s="42"/>
      <c r="R2648" s="23"/>
    </row>
    <row r="2649" spans="1:18" ht="12.75">
      <c r="A2649" s="12"/>
      <c r="D2649" s="12"/>
      <c r="E2649" s="12"/>
      <c r="H2649" s="11" t="str">
        <f ca="1">IFERROR(__xludf.DUMMYFUNCTION("IFERROR(SUBSTITUTE(SUBSTITUTE(REGEXEXTRACT(A2649, ""[^-]+- [^-]+- [^-]+ - (.+?)\.jpg""), "".jpg"", """"), ""-"", "", ""), """")"),"")</f>
        <v/>
      </c>
      <c r="L2649" s="12"/>
      <c r="M2649" s="13"/>
      <c r="N2649" s="2"/>
      <c r="O2649" s="20"/>
      <c r="P2649" s="42"/>
      <c r="R2649" s="23"/>
    </row>
    <row r="2650" spans="1:18" ht="12.75">
      <c r="A2650" s="12"/>
      <c r="D2650" s="12"/>
      <c r="E2650" s="12"/>
      <c r="H2650" s="11" t="str">
        <f ca="1">IFERROR(__xludf.DUMMYFUNCTION("IFERROR(SUBSTITUTE(SUBSTITUTE(REGEXEXTRACT(A2650, ""[^-]+- [^-]+- [^-]+ - (.+?)\.jpg""), "".jpg"", """"), ""-"", "", ""), """")"),"")</f>
        <v/>
      </c>
      <c r="L2650" s="12"/>
      <c r="M2650" s="13"/>
      <c r="N2650" s="2"/>
      <c r="O2650" s="20"/>
      <c r="P2650" s="42"/>
      <c r="R2650" s="23"/>
    </row>
    <row r="2651" spans="1:18" ht="12.75">
      <c r="A2651" s="12"/>
      <c r="D2651" s="12"/>
      <c r="E2651" s="12"/>
      <c r="H2651" s="11" t="str">
        <f ca="1">IFERROR(__xludf.DUMMYFUNCTION("IFERROR(SUBSTITUTE(SUBSTITUTE(REGEXEXTRACT(A2651, ""[^-]+- [^-]+- [^-]+ - (.+?)\.jpg""), "".jpg"", """"), ""-"", "", ""), """")"),"")</f>
        <v/>
      </c>
      <c r="L2651" s="12"/>
      <c r="M2651" s="13"/>
      <c r="N2651" s="2"/>
      <c r="O2651" s="20"/>
      <c r="P2651" s="42"/>
      <c r="R2651" s="23"/>
    </row>
    <row r="2652" spans="1:18" ht="12.75">
      <c r="A2652" s="12"/>
      <c r="D2652" s="12"/>
      <c r="E2652" s="12"/>
      <c r="H2652" s="11" t="str">
        <f ca="1">IFERROR(__xludf.DUMMYFUNCTION("IFERROR(SUBSTITUTE(SUBSTITUTE(REGEXEXTRACT(A2652, ""[^-]+- [^-]+- [^-]+ - (.+?)\.jpg""), "".jpg"", """"), ""-"", "", ""), """")"),"")</f>
        <v/>
      </c>
      <c r="L2652" s="12"/>
      <c r="M2652" s="13"/>
      <c r="N2652" s="2"/>
      <c r="O2652" s="20"/>
      <c r="P2652" s="42"/>
      <c r="R2652" s="23"/>
    </row>
    <row r="2653" spans="1:18" ht="12.75">
      <c r="A2653" s="12"/>
      <c r="D2653" s="12"/>
      <c r="E2653" s="12"/>
      <c r="H2653" s="11" t="str">
        <f ca="1">IFERROR(__xludf.DUMMYFUNCTION("IFERROR(SUBSTITUTE(SUBSTITUTE(REGEXEXTRACT(A2653, ""[^-]+- [^-]+- [^-]+ - (.+?)\.jpg""), "".jpg"", """"), ""-"", "", ""), """")"),"")</f>
        <v/>
      </c>
      <c r="L2653" s="12"/>
      <c r="M2653" s="13"/>
      <c r="N2653" s="2"/>
      <c r="O2653" s="20"/>
      <c r="P2653" s="42"/>
      <c r="R2653" s="23"/>
    </row>
    <row r="2654" spans="1:18" ht="12.75">
      <c r="A2654" s="12"/>
      <c r="D2654" s="12"/>
      <c r="E2654" s="12"/>
      <c r="H2654" s="11" t="str">
        <f ca="1">IFERROR(__xludf.DUMMYFUNCTION("IFERROR(SUBSTITUTE(SUBSTITUTE(REGEXEXTRACT(A2654, ""[^-]+- [^-]+- [^-]+ - (.+?)\.jpg""), "".jpg"", """"), ""-"", "", ""), """")"),"")</f>
        <v/>
      </c>
      <c r="L2654" s="12"/>
      <c r="M2654" s="13"/>
      <c r="N2654" s="2"/>
      <c r="O2654" s="20"/>
      <c r="P2654" s="42"/>
      <c r="R2654" s="23"/>
    </row>
    <row r="2655" spans="1:18" ht="12.75">
      <c r="A2655" s="12"/>
      <c r="D2655" s="12"/>
      <c r="E2655" s="12"/>
      <c r="H2655" s="11" t="str">
        <f ca="1">IFERROR(__xludf.DUMMYFUNCTION("IFERROR(SUBSTITUTE(SUBSTITUTE(REGEXEXTRACT(A2655, ""[^-]+- [^-]+- [^-]+ - (.+?)\.jpg""), "".jpg"", """"), ""-"", "", ""), """")"),"")</f>
        <v/>
      </c>
      <c r="L2655" s="12"/>
      <c r="M2655" s="13"/>
      <c r="N2655" s="2"/>
      <c r="O2655" s="20"/>
      <c r="P2655" s="42"/>
      <c r="R2655" s="23"/>
    </row>
    <row r="2656" spans="1:18" ht="12.75">
      <c r="A2656" s="12"/>
      <c r="D2656" s="12"/>
      <c r="E2656" s="12"/>
      <c r="H2656" s="11" t="str">
        <f ca="1">IFERROR(__xludf.DUMMYFUNCTION("IFERROR(SUBSTITUTE(SUBSTITUTE(REGEXEXTRACT(A2656, ""[^-]+- [^-]+- [^-]+ - (.+?)\.jpg""), "".jpg"", """"), ""-"", "", ""), """")"),"")</f>
        <v/>
      </c>
      <c r="L2656" s="12"/>
      <c r="M2656" s="13"/>
      <c r="N2656" s="2"/>
      <c r="O2656" s="20"/>
      <c r="P2656" s="42"/>
      <c r="R2656" s="23"/>
    </row>
    <row r="2657" spans="1:18" ht="12.75">
      <c r="A2657" s="12"/>
      <c r="D2657" s="12"/>
      <c r="E2657" s="12"/>
      <c r="H2657" s="11" t="str">
        <f ca="1">IFERROR(__xludf.DUMMYFUNCTION("IFERROR(SUBSTITUTE(SUBSTITUTE(REGEXEXTRACT(A2657, ""[^-]+- [^-]+- [^-]+ - (.+?)\.jpg""), "".jpg"", """"), ""-"", "", ""), """")"),"")</f>
        <v/>
      </c>
      <c r="L2657" s="12"/>
      <c r="M2657" s="13"/>
      <c r="N2657" s="2"/>
      <c r="O2657" s="20"/>
      <c r="P2657" s="42"/>
      <c r="R2657" s="23"/>
    </row>
    <row r="2658" spans="1:18" ht="12.75">
      <c r="A2658" s="12"/>
      <c r="D2658" s="12"/>
      <c r="E2658" s="12"/>
      <c r="H2658" s="11" t="str">
        <f ca="1">IFERROR(__xludf.DUMMYFUNCTION("IFERROR(SUBSTITUTE(SUBSTITUTE(REGEXEXTRACT(A2658, ""[^-]+- [^-]+- [^-]+ - (.+?)\.jpg""), "".jpg"", """"), ""-"", "", ""), """")"),"")</f>
        <v/>
      </c>
      <c r="L2658" s="12"/>
      <c r="M2658" s="13"/>
      <c r="N2658" s="2"/>
      <c r="O2658" s="20"/>
      <c r="P2658" s="42"/>
      <c r="R2658" s="23"/>
    </row>
    <row r="2659" spans="1:18" ht="12.75">
      <c r="A2659" s="12"/>
      <c r="D2659" s="12"/>
      <c r="E2659" s="12"/>
      <c r="H2659" s="11" t="str">
        <f ca="1">IFERROR(__xludf.DUMMYFUNCTION("IFERROR(SUBSTITUTE(SUBSTITUTE(REGEXEXTRACT(A2659, ""[^-]+- [^-]+- [^-]+ - (.+?)\.jpg""), "".jpg"", """"), ""-"", "", ""), """")"),"")</f>
        <v/>
      </c>
      <c r="L2659" s="12"/>
      <c r="M2659" s="13"/>
      <c r="N2659" s="2"/>
      <c r="O2659" s="20"/>
      <c r="P2659" s="42"/>
      <c r="R2659" s="23"/>
    </row>
    <row r="2660" spans="1:18" ht="12.75">
      <c r="A2660" s="12"/>
      <c r="D2660" s="12"/>
      <c r="E2660" s="12"/>
      <c r="H2660" s="11" t="str">
        <f ca="1">IFERROR(__xludf.DUMMYFUNCTION("IFERROR(SUBSTITUTE(SUBSTITUTE(REGEXEXTRACT(A2660, ""[^-]+- [^-]+- [^-]+ - (.+?)\.jpg""), "".jpg"", """"), ""-"", "", ""), """")"),"")</f>
        <v/>
      </c>
      <c r="L2660" s="12"/>
      <c r="M2660" s="13"/>
      <c r="N2660" s="2"/>
      <c r="O2660" s="20"/>
      <c r="P2660" s="42"/>
      <c r="R2660" s="23"/>
    </row>
    <row r="2661" spans="1:18" ht="12.75">
      <c r="A2661" s="12"/>
      <c r="D2661" s="12"/>
      <c r="E2661" s="12"/>
      <c r="H2661" s="11" t="str">
        <f ca="1">IFERROR(__xludf.DUMMYFUNCTION("IFERROR(SUBSTITUTE(SUBSTITUTE(REGEXEXTRACT(A2661, ""[^-]+- [^-]+- [^-]+ - (.+?)\.jpg""), "".jpg"", """"), ""-"", "", ""), """")"),"")</f>
        <v/>
      </c>
      <c r="L2661" s="12"/>
      <c r="M2661" s="13"/>
      <c r="N2661" s="2"/>
      <c r="O2661" s="20"/>
      <c r="P2661" s="42"/>
      <c r="R2661" s="23"/>
    </row>
    <row r="2662" spans="1:18" ht="12.75">
      <c r="A2662" s="12"/>
      <c r="D2662" s="12"/>
      <c r="E2662" s="12"/>
      <c r="H2662" s="11" t="str">
        <f ca="1">IFERROR(__xludf.DUMMYFUNCTION("IFERROR(SUBSTITUTE(SUBSTITUTE(REGEXEXTRACT(A2662, ""[^-]+- [^-]+- [^-]+ - (.+?)\.jpg""), "".jpg"", """"), ""-"", "", ""), """")"),"")</f>
        <v/>
      </c>
      <c r="L2662" s="12"/>
      <c r="M2662" s="13"/>
      <c r="N2662" s="2"/>
      <c r="O2662" s="20"/>
      <c r="P2662" s="42"/>
      <c r="R2662" s="23"/>
    </row>
    <row r="2663" spans="1:18" ht="12.75">
      <c r="A2663" s="12"/>
      <c r="D2663" s="12"/>
      <c r="E2663" s="12"/>
      <c r="H2663" s="11" t="str">
        <f ca="1">IFERROR(__xludf.DUMMYFUNCTION("IFERROR(SUBSTITUTE(SUBSTITUTE(REGEXEXTRACT(A2663, ""[^-]+- [^-]+- [^-]+ - (.+?)\.jpg""), "".jpg"", """"), ""-"", "", ""), """")"),"")</f>
        <v/>
      </c>
      <c r="L2663" s="12"/>
      <c r="M2663" s="13"/>
      <c r="N2663" s="2"/>
      <c r="O2663" s="20"/>
      <c r="P2663" s="42"/>
      <c r="R2663" s="23"/>
    </row>
    <row r="2664" spans="1:18" ht="12.75">
      <c r="A2664" s="12"/>
      <c r="D2664" s="12"/>
      <c r="E2664" s="12"/>
      <c r="H2664" s="11" t="str">
        <f ca="1">IFERROR(__xludf.DUMMYFUNCTION("IFERROR(SUBSTITUTE(SUBSTITUTE(REGEXEXTRACT(A2664, ""[^-]+- [^-]+- [^-]+ - (.+?)\.jpg""), "".jpg"", """"), ""-"", "", ""), """")"),"")</f>
        <v/>
      </c>
      <c r="L2664" s="12"/>
      <c r="M2664" s="13"/>
      <c r="N2664" s="2"/>
      <c r="O2664" s="20"/>
      <c r="P2664" s="42"/>
      <c r="R2664" s="23"/>
    </row>
    <row r="2665" spans="1:18" ht="12.75">
      <c r="A2665" s="12"/>
      <c r="D2665" s="12"/>
      <c r="E2665" s="12"/>
      <c r="H2665" s="11" t="str">
        <f ca="1">IFERROR(__xludf.DUMMYFUNCTION("IFERROR(SUBSTITUTE(SUBSTITUTE(REGEXEXTRACT(A2665, ""[^-]+- [^-]+- [^-]+ - (.+?)\.jpg""), "".jpg"", """"), ""-"", "", ""), """")"),"")</f>
        <v/>
      </c>
      <c r="L2665" s="12"/>
      <c r="M2665" s="13"/>
      <c r="N2665" s="2"/>
      <c r="O2665" s="20"/>
      <c r="P2665" s="42"/>
      <c r="R2665" s="23"/>
    </row>
    <row r="2666" spans="1:18" ht="12.75">
      <c r="A2666" s="12"/>
      <c r="D2666" s="12"/>
      <c r="E2666" s="12"/>
      <c r="H2666" s="11" t="str">
        <f ca="1">IFERROR(__xludf.DUMMYFUNCTION("IFERROR(SUBSTITUTE(SUBSTITUTE(REGEXEXTRACT(A2666, ""[^-]+- [^-]+- [^-]+ - (.+?)\.jpg""), "".jpg"", """"), ""-"", "", ""), """")"),"")</f>
        <v/>
      </c>
      <c r="L2666" s="12"/>
      <c r="M2666" s="13"/>
      <c r="N2666" s="2"/>
      <c r="O2666" s="20"/>
      <c r="P2666" s="42"/>
      <c r="R2666" s="23"/>
    </row>
    <row r="2667" spans="1:18" ht="12.75">
      <c r="A2667" s="12"/>
      <c r="D2667" s="12"/>
      <c r="E2667" s="12"/>
      <c r="H2667" s="11" t="str">
        <f ca="1">IFERROR(__xludf.DUMMYFUNCTION("IFERROR(SUBSTITUTE(SUBSTITUTE(REGEXEXTRACT(A2667, ""[^-]+- [^-]+- [^-]+ - (.+?)\.jpg""), "".jpg"", """"), ""-"", "", ""), """")"),"")</f>
        <v/>
      </c>
      <c r="L2667" s="12"/>
      <c r="M2667" s="13"/>
      <c r="N2667" s="2"/>
      <c r="O2667" s="20"/>
      <c r="P2667" s="42"/>
      <c r="R2667" s="23"/>
    </row>
    <row r="2668" spans="1:18" ht="12.75">
      <c r="A2668" s="12"/>
      <c r="D2668" s="12"/>
      <c r="E2668" s="12"/>
      <c r="H2668" s="11" t="str">
        <f ca="1">IFERROR(__xludf.DUMMYFUNCTION("IFERROR(SUBSTITUTE(SUBSTITUTE(REGEXEXTRACT(A2668, ""[^-]+- [^-]+- [^-]+ - (.+?)\.jpg""), "".jpg"", """"), ""-"", "", ""), """")"),"")</f>
        <v/>
      </c>
      <c r="L2668" s="12"/>
      <c r="M2668" s="13"/>
      <c r="N2668" s="2"/>
      <c r="O2668" s="20"/>
      <c r="P2668" s="42"/>
      <c r="R2668" s="23"/>
    </row>
    <row r="2669" spans="1:18" ht="12.75">
      <c r="A2669" s="12"/>
      <c r="D2669" s="12"/>
      <c r="E2669" s="12"/>
      <c r="H2669" s="11" t="str">
        <f ca="1">IFERROR(__xludf.DUMMYFUNCTION("IFERROR(SUBSTITUTE(SUBSTITUTE(REGEXEXTRACT(A2669, ""[^-]+- [^-]+- [^-]+ - (.+?)\.jpg""), "".jpg"", """"), ""-"", "", ""), """")"),"")</f>
        <v/>
      </c>
      <c r="L2669" s="12"/>
      <c r="M2669" s="13"/>
      <c r="N2669" s="2"/>
      <c r="O2669" s="20"/>
      <c r="P2669" s="42"/>
      <c r="R2669" s="23"/>
    </row>
    <row r="2670" spans="1:18" ht="12.75">
      <c r="A2670" s="12"/>
      <c r="D2670" s="12"/>
      <c r="E2670" s="12"/>
      <c r="H2670" s="11" t="str">
        <f ca="1">IFERROR(__xludf.DUMMYFUNCTION("IFERROR(SUBSTITUTE(SUBSTITUTE(REGEXEXTRACT(A2670, ""[^-]+- [^-]+- [^-]+ - (.+?)\.jpg""), "".jpg"", """"), ""-"", "", ""), """")"),"")</f>
        <v/>
      </c>
      <c r="L2670" s="12"/>
      <c r="M2670" s="13"/>
      <c r="N2670" s="2"/>
      <c r="O2670" s="20"/>
      <c r="P2670" s="42"/>
      <c r="R2670" s="23"/>
    </row>
    <row r="2671" spans="1:18" ht="12.75">
      <c r="A2671" s="12"/>
      <c r="D2671" s="12"/>
      <c r="E2671" s="12"/>
      <c r="H2671" s="11" t="str">
        <f ca="1">IFERROR(__xludf.DUMMYFUNCTION("IFERROR(SUBSTITUTE(SUBSTITUTE(REGEXEXTRACT(A2671, ""[^-]+- [^-]+- [^-]+ - (.+?)\.jpg""), "".jpg"", """"), ""-"", "", ""), """")"),"")</f>
        <v/>
      </c>
      <c r="L2671" s="12"/>
      <c r="M2671" s="13"/>
      <c r="N2671" s="2"/>
      <c r="O2671" s="20"/>
      <c r="P2671" s="42"/>
      <c r="R2671" s="23"/>
    </row>
    <row r="2672" spans="1:18" ht="12.75">
      <c r="A2672" s="12"/>
      <c r="D2672" s="12"/>
      <c r="E2672" s="12"/>
      <c r="H2672" s="11" t="str">
        <f ca="1">IFERROR(__xludf.DUMMYFUNCTION("IFERROR(SUBSTITUTE(SUBSTITUTE(REGEXEXTRACT(A2672, ""[^-]+- [^-]+- [^-]+ - (.+?)\.jpg""), "".jpg"", """"), ""-"", "", ""), """")"),"")</f>
        <v/>
      </c>
      <c r="L2672" s="12"/>
      <c r="M2672" s="13"/>
      <c r="N2672" s="2"/>
      <c r="O2672" s="20"/>
      <c r="P2672" s="42"/>
      <c r="R2672" s="23"/>
    </row>
    <row r="2673" spans="1:18" ht="12.75">
      <c r="A2673" s="12"/>
      <c r="D2673" s="12"/>
      <c r="E2673" s="12"/>
      <c r="H2673" s="11" t="str">
        <f ca="1">IFERROR(__xludf.DUMMYFUNCTION("IFERROR(SUBSTITUTE(SUBSTITUTE(REGEXEXTRACT(A2673, ""[^-]+- [^-]+- [^-]+ - (.+?)\.jpg""), "".jpg"", """"), ""-"", "", ""), """")"),"")</f>
        <v/>
      </c>
      <c r="L2673" s="12"/>
      <c r="M2673" s="13"/>
      <c r="N2673" s="2"/>
      <c r="O2673" s="20"/>
      <c r="P2673" s="42"/>
      <c r="R2673" s="23"/>
    </row>
    <row r="2674" spans="1:18" ht="12.75">
      <c r="A2674" s="12"/>
      <c r="D2674" s="12"/>
      <c r="E2674" s="12"/>
      <c r="H2674" s="11" t="str">
        <f ca="1">IFERROR(__xludf.DUMMYFUNCTION("IFERROR(SUBSTITUTE(SUBSTITUTE(REGEXEXTRACT(A2674, ""[^-]+- [^-]+- [^-]+ - (.+?)\.jpg""), "".jpg"", """"), ""-"", "", ""), """")"),"")</f>
        <v/>
      </c>
      <c r="L2674" s="12"/>
      <c r="M2674" s="13"/>
      <c r="N2674" s="2"/>
      <c r="O2674" s="20"/>
      <c r="P2674" s="42"/>
      <c r="R2674" s="23"/>
    </row>
    <row r="2675" spans="1:18" ht="12.75">
      <c r="A2675" s="12"/>
      <c r="D2675" s="12"/>
      <c r="E2675" s="12"/>
      <c r="H2675" s="11" t="str">
        <f ca="1">IFERROR(__xludf.DUMMYFUNCTION("IFERROR(SUBSTITUTE(SUBSTITUTE(REGEXEXTRACT(A2675, ""[^-]+- [^-]+- [^-]+ - (.+?)\.jpg""), "".jpg"", """"), ""-"", "", ""), """")"),"")</f>
        <v/>
      </c>
      <c r="L2675" s="12"/>
      <c r="M2675" s="13"/>
      <c r="N2675" s="2"/>
      <c r="O2675" s="20"/>
      <c r="P2675" s="42"/>
      <c r="R2675" s="23"/>
    </row>
    <row r="2676" spans="1:18" ht="12.75">
      <c r="A2676" s="12"/>
      <c r="D2676" s="12"/>
      <c r="E2676" s="12"/>
      <c r="H2676" s="11" t="str">
        <f ca="1">IFERROR(__xludf.DUMMYFUNCTION("IFERROR(SUBSTITUTE(SUBSTITUTE(REGEXEXTRACT(A2676, ""[^-]+- [^-]+- [^-]+ - (.+?)\.jpg""), "".jpg"", """"), ""-"", "", ""), """")"),"")</f>
        <v/>
      </c>
      <c r="L2676" s="12"/>
      <c r="M2676" s="13"/>
      <c r="N2676" s="2"/>
      <c r="O2676" s="20"/>
      <c r="P2676" s="42"/>
      <c r="R2676" s="23"/>
    </row>
    <row r="2677" spans="1:18" ht="12.75">
      <c r="A2677" s="12"/>
      <c r="D2677" s="12"/>
      <c r="E2677" s="12"/>
      <c r="H2677" s="11" t="str">
        <f ca="1">IFERROR(__xludf.DUMMYFUNCTION("IFERROR(SUBSTITUTE(SUBSTITUTE(REGEXEXTRACT(A2677, ""[^-]+- [^-]+- [^-]+ - (.+?)\.jpg""), "".jpg"", """"), ""-"", "", ""), """")"),"")</f>
        <v/>
      </c>
      <c r="L2677" s="12"/>
      <c r="M2677" s="13"/>
      <c r="N2677" s="2"/>
      <c r="O2677" s="20"/>
      <c r="P2677" s="42"/>
      <c r="R2677" s="23"/>
    </row>
    <row r="2678" spans="1:18" ht="12.75">
      <c r="A2678" s="12"/>
      <c r="D2678" s="12"/>
      <c r="E2678" s="12"/>
      <c r="H2678" s="11" t="str">
        <f ca="1">IFERROR(__xludf.DUMMYFUNCTION("IFERROR(SUBSTITUTE(SUBSTITUTE(REGEXEXTRACT(A2678, ""[^-]+- [^-]+- [^-]+ - (.+?)\.jpg""), "".jpg"", """"), ""-"", "", ""), """")"),"")</f>
        <v/>
      </c>
      <c r="L2678" s="12"/>
      <c r="M2678" s="13"/>
      <c r="N2678" s="2"/>
      <c r="O2678" s="20"/>
      <c r="P2678" s="42"/>
      <c r="R2678" s="23"/>
    </row>
    <row r="2679" spans="1:18" ht="12.75">
      <c r="A2679" s="12"/>
      <c r="D2679" s="12"/>
      <c r="E2679" s="12"/>
      <c r="H2679" s="11" t="str">
        <f ca="1">IFERROR(__xludf.DUMMYFUNCTION("IFERROR(SUBSTITUTE(SUBSTITUTE(REGEXEXTRACT(A2679, ""[^-]+- [^-]+- [^-]+ - (.+?)\.jpg""), "".jpg"", """"), ""-"", "", ""), """")"),"")</f>
        <v/>
      </c>
      <c r="L2679" s="12"/>
      <c r="M2679" s="13"/>
      <c r="N2679" s="2"/>
      <c r="O2679" s="20"/>
      <c r="P2679" s="42"/>
      <c r="R2679" s="23"/>
    </row>
    <row r="2680" spans="1:18" ht="12.75">
      <c r="A2680" s="12"/>
      <c r="D2680" s="12"/>
      <c r="E2680" s="12"/>
      <c r="H2680" s="11" t="str">
        <f ca="1">IFERROR(__xludf.DUMMYFUNCTION("IFERROR(SUBSTITUTE(SUBSTITUTE(REGEXEXTRACT(A2680, ""[^-]+- [^-]+- [^-]+ - (.+?)\.jpg""), "".jpg"", """"), ""-"", "", ""), """")"),"")</f>
        <v/>
      </c>
      <c r="L2680" s="12"/>
      <c r="M2680" s="13"/>
      <c r="N2680" s="2"/>
      <c r="O2680" s="20"/>
      <c r="P2680" s="42"/>
      <c r="R2680" s="23"/>
    </row>
    <row r="2681" spans="1:18" ht="12.75">
      <c r="A2681" s="12"/>
      <c r="D2681" s="12"/>
      <c r="E2681" s="12"/>
      <c r="H2681" s="11" t="str">
        <f ca="1">IFERROR(__xludf.DUMMYFUNCTION("IFERROR(SUBSTITUTE(SUBSTITUTE(REGEXEXTRACT(A2681, ""[^-]+- [^-]+- [^-]+ - (.+?)\.jpg""), "".jpg"", """"), ""-"", "", ""), """")"),"")</f>
        <v/>
      </c>
      <c r="L2681" s="12"/>
      <c r="M2681" s="13"/>
      <c r="N2681" s="2"/>
      <c r="O2681" s="20"/>
      <c r="P2681" s="42"/>
      <c r="R2681" s="23"/>
    </row>
    <row r="2682" spans="1:18" ht="12.75">
      <c r="A2682" s="12"/>
      <c r="D2682" s="12"/>
      <c r="E2682" s="12"/>
      <c r="H2682" s="11" t="str">
        <f ca="1">IFERROR(__xludf.DUMMYFUNCTION("IFERROR(SUBSTITUTE(SUBSTITUTE(REGEXEXTRACT(A2682, ""[^-]+- [^-]+- [^-]+ - (.+?)\.jpg""), "".jpg"", """"), ""-"", "", ""), """")"),"")</f>
        <v/>
      </c>
      <c r="L2682" s="12"/>
      <c r="M2682" s="13"/>
      <c r="N2682" s="2"/>
      <c r="O2682" s="20"/>
      <c r="P2682" s="42"/>
      <c r="R2682" s="23"/>
    </row>
    <row r="2683" spans="1:18" ht="12.75">
      <c r="A2683" s="12"/>
      <c r="D2683" s="12"/>
      <c r="E2683" s="12"/>
      <c r="H2683" s="11" t="str">
        <f ca="1">IFERROR(__xludf.DUMMYFUNCTION("IFERROR(SUBSTITUTE(SUBSTITUTE(REGEXEXTRACT(A2683, ""[^-]+- [^-]+- [^-]+ - (.+?)\.jpg""), "".jpg"", """"), ""-"", "", ""), """")"),"")</f>
        <v/>
      </c>
      <c r="L2683" s="12"/>
      <c r="M2683" s="13"/>
      <c r="N2683" s="2"/>
      <c r="O2683" s="20"/>
      <c r="P2683" s="42"/>
      <c r="R2683" s="23"/>
    </row>
    <row r="2684" spans="1:18" ht="12.75">
      <c r="A2684" s="12"/>
      <c r="D2684" s="12"/>
      <c r="E2684" s="12"/>
      <c r="H2684" s="11" t="str">
        <f ca="1">IFERROR(__xludf.DUMMYFUNCTION("IFERROR(SUBSTITUTE(SUBSTITUTE(REGEXEXTRACT(A2684, ""[^-]+- [^-]+- [^-]+ - (.+?)\.jpg""), "".jpg"", """"), ""-"", "", ""), """")"),"")</f>
        <v/>
      </c>
      <c r="L2684" s="12"/>
      <c r="M2684" s="13"/>
      <c r="N2684" s="2"/>
      <c r="O2684" s="20"/>
      <c r="P2684" s="42"/>
      <c r="R2684" s="23"/>
    </row>
    <row r="2685" spans="1:18" ht="12.75">
      <c r="A2685" s="12"/>
      <c r="D2685" s="12"/>
      <c r="E2685" s="12"/>
      <c r="H2685" s="11" t="str">
        <f ca="1">IFERROR(__xludf.DUMMYFUNCTION("IFERROR(SUBSTITUTE(SUBSTITUTE(REGEXEXTRACT(A2685, ""[^-]+- [^-]+- [^-]+ - (.+?)\.jpg""), "".jpg"", """"), ""-"", "", ""), """")"),"")</f>
        <v/>
      </c>
      <c r="L2685" s="12"/>
      <c r="M2685" s="13"/>
      <c r="N2685" s="2"/>
      <c r="O2685" s="20"/>
      <c r="P2685" s="42"/>
      <c r="R2685" s="23"/>
    </row>
    <row r="2686" spans="1:18" ht="12.75">
      <c r="A2686" s="12"/>
      <c r="D2686" s="12"/>
      <c r="E2686" s="12"/>
      <c r="H2686" s="11" t="str">
        <f ca="1">IFERROR(__xludf.DUMMYFUNCTION("IFERROR(SUBSTITUTE(SUBSTITUTE(REGEXEXTRACT(A2686, ""[^-]+- [^-]+- [^-]+ - (.+?)\.jpg""), "".jpg"", """"), ""-"", "", ""), """")"),"")</f>
        <v/>
      </c>
      <c r="L2686" s="12"/>
      <c r="M2686" s="13"/>
      <c r="N2686" s="2"/>
      <c r="O2686" s="20"/>
      <c r="P2686" s="42"/>
      <c r="R2686" s="23"/>
    </row>
    <row r="2687" spans="1:18" ht="12.75">
      <c r="A2687" s="12"/>
      <c r="D2687" s="12"/>
      <c r="E2687" s="12"/>
      <c r="H2687" s="11" t="str">
        <f ca="1">IFERROR(__xludf.DUMMYFUNCTION("IFERROR(SUBSTITUTE(SUBSTITUTE(REGEXEXTRACT(A2687, ""[^-]+- [^-]+- [^-]+ - (.+?)\.jpg""), "".jpg"", """"), ""-"", "", ""), """")"),"")</f>
        <v/>
      </c>
      <c r="L2687" s="12"/>
      <c r="M2687" s="13"/>
      <c r="N2687" s="2"/>
      <c r="O2687" s="20"/>
      <c r="P2687" s="42"/>
      <c r="R2687" s="23"/>
    </row>
    <row r="2688" spans="1:18" ht="12.75">
      <c r="A2688" s="12"/>
      <c r="D2688" s="12"/>
      <c r="E2688" s="12"/>
      <c r="H2688" s="11" t="str">
        <f ca="1">IFERROR(__xludf.DUMMYFUNCTION("IFERROR(SUBSTITUTE(SUBSTITUTE(REGEXEXTRACT(A2688, ""[^-]+- [^-]+- [^-]+ - (.+?)\.jpg""), "".jpg"", """"), ""-"", "", ""), """")"),"")</f>
        <v/>
      </c>
      <c r="L2688" s="12"/>
      <c r="M2688" s="13"/>
      <c r="N2688" s="2"/>
      <c r="O2688" s="20"/>
      <c r="P2688" s="42"/>
      <c r="R2688" s="23"/>
    </row>
    <row r="2689" spans="1:18" ht="12.75">
      <c r="A2689" s="12"/>
      <c r="D2689" s="12"/>
      <c r="E2689" s="12"/>
      <c r="H2689" s="11" t="str">
        <f ca="1">IFERROR(__xludf.DUMMYFUNCTION("IFERROR(SUBSTITUTE(SUBSTITUTE(REGEXEXTRACT(A2689, ""[^-]+- [^-]+- [^-]+ - (.+?)\.jpg""), "".jpg"", """"), ""-"", "", ""), """")"),"")</f>
        <v/>
      </c>
      <c r="L2689" s="12"/>
      <c r="M2689" s="13"/>
      <c r="N2689" s="2"/>
      <c r="O2689" s="20"/>
      <c r="P2689" s="42"/>
      <c r="R2689" s="23"/>
    </row>
    <row r="2690" spans="1:18" ht="12.75">
      <c r="A2690" s="12"/>
      <c r="D2690" s="12"/>
      <c r="E2690" s="12"/>
      <c r="H2690" s="11" t="str">
        <f ca="1">IFERROR(__xludf.DUMMYFUNCTION("IFERROR(SUBSTITUTE(SUBSTITUTE(REGEXEXTRACT(A2690, ""[^-]+- [^-]+- [^-]+ - (.+?)\.jpg""), "".jpg"", """"), ""-"", "", ""), """")"),"")</f>
        <v/>
      </c>
      <c r="L2690" s="12"/>
      <c r="M2690" s="13"/>
      <c r="N2690" s="2"/>
      <c r="O2690" s="20"/>
      <c r="P2690" s="42"/>
      <c r="R2690" s="23"/>
    </row>
    <row r="2691" spans="1:18" ht="12.75">
      <c r="A2691" s="12"/>
      <c r="D2691" s="12"/>
      <c r="E2691" s="12"/>
      <c r="H2691" s="11" t="str">
        <f ca="1">IFERROR(__xludf.DUMMYFUNCTION("IFERROR(SUBSTITUTE(SUBSTITUTE(REGEXEXTRACT(A2691, ""[^-]+- [^-]+- [^-]+ - (.+?)\.jpg""), "".jpg"", """"), ""-"", "", ""), """")"),"")</f>
        <v/>
      </c>
      <c r="L2691" s="12"/>
      <c r="M2691" s="13"/>
      <c r="N2691" s="2"/>
      <c r="O2691" s="20"/>
      <c r="P2691" s="42"/>
      <c r="R2691" s="23"/>
    </row>
    <row r="2692" spans="1:18" ht="12.75">
      <c r="A2692" s="12"/>
      <c r="D2692" s="12"/>
      <c r="E2692" s="12"/>
      <c r="H2692" s="11" t="str">
        <f ca="1">IFERROR(__xludf.DUMMYFUNCTION("IFERROR(SUBSTITUTE(SUBSTITUTE(REGEXEXTRACT(A2692, ""[^-]+- [^-]+- [^-]+ - (.+?)\.jpg""), "".jpg"", """"), ""-"", "", ""), """")"),"")</f>
        <v/>
      </c>
      <c r="L2692" s="12"/>
      <c r="M2692" s="13"/>
      <c r="N2692" s="2"/>
      <c r="O2692" s="20"/>
      <c r="P2692" s="42"/>
      <c r="R2692" s="23"/>
    </row>
    <row r="2693" spans="1:18" ht="12.75">
      <c r="A2693" s="12"/>
      <c r="D2693" s="12"/>
      <c r="E2693" s="12"/>
      <c r="H2693" s="11" t="str">
        <f ca="1">IFERROR(__xludf.DUMMYFUNCTION("IFERROR(SUBSTITUTE(SUBSTITUTE(REGEXEXTRACT(A2693, ""[^-]+- [^-]+- [^-]+ - (.+?)\.jpg""), "".jpg"", """"), ""-"", "", ""), """")"),"")</f>
        <v/>
      </c>
      <c r="L2693" s="12"/>
      <c r="M2693" s="13"/>
      <c r="N2693" s="2"/>
      <c r="O2693" s="20"/>
      <c r="P2693" s="42"/>
      <c r="R2693" s="23"/>
    </row>
    <row r="2694" spans="1:18" ht="12.75">
      <c r="A2694" s="12"/>
      <c r="D2694" s="12"/>
      <c r="E2694" s="12"/>
      <c r="H2694" s="11" t="str">
        <f ca="1">IFERROR(__xludf.DUMMYFUNCTION("IFERROR(SUBSTITUTE(SUBSTITUTE(REGEXEXTRACT(A2694, ""[^-]+- [^-]+- [^-]+ - (.+?)\.jpg""), "".jpg"", """"), ""-"", "", ""), """")"),"")</f>
        <v/>
      </c>
      <c r="L2694" s="12"/>
      <c r="M2694" s="13"/>
      <c r="N2694" s="2"/>
      <c r="O2694" s="20"/>
      <c r="P2694" s="42"/>
      <c r="R2694" s="23"/>
    </row>
    <row r="2695" spans="1:18" ht="12.75">
      <c r="A2695" s="12"/>
      <c r="D2695" s="12"/>
      <c r="E2695" s="12"/>
      <c r="H2695" s="11" t="str">
        <f ca="1">IFERROR(__xludf.DUMMYFUNCTION("IFERROR(SUBSTITUTE(SUBSTITUTE(REGEXEXTRACT(A2695, ""[^-]+- [^-]+- [^-]+ - (.+?)\.jpg""), "".jpg"", """"), ""-"", "", ""), """")"),"")</f>
        <v/>
      </c>
      <c r="L2695" s="12"/>
      <c r="M2695" s="13"/>
      <c r="N2695" s="2"/>
      <c r="O2695" s="20"/>
      <c r="P2695" s="42"/>
      <c r="R2695" s="23"/>
    </row>
    <row r="2696" spans="1:18" ht="12.75">
      <c r="A2696" s="12"/>
      <c r="D2696" s="12"/>
      <c r="E2696" s="12"/>
      <c r="H2696" s="11" t="str">
        <f ca="1">IFERROR(__xludf.DUMMYFUNCTION("IFERROR(SUBSTITUTE(SUBSTITUTE(REGEXEXTRACT(A2696, ""[^-]+- [^-]+- [^-]+ - (.+?)\.jpg""), "".jpg"", """"), ""-"", "", ""), """")"),"")</f>
        <v/>
      </c>
      <c r="L2696" s="12"/>
      <c r="M2696" s="13"/>
      <c r="N2696" s="2"/>
      <c r="O2696" s="20"/>
      <c r="P2696" s="42"/>
      <c r="R2696" s="23"/>
    </row>
    <row r="2697" spans="1:18" ht="12.75">
      <c r="A2697" s="12"/>
      <c r="D2697" s="12"/>
      <c r="E2697" s="12"/>
      <c r="H2697" s="11" t="str">
        <f ca="1">IFERROR(__xludf.DUMMYFUNCTION("IFERROR(SUBSTITUTE(SUBSTITUTE(REGEXEXTRACT(A2697, ""[^-]+- [^-]+- [^-]+ - (.+?)\.jpg""), "".jpg"", """"), ""-"", "", ""), """")"),"")</f>
        <v/>
      </c>
      <c r="L2697" s="12"/>
      <c r="M2697" s="13"/>
      <c r="N2697" s="2"/>
      <c r="O2697" s="20"/>
      <c r="P2697" s="42"/>
      <c r="R2697" s="23"/>
    </row>
    <row r="2698" spans="1:18" ht="12.75">
      <c r="A2698" s="12"/>
      <c r="D2698" s="12"/>
      <c r="E2698" s="12"/>
      <c r="H2698" s="11" t="str">
        <f ca="1">IFERROR(__xludf.DUMMYFUNCTION("IFERROR(SUBSTITUTE(SUBSTITUTE(REGEXEXTRACT(A2698, ""[^-]+- [^-]+- [^-]+ - (.+?)\.jpg""), "".jpg"", """"), ""-"", "", ""), """")"),"")</f>
        <v/>
      </c>
      <c r="L2698" s="12"/>
      <c r="M2698" s="13"/>
      <c r="N2698" s="2"/>
      <c r="O2698" s="20"/>
      <c r="P2698" s="42"/>
      <c r="R2698" s="23"/>
    </row>
    <row r="2699" spans="1:18" ht="12.75">
      <c r="A2699" s="12"/>
      <c r="D2699" s="12"/>
      <c r="E2699" s="12"/>
      <c r="H2699" s="11" t="str">
        <f ca="1">IFERROR(__xludf.DUMMYFUNCTION("IFERROR(SUBSTITUTE(SUBSTITUTE(REGEXEXTRACT(A2699, ""[^-]+- [^-]+- [^-]+ - (.+?)\.jpg""), "".jpg"", """"), ""-"", "", ""), """")"),"")</f>
        <v/>
      </c>
      <c r="L2699" s="12"/>
      <c r="M2699" s="13"/>
      <c r="N2699" s="2"/>
      <c r="O2699" s="20"/>
      <c r="P2699" s="42"/>
      <c r="R2699" s="23"/>
    </row>
    <row r="2700" spans="1:18" ht="12.75">
      <c r="A2700" s="12"/>
      <c r="D2700" s="12"/>
      <c r="E2700" s="12"/>
      <c r="H2700" s="11" t="str">
        <f ca="1">IFERROR(__xludf.DUMMYFUNCTION("IFERROR(SUBSTITUTE(SUBSTITUTE(REGEXEXTRACT(A2700, ""[^-]+- [^-]+- [^-]+ - (.+?)\.jpg""), "".jpg"", """"), ""-"", "", ""), """")"),"")</f>
        <v/>
      </c>
      <c r="L2700" s="12"/>
      <c r="M2700" s="13"/>
      <c r="N2700" s="2"/>
      <c r="O2700" s="20"/>
      <c r="P2700" s="42"/>
      <c r="R2700" s="23"/>
    </row>
    <row r="2701" spans="1:18" ht="12.75">
      <c r="A2701" s="12"/>
      <c r="D2701" s="12"/>
      <c r="E2701" s="12"/>
      <c r="H2701" s="11" t="str">
        <f ca="1">IFERROR(__xludf.DUMMYFUNCTION("IFERROR(SUBSTITUTE(SUBSTITUTE(REGEXEXTRACT(A2701, ""[^-]+- [^-]+- [^-]+ - (.+?)\.jpg""), "".jpg"", """"), ""-"", "", ""), """")"),"")</f>
        <v/>
      </c>
      <c r="L2701" s="12"/>
      <c r="M2701" s="13"/>
      <c r="N2701" s="2"/>
      <c r="O2701" s="20"/>
      <c r="P2701" s="42"/>
      <c r="R2701" s="23"/>
    </row>
    <row r="2702" spans="1:18" ht="12.75">
      <c r="A2702" s="12"/>
      <c r="D2702" s="12"/>
      <c r="E2702" s="12"/>
      <c r="H2702" s="11" t="str">
        <f ca="1">IFERROR(__xludf.DUMMYFUNCTION("IFERROR(SUBSTITUTE(SUBSTITUTE(REGEXEXTRACT(A2702, ""[^-]+- [^-]+- [^-]+ - (.+?)\.jpg""), "".jpg"", """"), ""-"", "", ""), """")"),"")</f>
        <v/>
      </c>
      <c r="L2702" s="12"/>
      <c r="M2702" s="13"/>
      <c r="N2702" s="2"/>
      <c r="O2702" s="20"/>
      <c r="P2702" s="42"/>
      <c r="R2702" s="23"/>
    </row>
    <row r="2703" spans="1:18" ht="12.75">
      <c r="A2703" s="12"/>
      <c r="D2703" s="12"/>
      <c r="E2703" s="12"/>
      <c r="H2703" s="11" t="str">
        <f ca="1">IFERROR(__xludf.DUMMYFUNCTION("IFERROR(SUBSTITUTE(SUBSTITUTE(REGEXEXTRACT(A2703, ""[^-]+- [^-]+- [^-]+ - (.+?)\.jpg""), "".jpg"", """"), ""-"", "", ""), """")"),"")</f>
        <v/>
      </c>
      <c r="L2703" s="12"/>
      <c r="M2703" s="13"/>
      <c r="N2703" s="2"/>
      <c r="O2703" s="20"/>
      <c r="P2703" s="42"/>
      <c r="R2703" s="23"/>
    </row>
    <row r="2704" spans="1:18" ht="12.75">
      <c r="A2704" s="12"/>
      <c r="D2704" s="12"/>
      <c r="E2704" s="12"/>
      <c r="H2704" s="11" t="str">
        <f ca="1">IFERROR(__xludf.DUMMYFUNCTION("IFERROR(SUBSTITUTE(SUBSTITUTE(REGEXEXTRACT(A2704, ""[^-]+- [^-]+- [^-]+ - (.+?)\.jpg""), "".jpg"", """"), ""-"", "", ""), """")"),"")</f>
        <v/>
      </c>
      <c r="L2704" s="12"/>
      <c r="M2704" s="13"/>
      <c r="N2704" s="2"/>
      <c r="O2704" s="20"/>
      <c r="P2704" s="42"/>
      <c r="R2704" s="23"/>
    </row>
    <row r="2705" spans="1:18" ht="12.75">
      <c r="A2705" s="12"/>
      <c r="D2705" s="12"/>
      <c r="E2705" s="12"/>
      <c r="H2705" s="11" t="str">
        <f ca="1">IFERROR(__xludf.DUMMYFUNCTION("IFERROR(SUBSTITUTE(SUBSTITUTE(REGEXEXTRACT(A2705, ""[^-]+- [^-]+- [^-]+ - (.+?)\.jpg""), "".jpg"", """"), ""-"", "", ""), """")"),"")</f>
        <v/>
      </c>
      <c r="L2705" s="12"/>
      <c r="M2705" s="13"/>
      <c r="N2705" s="2"/>
      <c r="O2705" s="20"/>
      <c r="P2705" s="42"/>
      <c r="R2705" s="23"/>
    </row>
    <row r="2706" spans="1:18" ht="12.75">
      <c r="A2706" s="12"/>
      <c r="D2706" s="12"/>
      <c r="E2706" s="12"/>
      <c r="H2706" s="11" t="str">
        <f ca="1">IFERROR(__xludf.DUMMYFUNCTION("IFERROR(SUBSTITUTE(SUBSTITUTE(REGEXEXTRACT(A2706, ""[^-]+- [^-]+- [^-]+ - (.+?)\.jpg""), "".jpg"", """"), ""-"", "", ""), """")"),"")</f>
        <v/>
      </c>
      <c r="L2706" s="12"/>
      <c r="M2706" s="13"/>
      <c r="N2706" s="2"/>
      <c r="O2706" s="20"/>
      <c r="P2706" s="42"/>
      <c r="R2706" s="23"/>
    </row>
    <row r="2707" spans="1:18" ht="12.75">
      <c r="A2707" s="12"/>
      <c r="D2707" s="12"/>
      <c r="E2707" s="12"/>
      <c r="H2707" s="11" t="str">
        <f ca="1">IFERROR(__xludf.DUMMYFUNCTION("IFERROR(SUBSTITUTE(SUBSTITUTE(REGEXEXTRACT(A2707, ""[^-]+- [^-]+- [^-]+ - (.+?)\.jpg""), "".jpg"", """"), ""-"", "", ""), """")"),"")</f>
        <v/>
      </c>
      <c r="L2707" s="12"/>
      <c r="M2707" s="13"/>
      <c r="N2707" s="2"/>
      <c r="O2707" s="20"/>
      <c r="P2707" s="42"/>
      <c r="R2707" s="23"/>
    </row>
    <row r="2708" spans="1:18" ht="12.75">
      <c r="A2708" s="12"/>
      <c r="D2708" s="12"/>
      <c r="E2708" s="12"/>
      <c r="H2708" s="11" t="str">
        <f ca="1">IFERROR(__xludf.DUMMYFUNCTION("IFERROR(SUBSTITUTE(SUBSTITUTE(REGEXEXTRACT(A2708, ""[^-]+- [^-]+- [^-]+ - (.+?)\.jpg""), "".jpg"", """"), ""-"", "", ""), """")"),"")</f>
        <v/>
      </c>
      <c r="L2708" s="12"/>
      <c r="M2708" s="13"/>
      <c r="N2708" s="2"/>
      <c r="O2708" s="20"/>
      <c r="P2708" s="42"/>
      <c r="R2708" s="23"/>
    </row>
    <row r="2709" spans="1:18" ht="12.75">
      <c r="A2709" s="12"/>
      <c r="D2709" s="12"/>
      <c r="E2709" s="12"/>
      <c r="H2709" s="11" t="str">
        <f ca="1">IFERROR(__xludf.DUMMYFUNCTION("IFERROR(SUBSTITUTE(SUBSTITUTE(REGEXEXTRACT(A2709, ""[^-]+- [^-]+- [^-]+ - (.+?)\.jpg""), "".jpg"", """"), ""-"", "", ""), """")"),"")</f>
        <v/>
      </c>
      <c r="L2709" s="12"/>
      <c r="M2709" s="13"/>
      <c r="N2709" s="2"/>
      <c r="O2709" s="20"/>
      <c r="P2709" s="42"/>
      <c r="R2709" s="23"/>
    </row>
    <row r="2710" spans="1:18" ht="12.75">
      <c r="A2710" s="12"/>
      <c r="D2710" s="12"/>
      <c r="E2710" s="12"/>
      <c r="H2710" s="11" t="str">
        <f ca="1">IFERROR(__xludf.DUMMYFUNCTION("IFERROR(SUBSTITUTE(SUBSTITUTE(REGEXEXTRACT(A2710, ""[^-]+- [^-]+- [^-]+ - (.+?)\.jpg""), "".jpg"", """"), ""-"", "", ""), """")"),"")</f>
        <v/>
      </c>
      <c r="L2710" s="12"/>
      <c r="M2710" s="13"/>
      <c r="N2710" s="2"/>
      <c r="O2710" s="20"/>
      <c r="P2710" s="42"/>
      <c r="R2710" s="23"/>
    </row>
    <row r="2711" spans="1:18" ht="12.75">
      <c r="A2711" s="12"/>
      <c r="D2711" s="12"/>
      <c r="E2711" s="12"/>
      <c r="H2711" s="11" t="str">
        <f ca="1">IFERROR(__xludf.DUMMYFUNCTION("IFERROR(SUBSTITUTE(SUBSTITUTE(REGEXEXTRACT(A2711, ""[^-]+- [^-]+- [^-]+ - (.+?)\.jpg""), "".jpg"", """"), ""-"", "", ""), """")"),"")</f>
        <v/>
      </c>
      <c r="L2711" s="12"/>
      <c r="M2711" s="13"/>
      <c r="N2711" s="2"/>
      <c r="O2711" s="20"/>
      <c r="P2711" s="42"/>
      <c r="R2711" s="23"/>
    </row>
    <row r="2712" spans="1:18" ht="12.75">
      <c r="A2712" s="12"/>
      <c r="D2712" s="12"/>
      <c r="E2712" s="12"/>
      <c r="H2712" s="11" t="str">
        <f ca="1">IFERROR(__xludf.DUMMYFUNCTION("IFERROR(SUBSTITUTE(SUBSTITUTE(REGEXEXTRACT(A2712, ""[^-]+- [^-]+- [^-]+ - (.+?)\.jpg""), "".jpg"", """"), ""-"", "", ""), """")"),"")</f>
        <v/>
      </c>
      <c r="L2712" s="12"/>
      <c r="M2712" s="13"/>
      <c r="N2712" s="2"/>
      <c r="O2712" s="20"/>
      <c r="P2712" s="42"/>
      <c r="R2712" s="23"/>
    </row>
    <row r="2713" spans="1:18" ht="12.75">
      <c r="A2713" s="12"/>
      <c r="D2713" s="12"/>
      <c r="E2713" s="12"/>
      <c r="H2713" s="11" t="str">
        <f ca="1">IFERROR(__xludf.DUMMYFUNCTION("IFERROR(SUBSTITUTE(SUBSTITUTE(REGEXEXTRACT(A2713, ""[^-]+- [^-]+- [^-]+ - (.+?)\.jpg""), "".jpg"", """"), ""-"", "", ""), """")"),"")</f>
        <v/>
      </c>
      <c r="L2713" s="12"/>
      <c r="M2713" s="13"/>
      <c r="N2713" s="2"/>
      <c r="O2713" s="20"/>
      <c r="P2713" s="42"/>
      <c r="R2713" s="23"/>
    </row>
    <row r="2714" spans="1:18" ht="12.75">
      <c r="A2714" s="12"/>
      <c r="D2714" s="12"/>
      <c r="E2714" s="12"/>
      <c r="H2714" s="11" t="str">
        <f ca="1">IFERROR(__xludf.DUMMYFUNCTION("IFERROR(SUBSTITUTE(SUBSTITUTE(REGEXEXTRACT(A2714, ""[^-]+- [^-]+- [^-]+ - (.+?)\.jpg""), "".jpg"", """"), ""-"", "", ""), """")"),"")</f>
        <v/>
      </c>
      <c r="L2714" s="12"/>
      <c r="M2714" s="13"/>
      <c r="N2714" s="2"/>
      <c r="O2714" s="20"/>
      <c r="P2714" s="42"/>
      <c r="R2714" s="23"/>
    </row>
    <row r="2715" spans="1:18" ht="12.75">
      <c r="A2715" s="12"/>
      <c r="D2715" s="12"/>
      <c r="E2715" s="12"/>
      <c r="H2715" s="11" t="str">
        <f ca="1">IFERROR(__xludf.DUMMYFUNCTION("IFERROR(SUBSTITUTE(SUBSTITUTE(REGEXEXTRACT(A2715, ""[^-]+- [^-]+- [^-]+ - (.+?)\.jpg""), "".jpg"", """"), ""-"", "", ""), """")"),"")</f>
        <v/>
      </c>
      <c r="L2715" s="12"/>
      <c r="M2715" s="13"/>
      <c r="N2715" s="2"/>
      <c r="O2715" s="20"/>
      <c r="P2715" s="42"/>
      <c r="R2715" s="23"/>
    </row>
    <row r="2716" spans="1:18" ht="12.75">
      <c r="A2716" s="12"/>
      <c r="D2716" s="12"/>
      <c r="E2716" s="12"/>
      <c r="H2716" s="11" t="str">
        <f ca="1">IFERROR(__xludf.DUMMYFUNCTION("IFERROR(SUBSTITUTE(SUBSTITUTE(REGEXEXTRACT(A2716, ""[^-]+- [^-]+- [^-]+ - (.+?)\.jpg""), "".jpg"", """"), ""-"", "", ""), """")"),"")</f>
        <v/>
      </c>
      <c r="L2716" s="12"/>
      <c r="M2716" s="13"/>
      <c r="N2716" s="2"/>
      <c r="O2716" s="20"/>
      <c r="P2716" s="42"/>
      <c r="R2716" s="23"/>
    </row>
    <row r="2717" spans="1:18" ht="12.75">
      <c r="A2717" s="12"/>
      <c r="D2717" s="12"/>
      <c r="E2717" s="12"/>
      <c r="H2717" s="11" t="str">
        <f ca="1">IFERROR(__xludf.DUMMYFUNCTION("IFERROR(SUBSTITUTE(SUBSTITUTE(REGEXEXTRACT(A2717, ""[^-]+- [^-]+- [^-]+ - (.+?)\.jpg""), "".jpg"", """"), ""-"", "", ""), """")"),"")</f>
        <v/>
      </c>
      <c r="L2717" s="12"/>
      <c r="M2717" s="13"/>
      <c r="N2717" s="2"/>
      <c r="O2717" s="20"/>
      <c r="P2717" s="42"/>
      <c r="R2717" s="23"/>
    </row>
    <row r="2718" spans="1:18" ht="12.75">
      <c r="A2718" s="12"/>
      <c r="D2718" s="12"/>
      <c r="E2718" s="12"/>
      <c r="H2718" s="11" t="str">
        <f ca="1">IFERROR(__xludf.DUMMYFUNCTION("IFERROR(SUBSTITUTE(SUBSTITUTE(REGEXEXTRACT(A2718, ""[^-]+- [^-]+- [^-]+ - (.+?)\.jpg""), "".jpg"", """"), ""-"", "", ""), """")"),"")</f>
        <v/>
      </c>
      <c r="L2718" s="12"/>
      <c r="M2718" s="13"/>
      <c r="N2718" s="2"/>
      <c r="O2718" s="20"/>
      <c r="P2718" s="42"/>
      <c r="R2718" s="23"/>
    </row>
    <row r="2719" spans="1:18" ht="12.75">
      <c r="A2719" s="12"/>
      <c r="D2719" s="12"/>
      <c r="E2719" s="12"/>
      <c r="H2719" s="11" t="str">
        <f ca="1">IFERROR(__xludf.DUMMYFUNCTION("IFERROR(SUBSTITUTE(SUBSTITUTE(REGEXEXTRACT(A2719, ""[^-]+- [^-]+- [^-]+ - (.+?)\.jpg""), "".jpg"", """"), ""-"", "", ""), """")"),"")</f>
        <v/>
      </c>
      <c r="L2719" s="12"/>
      <c r="M2719" s="13"/>
      <c r="N2719" s="2"/>
      <c r="O2719" s="20"/>
      <c r="P2719" s="42"/>
      <c r="R2719" s="23"/>
    </row>
    <row r="2720" spans="1:18" ht="12.75">
      <c r="A2720" s="12"/>
      <c r="D2720" s="12"/>
      <c r="E2720" s="12"/>
      <c r="H2720" s="11" t="str">
        <f ca="1">IFERROR(__xludf.DUMMYFUNCTION("IFERROR(SUBSTITUTE(SUBSTITUTE(REGEXEXTRACT(A2720, ""[^-]+- [^-]+- [^-]+ - (.+?)\.jpg""), "".jpg"", """"), ""-"", "", ""), """")"),"")</f>
        <v/>
      </c>
      <c r="L2720" s="12"/>
      <c r="M2720" s="13"/>
      <c r="N2720" s="2"/>
      <c r="O2720" s="20"/>
      <c r="P2720" s="42"/>
      <c r="R2720" s="23"/>
    </row>
    <row r="2721" spans="1:18" ht="12.75">
      <c r="A2721" s="12"/>
      <c r="D2721" s="12"/>
      <c r="E2721" s="12"/>
      <c r="H2721" s="11" t="str">
        <f ca="1">IFERROR(__xludf.DUMMYFUNCTION("IFERROR(SUBSTITUTE(SUBSTITUTE(REGEXEXTRACT(A2721, ""[^-]+- [^-]+- [^-]+ - (.+?)\.jpg""), "".jpg"", """"), ""-"", "", ""), """")"),"")</f>
        <v/>
      </c>
      <c r="L2721" s="12"/>
      <c r="M2721" s="13"/>
      <c r="N2721" s="2"/>
      <c r="O2721" s="20"/>
      <c r="P2721" s="42"/>
      <c r="R2721" s="23"/>
    </row>
    <row r="2722" spans="1:18" ht="12.75">
      <c r="A2722" s="12"/>
      <c r="D2722" s="12"/>
      <c r="E2722" s="12"/>
      <c r="H2722" s="11" t="str">
        <f ca="1">IFERROR(__xludf.DUMMYFUNCTION("IFERROR(SUBSTITUTE(SUBSTITUTE(REGEXEXTRACT(A2722, ""[^-]+- [^-]+- [^-]+ - (.+?)\.jpg""), "".jpg"", """"), ""-"", "", ""), """")"),"")</f>
        <v/>
      </c>
      <c r="L2722" s="12"/>
      <c r="M2722" s="13"/>
      <c r="N2722" s="2"/>
      <c r="O2722" s="20"/>
      <c r="P2722" s="42"/>
      <c r="R2722" s="23"/>
    </row>
    <row r="2723" spans="1:18" ht="12.75">
      <c r="A2723" s="12"/>
      <c r="D2723" s="12"/>
      <c r="E2723" s="12"/>
      <c r="H2723" s="11" t="str">
        <f ca="1">IFERROR(__xludf.DUMMYFUNCTION("IFERROR(SUBSTITUTE(SUBSTITUTE(REGEXEXTRACT(A2723, ""[^-]+- [^-]+- [^-]+ - (.+?)\.jpg""), "".jpg"", """"), ""-"", "", ""), """")"),"")</f>
        <v/>
      </c>
      <c r="L2723" s="12"/>
      <c r="M2723" s="13"/>
      <c r="N2723" s="2"/>
      <c r="O2723" s="20"/>
      <c r="P2723" s="42"/>
      <c r="R2723" s="23"/>
    </row>
    <row r="2724" spans="1:18" ht="12.75">
      <c r="A2724" s="12"/>
      <c r="D2724" s="12"/>
      <c r="E2724" s="12"/>
      <c r="H2724" s="11" t="str">
        <f ca="1">IFERROR(__xludf.DUMMYFUNCTION("IFERROR(SUBSTITUTE(SUBSTITUTE(REGEXEXTRACT(A2724, ""[^-]+- [^-]+- [^-]+ - (.+?)\.jpg""), "".jpg"", """"), ""-"", "", ""), """")"),"")</f>
        <v/>
      </c>
      <c r="L2724" s="12"/>
      <c r="M2724" s="13"/>
      <c r="N2724" s="2"/>
      <c r="O2724" s="20"/>
      <c r="P2724" s="42"/>
      <c r="R2724" s="23"/>
    </row>
    <row r="2725" spans="1:18" ht="12.75">
      <c r="A2725" s="12"/>
      <c r="D2725" s="12"/>
      <c r="E2725" s="12"/>
      <c r="H2725" s="11" t="str">
        <f ca="1">IFERROR(__xludf.DUMMYFUNCTION("IFERROR(SUBSTITUTE(SUBSTITUTE(REGEXEXTRACT(A2725, ""[^-]+- [^-]+- [^-]+ - (.+?)\.jpg""), "".jpg"", """"), ""-"", "", ""), """")"),"")</f>
        <v/>
      </c>
      <c r="L2725" s="12"/>
      <c r="M2725" s="13"/>
      <c r="N2725" s="2"/>
      <c r="O2725" s="20"/>
      <c r="P2725" s="42"/>
      <c r="R2725" s="23"/>
    </row>
    <row r="2726" spans="1:18" ht="12.75">
      <c r="A2726" s="12"/>
      <c r="D2726" s="12"/>
      <c r="E2726" s="12"/>
      <c r="H2726" s="11" t="str">
        <f ca="1">IFERROR(__xludf.DUMMYFUNCTION("IFERROR(SUBSTITUTE(SUBSTITUTE(REGEXEXTRACT(A2726, ""[^-]+- [^-]+- [^-]+ - (.+?)\.jpg""), "".jpg"", """"), ""-"", "", ""), """")"),"")</f>
        <v/>
      </c>
      <c r="L2726" s="12"/>
      <c r="M2726" s="13"/>
      <c r="N2726" s="2"/>
      <c r="O2726" s="20"/>
      <c r="P2726" s="42"/>
      <c r="R2726" s="23"/>
    </row>
    <row r="2727" spans="1:18" ht="12.75">
      <c r="A2727" s="12"/>
      <c r="D2727" s="12"/>
      <c r="E2727" s="12"/>
      <c r="H2727" s="11" t="str">
        <f ca="1">IFERROR(__xludf.DUMMYFUNCTION("IFERROR(SUBSTITUTE(SUBSTITUTE(REGEXEXTRACT(A2727, ""[^-]+- [^-]+- [^-]+ - (.+?)\.jpg""), "".jpg"", """"), ""-"", "", ""), """")"),"")</f>
        <v/>
      </c>
      <c r="L2727" s="12"/>
      <c r="M2727" s="13"/>
      <c r="N2727" s="2"/>
      <c r="O2727" s="20"/>
      <c r="P2727" s="42"/>
      <c r="R2727" s="23"/>
    </row>
    <row r="2728" spans="1:18" ht="12.75">
      <c r="A2728" s="12"/>
      <c r="D2728" s="12"/>
      <c r="E2728" s="12"/>
      <c r="H2728" s="11" t="str">
        <f ca="1">IFERROR(__xludf.DUMMYFUNCTION("IFERROR(SUBSTITUTE(SUBSTITUTE(REGEXEXTRACT(A2728, ""[^-]+- [^-]+- [^-]+ - (.+?)\.jpg""), "".jpg"", """"), ""-"", "", ""), """")"),"")</f>
        <v/>
      </c>
      <c r="L2728" s="12"/>
      <c r="M2728" s="13"/>
      <c r="N2728" s="2"/>
      <c r="O2728" s="20"/>
      <c r="P2728" s="42"/>
      <c r="R2728" s="23"/>
    </row>
    <row r="2729" spans="1:18" ht="12.75">
      <c r="A2729" s="12"/>
      <c r="D2729" s="12"/>
      <c r="E2729" s="12"/>
      <c r="H2729" s="11" t="str">
        <f ca="1">IFERROR(__xludf.DUMMYFUNCTION("IFERROR(SUBSTITUTE(SUBSTITUTE(REGEXEXTRACT(A2729, ""[^-]+- [^-]+- [^-]+ - (.+?)\.jpg""), "".jpg"", """"), ""-"", "", ""), """")"),"")</f>
        <v/>
      </c>
      <c r="L2729" s="12"/>
      <c r="M2729" s="13"/>
      <c r="N2729" s="2"/>
      <c r="O2729" s="20"/>
      <c r="P2729" s="42"/>
      <c r="R2729" s="23"/>
    </row>
    <row r="2730" spans="1:18" ht="12.75">
      <c r="A2730" s="12"/>
      <c r="D2730" s="12"/>
      <c r="E2730" s="12"/>
      <c r="H2730" s="11" t="str">
        <f ca="1">IFERROR(__xludf.DUMMYFUNCTION("IFERROR(SUBSTITUTE(SUBSTITUTE(REGEXEXTRACT(A2730, ""[^-]+- [^-]+- [^-]+ - (.+?)\.jpg""), "".jpg"", """"), ""-"", "", ""), """")"),"")</f>
        <v/>
      </c>
      <c r="L2730" s="12"/>
      <c r="M2730" s="13"/>
      <c r="N2730" s="2"/>
      <c r="O2730" s="20"/>
      <c r="P2730" s="42"/>
      <c r="R2730" s="23"/>
    </row>
    <row r="2731" spans="1:18" ht="12.75">
      <c r="A2731" s="12"/>
      <c r="D2731" s="12"/>
      <c r="E2731" s="12"/>
      <c r="H2731" s="11" t="str">
        <f ca="1">IFERROR(__xludf.DUMMYFUNCTION("IFERROR(SUBSTITUTE(SUBSTITUTE(REGEXEXTRACT(A2731, ""[^-]+- [^-]+- [^-]+ - (.+?)\.jpg""), "".jpg"", """"), ""-"", "", ""), """")"),"")</f>
        <v/>
      </c>
      <c r="L2731" s="12"/>
      <c r="M2731" s="13"/>
      <c r="N2731" s="2"/>
      <c r="O2731" s="20"/>
      <c r="P2731" s="42"/>
      <c r="R2731" s="23"/>
    </row>
    <row r="2732" spans="1:18" ht="12.75">
      <c r="A2732" s="12"/>
      <c r="D2732" s="12"/>
      <c r="E2732" s="12"/>
      <c r="H2732" s="11" t="str">
        <f ca="1">IFERROR(__xludf.DUMMYFUNCTION("IFERROR(SUBSTITUTE(SUBSTITUTE(REGEXEXTRACT(A2732, ""[^-]+- [^-]+- [^-]+ - (.+?)\.jpg""), "".jpg"", """"), ""-"", "", ""), """")"),"")</f>
        <v/>
      </c>
      <c r="L2732" s="12"/>
      <c r="M2732" s="13"/>
      <c r="N2732" s="2"/>
      <c r="O2732" s="20"/>
      <c r="P2732" s="42"/>
      <c r="R2732" s="23"/>
    </row>
    <row r="2733" spans="1:18" ht="12.75">
      <c r="A2733" s="12"/>
      <c r="D2733" s="12"/>
      <c r="E2733" s="12"/>
      <c r="H2733" s="11" t="str">
        <f ca="1">IFERROR(__xludf.DUMMYFUNCTION("IFERROR(SUBSTITUTE(SUBSTITUTE(REGEXEXTRACT(A2733, ""[^-]+- [^-]+- [^-]+ - (.+?)\.jpg""), "".jpg"", """"), ""-"", "", ""), """")"),"")</f>
        <v/>
      </c>
      <c r="L2733" s="12"/>
      <c r="M2733" s="13"/>
      <c r="N2733" s="2"/>
      <c r="O2733" s="20"/>
      <c r="P2733" s="42"/>
      <c r="R2733" s="23"/>
    </row>
    <row r="2734" spans="1:18" ht="12.75">
      <c r="A2734" s="12"/>
      <c r="D2734" s="12"/>
      <c r="E2734" s="12"/>
      <c r="H2734" s="11" t="str">
        <f ca="1">IFERROR(__xludf.DUMMYFUNCTION("IFERROR(SUBSTITUTE(SUBSTITUTE(REGEXEXTRACT(A2734, ""[^-]+- [^-]+- [^-]+ - (.+?)\.jpg""), "".jpg"", """"), ""-"", "", ""), """")"),"")</f>
        <v/>
      </c>
      <c r="L2734" s="12"/>
      <c r="M2734" s="13"/>
      <c r="N2734" s="2"/>
      <c r="O2734" s="20"/>
      <c r="P2734" s="42"/>
      <c r="R2734" s="23"/>
    </row>
    <row r="2735" spans="1:18" ht="12.75">
      <c r="A2735" s="12"/>
      <c r="D2735" s="12"/>
      <c r="E2735" s="12"/>
      <c r="H2735" s="11" t="str">
        <f ca="1">IFERROR(__xludf.DUMMYFUNCTION("IFERROR(SUBSTITUTE(SUBSTITUTE(REGEXEXTRACT(A2735, ""[^-]+- [^-]+- [^-]+ - (.+?)\.jpg""), "".jpg"", """"), ""-"", "", ""), """")"),"")</f>
        <v/>
      </c>
      <c r="L2735" s="12"/>
      <c r="M2735" s="13"/>
      <c r="N2735" s="2"/>
      <c r="O2735" s="20"/>
      <c r="P2735" s="42"/>
      <c r="R2735" s="23"/>
    </row>
    <row r="2736" spans="1:18" ht="12.75">
      <c r="A2736" s="12"/>
      <c r="D2736" s="12"/>
      <c r="E2736" s="12"/>
      <c r="H2736" s="11" t="str">
        <f ca="1">IFERROR(__xludf.DUMMYFUNCTION("IFERROR(SUBSTITUTE(SUBSTITUTE(REGEXEXTRACT(A2736, ""[^-]+- [^-]+- [^-]+ - (.+?)\.jpg""), "".jpg"", """"), ""-"", "", ""), """")"),"")</f>
        <v/>
      </c>
      <c r="L2736" s="12"/>
      <c r="M2736" s="13"/>
      <c r="N2736" s="2"/>
      <c r="O2736" s="20"/>
      <c r="P2736" s="42"/>
      <c r="R2736" s="23"/>
    </row>
    <row r="2737" spans="1:18" ht="12.75">
      <c r="A2737" s="12"/>
      <c r="D2737" s="12"/>
      <c r="E2737" s="12"/>
      <c r="H2737" s="11" t="str">
        <f ca="1">IFERROR(__xludf.DUMMYFUNCTION("IFERROR(SUBSTITUTE(SUBSTITUTE(REGEXEXTRACT(A2737, ""[^-]+- [^-]+- [^-]+ - (.+?)\.jpg""), "".jpg"", """"), ""-"", "", ""), """")"),"")</f>
        <v/>
      </c>
      <c r="L2737" s="12"/>
      <c r="M2737" s="13"/>
      <c r="N2737" s="2"/>
      <c r="O2737" s="20"/>
      <c r="P2737" s="42"/>
      <c r="R2737" s="23"/>
    </row>
    <row r="2738" spans="1:18" ht="12.75">
      <c r="A2738" s="12"/>
      <c r="D2738" s="12"/>
      <c r="E2738" s="12"/>
      <c r="H2738" s="11" t="str">
        <f ca="1">IFERROR(__xludf.DUMMYFUNCTION("IFERROR(SUBSTITUTE(SUBSTITUTE(REGEXEXTRACT(A2738, ""[^-]+- [^-]+- [^-]+ - (.+?)\.jpg""), "".jpg"", """"), ""-"", "", ""), """")"),"")</f>
        <v/>
      </c>
      <c r="L2738" s="12"/>
      <c r="M2738" s="13"/>
      <c r="N2738" s="2"/>
      <c r="O2738" s="20"/>
      <c r="P2738" s="42"/>
      <c r="R2738" s="23"/>
    </row>
    <row r="2739" spans="1:18" ht="12.75">
      <c r="A2739" s="12"/>
      <c r="D2739" s="12"/>
      <c r="E2739" s="12"/>
      <c r="H2739" s="11" t="str">
        <f ca="1">IFERROR(__xludf.DUMMYFUNCTION("IFERROR(SUBSTITUTE(SUBSTITUTE(REGEXEXTRACT(A2739, ""[^-]+- [^-]+- [^-]+ - (.+?)\.jpg""), "".jpg"", """"), ""-"", "", ""), """")"),"")</f>
        <v/>
      </c>
      <c r="L2739" s="12"/>
      <c r="M2739" s="13"/>
      <c r="N2739" s="2"/>
      <c r="O2739" s="20"/>
      <c r="P2739" s="42"/>
      <c r="R2739" s="23"/>
    </row>
    <row r="2740" spans="1:18" ht="12.75">
      <c r="A2740" s="12"/>
      <c r="D2740" s="12"/>
      <c r="E2740" s="12"/>
      <c r="H2740" s="11" t="str">
        <f ca="1">IFERROR(__xludf.DUMMYFUNCTION("IFERROR(SUBSTITUTE(SUBSTITUTE(REGEXEXTRACT(A2740, ""[^-]+- [^-]+- [^-]+ - (.+?)\.jpg""), "".jpg"", """"), ""-"", "", ""), """")"),"")</f>
        <v/>
      </c>
      <c r="L2740" s="12"/>
      <c r="M2740" s="13"/>
      <c r="N2740" s="2"/>
      <c r="O2740" s="20"/>
      <c r="P2740" s="42"/>
      <c r="R2740" s="23"/>
    </row>
    <row r="2741" spans="1:18" ht="12.75">
      <c r="A2741" s="12"/>
      <c r="D2741" s="12"/>
      <c r="E2741" s="12"/>
      <c r="H2741" s="11" t="str">
        <f ca="1">IFERROR(__xludf.DUMMYFUNCTION("IFERROR(SUBSTITUTE(SUBSTITUTE(REGEXEXTRACT(A2741, ""[^-]+- [^-]+- [^-]+ - (.+?)\.jpg""), "".jpg"", """"), ""-"", "", ""), """")"),"")</f>
        <v/>
      </c>
      <c r="L2741" s="12"/>
      <c r="M2741" s="13"/>
      <c r="N2741" s="2"/>
      <c r="O2741" s="20"/>
      <c r="P2741" s="42"/>
      <c r="R2741" s="23"/>
    </row>
    <row r="2742" spans="1:18" ht="12.75">
      <c r="A2742" s="12"/>
      <c r="D2742" s="12"/>
      <c r="E2742" s="12"/>
      <c r="H2742" s="11" t="str">
        <f ca="1">IFERROR(__xludf.DUMMYFUNCTION("IFERROR(SUBSTITUTE(SUBSTITUTE(REGEXEXTRACT(A2742, ""[^-]+- [^-]+- [^-]+ - (.+?)\.jpg""), "".jpg"", """"), ""-"", "", ""), """")"),"")</f>
        <v/>
      </c>
      <c r="L2742" s="12"/>
      <c r="M2742" s="13"/>
      <c r="N2742" s="2"/>
      <c r="O2742" s="20"/>
      <c r="P2742" s="42"/>
      <c r="R2742" s="23"/>
    </row>
    <row r="2743" spans="1:18" ht="12.75">
      <c r="A2743" s="12"/>
      <c r="D2743" s="12"/>
      <c r="E2743" s="12"/>
      <c r="H2743" s="11" t="str">
        <f ca="1">IFERROR(__xludf.DUMMYFUNCTION("IFERROR(SUBSTITUTE(SUBSTITUTE(REGEXEXTRACT(A2743, ""[^-]+- [^-]+- [^-]+ - (.+?)\.jpg""), "".jpg"", """"), ""-"", "", ""), """")"),"")</f>
        <v/>
      </c>
      <c r="L2743" s="12"/>
      <c r="M2743" s="13"/>
      <c r="N2743" s="2"/>
      <c r="O2743" s="20"/>
      <c r="P2743" s="42"/>
      <c r="R2743" s="23"/>
    </row>
    <row r="2744" spans="1:18" ht="12.75">
      <c r="A2744" s="12"/>
      <c r="D2744" s="12"/>
      <c r="E2744" s="12"/>
      <c r="H2744" s="11" t="str">
        <f ca="1">IFERROR(__xludf.DUMMYFUNCTION("IFERROR(SUBSTITUTE(SUBSTITUTE(REGEXEXTRACT(A2744, ""[^-]+- [^-]+- [^-]+ - (.+?)\.jpg""), "".jpg"", """"), ""-"", "", ""), """")"),"")</f>
        <v/>
      </c>
      <c r="L2744" s="12"/>
      <c r="M2744" s="13"/>
      <c r="N2744" s="2"/>
      <c r="O2744" s="20"/>
      <c r="P2744" s="42"/>
      <c r="R2744" s="23"/>
    </row>
    <row r="2745" spans="1:18" ht="12.75">
      <c r="A2745" s="12"/>
      <c r="D2745" s="12"/>
      <c r="E2745" s="12"/>
      <c r="H2745" s="11" t="str">
        <f ca="1">IFERROR(__xludf.DUMMYFUNCTION("IFERROR(SUBSTITUTE(SUBSTITUTE(REGEXEXTRACT(A2745, ""[^-]+- [^-]+- [^-]+ - (.+?)\.jpg""), "".jpg"", """"), ""-"", "", ""), """")"),"")</f>
        <v/>
      </c>
      <c r="L2745" s="12"/>
      <c r="M2745" s="13"/>
      <c r="N2745" s="2"/>
      <c r="O2745" s="20"/>
      <c r="P2745" s="42"/>
      <c r="R2745" s="23"/>
    </row>
    <row r="2746" spans="1:18" ht="12.75">
      <c r="A2746" s="12"/>
      <c r="D2746" s="12"/>
      <c r="E2746" s="12"/>
      <c r="H2746" s="11" t="str">
        <f ca="1">IFERROR(__xludf.DUMMYFUNCTION("IFERROR(SUBSTITUTE(SUBSTITUTE(REGEXEXTRACT(A2746, ""[^-]+- [^-]+- [^-]+ - (.+?)\.jpg""), "".jpg"", """"), ""-"", "", ""), """")"),"")</f>
        <v/>
      </c>
      <c r="L2746" s="12"/>
      <c r="M2746" s="13"/>
      <c r="N2746" s="2"/>
      <c r="O2746" s="20"/>
      <c r="P2746" s="42"/>
      <c r="R2746" s="23"/>
    </row>
    <row r="2747" spans="1:18" ht="12.75">
      <c r="A2747" s="12"/>
      <c r="D2747" s="12"/>
      <c r="E2747" s="12"/>
      <c r="H2747" s="11" t="str">
        <f ca="1">IFERROR(__xludf.DUMMYFUNCTION("IFERROR(SUBSTITUTE(SUBSTITUTE(REGEXEXTRACT(A2747, ""[^-]+- [^-]+- [^-]+ - (.+?)\.jpg""), "".jpg"", """"), ""-"", "", ""), """")"),"")</f>
        <v/>
      </c>
      <c r="L2747" s="12"/>
      <c r="M2747" s="13"/>
      <c r="N2747" s="2"/>
      <c r="O2747" s="20"/>
      <c r="P2747" s="42"/>
      <c r="R2747" s="23"/>
    </row>
    <row r="2748" spans="1:18" ht="12.75">
      <c r="A2748" s="12"/>
      <c r="D2748" s="12"/>
      <c r="E2748" s="12"/>
      <c r="H2748" s="11" t="str">
        <f ca="1">IFERROR(__xludf.DUMMYFUNCTION("IFERROR(SUBSTITUTE(SUBSTITUTE(REGEXEXTRACT(A2748, ""[^-]+- [^-]+- [^-]+ - (.+?)\.jpg""), "".jpg"", """"), ""-"", "", ""), """")"),"")</f>
        <v/>
      </c>
      <c r="L2748" s="12"/>
      <c r="M2748" s="13"/>
      <c r="N2748" s="2"/>
      <c r="O2748" s="20"/>
      <c r="P2748" s="42"/>
      <c r="R2748" s="23"/>
    </row>
    <row r="2749" spans="1:18" ht="12.75">
      <c r="A2749" s="12"/>
      <c r="D2749" s="12"/>
      <c r="E2749" s="12"/>
      <c r="H2749" s="11" t="str">
        <f ca="1">IFERROR(__xludf.DUMMYFUNCTION("IFERROR(SUBSTITUTE(SUBSTITUTE(REGEXEXTRACT(A2749, ""[^-]+- [^-]+- [^-]+ - (.+?)\.jpg""), "".jpg"", """"), ""-"", "", ""), """")"),"")</f>
        <v/>
      </c>
      <c r="L2749" s="12"/>
      <c r="M2749" s="13"/>
      <c r="N2749" s="2"/>
      <c r="O2749" s="20"/>
      <c r="P2749" s="42"/>
      <c r="R2749" s="23"/>
    </row>
    <row r="2750" spans="1:18" ht="12.75">
      <c r="A2750" s="12"/>
      <c r="D2750" s="12"/>
      <c r="E2750" s="12"/>
      <c r="H2750" s="11" t="str">
        <f ca="1">IFERROR(__xludf.DUMMYFUNCTION("IFERROR(SUBSTITUTE(SUBSTITUTE(REGEXEXTRACT(A2750, ""[^-]+- [^-]+- [^-]+ - (.+?)\.jpg""), "".jpg"", """"), ""-"", "", ""), """")"),"")</f>
        <v/>
      </c>
      <c r="L2750" s="12"/>
      <c r="M2750" s="13"/>
      <c r="N2750" s="2"/>
      <c r="O2750" s="20"/>
      <c r="P2750" s="42"/>
      <c r="R2750" s="23"/>
    </row>
    <row r="2751" spans="1:18" ht="12.75">
      <c r="A2751" s="12"/>
      <c r="D2751" s="12"/>
      <c r="E2751" s="12"/>
      <c r="H2751" s="11" t="str">
        <f ca="1">IFERROR(__xludf.DUMMYFUNCTION("IFERROR(SUBSTITUTE(SUBSTITUTE(REGEXEXTRACT(A2751, ""[^-]+- [^-]+- [^-]+ - (.+?)\.jpg""), "".jpg"", """"), ""-"", "", ""), """")"),"")</f>
        <v/>
      </c>
      <c r="L2751" s="12"/>
      <c r="M2751" s="13"/>
      <c r="N2751" s="2"/>
      <c r="O2751" s="20"/>
      <c r="P2751" s="42"/>
      <c r="R2751" s="23"/>
    </row>
    <row r="2752" spans="1:18" ht="12.75">
      <c r="A2752" s="12"/>
      <c r="D2752" s="12"/>
      <c r="E2752" s="12"/>
      <c r="H2752" s="11" t="str">
        <f ca="1">IFERROR(__xludf.DUMMYFUNCTION("IFERROR(SUBSTITUTE(SUBSTITUTE(REGEXEXTRACT(A2752, ""[^-]+- [^-]+- [^-]+ - (.+?)\.jpg""), "".jpg"", """"), ""-"", "", ""), """")"),"")</f>
        <v/>
      </c>
      <c r="L2752" s="12"/>
      <c r="M2752" s="13"/>
      <c r="N2752" s="2"/>
      <c r="O2752" s="20"/>
      <c r="P2752" s="42"/>
      <c r="R2752" s="23"/>
    </row>
    <row r="2753" spans="1:18" ht="12.75">
      <c r="A2753" s="12"/>
      <c r="D2753" s="12"/>
      <c r="E2753" s="12"/>
      <c r="H2753" s="11" t="str">
        <f ca="1">IFERROR(__xludf.DUMMYFUNCTION("IFERROR(SUBSTITUTE(SUBSTITUTE(REGEXEXTRACT(A2753, ""[^-]+- [^-]+- [^-]+ - (.+?)\.jpg""), "".jpg"", """"), ""-"", "", ""), """")"),"")</f>
        <v/>
      </c>
      <c r="L2753" s="12"/>
      <c r="M2753" s="13"/>
      <c r="N2753" s="2"/>
      <c r="O2753" s="20"/>
      <c r="P2753" s="42"/>
      <c r="R2753" s="23"/>
    </row>
    <row r="2754" spans="1:18" ht="12.75">
      <c r="A2754" s="12"/>
      <c r="D2754" s="12"/>
      <c r="E2754" s="12"/>
      <c r="H2754" s="11" t="str">
        <f ca="1">IFERROR(__xludf.DUMMYFUNCTION("IFERROR(SUBSTITUTE(SUBSTITUTE(REGEXEXTRACT(A2754, ""[^-]+- [^-]+- [^-]+ - (.+?)\.jpg""), "".jpg"", """"), ""-"", "", ""), """")"),"")</f>
        <v/>
      </c>
      <c r="L2754" s="12"/>
      <c r="M2754" s="13"/>
      <c r="N2754" s="2"/>
      <c r="O2754" s="20"/>
      <c r="P2754" s="42"/>
      <c r="R2754" s="23"/>
    </row>
    <row r="2755" spans="1:18" ht="12.75">
      <c r="A2755" s="12"/>
      <c r="D2755" s="12"/>
      <c r="E2755" s="12"/>
      <c r="H2755" s="11" t="str">
        <f ca="1">IFERROR(__xludf.DUMMYFUNCTION("IFERROR(SUBSTITUTE(SUBSTITUTE(REGEXEXTRACT(A2755, ""[^-]+- [^-]+- [^-]+ - (.+?)\.jpg""), "".jpg"", """"), ""-"", "", ""), """")"),"")</f>
        <v/>
      </c>
      <c r="L2755" s="12"/>
      <c r="M2755" s="13"/>
      <c r="N2755" s="2"/>
      <c r="O2755" s="20"/>
      <c r="P2755" s="42"/>
      <c r="R2755" s="23"/>
    </row>
    <row r="2756" spans="1:18" ht="12.75">
      <c r="A2756" s="12"/>
      <c r="D2756" s="12"/>
      <c r="E2756" s="12"/>
      <c r="H2756" s="11" t="str">
        <f ca="1">IFERROR(__xludf.DUMMYFUNCTION("IFERROR(SUBSTITUTE(SUBSTITUTE(REGEXEXTRACT(A2756, ""[^-]+- [^-]+- [^-]+ - (.+?)\.jpg""), "".jpg"", """"), ""-"", "", ""), """")"),"")</f>
        <v/>
      </c>
      <c r="L2756" s="12"/>
      <c r="M2756" s="13"/>
      <c r="N2756" s="2"/>
      <c r="O2756" s="20"/>
      <c r="P2756" s="42"/>
      <c r="R2756" s="23"/>
    </row>
    <row r="2757" spans="1:18" ht="12.75">
      <c r="A2757" s="12"/>
      <c r="D2757" s="12"/>
      <c r="E2757" s="12"/>
      <c r="H2757" s="11" t="str">
        <f ca="1">IFERROR(__xludf.DUMMYFUNCTION("IFERROR(SUBSTITUTE(SUBSTITUTE(REGEXEXTRACT(A2757, ""[^-]+- [^-]+- [^-]+ - (.+?)\.jpg""), "".jpg"", """"), ""-"", "", ""), """")"),"")</f>
        <v/>
      </c>
      <c r="L2757" s="12"/>
      <c r="M2757" s="13"/>
      <c r="N2757" s="2"/>
      <c r="O2757" s="20"/>
      <c r="P2757" s="42"/>
      <c r="R2757" s="23"/>
    </row>
    <row r="2758" spans="1:18" ht="12.75">
      <c r="A2758" s="12"/>
      <c r="D2758" s="12"/>
      <c r="E2758" s="12"/>
      <c r="H2758" s="11" t="str">
        <f ca="1">IFERROR(__xludf.DUMMYFUNCTION("IFERROR(SUBSTITUTE(SUBSTITUTE(REGEXEXTRACT(A2758, ""[^-]+- [^-]+- [^-]+ - (.+?)\.jpg""), "".jpg"", """"), ""-"", "", ""), """")"),"")</f>
        <v/>
      </c>
      <c r="L2758" s="12"/>
      <c r="M2758" s="13"/>
      <c r="N2758" s="2"/>
      <c r="O2758" s="20"/>
      <c r="P2758" s="42"/>
      <c r="R2758" s="23"/>
    </row>
    <row r="2759" spans="1:18" ht="12.75">
      <c r="A2759" s="12"/>
      <c r="D2759" s="12"/>
      <c r="E2759" s="12"/>
      <c r="H2759" s="11" t="str">
        <f ca="1">IFERROR(__xludf.DUMMYFUNCTION("IFERROR(SUBSTITUTE(SUBSTITUTE(REGEXEXTRACT(A2759, ""[^-]+- [^-]+- [^-]+ - (.+?)\.jpg""), "".jpg"", """"), ""-"", "", ""), """")"),"")</f>
        <v/>
      </c>
      <c r="L2759" s="12"/>
      <c r="M2759" s="13"/>
      <c r="N2759" s="2"/>
      <c r="O2759" s="20"/>
      <c r="P2759" s="42"/>
      <c r="R2759" s="23"/>
    </row>
    <row r="2760" spans="1:18" ht="12.75">
      <c r="A2760" s="12"/>
      <c r="D2760" s="12"/>
      <c r="E2760" s="12"/>
      <c r="H2760" s="11" t="str">
        <f ca="1">IFERROR(__xludf.DUMMYFUNCTION("IFERROR(SUBSTITUTE(SUBSTITUTE(REGEXEXTRACT(A2760, ""[^-]+- [^-]+- [^-]+ - (.+?)\.jpg""), "".jpg"", """"), ""-"", "", ""), """")"),"")</f>
        <v/>
      </c>
      <c r="L2760" s="12"/>
      <c r="M2760" s="13"/>
      <c r="N2760" s="2"/>
      <c r="O2760" s="20"/>
      <c r="P2760" s="42"/>
      <c r="R2760" s="23"/>
    </row>
    <row r="2761" spans="1:18" ht="12.75">
      <c r="A2761" s="12"/>
      <c r="D2761" s="12"/>
      <c r="E2761" s="12"/>
      <c r="H2761" s="11" t="str">
        <f ca="1">IFERROR(__xludf.DUMMYFUNCTION("IFERROR(SUBSTITUTE(SUBSTITUTE(REGEXEXTRACT(A2761, ""[^-]+- [^-]+- [^-]+ - (.+?)\.jpg""), "".jpg"", """"), ""-"", "", ""), """")"),"")</f>
        <v/>
      </c>
      <c r="L2761" s="12"/>
      <c r="M2761" s="13"/>
      <c r="N2761" s="2"/>
      <c r="O2761" s="20"/>
      <c r="P2761" s="42"/>
      <c r="R2761" s="23"/>
    </row>
    <row r="2762" spans="1:18" ht="12.75">
      <c r="A2762" s="12"/>
      <c r="D2762" s="12"/>
      <c r="E2762" s="12"/>
      <c r="H2762" s="11" t="str">
        <f ca="1">IFERROR(__xludf.DUMMYFUNCTION("IFERROR(SUBSTITUTE(SUBSTITUTE(REGEXEXTRACT(A2762, ""[^-]+- [^-]+- [^-]+ - (.+?)\.jpg""), "".jpg"", """"), ""-"", "", ""), """")"),"")</f>
        <v/>
      </c>
      <c r="L2762" s="12"/>
      <c r="M2762" s="13"/>
      <c r="N2762" s="2"/>
      <c r="O2762" s="20"/>
      <c r="P2762" s="42"/>
      <c r="R2762" s="23"/>
    </row>
    <row r="2763" spans="1:18" ht="12.75">
      <c r="A2763" s="12"/>
      <c r="D2763" s="12"/>
      <c r="E2763" s="12"/>
      <c r="H2763" s="11" t="str">
        <f ca="1">IFERROR(__xludf.DUMMYFUNCTION("IFERROR(SUBSTITUTE(SUBSTITUTE(REGEXEXTRACT(A2763, ""[^-]+- [^-]+- [^-]+ - (.+?)\.jpg""), "".jpg"", """"), ""-"", "", ""), """")"),"")</f>
        <v/>
      </c>
      <c r="L2763" s="12"/>
      <c r="M2763" s="13"/>
      <c r="N2763" s="2"/>
      <c r="O2763" s="20"/>
      <c r="P2763" s="42"/>
      <c r="R2763" s="23"/>
    </row>
    <row r="2764" spans="1:18" ht="12.75">
      <c r="A2764" s="12"/>
      <c r="D2764" s="12"/>
      <c r="E2764" s="12"/>
      <c r="H2764" s="11" t="str">
        <f ca="1">IFERROR(__xludf.DUMMYFUNCTION("IFERROR(SUBSTITUTE(SUBSTITUTE(REGEXEXTRACT(A2764, ""[^-]+- [^-]+- [^-]+ - (.+?)\.jpg""), "".jpg"", """"), ""-"", "", ""), """")"),"")</f>
        <v/>
      </c>
      <c r="L2764" s="12"/>
      <c r="M2764" s="13"/>
      <c r="N2764" s="2"/>
      <c r="O2764" s="20"/>
      <c r="P2764" s="42"/>
      <c r="R2764" s="23"/>
    </row>
    <row r="2765" spans="1:18" ht="12.75">
      <c r="A2765" s="12"/>
      <c r="D2765" s="12"/>
      <c r="E2765" s="12"/>
      <c r="H2765" s="11" t="str">
        <f ca="1">IFERROR(__xludf.DUMMYFUNCTION("IFERROR(SUBSTITUTE(SUBSTITUTE(REGEXEXTRACT(A2765, ""[^-]+- [^-]+- [^-]+ - (.+?)\.jpg""), "".jpg"", """"), ""-"", "", ""), """")"),"")</f>
        <v/>
      </c>
      <c r="L2765" s="12"/>
      <c r="M2765" s="13"/>
      <c r="N2765" s="2"/>
      <c r="O2765" s="20"/>
      <c r="P2765" s="42"/>
      <c r="R2765" s="23"/>
    </row>
    <row r="2766" spans="1:18" ht="12.75">
      <c r="A2766" s="12"/>
      <c r="D2766" s="12"/>
      <c r="E2766" s="12"/>
      <c r="H2766" s="11" t="str">
        <f ca="1">IFERROR(__xludf.DUMMYFUNCTION("IFERROR(SUBSTITUTE(SUBSTITUTE(REGEXEXTRACT(A2766, ""[^-]+- [^-]+- [^-]+ - (.+?)\.jpg""), "".jpg"", """"), ""-"", "", ""), """")"),"")</f>
        <v/>
      </c>
      <c r="L2766" s="12"/>
      <c r="M2766" s="13"/>
      <c r="N2766" s="2"/>
      <c r="O2766" s="20"/>
      <c r="P2766" s="42"/>
      <c r="R2766" s="23"/>
    </row>
    <row r="2767" spans="1:18" ht="12.75">
      <c r="A2767" s="12"/>
      <c r="D2767" s="12"/>
      <c r="E2767" s="12"/>
      <c r="H2767" s="11" t="str">
        <f ca="1">IFERROR(__xludf.DUMMYFUNCTION("IFERROR(SUBSTITUTE(SUBSTITUTE(REGEXEXTRACT(A2767, ""[^-]+- [^-]+- [^-]+ - (.+?)\.jpg""), "".jpg"", """"), ""-"", "", ""), """")"),"")</f>
        <v/>
      </c>
      <c r="L2767" s="12"/>
      <c r="M2767" s="13"/>
      <c r="N2767" s="2"/>
      <c r="O2767" s="20"/>
      <c r="P2767" s="42"/>
      <c r="R2767" s="23"/>
    </row>
    <row r="2768" spans="1:18" ht="12.75">
      <c r="A2768" s="12"/>
      <c r="D2768" s="12"/>
      <c r="E2768" s="12"/>
      <c r="H2768" s="11" t="str">
        <f ca="1">IFERROR(__xludf.DUMMYFUNCTION("IFERROR(SUBSTITUTE(SUBSTITUTE(REGEXEXTRACT(A2768, ""[^-]+- [^-]+- [^-]+ - (.+?)\.jpg""), "".jpg"", """"), ""-"", "", ""), """")"),"")</f>
        <v/>
      </c>
      <c r="L2768" s="12"/>
      <c r="M2768" s="13"/>
      <c r="N2768" s="2"/>
      <c r="O2768" s="20"/>
      <c r="P2768" s="42"/>
      <c r="R2768" s="23"/>
    </row>
    <row r="2769" spans="1:18" ht="12.75">
      <c r="A2769" s="12"/>
      <c r="D2769" s="12"/>
      <c r="E2769" s="12"/>
      <c r="H2769" s="11" t="str">
        <f ca="1">IFERROR(__xludf.DUMMYFUNCTION("IFERROR(SUBSTITUTE(SUBSTITUTE(REGEXEXTRACT(A2769, ""[^-]+- [^-]+- [^-]+ - (.+?)\.jpg""), "".jpg"", """"), ""-"", "", ""), """")"),"")</f>
        <v/>
      </c>
      <c r="L2769" s="12"/>
      <c r="M2769" s="13"/>
      <c r="N2769" s="2"/>
      <c r="O2769" s="20"/>
      <c r="P2769" s="42"/>
      <c r="R2769" s="23"/>
    </row>
    <row r="2770" spans="1:18" ht="12.75">
      <c r="A2770" s="12"/>
      <c r="D2770" s="12"/>
      <c r="E2770" s="12"/>
      <c r="H2770" s="11" t="str">
        <f ca="1">IFERROR(__xludf.DUMMYFUNCTION("IFERROR(SUBSTITUTE(SUBSTITUTE(REGEXEXTRACT(A2770, ""[^-]+- [^-]+- [^-]+ - (.+?)\.jpg""), "".jpg"", """"), ""-"", "", ""), """")"),"")</f>
        <v/>
      </c>
      <c r="L2770" s="12"/>
      <c r="M2770" s="13"/>
      <c r="N2770" s="2"/>
      <c r="O2770" s="20"/>
      <c r="P2770" s="42"/>
      <c r="R2770" s="23"/>
    </row>
    <row r="2771" spans="1:18" ht="12.75">
      <c r="A2771" s="12"/>
      <c r="D2771" s="12"/>
      <c r="E2771" s="12"/>
      <c r="H2771" s="11" t="str">
        <f ca="1">IFERROR(__xludf.DUMMYFUNCTION("IFERROR(SUBSTITUTE(SUBSTITUTE(REGEXEXTRACT(A2771, ""[^-]+- [^-]+- [^-]+ - (.+?)\.jpg""), "".jpg"", """"), ""-"", "", ""), """")"),"")</f>
        <v/>
      </c>
      <c r="L2771" s="12"/>
      <c r="M2771" s="13"/>
      <c r="N2771" s="2"/>
      <c r="O2771" s="20"/>
      <c r="P2771" s="42"/>
      <c r="R2771" s="23"/>
    </row>
    <row r="2772" spans="1:18" ht="12.75">
      <c r="A2772" s="12"/>
      <c r="D2772" s="12"/>
      <c r="E2772" s="12"/>
      <c r="H2772" s="11" t="str">
        <f ca="1">IFERROR(__xludf.DUMMYFUNCTION("IFERROR(SUBSTITUTE(SUBSTITUTE(REGEXEXTRACT(A2772, ""[^-]+- [^-]+- [^-]+ - (.+?)\.jpg""), "".jpg"", """"), ""-"", "", ""), """")"),"")</f>
        <v/>
      </c>
      <c r="L2772" s="12"/>
      <c r="M2772" s="13"/>
      <c r="N2772" s="2"/>
      <c r="O2772" s="20"/>
      <c r="P2772" s="42"/>
      <c r="R2772" s="23"/>
    </row>
    <row r="2773" spans="1:18" ht="12.75">
      <c r="A2773" s="12"/>
      <c r="D2773" s="12"/>
      <c r="E2773" s="12"/>
      <c r="H2773" s="11" t="str">
        <f ca="1">IFERROR(__xludf.DUMMYFUNCTION("IFERROR(SUBSTITUTE(SUBSTITUTE(REGEXEXTRACT(A2773, ""[^-]+- [^-]+- [^-]+ - (.+?)\.jpg""), "".jpg"", """"), ""-"", "", ""), """")"),"")</f>
        <v/>
      </c>
      <c r="L2773" s="12"/>
      <c r="M2773" s="13"/>
      <c r="N2773" s="2"/>
      <c r="O2773" s="20"/>
      <c r="P2773" s="42"/>
      <c r="R2773" s="23"/>
    </row>
    <row r="2774" spans="1:18" ht="12.75">
      <c r="A2774" s="12"/>
      <c r="D2774" s="12"/>
      <c r="E2774" s="12"/>
      <c r="H2774" s="11" t="str">
        <f ca="1">IFERROR(__xludf.DUMMYFUNCTION("IFERROR(SUBSTITUTE(SUBSTITUTE(REGEXEXTRACT(A2774, ""[^-]+- [^-]+- [^-]+ - (.+?)\.jpg""), "".jpg"", """"), ""-"", "", ""), """")"),"")</f>
        <v/>
      </c>
      <c r="L2774" s="12"/>
      <c r="M2774" s="13"/>
      <c r="N2774" s="2"/>
      <c r="O2774" s="20"/>
      <c r="P2774" s="42"/>
      <c r="R2774" s="23"/>
    </row>
    <row r="2775" spans="1:18" ht="12.75">
      <c r="A2775" s="12"/>
      <c r="D2775" s="12"/>
      <c r="E2775" s="12"/>
      <c r="H2775" s="11" t="str">
        <f ca="1">IFERROR(__xludf.DUMMYFUNCTION("IFERROR(SUBSTITUTE(SUBSTITUTE(REGEXEXTRACT(A2775, ""[^-]+- [^-]+- [^-]+ - (.+?)\.jpg""), "".jpg"", """"), ""-"", "", ""), """")"),"")</f>
        <v/>
      </c>
      <c r="L2775" s="12"/>
      <c r="M2775" s="13"/>
      <c r="N2775" s="2"/>
      <c r="O2775" s="20"/>
      <c r="P2775" s="42"/>
      <c r="R2775" s="23"/>
    </row>
    <row r="2776" spans="1:18" ht="12.75">
      <c r="A2776" s="12"/>
      <c r="D2776" s="12"/>
      <c r="E2776" s="12"/>
      <c r="H2776" s="11" t="str">
        <f ca="1">IFERROR(__xludf.DUMMYFUNCTION("IFERROR(SUBSTITUTE(SUBSTITUTE(REGEXEXTRACT(A2776, ""[^-]+- [^-]+- [^-]+ - (.+?)\.jpg""), "".jpg"", """"), ""-"", "", ""), """")"),"")</f>
        <v/>
      </c>
      <c r="L2776" s="12"/>
      <c r="M2776" s="13"/>
      <c r="N2776" s="2"/>
      <c r="O2776" s="20"/>
      <c r="P2776" s="42"/>
      <c r="R2776" s="23"/>
    </row>
    <row r="2777" spans="1:18" ht="12.75">
      <c r="A2777" s="12"/>
      <c r="D2777" s="12"/>
      <c r="E2777" s="12"/>
      <c r="H2777" s="11" t="str">
        <f ca="1">IFERROR(__xludf.DUMMYFUNCTION("IFERROR(SUBSTITUTE(SUBSTITUTE(REGEXEXTRACT(A2777, ""[^-]+- [^-]+- [^-]+ - (.+?)\.jpg""), "".jpg"", """"), ""-"", "", ""), """")"),"")</f>
        <v/>
      </c>
      <c r="L2777" s="12"/>
      <c r="M2777" s="13"/>
      <c r="N2777" s="2"/>
      <c r="O2777" s="20"/>
      <c r="P2777" s="42"/>
      <c r="R2777" s="23"/>
    </row>
    <row r="2778" spans="1:18" ht="12.75">
      <c r="A2778" s="12"/>
      <c r="D2778" s="12"/>
      <c r="E2778" s="12"/>
      <c r="H2778" s="11" t="str">
        <f ca="1">IFERROR(__xludf.DUMMYFUNCTION("IFERROR(SUBSTITUTE(SUBSTITUTE(REGEXEXTRACT(A2778, ""[^-]+- [^-]+- [^-]+ - (.+?)\.jpg""), "".jpg"", """"), ""-"", "", ""), """")"),"")</f>
        <v/>
      </c>
      <c r="L2778" s="12"/>
      <c r="M2778" s="13"/>
      <c r="N2778" s="2"/>
      <c r="O2778" s="20"/>
      <c r="P2778" s="42"/>
      <c r="R2778" s="23"/>
    </row>
    <row r="2779" spans="1:18" ht="12.75">
      <c r="A2779" s="12"/>
      <c r="D2779" s="12"/>
      <c r="E2779" s="12"/>
      <c r="H2779" s="11" t="str">
        <f ca="1">IFERROR(__xludf.DUMMYFUNCTION("IFERROR(SUBSTITUTE(SUBSTITUTE(REGEXEXTRACT(A2779, ""[^-]+- [^-]+- [^-]+ - (.+?)\.jpg""), "".jpg"", """"), ""-"", "", ""), """")"),"")</f>
        <v/>
      </c>
      <c r="L2779" s="12"/>
      <c r="M2779" s="13"/>
      <c r="N2779" s="2"/>
      <c r="O2779" s="20"/>
      <c r="P2779" s="42"/>
      <c r="R2779" s="23"/>
    </row>
    <row r="2780" spans="1:18" ht="12.75">
      <c r="A2780" s="12"/>
      <c r="D2780" s="12"/>
      <c r="E2780" s="12"/>
      <c r="H2780" s="11" t="str">
        <f ca="1">IFERROR(__xludf.DUMMYFUNCTION("IFERROR(SUBSTITUTE(SUBSTITUTE(REGEXEXTRACT(A2780, ""[^-]+- [^-]+- [^-]+ - (.+?)\.jpg""), "".jpg"", """"), ""-"", "", ""), """")"),"")</f>
        <v/>
      </c>
      <c r="L2780" s="12"/>
      <c r="M2780" s="13"/>
      <c r="N2780" s="2"/>
      <c r="O2780" s="20"/>
      <c r="P2780" s="42"/>
      <c r="R2780" s="23"/>
    </row>
    <row r="2781" spans="1:18" ht="12.75">
      <c r="A2781" s="12"/>
      <c r="D2781" s="12"/>
      <c r="E2781" s="12"/>
      <c r="H2781" s="11" t="str">
        <f ca="1">IFERROR(__xludf.DUMMYFUNCTION("IFERROR(SUBSTITUTE(SUBSTITUTE(REGEXEXTRACT(A2781, ""[^-]+- [^-]+- [^-]+ - (.+?)\.jpg""), "".jpg"", """"), ""-"", "", ""), """")"),"")</f>
        <v/>
      </c>
      <c r="L2781" s="12"/>
      <c r="M2781" s="13"/>
      <c r="N2781" s="2"/>
      <c r="O2781" s="20"/>
      <c r="P2781" s="42"/>
      <c r="R2781" s="23"/>
    </row>
    <row r="2782" spans="1:18" ht="12.75">
      <c r="A2782" s="12"/>
      <c r="D2782" s="12"/>
      <c r="E2782" s="12"/>
      <c r="H2782" s="11" t="str">
        <f ca="1">IFERROR(__xludf.DUMMYFUNCTION("IFERROR(SUBSTITUTE(SUBSTITUTE(REGEXEXTRACT(A2782, ""[^-]+- [^-]+- [^-]+ - (.+?)\.jpg""), "".jpg"", """"), ""-"", "", ""), """")"),"")</f>
        <v/>
      </c>
      <c r="L2782" s="12"/>
      <c r="M2782" s="13"/>
      <c r="N2782" s="2"/>
      <c r="O2782" s="20"/>
      <c r="P2782" s="42"/>
      <c r="R2782" s="23"/>
    </row>
    <row r="2783" spans="1:18" ht="12.75">
      <c r="A2783" s="12"/>
      <c r="D2783" s="12"/>
      <c r="E2783" s="12"/>
      <c r="H2783" s="11" t="str">
        <f ca="1">IFERROR(__xludf.DUMMYFUNCTION("IFERROR(SUBSTITUTE(SUBSTITUTE(REGEXEXTRACT(A2783, ""[^-]+- [^-]+- [^-]+ - (.+?)\.jpg""), "".jpg"", """"), ""-"", "", ""), """")"),"")</f>
        <v/>
      </c>
      <c r="L2783" s="12"/>
      <c r="M2783" s="13"/>
      <c r="N2783" s="2"/>
      <c r="O2783" s="20"/>
      <c r="P2783" s="42"/>
      <c r="R2783" s="23"/>
    </row>
    <row r="2784" spans="1:18" ht="12.75">
      <c r="A2784" s="12"/>
      <c r="D2784" s="12"/>
      <c r="E2784" s="12"/>
      <c r="H2784" s="11" t="str">
        <f ca="1">IFERROR(__xludf.DUMMYFUNCTION("IFERROR(SUBSTITUTE(SUBSTITUTE(REGEXEXTRACT(A2784, ""[^-]+- [^-]+- [^-]+ - (.+?)\.jpg""), "".jpg"", """"), ""-"", "", ""), """")"),"")</f>
        <v/>
      </c>
      <c r="L2784" s="12"/>
      <c r="M2784" s="13"/>
      <c r="N2784" s="2"/>
      <c r="O2784" s="20"/>
      <c r="P2784" s="42"/>
      <c r="R2784" s="23"/>
    </row>
    <row r="2785" spans="1:18" ht="12.75">
      <c r="A2785" s="12"/>
      <c r="D2785" s="12"/>
      <c r="E2785" s="12"/>
      <c r="H2785" s="11" t="str">
        <f ca="1">IFERROR(__xludf.DUMMYFUNCTION("IFERROR(SUBSTITUTE(SUBSTITUTE(REGEXEXTRACT(A2785, ""[^-]+- [^-]+- [^-]+ - (.+?)\.jpg""), "".jpg"", """"), ""-"", "", ""), """")"),"")</f>
        <v/>
      </c>
      <c r="L2785" s="12"/>
      <c r="M2785" s="13"/>
      <c r="N2785" s="2"/>
      <c r="O2785" s="20"/>
      <c r="P2785" s="42"/>
      <c r="R2785" s="23"/>
    </row>
    <row r="2786" spans="1:18" ht="12.75">
      <c r="A2786" s="12"/>
      <c r="D2786" s="12"/>
      <c r="E2786" s="12"/>
      <c r="H2786" s="11" t="str">
        <f ca="1">IFERROR(__xludf.DUMMYFUNCTION("IFERROR(SUBSTITUTE(SUBSTITUTE(REGEXEXTRACT(A2786, ""[^-]+- [^-]+- [^-]+ - (.+?)\.jpg""), "".jpg"", """"), ""-"", "", ""), """")"),"")</f>
        <v/>
      </c>
      <c r="L2786" s="12"/>
      <c r="M2786" s="13"/>
      <c r="N2786" s="2"/>
      <c r="O2786" s="20"/>
      <c r="P2786" s="42"/>
      <c r="R2786" s="23"/>
    </row>
    <row r="2787" spans="1:18" ht="12.75">
      <c r="A2787" s="12"/>
      <c r="D2787" s="12"/>
      <c r="E2787" s="12"/>
      <c r="H2787" s="11" t="str">
        <f ca="1">IFERROR(__xludf.DUMMYFUNCTION("IFERROR(SUBSTITUTE(SUBSTITUTE(REGEXEXTRACT(A2787, ""[^-]+- [^-]+- [^-]+ - (.+?)\.jpg""), "".jpg"", """"), ""-"", "", ""), """")"),"")</f>
        <v/>
      </c>
      <c r="L2787" s="12"/>
      <c r="M2787" s="13"/>
      <c r="N2787" s="2"/>
      <c r="O2787" s="20"/>
      <c r="P2787" s="42"/>
      <c r="R2787" s="23"/>
    </row>
    <row r="2788" spans="1:18" ht="12.75">
      <c r="A2788" s="12"/>
      <c r="D2788" s="12"/>
      <c r="E2788" s="12"/>
      <c r="H2788" s="11" t="str">
        <f ca="1">IFERROR(__xludf.DUMMYFUNCTION("IFERROR(SUBSTITUTE(SUBSTITUTE(REGEXEXTRACT(A2788, ""[^-]+- [^-]+- [^-]+ - (.+?)\.jpg""), "".jpg"", """"), ""-"", "", ""), """")"),"")</f>
        <v/>
      </c>
      <c r="L2788" s="12"/>
      <c r="M2788" s="13"/>
      <c r="N2788" s="2"/>
      <c r="O2788" s="20"/>
      <c r="P2788" s="42"/>
      <c r="R2788" s="23"/>
    </row>
    <row r="2789" spans="1:18" ht="12.75">
      <c r="A2789" s="12"/>
      <c r="D2789" s="12"/>
      <c r="E2789" s="12"/>
      <c r="H2789" s="11" t="str">
        <f ca="1">IFERROR(__xludf.DUMMYFUNCTION("IFERROR(SUBSTITUTE(SUBSTITUTE(REGEXEXTRACT(A2789, ""[^-]+- [^-]+- [^-]+ - (.+?)\.jpg""), "".jpg"", """"), ""-"", "", ""), """")"),"")</f>
        <v/>
      </c>
      <c r="L2789" s="12"/>
      <c r="M2789" s="13"/>
      <c r="N2789" s="2"/>
      <c r="O2789" s="20"/>
      <c r="P2789" s="42"/>
      <c r="R2789" s="23"/>
    </row>
    <row r="2790" spans="1:18" ht="12.75">
      <c r="A2790" s="12"/>
      <c r="D2790" s="12"/>
      <c r="E2790" s="12"/>
      <c r="H2790" s="11" t="str">
        <f ca="1">IFERROR(__xludf.DUMMYFUNCTION("IFERROR(SUBSTITUTE(SUBSTITUTE(REGEXEXTRACT(A2790, ""[^-]+- [^-]+- [^-]+ - (.+?)\.jpg""), "".jpg"", """"), ""-"", "", ""), """")"),"")</f>
        <v/>
      </c>
      <c r="L2790" s="12"/>
      <c r="M2790" s="13"/>
      <c r="N2790" s="2"/>
      <c r="O2790" s="20"/>
      <c r="P2790" s="42"/>
      <c r="R2790" s="23"/>
    </row>
    <row r="2791" spans="1:18" ht="12.75">
      <c r="A2791" s="12"/>
      <c r="D2791" s="12"/>
      <c r="E2791" s="12"/>
      <c r="H2791" s="11" t="str">
        <f ca="1">IFERROR(__xludf.DUMMYFUNCTION("IFERROR(SUBSTITUTE(SUBSTITUTE(REGEXEXTRACT(A2791, ""[^-]+- [^-]+- [^-]+ - (.+?)\.jpg""), "".jpg"", """"), ""-"", "", ""), """")"),"")</f>
        <v/>
      </c>
      <c r="L2791" s="12"/>
      <c r="M2791" s="13"/>
      <c r="N2791" s="2"/>
      <c r="O2791" s="20"/>
      <c r="P2791" s="42"/>
      <c r="R2791" s="23"/>
    </row>
    <row r="2792" spans="1:18" ht="12.75">
      <c r="A2792" s="12"/>
      <c r="D2792" s="12"/>
      <c r="E2792" s="12"/>
      <c r="H2792" s="11" t="str">
        <f ca="1">IFERROR(__xludf.DUMMYFUNCTION("IFERROR(SUBSTITUTE(SUBSTITUTE(REGEXEXTRACT(A2792, ""[^-]+- [^-]+- [^-]+ - (.+?)\.jpg""), "".jpg"", """"), ""-"", "", ""), """")"),"")</f>
        <v/>
      </c>
      <c r="L2792" s="12"/>
      <c r="M2792" s="13"/>
      <c r="N2792" s="2"/>
      <c r="O2792" s="20"/>
      <c r="P2792" s="42"/>
      <c r="R2792" s="23"/>
    </row>
    <row r="2793" spans="1:18" ht="12.75">
      <c r="A2793" s="12"/>
      <c r="D2793" s="12"/>
      <c r="E2793" s="12"/>
      <c r="H2793" s="11" t="str">
        <f ca="1">IFERROR(__xludf.DUMMYFUNCTION("IFERROR(SUBSTITUTE(SUBSTITUTE(REGEXEXTRACT(A2793, ""[^-]+- [^-]+- [^-]+ - (.+?)\.jpg""), "".jpg"", """"), ""-"", "", ""), """")"),"")</f>
        <v/>
      </c>
      <c r="L2793" s="12"/>
      <c r="M2793" s="13"/>
      <c r="N2793" s="2"/>
      <c r="O2793" s="20"/>
      <c r="P2793" s="42"/>
      <c r="R2793" s="23"/>
    </row>
    <row r="2794" spans="1:18" ht="12.75">
      <c r="A2794" s="12"/>
      <c r="D2794" s="12"/>
      <c r="E2794" s="12"/>
      <c r="H2794" s="11" t="str">
        <f ca="1">IFERROR(__xludf.DUMMYFUNCTION("IFERROR(SUBSTITUTE(SUBSTITUTE(REGEXEXTRACT(A2794, ""[^-]+- [^-]+- [^-]+ - (.+?)\.jpg""), "".jpg"", """"), ""-"", "", ""), """")"),"")</f>
        <v/>
      </c>
      <c r="L2794" s="12"/>
      <c r="M2794" s="13"/>
      <c r="N2794" s="2"/>
      <c r="O2794" s="20"/>
      <c r="P2794" s="42"/>
      <c r="R2794" s="23"/>
    </row>
    <row r="2795" spans="1:18" ht="12.75">
      <c r="A2795" s="12"/>
      <c r="D2795" s="12"/>
      <c r="E2795" s="12"/>
      <c r="H2795" s="11" t="str">
        <f ca="1">IFERROR(__xludf.DUMMYFUNCTION("IFERROR(SUBSTITUTE(SUBSTITUTE(REGEXEXTRACT(A2795, ""[^-]+- [^-]+- [^-]+ - (.+?)\.jpg""), "".jpg"", """"), ""-"", "", ""), """")"),"")</f>
        <v/>
      </c>
      <c r="L2795" s="12"/>
      <c r="M2795" s="13"/>
      <c r="N2795" s="2"/>
      <c r="O2795" s="20"/>
      <c r="P2795" s="42"/>
      <c r="R2795" s="23"/>
    </row>
    <row r="2796" spans="1:18" ht="12.75">
      <c r="A2796" s="12"/>
      <c r="D2796" s="12"/>
      <c r="E2796" s="12"/>
      <c r="H2796" s="11" t="str">
        <f ca="1">IFERROR(__xludf.DUMMYFUNCTION("IFERROR(SUBSTITUTE(SUBSTITUTE(REGEXEXTRACT(A2796, ""[^-]+- [^-]+- [^-]+ - (.+?)\.jpg""), "".jpg"", """"), ""-"", "", ""), """")"),"")</f>
        <v/>
      </c>
      <c r="L2796" s="12"/>
      <c r="M2796" s="13"/>
      <c r="N2796" s="2"/>
      <c r="O2796" s="20"/>
      <c r="P2796" s="42"/>
      <c r="R2796" s="23"/>
    </row>
    <row r="2797" spans="1:18" ht="12.75">
      <c r="A2797" s="12"/>
      <c r="D2797" s="12"/>
      <c r="E2797" s="12"/>
      <c r="H2797" s="11" t="str">
        <f ca="1">IFERROR(__xludf.DUMMYFUNCTION("IFERROR(SUBSTITUTE(SUBSTITUTE(REGEXEXTRACT(A2797, ""[^-]+- [^-]+- [^-]+ - (.+?)\.jpg""), "".jpg"", """"), ""-"", "", ""), """")"),"")</f>
        <v/>
      </c>
      <c r="L2797" s="12"/>
      <c r="M2797" s="13"/>
      <c r="N2797" s="2"/>
      <c r="O2797" s="20"/>
      <c r="P2797" s="42"/>
      <c r="R2797" s="23"/>
    </row>
    <row r="2798" spans="1:18" ht="12.75">
      <c r="A2798" s="12"/>
      <c r="D2798" s="12"/>
      <c r="E2798" s="12"/>
      <c r="H2798" s="11" t="str">
        <f ca="1">IFERROR(__xludf.DUMMYFUNCTION("IFERROR(SUBSTITUTE(SUBSTITUTE(REGEXEXTRACT(A2798, ""[^-]+- [^-]+- [^-]+ - (.+?)\.jpg""), "".jpg"", """"), ""-"", "", ""), """")"),"")</f>
        <v/>
      </c>
      <c r="L2798" s="12"/>
      <c r="M2798" s="13"/>
      <c r="N2798" s="2"/>
      <c r="O2798" s="20"/>
      <c r="P2798" s="42"/>
      <c r="R2798" s="23"/>
    </row>
    <row r="2799" spans="1:18" ht="12.75">
      <c r="A2799" s="12"/>
      <c r="D2799" s="12"/>
      <c r="E2799" s="12"/>
      <c r="H2799" s="11" t="str">
        <f ca="1">IFERROR(__xludf.DUMMYFUNCTION("IFERROR(SUBSTITUTE(SUBSTITUTE(REGEXEXTRACT(A2799, ""[^-]+- [^-]+- [^-]+ - (.+?)\.jpg""), "".jpg"", """"), ""-"", "", ""), """")"),"")</f>
        <v/>
      </c>
      <c r="L2799" s="12"/>
      <c r="M2799" s="13"/>
      <c r="N2799" s="2"/>
      <c r="O2799" s="20"/>
      <c r="P2799" s="42"/>
      <c r="R2799" s="23"/>
    </row>
    <row r="2800" spans="1:18" ht="12.75">
      <c r="A2800" s="12"/>
      <c r="D2800" s="12"/>
      <c r="E2800" s="12"/>
      <c r="H2800" s="11" t="str">
        <f ca="1">IFERROR(__xludf.DUMMYFUNCTION("IFERROR(SUBSTITUTE(SUBSTITUTE(REGEXEXTRACT(A2800, ""[^-]+- [^-]+- [^-]+ - (.+?)\.jpg""), "".jpg"", """"), ""-"", "", ""), """")"),"")</f>
        <v/>
      </c>
      <c r="L2800" s="12"/>
      <c r="M2800" s="13"/>
      <c r="N2800" s="2"/>
      <c r="O2800" s="20"/>
      <c r="P2800" s="42"/>
      <c r="R2800" s="23"/>
    </row>
    <row r="2801" spans="1:18" ht="12.75">
      <c r="A2801" s="12"/>
      <c r="D2801" s="12"/>
      <c r="E2801" s="12"/>
      <c r="H2801" s="11" t="str">
        <f ca="1">IFERROR(__xludf.DUMMYFUNCTION("IFERROR(SUBSTITUTE(SUBSTITUTE(REGEXEXTRACT(A2801, ""[^-]+- [^-]+- [^-]+ - (.+?)\.jpg""), "".jpg"", """"), ""-"", "", ""), """")"),"")</f>
        <v/>
      </c>
      <c r="L2801" s="12"/>
      <c r="M2801" s="13"/>
      <c r="N2801" s="2"/>
      <c r="O2801" s="20"/>
      <c r="P2801" s="42"/>
      <c r="R2801" s="23"/>
    </row>
    <row r="2802" spans="1:18" ht="12.75">
      <c r="A2802" s="12"/>
      <c r="D2802" s="12"/>
      <c r="E2802" s="12"/>
      <c r="H2802" s="11" t="str">
        <f ca="1">IFERROR(__xludf.DUMMYFUNCTION("IFERROR(SUBSTITUTE(SUBSTITUTE(REGEXEXTRACT(A2802, ""[^-]+- [^-]+- [^-]+ - (.+?)\.jpg""), "".jpg"", """"), ""-"", "", ""), """")"),"")</f>
        <v/>
      </c>
      <c r="L2802" s="12"/>
      <c r="M2802" s="13"/>
      <c r="N2802" s="2"/>
      <c r="O2802" s="20"/>
      <c r="P2802" s="42"/>
      <c r="R2802" s="23"/>
    </row>
    <row r="2803" spans="1:18" ht="12.75">
      <c r="A2803" s="12"/>
      <c r="D2803" s="12"/>
      <c r="E2803" s="12"/>
      <c r="H2803" s="11" t="str">
        <f ca="1">IFERROR(__xludf.DUMMYFUNCTION("IFERROR(SUBSTITUTE(SUBSTITUTE(REGEXEXTRACT(A2803, ""[^-]+- [^-]+- [^-]+ - (.+?)\.jpg""), "".jpg"", """"), ""-"", "", ""), """")"),"")</f>
        <v/>
      </c>
      <c r="L2803" s="12"/>
      <c r="M2803" s="13"/>
      <c r="N2803" s="2"/>
      <c r="O2803" s="20"/>
      <c r="P2803" s="42"/>
      <c r="R2803" s="23"/>
    </row>
    <row r="2804" spans="1:18" ht="12.75">
      <c r="A2804" s="12"/>
      <c r="D2804" s="12"/>
      <c r="E2804" s="12"/>
      <c r="H2804" s="11" t="str">
        <f ca="1">IFERROR(__xludf.DUMMYFUNCTION("IFERROR(SUBSTITUTE(SUBSTITUTE(REGEXEXTRACT(A2804, ""[^-]+- [^-]+- [^-]+ - (.+?)\.jpg""), "".jpg"", """"), ""-"", "", ""), """")"),"")</f>
        <v/>
      </c>
      <c r="L2804" s="12"/>
      <c r="M2804" s="13"/>
      <c r="N2804" s="2"/>
      <c r="O2804" s="20"/>
      <c r="P2804" s="42"/>
      <c r="R2804" s="23"/>
    </row>
    <row r="2805" spans="1:18" ht="12.75">
      <c r="A2805" s="12"/>
      <c r="D2805" s="12"/>
      <c r="E2805" s="12"/>
      <c r="H2805" s="11" t="str">
        <f ca="1">IFERROR(__xludf.DUMMYFUNCTION("IFERROR(SUBSTITUTE(SUBSTITUTE(REGEXEXTRACT(A2805, ""[^-]+- [^-]+- [^-]+ - (.+?)\.jpg""), "".jpg"", """"), ""-"", "", ""), """")"),"")</f>
        <v/>
      </c>
      <c r="L2805" s="12"/>
      <c r="M2805" s="13"/>
      <c r="N2805" s="2"/>
      <c r="O2805" s="20"/>
      <c r="P2805" s="42"/>
      <c r="R2805" s="23"/>
    </row>
    <row r="2806" spans="1:18" ht="12.75">
      <c r="A2806" s="12"/>
      <c r="D2806" s="12"/>
      <c r="E2806" s="12"/>
      <c r="H2806" s="11" t="str">
        <f ca="1">IFERROR(__xludf.DUMMYFUNCTION("IFERROR(SUBSTITUTE(SUBSTITUTE(REGEXEXTRACT(A2806, ""[^-]+- [^-]+- [^-]+ - (.+?)\.jpg""), "".jpg"", """"), ""-"", "", ""), """")"),"")</f>
        <v/>
      </c>
      <c r="L2806" s="12"/>
      <c r="M2806" s="13"/>
      <c r="N2806" s="2"/>
      <c r="O2806" s="20"/>
      <c r="P2806" s="42"/>
      <c r="R2806" s="23"/>
    </row>
    <row r="2807" spans="1:18" ht="12.75">
      <c r="A2807" s="12"/>
      <c r="D2807" s="12"/>
      <c r="E2807" s="12"/>
      <c r="H2807" s="11" t="str">
        <f ca="1">IFERROR(__xludf.DUMMYFUNCTION("IFERROR(SUBSTITUTE(SUBSTITUTE(REGEXEXTRACT(A2807, ""[^-]+- [^-]+- [^-]+ - (.+?)\.jpg""), "".jpg"", """"), ""-"", "", ""), """")"),"")</f>
        <v/>
      </c>
      <c r="L2807" s="12"/>
      <c r="M2807" s="13"/>
      <c r="N2807" s="2"/>
      <c r="O2807" s="20"/>
      <c r="P2807" s="42"/>
      <c r="R2807" s="23"/>
    </row>
    <row r="2808" spans="1:18" ht="12.75">
      <c r="A2808" s="12"/>
      <c r="D2808" s="12"/>
      <c r="E2808" s="12"/>
      <c r="H2808" s="11" t="str">
        <f ca="1">IFERROR(__xludf.DUMMYFUNCTION("IFERROR(SUBSTITUTE(SUBSTITUTE(REGEXEXTRACT(A2808, ""[^-]+- [^-]+- [^-]+ - (.+?)\.jpg""), "".jpg"", """"), ""-"", "", ""), """")"),"")</f>
        <v/>
      </c>
      <c r="L2808" s="12"/>
      <c r="M2808" s="13"/>
      <c r="N2808" s="2"/>
      <c r="O2808" s="20"/>
      <c r="P2808" s="42"/>
      <c r="R2808" s="23"/>
    </row>
    <row r="2809" spans="1:18" ht="12.75">
      <c r="A2809" s="12"/>
      <c r="D2809" s="12"/>
      <c r="E2809" s="12"/>
      <c r="H2809" s="11" t="str">
        <f ca="1">IFERROR(__xludf.DUMMYFUNCTION("IFERROR(SUBSTITUTE(SUBSTITUTE(REGEXEXTRACT(A2809, ""[^-]+- [^-]+- [^-]+ - (.+?)\.jpg""), "".jpg"", """"), ""-"", "", ""), """")"),"")</f>
        <v/>
      </c>
      <c r="L2809" s="12"/>
      <c r="M2809" s="13"/>
      <c r="N2809" s="2"/>
      <c r="O2809" s="20"/>
      <c r="P2809" s="42"/>
      <c r="R2809" s="23"/>
    </row>
    <row r="2810" spans="1:18" ht="12.75">
      <c r="A2810" s="12"/>
      <c r="D2810" s="12"/>
      <c r="E2810" s="12"/>
      <c r="H2810" s="11" t="str">
        <f ca="1">IFERROR(__xludf.DUMMYFUNCTION("IFERROR(SUBSTITUTE(SUBSTITUTE(REGEXEXTRACT(A2810, ""[^-]+- [^-]+- [^-]+ - (.+?)\.jpg""), "".jpg"", """"), ""-"", "", ""), """")"),"")</f>
        <v/>
      </c>
      <c r="L2810" s="12"/>
      <c r="M2810" s="13"/>
      <c r="N2810" s="2"/>
      <c r="O2810" s="20"/>
      <c r="P2810" s="42"/>
      <c r="R2810" s="23"/>
    </row>
    <row r="2811" spans="1:18" ht="12.75">
      <c r="A2811" s="12"/>
      <c r="D2811" s="12"/>
      <c r="E2811" s="12"/>
      <c r="H2811" s="11" t="str">
        <f ca="1">IFERROR(__xludf.DUMMYFUNCTION("IFERROR(SUBSTITUTE(SUBSTITUTE(REGEXEXTRACT(A2811, ""[^-]+- [^-]+- [^-]+ - (.+?)\.jpg""), "".jpg"", """"), ""-"", "", ""), """")"),"")</f>
        <v/>
      </c>
      <c r="L2811" s="12"/>
      <c r="M2811" s="13"/>
      <c r="N2811" s="2"/>
      <c r="O2811" s="20"/>
      <c r="P2811" s="42"/>
      <c r="R2811" s="23"/>
    </row>
    <row r="2812" spans="1:18" ht="12.75">
      <c r="A2812" s="12"/>
      <c r="D2812" s="12"/>
      <c r="E2812" s="12"/>
      <c r="H2812" s="11" t="str">
        <f ca="1">IFERROR(__xludf.DUMMYFUNCTION("IFERROR(SUBSTITUTE(SUBSTITUTE(REGEXEXTRACT(A2812, ""[^-]+- [^-]+- [^-]+ - (.+?)\.jpg""), "".jpg"", """"), ""-"", "", ""), """")"),"")</f>
        <v/>
      </c>
      <c r="L2812" s="12"/>
      <c r="M2812" s="13"/>
      <c r="N2812" s="2"/>
      <c r="O2812" s="20"/>
      <c r="P2812" s="42"/>
      <c r="R2812" s="23"/>
    </row>
    <row r="2813" spans="1:18" ht="12.75">
      <c r="A2813" s="12"/>
      <c r="D2813" s="12"/>
      <c r="E2813" s="12"/>
      <c r="H2813" s="11" t="str">
        <f ca="1">IFERROR(__xludf.DUMMYFUNCTION("IFERROR(SUBSTITUTE(SUBSTITUTE(REGEXEXTRACT(A2813, ""[^-]+- [^-]+- [^-]+ - (.+?)\.jpg""), "".jpg"", """"), ""-"", "", ""), """")"),"")</f>
        <v/>
      </c>
      <c r="L2813" s="12"/>
      <c r="M2813" s="13"/>
      <c r="N2813" s="2"/>
      <c r="O2813" s="20"/>
      <c r="P2813" s="42"/>
      <c r="R2813" s="23"/>
    </row>
    <row r="2814" spans="1:18" ht="12.75">
      <c r="A2814" s="12"/>
      <c r="D2814" s="12"/>
      <c r="E2814" s="12"/>
      <c r="H2814" s="11" t="str">
        <f ca="1">IFERROR(__xludf.DUMMYFUNCTION("IFERROR(SUBSTITUTE(SUBSTITUTE(REGEXEXTRACT(A2814, ""[^-]+- [^-]+- [^-]+ - (.+?)\.jpg""), "".jpg"", """"), ""-"", "", ""), """")"),"")</f>
        <v/>
      </c>
      <c r="L2814" s="12"/>
      <c r="M2814" s="13"/>
      <c r="N2814" s="2"/>
      <c r="O2814" s="20"/>
      <c r="P2814" s="42"/>
      <c r="R2814" s="23"/>
    </row>
    <row r="2815" spans="1:18" ht="12.75">
      <c r="A2815" s="12"/>
      <c r="D2815" s="12"/>
      <c r="E2815" s="12"/>
      <c r="H2815" s="11" t="str">
        <f ca="1">IFERROR(__xludf.DUMMYFUNCTION("IFERROR(SUBSTITUTE(SUBSTITUTE(REGEXEXTRACT(A2815, ""[^-]+- [^-]+- [^-]+ - (.+?)\.jpg""), "".jpg"", """"), ""-"", "", ""), """")"),"")</f>
        <v/>
      </c>
      <c r="L2815" s="12"/>
      <c r="M2815" s="13"/>
      <c r="N2815" s="2"/>
      <c r="O2815" s="20"/>
      <c r="P2815" s="42"/>
      <c r="R2815" s="23"/>
    </row>
    <row r="2816" spans="1:18" ht="12.75">
      <c r="A2816" s="12"/>
      <c r="D2816" s="12"/>
      <c r="E2816" s="12"/>
      <c r="H2816" s="11" t="str">
        <f ca="1">IFERROR(__xludf.DUMMYFUNCTION("IFERROR(SUBSTITUTE(SUBSTITUTE(REGEXEXTRACT(A2816, ""[^-]+- [^-]+- [^-]+ - (.+?)\.jpg""), "".jpg"", """"), ""-"", "", ""), """")"),"")</f>
        <v/>
      </c>
      <c r="L2816" s="12"/>
      <c r="M2816" s="13"/>
      <c r="N2816" s="2"/>
      <c r="O2816" s="20"/>
      <c r="P2816" s="42"/>
      <c r="R2816" s="23"/>
    </row>
    <row r="2817" spans="1:18" ht="12.75">
      <c r="A2817" s="12"/>
      <c r="D2817" s="12"/>
      <c r="E2817" s="12"/>
      <c r="H2817" s="11" t="str">
        <f ca="1">IFERROR(__xludf.DUMMYFUNCTION("IFERROR(SUBSTITUTE(SUBSTITUTE(REGEXEXTRACT(A2817, ""[^-]+- [^-]+- [^-]+ - (.+?)\.jpg""), "".jpg"", """"), ""-"", "", ""), """")"),"")</f>
        <v/>
      </c>
      <c r="L2817" s="12"/>
      <c r="M2817" s="13"/>
      <c r="N2817" s="2"/>
      <c r="O2817" s="20"/>
      <c r="P2817" s="42"/>
      <c r="R2817" s="23"/>
    </row>
    <row r="2818" spans="1:18" ht="12.75">
      <c r="A2818" s="12"/>
      <c r="D2818" s="12"/>
      <c r="E2818" s="12"/>
      <c r="H2818" s="11" t="str">
        <f ca="1">IFERROR(__xludf.DUMMYFUNCTION("IFERROR(SUBSTITUTE(SUBSTITUTE(REGEXEXTRACT(A2818, ""[^-]+- [^-]+- [^-]+ - (.+?)\.jpg""), "".jpg"", """"), ""-"", "", ""), """")"),"")</f>
        <v/>
      </c>
      <c r="L2818" s="12"/>
      <c r="M2818" s="13"/>
      <c r="N2818" s="2"/>
      <c r="O2818" s="20"/>
      <c r="P2818" s="42"/>
      <c r="R2818" s="23"/>
    </row>
    <row r="2819" spans="1:18" ht="12.75">
      <c r="A2819" s="12"/>
      <c r="D2819" s="12"/>
      <c r="E2819" s="12"/>
      <c r="H2819" s="11" t="str">
        <f ca="1">IFERROR(__xludf.DUMMYFUNCTION("IFERROR(SUBSTITUTE(SUBSTITUTE(REGEXEXTRACT(A2819, ""[^-]+- [^-]+- [^-]+ - (.+?)\.jpg""), "".jpg"", """"), ""-"", "", ""), """")"),"")</f>
        <v/>
      </c>
      <c r="L2819" s="12"/>
      <c r="M2819" s="13"/>
      <c r="N2819" s="2"/>
      <c r="O2819" s="20"/>
      <c r="P2819" s="42"/>
      <c r="R2819" s="23"/>
    </row>
    <row r="2820" spans="1:18" ht="12.75">
      <c r="A2820" s="12"/>
      <c r="D2820" s="12"/>
      <c r="E2820" s="12"/>
      <c r="H2820" s="11" t="str">
        <f ca="1">IFERROR(__xludf.DUMMYFUNCTION("IFERROR(SUBSTITUTE(SUBSTITUTE(REGEXEXTRACT(A2820, ""[^-]+- [^-]+- [^-]+ - (.+?)\.jpg""), "".jpg"", """"), ""-"", "", ""), """")"),"")</f>
        <v/>
      </c>
      <c r="L2820" s="12"/>
      <c r="M2820" s="13"/>
      <c r="N2820" s="2"/>
      <c r="O2820" s="20"/>
      <c r="P2820" s="42"/>
      <c r="R2820" s="23"/>
    </row>
    <row r="2821" spans="1:18" ht="12.75">
      <c r="A2821" s="12"/>
      <c r="D2821" s="12"/>
      <c r="E2821" s="12"/>
      <c r="H2821" s="11" t="str">
        <f ca="1">IFERROR(__xludf.DUMMYFUNCTION("IFERROR(SUBSTITUTE(SUBSTITUTE(REGEXEXTRACT(A2821, ""[^-]+- [^-]+- [^-]+ - (.+?)\.jpg""), "".jpg"", """"), ""-"", "", ""), """")"),"")</f>
        <v/>
      </c>
      <c r="L2821" s="12"/>
      <c r="M2821" s="13"/>
      <c r="N2821" s="2"/>
      <c r="O2821" s="20"/>
      <c r="P2821" s="42"/>
      <c r="R2821" s="23"/>
    </row>
    <row r="2822" spans="1:18" ht="12.75">
      <c r="A2822" s="12"/>
      <c r="D2822" s="12"/>
      <c r="E2822" s="12"/>
      <c r="H2822" s="11" t="str">
        <f ca="1">IFERROR(__xludf.DUMMYFUNCTION("IFERROR(SUBSTITUTE(SUBSTITUTE(REGEXEXTRACT(A2822, ""[^-]+- [^-]+- [^-]+ - (.+?)\.jpg""), "".jpg"", """"), ""-"", "", ""), """")"),"")</f>
        <v/>
      </c>
      <c r="L2822" s="12"/>
      <c r="M2822" s="13"/>
      <c r="N2822" s="2"/>
      <c r="O2822" s="20"/>
      <c r="P2822" s="42"/>
      <c r="R2822" s="23"/>
    </row>
    <row r="2823" spans="1:18" ht="12.75">
      <c r="A2823" s="12"/>
      <c r="D2823" s="12"/>
      <c r="E2823" s="12"/>
      <c r="H2823" s="11" t="str">
        <f ca="1">IFERROR(__xludf.DUMMYFUNCTION("IFERROR(SUBSTITUTE(SUBSTITUTE(REGEXEXTRACT(A2823, ""[^-]+- [^-]+- [^-]+ - (.+?)\.jpg""), "".jpg"", """"), ""-"", "", ""), """")"),"")</f>
        <v/>
      </c>
      <c r="L2823" s="12"/>
      <c r="M2823" s="13"/>
      <c r="N2823" s="2"/>
      <c r="O2823" s="20"/>
      <c r="P2823" s="42"/>
      <c r="R2823" s="23"/>
    </row>
    <row r="2824" spans="1:18" ht="12.75">
      <c r="A2824" s="12"/>
      <c r="D2824" s="12"/>
      <c r="E2824" s="12"/>
      <c r="H2824" s="11" t="str">
        <f ca="1">IFERROR(__xludf.DUMMYFUNCTION("IFERROR(SUBSTITUTE(SUBSTITUTE(REGEXEXTRACT(A2824, ""[^-]+- [^-]+- [^-]+ - (.+?)\.jpg""), "".jpg"", """"), ""-"", "", ""), """")"),"")</f>
        <v/>
      </c>
      <c r="L2824" s="12"/>
      <c r="M2824" s="13"/>
      <c r="N2824" s="2"/>
      <c r="O2824" s="20"/>
      <c r="P2824" s="42"/>
      <c r="R2824" s="23"/>
    </row>
    <row r="2825" spans="1:18" ht="12.75">
      <c r="A2825" s="12"/>
      <c r="D2825" s="12"/>
      <c r="E2825" s="12"/>
      <c r="H2825" s="11" t="str">
        <f ca="1">IFERROR(__xludf.DUMMYFUNCTION("IFERROR(SUBSTITUTE(SUBSTITUTE(REGEXEXTRACT(A2825, ""[^-]+- [^-]+- [^-]+ - (.+?)\.jpg""), "".jpg"", """"), ""-"", "", ""), """")"),"")</f>
        <v/>
      </c>
      <c r="L2825" s="12"/>
      <c r="M2825" s="13"/>
      <c r="N2825" s="2"/>
      <c r="O2825" s="20"/>
      <c r="P2825" s="42"/>
      <c r="R2825" s="23"/>
    </row>
    <row r="2826" spans="1:18" ht="12.75">
      <c r="A2826" s="12"/>
      <c r="D2826" s="12"/>
      <c r="E2826" s="12"/>
      <c r="H2826" s="11" t="str">
        <f ca="1">IFERROR(__xludf.DUMMYFUNCTION("IFERROR(SUBSTITUTE(SUBSTITUTE(REGEXEXTRACT(A2826, ""[^-]+- [^-]+- [^-]+ - (.+?)\.jpg""), "".jpg"", """"), ""-"", "", ""), """")"),"")</f>
        <v/>
      </c>
      <c r="L2826" s="12"/>
      <c r="M2826" s="13"/>
      <c r="N2826" s="2"/>
      <c r="O2826" s="20"/>
      <c r="P2826" s="42"/>
      <c r="R2826" s="23"/>
    </row>
    <row r="2827" spans="1:18" ht="12.75">
      <c r="A2827" s="12"/>
      <c r="D2827" s="12"/>
      <c r="E2827" s="12"/>
      <c r="H2827" s="11" t="str">
        <f ca="1">IFERROR(__xludf.DUMMYFUNCTION("IFERROR(SUBSTITUTE(SUBSTITUTE(REGEXEXTRACT(A2827, ""[^-]+- [^-]+- [^-]+ - (.+?)\.jpg""), "".jpg"", """"), ""-"", "", ""), """")"),"")</f>
        <v/>
      </c>
      <c r="L2827" s="12"/>
      <c r="M2827" s="13"/>
      <c r="N2827" s="2"/>
      <c r="O2827" s="20"/>
      <c r="P2827" s="42"/>
      <c r="R2827" s="23"/>
    </row>
    <row r="2828" spans="1:18" ht="12.75">
      <c r="A2828" s="12"/>
      <c r="D2828" s="12"/>
      <c r="E2828" s="12"/>
      <c r="H2828" s="11" t="str">
        <f ca="1">IFERROR(__xludf.DUMMYFUNCTION("IFERROR(SUBSTITUTE(SUBSTITUTE(REGEXEXTRACT(A2828, ""[^-]+- [^-]+- [^-]+ - (.+?)\.jpg""), "".jpg"", """"), ""-"", "", ""), """")"),"")</f>
        <v/>
      </c>
      <c r="L2828" s="12"/>
      <c r="M2828" s="13"/>
      <c r="N2828" s="2"/>
      <c r="O2828" s="20"/>
      <c r="P2828" s="42"/>
      <c r="R2828" s="23"/>
    </row>
    <row r="2829" spans="1:18" ht="12.75">
      <c r="A2829" s="12"/>
      <c r="D2829" s="12"/>
      <c r="E2829" s="12"/>
      <c r="H2829" s="11" t="str">
        <f ca="1">IFERROR(__xludf.DUMMYFUNCTION("IFERROR(SUBSTITUTE(SUBSTITUTE(REGEXEXTRACT(A2829, ""[^-]+- [^-]+- [^-]+ - (.+?)\.jpg""), "".jpg"", """"), ""-"", "", ""), """")"),"")</f>
        <v/>
      </c>
      <c r="L2829" s="12"/>
      <c r="M2829" s="13"/>
      <c r="N2829" s="2"/>
      <c r="O2829" s="20"/>
      <c r="P2829" s="42"/>
      <c r="R2829" s="23"/>
    </row>
    <row r="2830" spans="1:18" ht="12.75">
      <c r="A2830" s="12"/>
      <c r="D2830" s="12"/>
      <c r="E2830" s="12"/>
      <c r="H2830" s="11" t="str">
        <f ca="1">IFERROR(__xludf.DUMMYFUNCTION("IFERROR(SUBSTITUTE(SUBSTITUTE(REGEXEXTRACT(A2830, ""[^-]+- [^-]+- [^-]+ - (.+?)\.jpg""), "".jpg"", """"), ""-"", "", ""), """")"),"")</f>
        <v/>
      </c>
      <c r="L2830" s="12"/>
      <c r="M2830" s="13"/>
      <c r="N2830" s="2"/>
      <c r="O2830" s="20"/>
      <c r="P2830" s="42"/>
      <c r="R2830" s="23"/>
    </row>
    <row r="2831" spans="1:18" ht="12.75">
      <c r="A2831" s="12"/>
      <c r="D2831" s="12"/>
      <c r="E2831" s="12"/>
      <c r="H2831" s="11" t="str">
        <f ca="1">IFERROR(__xludf.DUMMYFUNCTION("IFERROR(SUBSTITUTE(SUBSTITUTE(REGEXEXTRACT(A2831, ""[^-]+- [^-]+- [^-]+ - (.+?)\.jpg""), "".jpg"", """"), ""-"", "", ""), """")"),"")</f>
        <v/>
      </c>
      <c r="L2831" s="12"/>
      <c r="M2831" s="13"/>
      <c r="N2831" s="2"/>
      <c r="O2831" s="20"/>
      <c r="P2831" s="42"/>
      <c r="R2831" s="23"/>
    </row>
    <row r="2832" spans="1:18" ht="12.75">
      <c r="A2832" s="12"/>
      <c r="D2832" s="12"/>
      <c r="E2832" s="12"/>
      <c r="H2832" s="11" t="str">
        <f ca="1">IFERROR(__xludf.DUMMYFUNCTION("IFERROR(SUBSTITUTE(SUBSTITUTE(REGEXEXTRACT(A2832, ""[^-]+- [^-]+- [^-]+ - (.+?)\.jpg""), "".jpg"", """"), ""-"", "", ""), """")"),"")</f>
        <v/>
      </c>
      <c r="L2832" s="12"/>
      <c r="M2832" s="13"/>
      <c r="N2832" s="2"/>
      <c r="O2832" s="20"/>
      <c r="P2832" s="42"/>
      <c r="R2832" s="23"/>
    </row>
    <row r="2833" spans="1:18" ht="12.75">
      <c r="A2833" s="12"/>
      <c r="D2833" s="12"/>
      <c r="E2833" s="12"/>
      <c r="H2833" s="11" t="str">
        <f ca="1">IFERROR(__xludf.DUMMYFUNCTION("IFERROR(SUBSTITUTE(SUBSTITUTE(REGEXEXTRACT(A2833, ""[^-]+- [^-]+- [^-]+ - (.+?)\.jpg""), "".jpg"", """"), ""-"", "", ""), """")"),"")</f>
        <v/>
      </c>
      <c r="L2833" s="12"/>
      <c r="M2833" s="13"/>
      <c r="N2833" s="2"/>
      <c r="O2833" s="20"/>
      <c r="P2833" s="42"/>
      <c r="R2833" s="23"/>
    </row>
    <row r="2834" spans="1:18" ht="12.75">
      <c r="A2834" s="12"/>
      <c r="D2834" s="12"/>
      <c r="E2834" s="12"/>
      <c r="H2834" s="11" t="str">
        <f ca="1">IFERROR(__xludf.DUMMYFUNCTION("IFERROR(SUBSTITUTE(SUBSTITUTE(REGEXEXTRACT(A2834, ""[^-]+- [^-]+- [^-]+ - (.+?)\.jpg""), "".jpg"", """"), ""-"", "", ""), """")"),"")</f>
        <v/>
      </c>
      <c r="L2834" s="12"/>
      <c r="M2834" s="13"/>
      <c r="N2834" s="2"/>
      <c r="O2834" s="20"/>
      <c r="P2834" s="42"/>
      <c r="R2834" s="23"/>
    </row>
    <row r="2835" spans="1:18" ht="12.75">
      <c r="A2835" s="12"/>
      <c r="D2835" s="12"/>
      <c r="E2835" s="12"/>
      <c r="H2835" s="11" t="str">
        <f ca="1">IFERROR(__xludf.DUMMYFUNCTION("IFERROR(SUBSTITUTE(SUBSTITUTE(REGEXEXTRACT(A2835, ""[^-]+- [^-]+- [^-]+ - (.+?)\.jpg""), "".jpg"", """"), ""-"", "", ""), """")"),"")</f>
        <v/>
      </c>
      <c r="L2835" s="12"/>
      <c r="M2835" s="13"/>
      <c r="N2835" s="2"/>
      <c r="O2835" s="20"/>
      <c r="P2835" s="42"/>
      <c r="R2835" s="23"/>
    </row>
    <row r="2836" spans="1:18" ht="12.75">
      <c r="A2836" s="12"/>
      <c r="D2836" s="12"/>
      <c r="E2836" s="12"/>
      <c r="H2836" s="11" t="str">
        <f ca="1">IFERROR(__xludf.DUMMYFUNCTION("IFERROR(SUBSTITUTE(SUBSTITUTE(REGEXEXTRACT(A2836, ""[^-]+- [^-]+- [^-]+ - (.+?)\.jpg""), "".jpg"", """"), ""-"", "", ""), """")"),"")</f>
        <v/>
      </c>
      <c r="L2836" s="12"/>
      <c r="M2836" s="13"/>
      <c r="N2836" s="2"/>
      <c r="O2836" s="20"/>
      <c r="P2836" s="42"/>
      <c r="R2836" s="23"/>
    </row>
    <row r="2837" spans="1:18" ht="12.75">
      <c r="A2837" s="12"/>
      <c r="D2837" s="12"/>
      <c r="E2837" s="12"/>
      <c r="H2837" s="11" t="str">
        <f ca="1">IFERROR(__xludf.DUMMYFUNCTION("IFERROR(SUBSTITUTE(SUBSTITUTE(REGEXEXTRACT(A2837, ""[^-]+- [^-]+- [^-]+ - (.+?)\.jpg""), "".jpg"", """"), ""-"", "", ""), """")"),"")</f>
        <v/>
      </c>
      <c r="L2837" s="12"/>
      <c r="M2837" s="13"/>
      <c r="N2837" s="2"/>
      <c r="O2837" s="20"/>
      <c r="P2837" s="42"/>
      <c r="R2837" s="23"/>
    </row>
    <row r="2838" spans="1:18" ht="12.75">
      <c r="A2838" s="12"/>
      <c r="D2838" s="12"/>
      <c r="E2838" s="12"/>
      <c r="H2838" s="11" t="str">
        <f ca="1">IFERROR(__xludf.DUMMYFUNCTION("IFERROR(SUBSTITUTE(SUBSTITUTE(REGEXEXTRACT(A2838, ""[^-]+- [^-]+- [^-]+ - (.+?)\.jpg""), "".jpg"", """"), ""-"", "", ""), """")"),"")</f>
        <v/>
      </c>
      <c r="L2838" s="12"/>
      <c r="M2838" s="13"/>
      <c r="N2838" s="2"/>
      <c r="O2838" s="20"/>
      <c r="P2838" s="42"/>
      <c r="R2838" s="23"/>
    </row>
    <row r="2839" spans="1:18" ht="12.75">
      <c r="A2839" s="12"/>
      <c r="D2839" s="12"/>
      <c r="E2839" s="12"/>
      <c r="H2839" s="11" t="str">
        <f ca="1">IFERROR(__xludf.DUMMYFUNCTION("IFERROR(SUBSTITUTE(SUBSTITUTE(REGEXEXTRACT(A2839, ""[^-]+- [^-]+- [^-]+ - (.+?)\.jpg""), "".jpg"", """"), ""-"", "", ""), """")"),"")</f>
        <v/>
      </c>
      <c r="L2839" s="12"/>
      <c r="M2839" s="13"/>
      <c r="N2839" s="2"/>
      <c r="O2839" s="20"/>
      <c r="P2839" s="42"/>
      <c r="R2839" s="23"/>
    </row>
    <row r="2840" spans="1:18" ht="12.75">
      <c r="A2840" s="12"/>
      <c r="D2840" s="12"/>
      <c r="E2840" s="12"/>
      <c r="H2840" s="11" t="str">
        <f ca="1">IFERROR(__xludf.DUMMYFUNCTION("IFERROR(SUBSTITUTE(SUBSTITUTE(REGEXEXTRACT(A2840, ""[^-]+- [^-]+- [^-]+ - (.+?)\.jpg""), "".jpg"", """"), ""-"", "", ""), """")"),"")</f>
        <v/>
      </c>
      <c r="L2840" s="12"/>
      <c r="M2840" s="13"/>
      <c r="N2840" s="2"/>
      <c r="O2840" s="20"/>
      <c r="P2840" s="42"/>
      <c r="R2840" s="23"/>
    </row>
    <row r="2841" spans="1:18" ht="12.75">
      <c r="A2841" s="12"/>
      <c r="D2841" s="12"/>
      <c r="E2841" s="12"/>
      <c r="H2841" s="11" t="str">
        <f ca="1">IFERROR(__xludf.DUMMYFUNCTION("IFERROR(SUBSTITUTE(SUBSTITUTE(REGEXEXTRACT(A2841, ""[^-]+- [^-]+- [^-]+ - (.+?)\.jpg""), "".jpg"", """"), ""-"", "", ""), """")"),"")</f>
        <v/>
      </c>
      <c r="L2841" s="12"/>
      <c r="M2841" s="13"/>
      <c r="N2841" s="2"/>
      <c r="O2841" s="20"/>
      <c r="P2841" s="42"/>
      <c r="R2841" s="23"/>
    </row>
    <row r="2842" spans="1:18" ht="12.75">
      <c r="A2842" s="12"/>
      <c r="D2842" s="12"/>
      <c r="E2842" s="12"/>
      <c r="H2842" s="11" t="str">
        <f ca="1">IFERROR(__xludf.DUMMYFUNCTION("IFERROR(SUBSTITUTE(SUBSTITUTE(REGEXEXTRACT(A2842, ""[^-]+- [^-]+- [^-]+ - (.+?)\.jpg""), "".jpg"", """"), ""-"", "", ""), """")"),"")</f>
        <v/>
      </c>
      <c r="L2842" s="12"/>
      <c r="M2842" s="13"/>
      <c r="N2842" s="2"/>
      <c r="O2842" s="20"/>
      <c r="P2842" s="42"/>
      <c r="R2842" s="23"/>
    </row>
    <row r="2843" spans="1:18" ht="12.75">
      <c r="A2843" s="12"/>
      <c r="D2843" s="12"/>
      <c r="E2843" s="12"/>
      <c r="H2843" s="11" t="str">
        <f ca="1">IFERROR(__xludf.DUMMYFUNCTION("IFERROR(SUBSTITUTE(SUBSTITUTE(REGEXEXTRACT(A2843, ""[^-]+- [^-]+- [^-]+ - (.+?)\.jpg""), "".jpg"", """"), ""-"", "", ""), """")"),"")</f>
        <v/>
      </c>
      <c r="L2843" s="12"/>
      <c r="M2843" s="13"/>
      <c r="N2843" s="2"/>
      <c r="O2843" s="20"/>
      <c r="P2843" s="42"/>
      <c r="R2843" s="23"/>
    </row>
    <row r="2844" spans="1:18" ht="12.75">
      <c r="A2844" s="12"/>
      <c r="D2844" s="12"/>
      <c r="E2844" s="12"/>
      <c r="H2844" s="11" t="str">
        <f ca="1">IFERROR(__xludf.DUMMYFUNCTION("IFERROR(SUBSTITUTE(SUBSTITUTE(REGEXEXTRACT(A2844, ""[^-]+- [^-]+- [^-]+ - (.+?)\.jpg""), "".jpg"", """"), ""-"", "", ""), """")"),"")</f>
        <v/>
      </c>
      <c r="L2844" s="12"/>
      <c r="M2844" s="13"/>
      <c r="N2844" s="2"/>
      <c r="O2844" s="20"/>
      <c r="P2844" s="42"/>
      <c r="R2844" s="23"/>
    </row>
    <row r="2845" spans="1:18" ht="12.75">
      <c r="A2845" s="12"/>
      <c r="D2845" s="12"/>
      <c r="E2845" s="12"/>
      <c r="H2845" s="11" t="str">
        <f ca="1">IFERROR(__xludf.DUMMYFUNCTION("IFERROR(SUBSTITUTE(SUBSTITUTE(REGEXEXTRACT(A2845, ""[^-]+- [^-]+- [^-]+ - (.+?)\.jpg""), "".jpg"", """"), ""-"", "", ""), """")"),"")</f>
        <v/>
      </c>
      <c r="L2845" s="12"/>
      <c r="M2845" s="13"/>
      <c r="N2845" s="2"/>
      <c r="O2845" s="20"/>
      <c r="P2845" s="42"/>
      <c r="R2845" s="23"/>
    </row>
    <row r="2846" spans="1:18" ht="12.75">
      <c r="A2846" s="12"/>
      <c r="D2846" s="12"/>
      <c r="E2846" s="12"/>
      <c r="H2846" s="11" t="str">
        <f ca="1">IFERROR(__xludf.DUMMYFUNCTION("IFERROR(SUBSTITUTE(SUBSTITUTE(REGEXEXTRACT(A2846, ""[^-]+- [^-]+- [^-]+ - (.+?)\.jpg""), "".jpg"", """"), ""-"", "", ""), """")"),"")</f>
        <v/>
      </c>
      <c r="L2846" s="12"/>
      <c r="M2846" s="13"/>
      <c r="N2846" s="2"/>
      <c r="O2846" s="20"/>
      <c r="P2846" s="42"/>
      <c r="R2846" s="23"/>
    </row>
    <row r="2847" spans="1:18" ht="12.75">
      <c r="A2847" s="12"/>
      <c r="D2847" s="12"/>
      <c r="E2847" s="12"/>
      <c r="H2847" s="11" t="str">
        <f ca="1">IFERROR(__xludf.DUMMYFUNCTION("IFERROR(SUBSTITUTE(SUBSTITUTE(REGEXEXTRACT(A2847, ""[^-]+- [^-]+- [^-]+ - (.+?)\.jpg""), "".jpg"", """"), ""-"", "", ""), """")"),"")</f>
        <v/>
      </c>
      <c r="L2847" s="12"/>
      <c r="M2847" s="13"/>
      <c r="N2847" s="2"/>
      <c r="O2847" s="20"/>
      <c r="P2847" s="42"/>
      <c r="R2847" s="23"/>
    </row>
    <row r="2848" spans="1:18" ht="12.75">
      <c r="A2848" s="12"/>
      <c r="D2848" s="12"/>
      <c r="E2848" s="12"/>
      <c r="H2848" s="11" t="str">
        <f ca="1">IFERROR(__xludf.DUMMYFUNCTION("IFERROR(SUBSTITUTE(SUBSTITUTE(REGEXEXTRACT(A2848, ""[^-]+- [^-]+- [^-]+ - (.+?)\.jpg""), "".jpg"", """"), ""-"", "", ""), """")"),"")</f>
        <v/>
      </c>
      <c r="L2848" s="12"/>
      <c r="M2848" s="13"/>
      <c r="N2848" s="2"/>
      <c r="O2848" s="20"/>
      <c r="P2848" s="42"/>
      <c r="R2848" s="23"/>
    </row>
    <row r="2849" spans="1:18" ht="12.75">
      <c r="A2849" s="12"/>
      <c r="D2849" s="12"/>
      <c r="E2849" s="12"/>
      <c r="H2849" s="11" t="str">
        <f ca="1">IFERROR(__xludf.DUMMYFUNCTION("IFERROR(SUBSTITUTE(SUBSTITUTE(REGEXEXTRACT(A2849, ""[^-]+- [^-]+- [^-]+ - (.+?)\.jpg""), "".jpg"", """"), ""-"", "", ""), """")"),"")</f>
        <v/>
      </c>
      <c r="L2849" s="12"/>
      <c r="M2849" s="13"/>
      <c r="N2849" s="2"/>
      <c r="O2849" s="20"/>
      <c r="P2849" s="42"/>
      <c r="R2849" s="23"/>
    </row>
    <row r="2850" spans="1:18" ht="12.75">
      <c r="A2850" s="12"/>
      <c r="D2850" s="12"/>
      <c r="E2850" s="12"/>
      <c r="H2850" s="11" t="str">
        <f ca="1">IFERROR(__xludf.DUMMYFUNCTION("IFERROR(SUBSTITUTE(SUBSTITUTE(REGEXEXTRACT(A2850, ""[^-]+- [^-]+- [^-]+ - (.+?)\.jpg""), "".jpg"", """"), ""-"", "", ""), """")"),"")</f>
        <v/>
      </c>
      <c r="L2850" s="12"/>
      <c r="M2850" s="13"/>
      <c r="N2850" s="2"/>
      <c r="O2850" s="20"/>
      <c r="P2850" s="42"/>
      <c r="R2850" s="23"/>
    </row>
    <row r="2851" spans="1:18" ht="12.75">
      <c r="A2851" s="12"/>
      <c r="D2851" s="12"/>
      <c r="E2851" s="12"/>
      <c r="H2851" s="11" t="str">
        <f ca="1">IFERROR(__xludf.DUMMYFUNCTION("IFERROR(SUBSTITUTE(SUBSTITUTE(REGEXEXTRACT(A2851, ""[^-]+- [^-]+- [^-]+ - (.+?)\.jpg""), "".jpg"", """"), ""-"", "", ""), """")"),"")</f>
        <v/>
      </c>
      <c r="L2851" s="12"/>
      <c r="M2851" s="13"/>
      <c r="N2851" s="2"/>
      <c r="O2851" s="20"/>
      <c r="P2851" s="42"/>
      <c r="R2851" s="23"/>
    </row>
    <row r="2852" spans="1:18" ht="12.75">
      <c r="A2852" s="12"/>
      <c r="D2852" s="12"/>
      <c r="E2852" s="12"/>
      <c r="H2852" s="11" t="str">
        <f ca="1">IFERROR(__xludf.DUMMYFUNCTION("IFERROR(SUBSTITUTE(SUBSTITUTE(REGEXEXTRACT(A2852, ""[^-]+- [^-]+- [^-]+ - (.+?)\.jpg""), "".jpg"", """"), ""-"", "", ""), """")"),"")</f>
        <v/>
      </c>
      <c r="L2852" s="12"/>
      <c r="M2852" s="13"/>
      <c r="N2852" s="2"/>
      <c r="O2852" s="20"/>
      <c r="P2852" s="42"/>
      <c r="R2852" s="23"/>
    </row>
    <row r="2853" spans="1:18" ht="12.75">
      <c r="A2853" s="12"/>
      <c r="D2853" s="12"/>
      <c r="E2853" s="12"/>
      <c r="H2853" s="11" t="str">
        <f ca="1">IFERROR(__xludf.DUMMYFUNCTION("IFERROR(SUBSTITUTE(SUBSTITUTE(REGEXEXTRACT(A2853, ""[^-]+- [^-]+- [^-]+ - (.+?)\.jpg""), "".jpg"", """"), ""-"", "", ""), """")"),"")</f>
        <v/>
      </c>
      <c r="L2853" s="12"/>
      <c r="M2853" s="13"/>
      <c r="N2853" s="2"/>
      <c r="O2853" s="20"/>
      <c r="P2853" s="42"/>
      <c r="R2853" s="23"/>
    </row>
    <row r="2854" spans="1:18" ht="12.75">
      <c r="A2854" s="12"/>
      <c r="D2854" s="12"/>
      <c r="E2854" s="12"/>
      <c r="H2854" s="11" t="str">
        <f ca="1">IFERROR(__xludf.DUMMYFUNCTION("IFERROR(SUBSTITUTE(SUBSTITUTE(REGEXEXTRACT(A2854, ""[^-]+- [^-]+- [^-]+ - (.+?)\.jpg""), "".jpg"", """"), ""-"", "", ""), """")"),"")</f>
        <v/>
      </c>
      <c r="L2854" s="12"/>
      <c r="M2854" s="13"/>
      <c r="N2854" s="2"/>
      <c r="O2854" s="20"/>
      <c r="P2854" s="42"/>
      <c r="R2854" s="23"/>
    </row>
    <row r="2855" spans="1:18" ht="12.75">
      <c r="A2855" s="12"/>
      <c r="D2855" s="12"/>
      <c r="E2855" s="12"/>
      <c r="H2855" s="11" t="str">
        <f ca="1">IFERROR(__xludf.DUMMYFUNCTION("IFERROR(SUBSTITUTE(SUBSTITUTE(REGEXEXTRACT(A2855, ""[^-]+- [^-]+- [^-]+ - (.+?)\.jpg""), "".jpg"", """"), ""-"", "", ""), """")"),"")</f>
        <v/>
      </c>
      <c r="L2855" s="12"/>
      <c r="M2855" s="13"/>
      <c r="N2855" s="2"/>
      <c r="O2855" s="20"/>
      <c r="P2855" s="42"/>
      <c r="R2855" s="23"/>
    </row>
    <row r="2856" spans="1:18" ht="12.75">
      <c r="A2856" s="12"/>
      <c r="D2856" s="12"/>
      <c r="E2856" s="12"/>
      <c r="H2856" s="11" t="str">
        <f ca="1">IFERROR(__xludf.DUMMYFUNCTION("IFERROR(SUBSTITUTE(SUBSTITUTE(REGEXEXTRACT(A2856, ""[^-]+- [^-]+- [^-]+ - (.+?)\.jpg""), "".jpg"", """"), ""-"", "", ""), """")"),"")</f>
        <v/>
      </c>
      <c r="L2856" s="12"/>
      <c r="M2856" s="13"/>
      <c r="N2856" s="2"/>
      <c r="O2856" s="20"/>
      <c r="P2856" s="42"/>
      <c r="R2856" s="23"/>
    </row>
    <row r="2857" spans="1:18" ht="12.75">
      <c r="A2857" s="12"/>
      <c r="D2857" s="12"/>
      <c r="E2857" s="12"/>
      <c r="H2857" s="11" t="str">
        <f ca="1">IFERROR(__xludf.DUMMYFUNCTION("IFERROR(SUBSTITUTE(SUBSTITUTE(REGEXEXTRACT(A2857, ""[^-]+- [^-]+- [^-]+ - (.+?)\.jpg""), "".jpg"", """"), ""-"", "", ""), """")"),"")</f>
        <v/>
      </c>
      <c r="L2857" s="12"/>
      <c r="M2857" s="13"/>
      <c r="N2857" s="2"/>
      <c r="O2857" s="20"/>
      <c r="P2857" s="42"/>
      <c r="R2857" s="23"/>
    </row>
    <row r="2858" spans="1:18" ht="12.75">
      <c r="A2858" s="12"/>
      <c r="D2858" s="12"/>
      <c r="E2858" s="12"/>
      <c r="H2858" s="11" t="str">
        <f ca="1">IFERROR(__xludf.DUMMYFUNCTION("IFERROR(SUBSTITUTE(SUBSTITUTE(REGEXEXTRACT(A2858, ""[^-]+- [^-]+- [^-]+ - (.+?)\.jpg""), "".jpg"", """"), ""-"", "", ""), """")"),"")</f>
        <v/>
      </c>
      <c r="L2858" s="12"/>
      <c r="M2858" s="13"/>
      <c r="N2858" s="2"/>
      <c r="O2858" s="20"/>
      <c r="P2858" s="42"/>
      <c r="R2858" s="23"/>
    </row>
    <row r="2859" spans="1:18" ht="12.75">
      <c r="A2859" s="12"/>
      <c r="D2859" s="12"/>
      <c r="E2859" s="12"/>
      <c r="H2859" s="11" t="str">
        <f ca="1">IFERROR(__xludf.DUMMYFUNCTION("IFERROR(SUBSTITUTE(SUBSTITUTE(REGEXEXTRACT(A2859, ""[^-]+- [^-]+- [^-]+ - (.+?)\.jpg""), "".jpg"", """"), ""-"", "", ""), """")"),"")</f>
        <v/>
      </c>
      <c r="L2859" s="12"/>
      <c r="M2859" s="13"/>
      <c r="N2859" s="2"/>
      <c r="O2859" s="20"/>
      <c r="P2859" s="42"/>
      <c r="R2859" s="23"/>
    </row>
    <row r="2860" spans="1:18" ht="12.75">
      <c r="A2860" s="12"/>
      <c r="D2860" s="12"/>
      <c r="E2860" s="12"/>
      <c r="H2860" s="11" t="str">
        <f ca="1">IFERROR(__xludf.DUMMYFUNCTION("IFERROR(SUBSTITUTE(SUBSTITUTE(REGEXEXTRACT(A2860, ""[^-]+- [^-]+- [^-]+ - (.+?)\.jpg""), "".jpg"", """"), ""-"", "", ""), """")"),"")</f>
        <v/>
      </c>
      <c r="L2860" s="12"/>
      <c r="M2860" s="13"/>
      <c r="N2860" s="2"/>
      <c r="O2860" s="20"/>
      <c r="P2860" s="42"/>
      <c r="R2860" s="23"/>
    </row>
    <row r="2861" spans="1:18" ht="12.75">
      <c r="A2861" s="12"/>
      <c r="D2861" s="12"/>
      <c r="E2861" s="12"/>
      <c r="H2861" s="11" t="str">
        <f ca="1">IFERROR(__xludf.DUMMYFUNCTION("IFERROR(SUBSTITUTE(SUBSTITUTE(REGEXEXTRACT(A2861, ""[^-]+- [^-]+- [^-]+ - (.+?)\.jpg""), "".jpg"", """"), ""-"", "", ""), """")"),"")</f>
        <v/>
      </c>
      <c r="L2861" s="12"/>
      <c r="M2861" s="13"/>
      <c r="N2861" s="2"/>
      <c r="O2861" s="20"/>
      <c r="P2861" s="42"/>
      <c r="R2861" s="23"/>
    </row>
    <row r="2862" spans="1:18" ht="12.75">
      <c r="A2862" s="12"/>
      <c r="D2862" s="12"/>
      <c r="E2862" s="12"/>
      <c r="H2862" s="11" t="str">
        <f ca="1">IFERROR(__xludf.DUMMYFUNCTION("IFERROR(SUBSTITUTE(SUBSTITUTE(REGEXEXTRACT(A2862, ""[^-]+- [^-]+- [^-]+ - (.+?)\.jpg""), "".jpg"", """"), ""-"", "", ""), """")"),"")</f>
        <v/>
      </c>
      <c r="L2862" s="12"/>
      <c r="M2862" s="13"/>
      <c r="N2862" s="2"/>
      <c r="O2862" s="20"/>
      <c r="P2862" s="42"/>
      <c r="R2862" s="23"/>
    </row>
    <row r="2863" spans="1:18" ht="12.75">
      <c r="A2863" s="12"/>
      <c r="D2863" s="12"/>
      <c r="E2863" s="12"/>
      <c r="H2863" s="11" t="str">
        <f ca="1">IFERROR(__xludf.DUMMYFUNCTION("IFERROR(SUBSTITUTE(SUBSTITUTE(REGEXEXTRACT(A2863, ""[^-]+- [^-]+- [^-]+ - (.+?)\.jpg""), "".jpg"", """"), ""-"", "", ""), """")"),"")</f>
        <v/>
      </c>
      <c r="L2863" s="12"/>
      <c r="M2863" s="13"/>
      <c r="N2863" s="2"/>
      <c r="O2863" s="20"/>
      <c r="P2863" s="42"/>
      <c r="R2863" s="23"/>
    </row>
    <row r="2864" spans="1:18" ht="12.75">
      <c r="A2864" s="12"/>
      <c r="D2864" s="12"/>
      <c r="E2864" s="12"/>
      <c r="H2864" s="11" t="str">
        <f ca="1">IFERROR(__xludf.DUMMYFUNCTION("IFERROR(SUBSTITUTE(SUBSTITUTE(REGEXEXTRACT(A2864, ""[^-]+- [^-]+- [^-]+ - (.+?)\.jpg""), "".jpg"", """"), ""-"", "", ""), """")"),"")</f>
        <v/>
      </c>
      <c r="L2864" s="12"/>
      <c r="M2864" s="13"/>
      <c r="N2864" s="2"/>
      <c r="O2864" s="20"/>
      <c r="P2864" s="42"/>
      <c r="R2864" s="23"/>
    </row>
    <row r="2865" spans="1:18" ht="12.75">
      <c r="A2865" s="12"/>
      <c r="D2865" s="12"/>
      <c r="E2865" s="12"/>
      <c r="H2865" s="11" t="str">
        <f ca="1">IFERROR(__xludf.DUMMYFUNCTION("IFERROR(SUBSTITUTE(SUBSTITUTE(REGEXEXTRACT(A2865, ""[^-]+- [^-]+- [^-]+ - (.+?)\.jpg""), "".jpg"", """"), ""-"", "", ""), """")"),"")</f>
        <v/>
      </c>
      <c r="L2865" s="12"/>
      <c r="M2865" s="13"/>
      <c r="N2865" s="2"/>
      <c r="O2865" s="20"/>
      <c r="P2865" s="42"/>
      <c r="R2865" s="23"/>
    </row>
    <row r="2866" spans="1:18" ht="12.75">
      <c r="A2866" s="12"/>
      <c r="D2866" s="12"/>
      <c r="E2866" s="12"/>
      <c r="H2866" s="11" t="str">
        <f ca="1">IFERROR(__xludf.DUMMYFUNCTION("IFERROR(SUBSTITUTE(SUBSTITUTE(REGEXEXTRACT(A2866, ""[^-]+- [^-]+- [^-]+ - (.+?)\.jpg""), "".jpg"", """"), ""-"", "", ""), """")"),"")</f>
        <v/>
      </c>
      <c r="L2866" s="12"/>
      <c r="M2866" s="13"/>
      <c r="N2866" s="2"/>
      <c r="O2866" s="20"/>
      <c r="P2866" s="42"/>
      <c r="R2866" s="23"/>
    </row>
    <row r="2867" spans="1:18" ht="12.75">
      <c r="A2867" s="12"/>
      <c r="D2867" s="12"/>
      <c r="E2867" s="12"/>
      <c r="H2867" s="11" t="str">
        <f ca="1">IFERROR(__xludf.DUMMYFUNCTION("IFERROR(SUBSTITUTE(SUBSTITUTE(REGEXEXTRACT(A2867, ""[^-]+- [^-]+- [^-]+ - (.+?)\.jpg""), "".jpg"", """"), ""-"", "", ""), """")"),"")</f>
        <v/>
      </c>
      <c r="L2867" s="12"/>
      <c r="M2867" s="13"/>
      <c r="N2867" s="2"/>
      <c r="O2867" s="20"/>
      <c r="P2867" s="42"/>
      <c r="R2867" s="23"/>
    </row>
    <row r="2868" spans="1:18" ht="12.75">
      <c r="A2868" s="12"/>
      <c r="D2868" s="12"/>
      <c r="E2868" s="12"/>
      <c r="H2868" s="11" t="str">
        <f ca="1">IFERROR(__xludf.DUMMYFUNCTION("IFERROR(SUBSTITUTE(SUBSTITUTE(REGEXEXTRACT(A2868, ""[^-]+- [^-]+- [^-]+ - (.+?)\.jpg""), "".jpg"", """"), ""-"", "", ""), """")"),"")</f>
        <v/>
      </c>
      <c r="L2868" s="12"/>
      <c r="M2868" s="13"/>
      <c r="N2868" s="2"/>
      <c r="O2868" s="20"/>
      <c r="P2868" s="42"/>
      <c r="R2868" s="23"/>
    </row>
    <row r="2869" spans="1:18" ht="12.75">
      <c r="A2869" s="12"/>
      <c r="D2869" s="12"/>
      <c r="E2869" s="12"/>
      <c r="H2869" s="11" t="str">
        <f ca="1">IFERROR(__xludf.DUMMYFUNCTION("IFERROR(SUBSTITUTE(SUBSTITUTE(REGEXEXTRACT(A2869, ""[^-]+- [^-]+- [^-]+ - (.+?)\.jpg""), "".jpg"", """"), ""-"", "", ""), """")"),"")</f>
        <v/>
      </c>
      <c r="L2869" s="12"/>
      <c r="M2869" s="13"/>
      <c r="N2869" s="2"/>
      <c r="O2869" s="20"/>
      <c r="P2869" s="42"/>
      <c r="R2869" s="23"/>
    </row>
    <row r="2870" spans="1:18" ht="12.75">
      <c r="A2870" s="12"/>
      <c r="D2870" s="12"/>
      <c r="E2870" s="12"/>
      <c r="H2870" s="11" t="str">
        <f ca="1">IFERROR(__xludf.DUMMYFUNCTION("IFERROR(SUBSTITUTE(SUBSTITUTE(REGEXEXTRACT(A2870, ""[^-]+- [^-]+- [^-]+ - (.+?)\.jpg""), "".jpg"", """"), ""-"", "", ""), """")"),"")</f>
        <v/>
      </c>
      <c r="L2870" s="12"/>
      <c r="M2870" s="13"/>
      <c r="N2870" s="2"/>
      <c r="O2870" s="20"/>
      <c r="P2870" s="42"/>
      <c r="R2870" s="23"/>
    </row>
    <row r="2871" spans="1:18" ht="12.75">
      <c r="A2871" s="12"/>
      <c r="D2871" s="12"/>
      <c r="E2871" s="12"/>
      <c r="H2871" s="11" t="str">
        <f ca="1">IFERROR(__xludf.DUMMYFUNCTION("IFERROR(SUBSTITUTE(SUBSTITUTE(REGEXEXTRACT(A2871, ""[^-]+- [^-]+- [^-]+ - (.+?)\.jpg""), "".jpg"", """"), ""-"", "", ""), """")"),"")</f>
        <v/>
      </c>
      <c r="L2871" s="12"/>
      <c r="M2871" s="13"/>
      <c r="N2871" s="2"/>
      <c r="O2871" s="20"/>
      <c r="P2871" s="42"/>
      <c r="R2871" s="23"/>
    </row>
    <row r="2872" spans="1:18" ht="12.75">
      <c r="A2872" s="12"/>
      <c r="D2872" s="12"/>
      <c r="E2872" s="12"/>
      <c r="H2872" s="11" t="str">
        <f ca="1">IFERROR(__xludf.DUMMYFUNCTION("IFERROR(SUBSTITUTE(SUBSTITUTE(REGEXEXTRACT(A2872, ""[^-]+- [^-]+- [^-]+ - (.+?)\.jpg""), "".jpg"", """"), ""-"", "", ""), """")"),"")</f>
        <v/>
      </c>
      <c r="L2872" s="12"/>
      <c r="M2872" s="13"/>
      <c r="N2872" s="2"/>
      <c r="O2872" s="20"/>
      <c r="P2872" s="42"/>
      <c r="R2872" s="23"/>
    </row>
    <row r="2873" spans="1:18" ht="12.75">
      <c r="A2873" s="12"/>
      <c r="D2873" s="12"/>
      <c r="E2873" s="12"/>
      <c r="H2873" s="11" t="str">
        <f ca="1">IFERROR(__xludf.DUMMYFUNCTION("IFERROR(SUBSTITUTE(SUBSTITUTE(REGEXEXTRACT(A2873, ""[^-]+- [^-]+- [^-]+ - (.+?)\.jpg""), "".jpg"", """"), ""-"", "", ""), """")"),"")</f>
        <v/>
      </c>
      <c r="L2873" s="12"/>
      <c r="M2873" s="13"/>
      <c r="N2873" s="2"/>
      <c r="O2873" s="20"/>
      <c r="P2873" s="42"/>
      <c r="R2873" s="23"/>
    </row>
    <row r="2874" spans="1:18" ht="12.75">
      <c r="A2874" s="12"/>
      <c r="D2874" s="12"/>
      <c r="E2874" s="12"/>
      <c r="H2874" s="11" t="str">
        <f ca="1">IFERROR(__xludf.DUMMYFUNCTION("IFERROR(SUBSTITUTE(SUBSTITUTE(REGEXEXTRACT(A2874, ""[^-]+- [^-]+- [^-]+ - (.+?)\.jpg""), "".jpg"", """"), ""-"", "", ""), """")"),"")</f>
        <v/>
      </c>
      <c r="L2874" s="12"/>
      <c r="M2874" s="13"/>
      <c r="N2874" s="2"/>
      <c r="O2874" s="20"/>
      <c r="P2874" s="42"/>
      <c r="R2874" s="23"/>
    </row>
    <row r="2875" spans="1:18" ht="12.75">
      <c r="A2875" s="12"/>
      <c r="D2875" s="12"/>
      <c r="E2875" s="12"/>
      <c r="H2875" s="11" t="str">
        <f ca="1">IFERROR(__xludf.DUMMYFUNCTION("IFERROR(SUBSTITUTE(SUBSTITUTE(REGEXEXTRACT(A2875, ""[^-]+- [^-]+- [^-]+ - (.+?)\.jpg""), "".jpg"", """"), ""-"", "", ""), """")"),"")</f>
        <v/>
      </c>
      <c r="L2875" s="12"/>
      <c r="M2875" s="13"/>
      <c r="N2875" s="2"/>
      <c r="O2875" s="20"/>
      <c r="P2875" s="42"/>
      <c r="R2875" s="23"/>
    </row>
    <row r="2876" spans="1:18" ht="12.75">
      <c r="A2876" s="12"/>
      <c r="D2876" s="12"/>
      <c r="E2876" s="12"/>
      <c r="H2876" s="11" t="str">
        <f ca="1">IFERROR(__xludf.DUMMYFUNCTION("IFERROR(SUBSTITUTE(SUBSTITUTE(REGEXEXTRACT(A2876, ""[^-]+- [^-]+- [^-]+ - (.+?)\.jpg""), "".jpg"", """"), ""-"", "", ""), """")"),"")</f>
        <v/>
      </c>
      <c r="L2876" s="12"/>
      <c r="M2876" s="13"/>
      <c r="N2876" s="2"/>
      <c r="O2876" s="20"/>
      <c r="P2876" s="42"/>
      <c r="R2876" s="23"/>
    </row>
    <row r="2877" spans="1:18" ht="12.75">
      <c r="A2877" s="12"/>
      <c r="D2877" s="12"/>
      <c r="E2877" s="12"/>
      <c r="H2877" s="11" t="str">
        <f ca="1">IFERROR(__xludf.DUMMYFUNCTION("IFERROR(SUBSTITUTE(SUBSTITUTE(REGEXEXTRACT(A2877, ""[^-]+- [^-]+- [^-]+ - (.+?)\.jpg""), "".jpg"", """"), ""-"", "", ""), """")"),"")</f>
        <v/>
      </c>
      <c r="L2877" s="12"/>
      <c r="M2877" s="13"/>
      <c r="N2877" s="2"/>
      <c r="O2877" s="20"/>
      <c r="P2877" s="42"/>
      <c r="R2877" s="23"/>
    </row>
    <row r="2878" spans="1:18" ht="12.75">
      <c r="A2878" s="12"/>
      <c r="D2878" s="12"/>
      <c r="E2878" s="12"/>
      <c r="H2878" s="11" t="str">
        <f ca="1">IFERROR(__xludf.DUMMYFUNCTION("IFERROR(SUBSTITUTE(SUBSTITUTE(REGEXEXTRACT(A2878, ""[^-]+- [^-]+- [^-]+ - (.+?)\.jpg""), "".jpg"", """"), ""-"", "", ""), """")"),"")</f>
        <v/>
      </c>
      <c r="L2878" s="12"/>
      <c r="M2878" s="13"/>
      <c r="N2878" s="2"/>
      <c r="O2878" s="20"/>
      <c r="P2878" s="42"/>
      <c r="R2878" s="23"/>
    </row>
    <row r="2879" spans="1:18" ht="12.75">
      <c r="A2879" s="12"/>
      <c r="D2879" s="12"/>
      <c r="E2879" s="12"/>
      <c r="H2879" s="11" t="str">
        <f ca="1">IFERROR(__xludf.DUMMYFUNCTION("IFERROR(SUBSTITUTE(SUBSTITUTE(REGEXEXTRACT(A2879, ""[^-]+- [^-]+- [^-]+ - (.+?)\.jpg""), "".jpg"", """"), ""-"", "", ""), """")"),"")</f>
        <v/>
      </c>
      <c r="L2879" s="12"/>
      <c r="M2879" s="13"/>
      <c r="N2879" s="2"/>
      <c r="O2879" s="20"/>
      <c r="P2879" s="42"/>
      <c r="R2879" s="23"/>
    </row>
    <row r="2880" spans="1:18" ht="12.75">
      <c r="A2880" s="12"/>
      <c r="D2880" s="12"/>
      <c r="E2880" s="12"/>
      <c r="H2880" s="11" t="str">
        <f ca="1">IFERROR(__xludf.DUMMYFUNCTION("IFERROR(SUBSTITUTE(SUBSTITUTE(REGEXEXTRACT(A2880, ""[^-]+- [^-]+- [^-]+ - (.+?)\.jpg""), "".jpg"", """"), ""-"", "", ""), """")"),"")</f>
        <v/>
      </c>
      <c r="L2880" s="12"/>
      <c r="M2880" s="13"/>
      <c r="N2880" s="2"/>
      <c r="O2880" s="20"/>
      <c r="P2880" s="42"/>
      <c r="R2880" s="23"/>
    </row>
    <row r="2881" spans="1:18" ht="12.75">
      <c r="A2881" s="12"/>
      <c r="D2881" s="12"/>
      <c r="E2881" s="12"/>
      <c r="H2881" s="11" t="str">
        <f ca="1">IFERROR(__xludf.DUMMYFUNCTION("IFERROR(SUBSTITUTE(SUBSTITUTE(REGEXEXTRACT(A2881, ""[^-]+- [^-]+- [^-]+ - (.+?)\.jpg""), "".jpg"", """"), ""-"", "", ""), """")"),"")</f>
        <v/>
      </c>
      <c r="L2881" s="12"/>
      <c r="M2881" s="13"/>
      <c r="N2881" s="2"/>
      <c r="O2881" s="20"/>
      <c r="P2881" s="42"/>
      <c r="R2881" s="23"/>
    </row>
    <row r="2882" spans="1:18" ht="12.75">
      <c r="A2882" s="12"/>
      <c r="D2882" s="12"/>
      <c r="E2882" s="12"/>
      <c r="H2882" s="11" t="str">
        <f ca="1">IFERROR(__xludf.DUMMYFUNCTION("IFERROR(SUBSTITUTE(SUBSTITUTE(REGEXEXTRACT(A2882, ""[^-]+- [^-]+- [^-]+ - (.+?)\.jpg""), "".jpg"", """"), ""-"", "", ""), """")"),"")</f>
        <v/>
      </c>
      <c r="L2882" s="12"/>
      <c r="M2882" s="13"/>
      <c r="N2882" s="2"/>
      <c r="O2882" s="20"/>
      <c r="P2882" s="42"/>
      <c r="R2882" s="23"/>
    </row>
    <row r="2883" spans="1:18" ht="12.75">
      <c r="A2883" s="12"/>
      <c r="D2883" s="12"/>
      <c r="E2883" s="12"/>
      <c r="H2883" s="11" t="str">
        <f ca="1">IFERROR(__xludf.DUMMYFUNCTION("IFERROR(SUBSTITUTE(SUBSTITUTE(REGEXEXTRACT(A2883, ""[^-]+- [^-]+- [^-]+ - (.+?)\.jpg""), "".jpg"", """"), ""-"", "", ""), """")"),"")</f>
        <v/>
      </c>
      <c r="L2883" s="12"/>
      <c r="M2883" s="13"/>
      <c r="N2883" s="2"/>
      <c r="O2883" s="20"/>
      <c r="P2883" s="42"/>
      <c r="R2883" s="23"/>
    </row>
    <row r="2884" spans="1:18" ht="12.75">
      <c r="A2884" s="12"/>
      <c r="D2884" s="12"/>
      <c r="E2884" s="12"/>
      <c r="H2884" s="11" t="str">
        <f ca="1">IFERROR(__xludf.DUMMYFUNCTION("IFERROR(SUBSTITUTE(SUBSTITUTE(REGEXEXTRACT(A2884, ""[^-]+- [^-]+- [^-]+ - (.+?)\.jpg""), "".jpg"", """"), ""-"", "", ""), """")"),"")</f>
        <v/>
      </c>
      <c r="L2884" s="12"/>
      <c r="M2884" s="13"/>
      <c r="N2884" s="2"/>
      <c r="O2884" s="20"/>
      <c r="P2884" s="42"/>
      <c r="R2884" s="23"/>
    </row>
    <row r="2885" spans="1:18" ht="12.75">
      <c r="A2885" s="12"/>
      <c r="D2885" s="12"/>
      <c r="E2885" s="12"/>
      <c r="H2885" s="11" t="str">
        <f ca="1">IFERROR(__xludf.DUMMYFUNCTION("IFERROR(SUBSTITUTE(SUBSTITUTE(REGEXEXTRACT(A2885, ""[^-]+- [^-]+- [^-]+ - (.+?)\.jpg""), "".jpg"", """"), ""-"", "", ""), """")"),"")</f>
        <v/>
      </c>
      <c r="L2885" s="12"/>
      <c r="M2885" s="13"/>
      <c r="N2885" s="2"/>
      <c r="O2885" s="20"/>
      <c r="P2885" s="42"/>
      <c r="R2885" s="23"/>
    </row>
    <row r="2886" spans="1:18" ht="12.75">
      <c r="A2886" s="12"/>
      <c r="D2886" s="12"/>
      <c r="E2886" s="12"/>
      <c r="H2886" s="11" t="str">
        <f ca="1">IFERROR(__xludf.DUMMYFUNCTION("IFERROR(SUBSTITUTE(SUBSTITUTE(REGEXEXTRACT(A2886, ""[^-]+- [^-]+- [^-]+ - (.+?)\.jpg""), "".jpg"", """"), ""-"", "", ""), """")"),"")</f>
        <v/>
      </c>
      <c r="L2886" s="12"/>
      <c r="M2886" s="13"/>
      <c r="N2886" s="2"/>
      <c r="O2886" s="20"/>
      <c r="P2886" s="42"/>
      <c r="R2886" s="23"/>
    </row>
    <row r="2887" spans="1:18" ht="12.75">
      <c r="A2887" s="12"/>
      <c r="D2887" s="12"/>
      <c r="E2887" s="12"/>
      <c r="H2887" s="11" t="str">
        <f ca="1">IFERROR(__xludf.DUMMYFUNCTION("IFERROR(SUBSTITUTE(SUBSTITUTE(REGEXEXTRACT(A2887, ""[^-]+- [^-]+- [^-]+ - (.+?)\.jpg""), "".jpg"", """"), ""-"", "", ""), """")"),"")</f>
        <v/>
      </c>
      <c r="L2887" s="12"/>
      <c r="M2887" s="13"/>
      <c r="N2887" s="2"/>
      <c r="O2887" s="20"/>
      <c r="P2887" s="42"/>
      <c r="R2887" s="23"/>
    </row>
    <row r="2888" spans="1:18" ht="12.75">
      <c r="A2888" s="12"/>
      <c r="D2888" s="12"/>
      <c r="E2888" s="12"/>
      <c r="H2888" s="11" t="str">
        <f ca="1">IFERROR(__xludf.DUMMYFUNCTION("IFERROR(SUBSTITUTE(SUBSTITUTE(REGEXEXTRACT(A2888, ""[^-]+- [^-]+- [^-]+ - (.+?)\.jpg""), "".jpg"", """"), ""-"", "", ""), """")"),"")</f>
        <v/>
      </c>
      <c r="L2888" s="12"/>
      <c r="M2888" s="13"/>
      <c r="N2888" s="2"/>
      <c r="O2888" s="20"/>
      <c r="P2888" s="42"/>
      <c r="R2888" s="23"/>
    </row>
    <row r="2889" spans="1:18" ht="12.75">
      <c r="A2889" s="12"/>
      <c r="D2889" s="12"/>
      <c r="E2889" s="12"/>
      <c r="H2889" s="11" t="str">
        <f ca="1">IFERROR(__xludf.DUMMYFUNCTION("IFERROR(SUBSTITUTE(SUBSTITUTE(REGEXEXTRACT(A2889, ""[^-]+- [^-]+- [^-]+ - (.+?)\.jpg""), "".jpg"", """"), ""-"", "", ""), """")"),"")</f>
        <v/>
      </c>
      <c r="L2889" s="12"/>
      <c r="M2889" s="13"/>
      <c r="N2889" s="2"/>
      <c r="O2889" s="20"/>
      <c r="P2889" s="42"/>
      <c r="R2889" s="23"/>
    </row>
    <row r="2890" spans="1:18" ht="12.75">
      <c r="A2890" s="12"/>
      <c r="D2890" s="12"/>
      <c r="E2890" s="12"/>
      <c r="H2890" s="11" t="str">
        <f ca="1">IFERROR(__xludf.DUMMYFUNCTION("IFERROR(SUBSTITUTE(SUBSTITUTE(REGEXEXTRACT(A2890, ""[^-]+- [^-]+- [^-]+ - (.+?)\.jpg""), "".jpg"", """"), ""-"", "", ""), """")"),"")</f>
        <v/>
      </c>
      <c r="L2890" s="12"/>
      <c r="M2890" s="13"/>
      <c r="N2890" s="2"/>
      <c r="O2890" s="20"/>
      <c r="P2890" s="42"/>
      <c r="R2890" s="23"/>
    </row>
    <row r="2891" spans="1:18" ht="12.75">
      <c r="A2891" s="12"/>
      <c r="D2891" s="12"/>
      <c r="E2891" s="12"/>
      <c r="H2891" s="11" t="str">
        <f ca="1">IFERROR(__xludf.DUMMYFUNCTION("IFERROR(SUBSTITUTE(SUBSTITUTE(REGEXEXTRACT(A2891, ""[^-]+- [^-]+- [^-]+ - (.+?)\.jpg""), "".jpg"", """"), ""-"", "", ""), """")"),"")</f>
        <v/>
      </c>
      <c r="L2891" s="12"/>
      <c r="M2891" s="13"/>
      <c r="N2891" s="2"/>
      <c r="O2891" s="20"/>
      <c r="P2891" s="42"/>
      <c r="R2891" s="23"/>
    </row>
    <row r="2892" spans="1:18" ht="12.75">
      <c r="A2892" s="12"/>
      <c r="D2892" s="12"/>
      <c r="E2892" s="12"/>
      <c r="H2892" s="11" t="str">
        <f ca="1">IFERROR(__xludf.DUMMYFUNCTION("IFERROR(SUBSTITUTE(SUBSTITUTE(REGEXEXTRACT(A2892, ""[^-]+- [^-]+- [^-]+ - (.+?)\.jpg""), "".jpg"", """"), ""-"", "", ""), """")"),"")</f>
        <v/>
      </c>
      <c r="L2892" s="12"/>
      <c r="M2892" s="13"/>
      <c r="N2892" s="2"/>
      <c r="O2892" s="20"/>
      <c r="P2892" s="42"/>
      <c r="R2892" s="23"/>
    </row>
    <row r="2893" spans="1:18" ht="12.75">
      <c r="A2893" s="12"/>
      <c r="D2893" s="12"/>
      <c r="E2893" s="12"/>
      <c r="H2893" s="11" t="str">
        <f ca="1">IFERROR(__xludf.DUMMYFUNCTION("IFERROR(SUBSTITUTE(SUBSTITUTE(REGEXEXTRACT(A2893, ""[^-]+- [^-]+- [^-]+ - (.+?)\.jpg""), "".jpg"", """"), ""-"", "", ""), """")"),"")</f>
        <v/>
      </c>
      <c r="L2893" s="12"/>
      <c r="M2893" s="13"/>
      <c r="N2893" s="2"/>
      <c r="O2893" s="20"/>
      <c r="P2893" s="42"/>
      <c r="R2893" s="23"/>
    </row>
    <row r="2894" spans="1:18" ht="12.75">
      <c r="A2894" s="12"/>
      <c r="D2894" s="12"/>
      <c r="E2894" s="12"/>
      <c r="H2894" s="11" t="str">
        <f ca="1">IFERROR(__xludf.DUMMYFUNCTION("IFERROR(SUBSTITUTE(SUBSTITUTE(REGEXEXTRACT(A2894, ""[^-]+- [^-]+- [^-]+ - (.+?)\.jpg""), "".jpg"", """"), ""-"", "", ""), """")"),"")</f>
        <v/>
      </c>
      <c r="L2894" s="12"/>
      <c r="M2894" s="13"/>
      <c r="N2894" s="2"/>
      <c r="O2894" s="20"/>
      <c r="P2894" s="42"/>
      <c r="R2894" s="23"/>
    </row>
    <row r="2895" spans="1:18" ht="12.75">
      <c r="A2895" s="12"/>
      <c r="D2895" s="12"/>
      <c r="E2895" s="12"/>
      <c r="H2895" s="11" t="str">
        <f ca="1">IFERROR(__xludf.DUMMYFUNCTION("IFERROR(SUBSTITUTE(SUBSTITUTE(REGEXEXTRACT(A2895, ""[^-]+- [^-]+- [^-]+ - (.+?)\.jpg""), "".jpg"", """"), ""-"", "", ""), """")"),"")</f>
        <v/>
      </c>
      <c r="L2895" s="12"/>
      <c r="M2895" s="13"/>
      <c r="N2895" s="2"/>
      <c r="O2895" s="20"/>
      <c r="P2895" s="42"/>
      <c r="R2895" s="23"/>
    </row>
    <row r="2896" spans="1:18" ht="12.75">
      <c r="A2896" s="12"/>
      <c r="D2896" s="12"/>
      <c r="E2896" s="12"/>
      <c r="H2896" s="11" t="str">
        <f ca="1">IFERROR(__xludf.DUMMYFUNCTION("IFERROR(SUBSTITUTE(SUBSTITUTE(REGEXEXTRACT(A2896, ""[^-]+- [^-]+- [^-]+ - (.+?)\.jpg""), "".jpg"", """"), ""-"", "", ""), """")"),"")</f>
        <v/>
      </c>
      <c r="L2896" s="12"/>
      <c r="M2896" s="13"/>
      <c r="N2896" s="2"/>
      <c r="O2896" s="20"/>
      <c r="P2896" s="42"/>
      <c r="R2896" s="23"/>
    </row>
    <row r="2897" spans="1:18" ht="12.75">
      <c r="A2897" s="12"/>
      <c r="D2897" s="12"/>
      <c r="E2897" s="12"/>
      <c r="H2897" s="11" t="str">
        <f ca="1">IFERROR(__xludf.DUMMYFUNCTION("IFERROR(SUBSTITUTE(SUBSTITUTE(REGEXEXTRACT(A2897, ""[^-]+- [^-]+- [^-]+ - (.+?)\.jpg""), "".jpg"", """"), ""-"", "", ""), """")"),"")</f>
        <v/>
      </c>
      <c r="L2897" s="12"/>
      <c r="M2897" s="13"/>
      <c r="N2897" s="2"/>
      <c r="O2897" s="20"/>
      <c r="P2897" s="42"/>
      <c r="R2897" s="23"/>
    </row>
    <row r="2898" spans="1:18" ht="12.75">
      <c r="A2898" s="12"/>
      <c r="D2898" s="12"/>
      <c r="E2898" s="12"/>
      <c r="H2898" s="11" t="str">
        <f ca="1">IFERROR(__xludf.DUMMYFUNCTION("IFERROR(SUBSTITUTE(SUBSTITUTE(REGEXEXTRACT(A2898, ""[^-]+- [^-]+- [^-]+ - (.+?)\.jpg""), "".jpg"", """"), ""-"", "", ""), """")"),"")</f>
        <v/>
      </c>
      <c r="L2898" s="12"/>
      <c r="M2898" s="13"/>
      <c r="N2898" s="2"/>
      <c r="O2898" s="20"/>
      <c r="P2898" s="42"/>
      <c r="R2898" s="23"/>
    </row>
    <row r="2899" spans="1:18" ht="12.75">
      <c r="A2899" s="12"/>
      <c r="D2899" s="12"/>
      <c r="E2899" s="12"/>
      <c r="H2899" s="11" t="str">
        <f ca="1">IFERROR(__xludf.DUMMYFUNCTION("IFERROR(SUBSTITUTE(SUBSTITUTE(REGEXEXTRACT(A2899, ""[^-]+- [^-]+- [^-]+ - (.+?)\.jpg""), "".jpg"", """"), ""-"", "", ""), """")"),"")</f>
        <v/>
      </c>
      <c r="L2899" s="12"/>
      <c r="M2899" s="13"/>
      <c r="N2899" s="2"/>
      <c r="O2899" s="20"/>
      <c r="P2899" s="42"/>
      <c r="R2899" s="23"/>
    </row>
    <row r="2900" spans="1:18" ht="12.75">
      <c r="A2900" s="12"/>
      <c r="D2900" s="12"/>
      <c r="E2900" s="12"/>
      <c r="H2900" s="11" t="str">
        <f ca="1">IFERROR(__xludf.DUMMYFUNCTION("IFERROR(SUBSTITUTE(SUBSTITUTE(REGEXEXTRACT(A2900, ""[^-]+- [^-]+- [^-]+ - (.+?)\.jpg""), "".jpg"", """"), ""-"", "", ""), """")"),"")</f>
        <v/>
      </c>
      <c r="L2900" s="12"/>
      <c r="M2900" s="13"/>
      <c r="N2900" s="2"/>
      <c r="O2900" s="20"/>
      <c r="P2900" s="42"/>
      <c r="R2900" s="23"/>
    </row>
    <row r="2901" spans="1:18" ht="12.75">
      <c r="A2901" s="12"/>
      <c r="D2901" s="12"/>
      <c r="E2901" s="12"/>
      <c r="H2901" s="11" t="str">
        <f ca="1">IFERROR(__xludf.DUMMYFUNCTION("IFERROR(SUBSTITUTE(SUBSTITUTE(REGEXEXTRACT(A2901, ""[^-]+- [^-]+- [^-]+ - (.+?)\.jpg""), "".jpg"", """"), ""-"", "", ""), """")"),"")</f>
        <v/>
      </c>
      <c r="L2901" s="12"/>
      <c r="M2901" s="13"/>
      <c r="N2901" s="2"/>
      <c r="O2901" s="20"/>
      <c r="P2901" s="42"/>
      <c r="R2901" s="23"/>
    </row>
    <row r="2902" spans="1:18" ht="12.75">
      <c r="A2902" s="12"/>
      <c r="D2902" s="12"/>
      <c r="E2902" s="12"/>
      <c r="H2902" s="11" t="str">
        <f ca="1">IFERROR(__xludf.DUMMYFUNCTION("IFERROR(SUBSTITUTE(SUBSTITUTE(REGEXEXTRACT(A2902, ""[^-]+- [^-]+- [^-]+ - (.+?)\.jpg""), "".jpg"", """"), ""-"", "", ""), """")"),"")</f>
        <v/>
      </c>
      <c r="L2902" s="12"/>
      <c r="M2902" s="13"/>
      <c r="N2902" s="2"/>
      <c r="O2902" s="20"/>
      <c r="P2902" s="42"/>
      <c r="R2902" s="23"/>
    </row>
    <row r="2903" spans="1:18" ht="12.75">
      <c r="A2903" s="12"/>
      <c r="D2903" s="12"/>
      <c r="E2903" s="12"/>
      <c r="H2903" s="11" t="str">
        <f ca="1">IFERROR(__xludf.DUMMYFUNCTION("IFERROR(SUBSTITUTE(SUBSTITUTE(REGEXEXTRACT(A2903, ""[^-]+- [^-]+- [^-]+ - (.+?)\.jpg""), "".jpg"", """"), ""-"", "", ""), """")"),"")</f>
        <v/>
      </c>
      <c r="L2903" s="12"/>
      <c r="M2903" s="13"/>
      <c r="N2903" s="2"/>
      <c r="O2903" s="20"/>
      <c r="P2903" s="42"/>
      <c r="R2903" s="23"/>
    </row>
    <row r="2904" spans="1:18" ht="12.75">
      <c r="A2904" s="12"/>
      <c r="D2904" s="12"/>
      <c r="E2904" s="12"/>
      <c r="H2904" s="11" t="str">
        <f ca="1">IFERROR(__xludf.DUMMYFUNCTION("IFERROR(SUBSTITUTE(SUBSTITUTE(REGEXEXTRACT(A2904, ""[^-]+- [^-]+- [^-]+ - (.+?)\.jpg""), "".jpg"", """"), ""-"", "", ""), """")"),"")</f>
        <v/>
      </c>
      <c r="L2904" s="12"/>
      <c r="M2904" s="13"/>
      <c r="N2904" s="2"/>
      <c r="O2904" s="20"/>
      <c r="P2904" s="42"/>
      <c r="R2904" s="23"/>
    </row>
    <row r="2905" spans="1:18" ht="12.75">
      <c r="A2905" s="12"/>
      <c r="D2905" s="12"/>
      <c r="E2905" s="12"/>
      <c r="H2905" s="11" t="str">
        <f ca="1">IFERROR(__xludf.DUMMYFUNCTION("IFERROR(SUBSTITUTE(SUBSTITUTE(REGEXEXTRACT(A2905, ""[^-]+- [^-]+- [^-]+ - (.+?)\.jpg""), "".jpg"", """"), ""-"", "", ""), """")"),"")</f>
        <v/>
      </c>
      <c r="L2905" s="12"/>
      <c r="M2905" s="13"/>
      <c r="N2905" s="2"/>
      <c r="O2905" s="20"/>
      <c r="P2905" s="42"/>
      <c r="R2905" s="23"/>
    </row>
    <row r="2906" spans="1:18" ht="12.75">
      <c r="A2906" s="12"/>
      <c r="D2906" s="12"/>
      <c r="E2906" s="12"/>
      <c r="H2906" s="11" t="str">
        <f ca="1">IFERROR(__xludf.DUMMYFUNCTION("IFERROR(SUBSTITUTE(SUBSTITUTE(REGEXEXTRACT(A2906, ""[^-]+- [^-]+- [^-]+ - (.+?)\.jpg""), "".jpg"", """"), ""-"", "", ""), """")"),"")</f>
        <v/>
      </c>
      <c r="L2906" s="12"/>
      <c r="M2906" s="13"/>
      <c r="N2906" s="2"/>
      <c r="O2906" s="20"/>
      <c r="P2906" s="42"/>
      <c r="R2906" s="23"/>
    </row>
    <row r="2907" spans="1:18" ht="12.75">
      <c r="A2907" s="12"/>
      <c r="D2907" s="12"/>
      <c r="E2907" s="12"/>
      <c r="H2907" s="11" t="str">
        <f ca="1">IFERROR(__xludf.DUMMYFUNCTION("IFERROR(SUBSTITUTE(SUBSTITUTE(REGEXEXTRACT(A2907, ""[^-]+- [^-]+- [^-]+ - (.+?)\.jpg""), "".jpg"", """"), ""-"", "", ""), """")"),"")</f>
        <v/>
      </c>
      <c r="L2907" s="12"/>
      <c r="M2907" s="13"/>
      <c r="N2907" s="2"/>
      <c r="O2907" s="20"/>
      <c r="P2907" s="42"/>
      <c r="R2907" s="23"/>
    </row>
    <row r="2908" spans="1:18" ht="12.75">
      <c r="A2908" s="12"/>
      <c r="D2908" s="12"/>
      <c r="E2908" s="12"/>
      <c r="H2908" s="11" t="str">
        <f ca="1">IFERROR(__xludf.DUMMYFUNCTION("IFERROR(SUBSTITUTE(SUBSTITUTE(REGEXEXTRACT(A2908, ""[^-]+- [^-]+- [^-]+ - (.+?)\.jpg""), "".jpg"", """"), ""-"", "", ""), """")"),"")</f>
        <v/>
      </c>
      <c r="L2908" s="12"/>
      <c r="M2908" s="13"/>
      <c r="N2908" s="2"/>
      <c r="O2908" s="20"/>
      <c r="P2908" s="42"/>
      <c r="R2908" s="23"/>
    </row>
    <row r="2909" spans="1:18" ht="12.75">
      <c r="A2909" s="12"/>
      <c r="D2909" s="12"/>
      <c r="E2909" s="12"/>
      <c r="H2909" s="11" t="str">
        <f ca="1">IFERROR(__xludf.DUMMYFUNCTION("IFERROR(SUBSTITUTE(SUBSTITUTE(REGEXEXTRACT(A2909, ""[^-]+- [^-]+- [^-]+ - (.+?)\.jpg""), "".jpg"", """"), ""-"", "", ""), """")"),"")</f>
        <v/>
      </c>
      <c r="L2909" s="12"/>
      <c r="M2909" s="13"/>
      <c r="N2909" s="2"/>
      <c r="O2909" s="20"/>
      <c r="P2909" s="42"/>
      <c r="R2909" s="23"/>
    </row>
    <row r="2910" spans="1:18" ht="12.75">
      <c r="A2910" s="12"/>
      <c r="D2910" s="12"/>
      <c r="E2910" s="12"/>
      <c r="H2910" s="11" t="str">
        <f ca="1">IFERROR(__xludf.DUMMYFUNCTION("IFERROR(SUBSTITUTE(SUBSTITUTE(REGEXEXTRACT(A2910, ""[^-]+- [^-]+- [^-]+ - (.+?)\.jpg""), "".jpg"", """"), ""-"", "", ""), """")"),"")</f>
        <v/>
      </c>
      <c r="L2910" s="12"/>
      <c r="M2910" s="13"/>
      <c r="N2910" s="2"/>
      <c r="O2910" s="20"/>
      <c r="P2910" s="42"/>
      <c r="R2910" s="23"/>
    </row>
    <row r="2911" spans="1:18" ht="12.75">
      <c r="A2911" s="12"/>
      <c r="D2911" s="12"/>
      <c r="E2911" s="12"/>
      <c r="H2911" s="11" t="str">
        <f ca="1">IFERROR(__xludf.DUMMYFUNCTION("IFERROR(SUBSTITUTE(SUBSTITUTE(REGEXEXTRACT(A2911, ""[^-]+- [^-]+- [^-]+ - (.+?)\.jpg""), "".jpg"", """"), ""-"", "", ""), """")"),"")</f>
        <v/>
      </c>
      <c r="L2911" s="12"/>
      <c r="M2911" s="13"/>
      <c r="N2911" s="2"/>
      <c r="O2911" s="20"/>
      <c r="P2911" s="42"/>
      <c r="R2911" s="23"/>
    </row>
    <row r="2912" spans="1:18" ht="12.75">
      <c r="A2912" s="12"/>
      <c r="D2912" s="12"/>
      <c r="E2912" s="12"/>
      <c r="H2912" s="11" t="str">
        <f ca="1">IFERROR(__xludf.DUMMYFUNCTION("IFERROR(SUBSTITUTE(SUBSTITUTE(REGEXEXTRACT(A2912, ""[^-]+- [^-]+- [^-]+ - (.+?)\.jpg""), "".jpg"", """"), ""-"", "", ""), """")"),"")</f>
        <v/>
      </c>
      <c r="L2912" s="12"/>
      <c r="M2912" s="13"/>
      <c r="N2912" s="2"/>
      <c r="O2912" s="20"/>
      <c r="P2912" s="42"/>
      <c r="R2912" s="23"/>
    </row>
    <row r="2913" spans="1:18" ht="12.75">
      <c r="A2913" s="12"/>
      <c r="D2913" s="12"/>
      <c r="E2913" s="12"/>
      <c r="H2913" s="11" t="str">
        <f ca="1">IFERROR(__xludf.DUMMYFUNCTION("IFERROR(SUBSTITUTE(SUBSTITUTE(REGEXEXTRACT(A2913, ""[^-]+- [^-]+- [^-]+ - (.+?)\.jpg""), "".jpg"", """"), ""-"", "", ""), """")"),"")</f>
        <v/>
      </c>
      <c r="L2913" s="12"/>
      <c r="M2913" s="13"/>
      <c r="N2913" s="2"/>
      <c r="O2913" s="20"/>
      <c r="P2913" s="42"/>
      <c r="R2913" s="23"/>
    </row>
    <row r="2914" spans="1:18" ht="12.75">
      <c r="A2914" s="12"/>
      <c r="D2914" s="12"/>
      <c r="E2914" s="12"/>
      <c r="H2914" s="11" t="str">
        <f ca="1">IFERROR(__xludf.DUMMYFUNCTION("IFERROR(SUBSTITUTE(SUBSTITUTE(REGEXEXTRACT(A2914, ""[^-]+- [^-]+- [^-]+ - (.+?)\.jpg""), "".jpg"", """"), ""-"", "", ""), """")"),"")</f>
        <v/>
      </c>
      <c r="L2914" s="12"/>
      <c r="M2914" s="13"/>
      <c r="N2914" s="2"/>
      <c r="O2914" s="20"/>
      <c r="P2914" s="42"/>
      <c r="R2914" s="23"/>
    </row>
    <row r="2915" spans="1:18" ht="12.75">
      <c r="A2915" s="12"/>
      <c r="D2915" s="12"/>
      <c r="E2915" s="12"/>
      <c r="H2915" s="11" t="str">
        <f ca="1">IFERROR(__xludf.DUMMYFUNCTION("IFERROR(SUBSTITUTE(SUBSTITUTE(REGEXEXTRACT(A2915, ""[^-]+- [^-]+- [^-]+ - (.+?)\.jpg""), "".jpg"", """"), ""-"", "", ""), """")"),"")</f>
        <v/>
      </c>
      <c r="L2915" s="12"/>
      <c r="M2915" s="13"/>
      <c r="N2915" s="2"/>
      <c r="O2915" s="20"/>
      <c r="P2915" s="42"/>
      <c r="R2915" s="23"/>
    </row>
    <row r="2916" spans="1:18" ht="12.75">
      <c r="A2916" s="12"/>
      <c r="D2916" s="12"/>
      <c r="E2916" s="12"/>
      <c r="H2916" s="11" t="str">
        <f ca="1">IFERROR(__xludf.DUMMYFUNCTION("IFERROR(SUBSTITUTE(SUBSTITUTE(REGEXEXTRACT(A2916, ""[^-]+- [^-]+- [^-]+ - (.+?)\.jpg""), "".jpg"", """"), ""-"", "", ""), """")"),"")</f>
        <v/>
      </c>
      <c r="L2916" s="12"/>
      <c r="M2916" s="13"/>
      <c r="N2916" s="2"/>
      <c r="O2916" s="20"/>
      <c r="P2916" s="42"/>
      <c r="R2916" s="23"/>
    </row>
    <row r="2917" spans="1:18" ht="12.75">
      <c r="A2917" s="12"/>
      <c r="D2917" s="12"/>
      <c r="E2917" s="12"/>
      <c r="H2917" s="11" t="str">
        <f ca="1">IFERROR(__xludf.DUMMYFUNCTION("IFERROR(SUBSTITUTE(SUBSTITUTE(REGEXEXTRACT(A2917, ""[^-]+- [^-]+- [^-]+ - (.+?)\.jpg""), "".jpg"", """"), ""-"", "", ""), """")"),"")</f>
        <v/>
      </c>
      <c r="L2917" s="12"/>
      <c r="M2917" s="13"/>
      <c r="N2917" s="2"/>
      <c r="O2917" s="20"/>
      <c r="P2917" s="42"/>
      <c r="R2917" s="23"/>
    </row>
    <row r="2918" spans="1:18" ht="12.75">
      <c r="A2918" s="12"/>
      <c r="D2918" s="12"/>
      <c r="E2918" s="12"/>
      <c r="H2918" s="11" t="str">
        <f ca="1">IFERROR(__xludf.DUMMYFUNCTION("IFERROR(SUBSTITUTE(SUBSTITUTE(REGEXEXTRACT(A2918, ""[^-]+- [^-]+- [^-]+ - (.+?)\.jpg""), "".jpg"", """"), ""-"", "", ""), """")"),"")</f>
        <v/>
      </c>
      <c r="L2918" s="12"/>
      <c r="M2918" s="13"/>
      <c r="N2918" s="2"/>
      <c r="O2918" s="20"/>
      <c r="P2918" s="42"/>
      <c r="R2918" s="23"/>
    </row>
    <row r="2919" spans="1:18" ht="12.75">
      <c r="A2919" s="12"/>
      <c r="D2919" s="12"/>
      <c r="E2919" s="12"/>
      <c r="H2919" s="11" t="str">
        <f ca="1">IFERROR(__xludf.DUMMYFUNCTION("IFERROR(SUBSTITUTE(SUBSTITUTE(REGEXEXTRACT(A2919, ""[^-]+- [^-]+- [^-]+ - (.+?)\.jpg""), "".jpg"", """"), ""-"", "", ""), """")"),"")</f>
        <v/>
      </c>
      <c r="L2919" s="12"/>
      <c r="M2919" s="13"/>
      <c r="N2919" s="2"/>
      <c r="O2919" s="20"/>
      <c r="P2919" s="42"/>
      <c r="R2919" s="23"/>
    </row>
    <row r="2920" spans="1:18" ht="12.75">
      <c r="A2920" s="12"/>
      <c r="D2920" s="12"/>
      <c r="E2920" s="12"/>
      <c r="H2920" s="11" t="str">
        <f ca="1">IFERROR(__xludf.DUMMYFUNCTION("IFERROR(SUBSTITUTE(SUBSTITUTE(REGEXEXTRACT(A2920, ""[^-]+- [^-]+- [^-]+ - (.+?)\.jpg""), "".jpg"", """"), ""-"", "", ""), """")"),"")</f>
        <v/>
      </c>
      <c r="L2920" s="12"/>
      <c r="M2920" s="13"/>
      <c r="N2920" s="2"/>
      <c r="O2920" s="20"/>
      <c r="P2920" s="42"/>
      <c r="R2920" s="23"/>
    </row>
    <row r="2921" spans="1:18" ht="12.75">
      <c r="A2921" s="12"/>
      <c r="D2921" s="12"/>
      <c r="E2921" s="12"/>
      <c r="H2921" s="11" t="str">
        <f ca="1">IFERROR(__xludf.DUMMYFUNCTION("IFERROR(SUBSTITUTE(SUBSTITUTE(REGEXEXTRACT(A2921, ""[^-]+- [^-]+- [^-]+ - (.+?)\.jpg""), "".jpg"", """"), ""-"", "", ""), """")"),"")</f>
        <v/>
      </c>
      <c r="L2921" s="12"/>
      <c r="M2921" s="13"/>
      <c r="N2921" s="2"/>
      <c r="O2921" s="20"/>
      <c r="P2921" s="42"/>
      <c r="R2921" s="23"/>
    </row>
    <row r="2922" spans="1:18" ht="12.75">
      <c r="A2922" s="12"/>
      <c r="D2922" s="12"/>
      <c r="E2922" s="12"/>
      <c r="H2922" s="11" t="str">
        <f ca="1">IFERROR(__xludf.DUMMYFUNCTION("IFERROR(SUBSTITUTE(SUBSTITUTE(REGEXEXTRACT(A2922, ""[^-]+- [^-]+- [^-]+ - (.+?)\.jpg""), "".jpg"", """"), ""-"", "", ""), """")"),"")</f>
        <v/>
      </c>
      <c r="L2922" s="12"/>
      <c r="M2922" s="13"/>
      <c r="N2922" s="2"/>
      <c r="O2922" s="20"/>
      <c r="P2922" s="42"/>
      <c r="R2922" s="23"/>
    </row>
    <row r="2923" spans="1:18" ht="12.75">
      <c r="A2923" s="12"/>
      <c r="D2923" s="12"/>
      <c r="E2923" s="12"/>
      <c r="H2923" s="11" t="str">
        <f ca="1">IFERROR(__xludf.DUMMYFUNCTION("IFERROR(SUBSTITUTE(SUBSTITUTE(REGEXEXTRACT(A2923, ""[^-]+- [^-]+- [^-]+ - (.+?)\.jpg""), "".jpg"", """"), ""-"", "", ""), """")"),"")</f>
        <v/>
      </c>
      <c r="L2923" s="12"/>
      <c r="M2923" s="13"/>
      <c r="N2923" s="2"/>
      <c r="O2923" s="20"/>
      <c r="P2923" s="42"/>
      <c r="R2923" s="23"/>
    </row>
    <row r="2924" spans="1:18" ht="12.75">
      <c r="A2924" s="12"/>
      <c r="D2924" s="12"/>
      <c r="E2924" s="12"/>
      <c r="H2924" s="11" t="str">
        <f ca="1">IFERROR(__xludf.DUMMYFUNCTION("IFERROR(SUBSTITUTE(SUBSTITUTE(REGEXEXTRACT(A2924, ""[^-]+- [^-]+- [^-]+ - (.+?)\.jpg""), "".jpg"", """"), ""-"", "", ""), """")"),"")</f>
        <v/>
      </c>
      <c r="L2924" s="12"/>
      <c r="M2924" s="13"/>
      <c r="N2924" s="2"/>
      <c r="O2924" s="20"/>
      <c r="P2924" s="42"/>
      <c r="R2924" s="23"/>
    </row>
    <row r="2925" spans="1:18" ht="12.75">
      <c r="A2925" s="12"/>
      <c r="D2925" s="12"/>
      <c r="E2925" s="12"/>
      <c r="H2925" s="11" t="str">
        <f ca="1">IFERROR(__xludf.DUMMYFUNCTION("IFERROR(SUBSTITUTE(SUBSTITUTE(REGEXEXTRACT(A2925, ""[^-]+- [^-]+- [^-]+ - (.+?)\.jpg""), "".jpg"", """"), ""-"", "", ""), """")"),"")</f>
        <v/>
      </c>
      <c r="L2925" s="12"/>
      <c r="M2925" s="13"/>
      <c r="N2925" s="2"/>
      <c r="O2925" s="20"/>
      <c r="P2925" s="42"/>
      <c r="R2925" s="23"/>
    </row>
    <row r="2926" spans="1:18" ht="12.75">
      <c r="A2926" s="12"/>
      <c r="D2926" s="12"/>
      <c r="E2926" s="12"/>
      <c r="H2926" s="11" t="str">
        <f ca="1">IFERROR(__xludf.DUMMYFUNCTION("IFERROR(SUBSTITUTE(SUBSTITUTE(REGEXEXTRACT(A2926, ""[^-]+- [^-]+- [^-]+ - (.+?)\.jpg""), "".jpg"", """"), ""-"", "", ""), """")"),"")</f>
        <v/>
      </c>
      <c r="L2926" s="12"/>
      <c r="M2926" s="13"/>
      <c r="N2926" s="2"/>
      <c r="O2926" s="20"/>
      <c r="P2926" s="42"/>
      <c r="R2926" s="23"/>
    </row>
    <row r="2927" spans="1:18" ht="12.75">
      <c r="A2927" s="12"/>
      <c r="D2927" s="12"/>
      <c r="E2927" s="12"/>
      <c r="H2927" s="11" t="str">
        <f ca="1">IFERROR(__xludf.DUMMYFUNCTION("IFERROR(SUBSTITUTE(SUBSTITUTE(REGEXEXTRACT(A2927, ""[^-]+- [^-]+- [^-]+ - (.+?)\.jpg""), "".jpg"", """"), ""-"", "", ""), """")"),"")</f>
        <v/>
      </c>
      <c r="L2927" s="12"/>
      <c r="M2927" s="13"/>
      <c r="N2927" s="2"/>
      <c r="O2927" s="20"/>
      <c r="P2927" s="42"/>
      <c r="R2927" s="23"/>
    </row>
    <row r="2928" spans="1:18" ht="12.75">
      <c r="A2928" s="12"/>
      <c r="D2928" s="12"/>
      <c r="E2928" s="12"/>
      <c r="H2928" s="11" t="str">
        <f ca="1">IFERROR(__xludf.DUMMYFUNCTION("IFERROR(SUBSTITUTE(SUBSTITUTE(REGEXEXTRACT(A2928, ""[^-]+- [^-]+- [^-]+ - (.+?)\.jpg""), "".jpg"", """"), ""-"", "", ""), """")"),"")</f>
        <v/>
      </c>
      <c r="L2928" s="12"/>
      <c r="M2928" s="13"/>
      <c r="N2928" s="2"/>
      <c r="O2928" s="20"/>
      <c r="P2928" s="42"/>
      <c r="R2928" s="23"/>
    </row>
    <row r="2929" spans="1:18" ht="12.75">
      <c r="A2929" s="12"/>
      <c r="D2929" s="12"/>
      <c r="E2929" s="12"/>
      <c r="H2929" s="11" t="str">
        <f ca="1">IFERROR(__xludf.DUMMYFUNCTION("IFERROR(SUBSTITUTE(SUBSTITUTE(REGEXEXTRACT(A2929, ""[^-]+- [^-]+- [^-]+ - (.+?)\.jpg""), "".jpg"", """"), ""-"", "", ""), """")"),"")</f>
        <v/>
      </c>
      <c r="L2929" s="12"/>
      <c r="M2929" s="13"/>
      <c r="N2929" s="2"/>
      <c r="O2929" s="20"/>
      <c r="P2929" s="42"/>
      <c r="R2929" s="23"/>
    </row>
    <row r="2930" spans="1:18" ht="12.75">
      <c r="A2930" s="12"/>
      <c r="D2930" s="12"/>
      <c r="E2930" s="12"/>
      <c r="H2930" s="11" t="str">
        <f ca="1">IFERROR(__xludf.DUMMYFUNCTION("IFERROR(SUBSTITUTE(SUBSTITUTE(REGEXEXTRACT(A2930, ""[^-]+- [^-]+- [^-]+ - (.+?)\.jpg""), "".jpg"", """"), ""-"", "", ""), """")"),"")</f>
        <v/>
      </c>
      <c r="L2930" s="12"/>
      <c r="M2930" s="13"/>
      <c r="N2930" s="2"/>
      <c r="O2930" s="20"/>
      <c r="P2930" s="42"/>
      <c r="R2930" s="23"/>
    </row>
    <row r="2931" spans="1:18" ht="12.75">
      <c r="A2931" s="12"/>
      <c r="D2931" s="12"/>
      <c r="E2931" s="12"/>
      <c r="H2931" s="11" t="str">
        <f ca="1">IFERROR(__xludf.DUMMYFUNCTION("IFERROR(SUBSTITUTE(SUBSTITUTE(REGEXEXTRACT(A2931, ""[^-]+- [^-]+- [^-]+ - (.+?)\.jpg""), "".jpg"", """"), ""-"", "", ""), """")"),"")</f>
        <v/>
      </c>
      <c r="L2931" s="12"/>
      <c r="M2931" s="13"/>
      <c r="N2931" s="2"/>
      <c r="O2931" s="20"/>
      <c r="P2931" s="42"/>
      <c r="R2931" s="23"/>
    </row>
    <row r="2932" spans="1:18" ht="12.75">
      <c r="A2932" s="12"/>
      <c r="D2932" s="12"/>
      <c r="E2932" s="12"/>
      <c r="H2932" s="11" t="str">
        <f ca="1">IFERROR(__xludf.DUMMYFUNCTION("IFERROR(SUBSTITUTE(SUBSTITUTE(REGEXEXTRACT(A2932, ""[^-]+- [^-]+- [^-]+ - (.+?)\.jpg""), "".jpg"", """"), ""-"", "", ""), """")"),"")</f>
        <v/>
      </c>
      <c r="L2932" s="12"/>
      <c r="M2932" s="13"/>
      <c r="N2932" s="2"/>
      <c r="O2932" s="20"/>
      <c r="P2932" s="42"/>
      <c r="R2932" s="23"/>
    </row>
    <row r="2933" spans="1:18" ht="12.75">
      <c r="A2933" s="12"/>
      <c r="D2933" s="12"/>
      <c r="E2933" s="12"/>
      <c r="H2933" s="11" t="str">
        <f ca="1">IFERROR(__xludf.DUMMYFUNCTION("IFERROR(SUBSTITUTE(SUBSTITUTE(REGEXEXTRACT(A2933, ""[^-]+- [^-]+- [^-]+ - (.+?)\.jpg""), "".jpg"", """"), ""-"", "", ""), """")"),"")</f>
        <v/>
      </c>
      <c r="L2933" s="12"/>
      <c r="M2933" s="13"/>
      <c r="N2933" s="2"/>
      <c r="O2933" s="20"/>
      <c r="P2933" s="42"/>
      <c r="R2933" s="23"/>
    </row>
    <row r="2934" spans="1:18" ht="12.75">
      <c r="A2934" s="12"/>
      <c r="D2934" s="12"/>
      <c r="E2934" s="12"/>
      <c r="H2934" s="11" t="str">
        <f ca="1">IFERROR(__xludf.DUMMYFUNCTION("IFERROR(SUBSTITUTE(SUBSTITUTE(REGEXEXTRACT(A2934, ""[^-]+- [^-]+- [^-]+ - (.+?)\.jpg""), "".jpg"", """"), ""-"", "", ""), """")"),"")</f>
        <v/>
      </c>
      <c r="L2934" s="12"/>
      <c r="M2934" s="13"/>
      <c r="N2934" s="2"/>
      <c r="O2934" s="20"/>
      <c r="P2934" s="42"/>
      <c r="R2934" s="23"/>
    </row>
    <row r="2935" spans="1:18" ht="12.75">
      <c r="A2935" s="12"/>
      <c r="D2935" s="12"/>
      <c r="E2935" s="12"/>
      <c r="H2935" s="11" t="str">
        <f ca="1">IFERROR(__xludf.DUMMYFUNCTION("IFERROR(SUBSTITUTE(SUBSTITUTE(REGEXEXTRACT(A2935, ""[^-]+- [^-]+- [^-]+ - (.+?)\.jpg""), "".jpg"", """"), ""-"", "", ""), """")"),"")</f>
        <v/>
      </c>
      <c r="L2935" s="12"/>
      <c r="M2935" s="13"/>
      <c r="N2935" s="2"/>
      <c r="O2935" s="20"/>
      <c r="P2935" s="42"/>
      <c r="R2935" s="23"/>
    </row>
    <row r="2936" spans="1:18" ht="12.75">
      <c r="A2936" s="12"/>
      <c r="D2936" s="12"/>
      <c r="E2936" s="12"/>
      <c r="H2936" s="11" t="str">
        <f ca="1">IFERROR(__xludf.DUMMYFUNCTION("IFERROR(SUBSTITUTE(SUBSTITUTE(REGEXEXTRACT(A2936, ""[^-]+- [^-]+- [^-]+ - (.+?)\.jpg""), "".jpg"", """"), ""-"", "", ""), """")"),"")</f>
        <v/>
      </c>
      <c r="L2936" s="12"/>
      <c r="M2936" s="13"/>
      <c r="N2936" s="2"/>
      <c r="O2936" s="20"/>
      <c r="P2936" s="42"/>
      <c r="R2936" s="23"/>
    </row>
    <row r="2937" spans="1:18" ht="12.75">
      <c r="A2937" s="12"/>
      <c r="D2937" s="12"/>
      <c r="E2937" s="12"/>
      <c r="H2937" s="11" t="str">
        <f ca="1">IFERROR(__xludf.DUMMYFUNCTION("IFERROR(SUBSTITUTE(SUBSTITUTE(REGEXEXTRACT(A2937, ""[^-]+- [^-]+- [^-]+ - (.+?)\.jpg""), "".jpg"", """"), ""-"", "", ""), """")"),"")</f>
        <v/>
      </c>
      <c r="L2937" s="12"/>
      <c r="M2937" s="13"/>
      <c r="N2937" s="2"/>
      <c r="O2937" s="20"/>
      <c r="P2937" s="42"/>
      <c r="R2937" s="23"/>
    </row>
    <row r="2938" spans="1:18" ht="12.75">
      <c r="A2938" s="12"/>
      <c r="D2938" s="12"/>
      <c r="E2938" s="12"/>
      <c r="H2938" s="11" t="str">
        <f ca="1">IFERROR(__xludf.DUMMYFUNCTION("IFERROR(SUBSTITUTE(SUBSTITUTE(REGEXEXTRACT(A2938, ""[^-]+- [^-]+- [^-]+ - (.+?)\.jpg""), "".jpg"", """"), ""-"", "", ""), """")"),"")</f>
        <v/>
      </c>
      <c r="L2938" s="12"/>
      <c r="M2938" s="13"/>
      <c r="N2938" s="2"/>
      <c r="O2938" s="20"/>
      <c r="P2938" s="42"/>
      <c r="R2938" s="23"/>
    </row>
    <row r="2939" spans="1:18" ht="12.75">
      <c r="A2939" s="12"/>
      <c r="D2939" s="12"/>
      <c r="E2939" s="12"/>
      <c r="H2939" s="11" t="str">
        <f ca="1">IFERROR(__xludf.DUMMYFUNCTION("IFERROR(SUBSTITUTE(SUBSTITUTE(REGEXEXTRACT(A2939, ""[^-]+- [^-]+- [^-]+ - (.+?)\.jpg""), "".jpg"", """"), ""-"", "", ""), """")"),"")</f>
        <v/>
      </c>
      <c r="L2939" s="12"/>
      <c r="M2939" s="13"/>
      <c r="N2939" s="2"/>
      <c r="O2939" s="20"/>
      <c r="P2939" s="42"/>
      <c r="R2939" s="23"/>
    </row>
    <row r="2940" spans="1:18" ht="12.75">
      <c r="A2940" s="12"/>
      <c r="D2940" s="12"/>
      <c r="E2940" s="12"/>
      <c r="H2940" s="11" t="str">
        <f ca="1">IFERROR(__xludf.DUMMYFUNCTION("IFERROR(SUBSTITUTE(SUBSTITUTE(REGEXEXTRACT(A2940, ""[^-]+- [^-]+- [^-]+ - (.+?)\.jpg""), "".jpg"", """"), ""-"", "", ""), """")"),"")</f>
        <v/>
      </c>
      <c r="L2940" s="12"/>
      <c r="M2940" s="13"/>
      <c r="N2940" s="2"/>
      <c r="O2940" s="20"/>
      <c r="P2940" s="42"/>
      <c r="R2940" s="23"/>
    </row>
    <row r="2941" spans="1:18" ht="12.75">
      <c r="A2941" s="12"/>
      <c r="D2941" s="12"/>
      <c r="E2941" s="12"/>
      <c r="H2941" s="11" t="str">
        <f ca="1">IFERROR(__xludf.DUMMYFUNCTION("IFERROR(SUBSTITUTE(SUBSTITUTE(REGEXEXTRACT(A2941, ""[^-]+- [^-]+- [^-]+ - (.+?)\.jpg""), "".jpg"", """"), ""-"", "", ""), """")"),"")</f>
        <v/>
      </c>
      <c r="L2941" s="12"/>
      <c r="M2941" s="13"/>
      <c r="N2941" s="2"/>
      <c r="O2941" s="20"/>
      <c r="P2941" s="42"/>
      <c r="R2941" s="23"/>
    </row>
    <row r="2942" spans="1:18" ht="12.75">
      <c r="A2942" s="12"/>
      <c r="D2942" s="12"/>
      <c r="E2942" s="12"/>
      <c r="H2942" s="11" t="str">
        <f ca="1">IFERROR(__xludf.DUMMYFUNCTION("IFERROR(SUBSTITUTE(SUBSTITUTE(REGEXEXTRACT(A2942, ""[^-]+- [^-]+- [^-]+ - (.+?)\.jpg""), "".jpg"", """"), ""-"", "", ""), """")"),"")</f>
        <v/>
      </c>
      <c r="L2942" s="12"/>
      <c r="M2942" s="13"/>
      <c r="N2942" s="2"/>
      <c r="O2942" s="20"/>
      <c r="P2942" s="42"/>
      <c r="R2942" s="23"/>
    </row>
    <row r="2943" spans="1:18" ht="12.75">
      <c r="A2943" s="12"/>
      <c r="D2943" s="12"/>
      <c r="E2943" s="12"/>
      <c r="H2943" s="11" t="str">
        <f ca="1">IFERROR(__xludf.DUMMYFUNCTION("IFERROR(SUBSTITUTE(SUBSTITUTE(REGEXEXTRACT(A2943, ""[^-]+- [^-]+- [^-]+ - (.+?)\.jpg""), "".jpg"", """"), ""-"", "", ""), """")"),"")</f>
        <v/>
      </c>
      <c r="L2943" s="12"/>
      <c r="M2943" s="13"/>
      <c r="N2943" s="2"/>
      <c r="O2943" s="20"/>
      <c r="P2943" s="42"/>
      <c r="R2943" s="23"/>
    </row>
    <row r="2944" spans="1:18" ht="12.75">
      <c r="A2944" s="12"/>
      <c r="D2944" s="12"/>
      <c r="E2944" s="12"/>
      <c r="H2944" s="11" t="str">
        <f ca="1">IFERROR(__xludf.DUMMYFUNCTION("IFERROR(SUBSTITUTE(SUBSTITUTE(REGEXEXTRACT(A2944, ""[^-]+- [^-]+- [^-]+ - (.+?)\.jpg""), "".jpg"", """"), ""-"", "", ""), """")"),"")</f>
        <v/>
      </c>
      <c r="L2944" s="12"/>
      <c r="M2944" s="13"/>
      <c r="N2944" s="2"/>
      <c r="O2944" s="20"/>
      <c r="P2944" s="42"/>
      <c r="R2944" s="23"/>
    </row>
    <row r="2945" spans="1:18" ht="12.75">
      <c r="A2945" s="12"/>
      <c r="D2945" s="12"/>
      <c r="E2945" s="12"/>
      <c r="H2945" s="11" t="str">
        <f ca="1">IFERROR(__xludf.DUMMYFUNCTION("IFERROR(SUBSTITUTE(SUBSTITUTE(REGEXEXTRACT(A2945, ""[^-]+- [^-]+- [^-]+ - (.+?)\.jpg""), "".jpg"", """"), ""-"", "", ""), """")"),"")</f>
        <v/>
      </c>
      <c r="L2945" s="12"/>
      <c r="M2945" s="13"/>
      <c r="N2945" s="2"/>
      <c r="O2945" s="20"/>
      <c r="P2945" s="42"/>
      <c r="R2945" s="23"/>
    </row>
    <row r="2946" spans="1:18" ht="12.75">
      <c r="A2946" s="12"/>
      <c r="D2946" s="12"/>
      <c r="E2946" s="12"/>
      <c r="H2946" s="11" t="str">
        <f ca="1">IFERROR(__xludf.DUMMYFUNCTION("IFERROR(SUBSTITUTE(SUBSTITUTE(REGEXEXTRACT(A2946, ""[^-]+- [^-]+- [^-]+ - (.+?)\.jpg""), "".jpg"", """"), ""-"", "", ""), """")"),"")</f>
        <v/>
      </c>
      <c r="L2946" s="12"/>
      <c r="M2946" s="13"/>
      <c r="N2946" s="2"/>
      <c r="O2946" s="20"/>
      <c r="P2946" s="42"/>
      <c r="R2946" s="23"/>
    </row>
    <row r="2947" spans="1:18" ht="12.75">
      <c r="A2947" s="12"/>
      <c r="D2947" s="12"/>
      <c r="E2947" s="12"/>
      <c r="H2947" s="11" t="str">
        <f ca="1">IFERROR(__xludf.DUMMYFUNCTION("IFERROR(SUBSTITUTE(SUBSTITUTE(REGEXEXTRACT(A2947, ""[^-]+- [^-]+- [^-]+ - (.+?)\.jpg""), "".jpg"", """"), ""-"", "", ""), """")"),"")</f>
        <v/>
      </c>
      <c r="L2947" s="12"/>
      <c r="M2947" s="13"/>
      <c r="N2947" s="2"/>
      <c r="O2947" s="20"/>
      <c r="P2947" s="42"/>
      <c r="R2947" s="23"/>
    </row>
    <row r="2948" spans="1:18" ht="12.75">
      <c r="A2948" s="12"/>
      <c r="D2948" s="12"/>
      <c r="E2948" s="12"/>
      <c r="H2948" s="11" t="str">
        <f ca="1">IFERROR(__xludf.DUMMYFUNCTION("IFERROR(SUBSTITUTE(SUBSTITUTE(REGEXEXTRACT(A2948, ""[^-]+- [^-]+- [^-]+ - (.+?)\.jpg""), "".jpg"", """"), ""-"", "", ""), """")"),"")</f>
        <v/>
      </c>
      <c r="L2948" s="12"/>
      <c r="M2948" s="13"/>
      <c r="N2948" s="2"/>
      <c r="O2948" s="20"/>
      <c r="P2948" s="42"/>
      <c r="R2948" s="23"/>
    </row>
    <row r="2949" spans="1:18" ht="12.75">
      <c r="A2949" s="12"/>
      <c r="D2949" s="12"/>
      <c r="E2949" s="12"/>
      <c r="H2949" s="11" t="str">
        <f ca="1">IFERROR(__xludf.DUMMYFUNCTION("IFERROR(SUBSTITUTE(SUBSTITUTE(REGEXEXTRACT(A2949, ""[^-]+- [^-]+- [^-]+ - (.+?)\.jpg""), "".jpg"", """"), ""-"", "", ""), """")"),"")</f>
        <v/>
      </c>
      <c r="L2949" s="12"/>
      <c r="M2949" s="13"/>
      <c r="N2949" s="2"/>
      <c r="O2949" s="20"/>
      <c r="P2949" s="42"/>
      <c r="R2949" s="23"/>
    </row>
    <row r="2950" spans="1:18" ht="12.75">
      <c r="A2950" s="12"/>
      <c r="D2950" s="12"/>
      <c r="E2950" s="12"/>
      <c r="H2950" s="11" t="str">
        <f ca="1">IFERROR(__xludf.DUMMYFUNCTION("IFERROR(SUBSTITUTE(SUBSTITUTE(REGEXEXTRACT(A2950, ""[^-]+- [^-]+- [^-]+ - (.+?)\.jpg""), "".jpg"", """"), ""-"", "", ""), """")"),"")</f>
        <v/>
      </c>
      <c r="L2950" s="12"/>
      <c r="M2950" s="13"/>
      <c r="N2950" s="2"/>
      <c r="O2950" s="20"/>
      <c r="P2950" s="42"/>
      <c r="R2950" s="23"/>
    </row>
    <row r="2951" spans="1:18" ht="12.75">
      <c r="A2951" s="12"/>
      <c r="D2951" s="12"/>
      <c r="E2951" s="12"/>
      <c r="H2951" s="11" t="str">
        <f ca="1">IFERROR(__xludf.DUMMYFUNCTION("IFERROR(SUBSTITUTE(SUBSTITUTE(REGEXEXTRACT(A2951, ""[^-]+- [^-]+- [^-]+ - (.+?)\.jpg""), "".jpg"", """"), ""-"", "", ""), """")"),"")</f>
        <v/>
      </c>
      <c r="L2951" s="12"/>
      <c r="M2951" s="13"/>
      <c r="N2951" s="2"/>
      <c r="O2951" s="20"/>
      <c r="P2951" s="42"/>
      <c r="R2951" s="23"/>
    </row>
    <row r="2952" spans="1:18" ht="12.75">
      <c r="A2952" s="12"/>
      <c r="D2952" s="12"/>
      <c r="E2952" s="12"/>
      <c r="H2952" s="11" t="str">
        <f ca="1">IFERROR(__xludf.DUMMYFUNCTION("IFERROR(SUBSTITUTE(SUBSTITUTE(REGEXEXTRACT(A2952, ""[^-]+- [^-]+- [^-]+ - (.+?)\.jpg""), "".jpg"", """"), ""-"", "", ""), """")"),"")</f>
        <v/>
      </c>
      <c r="L2952" s="12"/>
      <c r="M2952" s="13"/>
      <c r="N2952" s="2"/>
      <c r="O2952" s="20"/>
      <c r="P2952" s="42"/>
      <c r="R2952" s="23"/>
    </row>
    <row r="2953" spans="1:18" ht="12.75">
      <c r="A2953" s="12"/>
      <c r="D2953" s="12"/>
      <c r="E2953" s="12"/>
      <c r="H2953" s="11" t="str">
        <f ca="1">IFERROR(__xludf.DUMMYFUNCTION("IFERROR(SUBSTITUTE(SUBSTITUTE(REGEXEXTRACT(A2953, ""[^-]+- [^-]+- [^-]+ - (.+?)\.jpg""), "".jpg"", """"), ""-"", "", ""), """")"),"")</f>
        <v/>
      </c>
      <c r="L2953" s="12"/>
      <c r="M2953" s="13"/>
      <c r="N2953" s="2"/>
      <c r="O2953" s="20"/>
      <c r="P2953" s="42"/>
      <c r="R2953" s="23"/>
    </row>
    <row r="2954" spans="1:18" ht="12.75">
      <c r="A2954" s="12"/>
      <c r="D2954" s="12"/>
      <c r="E2954" s="12"/>
      <c r="H2954" s="11" t="str">
        <f ca="1">IFERROR(__xludf.DUMMYFUNCTION("IFERROR(SUBSTITUTE(SUBSTITUTE(REGEXEXTRACT(A2954, ""[^-]+- [^-]+- [^-]+ - (.+?)\.jpg""), "".jpg"", """"), ""-"", "", ""), """")"),"")</f>
        <v/>
      </c>
      <c r="L2954" s="12"/>
      <c r="M2954" s="13"/>
      <c r="N2954" s="2"/>
      <c r="O2954" s="20"/>
      <c r="P2954" s="42"/>
      <c r="R2954" s="23"/>
    </row>
    <row r="2955" spans="1:18" ht="12.75">
      <c r="A2955" s="12"/>
      <c r="D2955" s="12"/>
      <c r="E2955" s="12"/>
      <c r="H2955" s="11" t="str">
        <f ca="1">IFERROR(__xludf.DUMMYFUNCTION("IFERROR(SUBSTITUTE(SUBSTITUTE(REGEXEXTRACT(A2955, ""[^-]+- [^-]+- [^-]+ - (.+?)\.jpg""), "".jpg"", """"), ""-"", "", ""), """")"),"")</f>
        <v/>
      </c>
      <c r="L2955" s="12"/>
      <c r="M2955" s="13"/>
      <c r="N2955" s="2"/>
      <c r="O2955" s="20"/>
      <c r="P2955" s="42"/>
      <c r="R2955" s="23"/>
    </row>
    <row r="2956" spans="1:18" ht="12.75">
      <c r="A2956" s="12"/>
      <c r="D2956" s="12"/>
      <c r="E2956" s="12"/>
      <c r="H2956" s="11" t="str">
        <f ca="1">IFERROR(__xludf.DUMMYFUNCTION("IFERROR(SUBSTITUTE(SUBSTITUTE(REGEXEXTRACT(A2956, ""[^-]+- [^-]+- [^-]+ - (.+?)\.jpg""), "".jpg"", """"), ""-"", "", ""), """")"),"")</f>
        <v/>
      </c>
      <c r="L2956" s="12"/>
      <c r="M2956" s="13"/>
      <c r="N2956" s="2"/>
      <c r="O2956" s="20"/>
      <c r="P2956" s="42"/>
      <c r="R2956" s="23"/>
    </row>
    <row r="2957" spans="1:18" ht="12.75">
      <c r="A2957" s="12"/>
      <c r="D2957" s="12"/>
      <c r="E2957" s="12"/>
      <c r="H2957" s="11" t="str">
        <f ca="1">IFERROR(__xludf.DUMMYFUNCTION("IFERROR(SUBSTITUTE(SUBSTITUTE(REGEXEXTRACT(A2957, ""[^-]+- [^-]+- [^-]+ - (.+?)\.jpg""), "".jpg"", """"), ""-"", "", ""), """")"),"")</f>
        <v/>
      </c>
      <c r="L2957" s="12"/>
      <c r="M2957" s="13"/>
      <c r="N2957" s="2"/>
      <c r="O2957" s="20"/>
      <c r="P2957" s="42"/>
      <c r="R2957" s="23"/>
    </row>
    <row r="2958" spans="1:18" ht="12.75">
      <c r="A2958" s="12"/>
      <c r="D2958" s="12"/>
      <c r="E2958" s="12"/>
      <c r="H2958" s="11" t="str">
        <f ca="1">IFERROR(__xludf.DUMMYFUNCTION("IFERROR(SUBSTITUTE(SUBSTITUTE(REGEXEXTRACT(A2958, ""[^-]+- [^-]+- [^-]+ - (.+?)\.jpg""), "".jpg"", """"), ""-"", "", ""), """")"),"")</f>
        <v/>
      </c>
      <c r="L2958" s="12"/>
      <c r="M2958" s="13"/>
      <c r="N2958" s="2"/>
      <c r="O2958" s="20"/>
      <c r="P2958" s="42"/>
      <c r="R2958" s="23"/>
    </row>
    <row r="2959" spans="1:18" ht="12.75">
      <c r="A2959" s="12"/>
      <c r="D2959" s="12"/>
      <c r="E2959" s="12"/>
      <c r="H2959" s="11" t="str">
        <f ca="1">IFERROR(__xludf.DUMMYFUNCTION("IFERROR(SUBSTITUTE(SUBSTITUTE(REGEXEXTRACT(A2959, ""[^-]+- [^-]+- [^-]+ - (.+?)\.jpg""), "".jpg"", """"), ""-"", "", ""), """")"),"")</f>
        <v/>
      </c>
      <c r="L2959" s="12"/>
      <c r="M2959" s="13"/>
      <c r="N2959" s="2"/>
      <c r="O2959" s="20"/>
      <c r="P2959" s="42"/>
      <c r="R2959" s="23"/>
    </row>
    <row r="2960" spans="1:18" ht="12.75">
      <c r="A2960" s="12"/>
      <c r="D2960" s="12"/>
      <c r="E2960" s="12"/>
      <c r="H2960" s="11" t="str">
        <f ca="1">IFERROR(__xludf.DUMMYFUNCTION("IFERROR(SUBSTITUTE(SUBSTITUTE(REGEXEXTRACT(A2960, ""[^-]+- [^-]+- [^-]+ - (.+?)\.jpg""), "".jpg"", """"), ""-"", "", ""), """")"),"")</f>
        <v/>
      </c>
      <c r="L2960" s="12"/>
      <c r="M2960" s="13"/>
      <c r="N2960" s="2"/>
      <c r="O2960" s="20"/>
      <c r="P2960" s="42"/>
      <c r="R2960" s="23"/>
    </row>
    <row r="2961" spans="1:18" ht="12.75">
      <c r="A2961" s="12"/>
      <c r="D2961" s="12"/>
      <c r="E2961" s="12"/>
      <c r="H2961" s="11" t="str">
        <f ca="1">IFERROR(__xludf.DUMMYFUNCTION("IFERROR(SUBSTITUTE(SUBSTITUTE(REGEXEXTRACT(A2961, ""[^-]+- [^-]+- [^-]+ - (.+?)\.jpg""), "".jpg"", """"), ""-"", "", ""), """")"),"")</f>
        <v/>
      </c>
      <c r="L2961" s="12"/>
      <c r="M2961" s="13"/>
      <c r="N2961" s="2"/>
      <c r="O2961" s="20"/>
      <c r="P2961" s="42"/>
      <c r="R2961" s="23"/>
    </row>
    <row r="2962" spans="1:18" ht="12.75">
      <c r="A2962" s="12"/>
      <c r="D2962" s="12"/>
      <c r="E2962" s="12"/>
      <c r="H2962" s="11" t="str">
        <f ca="1">IFERROR(__xludf.DUMMYFUNCTION("IFERROR(SUBSTITUTE(SUBSTITUTE(REGEXEXTRACT(A2962, ""[^-]+- [^-]+- [^-]+ - (.+?)\.jpg""), "".jpg"", """"), ""-"", "", ""), """")"),"")</f>
        <v/>
      </c>
      <c r="L2962" s="12"/>
      <c r="M2962" s="13"/>
      <c r="N2962" s="2"/>
      <c r="O2962" s="20"/>
      <c r="P2962" s="42"/>
      <c r="R2962" s="23"/>
    </row>
    <row r="2963" spans="1:18" ht="12.75">
      <c r="A2963" s="12"/>
      <c r="D2963" s="12"/>
      <c r="E2963" s="12"/>
      <c r="H2963" s="11" t="str">
        <f ca="1">IFERROR(__xludf.DUMMYFUNCTION("IFERROR(SUBSTITUTE(SUBSTITUTE(REGEXEXTRACT(A2963, ""[^-]+- [^-]+- [^-]+ - (.+?)\.jpg""), "".jpg"", """"), ""-"", "", ""), """")"),"")</f>
        <v/>
      </c>
      <c r="L2963" s="12"/>
      <c r="M2963" s="13"/>
      <c r="N2963" s="2"/>
      <c r="O2963" s="20"/>
      <c r="P2963" s="42"/>
      <c r="R2963" s="23"/>
    </row>
    <row r="2964" spans="1:18" ht="12.75">
      <c r="A2964" s="12"/>
      <c r="D2964" s="12"/>
      <c r="E2964" s="12"/>
      <c r="H2964" s="11" t="str">
        <f ca="1">IFERROR(__xludf.DUMMYFUNCTION("IFERROR(SUBSTITUTE(SUBSTITUTE(REGEXEXTRACT(A2964, ""[^-]+- [^-]+- [^-]+ - (.+?)\.jpg""), "".jpg"", """"), ""-"", "", ""), """")"),"")</f>
        <v/>
      </c>
      <c r="L2964" s="12"/>
      <c r="M2964" s="13"/>
      <c r="N2964" s="2"/>
      <c r="O2964" s="20"/>
      <c r="P2964" s="42"/>
      <c r="R2964" s="23"/>
    </row>
    <row r="2965" spans="1:18" ht="12.75">
      <c r="A2965" s="12"/>
      <c r="D2965" s="12"/>
      <c r="E2965" s="12"/>
      <c r="H2965" s="11" t="str">
        <f ca="1">IFERROR(__xludf.DUMMYFUNCTION("IFERROR(SUBSTITUTE(SUBSTITUTE(REGEXEXTRACT(A2965, ""[^-]+- [^-]+- [^-]+ - (.+?)\.jpg""), "".jpg"", """"), ""-"", "", ""), """")"),"")</f>
        <v/>
      </c>
      <c r="L2965" s="12"/>
      <c r="M2965" s="13"/>
      <c r="N2965" s="2"/>
      <c r="O2965" s="20"/>
      <c r="P2965" s="42"/>
      <c r="R2965" s="23"/>
    </row>
    <row r="2966" spans="1:18" ht="12.75">
      <c r="A2966" s="12"/>
      <c r="D2966" s="12"/>
      <c r="E2966" s="12"/>
      <c r="H2966" s="11" t="str">
        <f ca="1">IFERROR(__xludf.DUMMYFUNCTION("IFERROR(SUBSTITUTE(SUBSTITUTE(REGEXEXTRACT(A2966, ""[^-]+- [^-]+- [^-]+ - (.+?)\.jpg""), "".jpg"", """"), ""-"", "", ""), """")"),"")</f>
        <v/>
      </c>
      <c r="L2966" s="12"/>
      <c r="M2966" s="13"/>
      <c r="N2966" s="2"/>
      <c r="O2966" s="20"/>
      <c r="P2966" s="42"/>
      <c r="R2966" s="23"/>
    </row>
    <row r="2967" spans="1:18" ht="12.75">
      <c r="A2967" s="12"/>
      <c r="D2967" s="12"/>
      <c r="E2967" s="12"/>
      <c r="H2967" s="11" t="str">
        <f ca="1">IFERROR(__xludf.DUMMYFUNCTION("IFERROR(SUBSTITUTE(SUBSTITUTE(REGEXEXTRACT(A2967, ""[^-]+- [^-]+- [^-]+ - (.+?)\.jpg""), "".jpg"", """"), ""-"", "", ""), """")"),"")</f>
        <v/>
      </c>
      <c r="L2967" s="12"/>
      <c r="M2967" s="13"/>
      <c r="N2967" s="2"/>
      <c r="O2967" s="20"/>
      <c r="P2967" s="42"/>
      <c r="R2967" s="23"/>
    </row>
    <row r="2968" spans="1:18" ht="12.75">
      <c r="A2968" s="12"/>
      <c r="D2968" s="12"/>
      <c r="E2968" s="12"/>
      <c r="H2968" s="11" t="str">
        <f ca="1">IFERROR(__xludf.DUMMYFUNCTION("IFERROR(SUBSTITUTE(SUBSTITUTE(REGEXEXTRACT(A2968, ""[^-]+- [^-]+- [^-]+ - (.+?)\.jpg""), "".jpg"", """"), ""-"", "", ""), """")"),"")</f>
        <v/>
      </c>
      <c r="L2968" s="12"/>
      <c r="M2968" s="13"/>
      <c r="N2968" s="2"/>
      <c r="O2968" s="20"/>
      <c r="P2968" s="42"/>
      <c r="R2968" s="23"/>
    </row>
    <row r="2969" spans="1:18" ht="12.75">
      <c r="A2969" s="12"/>
      <c r="D2969" s="12"/>
      <c r="E2969" s="12"/>
      <c r="H2969" s="11" t="str">
        <f ca="1">IFERROR(__xludf.DUMMYFUNCTION("IFERROR(SUBSTITUTE(SUBSTITUTE(REGEXEXTRACT(A2969, ""[^-]+- [^-]+- [^-]+ - (.+?)\.jpg""), "".jpg"", """"), ""-"", "", ""), """")"),"")</f>
        <v/>
      </c>
      <c r="L2969" s="12"/>
      <c r="M2969" s="13"/>
      <c r="N2969" s="2"/>
      <c r="O2969" s="20"/>
      <c r="P2969" s="42"/>
      <c r="R2969" s="23"/>
    </row>
    <row r="2970" spans="1:18" ht="12.75">
      <c r="A2970" s="12"/>
      <c r="D2970" s="12"/>
      <c r="E2970" s="12"/>
      <c r="H2970" s="11" t="str">
        <f ca="1">IFERROR(__xludf.DUMMYFUNCTION("IFERROR(SUBSTITUTE(SUBSTITUTE(REGEXEXTRACT(A2970, ""[^-]+- [^-]+- [^-]+ - (.+?)\.jpg""), "".jpg"", """"), ""-"", "", ""), """")"),"")</f>
        <v/>
      </c>
      <c r="L2970" s="12"/>
      <c r="M2970" s="13"/>
      <c r="N2970" s="2"/>
      <c r="O2970" s="20"/>
      <c r="P2970" s="42"/>
      <c r="R2970" s="23"/>
    </row>
    <row r="2971" spans="1:18" ht="12.75">
      <c r="A2971" s="12"/>
      <c r="D2971" s="12"/>
      <c r="E2971" s="12"/>
      <c r="H2971" s="11" t="str">
        <f ca="1">IFERROR(__xludf.DUMMYFUNCTION("IFERROR(SUBSTITUTE(SUBSTITUTE(REGEXEXTRACT(A2971, ""[^-]+- [^-]+- [^-]+ - (.+?)\.jpg""), "".jpg"", """"), ""-"", "", ""), """")"),"")</f>
        <v/>
      </c>
      <c r="L2971" s="12"/>
      <c r="M2971" s="13"/>
      <c r="N2971" s="2"/>
      <c r="O2971" s="20"/>
      <c r="P2971" s="42"/>
      <c r="R2971" s="23"/>
    </row>
    <row r="2972" spans="1:18" ht="12.75">
      <c r="A2972" s="12"/>
      <c r="D2972" s="12"/>
      <c r="E2972" s="12"/>
      <c r="H2972" s="11" t="str">
        <f ca="1">IFERROR(__xludf.DUMMYFUNCTION("IFERROR(SUBSTITUTE(SUBSTITUTE(REGEXEXTRACT(A2972, ""[^-]+- [^-]+- [^-]+ - (.+?)\.jpg""), "".jpg"", """"), ""-"", "", ""), """")"),"")</f>
        <v/>
      </c>
      <c r="L2972" s="12"/>
      <c r="M2972" s="13"/>
      <c r="N2972" s="2"/>
      <c r="O2972" s="20"/>
      <c r="P2972" s="42"/>
      <c r="R2972" s="23"/>
    </row>
    <row r="2973" spans="1:18" ht="12.75">
      <c r="A2973" s="12"/>
      <c r="D2973" s="12"/>
      <c r="E2973" s="12"/>
      <c r="H2973" s="11" t="str">
        <f ca="1">IFERROR(__xludf.DUMMYFUNCTION("IFERROR(SUBSTITUTE(SUBSTITUTE(REGEXEXTRACT(A2973, ""[^-]+- [^-]+- [^-]+ - (.+?)\.jpg""), "".jpg"", """"), ""-"", "", ""), """")"),"")</f>
        <v/>
      </c>
      <c r="L2973" s="12"/>
      <c r="M2973" s="13"/>
      <c r="N2973" s="2"/>
      <c r="O2973" s="20"/>
      <c r="P2973" s="42"/>
      <c r="R2973" s="23"/>
    </row>
    <row r="2974" spans="1:18" ht="12.75">
      <c r="A2974" s="12"/>
      <c r="D2974" s="12"/>
      <c r="E2974" s="12"/>
      <c r="H2974" s="11" t="str">
        <f ca="1">IFERROR(__xludf.DUMMYFUNCTION("IFERROR(SUBSTITUTE(SUBSTITUTE(REGEXEXTRACT(A2974, ""[^-]+- [^-]+- [^-]+ - (.+?)\.jpg""), "".jpg"", """"), ""-"", "", ""), """")"),"")</f>
        <v/>
      </c>
      <c r="L2974" s="12"/>
      <c r="M2974" s="13"/>
      <c r="N2974" s="2"/>
      <c r="O2974" s="20"/>
      <c r="P2974" s="42"/>
      <c r="R2974" s="23"/>
    </row>
    <row r="2975" spans="1:18" ht="12.75">
      <c r="A2975" s="12"/>
      <c r="D2975" s="12"/>
      <c r="E2975" s="12"/>
      <c r="H2975" s="11" t="str">
        <f ca="1">IFERROR(__xludf.DUMMYFUNCTION("IFERROR(SUBSTITUTE(SUBSTITUTE(REGEXEXTRACT(A2975, ""[^-]+- [^-]+- [^-]+ - (.+?)\.jpg""), "".jpg"", """"), ""-"", "", ""), """")"),"")</f>
        <v/>
      </c>
      <c r="L2975" s="12"/>
      <c r="M2975" s="13"/>
      <c r="N2975" s="2"/>
      <c r="O2975" s="20"/>
      <c r="P2975" s="42"/>
      <c r="R2975" s="23"/>
    </row>
    <row r="2976" spans="1:18" ht="12.75">
      <c r="A2976" s="12"/>
      <c r="D2976" s="12"/>
      <c r="E2976" s="12"/>
      <c r="H2976" s="11" t="str">
        <f ca="1">IFERROR(__xludf.DUMMYFUNCTION("IFERROR(SUBSTITUTE(SUBSTITUTE(REGEXEXTRACT(A2976, ""[^-]+- [^-]+- [^-]+ - (.+?)\.jpg""), "".jpg"", """"), ""-"", "", ""), """")"),"")</f>
        <v/>
      </c>
      <c r="L2976" s="12"/>
      <c r="M2976" s="13"/>
      <c r="N2976" s="2"/>
      <c r="O2976" s="20"/>
      <c r="P2976" s="42"/>
      <c r="R2976" s="23"/>
    </row>
    <row r="2977" spans="1:18" ht="12.75">
      <c r="A2977" s="12"/>
      <c r="D2977" s="12"/>
      <c r="E2977" s="12"/>
      <c r="H2977" s="11" t="str">
        <f ca="1">IFERROR(__xludf.DUMMYFUNCTION("IFERROR(SUBSTITUTE(SUBSTITUTE(REGEXEXTRACT(A2977, ""[^-]+- [^-]+- [^-]+ - (.+?)\.jpg""), "".jpg"", """"), ""-"", "", ""), """")"),"")</f>
        <v/>
      </c>
      <c r="L2977" s="12"/>
      <c r="M2977" s="13"/>
      <c r="N2977" s="2"/>
      <c r="O2977" s="20"/>
      <c r="P2977" s="42"/>
      <c r="R2977" s="23"/>
    </row>
    <row r="2978" spans="1:18" ht="12.75">
      <c r="A2978" s="12"/>
      <c r="D2978" s="12"/>
      <c r="E2978" s="12"/>
      <c r="H2978" s="11" t="str">
        <f ca="1">IFERROR(__xludf.DUMMYFUNCTION("IFERROR(SUBSTITUTE(SUBSTITUTE(REGEXEXTRACT(A2978, ""[^-]+- [^-]+- [^-]+ - (.+?)\.jpg""), "".jpg"", """"), ""-"", "", ""), """")"),"")</f>
        <v/>
      </c>
      <c r="L2978" s="12"/>
      <c r="M2978" s="13"/>
      <c r="N2978" s="2"/>
      <c r="O2978" s="20"/>
      <c r="P2978" s="42"/>
      <c r="R2978" s="23"/>
    </row>
    <row r="2979" spans="1:18" ht="12.75">
      <c r="A2979" s="12"/>
      <c r="D2979" s="12"/>
      <c r="E2979" s="12"/>
      <c r="H2979" s="11" t="str">
        <f ca="1">IFERROR(__xludf.DUMMYFUNCTION("IFERROR(SUBSTITUTE(SUBSTITUTE(REGEXEXTRACT(A2979, ""[^-]+- [^-]+- [^-]+ - (.+?)\.jpg""), "".jpg"", """"), ""-"", "", ""), """")"),"")</f>
        <v/>
      </c>
      <c r="L2979" s="12"/>
      <c r="M2979" s="13"/>
      <c r="N2979" s="2"/>
      <c r="O2979" s="20"/>
      <c r="P2979" s="42"/>
      <c r="R2979" s="23"/>
    </row>
    <row r="2980" spans="1:18" ht="12.75">
      <c r="A2980" s="12"/>
      <c r="D2980" s="12"/>
      <c r="E2980" s="12"/>
      <c r="H2980" s="11" t="str">
        <f ca="1">IFERROR(__xludf.DUMMYFUNCTION("IFERROR(SUBSTITUTE(SUBSTITUTE(REGEXEXTRACT(A2980, ""[^-]+- [^-]+- [^-]+ - (.+?)\.jpg""), "".jpg"", """"), ""-"", "", ""), """")"),"")</f>
        <v/>
      </c>
      <c r="L2980" s="12"/>
      <c r="M2980" s="13"/>
      <c r="N2980" s="2"/>
      <c r="O2980" s="20"/>
      <c r="P2980" s="42"/>
      <c r="R2980" s="23"/>
    </row>
    <row r="2981" spans="1:18" ht="12.75">
      <c r="A2981" s="12"/>
      <c r="D2981" s="12"/>
      <c r="E2981" s="12"/>
      <c r="H2981" s="11" t="str">
        <f ca="1">IFERROR(__xludf.DUMMYFUNCTION("IFERROR(SUBSTITUTE(SUBSTITUTE(REGEXEXTRACT(A2981, ""[^-]+- [^-]+- [^-]+ - (.+?)\.jpg""), "".jpg"", """"), ""-"", "", ""), """")"),"")</f>
        <v/>
      </c>
      <c r="L2981" s="12"/>
      <c r="M2981" s="13"/>
      <c r="N2981" s="2"/>
      <c r="O2981" s="20"/>
      <c r="P2981" s="42"/>
      <c r="R2981" s="23"/>
    </row>
    <row r="2982" spans="1:18" ht="12.75">
      <c r="A2982" s="12"/>
      <c r="D2982" s="12"/>
      <c r="E2982" s="12"/>
      <c r="H2982" s="11" t="str">
        <f ca="1">IFERROR(__xludf.DUMMYFUNCTION("IFERROR(SUBSTITUTE(SUBSTITUTE(REGEXEXTRACT(A2982, ""[^-]+- [^-]+- [^-]+ - (.+?)\.jpg""), "".jpg"", """"), ""-"", "", ""), """")"),"")</f>
        <v/>
      </c>
      <c r="L2982" s="12"/>
      <c r="M2982" s="13"/>
      <c r="N2982" s="2"/>
      <c r="O2982" s="20"/>
      <c r="P2982" s="42"/>
      <c r="R2982" s="23"/>
    </row>
    <row r="2983" spans="1:18" ht="12.75">
      <c r="A2983" s="12"/>
      <c r="D2983" s="12"/>
      <c r="E2983" s="12"/>
      <c r="H2983" s="11" t="str">
        <f ca="1">IFERROR(__xludf.DUMMYFUNCTION("IFERROR(SUBSTITUTE(SUBSTITUTE(REGEXEXTRACT(A2983, ""[^-]+- [^-]+- [^-]+ - (.+?)\.jpg""), "".jpg"", """"), ""-"", "", ""), """")"),"")</f>
        <v/>
      </c>
      <c r="L2983" s="12"/>
      <c r="M2983" s="13"/>
      <c r="N2983" s="2"/>
      <c r="O2983" s="20"/>
      <c r="P2983" s="42"/>
      <c r="R2983" s="23"/>
    </row>
    <row r="2984" spans="1:18" ht="12.75">
      <c r="A2984" s="12"/>
      <c r="D2984" s="12"/>
      <c r="E2984" s="12"/>
      <c r="H2984" s="11" t="str">
        <f ca="1">IFERROR(__xludf.DUMMYFUNCTION("IFERROR(SUBSTITUTE(SUBSTITUTE(REGEXEXTRACT(A2984, ""[^-]+- [^-]+- [^-]+ - (.+?)\.jpg""), "".jpg"", """"), ""-"", "", ""), """")"),"")</f>
        <v/>
      </c>
      <c r="L2984" s="12"/>
      <c r="M2984" s="13"/>
      <c r="N2984" s="2"/>
      <c r="O2984" s="20"/>
      <c r="P2984" s="42"/>
      <c r="R2984" s="23"/>
    </row>
    <row r="2985" spans="1:18" ht="12.75">
      <c r="A2985" s="12"/>
      <c r="D2985" s="12"/>
      <c r="E2985" s="12"/>
      <c r="H2985" s="11" t="str">
        <f ca="1">IFERROR(__xludf.DUMMYFUNCTION("IFERROR(SUBSTITUTE(SUBSTITUTE(REGEXEXTRACT(A2985, ""[^-]+- [^-]+- [^-]+ - (.+?)\.jpg""), "".jpg"", """"), ""-"", "", ""), """")"),"")</f>
        <v/>
      </c>
      <c r="L2985" s="12"/>
      <c r="M2985" s="13"/>
      <c r="N2985" s="2"/>
      <c r="O2985" s="20"/>
      <c r="P2985" s="42"/>
      <c r="R2985" s="23"/>
    </row>
    <row r="2986" spans="1:18" ht="12.75">
      <c r="A2986" s="12"/>
      <c r="D2986" s="12"/>
      <c r="E2986" s="12"/>
      <c r="H2986" s="11" t="str">
        <f ca="1">IFERROR(__xludf.DUMMYFUNCTION("IFERROR(SUBSTITUTE(SUBSTITUTE(REGEXEXTRACT(A2986, ""[^-]+- [^-]+- [^-]+ - (.+?)\.jpg""), "".jpg"", """"), ""-"", "", ""), """")"),"")</f>
        <v/>
      </c>
      <c r="L2986" s="12"/>
      <c r="M2986" s="13"/>
      <c r="N2986" s="2"/>
      <c r="O2986" s="20"/>
      <c r="P2986" s="42"/>
      <c r="R2986" s="23"/>
    </row>
    <row r="2987" spans="1:18" ht="12.75">
      <c r="A2987" s="12"/>
      <c r="D2987" s="12"/>
      <c r="E2987" s="12"/>
      <c r="H2987" s="11" t="str">
        <f ca="1">IFERROR(__xludf.DUMMYFUNCTION("IFERROR(SUBSTITUTE(SUBSTITUTE(REGEXEXTRACT(A2987, ""[^-]+- [^-]+- [^-]+ - (.+?)\.jpg""), "".jpg"", """"), ""-"", "", ""), """")"),"")</f>
        <v/>
      </c>
      <c r="L2987" s="12"/>
      <c r="M2987" s="13"/>
      <c r="N2987" s="2"/>
      <c r="O2987" s="20"/>
      <c r="P2987" s="42"/>
      <c r="R2987" s="23"/>
    </row>
    <row r="2988" spans="1:18" ht="12.75">
      <c r="A2988" s="12"/>
      <c r="D2988" s="12"/>
      <c r="E2988" s="12"/>
      <c r="H2988" s="11" t="str">
        <f ca="1">IFERROR(__xludf.DUMMYFUNCTION("IFERROR(SUBSTITUTE(SUBSTITUTE(REGEXEXTRACT(A2988, ""[^-]+- [^-]+- [^-]+ - (.+?)\.jpg""), "".jpg"", """"), ""-"", "", ""), """")"),"")</f>
        <v/>
      </c>
      <c r="L2988" s="12"/>
      <c r="M2988" s="13"/>
      <c r="N2988" s="2"/>
      <c r="O2988" s="20"/>
      <c r="P2988" s="42"/>
      <c r="R2988" s="23"/>
    </row>
    <row r="2989" spans="1:18" ht="12.75">
      <c r="A2989" s="12"/>
      <c r="D2989" s="12"/>
      <c r="E2989" s="12"/>
      <c r="H2989" s="11" t="str">
        <f ca="1">IFERROR(__xludf.DUMMYFUNCTION("IFERROR(SUBSTITUTE(SUBSTITUTE(REGEXEXTRACT(A2989, ""[^-]+- [^-]+- [^-]+ - (.+?)\.jpg""), "".jpg"", """"), ""-"", "", ""), """")"),"")</f>
        <v/>
      </c>
      <c r="L2989" s="12"/>
      <c r="M2989" s="13"/>
      <c r="N2989" s="2"/>
      <c r="O2989" s="20"/>
      <c r="P2989" s="42"/>
      <c r="R2989" s="23"/>
    </row>
    <row r="2990" spans="1:18" ht="12.75">
      <c r="A2990" s="12"/>
      <c r="D2990" s="12"/>
      <c r="E2990" s="12"/>
      <c r="H2990" s="11" t="str">
        <f ca="1">IFERROR(__xludf.DUMMYFUNCTION("IFERROR(SUBSTITUTE(SUBSTITUTE(REGEXEXTRACT(A2990, ""[^-]+- [^-]+- [^-]+ - (.+?)\.jpg""), "".jpg"", """"), ""-"", "", ""), """")"),"")</f>
        <v/>
      </c>
      <c r="L2990" s="12"/>
      <c r="M2990" s="13"/>
      <c r="N2990" s="2"/>
      <c r="O2990" s="20"/>
      <c r="P2990" s="42"/>
      <c r="R2990" s="23"/>
    </row>
    <row r="2991" spans="1:18" ht="12.75">
      <c r="A2991" s="12"/>
      <c r="D2991" s="12"/>
      <c r="E2991" s="12"/>
      <c r="H2991" s="11" t="str">
        <f ca="1">IFERROR(__xludf.DUMMYFUNCTION("IFERROR(SUBSTITUTE(SUBSTITUTE(REGEXEXTRACT(A2991, ""[^-]+- [^-]+- [^-]+ - (.+?)\.jpg""), "".jpg"", """"), ""-"", "", ""), """")"),"")</f>
        <v/>
      </c>
      <c r="L2991" s="12"/>
      <c r="M2991" s="13"/>
      <c r="N2991" s="2"/>
      <c r="O2991" s="20"/>
      <c r="P2991" s="42"/>
      <c r="R2991" s="23"/>
    </row>
    <row r="2992" spans="1:18" ht="12.75">
      <c r="A2992" s="12"/>
      <c r="D2992" s="12"/>
      <c r="E2992" s="12"/>
      <c r="H2992" s="11" t="str">
        <f ca="1">IFERROR(__xludf.DUMMYFUNCTION("IFERROR(SUBSTITUTE(SUBSTITUTE(REGEXEXTRACT(A2992, ""[^-]+- [^-]+- [^-]+ - (.+?)\.jpg""), "".jpg"", """"), ""-"", "", ""), """")"),"")</f>
        <v/>
      </c>
      <c r="L2992" s="12"/>
      <c r="M2992" s="13"/>
      <c r="N2992" s="2"/>
      <c r="O2992" s="20"/>
      <c r="P2992" s="42"/>
      <c r="R2992" s="23"/>
    </row>
    <row r="2993" spans="1:18" ht="12.75">
      <c r="A2993" s="12"/>
      <c r="D2993" s="12"/>
      <c r="E2993" s="12"/>
      <c r="H2993" s="11" t="str">
        <f ca="1">IFERROR(__xludf.DUMMYFUNCTION("IFERROR(SUBSTITUTE(SUBSTITUTE(REGEXEXTRACT(A2993, ""[^-]+- [^-]+- [^-]+ - (.+?)\.jpg""), "".jpg"", """"), ""-"", "", ""), """")"),"")</f>
        <v/>
      </c>
      <c r="L2993" s="12"/>
      <c r="M2993" s="13"/>
      <c r="N2993" s="2"/>
      <c r="O2993" s="20"/>
      <c r="P2993" s="42"/>
      <c r="R2993" s="23"/>
    </row>
    <row r="2994" spans="1:18" ht="12.75">
      <c r="A2994" s="12"/>
      <c r="D2994" s="12"/>
      <c r="E2994" s="12"/>
      <c r="H2994" s="11" t="str">
        <f ca="1">IFERROR(__xludf.DUMMYFUNCTION("IFERROR(SUBSTITUTE(SUBSTITUTE(REGEXEXTRACT(A2994, ""[^-]+- [^-]+- [^-]+ - (.+?)\.jpg""), "".jpg"", """"), ""-"", "", ""), """")"),"")</f>
        <v/>
      </c>
      <c r="L2994" s="12"/>
      <c r="M2994" s="13"/>
      <c r="N2994" s="2"/>
      <c r="O2994" s="20"/>
      <c r="P2994" s="42"/>
      <c r="R2994" s="23"/>
    </row>
    <row r="2995" spans="1:18" ht="12.75">
      <c r="A2995" s="12"/>
      <c r="D2995" s="12"/>
      <c r="E2995" s="12"/>
      <c r="H2995" s="11" t="str">
        <f ca="1">IFERROR(__xludf.DUMMYFUNCTION("IFERROR(SUBSTITUTE(SUBSTITUTE(REGEXEXTRACT(A2995, ""[^-]+- [^-]+- [^-]+ - (.+?)\.jpg""), "".jpg"", """"), ""-"", "", ""), """")"),"")</f>
        <v/>
      </c>
      <c r="L2995" s="12"/>
      <c r="M2995" s="13"/>
      <c r="N2995" s="2"/>
      <c r="O2995" s="20"/>
      <c r="P2995" s="42"/>
      <c r="R2995" s="23"/>
    </row>
    <row r="2996" spans="1:18" ht="12.75">
      <c r="A2996" s="12"/>
      <c r="D2996" s="12"/>
      <c r="E2996" s="12"/>
      <c r="H2996" s="11" t="str">
        <f ca="1">IFERROR(__xludf.DUMMYFUNCTION("IFERROR(SUBSTITUTE(SUBSTITUTE(REGEXEXTRACT(A2996, ""[^-]+- [^-]+- [^-]+ - (.+?)\.jpg""), "".jpg"", """"), ""-"", "", ""), """")"),"")</f>
        <v/>
      </c>
      <c r="L2996" s="12"/>
      <c r="M2996" s="13"/>
      <c r="N2996" s="2"/>
      <c r="O2996" s="20"/>
      <c r="P2996" s="42"/>
      <c r="R2996" s="23"/>
    </row>
    <row r="2997" spans="1:18" ht="12.75">
      <c r="A2997" s="12"/>
      <c r="D2997" s="12"/>
      <c r="E2997" s="12"/>
      <c r="H2997" s="11" t="str">
        <f ca="1">IFERROR(__xludf.DUMMYFUNCTION("IFERROR(SUBSTITUTE(SUBSTITUTE(REGEXEXTRACT(A2997, ""[^-]+- [^-]+- [^-]+ - (.+?)\.jpg""), "".jpg"", """"), ""-"", "", ""), """")"),"")</f>
        <v/>
      </c>
      <c r="L2997" s="12"/>
      <c r="M2997" s="13"/>
      <c r="N2997" s="2"/>
      <c r="O2997" s="20"/>
      <c r="P2997" s="42"/>
      <c r="R2997" s="23"/>
    </row>
    <row r="2998" spans="1:18" ht="12.75">
      <c r="A2998" s="12"/>
      <c r="D2998" s="12"/>
      <c r="E2998" s="12"/>
      <c r="H2998" s="11" t="str">
        <f ca="1">IFERROR(__xludf.DUMMYFUNCTION("IFERROR(SUBSTITUTE(SUBSTITUTE(REGEXEXTRACT(A2998, ""[^-]+- [^-]+- [^-]+ - (.+?)\.jpg""), "".jpg"", """"), ""-"", "", ""), """")"),"")</f>
        <v/>
      </c>
      <c r="L2998" s="12"/>
      <c r="M2998" s="13"/>
      <c r="N2998" s="2"/>
      <c r="O2998" s="20"/>
      <c r="P2998" s="42"/>
      <c r="R2998" s="23"/>
    </row>
    <row r="2999" spans="1:18" ht="12.75">
      <c r="A2999" s="12"/>
      <c r="D2999" s="12"/>
      <c r="E2999" s="12"/>
      <c r="H2999" s="11" t="str">
        <f ca="1">IFERROR(__xludf.DUMMYFUNCTION("IFERROR(SUBSTITUTE(SUBSTITUTE(REGEXEXTRACT(A2999, ""[^-]+- [^-]+- [^-]+ - (.+?)\.jpg""), "".jpg"", """"), ""-"", "", ""), """")"),"")</f>
        <v/>
      </c>
      <c r="L2999" s="12"/>
      <c r="M2999" s="13"/>
      <c r="N2999" s="2"/>
      <c r="O2999" s="20"/>
      <c r="P2999" s="42"/>
      <c r="R2999" s="23"/>
    </row>
    <row r="3000" spans="1:18" ht="12.75">
      <c r="A3000" s="12"/>
      <c r="D3000" s="12"/>
      <c r="E3000" s="12"/>
      <c r="H3000" s="11" t="str">
        <f ca="1">IFERROR(__xludf.DUMMYFUNCTION("IFERROR(SUBSTITUTE(SUBSTITUTE(REGEXEXTRACT(A3000, ""[^-]+- [^-]+- [^-]+ - (.+?)\.jpg""), "".jpg"", """"), ""-"", "", ""), """")"),"")</f>
        <v/>
      </c>
      <c r="L3000" s="12"/>
      <c r="M3000" s="13"/>
      <c r="N3000" s="2"/>
      <c r="O3000" s="20"/>
      <c r="P3000" s="42"/>
      <c r="R3000" s="23"/>
    </row>
    <row r="3001" spans="1:18" ht="12.75">
      <c r="A3001" s="12"/>
      <c r="D3001" s="12"/>
      <c r="E3001" s="12"/>
      <c r="H3001" s="11" t="str">
        <f ca="1">IFERROR(__xludf.DUMMYFUNCTION("IFERROR(SUBSTITUTE(SUBSTITUTE(REGEXEXTRACT(A3001, ""[^-]+- [^-]+- [^-]+ - (.+?)\.jpg""), "".jpg"", """"), ""-"", "", ""), """")"),"")</f>
        <v/>
      </c>
      <c r="L3001" s="12"/>
      <c r="M3001" s="13"/>
      <c r="N3001" s="2"/>
      <c r="O3001" s="20"/>
      <c r="P3001" s="42"/>
      <c r="R3001" s="23"/>
    </row>
    <row r="3002" spans="1:18" ht="12.75">
      <c r="A3002" s="12"/>
      <c r="D3002" s="12"/>
      <c r="E3002" s="12"/>
      <c r="H3002" s="11" t="str">
        <f ca="1">IFERROR(__xludf.DUMMYFUNCTION("IFERROR(SUBSTITUTE(SUBSTITUTE(REGEXEXTRACT(A3002, ""[^-]+- [^-]+- [^-]+ - (.+?)\.jpg""), "".jpg"", """"), ""-"", "", ""), """")"),"")</f>
        <v/>
      </c>
      <c r="L3002" s="12"/>
      <c r="M3002" s="13"/>
      <c r="N3002" s="2"/>
      <c r="O3002" s="20"/>
      <c r="P3002" s="42"/>
      <c r="R3002" s="23"/>
    </row>
    <row r="3003" spans="1:18" ht="12.75">
      <c r="A3003" s="12"/>
      <c r="D3003" s="12"/>
      <c r="E3003" s="12"/>
      <c r="H3003" s="11" t="str">
        <f ca="1">IFERROR(__xludf.DUMMYFUNCTION("IFERROR(SUBSTITUTE(SUBSTITUTE(REGEXEXTRACT(A3003, ""[^-]+- [^-]+- [^-]+ - (.+?)\.jpg""), "".jpg"", """"), ""-"", "", ""), """")"),"")</f>
        <v/>
      </c>
      <c r="L3003" s="12"/>
      <c r="M3003" s="13"/>
      <c r="N3003" s="2"/>
      <c r="O3003" s="20"/>
      <c r="P3003" s="42"/>
      <c r="R3003" s="23"/>
    </row>
    <row r="3004" spans="1:18" ht="12.75">
      <c r="A3004" s="12"/>
      <c r="D3004" s="12"/>
      <c r="E3004" s="12"/>
      <c r="H3004" s="11" t="str">
        <f ca="1">IFERROR(__xludf.DUMMYFUNCTION("IFERROR(SUBSTITUTE(SUBSTITUTE(REGEXEXTRACT(A3004, ""[^-]+- [^-]+- [^-]+ - (.+?)\.jpg""), "".jpg"", """"), ""-"", "", ""), """")"),"")</f>
        <v/>
      </c>
      <c r="L3004" s="12"/>
      <c r="M3004" s="13"/>
      <c r="N3004" s="2"/>
      <c r="O3004" s="20"/>
      <c r="P3004" s="42"/>
      <c r="R3004" s="23"/>
    </row>
    <row r="3005" spans="1:18" ht="12.75">
      <c r="A3005" s="12"/>
      <c r="D3005" s="12"/>
      <c r="E3005" s="12"/>
      <c r="H3005" s="11" t="str">
        <f ca="1">IFERROR(__xludf.DUMMYFUNCTION("IFERROR(SUBSTITUTE(SUBSTITUTE(REGEXEXTRACT(A3005, ""[^-]+- [^-]+- [^-]+ - (.+?)\.jpg""), "".jpg"", """"), ""-"", "", ""), """")"),"")</f>
        <v/>
      </c>
      <c r="L3005" s="12"/>
      <c r="M3005" s="13"/>
      <c r="N3005" s="2"/>
      <c r="O3005" s="20"/>
      <c r="P3005" s="42"/>
      <c r="R3005" s="23"/>
    </row>
    <row r="3006" spans="1:18" ht="12.75">
      <c r="A3006" s="12"/>
      <c r="D3006" s="12"/>
      <c r="E3006" s="12"/>
      <c r="H3006" s="11" t="str">
        <f ca="1">IFERROR(__xludf.DUMMYFUNCTION("IFERROR(SUBSTITUTE(SUBSTITUTE(REGEXEXTRACT(A3006, ""[^-]+- [^-]+- [^-]+ - (.+?)\.jpg""), "".jpg"", """"), ""-"", "", ""), """")"),"")</f>
        <v/>
      </c>
      <c r="L3006" s="12"/>
      <c r="M3006" s="13"/>
      <c r="N3006" s="2"/>
      <c r="O3006" s="20"/>
      <c r="P3006" s="42"/>
      <c r="R3006" s="23"/>
    </row>
    <row r="3007" spans="1:18" ht="12.75">
      <c r="A3007" s="12"/>
      <c r="D3007" s="12"/>
      <c r="E3007" s="12"/>
      <c r="H3007" s="11" t="str">
        <f ca="1">IFERROR(__xludf.DUMMYFUNCTION("IFERROR(SUBSTITUTE(SUBSTITUTE(REGEXEXTRACT(A3007, ""[^-]+- [^-]+- [^-]+ - (.+?)\.jpg""), "".jpg"", """"), ""-"", "", ""), """")"),"")</f>
        <v/>
      </c>
      <c r="L3007" s="12"/>
      <c r="M3007" s="13"/>
      <c r="N3007" s="2"/>
      <c r="O3007" s="20"/>
      <c r="P3007" s="42"/>
      <c r="R3007" s="23"/>
    </row>
    <row r="3008" spans="1:18" ht="12.75">
      <c r="A3008" s="12"/>
      <c r="D3008" s="12"/>
      <c r="E3008" s="12"/>
      <c r="H3008" s="11" t="str">
        <f ca="1">IFERROR(__xludf.DUMMYFUNCTION("IFERROR(SUBSTITUTE(SUBSTITUTE(REGEXEXTRACT(A3008, ""[^-]+- [^-]+- [^-]+ - (.+?)\.jpg""), "".jpg"", """"), ""-"", "", ""), """")"),"")</f>
        <v/>
      </c>
      <c r="L3008" s="12"/>
      <c r="M3008" s="13"/>
      <c r="N3008" s="2"/>
      <c r="O3008" s="20"/>
      <c r="P3008" s="42"/>
      <c r="R3008" s="23"/>
    </row>
    <row r="3009" spans="1:18" ht="12.75">
      <c r="A3009" s="12"/>
      <c r="D3009" s="12"/>
      <c r="E3009" s="12"/>
      <c r="H3009" s="11" t="str">
        <f ca="1">IFERROR(__xludf.DUMMYFUNCTION("IFERROR(SUBSTITUTE(SUBSTITUTE(REGEXEXTRACT(A3009, ""[^-]+- [^-]+- [^-]+ - (.+?)\.jpg""), "".jpg"", """"), ""-"", "", ""), """")"),"")</f>
        <v/>
      </c>
      <c r="L3009" s="12"/>
      <c r="M3009" s="13"/>
      <c r="N3009" s="2"/>
      <c r="O3009" s="20"/>
      <c r="P3009" s="42"/>
      <c r="R3009" s="23"/>
    </row>
    <row r="3010" spans="1:18" ht="12.75">
      <c r="A3010" s="12"/>
      <c r="D3010" s="12"/>
      <c r="E3010" s="12"/>
      <c r="H3010" s="11" t="str">
        <f ca="1">IFERROR(__xludf.DUMMYFUNCTION("IFERROR(SUBSTITUTE(SUBSTITUTE(REGEXEXTRACT(A3010, ""[^-]+- [^-]+- [^-]+ - (.+?)\.jpg""), "".jpg"", """"), ""-"", "", ""), """")"),"")</f>
        <v/>
      </c>
      <c r="L3010" s="12"/>
      <c r="M3010" s="13"/>
      <c r="N3010" s="2"/>
      <c r="O3010" s="20"/>
      <c r="P3010" s="42"/>
      <c r="R3010" s="23"/>
    </row>
    <row r="3011" spans="1:18" ht="12.75">
      <c r="A3011" s="12"/>
      <c r="D3011" s="12"/>
      <c r="E3011" s="12"/>
      <c r="H3011" s="11" t="str">
        <f ca="1">IFERROR(__xludf.DUMMYFUNCTION("IFERROR(SUBSTITUTE(SUBSTITUTE(REGEXEXTRACT(A3011, ""[^-]+- [^-]+- [^-]+ - (.+?)\.jpg""), "".jpg"", """"), ""-"", "", ""), """")"),"")</f>
        <v/>
      </c>
      <c r="L3011" s="12"/>
      <c r="M3011" s="13"/>
      <c r="N3011" s="2"/>
      <c r="O3011" s="20"/>
      <c r="P3011" s="42"/>
      <c r="R3011" s="23"/>
    </row>
    <row r="3012" spans="1:18" ht="12.75">
      <c r="A3012" s="12"/>
      <c r="D3012" s="12"/>
      <c r="E3012" s="12"/>
      <c r="H3012" s="11" t="str">
        <f ca="1">IFERROR(__xludf.DUMMYFUNCTION("IFERROR(SUBSTITUTE(SUBSTITUTE(REGEXEXTRACT(A3012, ""[^-]+- [^-]+- [^-]+ - (.+?)\.jpg""), "".jpg"", """"), ""-"", "", ""), """")"),"")</f>
        <v/>
      </c>
      <c r="L3012" s="12"/>
      <c r="M3012" s="13"/>
      <c r="N3012" s="2"/>
      <c r="O3012" s="20"/>
      <c r="P3012" s="42"/>
      <c r="R3012" s="23"/>
    </row>
    <row r="3013" spans="1:18" ht="12.75">
      <c r="A3013" s="12"/>
      <c r="D3013" s="12"/>
      <c r="E3013" s="12"/>
      <c r="H3013" s="11" t="str">
        <f ca="1">IFERROR(__xludf.DUMMYFUNCTION("IFERROR(SUBSTITUTE(SUBSTITUTE(REGEXEXTRACT(A3013, ""[^-]+- [^-]+- [^-]+ - (.+?)\.jpg""), "".jpg"", """"), ""-"", "", ""), """")"),"")</f>
        <v/>
      </c>
      <c r="L3013" s="12"/>
      <c r="M3013" s="13"/>
      <c r="N3013" s="2"/>
      <c r="O3013" s="20"/>
      <c r="P3013" s="42"/>
      <c r="R3013" s="23"/>
    </row>
    <row r="3014" spans="1:18" ht="12.75">
      <c r="A3014" s="12"/>
      <c r="D3014" s="12"/>
      <c r="E3014" s="12"/>
      <c r="H3014" s="11" t="str">
        <f ca="1">IFERROR(__xludf.DUMMYFUNCTION("IFERROR(SUBSTITUTE(SUBSTITUTE(REGEXEXTRACT(A3014, ""[^-]+- [^-]+- [^-]+ - (.+?)\.jpg""), "".jpg"", """"), ""-"", "", ""), """")"),"")</f>
        <v/>
      </c>
      <c r="L3014" s="12"/>
      <c r="M3014" s="13"/>
      <c r="N3014" s="2"/>
      <c r="O3014" s="20"/>
      <c r="P3014" s="42"/>
      <c r="R3014" s="23"/>
    </row>
    <row r="3015" spans="1:18" ht="12.75">
      <c r="A3015" s="12"/>
      <c r="D3015" s="12"/>
      <c r="E3015" s="12"/>
      <c r="H3015" s="11" t="str">
        <f ca="1">IFERROR(__xludf.DUMMYFUNCTION("IFERROR(SUBSTITUTE(SUBSTITUTE(REGEXEXTRACT(A3015, ""[^-]+- [^-]+- [^-]+ - (.+?)\.jpg""), "".jpg"", """"), ""-"", "", ""), """")"),"")</f>
        <v/>
      </c>
      <c r="L3015" s="12"/>
      <c r="M3015" s="13"/>
      <c r="N3015" s="2"/>
      <c r="O3015" s="20"/>
      <c r="P3015" s="42"/>
      <c r="R3015" s="23"/>
    </row>
    <row r="3016" spans="1:18" ht="12.75">
      <c r="A3016" s="12"/>
      <c r="D3016" s="12"/>
      <c r="E3016" s="12"/>
      <c r="H3016" s="11" t="str">
        <f ca="1">IFERROR(__xludf.DUMMYFUNCTION("IFERROR(SUBSTITUTE(SUBSTITUTE(REGEXEXTRACT(A3016, ""[^-]+- [^-]+- [^-]+ - (.+?)\.jpg""), "".jpg"", """"), ""-"", "", ""), """")"),"")</f>
        <v/>
      </c>
      <c r="L3016" s="12"/>
      <c r="M3016" s="13"/>
      <c r="N3016" s="2"/>
      <c r="O3016" s="20"/>
      <c r="P3016" s="42"/>
      <c r="R3016" s="23"/>
    </row>
    <row r="3017" spans="1:18" ht="12.75">
      <c r="A3017" s="12"/>
      <c r="D3017" s="12"/>
      <c r="E3017" s="12"/>
      <c r="H3017" s="11" t="str">
        <f ca="1">IFERROR(__xludf.DUMMYFUNCTION("IFERROR(SUBSTITUTE(SUBSTITUTE(REGEXEXTRACT(A3017, ""[^-]+- [^-]+- [^-]+ - (.+?)\.jpg""), "".jpg"", """"), ""-"", "", ""), """")"),"")</f>
        <v/>
      </c>
      <c r="L3017" s="12"/>
      <c r="M3017" s="13"/>
      <c r="N3017" s="2"/>
      <c r="O3017" s="20"/>
      <c r="P3017" s="42"/>
      <c r="R3017" s="23"/>
    </row>
    <row r="3018" spans="1:18" ht="12.75">
      <c r="A3018" s="12"/>
      <c r="D3018" s="12"/>
      <c r="E3018" s="12"/>
      <c r="H3018" s="11" t="str">
        <f ca="1">IFERROR(__xludf.DUMMYFUNCTION("IFERROR(SUBSTITUTE(SUBSTITUTE(REGEXEXTRACT(A3018, ""[^-]+- [^-]+- [^-]+ - (.+?)\.jpg""), "".jpg"", """"), ""-"", "", ""), """")"),"")</f>
        <v/>
      </c>
      <c r="L3018" s="12"/>
      <c r="M3018" s="13"/>
      <c r="N3018" s="2"/>
      <c r="O3018" s="20"/>
      <c r="P3018" s="42"/>
      <c r="R3018" s="23"/>
    </row>
    <row r="3019" spans="1:18" ht="12.75">
      <c r="A3019" s="12"/>
      <c r="D3019" s="12"/>
      <c r="E3019" s="12"/>
      <c r="H3019" s="11" t="str">
        <f ca="1">IFERROR(__xludf.DUMMYFUNCTION("IFERROR(SUBSTITUTE(SUBSTITUTE(REGEXEXTRACT(A3019, ""[^-]+- [^-]+- [^-]+ - (.+?)\.jpg""), "".jpg"", """"), ""-"", "", ""), """")"),"")</f>
        <v/>
      </c>
      <c r="L3019" s="12"/>
      <c r="M3019" s="13"/>
      <c r="N3019" s="2"/>
      <c r="O3019" s="20"/>
      <c r="P3019" s="42"/>
      <c r="R3019" s="23"/>
    </row>
    <row r="3020" spans="1:18" ht="12.75">
      <c r="A3020" s="12"/>
      <c r="D3020" s="12"/>
      <c r="E3020" s="12"/>
      <c r="H3020" s="11" t="str">
        <f ca="1">IFERROR(__xludf.DUMMYFUNCTION("IFERROR(SUBSTITUTE(SUBSTITUTE(REGEXEXTRACT(A3020, ""[^-]+- [^-]+- [^-]+ - (.+?)\.jpg""), "".jpg"", """"), ""-"", "", ""), """")"),"")</f>
        <v/>
      </c>
      <c r="L3020" s="12"/>
      <c r="M3020" s="13"/>
      <c r="N3020" s="2"/>
      <c r="O3020" s="20"/>
      <c r="P3020" s="42"/>
      <c r="R3020" s="23"/>
    </row>
    <row r="3021" spans="1:18" ht="12.75">
      <c r="A3021" s="12"/>
      <c r="D3021" s="12"/>
      <c r="E3021" s="12"/>
      <c r="H3021" s="11" t="str">
        <f ca="1">IFERROR(__xludf.DUMMYFUNCTION("IFERROR(SUBSTITUTE(SUBSTITUTE(REGEXEXTRACT(A3021, ""[^-]+- [^-]+- [^-]+ - (.+?)\.jpg""), "".jpg"", """"), ""-"", "", ""), """")"),"")</f>
        <v/>
      </c>
      <c r="L3021" s="12"/>
      <c r="M3021" s="13"/>
      <c r="N3021" s="2"/>
      <c r="O3021" s="20"/>
      <c r="P3021" s="42"/>
      <c r="R3021" s="23"/>
    </row>
    <row r="3022" spans="1:18" ht="12.75">
      <c r="A3022" s="12"/>
      <c r="D3022" s="12"/>
      <c r="E3022" s="12"/>
      <c r="H3022" s="11" t="str">
        <f ca="1">IFERROR(__xludf.DUMMYFUNCTION("IFERROR(SUBSTITUTE(SUBSTITUTE(REGEXEXTRACT(A3022, ""[^-]+- [^-]+- [^-]+ - (.+?)\.jpg""), "".jpg"", """"), ""-"", "", ""), """")"),"")</f>
        <v/>
      </c>
      <c r="L3022" s="12"/>
      <c r="M3022" s="13"/>
      <c r="N3022" s="2"/>
      <c r="O3022" s="20"/>
      <c r="P3022" s="42"/>
      <c r="R3022" s="23"/>
    </row>
    <row r="3023" spans="1:18" ht="12.75">
      <c r="A3023" s="12"/>
      <c r="D3023" s="12"/>
      <c r="E3023" s="12"/>
      <c r="H3023" s="11" t="str">
        <f ca="1">IFERROR(__xludf.DUMMYFUNCTION("IFERROR(SUBSTITUTE(SUBSTITUTE(REGEXEXTRACT(A3023, ""[^-]+- [^-]+- [^-]+ - (.+?)\.jpg""), "".jpg"", """"), ""-"", "", ""), """")"),"")</f>
        <v/>
      </c>
      <c r="L3023" s="12"/>
      <c r="M3023" s="13"/>
      <c r="N3023" s="2"/>
      <c r="O3023" s="20"/>
      <c r="P3023" s="42"/>
      <c r="R3023" s="23"/>
    </row>
    <row r="3024" spans="1:18" ht="12.75">
      <c r="A3024" s="12"/>
      <c r="D3024" s="12"/>
      <c r="E3024" s="12"/>
      <c r="H3024" s="11" t="str">
        <f ca="1">IFERROR(__xludf.DUMMYFUNCTION("IFERROR(SUBSTITUTE(SUBSTITUTE(REGEXEXTRACT(A3024, ""[^-]+- [^-]+- [^-]+ - (.+?)\.jpg""), "".jpg"", """"), ""-"", "", ""), """")"),"")</f>
        <v/>
      </c>
      <c r="L3024" s="12"/>
      <c r="M3024" s="13"/>
      <c r="N3024" s="2"/>
      <c r="O3024" s="20"/>
      <c r="P3024" s="42"/>
      <c r="R3024" s="23"/>
    </row>
    <row r="3025" spans="1:18" ht="12.75">
      <c r="A3025" s="12"/>
      <c r="D3025" s="12"/>
      <c r="E3025" s="12"/>
      <c r="H3025" s="11" t="str">
        <f ca="1">IFERROR(__xludf.DUMMYFUNCTION("IFERROR(SUBSTITUTE(SUBSTITUTE(REGEXEXTRACT(A3025, ""[^-]+- [^-]+- [^-]+ - (.+?)\.jpg""), "".jpg"", """"), ""-"", "", ""), """")"),"")</f>
        <v/>
      </c>
      <c r="L3025" s="12"/>
      <c r="M3025" s="13"/>
      <c r="N3025" s="2"/>
      <c r="O3025" s="20"/>
      <c r="P3025" s="42"/>
      <c r="R3025" s="23"/>
    </row>
    <row r="3026" spans="1:18" ht="12.75">
      <c r="A3026" s="12"/>
      <c r="D3026" s="12"/>
      <c r="E3026" s="12"/>
      <c r="H3026" s="11" t="str">
        <f ca="1">IFERROR(__xludf.DUMMYFUNCTION("IFERROR(SUBSTITUTE(SUBSTITUTE(REGEXEXTRACT(A3026, ""[^-]+- [^-]+- [^-]+ - (.+?)\.jpg""), "".jpg"", """"), ""-"", "", ""), """")"),"")</f>
        <v/>
      </c>
      <c r="L3026" s="12"/>
      <c r="M3026" s="13"/>
      <c r="N3026" s="2"/>
      <c r="O3026" s="20"/>
      <c r="P3026" s="42"/>
      <c r="R3026" s="23"/>
    </row>
    <row r="3027" spans="1:18" ht="12.75">
      <c r="A3027" s="12"/>
      <c r="D3027" s="12"/>
      <c r="E3027" s="12"/>
      <c r="H3027" s="11" t="str">
        <f ca="1">IFERROR(__xludf.DUMMYFUNCTION("IFERROR(SUBSTITUTE(SUBSTITUTE(REGEXEXTRACT(A3027, ""[^-]+- [^-]+- [^-]+ - (.+?)\.jpg""), "".jpg"", """"), ""-"", "", ""), """")"),"")</f>
        <v/>
      </c>
      <c r="L3027" s="12"/>
      <c r="M3027" s="13"/>
      <c r="N3027" s="2"/>
      <c r="O3027" s="20"/>
      <c r="P3027" s="42"/>
      <c r="R3027" s="23"/>
    </row>
    <row r="3028" spans="1:18" ht="12.75">
      <c r="A3028" s="12"/>
      <c r="D3028" s="12"/>
      <c r="E3028" s="12"/>
      <c r="H3028" s="11" t="str">
        <f ca="1">IFERROR(__xludf.DUMMYFUNCTION("IFERROR(SUBSTITUTE(SUBSTITUTE(REGEXEXTRACT(A3028, ""[^-]+- [^-]+- [^-]+ - (.+?)\.jpg""), "".jpg"", """"), ""-"", "", ""), """")"),"")</f>
        <v/>
      </c>
      <c r="L3028" s="12"/>
      <c r="M3028" s="13"/>
      <c r="N3028" s="2"/>
      <c r="O3028" s="20"/>
      <c r="P3028" s="42"/>
      <c r="R3028" s="23"/>
    </row>
    <row r="3029" spans="1:18" ht="12.75">
      <c r="A3029" s="12"/>
      <c r="D3029" s="12"/>
      <c r="E3029" s="12"/>
      <c r="H3029" s="11" t="str">
        <f ca="1">IFERROR(__xludf.DUMMYFUNCTION("IFERROR(SUBSTITUTE(SUBSTITUTE(REGEXEXTRACT(A3029, ""[^-]+- [^-]+- [^-]+ - (.+?)\.jpg""), "".jpg"", """"), ""-"", "", ""), """")"),"")</f>
        <v/>
      </c>
      <c r="L3029" s="12"/>
      <c r="M3029" s="13"/>
      <c r="N3029" s="2"/>
      <c r="O3029" s="20"/>
      <c r="P3029" s="42"/>
      <c r="R3029" s="23"/>
    </row>
    <row r="3030" spans="1:18" ht="12.75">
      <c r="A3030" s="12"/>
      <c r="D3030" s="12"/>
      <c r="E3030" s="12"/>
      <c r="H3030" s="11" t="str">
        <f ca="1">IFERROR(__xludf.DUMMYFUNCTION("IFERROR(SUBSTITUTE(SUBSTITUTE(REGEXEXTRACT(A3030, ""[^-]+- [^-]+- [^-]+ - (.+?)\.jpg""), "".jpg"", """"), ""-"", "", ""), """")"),"")</f>
        <v/>
      </c>
      <c r="L3030" s="12"/>
      <c r="M3030" s="13"/>
      <c r="N3030" s="2"/>
      <c r="O3030" s="20"/>
      <c r="P3030" s="42"/>
      <c r="R3030" s="23"/>
    </row>
    <row r="3031" spans="1:18" ht="12.75">
      <c r="A3031" s="12"/>
      <c r="D3031" s="12"/>
      <c r="E3031" s="12"/>
      <c r="H3031" s="11" t="str">
        <f ca="1">IFERROR(__xludf.DUMMYFUNCTION("IFERROR(SUBSTITUTE(SUBSTITUTE(REGEXEXTRACT(A3031, ""[^-]+- [^-]+- [^-]+ - (.+?)\.jpg""), "".jpg"", """"), ""-"", "", ""), """")"),"")</f>
        <v/>
      </c>
      <c r="L3031" s="12"/>
      <c r="M3031" s="13"/>
      <c r="N3031" s="2"/>
      <c r="O3031" s="20"/>
      <c r="P3031" s="42"/>
      <c r="R3031" s="23"/>
    </row>
    <row r="3032" spans="1:18" ht="12.75">
      <c r="A3032" s="12"/>
      <c r="D3032" s="12"/>
      <c r="E3032" s="12"/>
      <c r="H3032" s="11" t="str">
        <f ca="1">IFERROR(__xludf.DUMMYFUNCTION("IFERROR(SUBSTITUTE(SUBSTITUTE(REGEXEXTRACT(A3032, ""[^-]+- [^-]+- [^-]+ - (.+?)\.jpg""), "".jpg"", """"), ""-"", "", ""), """")"),"")</f>
        <v/>
      </c>
      <c r="L3032" s="12"/>
      <c r="M3032" s="13"/>
      <c r="N3032" s="2"/>
      <c r="O3032" s="20"/>
      <c r="P3032" s="42"/>
      <c r="R3032" s="23"/>
    </row>
    <row r="3033" spans="1:18" ht="12.75">
      <c r="A3033" s="12"/>
      <c r="D3033" s="12"/>
      <c r="E3033" s="12"/>
      <c r="H3033" s="11" t="str">
        <f ca="1">IFERROR(__xludf.DUMMYFUNCTION("IFERROR(SUBSTITUTE(SUBSTITUTE(REGEXEXTRACT(A3033, ""[^-]+- [^-]+- [^-]+ - (.+?)\.jpg""), "".jpg"", """"), ""-"", "", ""), """")"),"")</f>
        <v/>
      </c>
      <c r="L3033" s="12"/>
      <c r="M3033" s="13"/>
      <c r="N3033" s="2"/>
      <c r="O3033" s="20"/>
      <c r="P3033" s="42"/>
      <c r="R3033" s="23"/>
    </row>
    <row r="3034" spans="1:18" ht="12.75">
      <c r="A3034" s="12"/>
      <c r="D3034" s="12"/>
      <c r="E3034" s="12"/>
      <c r="H3034" s="11" t="str">
        <f ca="1">IFERROR(__xludf.DUMMYFUNCTION("IFERROR(SUBSTITUTE(SUBSTITUTE(REGEXEXTRACT(A3034, ""[^-]+- [^-]+- [^-]+ - (.+?)\.jpg""), "".jpg"", """"), ""-"", "", ""), """")"),"")</f>
        <v/>
      </c>
      <c r="L3034" s="12"/>
      <c r="M3034" s="13"/>
      <c r="N3034" s="2"/>
      <c r="O3034" s="20"/>
      <c r="P3034" s="42"/>
      <c r="R3034" s="23"/>
    </row>
    <row r="3035" spans="1:18" ht="12.75">
      <c r="A3035" s="12"/>
      <c r="D3035" s="12"/>
      <c r="E3035" s="12"/>
      <c r="H3035" s="11" t="str">
        <f ca="1">IFERROR(__xludf.DUMMYFUNCTION("IFERROR(SUBSTITUTE(SUBSTITUTE(REGEXEXTRACT(A3035, ""[^-]+- [^-]+- [^-]+ - (.+?)\.jpg""), "".jpg"", """"), ""-"", "", ""), """")"),"")</f>
        <v/>
      </c>
      <c r="L3035" s="12"/>
      <c r="M3035" s="13"/>
      <c r="N3035" s="2"/>
      <c r="O3035" s="20"/>
      <c r="P3035" s="42"/>
      <c r="R3035" s="23"/>
    </row>
    <row r="3036" spans="1:18" ht="12.75">
      <c r="A3036" s="12"/>
      <c r="D3036" s="12"/>
      <c r="E3036" s="12"/>
      <c r="H3036" s="11" t="str">
        <f ca="1">IFERROR(__xludf.DUMMYFUNCTION("IFERROR(SUBSTITUTE(SUBSTITUTE(REGEXEXTRACT(A3036, ""[^-]+- [^-]+- [^-]+ - (.+?)\.jpg""), "".jpg"", """"), ""-"", "", ""), """")"),"")</f>
        <v/>
      </c>
      <c r="L3036" s="12"/>
      <c r="M3036" s="13"/>
      <c r="N3036" s="2"/>
      <c r="O3036" s="20"/>
      <c r="P3036" s="42"/>
      <c r="R3036" s="23"/>
    </row>
    <row r="3037" spans="1:18" ht="12.75">
      <c r="A3037" s="12"/>
      <c r="D3037" s="12"/>
      <c r="E3037" s="12"/>
      <c r="H3037" s="11" t="str">
        <f ca="1">IFERROR(__xludf.DUMMYFUNCTION("IFERROR(SUBSTITUTE(SUBSTITUTE(REGEXEXTRACT(A3037, ""[^-]+- [^-]+- [^-]+ - (.+?)\.jpg""), "".jpg"", """"), ""-"", "", ""), """")"),"")</f>
        <v/>
      </c>
      <c r="L3037" s="12"/>
      <c r="M3037" s="13"/>
      <c r="N3037" s="2"/>
      <c r="O3037" s="20"/>
      <c r="P3037" s="42"/>
      <c r="R3037" s="23"/>
    </row>
    <row r="3038" spans="1:18" ht="12.75">
      <c r="A3038" s="12"/>
      <c r="D3038" s="12"/>
      <c r="E3038" s="12"/>
      <c r="H3038" s="11" t="str">
        <f ca="1">IFERROR(__xludf.DUMMYFUNCTION("IFERROR(SUBSTITUTE(SUBSTITUTE(REGEXEXTRACT(A3038, ""[^-]+- [^-]+- [^-]+ - (.+?)\.jpg""), "".jpg"", """"), ""-"", "", ""), """")"),"")</f>
        <v/>
      </c>
      <c r="L3038" s="12"/>
      <c r="M3038" s="13"/>
      <c r="N3038" s="2"/>
      <c r="O3038" s="20"/>
      <c r="P3038" s="42"/>
      <c r="R3038" s="23"/>
    </row>
    <row r="3039" spans="1:18" ht="12.75">
      <c r="A3039" s="12"/>
      <c r="D3039" s="12"/>
      <c r="E3039" s="12"/>
      <c r="H3039" s="11" t="str">
        <f ca="1">IFERROR(__xludf.DUMMYFUNCTION("IFERROR(SUBSTITUTE(SUBSTITUTE(REGEXEXTRACT(A3039, ""[^-]+- [^-]+- [^-]+ - (.+?)\.jpg""), "".jpg"", """"), ""-"", "", ""), """")"),"")</f>
        <v/>
      </c>
      <c r="L3039" s="12"/>
      <c r="M3039" s="13"/>
      <c r="N3039" s="2"/>
      <c r="O3039" s="20"/>
      <c r="P3039" s="42"/>
      <c r="R3039" s="23"/>
    </row>
    <row r="3040" spans="1:18" ht="12.75">
      <c r="A3040" s="12"/>
      <c r="D3040" s="12"/>
      <c r="E3040" s="12"/>
      <c r="H3040" s="11" t="str">
        <f ca="1">IFERROR(__xludf.DUMMYFUNCTION("IFERROR(SUBSTITUTE(SUBSTITUTE(REGEXEXTRACT(A3040, ""[^-]+- [^-]+- [^-]+ - (.+?)\.jpg""), "".jpg"", """"), ""-"", "", ""), """")"),"")</f>
        <v/>
      </c>
      <c r="L3040" s="12"/>
      <c r="M3040" s="13"/>
      <c r="N3040" s="2"/>
      <c r="O3040" s="20"/>
      <c r="P3040" s="42"/>
      <c r="R3040" s="23"/>
    </row>
    <row r="3041" spans="1:18" ht="12.75">
      <c r="A3041" s="12"/>
      <c r="D3041" s="12"/>
      <c r="E3041" s="12"/>
      <c r="H3041" s="11" t="str">
        <f ca="1">IFERROR(__xludf.DUMMYFUNCTION("IFERROR(SUBSTITUTE(SUBSTITUTE(REGEXEXTRACT(A3041, ""[^-]+- [^-]+- [^-]+ - (.+?)\.jpg""), "".jpg"", """"), ""-"", "", ""), """")"),"")</f>
        <v/>
      </c>
      <c r="L3041" s="12"/>
      <c r="M3041" s="13"/>
      <c r="N3041" s="2"/>
      <c r="O3041" s="20"/>
      <c r="P3041" s="42"/>
      <c r="R3041" s="23"/>
    </row>
    <row r="3042" spans="1:18" ht="12.75">
      <c r="A3042" s="12"/>
      <c r="D3042" s="12"/>
      <c r="E3042" s="12"/>
      <c r="H3042" s="11" t="str">
        <f ca="1">IFERROR(__xludf.DUMMYFUNCTION("IFERROR(SUBSTITUTE(SUBSTITUTE(REGEXEXTRACT(A3042, ""[^-]+- [^-]+- [^-]+ - (.+?)\.jpg""), "".jpg"", """"), ""-"", "", ""), """")"),"")</f>
        <v/>
      </c>
      <c r="L3042" s="12"/>
      <c r="M3042" s="13"/>
      <c r="N3042" s="2"/>
      <c r="O3042" s="20"/>
      <c r="P3042" s="42"/>
      <c r="R3042" s="23"/>
    </row>
    <row r="3043" spans="1:18" ht="12.75">
      <c r="A3043" s="12"/>
      <c r="D3043" s="12"/>
      <c r="E3043" s="12"/>
      <c r="H3043" s="11" t="str">
        <f ca="1">IFERROR(__xludf.DUMMYFUNCTION("IFERROR(SUBSTITUTE(SUBSTITUTE(REGEXEXTRACT(A3043, ""[^-]+- [^-]+- [^-]+ - (.+?)\.jpg""), "".jpg"", """"), ""-"", "", ""), """")"),"")</f>
        <v/>
      </c>
      <c r="L3043" s="12"/>
      <c r="M3043" s="13"/>
      <c r="N3043" s="2"/>
      <c r="O3043" s="20"/>
      <c r="P3043" s="42"/>
      <c r="R3043" s="23"/>
    </row>
    <row r="3044" spans="1:18" ht="12.75">
      <c r="A3044" s="12"/>
      <c r="D3044" s="12"/>
      <c r="E3044" s="12"/>
      <c r="H3044" s="11" t="str">
        <f ca="1">IFERROR(__xludf.DUMMYFUNCTION("IFERROR(SUBSTITUTE(SUBSTITUTE(REGEXEXTRACT(A3044, ""[^-]+- [^-]+- [^-]+ - (.+?)\.jpg""), "".jpg"", """"), ""-"", "", ""), """")"),"")</f>
        <v/>
      </c>
      <c r="L3044" s="12"/>
      <c r="M3044" s="13"/>
      <c r="N3044" s="2"/>
      <c r="O3044" s="20"/>
      <c r="P3044" s="42"/>
      <c r="R3044" s="23"/>
    </row>
    <row r="3045" spans="1:18" ht="12.75">
      <c r="A3045" s="12"/>
      <c r="D3045" s="12"/>
      <c r="E3045" s="12"/>
      <c r="H3045" s="11" t="str">
        <f ca="1">IFERROR(__xludf.DUMMYFUNCTION("IFERROR(SUBSTITUTE(SUBSTITUTE(REGEXEXTRACT(A3045, ""[^-]+- [^-]+- [^-]+ - (.+?)\.jpg""), "".jpg"", """"), ""-"", "", ""), """")"),"")</f>
        <v/>
      </c>
      <c r="L3045" s="12"/>
      <c r="M3045" s="13"/>
      <c r="N3045" s="2"/>
      <c r="O3045" s="20"/>
      <c r="P3045" s="42"/>
      <c r="R3045" s="23"/>
    </row>
    <row r="3046" spans="1:18" ht="12.75">
      <c r="A3046" s="12"/>
      <c r="D3046" s="12"/>
      <c r="E3046" s="12"/>
      <c r="H3046" s="11" t="str">
        <f ca="1">IFERROR(__xludf.DUMMYFUNCTION("IFERROR(SUBSTITUTE(SUBSTITUTE(REGEXEXTRACT(A3046, ""[^-]+- [^-]+- [^-]+ - (.+?)\.jpg""), "".jpg"", """"), ""-"", "", ""), """")"),"")</f>
        <v/>
      </c>
      <c r="L3046" s="12"/>
      <c r="M3046" s="13"/>
      <c r="N3046" s="2"/>
      <c r="O3046" s="20"/>
      <c r="P3046" s="42"/>
      <c r="R3046" s="23"/>
    </row>
    <row r="3047" spans="1:18" ht="12.75">
      <c r="A3047" s="12"/>
      <c r="D3047" s="12"/>
      <c r="E3047" s="12"/>
      <c r="H3047" s="11" t="str">
        <f ca="1">IFERROR(__xludf.DUMMYFUNCTION("IFERROR(SUBSTITUTE(SUBSTITUTE(REGEXEXTRACT(A3047, ""[^-]+- [^-]+- [^-]+ - (.+?)\.jpg""), "".jpg"", """"), ""-"", "", ""), """")"),"")</f>
        <v/>
      </c>
      <c r="L3047" s="12"/>
      <c r="M3047" s="13"/>
      <c r="N3047" s="2"/>
      <c r="O3047" s="20"/>
      <c r="P3047" s="42"/>
      <c r="R3047" s="23"/>
    </row>
    <row r="3048" spans="1:18" ht="12.75">
      <c r="A3048" s="12"/>
      <c r="D3048" s="12"/>
      <c r="E3048" s="12"/>
      <c r="H3048" s="11" t="str">
        <f ca="1">IFERROR(__xludf.DUMMYFUNCTION("IFERROR(SUBSTITUTE(SUBSTITUTE(REGEXEXTRACT(A3048, ""[^-]+- [^-]+- [^-]+ - (.+?)\.jpg""), "".jpg"", """"), ""-"", "", ""), """")"),"")</f>
        <v/>
      </c>
      <c r="L3048" s="12"/>
      <c r="M3048" s="13"/>
      <c r="N3048" s="2"/>
      <c r="O3048" s="20"/>
      <c r="P3048" s="42"/>
      <c r="R3048" s="23"/>
    </row>
    <row r="3049" spans="1:18" ht="12.75">
      <c r="A3049" s="12"/>
      <c r="D3049" s="12"/>
      <c r="E3049" s="12"/>
      <c r="H3049" s="11" t="str">
        <f ca="1">IFERROR(__xludf.DUMMYFUNCTION("IFERROR(SUBSTITUTE(SUBSTITUTE(REGEXEXTRACT(A3049, ""[^-]+- [^-]+- [^-]+ - (.+?)\.jpg""), "".jpg"", """"), ""-"", "", ""), """")"),"")</f>
        <v/>
      </c>
      <c r="L3049" s="12"/>
      <c r="M3049" s="13"/>
      <c r="N3049" s="2"/>
      <c r="O3049" s="20"/>
      <c r="P3049" s="42"/>
      <c r="R3049" s="23"/>
    </row>
    <row r="3050" spans="1:18" ht="12.75">
      <c r="A3050" s="12"/>
      <c r="D3050" s="12"/>
      <c r="E3050" s="12"/>
      <c r="H3050" s="11" t="str">
        <f ca="1">IFERROR(__xludf.DUMMYFUNCTION("IFERROR(SUBSTITUTE(SUBSTITUTE(REGEXEXTRACT(A3050, ""[^-]+- [^-]+- [^-]+ - (.+?)\.jpg""), "".jpg"", """"), ""-"", "", ""), """")"),"")</f>
        <v/>
      </c>
      <c r="L3050" s="12"/>
      <c r="M3050" s="13"/>
      <c r="N3050" s="2"/>
      <c r="O3050" s="20"/>
      <c r="P3050" s="42"/>
      <c r="R3050" s="23"/>
    </row>
    <row r="3051" spans="1:18" ht="12.75">
      <c r="A3051" s="12"/>
      <c r="D3051" s="12"/>
      <c r="E3051" s="12"/>
      <c r="H3051" s="11" t="str">
        <f ca="1">IFERROR(__xludf.DUMMYFUNCTION("IFERROR(SUBSTITUTE(SUBSTITUTE(REGEXEXTRACT(A3051, ""[^-]+- [^-]+- [^-]+ - (.+?)\.jpg""), "".jpg"", """"), ""-"", "", ""), """")"),"")</f>
        <v/>
      </c>
      <c r="L3051" s="12"/>
      <c r="M3051" s="13"/>
      <c r="N3051" s="2"/>
      <c r="O3051" s="20"/>
      <c r="P3051" s="42"/>
      <c r="R3051" s="23"/>
    </row>
    <row r="3052" spans="1:18" ht="12.75">
      <c r="A3052" s="12"/>
      <c r="D3052" s="12"/>
      <c r="E3052" s="12"/>
      <c r="H3052" s="11" t="str">
        <f ca="1">IFERROR(__xludf.DUMMYFUNCTION("IFERROR(SUBSTITUTE(SUBSTITUTE(REGEXEXTRACT(A3052, ""[^-]+- [^-]+- [^-]+ - (.+?)\.jpg""), "".jpg"", """"), ""-"", "", ""), """")"),"")</f>
        <v/>
      </c>
      <c r="L3052" s="12"/>
      <c r="M3052" s="13"/>
      <c r="N3052" s="2"/>
      <c r="O3052" s="20"/>
      <c r="P3052" s="42"/>
      <c r="R3052" s="23"/>
    </row>
    <row r="3053" spans="1:18" ht="12.75">
      <c r="A3053" s="12"/>
      <c r="D3053" s="12"/>
      <c r="E3053" s="12"/>
      <c r="H3053" s="11" t="str">
        <f ca="1">IFERROR(__xludf.DUMMYFUNCTION("IFERROR(SUBSTITUTE(SUBSTITUTE(REGEXEXTRACT(A3053, ""[^-]+- [^-]+- [^-]+ - (.+?)\.jpg""), "".jpg"", """"), ""-"", "", ""), """")"),"")</f>
        <v/>
      </c>
      <c r="L3053" s="12"/>
      <c r="M3053" s="13"/>
      <c r="N3053" s="2"/>
      <c r="O3053" s="20"/>
      <c r="P3053" s="42"/>
      <c r="R3053" s="23"/>
    </row>
    <row r="3054" spans="1:18" ht="12.75">
      <c r="A3054" s="12"/>
      <c r="D3054" s="12"/>
      <c r="E3054" s="12"/>
      <c r="H3054" s="11" t="str">
        <f ca="1">IFERROR(__xludf.DUMMYFUNCTION("IFERROR(SUBSTITUTE(SUBSTITUTE(REGEXEXTRACT(A3054, ""[^-]+- [^-]+- [^-]+ - (.+?)\.jpg""), "".jpg"", """"), ""-"", "", ""), """")"),"")</f>
        <v/>
      </c>
      <c r="L3054" s="12"/>
      <c r="M3054" s="13"/>
      <c r="N3054" s="2"/>
      <c r="O3054" s="20"/>
      <c r="P3054" s="42"/>
      <c r="R3054" s="23"/>
    </row>
    <row r="3055" spans="1:18" ht="12.75">
      <c r="A3055" s="12"/>
      <c r="D3055" s="12"/>
      <c r="E3055" s="12"/>
      <c r="H3055" s="11" t="str">
        <f ca="1">IFERROR(__xludf.DUMMYFUNCTION("IFERROR(SUBSTITUTE(SUBSTITUTE(REGEXEXTRACT(A3055, ""[^-]+- [^-]+- [^-]+ - (.+?)\.jpg""), "".jpg"", """"), ""-"", "", ""), """")"),"")</f>
        <v/>
      </c>
      <c r="L3055" s="12"/>
      <c r="M3055" s="13"/>
      <c r="N3055" s="2"/>
      <c r="O3055" s="20"/>
      <c r="P3055" s="42"/>
      <c r="R3055" s="23"/>
    </row>
    <row r="3056" spans="1:18" ht="12.75">
      <c r="A3056" s="12"/>
      <c r="D3056" s="12"/>
      <c r="E3056" s="12"/>
      <c r="H3056" s="11" t="str">
        <f ca="1">IFERROR(__xludf.DUMMYFUNCTION("IFERROR(SUBSTITUTE(SUBSTITUTE(REGEXEXTRACT(A3056, ""[^-]+- [^-]+- [^-]+ - (.+?)\.jpg""), "".jpg"", """"), ""-"", "", ""), """")"),"")</f>
        <v/>
      </c>
      <c r="L3056" s="12"/>
      <c r="M3056" s="13"/>
      <c r="N3056" s="2"/>
      <c r="O3056" s="20"/>
      <c r="P3056" s="42"/>
      <c r="R3056" s="23"/>
    </row>
    <row r="3057" spans="1:18" ht="12.75">
      <c r="A3057" s="12"/>
      <c r="D3057" s="12"/>
      <c r="E3057" s="12"/>
      <c r="H3057" s="11" t="str">
        <f ca="1">IFERROR(__xludf.DUMMYFUNCTION("IFERROR(SUBSTITUTE(SUBSTITUTE(REGEXEXTRACT(A3057, ""[^-]+- [^-]+- [^-]+ - (.+?)\.jpg""), "".jpg"", """"), ""-"", "", ""), """")"),"")</f>
        <v/>
      </c>
      <c r="L3057" s="12"/>
      <c r="M3057" s="13"/>
      <c r="N3057" s="2"/>
      <c r="O3057" s="20"/>
      <c r="P3057" s="42"/>
      <c r="R3057" s="23"/>
    </row>
    <row r="3058" spans="1:18" ht="12.75">
      <c r="A3058" s="12"/>
      <c r="D3058" s="12"/>
      <c r="E3058" s="12"/>
      <c r="H3058" s="11" t="str">
        <f ca="1">IFERROR(__xludf.DUMMYFUNCTION("IFERROR(SUBSTITUTE(SUBSTITUTE(REGEXEXTRACT(A3058, ""[^-]+- [^-]+- [^-]+ - (.+?)\.jpg""), "".jpg"", """"), ""-"", "", ""), """")"),"")</f>
        <v/>
      </c>
      <c r="L3058" s="12"/>
      <c r="M3058" s="13"/>
      <c r="N3058" s="2"/>
      <c r="O3058" s="20"/>
      <c r="P3058" s="42"/>
      <c r="R3058" s="23"/>
    </row>
    <row r="3059" spans="1:18" ht="12.75">
      <c r="A3059" s="12"/>
      <c r="D3059" s="12"/>
      <c r="E3059" s="12"/>
      <c r="H3059" s="11" t="str">
        <f ca="1">IFERROR(__xludf.DUMMYFUNCTION("IFERROR(SUBSTITUTE(SUBSTITUTE(REGEXEXTRACT(A3059, ""[^-]+- [^-]+- [^-]+ - (.+?)\.jpg""), "".jpg"", """"), ""-"", "", ""), """")"),"")</f>
        <v/>
      </c>
      <c r="L3059" s="12"/>
      <c r="M3059" s="13"/>
      <c r="N3059" s="2"/>
      <c r="O3059" s="20"/>
      <c r="P3059" s="42"/>
      <c r="R3059" s="23"/>
    </row>
    <row r="3060" spans="1:18" ht="12.75">
      <c r="A3060" s="12"/>
      <c r="D3060" s="12"/>
      <c r="E3060" s="12"/>
      <c r="H3060" s="11" t="str">
        <f ca="1">IFERROR(__xludf.DUMMYFUNCTION("IFERROR(SUBSTITUTE(SUBSTITUTE(REGEXEXTRACT(A3060, ""[^-]+- [^-]+- [^-]+ - (.+?)\.jpg""), "".jpg"", """"), ""-"", "", ""), """")"),"")</f>
        <v/>
      </c>
      <c r="L3060" s="12"/>
      <c r="M3060" s="13"/>
      <c r="N3060" s="2"/>
      <c r="O3060" s="20"/>
      <c r="P3060" s="42"/>
      <c r="R3060" s="23"/>
    </row>
    <row r="3061" spans="1:18" ht="12.75">
      <c r="A3061" s="12"/>
      <c r="D3061" s="12"/>
      <c r="E3061" s="12"/>
      <c r="H3061" s="11" t="str">
        <f ca="1">IFERROR(__xludf.DUMMYFUNCTION("IFERROR(SUBSTITUTE(SUBSTITUTE(REGEXEXTRACT(A3061, ""[^-]+- [^-]+- [^-]+ - (.+?)\.jpg""), "".jpg"", """"), ""-"", "", ""), """")"),"")</f>
        <v/>
      </c>
      <c r="L3061" s="12"/>
      <c r="M3061" s="13"/>
      <c r="N3061" s="2"/>
      <c r="O3061" s="20"/>
      <c r="P3061" s="42"/>
      <c r="R3061" s="23"/>
    </row>
    <row r="3062" spans="1:18" ht="12.75">
      <c r="A3062" s="12"/>
      <c r="D3062" s="12"/>
      <c r="E3062" s="12"/>
      <c r="H3062" s="11" t="str">
        <f ca="1">IFERROR(__xludf.DUMMYFUNCTION("IFERROR(SUBSTITUTE(SUBSTITUTE(REGEXEXTRACT(A3062, ""[^-]+- [^-]+- [^-]+ - (.+?)\.jpg""), "".jpg"", """"), ""-"", "", ""), """")"),"")</f>
        <v/>
      </c>
      <c r="L3062" s="12"/>
      <c r="M3062" s="13"/>
      <c r="N3062" s="2"/>
      <c r="O3062" s="20"/>
      <c r="P3062" s="42"/>
      <c r="R3062" s="23"/>
    </row>
    <row r="3063" spans="1:18" ht="12.75">
      <c r="A3063" s="12"/>
      <c r="D3063" s="12"/>
      <c r="E3063" s="12"/>
      <c r="H3063" s="11" t="str">
        <f ca="1">IFERROR(__xludf.DUMMYFUNCTION("IFERROR(SUBSTITUTE(SUBSTITUTE(REGEXEXTRACT(A3063, ""[^-]+- [^-]+- [^-]+ - (.+?)\.jpg""), "".jpg"", """"), ""-"", "", ""), """")"),"")</f>
        <v/>
      </c>
      <c r="L3063" s="12"/>
      <c r="M3063" s="13"/>
      <c r="N3063" s="2"/>
      <c r="O3063" s="20"/>
      <c r="P3063" s="42"/>
      <c r="R3063" s="23"/>
    </row>
    <row r="3064" spans="1:18" ht="12.75">
      <c r="A3064" s="12"/>
      <c r="D3064" s="12"/>
      <c r="E3064" s="12"/>
      <c r="H3064" s="11" t="str">
        <f ca="1">IFERROR(__xludf.DUMMYFUNCTION("IFERROR(SUBSTITUTE(SUBSTITUTE(REGEXEXTRACT(A3064, ""[^-]+- [^-]+- [^-]+ - (.+?)\.jpg""), "".jpg"", """"), ""-"", "", ""), """")"),"")</f>
        <v/>
      </c>
      <c r="L3064" s="12"/>
      <c r="M3064" s="13"/>
      <c r="N3064" s="2"/>
      <c r="O3064" s="20"/>
      <c r="P3064" s="42"/>
      <c r="R3064" s="23"/>
    </row>
    <row r="3065" spans="1:18" ht="12.75">
      <c r="A3065" s="12"/>
      <c r="D3065" s="12"/>
      <c r="E3065" s="12"/>
      <c r="H3065" s="11" t="str">
        <f ca="1">IFERROR(__xludf.DUMMYFUNCTION("IFERROR(SUBSTITUTE(SUBSTITUTE(REGEXEXTRACT(A3065, ""[^-]+- [^-]+- [^-]+ - (.+?)\.jpg""), "".jpg"", """"), ""-"", "", ""), """")"),"")</f>
        <v/>
      </c>
      <c r="L3065" s="12"/>
      <c r="M3065" s="13"/>
      <c r="N3065" s="2"/>
      <c r="O3065" s="20"/>
      <c r="P3065" s="42"/>
      <c r="R3065" s="23"/>
    </row>
    <row r="3066" spans="1:18" ht="12.75">
      <c r="A3066" s="12"/>
      <c r="D3066" s="12"/>
      <c r="E3066" s="12"/>
      <c r="H3066" s="11" t="str">
        <f ca="1">IFERROR(__xludf.DUMMYFUNCTION("IFERROR(SUBSTITUTE(SUBSTITUTE(REGEXEXTRACT(A3066, ""[^-]+- [^-]+- [^-]+ - (.+?)\.jpg""), "".jpg"", """"), ""-"", "", ""), """")"),"")</f>
        <v/>
      </c>
      <c r="L3066" s="12"/>
      <c r="M3066" s="13"/>
      <c r="N3066" s="2"/>
      <c r="O3066" s="20"/>
      <c r="P3066" s="42"/>
      <c r="R3066" s="23"/>
    </row>
    <row r="3067" spans="1:18" ht="12.75">
      <c r="A3067" s="12"/>
      <c r="D3067" s="12"/>
      <c r="E3067" s="12"/>
      <c r="H3067" s="11" t="str">
        <f ca="1">IFERROR(__xludf.DUMMYFUNCTION("IFERROR(SUBSTITUTE(SUBSTITUTE(REGEXEXTRACT(A3067, ""[^-]+- [^-]+- [^-]+ - (.+?)\.jpg""), "".jpg"", """"), ""-"", "", ""), """")"),"")</f>
        <v/>
      </c>
      <c r="L3067" s="12"/>
      <c r="M3067" s="13"/>
      <c r="N3067" s="2"/>
      <c r="O3067" s="20"/>
      <c r="P3067" s="42"/>
      <c r="R3067" s="23"/>
    </row>
    <row r="3068" spans="1:18" ht="12.75">
      <c r="A3068" s="12"/>
      <c r="D3068" s="12"/>
      <c r="E3068" s="12"/>
      <c r="H3068" s="11" t="str">
        <f ca="1">IFERROR(__xludf.DUMMYFUNCTION("IFERROR(SUBSTITUTE(SUBSTITUTE(REGEXEXTRACT(A3068, ""[^-]+- [^-]+- [^-]+ - (.+?)\.jpg""), "".jpg"", """"), ""-"", "", ""), """")"),"")</f>
        <v/>
      </c>
      <c r="L3068" s="12"/>
      <c r="M3068" s="13"/>
      <c r="N3068" s="2"/>
      <c r="O3068" s="20"/>
      <c r="P3068" s="42"/>
      <c r="R3068" s="23"/>
    </row>
    <row r="3069" spans="1:18" ht="12.75">
      <c r="A3069" s="12"/>
      <c r="D3069" s="12"/>
      <c r="E3069" s="12"/>
      <c r="H3069" s="11" t="str">
        <f ca="1">IFERROR(__xludf.DUMMYFUNCTION("IFERROR(SUBSTITUTE(SUBSTITUTE(REGEXEXTRACT(A3069, ""[^-]+- [^-]+- [^-]+ - (.+?)\.jpg""), "".jpg"", """"), ""-"", "", ""), """")"),"")</f>
        <v/>
      </c>
      <c r="L3069" s="12"/>
      <c r="M3069" s="13"/>
      <c r="N3069" s="2"/>
      <c r="O3069" s="20"/>
      <c r="P3069" s="42"/>
      <c r="R3069" s="23"/>
    </row>
    <row r="3070" spans="1:18" ht="12.75">
      <c r="A3070" s="12"/>
      <c r="D3070" s="12"/>
      <c r="E3070" s="12"/>
      <c r="H3070" s="11" t="str">
        <f ca="1">IFERROR(__xludf.DUMMYFUNCTION("IFERROR(SUBSTITUTE(SUBSTITUTE(REGEXEXTRACT(A3070, ""[^-]+- [^-]+- [^-]+ - (.+?)\.jpg""), "".jpg"", """"), ""-"", "", ""), """")"),"")</f>
        <v/>
      </c>
      <c r="L3070" s="12"/>
      <c r="M3070" s="13"/>
      <c r="N3070" s="2"/>
      <c r="O3070" s="20"/>
      <c r="P3070" s="42"/>
      <c r="R3070" s="23"/>
    </row>
    <row r="3071" spans="1:18" ht="12.75">
      <c r="A3071" s="12"/>
      <c r="D3071" s="12"/>
      <c r="E3071" s="12"/>
      <c r="H3071" s="11" t="str">
        <f ca="1">IFERROR(__xludf.DUMMYFUNCTION("IFERROR(SUBSTITUTE(SUBSTITUTE(REGEXEXTRACT(A3071, ""[^-]+- [^-]+- [^-]+ - (.+?)\.jpg""), "".jpg"", """"), ""-"", "", ""), """")"),"")</f>
        <v/>
      </c>
      <c r="L3071" s="12"/>
      <c r="M3071" s="13"/>
      <c r="N3071" s="2"/>
      <c r="O3071" s="20"/>
      <c r="P3071" s="42"/>
      <c r="R3071" s="23"/>
    </row>
    <row r="3072" spans="1:18" ht="12.75">
      <c r="A3072" s="12"/>
      <c r="D3072" s="12"/>
      <c r="E3072" s="12"/>
      <c r="H3072" s="11" t="str">
        <f ca="1">IFERROR(__xludf.DUMMYFUNCTION("IFERROR(SUBSTITUTE(SUBSTITUTE(REGEXEXTRACT(A3072, ""[^-]+- [^-]+- [^-]+ - (.+?)\.jpg""), "".jpg"", """"), ""-"", "", ""), """")"),"")</f>
        <v/>
      </c>
      <c r="L3072" s="12"/>
      <c r="M3072" s="13"/>
      <c r="N3072" s="2"/>
      <c r="O3072" s="20"/>
      <c r="P3072" s="42"/>
      <c r="R3072" s="23"/>
    </row>
    <row r="3073" spans="1:18" ht="12.75">
      <c r="A3073" s="12"/>
      <c r="D3073" s="12"/>
      <c r="E3073" s="12"/>
      <c r="H3073" s="11" t="str">
        <f ca="1">IFERROR(__xludf.DUMMYFUNCTION("IFERROR(SUBSTITUTE(SUBSTITUTE(REGEXEXTRACT(A3073, ""[^-]+- [^-]+- [^-]+ - (.+?)\.jpg""), "".jpg"", """"), ""-"", "", ""), """")"),"")</f>
        <v/>
      </c>
      <c r="L3073" s="12"/>
      <c r="M3073" s="13"/>
      <c r="N3073" s="2"/>
      <c r="O3073" s="20"/>
      <c r="P3073" s="42"/>
      <c r="R3073" s="23"/>
    </row>
    <row r="3074" spans="1:18" ht="12.75">
      <c r="A3074" s="12"/>
      <c r="D3074" s="12"/>
      <c r="E3074" s="12"/>
      <c r="H3074" s="11" t="str">
        <f ca="1">IFERROR(__xludf.DUMMYFUNCTION("IFERROR(SUBSTITUTE(SUBSTITUTE(REGEXEXTRACT(A3074, ""[^-]+- [^-]+- [^-]+ - (.+?)\.jpg""), "".jpg"", """"), ""-"", "", ""), """")"),"")</f>
        <v/>
      </c>
      <c r="L3074" s="12"/>
      <c r="M3074" s="13"/>
      <c r="N3074" s="2"/>
      <c r="O3074" s="20"/>
      <c r="P3074" s="42"/>
      <c r="R3074" s="23"/>
    </row>
    <row r="3075" spans="1:18" ht="12.75">
      <c r="A3075" s="12"/>
      <c r="D3075" s="12"/>
      <c r="E3075" s="12"/>
      <c r="H3075" s="11" t="str">
        <f ca="1">IFERROR(__xludf.DUMMYFUNCTION("IFERROR(SUBSTITUTE(SUBSTITUTE(REGEXEXTRACT(A3075, ""[^-]+- [^-]+- [^-]+ - (.+?)\.jpg""), "".jpg"", """"), ""-"", "", ""), """")"),"")</f>
        <v/>
      </c>
      <c r="L3075" s="12"/>
      <c r="M3075" s="13"/>
      <c r="N3075" s="2"/>
      <c r="O3075" s="20"/>
      <c r="P3075" s="42"/>
      <c r="R3075" s="23"/>
    </row>
    <row r="3076" spans="1:18" ht="12.75">
      <c r="A3076" s="12"/>
      <c r="D3076" s="12"/>
      <c r="E3076" s="12"/>
      <c r="H3076" s="11" t="str">
        <f ca="1">IFERROR(__xludf.DUMMYFUNCTION("IFERROR(SUBSTITUTE(SUBSTITUTE(REGEXEXTRACT(A3076, ""[^-]+- [^-]+- [^-]+ - (.+?)\.jpg""), "".jpg"", """"), ""-"", "", ""), """")"),"")</f>
        <v/>
      </c>
      <c r="L3076" s="12"/>
      <c r="M3076" s="13"/>
      <c r="N3076" s="2"/>
      <c r="O3076" s="20"/>
      <c r="P3076" s="42"/>
      <c r="R3076" s="23"/>
    </row>
    <row r="3077" spans="1:18" ht="12.75">
      <c r="A3077" s="12"/>
      <c r="D3077" s="12"/>
      <c r="E3077" s="12"/>
      <c r="H3077" s="11" t="str">
        <f ca="1">IFERROR(__xludf.DUMMYFUNCTION("IFERROR(SUBSTITUTE(SUBSTITUTE(REGEXEXTRACT(A3077, ""[^-]+- [^-]+- [^-]+ - (.+?)\.jpg""), "".jpg"", """"), ""-"", "", ""), """")"),"")</f>
        <v/>
      </c>
      <c r="L3077" s="12"/>
      <c r="M3077" s="13"/>
      <c r="N3077" s="2"/>
      <c r="O3077" s="20"/>
      <c r="P3077" s="42"/>
      <c r="R3077" s="23"/>
    </row>
    <row r="3078" spans="1:18" ht="12.75">
      <c r="A3078" s="12"/>
      <c r="D3078" s="12"/>
      <c r="E3078" s="12"/>
      <c r="H3078" s="11" t="str">
        <f ca="1">IFERROR(__xludf.DUMMYFUNCTION("IFERROR(SUBSTITUTE(SUBSTITUTE(REGEXEXTRACT(A3078, ""[^-]+- [^-]+- [^-]+ - (.+?)\.jpg""), "".jpg"", """"), ""-"", "", ""), """")"),"")</f>
        <v/>
      </c>
      <c r="L3078" s="12"/>
      <c r="M3078" s="13"/>
      <c r="N3078" s="2"/>
      <c r="O3078" s="20"/>
      <c r="P3078" s="42"/>
      <c r="R3078" s="23"/>
    </row>
    <row r="3079" spans="1:18" ht="12.75">
      <c r="A3079" s="12"/>
      <c r="D3079" s="12"/>
      <c r="E3079" s="12"/>
      <c r="H3079" s="11" t="str">
        <f ca="1">IFERROR(__xludf.DUMMYFUNCTION("IFERROR(SUBSTITUTE(SUBSTITUTE(REGEXEXTRACT(A3079, ""[^-]+- [^-]+- [^-]+ - (.+?)\.jpg""), "".jpg"", """"), ""-"", "", ""), """")"),"")</f>
        <v/>
      </c>
      <c r="L3079" s="12"/>
      <c r="M3079" s="13"/>
      <c r="N3079" s="2"/>
      <c r="O3079" s="20"/>
      <c r="P3079" s="42"/>
      <c r="R3079" s="23"/>
    </row>
    <row r="3080" spans="1:18" ht="12.75">
      <c r="A3080" s="12"/>
      <c r="D3080" s="12"/>
      <c r="E3080" s="12"/>
      <c r="H3080" s="11" t="str">
        <f ca="1">IFERROR(__xludf.DUMMYFUNCTION("IFERROR(SUBSTITUTE(SUBSTITUTE(REGEXEXTRACT(A3080, ""[^-]+- [^-]+- [^-]+ - (.+?)\.jpg""), "".jpg"", """"), ""-"", "", ""), """")"),"")</f>
        <v/>
      </c>
      <c r="L3080" s="12"/>
      <c r="M3080" s="13"/>
      <c r="N3080" s="2"/>
      <c r="O3080" s="20"/>
      <c r="P3080" s="42"/>
      <c r="R3080" s="23"/>
    </row>
    <row r="3081" spans="1:18" ht="12.75">
      <c r="A3081" s="12"/>
      <c r="D3081" s="12"/>
      <c r="E3081" s="12"/>
      <c r="H3081" s="11" t="str">
        <f ca="1">IFERROR(__xludf.DUMMYFUNCTION("IFERROR(SUBSTITUTE(SUBSTITUTE(REGEXEXTRACT(A3081, ""[^-]+- [^-]+- [^-]+ - (.+?)\.jpg""), "".jpg"", """"), ""-"", "", ""), """")"),"")</f>
        <v/>
      </c>
      <c r="L3081" s="12"/>
      <c r="M3081" s="13"/>
      <c r="N3081" s="2"/>
      <c r="O3081" s="20"/>
      <c r="P3081" s="42"/>
      <c r="R3081" s="23"/>
    </row>
    <row r="3082" spans="1:18" ht="12.75">
      <c r="A3082" s="12"/>
      <c r="D3082" s="12"/>
      <c r="E3082" s="12"/>
      <c r="H3082" s="11" t="str">
        <f ca="1">IFERROR(__xludf.DUMMYFUNCTION("IFERROR(SUBSTITUTE(SUBSTITUTE(REGEXEXTRACT(A3082, ""[^-]+- [^-]+- [^-]+ - (.+?)\.jpg""), "".jpg"", """"), ""-"", "", ""), """")"),"")</f>
        <v/>
      </c>
      <c r="L3082" s="12"/>
      <c r="M3082" s="13"/>
      <c r="N3082" s="2"/>
      <c r="O3082" s="20"/>
      <c r="P3082" s="42"/>
      <c r="R3082" s="23"/>
    </row>
    <row r="3083" spans="1:18" ht="12.75">
      <c r="A3083" s="12"/>
      <c r="D3083" s="12"/>
      <c r="E3083" s="12"/>
      <c r="H3083" s="11" t="str">
        <f ca="1">IFERROR(__xludf.DUMMYFUNCTION("IFERROR(SUBSTITUTE(SUBSTITUTE(REGEXEXTRACT(A3083, ""[^-]+- [^-]+- [^-]+ - (.+?)\.jpg""), "".jpg"", """"), ""-"", "", ""), """")"),"")</f>
        <v/>
      </c>
      <c r="L3083" s="12"/>
      <c r="M3083" s="13"/>
      <c r="N3083" s="2"/>
      <c r="O3083" s="20"/>
      <c r="P3083" s="42"/>
      <c r="R3083" s="23"/>
    </row>
    <row r="3084" spans="1:18" ht="12.75">
      <c r="A3084" s="12"/>
      <c r="D3084" s="12"/>
      <c r="E3084" s="12"/>
      <c r="H3084" s="11" t="str">
        <f ca="1">IFERROR(__xludf.DUMMYFUNCTION("IFERROR(SUBSTITUTE(SUBSTITUTE(REGEXEXTRACT(A3084, ""[^-]+- [^-]+- [^-]+ - (.+?)\.jpg""), "".jpg"", """"), ""-"", "", ""), """")"),"")</f>
        <v/>
      </c>
      <c r="L3084" s="12"/>
      <c r="M3084" s="13"/>
      <c r="N3084" s="2"/>
      <c r="O3084" s="20"/>
      <c r="P3084" s="42"/>
      <c r="R3084" s="23"/>
    </row>
    <row r="3085" spans="1:18" ht="12.75">
      <c r="A3085" s="12"/>
      <c r="D3085" s="12"/>
      <c r="E3085" s="12"/>
      <c r="H3085" s="11" t="str">
        <f ca="1">IFERROR(__xludf.DUMMYFUNCTION("IFERROR(SUBSTITUTE(SUBSTITUTE(REGEXEXTRACT(A3085, ""[^-]+- [^-]+- [^-]+ - (.+?)\.jpg""), "".jpg"", """"), ""-"", "", ""), """")"),"")</f>
        <v/>
      </c>
      <c r="L3085" s="12"/>
      <c r="M3085" s="13"/>
      <c r="N3085" s="2"/>
      <c r="O3085" s="20"/>
      <c r="P3085" s="42"/>
      <c r="R3085" s="23"/>
    </row>
    <row r="3086" spans="1:18" ht="12.75">
      <c r="A3086" s="12"/>
      <c r="D3086" s="12"/>
      <c r="E3086" s="12"/>
      <c r="H3086" s="11" t="str">
        <f ca="1">IFERROR(__xludf.DUMMYFUNCTION("IFERROR(SUBSTITUTE(SUBSTITUTE(REGEXEXTRACT(A3086, ""[^-]+- [^-]+- [^-]+ - (.+?)\.jpg""), "".jpg"", """"), ""-"", "", ""), """")"),"")</f>
        <v/>
      </c>
      <c r="L3086" s="12"/>
      <c r="M3086" s="13"/>
      <c r="N3086" s="2"/>
      <c r="O3086" s="20"/>
      <c r="P3086" s="42"/>
      <c r="R3086" s="23"/>
    </row>
    <row r="3087" spans="1:18" ht="12.75">
      <c r="A3087" s="12"/>
      <c r="D3087" s="12"/>
      <c r="E3087" s="12"/>
      <c r="H3087" s="11" t="str">
        <f ca="1">IFERROR(__xludf.DUMMYFUNCTION("IFERROR(SUBSTITUTE(SUBSTITUTE(REGEXEXTRACT(A3087, ""[^-]+- [^-]+- [^-]+ - (.+?)\.jpg""), "".jpg"", """"), ""-"", "", ""), """")"),"")</f>
        <v/>
      </c>
      <c r="L3087" s="12"/>
      <c r="M3087" s="13"/>
      <c r="N3087" s="2"/>
      <c r="O3087" s="20"/>
      <c r="P3087" s="42"/>
      <c r="R3087" s="23"/>
    </row>
    <row r="3088" spans="1:18" ht="12.75">
      <c r="A3088" s="12"/>
      <c r="D3088" s="12"/>
      <c r="E3088" s="12"/>
      <c r="H3088" s="11" t="str">
        <f ca="1">IFERROR(__xludf.DUMMYFUNCTION("IFERROR(SUBSTITUTE(SUBSTITUTE(REGEXEXTRACT(A3088, ""[^-]+- [^-]+- [^-]+ - (.+?)\.jpg""), "".jpg"", """"), ""-"", "", ""), """")"),"")</f>
        <v/>
      </c>
      <c r="L3088" s="12"/>
      <c r="M3088" s="13"/>
      <c r="N3088" s="2"/>
      <c r="O3088" s="20"/>
      <c r="P3088" s="42"/>
      <c r="R3088" s="23"/>
    </row>
    <row r="3089" spans="1:18" ht="12.75">
      <c r="A3089" s="12"/>
      <c r="D3089" s="12"/>
      <c r="E3089" s="12"/>
      <c r="H3089" s="11" t="str">
        <f ca="1">IFERROR(__xludf.DUMMYFUNCTION("IFERROR(SUBSTITUTE(SUBSTITUTE(REGEXEXTRACT(A3089, ""[^-]+- [^-]+- [^-]+ - (.+?)\.jpg""), "".jpg"", """"), ""-"", "", ""), """")"),"")</f>
        <v/>
      </c>
      <c r="L3089" s="12"/>
      <c r="M3089" s="13"/>
      <c r="N3089" s="2"/>
      <c r="O3089" s="20"/>
      <c r="P3089" s="42"/>
      <c r="R3089" s="23"/>
    </row>
    <row r="3090" spans="1:18" ht="12.75">
      <c r="A3090" s="12"/>
      <c r="D3090" s="12"/>
      <c r="E3090" s="12"/>
      <c r="H3090" s="11" t="str">
        <f ca="1">IFERROR(__xludf.DUMMYFUNCTION("IFERROR(SUBSTITUTE(SUBSTITUTE(REGEXEXTRACT(A3090, ""[^-]+- [^-]+- [^-]+ - (.+?)\.jpg""), "".jpg"", """"), ""-"", "", ""), """")"),"")</f>
        <v/>
      </c>
      <c r="L3090" s="12"/>
      <c r="M3090" s="13"/>
      <c r="N3090" s="2"/>
      <c r="O3090" s="20"/>
      <c r="P3090" s="42"/>
      <c r="R3090" s="23"/>
    </row>
    <row r="3091" spans="1:18" ht="12.75">
      <c r="A3091" s="12"/>
      <c r="D3091" s="12"/>
      <c r="E3091" s="12"/>
      <c r="H3091" s="11" t="str">
        <f ca="1">IFERROR(__xludf.DUMMYFUNCTION("IFERROR(SUBSTITUTE(SUBSTITUTE(REGEXEXTRACT(A3091, ""[^-]+- [^-]+- [^-]+ - (.+?)\.jpg""), "".jpg"", """"), ""-"", "", ""), """")"),"")</f>
        <v/>
      </c>
      <c r="L3091" s="12"/>
      <c r="M3091" s="13"/>
      <c r="N3091" s="2"/>
      <c r="O3091" s="20"/>
      <c r="P3091" s="42"/>
      <c r="R3091" s="23"/>
    </row>
    <row r="3092" spans="1:18" ht="12.75">
      <c r="A3092" s="12"/>
      <c r="D3092" s="12"/>
      <c r="E3092" s="12"/>
      <c r="H3092" s="11" t="str">
        <f ca="1">IFERROR(__xludf.DUMMYFUNCTION("IFERROR(SUBSTITUTE(SUBSTITUTE(REGEXEXTRACT(A3092, ""[^-]+- [^-]+- [^-]+ - (.+?)\.jpg""), "".jpg"", """"), ""-"", "", ""), """")"),"")</f>
        <v/>
      </c>
      <c r="L3092" s="12"/>
      <c r="M3092" s="13"/>
      <c r="N3092" s="2"/>
      <c r="O3092" s="20"/>
      <c r="P3092" s="42"/>
      <c r="R3092" s="23"/>
    </row>
    <row r="3093" spans="1:18" ht="12.75">
      <c r="A3093" s="12"/>
      <c r="D3093" s="12"/>
      <c r="E3093" s="12"/>
      <c r="H3093" s="11" t="str">
        <f ca="1">IFERROR(__xludf.DUMMYFUNCTION("IFERROR(SUBSTITUTE(SUBSTITUTE(REGEXEXTRACT(A3093, ""[^-]+- [^-]+- [^-]+ - (.+?)\.jpg""), "".jpg"", """"), ""-"", "", ""), """")"),"")</f>
        <v/>
      </c>
      <c r="L3093" s="12"/>
      <c r="M3093" s="13"/>
      <c r="N3093" s="2"/>
      <c r="O3093" s="20"/>
      <c r="P3093" s="42"/>
      <c r="R3093" s="23"/>
    </row>
    <row r="3094" spans="1:18" ht="12.75">
      <c r="A3094" s="12"/>
      <c r="D3094" s="12"/>
      <c r="E3094" s="12"/>
      <c r="H3094" s="11" t="str">
        <f ca="1">IFERROR(__xludf.DUMMYFUNCTION("IFERROR(SUBSTITUTE(SUBSTITUTE(REGEXEXTRACT(A3094, ""[^-]+- [^-]+- [^-]+ - (.+?)\.jpg""), "".jpg"", """"), ""-"", "", ""), """")"),"")</f>
        <v/>
      </c>
      <c r="L3094" s="12"/>
      <c r="M3094" s="13"/>
      <c r="N3094" s="2"/>
      <c r="O3094" s="20"/>
      <c r="P3094" s="42"/>
      <c r="R3094" s="23"/>
    </row>
    <row r="3095" spans="1:18" ht="12.75">
      <c r="A3095" s="12"/>
      <c r="D3095" s="12"/>
      <c r="E3095" s="12"/>
      <c r="H3095" s="11" t="str">
        <f ca="1">IFERROR(__xludf.DUMMYFUNCTION("IFERROR(SUBSTITUTE(SUBSTITUTE(REGEXEXTRACT(A3095, ""[^-]+- [^-]+- [^-]+ - (.+?)\.jpg""), "".jpg"", """"), ""-"", "", ""), """")"),"")</f>
        <v/>
      </c>
      <c r="L3095" s="12"/>
      <c r="M3095" s="13"/>
      <c r="N3095" s="2"/>
      <c r="O3095" s="20"/>
      <c r="P3095" s="42"/>
      <c r="R3095" s="23"/>
    </row>
    <row r="3096" spans="1:18" ht="12.75">
      <c r="A3096" s="12"/>
      <c r="D3096" s="12"/>
      <c r="E3096" s="12"/>
      <c r="H3096" s="11" t="str">
        <f ca="1">IFERROR(__xludf.DUMMYFUNCTION("IFERROR(SUBSTITUTE(SUBSTITUTE(REGEXEXTRACT(A3096, ""[^-]+- [^-]+- [^-]+ - (.+?)\.jpg""), "".jpg"", """"), ""-"", "", ""), """")"),"")</f>
        <v/>
      </c>
      <c r="L3096" s="12"/>
      <c r="M3096" s="13"/>
      <c r="N3096" s="2"/>
      <c r="O3096" s="20"/>
      <c r="P3096" s="42"/>
      <c r="R3096" s="23"/>
    </row>
    <row r="3097" spans="1:18" ht="12.75">
      <c r="A3097" s="12"/>
      <c r="D3097" s="12"/>
      <c r="E3097" s="12"/>
      <c r="H3097" s="11" t="str">
        <f ca="1">IFERROR(__xludf.DUMMYFUNCTION("IFERROR(SUBSTITUTE(SUBSTITUTE(REGEXEXTRACT(A3097, ""[^-]+- [^-]+- [^-]+ - (.+?)\.jpg""), "".jpg"", """"), ""-"", "", ""), """")"),"")</f>
        <v/>
      </c>
      <c r="L3097" s="12"/>
      <c r="M3097" s="13"/>
      <c r="N3097" s="2"/>
      <c r="O3097" s="20"/>
      <c r="P3097" s="42"/>
      <c r="R3097" s="23"/>
    </row>
    <row r="3098" spans="1:18" ht="12.75">
      <c r="A3098" s="12"/>
      <c r="D3098" s="12"/>
      <c r="E3098" s="12"/>
      <c r="H3098" s="11" t="str">
        <f ca="1">IFERROR(__xludf.DUMMYFUNCTION("IFERROR(SUBSTITUTE(SUBSTITUTE(REGEXEXTRACT(A3098, ""[^-]+- [^-]+- [^-]+ - (.+?)\.jpg""), "".jpg"", """"), ""-"", "", ""), """")"),"")</f>
        <v/>
      </c>
      <c r="L3098" s="12"/>
      <c r="M3098" s="13"/>
      <c r="N3098" s="2"/>
      <c r="O3098" s="20"/>
      <c r="P3098" s="42"/>
      <c r="R3098" s="23"/>
    </row>
    <row r="3099" spans="1:18" ht="12.75">
      <c r="A3099" s="12"/>
      <c r="D3099" s="12"/>
      <c r="E3099" s="12"/>
      <c r="H3099" s="11" t="str">
        <f ca="1">IFERROR(__xludf.DUMMYFUNCTION("IFERROR(SUBSTITUTE(SUBSTITUTE(REGEXEXTRACT(A3099, ""[^-]+- [^-]+- [^-]+ - (.+?)\.jpg""), "".jpg"", """"), ""-"", "", ""), """")"),"")</f>
        <v/>
      </c>
      <c r="L3099" s="12"/>
      <c r="M3099" s="13"/>
      <c r="N3099" s="2"/>
      <c r="O3099" s="20"/>
      <c r="P3099" s="42"/>
      <c r="R3099" s="23"/>
    </row>
    <row r="3100" spans="1:18" ht="12.75">
      <c r="A3100" s="12"/>
      <c r="D3100" s="12"/>
      <c r="E3100" s="12"/>
      <c r="H3100" s="11" t="str">
        <f ca="1">IFERROR(__xludf.DUMMYFUNCTION("IFERROR(SUBSTITUTE(SUBSTITUTE(REGEXEXTRACT(A3100, ""[^-]+- [^-]+- [^-]+ - (.+?)\.jpg""), "".jpg"", """"), ""-"", "", ""), """")"),"")</f>
        <v/>
      </c>
      <c r="L3100" s="12"/>
      <c r="M3100" s="13"/>
      <c r="N3100" s="2"/>
      <c r="O3100" s="20"/>
      <c r="P3100" s="42"/>
      <c r="R3100" s="23"/>
    </row>
    <row r="3101" spans="1:18" ht="12.75">
      <c r="A3101" s="12"/>
      <c r="D3101" s="12"/>
      <c r="E3101" s="12"/>
      <c r="H3101" s="11" t="str">
        <f ca="1">IFERROR(__xludf.DUMMYFUNCTION("IFERROR(SUBSTITUTE(SUBSTITUTE(REGEXEXTRACT(A3101, ""[^-]+- [^-]+- [^-]+ - (.+?)\.jpg""), "".jpg"", """"), ""-"", "", ""), """")"),"")</f>
        <v/>
      </c>
      <c r="L3101" s="12"/>
      <c r="M3101" s="13"/>
      <c r="N3101" s="2"/>
      <c r="O3101" s="20"/>
      <c r="P3101" s="42"/>
      <c r="R3101" s="23"/>
    </row>
    <row r="3102" spans="1:18" ht="12.75">
      <c r="A3102" s="12"/>
      <c r="D3102" s="12"/>
      <c r="E3102" s="12"/>
      <c r="H3102" s="11" t="str">
        <f ca="1">IFERROR(__xludf.DUMMYFUNCTION("IFERROR(SUBSTITUTE(SUBSTITUTE(REGEXEXTRACT(A3102, ""[^-]+- [^-]+- [^-]+ - (.+?)\.jpg""), "".jpg"", """"), ""-"", "", ""), """")"),"")</f>
        <v/>
      </c>
      <c r="L3102" s="12"/>
      <c r="M3102" s="13"/>
      <c r="N3102" s="2"/>
      <c r="O3102" s="20"/>
      <c r="P3102" s="42"/>
      <c r="R3102" s="23"/>
    </row>
    <row r="3103" spans="1:18" ht="12.75">
      <c r="A3103" s="12"/>
      <c r="D3103" s="12"/>
      <c r="E3103" s="12"/>
      <c r="H3103" s="11" t="str">
        <f ca="1">IFERROR(__xludf.DUMMYFUNCTION("IFERROR(SUBSTITUTE(SUBSTITUTE(REGEXEXTRACT(A3103, ""[^-]+- [^-]+- [^-]+ - (.+?)\.jpg""), "".jpg"", """"), ""-"", "", ""), """")"),"")</f>
        <v/>
      </c>
      <c r="L3103" s="12"/>
      <c r="M3103" s="13"/>
      <c r="N3103" s="2"/>
      <c r="O3103" s="20"/>
      <c r="P3103" s="42"/>
      <c r="R3103" s="23"/>
    </row>
    <row r="3104" spans="1:18" ht="12.75">
      <c r="A3104" s="12"/>
      <c r="D3104" s="12"/>
      <c r="E3104" s="12"/>
      <c r="H3104" s="11" t="str">
        <f ca="1">IFERROR(__xludf.DUMMYFUNCTION("IFERROR(SUBSTITUTE(SUBSTITUTE(REGEXEXTRACT(A3104, ""[^-]+- [^-]+- [^-]+ - (.+?)\.jpg""), "".jpg"", """"), ""-"", "", ""), """")"),"")</f>
        <v/>
      </c>
      <c r="L3104" s="12"/>
      <c r="M3104" s="13"/>
      <c r="N3104" s="2"/>
      <c r="O3104" s="20"/>
      <c r="P3104" s="42"/>
      <c r="R3104" s="23"/>
    </row>
    <row r="3105" spans="1:18" ht="12.75">
      <c r="A3105" s="12"/>
      <c r="D3105" s="12"/>
      <c r="E3105" s="12"/>
      <c r="H3105" s="11" t="str">
        <f ca="1">IFERROR(__xludf.DUMMYFUNCTION("IFERROR(SUBSTITUTE(SUBSTITUTE(REGEXEXTRACT(A3105, ""[^-]+- [^-]+- [^-]+ - (.+?)\.jpg""), "".jpg"", """"), ""-"", "", ""), """")"),"")</f>
        <v/>
      </c>
      <c r="L3105" s="12"/>
      <c r="M3105" s="13"/>
      <c r="N3105" s="2"/>
      <c r="O3105" s="20"/>
      <c r="P3105" s="42"/>
      <c r="R3105" s="23"/>
    </row>
    <row r="3106" spans="1:18" ht="12.75">
      <c r="A3106" s="12"/>
      <c r="D3106" s="12"/>
      <c r="E3106" s="12"/>
      <c r="H3106" s="11" t="str">
        <f ca="1">IFERROR(__xludf.DUMMYFUNCTION("IFERROR(SUBSTITUTE(SUBSTITUTE(REGEXEXTRACT(A3106, ""[^-]+- [^-]+- [^-]+ - (.+?)\.jpg""), "".jpg"", """"), ""-"", "", ""), """")"),"")</f>
        <v/>
      </c>
      <c r="L3106" s="12"/>
      <c r="M3106" s="13"/>
      <c r="N3106" s="2"/>
      <c r="O3106" s="20"/>
      <c r="P3106" s="42"/>
      <c r="R3106" s="23"/>
    </row>
    <row r="3107" spans="1:18" ht="12.75">
      <c r="A3107" s="12"/>
      <c r="D3107" s="12"/>
      <c r="E3107" s="12"/>
      <c r="H3107" s="11" t="str">
        <f ca="1">IFERROR(__xludf.DUMMYFUNCTION("IFERROR(SUBSTITUTE(SUBSTITUTE(REGEXEXTRACT(A3107, ""[^-]+- [^-]+- [^-]+ - (.+?)\.jpg""), "".jpg"", """"), ""-"", "", ""), """")"),"")</f>
        <v/>
      </c>
      <c r="L3107" s="12"/>
      <c r="M3107" s="13"/>
      <c r="N3107" s="2"/>
      <c r="O3107" s="20"/>
      <c r="P3107" s="42"/>
      <c r="R3107" s="23"/>
    </row>
    <row r="3108" spans="1:18" ht="12.75">
      <c r="A3108" s="12"/>
      <c r="D3108" s="12"/>
      <c r="E3108" s="12"/>
      <c r="H3108" s="11" t="str">
        <f ca="1">IFERROR(__xludf.DUMMYFUNCTION("IFERROR(SUBSTITUTE(SUBSTITUTE(REGEXEXTRACT(A3108, ""[^-]+- [^-]+- [^-]+ - (.+?)\.jpg""), "".jpg"", """"), ""-"", "", ""), """")"),"")</f>
        <v/>
      </c>
      <c r="L3108" s="12"/>
      <c r="M3108" s="13"/>
      <c r="N3108" s="2"/>
      <c r="O3108" s="20"/>
      <c r="P3108" s="42"/>
      <c r="R3108" s="23"/>
    </row>
    <row r="3109" spans="1:18" ht="12.75">
      <c r="A3109" s="12"/>
      <c r="D3109" s="12"/>
      <c r="E3109" s="12"/>
      <c r="H3109" s="11" t="str">
        <f ca="1">IFERROR(__xludf.DUMMYFUNCTION("IFERROR(SUBSTITUTE(SUBSTITUTE(REGEXEXTRACT(A3109, ""[^-]+- [^-]+- [^-]+ - (.+?)\.jpg""), "".jpg"", """"), ""-"", "", ""), """")"),"")</f>
        <v/>
      </c>
      <c r="L3109" s="12"/>
      <c r="M3109" s="13"/>
      <c r="N3109" s="2"/>
      <c r="O3109" s="20"/>
      <c r="P3109" s="42"/>
      <c r="R3109" s="23"/>
    </row>
    <row r="3110" spans="1:18" ht="12.75">
      <c r="A3110" s="12"/>
      <c r="D3110" s="12"/>
      <c r="E3110" s="12"/>
      <c r="H3110" s="11" t="str">
        <f ca="1">IFERROR(__xludf.DUMMYFUNCTION("IFERROR(SUBSTITUTE(SUBSTITUTE(REGEXEXTRACT(A3110, ""[^-]+- [^-]+- [^-]+ - (.+?)\.jpg""), "".jpg"", """"), ""-"", "", ""), """")"),"")</f>
        <v/>
      </c>
      <c r="L3110" s="12"/>
      <c r="M3110" s="13"/>
      <c r="N3110" s="2"/>
      <c r="O3110" s="20"/>
      <c r="P3110" s="42"/>
      <c r="R3110" s="23"/>
    </row>
    <row r="3111" spans="1:18" ht="12.75">
      <c r="A3111" s="12"/>
      <c r="D3111" s="12"/>
      <c r="E3111" s="12"/>
      <c r="H3111" s="11" t="str">
        <f ca="1">IFERROR(__xludf.DUMMYFUNCTION("IFERROR(SUBSTITUTE(SUBSTITUTE(REGEXEXTRACT(A3111, ""[^-]+- [^-]+- [^-]+ - (.+?)\.jpg""), "".jpg"", """"), ""-"", "", ""), """")"),"")</f>
        <v/>
      </c>
      <c r="L3111" s="12"/>
      <c r="M3111" s="13"/>
      <c r="N3111" s="2"/>
      <c r="O3111" s="20"/>
      <c r="P3111" s="42"/>
      <c r="R3111" s="23"/>
    </row>
    <row r="3112" spans="1:18" ht="12.75">
      <c r="A3112" s="12"/>
      <c r="D3112" s="12"/>
      <c r="E3112" s="12"/>
      <c r="H3112" s="11" t="str">
        <f ca="1">IFERROR(__xludf.DUMMYFUNCTION("IFERROR(SUBSTITUTE(SUBSTITUTE(REGEXEXTRACT(A3112, ""[^-]+- [^-]+- [^-]+ - (.+?)\.jpg""), "".jpg"", """"), ""-"", "", ""), """")"),"")</f>
        <v/>
      </c>
      <c r="L3112" s="12"/>
      <c r="M3112" s="13"/>
      <c r="N3112" s="2"/>
      <c r="O3112" s="20"/>
      <c r="P3112" s="42"/>
      <c r="R3112" s="23"/>
    </row>
    <row r="3113" spans="1:18" ht="12.75">
      <c r="A3113" s="12"/>
      <c r="D3113" s="12"/>
      <c r="E3113" s="12"/>
      <c r="H3113" s="11" t="str">
        <f ca="1">IFERROR(__xludf.DUMMYFUNCTION("IFERROR(SUBSTITUTE(SUBSTITUTE(REGEXEXTRACT(A3113, ""[^-]+- [^-]+- [^-]+ - (.+?)\.jpg""), "".jpg"", """"), ""-"", "", ""), """")"),"")</f>
        <v/>
      </c>
      <c r="L3113" s="12"/>
      <c r="M3113" s="13"/>
      <c r="N3113" s="2"/>
      <c r="O3113" s="20"/>
      <c r="P3113" s="42"/>
      <c r="R3113" s="23"/>
    </row>
    <row r="3114" spans="1:18" ht="12.75">
      <c r="A3114" s="12"/>
      <c r="D3114" s="12"/>
      <c r="E3114" s="12"/>
      <c r="H3114" s="11" t="str">
        <f ca="1">IFERROR(__xludf.DUMMYFUNCTION("IFERROR(SUBSTITUTE(SUBSTITUTE(REGEXEXTRACT(A3114, ""[^-]+- [^-]+- [^-]+ - (.+?)\.jpg""), "".jpg"", """"), ""-"", "", ""), """")"),"")</f>
        <v/>
      </c>
      <c r="L3114" s="12"/>
      <c r="M3114" s="13"/>
      <c r="N3114" s="2"/>
      <c r="O3114" s="20"/>
      <c r="P3114" s="42"/>
      <c r="R3114" s="23"/>
    </row>
    <row r="3115" spans="1:18" ht="12.75">
      <c r="A3115" s="12"/>
      <c r="D3115" s="12"/>
      <c r="E3115" s="12"/>
      <c r="H3115" s="11" t="str">
        <f ca="1">IFERROR(__xludf.DUMMYFUNCTION("IFERROR(SUBSTITUTE(SUBSTITUTE(REGEXEXTRACT(A3115, ""[^-]+- [^-]+- [^-]+ - (.+?)\.jpg""), "".jpg"", """"), ""-"", "", ""), """")"),"")</f>
        <v/>
      </c>
      <c r="L3115" s="12"/>
      <c r="M3115" s="13"/>
      <c r="N3115" s="2"/>
      <c r="O3115" s="20"/>
      <c r="P3115" s="42"/>
      <c r="R3115" s="23"/>
    </row>
    <row r="3116" spans="1:18" ht="12.75">
      <c r="A3116" s="12"/>
      <c r="D3116" s="12"/>
      <c r="E3116" s="12"/>
      <c r="H3116" s="11" t="str">
        <f ca="1">IFERROR(__xludf.DUMMYFUNCTION("IFERROR(SUBSTITUTE(SUBSTITUTE(REGEXEXTRACT(A3116, ""[^-]+- [^-]+- [^-]+ - (.+?)\.jpg""), "".jpg"", """"), ""-"", "", ""), """")"),"")</f>
        <v/>
      </c>
      <c r="L3116" s="12"/>
      <c r="M3116" s="13"/>
      <c r="N3116" s="2"/>
      <c r="O3116" s="20"/>
      <c r="P3116" s="42"/>
      <c r="R3116" s="23"/>
    </row>
    <row r="3117" spans="1:18" ht="12.75">
      <c r="A3117" s="12"/>
      <c r="D3117" s="12"/>
      <c r="E3117" s="12"/>
      <c r="H3117" s="11" t="str">
        <f ca="1">IFERROR(__xludf.DUMMYFUNCTION("IFERROR(SUBSTITUTE(SUBSTITUTE(REGEXEXTRACT(A3117, ""[^-]+- [^-]+- [^-]+ - (.+?)\.jpg""), "".jpg"", """"), ""-"", "", ""), """")"),"")</f>
        <v/>
      </c>
      <c r="L3117" s="12"/>
      <c r="M3117" s="13"/>
      <c r="N3117" s="2"/>
      <c r="O3117" s="20"/>
      <c r="P3117" s="42"/>
      <c r="R3117" s="23"/>
    </row>
    <row r="3118" spans="1:18" ht="12.75">
      <c r="A3118" s="12"/>
      <c r="D3118" s="12"/>
      <c r="E3118" s="12"/>
      <c r="H3118" s="11" t="str">
        <f ca="1">IFERROR(__xludf.DUMMYFUNCTION("IFERROR(SUBSTITUTE(SUBSTITUTE(REGEXEXTRACT(A3118, ""[^-]+- [^-]+- [^-]+ - (.+?)\.jpg""), "".jpg"", """"), ""-"", "", ""), """")"),"")</f>
        <v/>
      </c>
      <c r="L3118" s="12"/>
      <c r="M3118" s="13"/>
      <c r="N3118" s="2"/>
      <c r="O3118" s="20"/>
      <c r="P3118" s="42"/>
      <c r="R3118" s="23"/>
    </row>
    <row r="3119" spans="1:18" ht="12.75">
      <c r="A3119" s="12"/>
      <c r="D3119" s="12"/>
      <c r="E3119" s="12"/>
      <c r="H3119" s="11" t="str">
        <f ca="1">IFERROR(__xludf.DUMMYFUNCTION("IFERROR(SUBSTITUTE(SUBSTITUTE(REGEXEXTRACT(A3119, ""[^-]+- [^-]+- [^-]+ - (.+?)\.jpg""), "".jpg"", """"), ""-"", "", ""), """")"),"")</f>
        <v/>
      </c>
      <c r="L3119" s="12"/>
      <c r="M3119" s="13"/>
      <c r="N3119" s="2"/>
      <c r="O3119" s="20"/>
      <c r="P3119" s="42"/>
      <c r="R3119" s="23"/>
    </row>
    <row r="3120" spans="1:18" ht="12.75">
      <c r="A3120" s="12"/>
      <c r="D3120" s="12"/>
      <c r="E3120" s="12"/>
      <c r="H3120" s="11" t="str">
        <f ca="1">IFERROR(__xludf.DUMMYFUNCTION("IFERROR(SUBSTITUTE(SUBSTITUTE(REGEXEXTRACT(A3120, ""[^-]+- [^-]+- [^-]+ - (.+?)\.jpg""), "".jpg"", """"), ""-"", "", ""), """")"),"")</f>
        <v/>
      </c>
      <c r="L3120" s="12"/>
      <c r="M3120" s="13"/>
      <c r="N3120" s="2"/>
      <c r="O3120" s="20"/>
      <c r="P3120" s="42"/>
      <c r="R3120" s="23"/>
    </row>
    <row r="3121" spans="1:18" ht="12.75">
      <c r="A3121" s="12"/>
      <c r="D3121" s="12"/>
      <c r="E3121" s="12"/>
      <c r="H3121" s="11" t="str">
        <f ca="1">IFERROR(__xludf.DUMMYFUNCTION("IFERROR(SUBSTITUTE(SUBSTITUTE(REGEXEXTRACT(A3121, ""[^-]+- [^-]+- [^-]+ - (.+?)\.jpg""), "".jpg"", """"), ""-"", "", ""), """")"),"")</f>
        <v/>
      </c>
      <c r="L3121" s="12"/>
      <c r="M3121" s="13"/>
      <c r="N3121" s="2"/>
      <c r="O3121" s="20"/>
      <c r="P3121" s="42"/>
      <c r="R3121" s="23"/>
    </row>
    <row r="3122" spans="1:18" ht="12.75">
      <c r="A3122" s="12"/>
      <c r="D3122" s="12"/>
      <c r="E3122" s="12"/>
      <c r="H3122" s="11" t="str">
        <f ca="1">IFERROR(__xludf.DUMMYFUNCTION("IFERROR(SUBSTITUTE(SUBSTITUTE(REGEXEXTRACT(A3122, ""[^-]+- [^-]+- [^-]+ - (.+?)\.jpg""), "".jpg"", """"), ""-"", "", ""), """")"),"")</f>
        <v/>
      </c>
      <c r="L3122" s="12"/>
      <c r="M3122" s="13"/>
      <c r="N3122" s="2"/>
      <c r="O3122" s="20"/>
      <c r="P3122" s="42"/>
      <c r="R3122" s="23"/>
    </row>
    <row r="3123" spans="1:18" ht="12.75">
      <c r="A3123" s="12"/>
      <c r="D3123" s="12"/>
      <c r="E3123" s="12"/>
      <c r="H3123" s="11" t="str">
        <f ca="1">IFERROR(__xludf.DUMMYFUNCTION("IFERROR(SUBSTITUTE(SUBSTITUTE(REGEXEXTRACT(A3123, ""[^-]+- [^-]+- [^-]+ - (.+?)\.jpg""), "".jpg"", """"), ""-"", "", ""), """")"),"")</f>
        <v/>
      </c>
      <c r="L3123" s="12"/>
      <c r="M3123" s="13"/>
      <c r="N3123" s="2"/>
      <c r="O3123" s="20"/>
      <c r="P3123" s="42"/>
      <c r="R3123" s="23"/>
    </row>
    <row r="3124" spans="1:18" ht="12.75">
      <c r="A3124" s="12"/>
      <c r="D3124" s="12"/>
      <c r="E3124" s="12"/>
      <c r="H3124" s="11" t="str">
        <f ca="1">IFERROR(__xludf.DUMMYFUNCTION("IFERROR(SUBSTITUTE(SUBSTITUTE(REGEXEXTRACT(A3124, ""[^-]+- [^-]+- [^-]+ - (.+?)\.jpg""), "".jpg"", """"), ""-"", "", ""), """")"),"")</f>
        <v/>
      </c>
      <c r="L3124" s="12"/>
      <c r="M3124" s="13"/>
      <c r="N3124" s="2"/>
      <c r="O3124" s="20"/>
      <c r="P3124" s="42"/>
      <c r="R3124" s="23"/>
    </row>
    <row r="3125" spans="1:18" ht="12.75">
      <c r="A3125" s="12"/>
      <c r="D3125" s="12"/>
      <c r="E3125" s="12"/>
      <c r="H3125" s="11" t="str">
        <f ca="1">IFERROR(__xludf.DUMMYFUNCTION("IFERROR(SUBSTITUTE(SUBSTITUTE(REGEXEXTRACT(A3125, ""[^-]+- [^-]+- [^-]+ - (.+?)\.jpg""), "".jpg"", """"), ""-"", "", ""), """")"),"")</f>
        <v/>
      </c>
      <c r="L3125" s="12"/>
      <c r="M3125" s="13"/>
      <c r="N3125" s="2"/>
      <c r="O3125" s="20"/>
      <c r="P3125" s="42"/>
      <c r="R3125" s="23"/>
    </row>
    <row r="3126" spans="1:18" ht="12.75">
      <c r="A3126" s="12"/>
      <c r="D3126" s="12"/>
      <c r="E3126" s="12"/>
      <c r="H3126" s="11" t="str">
        <f ca="1">IFERROR(__xludf.DUMMYFUNCTION("IFERROR(SUBSTITUTE(SUBSTITUTE(REGEXEXTRACT(A3126, ""[^-]+- [^-]+- [^-]+ - (.+?)\.jpg""), "".jpg"", """"), ""-"", "", ""), """")"),"")</f>
        <v/>
      </c>
      <c r="L3126" s="12"/>
      <c r="M3126" s="13"/>
      <c r="N3126" s="2"/>
      <c r="O3126" s="20"/>
      <c r="P3126" s="42"/>
      <c r="R3126" s="23"/>
    </row>
    <row r="3127" spans="1:18" ht="12.75">
      <c r="A3127" s="12"/>
      <c r="D3127" s="12"/>
      <c r="E3127" s="12"/>
      <c r="H3127" s="11" t="str">
        <f ca="1">IFERROR(__xludf.DUMMYFUNCTION("IFERROR(SUBSTITUTE(SUBSTITUTE(REGEXEXTRACT(A3127, ""[^-]+- [^-]+- [^-]+ - (.+?)\.jpg""), "".jpg"", """"), ""-"", "", ""), """")"),"")</f>
        <v/>
      </c>
      <c r="L3127" s="12"/>
      <c r="M3127" s="13"/>
      <c r="N3127" s="2"/>
      <c r="O3127" s="20"/>
      <c r="P3127" s="42"/>
      <c r="R3127" s="23"/>
    </row>
    <row r="3128" spans="1:18" ht="12.75">
      <c r="A3128" s="12"/>
      <c r="D3128" s="12"/>
      <c r="E3128" s="12"/>
      <c r="H3128" s="11" t="str">
        <f ca="1">IFERROR(__xludf.DUMMYFUNCTION("IFERROR(SUBSTITUTE(SUBSTITUTE(REGEXEXTRACT(A3128, ""[^-]+- [^-]+- [^-]+ - (.+?)\.jpg""), "".jpg"", """"), ""-"", "", ""), """")"),"")</f>
        <v/>
      </c>
      <c r="L3128" s="12"/>
      <c r="M3128" s="13"/>
      <c r="N3128" s="2"/>
      <c r="O3128" s="20"/>
      <c r="P3128" s="42"/>
      <c r="R3128" s="23"/>
    </row>
    <row r="3129" spans="1:18" ht="12.75">
      <c r="A3129" s="12"/>
      <c r="D3129" s="12"/>
      <c r="E3129" s="12"/>
      <c r="H3129" s="11" t="str">
        <f ca="1">IFERROR(__xludf.DUMMYFUNCTION("IFERROR(SUBSTITUTE(SUBSTITUTE(REGEXEXTRACT(A3129, ""[^-]+- [^-]+- [^-]+ - (.+?)\.jpg""), "".jpg"", """"), ""-"", "", ""), """")"),"")</f>
        <v/>
      </c>
      <c r="L3129" s="12"/>
      <c r="M3129" s="13"/>
      <c r="N3129" s="2"/>
      <c r="O3129" s="20"/>
      <c r="P3129" s="42"/>
      <c r="R3129" s="23"/>
    </row>
    <row r="3130" spans="1:18" ht="12.75">
      <c r="A3130" s="12"/>
      <c r="D3130" s="12"/>
      <c r="E3130" s="12"/>
      <c r="H3130" s="11" t="str">
        <f ca="1">IFERROR(__xludf.DUMMYFUNCTION("IFERROR(SUBSTITUTE(SUBSTITUTE(REGEXEXTRACT(A3130, ""[^-]+- [^-]+- [^-]+ - (.+?)\.jpg""), "".jpg"", """"), ""-"", "", ""), """")"),"")</f>
        <v/>
      </c>
      <c r="L3130" s="12"/>
      <c r="M3130" s="13"/>
      <c r="N3130" s="2"/>
      <c r="O3130" s="20"/>
      <c r="P3130" s="42"/>
      <c r="R3130" s="23"/>
    </row>
    <row r="3131" spans="1:18" ht="12.75">
      <c r="A3131" s="12"/>
      <c r="D3131" s="12"/>
      <c r="E3131" s="12"/>
      <c r="H3131" s="11" t="str">
        <f ca="1">IFERROR(__xludf.DUMMYFUNCTION("IFERROR(SUBSTITUTE(SUBSTITUTE(REGEXEXTRACT(A3131, ""[^-]+- [^-]+- [^-]+ - (.+?)\.jpg""), "".jpg"", """"), ""-"", "", ""), """")"),"")</f>
        <v/>
      </c>
      <c r="L3131" s="12"/>
      <c r="M3131" s="13"/>
      <c r="N3131" s="2"/>
      <c r="O3131" s="20"/>
      <c r="P3131" s="42"/>
      <c r="R3131" s="23"/>
    </row>
    <row r="3132" spans="1:18" ht="12.75">
      <c r="A3132" s="12"/>
      <c r="D3132" s="12"/>
      <c r="E3132" s="12"/>
      <c r="H3132" s="11" t="str">
        <f ca="1">IFERROR(__xludf.DUMMYFUNCTION("IFERROR(SUBSTITUTE(SUBSTITUTE(REGEXEXTRACT(A3132, ""[^-]+- [^-]+- [^-]+ - (.+?)\.jpg""), "".jpg"", """"), ""-"", "", ""), """")"),"")</f>
        <v/>
      </c>
      <c r="L3132" s="12"/>
      <c r="M3132" s="13"/>
      <c r="N3132" s="2"/>
      <c r="O3132" s="20"/>
      <c r="P3132" s="42"/>
      <c r="R3132" s="23"/>
    </row>
    <row r="3133" spans="1:18" ht="12.75">
      <c r="A3133" s="12"/>
      <c r="D3133" s="12"/>
      <c r="E3133" s="12"/>
      <c r="H3133" s="11" t="str">
        <f ca="1">IFERROR(__xludf.DUMMYFUNCTION("IFERROR(SUBSTITUTE(SUBSTITUTE(REGEXEXTRACT(A3133, ""[^-]+- [^-]+- [^-]+ - (.+?)\.jpg""), "".jpg"", """"), ""-"", "", ""), """")"),"")</f>
        <v/>
      </c>
      <c r="L3133" s="12"/>
      <c r="M3133" s="13"/>
      <c r="N3133" s="2"/>
      <c r="O3133" s="20"/>
      <c r="P3133" s="42"/>
      <c r="R3133" s="23"/>
    </row>
    <row r="3134" spans="1:18" ht="12.75">
      <c r="A3134" s="12"/>
      <c r="D3134" s="12"/>
      <c r="E3134" s="12"/>
      <c r="H3134" s="11" t="str">
        <f ca="1">IFERROR(__xludf.DUMMYFUNCTION("IFERROR(SUBSTITUTE(SUBSTITUTE(REGEXEXTRACT(A3134, ""[^-]+- [^-]+- [^-]+ - (.+?)\.jpg""), "".jpg"", """"), ""-"", "", ""), """")"),"")</f>
        <v/>
      </c>
      <c r="L3134" s="12"/>
      <c r="M3134" s="13"/>
      <c r="N3134" s="2"/>
      <c r="O3134" s="20"/>
      <c r="P3134" s="42"/>
      <c r="R3134" s="23"/>
    </row>
    <row r="3135" spans="1:18" ht="12.75">
      <c r="A3135" s="12"/>
      <c r="D3135" s="12"/>
      <c r="E3135" s="12"/>
      <c r="H3135" s="11" t="str">
        <f ca="1">IFERROR(__xludf.DUMMYFUNCTION("IFERROR(SUBSTITUTE(SUBSTITUTE(REGEXEXTRACT(A3135, ""[^-]+- [^-]+- [^-]+ - (.+?)\.jpg""), "".jpg"", """"), ""-"", "", ""), """")"),"")</f>
        <v/>
      </c>
      <c r="L3135" s="12"/>
      <c r="M3135" s="13"/>
      <c r="N3135" s="2"/>
      <c r="O3135" s="20"/>
      <c r="P3135" s="42"/>
      <c r="R3135" s="23"/>
    </row>
    <row r="3136" spans="1:18" ht="12.75">
      <c r="A3136" s="12"/>
      <c r="D3136" s="12"/>
      <c r="E3136" s="12"/>
      <c r="H3136" s="11" t="str">
        <f ca="1">IFERROR(__xludf.DUMMYFUNCTION("IFERROR(SUBSTITUTE(SUBSTITUTE(REGEXEXTRACT(A3136, ""[^-]+- [^-]+- [^-]+ - (.+?)\.jpg""), "".jpg"", """"), ""-"", "", ""), """")"),"")</f>
        <v/>
      </c>
      <c r="L3136" s="12"/>
      <c r="M3136" s="13"/>
      <c r="N3136" s="2"/>
      <c r="O3136" s="20"/>
      <c r="P3136" s="42"/>
      <c r="R3136" s="23"/>
    </row>
    <row r="3137" spans="1:18" ht="12.75">
      <c r="A3137" s="12"/>
      <c r="D3137" s="12"/>
      <c r="E3137" s="12"/>
      <c r="H3137" s="11" t="str">
        <f ca="1">IFERROR(__xludf.DUMMYFUNCTION("IFERROR(SUBSTITUTE(SUBSTITUTE(REGEXEXTRACT(A3137, ""[^-]+- [^-]+- [^-]+ - (.+?)\.jpg""), "".jpg"", """"), ""-"", "", ""), """")"),"")</f>
        <v/>
      </c>
      <c r="L3137" s="12"/>
      <c r="M3137" s="13"/>
      <c r="N3137" s="2"/>
      <c r="O3137" s="20"/>
      <c r="P3137" s="42"/>
      <c r="R3137" s="23"/>
    </row>
    <row r="3138" spans="1:18" ht="12.75">
      <c r="A3138" s="12"/>
      <c r="D3138" s="12"/>
      <c r="E3138" s="12"/>
      <c r="H3138" s="11" t="str">
        <f ca="1">IFERROR(__xludf.DUMMYFUNCTION("IFERROR(SUBSTITUTE(SUBSTITUTE(REGEXEXTRACT(A3138, ""[^-]+- [^-]+- [^-]+ - (.+?)\.jpg""), "".jpg"", """"), ""-"", "", ""), """")"),"")</f>
        <v/>
      </c>
      <c r="L3138" s="12"/>
      <c r="M3138" s="13"/>
      <c r="N3138" s="2"/>
      <c r="O3138" s="20"/>
      <c r="P3138" s="42"/>
      <c r="R3138" s="23"/>
    </row>
    <row r="3139" spans="1:18" ht="12.75">
      <c r="A3139" s="12"/>
      <c r="D3139" s="12"/>
      <c r="E3139" s="12"/>
      <c r="H3139" s="11" t="str">
        <f ca="1">IFERROR(__xludf.DUMMYFUNCTION("IFERROR(SUBSTITUTE(SUBSTITUTE(REGEXEXTRACT(A3139, ""[^-]+- [^-]+- [^-]+ - (.+?)\.jpg""), "".jpg"", """"), ""-"", "", ""), """")"),"")</f>
        <v/>
      </c>
      <c r="L3139" s="12"/>
      <c r="M3139" s="13"/>
      <c r="N3139" s="2"/>
      <c r="O3139" s="20"/>
      <c r="P3139" s="42"/>
      <c r="R3139" s="23"/>
    </row>
    <row r="3140" spans="1:18" ht="12.75">
      <c r="A3140" s="12"/>
      <c r="D3140" s="12"/>
      <c r="E3140" s="12"/>
      <c r="H3140" s="11" t="str">
        <f ca="1">IFERROR(__xludf.DUMMYFUNCTION("IFERROR(SUBSTITUTE(SUBSTITUTE(REGEXEXTRACT(A3140, ""[^-]+- [^-]+- [^-]+ - (.+?)\.jpg""), "".jpg"", """"), ""-"", "", ""), """")"),"")</f>
        <v/>
      </c>
      <c r="L3140" s="12"/>
      <c r="M3140" s="13"/>
      <c r="N3140" s="2"/>
      <c r="O3140" s="20"/>
      <c r="P3140" s="42"/>
      <c r="R3140" s="23"/>
    </row>
    <row r="3141" spans="1:18" ht="12.75">
      <c r="A3141" s="12"/>
      <c r="D3141" s="12"/>
      <c r="E3141" s="12"/>
      <c r="H3141" s="11" t="str">
        <f ca="1">IFERROR(__xludf.DUMMYFUNCTION("IFERROR(SUBSTITUTE(SUBSTITUTE(REGEXEXTRACT(A3141, ""[^-]+- [^-]+- [^-]+ - (.+?)\.jpg""), "".jpg"", """"), ""-"", "", ""), """")"),"")</f>
        <v/>
      </c>
      <c r="L3141" s="12"/>
      <c r="M3141" s="13"/>
      <c r="N3141" s="2"/>
      <c r="O3141" s="20"/>
      <c r="P3141" s="42"/>
      <c r="R3141" s="23"/>
    </row>
    <row r="3142" spans="1:18" ht="12.75">
      <c r="A3142" s="12"/>
      <c r="D3142" s="12"/>
      <c r="E3142" s="12"/>
      <c r="H3142" s="11" t="str">
        <f ca="1">IFERROR(__xludf.DUMMYFUNCTION("IFERROR(SUBSTITUTE(SUBSTITUTE(REGEXEXTRACT(A3142, ""[^-]+- [^-]+- [^-]+ - (.+?)\.jpg""), "".jpg"", """"), ""-"", "", ""), """")"),"")</f>
        <v/>
      </c>
      <c r="L3142" s="12"/>
      <c r="M3142" s="13"/>
      <c r="N3142" s="2"/>
      <c r="O3142" s="20"/>
      <c r="P3142" s="42"/>
      <c r="R3142" s="23"/>
    </row>
    <row r="3143" spans="1:18" ht="12.75">
      <c r="A3143" s="12"/>
      <c r="D3143" s="12"/>
      <c r="E3143" s="12"/>
      <c r="H3143" s="11" t="str">
        <f ca="1">IFERROR(__xludf.DUMMYFUNCTION("IFERROR(SUBSTITUTE(SUBSTITUTE(REGEXEXTRACT(A3143, ""[^-]+- [^-]+- [^-]+ - (.+?)\.jpg""), "".jpg"", """"), ""-"", "", ""), """")"),"")</f>
        <v/>
      </c>
      <c r="L3143" s="12"/>
      <c r="M3143" s="13"/>
      <c r="N3143" s="2"/>
      <c r="O3143" s="20"/>
      <c r="P3143" s="42"/>
      <c r="R3143" s="23"/>
    </row>
    <row r="3144" spans="1:18" ht="12.75">
      <c r="A3144" s="12"/>
      <c r="D3144" s="12"/>
      <c r="E3144" s="12"/>
      <c r="H3144" s="11" t="str">
        <f ca="1">IFERROR(__xludf.DUMMYFUNCTION("IFERROR(SUBSTITUTE(SUBSTITUTE(REGEXEXTRACT(A3144, ""[^-]+- [^-]+- [^-]+ - (.+?)\.jpg""), "".jpg"", """"), ""-"", "", ""), """")"),"")</f>
        <v/>
      </c>
      <c r="L3144" s="12"/>
      <c r="M3144" s="13"/>
      <c r="N3144" s="2"/>
      <c r="O3144" s="20"/>
      <c r="P3144" s="42"/>
      <c r="R3144" s="23"/>
    </row>
    <row r="3145" spans="1:18" ht="12.75">
      <c r="A3145" s="12"/>
      <c r="D3145" s="12"/>
      <c r="E3145" s="12"/>
      <c r="H3145" s="11" t="str">
        <f ca="1">IFERROR(__xludf.DUMMYFUNCTION("IFERROR(SUBSTITUTE(SUBSTITUTE(REGEXEXTRACT(A3145, ""[^-]+- [^-]+- [^-]+ - (.+?)\.jpg""), "".jpg"", """"), ""-"", "", ""), """")"),"")</f>
        <v/>
      </c>
      <c r="L3145" s="12"/>
      <c r="M3145" s="13"/>
      <c r="N3145" s="2"/>
      <c r="O3145" s="20"/>
      <c r="P3145" s="42"/>
      <c r="R3145" s="23"/>
    </row>
    <row r="3146" spans="1:18" ht="12.75">
      <c r="A3146" s="12"/>
      <c r="D3146" s="12"/>
      <c r="E3146" s="12"/>
      <c r="H3146" s="11" t="str">
        <f ca="1">IFERROR(__xludf.DUMMYFUNCTION("IFERROR(SUBSTITUTE(SUBSTITUTE(REGEXEXTRACT(A3146, ""[^-]+- [^-]+- [^-]+ - (.+?)\.jpg""), "".jpg"", """"), ""-"", "", ""), """")"),"")</f>
        <v/>
      </c>
      <c r="L3146" s="12"/>
      <c r="M3146" s="13"/>
      <c r="N3146" s="2"/>
      <c r="O3146" s="20"/>
      <c r="P3146" s="42"/>
      <c r="R3146" s="23"/>
    </row>
    <row r="3147" spans="1:18" ht="12.75">
      <c r="A3147" s="12"/>
      <c r="D3147" s="12"/>
      <c r="E3147" s="12"/>
      <c r="H3147" s="11" t="str">
        <f ca="1">IFERROR(__xludf.DUMMYFUNCTION("IFERROR(SUBSTITUTE(SUBSTITUTE(REGEXEXTRACT(A3147, ""[^-]+- [^-]+- [^-]+ - (.+?)\.jpg""), "".jpg"", """"), ""-"", "", ""), """")"),"")</f>
        <v/>
      </c>
      <c r="L3147" s="12"/>
      <c r="M3147" s="13"/>
      <c r="N3147" s="2"/>
      <c r="O3147" s="20"/>
      <c r="P3147" s="42"/>
      <c r="R3147" s="23"/>
    </row>
    <row r="3148" spans="1:18" ht="12.75">
      <c r="A3148" s="12"/>
      <c r="D3148" s="12"/>
      <c r="E3148" s="12"/>
      <c r="H3148" s="11" t="str">
        <f ca="1">IFERROR(__xludf.DUMMYFUNCTION("IFERROR(SUBSTITUTE(SUBSTITUTE(REGEXEXTRACT(A3148, ""[^-]+- [^-]+- [^-]+ - (.+?)\.jpg""), "".jpg"", """"), ""-"", "", ""), """")"),"")</f>
        <v/>
      </c>
      <c r="L3148" s="12"/>
      <c r="M3148" s="13"/>
      <c r="N3148" s="2"/>
      <c r="O3148" s="20"/>
      <c r="P3148" s="42"/>
      <c r="R3148" s="23"/>
    </row>
    <row r="3149" spans="1:18" ht="12.75">
      <c r="A3149" s="12"/>
      <c r="D3149" s="12"/>
      <c r="E3149" s="12"/>
      <c r="H3149" s="11" t="str">
        <f ca="1">IFERROR(__xludf.DUMMYFUNCTION("IFERROR(SUBSTITUTE(SUBSTITUTE(REGEXEXTRACT(A3149, ""[^-]+- [^-]+- [^-]+ - (.+?)\.jpg""), "".jpg"", """"), ""-"", "", ""), """")"),"")</f>
        <v/>
      </c>
      <c r="L3149" s="12"/>
      <c r="M3149" s="13"/>
      <c r="N3149" s="2"/>
      <c r="O3149" s="20"/>
      <c r="P3149" s="42"/>
      <c r="R3149" s="23"/>
    </row>
    <row r="3150" spans="1:18" ht="12.75">
      <c r="A3150" s="12"/>
      <c r="D3150" s="12"/>
      <c r="E3150" s="12"/>
      <c r="H3150" s="11" t="str">
        <f ca="1">IFERROR(__xludf.DUMMYFUNCTION("IFERROR(SUBSTITUTE(SUBSTITUTE(REGEXEXTRACT(A3150, ""[^-]+- [^-]+- [^-]+ - (.+?)\.jpg""), "".jpg"", """"), ""-"", "", ""), """")"),"")</f>
        <v/>
      </c>
      <c r="L3150" s="12"/>
      <c r="M3150" s="13"/>
      <c r="N3150" s="2"/>
      <c r="O3150" s="20"/>
      <c r="P3150" s="42"/>
      <c r="R3150" s="23"/>
    </row>
    <row r="3151" spans="1:18" ht="12.75">
      <c r="A3151" s="12"/>
      <c r="D3151" s="12"/>
      <c r="E3151" s="12"/>
      <c r="H3151" s="11" t="str">
        <f ca="1">IFERROR(__xludf.DUMMYFUNCTION("IFERROR(SUBSTITUTE(SUBSTITUTE(REGEXEXTRACT(A3151, ""[^-]+- [^-]+- [^-]+ - (.+?)\.jpg""), "".jpg"", """"), ""-"", "", ""), """")"),"")</f>
        <v/>
      </c>
      <c r="L3151" s="12"/>
      <c r="M3151" s="13"/>
      <c r="N3151" s="2"/>
      <c r="O3151" s="20"/>
      <c r="P3151" s="42"/>
      <c r="R3151" s="23"/>
    </row>
    <row r="3152" spans="1:18" ht="12.75">
      <c r="A3152" s="12"/>
      <c r="D3152" s="12"/>
      <c r="E3152" s="12"/>
      <c r="H3152" s="11" t="str">
        <f ca="1">IFERROR(__xludf.DUMMYFUNCTION("IFERROR(SUBSTITUTE(SUBSTITUTE(REGEXEXTRACT(A3152, ""[^-]+- [^-]+- [^-]+ - (.+?)\.jpg""), "".jpg"", """"), ""-"", "", ""), """")"),"")</f>
        <v/>
      </c>
      <c r="L3152" s="12"/>
      <c r="M3152" s="13"/>
      <c r="N3152" s="2"/>
      <c r="O3152" s="20"/>
      <c r="P3152" s="42"/>
      <c r="R3152" s="23"/>
    </row>
    <row r="3153" spans="1:18" ht="12.75">
      <c r="A3153" s="12"/>
      <c r="D3153" s="12"/>
      <c r="E3153" s="12"/>
      <c r="H3153" s="11" t="str">
        <f ca="1">IFERROR(__xludf.DUMMYFUNCTION("IFERROR(SUBSTITUTE(SUBSTITUTE(REGEXEXTRACT(A3153, ""[^-]+- [^-]+- [^-]+ - (.+?)\.jpg""), "".jpg"", """"), ""-"", "", ""), """")"),"")</f>
        <v/>
      </c>
      <c r="L3153" s="12"/>
      <c r="M3153" s="13"/>
      <c r="N3153" s="2"/>
      <c r="O3153" s="20"/>
      <c r="P3153" s="42"/>
      <c r="R3153" s="23"/>
    </row>
    <row r="3154" spans="1:18" ht="12.75">
      <c r="A3154" s="12"/>
      <c r="D3154" s="12"/>
      <c r="E3154" s="12"/>
      <c r="H3154" s="11" t="str">
        <f ca="1">IFERROR(__xludf.DUMMYFUNCTION("IFERROR(SUBSTITUTE(SUBSTITUTE(REGEXEXTRACT(A3154, ""[^-]+- [^-]+- [^-]+ - (.+?)\.jpg""), "".jpg"", """"), ""-"", "", ""), """")"),"")</f>
        <v/>
      </c>
      <c r="L3154" s="12"/>
      <c r="M3154" s="13"/>
      <c r="N3154" s="2"/>
      <c r="O3154" s="20"/>
      <c r="P3154" s="42"/>
      <c r="R3154" s="23"/>
    </row>
    <row r="3155" spans="1:18" ht="12.75">
      <c r="A3155" s="12"/>
      <c r="D3155" s="12"/>
      <c r="E3155" s="12"/>
      <c r="H3155" s="11" t="str">
        <f ca="1">IFERROR(__xludf.DUMMYFUNCTION("IFERROR(SUBSTITUTE(SUBSTITUTE(REGEXEXTRACT(A3155, ""[^-]+- [^-]+- [^-]+ - (.+?)\.jpg""), "".jpg"", """"), ""-"", "", ""), """")"),"")</f>
        <v/>
      </c>
      <c r="L3155" s="12"/>
      <c r="M3155" s="13"/>
      <c r="N3155" s="2"/>
      <c r="O3155" s="20"/>
      <c r="P3155" s="42"/>
      <c r="R3155" s="23"/>
    </row>
    <row r="3156" spans="1:18" ht="12.75">
      <c r="A3156" s="12"/>
      <c r="D3156" s="12"/>
      <c r="E3156" s="12"/>
      <c r="H3156" s="11" t="str">
        <f ca="1">IFERROR(__xludf.DUMMYFUNCTION("IFERROR(SUBSTITUTE(SUBSTITUTE(REGEXEXTRACT(A3156, ""[^-]+- [^-]+- [^-]+ - (.+?)\.jpg""), "".jpg"", """"), ""-"", "", ""), """")"),"")</f>
        <v/>
      </c>
      <c r="L3156" s="12"/>
      <c r="M3156" s="13"/>
      <c r="N3156" s="2"/>
      <c r="O3156" s="20"/>
      <c r="P3156" s="42"/>
      <c r="R3156" s="23"/>
    </row>
    <row r="3157" spans="1:18" ht="12.75">
      <c r="A3157" s="12"/>
      <c r="D3157" s="12"/>
      <c r="E3157" s="12"/>
      <c r="H3157" s="11" t="str">
        <f ca="1">IFERROR(__xludf.DUMMYFUNCTION("IFERROR(SUBSTITUTE(SUBSTITUTE(REGEXEXTRACT(A3157, ""[^-]+- [^-]+- [^-]+ - (.+?)\.jpg""), "".jpg"", """"), ""-"", "", ""), """")"),"")</f>
        <v/>
      </c>
      <c r="L3157" s="12"/>
      <c r="M3157" s="13"/>
      <c r="N3157" s="2"/>
      <c r="O3157" s="20"/>
      <c r="P3157" s="42"/>
      <c r="R3157" s="23"/>
    </row>
    <row r="3158" spans="1:18" ht="12.75">
      <c r="A3158" s="12"/>
      <c r="D3158" s="12"/>
      <c r="E3158" s="12"/>
      <c r="H3158" s="11" t="str">
        <f ca="1">IFERROR(__xludf.DUMMYFUNCTION("IFERROR(SUBSTITUTE(SUBSTITUTE(REGEXEXTRACT(A3158, ""[^-]+- [^-]+- [^-]+ - (.+?)\.jpg""), "".jpg"", """"), ""-"", "", ""), """")"),"")</f>
        <v/>
      </c>
      <c r="L3158" s="12"/>
      <c r="M3158" s="13"/>
      <c r="N3158" s="2"/>
      <c r="O3158" s="20"/>
      <c r="P3158" s="42"/>
      <c r="R3158" s="23"/>
    </row>
    <row r="3159" spans="1:18" ht="12.75">
      <c r="A3159" s="12"/>
      <c r="D3159" s="12"/>
      <c r="E3159" s="12"/>
      <c r="H3159" s="11" t="str">
        <f ca="1">IFERROR(__xludf.DUMMYFUNCTION("IFERROR(SUBSTITUTE(SUBSTITUTE(REGEXEXTRACT(A3159, ""[^-]+- [^-]+- [^-]+ - (.+?)\.jpg""), "".jpg"", """"), ""-"", "", ""), """")"),"")</f>
        <v/>
      </c>
      <c r="L3159" s="12"/>
      <c r="M3159" s="13"/>
      <c r="N3159" s="2"/>
      <c r="O3159" s="20"/>
      <c r="P3159" s="42"/>
      <c r="R3159" s="23"/>
    </row>
    <row r="3160" spans="1:18" ht="12.75">
      <c r="A3160" s="12"/>
      <c r="D3160" s="12"/>
      <c r="E3160" s="12"/>
      <c r="H3160" s="11" t="str">
        <f ca="1">IFERROR(__xludf.DUMMYFUNCTION("IFERROR(SUBSTITUTE(SUBSTITUTE(REGEXEXTRACT(A3160, ""[^-]+- [^-]+- [^-]+ - (.+?)\.jpg""), "".jpg"", """"), ""-"", "", ""), """")"),"")</f>
        <v/>
      </c>
      <c r="L3160" s="12"/>
      <c r="M3160" s="13"/>
      <c r="N3160" s="2"/>
      <c r="O3160" s="20"/>
      <c r="P3160" s="42"/>
      <c r="R3160" s="23"/>
    </row>
    <row r="3161" spans="1:18" ht="12.75">
      <c r="A3161" s="12"/>
      <c r="D3161" s="12"/>
      <c r="E3161" s="12"/>
      <c r="H3161" s="11" t="str">
        <f ca="1">IFERROR(__xludf.DUMMYFUNCTION("IFERROR(SUBSTITUTE(SUBSTITUTE(REGEXEXTRACT(A3161, ""[^-]+- [^-]+- [^-]+ - (.+?)\.jpg""), "".jpg"", """"), ""-"", "", ""), """")"),"")</f>
        <v/>
      </c>
      <c r="L3161" s="12"/>
      <c r="M3161" s="13"/>
      <c r="N3161" s="2"/>
      <c r="O3161" s="20"/>
      <c r="P3161" s="42"/>
      <c r="R3161" s="23"/>
    </row>
    <row r="3162" spans="1:18" ht="12.75">
      <c r="A3162" s="12"/>
      <c r="D3162" s="12"/>
      <c r="E3162" s="12"/>
      <c r="H3162" s="11" t="str">
        <f ca="1">IFERROR(__xludf.DUMMYFUNCTION("IFERROR(SUBSTITUTE(SUBSTITUTE(REGEXEXTRACT(A3162, ""[^-]+- [^-]+- [^-]+ - (.+?)\.jpg""), "".jpg"", """"), ""-"", "", ""), """")"),"")</f>
        <v/>
      </c>
      <c r="L3162" s="12"/>
      <c r="M3162" s="13"/>
      <c r="N3162" s="2"/>
      <c r="O3162" s="20"/>
      <c r="P3162" s="42"/>
      <c r="R3162" s="23"/>
    </row>
    <row r="3163" spans="1:18" ht="12.75">
      <c r="A3163" s="12"/>
      <c r="D3163" s="12"/>
      <c r="E3163" s="12"/>
      <c r="H3163" s="11" t="str">
        <f ca="1">IFERROR(__xludf.DUMMYFUNCTION("IFERROR(SUBSTITUTE(SUBSTITUTE(REGEXEXTRACT(A3163, ""[^-]+- [^-]+- [^-]+ - (.+?)\.jpg""), "".jpg"", """"), ""-"", "", ""), """")"),"")</f>
        <v/>
      </c>
      <c r="L3163" s="12"/>
      <c r="M3163" s="13"/>
      <c r="N3163" s="2"/>
      <c r="O3163" s="20"/>
      <c r="P3163" s="42"/>
      <c r="R3163" s="23"/>
    </row>
    <row r="3164" spans="1:18" ht="12.75">
      <c r="A3164" s="12"/>
      <c r="D3164" s="12"/>
      <c r="E3164" s="12"/>
      <c r="H3164" s="11" t="str">
        <f ca="1">IFERROR(__xludf.DUMMYFUNCTION("IFERROR(SUBSTITUTE(SUBSTITUTE(REGEXEXTRACT(A3164, ""[^-]+- [^-]+- [^-]+ - (.+?)\.jpg""), "".jpg"", """"), ""-"", "", ""), """")"),"")</f>
        <v/>
      </c>
      <c r="L3164" s="12"/>
      <c r="M3164" s="13"/>
      <c r="N3164" s="2"/>
      <c r="O3164" s="20"/>
      <c r="P3164" s="42"/>
      <c r="R3164" s="23"/>
    </row>
    <row r="3165" spans="1:18" ht="12.75">
      <c r="A3165" s="12"/>
      <c r="D3165" s="12"/>
      <c r="E3165" s="12"/>
      <c r="H3165" s="11" t="str">
        <f ca="1">IFERROR(__xludf.DUMMYFUNCTION("IFERROR(SUBSTITUTE(SUBSTITUTE(REGEXEXTRACT(A3165, ""[^-]+- [^-]+- [^-]+ - (.+?)\.jpg""), "".jpg"", """"), ""-"", "", ""), """")"),"")</f>
        <v/>
      </c>
      <c r="L3165" s="12"/>
      <c r="M3165" s="13"/>
      <c r="N3165" s="2"/>
      <c r="O3165" s="20"/>
      <c r="P3165" s="42"/>
      <c r="R3165" s="23"/>
    </row>
    <row r="3166" spans="1:18" ht="12.75">
      <c r="A3166" s="12"/>
      <c r="D3166" s="12"/>
      <c r="E3166" s="12"/>
      <c r="H3166" s="11" t="str">
        <f ca="1">IFERROR(__xludf.DUMMYFUNCTION("IFERROR(SUBSTITUTE(SUBSTITUTE(REGEXEXTRACT(A3166, ""[^-]+- [^-]+- [^-]+ - (.+?)\.jpg""), "".jpg"", """"), ""-"", "", ""), """")"),"")</f>
        <v/>
      </c>
      <c r="L3166" s="12"/>
      <c r="M3166" s="13"/>
      <c r="N3166" s="2"/>
      <c r="O3166" s="20"/>
      <c r="P3166" s="42"/>
      <c r="R3166" s="23"/>
    </row>
    <row r="3167" spans="1:18" ht="12.75">
      <c r="A3167" s="12"/>
      <c r="D3167" s="12"/>
      <c r="E3167" s="12"/>
      <c r="H3167" s="11" t="str">
        <f ca="1">IFERROR(__xludf.DUMMYFUNCTION("IFERROR(SUBSTITUTE(SUBSTITUTE(REGEXEXTRACT(A3167, ""[^-]+- [^-]+- [^-]+ - (.+?)\.jpg""), "".jpg"", """"), ""-"", "", ""), """")"),"")</f>
        <v/>
      </c>
      <c r="L3167" s="12"/>
      <c r="M3167" s="13"/>
      <c r="N3167" s="2"/>
      <c r="O3167" s="20"/>
      <c r="P3167" s="42"/>
      <c r="R3167" s="23"/>
    </row>
    <row r="3168" spans="1:18" ht="12.75">
      <c r="A3168" s="12"/>
      <c r="D3168" s="12"/>
      <c r="E3168" s="12"/>
      <c r="H3168" s="11" t="str">
        <f ca="1">IFERROR(__xludf.DUMMYFUNCTION("IFERROR(SUBSTITUTE(SUBSTITUTE(REGEXEXTRACT(A3168, ""[^-]+- [^-]+- [^-]+ - (.+?)\.jpg""), "".jpg"", """"), ""-"", "", ""), """")"),"")</f>
        <v/>
      </c>
      <c r="L3168" s="12"/>
      <c r="M3168" s="13"/>
      <c r="N3168" s="2"/>
      <c r="O3168" s="20"/>
      <c r="P3168" s="42"/>
      <c r="R3168" s="23"/>
    </row>
    <row r="3169" spans="1:18" ht="12.75">
      <c r="A3169" s="12"/>
      <c r="D3169" s="12"/>
      <c r="E3169" s="12"/>
      <c r="H3169" s="11" t="str">
        <f ca="1">IFERROR(__xludf.DUMMYFUNCTION("IFERROR(SUBSTITUTE(SUBSTITUTE(REGEXEXTRACT(A3169, ""[^-]+- [^-]+- [^-]+ - (.+?)\.jpg""), "".jpg"", """"), ""-"", "", ""), """")"),"")</f>
        <v/>
      </c>
      <c r="L3169" s="12"/>
      <c r="M3169" s="13"/>
      <c r="N3169" s="2"/>
      <c r="O3169" s="20"/>
      <c r="P3169" s="42"/>
      <c r="R3169" s="23"/>
    </row>
    <row r="3170" spans="1:18" ht="12.75">
      <c r="A3170" s="12"/>
      <c r="D3170" s="12"/>
      <c r="E3170" s="12"/>
      <c r="H3170" s="11" t="str">
        <f ca="1">IFERROR(__xludf.DUMMYFUNCTION("IFERROR(SUBSTITUTE(SUBSTITUTE(REGEXEXTRACT(A3170, ""[^-]+- [^-]+- [^-]+ - (.+?)\.jpg""), "".jpg"", """"), ""-"", "", ""), """")"),"")</f>
        <v/>
      </c>
      <c r="L3170" s="12"/>
      <c r="M3170" s="13"/>
      <c r="N3170" s="2"/>
      <c r="O3170" s="20"/>
      <c r="P3170" s="42"/>
      <c r="R3170" s="23"/>
    </row>
    <row r="3171" spans="1:18" ht="12.75">
      <c r="A3171" s="12"/>
      <c r="D3171" s="12"/>
      <c r="E3171" s="12"/>
      <c r="H3171" s="11" t="str">
        <f ca="1">IFERROR(__xludf.DUMMYFUNCTION("IFERROR(SUBSTITUTE(SUBSTITUTE(REGEXEXTRACT(A3171, ""[^-]+- [^-]+- [^-]+ - (.+?)\.jpg""), "".jpg"", """"), ""-"", "", ""), """")"),"")</f>
        <v/>
      </c>
      <c r="L3171" s="12"/>
      <c r="M3171" s="13"/>
      <c r="N3171" s="2"/>
      <c r="O3171" s="20"/>
      <c r="P3171" s="42"/>
      <c r="R3171" s="23"/>
    </row>
    <row r="3172" spans="1:18" ht="12.75">
      <c r="A3172" s="12"/>
      <c r="D3172" s="12"/>
      <c r="E3172" s="12"/>
      <c r="H3172" s="11" t="str">
        <f ca="1">IFERROR(__xludf.DUMMYFUNCTION("IFERROR(SUBSTITUTE(SUBSTITUTE(REGEXEXTRACT(A3172, ""[^-]+- [^-]+- [^-]+ - (.+?)\.jpg""), "".jpg"", """"), ""-"", "", ""), """")"),"")</f>
        <v/>
      </c>
      <c r="L3172" s="12"/>
      <c r="M3172" s="13"/>
      <c r="N3172" s="2"/>
      <c r="O3172" s="20"/>
      <c r="P3172" s="42"/>
      <c r="R3172" s="23"/>
    </row>
    <row r="3173" spans="1:18" ht="12.75">
      <c r="A3173" s="12"/>
      <c r="D3173" s="12"/>
      <c r="E3173" s="12"/>
      <c r="H3173" s="11" t="str">
        <f ca="1">IFERROR(__xludf.DUMMYFUNCTION("IFERROR(SUBSTITUTE(SUBSTITUTE(REGEXEXTRACT(A3173, ""[^-]+- [^-]+- [^-]+ - (.+?)\.jpg""), "".jpg"", """"), ""-"", "", ""), """")"),"")</f>
        <v/>
      </c>
      <c r="L3173" s="12"/>
      <c r="M3173" s="13"/>
      <c r="N3173" s="2"/>
      <c r="O3173" s="20"/>
      <c r="P3173" s="42"/>
      <c r="R3173" s="23"/>
    </row>
    <row r="3174" spans="1:18" ht="12.75">
      <c r="A3174" s="12"/>
      <c r="D3174" s="12"/>
      <c r="E3174" s="12"/>
      <c r="H3174" s="11" t="str">
        <f ca="1">IFERROR(__xludf.DUMMYFUNCTION("IFERROR(SUBSTITUTE(SUBSTITUTE(REGEXEXTRACT(A3174, ""[^-]+- [^-]+- [^-]+ - (.+?)\.jpg""), "".jpg"", """"), ""-"", "", ""), """")"),"")</f>
        <v/>
      </c>
      <c r="L3174" s="12"/>
      <c r="M3174" s="13"/>
      <c r="N3174" s="2"/>
      <c r="O3174" s="20"/>
      <c r="P3174" s="42"/>
      <c r="R3174" s="23"/>
    </row>
    <row r="3175" spans="1:18" ht="12.75">
      <c r="A3175" s="12"/>
      <c r="D3175" s="12"/>
      <c r="E3175" s="12"/>
      <c r="H3175" s="11" t="str">
        <f ca="1">IFERROR(__xludf.DUMMYFUNCTION("IFERROR(SUBSTITUTE(SUBSTITUTE(REGEXEXTRACT(A3175, ""[^-]+- [^-]+- [^-]+ - (.+?)\.jpg""), "".jpg"", """"), ""-"", "", ""), """")"),"")</f>
        <v/>
      </c>
      <c r="L3175" s="12"/>
      <c r="M3175" s="13"/>
      <c r="N3175" s="2"/>
      <c r="O3175" s="20"/>
      <c r="P3175" s="42"/>
      <c r="R3175" s="23"/>
    </row>
    <row r="3176" spans="1:18" ht="12.75">
      <c r="A3176" s="12"/>
      <c r="D3176" s="12"/>
      <c r="E3176" s="12"/>
      <c r="H3176" s="11" t="str">
        <f ca="1">IFERROR(__xludf.DUMMYFUNCTION("IFERROR(SUBSTITUTE(SUBSTITUTE(REGEXEXTRACT(A3176, ""[^-]+- [^-]+- [^-]+ - (.+?)\.jpg""), "".jpg"", """"), ""-"", "", ""), """")"),"")</f>
        <v/>
      </c>
      <c r="L3176" s="12"/>
      <c r="M3176" s="13"/>
      <c r="N3176" s="2"/>
      <c r="O3176" s="20"/>
      <c r="P3176" s="42"/>
      <c r="R3176" s="23"/>
    </row>
    <row r="3177" spans="1:18" ht="12.75">
      <c r="A3177" s="12"/>
      <c r="D3177" s="12"/>
      <c r="E3177" s="12"/>
      <c r="H3177" s="11" t="str">
        <f ca="1">IFERROR(__xludf.DUMMYFUNCTION("IFERROR(SUBSTITUTE(SUBSTITUTE(REGEXEXTRACT(A3177, ""[^-]+- [^-]+- [^-]+ - (.+?)\.jpg""), "".jpg"", """"), ""-"", "", ""), """")"),"")</f>
        <v/>
      </c>
      <c r="L3177" s="12"/>
      <c r="M3177" s="13"/>
      <c r="N3177" s="2"/>
      <c r="O3177" s="20"/>
      <c r="P3177" s="42"/>
      <c r="R3177" s="23"/>
    </row>
    <row r="3178" spans="1:18" ht="12.75">
      <c r="A3178" s="12"/>
      <c r="D3178" s="12"/>
      <c r="E3178" s="12"/>
      <c r="H3178" s="11" t="str">
        <f ca="1">IFERROR(__xludf.DUMMYFUNCTION("IFERROR(SUBSTITUTE(SUBSTITUTE(REGEXEXTRACT(A3178, ""[^-]+- [^-]+- [^-]+ - (.+?)\.jpg""), "".jpg"", """"), ""-"", "", ""), """")"),"")</f>
        <v/>
      </c>
      <c r="L3178" s="12"/>
      <c r="M3178" s="13"/>
      <c r="N3178" s="2"/>
      <c r="O3178" s="20"/>
      <c r="P3178" s="42"/>
      <c r="R3178" s="23"/>
    </row>
    <row r="3179" spans="1:18" ht="12.75">
      <c r="A3179" s="12"/>
      <c r="D3179" s="12"/>
      <c r="E3179" s="12"/>
      <c r="H3179" s="11" t="str">
        <f ca="1">IFERROR(__xludf.DUMMYFUNCTION("IFERROR(SUBSTITUTE(SUBSTITUTE(REGEXEXTRACT(A3179, ""[^-]+- [^-]+- [^-]+ - (.+?)\.jpg""), "".jpg"", """"), ""-"", "", ""), """")"),"")</f>
        <v/>
      </c>
      <c r="L3179" s="12"/>
      <c r="M3179" s="13"/>
      <c r="N3179" s="2"/>
      <c r="O3179" s="20"/>
      <c r="P3179" s="42"/>
      <c r="R3179" s="23"/>
    </row>
    <row r="3180" spans="1:18" ht="12.75">
      <c r="A3180" s="12"/>
      <c r="D3180" s="12"/>
      <c r="E3180" s="12"/>
      <c r="H3180" s="11" t="str">
        <f ca="1">IFERROR(__xludf.DUMMYFUNCTION("IFERROR(SUBSTITUTE(SUBSTITUTE(REGEXEXTRACT(A3180, ""[^-]+- [^-]+- [^-]+ - (.+?)\.jpg""), "".jpg"", """"), ""-"", "", ""), """")"),"")</f>
        <v/>
      </c>
      <c r="L3180" s="12"/>
      <c r="M3180" s="13"/>
      <c r="N3180" s="2"/>
      <c r="O3180" s="20"/>
      <c r="P3180" s="42"/>
      <c r="R3180" s="23"/>
    </row>
    <row r="3181" spans="1:18" ht="12.75">
      <c r="A3181" s="12"/>
      <c r="D3181" s="12"/>
      <c r="E3181" s="12"/>
      <c r="H3181" s="11" t="str">
        <f ca="1">IFERROR(__xludf.DUMMYFUNCTION("IFERROR(SUBSTITUTE(SUBSTITUTE(REGEXEXTRACT(A3181, ""[^-]+- [^-]+- [^-]+ - (.+?)\.jpg""), "".jpg"", """"), ""-"", "", ""), """")"),"")</f>
        <v/>
      </c>
      <c r="L3181" s="12"/>
      <c r="M3181" s="13"/>
      <c r="N3181" s="2"/>
      <c r="O3181" s="20"/>
      <c r="P3181" s="42"/>
      <c r="R3181" s="23"/>
    </row>
    <row r="3182" spans="1:18" ht="12.75">
      <c r="A3182" s="12"/>
      <c r="D3182" s="12"/>
      <c r="E3182" s="12"/>
      <c r="H3182" s="11" t="str">
        <f ca="1">IFERROR(__xludf.DUMMYFUNCTION("IFERROR(SUBSTITUTE(SUBSTITUTE(REGEXEXTRACT(A3182, ""[^-]+- [^-]+- [^-]+ - (.+?)\.jpg""), "".jpg"", """"), ""-"", "", ""), """")"),"")</f>
        <v/>
      </c>
      <c r="L3182" s="12"/>
      <c r="M3182" s="13"/>
      <c r="N3182" s="2"/>
      <c r="O3182" s="20"/>
      <c r="P3182" s="42"/>
      <c r="R3182" s="23"/>
    </row>
    <row r="3183" spans="1:18" ht="12.75">
      <c r="A3183" s="12"/>
      <c r="D3183" s="12"/>
      <c r="E3183" s="12"/>
      <c r="H3183" s="11" t="str">
        <f ca="1">IFERROR(__xludf.DUMMYFUNCTION("IFERROR(SUBSTITUTE(SUBSTITUTE(REGEXEXTRACT(A3183, ""[^-]+- [^-]+- [^-]+ - (.+?)\.jpg""), "".jpg"", """"), ""-"", "", ""), """")"),"")</f>
        <v/>
      </c>
      <c r="L3183" s="12"/>
      <c r="M3183" s="13"/>
      <c r="N3183" s="2"/>
      <c r="O3183" s="20"/>
      <c r="P3183" s="42"/>
      <c r="R3183" s="23"/>
    </row>
    <row r="3184" spans="1:18" ht="12.75">
      <c r="A3184" s="12"/>
      <c r="D3184" s="12"/>
      <c r="E3184" s="12"/>
      <c r="H3184" s="11" t="str">
        <f ca="1">IFERROR(__xludf.DUMMYFUNCTION("IFERROR(SUBSTITUTE(SUBSTITUTE(REGEXEXTRACT(A3184, ""[^-]+- [^-]+- [^-]+ - (.+?)\.jpg""), "".jpg"", """"), ""-"", "", ""), """")"),"")</f>
        <v/>
      </c>
      <c r="L3184" s="12"/>
      <c r="M3184" s="13"/>
      <c r="N3184" s="2"/>
      <c r="O3184" s="20"/>
      <c r="P3184" s="42"/>
      <c r="R3184" s="23"/>
    </row>
    <row r="3185" spans="1:18" ht="12.75">
      <c r="A3185" s="12"/>
      <c r="D3185" s="12"/>
      <c r="E3185" s="12"/>
      <c r="H3185" s="11" t="str">
        <f ca="1">IFERROR(__xludf.DUMMYFUNCTION("IFERROR(SUBSTITUTE(SUBSTITUTE(REGEXEXTRACT(A3185, ""[^-]+- [^-]+- [^-]+ - (.+?)\.jpg""), "".jpg"", """"), ""-"", "", ""), """")"),"")</f>
        <v/>
      </c>
      <c r="L3185" s="12"/>
      <c r="M3185" s="13"/>
      <c r="N3185" s="2"/>
      <c r="O3185" s="20"/>
      <c r="P3185" s="42"/>
      <c r="R3185" s="23"/>
    </row>
    <row r="3186" spans="1:18" ht="12.75">
      <c r="A3186" s="12"/>
      <c r="D3186" s="12"/>
      <c r="E3186" s="12"/>
      <c r="H3186" s="11" t="str">
        <f ca="1">IFERROR(__xludf.DUMMYFUNCTION("IFERROR(SUBSTITUTE(SUBSTITUTE(REGEXEXTRACT(A3186, ""[^-]+- [^-]+- [^-]+ - (.+?)\.jpg""), "".jpg"", """"), ""-"", "", ""), """")"),"")</f>
        <v/>
      </c>
      <c r="L3186" s="12"/>
      <c r="M3186" s="13"/>
      <c r="N3186" s="2"/>
      <c r="O3186" s="20"/>
      <c r="P3186" s="42"/>
      <c r="R3186" s="23"/>
    </row>
    <row r="3187" spans="1:18" ht="12.75">
      <c r="A3187" s="12"/>
      <c r="D3187" s="12"/>
      <c r="E3187" s="12"/>
      <c r="H3187" s="11" t="str">
        <f ca="1">IFERROR(__xludf.DUMMYFUNCTION("IFERROR(SUBSTITUTE(SUBSTITUTE(REGEXEXTRACT(A3187, ""[^-]+- [^-]+- [^-]+ - (.+?)\.jpg""), "".jpg"", """"), ""-"", "", ""), """")"),"")</f>
        <v/>
      </c>
      <c r="L3187" s="12"/>
      <c r="M3187" s="13"/>
      <c r="N3187" s="2"/>
      <c r="O3187" s="20"/>
      <c r="P3187" s="42"/>
      <c r="R3187" s="23"/>
    </row>
    <row r="3188" spans="1:18" ht="12.75">
      <c r="A3188" s="12"/>
      <c r="D3188" s="12"/>
      <c r="E3188" s="12"/>
      <c r="H3188" s="11" t="str">
        <f ca="1">IFERROR(__xludf.DUMMYFUNCTION("IFERROR(SUBSTITUTE(SUBSTITUTE(REGEXEXTRACT(A3188, ""[^-]+- [^-]+- [^-]+ - (.+?)\.jpg""), "".jpg"", """"), ""-"", "", ""), """")"),"")</f>
        <v/>
      </c>
      <c r="L3188" s="12"/>
      <c r="M3188" s="13"/>
      <c r="N3188" s="2"/>
      <c r="O3188" s="20"/>
      <c r="P3188" s="42"/>
      <c r="R3188" s="23"/>
    </row>
    <row r="3189" spans="1:18" ht="12.75">
      <c r="A3189" s="12"/>
      <c r="D3189" s="12"/>
      <c r="E3189" s="12"/>
      <c r="H3189" s="11" t="str">
        <f ca="1">IFERROR(__xludf.DUMMYFUNCTION("IFERROR(SUBSTITUTE(SUBSTITUTE(REGEXEXTRACT(A3189, ""[^-]+- [^-]+- [^-]+ - (.+?)\.jpg""), "".jpg"", """"), ""-"", "", ""), """")"),"")</f>
        <v/>
      </c>
      <c r="L3189" s="12"/>
      <c r="M3189" s="13"/>
      <c r="N3189" s="2"/>
      <c r="O3189" s="20"/>
      <c r="P3189" s="42"/>
      <c r="R3189" s="23"/>
    </row>
    <row r="3190" spans="1:18" ht="12.75">
      <c r="A3190" s="12"/>
      <c r="D3190" s="12"/>
      <c r="E3190" s="12"/>
      <c r="H3190" s="11" t="str">
        <f ca="1">IFERROR(__xludf.DUMMYFUNCTION("IFERROR(SUBSTITUTE(SUBSTITUTE(REGEXEXTRACT(A3190, ""[^-]+- [^-]+- [^-]+ - (.+?)\.jpg""), "".jpg"", """"), ""-"", "", ""), """")"),"")</f>
        <v/>
      </c>
      <c r="L3190" s="12"/>
      <c r="M3190" s="13"/>
      <c r="N3190" s="2"/>
      <c r="O3190" s="20"/>
      <c r="P3190" s="42"/>
      <c r="R3190" s="23"/>
    </row>
    <row r="3191" spans="1:18" ht="12.75">
      <c r="A3191" s="12"/>
      <c r="D3191" s="12"/>
      <c r="E3191" s="12"/>
      <c r="H3191" s="11" t="str">
        <f ca="1">IFERROR(__xludf.DUMMYFUNCTION("IFERROR(SUBSTITUTE(SUBSTITUTE(REGEXEXTRACT(A3191, ""[^-]+- [^-]+- [^-]+ - (.+?)\.jpg""), "".jpg"", """"), ""-"", "", ""), """")"),"")</f>
        <v/>
      </c>
      <c r="L3191" s="12"/>
      <c r="M3191" s="13"/>
      <c r="N3191" s="2"/>
      <c r="O3191" s="20"/>
      <c r="P3191" s="42"/>
      <c r="R3191" s="23"/>
    </row>
    <row r="3192" spans="1:18" ht="12.75">
      <c r="A3192" s="12"/>
      <c r="D3192" s="12"/>
      <c r="E3192" s="12"/>
      <c r="H3192" s="11" t="str">
        <f ca="1">IFERROR(__xludf.DUMMYFUNCTION("IFERROR(SUBSTITUTE(SUBSTITUTE(REGEXEXTRACT(A3192, ""[^-]+- [^-]+- [^-]+ - (.+?)\.jpg""), "".jpg"", """"), ""-"", "", ""), """")"),"")</f>
        <v/>
      </c>
      <c r="L3192" s="12"/>
      <c r="M3192" s="13"/>
      <c r="N3192" s="2"/>
      <c r="O3192" s="20"/>
      <c r="P3192" s="42"/>
      <c r="R3192" s="23"/>
    </row>
    <row r="3193" spans="1:18" ht="12.75">
      <c r="A3193" s="12"/>
      <c r="D3193" s="12"/>
      <c r="E3193" s="12"/>
      <c r="H3193" s="11" t="str">
        <f ca="1">IFERROR(__xludf.DUMMYFUNCTION("IFERROR(SUBSTITUTE(SUBSTITUTE(REGEXEXTRACT(A3193, ""[^-]+- [^-]+- [^-]+ - (.+?)\.jpg""), "".jpg"", """"), ""-"", "", ""), """")"),"")</f>
        <v/>
      </c>
      <c r="L3193" s="12"/>
      <c r="M3193" s="13"/>
      <c r="N3193" s="2"/>
      <c r="O3193" s="20"/>
      <c r="P3193" s="42"/>
      <c r="R3193" s="23"/>
    </row>
    <row r="3194" spans="1:18" ht="12.75">
      <c r="A3194" s="12"/>
      <c r="D3194" s="12"/>
      <c r="E3194" s="12"/>
      <c r="H3194" s="11" t="str">
        <f ca="1">IFERROR(__xludf.DUMMYFUNCTION("IFERROR(SUBSTITUTE(SUBSTITUTE(REGEXEXTRACT(A3194, ""[^-]+- [^-]+- [^-]+ - (.+?)\.jpg""), "".jpg"", """"), ""-"", "", ""), """")"),"")</f>
        <v/>
      </c>
      <c r="L3194" s="12"/>
      <c r="M3194" s="13"/>
      <c r="N3194" s="2"/>
      <c r="O3194" s="20"/>
      <c r="P3194" s="42"/>
      <c r="R3194" s="23"/>
    </row>
    <row r="3195" spans="1:18" ht="12.75">
      <c r="A3195" s="12"/>
      <c r="D3195" s="12"/>
      <c r="E3195" s="12"/>
      <c r="H3195" s="11" t="str">
        <f ca="1">IFERROR(__xludf.DUMMYFUNCTION("IFERROR(SUBSTITUTE(SUBSTITUTE(REGEXEXTRACT(A3195, ""[^-]+- [^-]+- [^-]+ - (.+?)\.jpg""), "".jpg"", """"), ""-"", "", ""), """")"),"")</f>
        <v/>
      </c>
      <c r="L3195" s="12"/>
      <c r="M3195" s="13"/>
      <c r="N3195" s="2"/>
      <c r="O3195" s="20"/>
      <c r="P3195" s="42"/>
      <c r="R3195" s="23"/>
    </row>
    <row r="3196" spans="1:18" ht="12.75">
      <c r="A3196" s="12"/>
      <c r="D3196" s="12"/>
      <c r="E3196" s="12"/>
      <c r="H3196" s="11" t="str">
        <f ca="1">IFERROR(__xludf.DUMMYFUNCTION("IFERROR(SUBSTITUTE(SUBSTITUTE(REGEXEXTRACT(A3196, ""[^-]+- [^-]+- [^-]+ - (.+?)\.jpg""), "".jpg"", """"), ""-"", "", ""), """")"),"")</f>
        <v/>
      </c>
      <c r="L3196" s="12"/>
      <c r="M3196" s="13"/>
      <c r="N3196" s="2"/>
      <c r="O3196" s="20"/>
      <c r="P3196" s="42"/>
      <c r="R3196" s="23"/>
    </row>
    <row r="3197" spans="1:18" ht="12.75">
      <c r="A3197" s="12"/>
      <c r="D3197" s="12"/>
      <c r="E3197" s="12"/>
      <c r="H3197" s="11" t="str">
        <f ca="1">IFERROR(__xludf.DUMMYFUNCTION("IFERROR(SUBSTITUTE(SUBSTITUTE(REGEXEXTRACT(A3197, ""[^-]+- [^-]+- [^-]+ - (.+?)\.jpg""), "".jpg"", """"), ""-"", "", ""), """")"),"")</f>
        <v/>
      </c>
      <c r="L3197" s="12"/>
      <c r="M3197" s="13"/>
      <c r="N3197" s="2"/>
      <c r="O3197" s="20"/>
      <c r="P3197" s="42"/>
      <c r="R3197" s="23"/>
    </row>
    <row r="3198" spans="1:18" ht="12.75">
      <c r="A3198" s="12"/>
      <c r="D3198" s="12"/>
      <c r="E3198" s="12"/>
      <c r="H3198" s="11" t="str">
        <f ca="1">IFERROR(__xludf.DUMMYFUNCTION("IFERROR(SUBSTITUTE(SUBSTITUTE(REGEXEXTRACT(A3198, ""[^-]+- [^-]+- [^-]+ - (.+?)\.jpg""), "".jpg"", """"), ""-"", "", ""), """")"),"")</f>
        <v/>
      </c>
      <c r="L3198" s="12"/>
      <c r="M3198" s="13"/>
      <c r="N3198" s="2"/>
      <c r="O3198" s="20"/>
      <c r="P3198" s="42"/>
      <c r="R3198" s="23"/>
    </row>
    <row r="3199" spans="1:18" ht="12.75">
      <c r="A3199" s="12"/>
      <c r="D3199" s="12"/>
      <c r="E3199" s="12"/>
      <c r="H3199" s="11" t="str">
        <f ca="1">IFERROR(__xludf.DUMMYFUNCTION("IFERROR(SUBSTITUTE(SUBSTITUTE(REGEXEXTRACT(A3199, ""[^-]+- [^-]+- [^-]+ - (.+?)\.jpg""), "".jpg"", """"), ""-"", "", ""), """")"),"")</f>
        <v/>
      </c>
      <c r="L3199" s="12"/>
      <c r="M3199" s="13"/>
      <c r="N3199" s="2"/>
      <c r="O3199" s="20"/>
      <c r="P3199" s="42"/>
      <c r="R3199" s="23"/>
    </row>
    <row r="3200" spans="1:18" ht="12.75">
      <c r="A3200" s="12"/>
      <c r="D3200" s="12"/>
      <c r="E3200" s="12"/>
      <c r="H3200" s="11" t="str">
        <f ca="1">IFERROR(__xludf.DUMMYFUNCTION("IFERROR(SUBSTITUTE(SUBSTITUTE(REGEXEXTRACT(A3200, ""[^-]+- [^-]+- [^-]+ - (.+?)\.jpg""), "".jpg"", """"), ""-"", "", ""), """")"),"")</f>
        <v/>
      </c>
      <c r="L3200" s="12"/>
      <c r="M3200" s="13"/>
      <c r="N3200" s="2"/>
      <c r="O3200" s="20"/>
      <c r="P3200" s="42"/>
      <c r="R3200" s="23"/>
    </row>
    <row r="3201" spans="1:18" ht="12.75">
      <c r="A3201" s="12"/>
      <c r="D3201" s="12"/>
      <c r="E3201" s="12"/>
      <c r="H3201" s="11" t="str">
        <f ca="1">IFERROR(__xludf.DUMMYFUNCTION("IFERROR(SUBSTITUTE(SUBSTITUTE(REGEXEXTRACT(A3201, ""[^-]+- [^-]+- [^-]+ - (.+?)\.jpg""), "".jpg"", """"), ""-"", "", ""), """")"),"")</f>
        <v/>
      </c>
      <c r="L3201" s="12"/>
      <c r="M3201" s="13"/>
      <c r="N3201" s="2"/>
      <c r="O3201" s="20"/>
      <c r="P3201" s="42"/>
      <c r="R3201" s="23"/>
    </row>
    <row r="3202" spans="1:18" ht="12.75">
      <c r="A3202" s="12"/>
      <c r="D3202" s="12"/>
      <c r="E3202" s="12"/>
      <c r="H3202" s="11" t="str">
        <f ca="1">IFERROR(__xludf.DUMMYFUNCTION("IFERROR(SUBSTITUTE(SUBSTITUTE(REGEXEXTRACT(A3202, ""[^-]+- [^-]+- [^-]+ - (.+?)\.jpg""), "".jpg"", """"), ""-"", "", ""), """")"),"")</f>
        <v/>
      </c>
      <c r="L3202" s="12"/>
      <c r="M3202" s="13"/>
      <c r="N3202" s="2"/>
      <c r="O3202" s="20"/>
      <c r="P3202" s="42"/>
      <c r="R3202" s="23"/>
    </row>
    <row r="3203" spans="1:18" ht="12.75">
      <c r="A3203" s="12"/>
      <c r="D3203" s="12"/>
      <c r="E3203" s="12"/>
      <c r="H3203" s="11" t="str">
        <f ca="1">IFERROR(__xludf.DUMMYFUNCTION("IFERROR(SUBSTITUTE(SUBSTITUTE(REGEXEXTRACT(A3203, ""[^-]+- [^-]+- [^-]+ - (.+?)\.jpg""), "".jpg"", """"), ""-"", "", ""), """")"),"")</f>
        <v/>
      </c>
      <c r="L3203" s="12"/>
      <c r="M3203" s="13"/>
      <c r="N3203" s="2"/>
      <c r="O3203" s="20"/>
      <c r="P3203" s="42"/>
      <c r="R3203" s="23"/>
    </row>
    <row r="3204" spans="1:18" ht="12.75">
      <c r="A3204" s="12"/>
      <c r="D3204" s="12"/>
      <c r="E3204" s="12"/>
      <c r="H3204" s="11" t="str">
        <f ca="1">IFERROR(__xludf.DUMMYFUNCTION("IFERROR(SUBSTITUTE(SUBSTITUTE(REGEXEXTRACT(A3204, ""[^-]+- [^-]+- [^-]+ - (.+?)\.jpg""), "".jpg"", """"), ""-"", "", ""), """")"),"")</f>
        <v/>
      </c>
      <c r="L3204" s="12"/>
      <c r="M3204" s="13"/>
      <c r="N3204" s="2"/>
      <c r="O3204" s="20"/>
      <c r="P3204" s="42"/>
      <c r="R3204" s="23"/>
    </row>
    <row r="3205" spans="1:18" ht="12.75">
      <c r="A3205" s="12"/>
      <c r="D3205" s="12"/>
      <c r="E3205" s="12"/>
      <c r="H3205" s="11" t="str">
        <f ca="1">IFERROR(__xludf.DUMMYFUNCTION("IFERROR(SUBSTITUTE(SUBSTITUTE(REGEXEXTRACT(A3205, ""[^-]+- [^-]+- [^-]+ - (.+?)\.jpg""), "".jpg"", """"), ""-"", "", ""), """")"),"")</f>
        <v/>
      </c>
      <c r="L3205" s="12"/>
      <c r="M3205" s="13"/>
      <c r="N3205" s="2"/>
      <c r="O3205" s="20"/>
      <c r="P3205" s="42"/>
      <c r="R3205" s="23"/>
    </row>
    <row r="3206" spans="1:18" ht="12.75">
      <c r="A3206" s="12"/>
      <c r="D3206" s="12"/>
      <c r="E3206" s="12"/>
      <c r="H3206" s="11" t="str">
        <f ca="1">IFERROR(__xludf.DUMMYFUNCTION("IFERROR(SUBSTITUTE(SUBSTITUTE(REGEXEXTRACT(A3206, ""[^-]+- [^-]+- [^-]+ - (.+?)\.jpg""), "".jpg"", """"), ""-"", "", ""), """")"),"")</f>
        <v/>
      </c>
      <c r="L3206" s="12"/>
      <c r="M3206" s="13"/>
      <c r="N3206" s="2"/>
      <c r="O3206" s="20"/>
      <c r="P3206" s="42"/>
      <c r="R3206" s="23"/>
    </row>
    <row r="3207" spans="1:18" ht="12.75">
      <c r="A3207" s="12"/>
      <c r="D3207" s="12"/>
      <c r="E3207" s="12"/>
      <c r="H3207" s="11" t="str">
        <f ca="1">IFERROR(__xludf.DUMMYFUNCTION("IFERROR(SUBSTITUTE(SUBSTITUTE(REGEXEXTRACT(A3207, ""[^-]+- [^-]+- [^-]+ - (.+?)\.jpg""), "".jpg"", """"), ""-"", "", ""), """")"),"")</f>
        <v/>
      </c>
      <c r="L3207" s="12"/>
      <c r="M3207" s="13"/>
      <c r="N3207" s="2"/>
      <c r="O3207" s="20"/>
      <c r="P3207" s="42"/>
      <c r="R3207" s="23"/>
    </row>
    <row r="3208" spans="1:18" ht="12.75">
      <c r="A3208" s="12"/>
      <c r="D3208" s="12"/>
      <c r="E3208" s="12"/>
      <c r="H3208" s="11" t="str">
        <f ca="1">IFERROR(__xludf.DUMMYFUNCTION("IFERROR(SUBSTITUTE(SUBSTITUTE(REGEXEXTRACT(A3208, ""[^-]+- [^-]+- [^-]+ - (.+?)\.jpg""), "".jpg"", """"), ""-"", "", ""), """")"),"")</f>
        <v/>
      </c>
      <c r="L3208" s="12"/>
      <c r="M3208" s="13"/>
      <c r="N3208" s="2"/>
      <c r="O3208" s="20"/>
      <c r="P3208" s="42"/>
      <c r="R3208" s="23"/>
    </row>
    <row r="3209" spans="1:18" ht="12.75">
      <c r="A3209" s="12"/>
      <c r="D3209" s="12"/>
      <c r="E3209" s="12"/>
      <c r="H3209" s="11" t="str">
        <f ca="1">IFERROR(__xludf.DUMMYFUNCTION("IFERROR(SUBSTITUTE(SUBSTITUTE(REGEXEXTRACT(A3209, ""[^-]+- [^-]+- [^-]+ - (.+?)\.jpg""), "".jpg"", """"), ""-"", "", ""), """")"),"")</f>
        <v/>
      </c>
      <c r="L3209" s="12"/>
      <c r="M3209" s="13"/>
      <c r="N3209" s="2"/>
      <c r="O3209" s="20"/>
      <c r="P3209" s="42"/>
      <c r="R3209" s="23"/>
    </row>
    <row r="3210" spans="1:18" ht="12.75">
      <c r="A3210" s="12"/>
      <c r="D3210" s="12"/>
      <c r="E3210" s="12"/>
      <c r="H3210" s="11" t="str">
        <f ca="1">IFERROR(__xludf.DUMMYFUNCTION("IFERROR(SUBSTITUTE(SUBSTITUTE(REGEXEXTRACT(A3210, ""[^-]+- [^-]+- [^-]+ - (.+?)\.jpg""), "".jpg"", """"), ""-"", "", ""), """")"),"")</f>
        <v/>
      </c>
      <c r="L3210" s="12"/>
      <c r="M3210" s="13"/>
      <c r="N3210" s="2"/>
      <c r="O3210" s="20"/>
      <c r="P3210" s="42"/>
      <c r="R3210" s="23"/>
    </row>
    <row r="3211" spans="1:18" ht="12.75">
      <c r="A3211" s="12"/>
      <c r="D3211" s="12"/>
      <c r="E3211" s="12"/>
      <c r="H3211" s="11" t="str">
        <f ca="1">IFERROR(__xludf.DUMMYFUNCTION("IFERROR(SUBSTITUTE(SUBSTITUTE(REGEXEXTRACT(A3211, ""[^-]+- [^-]+- [^-]+ - (.+?)\.jpg""), "".jpg"", """"), ""-"", "", ""), """")"),"")</f>
        <v/>
      </c>
      <c r="L3211" s="12"/>
      <c r="M3211" s="13"/>
      <c r="N3211" s="2"/>
      <c r="O3211" s="20"/>
      <c r="P3211" s="42"/>
      <c r="R3211" s="23"/>
    </row>
    <row r="3212" spans="1:18" ht="12.75">
      <c r="A3212" s="12"/>
      <c r="D3212" s="12"/>
      <c r="E3212" s="12"/>
      <c r="H3212" s="11" t="str">
        <f ca="1">IFERROR(__xludf.DUMMYFUNCTION("IFERROR(SUBSTITUTE(SUBSTITUTE(REGEXEXTRACT(A3212, ""[^-]+- [^-]+- [^-]+ - (.+?)\.jpg""), "".jpg"", """"), ""-"", "", ""), """")"),"")</f>
        <v/>
      </c>
      <c r="L3212" s="12"/>
      <c r="M3212" s="13"/>
      <c r="N3212" s="2"/>
      <c r="O3212" s="20"/>
      <c r="P3212" s="42"/>
      <c r="R3212" s="23"/>
    </row>
    <row r="3213" spans="1:18" ht="12.75">
      <c r="A3213" s="12"/>
      <c r="D3213" s="12"/>
      <c r="E3213" s="12"/>
      <c r="H3213" s="11" t="str">
        <f ca="1">IFERROR(__xludf.DUMMYFUNCTION("IFERROR(SUBSTITUTE(SUBSTITUTE(REGEXEXTRACT(A3213, ""[^-]+- [^-]+- [^-]+ - (.+?)\.jpg""), "".jpg"", """"), ""-"", "", ""), """")"),"")</f>
        <v/>
      </c>
      <c r="L3213" s="12"/>
      <c r="M3213" s="13"/>
      <c r="N3213" s="2"/>
      <c r="O3213" s="20"/>
      <c r="P3213" s="42"/>
      <c r="R3213" s="23"/>
    </row>
    <row r="3214" spans="1:18" ht="12.75">
      <c r="A3214" s="12"/>
      <c r="D3214" s="12"/>
      <c r="E3214" s="12"/>
      <c r="H3214" s="11" t="str">
        <f ca="1">IFERROR(__xludf.DUMMYFUNCTION("IFERROR(SUBSTITUTE(SUBSTITUTE(REGEXEXTRACT(A3214, ""[^-]+- [^-]+- [^-]+ - (.+?)\.jpg""), "".jpg"", """"), ""-"", "", ""), """")"),"")</f>
        <v/>
      </c>
      <c r="L3214" s="12"/>
      <c r="M3214" s="13"/>
      <c r="N3214" s="2"/>
      <c r="O3214" s="20"/>
      <c r="P3214" s="42"/>
      <c r="R3214" s="23"/>
    </row>
    <row r="3215" spans="1:18" ht="12.75">
      <c r="A3215" s="12"/>
      <c r="D3215" s="12"/>
      <c r="E3215" s="12"/>
      <c r="H3215" s="11" t="str">
        <f ca="1">IFERROR(__xludf.DUMMYFUNCTION("IFERROR(SUBSTITUTE(SUBSTITUTE(REGEXEXTRACT(A3215, ""[^-]+- [^-]+- [^-]+ - (.+?)\.jpg""), "".jpg"", """"), ""-"", "", ""), """")"),"")</f>
        <v/>
      </c>
      <c r="L3215" s="12"/>
      <c r="M3215" s="13"/>
      <c r="N3215" s="2"/>
      <c r="O3215" s="20"/>
      <c r="P3215" s="42"/>
      <c r="R3215" s="23"/>
    </row>
    <row r="3216" spans="1:18" ht="12.75">
      <c r="A3216" s="12"/>
      <c r="D3216" s="12"/>
      <c r="E3216" s="12"/>
      <c r="H3216" s="11" t="str">
        <f ca="1">IFERROR(__xludf.DUMMYFUNCTION("IFERROR(SUBSTITUTE(SUBSTITUTE(REGEXEXTRACT(A3216, ""[^-]+- [^-]+- [^-]+ - (.+?)\.jpg""), "".jpg"", """"), ""-"", "", ""), """")"),"")</f>
        <v/>
      </c>
      <c r="L3216" s="12"/>
      <c r="M3216" s="13"/>
      <c r="N3216" s="2"/>
      <c r="O3216" s="20"/>
      <c r="P3216" s="42"/>
      <c r="R3216" s="23"/>
    </row>
    <row r="3217" spans="1:18" ht="12.75">
      <c r="A3217" s="12"/>
      <c r="D3217" s="12"/>
      <c r="E3217" s="12"/>
      <c r="H3217" s="11" t="str">
        <f ca="1">IFERROR(__xludf.DUMMYFUNCTION("IFERROR(SUBSTITUTE(SUBSTITUTE(REGEXEXTRACT(A3217, ""[^-]+- [^-]+- [^-]+ - (.+?)\.jpg""), "".jpg"", """"), ""-"", "", ""), """")"),"")</f>
        <v/>
      </c>
      <c r="L3217" s="12"/>
      <c r="M3217" s="13"/>
      <c r="N3217" s="2"/>
      <c r="O3217" s="20"/>
      <c r="P3217" s="42"/>
      <c r="R3217" s="23"/>
    </row>
    <row r="3218" spans="1:18" ht="12.75">
      <c r="A3218" s="12"/>
      <c r="D3218" s="12"/>
      <c r="E3218" s="12"/>
      <c r="H3218" s="11" t="str">
        <f ca="1">IFERROR(__xludf.DUMMYFUNCTION("IFERROR(SUBSTITUTE(SUBSTITUTE(REGEXEXTRACT(A3218, ""[^-]+- [^-]+- [^-]+ - (.+?)\.jpg""), "".jpg"", """"), ""-"", "", ""), """")"),"")</f>
        <v/>
      </c>
      <c r="L3218" s="12"/>
      <c r="M3218" s="13"/>
      <c r="N3218" s="2"/>
      <c r="O3218" s="20"/>
      <c r="P3218" s="42"/>
      <c r="R3218" s="23"/>
    </row>
    <row r="3219" spans="1:18" ht="12.75">
      <c r="A3219" s="12"/>
      <c r="D3219" s="12"/>
      <c r="E3219" s="12"/>
      <c r="H3219" s="11" t="str">
        <f ca="1">IFERROR(__xludf.DUMMYFUNCTION("IFERROR(SUBSTITUTE(SUBSTITUTE(REGEXEXTRACT(A3219, ""[^-]+- [^-]+- [^-]+ - (.+?)\.jpg""), "".jpg"", """"), ""-"", "", ""), """")"),"")</f>
        <v/>
      </c>
      <c r="L3219" s="12"/>
      <c r="M3219" s="13"/>
      <c r="N3219" s="2"/>
      <c r="O3219" s="20"/>
      <c r="P3219" s="42"/>
      <c r="R3219" s="23"/>
    </row>
    <row r="3220" spans="1:18" ht="12.75">
      <c r="A3220" s="12"/>
      <c r="D3220" s="12"/>
      <c r="E3220" s="12"/>
      <c r="H3220" s="11" t="str">
        <f ca="1">IFERROR(__xludf.DUMMYFUNCTION("IFERROR(SUBSTITUTE(SUBSTITUTE(REGEXEXTRACT(A3220, ""[^-]+- [^-]+- [^-]+ - (.+?)\.jpg""), "".jpg"", """"), ""-"", "", ""), """")"),"")</f>
        <v/>
      </c>
      <c r="L3220" s="12"/>
      <c r="M3220" s="13"/>
      <c r="N3220" s="2"/>
      <c r="O3220" s="20"/>
      <c r="P3220" s="42"/>
      <c r="R3220" s="23"/>
    </row>
    <row r="3221" spans="1:18" ht="12.75">
      <c r="A3221" s="12"/>
      <c r="D3221" s="12"/>
      <c r="E3221" s="12"/>
      <c r="H3221" s="11" t="str">
        <f ca="1">IFERROR(__xludf.DUMMYFUNCTION("IFERROR(SUBSTITUTE(SUBSTITUTE(REGEXEXTRACT(A3221, ""[^-]+- [^-]+- [^-]+ - (.+?)\.jpg""), "".jpg"", """"), ""-"", "", ""), """")"),"")</f>
        <v/>
      </c>
      <c r="L3221" s="12"/>
      <c r="M3221" s="13"/>
      <c r="N3221" s="2"/>
      <c r="O3221" s="20"/>
      <c r="P3221" s="42"/>
      <c r="R3221" s="23"/>
    </row>
    <row r="3222" spans="1:18" ht="12.75">
      <c r="A3222" s="12"/>
      <c r="D3222" s="12"/>
      <c r="E3222" s="12"/>
      <c r="H3222" s="11" t="str">
        <f ca="1">IFERROR(__xludf.DUMMYFUNCTION("IFERROR(SUBSTITUTE(SUBSTITUTE(REGEXEXTRACT(A3222, ""[^-]+- [^-]+- [^-]+ - (.+?)\.jpg""), "".jpg"", """"), ""-"", "", ""), """")"),"")</f>
        <v/>
      </c>
      <c r="L3222" s="12"/>
      <c r="M3222" s="13"/>
      <c r="N3222" s="2"/>
      <c r="O3222" s="20"/>
      <c r="P3222" s="42"/>
      <c r="R3222" s="23"/>
    </row>
    <row r="3223" spans="1:18" ht="12.75">
      <c r="A3223" s="12"/>
      <c r="D3223" s="12"/>
      <c r="E3223" s="12"/>
      <c r="H3223" s="11" t="str">
        <f ca="1">IFERROR(__xludf.DUMMYFUNCTION("IFERROR(SUBSTITUTE(SUBSTITUTE(REGEXEXTRACT(A3223, ""[^-]+- [^-]+- [^-]+ - (.+?)\.jpg""), "".jpg"", """"), ""-"", "", ""), """")"),"")</f>
        <v/>
      </c>
      <c r="L3223" s="12"/>
      <c r="M3223" s="13"/>
      <c r="N3223" s="2"/>
      <c r="O3223" s="20"/>
      <c r="P3223" s="42"/>
      <c r="R3223" s="23"/>
    </row>
    <row r="3224" spans="1:18" ht="12.75">
      <c r="A3224" s="12"/>
      <c r="D3224" s="12"/>
      <c r="E3224" s="12"/>
      <c r="H3224" s="11" t="str">
        <f ca="1">IFERROR(__xludf.DUMMYFUNCTION("IFERROR(SUBSTITUTE(SUBSTITUTE(REGEXEXTRACT(A3224, ""[^-]+- [^-]+- [^-]+ - (.+?)\.jpg""), "".jpg"", """"), ""-"", "", ""), """")"),"")</f>
        <v/>
      </c>
      <c r="L3224" s="12"/>
      <c r="M3224" s="13"/>
      <c r="N3224" s="2"/>
      <c r="O3224" s="20"/>
      <c r="P3224" s="42"/>
      <c r="R3224" s="23"/>
    </row>
    <row r="3225" spans="1:18" ht="12.75">
      <c r="A3225" s="12"/>
      <c r="D3225" s="12"/>
      <c r="E3225" s="12"/>
      <c r="H3225" s="11" t="str">
        <f ca="1">IFERROR(__xludf.DUMMYFUNCTION("IFERROR(SUBSTITUTE(SUBSTITUTE(REGEXEXTRACT(A3225, ""[^-]+- [^-]+- [^-]+ - (.+?)\.jpg""), "".jpg"", """"), ""-"", "", ""), """")"),"")</f>
        <v/>
      </c>
      <c r="L3225" s="12"/>
      <c r="M3225" s="13"/>
      <c r="N3225" s="2"/>
      <c r="O3225" s="20"/>
      <c r="P3225" s="42"/>
      <c r="R3225" s="23"/>
    </row>
    <row r="3226" spans="1:18" ht="12.75">
      <c r="A3226" s="12"/>
      <c r="D3226" s="12"/>
      <c r="E3226" s="12"/>
      <c r="H3226" s="11" t="str">
        <f ca="1">IFERROR(__xludf.DUMMYFUNCTION("IFERROR(SUBSTITUTE(SUBSTITUTE(REGEXEXTRACT(A3226, ""[^-]+- [^-]+- [^-]+ - (.+?)\.jpg""), "".jpg"", """"), ""-"", "", ""), """")"),"")</f>
        <v/>
      </c>
      <c r="L3226" s="12"/>
      <c r="M3226" s="13"/>
      <c r="N3226" s="2"/>
      <c r="O3226" s="20"/>
      <c r="P3226" s="42"/>
      <c r="R3226" s="23"/>
    </row>
    <row r="3227" spans="1:18" ht="12.75">
      <c r="A3227" s="12"/>
      <c r="D3227" s="12"/>
      <c r="E3227" s="12"/>
      <c r="H3227" s="11" t="str">
        <f ca="1">IFERROR(__xludf.DUMMYFUNCTION("IFERROR(SUBSTITUTE(SUBSTITUTE(REGEXEXTRACT(A3227, ""[^-]+- [^-]+- [^-]+ - (.+?)\.jpg""), "".jpg"", """"), ""-"", "", ""), """")"),"")</f>
        <v/>
      </c>
      <c r="L3227" s="12"/>
      <c r="M3227" s="13"/>
      <c r="N3227" s="2"/>
      <c r="O3227" s="20"/>
      <c r="P3227" s="42"/>
      <c r="R3227" s="23"/>
    </row>
    <row r="3228" spans="1:18" ht="12.75">
      <c r="A3228" s="12"/>
      <c r="D3228" s="12"/>
      <c r="E3228" s="12"/>
      <c r="H3228" s="11" t="str">
        <f ca="1">IFERROR(__xludf.DUMMYFUNCTION("IFERROR(SUBSTITUTE(SUBSTITUTE(REGEXEXTRACT(A3228, ""[^-]+- [^-]+- [^-]+ - (.+?)\.jpg""), "".jpg"", """"), ""-"", "", ""), """")"),"")</f>
        <v/>
      </c>
      <c r="L3228" s="12"/>
      <c r="M3228" s="13"/>
      <c r="N3228" s="2"/>
      <c r="O3228" s="20"/>
      <c r="P3228" s="42"/>
      <c r="R3228" s="23"/>
    </row>
    <row r="3229" spans="1:18" ht="12.75">
      <c r="A3229" s="12"/>
      <c r="D3229" s="12"/>
      <c r="E3229" s="12"/>
      <c r="H3229" s="11" t="str">
        <f ca="1">IFERROR(__xludf.DUMMYFUNCTION("IFERROR(SUBSTITUTE(SUBSTITUTE(REGEXEXTRACT(A3229, ""[^-]+- [^-]+- [^-]+ - (.+?)\.jpg""), "".jpg"", """"), ""-"", "", ""), """")"),"")</f>
        <v/>
      </c>
      <c r="L3229" s="12"/>
      <c r="M3229" s="13"/>
      <c r="N3229" s="2"/>
      <c r="O3229" s="20"/>
      <c r="P3229" s="42"/>
      <c r="R3229" s="23"/>
    </row>
    <row r="3230" spans="1:18" ht="12.75">
      <c r="A3230" s="12"/>
      <c r="D3230" s="12"/>
      <c r="E3230" s="12"/>
      <c r="H3230" s="11" t="str">
        <f ca="1">IFERROR(__xludf.DUMMYFUNCTION("IFERROR(SUBSTITUTE(SUBSTITUTE(REGEXEXTRACT(A3230, ""[^-]+- [^-]+- [^-]+ - (.+?)\.jpg""), "".jpg"", """"), ""-"", "", ""), """")"),"")</f>
        <v/>
      </c>
      <c r="L3230" s="12"/>
      <c r="M3230" s="13"/>
      <c r="N3230" s="2"/>
      <c r="O3230" s="20"/>
      <c r="P3230" s="42"/>
      <c r="R3230" s="23"/>
    </row>
    <row r="3231" spans="1:18" ht="12.75">
      <c r="A3231" s="12"/>
      <c r="D3231" s="12"/>
      <c r="E3231" s="12"/>
      <c r="H3231" s="11" t="str">
        <f ca="1">IFERROR(__xludf.DUMMYFUNCTION("IFERROR(SUBSTITUTE(SUBSTITUTE(REGEXEXTRACT(A3231, ""[^-]+- [^-]+- [^-]+ - (.+?)\.jpg""), "".jpg"", """"), ""-"", "", ""), """")"),"")</f>
        <v/>
      </c>
      <c r="L3231" s="12"/>
      <c r="M3231" s="13"/>
      <c r="N3231" s="2"/>
      <c r="O3231" s="20"/>
      <c r="P3231" s="42"/>
      <c r="R3231" s="23"/>
    </row>
    <row r="3232" spans="1:18" ht="12.75">
      <c r="A3232" s="12"/>
      <c r="D3232" s="12"/>
      <c r="E3232" s="12"/>
      <c r="H3232" s="11" t="str">
        <f ca="1">IFERROR(__xludf.DUMMYFUNCTION("IFERROR(SUBSTITUTE(SUBSTITUTE(REGEXEXTRACT(A3232, ""[^-]+- [^-]+- [^-]+ - (.+?)\.jpg""), "".jpg"", """"), ""-"", "", ""), """")"),"")</f>
        <v/>
      </c>
      <c r="L3232" s="12"/>
      <c r="M3232" s="13"/>
      <c r="N3232" s="2"/>
      <c r="O3232" s="20"/>
      <c r="P3232" s="42"/>
      <c r="R3232" s="23"/>
    </row>
    <row r="3233" spans="1:18" ht="12.75">
      <c r="A3233" s="12"/>
      <c r="D3233" s="12"/>
      <c r="E3233" s="12"/>
      <c r="H3233" s="11" t="str">
        <f ca="1">IFERROR(__xludf.DUMMYFUNCTION("IFERROR(SUBSTITUTE(SUBSTITUTE(REGEXEXTRACT(A3233, ""[^-]+- [^-]+- [^-]+ - (.+?)\.jpg""), "".jpg"", """"), ""-"", "", ""), """")"),"")</f>
        <v/>
      </c>
      <c r="L3233" s="12"/>
      <c r="M3233" s="13"/>
      <c r="N3233" s="2"/>
      <c r="O3233" s="20"/>
      <c r="P3233" s="42"/>
      <c r="R3233" s="23"/>
    </row>
    <row r="3234" spans="1:18" ht="12.75">
      <c r="A3234" s="12"/>
      <c r="D3234" s="12"/>
      <c r="E3234" s="12"/>
      <c r="H3234" s="11" t="str">
        <f ca="1">IFERROR(__xludf.DUMMYFUNCTION("IFERROR(SUBSTITUTE(SUBSTITUTE(REGEXEXTRACT(A3234, ""[^-]+- [^-]+- [^-]+ - (.+?)\.jpg""), "".jpg"", """"), ""-"", "", ""), """")"),"")</f>
        <v/>
      </c>
      <c r="L3234" s="12"/>
      <c r="M3234" s="13"/>
      <c r="N3234" s="2"/>
      <c r="O3234" s="20"/>
      <c r="P3234" s="42"/>
      <c r="R3234" s="23"/>
    </row>
    <row r="3235" spans="1:18" ht="12.75">
      <c r="A3235" s="12"/>
      <c r="D3235" s="12"/>
      <c r="E3235" s="12"/>
      <c r="H3235" s="11" t="str">
        <f ca="1">IFERROR(__xludf.DUMMYFUNCTION("IFERROR(SUBSTITUTE(SUBSTITUTE(REGEXEXTRACT(A3235, ""[^-]+- [^-]+- [^-]+ - (.+?)\.jpg""), "".jpg"", """"), ""-"", "", ""), """")"),"")</f>
        <v/>
      </c>
      <c r="L3235" s="12"/>
      <c r="M3235" s="13"/>
      <c r="N3235" s="2"/>
      <c r="O3235" s="20"/>
      <c r="P3235" s="42"/>
      <c r="R3235" s="23"/>
    </row>
    <row r="3236" spans="1:18" ht="12.75">
      <c r="A3236" s="12"/>
      <c r="D3236" s="12"/>
      <c r="E3236" s="12"/>
      <c r="H3236" s="11" t="str">
        <f ca="1">IFERROR(__xludf.DUMMYFUNCTION("IFERROR(SUBSTITUTE(SUBSTITUTE(REGEXEXTRACT(A3236, ""[^-]+- [^-]+- [^-]+ - (.+?)\.jpg""), "".jpg"", """"), ""-"", "", ""), """")"),"")</f>
        <v/>
      </c>
      <c r="L3236" s="12"/>
      <c r="M3236" s="13"/>
      <c r="N3236" s="2"/>
      <c r="O3236" s="20"/>
      <c r="P3236" s="42"/>
      <c r="R3236" s="23"/>
    </row>
    <row r="3237" spans="1:18" ht="12.75">
      <c r="A3237" s="12"/>
      <c r="D3237" s="12"/>
      <c r="E3237" s="12"/>
      <c r="H3237" s="11" t="str">
        <f ca="1">IFERROR(__xludf.DUMMYFUNCTION("IFERROR(SUBSTITUTE(SUBSTITUTE(REGEXEXTRACT(A3237, ""[^-]+- [^-]+- [^-]+ - (.+?)\.jpg""), "".jpg"", """"), ""-"", "", ""), """")"),"")</f>
        <v/>
      </c>
      <c r="L3237" s="12"/>
      <c r="M3237" s="13"/>
      <c r="N3237" s="2"/>
      <c r="O3237" s="20"/>
      <c r="P3237" s="42"/>
      <c r="R3237" s="23"/>
    </row>
    <row r="3238" spans="1:18" ht="12.75">
      <c r="A3238" s="12"/>
      <c r="D3238" s="12"/>
      <c r="E3238" s="12"/>
      <c r="H3238" s="11" t="str">
        <f ca="1">IFERROR(__xludf.DUMMYFUNCTION("IFERROR(SUBSTITUTE(SUBSTITUTE(REGEXEXTRACT(A3238, ""[^-]+- [^-]+- [^-]+ - (.+?)\.jpg""), "".jpg"", """"), ""-"", "", ""), """")"),"")</f>
        <v/>
      </c>
      <c r="L3238" s="12"/>
      <c r="M3238" s="13"/>
      <c r="N3238" s="2"/>
      <c r="O3238" s="20"/>
      <c r="P3238" s="42"/>
      <c r="R3238" s="23"/>
    </row>
    <row r="3239" spans="1:18" ht="12.75">
      <c r="A3239" s="12"/>
      <c r="D3239" s="12"/>
      <c r="E3239" s="12"/>
      <c r="H3239" s="11" t="str">
        <f ca="1">IFERROR(__xludf.DUMMYFUNCTION("IFERROR(SUBSTITUTE(SUBSTITUTE(REGEXEXTRACT(A3239, ""[^-]+- [^-]+- [^-]+ - (.+?)\.jpg""), "".jpg"", """"), ""-"", "", ""), """")"),"")</f>
        <v/>
      </c>
      <c r="L3239" s="12"/>
      <c r="M3239" s="13"/>
      <c r="N3239" s="2"/>
      <c r="O3239" s="20"/>
      <c r="P3239" s="42"/>
      <c r="R3239" s="23"/>
    </row>
    <row r="3240" spans="1:18" ht="12.75">
      <c r="A3240" s="12"/>
      <c r="D3240" s="12"/>
      <c r="E3240" s="12"/>
      <c r="H3240" s="11" t="str">
        <f ca="1">IFERROR(__xludf.DUMMYFUNCTION("IFERROR(SUBSTITUTE(SUBSTITUTE(REGEXEXTRACT(A3240, ""[^-]+- [^-]+- [^-]+ - (.+?)\.jpg""), "".jpg"", """"), ""-"", "", ""), """")"),"")</f>
        <v/>
      </c>
      <c r="L3240" s="12"/>
      <c r="M3240" s="13"/>
      <c r="N3240" s="2"/>
      <c r="O3240" s="20"/>
      <c r="P3240" s="42"/>
      <c r="R3240" s="23"/>
    </row>
    <row r="3241" spans="1:18" ht="12.75">
      <c r="A3241" s="12"/>
      <c r="D3241" s="12"/>
      <c r="E3241" s="12"/>
      <c r="H3241" s="11" t="str">
        <f ca="1">IFERROR(__xludf.DUMMYFUNCTION("IFERROR(SUBSTITUTE(SUBSTITUTE(REGEXEXTRACT(A3241, ""[^-]+- [^-]+- [^-]+ - (.+?)\.jpg""), "".jpg"", """"), ""-"", "", ""), """")"),"")</f>
        <v/>
      </c>
      <c r="L3241" s="12"/>
      <c r="M3241" s="13"/>
      <c r="N3241" s="2"/>
      <c r="O3241" s="20"/>
      <c r="P3241" s="42"/>
      <c r="R3241" s="23"/>
    </row>
    <row r="3242" spans="1:18" ht="12.75">
      <c r="A3242" s="12"/>
      <c r="D3242" s="12"/>
      <c r="E3242" s="12"/>
      <c r="H3242" s="11" t="str">
        <f ca="1">IFERROR(__xludf.DUMMYFUNCTION("IFERROR(SUBSTITUTE(SUBSTITUTE(REGEXEXTRACT(A3242, ""[^-]+- [^-]+- [^-]+ - (.+?)\.jpg""), "".jpg"", """"), ""-"", "", ""), """")"),"")</f>
        <v/>
      </c>
      <c r="L3242" s="12"/>
      <c r="M3242" s="13"/>
      <c r="N3242" s="2"/>
      <c r="O3242" s="20"/>
      <c r="P3242" s="42"/>
      <c r="R3242" s="23"/>
    </row>
    <row r="3243" spans="1:18" ht="12.75">
      <c r="A3243" s="12"/>
      <c r="D3243" s="12"/>
      <c r="E3243" s="12"/>
      <c r="H3243" s="11" t="str">
        <f ca="1">IFERROR(__xludf.DUMMYFUNCTION("IFERROR(SUBSTITUTE(SUBSTITUTE(REGEXEXTRACT(A3243, ""[^-]+- [^-]+- [^-]+ - (.+?)\.jpg""), "".jpg"", """"), ""-"", "", ""), """")"),"")</f>
        <v/>
      </c>
      <c r="L3243" s="12"/>
      <c r="M3243" s="13"/>
      <c r="N3243" s="2"/>
      <c r="O3243" s="20"/>
      <c r="P3243" s="42"/>
      <c r="R3243" s="23"/>
    </row>
    <row r="3244" spans="1:18" ht="12.75">
      <c r="A3244" s="12"/>
      <c r="D3244" s="12"/>
      <c r="E3244" s="12"/>
      <c r="H3244" s="11" t="str">
        <f ca="1">IFERROR(__xludf.DUMMYFUNCTION("IFERROR(SUBSTITUTE(SUBSTITUTE(REGEXEXTRACT(A3244, ""[^-]+- [^-]+- [^-]+ - (.+?)\.jpg""), "".jpg"", """"), ""-"", "", ""), """")"),"")</f>
        <v/>
      </c>
      <c r="L3244" s="12"/>
      <c r="M3244" s="13"/>
      <c r="N3244" s="2"/>
      <c r="O3244" s="20"/>
      <c r="P3244" s="42"/>
      <c r="R3244" s="23"/>
    </row>
    <row r="3245" spans="1:18" ht="12.75">
      <c r="A3245" s="12"/>
      <c r="D3245" s="12"/>
      <c r="E3245" s="12"/>
      <c r="H3245" s="11" t="str">
        <f ca="1">IFERROR(__xludf.DUMMYFUNCTION("IFERROR(SUBSTITUTE(SUBSTITUTE(REGEXEXTRACT(A3245, ""[^-]+- [^-]+- [^-]+ - (.+?)\.jpg""), "".jpg"", """"), ""-"", "", ""), """")"),"")</f>
        <v/>
      </c>
      <c r="L3245" s="12"/>
      <c r="M3245" s="13"/>
      <c r="N3245" s="2"/>
      <c r="O3245" s="20"/>
      <c r="P3245" s="42"/>
      <c r="R3245" s="23"/>
    </row>
    <row r="3246" spans="1:18" ht="12.75">
      <c r="A3246" s="12"/>
      <c r="D3246" s="12"/>
      <c r="E3246" s="12"/>
      <c r="H3246" s="11" t="str">
        <f ca="1">IFERROR(__xludf.DUMMYFUNCTION("IFERROR(SUBSTITUTE(SUBSTITUTE(REGEXEXTRACT(A3246, ""[^-]+- [^-]+- [^-]+ - (.+?)\.jpg""), "".jpg"", """"), ""-"", "", ""), """")"),"")</f>
        <v/>
      </c>
      <c r="L3246" s="12"/>
      <c r="M3246" s="13"/>
      <c r="N3246" s="2"/>
      <c r="O3246" s="20"/>
      <c r="P3246" s="42"/>
      <c r="R3246" s="23"/>
    </row>
    <row r="3247" spans="1:18" ht="12.75">
      <c r="A3247" s="12"/>
      <c r="D3247" s="12"/>
      <c r="E3247" s="12"/>
      <c r="H3247" s="11" t="str">
        <f ca="1">IFERROR(__xludf.DUMMYFUNCTION("IFERROR(SUBSTITUTE(SUBSTITUTE(REGEXEXTRACT(A3247, ""[^-]+- [^-]+- [^-]+ - (.+?)\.jpg""), "".jpg"", """"), ""-"", "", ""), """")"),"")</f>
        <v/>
      </c>
      <c r="L3247" s="12"/>
      <c r="M3247" s="13"/>
      <c r="N3247" s="2"/>
      <c r="O3247" s="20"/>
      <c r="P3247" s="42"/>
      <c r="R3247" s="23"/>
    </row>
    <row r="3248" spans="1:18" ht="12.75">
      <c r="A3248" s="12"/>
      <c r="D3248" s="12"/>
      <c r="E3248" s="12"/>
      <c r="H3248" s="11" t="str">
        <f ca="1">IFERROR(__xludf.DUMMYFUNCTION("IFERROR(SUBSTITUTE(SUBSTITUTE(REGEXEXTRACT(A3248, ""[^-]+- [^-]+- [^-]+ - (.+?)\.jpg""), "".jpg"", """"), ""-"", "", ""), """")"),"")</f>
        <v/>
      </c>
      <c r="L3248" s="12"/>
      <c r="M3248" s="13"/>
      <c r="N3248" s="2"/>
      <c r="O3248" s="20"/>
      <c r="P3248" s="42"/>
      <c r="R3248" s="23"/>
    </row>
    <row r="3249" spans="1:18" ht="12.75">
      <c r="A3249" s="12"/>
      <c r="D3249" s="12"/>
      <c r="E3249" s="12"/>
      <c r="H3249" s="11" t="str">
        <f ca="1">IFERROR(__xludf.DUMMYFUNCTION("IFERROR(SUBSTITUTE(SUBSTITUTE(REGEXEXTRACT(A3249, ""[^-]+- [^-]+- [^-]+ - (.+?)\.jpg""), "".jpg"", """"), ""-"", "", ""), """")"),"")</f>
        <v/>
      </c>
      <c r="L3249" s="12"/>
      <c r="M3249" s="13"/>
      <c r="N3249" s="2"/>
      <c r="O3249" s="20"/>
      <c r="P3249" s="42"/>
      <c r="R3249" s="23"/>
    </row>
    <row r="3250" spans="1:18" ht="12.75">
      <c r="A3250" s="12"/>
      <c r="D3250" s="12"/>
      <c r="E3250" s="12"/>
      <c r="H3250" s="11" t="str">
        <f ca="1">IFERROR(__xludf.DUMMYFUNCTION("IFERROR(SUBSTITUTE(SUBSTITUTE(REGEXEXTRACT(A3250, ""[^-]+- [^-]+- [^-]+ - (.+?)\.jpg""), "".jpg"", """"), ""-"", "", ""), """")"),"")</f>
        <v/>
      </c>
      <c r="L3250" s="12"/>
      <c r="M3250" s="13"/>
      <c r="N3250" s="2"/>
      <c r="O3250" s="20"/>
      <c r="P3250" s="42"/>
      <c r="R3250" s="23"/>
    </row>
    <row r="3251" spans="1:18" ht="12.75">
      <c r="A3251" s="12"/>
      <c r="D3251" s="12"/>
      <c r="E3251" s="12"/>
      <c r="H3251" s="11" t="str">
        <f ca="1">IFERROR(__xludf.DUMMYFUNCTION("IFERROR(SUBSTITUTE(SUBSTITUTE(REGEXEXTRACT(A3251, ""[^-]+- [^-]+- [^-]+ - (.+?)\.jpg""), "".jpg"", """"), ""-"", "", ""), """")"),"")</f>
        <v/>
      </c>
      <c r="L3251" s="12"/>
      <c r="M3251" s="13"/>
      <c r="N3251" s="2"/>
      <c r="O3251" s="20"/>
      <c r="P3251" s="42"/>
      <c r="R3251" s="23"/>
    </row>
    <row r="3252" spans="1:18" ht="12.75">
      <c r="A3252" s="12"/>
      <c r="D3252" s="12"/>
      <c r="E3252" s="12"/>
      <c r="H3252" s="11" t="str">
        <f ca="1">IFERROR(__xludf.DUMMYFUNCTION("IFERROR(SUBSTITUTE(SUBSTITUTE(REGEXEXTRACT(A3252, ""[^-]+- [^-]+- [^-]+ - (.+?)\.jpg""), "".jpg"", """"), ""-"", "", ""), """")"),"")</f>
        <v/>
      </c>
      <c r="L3252" s="12"/>
      <c r="M3252" s="13"/>
      <c r="N3252" s="2"/>
      <c r="O3252" s="20"/>
      <c r="P3252" s="42"/>
      <c r="R3252" s="23"/>
    </row>
    <row r="3253" spans="1:18" ht="12.75">
      <c r="A3253" s="12"/>
      <c r="D3253" s="12"/>
      <c r="E3253" s="12"/>
      <c r="H3253" s="11" t="str">
        <f ca="1">IFERROR(__xludf.DUMMYFUNCTION("IFERROR(SUBSTITUTE(SUBSTITUTE(REGEXEXTRACT(A3253, ""[^-]+- [^-]+- [^-]+ - (.+?)\.jpg""), "".jpg"", """"), ""-"", "", ""), """")"),"")</f>
        <v/>
      </c>
      <c r="L3253" s="12"/>
      <c r="M3253" s="13"/>
      <c r="N3253" s="2"/>
      <c r="O3253" s="20"/>
      <c r="P3253" s="42"/>
      <c r="R3253" s="23"/>
    </row>
    <row r="3254" spans="1:18" ht="12.75">
      <c r="A3254" s="12"/>
      <c r="D3254" s="12"/>
      <c r="E3254" s="12"/>
      <c r="H3254" s="11" t="str">
        <f ca="1">IFERROR(__xludf.DUMMYFUNCTION("IFERROR(SUBSTITUTE(SUBSTITUTE(REGEXEXTRACT(A3254, ""[^-]+- [^-]+- [^-]+ - (.+?)\.jpg""), "".jpg"", """"), ""-"", "", ""), """")"),"")</f>
        <v/>
      </c>
      <c r="L3254" s="12"/>
      <c r="M3254" s="13"/>
      <c r="N3254" s="2"/>
      <c r="O3254" s="20"/>
      <c r="P3254" s="42"/>
      <c r="R3254" s="23"/>
    </row>
    <row r="3255" spans="1:18" ht="12.75">
      <c r="A3255" s="12"/>
      <c r="D3255" s="12"/>
      <c r="E3255" s="12"/>
      <c r="H3255" s="11" t="str">
        <f ca="1">IFERROR(__xludf.DUMMYFUNCTION("IFERROR(SUBSTITUTE(SUBSTITUTE(REGEXEXTRACT(A3255, ""[^-]+- [^-]+- [^-]+ - (.+?)\.jpg""), "".jpg"", """"), ""-"", "", ""), """")"),"")</f>
        <v/>
      </c>
      <c r="L3255" s="12"/>
      <c r="M3255" s="13"/>
      <c r="N3255" s="2"/>
      <c r="O3255" s="20"/>
      <c r="P3255" s="42"/>
      <c r="R3255" s="23"/>
    </row>
    <row r="3256" spans="1:18" ht="12.75">
      <c r="A3256" s="12"/>
      <c r="D3256" s="12"/>
      <c r="E3256" s="12"/>
      <c r="H3256" s="11" t="str">
        <f ca="1">IFERROR(__xludf.DUMMYFUNCTION("IFERROR(SUBSTITUTE(SUBSTITUTE(REGEXEXTRACT(A3256, ""[^-]+- [^-]+- [^-]+ - (.+?)\.jpg""), "".jpg"", """"), ""-"", "", ""), """")"),"")</f>
        <v/>
      </c>
      <c r="L3256" s="12"/>
      <c r="M3256" s="13"/>
      <c r="N3256" s="2"/>
      <c r="O3256" s="20"/>
      <c r="P3256" s="42"/>
      <c r="R3256" s="23"/>
    </row>
    <row r="3257" spans="1:18" ht="12.75">
      <c r="A3257" s="12"/>
      <c r="D3257" s="12"/>
      <c r="E3257" s="12"/>
      <c r="H3257" s="11" t="str">
        <f ca="1">IFERROR(__xludf.DUMMYFUNCTION("IFERROR(SUBSTITUTE(SUBSTITUTE(REGEXEXTRACT(A3257, ""[^-]+- [^-]+- [^-]+ - (.+?)\.jpg""), "".jpg"", """"), ""-"", "", ""), """")"),"")</f>
        <v/>
      </c>
      <c r="L3257" s="12"/>
      <c r="M3257" s="13"/>
      <c r="N3257" s="2"/>
      <c r="O3257" s="20"/>
      <c r="P3257" s="42"/>
      <c r="R3257" s="23"/>
    </row>
    <row r="3258" spans="1:18" ht="12.75">
      <c r="A3258" s="12"/>
      <c r="D3258" s="12"/>
      <c r="E3258" s="12"/>
      <c r="H3258" s="11" t="str">
        <f ca="1">IFERROR(__xludf.DUMMYFUNCTION("IFERROR(SUBSTITUTE(SUBSTITUTE(REGEXEXTRACT(A3258, ""[^-]+- [^-]+- [^-]+ - (.+?)\.jpg""), "".jpg"", """"), ""-"", "", ""), """")"),"")</f>
        <v/>
      </c>
      <c r="L3258" s="12"/>
      <c r="M3258" s="13"/>
      <c r="N3258" s="2"/>
      <c r="O3258" s="20"/>
      <c r="P3258" s="42"/>
      <c r="R3258" s="23"/>
    </row>
    <row r="3259" spans="1:18" ht="12.75">
      <c r="A3259" s="12"/>
      <c r="D3259" s="12"/>
      <c r="E3259" s="12"/>
      <c r="H3259" s="11" t="str">
        <f ca="1">IFERROR(__xludf.DUMMYFUNCTION("IFERROR(SUBSTITUTE(SUBSTITUTE(REGEXEXTRACT(A3259, ""[^-]+- [^-]+- [^-]+ - (.+?)\.jpg""), "".jpg"", """"), ""-"", "", ""), """")"),"")</f>
        <v/>
      </c>
      <c r="L3259" s="12"/>
      <c r="M3259" s="13"/>
      <c r="N3259" s="2"/>
      <c r="O3259" s="20"/>
      <c r="P3259" s="42"/>
      <c r="R3259" s="23"/>
    </row>
    <row r="3260" spans="1:18" ht="12.75">
      <c r="A3260" s="12"/>
      <c r="D3260" s="12"/>
      <c r="E3260" s="12"/>
      <c r="H3260" s="11" t="str">
        <f ca="1">IFERROR(__xludf.DUMMYFUNCTION("IFERROR(SUBSTITUTE(SUBSTITUTE(REGEXEXTRACT(A3260, ""[^-]+- [^-]+- [^-]+ - (.+?)\.jpg""), "".jpg"", """"), ""-"", "", ""), """")"),"")</f>
        <v/>
      </c>
      <c r="L3260" s="12"/>
      <c r="M3260" s="13"/>
      <c r="N3260" s="2"/>
      <c r="O3260" s="20"/>
      <c r="P3260" s="42"/>
      <c r="R3260" s="23"/>
    </row>
    <row r="3261" spans="1:18" ht="12.75">
      <c r="A3261" s="12"/>
      <c r="D3261" s="12"/>
      <c r="E3261" s="12"/>
      <c r="H3261" s="11" t="str">
        <f ca="1">IFERROR(__xludf.DUMMYFUNCTION("IFERROR(SUBSTITUTE(SUBSTITUTE(REGEXEXTRACT(A3261, ""[^-]+- [^-]+- [^-]+ - (.+?)\.jpg""), "".jpg"", """"), ""-"", "", ""), """")"),"")</f>
        <v/>
      </c>
      <c r="L3261" s="12"/>
      <c r="M3261" s="13"/>
      <c r="N3261" s="2"/>
      <c r="O3261" s="20"/>
      <c r="P3261" s="42"/>
      <c r="R3261" s="23"/>
    </row>
    <row r="3262" spans="1:18" ht="12.75">
      <c r="A3262" s="12"/>
      <c r="D3262" s="12"/>
      <c r="E3262" s="12"/>
      <c r="H3262" s="11" t="str">
        <f ca="1">IFERROR(__xludf.DUMMYFUNCTION("IFERROR(SUBSTITUTE(SUBSTITUTE(REGEXEXTRACT(A3262, ""[^-]+- [^-]+- [^-]+ - (.+?)\.jpg""), "".jpg"", """"), ""-"", "", ""), """")"),"")</f>
        <v/>
      </c>
      <c r="L3262" s="12"/>
      <c r="M3262" s="13"/>
      <c r="N3262" s="2"/>
      <c r="O3262" s="20"/>
      <c r="P3262" s="42"/>
      <c r="R3262" s="23"/>
    </row>
    <row r="3263" spans="1:18" ht="12.75">
      <c r="A3263" s="12"/>
      <c r="D3263" s="12"/>
      <c r="E3263" s="12"/>
      <c r="H3263" s="11" t="str">
        <f ca="1">IFERROR(__xludf.DUMMYFUNCTION("IFERROR(SUBSTITUTE(SUBSTITUTE(REGEXEXTRACT(A3263, ""[^-]+- [^-]+- [^-]+ - (.+?)\.jpg""), "".jpg"", """"), ""-"", "", ""), """")"),"")</f>
        <v/>
      </c>
      <c r="L3263" s="12"/>
      <c r="M3263" s="13"/>
      <c r="N3263" s="2"/>
      <c r="O3263" s="20"/>
      <c r="P3263" s="42"/>
      <c r="R3263" s="23"/>
    </row>
    <row r="3264" spans="1:18" ht="12.75">
      <c r="A3264" s="12"/>
      <c r="D3264" s="12"/>
      <c r="E3264" s="12"/>
      <c r="H3264" s="11" t="str">
        <f ca="1">IFERROR(__xludf.DUMMYFUNCTION("IFERROR(SUBSTITUTE(SUBSTITUTE(REGEXEXTRACT(A3264, ""[^-]+- [^-]+- [^-]+ - (.+?)\.jpg""), "".jpg"", """"), ""-"", "", ""), """")"),"")</f>
        <v/>
      </c>
      <c r="L3264" s="12"/>
      <c r="M3264" s="13"/>
      <c r="N3264" s="2"/>
      <c r="O3264" s="20"/>
      <c r="P3264" s="42"/>
      <c r="R3264" s="23"/>
    </row>
    <row r="3265" spans="1:18" ht="12.75">
      <c r="A3265" s="12"/>
      <c r="D3265" s="12"/>
      <c r="E3265" s="12"/>
      <c r="H3265" s="11" t="str">
        <f ca="1">IFERROR(__xludf.DUMMYFUNCTION("IFERROR(SUBSTITUTE(SUBSTITUTE(REGEXEXTRACT(A3265, ""[^-]+- [^-]+- [^-]+ - (.+?)\.jpg""), "".jpg"", """"), ""-"", "", ""), """")"),"")</f>
        <v/>
      </c>
      <c r="L3265" s="12"/>
      <c r="M3265" s="13"/>
      <c r="N3265" s="2"/>
      <c r="O3265" s="20"/>
      <c r="P3265" s="42"/>
      <c r="R3265" s="23"/>
    </row>
    <row r="3266" spans="1:18" ht="12.75">
      <c r="A3266" s="12"/>
      <c r="D3266" s="12"/>
      <c r="E3266" s="12"/>
      <c r="H3266" s="11" t="str">
        <f ca="1">IFERROR(__xludf.DUMMYFUNCTION("IFERROR(SUBSTITUTE(SUBSTITUTE(REGEXEXTRACT(A3266, ""[^-]+- [^-]+- [^-]+ - (.+?)\.jpg""), "".jpg"", """"), ""-"", "", ""), """")"),"")</f>
        <v/>
      </c>
      <c r="L3266" s="12"/>
      <c r="M3266" s="13"/>
      <c r="N3266" s="2"/>
      <c r="O3266" s="20"/>
      <c r="P3266" s="42"/>
      <c r="R3266" s="23"/>
    </row>
    <row r="3267" spans="1:18" ht="12.75">
      <c r="A3267" s="12"/>
      <c r="D3267" s="12"/>
      <c r="E3267" s="12"/>
      <c r="H3267" s="11" t="str">
        <f ca="1">IFERROR(__xludf.DUMMYFUNCTION("IFERROR(SUBSTITUTE(SUBSTITUTE(REGEXEXTRACT(A3267, ""[^-]+- [^-]+- [^-]+ - (.+?)\.jpg""), "".jpg"", """"), ""-"", "", ""), """")"),"")</f>
        <v/>
      </c>
      <c r="L3267" s="12"/>
      <c r="M3267" s="13"/>
      <c r="N3267" s="2"/>
      <c r="O3267" s="20"/>
      <c r="P3267" s="42"/>
      <c r="R3267" s="23"/>
    </row>
    <row r="3268" spans="1:18" ht="12.75">
      <c r="A3268" s="12"/>
      <c r="D3268" s="12"/>
      <c r="E3268" s="12"/>
      <c r="H3268" s="11" t="str">
        <f ca="1">IFERROR(__xludf.DUMMYFUNCTION("IFERROR(SUBSTITUTE(SUBSTITUTE(REGEXEXTRACT(A3268, ""[^-]+- [^-]+- [^-]+ - (.+?)\.jpg""), "".jpg"", """"), ""-"", "", ""), """")"),"")</f>
        <v/>
      </c>
      <c r="L3268" s="12"/>
      <c r="M3268" s="13"/>
      <c r="N3268" s="2"/>
      <c r="O3268" s="20"/>
      <c r="P3268" s="42"/>
      <c r="R3268" s="23"/>
    </row>
    <row r="3269" spans="1:18" ht="12.75">
      <c r="A3269" s="12"/>
      <c r="D3269" s="12"/>
      <c r="E3269" s="12"/>
      <c r="H3269" s="11" t="str">
        <f ca="1">IFERROR(__xludf.DUMMYFUNCTION("IFERROR(SUBSTITUTE(SUBSTITUTE(REGEXEXTRACT(A3269, ""[^-]+- [^-]+- [^-]+ - (.+?)\.jpg""), "".jpg"", """"), ""-"", "", ""), """")"),"")</f>
        <v/>
      </c>
      <c r="L3269" s="12"/>
      <c r="M3269" s="13"/>
      <c r="N3269" s="2"/>
      <c r="O3269" s="20"/>
      <c r="P3269" s="42"/>
      <c r="R3269" s="23"/>
    </row>
    <row r="3270" spans="1:18" ht="12.75">
      <c r="A3270" s="12"/>
      <c r="D3270" s="12"/>
      <c r="E3270" s="12"/>
      <c r="H3270" s="11" t="str">
        <f ca="1">IFERROR(__xludf.DUMMYFUNCTION("IFERROR(SUBSTITUTE(SUBSTITUTE(REGEXEXTRACT(A3270, ""[^-]+- [^-]+- [^-]+ - (.+?)\.jpg""), "".jpg"", """"), ""-"", "", ""), """")"),"")</f>
        <v/>
      </c>
      <c r="L3270" s="12"/>
      <c r="M3270" s="13"/>
      <c r="N3270" s="2"/>
      <c r="O3270" s="20"/>
      <c r="P3270" s="42"/>
      <c r="R3270" s="23"/>
    </row>
    <row r="3271" spans="1:18" ht="12.75">
      <c r="A3271" s="12"/>
      <c r="D3271" s="12"/>
      <c r="E3271" s="12"/>
      <c r="H3271" s="11" t="str">
        <f ca="1">IFERROR(__xludf.DUMMYFUNCTION("IFERROR(SUBSTITUTE(SUBSTITUTE(REGEXEXTRACT(A3271, ""[^-]+- [^-]+- [^-]+ - (.+?)\.jpg""), "".jpg"", """"), ""-"", "", ""), """")"),"")</f>
        <v/>
      </c>
      <c r="L3271" s="12"/>
      <c r="M3271" s="13"/>
      <c r="N3271" s="2"/>
      <c r="O3271" s="20"/>
      <c r="P3271" s="42"/>
      <c r="R3271" s="23"/>
    </row>
    <row r="3272" spans="1:18" ht="12.75">
      <c r="A3272" s="12"/>
      <c r="D3272" s="12"/>
      <c r="E3272" s="12"/>
      <c r="H3272" s="11" t="str">
        <f ca="1">IFERROR(__xludf.DUMMYFUNCTION("IFERROR(SUBSTITUTE(SUBSTITUTE(REGEXEXTRACT(A3272, ""[^-]+- [^-]+- [^-]+ - (.+?)\.jpg""), "".jpg"", """"), ""-"", "", ""), """")"),"")</f>
        <v/>
      </c>
      <c r="L3272" s="12"/>
      <c r="M3272" s="13"/>
      <c r="N3272" s="2"/>
      <c r="O3272" s="20"/>
      <c r="P3272" s="42"/>
      <c r="R3272" s="23"/>
    </row>
    <row r="3273" spans="1:18" ht="12.75">
      <c r="A3273" s="12"/>
      <c r="D3273" s="12"/>
      <c r="E3273" s="12"/>
      <c r="H3273" s="11" t="str">
        <f ca="1">IFERROR(__xludf.DUMMYFUNCTION("IFERROR(SUBSTITUTE(SUBSTITUTE(REGEXEXTRACT(A3273, ""[^-]+- [^-]+- [^-]+ - (.+?)\.jpg""), "".jpg"", """"), ""-"", "", ""), """")"),"")</f>
        <v/>
      </c>
      <c r="L3273" s="12"/>
      <c r="M3273" s="13"/>
      <c r="N3273" s="2"/>
      <c r="O3273" s="20"/>
      <c r="P3273" s="42"/>
      <c r="R3273" s="23"/>
    </row>
    <row r="3274" spans="1:18" ht="12.75">
      <c r="A3274" s="12"/>
      <c r="D3274" s="12"/>
      <c r="E3274" s="12"/>
      <c r="H3274" s="11" t="str">
        <f ca="1">IFERROR(__xludf.DUMMYFUNCTION("IFERROR(SUBSTITUTE(SUBSTITUTE(REGEXEXTRACT(A3274, ""[^-]+- [^-]+- [^-]+ - (.+?)\.jpg""), "".jpg"", """"), ""-"", "", ""), """")"),"")</f>
        <v/>
      </c>
      <c r="L3274" s="12"/>
      <c r="M3274" s="13"/>
      <c r="N3274" s="2"/>
      <c r="O3274" s="20"/>
      <c r="P3274" s="42"/>
      <c r="R3274" s="23"/>
    </row>
    <row r="3275" spans="1:18" ht="12.75">
      <c r="A3275" s="12"/>
      <c r="D3275" s="12"/>
      <c r="E3275" s="12"/>
      <c r="H3275" s="11" t="str">
        <f ca="1">IFERROR(__xludf.DUMMYFUNCTION("IFERROR(SUBSTITUTE(SUBSTITUTE(REGEXEXTRACT(A3275, ""[^-]+- [^-]+- [^-]+ - (.+?)\.jpg""), "".jpg"", """"), ""-"", "", ""), """")"),"")</f>
        <v/>
      </c>
      <c r="L3275" s="12"/>
      <c r="M3275" s="13"/>
      <c r="N3275" s="2"/>
      <c r="O3275" s="20"/>
      <c r="P3275" s="42"/>
      <c r="R3275" s="23"/>
    </row>
    <row r="3276" spans="1:18" ht="12.75">
      <c r="A3276" s="12"/>
      <c r="D3276" s="12"/>
      <c r="E3276" s="12"/>
      <c r="H3276" s="11" t="str">
        <f ca="1">IFERROR(__xludf.DUMMYFUNCTION("IFERROR(SUBSTITUTE(SUBSTITUTE(REGEXEXTRACT(A3276, ""[^-]+- [^-]+- [^-]+ - (.+?)\.jpg""), "".jpg"", """"), ""-"", "", ""), """")"),"")</f>
        <v/>
      </c>
      <c r="L3276" s="12"/>
      <c r="M3276" s="13"/>
      <c r="N3276" s="2"/>
      <c r="O3276" s="20"/>
      <c r="P3276" s="42"/>
      <c r="R3276" s="23"/>
    </row>
    <row r="3277" spans="1:18" ht="12.75">
      <c r="A3277" s="12"/>
      <c r="D3277" s="12"/>
      <c r="E3277" s="12"/>
      <c r="H3277" s="11" t="str">
        <f ca="1">IFERROR(__xludf.DUMMYFUNCTION("IFERROR(SUBSTITUTE(SUBSTITUTE(REGEXEXTRACT(A3277, ""[^-]+- [^-]+- [^-]+ - (.+?)\.jpg""), "".jpg"", """"), ""-"", "", ""), """")"),"")</f>
        <v/>
      </c>
      <c r="L3277" s="12"/>
      <c r="M3277" s="13"/>
      <c r="N3277" s="2"/>
      <c r="O3277" s="20"/>
      <c r="P3277" s="42"/>
      <c r="R3277" s="23"/>
    </row>
    <row r="3278" spans="1:18" ht="12.75">
      <c r="A3278" s="12"/>
      <c r="D3278" s="12"/>
      <c r="E3278" s="12"/>
      <c r="H3278" s="11" t="str">
        <f ca="1">IFERROR(__xludf.DUMMYFUNCTION("IFERROR(SUBSTITUTE(SUBSTITUTE(REGEXEXTRACT(A3278, ""[^-]+- [^-]+- [^-]+ - (.+?)\.jpg""), "".jpg"", """"), ""-"", "", ""), """")"),"")</f>
        <v/>
      </c>
      <c r="L3278" s="12"/>
      <c r="M3278" s="13"/>
      <c r="N3278" s="2"/>
      <c r="O3278" s="20"/>
      <c r="P3278" s="42"/>
      <c r="R3278" s="23"/>
    </row>
    <row r="3279" spans="1:18" ht="12.75">
      <c r="A3279" s="12"/>
      <c r="D3279" s="12"/>
      <c r="E3279" s="12"/>
      <c r="H3279" s="11" t="str">
        <f ca="1">IFERROR(__xludf.DUMMYFUNCTION("IFERROR(SUBSTITUTE(SUBSTITUTE(REGEXEXTRACT(A3279, ""[^-]+- [^-]+- [^-]+ - (.+?)\.jpg""), "".jpg"", """"), ""-"", "", ""), """")"),"")</f>
        <v/>
      </c>
      <c r="L3279" s="12"/>
      <c r="M3279" s="13"/>
      <c r="N3279" s="2"/>
      <c r="O3279" s="20"/>
      <c r="P3279" s="42"/>
      <c r="R3279" s="23"/>
    </row>
    <row r="3280" spans="1:18" ht="12.75">
      <c r="A3280" s="12"/>
      <c r="D3280" s="12"/>
      <c r="E3280" s="12"/>
      <c r="H3280" s="11" t="str">
        <f ca="1">IFERROR(__xludf.DUMMYFUNCTION("IFERROR(SUBSTITUTE(SUBSTITUTE(REGEXEXTRACT(A3280, ""[^-]+- [^-]+- [^-]+ - (.+?)\.jpg""), "".jpg"", """"), ""-"", "", ""), """")"),"")</f>
        <v/>
      </c>
      <c r="L3280" s="12"/>
      <c r="M3280" s="13"/>
      <c r="N3280" s="2"/>
      <c r="O3280" s="20"/>
      <c r="P3280" s="42"/>
      <c r="R3280" s="23"/>
    </row>
    <row r="3281" spans="1:18" ht="12.75">
      <c r="A3281" s="12"/>
      <c r="D3281" s="12"/>
      <c r="E3281" s="12"/>
      <c r="H3281" s="11" t="str">
        <f ca="1">IFERROR(__xludf.DUMMYFUNCTION("IFERROR(SUBSTITUTE(SUBSTITUTE(REGEXEXTRACT(A3281, ""[^-]+- [^-]+- [^-]+ - (.+?)\.jpg""), "".jpg"", """"), ""-"", "", ""), """")"),"")</f>
        <v/>
      </c>
      <c r="L3281" s="12"/>
      <c r="M3281" s="13"/>
      <c r="N3281" s="2"/>
      <c r="O3281" s="20"/>
      <c r="P3281" s="42"/>
      <c r="R3281" s="23"/>
    </row>
    <row r="3282" spans="1:18" ht="12.75">
      <c r="A3282" s="12"/>
      <c r="D3282" s="12"/>
      <c r="E3282" s="12"/>
      <c r="H3282" s="11" t="str">
        <f ca="1">IFERROR(__xludf.DUMMYFUNCTION("IFERROR(SUBSTITUTE(SUBSTITUTE(REGEXEXTRACT(A3282, ""[^-]+- [^-]+- [^-]+ - (.+?)\.jpg""), "".jpg"", """"), ""-"", "", ""), """")"),"")</f>
        <v/>
      </c>
      <c r="L3282" s="12"/>
      <c r="M3282" s="13"/>
      <c r="N3282" s="2"/>
      <c r="O3282" s="20"/>
      <c r="P3282" s="42"/>
      <c r="R3282" s="23"/>
    </row>
    <row r="3283" spans="1:18" ht="12.75">
      <c r="A3283" s="12"/>
      <c r="D3283" s="12"/>
      <c r="E3283" s="12"/>
      <c r="H3283" s="11" t="str">
        <f ca="1">IFERROR(__xludf.DUMMYFUNCTION("IFERROR(SUBSTITUTE(SUBSTITUTE(REGEXEXTRACT(A3283, ""[^-]+- [^-]+- [^-]+ - (.+?)\.jpg""), "".jpg"", """"), ""-"", "", ""), """")"),"")</f>
        <v/>
      </c>
      <c r="L3283" s="12"/>
      <c r="M3283" s="13"/>
      <c r="N3283" s="2"/>
      <c r="O3283" s="20"/>
      <c r="P3283" s="42"/>
      <c r="R3283" s="23"/>
    </row>
    <row r="3284" spans="1:18" ht="12.75">
      <c r="A3284" s="12"/>
      <c r="D3284" s="12"/>
      <c r="E3284" s="12"/>
      <c r="H3284" s="11" t="str">
        <f ca="1">IFERROR(__xludf.DUMMYFUNCTION("IFERROR(SUBSTITUTE(SUBSTITUTE(REGEXEXTRACT(A3284, ""[^-]+- [^-]+- [^-]+ - (.+?)\.jpg""), "".jpg"", """"), ""-"", "", ""), """")"),"")</f>
        <v/>
      </c>
      <c r="L3284" s="12"/>
      <c r="M3284" s="13"/>
      <c r="N3284" s="2"/>
      <c r="O3284" s="20"/>
      <c r="P3284" s="42"/>
      <c r="R3284" s="23"/>
    </row>
    <row r="3285" spans="1:18" ht="12.75">
      <c r="A3285" s="12"/>
      <c r="D3285" s="12"/>
      <c r="E3285" s="12"/>
      <c r="H3285" s="11" t="str">
        <f ca="1">IFERROR(__xludf.DUMMYFUNCTION("IFERROR(SUBSTITUTE(SUBSTITUTE(REGEXEXTRACT(A3285, ""[^-]+- [^-]+- [^-]+ - (.+?)\.jpg""), "".jpg"", """"), ""-"", "", ""), """")"),"")</f>
        <v/>
      </c>
      <c r="L3285" s="12"/>
      <c r="M3285" s="13"/>
      <c r="N3285" s="2"/>
      <c r="O3285" s="20"/>
      <c r="P3285" s="42"/>
      <c r="R3285" s="23"/>
    </row>
    <row r="3286" spans="1:18" ht="12.75">
      <c r="A3286" s="12"/>
      <c r="D3286" s="12"/>
      <c r="E3286" s="12"/>
      <c r="H3286" s="11" t="str">
        <f ca="1">IFERROR(__xludf.DUMMYFUNCTION("IFERROR(SUBSTITUTE(SUBSTITUTE(REGEXEXTRACT(A3286, ""[^-]+- [^-]+- [^-]+ - (.+?)\.jpg""), "".jpg"", """"), ""-"", "", ""), """")"),"")</f>
        <v/>
      </c>
      <c r="L3286" s="12"/>
      <c r="M3286" s="13"/>
      <c r="N3286" s="2"/>
      <c r="O3286" s="20"/>
      <c r="P3286" s="42"/>
      <c r="R3286" s="23"/>
    </row>
    <row r="3287" spans="1:18" ht="12.75">
      <c r="A3287" s="12"/>
      <c r="D3287" s="12"/>
      <c r="E3287" s="12"/>
      <c r="H3287" s="11" t="str">
        <f ca="1">IFERROR(__xludf.DUMMYFUNCTION("IFERROR(SUBSTITUTE(SUBSTITUTE(REGEXEXTRACT(A3287, ""[^-]+- [^-]+- [^-]+ - (.+?)\.jpg""), "".jpg"", """"), ""-"", "", ""), """")"),"")</f>
        <v/>
      </c>
      <c r="L3287" s="12"/>
      <c r="M3287" s="13"/>
      <c r="N3287" s="2"/>
      <c r="O3287" s="20"/>
      <c r="P3287" s="42"/>
      <c r="R3287" s="23"/>
    </row>
    <row r="3288" spans="1:18" ht="12.75">
      <c r="A3288" s="12"/>
      <c r="D3288" s="12"/>
      <c r="E3288" s="12"/>
      <c r="H3288" s="11" t="str">
        <f ca="1">IFERROR(__xludf.DUMMYFUNCTION("IFERROR(SUBSTITUTE(SUBSTITUTE(REGEXEXTRACT(A3288, ""[^-]+- [^-]+- [^-]+ - (.+?)\.jpg""), "".jpg"", """"), ""-"", "", ""), """")"),"")</f>
        <v/>
      </c>
      <c r="L3288" s="12"/>
      <c r="M3288" s="13"/>
      <c r="N3288" s="2"/>
      <c r="O3288" s="20"/>
      <c r="P3288" s="42"/>
      <c r="R3288" s="23"/>
    </row>
    <row r="3289" spans="1:18" ht="12.75">
      <c r="A3289" s="12"/>
      <c r="D3289" s="12"/>
      <c r="E3289" s="12"/>
      <c r="H3289" s="11" t="str">
        <f ca="1">IFERROR(__xludf.DUMMYFUNCTION("IFERROR(SUBSTITUTE(SUBSTITUTE(REGEXEXTRACT(A3289, ""[^-]+- [^-]+- [^-]+ - (.+?)\.jpg""), "".jpg"", """"), ""-"", "", ""), """")"),"")</f>
        <v/>
      </c>
      <c r="L3289" s="12"/>
      <c r="M3289" s="13"/>
      <c r="N3289" s="2"/>
      <c r="O3289" s="20"/>
      <c r="P3289" s="42"/>
      <c r="R3289" s="23"/>
    </row>
    <row r="3290" spans="1:18" ht="12.75">
      <c r="A3290" s="12"/>
      <c r="D3290" s="12"/>
      <c r="E3290" s="12"/>
      <c r="H3290" s="11" t="str">
        <f ca="1">IFERROR(__xludf.DUMMYFUNCTION("IFERROR(SUBSTITUTE(SUBSTITUTE(REGEXEXTRACT(A3290, ""[^-]+- [^-]+- [^-]+ - (.+?)\.jpg""), "".jpg"", """"), ""-"", "", ""), """")"),"")</f>
        <v/>
      </c>
      <c r="L3290" s="12"/>
      <c r="M3290" s="13"/>
      <c r="N3290" s="2"/>
      <c r="O3290" s="20"/>
      <c r="P3290" s="42"/>
      <c r="R3290" s="23"/>
    </row>
    <row r="3291" spans="1:18" ht="12.75">
      <c r="A3291" s="12"/>
      <c r="D3291" s="12"/>
      <c r="E3291" s="12"/>
      <c r="H3291" s="11" t="str">
        <f ca="1">IFERROR(__xludf.DUMMYFUNCTION("IFERROR(SUBSTITUTE(SUBSTITUTE(REGEXEXTRACT(A3291, ""[^-]+- [^-]+- [^-]+ - (.+?)\.jpg""), "".jpg"", """"), ""-"", "", ""), """")"),"")</f>
        <v/>
      </c>
      <c r="L3291" s="12"/>
      <c r="M3291" s="13"/>
      <c r="N3291" s="2"/>
      <c r="O3291" s="20"/>
      <c r="P3291" s="42"/>
      <c r="R3291" s="23"/>
    </row>
    <row r="3292" spans="1:18" ht="12.75">
      <c r="A3292" s="12"/>
      <c r="D3292" s="12"/>
      <c r="E3292" s="12"/>
      <c r="H3292" s="11" t="str">
        <f ca="1">IFERROR(__xludf.DUMMYFUNCTION("IFERROR(SUBSTITUTE(SUBSTITUTE(REGEXEXTRACT(A3292, ""[^-]+- [^-]+- [^-]+ - (.+?)\.jpg""), "".jpg"", """"), ""-"", "", ""), """")"),"")</f>
        <v/>
      </c>
      <c r="L3292" s="12"/>
      <c r="M3292" s="13"/>
      <c r="N3292" s="2"/>
      <c r="O3292" s="20"/>
      <c r="P3292" s="42"/>
      <c r="R3292" s="23"/>
    </row>
    <row r="3293" spans="1:18" ht="12.75">
      <c r="A3293" s="12"/>
      <c r="D3293" s="12"/>
      <c r="E3293" s="12"/>
      <c r="H3293" s="11" t="str">
        <f ca="1">IFERROR(__xludf.DUMMYFUNCTION("IFERROR(SUBSTITUTE(SUBSTITUTE(REGEXEXTRACT(A3293, ""[^-]+- [^-]+- [^-]+ - (.+?)\.jpg""), "".jpg"", """"), ""-"", "", ""), """")"),"")</f>
        <v/>
      </c>
      <c r="L3293" s="12"/>
      <c r="M3293" s="13"/>
      <c r="N3293" s="2"/>
      <c r="O3293" s="20"/>
      <c r="P3293" s="42"/>
      <c r="R3293" s="23"/>
    </row>
    <row r="3294" spans="1:18" ht="12.75">
      <c r="A3294" s="12"/>
      <c r="D3294" s="12"/>
      <c r="E3294" s="12"/>
      <c r="H3294" s="11" t="str">
        <f ca="1">IFERROR(__xludf.DUMMYFUNCTION("IFERROR(SUBSTITUTE(SUBSTITUTE(REGEXEXTRACT(A3294, ""[^-]+- [^-]+- [^-]+ - (.+?)\.jpg""), "".jpg"", """"), ""-"", "", ""), """")"),"")</f>
        <v/>
      </c>
      <c r="L3294" s="12"/>
      <c r="M3294" s="13"/>
      <c r="N3294" s="2"/>
      <c r="O3294" s="20"/>
      <c r="P3294" s="42"/>
      <c r="R3294" s="23"/>
    </row>
    <row r="3295" spans="1:18" ht="12.75">
      <c r="A3295" s="12"/>
      <c r="D3295" s="12"/>
      <c r="E3295" s="12"/>
      <c r="H3295" s="11" t="str">
        <f ca="1">IFERROR(__xludf.DUMMYFUNCTION("IFERROR(SUBSTITUTE(SUBSTITUTE(REGEXEXTRACT(A3295, ""[^-]+- [^-]+- [^-]+ - (.+?)\.jpg""), "".jpg"", """"), ""-"", "", ""), """")"),"")</f>
        <v/>
      </c>
      <c r="L3295" s="12"/>
      <c r="M3295" s="13"/>
      <c r="N3295" s="2"/>
      <c r="O3295" s="20"/>
      <c r="P3295" s="42"/>
      <c r="R3295" s="23"/>
    </row>
    <row r="3296" spans="1:18" ht="12.75">
      <c r="A3296" s="12"/>
      <c r="D3296" s="12"/>
      <c r="E3296" s="12"/>
      <c r="H3296" s="11" t="str">
        <f ca="1">IFERROR(__xludf.DUMMYFUNCTION("IFERROR(SUBSTITUTE(SUBSTITUTE(REGEXEXTRACT(A3296, ""[^-]+- [^-]+- [^-]+ - (.+?)\.jpg""), "".jpg"", """"), ""-"", "", ""), """")"),"")</f>
        <v/>
      </c>
      <c r="L3296" s="12"/>
      <c r="M3296" s="13"/>
      <c r="N3296" s="2"/>
      <c r="O3296" s="20"/>
      <c r="P3296" s="42"/>
      <c r="R3296" s="23"/>
    </row>
    <row r="3297" spans="1:18" ht="12.75">
      <c r="A3297" s="12"/>
      <c r="D3297" s="12"/>
      <c r="E3297" s="12"/>
      <c r="H3297" s="11" t="str">
        <f ca="1">IFERROR(__xludf.DUMMYFUNCTION("IFERROR(SUBSTITUTE(SUBSTITUTE(REGEXEXTRACT(A3297, ""[^-]+- [^-]+- [^-]+ - (.+?)\.jpg""), "".jpg"", """"), ""-"", "", ""), """")"),"")</f>
        <v/>
      </c>
      <c r="L3297" s="12"/>
      <c r="M3297" s="13"/>
      <c r="N3297" s="2"/>
      <c r="O3297" s="20"/>
      <c r="P3297" s="42"/>
      <c r="R3297" s="23"/>
    </row>
    <row r="3298" spans="1:18" ht="12.75">
      <c r="A3298" s="12"/>
      <c r="D3298" s="12"/>
      <c r="E3298" s="12"/>
      <c r="H3298" s="11" t="str">
        <f ca="1">IFERROR(__xludf.DUMMYFUNCTION("IFERROR(SUBSTITUTE(SUBSTITUTE(REGEXEXTRACT(A3298, ""[^-]+- [^-]+- [^-]+ - (.+?)\.jpg""), "".jpg"", """"), ""-"", "", ""), """")"),"")</f>
        <v/>
      </c>
      <c r="L3298" s="12"/>
      <c r="M3298" s="13"/>
      <c r="N3298" s="2"/>
      <c r="O3298" s="20"/>
      <c r="P3298" s="42"/>
      <c r="R3298" s="23"/>
    </row>
    <row r="3299" spans="1:18" ht="12.75">
      <c r="A3299" s="12"/>
      <c r="D3299" s="12"/>
      <c r="E3299" s="12"/>
      <c r="H3299" s="11" t="str">
        <f ca="1">IFERROR(__xludf.DUMMYFUNCTION("IFERROR(SUBSTITUTE(SUBSTITUTE(REGEXEXTRACT(A3299, ""[^-]+- [^-]+- [^-]+ - (.+?)\.jpg""), "".jpg"", """"), ""-"", "", ""), """")"),"")</f>
        <v/>
      </c>
      <c r="L3299" s="12"/>
      <c r="M3299" s="13"/>
      <c r="N3299" s="2"/>
      <c r="O3299" s="20"/>
      <c r="P3299" s="42"/>
      <c r="R3299" s="23"/>
    </row>
    <row r="3300" spans="1:18" ht="12.75">
      <c r="A3300" s="12"/>
      <c r="D3300" s="12"/>
      <c r="E3300" s="12"/>
      <c r="H3300" s="11" t="str">
        <f ca="1">IFERROR(__xludf.DUMMYFUNCTION("IFERROR(SUBSTITUTE(SUBSTITUTE(REGEXEXTRACT(A3300, ""[^-]+- [^-]+- [^-]+ - (.+?)\.jpg""), "".jpg"", """"), ""-"", "", ""), """")"),"")</f>
        <v/>
      </c>
      <c r="L3300" s="12"/>
      <c r="M3300" s="13"/>
      <c r="N3300" s="2"/>
      <c r="O3300" s="20"/>
      <c r="P3300" s="42"/>
      <c r="R3300" s="23"/>
    </row>
    <row r="3301" spans="1:18" ht="12.75">
      <c r="A3301" s="12"/>
      <c r="D3301" s="12"/>
      <c r="E3301" s="12"/>
      <c r="H3301" s="11" t="str">
        <f ca="1">IFERROR(__xludf.DUMMYFUNCTION("IFERROR(SUBSTITUTE(SUBSTITUTE(REGEXEXTRACT(A3301, ""[^-]+- [^-]+- [^-]+ - (.+?)\.jpg""), "".jpg"", """"), ""-"", "", ""), """")"),"")</f>
        <v/>
      </c>
      <c r="L3301" s="12"/>
      <c r="M3301" s="13"/>
      <c r="N3301" s="2"/>
      <c r="O3301" s="20"/>
      <c r="P3301" s="42"/>
      <c r="R3301" s="23"/>
    </row>
    <row r="3302" spans="1:18" ht="12.75">
      <c r="A3302" s="12"/>
      <c r="D3302" s="12"/>
      <c r="E3302" s="12"/>
      <c r="H3302" s="11" t="str">
        <f ca="1">IFERROR(__xludf.DUMMYFUNCTION("IFERROR(SUBSTITUTE(SUBSTITUTE(REGEXEXTRACT(A3302, ""[^-]+- [^-]+- [^-]+ - (.+?)\.jpg""), "".jpg"", """"), ""-"", "", ""), """")"),"")</f>
        <v/>
      </c>
      <c r="L3302" s="12"/>
      <c r="M3302" s="13"/>
      <c r="N3302" s="2"/>
      <c r="O3302" s="20"/>
      <c r="P3302" s="42"/>
      <c r="R3302" s="23"/>
    </row>
    <row r="3303" spans="1:18" ht="12.75">
      <c r="A3303" s="12"/>
      <c r="D3303" s="12"/>
      <c r="E3303" s="12"/>
      <c r="H3303" s="11" t="str">
        <f ca="1">IFERROR(__xludf.DUMMYFUNCTION("IFERROR(SUBSTITUTE(SUBSTITUTE(REGEXEXTRACT(A3303, ""[^-]+- [^-]+- [^-]+ - (.+?)\.jpg""), "".jpg"", """"), ""-"", "", ""), """")"),"")</f>
        <v/>
      </c>
      <c r="L3303" s="12"/>
      <c r="M3303" s="13"/>
      <c r="N3303" s="2"/>
      <c r="O3303" s="20"/>
      <c r="P3303" s="42"/>
      <c r="R3303" s="23"/>
    </row>
    <row r="3304" spans="1:18" ht="12.75">
      <c r="A3304" s="12"/>
      <c r="D3304" s="12"/>
      <c r="E3304" s="12"/>
      <c r="H3304" s="11" t="str">
        <f ca="1">IFERROR(__xludf.DUMMYFUNCTION("IFERROR(SUBSTITUTE(SUBSTITUTE(REGEXEXTRACT(A3304, ""[^-]+- [^-]+- [^-]+ - (.+?)\.jpg""), "".jpg"", """"), ""-"", "", ""), """")"),"")</f>
        <v/>
      </c>
      <c r="L3304" s="12"/>
      <c r="M3304" s="13"/>
      <c r="N3304" s="2"/>
      <c r="O3304" s="20"/>
      <c r="P3304" s="42"/>
      <c r="R3304" s="23"/>
    </row>
    <row r="3305" spans="1:18" ht="12.75">
      <c r="A3305" s="12"/>
      <c r="D3305" s="12"/>
      <c r="E3305" s="12"/>
      <c r="H3305" s="11" t="str">
        <f ca="1">IFERROR(__xludf.DUMMYFUNCTION("IFERROR(SUBSTITUTE(SUBSTITUTE(REGEXEXTRACT(A3305, ""[^-]+- [^-]+- [^-]+ - (.+?)\.jpg""), "".jpg"", """"), ""-"", "", ""), """")"),"")</f>
        <v/>
      </c>
      <c r="L3305" s="12"/>
      <c r="M3305" s="13"/>
      <c r="N3305" s="2"/>
      <c r="O3305" s="20"/>
      <c r="P3305" s="42"/>
      <c r="R3305" s="23"/>
    </row>
    <row r="3306" spans="1:18" ht="12.75">
      <c r="A3306" s="12"/>
      <c r="D3306" s="12"/>
      <c r="E3306" s="12"/>
      <c r="H3306" s="11" t="str">
        <f ca="1">IFERROR(__xludf.DUMMYFUNCTION("IFERROR(SUBSTITUTE(SUBSTITUTE(REGEXEXTRACT(A3306, ""[^-]+- [^-]+- [^-]+ - (.+?)\.jpg""), "".jpg"", """"), ""-"", "", ""), """")"),"")</f>
        <v/>
      </c>
      <c r="L3306" s="12"/>
      <c r="M3306" s="13"/>
      <c r="N3306" s="2"/>
      <c r="O3306" s="20"/>
      <c r="P3306" s="42"/>
      <c r="R3306" s="23"/>
    </row>
    <row r="3307" spans="1:18" ht="12.75">
      <c r="A3307" s="12"/>
      <c r="D3307" s="12"/>
      <c r="E3307" s="12"/>
      <c r="H3307" s="11" t="str">
        <f ca="1">IFERROR(__xludf.DUMMYFUNCTION("IFERROR(SUBSTITUTE(SUBSTITUTE(REGEXEXTRACT(A3307, ""[^-]+- [^-]+- [^-]+ - (.+?)\.jpg""), "".jpg"", """"), ""-"", "", ""), """")"),"")</f>
        <v/>
      </c>
      <c r="L3307" s="12"/>
      <c r="M3307" s="13"/>
      <c r="N3307" s="2"/>
      <c r="O3307" s="20"/>
      <c r="P3307" s="42"/>
      <c r="R3307" s="23"/>
    </row>
    <row r="3308" spans="1:18" ht="12.75">
      <c r="A3308" s="12"/>
      <c r="D3308" s="12"/>
      <c r="E3308" s="12"/>
      <c r="H3308" s="11" t="str">
        <f ca="1">IFERROR(__xludf.DUMMYFUNCTION("IFERROR(SUBSTITUTE(SUBSTITUTE(REGEXEXTRACT(A3308, ""[^-]+- [^-]+- [^-]+ - (.+?)\.jpg""), "".jpg"", """"), ""-"", "", ""), """")"),"")</f>
        <v/>
      </c>
      <c r="L3308" s="12"/>
      <c r="M3308" s="13"/>
      <c r="N3308" s="2"/>
      <c r="O3308" s="20"/>
      <c r="P3308" s="42"/>
      <c r="R3308" s="23"/>
    </row>
    <row r="3309" spans="1:18" ht="12.75">
      <c r="A3309" s="12"/>
      <c r="D3309" s="12"/>
      <c r="E3309" s="12"/>
      <c r="H3309" s="11" t="str">
        <f ca="1">IFERROR(__xludf.DUMMYFUNCTION("IFERROR(SUBSTITUTE(SUBSTITUTE(REGEXEXTRACT(A3309, ""[^-]+- [^-]+- [^-]+ - (.+?)\.jpg""), "".jpg"", """"), ""-"", "", ""), """")"),"")</f>
        <v/>
      </c>
      <c r="L3309" s="12"/>
      <c r="M3309" s="13"/>
      <c r="N3309" s="2"/>
      <c r="O3309" s="20"/>
      <c r="P3309" s="42"/>
      <c r="R3309" s="23"/>
    </row>
    <row r="3310" spans="1:18" ht="12.75">
      <c r="A3310" s="12"/>
      <c r="D3310" s="12"/>
      <c r="E3310" s="12"/>
      <c r="H3310" s="11" t="str">
        <f ca="1">IFERROR(__xludf.DUMMYFUNCTION("IFERROR(SUBSTITUTE(SUBSTITUTE(REGEXEXTRACT(A3310, ""[^-]+- [^-]+- [^-]+ - (.+?)\.jpg""), "".jpg"", """"), ""-"", "", ""), """")"),"")</f>
        <v/>
      </c>
      <c r="L3310" s="12"/>
      <c r="M3310" s="13"/>
      <c r="N3310" s="2"/>
      <c r="O3310" s="20"/>
      <c r="P3310" s="42"/>
      <c r="R3310" s="23"/>
    </row>
    <row r="3311" spans="1:18" ht="12.75">
      <c r="A3311" s="12"/>
      <c r="D3311" s="12"/>
      <c r="E3311" s="12"/>
      <c r="H3311" s="11" t="str">
        <f ca="1">IFERROR(__xludf.DUMMYFUNCTION("IFERROR(SUBSTITUTE(SUBSTITUTE(REGEXEXTRACT(A3311, ""[^-]+- [^-]+- [^-]+ - (.+?)\.jpg""), "".jpg"", """"), ""-"", "", ""), """")"),"")</f>
        <v/>
      </c>
      <c r="L3311" s="12"/>
      <c r="M3311" s="13"/>
      <c r="N3311" s="2"/>
      <c r="O3311" s="20"/>
      <c r="P3311" s="42"/>
      <c r="R3311" s="23"/>
    </row>
    <row r="3312" spans="1:18" ht="12.75">
      <c r="A3312" s="12"/>
      <c r="D3312" s="12"/>
      <c r="E3312" s="12"/>
      <c r="H3312" s="11" t="str">
        <f ca="1">IFERROR(__xludf.DUMMYFUNCTION("IFERROR(SUBSTITUTE(SUBSTITUTE(REGEXEXTRACT(A3312, ""[^-]+- [^-]+- [^-]+ - (.+?)\.jpg""), "".jpg"", """"), ""-"", "", ""), """")"),"")</f>
        <v/>
      </c>
      <c r="L3312" s="12"/>
      <c r="M3312" s="13"/>
      <c r="N3312" s="2"/>
      <c r="O3312" s="20"/>
      <c r="P3312" s="42"/>
      <c r="R3312" s="23"/>
    </row>
    <row r="3313" spans="1:18" ht="12.75">
      <c r="A3313" s="12"/>
      <c r="D3313" s="12"/>
      <c r="E3313" s="12"/>
      <c r="H3313" s="11" t="str">
        <f ca="1">IFERROR(__xludf.DUMMYFUNCTION("IFERROR(SUBSTITUTE(SUBSTITUTE(REGEXEXTRACT(A3313, ""[^-]+- [^-]+- [^-]+ - (.+?)\.jpg""), "".jpg"", """"), ""-"", "", ""), """")"),"")</f>
        <v/>
      </c>
      <c r="L3313" s="12"/>
      <c r="M3313" s="13"/>
      <c r="N3313" s="2"/>
      <c r="O3313" s="20"/>
      <c r="P3313" s="42"/>
      <c r="R3313" s="23"/>
    </row>
    <row r="3314" spans="1:18" ht="12.75">
      <c r="A3314" s="12"/>
      <c r="D3314" s="12"/>
      <c r="E3314" s="12"/>
      <c r="H3314" s="11" t="str">
        <f ca="1">IFERROR(__xludf.DUMMYFUNCTION("IFERROR(SUBSTITUTE(SUBSTITUTE(REGEXEXTRACT(A3314, ""[^-]+- [^-]+- [^-]+ - (.+?)\.jpg""), "".jpg"", """"), ""-"", "", ""), """")"),"")</f>
        <v/>
      </c>
      <c r="L3314" s="12"/>
      <c r="M3314" s="13"/>
      <c r="N3314" s="2"/>
      <c r="O3314" s="20"/>
      <c r="P3314" s="42"/>
      <c r="R3314" s="23"/>
    </row>
    <row r="3315" spans="1:18" ht="12.75">
      <c r="A3315" s="12"/>
      <c r="D3315" s="12"/>
      <c r="E3315" s="12"/>
      <c r="H3315" s="11" t="str">
        <f ca="1">IFERROR(__xludf.DUMMYFUNCTION("IFERROR(SUBSTITUTE(SUBSTITUTE(REGEXEXTRACT(A3315, ""[^-]+- [^-]+- [^-]+ - (.+?)\.jpg""), "".jpg"", """"), ""-"", "", ""), """")"),"")</f>
        <v/>
      </c>
      <c r="L3315" s="12"/>
      <c r="M3315" s="13"/>
      <c r="N3315" s="2"/>
      <c r="O3315" s="20"/>
      <c r="P3315" s="42"/>
      <c r="R3315" s="23"/>
    </row>
    <row r="3316" spans="1:18" ht="12.75">
      <c r="A3316" s="12"/>
      <c r="D3316" s="12"/>
      <c r="E3316" s="12"/>
      <c r="H3316" s="11" t="str">
        <f ca="1">IFERROR(__xludf.DUMMYFUNCTION("IFERROR(SUBSTITUTE(SUBSTITUTE(REGEXEXTRACT(A3316, ""[^-]+- [^-]+- [^-]+ - (.+?)\.jpg""), "".jpg"", """"), ""-"", "", ""), """")"),"")</f>
        <v/>
      </c>
      <c r="L3316" s="12"/>
      <c r="M3316" s="13"/>
      <c r="N3316" s="2"/>
      <c r="O3316" s="20"/>
      <c r="P3316" s="42"/>
      <c r="R3316" s="23"/>
    </row>
    <row r="3317" spans="1:18" ht="12.75">
      <c r="A3317" s="12"/>
      <c r="D3317" s="12"/>
      <c r="E3317" s="12"/>
      <c r="H3317" s="11" t="str">
        <f ca="1">IFERROR(__xludf.DUMMYFUNCTION("IFERROR(SUBSTITUTE(SUBSTITUTE(REGEXEXTRACT(A3317, ""[^-]+- [^-]+- [^-]+ - (.+?)\.jpg""), "".jpg"", """"), ""-"", "", ""), """")"),"")</f>
        <v/>
      </c>
      <c r="L3317" s="12"/>
      <c r="M3317" s="13"/>
      <c r="N3317" s="2"/>
      <c r="O3317" s="20"/>
      <c r="P3317" s="42"/>
      <c r="R3317" s="23"/>
    </row>
    <row r="3318" spans="1:18" ht="12.75">
      <c r="A3318" s="12"/>
      <c r="D3318" s="12"/>
      <c r="E3318" s="12"/>
      <c r="H3318" s="11" t="str">
        <f ca="1">IFERROR(__xludf.DUMMYFUNCTION("IFERROR(SUBSTITUTE(SUBSTITUTE(REGEXEXTRACT(A3318, ""[^-]+- [^-]+- [^-]+ - (.+?)\.jpg""), "".jpg"", """"), ""-"", "", ""), """")"),"")</f>
        <v/>
      </c>
      <c r="L3318" s="12"/>
      <c r="M3318" s="13"/>
      <c r="N3318" s="2"/>
      <c r="O3318" s="20"/>
      <c r="P3318" s="42"/>
      <c r="R3318" s="23"/>
    </row>
    <row r="3319" spans="1:18" ht="12.75">
      <c r="A3319" s="12"/>
      <c r="D3319" s="12"/>
      <c r="E3319" s="12"/>
      <c r="H3319" s="11" t="str">
        <f ca="1">IFERROR(__xludf.DUMMYFUNCTION("IFERROR(SUBSTITUTE(SUBSTITUTE(REGEXEXTRACT(A3319, ""[^-]+- [^-]+- [^-]+ - (.+?)\.jpg""), "".jpg"", """"), ""-"", "", ""), """")"),"")</f>
        <v/>
      </c>
      <c r="L3319" s="12"/>
      <c r="M3319" s="13"/>
      <c r="N3319" s="2"/>
      <c r="O3319" s="20"/>
      <c r="P3319" s="42"/>
      <c r="R3319" s="23"/>
    </row>
    <row r="3320" spans="1:18" ht="12.75">
      <c r="A3320" s="12"/>
      <c r="D3320" s="12"/>
      <c r="E3320" s="12"/>
      <c r="H3320" s="11" t="str">
        <f ca="1">IFERROR(__xludf.DUMMYFUNCTION("IFERROR(SUBSTITUTE(SUBSTITUTE(REGEXEXTRACT(A3320, ""[^-]+- [^-]+- [^-]+ - (.+?)\.jpg""), "".jpg"", """"), ""-"", "", ""), """")"),"")</f>
        <v/>
      </c>
      <c r="L3320" s="12"/>
      <c r="M3320" s="13"/>
      <c r="N3320" s="2"/>
      <c r="O3320" s="20"/>
      <c r="P3320" s="42"/>
      <c r="R3320" s="23"/>
    </row>
    <row r="3321" spans="1:18" ht="12.75">
      <c r="A3321" s="12"/>
      <c r="D3321" s="12"/>
      <c r="E3321" s="12"/>
      <c r="H3321" s="11" t="str">
        <f ca="1">IFERROR(__xludf.DUMMYFUNCTION("IFERROR(SUBSTITUTE(SUBSTITUTE(REGEXEXTRACT(A3321, ""[^-]+- [^-]+- [^-]+ - (.+?)\.jpg""), "".jpg"", """"), ""-"", "", ""), """")"),"")</f>
        <v/>
      </c>
      <c r="L3321" s="12"/>
      <c r="M3321" s="13"/>
      <c r="N3321" s="2"/>
      <c r="O3321" s="20"/>
      <c r="P3321" s="42"/>
      <c r="R3321" s="23"/>
    </row>
    <row r="3322" spans="1:18" ht="12.75">
      <c r="A3322" s="12"/>
      <c r="D3322" s="12"/>
      <c r="E3322" s="12"/>
      <c r="H3322" s="11" t="str">
        <f ca="1">IFERROR(__xludf.DUMMYFUNCTION("IFERROR(SUBSTITUTE(SUBSTITUTE(REGEXEXTRACT(A3322, ""[^-]+- [^-]+- [^-]+ - (.+?)\.jpg""), "".jpg"", """"), ""-"", "", ""), """")"),"")</f>
        <v/>
      </c>
      <c r="L3322" s="12"/>
      <c r="M3322" s="13"/>
      <c r="N3322" s="2"/>
      <c r="O3322" s="20"/>
      <c r="P3322" s="42"/>
      <c r="R3322" s="23"/>
    </row>
    <row r="3323" spans="1:18" ht="12.75">
      <c r="A3323" s="12"/>
      <c r="D3323" s="12"/>
      <c r="E3323" s="12"/>
      <c r="H3323" s="11" t="str">
        <f ca="1">IFERROR(__xludf.DUMMYFUNCTION("IFERROR(SUBSTITUTE(SUBSTITUTE(REGEXEXTRACT(A3323, ""[^-]+- [^-]+- [^-]+ - (.+?)\.jpg""), "".jpg"", """"), ""-"", "", ""), """")"),"")</f>
        <v/>
      </c>
      <c r="L3323" s="12"/>
      <c r="M3323" s="13"/>
      <c r="N3323" s="2"/>
      <c r="O3323" s="20"/>
      <c r="P3323" s="42"/>
      <c r="R3323" s="23"/>
    </row>
    <row r="3324" spans="1:18" ht="12.75">
      <c r="A3324" s="12"/>
      <c r="D3324" s="12"/>
      <c r="E3324" s="12"/>
      <c r="H3324" s="11" t="str">
        <f ca="1">IFERROR(__xludf.DUMMYFUNCTION("IFERROR(SUBSTITUTE(SUBSTITUTE(REGEXEXTRACT(A3324, ""[^-]+- [^-]+- [^-]+ - (.+?)\.jpg""), "".jpg"", """"), ""-"", "", ""), """")"),"")</f>
        <v/>
      </c>
      <c r="L3324" s="12"/>
      <c r="M3324" s="13"/>
      <c r="N3324" s="2"/>
      <c r="O3324" s="20"/>
      <c r="P3324" s="42"/>
      <c r="R3324" s="23"/>
    </row>
    <row r="3325" spans="1:18" ht="12.75">
      <c r="A3325" s="12"/>
      <c r="D3325" s="12"/>
      <c r="E3325" s="12"/>
      <c r="H3325" s="11" t="str">
        <f ca="1">IFERROR(__xludf.DUMMYFUNCTION("IFERROR(SUBSTITUTE(SUBSTITUTE(REGEXEXTRACT(A3325, ""[^-]+- [^-]+- [^-]+ - (.+?)\.jpg""), "".jpg"", """"), ""-"", "", ""), """")"),"")</f>
        <v/>
      </c>
      <c r="L3325" s="12"/>
      <c r="M3325" s="13"/>
      <c r="N3325" s="2"/>
      <c r="O3325" s="20"/>
      <c r="P3325" s="42"/>
      <c r="R3325" s="23"/>
    </row>
    <row r="3326" spans="1:18" ht="12.75">
      <c r="A3326" s="12"/>
      <c r="D3326" s="12"/>
      <c r="E3326" s="12"/>
      <c r="H3326" s="11" t="str">
        <f ca="1">IFERROR(__xludf.DUMMYFUNCTION("IFERROR(SUBSTITUTE(SUBSTITUTE(REGEXEXTRACT(A3326, ""[^-]+- [^-]+- [^-]+ - (.+?)\.jpg""), "".jpg"", """"), ""-"", "", ""), """")"),"")</f>
        <v/>
      </c>
      <c r="L3326" s="12"/>
      <c r="M3326" s="13"/>
      <c r="N3326" s="2"/>
      <c r="O3326" s="20"/>
      <c r="P3326" s="42"/>
      <c r="R3326" s="23"/>
    </row>
    <row r="3327" spans="1:18" ht="12.75">
      <c r="A3327" s="12"/>
      <c r="D3327" s="12"/>
      <c r="E3327" s="12"/>
      <c r="H3327" s="11" t="str">
        <f ca="1">IFERROR(__xludf.DUMMYFUNCTION("IFERROR(SUBSTITUTE(SUBSTITUTE(REGEXEXTRACT(A3327, ""[^-]+- [^-]+- [^-]+ - (.+?)\.jpg""), "".jpg"", """"), ""-"", "", ""), """")"),"")</f>
        <v/>
      </c>
      <c r="L3327" s="12"/>
      <c r="M3327" s="13"/>
      <c r="N3327" s="2"/>
      <c r="O3327" s="20"/>
      <c r="P3327" s="42"/>
      <c r="R3327" s="23"/>
    </row>
    <row r="3328" spans="1:18" ht="12.75">
      <c r="A3328" s="12"/>
      <c r="D3328" s="12"/>
      <c r="E3328" s="12"/>
      <c r="H3328" s="11" t="str">
        <f ca="1">IFERROR(__xludf.DUMMYFUNCTION("IFERROR(SUBSTITUTE(SUBSTITUTE(REGEXEXTRACT(A3328, ""[^-]+- [^-]+- [^-]+ - (.+?)\.jpg""), "".jpg"", """"), ""-"", "", ""), """")"),"")</f>
        <v/>
      </c>
      <c r="L3328" s="12"/>
      <c r="M3328" s="13"/>
      <c r="N3328" s="2"/>
      <c r="O3328" s="20"/>
      <c r="P3328" s="42"/>
      <c r="R3328" s="23"/>
    </row>
    <row r="3329" spans="1:18" ht="12.75">
      <c r="A3329" s="12"/>
      <c r="D3329" s="12"/>
      <c r="E3329" s="12"/>
      <c r="H3329" s="11" t="str">
        <f ca="1">IFERROR(__xludf.DUMMYFUNCTION("IFERROR(SUBSTITUTE(SUBSTITUTE(REGEXEXTRACT(A3329, ""[^-]+- [^-]+- [^-]+ - (.+?)\.jpg""), "".jpg"", """"), ""-"", "", ""), """")"),"")</f>
        <v/>
      </c>
      <c r="L3329" s="12"/>
      <c r="M3329" s="13"/>
      <c r="N3329" s="2"/>
      <c r="O3329" s="20"/>
      <c r="P3329" s="42"/>
      <c r="R3329" s="23"/>
    </row>
    <row r="3330" spans="1:18" ht="12.75">
      <c r="A3330" s="12"/>
      <c r="D3330" s="12"/>
      <c r="E3330" s="12"/>
      <c r="H3330" s="11" t="str">
        <f ca="1">IFERROR(__xludf.DUMMYFUNCTION("IFERROR(SUBSTITUTE(SUBSTITUTE(REGEXEXTRACT(A3330, ""[^-]+- [^-]+- [^-]+ - (.+?)\.jpg""), "".jpg"", """"), ""-"", "", ""), """")"),"")</f>
        <v/>
      </c>
      <c r="L3330" s="12"/>
      <c r="M3330" s="13"/>
      <c r="N3330" s="2"/>
      <c r="O3330" s="20"/>
      <c r="P3330" s="42"/>
      <c r="R3330" s="23"/>
    </row>
    <row r="3331" spans="1:18" ht="12.75">
      <c r="A3331" s="12"/>
      <c r="D3331" s="12"/>
      <c r="E3331" s="12"/>
      <c r="H3331" s="11" t="str">
        <f ca="1">IFERROR(__xludf.DUMMYFUNCTION("IFERROR(SUBSTITUTE(SUBSTITUTE(REGEXEXTRACT(A3331, ""[^-]+- [^-]+- [^-]+ - (.+?)\.jpg""), "".jpg"", """"), ""-"", "", ""), """")"),"")</f>
        <v/>
      </c>
      <c r="L3331" s="12"/>
      <c r="M3331" s="13"/>
      <c r="N3331" s="2"/>
      <c r="O3331" s="20"/>
      <c r="P3331" s="42"/>
      <c r="R3331" s="23"/>
    </row>
    <row r="3332" spans="1:18" ht="12.75">
      <c r="A3332" s="12"/>
      <c r="D3332" s="12"/>
      <c r="E3332" s="12"/>
      <c r="H3332" s="11" t="str">
        <f ca="1">IFERROR(__xludf.DUMMYFUNCTION("IFERROR(SUBSTITUTE(SUBSTITUTE(REGEXEXTRACT(A3332, ""[^-]+- [^-]+- [^-]+ - (.+?)\.jpg""), "".jpg"", """"), ""-"", "", ""), """")"),"")</f>
        <v/>
      </c>
      <c r="L3332" s="12"/>
      <c r="M3332" s="13"/>
      <c r="N3332" s="2"/>
      <c r="O3332" s="20"/>
      <c r="P3332" s="42"/>
      <c r="R3332" s="23"/>
    </row>
    <row r="3333" spans="1:18" ht="12.75">
      <c r="A3333" s="12"/>
      <c r="D3333" s="12"/>
      <c r="E3333" s="12"/>
      <c r="H3333" s="11" t="str">
        <f ca="1">IFERROR(__xludf.DUMMYFUNCTION("IFERROR(SUBSTITUTE(SUBSTITUTE(REGEXEXTRACT(A3333, ""[^-]+- [^-]+- [^-]+ - (.+?)\.jpg""), "".jpg"", """"), ""-"", "", ""), """")"),"")</f>
        <v/>
      </c>
      <c r="L3333" s="12"/>
      <c r="M3333" s="13"/>
      <c r="N3333" s="2"/>
      <c r="O3333" s="20"/>
      <c r="P3333" s="42"/>
      <c r="R3333" s="23"/>
    </row>
    <row r="3334" spans="1:18" ht="12.75">
      <c r="A3334" s="12"/>
      <c r="D3334" s="12"/>
      <c r="E3334" s="12"/>
      <c r="H3334" s="11" t="str">
        <f ca="1">IFERROR(__xludf.DUMMYFUNCTION("IFERROR(SUBSTITUTE(SUBSTITUTE(REGEXEXTRACT(A3334, ""[^-]+- [^-]+- [^-]+ - (.+?)\.jpg""), "".jpg"", """"), ""-"", "", ""), """")"),"")</f>
        <v/>
      </c>
      <c r="L3334" s="12"/>
      <c r="M3334" s="13"/>
      <c r="N3334" s="2"/>
      <c r="O3334" s="20"/>
      <c r="P3334" s="42"/>
      <c r="R3334" s="23"/>
    </row>
    <row r="3335" spans="1:18" ht="12.75">
      <c r="A3335" s="12"/>
      <c r="D3335" s="12"/>
      <c r="E3335" s="12"/>
      <c r="H3335" s="11" t="str">
        <f ca="1">IFERROR(__xludf.DUMMYFUNCTION("IFERROR(SUBSTITUTE(SUBSTITUTE(REGEXEXTRACT(A3335, ""[^-]+- [^-]+- [^-]+ - (.+?)\.jpg""), "".jpg"", """"), ""-"", "", ""), """")"),"")</f>
        <v/>
      </c>
      <c r="L3335" s="12"/>
      <c r="M3335" s="13"/>
      <c r="N3335" s="2"/>
      <c r="O3335" s="20"/>
      <c r="P3335" s="42"/>
      <c r="R3335" s="23"/>
    </row>
    <row r="3336" spans="1:18" ht="12.75">
      <c r="A3336" s="12"/>
      <c r="D3336" s="12"/>
      <c r="E3336" s="12"/>
      <c r="H3336" s="11" t="str">
        <f ca="1">IFERROR(__xludf.DUMMYFUNCTION("IFERROR(SUBSTITUTE(SUBSTITUTE(REGEXEXTRACT(A3336, ""[^-]+- [^-]+- [^-]+ - (.+?)\.jpg""), "".jpg"", """"), ""-"", "", ""), """")"),"")</f>
        <v/>
      </c>
      <c r="L3336" s="12"/>
      <c r="M3336" s="13"/>
      <c r="N3336" s="2"/>
      <c r="O3336" s="20"/>
      <c r="P3336" s="42"/>
      <c r="R3336" s="23"/>
    </row>
    <row r="3337" spans="1:18" ht="12.75">
      <c r="A3337" s="12"/>
      <c r="D3337" s="12"/>
      <c r="E3337" s="12"/>
      <c r="H3337" s="11" t="str">
        <f ca="1">IFERROR(__xludf.DUMMYFUNCTION("IFERROR(SUBSTITUTE(SUBSTITUTE(REGEXEXTRACT(A3337, ""[^-]+- [^-]+- [^-]+ - (.+?)\.jpg""), "".jpg"", """"), ""-"", "", ""), """")"),"")</f>
        <v/>
      </c>
      <c r="L3337" s="12"/>
      <c r="M3337" s="13"/>
      <c r="N3337" s="2"/>
      <c r="O3337" s="20"/>
      <c r="P3337" s="42"/>
      <c r="R3337" s="23"/>
    </row>
    <row r="3338" spans="1:18" ht="12.75">
      <c r="A3338" s="12"/>
      <c r="D3338" s="12"/>
      <c r="E3338" s="12"/>
      <c r="H3338" s="11" t="str">
        <f ca="1">IFERROR(__xludf.DUMMYFUNCTION("IFERROR(SUBSTITUTE(SUBSTITUTE(REGEXEXTRACT(A3338, ""[^-]+- [^-]+- [^-]+ - (.+?)\.jpg""), "".jpg"", """"), ""-"", "", ""), """")"),"")</f>
        <v/>
      </c>
      <c r="L3338" s="12"/>
      <c r="M3338" s="13"/>
      <c r="N3338" s="2"/>
      <c r="O3338" s="20"/>
      <c r="P3338" s="42"/>
      <c r="R3338" s="23"/>
    </row>
    <row r="3339" spans="1:18" ht="12.75">
      <c r="A3339" s="12"/>
      <c r="D3339" s="12"/>
      <c r="E3339" s="12"/>
      <c r="H3339" s="11" t="str">
        <f ca="1">IFERROR(__xludf.DUMMYFUNCTION("IFERROR(SUBSTITUTE(SUBSTITUTE(REGEXEXTRACT(A3339, ""[^-]+- [^-]+- [^-]+ - (.+?)\.jpg""), "".jpg"", """"), ""-"", "", ""), """")"),"")</f>
        <v/>
      </c>
      <c r="L3339" s="12"/>
      <c r="M3339" s="13"/>
      <c r="N3339" s="2"/>
      <c r="O3339" s="20"/>
      <c r="P3339" s="42"/>
      <c r="R3339" s="23"/>
    </row>
    <row r="3340" spans="1:18" ht="12.75">
      <c r="A3340" s="12"/>
      <c r="D3340" s="12"/>
      <c r="E3340" s="12"/>
      <c r="H3340" s="11" t="str">
        <f ca="1">IFERROR(__xludf.DUMMYFUNCTION("IFERROR(SUBSTITUTE(SUBSTITUTE(REGEXEXTRACT(A3340, ""[^-]+- [^-]+- [^-]+ - (.+?)\.jpg""), "".jpg"", """"), ""-"", "", ""), """")"),"")</f>
        <v/>
      </c>
      <c r="L3340" s="12"/>
      <c r="M3340" s="13"/>
      <c r="N3340" s="2"/>
      <c r="O3340" s="20"/>
      <c r="P3340" s="42"/>
      <c r="R3340" s="23"/>
    </row>
    <row r="3341" spans="1:18" ht="12.75">
      <c r="A3341" s="12"/>
      <c r="D3341" s="12"/>
      <c r="E3341" s="12"/>
      <c r="H3341" s="11" t="str">
        <f ca="1">IFERROR(__xludf.DUMMYFUNCTION("IFERROR(SUBSTITUTE(SUBSTITUTE(REGEXEXTRACT(A3341, ""[^-]+- [^-]+- [^-]+ - (.+?)\.jpg""), "".jpg"", """"), ""-"", "", ""), """")"),"")</f>
        <v/>
      </c>
      <c r="L3341" s="12"/>
      <c r="M3341" s="13"/>
      <c r="N3341" s="2"/>
      <c r="O3341" s="20"/>
      <c r="P3341" s="42"/>
      <c r="R3341" s="23"/>
    </row>
    <row r="3342" spans="1:18" ht="12.75">
      <c r="A3342" s="12"/>
      <c r="D3342" s="12"/>
      <c r="E3342" s="12"/>
      <c r="H3342" s="11" t="str">
        <f ca="1">IFERROR(__xludf.DUMMYFUNCTION("IFERROR(SUBSTITUTE(SUBSTITUTE(REGEXEXTRACT(A3342, ""[^-]+- [^-]+- [^-]+ - (.+?)\.jpg""), "".jpg"", """"), ""-"", "", ""), """")"),"")</f>
        <v/>
      </c>
      <c r="L3342" s="12"/>
      <c r="M3342" s="13"/>
      <c r="N3342" s="2"/>
      <c r="O3342" s="20"/>
      <c r="P3342" s="42"/>
      <c r="R3342" s="23"/>
    </row>
    <row r="3343" spans="1:18" ht="12.75">
      <c r="A3343" s="12"/>
      <c r="D3343" s="12"/>
      <c r="E3343" s="12"/>
      <c r="H3343" s="11" t="str">
        <f ca="1">IFERROR(__xludf.DUMMYFUNCTION("IFERROR(SUBSTITUTE(SUBSTITUTE(REGEXEXTRACT(A3343, ""[^-]+- [^-]+- [^-]+ - (.+?)\.jpg""), "".jpg"", """"), ""-"", "", ""), """")"),"")</f>
        <v/>
      </c>
      <c r="L3343" s="12"/>
      <c r="M3343" s="13"/>
      <c r="N3343" s="2"/>
      <c r="O3343" s="20"/>
      <c r="P3343" s="42"/>
      <c r="R3343" s="23"/>
    </row>
    <row r="3344" spans="1:18" ht="12.75">
      <c r="A3344" s="12"/>
      <c r="D3344" s="12"/>
      <c r="E3344" s="12"/>
      <c r="H3344" s="11" t="str">
        <f ca="1">IFERROR(__xludf.DUMMYFUNCTION("IFERROR(SUBSTITUTE(SUBSTITUTE(REGEXEXTRACT(A3344, ""[^-]+- [^-]+- [^-]+ - (.+?)\.jpg""), "".jpg"", """"), ""-"", "", ""), """")"),"")</f>
        <v/>
      </c>
      <c r="L3344" s="12"/>
      <c r="M3344" s="13"/>
      <c r="N3344" s="2"/>
      <c r="O3344" s="20"/>
      <c r="P3344" s="42"/>
      <c r="R3344" s="23"/>
    </row>
    <row r="3345" spans="1:18" ht="12.75">
      <c r="A3345" s="12"/>
      <c r="D3345" s="12"/>
      <c r="E3345" s="12"/>
      <c r="H3345" s="11" t="str">
        <f ca="1">IFERROR(__xludf.DUMMYFUNCTION("IFERROR(SUBSTITUTE(SUBSTITUTE(REGEXEXTRACT(A3345, ""[^-]+- [^-]+- [^-]+ - (.+?)\.jpg""), "".jpg"", """"), ""-"", "", ""), """")"),"")</f>
        <v/>
      </c>
      <c r="L3345" s="12"/>
      <c r="M3345" s="13"/>
      <c r="N3345" s="2"/>
      <c r="O3345" s="20"/>
      <c r="P3345" s="42"/>
      <c r="R3345" s="23"/>
    </row>
    <row r="3346" spans="1:18" ht="12.75">
      <c r="A3346" s="12"/>
      <c r="D3346" s="12"/>
      <c r="E3346" s="12"/>
      <c r="H3346" s="11" t="str">
        <f ca="1">IFERROR(__xludf.DUMMYFUNCTION("IFERROR(SUBSTITUTE(SUBSTITUTE(REGEXEXTRACT(A3346, ""[^-]+- [^-]+- [^-]+ - (.+?)\.jpg""), "".jpg"", """"), ""-"", "", ""), """")"),"")</f>
        <v/>
      </c>
      <c r="L3346" s="12"/>
      <c r="M3346" s="13"/>
      <c r="N3346" s="2"/>
      <c r="O3346" s="20"/>
      <c r="P3346" s="42"/>
      <c r="R3346" s="23"/>
    </row>
    <row r="3347" spans="1:18" ht="12.75">
      <c r="A3347" s="12"/>
      <c r="D3347" s="12"/>
      <c r="E3347" s="12"/>
      <c r="H3347" s="11" t="str">
        <f ca="1">IFERROR(__xludf.DUMMYFUNCTION("IFERROR(SUBSTITUTE(SUBSTITUTE(REGEXEXTRACT(A3347, ""[^-]+- [^-]+- [^-]+ - (.+?)\.jpg""), "".jpg"", """"), ""-"", "", ""), """")"),"")</f>
        <v/>
      </c>
      <c r="L3347" s="12"/>
      <c r="M3347" s="13"/>
      <c r="N3347" s="2"/>
      <c r="O3347" s="20"/>
      <c r="P3347" s="42"/>
      <c r="R3347" s="23"/>
    </row>
    <row r="3348" spans="1:18" ht="12.75">
      <c r="A3348" s="12"/>
      <c r="D3348" s="12"/>
      <c r="E3348" s="12"/>
      <c r="H3348" s="11" t="str">
        <f ca="1">IFERROR(__xludf.DUMMYFUNCTION("IFERROR(SUBSTITUTE(SUBSTITUTE(REGEXEXTRACT(A3348, ""[^-]+- [^-]+- [^-]+ - (.+?)\.jpg""), "".jpg"", """"), ""-"", "", ""), """")"),"")</f>
        <v/>
      </c>
      <c r="L3348" s="12"/>
      <c r="M3348" s="13"/>
      <c r="N3348" s="2"/>
      <c r="O3348" s="20"/>
      <c r="P3348" s="42"/>
      <c r="R3348" s="23"/>
    </row>
    <row r="3349" spans="1:18" ht="12.75">
      <c r="A3349" s="12"/>
      <c r="D3349" s="12"/>
      <c r="E3349" s="12"/>
      <c r="H3349" s="11" t="str">
        <f ca="1">IFERROR(__xludf.DUMMYFUNCTION("IFERROR(SUBSTITUTE(SUBSTITUTE(REGEXEXTRACT(A3349, ""[^-]+- [^-]+- [^-]+ - (.+?)\.jpg""), "".jpg"", """"), ""-"", "", ""), """")"),"")</f>
        <v/>
      </c>
      <c r="L3349" s="12"/>
      <c r="M3349" s="13"/>
      <c r="N3349" s="2"/>
      <c r="O3349" s="20"/>
      <c r="P3349" s="42"/>
      <c r="R3349" s="23"/>
    </row>
    <row r="3350" spans="1:18" ht="12.75">
      <c r="A3350" s="12"/>
      <c r="D3350" s="12"/>
      <c r="E3350" s="12"/>
      <c r="H3350" s="11" t="str">
        <f ca="1">IFERROR(__xludf.DUMMYFUNCTION("IFERROR(SUBSTITUTE(SUBSTITUTE(REGEXEXTRACT(A3350, ""[^-]+- [^-]+- [^-]+ - (.+?)\.jpg""), "".jpg"", """"), ""-"", "", ""), """")"),"")</f>
        <v/>
      </c>
      <c r="L3350" s="12"/>
      <c r="M3350" s="13"/>
      <c r="N3350" s="2"/>
      <c r="O3350" s="20"/>
      <c r="P3350" s="42"/>
      <c r="R3350" s="23"/>
    </row>
    <row r="3351" spans="1:18" ht="12.75">
      <c r="A3351" s="12"/>
      <c r="D3351" s="12"/>
      <c r="E3351" s="12"/>
      <c r="H3351" s="11" t="str">
        <f ca="1">IFERROR(__xludf.DUMMYFUNCTION("IFERROR(SUBSTITUTE(SUBSTITUTE(REGEXEXTRACT(A3351, ""[^-]+- [^-]+- [^-]+ - (.+?)\.jpg""), "".jpg"", """"), ""-"", "", ""), """")"),"")</f>
        <v/>
      </c>
      <c r="L3351" s="12"/>
      <c r="M3351" s="13"/>
      <c r="N3351" s="2"/>
      <c r="O3351" s="20"/>
      <c r="P3351" s="42"/>
      <c r="R3351" s="23"/>
    </row>
    <row r="3352" spans="1:18" ht="12.75">
      <c r="A3352" s="12"/>
      <c r="D3352" s="12"/>
      <c r="E3352" s="12"/>
      <c r="H3352" s="11" t="str">
        <f ca="1">IFERROR(__xludf.DUMMYFUNCTION("IFERROR(SUBSTITUTE(SUBSTITUTE(REGEXEXTRACT(A3352, ""[^-]+- [^-]+- [^-]+ - (.+?)\.jpg""), "".jpg"", """"), ""-"", "", ""), """")"),"")</f>
        <v/>
      </c>
      <c r="L3352" s="12"/>
      <c r="M3352" s="13"/>
      <c r="N3352" s="2"/>
      <c r="O3352" s="20"/>
      <c r="P3352" s="42"/>
      <c r="R3352" s="23"/>
    </row>
    <row r="3353" spans="1:18" ht="12.75">
      <c r="A3353" s="12"/>
      <c r="D3353" s="12"/>
      <c r="E3353" s="12"/>
      <c r="H3353" s="11" t="str">
        <f ca="1">IFERROR(__xludf.DUMMYFUNCTION("IFERROR(SUBSTITUTE(SUBSTITUTE(REGEXEXTRACT(A3353, ""[^-]+- [^-]+- [^-]+ - (.+?)\.jpg""), "".jpg"", """"), ""-"", "", ""), """")"),"")</f>
        <v/>
      </c>
      <c r="L3353" s="12"/>
      <c r="M3353" s="13"/>
      <c r="N3353" s="2"/>
      <c r="O3353" s="20"/>
      <c r="P3353" s="42"/>
      <c r="R3353" s="23"/>
    </row>
    <row r="3354" spans="1:18" ht="12.75">
      <c r="A3354" s="12"/>
      <c r="D3354" s="12"/>
      <c r="E3354" s="12"/>
      <c r="H3354" s="11" t="str">
        <f ca="1">IFERROR(__xludf.DUMMYFUNCTION("IFERROR(SUBSTITUTE(SUBSTITUTE(REGEXEXTRACT(A3354, ""[^-]+- [^-]+- [^-]+ - (.+?)\.jpg""), "".jpg"", """"), ""-"", "", ""), """")"),"")</f>
        <v/>
      </c>
      <c r="L3354" s="12"/>
      <c r="M3354" s="13"/>
      <c r="N3354" s="2"/>
      <c r="O3354" s="20"/>
      <c r="P3354" s="42"/>
      <c r="R3354" s="23"/>
    </row>
    <row r="3355" spans="1:18" ht="12.75">
      <c r="A3355" s="12"/>
      <c r="D3355" s="12"/>
      <c r="E3355" s="12"/>
      <c r="H3355" s="11" t="str">
        <f ca="1">IFERROR(__xludf.DUMMYFUNCTION("IFERROR(SUBSTITUTE(SUBSTITUTE(REGEXEXTRACT(A3355, ""[^-]+- [^-]+- [^-]+ - (.+?)\.jpg""), "".jpg"", """"), ""-"", "", ""), """")"),"")</f>
        <v/>
      </c>
      <c r="L3355" s="12"/>
      <c r="M3355" s="13"/>
      <c r="N3355" s="2"/>
      <c r="O3355" s="20"/>
      <c r="P3355" s="42"/>
      <c r="R3355" s="23"/>
    </row>
    <row r="3356" spans="1:18" ht="12.75">
      <c r="A3356" s="12"/>
      <c r="D3356" s="12"/>
      <c r="E3356" s="12"/>
      <c r="H3356" s="11" t="str">
        <f ca="1">IFERROR(__xludf.DUMMYFUNCTION("IFERROR(SUBSTITUTE(SUBSTITUTE(REGEXEXTRACT(A3356, ""[^-]+- [^-]+- [^-]+ - (.+?)\.jpg""), "".jpg"", """"), ""-"", "", ""), """")"),"")</f>
        <v/>
      </c>
      <c r="L3356" s="12"/>
      <c r="M3356" s="13"/>
      <c r="N3356" s="2"/>
      <c r="O3356" s="20"/>
      <c r="P3356" s="42"/>
      <c r="R3356" s="23"/>
    </row>
    <row r="3357" spans="1:18" ht="12.75">
      <c r="A3357" s="12"/>
      <c r="D3357" s="12"/>
      <c r="E3357" s="12"/>
      <c r="H3357" s="11" t="str">
        <f ca="1">IFERROR(__xludf.DUMMYFUNCTION("IFERROR(SUBSTITUTE(SUBSTITUTE(REGEXEXTRACT(A3357, ""[^-]+- [^-]+- [^-]+ - (.+?)\.jpg""), "".jpg"", """"), ""-"", "", ""), """")"),"")</f>
        <v/>
      </c>
      <c r="L3357" s="12"/>
      <c r="M3357" s="13"/>
      <c r="N3357" s="2"/>
      <c r="O3357" s="20"/>
      <c r="P3357" s="42"/>
      <c r="R3357" s="23"/>
    </row>
    <row r="3358" spans="1:18" ht="12.75">
      <c r="A3358" s="12"/>
      <c r="D3358" s="12"/>
      <c r="E3358" s="12"/>
      <c r="H3358" s="11" t="str">
        <f ca="1">IFERROR(__xludf.DUMMYFUNCTION("IFERROR(SUBSTITUTE(SUBSTITUTE(REGEXEXTRACT(A3358, ""[^-]+- [^-]+- [^-]+ - (.+?)\.jpg""), "".jpg"", """"), ""-"", "", ""), """")"),"")</f>
        <v/>
      </c>
      <c r="L3358" s="12"/>
      <c r="M3358" s="13"/>
      <c r="N3358" s="2"/>
      <c r="O3358" s="20"/>
      <c r="P3358" s="42"/>
      <c r="R3358" s="23"/>
    </row>
    <row r="3359" spans="1:18" ht="12.75">
      <c r="A3359" s="12"/>
      <c r="D3359" s="12"/>
      <c r="E3359" s="12"/>
      <c r="H3359" s="11" t="str">
        <f ca="1">IFERROR(__xludf.DUMMYFUNCTION("IFERROR(SUBSTITUTE(SUBSTITUTE(REGEXEXTRACT(A3359, ""[^-]+- [^-]+- [^-]+ - (.+?)\.jpg""), "".jpg"", """"), ""-"", "", ""), """")"),"")</f>
        <v/>
      </c>
      <c r="L3359" s="12"/>
      <c r="M3359" s="13"/>
      <c r="N3359" s="2"/>
      <c r="O3359" s="20"/>
      <c r="P3359" s="42"/>
      <c r="R3359" s="23"/>
    </row>
    <row r="3360" spans="1:18" ht="12.75">
      <c r="A3360" s="12"/>
      <c r="D3360" s="12"/>
      <c r="E3360" s="12"/>
      <c r="H3360" s="11" t="str">
        <f ca="1">IFERROR(__xludf.DUMMYFUNCTION("IFERROR(SUBSTITUTE(SUBSTITUTE(REGEXEXTRACT(A3360, ""[^-]+- [^-]+- [^-]+ - (.+?)\.jpg""), "".jpg"", """"), ""-"", "", ""), """")"),"")</f>
        <v/>
      </c>
      <c r="L3360" s="12"/>
      <c r="M3360" s="13"/>
      <c r="N3360" s="2"/>
      <c r="O3360" s="20"/>
      <c r="P3360" s="42"/>
      <c r="R3360" s="23"/>
    </row>
    <row r="3361" spans="1:18" ht="12.75">
      <c r="A3361" s="12"/>
      <c r="D3361" s="12"/>
      <c r="E3361" s="12"/>
      <c r="H3361" s="11" t="str">
        <f ca="1">IFERROR(__xludf.DUMMYFUNCTION("IFERROR(SUBSTITUTE(SUBSTITUTE(REGEXEXTRACT(A3361, ""[^-]+- [^-]+- [^-]+ - (.+?)\.jpg""), "".jpg"", """"), ""-"", "", ""), """")"),"")</f>
        <v/>
      </c>
      <c r="L3361" s="12"/>
      <c r="M3361" s="13"/>
      <c r="N3361" s="2"/>
      <c r="O3361" s="20"/>
      <c r="P3361" s="42"/>
      <c r="R3361" s="23"/>
    </row>
    <row r="3362" spans="1:18" ht="12.75">
      <c r="A3362" s="12"/>
      <c r="D3362" s="12"/>
      <c r="E3362" s="12"/>
      <c r="H3362" s="11" t="str">
        <f ca="1">IFERROR(__xludf.DUMMYFUNCTION("IFERROR(SUBSTITUTE(SUBSTITUTE(REGEXEXTRACT(A3362, ""[^-]+- [^-]+- [^-]+ - (.+?)\.jpg""), "".jpg"", """"), ""-"", "", ""), """")"),"")</f>
        <v/>
      </c>
      <c r="L3362" s="12"/>
      <c r="M3362" s="13"/>
      <c r="N3362" s="2"/>
      <c r="O3362" s="20"/>
      <c r="P3362" s="42"/>
      <c r="R3362" s="23"/>
    </row>
    <row r="3363" spans="1:18" ht="12.75">
      <c r="A3363" s="12"/>
      <c r="D3363" s="12"/>
      <c r="E3363" s="12"/>
      <c r="H3363" s="11" t="str">
        <f ca="1">IFERROR(__xludf.DUMMYFUNCTION("IFERROR(SUBSTITUTE(SUBSTITUTE(REGEXEXTRACT(A3363, ""[^-]+- [^-]+- [^-]+ - (.+?)\.jpg""), "".jpg"", """"), ""-"", "", ""), """")"),"")</f>
        <v/>
      </c>
      <c r="L3363" s="12"/>
      <c r="M3363" s="13"/>
      <c r="N3363" s="2"/>
      <c r="O3363" s="20"/>
      <c r="P3363" s="42"/>
      <c r="R3363" s="23"/>
    </row>
    <row r="3364" spans="1:18" ht="12.75">
      <c r="A3364" s="12"/>
      <c r="D3364" s="12"/>
      <c r="E3364" s="12"/>
      <c r="H3364" s="11" t="str">
        <f ca="1">IFERROR(__xludf.DUMMYFUNCTION("IFERROR(SUBSTITUTE(SUBSTITUTE(REGEXEXTRACT(A3364, ""[^-]+- [^-]+- [^-]+ - (.+?)\.jpg""), "".jpg"", """"), ""-"", "", ""), """")"),"")</f>
        <v/>
      </c>
      <c r="L3364" s="12"/>
      <c r="M3364" s="13"/>
      <c r="N3364" s="2"/>
      <c r="O3364" s="20"/>
      <c r="P3364" s="42"/>
      <c r="R3364" s="23"/>
    </row>
    <row r="3365" spans="1:18" ht="12.75">
      <c r="A3365" s="12"/>
      <c r="D3365" s="12"/>
      <c r="E3365" s="12"/>
      <c r="H3365" s="11" t="str">
        <f ca="1">IFERROR(__xludf.DUMMYFUNCTION("IFERROR(SUBSTITUTE(SUBSTITUTE(REGEXEXTRACT(A3365, ""[^-]+- [^-]+- [^-]+ - (.+?)\.jpg""), "".jpg"", """"), ""-"", "", ""), """")"),"")</f>
        <v/>
      </c>
      <c r="L3365" s="12"/>
      <c r="M3365" s="13"/>
      <c r="N3365" s="2"/>
      <c r="O3365" s="20"/>
      <c r="P3365" s="42"/>
      <c r="R3365" s="23"/>
    </row>
    <row r="3366" spans="1:18" ht="12.75">
      <c r="A3366" s="12"/>
      <c r="D3366" s="12"/>
      <c r="E3366" s="12"/>
      <c r="H3366" s="11" t="str">
        <f ca="1">IFERROR(__xludf.DUMMYFUNCTION("IFERROR(SUBSTITUTE(SUBSTITUTE(REGEXEXTRACT(A3366, ""[^-]+- [^-]+- [^-]+ - (.+?)\.jpg""), "".jpg"", """"), ""-"", "", ""), """")"),"")</f>
        <v/>
      </c>
      <c r="L3366" s="12"/>
      <c r="M3366" s="13"/>
      <c r="N3366" s="2"/>
      <c r="O3366" s="20"/>
      <c r="P3366" s="42"/>
      <c r="R3366" s="23"/>
    </row>
    <row r="3367" spans="1:18" ht="12.75">
      <c r="A3367" s="12"/>
      <c r="D3367" s="12"/>
      <c r="E3367" s="12"/>
      <c r="H3367" s="11" t="str">
        <f ca="1">IFERROR(__xludf.DUMMYFUNCTION("IFERROR(SUBSTITUTE(SUBSTITUTE(REGEXEXTRACT(A3367, ""[^-]+- [^-]+- [^-]+ - (.+?)\.jpg""), "".jpg"", """"), ""-"", "", ""), """")"),"")</f>
        <v/>
      </c>
      <c r="L3367" s="12"/>
      <c r="M3367" s="13"/>
      <c r="N3367" s="2"/>
      <c r="O3367" s="20"/>
      <c r="P3367" s="42"/>
      <c r="R3367" s="23"/>
    </row>
    <row r="3368" spans="1:18" ht="12.75">
      <c r="A3368" s="12"/>
      <c r="D3368" s="12"/>
      <c r="E3368" s="12"/>
      <c r="H3368" s="11" t="str">
        <f ca="1">IFERROR(__xludf.DUMMYFUNCTION("IFERROR(SUBSTITUTE(SUBSTITUTE(REGEXEXTRACT(A3368, ""[^-]+- [^-]+- [^-]+ - (.+?)\.jpg""), "".jpg"", """"), ""-"", "", ""), """")"),"")</f>
        <v/>
      </c>
      <c r="L3368" s="12"/>
      <c r="M3368" s="13"/>
      <c r="N3368" s="2"/>
      <c r="O3368" s="20"/>
      <c r="P3368" s="42"/>
      <c r="R3368" s="23"/>
    </row>
    <row r="3369" spans="1:18" ht="12.75">
      <c r="A3369" s="12"/>
      <c r="D3369" s="12"/>
      <c r="E3369" s="12"/>
      <c r="H3369" s="11" t="str">
        <f ca="1">IFERROR(__xludf.DUMMYFUNCTION("IFERROR(SUBSTITUTE(SUBSTITUTE(REGEXEXTRACT(A3369, ""[^-]+- [^-]+- [^-]+ - (.+?)\.jpg""), "".jpg"", """"), ""-"", "", ""), """")"),"")</f>
        <v/>
      </c>
      <c r="L3369" s="12"/>
      <c r="M3369" s="13"/>
      <c r="N3369" s="2"/>
      <c r="O3369" s="20"/>
      <c r="P3369" s="42"/>
      <c r="R3369" s="23"/>
    </row>
    <row r="3370" spans="1:18" ht="12.75">
      <c r="A3370" s="12"/>
      <c r="D3370" s="12"/>
      <c r="E3370" s="12"/>
      <c r="H3370" s="11" t="str">
        <f ca="1">IFERROR(__xludf.DUMMYFUNCTION("IFERROR(SUBSTITUTE(SUBSTITUTE(REGEXEXTRACT(A3370, ""[^-]+- [^-]+- [^-]+ - (.+?)\.jpg""), "".jpg"", """"), ""-"", "", ""), """")"),"")</f>
        <v/>
      </c>
      <c r="L3370" s="12"/>
      <c r="M3370" s="13"/>
      <c r="N3370" s="2"/>
      <c r="O3370" s="20"/>
      <c r="P3370" s="42"/>
      <c r="R3370" s="23"/>
    </row>
    <row r="3371" spans="1:18" ht="12.75">
      <c r="A3371" s="12"/>
      <c r="D3371" s="12"/>
      <c r="E3371" s="12"/>
      <c r="H3371" s="11" t="str">
        <f ca="1">IFERROR(__xludf.DUMMYFUNCTION("IFERROR(SUBSTITUTE(SUBSTITUTE(REGEXEXTRACT(A3371, ""[^-]+- [^-]+- [^-]+ - (.+?)\.jpg""), "".jpg"", """"), ""-"", "", ""), """")"),"")</f>
        <v/>
      </c>
      <c r="L3371" s="12"/>
      <c r="M3371" s="13"/>
      <c r="N3371" s="2"/>
      <c r="O3371" s="20"/>
      <c r="P3371" s="42"/>
      <c r="R3371" s="23"/>
    </row>
    <row r="3372" spans="1:18" ht="12.75">
      <c r="A3372" s="12"/>
      <c r="D3372" s="12"/>
      <c r="E3372" s="12"/>
      <c r="H3372" s="11" t="str">
        <f ca="1">IFERROR(__xludf.DUMMYFUNCTION("IFERROR(SUBSTITUTE(SUBSTITUTE(REGEXEXTRACT(A3372, ""[^-]+- [^-]+- [^-]+ - (.+?)\.jpg""), "".jpg"", """"), ""-"", "", ""), """")"),"")</f>
        <v/>
      </c>
      <c r="L3372" s="12"/>
      <c r="M3372" s="13"/>
      <c r="N3372" s="2"/>
      <c r="O3372" s="20"/>
      <c r="P3372" s="42"/>
      <c r="R3372" s="23"/>
    </row>
    <row r="3373" spans="1:18" ht="12.75">
      <c r="A3373" s="12"/>
      <c r="D3373" s="12"/>
      <c r="E3373" s="12"/>
      <c r="H3373" s="11" t="str">
        <f ca="1">IFERROR(__xludf.DUMMYFUNCTION("IFERROR(SUBSTITUTE(SUBSTITUTE(REGEXEXTRACT(A3373, ""[^-]+- [^-]+- [^-]+ - (.+?)\.jpg""), "".jpg"", """"), ""-"", "", ""), """")"),"")</f>
        <v/>
      </c>
      <c r="L3373" s="12"/>
      <c r="M3373" s="13"/>
      <c r="N3373" s="2"/>
      <c r="O3373" s="20"/>
      <c r="P3373" s="42"/>
      <c r="R3373" s="23"/>
    </row>
    <row r="3374" spans="1:18" ht="12.75">
      <c r="A3374" s="12"/>
      <c r="D3374" s="12"/>
      <c r="E3374" s="12"/>
      <c r="H3374" s="11" t="str">
        <f ca="1">IFERROR(__xludf.DUMMYFUNCTION("IFERROR(SUBSTITUTE(SUBSTITUTE(REGEXEXTRACT(A3374, ""[^-]+- [^-]+- [^-]+ - (.+?)\.jpg""), "".jpg"", """"), ""-"", "", ""), """")"),"")</f>
        <v/>
      </c>
      <c r="L3374" s="12"/>
      <c r="M3374" s="13"/>
      <c r="N3374" s="2"/>
      <c r="O3374" s="20"/>
      <c r="P3374" s="42"/>
      <c r="R3374" s="23"/>
    </row>
    <row r="3375" spans="1:18" ht="12.75">
      <c r="A3375" s="12"/>
      <c r="D3375" s="12"/>
      <c r="E3375" s="12"/>
      <c r="H3375" s="11" t="str">
        <f ca="1">IFERROR(__xludf.DUMMYFUNCTION("IFERROR(SUBSTITUTE(SUBSTITUTE(REGEXEXTRACT(A3375, ""[^-]+- [^-]+- [^-]+ - (.+?)\.jpg""), "".jpg"", """"), ""-"", "", ""), """")"),"")</f>
        <v/>
      </c>
      <c r="L3375" s="12"/>
      <c r="M3375" s="13"/>
      <c r="N3375" s="2"/>
      <c r="O3375" s="20"/>
      <c r="P3375" s="42"/>
      <c r="R3375" s="23"/>
    </row>
    <row r="3376" spans="1:18" ht="12.75">
      <c r="A3376" s="12"/>
      <c r="D3376" s="12"/>
      <c r="E3376" s="12"/>
      <c r="H3376" s="11" t="str">
        <f ca="1">IFERROR(__xludf.DUMMYFUNCTION("IFERROR(SUBSTITUTE(SUBSTITUTE(REGEXEXTRACT(A3376, ""[^-]+- [^-]+- [^-]+ - (.+?)\.jpg""), "".jpg"", """"), ""-"", "", ""), """")"),"")</f>
        <v/>
      </c>
      <c r="L3376" s="12"/>
      <c r="M3376" s="13"/>
      <c r="N3376" s="2"/>
      <c r="O3376" s="20"/>
      <c r="P3376" s="42"/>
      <c r="R3376" s="23"/>
    </row>
    <row r="3377" spans="1:18" ht="12.75">
      <c r="A3377" s="12"/>
      <c r="D3377" s="12"/>
      <c r="E3377" s="12"/>
      <c r="H3377" s="11" t="str">
        <f ca="1">IFERROR(__xludf.DUMMYFUNCTION("IFERROR(SUBSTITUTE(SUBSTITUTE(REGEXEXTRACT(A3377, ""[^-]+- [^-]+- [^-]+ - (.+?)\.jpg""), "".jpg"", """"), ""-"", "", ""), """")"),"")</f>
        <v/>
      </c>
      <c r="L3377" s="12"/>
      <c r="M3377" s="13"/>
      <c r="N3377" s="2"/>
      <c r="O3377" s="20"/>
      <c r="P3377" s="42"/>
      <c r="R3377" s="23"/>
    </row>
    <row r="3378" spans="1:18" ht="12.75">
      <c r="A3378" s="12"/>
      <c r="D3378" s="12"/>
      <c r="E3378" s="12"/>
      <c r="H3378" s="11" t="str">
        <f ca="1">IFERROR(__xludf.DUMMYFUNCTION("IFERROR(SUBSTITUTE(SUBSTITUTE(REGEXEXTRACT(A3378, ""[^-]+- [^-]+- [^-]+ - (.+?)\.jpg""), "".jpg"", """"), ""-"", "", ""), """")"),"")</f>
        <v/>
      </c>
      <c r="L3378" s="12"/>
      <c r="M3378" s="13"/>
      <c r="N3378" s="2"/>
      <c r="O3378" s="20"/>
      <c r="P3378" s="42"/>
      <c r="R3378" s="23"/>
    </row>
    <row r="3379" spans="1:18" ht="12.75">
      <c r="A3379" s="12"/>
      <c r="D3379" s="12"/>
      <c r="E3379" s="12"/>
      <c r="H3379" s="11" t="str">
        <f ca="1">IFERROR(__xludf.DUMMYFUNCTION("IFERROR(SUBSTITUTE(SUBSTITUTE(REGEXEXTRACT(A3379, ""[^-]+- [^-]+- [^-]+ - (.+?)\.jpg""), "".jpg"", """"), ""-"", "", ""), """")"),"")</f>
        <v/>
      </c>
      <c r="L3379" s="12"/>
      <c r="M3379" s="13"/>
      <c r="N3379" s="2"/>
      <c r="O3379" s="20"/>
      <c r="P3379" s="42"/>
      <c r="R3379" s="23"/>
    </row>
    <row r="3380" spans="1:18" ht="12.75">
      <c r="A3380" s="12"/>
      <c r="D3380" s="12"/>
      <c r="E3380" s="12"/>
      <c r="H3380" s="11" t="str">
        <f ca="1">IFERROR(__xludf.DUMMYFUNCTION("IFERROR(SUBSTITUTE(SUBSTITUTE(REGEXEXTRACT(A3380, ""[^-]+- [^-]+- [^-]+ - (.+?)\.jpg""), "".jpg"", """"), ""-"", "", ""), """")"),"")</f>
        <v/>
      </c>
      <c r="L3380" s="12"/>
      <c r="M3380" s="13"/>
      <c r="N3380" s="2"/>
      <c r="O3380" s="20"/>
      <c r="P3380" s="42"/>
      <c r="R3380" s="23"/>
    </row>
    <row r="3381" spans="1:18" ht="12.75">
      <c r="A3381" s="12"/>
      <c r="D3381" s="12"/>
      <c r="E3381" s="12"/>
      <c r="H3381" s="11" t="str">
        <f ca="1">IFERROR(__xludf.DUMMYFUNCTION("IFERROR(SUBSTITUTE(SUBSTITUTE(REGEXEXTRACT(A3381, ""[^-]+- [^-]+- [^-]+ - (.+?)\.jpg""), "".jpg"", """"), ""-"", "", ""), """")"),"")</f>
        <v/>
      </c>
      <c r="L3381" s="12"/>
      <c r="M3381" s="13"/>
      <c r="N3381" s="2"/>
      <c r="O3381" s="20"/>
      <c r="P3381" s="42"/>
      <c r="R3381" s="23"/>
    </row>
    <row r="3382" spans="1:18" ht="12.75">
      <c r="A3382" s="12"/>
      <c r="D3382" s="12"/>
      <c r="E3382" s="12"/>
      <c r="H3382" s="11" t="str">
        <f ca="1">IFERROR(__xludf.DUMMYFUNCTION("IFERROR(SUBSTITUTE(SUBSTITUTE(REGEXEXTRACT(A3382, ""[^-]+- [^-]+- [^-]+ - (.+?)\.jpg""), "".jpg"", """"), ""-"", "", ""), """")"),"")</f>
        <v/>
      </c>
      <c r="L3382" s="12"/>
      <c r="M3382" s="13"/>
      <c r="N3382" s="2"/>
      <c r="O3382" s="20"/>
      <c r="P3382" s="42"/>
      <c r="R3382" s="23"/>
    </row>
    <row r="3383" spans="1:18" ht="12.75">
      <c r="A3383" s="12"/>
      <c r="D3383" s="12"/>
      <c r="E3383" s="12"/>
      <c r="H3383" s="11" t="str">
        <f ca="1">IFERROR(__xludf.DUMMYFUNCTION("IFERROR(SUBSTITUTE(SUBSTITUTE(REGEXEXTRACT(A3383, ""[^-]+- [^-]+- [^-]+ - (.+?)\.jpg""), "".jpg"", """"), ""-"", "", ""), """")"),"")</f>
        <v/>
      </c>
      <c r="L3383" s="12"/>
      <c r="M3383" s="13"/>
      <c r="N3383" s="2"/>
      <c r="O3383" s="20"/>
      <c r="P3383" s="42"/>
      <c r="R3383" s="23"/>
    </row>
    <row r="3384" spans="1:18" ht="12.75">
      <c r="A3384" s="12"/>
      <c r="D3384" s="12"/>
      <c r="E3384" s="12"/>
      <c r="H3384" s="11" t="str">
        <f ca="1">IFERROR(__xludf.DUMMYFUNCTION("IFERROR(SUBSTITUTE(SUBSTITUTE(REGEXEXTRACT(A3384, ""[^-]+- [^-]+- [^-]+ - (.+?)\.jpg""), "".jpg"", """"), ""-"", "", ""), """")"),"")</f>
        <v/>
      </c>
      <c r="L3384" s="12"/>
      <c r="M3384" s="13"/>
      <c r="N3384" s="2"/>
      <c r="O3384" s="20"/>
      <c r="P3384" s="42"/>
      <c r="R3384" s="23"/>
    </row>
    <row r="3385" spans="1:18" ht="12.75">
      <c r="A3385" s="12"/>
      <c r="D3385" s="12"/>
      <c r="E3385" s="12"/>
      <c r="H3385" s="11" t="str">
        <f ca="1">IFERROR(__xludf.DUMMYFUNCTION("IFERROR(SUBSTITUTE(SUBSTITUTE(REGEXEXTRACT(A3385, ""[^-]+- [^-]+- [^-]+ - (.+?)\.jpg""), "".jpg"", """"), ""-"", "", ""), """")"),"")</f>
        <v/>
      </c>
      <c r="L3385" s="12"/>
      <c r="M3385" s="13"/>
      <c r="N3385" s="2"/>
      <c r="O3385" s="20"/>
      <c r="P3385" s="42"/>
      <c r="R3385" s="23"/>
    </row>
    <row r="3386" spans="1:18" ht="12.75">
      <c r="A3386" s="12"/>
      <c r="D3386" s="12"/>
      <c r="E3386" s="12"/>
      <c r="H3386" s="11" t="str">
        <f ca="1">IFERROR(__xludf.DUMMYFUNCTION("IFERROR(SUBSTITUTE(SUBSTITUTE(REGEXEXTRACT(A3386, ""[^-]+- [^-]+- [^-]+ - (.+?)\.jpg""), "".jpg"", """"), ""-"", "", ""), """")"),"")</f>
        <v/>
      </c>
      <c r="L3386" s="12"/>
      <c r="M3386" s="13"/>
      <c r="N3386" s="2"/>
      <c r="O3386" s="20"/>
      <c r="P3386" s="42"/>
      <c r="R3386" s="23"/>
    </row>
    <row r="3387" spans="1:18" ht="12.75">
      <c r="A3387" s="12"/>
      <c r="D3387" s="12"/>
      <c r="E3387" s="12"/>
      <c r="H3387" s="11" t="str">
        <f ca="1">IFERROR(__xludf.DUMMYFUNCTION("IFERROR(SUBSTITUTE(SUBSTITUTE(REGEXEXTRACT(A3387, ""[^-]+- [^-]+- [^-]+ - (.+?)\.jpg""), "".jpg"", """"), ""-"", "", ""), """")"),"")</f>
        <v/>
      </c>
      <c r="L3387" s="12"/>
      <c r="M3387" s="13"/>
      <c r="N3387" s="2"/>
      <c r="O3387" s="20"/>
      <c r="P3387" s="42"/>
      <c r="R3387" s="23"/>
    </row>
    <row r="3388" spans="1:18" ht="12.75">
      <c r="A3388" s="12"/>
      <c r="D3388" s="12"/>
      <c r="E3388" s="12"/>
      <c r="H3388" s="11" t="str">
        <f ca="1">IFERROR(__xludf.DUMMYFUNCTION("IFERROR(SUBSTITUTE(SUBSTITUTE(REGEXEXTRACT(A3388, ""[^-]+- [^-]+- [^-]+ - (.+?)\.jpg""), "".jpg"", """"), ""-"", "", ""), """")"),"")</f>
        <v/>
      </c>
      <c r="L3388" s="12"/>
      <c r="M3388" s="13"/>
      <c r="N3388" s="2"/>
      <c r="O3388" s="20"/>
      <c r="P3388" s="42"/>
      <c r="R3388" s="23"/>
    </row>
    <row r="3389" spans="1:18" ht="12.75">
      <c r="A3389" s="12"/>
      <c r="D3389" s="12"/>
      <c r="E3389" s="12"/>
      <c r="H3389" s="11" t="str">
        <f ca="1">IFERROR(__xludf.DUMMYFUNCTION("IFERROR(SUBSTITUTE(SUBSTITUTE(REGEXEXTRACT(A3389, ""[^-]+- [^-]+- [^-]+ - (.+?)\.jpg""), "".jpg"", """"), ""-"", "", ""), """")"),"")</f>
        <v/>
      </c>
      <c r="L3389" s="12"/>
      <c r="M3389" s="13"/>
      <c r="N3389" s="2"/>
      <c r="O3389" s="20"/>
      <c r="P3389" s="42"/>
      <c r="R3389" s="23"/>
    </row>
    <row r="3390" spans="1:18" ht="12.75">
      <c r="A3390" s="12"/>
      <c r="D3390" s="12"/>
      <c r="E3390" s="12"/>
      <c r="H3390" s="11" t="str">
        <f ca="1">IFERROR(__xludf.DUMMYFUNCTION("IFERROR(SUBSTITUTE(SUBSTITUTE(REGEXEXTRACT(A3390, ""[^-]+- [^-]+- [^-]+ - (.+?)\.jpg""), "".jpg"", """"), ""-"", "", ""), """")"),"")</f>
        <v/>
      </c>
      <c r="L3390" s="12"/>
      <c r="M3390" s="13"/>
      <c r="N3390" s="2"/>
      <c r="O3390" s="20"/>
      <c r="P3390" s="42"/>
      <c r="R3390" s="23"/>
    </row>
    <row r="3391" spans="1:18" ht="12.75">
      <c r="A3391" s="12"/>
      <c r="D3391" s="12"/>
      <c r="E3391" s="12"/>
      <c r="H3391" s="11" t="str">
        <f ca="1">IFERROR(__xludf.DUMMYFUNCTION("IFERROR(SUBSTITUTE(SUBSTITUTE(REGEXEXTRACT(A3391, ""[^-]+- [^-]+- [^-]+ - (.+?)\.jpg""), "".jpg"", """"), ""-"", "", ""), """")"),"")</f>
        <v/>
      </c>
      <c r="L3391" s="12"/>
      <c r="M3391" s="13"/>
      <c r="N3391" s="2"/>
      <c r="O3391" s="20"/>
      <c r="P3391" s="42"/>
      <c r="R3391" s="23"/>
    </row>
    <row r="3392" spans="1:18" ht="12.75">
      <c r="A3392" s="12"/>
      <c r="D3392" s="12"/>
      <c r="E3392" s="12"/>
      <c r="H3392" s="11" t="str">
        <f ca="1">IFERROR(__xludf.DUMMYFUNCTION("IFERROR(SUBSTITUTE(SUBSTITUTE(REGEXEXTRACT(A3392, ""[^-]+- [^-]+- [^-]+ - (.+?)\.jpg""), "".jpg"", """"), ""-"", "", ""), """")"),"")</f>
        <v/>
      </c>
      <c r="L3392" s="12"/>
      <c r="M3392" s="13"/>
      <c r="N3392" s="2"/>
      <c r="O3392" s="20"/>
      <c r="P3392" s="42"/>
      <c r="R3392" s="23"/>
    </row>
    <row r="3393" spans="1:18" ht="12.75">
      <c r="A3393" s="12"/>
      <c r="D3393" s="12"/>
      <c r="E3393" s="12"/>
      <c r="H3393" s="11" t="str">
        <f ca="1">IFERROR(__xludf.DUMMYFUNCTION("IFERROR(SUBSTITUTE(SUBSTITUTE(REGEXEXTRACT(A3393, ""[^-]+- [^-]+- [^-]+ - (.+?)\.jpg""), "".jpg"", """"), ""-"", "", ""), """")"),"")</f>
        <v/>
      </c>
      <c r="L3393" s="12"/>
      <c r="M3393" s="13"/>
      <c r="N3393" s="2"/>
      <c r="O3393" s="20"/>
      <c r="P3393" s="42"/>
      <c r="R3393" s="23"/>
    </row>
    <row r="3394" spans="1:18" ht="12.75">
      <c r="A3394" s="12"/>
      <c r="D3394" s="12"/>
      <c r="E3394" s="12"/>
      <c r="H3394" s="11" t="str">
        <f ca="1">IFERROR(__xludf.DUMMYFUNCTION("IFERROR(SUBSTITUTE(SUBSTITUTE(REGEXEXTRACT(A3394, ""[^-]+- [^-]+- [^-]+ - (.+?)\.jpg""), "".jpg"", """"), ""-"", "", ""), """")"),"")</f>
        <v/>
      </c>
      <c r="L3394" s="12"/>
      <c r="M3394" s="13"/>
      <c r="N3394" s="2"/>
      <c r="O3394" s="20"/>
      <c r="P3394" s="42"/>
      <c r="R3394" s="23"/>
    </row>
    <row r="3395" spans="1:18" ht="12.75">
      <c r="A3395" s="12"/>
      <c r="D3395" s="12"/>
      <c r="E3395" s="12"/>
      <c r="H3395" s="11" t="str">
        <f ca="1">IFERROR(__xludf.DUMMYFUNCTION("IFERROR(SUBSTITUTE(SUBSTITUTE(REGEXEXTRACT(A3395, ""[^-]+- [^-]+- [^-]+ - (.+?)\.jpg""), "".jpg"", """"), ""-"", "", ""), """")"),"")</f>
        <v/>
      </c>
      <c r="L3395" s="12"/>
      <c r="M3395" s="13"/>
      <c r="N3395" s="2"/>
      <c r="O3395" s="20"/>
      <c r="P3395" s="42"/>
      <c r="R3395" s="23"/>
    </row>
    <row r="3396" spans="1:18" ht="12.75">
      <c r="A3396" s="12"/>
      <c r="D3396" s="12"/>
      <c r="E3396" s="12"/>
      <c r="H3396" s="11" t="str">
        <f ca="1">IFERROR(__xludf.DUMMYFUNCTION("IFERROR(SUBSTITUTE(SUBSTITUTE(REGEXEXTRACT(A3396, ""[^-]+- [^-]+- [^-]+ - (.+?)\.jpg""), "".jpg"", """"), ""-"", "", ""), """")"),"")</f>
        <v/>
      </c>
      <c r="L3396" s="12"/>
      <c r="M3396" s="13"/>
      <c r="N3396" s="2"/>
      <c r="O3396" s="20"/>
      <c r="P3396" s="42"/>
      <c r="R3396" s="23"/>
    </row>
    <row r="3397" spans="1:18" ht="12.75">
      <c r="A3397" s="12"/>
      <c r="D3397" s="12"/>
      <c r="E3397" s="12"/>
      <c r="H3397" s="11" t="str">
        <f ca="1">IFERROR(__xludf.DUMMYFUNCTION("IFERROR(SUBSTITUTE(SUBSTITUTE(REGEXEXTRACT(A3397, ""[^-]+- [^-]+- [^-]+ - (.+?)\.jpg""), "".jpg"", """"), ""-"", "", ""), """")"),"")</f>
        <v/>
      </c>
      <c r="L3397" s="12"/>
      <c r="M3397" s="13"/>
      <c r="N3397" s="2"/>
      <c r="O3397" s="20"/>
      <c r="P3397" s="42"/>
      <c r="R3397" s="23"/>
    </row>
    <row r="3398" spans="1:18" ht="12.75">
      <c r="A3398" s="12"/>
      <c r="D3398" s="12"/>
      <c r="E3398" s="12"/>
      <c r="H3398" s="11" t="str">
        <f ca="1">IFERROR(__xludf.DUMMYFUNCTION("IFERROR(SUBSTITUTE(SUBSTITUTE(REGEXEXTRACT(A3398, ""[^-]+- [^-]+- [^-]+ - (.+?)\.jpg""), "".jpg"", """"), ""-"", "", ""), """")"),"")</f>
        <v/>
      </c>
      <c r="L3398" s="12"/>
      <c r="M3398" s="13"/>
      <c r="N3398" s="2"/>
      <c r="O3398" s="20"/>
      <c r="P3398" s="42"/>
      <c r="R3398" s="23"/>
    </row>
    <row r="3399" spans="1:18" ht="12.75">
      <c r="A3399" s="12"/>
      <c r="D3399" s="12"/>
      <c r="E3399" s="12"/>
      <c r="H3399" s="11" t="str">
        <f ca="1">IFERROR(__xludf.DUMMYFUNCTION("IFERROR(SUBSTITUTE(SUBSTITUTE(REGEXEXTRACT(A3399, ""[^-]+- [^-]+- [^-]+ - (.+?)\.jpg""), "".jpg"", """"), ""-"", "", ""), """")"),"")</f>
        <v/>
      </c>
      <c r="L3399" s="12"/>
      <c r="M3399" s="13"/>
      <c r="N3399" s="2"/>
      <c r="O3399" s="20"/>
      <c r="P3399" s="42"/>
      <c r="R3399" s="23"/>
    </row>
    <row r="3400" spans="1:18" ht="12.75">
      <c r="A3400" s="12"/>
      <c r="D3400" s="12"/>
      <c r="E3400" s="12"/>
      <c r="H3400" s="11" t="str">
        <f ca="1">IFERROR(__xludf.DUMMYFUNCTION("IFERROR(SUBSTITUTE(SUBSTITUTE(REGEXEXTRACT(A3400, ""[^-]+- [^-]+- [^-]+ - (.+?)\.jpg""), "".jpg"", """"), ""-"", "", ""), """")"),"")</f>
        <v/>
      </c>
      <c r="L3400" s="12"/>
      <c r="M3400" s="13"/>
      <c r="N3400" s="2"/>
      <c r="O3400" s="20"/>
      <c r="P3400" s="42"/>
      <c r="R3400" s="23"/>
    </row>
    <row r="3401" spans="1:18" ht="12.75">
      <c r="A3401" s="12"/>
      <c r="D3401" s="12"/>
      <c r="E3401" s="12"/>
      <c r="H3401" s="11" t="str">
        <f ca="1">IFERROR(__xludf.DUMMYFUNCTION("IFERROR(SUBSTITUTE(SUBSTITUTE(REGEXEXTRACT(A3401, ""[^-]+- [^-]+- [^-]+ - (.+?)\.jpg""), "".jpg"", """"), ""-"", "", ""), """")"),"")</f>
        <v/>
      </c>
      <c r="L3401" s="12"/>
      <c r="M3401" s="13"/>
      <c r="N3401" s="2"/>
      <c r="O3401" s="20"/>
      <c r="P3401" s="42"/>
      <c r="R3401" s="23"/>
    </row>
    <row r="3402" spans="1:18" ht="12.75">
      <c r="A3402" s="12"/>
      <c r="D3402" s="12"/>
      <c r="E3402" s="12"/>
      <c r="H3402" s="11" t="str">
        <f ca="1">IFERROR(__xludf.DUMMYFUNCTION("IFERROR(SUBSTITUTE(SUBSTITUTE(REGEXEXTRACT(A3402, ""[^-]+- [^-]+- [^-]+ - (.+?)\.jpg""), "".jpg"", """"), ""-"", "", ""), """")"),"")</f>
        <v/>
      </c>
      <c r="L3402" s="12"/>
      <c r="M3402" s="13"/>
      <c r="N3402" s="2"/>
      <c r="O3402" s="20"/>
      <c r="P3402" s="42"/>
      <c r="R3402" s="23"/>
    </row>
    <row r="3403" spans="1:18" ht="12.75">
      <c r="A3403" s="12"/>
      <c r="D3403" s="12"/>
      <c r="E3403" s="12"/>
      <c r="H3403" s="11" t="str">
        <f ca="1">IFERROR(__xludf.DUMMYFUNCTION("IFERROR(SUBSTITUTE(SUBSTITUTE(REGEXEXTRACT(A3403, ""[^-]+- [^-]+- [^-]+ - (.+?)\.jpg""), "".jpg"", """"), ""-"", "", ""), """")"),"")</f>
        <v/>
      </c>
      <c r="L3403" s="12"/>
      <c r="M3403" s="13"/>
      <c r="N3403" s="2"/>
      <c r="O3403" s="20"/>
      <c r="P3403" s="42"/>
      <c r="R3403" s="23"/>
    </row>
    <row r="3404" spans="1:18" ht="12.75">
      <c r="A3404" s="12"/>
      <c r="D3404" s="12"/>
      <c r="E3404" s="12"/>
      <c r="H3404" s="11" t="str">
        <f ca="1">IFERROR(__xludf.DUMMYFUNCTION("IFERROR(SUBSTITUTE(SUBSTITUTE(REGEXEXTRACT(A3404, ""[^-]+- [^-]+- [^-]+ - (.+?)\.jpg""), "".jpg"", """"), ""-"", "", ""), """")"),"")</f>
        <v/>
      </c>
      <c r="L3404" s="12"/>
      <c r="M3404" s="13"/>
      <c r="N3404" s="2"/>
      <c r="O3404" s="20"/>
      <c r="P3404" s="42"/>
      <c r="R3404" s="23"/>
    </row>
    <row r="3405" spans="1:18" ht="12.75">
      <c r="A3405" s="12"/>
      <c r="D3405" s="12"/>
      <c r="E3405" s="12"/>
      <c r="H3405" s="11" t="str">
        <f ca="1">IFERROR(__xludf.DUMMYFUNCTION("IFERROR(SUBSTITUTE(SUBSTITUTE(REGEXEXTRACT(A3405, ""[^-]+- [^-]+- [^-]+ - (.+?)\.jpg""), "".jpg"", """"), ""-"", "", ""), """")"),"")</f>
        <v/>
      </c>
      <c r="L3405" s="12"/>
      <c r="M3405" s="13"/>
      <c r="N3405" s="2"/>
      <c r="O3405" s="20"/>
      <c r="P3405" s="42"/>
      <c r="R3405" s="23"/>
    </row>
    <row r="3406" spans="1:18" ht="12.75">
      <c r="A3406" s="12"/>
      <c r="D3406" s="12"/>
      <c r="E3406" s="12"/>
      <c r="H3406" s="11" t="str">
        <f ca="1">IFERROR(__xludf.DUMMYFUNCTION("IFERROR(SUBSTITUTE(SUBSTITUTE(REGEXEXTRACT(A3406, ""[^-]+- [^-]+- [^-]+ - (.+?)\.jpg""), "".jpg"", """"), ""-"", "", ""), """")"),"")</f>
        <v/>
      </c>
      <c r="L3406" s="12"/>
      <c r="M3406" s="13"/>
      <c r="N3406" s="2"/>
      <c r="O3406" s="20"/>
      <c r="P3406" s="42"/>
      <c r="R3406" s="23"/>
    </row>
    <row r="3407" spans="1:18" ht="12.75">
      <c r="A3407" s="12"/>
      <c r="D3407" s="12"/>
      <c r="E3407" s="12"/>
      <c r="H3407" s="11" t="str">
        <f ca="1">IFERROR(__xludf.DUMMYFUNCTION("IFERROR(SUBSTITUTE(SUBSTITUTE(REGEXEXTRACT(A3407, ""[^-]+- [^-]+- [^-]+ - (.+?)\.jpg""), "".jpg"", """"), ""-"", "", ""), """")"),"")</f>
        <v/>
      </c>
      <c r="L3407" s="12"/>
      <c r="M3407" s="13"/>
      <c r="N3407" s="2"/>
      <c r="O3407" s="20"/>
      <c r="P3407" s="42"/>
      <c r="R3407" s="23"/>
    </row>
    <row r="3408" spans="1:18" ht="12.75">
      <c r="A3408" s="12"/>
      <c r="D3408" s="12"/>
      <c r="E3408" s="12"/>
      <c r="H3408" s="11" t="str">
        <f ca="1">IFERROR(__xludf.DUMMYFUNCTION("IFERROR(SUBSTITUTE(SUBSTITUTE(REGEXEXTRACT(A3408, ""[^-]+- [^-]+- [^-]+ - (.+?)\.jpg""), "".jpg"", """"), ""-"", "", ""), """")"),"")</f>
        <v/>
      </c>
      <c r="L3408" s="12"/>
      <c r="M3408" s="13"/>
      <c r="N3408" s="2"/>
      <c r="O3408" s="20"/>
      <c r="P3408" s="42"/>
      <c r="R3408" s="23"/>
    </row>
    <row r="3409" spans="1:18" ht="12.75">
      <c r="A3409" s="12"/>
      <c r="D3409" s="12"/>
      <c r="E3409" s="12"/>
      <c r="H3409" s="11" t="str">
        <f ca="1">IFERROR(__xludf.DUMMYFUNCTION("IFERROR(SUBSTITUTE(SUBSTITUTE(REGEXEXTRACT(A3409, ""[^-]+- [^-]+- [^-]+ - (.+?)\.jpg""), "".jpg"", """"), ""-"", "", ""), """")"),"")</f>
        <v/>
      </c>
      <c r="L3409" s="12"/>
      <c r="M3409" s="13"/>
      <c r="N3409" s="2"/>
      <c r="O3409" s="20"/>
      <c r="P3409" s="42"/>
      <c r="R3409" s="23"/>
    </row>
    <row r="3410" spans="1:18" ht="12.75">
      <c r="A3410" s="12"/>
      <c r="D3410" s="12"/>
      <c r="E3410" s="12"/>
      <c r="H3410" s="11" t="str">
        <f ca="1">IFERROR(__xludf.DUMMYFUNCTION("IFERROR(SUBSTITUTE(SUBSTITUTE(REGEXEXTRACT(A3410, ""[^-]+- [^-]+- [^-]+ - (.+?)\.jpg""), "".jpg"", """"), ""-"", "", ""), """")"),"")</f>
        <v/>
      </c>
      <c r="L3410" s="12"/>
      <c r="M3410" s="13"/>
      <c r="N3410" s="2"/>
      <c r="O3410" s="20"/>
      <c r="P3410" s="42"/>
      <c r="R3410" s="23"/>
    </row>
    <row r="3411" spans="1:18" ht="12.75">
      <c r="A3411" s="12"/>
      <c r="D3411" s="12"/>
      <c r="E3411" s="12"/>
      <c r="H3411" s="11" t="str">
        <f ca="1">IFERROR(__xludf.DUMMYFUNCTION("IFERROR(SUBSTITUTE(SUBSTITUTE(REGEXEXTRACT(A3411, ""[^-]+- [^-]+- [^-]+ - (.+?)\.jpg""), "".jpg"", """"), ""-"", "", ""), """")"),"")</f>
        <v/>
      </c>
      <c r="L3411" s="12"/>
      <c r="M3411" s="13"/>
      <c r="N3411" s="2"/>
      <c r="O3411" s="20"/>
      <c r="P3411" s="42"/>
      <c r="R3411" s="23"/>
    </row>
    <row r="3412" spans="1:18" ht="12.75">
      <c r="A3412" s="12"/>
      <c r="D3412" s="12"/>
      <c r="E3412" s="12"/>
      <c r="H3412" s="11" t="str">
        <f ca="1">IFERROR(__xludf.DUMMYFUNCTION("IFERROR(SUBSTITUTE(SUBSTITUTE(REGEXEXTRACT(A3412, ""[^-]+- [^-]+- [^-]+ - (.+?)\.jpg""), "".jpg"", """"), ""-"", "", ""), """")"),"")</f>
        <v/>
      </c>
      <c r="L3412" s="12"/>
      <c r="M3412" s="13"/>
      <c r="N3412" s="2"/>
      <c r="O3412" s="20"/>
      <c r="P3412" s="42"/>
      <c r="R3412" s="23"/>
    </row>
    <row r="3413" spans="1:18" ht="12.75">
      <c r="A3413" s="12"/>
      <c r="D3413" s="12"/>
      <c r="E3413" s="12"/>
      <c r="H3413" s="11" t="str">
        <f ca="1">IFERROR(__xludf.DUMMYFUNCTION("IFERROR(SUBSTITUTE(SUBSTITUTE(REGEXEXTRACT(A3413, ""[^-]+- [^-]+- [^-]+ - (.+?)\.jpg""), "".jpg"", """"), ""-"", "", ""), """")"),"")</f>
        <v/>
      </c>
      <c r="L3413" s="12"/>
      <c r="M3413" s="13"/>
      <c r="N3413" s="2"/>
      <c r="O3413" s="20"/>
      <c r="P3413" s="42"/>
      <c r="R3413" s="23"/>
    </row>
    <row r="3414" spans="1:18" ht="12.75">
      <c r="A3414" s="12"/>
      <c r="D3414" s="12"/>
      <c r="E3414" s="12"/>
      <c r="H3414" s="11" t="str">
        <f ca="1">IFERROR(__xludf.DUMMYFUNCTION("IFERROR(SUBSTITUTE(SUBSTITUTE(REGEXEXTRACT(A3414, ""[^-]+- [^-]+- [^-]+ - (.+?)\.jpg""), "".jpg"", """"), ""-"", "", ""), """")"),"")</f>
        <v/>
      </c>
      <c r="L3414" s="12"/>
      <c r="M3414" s="13"/>
      <c r="N3414" s="2"/>
      <c r="O3414" s="20"/>
      <c r="P3414" s="42"/>
      <c r="R3414" s="23"/>
    </row>
    <row r="3415" spans="1:18" ht="12.75">
      <c r="A3415" s="12"/>
      <c r="D3415" s="12"/>
      <c r="E3415" s="12"/>
      <c r="H3415" s="11" t="str">
        <f ca="1">IFERROR(__xludf.DUMMYFUNCTION("IFERROR(SUBSTITUTE(SUBSTITUTE(REGEXEXTRACT(A3415, ""[^-]+- [^-]+- [^-]+ - (.+?)\.jpg""), "".jpg"", """"), ""-"", "", ""), """")"),"")</f>
        <v/>
      </c>
      <c r="L3415" s="12"/>
      <c r="M3415" s="13"/>
      <c r="N3415" s="2"/>
      <c r="O3415" s="20"/>
      <c r="P3415" s="42"/>
      <c r="R3415" s="23"/>
    </row>
    <row r="3416" spans="1:18" ht="12.75">
      <c r="A3416" s="12"/>
      <c r="D3416" s="12"/>
      <c r="E3416" s="12"/>
      <c r="H3416" s="11" t="str">
        <f ca="1">IFERROR(__xludf.DUMMYFUNCTION("IFERROR(SUBSTITUTE(SUBSTITUTE(REGEXEXTRACT(A3416, ""[^-]+- [^-]+- [^-]+ - (.+?)\.jpg""), "".jpg"", """"), ""-"", "", ""), """")"),"")</f>
        <v/>
      </c>
      <c r="L3416" s="12"/>
      <c r="M3416" s="13"/>
      <c r="N3416" s="2"/>
      <c r="O3416" s="20"/>
      <c r="P3416" s="42"/>
      <c r="R3416" s="23"/>
    </row>
    <row r="3417" spans="1:18" ht="12.75">
      <c r="A3417" s="12"/>
      <c r="D3417" s="12"/>
      <c r="E3417" s="12"/>
      <c r="H3417" s="11" t="str">
        <f ca="1">IFERROR(__xludf.DUMMYFUNCTION("IFERROR(SUBSTITUTE(SUBSTITUTE(REGEXEXTRACT(A3417, ""[^-]+- [^-]+- [^-]+ - (.+?)\.jpg""), "".jpg"", """"), ""-"", "", ""), """")"),"")</f>
        <v/>
      </c>
      <c r="L3417" s="12"/>
      <c r="M3417" s="13"/>
      <c r="N3417" s="2"/>
      <c r="O3417" s="20"/>
      <c r="P3417" s="42"/>
      <c r="R3417" s="23"/>
    </row>
    <row r="3418" spans="1:18" ht="12.75">
      <c r="A3418" s="12"/>
      <c r="D3418" s="12"/>
      <c r="E3418" s="12"/>
      <c r="H3418" s="11" t="str">
        <f ca="1">IFERROR(__xludf.DUMMYFUNCTION("IFERROR(SUBSTITUTE(SUBSTITUTE(REGEXEXTRACT(A3418, ""[^-]+- [^-]+- [^-]+ - (.+?)\.jpg""), "".jpg"", """"), ""-"", "", ""), """")"),"")</f>
        <v/>
      </c>
      <c r="L3418" s="12"/>
      <c r="M3418" s="13"/>
      <c r="N3418" s="2"/>
      <c r="O3418" s="20"/>
      <c r="P3418" s="42"/>
      <c r="R3418" s="23"/>
    </row>
    <row r="3419" spans="1:18" ht="12.75">
      <c r="A3419" s="12"/>
      <c r="D3419" s="12"/>
      <c r="E3419" s="12"/>
      <c r="H3419" s="11" t="str">
        <f ca="1">IFERROR(__xludf.DUMMYFUNCTION("IFERROR(SUBSTITUTE(SUBSTITUTE(REGEXEXTRACT(A3419, ""[^-]+- [^-]+- [^-]+ - (.+?)\.jpg""), "".jpg"", """"), ""-"", "", ""), """")"),"")</f>
        <v/>
      </c>
      <c r="L3419" s="12"/>
      <c r="M3419" s="13"/>
      <c r="N3419" s="2"/>
      <c r="O3419" s="20"/>
      <c r="P3419" s="42"/>
      <c r="R3419" s="23"/>
    </row>
    <row r="3420" spans="1:18" ht="12.75">
      <c r="A3420" s="12"/>
      <c r="D3420" s="12"/>
      <c r="E3420" s="12"/>
      <c r="H3420" s="11" t="str">
        <f ca="1">IFERROR(__xludf.DUMMYFUNCTION("IFERROR(SUBSTITUTE(SUBSTITUTE(REGEXEXTRACT(A3420, ""[^-]+- [^-]+- [^-]+ - (.+?)\.jpg""), "".jpg"", """"), ""-"", "", ""), """")"),"")</f>
        <v/>
      </c>
      <c r="L3420" s="12"/>
      <c r="M3420" s="13"/>
      <c r="N3420" s="2"/>
      <c r="O3420" s="20"/>
      <c r="P3420" s="42"/>
      <c r="R3420" s="23"/>
    </row>
    <row r="3421" spans="1:18" ht="12.75">
      <c r="A3421" s="12"/>
      <c r="D3421" s="12"/>
      <c r="E3421" s="12"/>
      <c r="H3421" s="11" t="str">
        <f ca="1">IFERROR(__xludf.DUMMYFUNCTION("IFERROR(SUBSTITUTE(SUBSTITUTE(REGEXEXTRACT(A3421, ""[^-]+- [^-]+- [^-]+ - (.+?)\.jpg""), "".jpg"", """"), ""-"", "", ""), """")"),"")</f>
        <v/>
      </c>
      <c r="L3421" s="12"/>
      <c r="M3421" s="13"/>
      <c r="N3421" s="2"/>
      <c r="O3421" s="20"/>
      <c r="P3421" s="42"/>
      <c r="R3421" s="23"/>
    </row>
    <row r="3422" spans="1:18" ht="12.75">
      <c r="A3422" s="12"/>
      <c r="D3422" s="12"/>
      <c r="E3422" s="12"/>
      <c r="H3422" s="11" t="str">
        <f ca="1">IFERROR(__xludf.DUMMYFUNCTION("IFERROR(SUBSTITUTE(SUBSTITUTE(REGEXEXTRACT(A3422, ""[^-]+- [^-]+- [^-]+ - (.+?)\.jpg""), "".jpg"", """"), ""-"", "", ""), """")"),"")</f>
        <v/>
      </c>
      <c r="L3422" s="12"/>
      <c r="M3422" s="13"/>
      <c r="N3422" s="2"/>
      <c r="O3422" s="20"/>
      <c r="P3422" s="42"/>
      <c r="R3422" s="23"/>
    </row>
    <row r="3423" spans="1:18" ht="12.75">
      <c r="A3423" s="12"/>
      <c r="D3423" s="12"/>
      <c r="E3423" s="12"/>
      <c r="H3423" s="11" t="str">
        <f ca="1">IFERROR(__xludf.DUMMYFUNCTION("IFERROR(SUBSTITUTE(SUBSTITUTE(REGEXEXTRACT(A3423, ""[^-]+- [^-]+- [^-]+ - (.+?)\.jpg""), "".jpg"", """"), ""-"", "", ""), """")"),"")</f>
        <v/>
      </c>
      <c r="L3423" s="12"/>
      <c r="M3423" s="13"/>
      <c r="N3423" s="2"/>
      <c r="O3423" s="20"/>
      <c r="P3423" s="42"/>
      <c r="R3423" s="23"/>
    </row>
    <row r="3424" spans="1:18" ht="12.75">
      <c r="A3424" s="12"/>
      <c r="D3424" s="12"/>
      <c r="E3424" s="12"/>
      <c r="H3424" s="11" t="str">
        <f ca="1">IFERROR(__xludf.DUMMYFUNCTION("IFERROR(SUBSTITUTE(SUBSTITUTE(REGEXEXTRACT(A3424, ""[^-]+- [^-]+- [^-]+ - (.+?)\.jpg""), "".jpg"", """"), ""-"", "", ""), """")"),"")</f>
        <v/>
      </c>
      <c r="L3424" s="12"/>
      <c r="M3424" s="13"/>
      <c r="N3424" s="2"/>
      <c r="O3424" s="20"/>
      <c r="P3424" s="42"/>
      <c r="R3424" s="23"/>
    </row>
    <row r="3425" spans="1:18" ht="12.75">
      <c r="A3425" s="12"/>
      <c r="D3425" s="12"/>
      <c r="E3425" s="12"/>
      <c r="H3425" s="11" t="str">
        <f ca="1">IFERROR(__xludf.DUMMYFUNCTION("IFERROR(SUBSTITUTE(SUBSTITUTE(REGEXEXTRACT(A3425, ""[^-]+- [^-]+- [^-]+ - (.+?)\.jpg""), "".jpg"", """"), ""-"", "", ""), """")"),"")</f>
        <v/>
      </c>
      <c r="L3425" s="12"/>
      <c r="M3425" s="13"/>
      <c r="N3425" s="2"/>
      <c r="O3425" s="20"/>
      <c r="P3425" s="42"/>
      <c r="R3425" s="23"/>
    </row>
    <row r="3426" spans="1:18" ht="12.75">
      <c r="A3426" s="12"/>
      <c r="D3426" s="12"/>
      <c r="E3426" s="12"/>
      <c r="H3426" s="11" t="str">
        <f ca="1">IFERROR(__xludf.DUMMYFUNCTION("IFERROR(SUBSTITUTE(SUBSTITUTE(REGEXEXTRACT(A3426, ""[^-]+- [^-]+- [^-]+ - (.+?)\.jpg""), "".jpg"", """"), ""-"", "", ""), """")"),"")</f>
        <v/>
      </c>
      <c r="L3426" s="12"/>
      <c r="M3426" s="13"/>
      <c r="N3426" s="2"/>
      <c r="O3426" s="20"/>
      <c r="P3426" s="42"/>
      <c r="R3426" s="23"/>
    </row>
    <row r="3427" spans="1:18" ht="12.75">
      <c r="A3427" s="12"/>
      <c r="D3427" s="12"/>
      <c r="E3427" s="12"/>
      <c r="H3427" s="11" t="str">
        <f ca="1">IFERROR(__xludf.DUMMYFUNCTION("IFERROR(SUBSTITUTE(SUBSTITUTE(REGEXEXTRACT(A3427, ""[^-]+- [^-]+- [^-]+ - (.+?)\.jpg""), "".jpg"", """"), ""-"", "", ""), """")"),"")</f>
        <v/>
      </c>
      <c r="L3427" s="12"/>
      <c r="M3427" s="13"/>
      <c r="N3427" s="2"/>
      <c r="O3427" s="20"/>
      <c r="P3427" s="42"/>
      <c r="R3427" s="23"/>
    </row>
    <row r="3428" spans="1:18" ht="12.75">
      <c r="A3428" s="12"/>
      <c r="D3428" s="12"/>
      <c r="E3428" s="12"/>
      <c r="H3428" s="11" t="str">
        <f ca="1">IFERROR(__xludf.DUMMYFUNCTION("IFERROR(SUBSTITUTE(SUBSTITUTE(REGEXEXTRACT(A3428, ""[^-]+- [^-]+- [^-]+ - (.+?)\.jpg""), "".jpg"", """"), ""-"", "", ""), """")"),"")</f>
        <v/>
      </c>
      <c r="L3428" s="12"/>
      <c r="M3428" s="13"/>
      <c r="N3428" s="2"/>
      <c r="O3428" s="20"/>
      <c r="P3428" s="42"/>
      <c r="R3428" s="23"/>
    </row>
    <row r="3429" spans="1:18" ht="12.75">
      <c r="A3429" s="12"/>
      <c r="D3429" s="12"/>
      <c r="E3429" s="12"/>
      <c r="H3429" s="11" t="str">
        <f ca="1">IFERROR(__xludf.DUMMYFUNCTION("IFERROR(SUBSTITUTE(SUBSTITUTE(REGEXEXTRACT(A3429, ""[^-]+- [^-]+- [^-]+ - (.+?)\.jpg""), "".jpg"", """"), ""-"", "", ""), """")"),"")</f>
        <v/>
      </c>
      <c r="L3429" s="12"/>
      <c r="M3429" s="13"/>
      <c r="N3429" s="2"/>
      <c r="O3429" s="20"/>
      <c r="P3429" s="42"/>
      <c r="R3429" s="23"/>
    </row>
    <row r="3430" spans="1:18" ht="12.75">
      <c r="A3430" s="12"/>
      <c r="D3430" s="12"/>
      <c r="E3430" s="12"/>
      <c r="H3430" s="11" t="str">
        <f ca="1">IFERROR(__xludf.DUMMYFUNCTION("IFERROR(SUBSTITUTE(SUBSTITUTE(REGEXEXTRACT(A3430, ""[^-]+- [^-]+- [^-]+ - (.+?)\.jpg""), "".jpg"", """"), ""-"", "", ""), """")"),"")</f>
        <v/>
      </c>
      <c r="L3430" s="12"/>
      <c r="M3430" s="13"/>
      <c r="N3430" s="2"/>
      <c r="O3430" s="20"/>
      <c r="P3430" s="42"/>
      <c r="R3430" s="23"/>
    </row>
    <row r="3431" spans="1:18" ht="12.75">
      <c r="A3431" s="12"/>
      <c r="D3431" s="12"/>
      <c r="E3431" s="12"/>
      <c r="H3431" s="11" t="str">
        <f ca="1">IFERROR(__xludf.DUMMYFUNCTION("IFERROR(SUBSTITUTE(SUBSTITUTE(REGEXEXTRACT(A3431, ""[^-]+- [^-]+- [^-]+ - (.+?)\.jpg""), "".jpg"", """"), ""-"", "", ""), """")"),"")</f>
        <v/>
      </c>
      <c r="L3431" s="12"/>
      <c r="M3431" s="13"/>
      <c r="N3431" s="2"/>
      <c r="O3431" s="20"/>
      <c r="P3431" s="42"/>
      <c r="R3431" s="23"/>
    </row>
    <row r="3432" spans="1:18" ht="12.75">
      <c r="A3432" s="12"/>
      <c r="D3432" s="12"/>
      <c r="E3432" s="12"/>
      <c r="H3432" s="11" t="str">
        <f ca="1">IFERROR(__xludf.DUMMYFUNCTION("IFERROR(SUBSTITUTE(SUBSTITUTE(REGEXEXTRACT(A3432, ""[^-]+- [^-]+- [^-]+ - (.+?)\.jpg""), "".jpg"", """"), ""-"", "", ""), """")"),"")</f>
        <v/>
      </c>
      <c r="L3432" s="12"/>
      <c r="M3432" s="13"/>
      <c r="N3432" s="2"/>
      <c r="O3432" s="20"/>
      <c r="P3432" s="42"/>
      <c r="R3432" s="23"/>
    </row>
    <row r="3433" spans="1:18" ht="12.75">
      <c r="A3433" s="12"/>
      <c r="D3433" s="12"/>
      <c r="E3433" s="12"/>
      <c r="H3433" s="11" t="str">
        <f ca="1">IFERROR(__xludf.DUMMYFUNCTION("IFERROR(SUBSTITUTE(SUBSTITUTE(REGEXEXTRACT(A3433, ""[^-]+- [^-]+- [^-]+ - (.+?)\.jpg""), "".jpg"", """"), ""-"", "", ""), """")"),"")</f>
        <v/>
      </c>
      <c r="L3433" s="12"/>
      <c r="M3433" s="13"/>
      <c r="N3433" s="2"/>
      <c r="O3433" s="20"/>
      <c r="P3433" s="42"/>
      <c r="R3433" s="23"/>
    </row>
    <row r="3434" spans="1:18" ht="12.75">
      <c r="A3434" s="12"/>
      <c r="D3434" s="12"/>
      <c r="E3434" s="12"/>
      <c r="H3434" s="11" t="str">
        <f ca="1">IFERROR(__xludf.DUMMYFUNCTION("IFERROR(SUBSTITUTE(SUBSTITUTE(REGEXEXTRACT(A3434, ""[^-]+- [^-]+- [^-]+ - (.+?)\.jpg""), "".jpg"", """"), ""-"", "", ""), """")"),"")</f>
        <v/>
      </c>
      <c r="L3434" s="12"/>
      <c r="M3434" s="13"/>
      <c r="N3434" s="2"/>
      <c r="O3434" s="20"/>
      <c r="P3434" s="42"/>
      <c r="R3434" s="23"/>
    </row>
    <row r="3435" spans="1:18" ht="12.75">
      <c r="A3435" s="12"/>
      <c r="D3435" s="12"/>
      <c r="E3435" s="12"/>
      <c r="H3435" s="11" t="str">
        <f ca="1">IFERROR(__xludf.DUMMYFUNCTION("IFERROR(SUBSTITUTE(SUBSTITUTE(REGEXEXTRACT(A3435, ""[^-]+- [^-]+- [^-]+ - (.+?)\.jpg""), "".jpg"", """"), ""-"", "", ""), """")"),"")</f>
        <v/>
      </c>
      <c r="L3435" s="12"/>
      <c r="M3435" s="13"/>
      <c r="N3435" s="2"/>
      <c r="O3435" s="20"/>
      <c r="P3435" s="42"/>
      <c r="R3435" s="23"/>
    </row>
    <row r="3436" spans="1:18" ht="12.75">
      <c r="A3436" s="12"/>
      <c r="D3436" s="12"/>
      <c r="E3436" s="12"/>
      <c r="H3436" s="11" t="str">
        <f ca="1">IFERROR(__xludf.DUMMYFUNCTION("IFERROR(SUBSTITUTE(SUBSTITUTE(REGEXEXTRACT(A3436, ""[^-]+- [^-]+- [^-]+ - (.+?)\.jpg""), "".jpg"", """"), ""-"", "", ""), """")"),"")</f>
        <v/>
      </c>
      <c r="L3436" s="12"/>
      <c r="M3436" s="13"/>
      <c r="N3436" s="2"/>
      <c r="O3436" s="20"/>
      <c r="P3436" s="42"/>
      <c r="R3436" s="23"/>
    </row>
    <row r="3437" spans="1:18" ht="12.75">
      <c r="A3437" s="12"/>
      <c r="D3437" s="12"/>
      <c r="E3437" s="12"/>
      <c r="H3437" s="11" t="str">
        <f ca="1">IFERROR(__xludf.DUMMYFUNCTION("IFERROR(SUBSTITUTE(SUBSTITUTE(REGEXEXTRACT(A3437, ""[^-]+- [^-]+- [^-]+ - (.+?)\.jpg""), "".jpg"", """"), ""-"", "", ""), """")"),"")</f>
        <v/>
      </c>
      <c r="L3437" s="12"/>
      <c r="M3437" s="13"/>
      <c r="N3437" s="2"/>
      <c r="O3437" s="20"/>
      <c r="P3437" s="42"/>
      <c r="R3437" s="23"/>
    </row>
    <row r="3438" spans="1:18" ht="12.75">
      <c r="A3438" s="12"/>
      <c r="D3438" s="12"/>
      <c r="E3438" s="12"/>
      <c r="H3438" s="11" t="str">
        <f ca="1">IFERROR(__xludf.DUMMYFUNCTION("IFERROR(SUBSTITUTE(SUBSTITUTE(REGEXEXTRACT(A3438, ""[^-]+- [^-]+- [^-]+ - (.+?)\.jpg""), "".jpg"", """"), ""-"", "", ""), """")"),"")</f>
        <v/>
      </c>
      <c r="L3438" s="12"/>
      <c r="M3438" s="13"/>
      <c r="N3438" s="2"/>
      <c r="O3438" s="20"/>
      <c r="P3438" s="42"/>
      <c r="R3438" s="23"/>
    </row>
    <row r="3439" spans="1:18" ht="12.75">
      <c r="A3439" s="12"/>
      <c r="D3439" s="12"/>
      <c r="E3439" s="12"/>
      <c r="H3439" s="11" t="str">
        <f ca="1">IFERROR(__xludf.DUMMYFUNCTION("IFERROR(SUBSTITUTE(SUBSTITUTE(REGEXEXTRACT(A3439, ""[^-]+- [^-]+- [^-]+ - (.+?)\.jpg""), "".jpg"", """"), ""-"", "", ""), """")"),"")</f>
        <v/>
      </c>
      <c r="L3439" s="12"/>
      <c r="M3439" s="13"/>
      <c r="N3439" s="2"/>
      <c r="O3439" s="20"/>
      <c r="P3439" s="42"/>
      <c r="R3439" s="23"/>
    </row>
    <row r="3440" spans="1:18" ht="12.75">
      <c r="A3440" s="12"/>
      <c r="D3440" s="12"/>
      <c r="E3440" s="12"/>
      <c r="H3440" s="11" t="str">
        <f ca="1">IFERROR(__xludf.DUMMYFUNCTION("IFERROR(SUBSTITUTE(SUBSTITUTE(REGEXEXTRACT(A3440, ""[^-]+- [^-]+- [^-]+ - (.+?)\.jpg""), "".jpg"", """"), ""-"", "", ""), """")"),"")</f>
        <v/>
      </c>
      <c r="L3440" s="12"/>
      <c r="M3440" s="13"/>
      <c r="N3440" s="2"/>
      <c r="O3440" s="20"/>
      <c r="P3440" s="42"/>
      <c r="R3440" s="23"/>
    </row>
    <row r="3441" spans="1:18" ht="12.75">
      <c r="A3441" s="12"/>
      <c r="D3441" s="12"/>
      <c r="E3441" s="12"/>
      <c r="H3441" s="11" t="str">
        <f ca="1">IFERROR(__xludf.DUMMYFUNCTION("IFERROR(SUBSTITUTE(SUBSTITUTE(REGEXEXTRACT(A3441, ""[^-]+- [^-]+- [^-]+ - (.+?)\.jpg""), "".jpg"", """"), ""-"", "", ""), """")"),"")</f>
        <v/>
      </c>
      <c r="L3441" s="12"/>
      <c r="M3441" s="13"/>
      <c r="N3441" s="2"/>
      <c r="O3441" s="20"/>
      <c r="P3441" s="42"/>
      <c r="R3441" s="23"/>
    </row>
    <row r="3442" spans="1:18" ht="12.75">
      <c r="A3442" s="12"/>
      <c r="D3442" s="12"/>
      <c r="E3442" s="12"/>
      <c r="H3442" s="11" t="str">
        <f ca="1">IFERROR(__xludf.DUMMYFUNCTION("IFERROR(SUBSTITUTE(SUBSTITUTE(REGEXEXTRACT(A3442, ""[^-]+- [^-]+- [^-]+ - (.+?)\.jpg""), "".jpg"", """"), ""-"", "", ""), """")"),"")</f>
        <v/>
      </c>
      <c r="L3442" s="12"/>
      <c r="M3442" s="13"/>
      <c r="N3442" s="2"/>
      <c r="O3442" s="20"/>
      <c r="P3442" s="42"/>
      <c r="R3442" s="23"/>
    </row>
    <row r="3443" spans="1:18" ht="12.75">
      <c r="A3443" s="12"/>
      <c r="D3443" s="12"/>
      <c r="E3443" s="12"/>
      <c r="H3443" s="11" t="str">
        <f ca="1">IFERROR(__xludf.DUMMYFUNCTION("IFERROR(SUBSTITUTE(SUBSTITUTE(REGEXEXTRACT(A3443, ""[^-]+- [^-]+- [^-]+ - (.+?)\.jpg""), "".jpg"", """"), ""-"", "", ""), """")"),"")</f>
        <v/>
      </c>
      <c r="L3443" s="12"/>
      <c r="M3443" s="13"/>
      <c r="N3443" s="2"/>
      <c r="O3443" s="20"/>
      <c r="P3443" s="42"/>
      <c r="R3443" s="23"/>
    </row>
    <row r="3444" spans="1:18" ht="12.75">
      <c r="A3444" s="12"/>
      <c r="D3444" s="12"/>
      <c r="E3444" s="12"/>
      <c r="H3444" s="11" t="str">
        <f ca="1">IFERROR(__xludf.DUMMYFUNCTION("IFERROR(SUBSTITUTE(SUBSTITUTE(REGEXEXTRACT(A3444, ""[^-]+- [^-]+- [^-]+ - (.+?)\.jpg""), "".jpg"", """"), ""-"", "", ""), """")"),"")</f>
        <v/>
      </c>
      <c r="L3444" s="12"/>
      <c r="M3444" s="13"/>
      <c r="N3444" s="2"/>
      <c r="O3444" s="20"/>
      <c r="P3444" s="42"/>
      <c r="R3444" s="23"/>
    </row>
    <row r="3445" spans="1:18" ht="12.75">
      <c r="A3445" s="12"/>
      <c r="D3445" s="12"/>
      <c r="E3445" s="12"/>
      <c r="H3445" s="11" t="str">
        <f ca="1">IFERROR(__xludf.DUMMYFUNCTION("IFERROR(SUBSTITUTE(SUBSTITUTE(REGEXEXTRACT(A3445, ""[^-]+- [^-]+- [^-]+ - (.+?)\.jpg""), "".jpg"", """"), ""-"", "", ""), """")"),"")</f>
        <v/>
      </c>
      <c r="L3445" s="12"/>
      <c r="M3445" s="13"/>
      <c r="N3445" s="2"/>
      <c r="O3445" s="20"/>
      <c r="P3445" s="42"/>
      <c r="R3445" s="23"/>
    </row>
    <row r="3446" spans="1:18" ht="12.75">
      <c r="A3446" s="12"/>
      <c r="D3446" s="12"/>
      <c r="E3446" s="12"/>
      <c r="H3446" s="11" t="str">
        <f ca="1">IFERROR(__xludf.DUMMYFUNCTION("IFERROR(SUBSTITUTE(SUBSTITUTE(REGEXEXTRACT(A3446, ""[^-]+- [^-]+- [^-]+ - (.+?)\.jpg""), "".jpg"", """"), ""-"", "", ""), """")"),"")</f>
        <v/>
      </c>
      <c r="L3446" s="12"/>
      <c r="M3446" s="13"/>
      <c r="N3446" s="2"/>
      <c r="O3446" s="20"/>
      <c r="P3446" s="42"/>
      <c r="R3446" s="23"/>
    </row>
    <row r="3447" spans="1:18" ht="12.75">
      <c r="A3447" s="12"/>
      <c r="D3447" s="12"/>
      <c r="E3447" s="12"/>
      <c r="H3447" s="11" t="str">
        <f ca="1">IFERROR(__xludf.DUMMYFUNCTION("IFERROR(SUBSTITUTE(SUBSTITUTE(REGEXEXTRACT(A3447, ""[^-]+- [^-]+- [^-]+ - (.+?)\.jpg""), "".jpg"", """"), ""-"", "", ""), """")"),"")</f>
        <v/>
      </c>
      <c r="L3447" s="12"/>
      <c r="M3447" s="13"/>
      <c r="N3447" s="2"/>
      <c r="O3447" s="20"/>
      <c r="P3447" s="42"/>
      <c r="R3447" s="23"/>
    </row>
    <row r="3448" spans="1:18" ht="12.75">
      <c r="A3448" s="12"/>
      <c r="D3448" s="12"/>
      <c r="E3448" s="12"/>
      <c r="H3448" s="11" t="str">
        <f ca="1">IFERROR(__xludf.DUMMYFUNCTION("IFERROR(SUBSTITUTE(SUBSTITUTE(REGEXEXTRACT(A3448, ""[^-]+- [^-]+- [^-]+ - (.+?)\.jpg""), "".jpg"", """"), ""-"", "", ""), """")"),"")</f>
        <v/>
      </c>
      <c r="L3448" s="12"/>
      <c r="M3448" s="13"/>
      <c r="N3448" s="2"/>
      <c r="O3448" s="20"/>
      <c r="P3448" s="42"/>
      <c r="R3448" s="23"/>
    </row>
    <row r="3449" spans="1:18" ht="12.75">
      <c r="A3449" s="12"/>
      <c r="D3449" s="12"/>
      <c r="E3449" s="12"/>
      <c r="H3449" s="11" t="str">
        <f ca="1">IFERROR(__xludf.DUMMYFUNCTION("IFERROR(SUBSTITUTE(SUBSTITUTE(REGEXEXTRACT(A3449, ""[^-]+- [^-]+- [^-]+ - (.+?)\.jpg""), "".jpg"", """"), ""-"", "", ""), """")"),"")</f>
        <v/>
      </c>
      <c r="L3449" s="12"/>
      <c r="M3449" s="13"/>
      <c r="N3449" s="2"/>
      <c r="O3449" s="20"/>
      <c r="P3449" s="42"/>
      <c r="R3449" s="23"/>
    </row>
    <row r="3450" spans="1:18" ht="12.75">
      <c r="A3450" s="12"/>
      <c r="D3450" s="12"/>
      <c r="E3450" s="12"/>
      <c r="H3450" s="11" t="str">
        <f ca="1">IFERROR(__xludf.DUMMYFUNCTION("IFERROR(SUBSTITUTE(SUBSTITUTE(REGEXEXTRACT(A3450, ""[^-]+- [^-]+- [^-]+ - (.+?)\.jpg""), "".jpg"", """"), ""-"", "", ""), """")"),"")</f>
        <v/>
      </c>
      <c r="L3450" s="12"/>
      <c r="M3450" s="13"/>
      <c r="N3450" s="2"/>
      <c r="O3450" s="20"/>
      <c r="P3450" s="42"/>
      <c r="R3450" s="23"/>
    </row>
    <row r="3451" spans="1:18" ht="12.75">
      <c r="A3451" s="12"/>
      <c r="D3451" s="12"/>
      <c r="E3451" s="12"/>
      <c r="H3451" s="11" t="str">
        <f ca="1">IFERROR(__xludf.DUMMYFUNCTION("IFERROR(SUBSTITUTE(SUBSTITUTE(REGEXEXTRACT(A3451, ""[^-]+- [^-]+- [^-]+ - (.+?)\.jpg""), "".jpg"", """"), ""-"", "", ""), """")"),"")</f>
        <v/>
      </c>
      <c r="L3451" s="12"/>
      <c r="M3451" s="13"/>
      <c r="N3451" s="2"/>
      <c r="O3451" s="20"/>
      <c r="P3451" s="42"/>
      <c r="R3451" s="23"/>
    </row>
    <row r="3452" spans="1:18" ht="12.75">
      <c r="A3452" s="12"/>
      <c r="D3452" s="12"/>
      <c r="E3452" s="12"/>
      <c r="H3452" s="11" t="str">
        <f ca="1">IFERROR(__xludf.DUMMYFUNCTION("IFERROR(SUBSTITUTE(SUBSTITUTE(REGEXEXTRACT(A3452, ""[^-]+- [^-]+- [^-]+ - (.+?)\.jpg""), "".jpg"", """"), ""-"", "", ""), """")"),"")</f>
        <v/>
      </c>
      <c r="L3452" s="12"/>
      <c r="M3452" s="13"/>
      <c r="N3452" s="2"/>
      <c r="O3452" s="20"/>
      <c r="P3452" s="42"/>
      <c r="R3452" s="23"/>
    </row>
    <row r="3453" spans="1:18" ht="12.75">
      <c r="A3453" s="12"/>
      <c r="D3453" s="12"/>
      <c r="E3453" s="12"/>
      <c r="H3453" s="11" t="str">
        <f ca="1">IFERROR(__xludf.DUMMYFUNCTION("IFERROR(SUBSTITUTE(SUBSTITUTE(REGEXEXTRACT(A3453, ""[^-]+- [^-]+- [^-]+ - (.+?)\.jpg""), "".jpg"", """"), ""-"", "", ""), """")"),"")</f>
        <v/>
      </c>
      <c r="L3453" s="12"/>
      <c r="M3453" s="13"/>
      <c r="N3453" s="2"/>
      <c r="O3453" s="20"/>
      <c r="P3453" s="42"/>
      <c r="R3453" s="23"/>
    </row>
    <row r="3454" spans="1:18" ht="12.75">
      <c r="A3454" s="12"/>
      <c r="D3454" s="12"/>
      <c r="E3454" s="12"/>
      <c r="H3454" s="11" t="str">
        <f ca="1">IFERROR(__xludf.DUMMYFUNCTION("IFERROR(SUBSTITUTE(SUBSTITUTE(REGEXEXTRACT(A3454, ""[^-]+- [^-]+- [^-]+ - (.+?)\.jpg""), "".jpg"", """"), ""-"", "", ""), """")"),"")</f>
        <v/>
      </c>
      <c r="L3454" s="12"/>
      <c r="M3454" s="13"/>
      <c r="N3454" s="2"/>
      <c r="O3454" s="20"/>
      <c r="P3454" s="42"/>
      <c r="R3454" s="23"/>
    </row>
    <row r="3455" spans="1:18" ht="12.75">
      <c r="A3455" s="12"/>
      <c r="D3455" s="12"/>
      <c r="E3455" s="12"/>
      <c r="H3455" s="11" t="str">
        <f ca="1">IFERROR(__xludf.DUMMYFUNCTION("IFERROR(SUBSTITUTE(SUBSTITUTE(REGEXEXTRACT(A3455, ""[^-]+- [^-]+- [^-]+ - (.+?)\.jpg""), "".jpg"", """"), ""-"", "", ""), """")"),"")</f>
        <v/>
      </c>
      <c r="L3455" s="12"/>
      <c r="M3455" s="13"/>
      <c r="N3455" s="2"/>
      <c r="O3455" s="20"/>
      <c r="P3455" s="42"/>
      <c r="R3455" s="23"/>
    </row>
    <row r="3456" spans="1:18" ht="12.75">
      <c r="A3456" s="12"/>
      <c r="D3456" s="12"/>
      <c r="E3456" s="12"/>
      <c r="H3456" s="11" t="str">
        <f ca="1">IFERROR(__xludf.DUMMYFUNCTION("IFERROR(SUBSTITUTE(SUBSTITUTE(REGEXEXTRACT(A3456, ""[^-]+- [^-]+- [^-]+ - (.+?)\.jpg""), "".jpg"", """"), ""-"", "", ""), """")"),"")</f>
        <v/>
      </c>
      <c r="L3456" s="12"/>
      <c r="M3456" s="13"/>
      <c r="N3456" s="2"/>
      <c r="O3456" s="20"/>
      <c r="P3456" s="42"/>
      <c r="R3456" s="23"/>
    </row>
    <row r="3457" spans="1:18" ht="12.75">
      <c r="A3457" s="12"/>
      <c r="D3457" s="12"/>
      <c r="E3457" s="12"/>
      <c r="H3457" s="11" t="str">
        <f ca="1">IFERROR(__xludf.DUMMYFUNCTION("IFERROR(SUBSTITUTE(SUBSTITUTE(REGEXEXTRACT(A3457, ""[^-]+- [^-]+- [^-]+ - (.+?)\.jpg""), "".jpg"", """"), ""-"", "", ""), """")"),"")</f>
        <v/>
      </c>
      <c r="L3457" s="12"/>
      <c r="M3457" s="13"/>
      <c r="N3457" s="2"/>
      <c r="O3457" s="20"/>
      <c r="P3457" s="42"/>
      <c r="R3457" s="23"/>
    </row>
    <row r="3458" spans="1:18" ht="12.75">
      <c r="A3458" s="12"/>
      <c r="D3458" s="12"/>
      <c r="E3458" s="12"/>
      <c r="H3458" s="11" t="str">
        <f ca="1">IFERROR(__xludf.DUMMYFUNCTION("IFERROR(SUBSTITUTE(SUBSTITUTE(REGEXEXTRACT(A3458, ""[^-]+- [^-]+- [^-]+ - (.+?)\.jpg""), "".jpg"", """"), ""-"", "", ""), """")"),"")</f>
        <v/>
      </c>
      <c r="L3458" s="12"/>
      <c r="M3458" s="13"/>
      <c r="N3458" s="2"/>
      <c r="O3458" s="20"/>
      <c r="P3458" s="42"/>
      <c r="R3458" s="23"/>
    </row>
    <row r="3459" spans="1:18" ht="12.75">
      <c r="A3459" s="12"/>
      <c r="D3459" s="12"/>
      <c r="E3459" s="12"/>
      <c r="H3459" s="11" t="str">
        <f ca="1">IFERROR(__xludf.DUMMYFUNCTION("IFERROR(SUBSTITUTE(SUBSTITUTE(REGEXEXTRACT(A3459, ""[^-]+- [^-]+- [^-]+ - (.+?)\.jpg""), "".jpg"", """"), ""-"", "", ""), """")"),"")</f>
        <v/>
      </c>
      <c r="L3459" s="12"/>
      <c r="M3459" s="13"/>
      <c r="N3459" s="2"/>
      <c r="O3459" s="20"/>
      <c r="P3459" s="42"/>
      <c r="R3459" s="23"/>
    </row>
    <row r="3460" spans="1:18" ht="12.75">
      <c r="A3460" s="12"/>
      <c r="D3460" s="12"/>
      <c r="E3460" s="12"/>
      <c r="H3460" s="11" t="str">
        <f ca="1">IFERROR(__xludf.DUMMYFUNCTION("IFERROR(SUBSTITUTE(SUBSTITUTE(REGEXEXTRACT(A3460, ""[^-]+- [^-]+- [^-]+ - (.+?)\.jpg""), "".jpg"", """"), ""-"", "", ""), """")"),"")</f>
        <v/>
      </c>
      <c r="L3460" s="12"/>
      <c r="M3460" s="13"/>
      <c r="N3460" s="2"/>
      <c r="O3460" s="20"/>
      <c r="P3460" s="42"/>
      <c r="R3460" s="23"/>
    </row>
    <row r="3461" spans="1:18" ht="12.75">
      <c r="A3461" s="12"/>
      <c r="D3461" s="12"/>
      <c r="E3461" s="12"/>
      <c r="H3461" s="11" t="str">
        <f ca="1">IFERROR(__xludf.DUMMYFUNCTION("IFERROR(SUBSTITUTE(SUBSTITUTE(REGEXEXTRACT(A3461, ""[^-]+- [^-]+- [^-]+ - (.+?)\.jpg""), "".jpg"", """"), ""-"", "", ""), """")"),"")</f>
        <v/>
      </c>
      <c r="L3461" s="12"/>
      <c r="M3461" s="13"/>
      <c r="N3461" s="2"/>
      <c r="O3461" s="20"/>
      <c r="P3461" s="42"/>
      <c r="R3461" s="23"/>
    </row>
    <row r="3462" spans="1:18" ht="12.75">
      <c r="A3462" s="12"/>
      <c r="D3462" s="12"/>
      <c r="E3462" s="12"/>
      <c r="H3462" s="11" t="str">
        <f ca="1">IFERROR(__xludf.DUMMYFUNCTION("IFERROR(SUBSTITUTE(SUBSTITUTE(REGEXEXTRACT(A3462, ""[^-]+- [^-]+- [^-]+ - (.+?)\.jpg""), "".jpg"", """"), ""-"", "", ""), """")"),"")</f>
        <v/>
      </c>
      <c r="L3462" s="12"/>
      <c r="M3462" s="13"/>
      <c r="N3462" s="2"/>
      <c r="O3462" s="20"/>
      <c r="P3462" s="42"/>
      <c r="R3462" s="23"/>
    </row>
    <row r="3463" spans="1:18" ht="12.75">
      <c r="A3463" s="12"/>
      <c r="D3463" s="12"/>
      <c r="E3463" s="12"/>
      <c r="H3463" s="11" t="str">
        <f ca="1">IFERROR(__xludf.DUMMYFUNCTION("IFERROR(SUBSTITUTE(SUBSTITUTE(REGEXEXTRACT(A3463, ""[^-]+- [^-]+- [^-]+ - (.+?)\.jpg""), "".jpg"", """"), ""-"", "", ""), """")"),"")</f>
        <v/>
      </c>
      <c r="L3463" s="12"/>
      <c r="M3463" s="13"/>
      <c r="N3463" s="2"/>
      <c r="O3463" s="20"/>
      <c r="P3463" s="42"/>
      <c r="R3463" s="23"/>
    </row>
    <row r="3464" spans="1:18" ht="12.75">
      <c r="A3464" s="12"/>
      <c r="D3464" s="12"/>
      <c r="E3464" s="12"/>
      <c r="H3464" s="11" t="str">
        <f ca="1">IFERROR(__xludf.DUMMYFUNCTION("IFERROR(SUBSTITUTE(SUBSTITUTE(REGEXEXTRACT(A3464, ""[^-]+- [^-]+- [^-]+ - (.+?)\.jpg""), "".jpg"", """"), ""-"", "", ""), """")"),"")</f>
        <v/>
      </c>
      <c r="L3464" s="12"/>
      <c r="M3464" s="13"/>
      <c r="N3464" s="2"/>
      <c r="O3464" s="20"/>
      <c r="P3464" s="42"/>
      <c r="R3464" s="23"/>
    </row>
    <row r="3465" spans="1:18" ht="12.75">
      <c r="A3465" s="12"/>
      <c r="D3465" s="12"/>
      <c r="E3465" s="12"/>
      <c r="H3465" s="11" t="str">
        <f ca="1">IFERROR(__xludf.DUMMYFUNCTION("IFERROR(SUBSTITUTE(SUBSTITUTE(REGEXEXTRACT(A3465, ""[^-]+- [^-]+- [^-]+ - (.+?)\.jpg""), "".jpg"", """"), ""-"", "", ""), """")"),"")</f>
        <v/>
      </c>
      <c r="L3465" s="12"/>
      <c r="M3465" s="13"/>
      <c r="N3465" s="2"/>
      <c r="O3465" s="20"/>
      <c r="P3465" s="42"/>
      <c r="R3465" s="23"/>
    </row>
    <row r="3466" spans="1:18" ht="12.75">
      <c r="A3466" s="12"/>
      <c r="D3466" s="12"/>
      <c r="E3466" s="12"/>
      <c r="H3466" s="11" t="str">
        <f ca="1">IFERROR(__xludf.DUMMYFUNCTION("IFERROR(SUBSTITUTE(SUBSTITUTE(REGEXEXTRACT(A3466, ""[^-]+- [^-]+- [^-]+ - (.+?)\.jpg""), "".jpg"", """"), ""-"", "", ""), """")"),"")</f>
        <v/>
      </c>
      <c r="L3466" s="12"/>
      <c r="M3466" s="13"/>
      <c r="N3466" s="2"/>
      <c r="O3466" s="20"/>
      <c r="P3466" s="42"/>
      <c r="R3466" s="23"/>
    </row>
    <row r="3467" spans="1:18" ht="12.75">
      <c r="A3467" s="12"/>
      <c r="D3467" s="12"/>
      <c r="E3467" s="12"/>
      <c r="H3467" s="11" t="str">
        <f ca="1">IFERROR(__xludf.DUMMYFUNCTION("IFERROR(SUBSTITUTE(SUBSTITUTE(REGEXEXTRACT(A3467, ""[^-]+- [^-]+- [^-]+ - (.+?)\.jpg""), "".jpg"", """"), ""-"", "", ""), """")"),"")</f>
        <v/>
      </c>
      <c r="L3467" s="12"/>
      <c r="M3467" s="13"/>
      <c r="N3467" s="2"/>
      <c r="O3467" s="20"/>
      <c r="P3467" s="42"/>
      <c r="R3467" s="23"/>
    </row>
    <row r="3468" spans="1:18" ht="12.75">
      <c r="A3468" s="12"/>
      <c r="D3468" s="12"/>
      <c r="E3468" s="12"/>
      <c r="H3468" s="11" t="str">
        <f ca="1">IFERROR(__xludf.DUMMYFUNCTION("IFERROR(SUBSTITUTE(SUBSTITUTE(REGEXEXTRACT(A3468, ""[^-]+- [^-]+- [^-]+ - (.+?)\.jpg""), "".jpg"", """"), ""-"", "", ""), """")"),"")</f>
        <v/>
      </c>
      <c r="L3468" s="12"/>
      <c r="M3468" s="13"/>
      <c r="N3468" s="2"/>
      <c r="O3468" s="20"/>
      <c r="P3468" s="42"/>
      <c r="R3468" s="23"/>
    </row>
    <row r="3469" spans="1:18" ht="12.75">
      <c r="A3469" s="12"/>
      <c r="D3469" s="12"/>
      <c r="E3469" s="12"/>
      <c r="H3469" s="11" t="str">
        <f ca="1">IFERROR(__xludf.DUMMYFUNCTION("IFERROR(SUBSTITUTE(SUBSTITUTE(REGEXEXTRACT(A3469, ""[^-]+- [^-]+- [^-]+ - (.+?)\.jpg""), "".jpg"", """"), ""-"", "", ""), """")"),"")</f>
        <v/>
      </c>
      <c r="L3469" s="12"/>
      <c r="M3469" s="13"/>
      <c r="N3469" s="2"/>
      <c r="O3469" s="20"/>
      <c r="P3469" s="42"/>
      <c r="R3469" s="23"/>
    </row>
    <row r="3470" spans="1:18" ht="12.75">
      <c r="A3470" s="12"/>
      <c r="D3470" s="12"/>
      <c r="E3470" s="12"/>
      <c r="H3470" s="11" t="str">
        <f ca="1">IFERROR(__xludf.DUMMYFUNCTION("IFERROR(SUBSTITUTE(SUBSTITUTE(REGEXEXTRACT(A3470, ""[^-]+- [^-]+- [^-]+ - (.+?)\.jpg""), "".jpg"", """"), ""-"", "", ""), """")"),"")</f>
        <v/>
      </c>
      <c r="L3470" s="12"/>
      <c r="M3470" s="13"/>
      <c r="N3470" s="2"/>
      <c r="O3470" s="20"/>
      <c r="P3470" s="42"/>
      <c r="R3470" s="23"/>
    </row>
    <row r="3471" spans="1:18" ht="12.75">
      <c r="A3471" s="12"/>
      <c r="D3471" s="12"/>
      <c r="E3471" s="12"/>
      <c r="H3471" s="11" t="str">
        <f ca="1">IFERROR(__xludf.DUMMYFUNCTION("IFERROR(SUBSTITUTE(SUBSTITUTE(REGEXEXTRACT(A3471, ""[^-]+- [^-]+- [^-]+ - (.+?)\.jpg""), "".jpg"", """"), ""-"", "", ""), """")"),"")</f>
        <v/>
      </c>
      <c r="L3471" s="12"/>
      <c r="M3471" s="13"/>
      <c r="N3471" s="2"/>
      <c r="O3471" s="20"/>
      <c r="P3471" s="42"/>
      <c r="R3471" s="23"/>
    </row>
    <row r="3472" spans="1:18" ht="12.75">
      <c r="A3472" s="12"/>
      <c r="D3472" s="12"/>
      <c r="E3472" s="12"/>
      <c r="H3472" s="11" t="str">
        <f ca="1">IFERROR(__xludf.DUMMYFUNCTION("IFERROR(SUBSTITUTE(SUBSTITUTE(REGEXEXTRACT(A3472, ""[^-]+- [^-]+- [^-]+ - (.+?)\.jpg""), "".jpg"", """"), ""-"", "", ""), """")"),"")</f>
        <v/>
      </c>
      <c r="L3472" s="12"/>
      <c r="M3472" s="13"/>
      <c r="N3472" s="2"/>
      <c r="O3472" s="20"/>
      <c r="P3472" s="42"/>
      <c r="R3472" s="23"/>
    </row>
    <row r="3473" spans="1:18" ht="12.75">
      <c r="A3473" s="12"/>
      <c r="D3473" s="12"/>
      <c r="E3473" s="12"/>
      <c r="H3473" s="11" t="str">
        <f ca="1">IFERROR(__xludf.DUMMYFUNCTION("IFERROR(SUBSTITUTE(SUBSTITUTE(REGEXEXTRACT(A3473, ""[^-]+- [^-]+- [^-]+ - (.+?)\.jpg""), "".jpg"", """"), ""-"", "", ""), """")"),"")</f>
        <v/>
      </c>
      <c r="L3473" s="12"/>
      <c r="M3473" s="13"/>
      <c r="N3473" s="2"/>
      <c r="O3473" s="20"/>
      <c r="P3473" s="42"/>
      <c r="R3473" s="23"/>
    </row>
    <row r="3474" spans="1:18" ht="12.75">
      <c r="A3474" s="12"/>
      <c r="D3474" s="12"/>
      <c r="E3474" s="12"/>
      <c r="H3474" s="11" t="str">
        <f ca="1">IFERROR(__xludf.DUMMYFUNCTION("IFERROR(SUBSTITUTE(SUBSTITUTE(REGEXEXTRACT(A3474, ""[^-]+- [^-]+- [^-]+ - (.+?)\.jpg""), "".jpg"", """"), ""-"", "", ""), """")"),"")</f>
        <v/>
      </c>
      <c r="L3474" s="12"/>
      <c r="M3474" s="13"/>
      <c r="N3474" s="2"/>
      <c r="O3474" s="20"/>
      <c r="P3474" s="42"/>
      <c r="R3474" s="23"/>
    </row>
    <row r="3475" spans="1:18" ht="12.75">
      <c r="A3475" s="12"/>
      <c r="D3475" s="12"/>
      <c r="E3475" s="12"/>
      <c r="H3475" s="11" t="str">
        <f ca="1">IFERROR(__xludf.DUMMYFUNCTION("IFERROR(SUBSTITUTE(SUBSTITUTE(REGEXEXTRACT(A3475, ""[^-]+- [^-]+- [^-]+ - (.+?)\.jpg""), "".jpg"", """"), ""-"", "", ""), """")"),"")</f>
        <v/>
      </c>
      <c r="L3475" s="12"/>
      <c r="M3475" s="13"/>
      <c r="N3475" s="2"/>
      <c r="O3475" s="20"/>
      <c r="P3475" s="42"/>
      <c r="R3475" s="23"/>
    </row>
    <row r="3476" spans="1:18" ht="12.75">
      <c r="A3476" s="12"/>
      <c r="D3476" s="12"/>
      <c r="E3476" s="12"/>
      <c r="H3476" s="11" t="str">
        <f ca="1">IFERROR(__xludf.DUMMYFUNCTION("IFERROR(SUBSTITUTE(SUBSTITUTE(REGEXEXTRACT(A3476, ""[^-]+- [^-]+- [^-]+ - (.+?)\.jpg""), "".jpg"", """"), ""-"", "", ""), """")"),"")</f>
        <v/>
      </c>
      <c r="L3476" s="12"/>
      <c r="M3476" s="13"/>
      <c r="N3476" s="2"/>
      <c r="O3476" s="20"/>
      <c r="P3476" s="42"/>
      <c r="R3476" s="23"/>
    </row>
    <row r="3477" spans="1:18" ht="12.75">
      <c r="A3477" s="12"/>
      <c r="D3477" s="12"/>
      <c r="E3477" s="12"/>
      <c r="H3477" s="11" t="str">
        <f ca="1">IFERROR(__xludf.DUMMYFUNCTION("IFERROR(SUBSTITUTE(SUBSTITUTE(REGEXEXTRACT(A3477, ""[^-]+- [^-]+- [^-]+ - (.+?)\.jpg""), "".jpg"", """"), ""-"", "", ""), """")"),"")</f>
        <v/>
      </c>
      <c r="L3477" s="12"/>
      <c r="M3477" s="13"/>
      <c r="N3477" s="2"/>
      <c r="O3477" s="20"/>
      <c r="P3477" s="42"/>
      <c r="R3477" s="23"/>
    </row>
    <row r="3478" spans="1:18" ht="12.75">
      <c r="A3478" s="12"/>
      <c r="D3478" s="12"/>
      <c r="E3478" s="12"/>
      <c r="H3478" s="11" t="str">
        <f ca="1">IFERROR(__xludf.DUMMYFUNCTION("IFERROR(SUBSTITUTE(SUBSTITUTE(REGEXEXTRACT(A3478, ""[^-]+- [^-]+- [^-]+ - (.+?)\.jpg""), "".jpg"", """"), ""-"", "", ""), """")"),"")</f>
        <v/>
      </c>
      <c r="L3478" s="12"/>
      <c r="M3478" s="13"/>
      <c r="N3478" s="2"/>
      <c r="O3478" s="20"/>
      <c r="P3478" s="42"/>
      <c r="R3478" s="23"/>
    </row>
    <row r="3479" spans="1:18" ht="12.75">
      <c r="A3479" s="12"/>
      <c r="D3479" s="12"/>
      <c r="E3479" s="12"/>
      <c r="H3479" s="11" t="str">
        <f ca="1">IFERROR(__xludf.DUMMYFUNCTION("IFERROR(SUBSTITUTE(SUBSTITUTE(REGEXEXTRACT(A3479, ""[^-]+- [^-]+- [^-]+ - (.+?)\.jpg""), "".jpg"", """"), ""-"", "", ""), """")"),"")</f>
        <v/>
      </c>
      <c r="L3479" s="12"/>
      <c r="M3479" s="13"/>
      <c r="N3479" s="2"/>
      <c r="O3479" s="20"/>
      <c r="P3479" s="42"/>
      <c r="R3479" s="23"/>
    </row>
    <row r="3480" spans="1:18" ht="12.75">
      <c r="A3480" s="12"/>
      <c r="D3480" s="12"/>
      <c r="E3480" s="12"/>
      <c r="H3480" s="11" t="str">
        <f ca="1">IFERROR(__xludf.DUMMYFUNCTION("IFERROR(SUBSTITUTE(SUBSTITUTE(REGEXEXTRACT(A3480, ""[^-]+- [^-]+- [^-]+ - (.+?)\.jpg""), "".jpg"", """"), ""-"", "", ""), """")"),"")</f>
        <v/>
      </c>
      <c r="L3480" s="12"/>
      <c r="M3480" s="13"/>
      <c r="N3480" s="2"/>
      <c r="O3480" s="20"/>
      <c r="P3480" s="42"/>
      <c r="R3480" s="23"/>
    </row>
    <row r="3481" spans="1:18" ht="12.75">
      <c r="A3481" s="12"/>
      <c r="D3481" s="12"/>
      <c r="E3481" s="12"/>
      <c r="H3481" s="11" t="str">
        <f ca="1">IFERROR(__xludf.DUMMYFUNCTION("IFERROR(SUBSTITUTE(SUBSTITUTE(REGEXEXTRACT(A3481, ""[^-]+- [^-]+- [^-]+ - (.+?)\.jpg""), "".jpg"", """"), ""-"", "", ""), """")"),"")</f>
        <v/>
      </c>
      <c r="L3481" s="12"/>
      <c r="M3481" s="13"/>
      <c r="N3481" s="2"/>
      <c r="O3481" s="20"/>
      <c r="P3481" s="42"/>
      <c r="R3481" s="23"/>
    </row>
    <row r="3482" spans="1:18" ht="12.75">
      <c r="A3482" s="12"/>
      <c r="D3482" s="12"/>
      <c r="E3482" s="12"/>
      <c r="H3482" s="11" t="str">
        <f ca="1">IFERROR(__xludf.DUMMYFUNCTION("IFERROR(SUBSTITUTE(SUBSTITUTE(REGEXEXTRACT(A3482, ""[^-]+- [^-]+- [^-]+ - (.+?)\.jpg""), "".jpg"", """"), ""-"", "", ""), """")"),"")</f>
        <v/>
      </c>
      <c r="L3482" s="12"/>
      <c r="M3482" s="13"/>
      <c r="N3482" s="2"/>
      <c r="O3482" s="20"/>
      <c r="P3482" s="42"/>
      <c r="R3482" s="23"/>
    </row>
    <row r="3483" spans="1:18" ht="12.75">
      <c r="A3483" s="12"/>
      <c r="D3483" s="12"/>
      <c r="E3483" s="12"/>
      <c r="H3483" s="11" t="str">
        <f ca="1">IFERROR(__xludf.DUMMYFUNCTION("IFERROR(SUBSTITUTE(SUBSTITUTE(REGEXEXTRACT(A3483, ""[^-]+- [^-]+- [^-]+ - (.+?)\.jpg""), "".jpg"", """"), ""-"", "", ""), """")"),"")</f>
        <v/>
      </c>
      <c r="L3483" s="12"/>
      <c r="M3483" s="13"/>
      <c r="N3483" s="2"/>
      <c r="O3483" s="20"/>
      <c r="P3483" s="42"/>
      <c r="R3483" s="23"/>
    </row>
    <row r="3484" spans="1:18" ht="12.75">
      <c r="A3484" s="12"/>
      <c r="D3484" s="12"/>
      <c r="E3484" s="12"/>
      <c r="H3484" s="11" t="str">
        <f ca="1">IFERROR(__xludf.DUMMYFUNCTION("IFERROR(SUBSTITUTE(SUBSTITUTE(REGEXEXTRACT(A3484, ""[^-]+- [^-]+- [^-]+ - (.+?)\.jpg""), "".jpg"", """"), ""-"", "", ""), """")"),"")</f>
        <v/>
      </c>
      <c r="L3484" s="12"/>
      <c r="M3484" s="13"/>
      <c r="N3484" s="2"/>
      <c r="O3484" s="20"/>
      <c r="P3484" s="42"/>
      <c r="R3484" s="23"/>
    </row>
    <row r="3485" spans="1:18" ht="12.75">
      <c r="A3485" s="12"/>
      <c r="D3485" s="12"/>
      <c r="E3485" s="12"/>
      <c r="H3485" s="11" t="str">
        <f ca="1">IFERROR(__xludf.DUMMYFUNCTION("IFERROR(SUBSTITUTE(SUBSTITUTE(REGEXEXTRACT(A3485, ""[^-]+- [^-]+- [^-]+ - (.+?)\.jpg""), "".jpg"", """"), ""-"", "", ""), """")"),"")</f>
        <v/>
      </c>
      <c r="L3485" s="12"/>
      <c r="M3485" s="13"/>
      <c r="N3485" s="2"/>
      <c r="O3485" s="20"/>
      <c r="P3485" s="42"/>
      <c r="R3485" s="23"/>
    </row>
    <row r="3486" spans="1:18" ht="12.75">
      <c r="A3486" s="12"/>
      <c r="D3486" s="12"/>
      <c r="E3486" s="12"/>
      <c r="H3486" s="11" t="str">
        <f ca="1">IFERROR(__xludf.DUMMYFUNCTION("IFERROR(SUBSTITUTE(SUBSTITUTE(REGEXEXTRACT(A3486, ""[^-]+- [^-]+- [^-]+ - (.+?)\.jpg""), "".jpg"", """"), ""-"", "", ""), """")"),"")</f>
        <v/>
      </c>
      <c r="L3486" s="12"/>
      <c r="M3486" s="13"/>
      <c r="N3486" s="2"/>
      <c r="O3486" s="20"/>
      <c r="P3486" s="42"/>
      <c r="R3486" s="23"/>
    </row>
    <row r="3487" spans="1:18" ht="12.75">
      <c r="A3487" s="12"/>
      <c r="D3487" s="12"/>
      <c r="E3487" s="12"/>
      <c r="H3487" s="11" t="str">
        <f ca="1">IFERROR(__xludf.DUMMYFUNCTION("IFERROR(SUBSTITUTE(SUBSTITUTE(REGEXEXTRACT(A3487, ""[^-]+- [^-]+- [^-]+ - (.+?)\.jpg""), "".jpg"", """"), ""-"", "", ""), """")"),"")</f>
        <v/>
      </c>
      <c r="L3487" s="12"/>
      <c r="M3487" s="13"/>
      <c r="N3487" s="2"/>
      <c r="O3487" s="20"/>
      <c r="P3487" s="42"/>
      <c r="R3487" s="23"/>
    </row>
    <row r="3488" spans="1:18" ht="12.75">
      <c r="A3488" s="12"/>
      <c r="D3488" s="12"/>
      <c r="E3488" s="12"/>
      <c r="H3488" s="11" t="str">
        <f ca="1">IFERROR(__xludf.DUMMYFUNCTION("IFERROR(SUBSTITUTE(SUBSTITUTE(REGEXEXTRACT(A3488, ""[^-]+- [^-]+- [^-]+ - (.+?)\.jpg""), "".jpg"", """"), ""-"", "", ""), """")"),"")</f>
        <v/>
      </c>
      <c r="L3488" s="12"/>
      <c r="M3488" s="13"/>
      <c r="N3488" s="2"/>
      <c r="O3488" s="20"/>
      <c r="P3488" s="42"/>
      <c r="R3488" s="23"/>
    </row>
    <row r="3489" spans="1:18" ht="12.75">
      <c r="A3489" s="12"/>
      <c r="D3489" s="12"/>
      <c r="E3489" s="12"/>
      <c r="H3489" s="11" t="str">
        <f ca="1">IFERROR(__xludf.DUMMYFUNCTION("IFERROR(SUBSTITUTE(SUBSTITUTE(REGEXEXTRACT(A3489, ""[^-]+- [^-]+- [^-]+ - (.+?)\.jpg""), "".jpg"", """"), ""-"", "", ""), """")"),"")</f>
        <v/>
      </c>
      <c r="L3489" s="12"/>
      <c r="M3489" s="13"/>
      <c r="N3489" s="2"/>
      <c r="O3489" s="20"/>
      <c r="P3489" s="42"/>
      <c r="R3489" s="23"/>
    </row>
    <row r="3490" spans="1:18" ht="12.75">
      <c r="A3490" s="12"/>
      <c r="D3490" s="12"/>
      <c r="E3490" s="12"/>
      <c r="H3490" s="11" t="str">
        <f ca="1">IFERROR(__xludf.DUMMYFUNCTION("IFERROR(SUBSTITUTE(SUBSTITUTE(REGEXEXTRACT(A3490, ""[^-]+- [^-]+- [^-]+ - (.+?)\.jpg""), "".jpg"", """"), ""-"", "", ""), """")"),"")</f>
        <v/>
      </c>
      <c r="L3490" s="12"/>
      <c r="M3490" s="13"/>
      <c r="N3490" s="2"/>
      <c r="O3490" s="20"/>
      <c r="P3490" s="42"/>
      <c r="R3490" s="23"/>
    </row>
    <row r="3491" spans="1:18" ht="12.75">
      <c r="A3491" s="12"/>
      <c r="D3491" s="12"/>
      <c r="E3491" s="12"/>
      <c r="H3491" s="11" t="str">
        <f ca="1">IFERROR(__xludf.DUMMYFUNCTION("IFERROR(SUBSTITUTE(SUBSTITUTE(REGEXEXTRACT(A3491, ""[^-]+- [^-]+- [^-]+ - (.+?)\.jpg""), "".jpg"", """"), ""-"", "", ""), """")"),"")</f>
        <v/>
      </c>
      <c r="L3491" s="12"/>
      <c r="M3491" s="13"/>
      <c r="N3491" s="2"/>
      <c r="O3491" s="20"/>
      <c r="P3491" s="42"/>
      <c r="R3491" s="23"/>
    </row>
    <row r="3492" spans="1:18" ht="12.75">
      <c r="A3492" s="12"/>
      <c r="D3492" s="12"/>
      <c r="E3492" s="12"/>
      <c r="H3492" s="11" t="str">
        <f ca="1">IFERROR(__xludf.DUMMYFUNCTION("IFERROR(SUBSTITUTE(SUBSTITUTE(REGEXEXTRACT(A3492, ""[^-]+- [^-]+- [^-]+ - (.+?)\.jpg""), "".jpg"", """"), ""-"", "", ""), """")"),"")</f>
        <v/>
      </c>
      <c r="L3492" s="12"/>
      <c r="M3492" s="13"/>
      <c r="N3492" s="2"/>
      <c r="O3492" s="20"/>
      <c r="P3492" s="42"/>
      <c r="R3492" s="23"/>
    </row>
    <row r="3493" spans="1:18" ht="12.75">
      <c r="A3493" s="12"/>
      <c r="D3493" s="12"/>
      <c r="E3493" s="12"/>
      <c r="H3493" s="11" t="str">
        <f ca="1">IFERROR(__xludf.DUMMYFUNCTION("IFERROR(SUBSTITUTE(SUBSTITUTE(REGEXEXTRACT(A3493, ""[^-]+- [^-]+- [^-]+ - (.+?)\.jpg""), "".jpg"", """"), ""-"", "", ""), """")"),"")</f>
        <v/>
      </c>
      <c r="L3493" s="12"/>
      <c r="M3493" s="13"/>
      <c r="N3493" s="2"/>
      <c r="O3493" s="20"/>
      <c r="P3493" s="42"/>
      <c r="R3493" s="23"/>
    </row>
    <row r="3494" spans="1:18" ht="12.75">
      <c r="A3494" s="12"/>
      <c r="D3494" s="12"/>
      <c r="E3494" s="12"/>
      <c r="H3494" s="11" t="str">
        <f ca="1">IFERROR(__xludf.DUMMYFUNCTION("IFERROR(SUBSTITUTE(SUBSTITUTE(REGEXEXTRACT(A3494, ""[^-]+- [^-]+- [^-]+ - (.+?)\.jpg""), "".jpg"", """"), ""-"", "", ""), """")"),"")</f>
        <v/>
      </c>
      <c r="L3494" s="12"/>
      <c r="M3494" s="13"/>
      <c r="N3494" s="2"/>
      <c r="O3494" s="20"/>
      <c r="P3494" s="42"/>
      <c r="R3494" s="23"/>
    </row>
    <row r="3495" spans="1:18" ht="12.75">
      <c r="A3495" s="12"/>
      <c r="D3495" s="12"/>
      <c r="E3495" s="12"/>
      <c r="H3495" s="11" t="str">
        <f ca="1">IFERROR(__xludf.DUMMYFUNCTION("IFERROR(SUBSTITUTE(SUBSTITUTE(REGEXEXTRACT(A3495, ""[^-]+- [^-]+- [^-]+ - (.+?)\.jpg""), "".jpg"", """"), ""-"", "", ""), """")"),"")</f>
        <v/>
      </c>
      <c r="L3495" s="12"/>
      <c r="M3495" s="13"/>
      <c r="N3495" s="2"/>
      <c r="O3495" s="20"/>
      <c r="P3495" s="42"/>
      <c r="R3495" s="23"/>
    </row>
    <row r="3496" spans="1:18" ht="12.75">
      <c r="A3496" s="12"/>
      <c r="D3496" s="12"/>
      <c r="E3496" s="12"/>
      <c r="H3496" s="11" t="str">
        <f ca="1">IFERROR(__xludf.DUMMYFUNCTION("IFERROR(SUBSTITUTE(SUBSTITUTE(REGEXEXTRACT(A3496, ""[^-]+- [^-]+- [^-]+ - (.+?)\.jpg""), "".jpg"", """"), ""-"", "", ""), """")"),"")</f>
        <v/>
      </c>
      <c r="L3496" s="12"/>
      <c r="M3496" s="13"/>
      <c r="N3496" s="2"/>
      <c r="O3496" s="20"/>
      <c r="P3496" s="42"/>
      <c r="R3496" s="23"/>
    </row>
    <row r="3497" spans="1:18" ht="12.75">
      <c r="A3497" s="12"/>
      <c r="D3497" s="12"/>
      <c r="E3497" s="12"/>
      <c r="H3497" s="11" t="str">
        <f ca="1">IFERROR(__xludf.DUMMYFUNCTION("IFERROR(SUBSTITUTE(SUBSTITUTE(REGEXEXTRACT(A3497, ""[^-]+- [^-]+- [^-]+ - (.+?)\.jpg""), "".jpg"", """"), ""-"", "", ""), """")"),"")</f>
        <v/>
      </c>
      <c r="L3497" s="12"/>
      <c r="M3497" s="13"/>
      <c r="N3497" s="2"/>
      <c r="O3497" s="20"/>
      <c r="P3497" s="42"/>
      <c r="R3497" s="23"/>
    </row>
    <row r="3498" spans="1:18" ht="12.75">
      <c r="A3498" s="12"/>
      <c r="D3498" s="12"/>
      <c r="E3498" s="12"/>
      <c r="H3498" s="11" t="str">
        <f ca="1">IFERROR(__xludf.DUMMYFUNCTION("IFERROR(SUBSTITUTE(SUBSTITUTE(REGEXEXTRACT(A3498, ""[^-]+- [^-]+- [^-]+ - (.+?)\.jpg""), "".jpg"", """"), ""-"", "", ""), """")"),"")</f>
        <v/>
      </c>
      <c r="L3498" s="12"/>
      <c r="M3498" s="13"/>
      <c r="N3498" s="2"/>
      <c r="O3498" s="20"/>
      <c r="P3498" s="42"/>
      <c r="R3498" s="23"/>
    </row>
    <row r="3499" spans="1:18" ht="12.75">
      <c r="A3499" s="12"/>
      <c r="D3499" s="12"/>
      <c r="E3499" s="12"/>
      <c r="H3499" s="11" t="str">
        <f ca="1">IFERROR(__xludf.DUMMYFUNCTION("IFERROR(SUBSTITUTE(SUBSTITUTE(REGEXEXTRACT(A3499, ""[^-]+- [^-]+- [^-]+ - (.+?)\.jpg""), "".jpg"", """"), ""-"", "", ""), """")"),"")</f>
        <v/>
      </c>
      <c r="L3499" s="12"/>
      <c r="M3499" s="13"/>
      <c r="N3499" s="2"/>
      <c r="O3499" s="20"/>
      <c r="P3499" s="42"/>
      <c r="R3499" s="23"/>
    </row>
    <row r="3500" spans="1:18" ht="12.75">
      <c r="A3500" s="12"/>
      <c r="D3500" s="12"/>
      <c r="E3500" s="12"/>
      <c r="H3500" s="11" t="str">
        <f ca="1">IFERROR(__xludf.DUMMYFUNCTION("IFERROR(SUBSTITUTE(SUBSTITUTE(REGEXEXTRACT(A3500, ""[^-]+- [^-]+- [^-]+ - (.+?)\.jpg""), "".jpg"", """"), ""-"", "", ""), """")"),"")</f>
        <v/>
      </c>
      <c r="L3500" s="12"/>
      <c r="M3500" s="13"/>
      <c r="N3500" s="2"/>
      <c r="O3500" s="20"/>
      <c r="P3500" s="42"/>
      <c r="R3500" s="23"/>
    </row>
    <row r="3501" spans="1:18" ht="12.75">
      <c r="A3501" s="12"/>
      <c r="D3501" s="12"/>
      <c r="E3501" s="12"/>
      <c r="H3501" s="11" t="str">
        <f ca="1">IFERROR(__xludf.DUMMYFUNCTION("IFERROR(SUBSTITUTE(SUBSTITUTE(REGEXEXTRACT(A3501, ""[^-]+- [^-]+- [^-]+ - (.+?)\.jpg""), "".jpg"", """"), ""-"", "", ""), """")"),"")</f>
        <v/>
      </c>
      <c r="L3501" s="12"/>
      <c r="M3501" s="13"/>
      <c r="N3501" s="2"/>
      <c r="O3501" s="20"/>
      <c r="P3501" s="42"/>
      <c r="R3501" s="23"/>
    </row>
    <row r="3502" spans="1:18" ht="12.75">
      <c r="A3502" s="12"/>
      <c r="D3502" s="12"/>
      <c r="E3502" s="12"/>
      <c r="H3502" s="11" t="str">
        <f ca="1">IFERROR(__xludf.DUMMYFUNCTION("IFERROR(SUBSTITUTE(SUBSTITUTE(REGEXEXTRACT(A3502, ""[^-]+- [^-]+- [^-]+ - (.+?)\.jpg""), "".jpg"", """"), ""-"", "", ""), """")"),"")</f>
        <v/>
      </c>
      <c r="L3502" s="12"/>
      <c r="M3502" s="13"/>
      <c r="N3502" s="2"/>
      <c r="O3502" s="20"/>
      <c r="P3502" s="42"/>
      <c r="R3502" s="23"/>
    </row>
    <row r="3503" spans="1:18" ht="12.75">
      <c r="A3503" s="12"/>
      <c r="D3503" s="12"/>
      <c r="E3503" s="12"/>
      <c r="H3503" s="11" t="str">
        <f ca="1">IFERROR(__xludf.DUMMYFUNCTION("IFERROR(SUBSTITUTE(SUBSTITUTE(REGEXEXTRACT(A3503, ""[^-]+- [^-]+- [^-]+ - (.+?)\.jpg""), "".jpg"", """"), ""-"", "", ""), """")"),"")</f>
        <v/>
      </c>
      <c r="L3503" s="12"/>
      <c r="M3503" s="13"/>
      <c r="N3503" s="2"/>
      <c r="O3503" s="20"/>
      <c r="P3503" s="42"/>
      <c r="R3503" s="23"/>
    </row>
    <row r="3504" spans="1:18" ht="12.75">
      <c r="A3504" s="12"/>
      <c r="D3504" s="12"/>
      <c r="E3504" s="12"/>
      <c r="H3504" s="11" t="str">
        <f ca="1">IFERROR(__xludf.DUMMYFUNCTION("IFERROR(SUBSTITUTE(SUBSTITUTE(REGEXEXTRACT(A3504, ""[^-]+- [^-]+- [^-]+ - (.+?)\.jpg""), "".jpg"", """"), ""-"", "", ""), """")"),"")</f>
        <v/>
      </c>
      <c r="L3504" s="12"/>
      <c r="M3504" s="13"/>
      <c r="N3504" s="2"/>
      <c r="O3504" s="20"/>
      <c r="P3504" s="42"/>
      <c r="R3504" s="23"/>
    </row>
    <row r="3505" spans="1:18" ht="12.75">
      <c r="A3505" s="12"/>
      <c r="D3505" s="12"/>
      <c r="E3505" s="12"/>
      <c r="H3505" s="11" t="str">
        <f ca="1">IFERROR(__xludf.DUMMYFUNCTION("IFERROR(SUBSTITUTE(SUBSTITUTE(REGEXEXTRACT(A3505, ""[^-]+- [^-]+- [^-]+ - (.+?)\.jpg""), "".jpg"", """"), ""-"", "", ""), """")"),"")</f>
        <v/>
      </c>
      <c r="L3505" s="12"/>
      <c r="M3505" s="13"/>
      <c r="N3505" s="2"/>
      <c r="O3505" s="20"/>
      <c r="P3505" s="42"/>
      <c r="R3505" s="23"/>
    </row>
    <row r="3506" spans="1:18" ht="12.75">
      <c r="A3506" s="12"/>
      <c r="D3506" s="12"/>
      <c r="E3506" s="12"/>
      <c r="H3506" s="11" t="str">
        <f ca="1">IFERROR(__xludf.DUMMYFUNCTION("IFERROR(SUBSTITUTE(SUBSTITUTE(REGEXEXTRACT(A3506, ""[^-]+- [^-]+- [^-]+ - (.+?)\.jpg""), "".jpg"", """"), ""-"", "", ""), """")"),"")</f>
        <v/>
      </c>
      <c r="L3506" s="12"/>
      <c r="M3506" s="13"/>
      <c r="N3506" s="2"/>
      <c r="O3506" s="20"/>
      <c r="P3506" s="42"/>
      <c r="R3506" s="23"/>
    </row>
    <row r="3507" spans="1:18" ht="12.75">
      <c r="A3507" s="12"/>
      <c r="D3507" s="12"/>
      <c r="E3507" s="12"/>
      <c r="H3507" s="11" t="str">
        <f ca="1">IFERROR(__xludf.DUMMYFUNCTION("IFERROR(SUBSTITUTE(SUBSTITUTE(REGEXEXTRACT(A3507, ""[^-]+- [^-]+- [^-]+ - (.+?)\.jpg""), "".jpg"", """"), ""-"", "", ""), """")"),"")</f>
        <v/>
      </c>
      <c r="L3507" s="12"/>
      <c r="M3507" s="13"/>
      <c r="N3507" s="2"/>
      <c r="O3507" s="20"/>
      <c r="P3507" s="42"/>
      <c r="R3507" s="23"/>
    </row>
    <row r="3508" spans="1:18" ht="12.75">
      <c r="A3508" s="12"/>
      <c r="D3508" s="12"/>
      <c r="E3508" s="12"/>
      <c r="H3508" s="11" t="str">
        <f ca="1">IFERROR(__xludf.DUMMYFUNCTION("IFERROR(SUBSTITUTE(SUBSTITUTE(REGEXEXTRACT(A3508, ""[^-]+- [^-]+- [^-]+ - (.+?)\.jpg""), "".jpg"", """"), ""-"", "", ""), """")"),"")</f>
        <v/>
      </c>
      <c r="L3508" s="12"/>
      <c r="M3508" s="13"/>
      <c r="N3508" s="2"/>
      <c r="O3508" s="20"/>
      <c r="P3508" s="42"/>
      <c r="R3508" s="23"/>
    </row>
    <row r="3509" spans="1:18" ht="12.75">
      <c r="A3509" s="12"/>
      <c r="D3509" s="12"/>
      <c r="E3509" s="12"/>
      <c r="H3509" s="11" t="str">
        <f ca="1">IFERROR(__xludf.DUMMYFUNCTION("IFERROR(SUBSTITUTE(SUBSTITUTE(REGEXEXTRACT(A3509, ""[^-]+- [^-]+- [^-]+ - (.+?)\.jpg""), "".jpg"", """"), ""-"", "", ""), """")"),"")</f>
        <v/>
      </c>
      <c r="L3509" s="12"/>
      <c r="M3509" s="13"/>
      <c r="N3509" s="2"/>
      <c r="O3509" s="20"/>
      <c r="P3509" s="42"/>
      <c r="R3509" s="23"/>
    </row>
    <row r="3510" spans="1:18" ht="12.75">
      <c r="A3510" s="12"/>
      <c r="D3510" s="12"/>
      <c r="E3510" s="12"/>
      <c r="H3510" s="11" t="str">
        <f ca="1">IFERROR(__xludf.DUMMYFUNCTION("IFERROR(SUBSTITUTE(SUBSTITUTE(REGEXEXTRACT(A3510, ""[^-]+- [^-]+- [^-]+ - (.+?)\.jpg""), "".jpg"", """"), ""-"", "", ""), """")"),"")</f>
        <v/>
      </c>
      <c r="L3510" s="12"/>
      <c r="M3510" s="13"/>
      <c r="N3510" s="2"/>
      <c r="O3510" s="20"/>
      <c r="P3510" s="42"/>
      <c r="R3510" s="23"/>
    </row>
    <row r="3511" spans="1:18" ht="12.75">
      <c r="A3511" s="12"/>
      <c r="D3511" s="12"/>
      <c r="E3511" s="12"/>
      <c r="H3511" s="11" t="str">
        <f ca="1">IFERROR(__xludf.DUMMYFUNCTION("IFERROR(SUBSTITUTE(SUBSTITUTE(REGEXEXTRACT(A3511, ""[^-]+- [^-]+- [^-]+ - (.+?)\.jpg""), "".jpg"", """"), ""-"", "", ""), """")"),"")</f>
        <v/>
      </c>
      <c r="L3511" s="12"/>
      <c r="M3511" s="13"/>
      <c r="N3511" s="2"/>
      <c r="O3511" s="20"/>
      <c r="P3511" s="42"/>
      <c r="R3511" s="23"/>
    </row>
    <row r="3512" spans="1:18" ht="12.75">
      <c r="A3512" s="12"/>
      <c r="D3512" s="12"/>
      <c r="E3512" s="12"/>
      <c r="H3512" s="11" t="str">
        <f ca="1">IFERROR(__xludf.DUMMYFUNCTION("IFERROR(SUBSTITUTE(SUBSTITUTE(REGEXEXTRACT(A3512, ""[^-]+- [^-]+- [^-]+ - (.+?)\.jpg""), "".jpg"", """"), ""-"", "", ""), """")"),"")</f>
        <v/>
      </c>
      <c r="L3512" s="12"/>
      <c r="M3512" s="13"/>
      <c r="N3512" s="2"/>
      <c r="O3512" s="20"/>
      <c r="P3512" s="42"/>
      <c r="R3512" s="23"/>
    </row>
    <row r="3513" spans="1:18" ht="12.75">
      <c r="A3513" s="12"/>
      <c r="D3513" s="12"/>
      <c r="E3513" s="12"/>
      <c r="H3513" s="11" t="str">
        <f ca="1">IFERROR(__xludf.DUMMYFUNCTION("IFERROR(SUBSTITUTE(SUBSTITUTE(REGEXEXTRACT(A3513, ""[^-]+- [^-]+- [^-]+ - (.+?)\.jpg""), "".jpg"", """"), ""-"", "", ""), """")"),"")</f>
        <v/>
      </c>
      <c r="L3513" s="12"/>
      <c r="M3513" s="13"/>
      <c r="N3513" s="2"/>
      <c r="O3513" s="20"/>
      <c r="P3513" s="42"/>
      <c r="R3513" s="23"/>
    </row>
    <row r="3514" spans="1:18" ht="12.75">
      <c r="A3514" s="12"/>
      <c r="D3514" s="12"/>
      <c r="E3514" s="12"/>
      <c r="H3514" s="11" t="str">
        <f ca="1">IFERROR(__xludf.DUMMYFUNCTION("IFERROR(SUBSTITUTE(SUBSTITUTE(REGEXEXTRACT(A3514, ""[^-]+- [^-]+- [^-]+ - (.+?)\.jpg""), "".jpg"", """"), ""-"", "", ""), """")"),"")</f>
        <v/>
      </c>
      <c r="L3514" s="12"/>
      <c r="M3514" s="13"/>
      <c r="N3514" s="2"/>
      <c r="O3514" s="20"/>
      <c r="P3514" s="42"/>
      <c r="R3514" s="23"/>
    </row>
    <row r="3515" spans="1:18" ht="12.75">
      <c r="A3515" s="12"/>
      <c r="D3515" s="12"/>
      <c r="E3515" s="12"/>
      <c r="H3515" s="11" t="str">
        <f ca="1">IFERROR(__xludf.DUMMYFUNCTION("IFERROR(SUBSTITUTE(SUBSTITUTE(REGEXEXTRACT(A3515, ""[^-]+- [^-]+- [^-]+ - (.+?)\.jpg""), "".jpg"", """"), ""-"", "", ""), """")"),"")</f>
        <v/>
      </c>
      <c r="L3515" s="12"/>
      <c r="M3515" s="13"/>
      <c r="N3515" s="2"/>
      <c r="O3515" s="20"/>
      <c r="P3515" s="42"/>
      <c r="R3515" s="23"/>
    </row>
    <row r="3516" spans="1:18" ht="12.75">
      <c r="A3516" s="12"/>
      <c r="D3516" s="12"/>
      <c r="E3516" s="12"/>
      <c r="H3516" s="11" t="str">
        <f ca="1">IFERROR(__xludf.DUMMYFUNCTION("IFERROR(SUBSTITUTE(SUBSTITUTE(REGEXEXTRACT(A3516, ""[^-]+- [^-]+- [^-]+ - (.+?)\.jpg""), "".jpg"", """"), ""-"", "", ""), """")"),"")</f>
        <v/>
      </c>
      <c r="L3516" s="12"/>
      <c r="M3516" s="13"/>
      <c r="N3516" s="2"/>
      <c r="O3516" s="20"/>
      <c r="P3516" s="42"/>
      <c r="R3516" s="23"/>
    </row>
    <row r="3517" spans="1:18" ht="12.75">
      <c r="A3517" s="12"/>
      <c r="D3517" s="12"/>
      <c r="E3517" s="12"/>
      <c r="H3517" s="11" t="str">
        <f ca="1">IFERROR(__xludf.DUMMYFUNCTION("IFERROR(SUBSTITUTE(SUBSTITUTE(REGEXEXTRACT(A3517, ""[^-]+- [^-]+- [^-]+ - (.+?)\.jpg""), "".jpg"", """"), ""-"", "", ""), """")"),"")</f>
        <v/>
      </c>
      <c r="L3517" s="12"/>
      <c r="M3517" s="13"/>
      <c r="N3517" s="2"/>
      <c r="O3517" s="20"/>
      <c r="P3517" s="42"/>
      <c r="R3517" s="23"/>
    </row>
    <row r="3518" spans="1:18" ht="12.75">
      <c r="A3518" s="12"/>
      <c r="D3518" s="12"/>
      <c r="E3518" s="12"/>
      <c r="H3518" s="11" t="str">
        <f ca="1">IFERROR(__xludf.DUMMYFUNCTION("IFERROR(SUBSTITUTE(SUBSTITUTE(REGEXEXTRACT(A3518, ""[^-]+- [^-]+- [^-]+ - (.+?)\.jpg""), "".jpg"", """"), ""-"", "", ""), """")"),"")</f>
        <v/>
      </c>
      <c r="L3518" s="12"/>
      <c r="M3518" s="13"/>
      <c r="N3518" s="2"/>
      <c r="O3518" s="20"/>
      <c r="P3518" s="42"/>
      <c r="R3518" s="23"/>
    </row>
    <row r="3519" spans="1:18" ht="12.75">
      <c r="A3519" s="12"/>
      <c r="D3519" s="12"/>
      <c r="E3519" s="12"/>
      <c r="H3519" s="11" t="str">
        <f ca="1">IFERROR(__xludf.DUMMYFUNCTION("IFERROR(SUBSTITUTE(SUBSTITUTE(REGEXEXTRACT(A3519, ""[^-]+- [^-]+- [^-]+ - (.+?)\.jpg""), "".jpg"", """"), ""-"", "", ""), """")"),"")</f>
        <v/>
      </c>
      <c r="L3519" s="12"/>
      <c r="M3519" s="13"/>
      <c r="N3519" s="2"/>
      <c r="O3519" s="20"/>
      <c r="P3519" s="42"/>
      <c r="R3519" s="23"/>
    </row>
    <row r="3520" spans="1:18" ht="12.75">
      <c r="A3520" s="12"/>
      <c r="D3520" s="12"/>
      <c r="E3520" s="12"/>
      <c r="H3520" s="11" t="str">
        <f ca="1">IFERROR(__xludf.DUMMYFUNCTION("IFERROR(SUBSTITUTE(SUBSTITUTE(REGEXEXTRACT(A3520, ""[^-]+- [^-]+- [^-]+ - (.+?)\.jpg""), "".jpg"", """"), ""-"", "", ""), """")"),"")</f>
        <v/>
      </c>
      <c r="L3520" s="12"/>
      <c r="M3520" s="13"/>
      <c r="N3520" s="2"/>
      <c r="O3520" s="20"/>
      <c r="P3520" s="42"/>
      <c r="R3520" s="23"/>
    </row>
    <row r="3521" spans="1:18" ht="12.75">
      <c r="A3521" s="12"/>
      <c r="D3521" s="12"/>
      <c r="E3521" s="12"/>
      <c r="H3521" s="11" t="str">
        <f ca="1">IFERROR(__xludf.DUMMYFUNCTION("IFERROR(SUBSTITUTE(SUBSTITUTE(REGEXEXTRACT(A3521, ""[^-]+- [^-]+- [^-]+ - (.+?)\.jpg""), "".jpg"", """"), ""-"", "", ""), """")"),"")</f>
        <v/>
      </c>
      <c r="L3521" s="12"/>
      <c r="M3521" s="13"/>
      <c r="N3521" s="2"/>
      <c r="O3521" s="20"/>
      <c r="P3521" s="42"/>
      <c r="R3521" s="23"/>
    </row>
    <row r="3522" spans="1:18" ht="12.75">
      <c r="A3522" s="12"/>
      <c r="D3522" s="12"/>
      <c r="E3522" s="12"/>
      <c r="H3522" s="11" t="str">
        <f ca="1">IFERROR(__xludf.DUMMYFUNCTION("IFERROR(SUBSTITUTE(SUBSTITUTE(REGEXEXTRACT(A3522, ""[^-]+- [^-]+- [^-]+ - (.+?)\.jpg""), "".jpg"", """"), ""-"", "", ""), """")"),"")</f>
        <v/>
      </c>
      <c r="L3522" s="12"/>
      <c r="M3522" s="13"/>
      <c r="N3522" s="2"/>
      <c r="O3522" s="20"/>
      <c r="P3522" s="42"/>
      <c r="R3522" s="23"/>
    </row>
    <row r="3523" spans="1:18" ht="12.75">
      <c r="A3523" s="12"/>
      <c r="D3523" s="12"/>
      <c r="E3523" s="12"/>
      <c r="H3523" s="11" t="str">
        <f ca="1">IFERROR(__xludf.DUMMYFUNCTION("IFERROR(SUBSTITUTE(SUBSTITUTE(REGEXEXTRACT(A3523, ""[^-]+- [^-]+- [^-]+ - (.+?)\.jpg""), "".jpg"", """"), ""-"", "", ""), """")"),"")</f>
        <v/>
      </c>
      <c r="L3523" s="12"/>
      <c r="M3523" s="13"/>
      <c r="N3523" s="2"/>
      <c r="O3523" s="20"/>
      <c r="P3523" s="42"/>
      <c r="R3523" s="23"/>
    </row>
    <row r="3524" spans="1:18" ht="12.75">
      <c r="A3524" s="12"/>
      <c r="D3524" s="12"/>
      <c r="E3524" s="12"/>
      <c r="H3524" s="11" t="str">
        <f ca="1">IFERROR(__xludf.DUMMYFUNCTION("IFERROR(SUBSTITUTE(SUBSTITUTE(REGEXEXTRACT(A3524, ""[^-]+- [^-]+- [^-]+ - (.+?)\.jpg""), "".jpg"", """"), ""-"", "", ""), """")"),"")</f>
        <v/>
      </c>
      <c r="L3524" s="12"/>
      <c r="M3524" s="13"/>
      <c r="N3524" s="2"/>
      <c r="O3524" s="20"/>
      <c r="P3524" s="42"/>
      <c r="R3524" s="23"/>
    </row>
    <row r="3525" spans="1:18" ht="12.75">
      <c r="A3525" s="12"/>
      <c r="D3525" s="12"/>
      <c r="E3525" s="12"/>
      <c r="H3525" s="11" t="str">
        <f ca="1">IFERROR(__xludf.DUMMYFUNCTION("IFERROR(SUBSTITUTE(SUBSTITUTE(REGEXEXTRACT(A3525, ""[^-]+- [^-]+- [^-]+ - (.+?)\.jpg""), "".jpg"", """"), ""-"", "", ""), """")"),"")</f>
        <v/>
      </c>
      <c r="L3525" s="12"/>
      <c r="M3525" s="13"/>
      <c r="N3525" s="2"/>
      <c r="O3525" s="20"/>
      <c r="P3525" s="42"/>
      <c r="R3525" s="23"/>
    </row>
    <row r="3526" spans="1:18" ht="12.75">
      <c r="A3526" s="12"/>
      <c r="D3526" s="12"/>
      <c r="E3526" s="12"/>
      <c r="H3526" s="11" t="str">
        <f ca="1">IFERROR(__xludf.DUMMYFUNCTION("IFERROR(SUBSTITUTE(SUBSTITUTE(REGEXEXTRACT(A3526, ""[^-]+- [^-]+- [^-]+ - (.+?)\.jpg""), "".jpg"", """"), ""-"", "", ""), """")"),"")</f>
        <v/>
      </c>
      <c r="L3526" s="12"/>
      <c r="M3526" s="13"/>
      <c r="N3526" s="2"/>
      <c r="O3526" s="20"/>
      <c r="P3526" s="42"/>
      <c r="R3526" s="23"/>
    </row>
    <row r="3527" spans="1:18" ht="12.75">
      <c r="A3527" s="12"/>
      <c r="D3527" s="12"/>
      <c r="E3527" s="12"/>
      <c r="H3527" s="11" t="str">
        <f ca="1">IFERROR(__xludf.DUMMYFUNCTION("IFERROR(SUBSTITUTE(SUBSTITUTE(REGEXEXTRACT(A3527, ""[^-]+- [^-]+- [^-]+ - (.+?)\.jpg""), "".jpg"", """"), ""-"", "", ""), """")"),"")</f>
        <v/>
      </c>
      <c r="L3527" s="12"/>
      <c r="M3527" s="13"/>
      <c r="N3527" s="2"/>
      <c r="O3527" s="20"/>
      <c r="P3527" s="42"/>
      <c r="R3527" s="23"/>
    </row>
    <row r="3528" spans="1:18" ht="12.75">
      <c r="A3528" s="12"/>
      <c r="D3528" s="12"/>
      <c r="E3528" s="12"/>
      <c r="H3528" s="11" t="str">
        <f ca="1">IFERROR(__xludf.DUMMYFUNCTION("IFERROR(SUBSTITUTE(SUBSTITUTE(REGEXEXTRACT(A3528, ""[^-]+- [^-]+- [^-]+ - (.+?)\.jpg""), "".jpg"", """"), ""-"", "", ""), """")"),"")</f>
        <v/>
      </c>
      <c r="L3528" s="12"/>
      <c r="M3528" s="13"/>
      <c r="N3528" s="2"/>
      <c r="O3528" s="20"/>
      <c r="P3528" s="42"/>
      <c r="R3528" s="23"/>
    </row>
    <row r="3529" spans="1:18" ht="12.75">
      <c r="A3529" s="12"/>
      <c r="D3529" s="12"/>
      <c r="E3529" s="12"/>
      <c r="H3529" s="11" t="str">
        <f ca="1">IFERROR(__xludf.DUMMYFUNCTION("IFERROR(SUBSTITUTE(SUBSTITUTE(REGEXEXTRACT(A3529, ""[^-]+- [^-]+- [^-]+ - (.+?)\.jpg""), "".jpg"", """"), ""-"", "", ""), """")"),"")</f>
        <v/>
      </c>
      <c r="L3529" s="12"/>
      <c r="M3529" s="13"/>
      <c r="N3529" s="2"/>
      <c r="O3529" s="20"/>
      <c r="P3529" s="42"/>
      <c r="R3529" s="23"/>
    </row>
    <row r="3530" spans="1:18" ht="12.75">
      <c r="A3530" s="12"/>
      <c r="D3530" s="12"/>
      <c r="E3530" s="12"/>
      <c r="H3530" s="11" t="str">
        <f ca="1">IFERROR(__xludf.DUMMYFUNCTION("IFERROR(SUBSTITUTE(SUBSTITUTE(REGEXEXTRACT(A3530, ""[^-]+- [^-]+- [^-]+ - (.+?)\.jpg""), "".jpg"", """"), ""-"", "", ""), """")"),"")</f>
        <v/>
      </c>
      <c r="L3530" s="12"/>
      <c r="M3530" s="13"/>
      <c r="N3530" s="2"/>
      <c r="O3530" s="20"/>
      <c r="P3530" s="42"/>
      <c r="R3530" s="23"/>
    </row>
    <row r="3531" spans="1:18" ht="12.75">
      <c r="A3531" s="12"/>
      <c r="D3531" s="12"/>
      <c r="E3531" s="12"/>
      <c r="H3531" s="11" t="str">
        <f ca="1">IFERROR(__xludf.DUMMYFUNCTION("IFERROR(SUBSTITUTE(SUBSTITUTE(REGEXEXTRACT(A3531, ""[^-]+- [^-]+- [^-]+ - (.+?)\.jpg""), "".jpg"", """"), ""-"", "", ""), """")"),"")</f>
        <v/>
      </c>
      <c r="L3531" s="12"/>
      <c r="M3531" s="13"/>
      <c r="N3531" s="2"/>
      <c r="O3531" s="20"/>
      <c r="P3531" s="42"/>
      <c r="R3531" s="23"/>
    </row>
    <row r="3532" spans="1:18" ht="12.75">
      <c r="A3532" s="12"/>
      <c r="D3532" s="12"/>
      <c r="E3532" s="12"/>
      <c r="H3532" s="11" t="str">
        <f ca="1">IFERROR(__xludf.DUMMYFUNCTION("IFERROR(SUBSTITUTE(SUBSTITUTE(REGEXEXTRACT(A3532, ""[^-]+- [^-]+- [^-]+ - (.+?)\.jpg""), "".jpg"", """"), ""-"", "", ""), """")"),"")</f>
        <v/>
      </c>
      <c r="L3532" s="12"/>
      <c r="M3532" s="13"/>
      <c r="N3532" s="2"/>
      <c r="O3532" s="20"/>
      <c r="P3532" s="42"/>
      <c r="R3532" s="23"/>
    </row>
    <row r="3533" spans="1:18" ht="12.75">
      <c r="A3533" s="12"/>
      <c r="D3533" s="12"/>
      <c r="E3533" s="12"/>
      <c r="H3533" s="11" t="str">
        <f ca="1">IFERROR(__xludf.DUMMYFUNCTION("IFERROR(SUBSTITUTE(SUBSTITUTE(REGEXEXTRACT(A3533, ""[^-]+- [^-]+- [^-]+ - (.+?)\.jpg""), "".jpg"", """"), ""-"", "", ""), """")"),"")</f>
        <v/>
      </c>
      <c r="L3533" s="12"/>
      <c r="M3533" s="13"/>
      <c r="N3533" s="2"/>
      <c r="O3533" s="20"/>
      <c r="P3533" s="42"/>
      <c r="R3533" s="23"/>
    </row>
    <row r="3534" spans="1:18" ht="12.75">
      <c r="A3534" s="12"/>
      <c r="D3534" s="12"/>
      <c r="E3534" s="12"/>
      <c r="H3534" s="11" t="str">
        <f ca="1">IFERROR(__xludf.DUMMYFUNCTION("IFERROR(SUBSTITUTE(SUBSTITUTE(REGEXEXTRACT(A3534, ""[^-]+- [^-]+- [^-]+ - (.+?)\.jpg""), "".jpg"", """"), ""-"", "", ""), """")"),"")</f>
        <v/>
      </c>
      <c r="L3534" s="12"/>
      <c r="M3534" s="13"/>
      <c r="N3534" s="2"/>
      <c r="O3534" s="20"/>
      <c r="P3534" s="42"/>
      <c r="R3534" s="23"/>
    </row>
    <row r="3535" spans="1:18" ht="12.75">
      <c r="A3535" s="12"/>
      <c r="D3535" s="12"/>
      <c r="E3535" s="12"/>
      <c r="H3535" s="11" t="str">
        <f ca="1">IFERROR(__xludf.DUMMYFUNCTION("IFERROR(SUBSTITUTE(SUBSTITUTE(REGEXEXTRACT(A3535, ""[^-]+- [^-]+- [^-]+ - (.+?)\.jpg""), "".jpg"", """"), ""-"", "", ""), """")"),"")</f>
        <v/>
      </c>
      <c r="L3535" s="12"/>
      <c r="M3535" s="13"/>
      <c r="N3535" s="2"/>
      <c r="O3535" s="20"/>
      <c r="P3535" s="42"/>
      <c r="R3535" s="23"/>
    </row>
    <row r="3536" spans="1:18" ht="12.75">
      <c r="A3536" s="12"/>
      <c r="D3536" s="12"/>
      <c r="E3536" s="12"/>
      <c r="H3536" s="11" t="str">
        <f ca="1">IFERROR(__xludf.DUMMYFUNCTION("IFERROR(SUBSTITUTE(SUBSTITUTE(REGEXEXTRACT(A3536, ""[^-]+- [^-]+- [^-]+ - (.+?)\.jpg""), "".jpg"", """"), ""-"", "", ""), """")"),"")</f>
        <v/>
      </c>
      <c r="L3536" s="12"/>
      <c r="M3536" s="13"/>
      <c r="N3536" s="2"/>
      <c r="O3536" s="20"/>
      <c r="P3536" s="42"/>
      <c r="R3536" s="23"/>
    </row>
    <row r="3537" spans="1:18" ht="12.75">
      <c r="A3537" s="12"/>
      <c r="D3537" s="12"/>
      <c r="E3537" s="12"/>
      <c r="H3537" s="11" t="str">
        <f ca="1">IFERROR(__xludf.DUMMYFUNCTION("IFERROR(SUBSTITUTE(SUBSTITUTE(REGEXEXTRACT(A3537, ""[^-]+- [^-]+- [^-]+ - (.+?)\.jpg""), "".jpg"", """"), ""-"", "", ""), """")"),"")</f>
        <v/>
      </c>
      <c r="L3537" s="12"/>
      <c r="M3537" s="13"/>
      <c r="N3537" s="2"/>
      <c r="O3537" s="20"/>
      <c r="P3537" s="42"/>
      <c r="R3537" s="23"/>
    </row>
    <row r="3538" spans="1:18" ht="12.75">
      <c r="A3538" s="12"/>
      <c r="D3538" s="12"/>
      <c r="E3538" s="12"/>
      <c r="H3538" s="11" t="str">
        <f ca="1">IFERROR(__xludf.DUMMYFUNCTION("IFERROR(SUBSTITUTE(SUBSTITUTE(REGEXEXTRACT(A3538, ""[^-]+- [^-]+- [^-]+ - (.+?)\.jpg""), "".jpg"", """"), ""-"", "", ""), """")"),"")</f>
        <v/>
      </c>
      <c r="L3538" s="12"/>
      <c r="M3538" s="13"/>
      <c r="N3538" s="2"/>
      <c r="O3538" s="20"/>
      <c r="P3538" s="42"/>
      <c r="R3538" s="23"/>
    </row>
    <row r="3539" spans="1:18" ht="12.75">
      <c r="A3539" s="12"/>
      <c r="D3539" s="12"/>
      <c r="E3539" s="12"/>
      <c r="H3539" s="11" t="str">
        <f ca="1">IFERROR(__xludf.DUMMYFUNCTION("IFERROR(SUBSTITUTE(SUBSTITUTE(REGEXEXTRACT(A3539, ""[^-]+- [^-]+- [^-]+ - (.+?)\.jpg""), "".jpg"", """"), ""-"", "", ""), """")"),"")</f>
        <v/>
      </c>
      <c r="L3539" s="12"/>
      <c r="M3539" s="13"/>
      <c r="N3539" s="2"/>
      <c r="O3539" s="20"/>
      <c r="P3539" s="42"/>
      <c r="R3539" s="23"/>
    </row>
    <row r="3540" spans="1:18" ht="12.75">
      <c r="A3540" s="12"/>
      <c r="D3540" s="12"/>
      <c r="E3540" s="12"/>
      <c r="H3540" s="11" t="str">
        <f ca="1">IFERROR(__xludf.DUMMYFUNCTION("IFERROR(SUBSTITUTE(SUBSTITUTE(REGEXEXTRACT(A3540, ""[^-]+- [^-]+- [^-]+ - (.+?)\.jpg""), "".jpg"", """"), ""-"", "", ""), """")"),"")</f>
        <v/>
      </c>
      <c r="L3540" s="12"/>
      <c r="M3540" s="13"/>
      <c r="N3540" s="2"/>
      <c r="O3540" s="20"/>
      <c r="P3540" s="42"/>
      <c r="R3540" s="23"/>
    </row>
    <row r="3541" spans="1:18" ht="12.75">
      <c r="A3541" s="12"/>
      <c r="D3541" s="12"/>
      <c r="E3541" s="12"/>
      <c r="H3541" s="11" t="str">
        <f ca="1">IFERROR(__xludf.DUMMYFUNCTION("IFERROR(SUBSTITUTE(SUBSTITUTE(REGEXEXTRACT(A3541, ""[^-]+- [^-]+- [^-]+ - (.+?)\.jpg""), "".jpg"", """"), ""-"", "", ""), """")"),"")</f>
        <v/>
      </c>
      <c r="L3541" s="12"/>
      <c r="M3541" s="13"/>
      <c r="N3541" s="2"/>
      <c r="O3541" s="20"/>
      <c r="P3541" s="42"/>
      <c r="R3541" s="23"/>
    </row>
    <row r="3542" spans="1:18" ht="12.75">
      <c r="A3542" s="12"/>
      <c r="D3542" s="12"/>
      <c r="E3542" s="12"/>
      <c r="H3542" s="11" t="str">
        <f ca="1">IFERROR(__xludf.DUMMYFUNCTION("IFERROR(SUBSTITUTE(SUBSTITUTE(REGEXEXTRACT(A3542, ""[^-]+- [^-]+- [^-]+ - (.+?)\.jpg""), "".jpg"", """"), ""-"", "", ""), """")"),"")</f>
        <v/>
      </c>
      <c r="L3542" s="12"/>
      <c r="M3542" s="13"/>
      <c r="N3542" s="2"/>
      <c r="O3542" s="20"/>
      <c r="P3542" s="42"/>
      <c r="R3542" s="23"/>
    </row>
    <row r="3543" spans="1:18" ht="12.75">
      <c r="A3543" s="12"/>
      <c r="D3543" s="12"/>
      <c r="E3543" s="12"/>
      <c r="H3543" s="11" t="str">
        <f ca="1">IFERROR(__xludf.DUMMYFUNCTION("IFERROR(SUBSTITUTE(SUBSTITUTE(REGEXEXTRACT(A3543, ""[^-]+- [^-]+- [^-]+ - (.+?)\.jpg""), "".jpg"", """"), ""-"", "", ""), """")"),"")</f>
        <v/>
      </c>
      <c r="L3543" s="12"/>
      <c r="M3543" s="13"/>
      <c r="N3543" s="2"/>
      <c r="O3543" s="20"/>
      <c r="P3543" s="42"/>
      <c r="R3543" s="23"/>
    </row>
    <row r="3544" spans="1:18" ht="12.75">
      <c r="A3544" s="12"/>
      <c r="D3544" s="12"/>
      <c r="E3544" s="12"/>
      <c r="H3544" s="11" t="str">
        <f ca="1">IFERROR(__xludf.DUMMYFUNCTION("IFERROR(SUBSTITUTE(SUBSTITUTE(REGEXEXTRACT(A3544, ""[^-]+- [^-]+- [^-]+ - (.+?)\.jpg""), "".jpg"", """"), ""-"", "", ""), """")"),"")</f>
        <v/>
      </c>
      <c r="L3544" s="12"/>
      <c r="M3544" s="13"/>
      <c r="N3544" s="2"/>
      <c r="O3544" s="20"/>
      <c r="P3544" s="42"/>
      <c r="R3544" s="23"/>
    </row>
    <row r="3545" spans="1:18" ht="12.75">
      <c r="A3545" s="12"/>
      <c r="D3545" s="12"/>
      <c r="E3545" s="12"/>
      <c r="H3545" s="11" t="str">
        <f ca="1">IFERROR(__xludf.DUMMYFUNCTION("IFERROR(SUBSTITUTE(SUBSTITUTE(REGEXEXTRACT(A3545, ""[^-]+- [^-]+- [^-]+ - (.+?)\.jpg""), "".jpg"", """"), ""-"", "", ""), """")"),"")</f>
        <v/>
      </c>
      <c r="L3545" s="12"/>
      <c r="M3545" s="13"/>
      <c r="N3545" s="2"/>
      <c r="O3545" s="20"/>
      <c r="P3545" s="42"/>
      <c r="R3545" s="23"/>
    </row>
    <row r="3546" spans="1:18" ht="12.75">
      <c r="A3546" s="12"/>
      <c r="D3546" s="12"/>
      <c r="E3546" s="12"/>
      <c r="H3546" s="11" t="str">
        <f ca="1">IFERROR(__xludf.DUMMYFUNCTION("IFERROR(SUBSTITUTE(SUBSTITUTE(REGEXEXTRACT(A3546, ""[^-]+- [^-]+- [^-]+ - (.+?)\.jpg""), "".jpg"", """"), ""-"", "", ""), """")"),"")</f>
        <v/>
      </c>
      <c r="L3546" s="12"/>
      <c r="M3546" s="13"/>
      <c r="N3546" s="2"/>
      <c r="O3546" s="20"/>
      <c r="P3546" s="42"/>
      <c r="R3546" s="23"/>
    </row>
    <row r="3547" spans="1:18" ht="12.75">
      <c r="A3547" s="12"/>
      <c r="D3547" s="12"/>
      <c r="E3547" s="12"/>
      <c r="H3547" s="11" t="str">
        <f ca="1">IFERROR(__xludf.DUMMYFUNCTION("IFERROR(SUBSTITUTE(SUBSTITUTE(REGEXEXTRACT(A3547, ""[^-]+- [^-]+- [^-]+ - (.+?)\.jpg""), "".jpg"", """"), ""-"", "", ""), """")"),"")</f>
        <v/>
      </c>
      <c r="L3547" s="12"/>
      <c r="M3547" s="13"/>
      <c r="N3547" s="2"/>
      <c r="O3547" s="20"/>
      <c r="P3547" s="42"/>
      <c r="R3547" s="23"/>
    </row>
    <row r="3548" spans="1:18" ht="12.75">
      <c r="A3548" s="12"/>
      <c r="D3548" s="12"/>
      <c r="E3548" s="12"/>
      <c r="H3548" s="11" t="str">
        <f ca="1">IFERROR(__xludf.DUMMYFUNCTION("IFERROR(SUBSTITUTE(SUBSTITUTE(REGEXEXTRACT(A3548, ""[^-]+- [^-]+- [^-]+ - (.+?)\.jpg""), "".jpg"", """"), ""-"", "", ""), """")"),"")</f>
        <v/>
      </c>
      <c r="L3548" s="12"/>
      <c r="M3548" s="13"/>
      <c r="N3548" s="2"/>
      <c r="O3548" s="20"/>
      <c r="P3548" s="42"/>
      <c r="R3548" s="23"/>
    </row>
    <row r="3549" spans="1:18" ht="12.75">
      <c r="A3549" s="12"/>
      <c r="D3549" s="12"/>
      <c r="E3549" s="12"/>
      <c r="H3549" s="11" t="str">
        <f ca="1">IFERROR(__xludf.DUMMYFUNCTION("IFERROR(SUBSTITUTE(SUBSTITUTE(REGEXEXTRACT(A3549, ""[^-]+- [^-]+- [^-]+ - (.+?)\.jpg""), "".jpg"", """"), ""-"", "", ""), """")"),"")</f>
        <v/>
      </c>
      <c r="L3549" s="12"/>
      <c r="M3549" s="13"/>
      <c r="N3549" s="2"/>
      <c r="O3549" s="20"/>
      <c r="P3549" s="42"/>
      <c r="R3549" s="23"/>
    </row>
    <row r="3550" spans="1:18" ht="12.75">
      <c r="A3550" s="12"/>
      <c r="D3550" s="12"/>
      <c r="E3550" s="12"/>
      <c r="H3550" s="11" t="str">
        <f ca="1">IFERROR(__xludf.DUMMYFUNCTION("IFERROR(SUBSTITUTE(SUBSTITUTE(REGEXEXTRACT(A3550, ""[^-]+- [^-]+- [^-]+ - (.+?)\.jpg""), "".jpg"", """"), ""-"", "", ""), """")"),"")</f>
        <v/>
      </c>
      <c r="L3550" s="12"/>
      <c r="M3550" s="13"/>
      <c r="N3550" s="2"/>
      <c r="O3550" s="20"/>
      <c r="P3550" s="42"/>
      <c r="R3550" s="23"/>
    </row>
    <row r="3551" spans="1:18" ht="12.75">
      <c r="A3551" s="12"/>
      <c r="D3551" s="12"/>
      <c r="E3551" s="12"/>
      <c r="H3551" s="11" t="str">
        <f ca="1">IFERROR(__xludf.DUMMYFUNCTION("IFERROR(SUBSTITUTE(SUBSTITUTE(REGEXEXTRACT(A3551, ""[^-]+- [^-]+- [^-]+ - (.+?)\.jpg""), "".jpg"", """"), ""-"", "", ""), """")"),"")</f>
        <v/>
      </c>
      <c r="L3551" s="12"/>
      <c r="M3551" s="13"/>
      <c r="N3551" s="2"/>
      <c r="O3551" s="20"/>
      <c r="P3551" s="42"/>
      <c r="R3551" s="23"/>
    </row>
    <row r="3552" spans="1:18" ht="12.75">
      <c r="A3552" s="12"/>
      <c r="D3552" s="12"/>
      <c r="E3552" s="12"/>
      <c r="H3552" s="11" t="str">
        <f ca="1">IFERROR(__xludf.DUMMYFUNCTION("IFERROR(SUBSTITUTE(SUBSTITUTE(REGEXEXTRACT(A3552, ""[^-]+- [^-]+- [^-]+ - (.+?)\.jpg""), "".jpg"", """"), ""-"", "", ""), """")"),"")</f>
        <v/>
      </c>
      <c r="L3552" s="12"/>
      <c r="M3552" s="13"/>
      <c r="N3552" s="2"/>
      <c r="O3552" s="20"/>
      <c r="P3552" s="42"/>
      <c r="R3552" s="23"/>
    </row>
    <row r="3553" spans="1:18" ht="12.75">
      <c r="A3553" s="12"/>
      <c r="D3553" s="12"/>
      <c r="E3553" s="12"/>
      <c r="H3553" s="11" t="str">
        <f ca="1">IFERROR(__xludf.DUMMYFUNCTION("IFERROR(SUBSTITUTE(SUBSTITUTE(REGEXEXTRACT(A3553, ""[^-]+- [^-]+- [^-]+ - (.+?)\.jpg""), "".jpg"", """"), ""-"", "", ""), """")"),"")</f>
        <v/>
      </c>
      <c r="L3553" s="12"/>
      <c r="M3553" s="13"/>
      <c r="N3553" s="2"/>
      <c r="O3553" s="20"/>
      <c r="P3553" s="42"/>
      <c r="R3553" s="23"/>
    </row>
    <row r="3554" spans="1:18" ht="12.75">
      <c r="A3554" s="12"/>
      <c r="D3554" s="12"/>
      <c r="E3554" s="12"/>
      <c r="H3554" s="11" t="str">
        <f ca="1">IFERROR(__xludf.DUMMYFUNCTION("IFERROR(SUBSTITUTE(SUBSTITUTE(REGEXEXTRACT(A3554, ""[^-]+- [^-]+- [^-]+ - (.+?)\.jpg""), "".jpg"", """"), ""-"", "", ""), """")"),"")</f>
        <v/>
      </c>
      <c r="L3554" s="12"/>
      <c r="M3554" s="13"/>
      <c r="N3554" s="2"/>
      <c r="O3554" s="20"/>
      <c r="P3554" s="42"/>
      <c r="R3554" s="23"/>
    </row>
    <row r="3555" spans="1:18" ht="12.75">
      <c r="A3555" s="12"/>
      <c r="D3555" s="12"/>
      <c r="E3555" s="12"/>
      <c r="H3555" s="11" t="str">
        <f ca="1">IFERROR(__xludf.DUMMYFUNCTION("IFERROR(SUBSTITUTE(SUBSTITUTE(REGEXEXTRACT(A3555, ""[^-]+- [^-]+- [^-]+ - (.+?)\.jpg""), "".jpg"", """"), ""-"", "", ""), """")"),"")</f>
        <v/>
      </c>
      <c r="L3555" s="12"/>
      <c r="M3555" s="13"/>
      <c r="N3555" s="2"/>
      <c r="O3555" s="20"/>
      <c r="P3555" s="42"/>
      <c r="R3555" s="23"/>
    </row>
    <row r="3556" spans="1:18" ht="12.75">
      <c r="A3556" s="12"/>
      <c r="D3556" s="12"/>
      <c r="E3556" s="12"/>
      <c r="H3556" s="11" t="str">
        <f ca="1">IFERROR(__xludf.DUMMYFUNCTION("IFERROR(SUBSTITUTE(SUBSTITUTE(REGEXEXTRACT(A3556, ""[^-]+- [^-]+- [^-]+ - (.+?)\.jpg""), "".jpg"", """"), ""-"", "", ""), """")"),"")</f>
        <v/>
      </c>
      <c r="L3556" s="12"/>
      <c r="M3556" s="13"/>
      <c r="N3556" s="2"/>
      <c r="O3556" s="20"/>
      <c r="P3556" s="42"/>
      <c r="R3556" s="23"/>
    </row>
    <row r="3557" spans="1:18" ht="12.75">
      <c r="A3557" s="12"/>
      <c r="D3557" s="12"/>
      <c r="E3557" s="12"/>
      <c r="H3557" s="11" t="str">
        <f ca="1">IFERROR(__xludf.DUMMYFUNCTION("IFERROR(SUBSTITUTE(SUBSTITUTE(REGEXEXTRACT(A3557, ""[^-]+- [^-]+- [^-]+ - (.+?)\.jpg""), "".jpg"", """"), ""-"", "", ""), """")"),"")</f>
        <v/>
      </c>
      <c r="L3557" s="12"/>
      <c r="M3557" s="13"/>
      <c r="N3557" s="2"/>
      <c r="O3557" s="20"/>
      <c r="P3557" s="42"/>
      <c r="R3557" s="23"/>
    </row>
    <row r="3558" spans="1:18" ht="12.75">
      <c r="A3558" s="12"/>
      <c r="D3558" s="12"/>
      <c r="E3558" s="12"/>
      <c r="H3558" s="11" t="str">
        <f ca="1">IFERROR(__xludf.DUMMYFUNCTION("IFERROR(SUBSTITUTE(SUBSTITUTE(REGEXEXTRACT(A3558, ""[^-]+- [^-]+- [^-]+ - (.+?)\.jpg""), "".jpg"", """"), ""-"", "", ""), """")"),"")</f>
        <v/>
      </c>
      <c r="L3558" s="12"/>
      <c r="M3558" s="13"/>
      <c r="N3558" s="2"/>
      <c r="O3558" s="20"/>
      <c r="P3558" s="42"/>
      <c r="R3558" s="23"/>
    </row>
    <row r="3559" spans="1:18" ht="12.75">
      <c r="A3559" s="12"/>
      <c r="D3559" s="12"/>
      <c r="E3559" s="12"/>
      <c r="H3559" s="11" t="str">
        <f ca="1">IFERROR(__xludf.DUMMYFUNCTION("IFERROR(SUBSTITUTE(SUBSTITUTE(REGEXEXTRACT(A3559, ""[^-]+- [^-]+- [^-]+ - (.+?)\.jpg""), "".jpg"", """"), ""-"", "", ""), """")"),"")</f>
        <v/>
      </c>
      <c r="L3559" s="12"/>
      <c r="M3559" s="13"/>
      <c r="N3559" s="2"/>
      <c r="O3559" s="20"/>
      <c r="P3559" s="42"/>
      <c r="R3559" s="23"/>
    </row>
    <row r="3560" spans="1:18" ht="12.75">
      <c r="A3560" s="12"/>
      <c r="D3560" s="12"/>
      <c r="E3560" s="12"/>
      <c r="H3560" s="11" t="str">
        <f ca="1">IFERROR(__xludf.DUMMYFUNCTION("IFERROR(SUBSTITUTE(SUBSTITUTE(REGEXEXTRACT(A3560, ""[^-]+- [^-]+- [^-]+ - (.+?)\.jpg""), "".jpg"", """"), ""-"", "", ""), """")"),"")</f>
        <v/>
      </c>
      <c r="L3560" s="12"/>
      <c r="M3560" s="13"/>
      <c r="N3560" s="2"/>
      <c r="O3560" s="20"/>
      <c r="P3560" s="42"/>
      <c r="R3560" s="23"/>
    </row>
    <row r="3561" spans="1:18" ht="12.75">
      <c r="A3561" s="12"/>
      <c r="D3561" s="12"/>
      <c r="E3561" s="12"/>
      <c r="H3561" s="11" t="str">
        <f ca="1">IFERROR(__xludf.DUMMYFUNCTION("IFERROR(SUBSTITUTE(SUBSTITUTE(REGEXEXTRACT(A3561, ""[^-]+- [^-]+- [^-]+ - (.+?)\.jpg""), "".jpg"", """"), ""-"", "", ""), """")"),"")</f>
        <v/>
      </c>
      <c r="L3561" s="12"/>
      <c r="M3561" s="13"/>
      <c r="N3561" s="2"/>
      <c r="O3561" s="20"/>
      <c r="P3561" s="42"/>
      <c r="R3561" s="23"/>
    </row>
    <row r="3562" spans="1:18" ht="12.75">
      <c r="A3562" s="12"/>
      <c r="D3562" s="12"/>
      <c r="E3562" s="12"/>
      <c r="H3562" s="11" t="str">
        <f ca="1">IFERROR(__xludf.DUMMYFUNCTION("IFERROR(SUBSTITUTE(SUBSTITUTE(REGEXEXTRACT(A3562, ""[^-]+- [^-]+- [^-]+ - (.+?)\.jpg""), "".jpg"", """"), ""-"", "", ""), """")"),"")</f>
        <v/>
      </c>
      <c r="L3562" s="12"/>
      <c r="M3562" s="13"/>
      <c r="N3562" s="2"/>
      <c r="O3562" s="20"/>
      <c r="P3562" s="42"/>
      <c r="R3562" s="23"/>
    </row>
    <row r="3563" spans="1:18" ht="12.75">
      <c r="A3563" s="12"/>
      <c r="D3563" s="12"/>
      <c r="E3563" s="12"/>
      <c r="H3563" s="11" t="str">
        <f ca="1">IFERROR(__xludf.DUMMYFUNCTION("IFERROR(SUBSTITUTE(SUBSTITUTE(REGEXEXTRACT(A3563, ""[^-]+- [^-]+- [^-]+ - (.+?)\.jpg""), "".jpg"", """"), ""-"", "", ""), """")"),"")</f>
        <v/>
      </c>
      <c r="L3563" s="12"/>
      <c r="M3563" s="13"/>
      <c r="N3563" s="2"/>
      <c r="O3563" s="20"/>
      <c r="P3563" s="42"/>
      <c r="R3563" s="23"/>
    </row>
    <row r="3564" spans="1:18" ht="12.75">
      <c r="A3564" s="12"/>
      <c r="D3564" s="12"/>
      <c r="E3564" s="12"/>
      <c r="H3564" s="11" t="str">
        <f ca="1">IFERROR(__xludf.DUMMYFUNCTION("IFERROR(SUBSTITUTE(SUBSTITUTE(REGEXEXTRACT(A3564, ""[^-]+- [^-]+- [^-]+ - (.+?)\.jpg""), "".jpg"", """"), ""-"", "", ""), """")"),"")</f>
        <v/>
      </c>
      <c r="L3564" s="12"/>
      <c r="M3564" s="13"/>
      <c r="N3564" s="2"/>
      <c r="O3564" s="20"/>
      <c r="P3564" s="42"/>
      <c r="R3564" s="23"/>
    </row>
    <row r="3565" spans="1:18" ht="12.75">
      <c r="A3565" s="12"/>
      <c r="D3565" s="12"/>
      <c r="E3565" s="12"/>
      <c r="H3565" s="11" t="str">
        <f ca="1">IFERROR(__xludf.DUMMYFUNCTION("IFERROR(SUBSTITUTE(SUBSTITUTE(REGEXEXTRACT(A3565, ""[^-]+- [^-]+- [^-]+ - (.+?)\.jpg""), "".jpg"", """"), ""-"", "", ""), """")"),"")</f>
        <v/>
      </c>
      <c r="L3565" s="12"/>
      <c r="M3565" s="13"/>
      <c r="N3565" s="2"/>
      <c r="O3565" s="20"/>
      <c r="P3565" s="42"/>
      <c r="R3565" s="23"/>
    </row>
    <row r="3566" spans="1:18" ht="12.75">
      <c r="A3566" s="12"/>
      <c r="D3566" s="12"/>
      <c r="E3566" s="12"/>
      <c r="H3566" s="11" t="str">
        <f ca="1">IFERROR(__xludf.DUMMYFUNCTION("IFERROR(SUBSTITUTE(SUBSTITUTE(REGEXEXTRACT(A3566, ""[^-]+- [^-]+- [^-]+ - (.+?)\.jpg""), "".jpg"", """"), ""-"", "", ""), """")"),"")</f>
        <v/>
      </c>
      <c r="L3566" s="12"/>
      <c r="M3566" s="13"/>
      <c r="N3566" s="2"/>
      <c r="O3566" s="20"/>
      <c r="P3566" s="42"/>
      <c r="R3566" s="23"/>
    </row>
    <row r="3567" spans="1:18" ht="12.75">
      <c r="A3567" s="12"/>
      <c r="D3567" s="12"/>
      <c r="E3567" s="12"/>
      <c r="H3567" s="11" t="str">
        <f ca="1">IFERROR(__xludf.DUMMYFUNCTION("IFERROR(SUBSTITUTE(SUBSTITUTE(REGEXEXTRACT(A3567, ""[^-]+- [^-]+- [^-]+ - (.+?)\.jpg""), "".jpg"", """"), ""-"", "", ""), """")"),"")</f>
        <v/>
      </c>
      <c r="L3567" s="12"/>
      <c r="M3567" s="13"/>
      <c r="N3567" s="2"/>
      <c r="O3567" s="20"/>
      <c r="P3567" s="42"/>
      <c r="R3567" s="23"/>
    </row>
    <row r="3568" spans="1:18" ht="12.75">
      <c r="A3568" s="12"/>
      <c r="D3568" s="12"/>
      <c r="E3568" s="12"/>
      <c r="H3568" s="11" t="str">
        <f ca="1">IFERROR(__xludf.DUMMYFUNCTION("IFERROR(SUBSTITUTE(SUBSTITUTE(REGEXEXTRACT(A3568, ""[^-]+- [^-]+- [^-]+ - (.+?)\.jpg""), "".jpg"", """"), ""-"", "", ""), """")"),"")</f>
        <v/>
      </c>
      <c r="L3568" s="12"/>
      <c r="M3568" s="13"/>
      <c r="N3568" s="2"/>
      <c r="O3568" s="20"/>
      <c r="P3568" s="42"/>
      <c r="R3568" s="23"/>
    </row>
    <row r="3569" spans="1:18" ht="12.75">
      <c r="A3569" s="12"/>
      <c r="D3569" s="12"/>
      <c r="E3569" s="12"/>
      <c r="H3569" s="11" t="str">
        <f ca="1">IFERROR(__xludf.DUMMYFUNCTION("IFERROR(SUBSTITUTE(SUBSTITUTE(REGEXEXTRACT(A3569, ""[^-]+- [^-]+- [^-]+ - (.+?)\.jpg""), "".jpg"", """"), ""-"", "", ""), """")"),"")</f>
        <v/>
      </c>
      <c r="L3569" s="12"/>
      <c r="M3569" s="13"/>
      <c r="N3569" s="2"/>
      <c r="O3569" s="20"/>
      <c r="P3569" s="42"/>
      <c r="R3569" s="23"/>
    </row>
    <row r="3570" spans="1:18" ht="12.75">
      <c r="A3570" s="12"/>
      <c r="D3570" s="12"/>
      <c r="E3570" s="12"/>
      <c r="H3570" s="11" t="str">
        <f ca="1">IFERROR(__xludf.DUMMYFUNCTION("IFERROR(SUBSTITUTE(SUBSTITUTE(REGEXEXTRACT(A3570, ""[^-]+- [^-]+- [^-]+ - (.+?)\.jpg""), "".jpg"", """"), ""-"", "", ""), """")"),"")</f>
        <v/>
      </c>
      <c r="L3570" s="12"/>
      <c r="M3570" s="13"/>
      <c r="N3570" s="2"/>
      <c r="O3570" s="20"/>
      <c r="P3570" s="42"/>
      <c r="R3570" s="23"/>
    </row>
    <row r="3571" spans="1:18" ht="12.75">
      <c r="A3571" s="12"/>
      <c r="D3571" s="12"/>
      <c r="E3571" s="12"/>
      <c r="H3571" s="11" t="str">
        <f ca="1">IFERROR(__xludf.DUMMYFUNCTION("IFERROR(SUBSTITUTE(SUBSTITUTE(REGEXEXTRACT(A3571, ""[^-]+- [^-]+- [^-]+ - (.+?)\.jpg""), "".jpg"", """"), ""-"", "", ""), """")"),"")</f>
        <v/>
      </c>
      <c r="L3571" s="12"/>
      <c r="M3571" s="13"/>
      <c r="N3571" s="2"/>
      <c r="O3571" s="20"/>
      <c r="P3571" s="42"/>
      <c r="R3571" s="23"/>
    </row>
    <row r="3572" spans="1:18" ht="12.75">
      <c r="A3572" s="12"/>
      <c r="D3572" s="12"/>
      <c r="E3572" s="12"/>
      <c r="H3572" s="11" t="str">
        <f ca="1">IFERROR(__xludf.DUMMYFUNCTION("IFERROR(SUBSTITUTE(SUBSTITUTE(REGEXEXTRACT(A3572, ""[^-]+- [^-]+- [^-]+ - (.+?)\.jpg""), "".jpg"", """"), ""-"", "", ""), """")"),"")</f>
        <v/>
      </c>
      <c r="L3572" s="12"/>
      <c r="M3572" s="13"/>
      <c r="N3572" s="2"/>
      <c r="O3572" s="20"/>
      <c r="P3572" s="42"/>
      <c r="R3572" s="23"/>
    </row>
    <row r="3573" spans="1:18" ht="12.75">
      <c r="A3573" s="12"/>
      <c r="D3573" s="12"/>
      <c r="E3573" s="12"/>
      <c r="H3573" s="11" t="str">
        <f ca="1">IFERROR(__xludf.DUMMYFUNCTION("IFERROR(SUBSTITUTE(SUBSTITUTE(REGEXEXTRACT(A3573, ""[^-]+- [^-]+- [^-]+ - (.+?)\.jpg""), "".jpg"", """"), ""-"", "", ""), """")"),"")</f>
        <v/>
      </c>
      <c r="L3573" s="12"/>
      <c r="M3573" s="13"/>
      <c r="N3573" s="2"/>
      <c r="O3573" s="20"/>
      <c r="P3573" s="42"/>
      <c r="R3573" s="23"/>
    </row>
    <row r="3574" spans="1:18" ht="12.75">
      <c r="A3574" s="12"/>
      <c r="D3574" s="12"/>
      <c r="E3574" s="12"/>
      <c r="H3574" s="11" t="str">
        <f ca="1">IFERROR(__xludf.DUMMYFUNCTION("IFERROR(SUBSTITUTE(SUBSTITUTE(REGEXEXTRACT(A3574, ""[^-]+- [^-]+- [^-]+ - (.+?)\.jpg""), "".jpg"", """"), ""-"", "", ""), """")"),"")</f>
        <v/>
      </c>
      <c r="L3574" s="12"/>
      <c r="M3574" s="13"/>
      <c r="N3574" s="2"/>
      <c r="O3574" s="20"/>
      <c r="P3574" s="42"/>
      <c r="R3574" s="23"/>
    </row>
    <row r="3575" spans="1:18" ht="12.75">
      <c r="A3575" s="12"/>
      <c r="D3575" s="12"/>
      <c r="E3575" s="12"/>
      <c r="H3575" s="11" t="str">
        <f ca="1">IFERROR(__xludf.DUMMYFUNCTION("IFERROR(SUBSTITUTE(SUBSTITUTE(REGEXEXTRACT(A3575, ""[^-]+- [^-]+- [^-]+ - (.+?)\.jpg""), "".jpg"", """"), ""-"", "", ""), """")"),"")</f>
        <v/>
      </c>
      <c r="L3575" s="12"/>
      <c r="M3575" s="13"/>
      <c r="N3575" s="2"/>
      <c r="O3575" s="20"/>
      <c r="P3575" s="42"/>
      <c r="R3575" s="23"/>
    </row>
    <row r="3576" spans="1:18" ht="12.75">
      <c r="A3576" s="12"/>
      <c r="D3576" s="12"/>
      <c r="E3576" s="12"/>
      <c r="H3576" s="11" t="str">
        <f ca="1">IFERROR(__xludf.DUMMYFUNCTION("IFERROR(SUBSTITUTE(SUBSTITUTE(REGEXEXTRACT(A3576, ""[^-]+- [^-]+- [^-]+ - (.+?)\.jpg""), "".jpg"", """"), ""-"", "", ""), """")"),"")</f>
        <v/>
      </c>
      <c r="L3576" s="12"/>
      <c r="M3576" s="13"/>
      <c r="N3576" s="2"/>
      <c r="O3576" s="20"/>
      <c r="P3576" s="42"/>
      <c r="R3576" s="23"/>
    </row>
    <row r="3577" spans="1:18" ht="12.75">
      <c r="A3577" s="12"/>
      <c r="D3577" s="12"/>
      <c r="E3577" s="12"/>
      <c r="H3577" s="11" t="str">
        <f ca="1">IFERROR(__xludf.DUMMYFUNCTION("IFERROR(SUBSTITUTE(SUBSTITUTE(REGEXEXTRACT(A3577, ""[^-]+- [^-]+- [^-]+ - (.+?)\.jpg""), "".jpg"", """"), ""-"", "", ""), """")"),"")</f>
        <v/>
      </c>
      <c r="L3577" s="12"/>
      <c r="M3577" s="13"/>
      <c r="N3577" s="2"/>
      <c r="O3577" s="20"/>
      <c r="P3577" s="42"/>
      <c r="R3577" s="23"/>
    </row>
    <row r="3578" spans="1:18" ht="12.75">
      <c r="A3578" s="12"/>
      <c r="D3578" s="12"/>
      <c r="E3578" s="12"/>
      <c r="H3578" s="11" t="str">
        <f ca="1">IFERROR(__xludf.DUMMYFUNCTION("IFERROR(SUBSTITUTE(SUBSTITUTE(REGEXEXTRACT(A3578, ""[^-]+- [^-]+- [^-]+ - (.+?)\.jpg""), "".jpg"", """"), ""-"", "", ""), """")"),"")</f>
        <v/>
      </c>
      <c r="L3578" s="12"/>
      <c r="M3578" s="13"/>
      <c r="N3578" s="2"/>
      <c r="O3578" s="20"/>
      <c r="P3578" s="42"/>
      <c r="R3578" s="23"/>
    </row>
    <row r="3579" spans="1:18" ht="12.75">
      <c r="A3579" s="12"/>
      <c r="D3579" s="12"/>
      <c r="E3579" s="12"/>
      <c r="H3579" s="11" t="str">
        <f ca="1">IFERROR(__xludf.DUMMYFUNCTION("IFERROR(SUBSTITUTE(SUBSTITUTE(REGEXEXTRACT(A3579, ""[^-]+- [^-]+- [^-]+ - (.+?)\.jpg""), "".jpg"", """"), ""-"", "", ""), """")"),"")</f>
        <v/>
      </c>
      <c r="L3579" s="12"/>
      <c r="M3579" s="13"/>
      <c r="N3579" s="2"/>
      <c r="O3579" s="20"/>
      <c r="P3579" s="42"/>
      <c r="R3579" s="23"/>
    </row>
    <row r="3580" spans="1:18" ht="12.75">
      <c r="A3580" s="12"/>
      <c r="D3580" s="12"/>
      <c r="E3580" s="12"/>
      <c r="H3580" s="11" t="str">
        <f ca="1">IFERROR(__xludf.DUMMYFUNCTION("IFERROR(SUBSTITUTE(SUBSTITUTE(REGEXEXTRACT(A3580, ""[^-]+- [^-]+- [^-]+ - (.+?)\.jpg""), "".jpg"", """"), ""-"", "", ""), """")"),"")</f>
        <v/>
      </c>
      <c r="L3580" s="12"/>
      <c r="M3580" s="13"/>
      <c r="N3580" s="2"/>
      <c r="O3580" s="20"/>
      <c r="P3580" s="42"/>
      <c r="R3580" s="23"/>
    </row>
    <row r="3581" spans="1:18" ht="12.75">
      <c r="A3581" s="12"/>
      <c r="D3581" s="12"/>
      <c r="E3581" s="12"/>
      <c r="H3581" s="11" t="str">
        <f ca="1">IFERROR(__xludf.DUMMYFUNCTION("IFERROR(SUBSTITUTE(SUBSTITUTE(REGEXEXTRACT(A3581, ""[^-]+- [^-]+- [^-]+ - (.+?)\.jpg""), "".jpg"", """"), ""-"", "", ""), """")"),"")</f>
        <v/>
      </c>
      <c r="L3581" s="12"/>
      <c r="M3581" s="13"/>
      <c r="N3581" s="2"/>
      <c r="O3581" s="20"/>
      <c r="P3581" s="42"/>
      <c r="R3581" s="23"/>
    </row>
    <row r="3582" spans="1:18" ht="12.75">
      <c r="A3582" s="12"/>
      <c r="D3582" s="12"/>
      <c r="E3582" s="12"/>
      <c r="H3582" s="11" t="str">
        <f ca="1">IFERROR(__xludf.DUMMYFUNCTION("IFERROR(SUBSTITUTE(SUBSTITUTE(REGEXEXTRACT(A3582, ""[^-]+- [^-]+- [^-]+ - (.+?)\.jpg""), "".jpg"", """"), ""-"", "", ""), """")"),"")</f>
        <v/>
      </c>
      <c r="L3582" s="12"/>
      <c r="M3582" s="13"/>
      <c r="N3582" s="2"/>
      <c r="O3582" s="20"/>
      <c r="P3582" s="42"/>
      <c r="R3582" s="23"/>
    </row>
    <row r="3583" spans="1:18" ht="12.75">
      <c r="A3583" s="12"/>
      <c r="D3583" s="12"/>
      <c r="E3583" s="12"/>
      <c r="H3583" s="11" t="str">
        <f ca="1">IFERROR(__xludf.DUMMYFUNCTION("IFERROR(SUBSTITUTE(SUBSTITUTE(REGEXEXTRACT(A3583, ""[^-]+- [^-]+- [^-]+ - (.+?)\.jpg""), "".jpg"", """"), ""-"", "", ""), """")"),"")</f>
        <v/>
      </c>
      <c r="L3583" s="12"/>
      <c r="M3583" s="13"/>
      <c r="N3583" s="2"/>
      <c r="O3583" s="20"/>
      <c r="P3583" s="42"/>
      <c r="R3583" s="23"/>
    </row>
    <row r="3584" spans="1:18" ht="12.75">
      <c r="A3584" s="12"/>
      <c r="D3584" s="12"/>
      <c r="E3584" s="12"/>
      <c r="H3584" s="11" t="str">
        <f ca="1">IFERROR(__xludf.DUMMYFUNCTION("IFERROR(SUBSTITUTE(SUBSTITUTE(REGEXEXTRACT(A3584, ""[^-]+- [^-]+- [^-]+ - (.+?)\.jpg""), "".jpg"", """"), ""-"", "", ""), """")"),"")</f>
        <v/>
      </c>
      <c r="L3584" s="12"/>
      <c r="M3584" s="13"/>
      <c r="N3584" s="2"/>
      <c r="O3584" s="20"/>
      <c r="P3584" s="42"/>
      <c r="R3584" s="23"/>
    </row>
    <row r="3585" spans="1:18" ht="12.75">
      <c r="A3585" s="12"/>
      <c r="D3585" s="12"/>
      <c r="E3585" s="12"/>
      <c r="H3585" s="11" t="str">
        <f ca="1">IFERROR(__xludf.DUMMYFUNCTION("IFERROR(SUBSTITUTE(SUBSTITUTE(REGEXEXTRACT(A3585, ""[^-]+- [^-]+- [^-]+ - (.+?)\.jpg""), "".jpg"", """"), ""-"", "", ""), """")"),"")</f>
        <v/>
      </c>
      <c r="L3585" s="12"/>
      <c r="M3585" s="13"/>
      <c r="N3585" s="2"/>
      <c r="O3585" s="20"/>
      <c r="P3585" s="42"/>
      <c r="R3585" s="23"/>
    </row>
    <row r="3586" spans="1:18" ht="12.75">
      <c r="A3586" s="12"/>
      <c r="D3586" s="12"/>
      <c r="E3586" s="12"/>
      <c r="H3586" s="11" t="str">
        <f ca="1">IFERROR(__xludf.DUMMYFUNCTION("IFERROR(SUBSTITUTE(SUBSTITUTE(REGEXEXTRACT(A3586, ""[^-]+- [^-]+- [^-]+ - (.+?)\.jpg""), "".jpg"", """"), ""-"", "", ""), """")"),"")</f>
        <v/>
      </c>
      <c r="L3586" s="12"/>
      <c r="M3586" s="13"/>
      <c r="N3586" s="2"/>
      <c r="O3586" s="20"/>
      <c r="P3586" s="42"/>
      <c r="R3586" s="23"/>
    </row>
    <row r="3587" spans="1:18" ht="12.75">
      <c r="A3587" s="12"/>
      <c r="D3587" s="12"/>
      <c r="E3587" s="12"/>
      <c r="H3587" s="11" t="str">
        <f ca="1">IFERROR(__xludf.DUMMYFUNCTION("IFERROR(SUBSTITUTE(SUBSTITUTE(REGEXEXTRACT(A3587, ""[^-]+- [^-]+- [^-]+ - (.+?)\.jpg""), "".jpg"", """"), ""-"", "", ""), """")"),"")</f>
        <v/>
      </c>
      <c r="L3587" s="12"/>
      <c r="M3587" s="13"/>
      <c r="N3587" s="2"/>
      <c r="O3587" s="20"/>
      <c r="P3587" s="42"/>
      <c r="R3587" s="23"/>
    </row>
    <row r="3588" spans="1:18" ht="12.75">
      <c r="A3588" s="12"/>
      <c r="D3588" s="12"/>
      <c r="E3588" s="12"/>
      <c r="H3588" s="11" t="str">
        <f ca="1">IFERROR(__xludf.DUMMYFUNCTION("IFERROR(SUBSTITUTE(SUBSTITUTE(REGEXEXTRACT(A3588, ""[^-]+- [^-]+- [^-]+ - (.+?)\.jpg""), "".jpg"", """"), ""-"", "", ""), """")"),"")</f>
        <v/>
      </c>
      <c r="L3588" s="12"/>
      <c r="M3588" s="13"/>
      <c r="N3588" s="2"/>
      <c r="O3588" s="20"/>
      <c r="P3588" s="42"/>
      <c r="R3588" s="23"/>
    </row>
    <row r="3589" spans="1:18" ht="12.75">
      <c r="A3589" s="12"/>
      <c r="D3589" s="12"/>
      <c r="E3589" s="12"/>
      <c r="H3589" s="11" t="str">
        <f ca="1">IFERROR(__xludf.DUMMYFUNCTION("IFERROR(SUBSTITUTE(SUBSTITUTE(REGEXEXTRACT(A3589, ""[^-]+- [^-]+- [^-]+ - (.+?)\.jpg""), "".jpg"", """"), ""-"", "", ""), """")"),"")</f>
        <v/>
      </c>
      <c r="L3589" s="12"/>
      <c r="M3589" s="13"/>
      <c r="N3589" s="2"/>
      <c r="O3589" s="20"/>
      <c r="P3589" s="42"/>
      <c r="R3589" s="23"/>
    </row>
    <row r="3590" spans="1:18" ht="12.75">
      <c r="A3590" s="12"/>
      <c r="D3590" s="12"/>
      <c r="E3590" s="12"/>
      <c r="H3590" s="11" t="str">
        <f ca="1">IFERROR(__xludf.DUMMYFUNCTION("IFERROR(SUBSTITUTE(SUBSTITUTE(REGEXEXTRACT(A3590, ""[^-]+- [^-]+- [^-]+ - (.+?)\.jpg""), "".jpg"", """"), ""-"", "", ""), """")"),"")</f>
        <v/>
      </c>
      <c r="L3590" s="12"/>
      <c r="M3590" s="13"/>
      <c r="N3590" s="2"/>
      <c r="O3590" s="20"/>
      <c r="P3590" s="42"/>
      <c r="R3590" s="23"/>
    </row>
    <row r="3591" spans="1:18" ht="12.75">
      <c r="A3591" s="12"/>
      <c r="D3591" s="12"/>
      <c r="E3591" s="12"/>
      <c r="H3591" s="11" t="str">
        <f ca="1">IFERROR(__xludf.DUMMYFUNCTION("IFERROR(SUBSTITUTE(SUBSTITUTE(REGEXEXTRACT(A3591, ""[^-]+- [^-]+- [^-]+ - (.+?)\.jpg""), "".jpg"", """"), ""-"", "", ""), """")"),"")</f>
        <v/>
      </c>
      <c r="L3591" s="12"/>
      <c r="M3591" s="13"/>
      <c r="N3591" s="2"/>
      <c r="O3591" s="20"/>
      <c r="P3591" s="42"/>
      <c r="R3591" s="23"/>
    </row>
    <row r="3592" spans="1:18" ht="12.75">
      <c r="A3592" s="12"/>
      <c r="D3592" s="12"/>
      <c r="E3592" s="12"/>
      <c r="H3592" s="11" t="str">
        <f ca="1">IFERROR(__xludf.DUMMYFUNCTION("IFERROR(SUBSTITUTE(SUBSTITUTE(REGEXEXTRACT(A3592, ""[^-]+- [^-]+- [^-]+ - (.+?)\.jpg""), "".jpg"", """"), ""-"", "", ""), """")"),"")</f>
        <v/>
      </c>
      <c r="L3592" s="12"/>
      <c r="M3592" s="13"/>
      <c r="N3592" s="2"/>
      <c r="O3592" s="20"/>
      <c r="P3592" s="42"/>
      <c r="R3592" s="23"/>
    </row>
    <row r="3593" spans="1:18" ht="12.75">
      <c r="A3593" s="12"/>
      <c r="D3593" s="12"/>
      <c r="E3593" s="12"/>
      <c r="H3593" s="11" t="str">
        <f ca="1">IFERROR(__xludf.DUMMYFUNCTION("IFERROR(SUBSTITUTE(SUBSTITUTE(REGEXEXTRACT(A3593, ""[^-]+- [^-]+- [^-]+ - (.+?)\.jpg""), "".jpg"", """"), ""-"", "", ""), """")"),"")</f>
        <v/>
      </c>
      <c r="L3593" s="12"/>
      <c r="M3593" s="13"/>
      <c r="N3593" s="2"/>
      <c r="O3593" s="20"/>
      <c r="P3593" s="42"/>
      <c r="R3593" s="23"/>
    </row>
    <row r="3594" spans="1:18" ht="12.75">
      <c r="A3594" s="12"/>
      <c r="D3594" s="12"/>
      <c r="E3594" s="12"/>
      <c r="H3594" s="11" t="str">
        <f ca="1">IFERROR(__xludf.DUMMYFUNCTION("IFERROR(SUBSTITUTE(SUBSTITUTE(REGEXEXTRACT(A3594, ""[^-]+- [^-]+- [^-]+ - (.+?)\.jpg""), "".jpg"", """"), ""-"", "", ""), """")"),"")</f>
        <v/>
      </c>
      <c r="L3594" s="12"/>
      <c r="M3594" s="13"/>
      <c r="N3594" s="2"/>
      <c r="O3594" s="20"/>
      <c r="P3594" s="42"/>
      <c r="R3594" s="23"/>
    </row>
    <row r="3595" spans="1:18" ht="12.75">
      <c r="A3595" s="12"/>
      <c r="D3595" s="12"/>
      <c r="E3595" s="12"/>
      <c r="H3595" s="11" t="str">
        <f ca="1">IFERROR(__xludf.DUMMYFUNCTION("IFERROR(SUBSTITUTE(SUBSTITUTE(REGEXEXTRACT(A3595, ""[^-]+- [^-]+- [^-]+ - (.+?)\.jpg""), "".jpg"", """"), ""-"", "", ""), """")"),"")</f>
        <v/>
      </c>
      <c r="L3595" s="12"/>
      <c r="M3595" s="13"/>
      <c r="N3595" s="2"/>
      <c r="O3595" s="20"/>
      <c r="P3595" s="42"/>
      <c r="R3595" s="23"/>
    </row>
    <row r="3596" spans="1:18" ht="12.75">
      <c r="A3596" s="12"/>
      <c r="D3596" s="12"/>
      <c r="E3596" s="12"/>
      <c r="H3596" s="11" t="str">
        <f ca="1">IFERROR(__xludf.DUMMYFUNCTION("IFERROR(SUBSTITUTE(SUBSTITUTE(REGEXEXTRACT(A3596, ""[^-]+- [^-]+- [^-]+ - (.+?)\.jpg""), "".jpg"", """"), ""-"", "", ""), """")"),"")</f>
        <v/>
      </c>
      <c r="L3596" s="12"/>
      <c r="M3596" s="13"/>
      <c r="N3596" s="2"/>
      <c r="O3596" s="20"/>
      <c r="P3596" s="42"/>
      <c r="R3596" s="23"/>
    </row>
    <row r="3597" spans="1:18" ht="12.75">
      <c r="A3597" s="12"/>
      <c r="D3597" s="12"/>
      <c r="E3597" s="12"/>
      <c r="H3597" s="11" t="str">
        <f ca="1">IFERROR(__xludf.DUMMYFUNCTION("IFERROR(SUBSTITUTE(SUBSTITUTE(REGEXEXTRACT(A3597, ""[^-]+- [^-]+- [^-]+ - (.+?)\.jpg""), "".jpg"", """"), ""-"", "", ""), """")"),"")</f>
        <v/>
      </c>
      <c r="L3597" s="12"/>
      <c r="M3597" s="13"/>
      <c r="N3597" s="2"/>
      <c r="O3597" s="20"/>
      <c r="P3597" s="42"/>
      <c r="R3597" s="23"/>
    </row>
    <row r="3598" spans="1:18" ht="12.75">
      <c r="A3598" s="12"/>
      <c r="D3598" s="12"/>
      <c r="E3598" s="12"/>
      <c r="H3598" s="11" t="str">
        <f ca="1">IFERROR(__xludf.DUMMYFUNCTION("IFERROR(SUBSTITUTE(SUBSTITUTE(REGEXEXTRACT(A3598, ""[^-]+- [^-]+- [^-]+ - (.+?)\.jpg""), "".jpg"", """"), ""-"", "", ""), """")"),"")</f>
        <v/>
      </c>
      <c r="L3598" s="12"/>
      <c r="M3598" s="13"/>
      <c r="N3598" s="2"/>
      <c r="O3598" s="20"/>
      <c r="P3598" s="42"/>
      <c r="R3598" s="23"/>
    </row>
    <row r="3599" spans="1:18" ht="12.75">
      <c r="A3599" s="12"/>
      <c r="D3599" s="12"/>
      <c r="E3599" s="12"/>
      <c r="H3599" s="11" t="str">
        <f ca="1">IFERROR(__xludf.DUMMYFUNCTION("IFERROR(SUBSTITUTE(SUBSTITUTE(REGEXEXTRACT(A3599, ""[^-]+- [^-]+- [^-]+ - (.+?)\.jpg""), "".jpg"", """"), ""-"", "", ""), """")"),"")</f>
        <v/>
      </c>
      <c r="L3599" s="12"/>
      <c r="M3599" s="13"/>
      <c r="N3599" s="2"/>
      <c r="O3599" s="20"/>
      <c r="P3599" s="42"/>
      <c r="R3599" s="23"/>
    </row>
    <row r="3600" spans="1:18" ht="12.75">
      <c r="A3600" s="12"/>
      <c r="D3600" s="12"/>
      <c r="E3600" s="12"/>
      <c r="H3600" s="11" t="str">
        <f ca="1">IFERROR(__xludf.DUMMYFUNCTION("IFERROR(SUBSTITUTE(SUBSTITUTE(REGEXEXTRACT(A3600, ""[^-]+- [^-]+- [^-]+ - (.+?)\.jpg""), "".jpg"", """"), ""-"", "", ""), """")"),"")</f>
        <v/>
      </c>
      <c r="L3600" s="12"/>
      <c r="M3600" s="13"/>
      <c r="N3600" s="2"/>
      <c r="O3600" s="20"/>
      <c r="P3600" s="42"/>
      <c r="R3600" s="23"/>
    </row>
    <row r="3601" spans="1:18" ht="12.75">
      <c r="A3601" s="12"/>
      <c r="D3601" s="12"/>
      <c r="E3601" s="12"/>
      <c r="H3601" s="11" t="str">
        <f ca="1">IFERROR(__xludf.DUMMYFUNCTION("IFERROR(SUBSTITUTE(SUBSTITUTE(REGEXEXTRACT(A3601, ""[^-]+- [^-]+- [^-]+ - (.+?)\.jpg""), "".jpg"", """"), ""-"", "", ""), """")"),"")</f>
        <v/>
      </c>
      <c r="L3601" s="12"/>
      <c r="M3601" s="13"/>
      <c r="N3601" s="2"/>
      <c r="O3601" s="20"/>
      <c r="P3601" s="42"/>
      <c r="R3601" s="23"/>
    </row>
    <row r="3602" spans="1:18" ht="12.75">
      <c r="A3602" s="12"/>
      <c r="D3602" s="12"/>
      <c r="E3602" s="12"/>
      <c r="H3602" s="11" t="str">
        <f ca="1">IFERROR(__xludf.DUMMYFUNCTION("IFERROR(SUBSTITUTE(SUBSTITUTE(REGEXEXTRACT(A3602, ""[^-]+- [^-]+- [^-]+ - (.+?)\.jpg""), "".jpg"", """"), ""-"", "", ""), """")"),"")</f>
        <v/>
      </c>
      <c r="L3602" s="12"/>
      <c r="M3602" s="13"/>
      <c r="N3602" s="2"/>
      <c r="O3602" s="20"/>
      <c r="P3602" s="42"/>
      <c r="R3602" s="23"/>
    </row>
    <row r="3603" spans="1:18" ht="12.75">
      <c r="A3603" s="12"/>
      <c r="D3603" s="12"/>
      <c r="E3603" s="12"/>
      <c r="H3603" s="11" t="str">
        <f ca="1">IFERROR(__xludf.DUMMYFUNCTION("IFERROR(SUBSTITUTE(SUBSTITUTE(REGEXEXTRACT(A3603, ""[^-]+- [^-]+- [^-]+ - (.+?)\.jpg""), "".jpg"", """"), ""-"", "", ""), """")"),"")</f>
        <v/>
      </c>
      <c r="L3603" s="12"/>
      <c r="M3603" s="13"/>
      <c r="N3603" s="2"/>
      <c r="O3603" s="20"/>
      <c r="P3603" s="42"/>
      <c r="R3603" s="23"/>
    </row>
    <row r="3604" spans="1:18" ht="12.75">
      <c r="A3604" s="12"/>
      <c r="D3604" s="12"/>
      <c r="E3604" s="12"/>
      <c r="H3604" s="11" t="str">
        <f ca="1">IFERROR(__xludf.DUMMYFUNCTION("IFERROR(SUBSTITUTE(SUBSTITUTE(REGEXEXTRACT(A3604, ""[^-]+- [^-]+- [^-]+ - (.+?)\.jpg""), "".jpg"", """"), ""-"", "", ""), """")"),"")</f>
        <v/>
      </c>
      <c r="L3604" s="12"/>
      <c r="M3604" s="13"/>
      <c r="N3604" s="2"/>
      <c r="O3604" s="20"/>
      <c r="P3604" s="42"/>
      <c r="R3604" s="23"/>
    </row>
    <row r="3605" spans="1:18" ht="12.75">
      <c r="A3605" s="12"/>
      <c r="D3605" s="12"/>
      <c r="E3605" s="12"/>
      <c r="H3605" s="11" t="str">
        <f ca="1">IFERROR(__xludf.DUMMYFUNCTION("IFERROR(SUBSTITUTE(SUBSTITUTE(REGEXEXTRACT(A3605, ""[^-]+- [^-]+- [^-]+ - (.+?)\.jpg""), "".jpg"", """"), ""-"", "", ""), """")"),"")</f>
        <v/>
      </c>
      <c r="L3605" s="12"/>
      <c r="M3605" s="13"/>
      <c r="N3605" s="2"/>
      <c r="O3605" s="20"/>
      <c r="P3605" s="42"/>
      <c r="R3605" s="23"/>
    </row>
    <row r="3606" spans="1:18" ht="12.75">
      <c r="A3606" s="12"/>
      <c r="D3606" s="12"/>
      <c r="E3606" s="12"/>
      <c r="H3606" s="11" t="str">
        <f ca="1">IFERROR(__xludf.DUMMYFUNCTION("IFERROR(SUBSTITUTE(SUBSTITUTE(REGEXEXTRACT(A3606, ""[^-]+- [^-]+- [^-]+ - (.+?)\.jpg""), "".jpg"", """"), ""-"", "", ""), """")"),"")</f>
        <v/>
      </c>
      <c r="L3606" s="12"/>
      <c r="M3606" s="13"/>
      <c r="N3606" s="2"/>
      <c r="O3606" s="20"/>
      <c r="P3606" s="42"/>
      <c r="R3606" s="23"/>
    </row>
    <row r="3607" spans="1:18" ht="12.75">
      <c r="A3607" s="12"/>
      <c r="D3607" s="12"/>
      <c r="E3607" s="12"/>
      <c r="H3607" s="11" t="str">
        <f ca="1">IFERROR(__xludf.DUMMYFUNCTION("IFERROR(SUBSTITUTE(SUBSTITUTE(REGEXEXTRACT(A3607, ""[^-]+- [^-]+- [^-]+ - (.+?)\.jpg""), "".jpg"", """"), ""-"", "", ""), """")"),"")</f>
        <v/>
      </c>
      <c r="L3607" s="12"/>
      <c r="M3607" s="13"/>
      <c r="N3607" s="2"/>
      <c r="O3607" s="20"/>
      <c r="P3607" s="42"/>
      <c r="R3607" s="23"/>
    </row>
    <row r="3608" spans="1:18" ht="12.75">
      <c r="A3608" s="12"/>
      <c r="D3608" s="12"/>
      <c r="E3608" s="12"/>
      <c r="H3608" s="11" t="str">
        <f ca="1">IFERROR(__xludf.DUMMYFUNCTION("IFERROR(SUBSTITUTE(SUBSTITUTE(REGEXEXTRACT(A3608, ""[^-]+- [^-]+- [^-]+ - (.+?)\.jpg""), "".jpg"", """"), ""-"", "", ""), """")"),"")</f>
        <v/>
      </c>
      <c r="L3608" s="12"/>
      <c r="M3608" s="13"/>
      <c r="N3608" s="2"/>
      <c r="O3608" s="20"/>
      <c r="P3608" s="42"/>
      <c r="R3608" s="23"/>
    </row>
    <row r="3609" spans="1:18" ht="12.75">
      <c r="A3609" s="12"/>
      <c r="D3609" s="12"/>
      <c r="E3609" s="12"/>
      <c r="H3609" s="11" t="str">
        <f ca="1">IFERROR(__xludf.DUMMYFUNCTION("IFERROR(SUBSTITUTE(SUBSTITUTE(REGEXEXTRACT(A3609, ""[^-]+- [^-]+- [^-]+ - (.+?)\.jpg""), "".jpg"", """"), ""-"", "", ""), """")"),"")</f>
        <v/>
      </c>
      <c r="L3609" s="12"/>
      <c r="M3609" s="13"/>
      <c r="N3609" s="2"/>
      <c r="O3609" s="20"/>
      <c r="P3609" s="42"/>
      <c r="R3609" s="23"/>
    </row>
    <row r="3610" spans="1:18" ht="12.75">
      <c r="A3610" s="12"/>
      <c r="D3610" s="12"/>
      <c r="E3610" s="12"/>
      <c r="H3610" s="11" t="str">
        <f ca="1">IFERROR(__xludf.DUMMYFUNCTION("IFERROR(SUBSTITUTE(SUBSTITUTE(REGEXEXTRACT(A3610, ""[^-]+- [^-]+- [^-]+ - (.+?)\.jpg""), "".jpg"", """"), ""-"", "", ""), """")"),"")</f>
        <v/>
      </c>
      <c r="L3610" s="12"/>
      <c r="M3610" s="13"/>
      <c r="N3610" s="2"/>
      <c r="O3610" s="20"/>
      <c r="P3610" s="42"/>
      <c r="R3610" s="23"/>
    </row>
    <row r="3611" spans="1:18" ht="12.75">
      <c r="A3611" s="12"/>
      <c r="D3611" s="12"/>
      <c r="E3611" s="12"/>
      <c r="H3611" s="11" t="str">
        <f ca="1">IFERROR(__xludf.DUMMYFUNCTION("IFERROR(SUBSTITUTE(SUBSTITUTE(REGEXEXTRACT(A3611, ""[^-]+- [^-]+- [^-]+ - (.+?)\.jpg""), "".jpg"", """"), ""-"", "", ""), """")"),"")</f>
        <v/>
      </c>
      <c r="L3611" s="12"/>
      <c r="M3611" s="13"/>
      <c r="N3611" s="2"/>
      <c r="O3611" s="20"/>
      <c r="P3611" s="42"/>
      <c r="R3611" s="23"/>
    </row>
    <row r="3612" spans="1:18" ht="12.75">
      <c r="A3612" s="12"/>
      <c r="D3612" s="12"/>
      <c r="E3612" s="12"/>
      <c r="H3612" s="11" t="str">
        <f ca="1">IFERROR(__xludf.DUMMYFUNCTION("IFERROR(SUBSTITUTE(SUBSTITUTE(REGEXEXTRACT(A3612, ""[^-]+- [^-]+- [^-]+ - (.+?)\.jpg""), "".jpg"", """"), ""-"", "", ""), """")"),"")</f>
        <v/>
      </c>
      <c r="L3612" s="12"/>
      <c r="M3612" s="13"/>
      <c r="N3612" s="2"/>
      <c r="O3612" s="20"/>
      <c r="P3612" s="42"/>
      <c r="R3612" s="23"/>
    </row>
    <row r="3613" spans="1:18" ht="12.75">
      <c r="A3613" s="12"/>
      <c r="D3613" s="12"/>
      <c r="E3613" s="12"/>
      <c r="H3613" s="11" t="str">
        <f ca="1">IFERROR(__xludf.DUMMYFUNCTION("IFERROR(SUBSTITUTE(SUBSTITUTE(REGEXEXTRACT(A3613, ""[^-]+- [^-]+- [^-]+ - (.+?)\.jpg""), "".jpg"", """"), ""-"", "", ""), """")"),"")</f>
        <v/>
      </c>
      <c r="L3613" s="12"/>
      <c r="M3613" s="13"/>
      <c r="N3613" s="2"/>
      <c r="O3613" s="20"/>
      <c r="P3613" s="42"/>
      <c r="R3613" s="23"/>
    </row>
    <row r="3614" spans="1:18" ht="12.75">
      <c r="A3614" s="12"/>
      <c r="D3614" s="12"/>
      <c r="E3614" s="12"/>
      <c r="H3614" s="11" t="str">
        <f ca="1">IFERROR(__xludf.DUMMYFUNCTION("IFERROR(SUBSTITUTE(SUBSTITUTE(REGEXEXTRACT(A3614, ""[^-]+- [^-]+- [^-]+ - (.+?)\.jpg""), "".jpg"", """"), ""-"", "", ""), """")"),"")</f>
        <v/>
      </c>
      <c r="L3614" s="12"/>
      <c r="M3614" s="13"/>
      <c r="N3614" s="2"/>
      <c r="O3614" s="20"/>
      <c r="P3614" s="42"/>
      <c r="R3614" s="23"/>
    </row>
    <row r="3615" spans="1:18" ht="12.75">
      <c r="A3615" s="12"/>
      <c r="D3615" s="12"/>
      <c r="E3615" s="12"/>
      <c r="H3615" s="11" t="str">
        <f ca="1">IFERROR(__xludf.DUMMYFUNCTION("IFERROR(SUBSTITUTE(SUBSTITUTE(REGEXEXTRACT(A3615, ""[^-]+- [^-]+- [^-]+ - (.+?)\.jpg""), "".jpg"", """"), ""-"", "", ""), """")"),"")</f>
        <v/>
      </c>
      <c r="L3615" s="12"/>
      <c r="M3615" s="13"/>
      <c r="N3615" s="2"/>
      <c r="O3615" s="20"/>
      <c r="P3615" s="42"/>
      <c r="R3615" s="23"/>
    </row>
    <row r="3616" spans="1:18" ht="12.75">
      <c r="A3616" s="12"/>
      <c r="D3616" s="12"/>
      <c r="E3616" s="12"/>
      <c r="H3616" s="11" t="str">
        <f ca="1">IFERROR(__xludf.DUMMYFUNCTION("IFERROR(SUBSTITUTE(SUBSTITUTE(REGEXEXTRACT(A3616, ""[^-]+- [^-]+- [^-]+ - (.+?)\.jpg""), "".jpg"", """"), ""-"", "", ""), """")"),"")</f>
        <v/>
      </c>
      <c r="L3616" s="12"/>
      <c r="M3616" s="13"/>
      <c r="N3616" s="2"/>
      <c r="O3616" s="20"/>
      <c r="P3616" s="42"/>
      <c r="R3616" s="23"/>
    </row>
    <row r="3617" spans="1:18" ht="12.75">
      <c r="A3617" s="12"/>
      <c r="D3617" s="12"/>
      <c r="E3617" s="12"/>
      <c r="H3617" s="11" t="str">
        <f ca="1">IFERROR(__xludf.DUMMYFUNCTION("IFERROR(SUBSTITUTE(SUBSTITUTE(REGEXEXTRACT(A3617, ""[^-]+- [^-]+- [^-]+ - (.+?)\.jpg""), "".jpg"", """"), ""-"", "", ""), """")"),"")</f>
        <v/>
      </c>
      <c r="L3617" s="12"/>
      <c r="M3617" s="13"/>
      <c r="N3617" s="2"/>
      <c r="O3617" s="20"/>
      <c r="P3617" s="42"/>
      <c r="R3617" s="23"/>
    </row>
    <row r="3618" spans="1:18" ht="12.75">
      <c r="A3618" s="12"/>
      <c r="D3618" s="12"/>
      <c r="E3618" s="12"/>
      <c r="H3618" s="11" t="str">
        <f ca="1">IFERROR(__xludf.DUMMYFUNCTION("IFERROR(SUBSTITUTE(SUBSTITUTE(REGEXEXTRACT(A3618, ""[^-]+- [^-]+- [^-]+ - (.+?)\.jpg""), "".jpg"", """"), ""-"", "", ""), """")"),"")</f>
        <v/>
      </c>
      <c r="L3618" s="12"/>
      <c r="M3618" s="13"/>
      <c r="N3618" s="2"/>
      <c r="O3618" s="20"/>
      <c r="P3618" s="42"/>
      <c r="R3618" s="23"/>
    </row>
    <row r="3619" spans="1:18" ht="12.75">
      <c r="A3619" s="12"/>
      <c r="D3619" s="12"/>
      <c r="E3619" s="12"/>
      <c r="H3619" s="11" t="str">
        <f ca="1">IFERROR(__xludf.DUMMYFUNCTION("IFERROR(SUBSTITUTE(SUBSTITUTE(REGEXEXTRACT(A3619, ""[^-]+- [^-]+- [^-]+ - (.+?)\.jpg""), "".jpg"", """"), ""-"", "", ""), """")"),"")</f>
        <v/>
      </c>
      <c r="L3619" s="12"/>
      <c r="M3619" s="13"/>
      <c r="N3619" s="2"/>
      <c r="O3619" s="20"/>
      <c r="P3619" s="42"/>
      <c r="R3619" s="23"/>
    </row>
    <row r="3620" spans="1:18" ht="12.75">
      <c r="A3620" s="12"/>
      <c r="D3620" s="12"/>
      <c r="E3620" s="12"/>
      <c r="H3620" s="11" t="str">
        <f ca="1">IFERROR(__xludf.DUMMYFUNCTION("IFERROR(SUBSTITUTE(SUBSTITUTE(REGEXEXTRACT(A3620, ""[^-]+- [^-]+- [^-]+ - (.+?)\.jpg""), "".jpg"", """"), ""-"", "", ""), """")"),"")</f>
        <v/>
      </c>
      <c r="L3620" s="12"/>
      <c r="M3620" s="13"/>
      <c r="N3620" s="2"/>
      <c r="O3620" s="20"/>
      <c r="P3620" s="42"/>
      <c r="R3620" s="23"/>
    </row>
    <row r="3621" spans="1:18" ht="12.75">
      <c r="A3621" s="12"/>
      <c r="D3621" s="12"/>
      <c r="E3621" s="12"/>
      <c r="H3621" s="11" t="str">
        <f ca="1">IFERROR(__xludf.DUMMYFUNCTION("IFERROR(SUBSTITUTE(SUBSTITUTE(REGEXEXTRACT(A3621, ""[^-]+- [^-]+- [^-]+ - (.+?)\.jpg""), "".jpg"", """"), ""-"", "", ""), """")"),"")</f>
        <v/>
      </c>
      <c r="L3621" s="12"/>
      <c r="M3621" s="13"/>
      <c r="N3621" s="2"/>
      <c r="O3621" s="20"/>
      <c r="P3621" s="42"/>
      <c r="R3621" s="23"/>
    </row>
    <row r="3622" spans="1:18" ht="12.75">
      <c r="A3622" s="12"/>
      <c r="D3622" s="12"/>
      <c r="E3622" s="12"/>
      <c r="H3622" s="11" t="str">
        <f ca="1">IFERROR(__xludf.DUMMYFUNCTION("IFERROR(SUBSTITUTE(SUBSTITUTE(REGEXEXTRACT(A3622, ""[^-]+- [^-]+- [^-]+ - (.+?)\.jpg""), "".jpg"", """"), ""-"", "", ""), """")"),"")</f>
        <v/>
      </c>
      <c r="L3622" s="12"/>
      <c r="M3622" s="13"/>
      <c r="N3622" s="2"/>
      <c r="O3622" s="20"/>
      <c r="P3622" s="42"/>
      <c r="R3622" s="23"/>
    </row>
    <row r="3623" spans="1:18" ht="12.75">
      <c r="A3623" s="12"/>
      <c r="D3623" s="12"/>
      <c r="E3623" s="12"/>
      <c r="H3623" s="11" t="str">
        <f ca="1">IFERROR(__xludf.DUMMYFUNCTION("IFERROR(SUBSTITUTE(SUBSTITUTE(REGEXEXTRACT(A3623, ""[^-]+- [^-]+- [^-]+ - (.+?)\.jpg""), "".jpg"", """"), ""-"", "", ""), """")"),"")</f>
        <v/>
      </c>
      <c r="L3623" s="12"/>
      <c r="M3623" s="13"/>
      <c r="N3623" s="2"/>
      <c r="O3623" s="20"/>
      <c r="P3623" s="42"/>
      <c r="R3623" s="23"/>
    </row>
    <row r="3624" spans="1:18" ht="12.75">
      <c r="A3624" s="12"/>
      <c r="D3624" s="12"/>
      <c r="E3624" s="12"/>
      <c r="H3624" s="11" t="str">
        <f ca="1">IFERROR(__xludf.DUMMYFUNCTION("IFERROR(SUBSTITUTE(SUBSTITUTE(REGEXEXTRACT(A3624, ""[^-]+- [^-]+- [^-]+ - (.+?)\.jpg""), "".jpg"", """"), ""-"", "", ""), """")"),"")</f>
        <v/>
      </c>
      <c r="L3624" s="12"/>
      <c r="M3624" s="13"/>
      <c r="N3624" s="2"/>
      <c r="O3624" s="20"/>
      <c r="P3624" s="42"/>
      <c r="R3624" s="23"/>
    </row>
    <row r="3625" spans="1:18" ht="12.75">
      <c r="A3625" s="12"/>
      <c r="D3625" s="12"/>
      <c r="E3625" s="12"/>
      <c r="H3625" s="11" t="str">
        <f ca="1">IFERROR(__xludf.DUMMYFUNCTION("IFERROR(SUBSTITUTE(SUBSTITUTE(REGEXEXTRACT(A3625, ""[^-]+- [^-]+- [^-]+ - (.+?)\.jpg""), "".jpg"", """"), ""-"", "", ""), """")"),"")</f>
        <v/>
      </c>
      <c r="L3625" s="12"/>
      <c r="M3625" s="13"/>
      <c r="N3625" s="2"/>
      <c r="O3625" s="20"/>
      <c r="P3625" s="42"/>
      <c r="R3625" s="23"/>
    </row>
    <row r="3626" spans="1:18" ht="12.75">
      <c r="A3626" s="12"/>
      <c r="D3626" s="12"/>
      <c r="E3626" s="12"/>
      <c r="H3626" s="11" t="str">
        <f ca="1">IFERROR(__xludf.DUMMYFUNCTION("IFERROR(SUBSTITUTE(SUBSTITUTE(REGEXEXTRACT(A3626, ""[^-]+- [^-]+- [^-]+ - (.+?)\.jpg""), "".jpg"", """"), ""-"", "", ""), """")"),"")</f>
        <v/>
      </c>
      <c r="L3626" s="12"/>
      <c r="M3626" s="13"/>
      <c r="N3626" s="2"/>
      <c r="O3626" s="20"/>
      <c r="P3626" s="42"/>
      <c r="R3626" s="23"/>
    </row>
    <row r="3627" spans="1:18" ht="12.75">
      <c r="A3627" s="12"/>
      <c r="D3627" s="12"/>
      <c r="E3627" s="12"/>
      <c r="H3627" s="11" t="str">
        <f ca="1">IFERROR(__xludf.DUMMYFUNCTION("IFERROR(SUBSTITUTE(SUBSTITUTE(REGEXEXTRACT(A3627, ""[^-]+- [^-]+- [^-]+ - (.+?)\.jpg""), "".jpg"", """"), ""-"", "", ""), """")"),"")</f>
        <v/>
      </c>
      <c r="L3627" s="12"/>
      <c r="M3627" s="13"/>
      <c r="N3627" s="2"/>
      <c r="O3627" s="20"/>
      <c r="P3627" s="42"/>
      <c r="R3627" s="23"/>
    </row>
    <row r="3628" spans="1:18" ht="12.75">
      <c r="A3628" s="12"/>
      <c r="D3628" s="12"/>
      <c r="E3628" s="12"/>
      <c r="H3628" s="11" t="str">
        <f ca="1">IFERROR(__xludf.DUMMYFUNCTION("IFERROR(SUBSTITUTE(SUBSTITUTE(REGEXEXTRACT(A3628, ""[^-]+- [^-]+- [^-]+ - (.+?)\.jpg""), "".jpg"", """"), ""-"", "", ""), """")"),"")</f>
        <v/>
      </c>
      <c r="L3628" s="12"/>
      <c r="M3628" s="13"/>
      <c r="N3628" s="2"/>
      <c r="O3628" s="20"/>
      <c r="P3628" s="42"/>
      <c r="R3628" s="23"/>
    </row>
    <row r="3629" spans="1:18" ht="12.75">
      <c r="A3629" s="12"/>
      <c r="D3629" s="12"/>
      <c r="E3629" s="12"/>
      <c r="H3629" s="11" t="str">
        <f ca="1">IFERROR(__xludf.DUMMYFUNCTION("IFERROR(SUBSTITUTE(SUBSTITUTE(REGEXEXTRACT(A3629, ""[^-]+- [^-]+- [^-]+ - (.+?)\.jpg""), "".jpg"", """"), ""-"", "", ""), """")"),"")</f>
        <v/>
      </c>
      <c r="L3629" s="12"/>
      <c r="M3629" s="13"/>
      <c r="N3629" s="2"/>
      <c r="O3629" s="20"/>
      <c r="P3629" s="42"/>
      <c r="R3629" s="23"/>
    </row>
    <row r="3630" spans="1:18" ht="12.75">
      <c r="A3630" s="12"/>
      <c r="D3630" s="12"/>
      <c r="E3630" s="12"/>
      <c r="H3630" s="11" t="str">
        <f ca="1">IFERROR(__xludf.DUMMYFUNCTION("IFERROR(SUBSTITUTE(SUBSTITUTE(REGEXEXTRACT(A3630, ""[^-]+- [^-]+- [^-]+ - (.+?)\.jpg""), "".jpg"", """"), ""-"", "", ""), """")"),"")</f>
        <v/>
      </c>
      <c r="L3630" s="12"/>
      <c r="M3630" s="13"/>
      <c r="N3630" s="2"/>
      <c r="O3630" s="20"/>
      <c r="P3630" s="42"/>
      <c r="R3630" s="23"/>
    </row>
    <row r="3631" spans="1:18" ht="12.75">
      <c r="A3631" s="12"/>
      <c r="D3631" s="12"/>
      <c r="E3631" s="12"/>
      <c r="H3631" s="11" t="str">
        <f ca="1">IFERROR(__xludf.DUMMYFUNCTION("IFERROR(SUBSTITUTE(SUBSTITUTE(REGEXEXTRACT(A3631, ""[^-]+- [^-]+- [^-]+ - (.+?)\.jpg""), "".jpg"", """"), ""-"", "", ""), """")"),"")</f>
        <v/>
      </c>
      <c r="L3631" s="12"/>
      <c r="M3631" s="13"/>
      <c r="N3631" s="2"/>
      <c r="O3631" s="20"/>
      <c r="P3631" s="42"/>
      <c r="R3631" s="23"/>
    </row>
    <row r="3632" spans="1:18" ht="12.75">
      <c r="A3632" s="12"/>
      <c r="D3632" s="12"/>
      <c r="E3632" s="12"/>
      <c r="H3632" s="11" t="str">
        <f ca="1">IFERROR(__xludf.DUMMYFUNCTION("IFERROR(SUBSTITUTE(SUBSTITUTE(REGEXEXTRACT(A3632, ""[^-]+- [^-]+- [^-]+ - (.+?)\.jpg""), "".jpg"", """"), ""-"", "", ""), """")"),"")</f>
        <v/>
      </c>
      <c r="L3632" s="12"/>
      <c r="M3632" s="13"/>
      <c r="N3632" s="2"/>
      <c r="O3632" s="20"/>
      <c r="P3632" s="42"/>
      <c r="R3632" s="23"/>
    </row>
    <row r="3633" spans="1:18" ht="12.75">
      <c r="A3633" s="12"/>
      <c r="D3633" s="12"/>
      <c r="E3633" s="12"/>
      <c r="H3633" s="11" t="str">
        <f ca="1">IFERROR(__xludf.DUMMYFUNCTION("IFERROR(SUBSTITUTE(SUBSTITUTE(REGEXEXTRACT(A3633, ""[^-]+- [^-]+- [^-]+ - (.+?)\.jpg""), "".jpg"", """"), ""-"", "", ""), """")"),"")</f>
        <v/>
      </c>
      <c r="L3633" s="12"/>
      <c r="M3633" s="13"/>
      <c r="N3633" s="2"/>
      <c r="O3633" s="20"/>
      <c r="P3633" s="42"/>
      <c r="R3633" s="23"/>
    </row>
    <row r="3634" spans="1:18" ht="12.75">
      <c r="A3634" s="12"/>
      <c r="D3634" s="12"/>
      <c r="E3634" s="12"/>
      <c r="H3634" s="11" t="str">
        <f ca="1">IFERROR(__xludf.DUMMYFUNCTION("IFERROR(SUBSTITUTE(SUBSTITUTE(REGEXEXTRACT(A3634, ""[^-]+- [^-]+- [^-]+ - (.+?)\.jpg""), "".jpg"", """"), ""-"", "", ""), """")"),"")</f>
        <v/>
      </c>
      <c r="L3634" s="12"/>
      <c r="M3634" s="13"/>
      <c r="N3634" s="2"/>
      <c r="O3634" s="20"/>
      <c r="P3634" s="42"/>
      <c r="R3634" s="23"/>
    </row>
    <row r="3635" spans="1:18" ht="12.75">
      <c r="A3635" s="12"/>
      <c r="D3635" s="12"/>
      <c r="E3635" s="12"/>
      <c r="H3635" s="11" t="str">
        <f ca="1">IFERROR(__xludf.DUMMYFUNCTION("IFERROR(SUBSTITUTE(SUBSTITUTE(REGEXEXTRACT(A3635, ""[^-]+- [^-]+- [^-]+ - (.+?)\.jpg""), "".jpg"", """"), ""-"", "", ""), """")"),"")</f>
        <v/>
      </c>
      <c r="L3635" s="12"/>
      <c r="M3635" s="13"/>
      <c r="N3635" s="2"/>
      <c r="O3635" s="20"/>
      <c r="P3635" s="42"/>
      <c r="R3635" s="23"/>
    </row>
    <row r="3636" spans="1:18" ht="12.75">
      <c r="A3636" s="12"/>
      <c r="D3636" s="12"/>
      <c r="E3636" s="12"/>
      <c r="H3636" s="11" t="str">
        <f ca="1">IFERROR(__xludf.DUMMYFUNCTION("IFERROR(SUBSTITUTE(SUBSTITUTE(REGEXEXTRACT(A3636, ""[^-]+- [^-]+- [^-]+ - (.+?)\.jpg""), "".jpg"", """"), ""-"", "", ""), """")"),"")</f>
        <v/>
      </c>
      <c r="L3636" s="12"/>
      <c r="M3636" s="13"/>
      <c r="N3636" s="2"/>
      <c r="O3636" s="20"/>
      <c r="P3636" s="42"/>
      <c r="R3636" s="23"/>
    </row>
    <row r="3637" spans="1:18" ht="12.75">
      <c r="A3637" s="12"/>
      <c r="D3637" s="12"/>
      <c r="E3637" s="12"/>
      <c r="H3637" s="11" t="str">
        <f ca="1">IFERROR(__xludf.DUMMYFUNCTION("IFERROR(SUBSTITUTE(SUBSTITUTE(REGEXEXTRACT(A3637, ""[^-]+- [^-]+- [^-]+ - (.+?)\.jpg""), "".jpg"", """"), ""-"", "", ""), """")"),"")</f>
        <v/>
      </c>
      <c r="L3637" s="12"/>
      <c r="M3637" s="13"/>
      <c r="N3637" s="2"/>
      <c r="O3637" s="20"/>
      <c r="P3637" s="42"/>
      <c r="R3637" s="23"/>
    </row>
    <row r="3638" spans="1:18" ht="12.75">
      <c r="A3638" s="12"/>
      <c r="D3638" s="12"/>
      <c r="E3638" s="12"/>
      <c r="H3638" s="11" t="str">
        <f ca="1">IFERROR(__xludf.DUMMYFUNCTION("IFERROR(SUBSTITUTE(SUBSTITUTE(REGEXEXTRACT(A3638, ""[^-]+- [^-]+- [^-]+ - (.+?)\.jpg""), "".jpg"", """"), ""-"", "", ""), """")"),"")</f>
        <v/>
      </c>
      <c r="L3638" s="12"/>
      <c r="M3638" s="13"/>
      <c r="N3638" s="2"/>
      <c r="O3638" s="20"/>
      <c r="P3638" s="42"/>
      <c r="R3638" s="23"/>
    </row>
    <row r="3639" spans="1:18" ht="12.75">
      <c r="A3639" s="12"/>
      <c r="D3639" s="12"/>
      <c r="E3639" s="12"/>
      <c r="H3639" s="11" t="str">
        <f ca="1">IFERROR(__xludf.DUMMYFUNCTION("IFERROR(SUBSTITUTE(SUBSTITUTE(REGEXEXTRACT(A3639, ""[^-]+- [^-]+- [^-]+ - (.+?)\.jpg""), "".jpg"", """"), ""-"", "", ""), """")"),"")</f>
        <v/>
      </c>
      <c r="L3639" s="12"/>
      <c r="M3639" s="13"/>
      <c r="N3639" s="2"/>
      <c r="O3639" s="20"/>
      <c r="P3639" s="42"/>
      <c r="R3639" s="23"/>
    </row>
    <row r="3640" spans="1:18" ht="12.75">
      <c r="A3640" s="12"/>
      <c r="D3640" s="12"/>
      <c r="E3640" s="12"/>
      <c r="H3640" s="11" t="str">
        <f ca="1">IFERROR(__xludf.DUMMYFUNCTION("IFERROR(SUBSTITUTE(SUBSTITUTE(REGEXEXTRACT(A3640, ""[^-]+- [^-]+- [^-]+ - (.+?)\.jpg""), "".jpg"", """"), ""-"", "", ""), """")"),"")</f>
        <v/>
      </c>
      <c r="L3640" s="12"/>
      <c r="M3640" s="13"/>
      <c r="N3640" s="2"/>
      <c r="O3640" s="20"/>
      <c r="P3640" s="42"/>
      <c r="R3640" s="23"/>
    </row>
    <row r="3641" spans="1:18" ht="12.75">
      <c r="A3641" s="12"/>
      <c r="D3641" s="12"/>
      <c r="E3641" s="12"/>
      <c r="H3641" s="11" t="str">
        <f ca="1">IFERROR(__xludf.DUMMYFUNCTION("IFERROR(SUBSTITUTE(SUBSTITUTE(REGEXEXTRACT(A3641, ""[^-]+- [^-]+- [^-]+ - (.+?)\.jpg""), "".jpg"", """"), ""-"", "", ""), """")"),"")</f>
        <v/>
      </c>
      <c r="L3641" s="12"/>
      <c r="M3641" s="13"/>
      <c r="N3641" s="2"/>
      <c r="O3641" s="20"/>
      <c r="P3641" s="42"/>
      <c r="R3641" s="23"/>
    </row>
    <row r="3642" spans="1:18" ht="12.75">
      <c r="A3642" s="12"/>
      <c r="D3642" s="12"/>
      <c r="E3642" s="12"/>
      <c r="H3642" s="11" t="str">
        <f ca="1">IFERROR(__xludf.DUMMYFUNCTION("IFERROR(SUBSTITUTE(SUBSTITUTE(REGEXEXTRACT(A3642, ""[^-]+- [^-]+- [^-]+ - (.+?)\.jpg""), "".jpg"", """"), ""-"", "", ""), """")"),"")</f>
        <v/>
      </c>
      <c r="L3642" s="12"/>
      <c r="M3642" s="13"/>
      <c r="N3642" s="2"/>
      <c r="O3642" s="20"/>
      <c r="P3642" s="42"/>
      <c r="R3642" s="23"/>
    </row>
    <row r="3643" spans="1:18" ht="12.75">
      <c r="A3643" s="12"/>
      <c r="D3643" s="12"/>
      <c r="E3643" s="12"/>
      <c r="H3643" s="11" t="str">
        <f ca="1">IFERROR(__xludf.DUMMYFUNCTION("IFERROR(SUBSTITUTE(SUBSTITUTE(REGEXEXTRACT(A3643, ""[^-]+- [^-]+- [^-]+ - (.+?)\.jpg""), "".jpg"", """"), ""-"", "", ""), """")"),"")</f>
        <v/>
      </c>
      <c r="L3643" s="12"/>
      <c r="M3643" s="13"/>
      <c r="N3643" s="2"/>
      <c r="O3643" s="20"/>
      <c r="P3643" s="42"/>
      <c r="R3643" s="23"/>
    </row>
    <row r="3644" spans="1:18" ht="12.75">
      <c r="A3644" s="12"/>
      <c r="D3644" s="12"/>
      <c r="E3644" s="12"/>
      <c r="H3644" s="11" t="str">
        <f ca="1">IFERROR(__xludf.DUMMYFUNCTION("IFERROR(SUBSTITUTE(SUBSTITUTE(REGEXEXTRACT(A3644, ""[^-]+- [^-]+- [^-]+ - (.+?)\.jpg""), "".jpg"", """"), ""-"", "", ""), """")"),"")</f>
        <v/>
      </c>
      <c r="L3644" s="12"/>
      <c r="M3644" s="13"/>
      <c r="N3644" s="2"/>
      <c r="O3644" s="20"/>
      <c r="P3644" s="42"/>
      <c r="R3644" s="23"/>
    </row>
    <row r="3645" spans="1:18" ht="12.75">
      <c r="A3645" s="12"/>
      <c r="D3645" s="12"/>
      <c r="E3645" s="12"/>
      <c r="H3645" s="11" t="str">
        <f ca="1">IFERROR(__xludf.DUMMYFUNCTION("IFERROR(SUBSTITUTE(SUBSTITUTE(REGEXEXTRACT(A3645, ""[^-]+- [^-]+- [^-]+ - (.+?)\.jpg""), "".jpg"", """"), ""-"", "", ""), """")"),"")</f>
        <v/>
      </c>
      <c r="L3645" s="12"/>
      <c r="M3645" s="13"/>
      <c r="N3645" s="2"/>
      <c r="O3645" s="20"/>
      <c r="P3645" s="42"/>
      <c r="R3645" s="23"/>
    </row>
    <row r="3646" spans="1:18" ht="12.75">
      <c r="A3646" s="12"/>
      <c r="D3646" s="12"/>
      <c r="E3646" s="12"/>
      <c r="H3646" s="11" t="str">
        <f ca="1">IFERROR(__xludf.DUMMYFUNCTION("IFERROR(SUBSTITUTE(SUBSTITUTE(REGEXEXTRACT(A3646, ""[^-]+- [^-]+- [^-]+ - (.+?)\.jpg""), "".jpg"", """"), ""-"", "", ""), """")"),"")</f>
        <v/>
      </c>
      <c r="L3646" s="12"/>
      <c r="M3646" s="13"/>
      <c r="N3646" s="2"/>
      <c r="O3646" s="20"/>
      <c r="P3646" s="42"/>
      <c r="R3646" s="23"/>
    </row>
    <row r="3647" spans="1:18" ht="12.75">
      <c r="A3647" s="12"/>
      <c r="D3647" s="12"/>
      <c r="E3647" s="12"/>
      <c r="H3647" s="11" t="str">
        <f ca="1">IFERROR(__xludf.DUMMYFUNCTION("IFERROR(SUBSTITUTE(SUBSTITUTE(REGEXEXTRACT(A3647, ""[^-]+- [^-]+- [^-]+ - (.+?)\.jpg""), "".jpg"", """"), ""-"", "", ""), """")"),"")</f>
        <v/>
      </c>
      <c r="L3647" s="12"/>
      <c r="M3647" s="13"/>
      <c r="N3647" s="2"/>
      <c r="O3647" s="20"/>
      <c r="P3647" s="42"/>
      <c r="R3647" s="23"/>
    </row>
    <row r="3648" spans="1:18" ht="12.75">
      <c r="A3648" s="12"/>
      <c r="D3648" s="12"/>
      <c r="E3648" s="12"/>
      <c r="H3648" s="11" t="str">
        <f ca="1">IFERROR(__xludf.DUMMYFUNCTION("IFERROR(SUBSTITUTE(SUBSTITUTE(REGEXEXTRACT(A3648, ""[^-]+- [^-]+- [^-]+ - (.+?)\.jpg""), "".jpg"", """"), ""-"", "", ""), """")"),"")</f>
        <v/>
      </c>
      <c r="L3648" s="12"/>
      <c r="M3648" s="13"/>
      <c r="N3648" s="2"/>
      <c r="O3648" s="20"/>
      <c r="P3648" s="42"/>
      <c r="R3648" s="23"/>
    </row>
    <row r="3649" spans="1:18" ht="12.75">
      <c r="A3649" s="12"/>
      <c r="D3649" s="12"/>
      <c r="E3649" s="12"/>
      <c r="H3649" s="11" t="str">
        <f ca="1">IFERROR(__xludf.DUMMYFUNCTION("IFERROR(SUBSTITUTE(SUBSTITUTE(REGEXEXTRACT(A3649, ""[^-]+- [^-]+- [^-]+ - (.+?)\.jpg""), "".jpg"", """"), ""-"", "", ""), """")"),"")</f>
        <v/>
      </c>
      <c r="L3649" s="12"/>
      <c r="M3649" s="13"/>
      <c r="N3649" s="2"/>
      <c r="O3649" s="20"/>
      <c r="P3649" s="42"/>
      <c r="R3649" s="23"/>
    </row>
    <row r="3650" spans="1:18" ht="12.75">
      <c r="A3650" s="12"/>
      <c r="D3650" s="12"/>
      <c r="E3650" s="12"/>
      <c r="H3650" s="11" t="str">
        <f ca="1">IFERROR(__xludf.DUMMYFUNCTION("IFERROR(SUBSTITUTE(SUBSTITUTE(REGEXEXTRACT(A3650, ""[^-]+- [^-]+- [^-]+ - (.+?)\.jpg""), "".jpg"", """"), ""-"", "", ""), """")"),"")</f>
        <v/>
      </c>
      <c r="L3650" s="12"/>
      <c r="M3650" s="13"/>
      <c r="N3650" s="2"/>
      <c r="O3650" s="20"/>
      <c r="P3650" s="42"/>
      <c r="R3650" s="23"/>
    </row>
    <row r="3651" spans="1:18" ht="12.75">
      <c r="A3651" s="12"/>
      <c r="D3651" s="12"/>
      <c r="E3651" s="12"/>
      <c r="H3651" s="11" t="str">
        <f ca="1">IFERROR(__xludf.DUMMYFUNCTION("IFERROR(SUBSTITUTE(SUBSTITUTE(REGEXEXTRACT(A3651, ""[^-]+- [^-]+- [^-]+ - (.+?)\.jpg""), "".jpg"", """"), ""-"", "", ""), """")"),"")</f>
        <v/>
      </c>
      <c r="L3651" s="12"/>
      <c r="M3651" s="13"/>
      <c r="N3651" s="2"/>
      <c r="O3651" s="20"/>
      <c r="P3651" s="42"/>
      <c r="R3651" s="23"/>
    </row>
    <row r="3652" spans="1:18" ht="12.75">
      <c r="A3652" s="12"/>
      <c r="D3652" s="12"/>
      <c r="E3652" s="12"/>
      <c r="H3652" s="11" t="str">
        <f ca="1">IFERROR(__xludf.DUMMYFUNCTION("IFERROR(SUBSTITUTE(SUBSTITUTE(REGEXEXTRACT(A3652, ""[^-]+- [^-]+- [^-]+ - (.+?)\.jpg""), "".jpg"", """"), ""-"", "", ""), """")"),"")</f>
        <v/>
      </c>
      <c r="L3652" s="12"/>
      <c r="M3652" s="13"/>
      <c r="N3652" s="2"/>
      <c r="O3652" s="20"/>
      <c r="P3652" s="42"/>
      <c r="R3652" s="23"/>
    </row>
    <row r="3653" spans="1:18" ht="12.75">
      <c r="A3653" s="12"/>
      <c r="D3653" s="12"/>
      <c r="E3653" s="12"/>
      <c r="H3653" s="11" t="str">
        <f ca="1">IFERROR(__xludf.DUMMYFUNCTION("IFERROR(SUBSTITUTE(SUBSTITUTE(REGEXEXTRACT(A3653, ""[^-]+- [^-]+- [^-]+ - (.+?)\.jpg""), "".jpg"", """"), ""-"", "", ""), """")"),"")</f>
        <v/>
      </c>
      <c r="L3653" s="12"/>
      <c r="M3653" s="13"/>
      <c r="N3653" s="2"/>
      <c r="O3653" s="20"/>
      <c r="P3653" s="42"/>
      <c r="R3653" s="23"/>
    </row>
    <row r="3654" spans="1:18" ht="12.75">
      <c r="A3654" s="12"/>
      <c r="D3654" s="12"/>
      <c r="E3654" s="12"/>
      <c r="H3654" s="11" t="str">
        <f ca="1">IFERROR(__xludf.DUMMYFUNCTION("IFERROR(SUBSTITUTE(SUBSTITUTE(REGEXEXTRACT(A3654, ""[^-]+- [^-]+- [^-]+ - (.+?)\.jpg""), "".jpg"", """"), ""-"", "", ""), """")"),"")</f>
        <v/>
      </c>
      <c r="L3654" s="12"/>
      <c r="M3654" s="13"/>
      <c r="N3654" s="2"/>
      <c r="O3654" s="20"/>
      <c r="P3654" s="42"/>
      <c r="R3654" s="23"/>
    </row>
    <row r="3655" spans="1:18" ht="12.75">
      <c r="A3655" s="12"/>
      <c r="D3655" s="12"/>
      <c r="E3655" s="12"/>
      <c r="H3655" s="11" t="str">
        <f ca="1">IFERROR(__xludf.DUMMYFUNCTION("IFERROR(SUBSTITUTE(SUBSTITUTE(REGEXEXTRACT(A3655, ""[^-]+- [^-]+- [^-]+ - (.+?)\.jpg""), "".jpg"", """"), ""-"", "", ""), """")"),"")</f>
        <v/>
      </c>
      <c r="L3655" s="12"/>
      <c r="M3655" s="13"/>
      <c r="N3655" s="2"/>
      <c r="O3655" s="20"/>
      <c r="P3655" s="42"/>
      <c r="R3655" s="23"/>
    </row>
    <row r="3656" spans="1:18" ht="12.75">
      <c r="A3656" s="12"/>
      <c r="D3656" s="12"/>
      <c r="E3656" s="12"/>
      <c r="H3656" s="11" t="str">
        <f ca="1">IFERROR(__xludf.DUMMYFUNCTION("IFERROR(SUBSTITUTE(SUBSTITUTE(REGEXEXTRACT(A3656, ""[^-]+- [^-]+- [^-]+ - (.+?)\.jpg""), "".jpg"", """"), ""-"", "", ""), """")"),"")</f>
        <v/>
      </c>
      <c r="L3656" s="12"/>
      <c r="M3656" s="13"/>
      <c r="N3656" s="2"/>
      <c r="O3656" s="20"/>
      <c r="P3656" s="42"/>
      <c r="R3656" s="23"/>
    </row>
    <row r="3657" spans="1:18" ht="12.75">
      <c r="A3657" s="12"/>
      <c r="D3657" s="12"/>
      <c r="E3657" s="12"/>
      <c r="H3657" s="11" t="str">
        <f ca="1">IFERROR(__xludf.DUMMYFUNCTION("IFERROR(SUBSTITUTE(SUBSTITUTE(REGEXEXTRACT(A3657, ""[^-]+- [^-]+- [^-]+ - (.+?)\.jpg""), "".jpg"", """"), ""-"", "", ""), """")"),"")</f>
        <v/>
      </c>
      <c r="L3657" s="12"/>
      <c r="M3657" s="13"/>
      <c r="N3657" s="2"/>
      <c r="O3657" s="20"/>
      <c r="P3657" s="42"/>
      <c r="R3657" s="23"/>
    </row>
    <row r="3658" spans="1:18" ht="12.75">
      <c r="A3658" s="12"/>
      <c r="D3658" s="12"/>
      <c r="E3658" s="12"/>
      <c r="H3658" s="11" t="str">
        <f ca="1">IFERROR(__xludf.DUMMYFUNCTION("IFERROR(SUBSTITUTE(SUBSTITUTE(REGEXEXTRACT(A3658, ""[^-]+- [^-]+- [^-]+ - (.+?)\.jpg""), "".jpg"", """"), ""-"", "", ""), """")"),"")</f>
        <v/>
      </c>
      <c r="L3658" s="12"/>
      <c r="M3658" s="13"/>
      <c r="N3658" s="2"/>
      <c r="O3658" s="20"/>
      <c r="P3658" s="42"/>
      <c r="R3658" s="23"/>
    </row>
    <row r="3659" spans="1:18" ht="12.75">
      <c r="A3659" s="12"/>
      <c r="D3659" s="12"/>
      <c r="E3659" s="12"/>
      <c r="H3659" s="11" t="str">
        <f ca="1">IFERROR(__xludf.DUMMYFUNCTION("IFERROR(SUBSTITUTE(SUBSTITUTE(REGEXEXTRACT(A3659, ""[^-]+- [^-]+- [^-]+ - (.+?)\.jpg""), "".jpg"", """"), ""-"", "", ""), """")"),"")</f>
        <v/>
      </c>
      <c r="L3659" s="12"/>
      <c r="M3659" s="13"/>
      <c r="N3659" s="2"/>
      <c r="O3659" s="20"/>
      <c r="P3659" s="42"/>
      <c r="R3659" s="23"/>
    </row>
    <row r="3660" spans="1:18" ht="12.75">
      <c r="A3660" s="12"/>
      <c r="D3660" s="12"/>
      <c r="E3660" s="12"/>
      <c r="H3660" s="11" t="str">
        <f ca="1">IFERROR(__xludf.DUMMYFUNCTION("IFERROR(SUBSTITUTE(SUBSTITUTE(REGEXEXTRACT(A3660, ""[^-]+- [^-]+- [^-]+ - (.+?)\.jpg""), "".jpg"", """"), ""-"", "", ""), """")"),"")</f>
        <v/>
      </c>
      <c r="L3660" s="12"/>
      <c r="M3660" s="13"/>
      <c r="N3660" s="2"/>
      <c r="O3660" s="20"/>
      <c r="P3660" s="42"/>
      <c r="R3660" s="23"/>
    </row>
    <row r="3661" spans="1:18" ht="12.75">
      <c r="A3661" s="12"/>
      <c r="D3661" s="12"/>
      <c r="E3661" s="12"/>
      <c r="H3661" s="11" t="str">
        <f ca="1">IFERROR(__xludf.DUMMYFUNCTION("IFERROR(SUBSTITUTE(SUBSTITUTE(REGEXEXTRACT(A3661, ""[^-]+- [^-]+- [^-]+ - (.+?)\.jpg""), "".jpg"", """"), ""-"", "", ""), """")"),"")</f>
        <v/>
      </c>
      <c r="L3661" s="12"/>
      <c r="M3661" s="13"/>
      <c r="N3661" s="2"/>
      <c r="O3661" s="20"/>
      <c r="P3661" s="42"/>
      <c r="R3661" s="23"/>
    </row>
    <row r="3662" spans="1:18" ht="12.75">
      <c r="A3662" s="12"/>
      <c r="D3662" s="12"/>
      <c r="E3662" s="12"/>
      <c r="H3662" s="11" t="str">
        <f ca="1">IFERROR(__xludf.DUMMYFUNCTION("IFERROR(SUBSTITUTE(SUBSTITUTE(REGEXEXTRACT(A3662, ""[^-]+- [^-]+- [^-]+ - (.+?)\.jpg""), "".jpg"", """"), ""-"", "", ""), """")"),"")</f>
        <v/>
      </c>
      <c r="L3662" s="12"/>
      <c r="M3662" s="13"/>
      <c r="N3662" s="2"/>
      <c r="O3662" s="20"/>
      <c r="P3662" s="42"/>
      <c r="R3662" s="23"/>
    </row>
    <row r="3663" spans="1:18" ht="12.75">
      <c r="A3663" s="12"/>
      <c r="D3663" s="12"/>
      <c r="E3663" s="12"/>
      <c r="H3663" s="11" t="str">
        <f ca="1">IFERROR(__xludf.DUMMYFUNCTION("IFERROR(SUBSTITUTE(SUBSTITUTE(REGEXEXTRACT(A3663, ""[^-]+- [^-]+- [^-]+ - (.+?)\.jpg""), "".jpg"", """"), ""-"", "", ""), """")"),"")</f>
        <v/>
      </c>
      <c r="L3663" s="12"/>
      <c r="M3663" s="13"/>
      <c r="N3663" s="2"/>
      <c r="O3663" s="20"/>
      <c r="P3663" s="42"/>
      <c r="R3663" s="23"/>
    </row>
    <row r="3664" spans="1:18" ht="12.75">
      <c r="A3664" s="12"/>
      <c r="D3664" s="12"/>
      <c r="E3664" s="12"/>
      <c r="H3664" s="11" t="str">
        <f ca="1">IFERROR(__xludf.DUMMYFUNCTION("IFERROR(SUBSTITUTE(SUBSTITUTE(REGEXEXTRACT(A3664, ""[^-]+- [^-]+- [^-]+ - (.+?)\.jpg""), "".jpg"", """"), ""-"", "", ""), """")"),"")</f>
        <v/>
      </c>
      <c r="L3664" s="12"/>
      <c r="M3664" s="13"/>
      <c r="N3664" s="2"/>
      <c r="O3664" s="20"/>
      <c r="P3664" s="42"/>
      <c r="R3664" s="23"/>
    </row>
    <row r="3665" spans="1:18" ht="12.75">
      <c r="A3665" s="12"/>
      <c r="D3665" s="12"/>
      <c r="E3665" s="12"/>
      <c r="H3665" s="11" t="str">
        <f ca="1">IFERROR(__xludf.DUMMYFUNCTION("IFERROR(SUBSTITUTE(SUBSTITUTE(REGEXEXTRACT(A3665, ""[^-]+- [^-]+- [^-]+ - (.+?)\.jpg""), "".jpg"", """"), ""-"", "", ""), """")"),"")</f>
        <v/>
      </c>
      <c r="L3665" s="12"/>
      <c r="M3665" s="13"/>
      <c r="N3665" s="2"/>
      <c r="O3665" s="20"/>
      <c r="P3665" s="42"/>
      <c r="R3665" s="23"/>
    </row>
    <row r="3666" spans="1:18" ht="12.75">
      <c r="A3666" s="12"/>
      <c r="D3666" s="12"/>
      <c r="E3666" s="12"/>
      <c r="H3666" s="11" t="str">
        <f ca="1">IFERROR(__xludf.DUMMYFUNCTION("IFERROR(SUBSTITUTE(SUBSTITUTE(REGEXEXTRACT(A3666, ""[^-]+- [^-]+- [^-]+ - (.+?)\.jpg""), "".jpg"", """"), ""-"", "", ""), """")"),"")</f>
        <v/>
      </c>
      <c r="L3666" s="12"/>
      <c r="M3666" s="13"/>
      <c r="N3666" s="2"/>
      <c r="O3666" s="20"/>
      <c r="P3666" s="42"/>
      <c r="R3666" s="23"/>
    </row>
    <row r="3667" spans="1:18" ht="12.75">
      <c r="A3667" s="12"/>
      <c r="D3667" s="12"/>
      <c r="E3667" s="12"/>
      <c r="H3667" s="11" t="str">
        <f ca="1">IFERROR(__xludf.DUMMYFUNCTION("IFERROR(SUBSTITUTE(SUBSTITUTE(REGEXEXTRACT(A3667, ""[^-]+- [^-]+- [^-]+ - (.+?)\.jpg""), "".jpg"", """"), ""-"", "", ""), """")"),"")</f>
        <v/>
      </c>
      <c r="L3667" s="12"/>
      <c r="M3667" s="13"/>
      <c r="N3667" s="2"/>
      <c r="O3667" s="20"/>
      <c r="P3667" s="42"/>
      <c r="R3667" s="23"/>
    </row>
    <row r="3668" spans="1:18" ht="12.75">
      <c r="A3668" s="12"/>
      <c r="D3668" s="12"/>
      <c r="E3668" s="12"/>
      <c r="H3668" s="11" t="str">
        <f ca="1">IFERROR(__xludf.DUMMYFUNCTION("IFERROR(SUBSTITUTE(SUBSTITUTE(REGEXEXTRACT(A3668, ""[^-]+- [^-]+- [^-]+ - (.+?)\.jpg""), "".jpg"", """"), ""-"", "", ""), """")"),"")</f>
        <v/>
      </c>
      <c r="L3668" s="12"/>
      <c r="M3668" s="13"/>
      <c r="N3668" s="2"/>
      <c r="O3668" s="20"/>
      <c r="P3668" s="42"/>
      <c r="R3668" s="23"/>
    </row>
    <row r="3669" spans="1:18" ht="12.75">
      <c r="A3669" s="12"/>
      <c r="D3669" s="12"/>
      <c r="E3669" s="12"/>
      <c r="H3669" s="11" t="str">
        <f ca="1">IFERROR(__xludf.DUMMYFUNCTION("IFERROR(SUBSTITUTE(SUBSTITUTE(REGEXEXTRACT(A3669, ""[^-]+- [^-]+- [^-]+ - (.+?)\.jpg""), "".jpg"", """"), ""-"", "", ""), """")"),"")</f>
        <v/>
      </c>
      <c r="L3669" s="12"/>
      <c r="M3669" s="13"/>
      <c r="N3669" s="2"/>
      <c r="O3669" s="20"/>
      <c r="P3669" s="42"/>
      <c r="R3669" s="23"/>
    </row>
    <row r="3670" spans="1:18" ht="12.75">
      <c r="A3670" s="12"/>
      <c r="D3670" s="12"/>
      <c r="E3670" s="12"/>
      <c r="H3670" s="11" t="str">
        <f ca="1">IFERROR(__xludf.DUMMYFUNCTION("IFERROR(SUBSTITUTE(SUBSTITUTE(REGEXEXTRACT(A3670, ""[^-]+- [^-]+- [^-]+ - (.+?)\.jpg""), "".jpg"", """"), ""-"", "", ""), """")"),"")</f>
        <v/>
      </c>
      <c r="L3670" s="12"/>
      <c r="M3670" s="13"/>
      <c r="N3670" s="2"/>
      <c r="O3670" s="20"/>
      <c r="P3670" s="42"/>
      <c r="R3670" s="23"/>
    </row>
    <row r="3671" spans="1:18" ht="12.75">
      <c r="A3671" s="12"/>
      <c r="D3671" s="12"/>
      <c r="E3671" s="12"/>
      <c r="H3671" s="11" t="str">
        <f ca="1">IFERROR(__xludf.DUMMYFUNCTION("IFERROR(SUBSTITUTE(SUBSTITUTE(REGEXEXTRACT(A3671, ""[^-]+- [^-]+- [^-]+ - (.+?)\.jpg""), "".jpg"", """"), ""-"", "", ""), """")"),"")</f>
        <v/>
      </c>
      <c r="L3671" s="12"/>
      <c r="M3671" s="13"/>
      <c r="N3671" s="2"/>
      <c r="O3671" s="20"/>
      <c r="P3671" s="42"/>
      <c r="R3671" s="23"/>
    </row>
    <row r="3672" spans="1:18" ht="12.75">
      <c r="A3672" s="12"/>
      <c r="D3672" s="12"/>
      <c r="E3672" s="12"/>
      <c r="H3672" s="11" t="str">
        <f ca="1">IFERROR(__xludf.DUMMYFUNCTION("IFERROR(SUBSTITUTE(SUBSTITUTE(REGEXEXTRACT(A3672, ""[^-]+- [^-]+- [^-]+ - (.+?)\.jpg""), "".jpg"", """"), ""-"", "", ""), """")"),"")</f>
        <v/>
      </c>
      <c r="L3672" s="12"/>
      <c r="M3672" s="13"/>
      <c r="N3672" s="2"/>
      <c r="O3672" s="20"/>
      <c r="P3672" s="42"/>
      <c r="R3672" s="23"/>
    </row>
    <row r="3673" spans="1:18" ht="12.75">
      <c r="A3673" s="12"/>
      <c r="D3673" s="12"/>
      <c r="E3673" s="12"/>
      <c r="H3673" s="11" t="str">
        <f ca="1">IFERROR(__xludf.DUMMYFUNCTION("IFERROR(SUBSTITUTE(SUBSTITUTE(REGEXEXTRACT(A3673, ""[^-]+- [^-]+- [^-]+ - (.+?)\.jpg""), "".jpg"", """"), ""-"", "", ""), """")"),"")</f>
        <v/>
      </c>
      <c r="L3673" s="12"/>
      <c r="M3673" s="13"/>
      <c r="N3673" s="2"/>
      <c r="O3673" s="20"/>
      <c r="P3673" s="42"/>
      <c r="R3673" s="23"/>
    </row>
    <row r="3674" spans="1:18" ht="12.75">
      <c r="A3674" s="12"/>
      <c r="D3674" s="12"/>
      <c r="E3674" s="12"/>
      <c r="H3674" s="11" t="str">
        <f ca="1">IFERROR(__xludf.DUMMYFUNCTION("IFERROR(SUBSTITUTE(SUBSTITUTE(REGEXEXTRACT(A3674, ""[^-]+- [^-]+- [^-]+ - (.+?)\.jpg""), "".jpg"", """"), ""-"", "", ""), """")"),"")</f>
        <v/>
      </c>
      <c r="L3674" s="12"/>
      <c r="M3674" s="13"/>
      <c r="N3674" s="2"/>
      <c r="O3674" s="20"/>
      <c r="P3674" s="42"/>
      <c r="R3674" s="23"/>
    </row>
    <row r="3675" spans="1:18" ht="12.75">
      <c r="A3675" s="12"/>
      <c r="D3675" s="12"/>
      <c r="E3675" s="12"/>
      <c r="H3675" s="11" t="str">
        <f ca="1">IFERROR(__xludf.DUMMYFUNCTION("IFERROR(SUBSTITUTE(SUBSTITUTE(REGEXEXTRACT(A3675, ""[^-]+- [^-]+- [^-]+ - (.+?)\.jpg""), "".jpg"", """"), ""-"", "", ""), """")"),"")</f>
        <v/>
      </c>
      <c r="L3675" s="12"/>
      <c r="M3675" s="13"/>
      <c r="N3675" s="2"/>
      <c r="O3675" s="20"/>
      <c r="P3675" s="42"/>
      <c r="R3675" s="23"/>
    </row>
    <row r="3676" spans="1:18" ht="12.75">
      <c r="A3676" s="12"/>
      <c r="D3676" s="12"/>
      <c r="E3676" s="12"/>
      <c r="H3676" s="11" t="str">
        <f ca="1">IFERROR(__xludf.DUMMYFUNCTION("IFERROR(SUBSTITUTE(SUBSTITUTE(REGEXEXTRACT(A3676, ""[^-]+- [^-]+- [^-]+ - (.+?)\.jpg""), "".jpg"", """"), ""-"", "", ""), """")"),"")</f>
        <v/>
      </c>
      <c r="L3676" s="12"/>
      <c r="M3676" s="13"/>
      <c r="N3676" s="2"/>
      <c r="O3676" s="20"/>
      <c r="P3676" s="42"/>
      <c r="R3676" s="23"/>
    </row>
    <row r="3677" spans="1:18" ht="12.75">
      <c r="A3677" s="12"/>
      <c r="D3677" s="12"/>
      <c r="E3677" s="12"/>
      <c r="H3677" s="11" t="str">
        <f ca="1">IFERROR(__xludf.DUMMYFUNCTION("IFERROR(SUBSTITUTE(SUBSTITUTE(REGEXEXTRACT(A3677, ""[^-]+- [^-]+- [^-]+ - (.+?)\.jpg""), "".jpg"", """"), ""-"", "", ""), """")"),"")</f>
        <v/>
      </c>
      <c r="L3677" s="12"/>
      <c r="M3677" s="13"/>
      <c r="N3677" s="2"/>
      <c r="O3677" s="20"/>
      <c r="P3677" s="42"/>
      <c r="R3677" s="23"/>
    </row>
    <row r="3678" spans="1:18" ht="12.75">
      <c r="A3678" s="12"/>
      <c r="D3678" s="12"/>
      <c r="E3678" s="12"/>
      <c r="H3678" s="11" t="str">
        <f ca="1">IFERROR(__xludf.DUMMYFUNCTION("IFERROR(SUBSTITUTE(SUBSTITUTE(REGEXEXTRACT(A3678, ""[^-]+- [^-]+- [^-]+ - (.+?)\.jpg""), "".jpg"", """"), ""-"", "", ""), """")"),"")</f>
        <v/>
      </c>
      <c r="L3678" s="12"/>
      <c r="M3678" s="13"/>
      <c r="N3678" s="2"/>
      <c r="O3678" s="20"/>
      <c r="P3678" s="42"/>
      <c r="R3678" s="23"/>
    </row>
    <row r="3679" spans="1:18" ht="12.75">
      <c r="A3679" s="12"/>
      <c r="D3679" s="12"/>
      <c r="E3679" s="12"/>
      <c r="H3679" s="11" t="str">
        <f ca="1">IFERROR(__xludf.DUMMYFUNCTION("IFERROR(SUBSTITUTE(SUBSTITUTE(REGEXEXTRACT(A3679, ""[^-]+- [^-]+- [^-]+ - (.+?)\.jpg""), "".jpg"", """"), ""-"", "", ""), """")"),"")</f>
        <v/>
      </c>
      <c r="L3679" s="12"/>
      <c r="M3679" s="13"/>
      <c r="N3679" s="2"/>
      <c r="O3679" s="20"/>
      <c r="P3679" s="42"/>
      <c r="R3679" s="23"/>
    </row>
    <row r="3680" spans="1:18" ht="12.75">
      <c r="A3680" s="12"/>
      <c r="D3680" s="12"/>
      <c r="E3680" s="12"/>
      <c r="H3680" s="11" t="str">
        <f ca="1">IFERROR(__xludf.DUMMYFUNCTION("IFERROR(SUBSTITUTE(SUBSTITUTE(REGEXEXTRACT(A3680, ""[^-]+- [^-]+- [^-]+ - (.+?)\.jpg""), "".jpg"", """"), ""-"", "", ""), """")"),"")</f>
        <v/>
      </c>
      <c r="L3680" s="12"/>
      <c r="M3680" s="13"/>
      <c r="N3680" s="2"/>
      <c r="O3680" s="20"/>
      <c r="P3680" s="42"/>
      <c r="R3680" s="23"/>
    </row>
    <row r="3681" spans="1:18" ht="12.75">
      <c r="A3681" s="12"/>
      <c r="D3681" s="12"/>
      <c r="E3681" s="12"/>
      <c r="H3681" s="11" t="str">
        <f ca="1">IFERROR(__xludf.DUMMYFUNCTION("IFERROR(SUBSTITUTE(SUBSTITUTE(REGEXEXTRACT(A3681, ""[^-]+- [^-]+- [^-]+ - (.+?)\.jpg""), "".jpg"", """"), ""-"", "", ""), """")"),"")</f>
        <v/>
      </c>
      <c r="L3681" s="12"/>
      <c r="M3681" s="13"/>
      <c r="N3681" s="2"/>
      <c r="O3681" s="20"/>
      <c r="P3681" s="42"/>
      <c r="R3681" s="23"/>
    </row>
    <row r="3682" spans="1:18" ht="12.75">
      <c r="A3682" s="12"/>
      <c r="D3682" s="12"/>
      <c r="E3682" s="12"/>
      <c r="H3682" s="11" t="str">
        <f ca="1">IFERROR(__xludf.DUMMYFUNCTION("IFERROR(SUBSTITUTE(SUBSTITUTE(REGEXEXTRACT(A3682, ""[^-]+- [^-]+- [^-]+ - (.+?)\.jpg""), "".jpg"", """"), ""-"", "", ""), """")"),"")</f>
        <v/>
      </c>
      <c r="L3682" s="12"/>
      <c r="M3682" s="13"/>
      <c r="N3682" s="2"/>
      <c r="O3682" s="20"/>
      <c r="P3682" s="42"/>
      <c r="R3682" s="23"/>
    </row>
    <row r="3683" spans="1:18" ht="12.75">
      <c r="A3683" s="12"/>
      <c r="D3683" s="12"/>
      <c r="E3683" s="12"/>
      <c r="H3683" s="11" t="str">
        <f ca="1">IFERROR(__xludf.DUMMYFUNCTION("IFERROR(SUBSTITUTE(SUBSTITUTE(REGEXEXTRACT(A3683, ""[^-]+- [^-]+- [^-]+ - (.+?)\.jpg""), "".jpg"", """"), ""-"", "", ""), """")"),"")</f>
        <v/>
      </c>
      <c r="L3683" s="12"/>
      <c r="M3683" s="13"/>
      <c r="N3683" s="2"/>
      <c r="O3683" s="20"/>
      <c r="P3683" s="42"/>
      <c r="R3683" s="23"/>
    </row>
    <row r="3684" spans="1:18" ht="12.75">
      <c r="A3684" s="12"/>
      <c r="D3684" s="12"/>
      <c r="E3684" s="12"/>
      <c r="H3684" s="11" t="str">
        <f ca="1">IFERROR(__xludf.DUMMYFUNCTION("IFERROR(SUBSTITUTE(SUBSTITUTE(REGEXEXTRACT(A3684, ""[^-]+- [^-]+- [^-]+ - (.+?)\.jpg""), "".jpg"", """"), ""-"", "", ""), """")"),"")</f>
        <v/>
      </c>
      <c r="L3684" s="12"/>
      <c r="M3684" s="13"/>
      <c r="N3684" s="2"/>
      <c r="O3684" s="20"/>
      <c r="P3684" s="42"/>
      <c r="R3684" s="23"/>
    </row>
    <row r="3685" spans="1:18" ht="12.75">
      <c r="A3685" s="12"/>
      <c r="D3685" s="12"/>
      <c r="E3685" s="12"/>
      <c r="H3685" s="11" t="str">
        <f ca="1">IFERROR(__xludf.DUMMYFUNCTION("IFERROR(SUBSTITUTE(SUBSTITUTE(REGEXEXTRACT(A3685, ""[^-]+- [^-]+- [^-]+ - (.+?)\.jpg""), "".jpg"", """"), ""-"", "", ""), """")"),"")</f>
        <v/>
      </c>
      <c r="L3685" s="12"/>
      <c r="M3685" s="13"/>
      <c r="N3685" s="2"/>
      <c r="O3685" s="20"/>
      <c r="P3685" s="42"/>
      <c r="R3685" s="23"/>
    </row>
    <row r="3686" spans="1:18" ht="12.75">
      <c r="A3686" s="12"/>
      <c r="D3686" s="12"/>
      <c r="E3686" s="12"/>
      <c r="H3686" s="11" t="str">
        <f ca="1">IFERROR(__xludf.DUMMYFUNCTION("IFERROR(SUBSTITUTE(SUBSTITUTE(REGEXEXTRACT(A3686, ""[^-]+- [^-]+- [^-]+ - (.+?)\.jpg""), "".jpg"", """"), ""-"", "", ""), """")"),"")</f>
        <v/>
      </c>
      <c r="L3686" s="12"/>
      <c r="M3686" s="13"/>
      <c r="N3686" s="2"/>
      <c r="O3686" s="20"/>
      <c r="P3686" s="42"/>
      <c r="R3686" s="23"/>
    </row>
    <row r="3687" spans="1:18" ht="12.75">
      <c r="A3687" s="12"/>
      <c r="D3687" s="12"/>
      <c r="E3687" s="12"/>
      <c r="H3687" s="11" t="str">
        <f ca="1">IFERROR(__xludf.DUMMYFUNCTION("IFERROR(SUBSTITUTE(SUBSTITUTE(REGEXEXTRACT(A3687, ""[^-]+- [^-]+- [^-]+ - (.+?)\.jpg""), "".jpg"", """"), ""-"", "", ""), """")"),"")</f>
        <v/>
      </c>
      <c r="L3687" s="12"/>
      <c r="M3687" s="13"/>
      <c r="N3687" s="2"/>
      <c r="O3687" s="20"/>
      <c r="P3687" s="42"/>
      <c r="R3687" s="23"/>
    </row>
    <row r="3688" spans="1:18" ht="12.75">
      <c r="A3688" s="12"/>
      <c r="D3688" s="12"/>
      <c r="E3688" s="12"/>
      <c r="H3688" s="11" t="str">
        <f ca="1">IFERROR(__xludf.DUMMYFUNCTION("IFERROR(SUBSTITUTE(SUBSTITUTE(REGEXEXTRACT(A3688, ""[^-]+- [^-]+- [^-]+ - (.+?)\.jpg""), "".jpg"", """"), ""-"", "", ""), """")"),"")</f>
        <v/>
      </c>
      <c r="L3688" s="12"/>
      <c r="M3688" s="13"/>
      <c r="N3688" s="2"/>
      <c r="O3688" s="20"/>
      <c r="P3688" s="42"/>
      <c r="R3688" s="23"/>
    </row>
    <row r="3689" spans="1:18" ht="12.75">
      <c r="A3689" s="12"/>
      <c r="D3689" s="12"/>
      <c r="E3689" s="12"/>
      <c r="H3689" s="11" t="str">
        <f ca="1">IFERROR(__xludf.DUMMYFUNCTION("IFERROR(SUBSTITUTE(SUBSTITUTE(REGEXEXTRACT(A3689, ""[^-]+- [^-]+- [^-]+ - (.+?)\.jpg""), "".jpg"", """"), ""-"", "", ""), """")"),"")</f>
        <v/>
      </c>
      <c r="L3689" s="12"/>
      <c r="M3689" s="13"/>
      <c r="N3689" s="2"/>
      <c r="O3689" s="20"/>
      <c r="P3689" s="42"/>
      <c r="R3689" s="23"/>
    </row>
    <row r="3690" spans="1:18" ht="12.75">
      <c r="A3690" s="12"/>
      <c r="D3690" s="12"/>
      <c r="E3690" s="12"/>
      <c r="H3690" s="11" t="str">
        <f ca="1">IFERROR(__xludf.DUMMYFUNCTION("IFERROR(SUBSTITUTE(SUBSTITUTE(REGEXEXTRACT(A3690, ""[^-]+- [^-]+- [^-]+ - (.+?)\.jpg""), "".jpg"", """"), ""-"", "", ""), """")"),"")</f>
        <v/>
      </c>
      <c r="L3690" s="12"/>
      <c r="M3690" s="13"/>
      <c r="N3690" s="2"/>
      <c r="O3690" s="20"/>
      <c r="P3690" s="42"/>
      <c r="R3690" s="23"/>
    </row>
    <row r="3691" spans="1:18" ht="12.75">
      <c r="A3691" s="12"/>
      <c r="D3691" s="12"/>
      <c r="E3691" s="12"/>
      <c r="H3691" s="11" t="str">
        <f ca="1">IFERROR(__xludf.DUMMYFUNCTION("IFERROR(SUBSTITUTE(SUBSTITUTE(REGEXEXTRACT(A3691, ""[^-]+- [^-]+- [^-]+ - (.+?)\.jpg""), "".jpg"", """"), ""-"", "", ""), """")"),"")</f>
        <v/>
      </c>
      <c r="L3691" s="12"/>
      <c r="M3691" s="13"/>
      <c r="N3691" s="2"/>
      <c r="O3691" s="20"/>
      <c r="P3691" s="42"/>
      <c r="R3691" s="23"/>
    </row>
    <row r="3692" spans="1:18" ht="12.75">
      <c r="A3692" s="12"/>
      <c r="D3692" s="12"/>
      <c r="E3692" s="12"/>
      <c r="H3692" s="11" t="str">
        <f ca="1">IFERROR(__xludf.DUMMYFUNCTION("IFERROR(SUBSTITUTE(SUBSTITUTE(REGEXEXTRACT(A3692, ""[^-]+- [^-]+- [^-]+ - (.+?)\.jpg""), "".jpg"", """"), ""-"", "", ""), """")"),"")</f>
        <v/>
      </c>
      <c r="L3692" s="12"/>
      <c r="M3692" s="13"/>
      <c r="N3692" s="2"/>
      <c r="O3692" s="20"/>
      <c r="P3692" s="42"/>
      <c r="R3692" s="23"/>
    </row>
    <row r="3693" spans="1:18" ht="12.75">
      <c r="A3693" s="12"/>
      <c r="D3693" s="12"/>
      <c r="E3693" s="12"/>
      <c r="H3693" s="11" t="str">
        <f ca="1">IFERROR(__xludf.DUMMYFUNCTION("IFERROR(SUBSTITUTE(SUBSTITUTE(REGEXEXTRACT(A3693, ""[^-]+- [^-]+- [^-]+ - (.+?)\.jpg""), "".jpg"", """"), ""-"", "", ""), """")"),"")</f>
        <v/>
      </c>
      <c r="L3693" s="12"/>
      <c r="M3693" s="13"/>
      <c r="N3693" s="2"/>
      <c r="O3693" s="20"/>
      <c r="P3693" s="42"/>
      <c r="R3693" s="23"/>
    </row>
    <row r="3694" spans="1:18" ht="12.75">
      <c r="A3694" s="12"/>
      <c r="D3694" s="12"/>
      <c r="E3694" s="12"/>
      <c r="H3694" s="11" t="str">
        <f ca="1">IFERROR(__xludf.DUMMYFUNCTION("IFERROR(SUBSTITUTE(SUBSTITUTE(REGEXEXTRACT(A3694, ""[^-]+- [^-]+- [^-]+ - (.+?)\.jpg""), "".jpg"", """"), ""-"", "", ""), """")"),"")</f>
        <v/>
      </c>
      <c r="L3694" s="12"/>
      <c r="M3694" s="13"/>
      <c r="N3694" s="2"/>
      <c r="O3694" s="20"/>
      <c r="P3694" s="42"/>
      <c r="R3694" s="23"/>
    </row>
    <row r="3695" spans="1:18" ht="12.75">
      <c r="A3695" s="12"/>
      <c r="D3695" s="12"/>
      <c r="E3695" s="12"/>
      <c r="H3695" s="11" t="str">
        <f ca="1">IFERROR(__xludf.DUMMYFUNCTION("IFERROR(SUBSTITUTE(SUBSTITUTE(REGEXEXTRACT(A3695, ""[^-]+- [^-]+- [^-]+ - (.+?)\.jpg""), "".jpg"", """"), ""-"", "", ""), """")"),"")</f>
        <v/>
      </c>
      <c r="L3695" s="12"/>
      <c r="M3695" s="13"/>
      <c r="N3695" s="2"/>
      <c r="O3695" s="20"/>
      <c r="P3695" s="42"/>
      <c r="R3695" s="23"/>
    </row>
    <row r="3696" spans="1:18" ht="12.75">
      <c r="A3696" s="12"/>
      <c r="D3696" s="12"/>
      <c r="E3696" s="12"/>
      <c r="H3696" s="11" t="str">
        <f ca="1">IFERROR(__xludf.DUMMYFUNCTION("IFERROR(SUBSTITUTE(SUBSTITUTE(REGEXEXTRACT(A3696, ""[^-]+- [^-]+- [^-]+ - (.+?)\.jpg""), "".jpg"", """"), ""-"", "", ""), """")"),"")</f>
        <v/>
      </c>
      <c r="L3696" s="12"/>
      <c r="M3696" s="13"/>
      <c r="N3696" s="2"/>
      <c r="O3696" s="20"/>
      <c r="P3696" s="42"/>
      <c r="R3696" s="23"/>
    </row>
    <row r="3697" spans="1:18" ht="12.75">
      <c r="A3697" s="12"/>
      <c r="D3697" s="12"/>
      <c r="E3697" s="12"/>
      <c r="H3697" s="11" t="str">
        <f ca="1">IFERROR(__xludf.DUMMYFUNCTION("IFERROR(SUBSTITUTE(SUBSTITUTE(REGEXEXTRACT(A3697, ""[^-]+- [^-]+- [^-]+ - (.+?)\.jpg""), "".jpg"", """"), ""-"", "", ""), """")"),"")</f>
        <v/>
      </c>
      <c r="L3697" s="12"/>
      <c r="M3697" s="13"/>
      <c r="N3697" s="2"/>
      <c r="O3697" s="20"/>
      <c r="P3697" s="42"/>
      <c r="R3697" s="23"/>
    </row>
    <row r="3698" spans="1:18" ht="12.75">
      <c r="A3698" s="12"/>
      <c r="D3698" s="12"/>
      <c r="E3698" s="12"/>
      <c r="H3698" s="11" t="str">
        <f ca="1">IFERROR(__xludf.DUMMYFUNCTION("IFERROR(SUBSTITUTE(SUBSTITUTE(REGEXEXTRACT(A3698, ""[^-]+- [^-]+- [^-]+ - (.+?)\.jpg""), "".jpg"", """"), ""-"", "", ""), """")"),"")</f>
        <v/>
      </c>
      <c r="L3698" s="12"/>
      <c r="M3698" s="13"/>
      <c r="N3698" s="2"/>
      <c r="O3698" s="20"/>
      <c r="P3698" s="42"/>
      <c r="R3698" s="23"/>
    </row>
    <row r="3699" spans="1:18" ht="12.75">
      <c r="A3699" s="12"/>
      <c r="D3699" s="12"/>
      <c r="E3699" s="12"/>
      <c r="H3699" s="11" t="str">
        <f ca="1">IFERROR(__xludf.DUMMYFUNCTION("IFERROR(SUBSTITUTE(SUBSTITUTE(REGEXEXTRACT(A3699, ""[^-]+- [^-]+- [^-]+ - (.+?)\.jpg""), "".jpg"", """"), ""-"", "", ""), """")"),"")</f>
        <v/>
      </c>
      <c r="L3699" s="12"/>
      <c r="M3699" s="13"/>
      <c r="N3699" s="2"/>
      <c r="O3699" s="20"/>
      <c r="P3699" s="42"/>
      <c r="R3699" s="23"/>
    </row>
    <row r="3700" spans="1:18" ht="12.75">
      <c r="A3700" s="12"/>
      <c r="D3700" s="12"/>
      <c r="E3700" s="12"/>
      <c r="H3700" s="11" t="str">
        <f ca="1">IFERROR(__xludf.DUMMYFUNCTION("IFERROR(SUBSTITUTE(SUBSTITUTE(REGEXEXTRACT(A3700, ""[^-]+- [^-]+- [^-]+ - (.+?)\.jpg""), "".jpg"", """"), ""-"", "", ""), """")"),"")</f>
        <v/>
      </c>
      <c r="L3700" s="12"/>
      <c r="M3700" s="13"/>
      <c r="N3700" s="2"/>
      <c r="O3700" s="20"/>
      <c r="P3700" s="42"/>
      <c r="R3700" s="23"/>
    </row>
    <row r="3701" spans="1:18" ht="12.75">
      <c r="A3701" s="12"/>
      <c r="D3701" s="12"/>
      <c r="E3701" s="12"/>
      <c r="H3701" s="11" t="str">
        <f ca="1">IFERROR(__xludf.DUMMYFUNCTION("IFERROR(SUBSTITUTE(SUBSTITUTE(REGEXEXTRACT(A3701, ""[^-]+- [^-]+- [^-]+ - (.+?)\.jpg""), "".jpg"", """"), ""-"", "", ""), """")"),"")</f>
        <v/>
      </c>
      <c r="L3701" s="12"/>
      <c r="M3701" s="13"/>
      <c r="N3701" s="2"/>
      <c r="O3701" s="20"/>
      <c r="P3701" s="42"/>
      <c r="R3701" s="23"/>
    </row>
    <row r="3702" spans="1:18" ht="12.75">
      <c r="A3702" s="12"/>
      <c r="D3702" s="12"/>
      <c r="E3702" s="12"/>
      <c r="H3702" s="11" t="str">
        <f ca="1">IFERROR(__xludf.DUMMYFUNCTION("IFERROR(SUBSTITUTE(SUBSTITUTE(REGEXEXTRACT(A3702, ""[^-]+- [^-]+- [^-]+ - (.+?)\.jpg""), "".jpg"", """"), ""-"", "", ""), """")"),"")</f>
        <v/>
      </c>
      <c r="L3702" s="12"/>
      <c r="M3702" s="13"/>
      <c r="N3702" s="2"/>
      <c r="O3702" s="20"/>
      <c r="P3702" s="42"/>
      <c r="R3702" s="23"/>
    </row>
    <row r="3703" spans="1:18" ht="12.75">
      <c r="A3703" s="12"/>
      <c r="D3703" s="12"/>
      <c r="E3703" s="12"/>
      <c r="H3703" s="11" t="str">
        <f ca="1">IFERROR(__xludf.DUMMYFUNCTION("IFERROR(SUBSTITUTE(SUBSTITUTE(REGEXEXTRACT(A3703, ""[^-]+- [^-]+- [^-]+ - (.+?)\.jpg""), "".jpg"", """"), ""-"", "", ""), """")"),"")</f>
        <v/>
      </c>
      <c r="L3703" s="12"/>
      <c r="M3703" s="13"/>
      <c r="N3703" s="2"/>
      <c r="O3703" s="20"/>
      <c r="P3703" s="42"/>
      <c r="R3703" s="23"/>
    </row>
    <row r="3704" spans="1:18" ht="12.75">
      <c r="A3704" s="12"/>
      <c r="D3704" s="12"/>
      <c r="E3704" s="12"/>
      <c r="H3704" s="11" t="str">
        <f ca="1">IFERROR(__xludf.DUMMYFUNCTION("IFERROR(SUBSTITUTE(SUBSTITUTE(REGEXEXTRACT(A3704, ""[^-]+- [^-]+- [^-]+ - (.+?)\.jpg""), "".jpg"", """"), ""-"", "", ""), """")"),"")</f>
        <v/>
      </c>
      <c r="L3704" s="12"/>
      <c r="M3704" s="13"/>
      <c r="N3704" s="2"/>
      <c r="O3704" s="20"/>
      <c r="P3704" s="42"/>
      <c r="R3704" s="23"/>
    </row>
    <row r="3705" spans="1:18" ht="12.75">
      <c r="A3705" s="12"/>
      <c r="D3705" s="12"/>
      <c r="E3705" s="12"/>
      <c r="H3705" s="11" t="str">
        <f ca="1">IFERROR(__xludf.DUMMYFUNCTION("IFERROR(SUBSTITUTE(SUBSTITUTE(REGEXEXTRACT(A3705, ""[^-]+- [^-]+- [^-]+ - (.+?)\.jpg""), "".jpg"", """"), ""-"", "", ""), """")"),"")</f>
        <v/>
      </c>
      <c r="L3705" s="12"/>
      <c r="M3705" s="13"/>
      <c r="N3705" s="2"/>
      <c r="O3705" s="20"/>
      <c r="P3705" s="42"/>
      <c r="R3705" s="23"/>
    </row>
    <row r="3706" spans="1:18" ht="12.75">
      <c r="A3706" s="12"/>
      <c r="D3706" s="12"/>
      <c r="E3706" s="12"/>
      <c r="H3706" s="11" t="str">
        <f ca="1">IFERROR(__xludf.DUMMYFUNCTION("IFERROR(SUBSTITUTE(SUBSTITUTE(REGEXEXTRACT(A3706, ""[^-]+- [^-]+- [^-]+ - (.+?)\.jpg""), "".jpg"", """"), ""-"", "", ""), """")"),"")</f>
        <v/>
      </c>
      <c r="L3706" s="12"/>
      <c r="M3706" s="13"/>
      <c r="N3706" s="2"/>
      <c r="O3706" s="20"/>
      <c r="P3706" s="42"/>
      <c r="R3706" s="23"/>
    </row>
    <row r="3707" spans="1:18" ht="12.75">
      <c r="A3707" s="12"/>
      <c r="D3707" s="12"/>
      <c r="E3707" s="12"/>
      <c r="H3707" s="11" t="str">
        <f ca="1">IFERROR(__xludf.DUMMYFUNCTION("IFERROR(SUBSTITUTE(SUBSTITUTE(REGEXEXTRACT(A3707, ""[^-]+- [^-]+- [^-]+ - (.+?)\.jpg""), "".jpg"", """"), ""-"", "", ""), """")"),"")</f>
        <v/>
      </c>
      <c r="L3707" s="12"/>
      <c r="M3707" s="13"/>
      <c r="N3707" s="2"/>
      <c r="O3707" s="20"/>
      <c r="P3707" s="42"/>
      <c r="R3707" s="23"/>
    </row>
    <row r="3708" spans="1:18" ht="12.75">
      <c r="A3708" s="12"/>
      <c r="D3708" s="12"/>
      <c r="E3708" s="12"/>
      <c r="H3708" s="11" t="str">
        <f ca="1">IFERROR(__xludf.DUMMYFUNCTION("IFERROR(SUBSTITUTE(SUBSTITUTE(REGEXEXTRACT(A3708, ""[^-]+- [^-]+- [^-]+ - (.+?)\.jpg""), "".jpg"", """"), ""-"", "", ""), """")"),"")</f>
        <v/>
      </c>
      <c r="L3708" s="12"/>
      <c r="M3708" s="13"/>
      <c r="N3708" s="2"/>
      <c r="O3708" s="20"/>
      <c r="P3708" s="42"/>
      <c r="R3708" s="23"/>
    </row>
    <row r="3709" spans="1:18" ht="12.75">
      <c r="A3709" s="12"/>
      <c r="D3709" s="12"/>
      <c r="E3709" s="12"/>
      <c r="H3709" s="11" t="str">
        <f ca="1">IFERROR(__xludf.DUMMYFUNCTION("IFERROR(SUBSTITUTE(SUBSTITUTE(REGEXEXTRACT(A3709, ""[^-]+- [^-]+- [^-]+ - (.+?)\.jpg""), "".jpg"", """"), ""-"", "", ""), """")"),"")</f>
        <v/>
      </c>
      <c r="L3709" s="12"/>
      <c r="M3709" s="13"/>
      <c r="N3709" s="2"/>
      <c r="O3709" s="20"/>
      <c r="P3709" s="42"/>
      <c r="R3709" s="23"/>
    </row>
    <row r="3710" spans="1:18" ht="12.75">
      <c r="A3710" s="12"/>
      <c r="D3710" s="12"/>
      <c r="E3710" s="12"/>
      <c r="H3710" s="11" t="str">
        <f ca="1">IFERROR(__xludf.DUMMYFUNCTION("IFERROR(SUBSTITUTE(SUBSTITUTE(REGEXEXTRACT(A3710, ""[^-]+- [^-]+- [^-]+ - (.+?)\.jpg""), "".jpg"", """"), ""-"", "", ""), """")"),"")</f>
        <v/>
      </c>
      <c r="L3710" s="12"/>
      <c r="M3710" s="13"/>
      <c r="N3710" s="2"/>
      <c r="O3710" s="20"/>
      <c r="P3710" s="42"/>
      <c r="R3710" s="23"/>
    </row>
    <row r="3711" spans="1:18" ht="12.75">
      <c r="A3711" s="12"/>
      <c r="D3711" s="12"/>
      <c r="E3711" s="12"/>
      <c r="H3711" s="11" t="str">
        <f ca="1">IFERROR(__xludf.DUMMYFUNCTION("IFERROR(SUBSTITUTE(SUBSTITUTE(REGEXEXTRACT(A3711, ""[^-]+- [^-]+- [^-]+ - (.+?)\.jpg""), "".jpg"", """"), ""-"", "", ""), """")"),"")</f>
        <v/>
      </c>
      <c r="L3711" s="12"/>
      <c r="M3711" s="13"/>
      <c r="N3711" s="2"/>
      <c r="O3711" s="20"/>
      <c r="P3711" s="42"/>
      <c r="R3711" s="23"/>
    </row>
    <row r="3712" spans="1:18" ht="12.75">
      <c r="A3712" s="12"/>
      <c r="D3712" s="12"/>
      <c r="E3712" s="12"/>
      <c r="H3712" s="11" t="str">
        <f ca="1">IFERROR(__xludf.DUMMYFUNCTION("IFERROR(SUBSTITUTE(SUBSTITUTE(REGEXEXTRACT(A3712, ""[^-]+- [^-]+- [^-]+ - (.+?)\.jpg""), "".jpg"", """"), ""-"", "", ""), """")"),"")</f>
        <v/>
      </c>
      <c r="L3712" s="12"/>
      <c r="M3712" s="13"/>
      <c r="N3712" s="2"/>
      <c r="O3712" s="20"/>
      <c r="P3712" s="42"/>
      <c r="R3712" s="23"/>
    </row>
    <row r="3713" spans="1:18" ht="12.75">
      <c r="A3713" s="12"/>
      <c r="D3713" s="12"/>
      <c r="E3713" s="12"/>
      <c r="H3713" s="11" t="str">
        <f ca="1">IFERROR(__xludf.DUMMYFUNCTION("IFERROR(SUBSTITUTE(SUBSTITUTE(REGEXEXTRACT(A3713, ""[^-]+- [^-]+- [^-]+ - (.+?)\.jpg""), "".jpg"", """"), ""-"", "", ""), """")"),"")</f>
        <v/>
      </c>
      <c r="L3713" s="12"/>
      <c r="M3713" s="13"/>
      <c r="N3713" s="2"/>
      <c r="O3713" s="20"/>
      <c r="P3713" s="42"/>
      <c r="R3713" s="23"/>
    </row>
    <row r="3714" spans="1:18" ht="12.75">
      <c r="A3714" s="12"/>
      <c r="D3714" s="12"/>
      <c r="E3714" s="12"/>
      <c r="H3714" s="11" t="str">
        <f ca="1">IFERROR(__xludf.DUMMYFUNCTION("IFERROR(SUBSTITUTE(SUBSTITUTE(REGEXEXTRACT(A3714, ""[^-]+- [^-]+- [^-]+ - (.+?)\.jpg""), "".jpg"", """"), ""-"", "", ""), """")"),"")</f>
        <v/>
      </c>
      <c r="L3714" s="12"/>
      <c r="M3714" s="13"/>
      <c r="N3714" s="2"/>
      <c r="O3714" s="20"/>
      <c r="P3714" s="42"/>
      <c r="R3714" s="23"/>
    </row>
    <row r="3715" spans="1:18" ht="12.75">
      <c r="A3715" s="12"/>
      <c r="D3715" s="12"/>
      <c r="E3715" s="12"/>
      <c r="H3715" s="11" t="str">
        <f ca="1">IFERROR(__xludf.DUMMYFUNCTION("IFERROR(SUBSTITUTE(SUBSTITUTE(REGEXEXTRACT(A3715, ""[^-]+- [^-]+- [^-]+ - (.+?)\.jpg""), "".jpg"", """"), ""-"", "", ""), """")"),"")</f>
        <v/>
      </c>
      <c r="L3715" s="12"/>
      <c r="M3715" s="13"/>
      <c r="N3715" s="2"/>
      <c r="O3715" s="20"/>
      <c r="P3715" s="42"/>
      <c r="R3715" s="23"/>
    </row>
    <row r="3716" spans="1:18" ht="12.75">
      <c r="A3716" s="12"/>
      <c r="D3716" s="12"/>
      <c r="E3716" s="12"/>
      <c r="H3716" s="11" t="str">
        <f ca="1">IFERROR(__xludf.DUMMYFUNCTION("IFERROR(SUBSTITUTE(SUBSTITUTE(REGEXEXTRACT(A3716, ""[^-]+- [^-]+- [^-]+ - (.+?)\.jpg""), "".jpg"", """"), ""-"", "", ""), """")"),"")</f>
        <v/>
      </c>
      <c r="L3716" s="12"/>
      <c r="M3716" s="13"/>
      <c r="N3716" s="2"/>
      <c r="O3716" s="20"/>
      <c r="P3716" s="42"/>
      <c r="R3716" s="23"/>
    </row>
    <row r="3717" spans="1:18" ht="12.75">
      <c r="A3717" s="12"/>
      <c r="D3717" s="12"/>
      <c r="E3717" s="12"/>
      <c r="H3717" s="11" t="str">
        <f ca="1">IFERROR(__xludf.DUMMYFUNCTION("IFERROR(SUBSTITUTE(SUBSTITUTE(REGEXEXTRACT(A3717, ""[^-]+- [^-]+- [^-]+ - (.+?)\.jpg""), "".jpg"", """"), ""-"", "", ""), """")"),"")</f>
        <v/>
      </c>
      <c r="L3717" s="12"/>
      <c r="M3717" s="13"/>
      <c r="N3717" s="2"/>
      <c r="O3717" s="20"/>
      <c r="P3717" s="42"/>
      <c r="R3717" s="23"/>
    </row>
    <row r="3718" spans="1:18" ht="12.75">
      <c r="A3718" s="12"/>
      <c r="D3718" s="12"/>
      <c r="E3718" s="12"/>
      <c r="H3718" s="11" t="str">
        <f ca="1">IFERROR(__xludf.DUMMYFUNCTION("IFERROR(SUBSTITUTE(SUBSTITUTE(REGEXEXTRACT(A3718, ""[^-]+- [^-]+- [^-]+ - (.+?)\.jpg""), "".jpg"", """"), ""-"", "", ""), """")"),"")</f>
        <v/>
      </c>
      <c r="L3718" s="12"/>
      <c r="M3718" s="13"/>
      <c r="N3718" s="2"/>
      <c r="O3718" s="20"/>
      <c r="P3718" s="42"/>
      <c r="R3718" s="23"/>
    </row>
    <row r="3719" spans="1:18" ht="12.75">
      <c r="A3719" s="12"/>
      <c r="D3719" s="12"/>
      <c r="E3719" s="12"/>
      <c r="H3719" s="11" t="str">
        <f ca="1">IFERROR(__xludf.DUMMYFUNCTION("IFERROR(SUBSTITUTE(SUBSTITUTE(REGEXEXTRACT(A3719, ""[^-]+- [^-]+- [^-]+ - (.+?)\.jpg""), "".jpg"", """"), ""-"", "", ""), """")"),"")</f>
        <v/>
      </c>
      <c r="L3719" s="12"/>
      <c r="M3719" s="13"/>
      <c r="N3719" s="2"/>
      <c r="O3719" s="20"/>
      <c r="P3719" s="42"/>
      <c r="R3719" s="23"/>
    </row>
    <row r="3720" spans="1:18" ht="12.75">
      <c r="A3720" s="12"/>
      <c r="D3720" s="12"/>
      <c r="E3720" s="12"/>
      <c r="H3720" s="11" t="str">
        <f ca="1">IFERROR(__xludf.DUMMYFUNCTION("IFERROR(SUBSTITUTE(SUBSTITUTE(REGEXEXTRACT(A3720, ""[^-]+- [^-]+- [^-]+ - (.+?)\.jpg""), "".jpg"", """"), ""-"", "", ""), """")"),"")</f>
        <v/>
      </c>
      <c r="L3720" s="12"/>
      <c r="M3720" s="13"/>
      <c r="N3720" s="2"/>
      <c r="O3720" s="20"/>
      <c r="P3720" s="42"/>
      <c r="R3720" s="23"/>
    </row>
    <row r="3721" spans="1:18" ht="12.75">
      <c r="A3721" s="12"/>
      <c r="D3721" s="12"/>
      <c r="E3721" s="12"/>
      <c r="H3721" s="11" t="str">
        <f ca="1">IFERROR(__xludf.DUMMYFUNCTION("IFERROR(SUBSTITUTE(SUBSTITUTE(REGEXEXTRACT(A3721, ""[^-]+- [^-]+- [^-]+ - (.+?)\.jpg""), "".jpg"", """"), ""-"", "", ""), """")"),"")</f>
        <v/>
      </c>
      <c r="L3721" s="12"/>
      <c r="M3721" s="13"/>
      <c r="N3721" s="2"/>
      <c r="O3721" s="20"/>
      <c r="P3721" s="42"/>
      <c r="R3721" s="23"/>
    </row>
    <row r="3722" spans="1:18" ht="12.75">
      <c r="A3722" s="12"/>
      <c r="D3722" s="12"/>
      <c r="E3722" s="12"/>
      <c r="H3722" s="11" t="str">
        <f ca="1">IFERROR(__xludf.DUMMYFUNCTION("IFERROR(SUBSTITUTE(SUBSTITUTE(REGEXEXTRACT(A3722, ""[^-]+- [^-]+- [^-]+ - (.+?)\.jpg""), "".jpg"", """"), ""-"", "", ""), """")"),"")</f>
        <v/>
      </c>
      <c r="L3722" s="12"/>
      <c r="M3722" s="13"/>
      <c r="N3722" s="2"/>
      <c r="O3722" s="20"/>
      <c r="P3722" s="42"/>
      <c r="R3722" s="23"/>
    </row>
    <row r="3723" spans="1:18" ht="12.75">
      <c r="A3723" s="12"/>
      <c r="D3723" s="12"/>
      <c r="E3723" s="12"/>
      <c r="H3723" s="11" t="str">
        <f ca="1">IFERROR(__xludf.DUMMYFUNCTION("IFERROR(SUBSTITUTE(SUBSTITUTE(REGEXEXTRACT(A3723, ""[^-]+- [^-]+- [^-]+ - (.+?)\.jpg""), "".jpg"", """"), ""-"", "", ""), """")"),"")</f>
        <v/>
      </c>
      <c r="L3723" s="12"/>
      <c r="M3723" s="13"/>
      <c r="N3723" s="2"/>
      <c r="O3723" s="20"/>
      <c r="P3723" s="42"/>
      <c r="R3723" s="23"/>
    </row>
    <row r="3724" spans="1:18" ht="12.75">
      <c r="A3724" s="12"/>
      <c r="D3724" s="12"/>
      <c r="E3724" s="12"/>
      <c r="H3724" s="11" t="str">
        <f ca="1">IFERROR(__xludf.DUMMYFUNCTION("IFERROR(SUBSTITUTE(SUBSTITUTE(REGEXEXTRACT(A3724, ""[^-]+- [^-]+- [^-]+ - (.+?)\.jpg""), "".jpg"", """"), ""-"", "", ""), """")"),"")</f>
        <v/>
      </c>
      <c r="L3724" s="12"/>
      <c r="M3724" s="13"/>
      <c r="N3724" s="2"/>
      <c r="O3724" s="20"/>
      <c r="P3724" s="42"/>
      <c r="R3724" s="23"/>
    </row>
    <row r="3725" spans="1:18" ht="12.75">
      <c r="A3725" s="12"/>
      <c r="D3725" s="12"/>
      <c r="E3725" s="12"/>
      <c r="H3725" s="11" t="str">
        <f ca="1">IFERROR(__xludf.DUMMYFUNCTION("IFERROR(SUBSTITUTE(SUBSTITUTE(REGEXEXTRACT(A3725, ""[^-]+- [^-]+- [^-]+ - (.+?)\.jpg""), "".jpg"", """"), ""-"", "", ""), """")"),"")</f>
        <v/>
      </c>
      <c r="L3725" s="12"/>
      <c r="M3725" s="13"/>
      <c r="N3725" s="2"/>
      <c r="O3725" s="20"/>
      <c r="P3725" s="42"/>
      <c r="R3725" s="23"/>
    </row>
    <row r="3726" spans="1:18" ht="12.75">
      <c r="A3726" s="12"/>
      <c r="D3726" s="12"/>
      <c r="E3726" s="12"/>
      <c r="H3726" s="11" t="str">
        <f ca="1">IFERROR(__xludf.DUMMYFUNCTION("IFERROR(SUBSTITUTE(SUBSTITUTE(REGEXEXTRACT(A3726, ""[^-]+- [^-]+- [^-]+ - (.+?)\.jpg""), "".jpg"", """"), ""-"", "", ""), """")"),"")</f>
        <v/>
      </c>
      <c r="L3726" s="12"/>
      <c r="M3726" s="13"/>
      <c r="N3726" s="2"/>
      <c r="O3726" s="20"/>
      <c r="P3726" s="42"/>
      <c r="R3726" s="23"/>
    </row>
    <row r="3727" spans="1:18" ht="12.75">
      <c r="A3727" s="12"/>
      <c r="D3727" s="12"/>
      <c r="E3727" s="12"/>
      <c r="H3727" s="11" t="str">
        <f ca="1">IFERROR(__xludf.DUMMYFUNCTION("IFERROR(SUBSTITUTE(SUBSTITUTE(REGEXEXTRACT(A3727, ""[^-]+- [^-]+- [^-]+ - (.+?)\.jpg""), "".jpg"", """"), ""-"", "", ""), """")"),"")</f>
        <v/>
      </c>
      <c r="L3727" s="12"/>
      <c r="M3727" s="13"/>
      <c r="N3727" s="2"/>
      <c r="O3727" s="20"/>
      <c r="P3727" s="42"/>
      <c r="R3727" s="23"/>
    </row>
    <row r="3728" spans="1:18" ht="12.75">
      <c r="A3728" s="12"/>
      <c r="D3728" s="12"/>
      <c r="E3728" s="12"/>
      <c r="H3728" s="11" t="str">
        <f ca="1">IFERROR(__xludf.DUMMYFUNCTION("IFERROR(SUBSTITUTE(SUBSTITUTE(REGEXEXTRACT(A3728, ""[^-]+- [^-]+- [^-]+ - (.+?)\.jpg""), "".jpg"", """"), ""-"", "", ""), """")"),"")</f>
        <v/>
      </c>
      <c r="L3728" s="12"/>
      <c r="M3728" s="13"/>
      <c r="N3728" s="2"/>
      <c r="O3728" s="20"/>
      <c r="P3728" s="42"/>
      <c r="R3728" s="23"/>
    </row>
    <row r="3729" spans="1:18" ht="12.75">
      <c r="A3729" s="12"/>
      <c r="D3729" s="12"/>
      <c r="E3729" s="12"/>
      <c r="H3729" s="11" t="str">
        <f ca="1">IFERROR(__xludf.DUMMYFUNCTION("IFERROR(SUBSTITUTE(SUBSTITUTE(REGEXEXTRACT(A3729, ""[^-]+- [^-]+- [^-]+ - (.+?)\.jpg""), "".jpg"", """"), ""-"", "", ""), """")"),"")</f>
        <v/>
      </c>
      <c r="L3729" s="12"/>
      <c r="M3729" s="13"/>
      <c r="N3729" s="2"/>
      <c r="O3729" s="20"/>
      <c r="P3729" s="42"/>
      <c r="R3729" s="23"/>
    </row>
    <row r="3730" spans="1:18" ht="12.75">
      <c r="A3730" s="12"/>
      <c r="D3730" s="12"/>
      <c r="E3730" s="12"/>
      <c r="H3730" s="11" t="str">
        <f ca="1">IFERROR(__xludf.DUMMYFUNCTION("IFERROR(SUBSTITUTE(SUBSTITUTE(REGEXEXTRACT(A3730, ""[^-]+- [^-]+- [^-]+ - (.+?)\.jpg""), "".jpg"", """"), ""-"", "", ""), """")"),"")</f>
        <v/>
      </c>
      <c r="L3730" s="12"/>
      <c r="M3730" s="13"/>
      <c r="N3730" s="2"/>
      <c r="O3730" s="20"/>
      <c r="P3730" s="42"/>
      <c r="R3730" s="23"/>
    </row>
    <row r="3731" spans="1:18" ht="12.75">
      <c r="A3731" s="12"/>
      <c r="D3731" s="12"/>
      <c r="E3731" s="12"/>
      <c r="H3731" s="11" t="str">
        <f ca="1">IFERROR(__xludf.DUMMYFUNCTION("IFERROR(SUBSTITUTE(SUBSTITUTE(REGEXEXTRACT(A3731, ""[^-]+- [^-]+- [^-]+ - (.+?)\.jpg""), "".jpg"", """"), ""-"", "", ""), """")"),"")</f>
        <v/>
      </c>
      <c r="L3731" s="12"/>
      <c r="M3731" s="13"/>
      <c r="N3731" s="2"/>
      <c r="O3731" s="20"/>
      <c r="P3731" s="42"/>
      <c r="R3731" s="23"/>
    </row>
    <row r="3732" spans="1:18" ht="12.75">
      <c r="A3732" s="12"/>
      <c r="D3732" s="12"/>
      <c r="E3732" s="12"/>
      <c r="H3732" s="11" t="str">
        <f ca="1">IFERROR(__xludf.DUMMYFUNCTION("IFERROR(SUBSTITUTE(SUBSTITUTE(REGEXEXTRACT(A3732, ""[^-]+- [^-]+- [^-]+ - (.+?)\.jpg""), "".jpg"", """"), ""-"", "", ""), """")"),"")</f>
        <v/>
      </c>
      <c r="L3732" s="12"/>
      <c r="M3732" s="13"/>
      <c r="N3732" s="2"/>
      <c r="O3732" s="20"/>
      <c r="P3732" s="42"/>
      <c r="R3732" s="23"/>
    </row>
    <row r="3733" spans="1:18" ht="12.75">
      <c r="A3733" s="12"/>
      <c r="D3733" s="12"/>
      <c r="E3733" s="12"/>
      <c r="H3733" s="11" t="str">
        <f ca="1">IFERROR(__xludf.DUMMYFUNCTION("IFERROR(SUBSTITUTE(SUBSTITUTE(REGEXEXTRACT(A3733, ""[^-]+- [^-]+- [^-]+ - (.+?)\.jpg""), "".jpg"", """"), ""-"", "", ""), """")"),"")</f>
        <v/>
      </c>
      <c r="L3733" s="12"/>
      <c r="M3733" s="13"/>
      <c r="N3733" s="2"/>
      <c r="O3733" s="20"/>
      <c r="P3733" s="42"/>
      <c r="R3733" s="23"/>
    </row>
    <row r="3734" spans="1:18" ht="12.75">
      <c r="A3734" s="12"/>
      <c r="D3734" s="12"/>
      <c r="E3734" s="12"/>
      <c r="H3734" s="11" t="str">
        <f ca="1">IFERROR(__xludf.DUMMYFUNCTION("IFERROR(SUBSTITUTE(SUBSTITUTE(REGEXEXTRACT(A3734, ""[^-]+- [^-]+- [^-]+ - (.+?)\.jpg""), "".jpg"", """"), ""-"", "", ""), """")"),"")</f>
        <v/>
      </c>
      <c r="L3734" s="12"/>
      <c r="M3734" s="13"/>
      <c r="N3734" s="2"/>
      <c r="O3734" s="20"/>
      <c r="P3734" s="42"/>
      <c r="R3734" s="23"/>
    </row>
    <row r="3735" spans="1:18" ht="12.75">
      <c r="A3735" s="12"/>
      <c r="D3735" s="12"/>
      <c r="E3735" s="12"/>
      <c r="H3735" s="11" t="str">
        <f ca="1">IFERROR(__xludf.DUMMYFUNCTION("IFERROR(SUBSTITUTE(SUBSTITUTE(REGEXEXTRACT(A3735, ""[^-]+- [^-]+- [^-]+ - (.+?)\.jpg""), "".jpg"", """"), ""-"", "", ""), """")"),"")</f>
        <v/>
      </c>
      <c r="L3735" s="12"/>
      <c r="M3735" s="13"/>
      <c r="N3735" s="2"/>
      <c r="O3735" s="20"/>
      <c r="P3735" s="42"/>
      <c r="R3735" s="23"/>
    </row>
    <row r="3736" spans="1:18" ht="12.75">
      <c r="A3736" s="12"/>
      <c r="D3736" s="12"/>
      <c r="E3736" s="12"/>
      <c r="H3736" s="11" t="str">
        <f ca="1">IFERROR(__xludf.DUMMYFUNCTION("IFERROR(SUBSTITUTE(SUBSTITUTE(REGEXEXTRACT(A3736, ""[^-]+- [^-]+- [^-]+ - (.+?)\.jpg""), "".jpg"", """"), ""-"", "", ""), """")"),"")</f>
        <v/>
      </c>
      <c r="L3736" s="12"/>
      <c r="M3736" s="13"/>
      <c r="N3736" s="2"/>
      <c r="O3736" s="20"/>
      <c r="P3736" s="42"/>
      <c r="R3736" s="23"/>
    </row>
    <row r="3737" spans="1:18" ht="12.75">
      <c r="A3737" s="12"/>
      <c r="D3737" s="12"/>
      <c r="E3737" s="12"/>
      <c r="H3737" s="11" t="str">
        <f ca="1">IFERROR(__xludf.DUMMYFUNCTION("IFERROR(SUBSTITUTE(SUBSTITUTE(REGEXEXTRACT(A3737, ""[^-]+- [^-]+- [^-]+ - (.+?)\.jpg""), "".jpg"", """"), ""-"", "", ""), """")"),"")</f>
        <v/>
      </c>
      <c r="L3737" s="12"/>
      <c r="M3737" s="13"/>
      <c r="N3737" s="2"/>
      <c r="O3737" s="20"/>
      <c r="P3737" s="42"/>
      <c r="R3737" s="23"/>
    </row>
    <row r="3738" spans="1:18" ht="12.75">
      <c r="A3738" s="12"/>
      <c r="D3738" s="12"/>
      <c r="E3738" s="12"/>
      <c r="H3738" s="11" t="str">
        <f ca="1">IFERROR(__xludf.DUMMYFUNCTION("IFERROR(SUBSTITUTE(SUBSTITUTE(REGEXEXTRACT(A3738, ""[^-]+- [^-]+- [^-]+ - (.+?)\.jpg""), "".jpg"", """"), ""-"", "", ""), """")"),"")</f>
        <v/>
      </c>
      <c r="L3738" s="12"/>
      <c r="M3738" s="13"/>
      <c r="N3738" s="2"/>
      <c r="O3738" s="20"/>
      <c r="P3738" s="42"/>
      <c r="R3738" s="23"/>
    </row>
    <row r="3739" spans="1:18" ht="12.75">
      <c r="A3739" s="12"/>
      <c r="D3739" s="12"/>
      <c r="E3739" s="12"/>
      <c r="H3739" s="11" t="str">
        <f ca="1">IFERROR(__xludf.DUMMYFUNCTION("IFERROR(SUBSTITUTE(SUBSTITUTE(REGEXEXTRACT(A3739, ""[^-]+- [^-]+- [^-]+ - (.+?)\.jpg""), "".jpg"", """"), ""-"", "", ""), """")"),"")</f>
        <v/>
      </c>
      <c r="L3739" s="12"/>
      <c r="M3739" s="13"/>
      <c r="N3739" s="2"/>
      <c r="O3739" s="20"/>
      <c r="P3739" s="42"/>
      <c r="R3739" s="23"/>
    </row>
    <row r="3740" spans="1:18" ht="12.75">
      <c r="A3740" s="12"/>
      <c r="D3740" s="12"/>
      <c r="E3740" s="12"/>
      <c r="H3740" s="11" t="str">
        <f ca="1">IFERROR(__xludf.DUMMYFUNCTION("IFERROR(SUBSTITUTE(SUBSTITUTE(REGEXEXTRACT(A3740, ""[^-]+- [^-]+- [^-]+ - (.+?)\.jpg""), "".jpg"", """"), ""-"", "", ""), """")"),"")</f>
        <v/>
      </c>
      <c r="L3740" s="12"/>
      <c r="M3740" s="13"/>
      <c r="N3740" s="2"/>
      <c r="O3740" s="20"/>
      <c r="P3740" s="42"/>
      <c r="R3740" s="23"/>
    </row>
    <row r="3741" spans="1:18" ht="12.75">
      <c r="A3741" s="12"/>
      <c r="D3741" s="12"/>
      <c r="E3741" s="12"/>
      <c r="H3741" s="11" t="str">
        <f ca="1">IFERROR(__xludf.DUMMYFUNCTION("IFERROR(SUBSTITUTE(SUBSTITUTE(REGEXEXTRACT(A3741, ""[^-]+- [^-]+- [^-]+ - (.+?)\.jpg""), "".jpg"", """"), ""-"", "", ""), """")"),"")</f>
        <v/>
      </c>
      <c r="L3741" s="12"/>
      <c r="M3741" s="13"/>
      <c r="N3741" s="2"/>
      <c r="O3741" s="20"/>
      <c r="P3741" s="42"/>
      <c r="R3741" s="23"/>
    </row>
    <row r="3742" spans="1:18" ht="12.75">
      <c r="A3742" s="12"/>
      <c r="D3742" s="12"/>
      <c r="E3742" s="12"/>
      <c r="H3742" s="11" t="str">
        <f ca="1">IFERROR(__xludf.DUMMYFUNCTION("IFERROR(SUBSTITUTE(SUBSTITUTE(REGEXEXTRACT(A3742, ""[^-]+- [^-]+- [^-]+ - (.+?)\.jpg""), "".jpg"", """"), ""-"", "", ""), """")"),"")</f>
        <v/>
      </c>
      <c r="L3742" s="12"/>
      <c r="M3742" s="13"/>
      <c r="N3742" s="2"/>
      <c r="O3742" s="20"/>
      <c r="P3742" s="42"/>
      <c r="R3742" s="23"/>
    </row>
    <row r="3743" spans="1:18" ht="12.75">
      <c r="A3743" s="12"/>
      <c r="D3743" s="12"/>
      <c r="E3743" s="12"/>
      <c r="H3743" s="11" t="str">
        <f ca="1">IFERROR(__xludf.DUMMYFUNCTION("IFERROR(SUBSTITUTE(SUBSTITUTE(REGEXEXTRACT(A3743, ""[^-]+- [^-]+- [^-]+ - (.+?)\.jpg""), "".jpg"", """"), ""-"", "", ""), """")"),"")</f>
        <v/>
      </c>
      <c r="L3743" s="12"/>
      <c r="M3743" s="13"/>
      <c r="N3743" s="2"/>
      <c r="O3743" s="20"/>
      <c r="P3743" s="42"/>
      <c r="R3743" s="23"/>
    </row>
    <row r="3744" spans="1:18" ht="12.75">
      <c r="A3744" s="12"/>
      <c r="D3744" s="12"/>
      <c r="E3744" s="12"/>
      <c r="H3744" s="11" t="str">
        <f ca="1">IFERROR(__xludf.DUMMYFUNCTION("IFERROR(SUBSTITUTE(SUBSTITUTE(REGEXEXTRACT(A3744, ""[^-]+- [^-]+- [^-]+ - (.+?)\.jpg""), "".jpg"", """"), ""-"", "", ""), """")"),"")</f>
        <v/>
      </c>
      <c r="L3744" s="12"/>
      <c r="M3744" s="13"/>
      <c r="N3744" s="2"/>
      <c r="O3744" s="20"/>
      <c r="P3744" s="42"/>
      <c r="R3744" s="23"/>
    </row>
    <row r="3745" spans="1:18" ht="12.75">
      <c r="A3745" s="12"/>
      <c r="D3745" s="12"/>
      <c r="E3745" s="12"/>
      <c r="H3745" s="11" t="str">
        <f ca="1">IFERROR(__xludf.DUMMYFUNCTION("IFERROR(SUBSTITUTE(SUBSTITUTE(REGEXEXTRACT(A3745, ""[^-]+- [^-]+- [^-]+ - (.+?)\.jpg""), "".jpg"", """"), ""-"", "", ""), """")"),"")</f>
        <v/>
      </c>
      <c r="L3745" s="12"/>
      <c r="M3745" s="13"/>
      <c r="N3745" s="2"/>
      <c r="O3745" s="20"/>
      <c r="P3745" s="42"/>
      <c r="R3745" s="23"/>
    </row>
    <row r="3746" spans="1:18" ht="12.75">
      <c r="A3746" s="12"/>
      <c r="D3746" s="12"/>
      <c r="E3746" s="12"/>
      <c r="H3746" s="11" t="str">
        <f ca="1">IFERROR(__xludf.DUMMYFUNCTION("IFERROR(SUBSTITUTE(SUBSTITUTE(REGEXEXTRACT(A3746, ""[^-]+- [^-]+- [^-]+ - (.+?)\.jpg""), "".jpg"", """"), ""-"", "", ""), """")"),"")</f>
        <v/>
      </c>
      <c r="L3746" s="12"/>
      <c r="M3746" s="13"/>
      <c r="N3746" s="2"/>
      <c r="O3746" s="20"/>
      <c r="P3746" s="42"/>
      <c r="R3746" s="23"/>
    </row>
    <row r="3747" spans="1:18" ht="12.75">
      <c r="A3747" s="12"/>
      <c r="D3747" s="12"/>
      <c r="E3747" s="12"/>
      <c r="H3747" s="11" t="str">
        <f ca="1">IFERROR(__xludf.DUMMYFUNCTION("IFERROR(SUBSTITUTE(SUBSTITUTE(REGEXEXTRACT(A3747, ""[^-]+- [^-]+- [^-]+ - (.+?)\.jpg""), "".jpg"", """"), ""-"", "", ""), """")"),"")</f>
        <v/>
      </c>
      <c r="L3747" s="12"/>
      <c r="M3747" s="13"/>
      <c r="N3747" s="2"/>
      <c r="O3747" s="20"/>
      <c r="P3747" s="42"/>
      <c r="R3747" s="23"/>
    </row>
    <row r="3748" spans="1:18" ht="12.75">
      <c r="A3748" s="12"/>
      <c r="D3748" s="12"/>
      <c r="E3748" s="12"/>
      <c r="H3748" s="11" t="str">
        <f ca="1">IFERROR(__xludf.DUMMYFUNCTION("IFERROR(SUBSTITUTE(SUBSTITUTE(REGEXEXTRACT(A3748, ""[^-]+- [^-]+- [^-]+ - (.+?)\.jpg""), "".jpg"", """"), ""-"", "", ""), """")"),"")</f>
        <v/>
      </c>
      <c r="L3748" s="12"/>
      <c r="M3748" s="13"/>
      <c r="N3748" s="2"/>
      <c r="O3748" s="20"/>
      <c r="P3748" s="42"/>
      <c r="R3748" s="23"/>
    </row>
    <row r="3749" spans="1:18" ht="12.75">
      <c r="A3749" s="12"/>
      <c r="D3749" s="12"/>
      <c r="E3749" s="12"/>
      <c r="H3749" s="11" t="str">
        <f ca="1">IFERROR(__xludf.DUMMYFUNCTION("IFERROR(SUBSTITUTE(SUBSTITUTE(REGEXEXTRACT(A3749, ""[^-]+- [^-]+- [^-]+ - (.+?)\.jpg""), "".jpg"", """"), ""-"", "", ""), """")"),"")</f>
        <v/>
      </c>
      <c r="L3749" s="12"/>
      <c r="M3749" s="13"/>
      <c r="N3749" s="2"/>
      <c r="O3749" s="20"/>
      <c r="P3749" s="42"/>
      <c r="R3749" s="23"/>
    </row>
    <row r="3750" spans="1:18" ht="12.75">
      <c r="A3750" s="12"/>
      <c r="D3750" s="12"/>
      <c r="E3750" s="12"/>
      <c r="H3750" s="11" t="str">
        <f ca="1">IFERROR(__xludf.DUMMYFUNCTION("IFERROR(SUBSTITUTE(SUBSTITUTE(REGEXEXTRACT(A3750, ""[^-]+- [^-]+- [^-]+ - (.+?)\.jpg""), "".jpg"", """"), ""-"", "", ""), """")"),"")</f>
        <v/>
      </c>
      <c r="L3750" s="12"/>
      <c r="M3750" s="13"/>
      <c r="N3750" s="2"/>
      <c r="O3750" s="20"/>
      <c r="P3750" s="42"/>
      <c r="R3750" s="23"/>
    </row>
    <row r="3751" spans="1:18" ht="12.75">
      <c r="A3751" s="12"/>
      <c r="D3751" s="12"/>
      <c r="E3751" s="12"/>
      <c r="H3751" s="11" t="str">
        <f ca="1">IFERROR(__xludf.DUMMYFUNCTION("IFERROR(SUBSTITUTE(SUBSTITUTE(REGEXEXTRACT(A3751, ""[^-]+- [^-]+- [^-]+ - (.+?)\.jpg""), "".jpg"", """"), ""-"", "", ""), """")"),"")</f>
        <v/>
      </c>
      <c r="L3751" s="12"/>
      <c r="M3751" s="13"/>
      <c r="N3751" s="2"/>
      <c r="O3751" s="20"/>
      <c r="P3751" s="42"/>
      <c r="R3751" s="23"/>
    </row>
    <row r="3752" spans="1:18" ht="12.75">
      <c r="A3752" s="12"/>
      <c r="D3752" s="12"/>
      <c r="E3752" s="12"/>
      <c r="H3752" s="11" t="str">
        <f ca="1">IFERROR(__xludf.DUMMYFUNCTION("IFERROR(SUBSTITUTE(SUBSTITUTE(REGEXEXTRACT(A3752, ""[^-]+- [^-]+- [^-]+ - (.+?)\.jpg""), "".jpg"", """"), ""-"", "", ""), """")"),"")</f>
        <v/>
      </c>
      <c r="L3752" s="12"/>
      <c r="M3752" s="13"/>
      <c r="N3752" s="2"/>
      <c r="O3752" s="20"/>
      <c r="P3752" s="42"/>
      <c r="R3752" s="23"/>
    </row>
    <row r="3753" spans="1:18" ht="12.75">
      <c r="A3753" s="12"/>
      <c r="D3753" s="12"/>
      <c r="E3753" s="12"/>
      <c r="H3753" s="11" t="str">
        <f ca="1">IFERROR(__xludf.DUMMYFUNCTION("IFERROR(SUBSTITUTE(SUBSTITUTE(REGEXEXTRACT(A3753, ""[^-]+- [^-]+- [^-]+ - (.+?)\.jpg""), "".jpg"", """"), ""-"", "", ""), """")"),"")</f>
        <v/>
      </c>
      <c r="L3753" s="12"/>
      <c r="M3753" s="13"/>
      <c r="N3753" s="2"/>
      <c r="O3753" s="20"/>
      <c r="P3753" s="42"/>
      <c r="R3753" s="23"/>
    </row>
    <row r="3754" spans="1:18" ht="12.75">
      <c r="A3754" s="12"/>
      <c r="D3754" s="12"/>
      <c r="E3754" s="12"/>
      <c r="H3754" s="11" t="str">
        <f ca="1">IFERROR(__xludf.DUMMYFUNCTION("IFERROR(SUBSTITUTE(SUBSTITUTE(REGEXEXTRACT(A3754, ""[^-]+- [^-]+- [^-]+ - (.+?)\.jpg""), "".jpg"", """"), ""-"", "", ""), """")"),"")</f>
        <v/>
      </c>
      <c r="L3754" s="12"/>
      <c r="M3754" s="13"/>
      <c r="N3754" s="2"/>
      <c r="O3754" s="20"/>
      <c r="P3754" s="42"/>
      <c r="R3754" s="23"/>
    </row>
    <row r="3755" spans="1:18" ht="12.75">
      <c r="A3755" s="12"/>
      <c r="D3755" s="12"/>
      <c r="E3755" s="12"/>
      <c r="H3755" s="11" t="str">
        <f ca="1">IFERROR(__xludf.DUMMYFUNCTION("IFERROR(SUBSTITUTE(SUBSTITUTE(REGEXEXTRACT(A3755, ""[^-]+- [^-]+- [^-]+ - (.+?)\.jpg""), "".jpg"", """"), ""-"", "", ""), """")"),"")</f>
        <v/>
      </c>
      <c r="L3755" s="12"/>
      <c r="M3755" s="13"/>
      <c r="N3755" s="2"/>
      <c r="O3755" s="20"/>
      <c r="P3755" s="42"/>
      <c r="R3755" s="23"/>
    </row>
    <row r="3756" spans="1:18" ht="12.75">
      <c r="A3756" s="12"/>
      <c r="D3756" s="12"/>
      <c r="E3756" s="12"/>
      <c r="H3756" s="11" t="str">
        <f ca="1">IFERROR(__xludf.DUMMYFUNCTION("IFERROR(SUBSTITUTE(SUBSTITUTE(REGEXEXTRACT(A3756, ""[^-]+- [^-]+- [^-]+ - (.+?)\.jpg""), "".jpg"", """"), ""-"", "", ""), """")"),"")</f>
        <v/>
      </c>
      <c r="L3756" s="12"/>
      <c r="M3756" s="13"/>
      <c r="N3756" s="2"/>
      <c r="O3756" s="20"/>
      <c r="P3756" s="42"/>
      <c r="R3756" s="23"/>
    </row>
    <row r="3757" spans="1:18" ht="12.75">
      <c r="A3757" s="12"/>
      <c r="D3757" s="12"/>
      <c r="E3757" s="12"/>
      <c r="H3757" s="11" t="str">
        <f ca="1">IFERROR(__xludf.DUMMYFUNCTION("IFERROR(SUBSTITUTE(SUBSTITUTE(REGEXEXTRACT(A3757, ""[^-]+- [^-]+- [^-]+ - (.+?)\.jpg""), "".jpg"", """"), ""-"", "", ""), """")"),"")</f>
        <v/>
      </c>
      <c r="L3757" s="12"/>
      <c r="M3757" s="13"/>
      <c r="N3757" s="2"/>
      <c r="O3757" s="20"/>
      <c r="P3757" s="42"/>
      <c r="R3757" s="23"/>
    </row>
    <row r="3758" spans="1:18" ht="12.75">
      <c r="A3758" s="12"/>
      <c r="D3758" s="12"/>
      <c r="E3758" s="12"/>
      <c r="H3758" s="11" t="str">
        <f ca="1">IFERROR(__xludf.DUMMYFUNCTION("IFERROR(SUBSTITUTE(SUBSTITUTE(REGEXEXTRACT(A3758, ""[^-]+- [^-]+- [^-]+ - (.+?)\.jpg""), "".jpg"", """"), ""-"", "", ""), """")"),"")</f>
        <v/>
      </c>
      <c r="L3758" s="12"/>
      <c r="M3758" s="13"/>
      <c r="N3758" s="2"/>
      <c r="O3758" s="20"/>
      <c r="P3758" s="42"/>
      <c r="R3758" s="23"/>
    </row>
    <row r="3759" spans="1:18" ht="12.75">
      <c r="A3759" s="12"/>
      <c r="D3759" s="12"/>
      <c r="E3759" s="12"/>
      <c r="H3759" s="11" t="str">
        <f ca="1">IFERROR(__xludf.DUMMYFUNCTION("IFERROR(SUBSTITUTE(SUBSTITUTE(REGEXEXTRACT(A3759, ""[^-]+- [^-]+- [^-]+ - (.+?)\.jpg""), "".jpg"", """"), ""-"", "", ""), """")"),"")</f>
        <v/>
      </c>
      <c r="L3759" s="12"/>
      <c r="M3759" s="13"/>
      <c r="N3759" s="2"/>
      <c r="O3759" s="20"/>
      <c r="P3759" s="42"/>
      <c r="R3759" s="23"/>
    </row>
    <row r="3760" spans="1:18" ht="12.75">
      <c r="A3760" s="12"/>
      <c r="D3760" s="12"/>
      <c r="E3760" s="12"/>
      <c r="H3760" s="11" t="str">
        <f ca="1">IFERROR(__xludf.DUMMYFUNCTION("IFERROR(SUBSTITUTE(SUBSTITUTE(REGEXEXTRACT(A3760, ""[^-]+- [^-]+- [^-]+ - (.+?)\.jpg""), "".jpg"", """"), ""-"", "", ""), """")"),"")</f>
        <v/>
      </c>
      <c r="L3760" s="12"/>
      <c r="M3760" s="13"/>
      <c r="N3760" s="2"/>
      <c r="O3760" s="20"/>
      <c r="P3760" s="42"/>
      <c r="R3760" s="23"/>
    </row>
    <row r="3761" spans="1:18" ht="12.75">
      <c r="A3761" s="12"/>
      <c r="D3761" s="12"/>
      <c r="E3761" s="12"/>
      <c r="H3761" s="11" t="str">
        <f ca="1">IFERROR(__xludf.DUMMYFUNCTION("IFERROR(SUBSTITUTE(SUBSTITUTE(REGEXEXTRACT(A3761, ""[^-]+- [^-]+- [^-]+ - (.+?)\.jpg""), "".jpg"", """"), ""-"", "", ""), """")"),"")</f>
        <v/>
      </c>
      <c r="L3761" s="12"/>
      <c r="M3761" s="13"/>
      <c r="N3761" s="2"/>
      <c r="O3761" s="20"/>
      <c r="P3761" s="42"/>
      <c r="R3761" s="23"/>
    </row>
    <row r="3762" spans="1:18" ht="12.75">
      <c r="A3762" s="12"/>
      <c r="D3762" s="12"/>
      <c r="E3762" s="12"/>
      <c r="H3762" s="11" t="str">
        <f ca="1">IFERROR(__xludf.DUMMYFUNCTION("IFERROR(SUBSTITUTE(SUBSTITUTE(REGEXEXTRACT(A3762, ""[^-]+- [^-]+- [^-]+ - (.+?)\.jpg""), "".jpg"", """"), ""-"", "", ""), """")"),"")</f>
        <v/>
      </c>
      <c r="L3762" s="12"/>
      <c r="M3762" s="13"/>
      <c r="N3762" s="2"/>
      <c r="O3762" s="20"/>
      <c r="P3762" s="42"/>
      <c r="R3762" s="23"/>
    </row>
    <row r="3763" spans="1:18" ht="12.75">
      <c r="A3763" s="12"/>
      <c r="D3763" s="12"/>
      <c r="E3763" s="12"/>
      <c r="H3763" s="11" t="str">
        <f ca="1">IFERROR(__xludf.DUMMYFUNCTION("IFERROR(SUBSTITUTE(SUBSTITUTE(REGEXEXTRACT(A3763, ""[^-]+- [^-]+- [^-]+ - (.+?)\.jpg""), "".jpg"", """"), ""-"", "", ""), """")"),"")</f>
        <v/>
      </c>
      <c r="L3763" s="12"/>
      <c r="M3763" s="13"/>
      <c r="N3763" s="2"/>
      <c r="O3763" s="20"/>
      <c r="P3763" s="42"/>
      <c r="R3763" s="23"/>
    </row>
    <row r="3764" spans="1:18" ht="12.75">
      <c r="A3764" s="12"/>
      <c r="D3764" s="12"/>
      <c r="E3764" s="12"/>
      <c r="H3764" s="11" t="str">
        <f ca="1">IFERROR(__xludf.DUMMYFUNCTION("IFERROR(SUBSTITUTE(SUBSTITUTE(REGEXEXTRACT(A3764, ""[^-]+- [^-]+- [^-]+ - (.+?)\.jpg""), "".jpg"", """"), ""-"", "", ""), """")"),"")</f>
        <v/>
      </c>
      <c r="L3764" s="12"/>
      <c r="M3764" s="13"/>
      <c r="N3764" s="2"/>
      <c r="O3764" s="20"/>
      <c r="P3764" s="42"/>
      <c r="R3764" s="23"/>
    </row>
    <row r="3765" spans="1:18" ht="12.75">
      <c r="A3765" s="12"/>
      <c r="D3765" s="12"/>
      <c r="E3765" s="12"/>
      <c r="H3765" s="11" t="str">
        <f ca="1">IFERROR(__xludf.DUMMYFUNCTION("IFERROR(SUBSTITUTE(SUBSTITUTE(REGEXEXTRACT(A3765, ""[^-]+- [^-]+- [^-]+ - (.+?)\.jpg""), "".jpg"", """"), ""-"", "", ""), """")"),"")</f>
        <v/>
      </c>
      <c r="L3765" s="12"/>
      <c r="M3765" s="13"/>
      <c r="N3765" s="2"/>
      <c r="O3765" s="20"/>
      <c r="P3765" s="42"/>
      <c r="R3765" s="23"/>
    </row>
    <row r="3766" spans="1:18" ht="12.75">
      <c r="A3766" s="12"/>
      <c r="D3766" s="12"/>
      <c r="E3766" s="12"/>
      <c r="H3766" s="11" t="str">
        <f ca="1">IFERROR(__xludf.DUMMYFUNCTION("IFERROR(SUBSTITUTE(SUBSTITUTE(REGEXEXTRACT(A3766, ""[^-]+- [^-]+- [^-]+ - (.+?)\.jpg""), "".jpg"", """"), ""-"", "", ""), """")"),"")</f>
        <v/>
      </c>
      <c r="L3766" s="12"/>
      <c r="M3766" s="13"/>
      <c r="N3766" s="2"/>
      <c r="O3766" s="20"/>
      <c r="P3766" s="42"/>
      <c r="R3766" s="23"/>
    </row>
    <row r="3767" spans="1:18" ht="12.75">
      <c r="A3767" s="12"/>
      <c r="D3767" s="12"/>
      <c r="E3767" s="12"/>
      <c r="H3767" s="11" t="str">
        <f ca="1">IFERROR(__xludf.DUMMYFUNCTION("IFERROR(SUBSTITUTE(SUBSTITUTE(REGEXEXTRACT(A3767, ""[^-]+- [^-]+- [^-]+ - (.+?)\.jpg""), "".jpg"", """"), ""-"", "", ""), """")"),"")</f>
        <v/>
      </c>
      <c r="L3767" s="12"/>
      <c r="M3767" s="13"/>
      <c r="N3767" s="2"/>
      <c r="O3767" s="20"/>
      <c r="P3767" s="42"/>
      <c r="R3767" s="23"/>
    </row>
    <row r="3768" spans="1:18" ht="12.75">
      <c r="A3768" s="12"/>
      <c r="D3768" s="12"/>
      <c r="E3768" s="12"/>
      <c r="H3768" s="11" t="str">
        <f ca="1">IFERROR(__xludf.DUMMYFUNCTION("IFERROR(SUBSTITUTE(SUBSTITUTE(REGEXEXTRACT(A3768, ""[^-]+- [^-]+- [^-]+ - (.+?)\.jpg""), "".jpg"", """"), ""-"", "", ""), """")"),"")</f>
        <v/>
      </c>
      <c r="L3768" s="12"/>
      <c r="M3768" s="13"/>
      <c r="N3768" s="2"/>
      <c r="O3768" s="20"/>
      <c r="P3768" s="42"/>
      <c r="R3768" s="23"/>
    </row>
    <row r="3769" spans="1:18" ht="12.75">
      <c r="A3769" s="12"/>
      <c r="D3769" s="12"/>
      <c r="E3769" s="12"/>
      <c r="H3769" s="11" t="str">
        <f ca="1">IFERROR(__xludf.DUMMYFUNCTION("IFERROR(SUBSTITUTE(SUBSTITUTE(REGEXEXTRACT(A3769, ""[^-]+- [^-]+- [^-]+ - (.+?)\.jpg""), "".jpg"", """"), ""-"", "", ""), """")"),"")</f>
        <v/>
      </c>
      <c r="L3769" s="12"/>
      <c r="M3769" s="13"/>
      <c r="N3769" s="2"/>
      <c r="O3769" s="20"/>
      <c r="P3769" s="42"/>
      <c r="R3769" s="23"/>
    </row>
    <row r="3770" spans="1:18" ht="12.75">
      <c r="A3770" s="12"/>
      <c r="D3770" s="12"/>
      <c r="E3770" s="12"/>
      <c r="H3770" s="11" t="str">
        <f ca="1">IFERROR(__xludf.DUMMYFUNCTION("IFERROR(SUBSTITUTE(SUBSTITUTE(REGEXEXTRACT(A3770, ""[^-]+- [^-]+- [^-]+ - (.+?)\.jpg""), "".jpg"", """"), ""-"", "", ""), """")"),"")</f>
        <v/>
      </c>
      <c r="L3770" s="12"/>
      <c r="M3770" s="13"/>
      <c r="N3770" s="2"/>
      <c r="O3770" s="20"/>
      <c r="P3770" s="42"/>
      <c r="R3770" s="23"/>
    </row>
    <row r="3771" spans="1:18" ht="12.75">
      <c r="A3771" s="12"/>
      <c r="D3771" s="12"/>
      <c r="E3771" s="12"/>
      <c r="H3771" s="11" t="str">
        <f ca="1">IFERROR(__xludf.DUMMYFUNCTION("IFERROR(SUBSTITUTE(SUBSTITUTE(REGEXEXTRACT(A3771, ""[^-]+- [^-]+- [^-]+ - (.+?)\.jpg""), "".jpg"", """"), ""-"", "", ""), """")"),"")</f>
        <v/>
      </c>
      <c r="L3771" s="12"/>
      <c r="M3771" s="13"/>
      <c r="N3771" s="2"/>
      <c r="O3771" s="20"/>
      <c r="P3771" s="42"/>
      <c r="R3771" s="23"/>
    </row>
    <row r="3772" spans="1:18" ht="12.75">
      <c r="A3772" s="12"/>
      <c r="D3772" s="12"/>
      <c r="E3772" s="12"/>
      <c r="H3772" s="11" t="str">
        <f ca="1">IFERROR(__xludf.DUMMYFUNCTION("IFERROR(SUBSTITUTE(SUBSTITUTE(REGEXEXTRACT(A3772, ""[^-]+- [^-]+- [^-]+ - (.+?)\.jpg""), "".jpg"", """"), ""-"", "", ""), """")"),"")</f>
        <v/>
      </c>
      <c r="L3772" s="12"/>
      <c r="M3772" s="13"/>
      <c r="N3772" s="2"/>
      <c r="O3772" s="20"/>
      <c r="P3772" s="42"/>
      <c r="R3772" s="23"/>
    </row>
    <row r="3773" spans="1:18" ht="12.75">
      <c r="A3773" s="12"/>
      <c r="D3773" s="12"/>
      <c r="E3773" s="12"/>
      <c r="H3773" s="11" t="str">
        <f ca="1">IFERROR(__xludf.DUMMYFUNCTION("IFERROR(SUBSTITUTE(SUBSTITUTE(REGEXEXTRACT(A3773, ""[^-]+- [^-]+- [^-]+ - (.+?)\.jpg""), "".jpg"", """"), ""-"", "", ""), """")"),"")</f>
        <v/>
      </c>
      <c r="L3773" s="12"/>
      <c r="M3773" s="13"/>
      <c r="N3773" s="2"/>
      <c r="O3773" s="20"/>
      <c r="P3773" s="42"/>
      <c r="R3773" s="23"/>
    </row>
    <row r="3774" spans="1:18" ht="12.75">
      <c r="A3774" s="12"/>
      <c r="D3774" s="12"/>
      <c r="E3774" s="12"/>
      <c r="H3774" s="11" t="str">
        <f ca="1">IFERROR(__xludf.DUMMYFUNCTION("IFERROR(SUBSTITUTE(SUBSTITUTE(REGEXEXTRACT(A3774, ""[^-]+- [^-]+- [^-]+ - (.+?)\.jpg""), "".jpg"", """"), ""-"", "", ""), """")"),"")</f>
        <v/>
      </c>
      <c r="L3774" s="12"/>
      <c r="M3774" s="13"/>
      <c r="N3774" s="2"/>
      <c r="O3774" s="20"/>
      <c r="P3774" s="42"/>
      <c r="R3774" s="23"/>
    </row>
    <row r="3775" spans="1:18" ht="12.75">
      <c r="A3775" s="12"/>
      <c r="D3775" s="12"/>
      <c r="E3775" s="12"/>
      <c r="H3775" s="11" t="str">
        <f ca="1">IFERROR(__xludf.DUMMYFUNCTION("IFERROR(SUBSTITUTE(SUBSTITUTE(REGEXEXTRACT(A3775, ""[^-]+- [^-]+- [^-]+ - (.+?)\.jpg""), "".jpg"", """"), ""-"", "", ""), """")"),"")</f>
        <v/>
      </c>
      <c r="L3775" s="12"/>
      <c r="M3775" s="13"/>
      <c r="N3775" s="2"/>
      <c r="O3775" s="20"/>
      <c r="P3775" s="42"/>
      <c r="R3775" s="23"/>
    </row>
    <row r="3776" spans="1:18" ht="12.75">
      <c r="A3776" s="12"/>
      <c r="D3776" s="12"/>
      <c r="E3776" s="12"/>
      <c r="H3776" s="11" t="str">
        <f ca="1">IFERROR(__xludf.DUMMYFUNCTION("IFERROR(SUBSTITUTE(SUBSTITUTE(REGEXEXTRACT(A3776, ""[^-]+- [^-]+- [^-]+ - (.+?)\.jpg""), "".jpg"", """"), ""-"", "", ""), """")"),"")</f>
        <v/>
      </c>
      <c r="L3776" s="12"/>
      <c r="M3776" s="13"/>
      <c r="N3776" s="2"/>
      <c r="O3776" s="20"/>
      <c r="P3776" s="42"/>
      <c r="R3776" s="23"/>
    </row>
    <row r="3777" spans="1:18" ht="12.75">
      <c r="A3777" s="12"/>
      <c r="D3777" s="12"/>
      <c r="E3777" s="12"/>
      <c r="H3777" s="11" t="str">
        <f ca="1">IFERROR(__xludf.DUMMYFUNCTION("IFERROR(SUBSTITUTE(SUBSTITUTE(REGEXEXTRACT(A3777, ""[^-]+- [^-]+- [^-]+ - (.+?)\.jpg""), "".jpg"", """"), ""-"", "", ""), """")"),"")</f>
        <v/>
      </c>
      <c r="L3777" s="12"/>
      <c r="M3777" s="13"/>
      <c r="N3777" s="2"/>
      <c r="O3777" s="20"/>
      <c r="P3777" s="42"/>
      <c r="R3777" s="23"/>
    </row>
    <row r="3778" spans="1:18" ht="12.75">
      <c r="A3778" s="12"/>
      <c r="D3778" s="12"/>
      <c r="E3778" s="12"/>
      <c r="H3778" s="11" t="str">
        <f ca="1">IFERROR(__xludf.DUMMYFUNCTION("IFERROR(SUBSTITUTE(SUBSTITUTE(REGEXEXTRACT(A3778, ""[^-]+- [^-]+- [^-]+ - (.+?)\.jpg""), "".jpg"", """"), ""-"", "", ""), """")"),"")</f>
        <v/>
      </c>
      <c r="L3778" s="12"/>
      <c r="M3778" s="13"/>
      <c r="N3778" s="2"/>
      <c r="O3778" s="20"/>
      <c r="P3778" s="42"/>
      <c r="R3778" s="23"/>
    </row>
    <row r="3779" spans="1:18" ht="12.75">
      <c r="A3779" s="12"/>
      <c r="D3779" s="12"/>
      <c r="E3779" s="12"/>
      <c r="H3779" s="11" t="str">
        <f ca="1">IFERROR(__xludf.DUMMYFUNCTION("IFERROR(SUBSTITUTE(SUBSTITUTE(REGEXEXTRACT(A3779, ""[^-]+- [^-]+- [^-]+ - (.+?)\.jpg""), "".jpg"", """"), ""-"", "", ""), """")"),"")</f>
        <v/>
      </c>
      <c r="L3779" s="12"/>
      <c r="M3779" s="13"/>
      <c r="N3779" s="2"/>
      <c r="O3779" s="20"/>
      <c r="P3779" s="42"/>
      <c r="R3779" s="23"/>
    </row>
    <row r="3780" spans="1:18" ht="12.75">
      <c r="A3780" s="12"/>
      <c r="D3780" s="12"/>
      <c r="E3780" s="12"/>
      <c r="H3780" s="11" t="str">
        <f ca="1">IFERROR(__xludf.DUMMYFUNCTION("IFERROR(SUBSTITUTE(SUBSTITUTE(REGEXEXTRACT(A3780, ""[^-]+- [^-]+- [^-]+ - (.+?)\.jpg""), "".jpg"", """"), ""-"", "", ""), """")"),"")</f>
        <v/>
      </c>
      <c r="L3780" s="12"/>
      <c r="M3780" s="13"/>
      <c r="N3780" s="2"/>
      <c r="O3780" s="20"/>
      <c r="P3780" s="42"/>
      <c r="R3780" s="23"/>
    </row>
    <row r="3781" spans="1:18" ht="12.75">
      <c r="A3781" s="12"/>
      <c r="D3781" s="12"/>
      <c r="E3781" s="12"/>
      <c r="H3781" s="11" t="str">
        <f ca="1">IFERROR(__xludf.DUMMYFUNCTION("IFERROR(SUBSTITUTE(SUBSTITUTE(REGEXEXTRACT(A3781, ""[^-]+- [^-]+- [^-]+ - (.+?)\.jpg""), "".jpg"", """"), ""-"", "", ""), """")"),"")</f>
        <v/>
      </c>
      <c r="L3781" s="12"/>
      <c r="M3781" s="13"/>
      <c r="N3781" s="2"/>
      <c r="O3781" s="20"/>
      <c r="P3781" s="42"/>
      <c r="R3781" s="23"/>
    </row>
    <row r="3782" spans="1:18" ht="12.75">
      <c r="A3782" s="12"/>
      <c r="D3782" s="12"/>
      <c r="E3782" s="12"/>
      <c r="H3782" s="11" t="str">
        <f ca="1">IFERROR(__xludf.DUMMYFUNCTION("IFERROR(SUBSTITUTE(SUBSTITUTE(REGEXEXTRACT(A3782, ""[^-]+- [^-]+- [^-]+ - (.+?)\.jpg""), "".jpg"", """"), ""-"", "", ""), """")"),"")</f>
        <v/>
      </c>
      <c r="L3782" s="12"/>
      <c r="M3782" s="13"/>
      <c r="N3782" s="2"/>
      <c r="O3782" s="20"/>
      <c r="P3782" s="42"/>
      <c r="R3782" s="23"/>
    </row>
    <row r="3783" spans="1:18" ht="12.75">
      <c r="A3783" s="12"/>
      <c r="D3783" s="12"/>
      <c r="E3783" s="12"/>
      <c r="H3783" s="11" t="str">
        <f ca="1">IFERROR(__xludf.DUMMYFUNCTION("IFERROR(SUBSTITUTE(SUBSTITUTE(REGEXEXTRACT(A3783, ""[^-]+- [^-]+- [^-]+ - (.+?)\.jpg""), "".jpg"", """"), ""-"", "", ""), """")"),"")</f>
        <v/>
      </c>
      <c r="L3783" s="12"/>
      <c r="M3783" s="13"/>
      <c r="N3783" s="2"/>
      <c r="O3783" s="20"/>
      <c r="P3783" s="42"/>
      <c r="R3783" s="23"/>
    </row>
    <row r="3784" spans="1:18" ht="12.75">
      <c r="A3784" s="12"/>
      <c r="D3784" s="12"/>
      <c r="E3784" s="12"/>
      <c r="H3784" s="11" t="str">
        <f ca="1">IFERROR(__xludf.DUMMYFUNCTION("IFERROR(SUBSTITUTE(SUBSTITUTE(REGEXEXTRACT(A3784, ""[^-]+- [^-]+- [^-]+ - (.+?)\.jpg""), "".jpg"", """"), ""-"", "", ""), """")"),"")</f>
        <v/>
      </c>
      <c r="L3784" s="12"/>
      <c r="M3784" s="13"/>
      <c r="N3784" s="2"/>
      <c r="O3784" s="20"/>
      <c r="P3784" s="42"/>
      <c r="R3784" s="23"/>
    </row>
    <row r="3785" spans="1:18" ht="12.75">
      <c r="A3785" s="12"/>
      <c r="D3785" s="12"/>
      <c r="E3785" s="12"/>
      <c r="H3785" s="11" t="str">
        <f ca="1">IFERROR(__xludf.DUMMYFUNCTION("IFERROR(SUBSTITUTE(SUBSTITUTE(REGEXEXTRACT(A3785, ""[^-]+- [^-]+- [^-]+ - (.+?)\.jpg""), "".jpg"", """"), ""-"", "", ""), """")"),"")</f>
        <v/>
      </c>
      <c r="L3785" s="12"/>
      <c r="M3785" s="13"/>
      <c r="N3785" s="2"/>
      <c r="O3785" s="20"/>
      <c r="P3785" s="42"/>
      <c r="R3785" s="23"/>
    </row>
    <row r="3786" spans="1:18" ht="12.75">
      <c r="A3786" s="12"/>
      <c r="D3786" s="12"/>
      <c r="E3786" s="12"/>
      <c r="H3786" s="11" t="str">
        <f ca="1">IFERROR(__xludf.DUMMYFUNCTION("IFERROR(SUBSTITUTE(SUBSTITUTE(REGEXEXTRACT(A3786, ""[^-]+- [^-]+- [^-]+ - (.+?)\.jpg""), "".jpg"", """"), ""-"", "", ""), """")"),"")</f>
        <v/>
      </c>
      <c r="L3786" s="12"/>
      <c r="M3786" s="13"/>
      <c r="N3786" s="2"/>
      <c r="O3786" s="20"/>
      <c r="P3786" s="42"/>
      <c r="R3786" s="23"/>
    </row>
    <row r="3787" spans="1:18" ht="12.75">
      <c r="A3787" s="12"/>
      <c r="D3787" s="12"/>
      <c r="E3787" s="12"/>
      <c r="H3787" s="11" t="str">
        <f ca="1">IFERROR(__xludf.DUMMYFUNCTION("IFERROR(SUBSTITUTE(SUBSTITUTE(REGEXEXTRACT(A3787, ""[^-]+- [^-]+- [^-]+ - (.+?)\.jpg""), "".jpg"", """"), ""-"", "", ""), """")"),"")</f>
        <v/>
      </c>
      <c r="L3787" s="12"/>
      <c r="M3787" s="13"/>
      <c r="N3787" s="2"/>
      <c r="O3787" s="20"/>
      <c r="P3787" s="42"/>
      <c r="R3787" s="23"/>
    </row>
    <row r="3788" spans="1:18" ht="12.75">
      <c r="A3788" s="12"/>
      <c r="D3788" s="12"/>
      <c r="E3788" s="12"/>
      <c r="H3788" s="11" t="str">
        <f ca="1">IFERROR(__xludf.DUMMYFUNCTION("IFERROR(SUBSTITUTE(SUBSTITUTE(REGEXEXTRACT(A3788, ""[^-]+- [^-]+- [^-]+ - (.+?)\.jpg""), "".jpg"", """"), ""-"", "", ""), """")"),"")</f>
        <v/>
      </c>
      <c r="L3788" s="12"/>
      <c r="M3788" s="13"/>
      <c r="N3788" s="2"/>
      <c r="O3788" s="20"/>
      <c r="P3788" s="42"/>
      <c r="R3788" s="23"/>
    </row>
    <row r="3789" spans="1:18" ht="12.75">
      <c r="A3789" s="12"/>
      <c r="D3789" s="12"/>
      <c r="E3789" s="12"/>
      <c r="H3789" s="11" t="str">
        <f ca="1">IFERROR(__xludf.DUMMYFUNCTION("IFERROR(SUBSTITUTE(SUBSTITUTE(REGEXEXTRACT(A3789, ""[^-]+- [^-]+- [^-]+ - (.+?)\.jpg""), "".jpg"", """"), ""-"", "", ""), """")"),"")</f>
        <v/>
      </c>
      <c r="L3789" s="12"/>
      <c r="M3789" s="13"/>
      <c r="N3789" s="2"/>
      <c r="O3789" s="20"/>
      <c r="P3789" s="42"/>
      <c r="R3789" s="23"/>
    </row>
    <row r="3790" spans="1:18" ht="12.75">
      <c r="A3790" s="12"/>
      <c r="D3790" s="12"/>
      <c r="E3790" s="12"/>
      <c r="H3790" s="11" t="str">
        <f ca="1">IFERROR(__xludf.DUMMYFUNCTION("IFERROR(SUBSTITUTE(SUBSTITUTE(REGEXEXTRACT(A3790, ""[^-]+- [^-]+- [^-]+ - (.+?)\.jpg""), "".jpg"", """"), ""-"", "", ""), """")"),"")</f>
        <v/>
      </c>
      <c r="L3790" s="12"/>
      <c r="M3790" s="13"/>
      <c r="N3790" s="2"/>
      <c r="O3790" s="20"/>
      <c r="P3790" s="42"/>
      <c r="R3790" s="23"/>
    </row>
    <row r="3791" spans="1:18" ht="12.75">
      <c r="A3791" s="12"/>
      <c r="D3791" s="12"/>
      <c r="E3791" s="12"/>
      <c r="H3791" s="11" t="str">
        <f ca="1">IFERROR(__xludf.DUMMYFUNCTION("IFERROR(SUBSTITUTE(SUBSTITUTE(REGEXEXTRACT(A3791, ""[^-]+- [^-]+- [^-]+ - (.+?)\.jpg""), "".jpg"", """"), ""-"", "", ""), """")"),"")</f>
        <v/>
      </c>
      <c r="L3791" s="12"/>
      <c r="M3791" s="13"/>
      <c r="N3791" s="2"/>
      <c r="O3791" s="20"/>
      <c r="P3791" s="42"/>
      <c r="R3791" s="23"/>
    </row>
    <row r="3792" spans="1:18" ht="12.75">
      <c r="A3792" s="12"/>
      <c r="D3792" s="12"/>
      <c r="E3792" s="12"/>
      <c r="H3792" s="11" t="str">
        <f ca="1">IFERROR(__xludf.DUMMYFUNCTION("IFERROR(SUBSTITUTE(SUBSTITUTE(REGEXEXTRACT(A3792, ""[^-]+- [^-]+- [^-]+ - (.+?)\.jpg""), "".jpg"", """"), ""-"", "", ""), """")"),"")</f>
        <v/>
      </c>
      <c r="L3792" s="12"/>
      <c r="M3792" s="13"/>
      <c r="N3792" s="2"/>
      <c r="O3792" s="20"/>
      <c r="P3792" s="42"/>
      <c r="R3792" s="23"/>
    </row>
    <row r="3793" spans="1:18" ht="12.75">
      <c r="A3793" s="12"/>
      <c r="D3793" s="12"/>
      <c r="E3793" s="12"/>
      <c r="H3793" s="11" t="str">
        <f ca="1">IFERROR(__xludf.DUMMYFUNCTION("IFERROR(SUBSTITUTE(SUBSTITUTE(REGEXEXTRACT(A3793, ""[^-]+- [^-]+- [^-]+ - (.+?)\.jpg""), "".jpg"", """"), ""-"", "", ""), """")"),"")</f>
        <v/>
      </c>
      <c r="L3793" s="12"/>
      <c r="M3793" s="13"/>
      <c r="N3793" s="2"/>
      <c r="O3793" s="20"/>
      <c r="P3793" s="42"/>
      <c r="R3793" s="23"/>
    </row>
    <row r="3794" spans="1:18" ht="12.75">
      <c r="A3794" s="12"/>
      <c r="D3794" s="12"/>
      <c r="E3794" s="12"/>
      <c r="H3794" s="11" t="str">
        <f ca="1">IFERROR(__xludf.DUMMYFUNCTION("IFERROR(SUBSTITUTE(SUBSTITUTE(REGEXEXTRACT(A3794, ""[^-]+- [^-]+- [^-]+ - (.+?)\.jpg""), "".jpg"", """"), ""-"", "", ""), """")"),"")</f>
        <v/>
      </c>
      <c r="L3794" s="12"/>
      <c r="M3794" s="13"/>
      <c r="N3794" s="2"/>
      <c r="O3794" s="20"/>
      <c r="P3794" s="42"/>
      <c r="R3794" s="23"/>
    </row>
    <row r="3795" spans="1:18" ht="12.75">
      <c r="A3795" s="12"/>
      <c r="D3795" s="12"/>
      <c r="E3795" s="12"/>
      <c r="H3795" s="11" t="str">
        <f ca="1">IFERROR(__xludf.DUMMYFUNCTION("IFERROR(SUBSTITUTE(SUBSTITUTE(REGEXEXTRACT(A3795, ""[^-]+- [^-]+- [^-]+ - (.+?)\.jpg""), "".jpg"", """"), ""-"", "", ""), """")"),"")</f>
        <v/>
      </c>
      <c r="L3795" s="12"/>
      <c r="M3795" s="13"/>
      <c r="N3795" s="2"/>
      <c r="O3795" s="20"/>
      <c r="P3795" s="42"/>
      <c r="R3795" s="23"/>
    </row>
    <row r="3796" spans="1:18" ht="12.75">
      <c r="A3796" s="12"/>
      <c r="D3796" s="12"/>
      <c r="E3796" s="12"/>
      <c r="H3796" s="11" t="str">
        <f ca="1">IFERROR(__xludf.DUMMYFUNCTION("IFERROR(SUBSTITUTE(SUBSTITUTE(REGEXEXTRACT(A3796, ""[^-]+- [^-]+- [^-]+ - (.+?)\.jpg""), "".jpg"", """"), ""-"", "", ""), """")"),"")</f>
        <v/>
      </c>
      <c r="L3796" s="12"/>
      <c r="M3796" s="13"/>
      <c r="N3796" s="2"/>
      <c r="O3796" s="20"/>
      <c r="P3796" s="42"/>
      <c r="R3796" s="23"/>
    </row>
    <row r="3797" spans="1:18" ht="12.75">
      <c r="A3797" s="12"/>
      <c r="D3797" s="12"/>
      <c r="E3797" s="12"/>
      <c r="H3797" s="11" t="str">
        <f ca="1">IFERROR(__xludf.DUMMYFUNCTION("IFERROR(SUBSTITUTE(SUBSTITUTE(REGEXEXTRACT(A3797, ""[^-]+- [^-]+- [^-]+ - (.+?)\.jpg""), "".jpg"", """"), ""-"", "", ""), """")"),"")</f>
        <v/>
      </c>
      <c r="L3797" s="12"/>
      <c r="M3797" s="13"/>
      <c r="N3797" s="2"/>
      <c r="O3797" s="20"/>
      <c r="P3797" s="42"/>
      <c r="R3797" s="23"/>
    </row>
    <row r="3798" spans="1:18" ht="12.75">
      <c r="A3798" s="12"/>
      <c r="D3798" s="12"/>
      <c r="E3798" s="12"/>
      <c r="H3798" s="11" t="str">
        <f ca="1">IFERROR(__xludf.DUMMYFUNCTION("IFERROR(SUBSTITUTE(SUBSTITUTE(REGEXEXTRACT(A3798, ""[^-]+- [^-]+- [^-]+ - (.+?)\.jpg""), "".jpg"", """"), ""-"", "", ""), """")"),"")</f>
        <v/>
      </c>
      <c r="L3798" s="12"/>
      <c r="M3798" s="13"/>
      <c r="N3798" s="2"/>
      <c r="O3798" s="20"/>
      <c r="P3798" s="42"/>
      <c r="R3798" s="23"/>
    </row>
    <row r="3799" spans="1:18" ht="12.75">
      <c r="A3799" s="12"/>
      <c r="D3799" s="12"/>
      <c r="E3799" s="12"/>
      <c r="H3799" s="11" t="str">
        <f ca="1">IFERROR(__xludf.DUMMYFUNCTION("IFERROR(SUBSTITUTE(SUBSTITUTE(REGEXEXTRACT(A3799, ""[^-]+- [^-]+- [^-]+ - (.+?)\.jpg""), "".jpg"", """"), ""-"", "", ""), """")"),"")</f>
        <v/>
      </c>
      <c r="L3799" s="12"/>
      <c r="M3799" s="13"/>
      <c r="N3799" s="2"/>
      <c r="O3799" s="20"/>
      <c r="P3799" s="42"/>
      <c r="R3799" s="23"/>
    </row>
    <row r="3800" spans="1:18" ht="12.75">
      <c r="A3800" s="12"/>
      <c r="D3800" s="12"/>
      <c r="E3800" s="12"/>
      <c r="H3800" s="11" t="str">
        <f ca="1">IFERROR(__xludf.DUMMYFUNCTION("IFERROR(SUBSTITUTE(SUBSTITUTE(REGEXEXTRACT(A3800, ""[^-]+- [^-]+- [^-]+ - (.+?)\.jpg""), "".jpg"", """"), ""-"", "", ""), """")"),"")</f>
        <v/>
      </c>
      <c r="L3800" s="12"/>
      <c r="M3800" s="13"/>
      <c r="N3800" s="2"/>
      <c r="O3800" s="20"/>
      <c r="P3800" s="42"/>
      <c r="R3800" s="23"/>
    </row>
    <row r="3801" spans="1:18" ht="12.75">
      <c r="A3801" s="12"/>
      <c r="D3801" s="12"/>
      <c r="E3801" s="12"/>
      <c r="H3801" s="11" t="str">
        <f ca="1">IFERROR(__xludf.DUMMYFUNCTION("IFERROR(SUBSTITUTE(SUBSTITUTE(REGEXEXTRACT(A3801, ""[^-]+- [^-]+- [^-]+ - (.+?)\.jpg""), "".jpg"", """"), ""-"", "", ""), """")"),"")</f>
        <v/>
      </c>
      <c r="L3801" s="12"/>
      <c r="M3801" s="13"/>
      <c r="N3801" s="2"/>
      <c r="O3801" s="20"/>
      <c r="P3801" s="42"/>
      <c r="R3801" s="23"/>
    </row>
    <row r="3802" spans="1:18" ht="12.75">
      <c r="A3802" s="12"/>
      <c r="D3802" s="12"/>
      <c r="E3802" s="12"/>
      <c r="H3802" s="11" t="str">
        <f ca="1">IFERROR(__xludf.DUMMYFUNCTION("IFERROR(SUBSTITUTE(SUBSTITUTE(REGEXEXTRACT(A3802, ""[^-]+- [^-]+- [^-]+ - (.+?)\.jpg""), "".jpg"", """"), ""-"", "", ""), """")"),"")</f>
        <v/>
      </c>
      <c r="L3802" s="12"/>
      <c r="M3802" s="13"/>
      <c r="N3802" s="2"/>
      <c r="O3802" s="20"/>
      <c r="P3802" s="42"/>
      <c r="R3802" s="23"/>
    </row>
    <row r="3803" spans="1:18" ht="12.75">
      <c r="A3803" s="12"/>
      <c r="D3803" s="12"/>
      <c r="E3803" s="12"/>
      <c r="H3803" s="11" t="str">
        <f ca="1">IFERROR(__xludf.DUMMYFUNCTION("IFERROR(SUBSTITUTE(SUBSTITUTE(REGEXEXTRACT(A3803, ""[^-]+- [^-]+- [^-]+ - (.+?)\.jpg""), "".jpg"", """"), ""-"", "", ""), """")"),"")</f>
        <v/>
      </c>
      <c r="L3803" s="12"/>
      <c r="M3803" s="13"/>
      <c r="N3803" s="2"/>
      <c r="O3803" s="20"/>
      <c r="P3803" s="42"/>
      <c r="R3803" s="23"/>
    </row>
    <row r="3804" spans="1:18" ht="12.75">
      <c r="A3804" s="12"/>
      <c r="D3804" s="12"/>
      <c r="E3804" s="12"/>
      <c r="H3804" s="11" t="str">
        <f ca="1">IFERROR(__xludf.DUMMYFUNCTION("IFERROR(SUBSTITUTE(SUBSTITUTE(REGEXEXTRACT(A3804, ""[^-]+- [^-]+- [^-]+ - (.+?)\.jpg""), "".jpg"", """"), ""-"", "", ""), """")"),"")</f>
        <v/>
      </c>
      <c r="L3804" s="12"/>
      <c r="M3804" s="13"/>
      <c r="N3804" s="2"/>
      <c r="O3804" s="20"/>
      <c r="P3804" s="42"/>
      <c r="R3804" s="23"/>
    </row>
    <row r="3805" spans="1:18" ht="12.75">
      <c r="A3805" s="12"/>
      <c r="D3805" s="12"/>
      <c r="E3805" s="12"/>
      <c r="H3805" s="11" t="str">
        <f ca="1">IFERROR(__xludf.DUMMYFUNCTION("IFERROR(SUBSTITUTE(SUBSTITUTE(REGEXEXTRACT(A3805, ""[^-]+- [^-]+- [^-]+ - (.+?)\.jpg""), "".jpg"", """"), ""-"", "", ""), """")"),"")</f>
        <v/>
      </c>
      <c r="L3805" s="12"/>
      <c r="M3805" s="13"/>
      <c r="N3805" s="2"/>
      <c r="O3805" s="20"/>
      <c r="P3805" s="42"/>
      <c r="R3805" s="23"/>
    </row>
    <row r="3806" spans="1:18" ht="12.75">
      <c r="A3806" s="12"/>
      <c r="D3806" s="12"/>
      <c r="E3806" s="12"/>
      <c r="H3806" s="11" t="str">
        <f ca="1">IFERROR(__xludf.DUMMYFUNCTION("IFERROR(SUBSTITUTE(SUBSTITUTE(REGEXEXTRACT(A3806, ""[^-]+- [^-]+- [^-]+ - (.+?)\.jpg""), "".jpg"", """"), ""-"", "", ""), """")"),"")</f>
        <v/>
      </c>
      <c r="L3806" s="12"/>
      <c r="M3806" s="13"/>
      <c r="N3806" s="2"/>
      <c r="O3806" s="20"/>
      <c r="P3806" s="42"/>
      <c r="R3806" s="23"/>
    </row>
    <row r="3807" spans="1:18" ht="12.75">
      <c r="A3807" s="12"/>
      <c r="D3807" s="12"/>
      <c r="E3807" s="12"/>
      <c r="H3807" s="11" t="str">
        <f ca="1">IFERROR(__xludf.DUMMYFUNCTION("IFERROR(SUBSTITUTE(SUBSTITUTE(REGEXEXTRACT(A3807, ""[^-]+- [^-]+- [^-]+ - (.+?)\.jpg""), "".jpg"", """"), ""-"", "", ""), """")"),"")</f>
        <v/>
      </c>
      <c r="L3807" s="12"/>
      <c r="M3807" s="13"/>
      <c r="N3807" s="2"/>
      <c r="O3807" s="20"/>
      <c r="P3807" s="42"/>
      <c r="R3807" s="23"/>
    </row>
    <row r="3808" spans="1:18" ht="12.75">
      <c r="A3808" s="12"/>
      <c r="D3808" s="12"/>
      <c r="E3808" s="12"/>
      <c r="H3808" s="11" t="str">
        <f ca="1">IFERROR(__xludf.DUMMYFUNCTION("IFERROR(SUBSTITUTE(SUBSTITUTE(REGEXEXTRACT(A3808, ""[^-]+- [^-]+- [^-]+ - (.+?)\.jpg""), "".jpg"", """"), ""-"", "", ""), """")"),"")</f>
        <v/>
      </c>
      <c r="L3808" s="12"/>
      <c r="M3808" s="13"/>
      <c r="N3808" s="2"/>
      <c r="O3808" s="20"/>
      <c r="P3808" s="42"/>
      <c r="R3808" s="23"/>
    </row>
    <row r="3809" spans="1:18" ht="12.75">
      <c r="A3809" s="12"/>
      <c r="D3809" s="12"/>
      <c r="E3809" s="12"/>
      <c r="H3809" s="11" t="str">
        <f ca="1">IFERROR(__xludf.DUMMYFUNCTION("IFERROR(SUBSTITUTE(SUBSTITUTE(REGEXEXTRACT(A3809, ""[^-]+- [^-]+- [^-]+ - (.+?)\.jpg""), "".jpg"", """"), ""-"", "", ""), """")"),"")</f>
        <v/>
      </c>
      <c r="L3809" s="12"/>
      <c r="M3809" s="13"/>
      <c r="N3809" s="2"/>
      <c r="O3809" s="20"/>
      <c r="P3809" s="42"/>
      <c r="R3809" s="23"/>
    </row>
    <row r="3810" spans="1:18" ht="12.75">
      <c r="A3810" s="12"/>
      <c r="D3810" s="12"/>
      <c r="E3810" s="12"/>
      <c r="H3810" s="11" t="str">
        <f ca="1">IFERROR(__xludf.DUMMYFUNCTION("IFERROR(SUBSTITUTE(SUBSTITUTE(REGEXEXTRACT(A3810, ""[^-]+- [^-]+- [^-]+ - (.+?)\.jpg""), "".jpg"", """"), ""-"", "", ""), """")"),"")</f>
        <v/>
      </c>
      <c r="L3810" s="12"/>
      <c r="M3810" s="13"/>
      <c r="N3810" s="2"/>
      <c r="O3810" s="20"/>
      <c r="P3810" s="42"/>
      <c r="R3810" s="23"/>
    </row>
    <row r="3811" spans="1:18" ht="12.75">
      <c r="A3811" s="12"/>
      <c r="D3811" s="12"/>
      <c r="E3811" s="12"/>
      <c r="H3811" s="11" t="str">
        <f ca="1">IFERROR(__xludf.DUMMYFUNCTION("IFERROR(SUBSTITUTE(SUBSTITUTE(REGEXEXTRACT(A3811, ""[^-]+- [^-]+- [^-]+ - (.+?)\.jpg""), "".jpg"", """"), ""-"", "", ""), """")"),"")</f>
        <v/>
      </c>
      <c r="L3811" s="12"/>
      <c r="M3811" s="13"/>
      <c r="N3811" s="2"/>
      <c r="O3811" s="20"/>
      <c r="P3811" s="42"/>
      <c r="R3811" s="23"/>
    </row>
    <row r="3812" spans="1:18" ht="12.75">
      <c r="A3812" s="12"/>
      <c r="D3812" s="12"/>
      <c r="E3812" s="12"/>
      <c r="H3812" s="11" t="str">
        <f ca="1">IFERROR(__xludf.DUMMYFUNCTION("IFERROR(SUBSTITUTE(SUBSTITUTE(REGEXEXTRACT(A3812, ""[^-]+- [^-]+- [^-]+ - (.+?)\.jpg""), "".jpg"", """"), ""-"", "", ""), """")"),"")</f>
        <v/>
      </c>
      <c r="L3812" s="12"/>
      <c r="M3812" s="13"/>
      <c r="N3812" s="2"/>
      <c r="O3812" s="20"/>
      <c r="P3812" s="42"/>
      <c r="R3812" s="23"/>
    </row>
    <row r="3813" spans="1:18" ht="12.75">
      <c r="A3813" s="12"/>
      <c r="D3813" s="12"/>
      <c r="E3813" s="12"/>
      <c r="H3813" s="11" t="str">
        <f ca="1">IFERROR(__xludf.DUMMYFUNCTION("IFERROR(SUBSTITUTE(SUBSTITUTE(REGEXEXTRACT(A3813, ""[^-]+- [^-]+- [^-]+ - (.+?)\.jpg""), "".jpg"", """"), ""-"", "", ""), """")"),"")</f>
        <v/>
      </c>
      <c r="L3813" s="12"/>
      <c r="M3813" s="13"/>
      <c r="N3813" s="2"/>
      <c r="O3813" s="20"/>
      <c r="P3813" s="42"/>
      <c r="R3813" s="23"/>
    </row>
    <row r="3814" spans="1:18" ht="12.75">
      <c r="A3814" s="12"/>
      <c r="D3814" s="12"/>
      <c r="E3814" s="12"/>
      <c r="H3814" s="11" t="str">
        <f ca="1">IFERROR(__xludf.DUMMYFUNCTION("IFERROR(SUBSTITUTE(SUBSTITUTE(REGEXEXTRACT(A3814, ""[^-]+- [^-]+- [^-]+ - (.+?)\.jpg""), "".jpg"", """"), ""-"", "", ""), """")"),"")</f>
        <v/>
      </c>
      <c r="L3814" s="12"/>
      <c r="M3814" s="13"/>
      <c r="N3814" s="2"/>
      <c r="O3814" s="20"/>
      <c r="P3814" s="42"/>
      <c r="R3814" s="23"/>
    </row>
    <row r="3815" spans="1:18" ht="12.75">
      <c r="A3815" s="12"/>
      <c r="D3815" s="12"/>
      <c r="E3815" s="12"/>
      <c r="H3815" s="11" t="str">
        <f ca="1">IFERROR(__xludf.DUMMYFUNCTION("IFERROR(SUBSTITUTE(SUBSTITUTE(REGEXEXTRACT(A3815, ""[^-]+- [^-]+- [^-]+ - (.+?)\.jpg""), "".jpg"", """"), ""-"", "", ""), """")"),"")</f>
        <v/>
      </c>
      <c r="L3815" s="12"/>
      <c r="M3815" s="13"/>
      <c r="N3815" s="2"/>
      <c r="O3815" s="20"/>
      <c r="P3815" s="42"/>
      <c r="R3815" s="23"/>
    </row>
    <row r="3816" spans="1:18" ht="12.75">
      <c r="A3816" s="12"/>
      <c r="D3816" s="12"/>
      <c r="E3816" s="12"/>
      <c r="H3816" s="11" t="str">
        <f ca="1">IFERROR(__xludf.DUMMYFUNCTION("IFERROR(SUBSTITUTE(SUBSTITUTE(REGEXEXTRACT(A3816, ""[^-]+- [^-]+- [^-]+ - (.+?)\.jpg""), "".jpg"", """"), ""-"", "", ""), """")"),"")</f>
        <v/>
      </c>
      <c r="L3816" s="12"/>
      <c r="M3816" s="13"/>
      <c r="N3816" s="2"/>
      <c r="O3816" s="20"/>
      <c r="P3816" s="42"/>
      <c r="R3816" s="23"/>
    </row>
    <row r="3817" spans="1:18" ht="12.75">
      <c r="A3817" s="12"/>
      <c r="D3817" s="12"/>
      <c r="E3817" s="12"/>
      <c r="H3817" s="11" t="str">
        <f ca="1">IFERROR(__xludf.DUMMYFUNCTION("IFERROR(SUBSTITUTE(SUBSTITUTE(REGEXEXTRACT(A3817, ""[^-]+- [^-]+- [^-]+ - (.+?)\.jpg""), "".jpg"", """"), ""-"", "", ""), """")"),"")</f>
        <v/>
      </c>
      <c r="L3817" s="12"/>
      <c r="M3817" s="13"/>
      <c r="N3817" s="2"/>
      <c r="O3817" s="20"/>
      <c r="P3817" s="42"/>
      <c r="R3817" s="23"/>
    </row>
    <row r="3818" spans="1:18" ht="12.75">
      <c r="A3818" s="12"/>
      <c r="D3818" s="12"/>
      <c r="E3818" s="12"/>
      <c r="H3818" s="11" t="str">
        <f ca="1">IFERROR(__xludf.DUMMYFUNCTION("IFERROR(SUBSTITUTE(SUBSTITUTE(REGEXEXTRACT(A3818, ""[^-]+- [^-]+- [^-]+ - (.+?)\.jpg""), "".jpg"", """"), ""-"", "", ""), """")"),"")</f>
        <v/>
      </c>
      <c r="L3818" s="12"/>
      <c r="M3818" s="13"/>
      <c r="N3818" s="2"/>
      <c r="O3818" s="20"/>
      <c r="P3818" s="42"/>
      <c r="R3818" s="23"/>
    </row>
    <row r="3819" spans="1:18" ht="12.75">
      <c r="A3819" s="12"/>
      <c r="D3819" s="12"/>
      <c r="E3819" s="12"/>
      <c r="H3819" s="11" t="str">
        <f ca="1">IFERROR(__xludf.DUMMYFUNCTION("IFERROR(SUBSTITUTE(SUBSTITUTE(REGEXEXTRACT(A3819, ""[^-]+- [^-]+- [^-]+ - (.+?)\.jpg""), "".jpg"", """"), ""-"", "", ""), """")"),"")</f>
        <v/>
      </c>
      <c r="L3819" s="12"/>
      <c r="M3819" s="13"/>
      <c r="N3819" s="2"/>
      <c r="O3819" s="20"/>
      <c r="P3819" s="42"/>
      <c r="R3819" s="23"/>
    </row>
    <row r="3820" spans="1:18" ht="12.75">
      <c r="A3820" s="12"/>
      <c r="D3820" s="12"/>
      <c r="E3820" s="12"/>
      <c r="H3820" s="11" t="str">
        <f ca="1">IFERROR(__xludf.DUMMYFUNCTION("IFERROR(SUBSTITUTE(SUBSTITUTE(REGEXEXTRACT(A3820, ""[^-]+- [^-]+- [^-]+ - (.+?)\.jpg""), "".jpg"", """"), ""-"", "", ""), """")"),"")</f>
        <v/>
      </c>
      <c r="L3820" s="12"/>
      <c r="M3820" s="13"/>
      <c r="N3820" s="2"/>
      <c r="O3820" s="20"/>
      <c r="P3820" s="42"/>
      <c r="R3820" s="23"/>
    </row>
    <row r="3821" spans="1:18" ht="12.75">
      <c r="A3821" s="12"/>
      <c r="D3821" s="12"/>
      <c r="E3821" s="12"/>
      <c r="H3821" s="11" t="str">
        <f ca="1">IFERROR(__xludf.DUMMYFUNCTION("IFERROR(SUBSTITUTE(SUBSTITUTE(REGEXEXTRACT(A3821, ""[^-]+- [^-]+- [^-]+ - (.+?)\.jpg""), "".jpg"", """"), ""-"", "", ""), """")"),"")</f>
        <v/>
      </c>
      <c r="L3821" s="12"/>
      <c r="M3821" s="13"/>
      <c r="N3821" s="2"/>
      <c r="O3821" s="20"/>
      <c r="P3821" s="42"/>
      <c r="R3821" s="23"/>
    </row>
    <row r="3822" spans="1:18" ht="12.75">
      <c r="A3822" s="12"/>
      <c r="D3822" s="12"/>
      <c r="E3822" s="12"/>
      <c r="H3822" s="11" t="str">
        <f ca="1">IFERROR(__xludf.DUMMYFUNCTION("IFERROR(SUBSTITUTE(SUBSTITUTE(REGEXEXTRACT(A3822, ""[^-]+- [^-]+- [^-]+ - (.+?)\.jpg""), "".jpg"", """"), ""-"", "", ""), """")"),"")</f>
        <v/>
      </c>
      <c r="L3822" s="12"/>
      <c r="M3822" s="13"/>
      <c r="N3822" s="2"/>
      <c r="O3822" s="20"/>
      <c r="P3822" s="42"/>
      <c r="R3822" s="23"/>
    </row>
    <row r="3823" spans="1:18" ht="12.75">
      <c r="A3823" s="12"/>
      <c r="D3823" s="12"/>
      <c r="E3823" s="12"/>
      <c r="H3823" s="11" t="str">
        <f ca="1">IFERROR(__xludf.DUMMYFUNCTION("IFERROR(SUBSTITUTE(SUBSTITUTE(REGEXEXTRACT(A3823, ""[^-]+- [^-]+- [^-]+ - (.+?)\.jpg""), "".jpg"", """"), ""-"", "", ""), """")"),"")</f>
        <v/>
      </c>
      <c r="L3823" s="12"/>
      <c r="M3823" s="13"/>
      <c r="N3823" s="2"/>
      <c r="O3823" s="20"/>
      <c r="P3823" s="42"/>
      <c r="R3823" s="23"/>
    </row>
    <row r="3824" spans="1:18" ht="12.75">
      <c r="A3824" s="12"/>
      <c r="D3824" s="12"/>
      <c r="E3824" s="12"/>
      <c r="H3824" s="11" t="str">
        <f ca="1">IFERROR(__xludf.DUMMYFUNCTION("IFERROR(SUBSTITUTE(SUBSTITUTE(REGEXEXTRACT(A3824, ""[^-]+- [^-]+- [^-]+ - (.+?)\.jpg""), "".jpg"", """"), ""-"", "", ""), """")"),"")</f>
        <v/>
      </c>
      <c r="L3824" s="12"/>
      <c r="M3824" s="13"/>
      <c r="N3824" s="2"/>
      <c r="O3824" s="20"/>
      <c r="P3824" s="42"/>
      <c r="R3824" s="23"/>
    </row>
    <row r="3825" spans="1:18" ht="12.75">
      <c r="A3825" s="12"/>
      <c r="D3825" s="12"/>
      <c r="E3825" s="12"/>
      <c r="H3825" s="11" t="str">
        <f ca="1">IFERROR(__xludf.DUMMYFUNCTION("IFERROR(SUBSTITUTE(SUBSTITUTE(REGEXEXTRACT(A3825, ""[^-]+- [^-]+- [^-]+ - (.+?)\.jpg""), "".jpg"", """"), ""-"", "", ""), """")"),"")</f>
        <v/>
      </c>
      <c r="L3825" s="12"/>
      <c r="M3825" s="13"/>
      <c r="N3825" s="2"/>
      <c r="O3825" s="20"/>
      <c r="P3825" s="42"/>
      <c r="R3825" s="23"/>
    </row>
    <row r="3826" spans="1:18" ht="12.75">
      <c r="A3826" s="12"/>
      <c r="D3826" s="12"/>
      <c r="E3826" s="12"/>
      <c r="H3826" s="11" t="str">
        <f ca="1">IFERROR(__xludf.DUMMYFUNCTION("IFERROR(SUBSTITUTE(SUBSTITUTE(REGEXEXTRACT(A3826, ""[^-]+- [^-]+- [^-]+ - (.+?)\.jpg""), "".jpg"", """"), ""-"", "", ""), """")"),"")</f>
        <v/>
      </c>
      <c r="L3826" s="12"/>
      <c r="M3826" s="13"/>
      <c r="N3826" s="2"/>
      <c r="O3826" s="20"/>
      <c r="P3826" s="42"/>
      <c r="R3826" s="23"/>
    </row>
    <row r="3827" spans="1:18" ht="12.75">
      <c r="A3827" s="12"/>
      <c r="D3827" s="12"/>
      <c r="E3827" s="12"/>
      <c r="H3827" s="11" t="str">
        <f ca="1">IFERROR(__xludf.DUMMYFUNCTION("IFERROR(SUBSTITUTE(SUBSTITUTE(REGEXEXTRACT(A3827, ""[^-]+- [^-]+- [^-]+ - (.+?)\.jpg""), "".jpg"", """"), ""-"", "", ""), """")"),"")</f>
        <v/>
      </c>
      <c r="L3827" s="12"/>
      <c r="M3827" s="13"/>
      <c r="N3827" s="2"/>
      <c r="O3827" s="20"/>
      <c r="P3827" s="42"/>
      <c r="R3827" s="23"/>
    </row>
    <row r="3828" spans="1:18" ht="12.75">
      <c r="A3828" s="12"/>
      <c r="D3828" s="12"/>
      <c r="E3828" s="12"/>
      <c r="H3828" s="11" t="str">
        <f ca="1">IFERROR(__xludf.DUMMYFUNCTION("IFERROR(SUBSTITUTE(SUBSTITUTE(REGEXEXTRACT(A3828, ""[^-]+- [^-]+- [^-]+ - (.+?)\.jpg""), "".jpg"", """"), ""-"", "", ""), """")"),"")</f>
        <v/>
      </c>
      <c r="L3828" s="12"/>
      <c r="M3828" s="13"/>
      <c r="N3828" s="2"/>
      <c r="O3828" s="20"/>
      <c r="P3828" s="42"/>
      <c r="R3828" s="23"/>
    </row>
    <row r="3829" spans="1:18" ht="12.75">
      <c r="A3829" s="12"/>
      <c r="D3829" s="12"/>
      <c r="E3829" s="12"/>
      <c r="H3829" s="11" t="str">
        <f ca="1">IFERROR(__xludf.DUMMYFUNCTION("IFERROR(SUBSTITUTE(SUBSTITUTE(REGEXEXTRACT(A3829, ""[^-]+- [^-]+- [^-]+ - (.+?)\.jpg""), "".jpg"", """"), ""-"", "", ""), """")"),"")</f>
        <v/>
      </c>
      <c r="L3829" s="12"/>
      <c r="M3829" s="13"/>
      <c r="N3829" s="2"/>
      <c r="O3829" s="20"/>
      <c r="P3829" s="42"/>
      <c r="R3829" s="23"/>
    </row>
    <row r="3830" spans="1:18" ht="12.75">
      <c r="A3830" s="12"/>
      <c r="D3830" s="12"/>
      <c r="E3830" s="12"/>
      <c r="H3830" s="11" t="str">
        <f ca="1">IFERROR(__xludf.DUMMYFUNCTION("IFERROR(SUBSTITUTE(SUBSTITUTE(REGEXEXTRACT(A3830, ""[^-]+- [^-]+- [^-]+ - (.+?)\.jpg""), "".jpg"", """"), ""-"", "", ""), """")"),"")</f>
        <v/>
      </c>
      <c r="L3830" s="12"/>
      <c r="M3830" s="13"/>
      <c r="N3830" s="2"/>
      <c r="O3830" s="20"/>
      <c r="P3830" s="42"/>
      <c r="R3830" s="23"/>
    </row>
    <row r="3831" spans="1:18" ht="12.75">
      <c r="A3831" s="12"/>
      <c r="D3831" s="12"/>
      <c r="E3831" s="12"/>
      <c r="H3831" s="11" t="str">
        <f ca="1">IFERROR(__xludf.DUMMYFUNCTION("IFERROR(SUBSTITUTE(SUBSTITUTE(REGEXEXTRACT(A3831, ""[^-]+- [^-]+- [^-]+ - (.+?)\.jpg""), "".jpg"", """"), ""-"", "", ""), """")"),"")</f>
        <v/>
      </c>
      <c r="L3831" s="12"/>
      <c r="M3831" s="13"/>
      <c r="N3831" s="2"/>
      <c r="O3831" s="20"/>
      <c r="P3831" s="42"/>
      <c r="R3831" s="23"/>
    </row>
    <row r="3832" spans="1:18" ht="12.75">
      <c r="A3832" s="12"/>
      <c r="D3832" s="12"/>
      <c r="E3832" s="12"/>
      <c r="H3832" s="11" t="str">
        <f ca="1">IFERROR(__xludf.DUMMYFUNCTION("IFERROR(SUBSTITUTE(SUBSTITUTE(REGEXEXTRACT(A3832, ""[^-]+- [^-]+- [^-]+ - (.+?)\.jpg""), "".jpg"", """"), ""-"", "", ""), """")"),"")</f>
        <v/>
      </c>
      <c r="L3832" s="12"/>
      <c r="M3832" s="13"/>
      <c r="N3832" s="2"/>
      <c r="O3832" s="20"/>
      <c r="P3832" s="42"/>
      <c r="R3832" s="23"/>
    </row>
    <row r="3833" spans="1:18" ht="12.75">
      <c r="A3833" s="12"/>
      <c r="D3833" s="12"/>
      <c r="E3833" s="12"/>
      <c r="H3833" s="11" t="str">
        <f ca="1">IFERROR(__xludf.DUMMYFUNCTION("IFERROR(SUBSTITUTE(SUBSTITUTE(REGEXEXTRACT(A3833, ""[^-]+- [^-]+- [^-]+ - (.+?)\.jpg""), "".jpg"", """"), ""-"", "", ""), """")"),"")</f>
        <v/>
      </c>
      <c r="L3833" s="12"/>
      <c r="M3833" s="13"/>
      <c r="N3833" s="2"/>
      <c r="O3833" s="20"/>
      <c r="P3833" s="42"/>
      <c r="R3833" s="23"/>
    </row>
    <row r="3834" spans="1:18" ht="12.75">
      <c r="A3834" s="12"/>
      <c r="D3834" s="12"/>
      <c r="E3834" s="12"/>
      <c r="H3834" s="11" t="str">
        <f ca="1">IFERROR(__xludf.DUMMYFUNCTION("IFERROR(SUBSTITUTE(SUBSTITUTE(REGEXEXTRACT(A3834, ""[^-]+- [^-]+- [^-]+ - (.+?)\.jpg""), "".jpg"", """"), ""-"", "", ""), """")"),"")</f>
        <v/>
      </c>
      <c r="L3834" s="12"/>
      <c r="M3834" s="13"/>
      <c r="N3834" s="2"/>
      <c r="O3834" s="20"/>
      <c r="P3834" s="42"/>
      <c r="R3834" s="23"/>
    </row>
    <row r="3835" spans="1:18" ht="12.75">
      <c r="A3835" s="12"/>
      <c r="D3835" s="12"/>
      <c r="E3835" s="12"/>
      <c r="H3835" s="11" t="str">
        <f ca="1">IFERROR(__xludf.DUMMYFUNCTION("IFERROR(SUBSTITUTE(SUBSTITUTE(REGEXEXTRACT(A3835, ""[^-]+- [^-]+- [^-]+ - (.+?)\.jpg""), "".jpg"", """"), ""-"", "", ""), """")"),"")</f>
        <v/>
      </c>
      <c r="L3835" s="12"/>
      <c r="M3835" s="13"/>
      <c r="N3835" s="2"/>
      <c r="O3835" s="20"/>
      <c r="P3835" s="42"/>
      <c r="R3835" s="23"/>
    </row>
    <row r="3836" spans="1:18" ht="12.75">
      <c r="A3836" s="12"/>
      <c r="D3836" s="12"/>
      <c r="E3836" s="12"/>
      <c r="H3836" s="11" t="str">
        <f ca="1">IFERROR(__xludf.DUMMYFUNCTION("IFERROR(SUBSTITUTE(SUBSTITUTE(REGEXEXTRACT(A3836, ""[^-]+- [^-]+- [^-]+ - (.+?)\.jpg""), "".jpg"", """"), ""-"", "", ""), """")"),"")</f>
        <v/>
      </c>
      <c r="L3836" s="12"/>
      <c r="M3836" s="13"/>
      <c r="N3836" s="2"/>
      <c r="O3836" s="20"/>
      <c r="P3836" s="42"/>
      <c r="R3836" s="23"/>
    </row>
    <row r="3837" spans="1:18" ht="12.75">
      <c r="A3837" s="12"/>
      <c r="D3837" s="12"/>
      <c r="E3837" s="12"/>
      <c r="H3837" s="11" t="str">
        <f ca="1">IFERROR(__xludf.DUMMYFUNCTION("IFERROR(SUBSTITUTE(SUBSTITUTE(REGEXEXTRACT(A3837, ""[^-]+- [^-]+- [^-]+ - (.+?)\.jpg""), "".jpg"", """"), ""-"", "", ""), """")"),"")</f>
        <v/>
      </c>
      <c r="L3837" s="12"/>
      <c r="M3837" s="13"/>
      <c r="N3837" s="2"/>
      <c r="O3837" s="20"/>
      <c r="P3837" s="42"/>
      <c r="R3837" s="23"/>
    </row>
    <row r="3838" spans="1:18" ht="12.75">
      <c r="A3838" s="12"/>
      <c r="D3838" s="12"/>
      <c r="E3838" s="12"/>
      <c r="H3838" s="11" t="str">
        <f ca="1">IFERROR(__xludf.DUMMYFUNCTION("IFERROR(SUBSTITUTE(SUBSTITUTE(REGEXEXTRACT(A3838, ""[^-]+- [^-]+- [^-]+ - (.+?)\.jpg""), "".jpg"", """"), ""-"", "", ""), """")"),"")</f>
        <v/>
      </c>
      <c r="L3838" s="12"/>
      <c r="M3838" s="13"/>
      <c r="N3838" s="2"/>
      <c r="O3838" s="20"/>
      <c r="P3838" s="42"/>
      <c r="R3838" s="23"/>
    </row>
    <row r="3839" spans="1:18" ht="12.75">
      <c r="A3839" s="12"/>
      <c r="D3839" s="12"/>
      <c r="E3839" s="12"/>
      <c r="H3839" s="11" t="str">
        <f ca="1">IFERROR(__xludf.DUMMYFUNCTION("IFERROR(SUBSTITUTE(SUBSTITUTE(REGEXEXTRACT(A3839, ""[^-]+- [^-]+- [^-]+ - (.+?)\.jpg""), "".jpg"", """"), ""-"", "", ""), """")"),"")</f>
        <v/>
      </c>
      <c r="L3839" s="12"/>
      <c r="M3839" s="13"/>
      <c r="N3839" s="2"/>
      <c r="O3839" s="20"/>
      <c r="P3839" s="42"/>
      <c r="R3839" s="23"/>
    </row>
    <row r="3840" spans="1:18" ht="12.75">
      <c r="A3840" s="12"/>
      <c r="D3840" s="12"/>
      <c r="E3840" s="12"/>
      <c r="H3840" s="11" t="str">
        <f ca="1">IFERROR(__xludf.DUMMYFUNCTION("IFERROR(SUBSTITUTE(SUBSTITUTE(REGEXEXTRACT(A3840, ""[^-]+- [^-]+- [^-]+ - (.+?)\.jpg""), "".jpg"", """"), ""-"", "", ""), """")"),"")</f>
        <v/>
      </c>
      <c r="L3840" s="12"/>
      <c r="M3840" s="13"/>
      <c r="N3840" s="2"/>
      <c r="O3840" s="20"/>
      <c r="P3840" s="42"/>
      <c r="R3840" s="23"/>
    </row>
    <row r="3841" spans="1:18" ht="12.75">
      <c r="A3841" s="12"/>
      <c r="D3841" s="12"/>
      <c r="E3841" s="12"/>
      <c r="H3841" s="11" t="str">
        <f ca="1">IFERROR(__xludf.DUMMYFUNCTION("IFERROR(SUBSTITUTE(SUBSTITUTE(REGEXEXTRACT(A3841, ""[^-]+- [^-]+- [^-]+ - (.+?)\.jpg""), "".jpg"", """"), ""-"", "", ""), """")"),"")</f>
        <v/>
      </c>
      <c r="L3841" s="12"/>
      <c r="M3841" s="13"/>
      <c r="N3841" s="2"/>
      <c r="O3841" s="20"/>
      <c r="P3841" s="42"/>
      <c r="R3841" s="23"/>
    </row>
    <row r="3842" spans="1:18" ht="12.75">
      <c r="A3842" s="12"/>
      <c r="D3842" s="12"/>
      <c r="E3842" s="12"/>
      <c r="H3842" s="11" t="str">
        <f ca="1">IFERROR(__xludf.DUMMYFUNCTION("IFERROR(SUBSTITUTE(SUBSTITUTE(REGEXEXTRACT(A3842, ""[^-]+- [^-]+- [^-]+ - (.+?)\.jpg""), "".jpg"", """"), ""-"", "", ""), """")"),"")</f>
        <v/>
      </c>
      <c r="L3842" s="12"/>
      <c r="M3842" s="13"/>
      <c r="N3842" s="2"/>
      <c r="O3842" s="20"/>
      <c r="P3842" s="42"/>
      <c r="R3842" s="23"/>
    </row>
    <row r="3843" spans="1:18" ht="12.75">
      <c r="A3843" s="12"/>
      <c r="D3843" s="12"/>
      <c r="E3843" s="12"/>
      <c r="H3843" s="11" t="str">
        <f ca="1">IFERROR(__xludf.DUMMYFUNCTION("IFERROR(SUBSTITUTE(SUBSTITUTE(REGEXEXTRACT(A3843, ""[^-]+- [^-]+- [^-]+ - (.+?)\.jpg""), "".jpg"", """"), ""-"", "", ""), """")"),"")</f>
        <v/>
      </c>
      <c r="L3843" s="12"/>
      <c r="M3843" s="13"/>
      <c r="N3843" s="2"/>
      <c r="O3843" s="20"/>
      <c r="P3843" s="42"/>
      <c r="R3843" s="23"/>
    </row>
    <row r="3844" spans="1:18" ht="12.75">
      <c r="A3844" s="12"/>
      <c r="D3844" s="12"/>
      <c r="E3844" s="12"/>
      <c r="H3844" s="11" t="str">
        <f ca="1">IFERROR(__xludf.DUMMYFUNCTION("IFERROR(SUBSTITUTE(SUBSTITUTE(REGEXEXTRACT(A3844, ""[^-]+- [^-]+- [^-]+ - (.+?)\.jpg""), "".jpg"", """"), ""-"", "", ""), """")"),"")</f>
        <v/>
      </c>
      <c r="L3844" s="12"/>
      <c r="M3844" s="13"/>
      <c r="N3844" s="2"/>
      <c r="O3844" s="20"/>
      <c r="P3844" s="42"/>
      <c r="R3844" s="23"/>
    </row>
    <row r="3845" spans="1:18" ht="12.75">
      <c r="A3845" s="12"/>
      <c r="D3845" s="12"/>
      <c r="E3845" s="12"/>
      <c r="H3845" s="11" t="str">
        <f ca="1">IFERROR(__xludf.DUMMYFUNCTION("IFERROR(SUBSTITUTE(SUBSTITUTE(REGEXEXTRACT(A3845, ""[^-]+- [^-]+- [^-]+ - (.+?)\.jpg""), "".jpg"", """"), ""-"", "", ""), """")"),"")</f>
        <v/>
      </c>
      <c r="L3845" s="12"/>
      <c r="M3845" s="13"/>
      <c r="N3845" s="2"/>
      <c r="O3845" s="20"/>
      <c r="P3845" s="42"/>
      <c r="R3845" s="23"/>
    </row>
    <row r="3846" spans="1:18" ht="12.75">
      <c r="A3846" s="12"/>
      <c r="D3846" s="12"/>
      <c r="E3846" s="12"/>
      <c r="H3846" s="11" t="str">
        <f ca="1">IFERROR(__xludf.DUMMYFUNCTION("IFERROR(SUBSTITUTE(SUBSTITUTE(REGEXEXTRACT(A3846, ""[^-]+- [^-]+- [^-]+ - (.+?)\.jpg""), "".jpg"", """"), ""-"", "", ""), """")"),"")</f>
        <v/>
      </c>
      <c r="L3846" s="12"/>
      <c r="M3846" s="13"/>
      <c r="N3846" s="2"/>
      <c r="O3846" s="20"/>
      <c r="P3846" s="42"/>
      <c r="R3846" s="23"/>
    </row>
    <row r="3847" spans="1:18" ht="12.75">
      <c r="A3847" s="12"/>
      <c r="D3847" s="12"/>
      <c r="E3847" s="12"/>
      <c r="H3847" s="11" t="str">
        <f ca="1">IFERROR(__xludf.DUMMYFUNCTION("IFERROR(SUBSTITUTE(SUBSTITUTE(REGEXEXTRACT(A3847, ""[^-]+- [^-]+- [^-]+ - (.+?)\.jpg""), "".jpg"", """"), ""-"", "", ""), """")"),"")</f>
        <v/>
      </c>
      <c r="L3847" s="12"/>
      <c r="M3847" s="13"/>
      <c r="N3847" s="2"/>
      <c r="O3847" s="20"/>
      <c r="P3847" s="42"/>
      <c r="R3847" s="23"/>
    </row>
    <row r="3848" spans="1:18" ht="12.75">
      <c r="A3848" s="12"/>
      <c r="D3848" s="12"/>
      <c r="E3848" s="12"/>
      <c r="H3848" s="11" t="str">
        <f ca="1">IFERROR(__xludf.DUMMYFUNCTION("IFERROR(SUBSTITUTE(SUBSTITUTE(REGEXEXTRACT(A3848, ""[^-]+- [^-]+- [^-]+ - (.+?)\.jpg""), "".jpg"", """"), ""-"", "", ""), """")"),"")</f>
        <v/>
      </c>
      <c r="L3848" s="12"/>
      <c r="M3848" s="13"/>
      <c r="N3848" s="2"/>
      <c r="O3848" s="20"/>
      <c r="P3848" s="42"/>
      <c r="R3848" s="23"/>
    </row>
    <row r="3849" spans="1:18" ht="12.75">
      <c r="A3849" s="12"/>
      <c r="D3849" s="12"/>
      <c r="E3849" s="12"/>
      <c r="H3849" s="11" t="str">
        <f ca="1">IFERROR(__xludf.DUMMYFUNCTION("IFERROR(SUBSTITUTE(SUBSTITUTE(REGEXEXTRACT(A3849, ""[^-]+- [^-]+- [^-]+ - (.+?)\.jpg""), "".jpg"", """"), ""-"", "", ""), """")"),"")</f>
        <v/>
      </c>
      <c r="L3849" s="12"/>
      <c r="M3849" s="13"/>
      <c r="N3849" s="2"/>
      <c r="O3849" s="20"/>
      <c r="P3849" s="42"/>
      <c r="R3849" s="23"/>
    </row>
    <row r="3850" spans="1:18" ht="12.75">
      <c r="A3850" s="12"/>
      <c r="D3850" s="12"/>
      <c r="E3850" s="12"/>
      <c r="H3850" s="11" t="str">
        <f ca="1">IFERROR(__xludf.DUMMYFUNCTION("IFERROR(SUBSTITUTE(SUBSTITUTE(REGEXEXTRACT(A3850, ""[^-]+- [^-]+- [^-]+ - (.+?)\.jpg""), "".jpg"", """"), ""-"", "", ""), """")"),"")</f>
        <v/>
      </c>
      <c r="L3850" s="12"/>
      <c r="M3850" s="13"/>
      <c r="N3850" s="2"/>
      <c r="O3850" s="20"/>
      <c r="P3850" s="42"/>
      <c r="R3850" s="23"/>
    </row>
    <row r="3851" spans="1:18" ht="12.75">
      <c r="A3851" s="12"/>
      <c r="D3851" s="12"/>
      <c r="E3851" s="12"/>
      <c r="H3851" s="11" t="str">
        <f ca="1">IFERROR(__xludf.DUMMYFUNCTION("IFERROR(SUBSTITUTE(SUBSTITUTE(REGEXEXTRACT(A3851, ""[^-]+- [^-]+- [^-]+ - (.+?)\.jpg""), "".jpg"", """"), ""-"", "", ""), """")"),"")</f>
        <v/>
      </c>
      <c r="L3851" s="12"/>
      <c r="M3851" s="13"/>
      <c r="N3851" s="2"/>
      <c r="O3851" s="20"/>
      <c r="P3851" s="42"/>
      <c r="R3851" s="23"/>
    </row>
    <row r="3852" spans="1:18" ht="12.75">
      <c r="A3852" s="12"/>
      <c r="D3852" s="12"/>
      <c r="E3852" s="12"/>
      <c r="H3852" s="11" t="str">
        <f ca="1">IFERROR(__xludf.DUMMYFUNCTION("IFERROR(SUBSTITUTE(SUBSTITUTE(REGEXEXTRACT(A3852, ""[^-]+- [^-]+- [^-]+ - (.+?)\.jpg""), "".jpg"", """"), ""-"", "", ""), """")"),"")</f>
        <v/>
      </c>
      <c r="L3852" s="12"/>
      <c r="M3852" s="13"/>
      <c r="N3852" s="2"/>
      <c r="O3852" s="20"/>
      <c r="P3852" s="42"/>
      <c r="R3852" s="23"/>
    </row>
    <row r="3853" spans="1:18" ht="12.75">
      <c r="A3853" s="12"/>
      <c r="D3853" s="12"/>
      <c r="E3853" s="12"/>
      <c r="H3853" s="11" t="str">
        <f ca="1">IFERROR(__xludf.DUMMYFUNCTION("IFERROR(SUBSTITUTE(SUBSTITUTE(REGEXEXTRACT(A3853, ""[^-]+- [^-]+- [^-]+ - (.+?)\.jpg""), "".jpg"", """"), ""-"", "", ""), """")"),"")</f>
        <v/>
      </c>
      <c r="L3853" s="12"/>
      <c r="M3853" s="13"/>
      <c r="N3853" s="2"/>
      <c r="O3853" s="20"/>
      <c r="P3853" s="42"/>
      <c r="R3853" s="23"/>
    </row>
    <row r="3854" spans="1:18" ht="12.75">
      <c r="A3854" s="12"/>
      <c r="D3854" s="12"/>
      <c r="E3854" s="12"/>
      <c r="H3854" s="11" t="str">
        <f ca="1">IFERROR(__xludf.DUMMYFUNCTION("IFERROR(SUBSTITUTE(SUBSTITUTE(REGEXEXTRACT(A3854, ""[^-]+- [^-]+- [^-]+ - (.+?)\.jpg""), "".jpg"", """"), ""-"", "", ""), """")"),"")</f>
        <v/>
      </c>
      <c r="L3854" s="12"/>
      <c r="M3854" s="13"/>
      <c r="N3854" s="2"/>
      <c r="O3854" s="20"/>
      <c r="P3854" s="42"/>
      <c r="R3854" s="23"/>
    </row>
    <row r="3855" spans="1:18" ht="12.75">
      <c r="A3855" s="12"/>
      <c r="D3855" s="12"/>
      <c r="E3855" s="12"/>
      <c r="H3855" s="11" t="str">
        <f ca="1">IFERROR(__xludf.DUMMYFUNCTION("IFERROR(SUBSTITUTE(SUBSTITUTE(REGEXEXTRACT(A3855, ""[^-]+- [^-]+- [^-]+ - (.+?)\.jpg""), "".jpg"", """"), ""-"", "", ""), """")"),"")</f>
        <v/>
      </c>
      <c r="L3855" s="12"/>
      <c r="M3855" s="13"/>
      <c r="N3855" s="2"/>
      <c r="O3855" s="20"/>
      <c r="P3855" s="42"/>
      <c r="R3855" s="23"/>
    </row>
    <row r="3856" spans="1:18" ht="12.75">
      <c r="A3856" s="12"/>
      <c r="D3856" s="12"/>
      <c r="E3856" s="12"/>
      <c r="H3856" s="11" t="str">
        <f ca="1">IFERROR(__xludf.DUMMYFUNCTION("IFERROR(SUBSTITUTE(SUBSTITUTE(REGEXEXTRACT(A3856, ""[^-]+- [^-]+- [^-]+ - (.+?)\.jpg""), "".jpg"", """"), ""-"", "", ""), """")"),"")</f>
        <v/>
      </c>
      <c r="L3856" s="12"/>
      <c r="M3856" s="13"/>
      <c r="N3856" s="2"/>
      <c r="O3856" s="20"/>
      <c r="P3856" s="42"/>
      <c r="R3856" s="23"/>
    </row>
    <row r="3857" spans="1:18" ht="12.75">
      <c r="A3857" s="12"/>
      <c r="D3857" s="12"/>
      <c r="E3857" s="12"/>
      <c r="H3857" s="11" t="str">
        <f ca="1">IFERROR(__xludf.DUMMYFUNCTION("IFERROR(SUBSTITUTE(SUBSTITUTE(REGEXEXTRACT(A3857, ""[^-]+- [^-]+- [^-]+ - (.+?)\.jpg""), "".jpg"", """"), ""-"", "", ""), """")"),"")</f>
        <v/>
      </c>
      <c r="L3857" s="12"/>
      <c r="M3857" s="13"/>
      <c r="N3857" s="2"/>
      <c r="O3857" s="20"/>
      <c r="P3857" s="42"/>
      <c r="R3857" s="23"/>
    </row>
    <row r="3858" spans="1:18" ht="12.75">
      <c r="A3858" s="12"/>
      <c r="D3858" s="12"/>
      <c r="E3858" s="12"/>
      <c r="H3858" s="11" t="str">
        <f ca="1">IFERROR(__xludf.DUMMYFUNCTION("IFERROR(SUBSTITUTE(SUBSTITUTE(REGEXEXTRACT(A3858, ""[^-]+- [^-]+- [^-]+ - (.+?)\.jpg""), "".jpg"", """"), ""-"", "", ""), """")"),"")</f>
        <v/>
      </c>
      <c r="L3858" s="12"/>
      <c r="M3858" s="13"/>
      <c r="N3858" s="2"/>
      <c r="O3858" s="20"/>
      <c r="P3858" s="42"/>
      <c r="R3858" s="23"/>
    </row>
    <row r="3859" spans="1:18" ht="12.75">
      <c r="A3859" s="12"/>
      <c r="D3859" s="12"/>
      <c r="E3859" s="12"/>
      <c r="H3859" s="11" t="str">
        <f ca="1">IFERROR(__xludf.DUMMYFUNCTION("IFERROR(SUBSTITUTE(SUBSTITUTE(REGEXEXTRACT(A3859, ""[^-]+- [^-]+- [^-]+ - (.+?)\.jpg""), "".jpg"", """"), ""-"", "", ""), """")"),"")</f>
        <v/>
      </c>
      <c r="L3859" s="12"/>
      <c r="M3859" s="13"/>
      <c r="N3859" s="2"/>
      <c r="O3859" s="20"/>
      <c r="P3859" s="42"/>
      <c r="R3859" s="23"/>
    </row>
    <row r="3860" spans="1:18" ht="12.75">
      <c r="A3860" s="12"/>
      <c r="D3860" s="12"/>
      <c r="E3860" s="12"/>
      <c r="H3860" s="11" t="str">
        <f ca="1">IFERROR(__xludf.DUMMYFUNCTION("IFERROR(SUBSTITUTE(SUBSTITUTE(REGEXEXTRACT(A3860, ""[^-]+- [^-]+- [^-]+ - (.+?)\.jpg""), "".jpg"", """"), ""-"", "", ""), """")"),"")</f>
        <v/>
      </c>
      <c r="L3860" s="12"/>
      <c r="M3860" s="13"/>
      <c r="N3860" s="2"/>
      <c r="O3860" s="20"/>
      <c r="P3860" s="42"/>
      <c r="R3860" s="23"/>
    </row>
    <row r="3861" spans="1:18" ht="12.75">
      <c r="A3861" s="12"/>
      <c r="D3861" s="12"/>
      <c r="E3861" s="12"/>
      <c r="H3861" s="11" t="str">
        <f ca="1">IFERROR(__xludf.DUMMYFUNCTION("IFERROR(SUBSTITUTE(SUBSTITUTE(REGEXEXTRACT(A3861, ""[^-]+- [^-]+- [^-]+ - (.+?)\.jpg""), "".jpg"", """"), ""-"", "", ""), """")"),"")</f>
        <v/>
      </c>
      <c r="L3861" s="12"/>
      <c r="M3861" s="13"/>
      <c r="N3861" s="2"/>
      <c r="O3861" s="20"/>
      <c r="P3861" s="42"/>
      <c r="R3861" s="23"/>
    </row>
    <row r="3862" spans="1:18" ht="12.75">
      <c r="A3862" s="12"/>
      <c r="D3862" s="12"/>
      <c r="E3862" s="12"/>
      <c r="H3862" s="11" t="str">
        <f ca="1">IFERROR(__xludf.DUMMYFUNCTION("IFERROR(SUBSTITUTE(SUBSTITUTE(REGEXEXTRACT(A3862, ""[^-]+- [^-]+- [^-]+ - (.+?)\.jpg""), "".jpg"", """"), ""-"", "", ""), """")"),"")</f>
        <v/>
      </c>
      <c r="L3862" s="12"/>
      <c r="M3862" s="13"/>
      <c r="N3862" s="2"/>
      <c r="O3862" s="20"/>
      <c r="P3862" s="42"/>
      <c r="R3862" s="23"/>
    </row>
    <row r="3863" spans="1:18" ht="12.75">
      <c r="A3863" s="12"/>
      <c r="D3863" s="12"/>
      <c r="E3863" s="12"/>
      <c r="H3863" s="11" t="str">
        <f ca="1">IFERROR(__xludf.DUMMYFUNCTION("IFERROR(SUBSTITUTE(SUBSTITUTE(REGEXEXTRACT(A3863, ""[^-]+- [^-]+- [^-]+ - (.+?)\.jpg""), "".jpg"", """"), ""-"", "", ""), """")"),"")</f>
        <v/>
      </c>
      <c r="L3863" s="12"/>
      <c r="M3863" s="13"/>
      <c r="N3863" s="2"/>
      <c r="O3863" s="20"/>
      <c r="P3863" s="42"/>
      <c r="R3863" s="23"/>
    </row>
    <row r="3864" spans="1:18" ht="12.75">
      <c r="A3864" s="12"/>
      <c r="D3864" s="12"/>
      <c r="E3864" s="12"/>
      <c r="H3864" s="11" t="str">
        <f ca="1">IFERROR(__xludf.DUMMYFUNCTION("IFERROR(SUBSTITUTE(SUBSTITUTE(REGEXEXTRACT(A3864, ""[^-]+- [^-]+- [^-]+ - (.+?)\.jpg""), "".jpg"", """"), ""-"", "", ""), """")"),"")</f>
        <v/>
      </c>
      <c r="L3864" s="12"/>
      <c r="M3864" s="13"/>
      <c r="N3864" s="2"/>
      <c r="O3864" s="20"/>
      <c r="P3864" s="42"/>
      <c r="R3864" s="23"/>
    </row>
    <row r="3865" spans="1:18" ht="12.75">
      <c r="A3865" s="12"/>
      <c r="D3865" s="12"/>
      <c r="E3865" s="12"/>
      <c r="H3865" s="11" t="str">
        <f ca="1">IFERROR(__xludf.DUMMYFUNCTION("IFERROR(SUBSTITUTE(SUBSTITUTE(REGEXEXTRACT(A3865, ""[^-]+- [^-]+- [^-]+ - (.+?)\.jpg""), "".jpg"", """"), ""-"", "", ""), """")"),"")</f>
        <v/>
      </c>
      <c r="L3865" s="12"/>
      <c r="M3865" s="13"/>
      <c r="N3865" s="2"/>
      <c r="O3865" s="20"/>
      <c r="P3865" s="42"/>
      <c r="R3865" s="23"/>
    </row>
    <row r="3866" spans="1:18" ht="12.75">
      <c r="A3866" s="12"/>
      <c r="D3866" s="12"/>
      <c r="E3866" s="12"/>
      <c r="H3866" s="11" t="str">
        <f ca="1">IFERROR(__xludf.DUMMYFUNCTION("IFERROR(SUBSTITUTE(SUBSTITUTE(REGEXEXTRACT(A3866, ""[^-]+- [^-]+- [^-]+ - (.+?)\.jpg""), "".jpg"", """"), ""-"", "", ""), """")"),"")</f>
        <v/>
      </c>
      <c r="L3866" s="12"/>
      <c r="M3866" s="13"/>
      <c r="N3866" s="2"/>
      <c r="O3866" s="20"/>
      <c r="P3866" s="42"/>
      <c r="R3866" s="23"/>
    </row>
    <row r="3867" spans="1:18" ht="12.75">
      <c r="A3867" s="12"/>
      <c r="D3867" s="12"/>
      <c r="E3867" s="12"/>
      <c r="H3867" s="11" t="str">
        <f ca="1">IFERROR(__xludf.DUMMYFUNCTION("IFERROR(SUBSTITUTE(SUBSTITUTE(REGEXEXTRACT(A3867, ""[^-]+- [^-]+- [^-]+ - (.+?)\.jpg""), "".jpg"", """"), ""-"", "", ""), """")"),"")</f>
        <v/>
      </c>
      <c r="L3867" s="12"/>
      <c r="M3867" s="13"/>
      <c r="N3867" s="2"/>
      <c r="O3867" s="20"/>
      <c r="P3867" s="42"/>
      <c r="R3867" s="23"/>
    </row>
    <row r="3868" spans="1:18" ht="12.75">
      <c r="A3868" s="12"/>
      <c r="D3868" s="12"/>
      <c r="E3868" s="12"/>
      <c r="H3868" s="11" t="str">
        <f ca="1">IFERROR(__xludf.DUMMYFUNCTION("IFERROR(SUBSTITUTE(SUBSTITUTE(REGEXEXTRACT(A3868, ""[^-]+- [^-]+- [^-]+ - (.+?)\.jpg""), "".jpg"", """"), ""-"", "", ""), """")"),"")</f>
        <v/>
      </c>
      <c r="L3868" s="12"/>
      <c r="M3868" s="13"/>
      <c r="N3868" s="2"/>
      <c r="O3868" s="20"/>
      <c r="P3868" s="42"/>
      <c r="R3868" s="23"/>
    </row>
    <row r="3869" spans="1:18" ht="12.75">
      <c r="A3869" s="12"/>
      <c r="D3869" s="12"/>
      <c r="E3869" s="12"/>
      <c r="H3869" s="11" t="str">
        <f ca="1">IFERROR(__xludf.DUMMYFUNCTION("IFERROR(SUBSTITUTE(SUBSTITUTE(REGEXEXTRACT(A3869, ""[^-]+- [^-]+- [^-]+ - (.+?)\.jpg""), "".jpg"", """"), ""-"", "", ""), """")"),"")</f>
        <v/>
      </c>
      <c r="L3869" s="12"/>
      <c r="M3869" s="13"/>
      <c r="N3869" s="2"/>
      <c r="O3869" s="20"/>
      <c r="P3869" s="42"/>
      <c r="R3869" s="23"/>
    </row>
    <row r="3870" spans="1:18" ht="12.75">
      <c r="A3870" s="12"/>
      <c r="D3870" s="12"/>
      <c r="E3870" s="12"/>
      <c r="H3870" s="11" t="str">
        <f ca="1">IFERROR(__xludf.DUMMYFUNCTION("IFERROR(SUBSTITUTE(SUBSTITUTE(REGEXEXTRACT(A3870, ""[^-]+- [^-]+- [^-]+ - (.+?)\.jpg""), "".jpg"", """"), ""-"", "", ""), """")"),"")</f>
        <v/>
      </c>
      <c r="L3870" s="12"/>
      <c r="M3870" s="13"/>
      <c r="N3870" s="2"/>
      <c r="O3870" s="20"/>
      <c r="P3870" s="42"/>
      <c r="R3870" s="23"/>
    </row>
    <row r="3871" spans="1:18" ht="12.75">
      <c r="A3871" s="12"/>
      <c r="D3871" s="12"/>
      <c r="E3871" s="12"/>
      <c r="H3871" s="11" t="str">
        <f ca="1">IFERROR(__xludf.DUMMYFUNCTION("IFERROR(SUBSTITUTE(SUBSTITUTE(REGEXEXTRACT(A3871, ""[^-]+- [^-]+- [^-]+ - (.+?)\.jpg""), "".jpg"", """"), ""-"", "", ""), """")"),"")</f>
        <v/>
      </c>
      <c r="L3871" s="12"/>
      <c r="M3871" s="13"/>
      <c r="N3871" s="2"/>
      <c r="O3871" s="20"/>
      <c r="P3871" s="42"/>
      <c r="R3871" s="23"/>
    </row>
    <row r="3872" spans="1:18" ht="12.75">
      <c r="A3872" s="12"/>
      <c r="D3872" s="12"/>
      <c r="E3872" s="12"/>
      <c r="H3872" s="11" t="str">
        <f ca="1">IFERROR(__xludf.DUMMYFUNCTION("IFERROR(SUBSTITUTE(SUBSTITUTE(REGEXEXTRACT(A3872, ""[^-]+- [^-]+- [^-]+ - (.+?)\.jpg""), "".jpg"", """"), ""-"", "", ""), """")"),"")</f>
        <v/>
      </c>
      <c r="L3872" s="12"/>
      <c r="M3872" s="13"/>
      <c r="N3872" s="2"/>
      <c r="O3872" s="20"/>
      <c r="P3872" s="42"/>
      <c r="R3872" s="23"/>
    </row>
    <row r="3873" spans="1:18" ht="12.75">
      <c r="A3873" s="12"/>
      <c r="D3873" s="12"/>
      <c r="E3873" s="12"/>
      <c r="H3873" s="11" t="str">
        <f ca="1">IFERROR(__xludf.DUMMYFUNCTION("IFERROR(SUBSTITUTE(SUBSTITUTE(REGEXEXTRACT(A3873, ""[^-]+- [^-]+- [^-]+ - (.+?)\.jpg""), "".jpg"", """"), ""-"", "", ""), """")"),"")</f>
        <v/>
      </c>
      <c r="L3873" s="12"/>
      <c r="M3873" s="13"/>
      <c r="N3873" s="2"/>
      <c r="O3873" s="20"/>
      <c r="P3873" s="42"/>
      <c r="R3873" s="23"/>
    </row>
    <row r="3874" spans="1:18" ht="12.75">
      <c r="A3874" s="12"/>
      <c r="D3874" s="12"/>
      <c r="E3874" s="12"/>
      <c r="H3874" s="11" t="str">
        <f ca="1">IFERROR(__xludf.DUMMYFUNCTION("IFERROR(SUBSTITUTE(SUBSTITUTE(REGEXEXTRACT(A3874, ""[^-]+- [^-]+- [^-]+ - (.+?)\.jpg""), "".jpg"", """"), ""-"", "", ""), """")"),"")</f>
        <v/>
      </c>
      <c r="L3874" s="12"/>
      <c r="M3874" s="13"/>
      <c r="N3874" s="2"/>
      <c r="O3874" s="20"/>
      <c r="P3874" s="42"/>
      <c r="R3874" s="23"/>
    </row>
    <row r="3875" spans="1:18" ht="12.75">
      <c r="A3875" s="12"/>
      <c r="D3875" s="12"/>
      <c r="E3875" s="12"/>
      <c r="H3875" s="11" t="str">
        <f ca="1">IFERROR(__xludf.DUMMYFUNCTION("IFERROR(SUBSTITUTE(SUBSTITUTE(REGEXEXTRACT(A3875, ""[^-]+- [^-]+- [^-]+ - (.+?)\.jpg""), "".jpg"", """"), ""-"", "", ""), """")"),"")</f>
        <v/>
      </c>
      <c r="L3875" s="12"/>
      <c r="M3875" s="13"/>
      <c r="N3875" s="2"/>
      <c r="O3875" s="20"/>
      <c r="P3875" s="42"/>
      <c r="R3875" s="23"/>
    </row>
    <row r="3876" spans="1:18" ht="12.75">
      <c r="A3876" s="12"/>
      <c r="D3876" s="12"/>
      <c r="E3876" s="12"/>
      <c r="H3876" s="11" t="str">
        <f ca="1">IFERROR(__xludf.DUMMYFUNCTION("IFERROR(SUBSTITUTE(SUBSTITUTE(REGEXEXTRACT(A3876, ""[^-]+- [^-]+- [^-]+ - (.+?)\.jpg""), "".jpg"", """"), ""-"", "", ""), """")"),"")</f>
        <v/>
      </c>
      <c r="L3876" s="12"/>
      <c r="M3876" s="13"/>
      <c r="N3876" s="2"/>
      <c r="O3876" s="20"/>
      <c r="P3876" s="42"/>
      <c r="R3876" s="23"/>
    </row>
    <row r="3877" spans="1:18" ht="12.75">
      <c r="A3877" s="12"/>
      <c r="D3877" s="12"/>
      <c r="E3877" s="12"/>
      <c r="H3877" s="11" t="str">
        <f ca="1">IFERROR(__xludf.DUMMYFUNCTION("IFERROR(SUBSTITUTE(SUBSTITUTE(REGEXEXTRACT(A3877, ""[^-]+- [^-]+- [^-]+ - (.+?)\.jpg""), "".jpg"", """"), ""-"", "", ""), """")"),"")</f>
        <v/>
      </c>
      <c r="L3877" s="12"/>
      <c r="M3877" s="13"/>
      <c r="N3877" s="2"/>
      <c r="O3877" s="20"/>
      <c r="P3877" s="42"/>
      <c r="R3877" s="23"/>
    </row>
    <row r="3878" spans="1:18" ht="12.75">
      <c r="A3878" s="12"/>
      <c r="D3878" s="12"/>
      <c r="E3878" s="12"/>
      <c r="H3878" s="11" t="str">
        <f ca="1">IFERROR(__xludf.DUMMYFUNCTION("IFERROR(SUBSTITUTE(SUBSTITUTE(REGEXEXTRACT(A3878, ""[^-]+- [^-]+- [^-]+ - (.+?)\.jpg""), "".jpg"", """"), ""-"", "", ""), """")"),"")</f>
        <v/>
      </c>
      <c r="L3878" s="12"/>
      <c r="M3878" s="13"/>
      <c r="N3878" s="2"/>
      <c r="O3878" s="20"/>
      <c r="P3878" s="42"/>
      <c r="R3878" s="23"/>
    </row>
    <row r="3879" spans="1:18" ht="12.75">
      <c r="A3879" s="12"/>
      <c r="D3879" s="12"/>
      <c r="E3879" s="12"/>
      <c r="H3879" s="11" t="str">
        <f ca="1">IFERROR(__xludf.DUMMYFUNCTION("IFERROR(SUBSTITUTE(SUBSTITUTE(REGEXEXTRACT(A3879, ""[^-]+- [^-]+- [^-]+ - (.+?)\.jpg""), "".jpg"", """"), ""-"", "", ""), """")"),"")</f>
        <v/>
      </c>
      <c r="L3879" s="12"/>
      <c r="M3879" s="13"/>
      <c r="N3879" s="2"/>
      <c r="O3879" s="20"/>
      <c r="P3879" s="42"/>
      <c r="R3879" s="23"/>
    </row>
    <row r="3880" spans="1:18" ht="12.75">
      <c r="A3880" s="12"/>
      <c r="D3880" s="12"/>
      <c r="E3880" s="12"/>
      <c r="H3880" s="11" t="str">
        <f ca="1">IFERROR(__xludf.DUMMYFUNCTION("IFERROR(SUBSTITUTE(SUBSTITUTE(REGEXEXTRACT(A3880, ""[^-]+- [^-]+- [^-]+ - (.+?)\.jpg""), "".jpg"", """"), ""-"", "", ""), """")"),"")</f>
        <v/>
      </c>
      <c r="L3880" s="12"/>
      <c r="M3880" s="13"/>
      <c r="N3880" s="2"/>
      <c r="O3880" s="20"/>
      <c r="P3880" s="42"/>
      <c r="R3880" s="23"/>
    </row>
    <row r="3881" spans="1:18" ht="12.75">
      <c r="A3881" s="12"/>
      <c r="D3881" s="12"/>
      <c r="E3881" s="12"/>
      <c r="H3881" s="11" t="str">
        <f ca="1">IFERROR(__xludf.DUMMYFUNCTION("IFERROR(SUBSTITUTE(SUBSTITUTE(REGEXEXTRACT(A3881, ""[^-]+- [^-]+- [^-]+ - (.+?)\.jpg""), "".jpg"", """"), ""-"", "", ""), """")"),"")</f>
        <v/>
      </c>
      <c r="L3881" s="12"/>
      <c r="M3881" s="13"/>
      <c r="N3881" s="2"/>
      <c r="O3881" s="20"/>
      <c r="P3881" s="42"/>
      <c r="R3881" s="23"/>
    </row>
    <row r="3882" spans="1:18" ht="12.75">
      <c r="A3882" s="12"/>
      <c r="D3882" s="12"/>
      <c r="E3882" s="12"/>
      <c r="H3882" s="11" t="str">
        <f ca="1">IFERROR(__xludf.DUMMYFUNCTION("IFERROR(SUBSTITUTE(SUBSTITUTE(REGEXEXTRACT(A3882, ""[^-]+- [^-]+- [^-]+ - (.+?)\.jpg""), "".jpg"", """"), ""-"", "", ""), """")"),"")</f>
        <v/>
      </c>
      <c r="L3882" s="12"/>
      <c r="M3882" s="13"/>
      <c r="N3882" s="2"/>
      <c r="O3882" s="20"/>
      <c r="P3882" s="42"/>
      <c r="R3882" s="23"/>
    </row>
    <row r="3883" spans="1:18" ht="12.75">
      <c r="A3883" s="12"/>
      <c r="D3883" s="12"/>
      <c r="E3883" s="12"/>
      <c r="H3883" s="11" t="str">
        <f ca="1">IFERROR(__xludf.DUMMYFUNCTION("IFERROR(SUBSTITUTE(SUBSTITUTE(REGEXEXTRACT(A3883, ""[^-]+- [^-]+- [^-]+ - (.+?)\.jpg""), "".jpg"", """"), ""-"", "", ""), """")"),"")</f>
        <v/>
      </c>
      <c r="L3883" s="12"/>
      <c r="M3883" s="13"/>
      <c r="N3883" s="2"/>
      <c r="O3883" s="20"/>
      <c r="P3883" s="42"/>
      <c r="R3883" s="23"/>
    </row>
    <row r="3884" spans="1:18" ht="12.75">
      <c r="A3884" s="12"/>
      <c r="D3884" s="12"/>
      <c r="E3884" s="12"/>
      <c r="H3884" s="11" t="str">
        <f ca="1">IFERROR(__xludf.DUMMYFUNCTION("IFERROR(SUBSTITUTE(SUBSTITUTE(REGEXEXTRACT(A3884, ""[^-]+- [^-]+- [^-]+ - (.+?)\.jpg""), "".jpg"", """"), ""-"", "", ""), """")"),"")</f>
        <v/>
      </c>
      <c r="L3884" s="12"/>
      <c r="M3884" s="13"/>
      <c r="N3884" s="2"/>
      <c r="O3884" s="20"/>
      <c r="P3884" s="42"/>
      <c r="R3884" s="23"/>
    </row>
    <row r="3885" spans="1:18" ht="12.75">
      <c r="A3885" s="12"/>
      <c r="D3885" s="12"/>
      <c r="E3885" s="12"/>
      <c r="H3885" s="11" t="str">
        <f ca="1">IFERROR(__xludf.DUMMYFUNCTION("IFERROR(SUBSTITUTE(SUBSTITUTE(REGEXEXTRACT(A3885, ""[^-]+- [^-]+- [^-]+ - (.+?)\.jpg""), "".jpg"", """"), ""-"", "", ""), """")"),"")</f>
        <v/>
      </c>
      <c r="L3885" s="12"/>
      <c r="M3885" s="13"/>
      <c r="N3885" s="2"/>
      <c r="O3885" s="20"/>
      <c r="P3885" s="42"/>
      <c r="R3885" s="23"/>
    </row>
    <row r="3886" spans="1:18" ht="12.75">
      <c r="A3886" s="12"/>
      <c r="D3886" s="12"/>
      <c r="E3886" s="12"/>
      <c r="H3886" s="11" t="str">
        <f ca="1">IFERROR(__xludf.DUMMYFUNCTION("IFERROR(SUBSTITUTE(SUBSTITUTE(REGEXEXTRACT(A3886, ""[^-]+- [^-]+- [^-]+ - (.+?)\.jpg""), "".jpg"", """"), ""-"", "", ""), """")"),"")</f>
        <v/>
      </c>
      <c r="L3886" s="12"/>
      <c r="M3886" s="13"/>
      <c r="N3886" s="2"/>
      <c r="O3886" s="20"/>
      <c r="P3886" s="42"/>
      <c r="R3886" s="23"/>
    </row>
    <row r="3887" spans="1:18" ht="12.75">
      <c r="A3887" s="12"/>
      <c r="D3887" s="12"/>
      <c r="E3887" s="12"/>
      <c r="H3887" s="11" t="str">
        <f ca="1">IFERROR(__xludf.DUMMYFUNCTION("IFERROR(SUBSTITUTE(SUBSTITUTE(REGEXEXTRACT(A3887, ""[^-]+- [^-]+- [^-]+ - (.+?)\.jpg""), "".jpg"", """"), ""-"", "", ""), """")"),"")</f>
        <v/>
      </c>
      <c r="L3887" s="12"/>
      <c r="M3887" s="13"/>
      <c r="N3887" s="2"/>
      <c r="O3887" s="20"/>
      <c r="P3887" s="42"/>
      <c r="R3887" s="23"/>
    </row>
    <row r="3888" spans="1:18" ht="12.75">
      <c r="A3888" s="12"/>
      <c r="D3888" s="12"/>
      <c r="E3888" s="12"/>
      <c r="H3888" s="11" t="str">
        <f ca="1">IFERROR(__xludf.DUMMYFUNCTION("IFERROR(SUBSTITUTE(SUBSTITUTE(REGEXEXTRACT(A3888, ""[^-]+- [^-]+- [^-]+ - (.+?)\.jpg""), "".jpg"", """"), ""-"", "", ""), """")"),"")</f>
        <v/>
      </c>
      <c r="L3888" s="12"/>
      <c r="M3888" s="13"/>
      <c r="N3888" s="2"/>
      <c r="O3888" s="20"/>
      <c r="P3888" s="42"/>
      <c r="R3888" s="23"/>
    </row>
    <row r="3889" spans="1:18" ht="12.75">
      <c r="A3889" s="12"/>
      <c r="D3889" s="12"/>
      <c r="E3889" s="12"/>
      <c r="H3889" s="11" t="str">
        <f ca="1">IFERROR(__xludf.DUMMYFUNCTION("IFERROR(SUBSTITUTE(SUBSTITUTE(REGEXEXTRACT(A3889, ""[^-]+- [^-]+- [^-]+ - (.+?)\.jpg""), "".jpg"", """"), ""-"", "", ""), """")"),"")</f>
        <v/>
      </c>
      <c r="L3889" s="12"/>
      <c r="M3889" s="13"/>
      <c r="N3889" s="2"/>
      <c r="O3889" s="20"/>
      <c r="P3889" s="42"/>
      <c r="R3889" s="23"/>
    </row>
    <row r="3890" spans="1:18" ht="12.75">
      <c r="A3890" s="12"/>
      <c r="D3890" s="12"/>
      <c r="E3890" s="12"/>
      <c r="H3890" s="11" t="str">
        <f ca="1">IFERROR(__xludf.DUMMYFUNCTION("IFERROR(SUBSTITUTE(SUBSTITUTE(REGEXEXTRACT(A3890, ""[^-]+- [^-]+- [^-]+ - (.+?)\.jpg""), "".jpg"", """"), ""-"", "", ""), """")"),"")</f>
        <v/>
      </c>
      <c r="L3890" s="12"/>
      <c r="M3890" s="13"/>
      <c r="N3890" s="2"/>
      <c r="O3890" s="20"/>
      <c r="P3890" s="42"/>
      <c r="R3890" s="23"/>
    </row>
    <row r="3891" spans="1:18" ht="12.75">
      <c r="A3891" s="12"/>
      <c r="D3891" s="12"/>
      <c r="E3891" s="12"/>
      <c r="H3891" s="11" t="str">
        <f ca="1">IFERROR(__xludf.DUMMYFUNCTION("IFERROR(SUBSTITUTE(SUBSTITUTE(REGEXEXTRACT(A3891, ""[^-]+- [^-]+- [^-]+ - (.+?)\.jpg""), "".jpg"", """"), ""-"", "", ""), """")"),"")</f>
        <v/>
      </c>
      <c r="L3891" s="12"/>
      <c r="M3891" s="13"/>
      <c r="N3891" s="2"/>
      <c r="O3891" s="20"/>
      <c r="P3891" s="42"/>
      <c r="R3891" s="23"/>
    </row>
    <row r="3892" spans="1:18" ht="12.75">
      <c r="A3892" s="12"/>
      <c r="D3892" s="12"/>
      <c r="E3892" s="12"/>
      <c r="H3892" s="11" t="str">
        <f ca="1">IFERROR(__xludf.DUMMYFUNCTION("IFERROR(SUBSTITUTE(SUBSTITUTE(REGEXEXTRACT(A3892, ""[^-]+- [^-]+- [^-]+ - (.+?)\.jpg""), "".jpg"", """"), ""-"", "", ""), """")"),"")</f>
        <v/>
      </c>
      <c r="L3892" s="12"/>
      <c r="M3892" s="13"/>
      <c r="N3892" s="2"/>
      <c r="O3892" s="20"/>
      <c r="P3892" s="42"/>
      <c r="R3892" s="23"/>
    </row>
    <row r="3893" spans="1:18" ht="12.75">
      <c r="A3893" s="12"/>
      <c r="D3893" s="12"/>
      <c r="E3893" s="12"/>
      <c r="H3893" s="11" t="str">
        <f ca="1">IFERROR(__xludf.DUMMYFUNCTION("IFERROR(SUBSTITUTE(SUBSTITUTE(REGEXEXTRACT(A3893, ""[^-]+- [^-]+- [^-]+ - (.+?)\.jpg""), "".jpg"", """"), ""-"", "", ""), """")"),"")</f>
        <v/>
      </c>
      <c r="L3893" s="12"/>
      <c r="M3893" s="13"/>
      <c r="N3893" s="2"/>
      <c r="O3893" s="20"/>
      <c r="P3893" s="42"/>
      <c r="R3893" s="23"/>
    </row>
    <row r="3894" spans="1:18" ht="12.75">
      <c r="A3894" s="12"/>
      <c r="D3894" s="12"/>
      <c r="E3894" s="12"/>
      <c r="H3894" s="11" t="str">
        <f ca="1">IFERROR(__xludf.DUMMYFUNCTION("IFERROR(SUBSTITUTE(SUBSTITUTE(REGEXEXTRACT(A3894, ""[^-]+- [^-]+- [^-]+ - (.+?)\.jpg""), "".jpg"", """"), ""-"", "", ""), """")"),"")</f>
        <v/>
      </c>
      <c r="L3894" s="12"/>
      <c r="M3894" s="13"/>
      <c r="N3894" s="2"/>
      <c r="O3894" s="20"/>
      <c r="P3894" s="42"/>
      <c r="R3894" s="23"/>
    </row>
    <row r="3895" spans="1:18" ht="12.75">
      <c r="A3895" s="12"/>
      <c r="D3895" s="12"/>
      <c r="E3895" s="12"/>
      <c r="H3895" s="11" t="str">
        <f ca="1">IFERROR(__xludf.DUMMYFUNCTION("IFERROR(SUBSTITUTE(SUBSTITUTE(REGEXEXTRACT(A3895, ""[^-]+- [^-]+- [^-]+ - (.+?)\.jpg""), "".jpg"", """"), ""-"", "", ""), """")"),"")</f>
        <v/>
      </c>
      <c r="L3895" s="12"/>
      <c r="M3895" s="13"/>
      <c r="N3895" s="2"/>
      <c r="O3895" s="20"/>
      <c r="P3895" s="42"/>
      <c r="R3895" s="23"/>
    </row>
    <row r="3896" spans="1:18" ht="12.75">
      <c r="A3896" s="12"/>
      <c r="D3896" s="12"/>
      <c r="E3896" s="12"/>
      <c r="H3896" s="11" t="str">
        <f ca="1">IFERROR(__xludf.DUMMYFUNCTION("IFERROR(SUBSTITUTE(SUBSTITUTE(REGEXEXTRACT(A3896, ""[^-]+- [^-]+- [^-]+ - (.+?)\.jpg""), "".jpg"", """"), ""-"", "", ""), """")"),"")</f>
        <v/>
      </c>
      <c r="L3896" s="12"/>
      <c r="M3896" s="13"/>
      <c r="N3896" s="2"/>
      <c r="O3896" s="20"/>
      <c r="P3896" s="42"/>
      <c r="R3896" s="23"/>
    </row>
    <row r="3897" spans="1:18" ht="12.75">
      <c r="A3897" s="12"/>
      <c r="D3897" s="12"/>
      <c r="E3897" s="12"/>
      <c r="H3897" s="11" t="str">
        <f ca="1">IFERROR(__xludf.DUMMYFUNCTION("IFERROR(SUBSTITUTE(SUBSTITUTE(REGEXEXTRACT(A3897, ""[^-]+- [^-]+- [^-]+ - (.+?)\.jpg""), "".jpg"", """"), ""-"", "", ""), """")"),"")</f>
        <v/>
      </c>
      <c r="L3897" s="12"/>
      <c r="M3897" s="13"/>
      <c r="N3897" s="2"/>
      <c r="O3897" s="20"/>
      <c r="P3897" s="42"/>
      <c r="R3897" s="23"/>
    </row>
    <row r="3898" spans="1:18" ht="12.75">
      <c r="A3898" s="12"/>
      <c r="D3898" s="12"/>
      <c r="E3898" s="12"/>
      <c r="H3898" s="11" t="str">
        <f ca="1">IFERROR(__xludf.DUMMYFUNCTION("IFERROR(SUBSTITUTE(SUBSTITUTE(REGEXEXTRACT(A3898, ""[^-]+- [^-]+- [^-]+ - (.+?)\.jpg""), "".jpg"", """"), ""-"", "", ""), """")"),"")</f>
        <v/>
      </c>
      <c r="L3898" s="12"/>
      <c r="M3898" s="13"/>
      <c r="N3898" s="2"/>
      <c r="O3898" s="20"/>
      <c r="P3898" s="42"/>
      <c r="R3898" s="23"/>
    </row>
    <row r="3899" spans="1:18" ht="12.75">
      <c r="A3899" s="12"/>
      <c r="D3899" s="12"/>
      <c r="E3899" s="12"/>
      <c r="H3899" s="11" t="str">
        <f ca="1">IFERROR(__xludf.DUMMYFUNCTION("IFERROR(SUBSTITUTE(SUBSTITUTE(REGEXEXTRACT(A3899, ""[^-]+- [^-]+- [^-]+ - (.+?)\.jpg""), "".jpg"", """"), ""-"", "", ""), """")"),"")</f>
        <v/>
      </c>
      <c r="L3899" s="12"/>
      <c r="M3899" s="13"/>
      <c r="N3899" s="2"/>
      <c r="O3899" s="20"/>
      <c r="P3899" s="42"/>
      <c r="R3899" s="23"/>
    </row>
    <row r="3900" spans="1:18" ht="12.75">
      <c r="A3900" s="12"/>
      <c r="D3900" s="12"/>
      <c r="E3900" s="12"/>
      <c r="H3900" s="11" t="str">
        <f ca="1">IFERROR(__xludf.DUMMYFUNCTION("IFERROR(SUBSTITUTE(SUBSTITUTE(REGEXEXTRACT(A3900, ""[^-]+- [^-]+- [^-]+ - (.+?)\.jpg""), "".jpg"", """"), ""-"", "", ""), """")"),"")</f>
        <v/>
      </c>
      <c r="L3900" s="12"/>
      <c r="M3900" s="13"/>
      <c r="N3900" s="2"/>
      <c r="O3900" s="20"/>
      <c r="P3900" s="42"/>
      <c r="R3900" s="23"/>
    </row>
    <row r="3901" spans="1:18" ht="12.75">
      <c r="A3901" s="12"/>
      <c r="D3901" s="12"/>
      <c r="E3901" s="12"/>
      <c r="H3901" s="11" t="str">
        <f ca="1">IFERROR(__xludf.DUMMYFUNCTION("IFERROR(SUBSTITUTE(SUBSTITUTE(REGEXEXTRACT(A3901, ""[^-]+- [^-]+- [^-]+ - (.+?)\.jpg""), "".jpg"", """"), ""-"", "", ""), """")"),"")</f>
        <v/>
      </c>
      <c r="L3901" s="12"/>
      <c r="M3901" s="13"/>
      <c r="N3901" s="2"/>
      <c r="O3901" s="20"/>
      <c r="P3901" s="42"/>
      <c r="R3901" s="23"/>
    </row>
    <row r="3902" spans="1:18" ht="12.75">
      <c r="A3902" s="12"/>
      <c r="D3902" s="12"/>
      <c r="E3902" s="12"/>
      <c r="H3902" s="11" t="str">
        <f ca="1">IFERROR(__xludf.DUMMYFUNCTION("IFERROR(SUBSTITUTE(SUBSTITUTE(REGEXEXTRACT(A3902, ""[^-]+- [^-]+- [^-]+ - (.+?)\.jpg""), "".jpg"", """"), ""-"", "", ""), """")"),"")</f>
        <v/>
      </c>
      <c r="L3902" s="12"/>
      <c r="M3902" s="13"/>
      <c r="N3902" s="2"/>
      <c r="O3902" s="20"/>
      <c r="P3902" s="42"/>
      <c r="R3902" s="23"/>
    </row>
    <row r="3903" spans="1:18" ht="12.75">
      <c r="A3903" s="12"/>
      <c r="D3903" s="12"/>
      <c r="E3903" s="12"/>
      <c r="H3903" s="11" t="str">
        <f ca="1">IFERROR(__xludf.DUMMYFUNCTION("IFERROR(SUBSTITUTE(SUBSTITUTE(REGEXEXTRACT(A3903, ""[^-]+- [^-]+- [^-]+ - (.+?)\.jpg""), "".jpg"", """"), ""-"", "", ""), """")"),"")</f>
        <v/>
      </c>
      <c r="L3903" s="12"/>
      <c r="M3903" s="13"/>
      <c r="N3903" s="2"/>
      <c r="O3903" s="20"/>
      <c r="P3903" s="42"/>
      <c r="R3903" s="23"/>
    </row>
    <row r="3904" spans="1:18" ht="12.75">
      <c r="A3904" s="12"/>
      <c r="D3904" s="12"/>
      <c r="E3904" s="12"/>
      <c r="H3904" s="11" t="str">
        <f ca="1">IFERROR(__xludf.DUMMYFUNCTION("IFERROR(SUBSTITUTE(SUBSTITUTE(REGEXEXTRACT(A3904, ""[^-]+- [^-]+- [^-]+ - (.+?)\.jpg""), "".jpg"", """"), ""-"", "", ""), """")"),"")</f>
        <v/>
      </c>
      <c r="L3904" s="12"/>
      <c r="M3904" s="13"/>
      <c r="N3904" s="2"/>
      <c r="O3904" s="20"/>
      <c r="P3904" s="42"/>
      <c r="R3904" s="23"/>
    </row>
    <row r="3905" spans="1:18" ht="12.75">
      <c r="A3905" s="12"/>
      <c r="D3905" s="12"/>
      <c r="E3905" s="12"/>
      <c r="H3905" s="11" t="str">
        <f ca="1">IFERROR(__xludf.DUMMYFUNCTION("IFERROR(SUBSTITUTE(SUBSTITUTE(REGEXEXTRACT(A3905, ""[^-]+- [^-]+- [^-]+ - (.+?)\.jpg""), "".jpg"", """"), ""-"", "", ""), """")"),"")</f>
        <v/>
      </c>
      <c r="L3905" s="12"/>
      <c r="M3905" s="13"/>
      <c r="N3905" s="2"/>
      <c r="O3905" s="20"/>
      <c r="P3905" s="42"/>
      <c r="R3905" s="23"/>
    </row>
    <row r="3906" spans="1:18" ht="12.75">
      <c r="A3906" s="12"/>
      <c r="D3906" s="12"/>
      <c r="E3906" s="12"/>
      <c r="H3906" s="11" t="str">
        <f ca="1">IFERROR(__xludf.DUMMYFUNCTION("IFERROR(SUBSTITUTE(SUBSTITUTE(REGEXEXTRACT(A3906, ""[^-]+- [^-]+- [^-]+ - (.+?)\.jpg""), "".jpg"", """"), ""-"", "", ""), """")"),"")</f>
        <v/>
      </c>
      <c r="L3906" s="12"/>
      <c r="M3906" s="13"/>
      <c r="N3906" s="2"/>
      <c r="O3906" s="20"/>
      <c r="P3906" s="42"/>
      <c r="R3906" s="23"/>
    </row>
    <row r="3907" spans="1:18" ht="12.75">
      <c r="A3907" s="12"/>
      <c r="D3907" s="12"/>
      <c r="E3907" s="12"/>
      <c r="H3907" s="11" t="str">
        <f ca="1">IFERROR(__xludf.DUMMYFUNCTION("IFERROR(SUBSTITUTE(SUBSTITUTE(REGEXEXTRACT(A3907, ""[^-]+- [^-]+- [^-]+ - (.+?)\.jpg""), "".jpg"", """"), ""-"", "", ""), """")"),"")</f>
        <v/>
      </c>
      <c r="L3907" s="12"/>
      <c r="M3907" s="13"/>
      <c r="N3907" s="2"/>
      <c r="O3907" s="20"/>
      <c r="P3907" s="42"/>
      <c r="R3907" s="23"/>
    </row>
    <row r="3908" spans="1:18" ht="12.75">
      <c r="A3908" s="12"/>
      <c r="D3908" s="12"/>
      <c r="E3908" s="12"/>
      <c r="H3908" s="11" t="str">
        <f ca="1">IFERROR(__xludf.DUMMYFUNCTION("IFERROR(SUBSTITUTE(SUBSTITUTE(REGEXEXTRACT(A3908, ""[^-]+- [^-]+- [^-]+ - (.+?)\.jpg""), "".jpg"", """"), ""-"", "", ""), """")"),"")</f>
        <v/>
      </c>
      <c r="L3908" s="12"/>
      <c r="M3908" s="13"/>
      <c r="N3908" s="2"/>
      <c r="O3908" s="20"/>
      <c r="P3908" s="42"/>
      <c r="R3908" s="23"/>
    </row>
    <row r="3909" spans="1:18" ht="12.75">
      <c r="A3909" s="12"/>
      <c r="D3909" s="12"/>
      <c r="E3909" s="12"/>
      <c r="H3909" s="11" t="str">
        <f ca="1">IFERROR(__xludf.DUMMYFUNCTION("IFERROR(SUBSTITUTE(SUBSTITUTE(REGEXEXTRACT(A3909, ""[^-]+- [^-]+- [^-]+ - (.+?)\.jpg""), "".jpg"", """"), ""-"", "", ""), """")"),"")</f>
        <v/>
      </c>
      <c r="L3909" s="12"/>
      <c r="M3909" s="13"/>
      <c r="N3909" s="2"/>
      <c r="O3909" s="20"/>
      <c r="P3909" s="42"/>
      <c r="R3909" s="23"/>
    </row>
    <row r="3910" spans="1:18" ht="12.75">
      <c r="A3910" s="12"/>
      <c r="D3910" s="12"/>
      <c r="E3910" s="12"/>
      <c r="H3910" s="11" t="str">
        <f ca="1">IFERROR(__xludf.DUMMYFUNCTION("IFERROR(SUBSTITUTE(SUBSTITUTE(REGEXEXTRACT(A3910, ""[^-]+- [^-]+- [^-]+ - (.+?)\.jpg""), "".jpg"", """"), ""-"", "", ""), """")"),"")</f>
        <v/>
      </c>
      <c r="L3910" s="12"/>
      <c r="M3910" s="13"/>
      <c r="N3910" s="2"/>
      <c r="O3910" s="20"/>
      <c r="P3910" s="42"/>
      <c r="R3910" s="23"/>
    </row>
    <row r="3911" spans="1:18" ht="12.75">
      <c r="A3911" s="12"/>
      <c r="D3911" s="12"/>
      <c r="E3911" s="12"/>
      <c r="H3911" s="11" t="str">
        <f ca="1">IFERROR(__xludf.DUMMYFUNCTION("IFERROR(SUBSTITUTE(SUBSTITUTE(REGEXEXTRACT(A3911, ""[^-]+- [^-]+- [^-]+ - (.+?)\.jpg""), "".jpg"", """"), ""-"", "", ""), """")"),"")</f>
        <v/>
      </c>
      <c r="L3911" s="12"/>
      <c r="M3911" s="13"/>
      <c r="N3911" s="2"/>
      <c r="O3911" s="20"/>
      <c r="P3911" s="42"/>
      <c r="R3911" s="23"/>
    </row>
    <row r="3912" spans="1:18" ht="12.75">
      <c r="A3912" s="12"/>
      <c r="D3912" s="12"/>
      <c r="E3912" s="12"/>
      <c r="H3912" s="11" t="str">
        <f ca="1">IFERROR(__xludf.DUMMYFUNCTION("IFERROR(SUBSTITUTE(SUBSTITUTE(REGEXEXTRACT(A3912, ""[^-]+- [^-]+- [^-]+ - (.+?)\.jpg""), "".jpg"", """"), ""-"", "", ""), """")"),"")</f>
        <v/>
      </c>
      <c r="L3912" s="12"/>
      <c r="M3912" s="13"/>
      <c r="N3912" s="2"/>
      <c r="O3912" s="20"/>
      <c r="P3912" s="42"/>
      <c r="R3912" s="23"/>
    </row>
    <row r="3913" spans="1:18" ht="12.75">
      <c r="A3913" s="12"/>
      <c r="D3913" s="12"/>
      <c r="E3913" s="12"/>
      <c r="H3913" s="11" t="str">
        <f ca="1">IFERROR(__xludf.DUMMYFUNCTION("IFERROR(SUBSTITUTE(SUBSTITUTE(REGEXEXTRACT(A3913, ""[^-]+- [^-]+- [^-]+ - (.+?)\.jpg""), "".jpg"", """"), ""-"", "", ""), """")"),"")</f>
        <v/>
      </c>
      <c r="L3913" s="12"/>
      <c r="M3913" s="13"/>
      <c r="N3913" s="2"/>
      <c r="O3913" s="20"/>
      <c r="P3913" s="42"/>
      <c r="R3913" s="23"/>
    </row>
    <row r="3914" spans="1:18" ht="12.75">
      <c r="A3914" s="12"/>
      <c r="D3914" s="12"/>
      <c r="E3914" s="12"/>
      <c r="H3914" s="11" t="str">
        <f ca="1">IFERROR(__xludf.DUMMYFUNCTION("IFERROR(SUBSTITUTE(SUBSTITUTE(REGEXEXTRACT(A3914, ""[^-]+- [^-]+- [^-]+ - (.+?)\.jpg""), "".jpg"", """"), ""-"", "", ""), """")"),"")</f>
        <v/>
      </c>
      <c r="L3914" s="12"/>
      <c r="M3914" s="13"/>
      <c r="N3914" s="2"/>
      <c r="O3914" s="20"/>
      <c r="P3914" s="42"/>
      <c r="R3914" s="23"/>
    </row>
    <row r="3915" spans="1:18" ht="12.75">
      <c r="A3915" s="12"/>
      <c r="D3915" s="12"/>
      <c r="E3915" s="12"/>
      <c r="H3915" s="11" t="str">
        <f ca="1">IFERROR(__xludf.DUMMYFUNCTION("IFERROR(SUBSTITUTE(SUBSTITUTE(REGEXEXTRACT(A3915, ""[^-]+- [^-]+- [^-]+ - (.+?)\.jpg""), "".jpg"", """"), ""-"", "", ""), """")"),"")</f>
        <v/>
      </c>
      <c r="L3915" s="12"/>
      <c r="M3915" s="13"/>
      <c r="N3915" s="2"/>
      <c r="O3915" s="20"/>
      <c r="P3915" s="42"/>
      <c r="R3915" s="23"/>
    </row>
    <row r="3916" spans="1:18" ht="12.75">
      <c r="A3916" s="12"/>
      <c r="D3916" s="12"/>
      <c r="E3916" s="12"/>
      <c r="H3916" s="11" t="str">
        <f ca="1">IFERROR(__xludf.DUMMYFUNCTION("IFERROR(SUBSTITUTE(SUBSTITUTE(REGEXEXTRACT(A3916, ""[^-]+- [^-]+- [^-]+ - (.+?)\.jpg""), "".jpg"", """"), ""-"", "", ""), """")"),"")</f>
        <v/>
      </c>
      <c r="L3916" s="12"/>
      <c r="M3916" s="13"/>
      <c r="N3916" s="2"/>
      <c r="O3916" s="20"/>
      <c r="P3916" s="42"/>
      <c r="R3916" s="23"/>
    </row>
    <row r="3917" spans="1:18" ht="12.75">
      <c r="A3917" s="12"/>
      <c r="D3917" s="12"/>
      <c r="E3917" s="12"/>
      <c r="H3917" s="11" t="str">
        <f ca="1">IFERROR(__xludf.DUMMYFUNCTION("IFERROR(SUBSTITUTE(SUBSTITUTE(REGEXEXTRACT(A3917, ""[^-]+- [^-]+- [^-]+ - (.+?)\.jpg""), "".jpg"", """"), ""-"", "", ""), """")"),"")</f>
        <v/>
      </c>
      <c r="L3917" s="12"/>
      <c r="M3917" s="13"/>
      <c r="N3917" s="2"/>
      <c r="O3917" s="20"/>
      <c r="P3917" s="42"/>
      <c r="R3917" s="23"/>
    </row>
    <row r="3918" spans="1:18" ht="12.75">
      <c r="A3918" s="12"/>
      <c r="D3918" s="12"/>
      <c r="E3918" s="12"/>
      <c r="H3918" s="11" t="str">
        <f ca="1">IFERROR(__xludf.DUMMYFUNCTION("IFERROR(SUBSTITUTE(SUBSTITUTE(REGEXEXTRACT(A3918, ""[^-]+- [^-]+- [^-]+ - (.+?)\.jpg""), "".jpg"", """"), ""-"", "", ""), """")"),"")</f>
        <v/>
      </c>
      <c r="L3918" s="12"/>
      <c r="M3918" s="13"/>
      <c r="N3918" s="2"/>
      <c r="O3918" s="20"/>
      <c r="P3918" s="42"/>
      <c r="R3918" s="23"/>
    </row>
    <row r="3919" spans="1:18" ht="12.75">
      <c r="A3919" s="12"/>
      <c r="D3919" s="12"/>
      <c r="E3919" s="12"/>
      <c r="H3919" s="11" t="str">
        <f ca="1">IFERROR(__xludf.DUMMYFUNCTION("IFERROR(SUBSTITUTE(SUBSTITUTE(REGEXEXTRACT(A3919, ""[^-]+- [^-]+- [^-]+ - (.+?)\.jpg""), "".jpg"", """"), ""-"", "", ""), """")"),"")</f>
        <v/>
      </c>
      <c r="L3919" s="12"/>
      <c r="M3919" s="13"/>
      <c r="N3919" s="2"/>
      <c r="O3919" s="20"/>
      <c r="P3919" s="42"/>
      <c r="R3919" s="23"/>
    </row>
    <row r="3920" spans="1:18" ht="12.75">
      <c r="A3920" s="12"/>
      <c r="D3920" s="12"/>
      <c r="E3920" s="12"/>
      <c r="H3920" s="11" t="str">
        <f ca="1">IFERROR(__xludf.DUMMYFUNCTION("IFERROR(SUBSTITUTE(SUBSTITUTE(REGEXEXTRACT(A3920, ""[^-]+- [^-]+- [^-]+ - (.+?)\.jpg""), "".jpg"", """"), ""-"", "", ""), """")"),"")</f>
        <v/>
      </c>
      <c r="L3920" s="12"/>
      <c r="M3920" s="13"/>
      <c r="N3920" s="2"/>
      <c r="O3920" s="20"/>
      <c r="P3920" s="42"/>
      <c r="R3920" s="23"/>
    </row>
    <row r="3921" spans="1:18" ht="12.75">
      <c r="A3921" s="12"/>
      <c r="D3921" s="12"/>
      <c r="E3921" s="12"/>
      <c r="H3921" s="11" t="str">
        <f ca="1">IFERROR(__xludf.DUMMYFUNCTION("IFERROR(SUBSTITUTE(SUBSTITUTE(REGEXEXTRACT(A3921, ""[^-]+- [^-]+- [^-]+ - (.+?)\.jpg""), "".jpg"", """"), ""-"", "", ""), """")"),"")</f>
        <v/>
      </c>
      <c r="L3921" s="12"/>
      <c r="M3921" s="13"/>
      <c r="N3921" s="2"/>
      <c r="O3921" s="20"/>
      <c r="P3921" s="42"/>
      <c r="R3921" s="23"/>
    </row>
    <row r="3922" spans="1:18" ht="12.75">
      <c r="A3922" s="12"/>
      <c r="D3922" s="12"/>
      <c r="E3922" s="12"/>
      <c r="H3922" s="11" t="str">
        <f ca="1">IFERROR(__xludf.DUMMYFUNCTION("IFERROR(SUBSTITUTE(SUBSTITUTE(REGEXEXTRACT(A3922, ""[^-]+- [^-]+- [^-]+ - (.+?)\.jpg""), "".jpg"", """"), ""-"", "", ""), """")"),"")</f>
        <v/>
      </c>
      <c r="L3922" s="12"/>
      <c r="M3922" s="13"/>
      <c r="N3922" s="2"/>
      <c r="O3922" s="20"/>
      <c r="P3922" s="42"/>
      <c r="R3922" s="23"/>
    </row>
    <row r="3923" spans="1:18" ht="12.75">
      <c r="A3923" s="12"/>
      <c r="D3923" s="12"/>
      <c r="E3923" s="12"/>
      <c r="H3923" s="11" t="str">
        <f ca="1">IFERROR(__xludf.DUMMYFUNCTION("IFERROR(SUBSTITUTE(SUBSTITUTE(REGEXEXTRACT(A3923, ""[^-]+- [^-]+- [^-]+ - (.+?)\.jpg""), "".jpg"", """"), ""-"", "", ""), """")"),"")</f>
        <v/>
      </c>
      <c r="L3923" s="12"/>
      <c r="M3923" s="13"/>
      <c r="N3923" s="2"/>
      <c r="O3923" s="20"/>
      <c r="P3923" s="42"/>
      <c r="R3923" s="23"/>
    </row>
    <row r="3924" spans="1:18" ht="12.75">
      <c r="A3924" s="12"/>
      <c r="D3924" s="12"/>
      <c r="E3924" s="12"/>
      <c r="H3924" s="11" t="str">
        <f ca="1">IFERROR(__xludf.DUMMYFUNCTION("IFERROR(SUBSTITUTE(SUBSTITUTE(REGEXEXTRACT(A3924, ""[^-]+- [^-]+- [^-]+ - (.+?)\.jpg""), "".jpg"", """"), ""-"", "", ""), """")"),"")</f>
        <v/>
      </c>
      <c r="L3924" s="12"/>
      <c r="M3924" s="13"/>
      <c r="N3924" s="2"/>
      <c r="O3924" s="20"/>
      <c r="P3924" s="42"/>
      <c r="R3924" s="23"/>
    </row>
    <row r="3925" spans="1:18" ht="12.75">
      <c r="A3925" s="12"/>
      <c r="D3925" s="12"/>
      <c r="E3925" s="12"/>
      <c r="H3925" s="11" t="str">
        <f ca="1">IFERROR(__xludf.DUMMYFUNCTION("IFERROR(SUBSTITUTE(SUBSTITUTE(REGEXEXTRACT(A3925, ""[^-]+- [^-]+- [^-]+ - (.+?)\.jpg""), "".jpg"", """"), ""-"", "", ""), """")"),"")</f>
        <v/>
      </c>
      <c r="L3925" s="12"/>
      <c r="M3925" s="13"/>
      <c r="N3925" s="2"/>
      <c r="O3925" s="20"/>
      <c r="P3925" s="42"/>
      <c r="R3925" s="23"/>
    </row>
    <row r="3926" spans="1:18" ht="12.75">
      <c r="A3926" s="12"/>
      <c r="D3926" s="12"/>
      <c r="E3926" s="12"/>
      <c r="H3926" s="11" t="str">
        <f ca="1">IFERROR(__xludf.DUMMYFUNCTION("IFERROR(SUBSTITUTE(SUBSTITUTE(REGEXEXTRACT(A3926, ""[^-]+- [^-]+- [^-]+ - (.+?)\.jpg""), "".jpg"", """"), ""-"", "", ""), """")"),"")</f>
        <v/>
      </c>
      <c r="L3926" s="12"/>
      <c r="M3926" s="13"/>
      <c r="N3926" s="2"/>
      <c r="O3926" s="20"/>
      <c r="P3926" s="42"/>
      <c r="R3926" s="23"/>
    </row>
    <row r="3927" spans="1:18" ht="12.75">
      <c r="A3927" s="12"/>
      <c r="D3927" s="12"/>
      <c r="E3927" s="12"/>
      <c r="H3927" s="11" t="str">
        <f ca="1">IFERROR(__xludf.DUMMYFUNCTION("IFERROR(SUBSTITUTE(SUBSTITUTE(REGEXEXTRACT(A3927, ""[^-]+- [^-]+- [^-]+ - (.+?)\.jpg""), "".jpg"", """"), ""-"", "", ""), """")"),"")</f>
        <v/>
      </c>
      <c r="L3927" s="12"/>
      <c r="M3927" s="13"/>
      <c r="N3927" s="2"/>
      <c r="O3927" s="20"/>
      <c r="P3927" s="42"/>
      <c r="R3927" s="23"/>
    </row>
    <row r="3928" spans="1:18" ht="12.75">
      <c r="A3928" s="12"/>
      <c r="D3928" s="12"/>
      <c r="E3928" s="12"/>
      <c r="H3928" s="11" t="str">
        <f ca="1">IFERROR(__xludf.DUMMYFUNCTION("IFERROR(SUBSTITUTE(SUBSTITUTE(REGEXEXTRACT(A3928, ""[^-]+- [^-]+- [^-]+ - (.+?)\.jpg""), "".jpg"", """"), ""-"", "", ""), """")"),"")</f>
        <v/>
      </c>
      <c r="L3928" s="12"/>
      <c r="M3928" s="13"/>
      <c r="N3928" s="2"/>
      <c r="O3928" s="20"/>
      <c r="P3928" s="42"/>
      <c r="R3928" s="23"/>
    </row>
    <row r="3929" spans="1:18" ht="12.75">
      <c r="A3929" s="12"/>
      <c r="D3929" s="12"/>
      <c r="E3929" s="12"/>
      <c r="H3929" s="11" t="str">
        <f ca="1">IFERROR(__xludf.DUMMYFUNCTION("IFERROR(SUBSTITUTE(SUBSTITUTE(REGEXEXTRACT(A3929, ""[^-]+- [^-]+- [^-]+ - (.+?)\.jpg""), "".jpg"", """"), ""-"", "", ""), """")"),"")</f>
        <v/>
      </c>
      <c r="L3929" s="12"/>
      <c r="M3929" s="13"/>
      <c r="N3929" s="2"/>
      <c r="O3929" s="20"/>
      <c r="P3929" s="42"/>
      <c r="R3929" s="23"/>
    </row>
    <row r="3930" spans="1:18" ht="12.75">
      <c r="A3930" s="12"/>
      <c r="D3930" s="12"/>
      <c r="E3930" s="12"/>
      <c r="H3930" s="11" t="str">
        <f ca="1">IFERROR(__xludf.DUMMYFUNCTION("IFERROR(SUBSTITUTE(SUBSTITUTE(REGEXEXTRACT(A3930, ""[^-]+- [^-]+- [^-]+ - (.+?)\.jpg""), "".jpg"", """"), ""-"", "", ""), """")"),"")</f>
        <v/>
      </c>
      <c r="L3930" s="12"/>
      <c r="M3930" s="13"/>
      <c r="N3930" s="2"/>
      <c r="O3930" s="20"/>
      <c r="P3930" s="42"/>
      <c r="R3930" s="23"/>
    </row>
    <row r="3931" spans="1:18" ht="12.75">
      <c r="A3931" s="12"/>
      <c r="D3931" s="12"/>
      <c r="E3931" s="12"/>
      <c r="H3931" s="11" t="str">
        <f ca="1">IFERROR(__xludf.DUMMYFUNCTION("IFERROR(SUBSTITUTE(SUBSTITUTE(REGEXEXTRACT(A3931, ""[^-]+- [^-]+- [^-]+ - (.+?)\.jpg""), "".jpg"", """"), ""-"", "", ""), """")"),"")</f>
        <v/>
      </c>
      <c r="L3931" s="12"/>
      <c r="M3931" s="13"/>
      <c r="N3931" s="2"/>
      <c r="O3931" s="20"/>
      <c r="P3931" s="42"/>
      <c r="R3931" s="23"/>
    </row>
    <row r="3932" spans="1:18" ht="12.75">
      <c r="A3932" s="12"/>
      <c r="D3932" s="12"/>
      <c r="E3932" s="12"/>
      <c r="H3932" s="11" t="str">
        <f ca="1">IFERROR(__xludf.DUMMYFUNCTION("IFERROR(SUBSTITUTE(SUBSTITUTE(REGEXEXTRACT(A3932, ""[^-]+- [^-]+- [^-]+ - (.+?)\.jpg""), "".jpg"", """"), ""-"", "", ""), """")"),"")</f>
        <v/>
      </c>
      <c r="L3932" s="12"/>
      <c r="M3932" s="13"/>
      <c r="N3932" s="2"/>
      <c r="O3932" s="20"/>
      <c r="P3932" s="42"/>
      <c r="R3932" s="23"/>
    </row>
    <row r="3933" spans="1:18" ht="12.75">
      <c r="A3933" s="12"/>
      <c r="D3933" s="12"/>
      <c r="E3933" s="12"/>
      <c r="H3933" s="11" t="str">
        <f ca="1">IFERROR(__xludf.DUMMYFUNCTION("IFERROR(SUBSTITUTE(SUBSTITUTE(REGEXEXTRACT(A3933, ""[^-]+- [^-]+- [^-]+ - (.+?)\.jpg""), "".jpg"", """"), ""-"", "", ""), """")"),"")</f>
        <v/>
      </c>
      <c r="L3933" s="12"/>
      <c r="M3933" s="13"/>
      <c r="N3933" s="2"/>
      <c r="O3933" s="20"/>
      <c r="P3933" s="42"/>
      <c r="R3933" s="23"/>
    </row>
    <row r="3934" spans="1:18" ht="12.75">
      <c r="A3934" s="12"/>
      <c r="D3934" s="12"/>
      <c r="E3934" s="12"/>
      <c r="H3934" s="11" t="str">
        <f ca="1">IFERROR(__xludf.DUMMYFUNCTION("IFERROR(SUBSTITUTE(SUBSTITUTE(REGEXEXTRACT(A3934, ""[^-]+- [^-]+- [^-]+ - (.+?)\.jpg""), "".jpg"", """"), ""-"", "", ""), """")"),"")</f>
        <v/>
      </c>
      <c r="L3934" s="12"/>
      <c r="M3934" s="13"/>
      <c r="N3934" s="2"/>
      <c r="O3934" s="20"/>
      <c r="P3934" s="42"/>
      <c r="R3934" s="23"/>
    </row>
    <row r="3935" spans="1:18" ht="12.75">
      <c r="A3935" s="12"/>
      <c r="D3935" s="12"/>
      <c r="E3935" s="12"/>
      <c r="H3935" s="11" t="str">
        <f ca="1">IFERROR(__xludf.DUMMYFUNCTION("IFERROR(SUBSTITUTE(SUBSTITUTE(REGEXEXTRACT(A3935, ""[^-]+- [^-]+- [^-]+ - (.+?)\.jpg""), "".jpg"", """"), ""-"", "", ""), """")"),"")</f>
        <v/>
      </c>
      <c r="L3935" s="12"/>
      <c r="M3935" s="13"/>
      <c r="N3935" s="2"/>
      <c r="O3935" s="20"/>
      <c r="P3935" s="42"/>
      <c r="R3935" s="23"/>
    </row>
    <row r="3936" spans="1:18" ht="12.75">
      <c r="A3936" s="12"/>
      <c r="D3936" s="12"/>
      <c r="E3936" s="12"/>
      <c r="H3936" s="11" t="str">
        <f ca="1">IFERROR(__xludf.DUMMYFUNCTION("IFERROR(SUBSTITUTE(SUBSTITUTE(REGEXEXTRACT(A3936, ""[^-]+- [^-]+- [^-]+ - (.+?)\.jpg""), "".jpg"", """"), ""-"", "", ""), """")"),"")</f>
        <v/>
      </c>
      <c r="L3936" s="12"/>
      <c r="M3936" s="13"/>
      <c r="N3936" s="2"/>
      <c r="O3936" s="20"/>
      <c r="P3936" s="42"/>
      <c r="R3936" s="23"/>
    </row>
    <row r="3937" spans="1:18" ht="12.75">
      <c r="A3937" s="12"/>
      <c r="D3937" s="12"/>
      <c r="E3937" s="12"/>
      <c r="H3937" s="11" t="str">
        <f ca="1">IFERROR(__xludf.DUMMYFUNCTION("IFERROR(SUBSTITUTE(SUBSTITUTE(REGEXEXTRACT(A3937, ""[^-]+- [^-]+- [^-]+ - (.+?)\.jpg""), "".jpg"", """"), ""-"", "", ""), """")"),"")</f>
        <v/>
      </c>
      <c r="L3937" s="12"/>
      <c r="M3937" s="13"/>
      <c r="N3937" s="2"/>
      <c r="O3937" s="20"/>
      <c r="P3937" s="42"/>
      <c r="R3937" s="23"/>
    </row>
    <row r="3938" spans="1:18" ht="12.75">
      <c r="A3938" s="12"/>
      <c r="D3938" s="12"/>
      <c r="E3938" s="12"/>
      <c r="H3938" s="11" t="str">
        <f ca="1">IFERROR(__xludf.DUMMYFUNCTION("IFERROR(SUBSTITUTE(SUBSTITUTE(REGEXEXTRACT(A3938, ""[^-]+- [^-]+- [^-]+ - (.+?)\.jpg""), "".jpg"", """"), ""-"", "", ""), """")"),"")</f>
        <v/>
      </c>
      <c r="L3938" s="12"/>
      <c r="M3938" s="13"/>
      <c r="N3938" s="2"/>
      <c r="O3938" s="20"/>
      <c r="P3938" s="42"/>
      <c r="R3938" s="23"/>
    </row>
    <row r="3939" spans="1:18" ht="12.75">
      <c r="A3939" s="12"/>
      <c r="D3939" s="12"/>
      <c r="E3939" s="12"/>
      <c r="H3939" s="11" t="str">
        <f ca="1">IFERROR(__xludf.DUMMYFUNCTION("IFERROR(SUBSTITUTE(SUBSTITUTE(REGEXEXTRACT(A3939, ""[^-]+- [^-]+- [^-]+ - (.+?)\.jpg""), "".jpg"", """"), ""-"", "", ""), """")"),"")</f>
        <v/>
      </c>
      <c r="L3939" s="12"/>
      <c r="M3939" s="13"/>
      <c r="N3939" s="2"/>
      <c r="O3939" s="20"/>
      <c r="P3939" s="42"/>
      <c r="R3939" s="23"/>
    </row>
    <row r="3940" spans="1:18" ht="12.75">
      <c r="A3940" s="12"/>
      <c r="D3940" s="12"/>
      <c r="E3940" s="12"/>
      <c r="H3940" s="11" t="str">
        <f ca="1">IFERROR(__xludf.DUMMYFUNCTION("IFERROR(SUBSTITUTE(SUBSTITUTE(REGEXEXTRACT(A3940, ""[^-]+- [^-]+- [^-]+ - (.+?)\.jpg""), "".jpg"", """"), ""-"", "", ""), """")"),"")</f>
        <v/>
      </c>
      <c r="L3940" s="12"/>
      <c r="M3940" s="13"/>
      <c r="N3940" s="2"/>
      <c r="O3940" s="20"/>
      <c r="P3940" s="42"/>
      <c r="R3940" s="23"/>
    </row>
    <row r="3941" spans="1:18" ht="12.75">
      <c r="A3941" s="12"/>
      <c r="D3941" s="12"/>
      <c r="E3941" s="12"/>
      <c r="H3941" s="11" t="str">
        <f ca="1">IFERROR(__xludf.DUMMYFUNCTION("IFERROR(SUBSTITUTE(SUBSTITUTE(REGEXEXTRACT(A3941, ""[^-]+- [^-]+- [^-]+ - (.+?)\.jpg""), "".jpg"", """"), ""-"", "", ""), """")"),"")</f>
        <v/>
      </c>
      <c r="L3941" s="12"/>
      <c r="M3941" s="13"/>
      <c r="N3941" s="2"/>
      <c r="O3941" s="20"/>
      <c r="P3941" s="42"/>
      <c r="R3941" s="23"/>
    </row>
    <row r="3942" spans="1:18" ht="12.75">
      <c r="A3942" s="12"/>
      <c r="D3942" s="12"/>
      <c r="E3942" s="12"/>
      <c r="H3942" s="11" t="str">
        <f ca="1">IFERROR(__xludf.DUMMYFUNCTION("IFERROR(SUBSTITUTE(SUBSTITUTE(REGEXEXTRACT(A3942, ""[^-]+- [^-]+- [^-]+ - (.+?)\.jpg""), "".jpg"", """"), ""-"", "", ""), """")"),"")</f>
        <v/>
      </c>
      <c r="L3942" s="12"/>
      <c r="M3942" s="13"/>
      <c r="N3942" s="2"/>
      <c r="O3942" s="20"/>
      <c r="P3942" s="42"/>
      <c r="R3942" s="23"/>
    </row>
    <row r="3943" spans="1:18" ht="12.75">
      <c r="A3943" s="12"/>
      <c r="D3943" s="12"/>
      <c r="E3943" s="12"/>
      <c r="H3943" s="11" t="str">
        <f ca="1">IFERROR(__xludf.DUMMYFUNCTION("IFERROR(SUBSTITUTE(SUBSTITUTE(REGEXEXTRACT(A3943, ""[^-]+- [^-]+- [^-]+ - (.+?)\.jpg""), "".jpg"", """"), ""-"", "", ""), """")"),"")</f>
        <v/>
      </c>
      <c r="L3943" s="12"/>
      <c r="M3943" s="13"/>
      <c r="N3943" s="2"/>
      <c r="O3943" s="20"/>
      <c r="P3943" s="42"/>
      <c r="R3943" s="23"/>
    </row>
    <row r="3944" spans="1:18" ht="12.75">
      <c r="A3944" s="12"/>
      <c r="D3944" s="12"/>
      <c r="E3944" s="12"/>
      <c r="H3944" s="11" t="str">
        <f ca="1">IFERROR(__xludf.DUMMYFUNCTION("IFERROR(SUBSTITUTE(SUBSTITUTE(REGEXEXTRACT(A3944, ""[^-]+- [^-]+- [^-]+ - (.+?)\.jpg""), "".jpg"", """"), ""-"", "", ""), """")"),"")</f>
        <v/>
      </c>
      <c r="L3944" s="12"/>
      <c r="M3944" s="13"/>
      <c r="N3944" s="2"/>
      <c r="O3944" s="20"/>
      <c r="P3944" s="42"/>
      <c r="R3944" s="23"/>
    </row>
    <row r="3945" spans="1:18" ht="12.75">
      <c r="A3945" s="12"/>
      <c r="D3945" s="12"/>
      <c r="E3945" s="12"/>
      <c r="H3945" s="11" t="str">
        <f ca="1">IFERROR(__xludf.DUMMYFUNCTION("IFERROR(SUBSTITUTE(SUBSTITUTE(REGEXEXTRACT(A3945, ""[^-]+- [^-]+- [^-]+ - (.+?)\.jpg""), "".jpg"", """"), ""-"", "", ""), """")"),"")</f>
        <v/>
      </c>
      <c r="L3945" s="12"/>
      <c r="M3945" s="13"/>
      <c r="N3945" s="2"/>
      <c r="O3945" s="20"/>
      <c r="P3945" s="42"/>
      <c r="R3945" s="23"/>
    </row>
    <row r="3946" spans="1:18" ht="12.75">
      <c r="A3946" s="12"/>
      <c r="D3946" s="12"/>
      <c r="E3946" s="12"/>
      <c r="H3946" s="11" t="str">
        <f ca="1">IFERROR(__xludf.DUMMYFUNCTION("IFERROR(SUBSTITUTE(SUBSTITUTE(REGEXEXTRACT(A3946, ""[^-]+- [^-]+- [^-]+ - (.+?)\.jpg""), "".jpg"", """"), ""-"", "", ""), """")"),"")</f>
        <v/>
      </c>
      <c r="L3946" s="12"/>
      <c r="M3946" s="13"/>
      <c r="N3946" s="2"/>
      <c r="O3946" s="20"/>
      <c r="P3946" s="42"/>
      <c r="R3946" s="23"/>
    </row>
    <row r="3947" spans="1:18" ht="12.75">
      <c r="A3947" s="12"/>
      <c r="D3947" s="12"/>
      <c r="E3947" s="12"/>
      <c r="H3947" s="11" t="str">
        <f ca="1">IFERROR(__xludf.DUMMYFUNCTION("IFERROR(SUBSTITUTE(SUBSTITUTE(REGEXEXTRACT(A3947, ""[^-]+- [^-]+- [^-]+ - (.+?)\.jpg""), "".jpg"", """"), ""-"", "", ""), """")"),"")</f>
        <v/>
      </c>
      <c r="L3947" s="12"/>
      <c r="M3947" s="13"/>
      <c r="N3947" s="2"/>
      <c r="O3947" s="20"/>
      <c r="P3947" s="42"/>
      <c r="R3947" s="23"/>
    </row>
    <row r="3948" spans="1:18" ht="12.75">
      <c r="A3948" s="12"/>
      <c r="D3948" s="12"/>
      <c r="E3948" s="12"/>
      <c r="H3948" s="11" t="str">
        <f ca="1">IFERROR(__xludf.DUMMYFUNCTION("IFERROR(SUBSTITUTE(SUBSTITUTE(REGEXEXTRACT(A3948, ""[^-]+- [^-]+- [^-]+ - (.+?)\.jpg""), "".jpg"", """"), ""-"", "", ""), """")"),"")</f>
        <v/>
      </c>
      <c r="L3948" s="12"/>
      <c r="M3948" s="13"/>
      <c r="N3948" s="2"/>
      <c r="O3948" s="20"/>
      <c r="P3948" s="42"/>
      <c r="R3948" s="23"/>
    </row>
    <row r="3949" spans="1:18" ht="12.75">
      <c r="A3949" s="12"/>
      <c r="D3949" s="12"/>
      <c r="E3949" s="12"/>
      <c r="H3949" s="11" t="str">
        <f ca="1">IFERROR(__xludf.DUMMYFUNCTION("IFERROR(SUBSTITUTE(SUBSTITUTE(REGEXEXTRACT(A3949, ""[^-]+- [^-]+- [^-]+ - (.+?)\.jpg""), "".jpg"", """"), ""-"", "", ""), """")"),"")</f>
        <v/>
      </c>
      <c r="L3949" s="12"/>
      <c r="M3949" s="13"/>
      <c r="N3949" s="2"/>
      <c r="O3949" s="20"/>
      <c r="P3949" s="42"/>
      <c r="R3949" s="23"/>
    </row>
    <row r="3950" spans="1:18" ht="12.75">
      <c r="A3950" s="12"/>
      <c r="D3950" s="12"/>
      <c r="E3950" s="12"/>
      <c r="H3950" s="11" t="str">
        <f ca="1">IFERROR(__xludf.DUMMYFUNCTION("IFERROR(SUBSTITUTE(SUBSTITUTE(REGEXEXTRACT(A3950, ""[^-]+- [^-]+- [^-]+ - (.+?)\.jpg""), "".jpg"", """"), ""-"", "", ""), """")"),"")</f>
        <v/>
      </c>
      <c r="L3950" s="12"/>
      <c r="M3950" s="13"/>
      <c r="N3950" s="2"/>
      <c r="O3950" s="20"/>
      <c r="P3950" s="42"/>
      <c r="R3950" s="23"/>
    </row>
    <row r="3951" spans="1:18" ht="12.75">
      <c r="A3951" s="12"/>
      <c r="D3951" s="12"/>
      <c r="E3951" s="12"/>
      <c r="H3951" s="11" t="str">
        <f ca="1">IFERROR(__xludf.DUMMYFUNCTION("IFERROR(SUBSTITUTE(SUBSTITUTE(REGEXEXTRACT(A3951, ""[^-]+- [^-]+- [^-]+ - (.+?)\.jpg""), "".jpg"", """"), ""-"", "", ""), """")"),"")</f>
        <v/>
      </c>
      <c r="L3951" s="12"/>
      <c r="M3951" s="13"/>
      <c r="N3951" s="2"/>
      <c r="O3951" s="20"/>
      <c r="P3951" s="42"/>
      <c r="R3951" s="23"/>
    </row>
    <row r="3952" spans="1:18" ht="12.75">
      <c r="A3952" s="12"/>
      <c r="D3952" s="12"/>
      <c r="E3952" s="12"/>
      <c r="H3952" s="11" t="str">
        <f ca="1">IFERROR(__xludf.DUMMYFUNCTION("IFERROR(SUBSTITUTE(SUBSTITUTE(REGEXEXTRACT(A3952, ""[^-]+- [^-]+- [^-]+ - (.+?)\.jpg""), "".jpg"", """"), ""-"", "", ""), """")"),"")</f>
        <v/>
      </c>
      <c r="L3952" s="12"/>
      <c r="M3952" s="13"/>
      <c r="N3952" s="2"/>
      <c r="O3952" s="20"/>
      <c r="P3952" s="42"/>
      <c r="R3952" s="23"/>
    </row>
    <row r="3953" spans="1:18" ht="12.75">
      <c r="A3953" s="12"/>
      <c r="D3953" s="12"/>
      <c r="E3953" s="12"/>
      <c r="H3953" s="11" t="str">
        <f ca="1">IFERROR(__xludf.DUMMYFUNCTION("IFERROR(SUBSTITUTE(SUBSTITUTE(REGEXEXTRACT(A3953, ""[^-]+- [^-]+- [^-]+ - (.+?)\.jpg""), "".jpg"", """"), ""-"", "", ""), """")"),"")</f>
        <v/>
      </c>
      <c r="L3953" s="12"/>
      <c r="M3953" s="13"/>
      <c r="N3953" s="2"/>
      <c r="O3953" s="20"/>
      <c r="P3953" s="42"/>
      <c r="R3953" s="23"/>
    </row>
    <row r="3954" spans="1:18" ht="12.75">
      <c r="A3954" s="12"/>
      <c r="D3954" s="12"/>
      <c r="E3954" s="12"/>
      <c r="H3954" s="11" t="str">
        <f ca="1">IFERROR(__xludf.DUMMYFUNCTION("IFERROR(SUBSTITUTE(SUBSTITUTE(REGEXEXTRACT(A3954, ""[^-]+- [^-]+- [^-]+ - (.+?)\.jpg""), "".jpg"", """"), ""-"", "", ""), """")"),"")</f>
        <v/>
      </c>
      <c r="L3954" s="12"/>
      <c r="M3954" s="13"/>
      <c r="N3954" s="2"/>
      <c r="O3954" s="20"/>
      <c r="P3954" s="42"/>
      <c r="R3954" s="23"/>
    </row>
    <row r="3955" spans="1:18" ht="12.75">
      <c r="A3955" s="12"/>
      <c r="D3955" s="12"/>
      <c r="E3955" s="12"/>
      <c r="H3955" s="11" t="str">
        <f ca="1">IFERROR(__xludf.DUMMYFUNCTION("IFERROR(SUBSTITUTE(SUBSTITUTE(REGEXEXTRACT(A3955, ""[^-]+- [^-]+- [^-]+ - (.+?)\.jpg""), "".jpg"", """"), ""-"", "", ""), """")"),"")</f>
        <v/>
      </c>
      <c r="L3955" s="12"/>
      <c r="M3955" s="13"/>
      <c r="N3955" s="2"/>
      <c r="O3955" s="20"/>
      <c r="P3955" s="42"/>
      <c r="R3955" s="23"/>
    </row>
    <row r="3956" spans="1:18" ht="12.75">
      <c r="A3956" s="12"/>
      <c r="D3956" s="12"/>
      <c r="E3956" s="12"/>
      <c r="H3956" s="11" t="str">
        <f ca="1">IFERROR(__xludf.DUMMYFUNCTION("IFERROR(SUBSTITUTE(SUBSTITUTE(REGEXEXTRACT(A3956, ""[^-]+- [^-]+- [^-]+ - (.+?)\.jpg""), "".jpg"", """"), ""-"", "", ""), """")"),"")</f>
        <v/>
      </c>
      <c r="L3956" s="12"/>
      <c r="M3956" s="13"/>
      <c r="N3956" s="2"/>
      <c r="O3956" s="20"/>
      <c r="P3956" s="42"/>
      <c r="R3956" s="23"/>
    </row>
    <row r="3957" spans="1:18" ht="12.75">
      <c r="A3957" s="12"/>
      <c r="D3957" s="12"/>
      <c r="E3957" s="12"/>
      <c r="H3957" s="11" t="str">
        <f ca="1">IFERROR(__xludf.DUMMYFUNCTION("IFERROR(SUBSTITUTE(SUBSTITUTE(REGEXEXTRACT(A3957, ""[^-]+- [^-]+- [^-]+ - (.+?)\.jpg""), "".jpg"", """"), ""-"", "", ""), """")"),"")</f>
        <v/>
      </c>
      <c r="L3957" s="12"/>
      <c r="M3957" s="13"/>
      <c r="N3957" s="2"/>
      <c r="O3957" s="20"/>
      <c r="P3957" s="42"/>
      <c r="R3957" s="23"/>
    </row>
    <row r="3958" spans="1:18" ht="12.75">
      <c r="A3958" s="12"/>
      <c r="D3958" s="12"/>
      <c r="E3958" s="12"/>
      <c r="H3958" s="11" t="str">
        <f ca="1">IFERROR(__xludf.DUMMYFUNCTION("IFERROR(SUBSTITUTE(SUBSTITUTE(REGEXEXTRACT(A3958, ""[^-]+- [^-]+- [^-]+ - (.+?)\.jpg""), "".jpg"", """"), ""-"", "", ""), """")"),"")</f>
        <v/>
      </c>
      <c r="L3958" s="12"/>
      <c r="M3958" s="13"/>
      <c r="N3958" s="2"/>
      <c r="O3958" s="20"/>
      <c r="P3958" s="42"/>
      <c r="R3958" s="23"/>
    </row>
    <row r="3959" spans="1:18" ht="12.75">
      <c r="A3959" s="12"/>
      <c r="D3959" s="12"/>
      <c r="E3959" s="12"/>
      <c r="H3959" s="11" t="str">
        <f ca="1">IFERROR(__xludf.DUMMYFUNCTION("IFERROR(SUBSTITUTE(SUBSTITUTE(REGEXEXTRACT(A3959, ""[^-]+- [^-]+- [^-]+ - (.+?)\.jpg""), "".jpg"", """"), ""-"", "", ""), """")"),"")</f>
        <v/>
      </c>
      <c r="L3959" s="12"/>
      <c r="M3959" s="13"/>
      <c r="N3959" s="2"/>
      <c r="O3959" s="20"/>
      <c r="P3959" s="42"/>
      <c r="R3959" s="23"/>
    </row>
    <row r="3960" spans="1:18" ht="12.75">
      <c r="A3960" s="12"/>
      <c r="D3960" s="12"/>
      <c r="E3960" s="12"/>
      <c r="H3960" s="11" t="str">
        <f ca="1">IFERROR(__xludf.DUMMYFUNCTION("IFERROR(SUBSTITUTE(SUBSTITUTE(REGEXEXTRACT(A3960, ""[^-]+- [^-]+- [^-]+ - (.+?)\.jpg""), "".jpg"", """"), ""-"", "", ""), """")"),"")</f>
        <v/>
      </c>
      <c r="L3960" s="12"/>
      <c r="M3960" s="13"/>
      <c r="N3960" s="2"/>
      <c r="O3960" s="20"/>
      <c r="P3960" s="42"/>
      <c r="R3960" s="23"/>
    </row>
    <row r="3961" spans="1:18" ht="12.75">
      <c r="A3961" s="12"/>
      <c r="D3961" s="12"/>
      <c r="E3961" s="12"/>
      <c r="H3961" s="11" t="str">
        <f ca="1">IFERROR(__xludf.DUMMYFUNCTION("IFERROR(SUBSTITUTE(SUBSTITUTE(REGEXEXTRACT(A3961, ""[^-]+- [^-]+- [^-]+ - (.+?)\.jpg""), "".jpg"", """"), ""-"", "", ""), """")"),"")</f>
        <v/>
      </c>
      <c r="L3961" s="12"/>
      <c r="M3961" s="13"/>
      <c r="N3961" s="2"/>
      <c r="O3961" s="20"/>
      <c r="P3961" s="42"/>
      <c r="R3961" s="23"/>
    </row>
    <row r="3962" spans="1:18" ht="12.75">
      <c r="A3962" s="12"/>
      <c r="D3962" s="12"/>
      <c r="E3962" s="12"/>
      <c r="H3962" s="11" t="str">
        <f ca="1">IFERROR(__xludf.DUMMYFUNCTION("IFERROR(SUBSTITUTE(SUBSTITUTE(REGEXEXTRACT(A3962, ""[^-]+- [^-]+- [^-]+ - (.+?)\.jpg""), "".jpg"", """"), ""-"", "", ""), """")"),"")</f>
        <v/>
      </c>
      <c r="L3962" s="12"/>
      <c r="M3962" s="13"/>
      <c r="N3962" s="2"/>
      <c r="O3962" s="20"/>
      <c r="P3962" s="42"/>
      <c r="R3962" s="23"/>
    </row>
    <row r="3963" spans="1:18" ht="12.75">
      <c r="A3963" s="12"/>
      <c r="D3963" s="12"/>
      <c r="E3963" s="12"/>
      <c r="H3963" s="11" t="str">
        <f ca="1">IFERROR(__xludf.DUMMYFUNCTION("IFERROR(SUBSTITUTE(SUBSTITUTE(REGEXEXTRACT(A3963, ""[^-]+- [^-]+- [^-]+ - (.+?)\.jpg""), "".jpg"", """"), ""-"", "", ""), """")"),"")</f>
        <v/>
      </c>
      <c r="L3963" s="12"/>
      <c r="M3963" s="13"/>
      <c r="N3963" s="2"/>
      <c r="O3963" s="20"/>
      <c r="P3963" s="42"/>
      <c r="R3963" s="23"/>
    </row>
    <row r="3964" spans="1:18" ht="12.75">
      <c r="A3964" s="12"/>
      <c r="D3964" s="12"/>
      <c r="E3964" s="12"/>
      <c r="H3964" s="11" t="str">
        <f ca="1">IFERROR(__xludf.DUMMYFUNCTION("IFERROR(SUBSTITUTE(SUBSTITUTE(REGEXEXTRACT(A3964, ""[^-]+- [^-]+- [^-]+ - (.+?)\.jpg""), "".jpg"", """"), ""-"", "", ""), """")"),"")</f>
        <v/>
      </c>
      <c r="L3964" s="12"/>
      <c r="M3964" s="13"/>
      <c r="N3964" s="2"/>
      <c r="O3964" s="20"/>
      <c r="P3964" s="42"/>
      <c r="R3964" s="23"/>
    </row>
    <row r="3965" spans="1:18" ht="12.75">
      <c r="A3965" s="12"/>
      <c r="D3965" s="12"/>
      <c r="E3965" s="12"/>
      <c r="H3965" s="11" t="str">
        <f ca="1">IFERROR(__xludf.DUMMYFUNCTION("IFERROR(SUBSTITUTE(SUBSTITUTE(REGEXEXTRACT(A3965, ""[^-]+- [^-]+- [^-]+ - (.+?)\.jpg""), "".jpg"", """"), ""-"", "", ""), """")"),"")</f>
        <v/>
      </c>
      <c r="L3965" s="12"/>
      <c r="M3965" s="13"/>
      <c r="N3965" s="2"/>
      <c r="O3965" s="20"/>
      <c r="P3965" s="42"/>
      <c r="R3965" s="23"/>
    </row>
    <row r="3966" spans="1:18" ht="12.75">
      <c r="A3966" s="12"/>
      <c r="D3966" s="12"/>
      <c r="E3966" s="12"/>
      <c r="H3966" s="11" t="str">
        <f ca="1">IFERROR(__xludf.DUMMYFUNCTION("IFERROR(SUBSTITUTE(SUBSTITUTE(REGEXEXTRACT(A3966, ""[^-]+- [^-]+- [^-]+ - (.+?)\.jpg""), "".jpg"", """"), ""-"", "", ""), """")"),"")</f>
        <v/>
      </c>
      <c r="L3966" s="12"/>
      <c r="M3966" s="13"/>
      <c r="N3966" s="2"/>
      <c r="O3966" s="20"/>
      <c r="P3966" s="42"/>
      <c r="R3966" s="23"/>
    </row>
    <row r="3967" spans="1:18" ht="12.75">
      <c r="A3967" s="12"/>
      <c r="D3967" s="12"/>
      <c r="E3967" s="12"/>
      <c r="H3967" s="11" t="str">
        <f ca="1">IFERROR(__xludf.DUMMYFUNCTION("IFERROR(SUBSTITUTE(SUBSTITUTE(REGEXEXTRACT(A3967, ""[^-]+- [^-]+- [^-]+ - (.+?)\.jpg""), "".jpg"", """"), ""-"", "", ""), """")"),"")</f>
        <v/>
      </c>
      <c r="L3967" s="12"/>
      <c r="M3967" s="13"/>
      <c r="N3967" s="2"/>
      <c r="O3967" s="20"/>
      <c r="P3967" s="42"/>
      <c r="R3967" s="23"/>
    </row>
    <row r="3968" spans="1:18" ht="12.75">
      <c r="A3968" s="12"/>
      <c r="D3968" s="12"/>
      <c r="E3968" s="12"/>
      <c r="H3968" s="11" t="str">
        <f ca="1">IFERROR(__xludf.DUMMYFUNCTION("IFERROR(SUBSTITUTE(SUBSTITUTE(REGEXEXTRACT(A3968, ""[^-]+- [^-]+- [^-]+ - (.+?)\.jpg""), "".jpg"", """"), ""-"", "", ""), """")"),"")</f>
        <v/>
      </c>
      <c r="L3968" s="12"/>
      <c r="M3968" s="13"/>
      <c r="N3968" s="2"/>
      <c r="O3968" s="20"/>
      <c r="P3968" s="42"/>
      <c r="R3968" s="23"/>
    </row>
    <row r="3969" spans="1:18" ht="12.75">
      <c r="A3969" s="12"/>
      <c r="D3969" s="12"/>
      <c r="E3969" s="12"/>
      <c r="H3969" s="11" t="str">
        <f ca="1">IFERROR(__xludf.DUMMYFUNCTION("IFERROR(SUBSTITUTE(SUBSTITUTE(REGEXEXTRACT(A3969, ""[^-]+- [^-]+- [^-]+ - (.+?)\.jpg""), "".jpg"", """"), ""-"", "", ""), """")"),"")</f>
        <v/>
      </c>
      <c r="L3969" s="12"/>
      <c r="M3969" s="13"/>
      <c r="N3969" s="2"/>
      <c r="O3969" s="20"/>
      <c r="P3969" s="42"/>
      <c r="R3969" s="23"/>
    </row>
    <row r="3970" spans="1:18" ht="12.75">
      <c r="A3970" s="12"/>
      <c r="D3970" s="12"/>
      <c r="E3970" s="12"/>
      <c r="H3970" s="11" t="str">
        <f ca="1">IFERROR(__xludf.DUMMYFUNCTION("IFERROR(SUBSTITUTE(SUBSTITUTE(REGEXEXTRACT(A3970, ""[^-]+- [^-]+- [^-]+ - (.+?)\.jpg""), "".jpg"", """"), ""-"", "", ""), """")"),"")</f>
        <v/>
      </c>
      <c r="L3970" s="12"/>
      <c r="M3970" s="13"/>
      <c r="N3970" s="2"/>
      <c r="O3970" s="20"/>
      <c r="P3970" s="42"/>
      <c r="R3970" s="23"/>
    </row>
    <row r="3971" spans="1:18" ht="12.75">
      <c r="A3971" s="12"/>
      <c r="D3971" s="12"/>
      <c r="E3971" s="12"/>
      <c r="H3971" s="11" t="str">
        <f ca="1">IFERROR(__xludf.DUMMYFUNCTION("IFERROR(SUBSTITUTE(SUBSTITUTE(REGEXEXTRACT(A3971, ""[^-]+- [^-]+- [^-]+ - (.+?)\.jpg""), "".jpg"", """"), ""-"", "", ""), """")"),"")</f>
        <v/>
      </c>
      <c r="L3971" s="12"/>
      <c r="M3971" s="13"/>
      <c r="N3971" s="2"/>
      <c r="O3971" s="20"/>
      <c r="P3971" s="42"/>
      <c r="R3971" s="23"/>
    </row>
    <row r="3972" spans="1:18" ht="12.75">
      <c r="A3972" s="12"/>
      <c r="D3972" s="12"/>
      <c r="E3972" s="12"/>
      <c r="H3972" s="11" t="str">
        <f ca="1">IFERROR(__xludf.DUMMYFUNCTION("IFERROR(SUBSTITUTE(SUBSTITUTE(REGEXEXTRACT(A3972, ""[^-]+- [^-]+- [^-]+ - (.+?)\.jpg""), "".jpg"", """"), ""-"", "", ""), """")"),"")</f>
        <v/>
      </c>
      <c r="L3972" s="12"/>
      <c r="M3972" s="13"/>
      <c r="N3972" s="2"/>
      <c r="O3972" s="20"/>
      <c r="P3972" s="42"/>
      <c r="R3972" s="23"/>
    </row>
    <row r="3973" spans="1:18" ht="12.75">
      <c r="A3973" s="12"/>
      <c r="D3973" s="12"/>
      <c r="E3973" s="12"/>
      <c r="H3973" s="11" t="str">
        <f ca="1">IFERROR(__xludf.DUMMYFUNCTION("IFERROR(SUBSTITUTE(SUBSTITUTE(REGEXEXTRACT(A3973, ""[^-]+- [^-]+- [^-]+ - (.+?)\.jpg""), "".jpg"", """"), ""-"", "", ""), """")"),"")</f>
        <v/>
      </c>
      <c r="L3973" s="12"/>
      <c r="M3973" s="13"/>
      <c r="N3973" s="2"/>
      <c r="O3973" s="20"/>
      <c r="P3973" s="42"/>
      <c r="R3973" s="23"/>
    </row>
    <row r="3974" spans="1:18" ht="12.75">
      <c r="A3974" s="12"/>
      <c r="D3974" s="12"/>
      <c r="E3974" s="12"/>
      <c r="H3974" s="11" t="str">
        <f ca="1">IFERROR(__xludf.DUMMYFUNCTION("IFERROR(SUBSTITUTE(SUBSTITUTE(REGEXEXTRACT(A3974, ""[^-]+- [^-]+- [^-]+ - (.+?)\.jpg""), "".jpg"", """"), ""-"", "", ""), """")"),"")</f>
        <v/>
      </c>
      <c r="L3974" s="12"/>
      <c r="M3974" s="13"/>
      <c r="N3974" s="2"/>
      <c r="O3974" s="20"/>
      <c r="P3974" s="42"/>
      <c r="R3974" s="23"/>
    </row>
    <row r="3975" spans="1:18" ht="12.75">
      <c r="A3975" s="12"/>
      <c r="D3975" s="12"/>
      <c r="E3975" s="12"/>
      <c r="H3975" s="11" t="str">
        <f ca="1">IFERROR(__xludf.DUMMYFUNCTION("IFERROR(SUBSTITUTE(SUBSTITUTE(REGEXEXTRACT(A3975, ""[^-]+- [^-]+- [^-]+ - (.+?)\.jpg""), "".jpg"", """"), ""-"", "", ""), """")"),"")</f>
        <v/>
      </c>
      <c r="L3975" s="12"/>
      <c r="M3975" s="13"/>
      <c r="N3975" s="2"/>
      <c r="O3975" s="20"/>
      <c r="P3975" s="42"/>
      <c r="R3975" s="23"/>
    </row>
    <row r="3976" spans="1:18" ht="12.75">
      <c r="A3976" s="12"/>
      <c r="D3976" s="12"/>
      <c r="E3976" s="12"/>
      <c r="H3976" s="11" t="str">
        <f ca="1">IFERROR(__xludf.DUMMYFUNCTION("IFERROR(SUBSTITUTE(SUBSTITUTE(REGEXEXTRACT(A3976, ""[^-]+- [^-]+- [^-]+ - (.+?)\.jpg""), "".jpg"", """"), ""-"", "", ""), """")"),"")</f>
        <v/>
      </c>
      <c r="L3976" s="12"/>
      <c r="M3976" s="13"/>
      <c r="N3976" s="2"/>
      <c r="O3976" s="20"/>
      <c r="P3976" s="42"/>
      <c r="R3976" s="23"/>
    </row>
    <row r="3977" spans="1:18" ht="12.75">
      <c r="A3977" s="12"/>
      <c r="D3977" s="12"/>
      <c r="E3977" s="12"/>
      <c r="H3977" s="11" t="str">
        <f ca="1">IFERROR(__xludf.DUMMYFUNCTION("IFERROR(SUBSTITUTE(SUBSTITUTE(REGEXEXTRACT(A3977, ""[^-]+- [^-]+- [^-]+ - (.+?)\.jpg""), "".jpg"", """"), ""-"", "", ""), """")"),"")</f>
        <v/>
      </c>
      <c r="L3977" s="12"/>
      <c r="M3977" s="13"/>
      <c r="N3977" s="2"/>
      <c r="O3977" s="20"/>
      <c r="P3977" s="42"/>
      <c r="R3977" s="23"/>
    </row>
    <row r="3978" spans="1:18" ht="12.75">
      <c r="A3978" s="12"/>
      <c r="D3978" s="12"/>
      <c r="E3978" s="12"/>
      <c r="H3978" s="11" t="str">
        <f ca="1">IFERROR(__xludf.DUMMYFUNCTION("IFERROR(SUBSTITUTE(SUBSTITUTE(REGEXEXTRACT(A3978, ""[^-]+- [^-]+- [^-]+ - (.+?)\.jpg""), "".jpg"", """"), ""-"", "", ""), """")"),"")</f>
        <v/>
      </c>
      <c r="L3978" s="12"/>
      <c r="M3978" s="13"/>
      <c r="N3978" s="2"/>
      <c r="O3978" s="20"/>
      <c r="P3978" s="42"/>
      <c r="R3978" s="23"/>
    </row>
    <row r="3979" spans="1:18" ht="12.75">
      <c r="A3979" s="12"/>
      <c r="D3979" s="12"/>
      <c r="E3979" s="12"/>
      <c r="H3979" s="11" t="str">
        <f ca="1">IFERROR(__xludf.DUMMYFUNCTION("IFERROR(SUBSTITUTE(SUBSTITUTE(REGEXEXTRACT(A3979, ""[^-]+- [^-]+- [^-]+ - (.+?)\.jpg""), "".jpg"", """"), ""-"", "", ""), """")"),"")</f>
        <v/>
      </c>
      <c r="L3979" s="12"/>
      <c r="M3979" s="13"/>
      <c r="N3979" s="2"/>
      <c r="O3979" s="20"/>
      <c r="P3979" s="42"/>
      <c r="R3979" s="23"/>
    </row>
    <row r="3980" spans="1:18" ht="12.75">
      <c r="A3980" s="12"/>
      <c r="D3980" s="12"/>
      <c r="E3980" s="12"/>
      <c r="H3980" s="11" t="str">
        <f ca="1">IFERROR(__xludf.DUMMYFUNCTION("IFERROR(SUBSTITUTE(SUBSTITUTE(REGEXEXTRACT(A3980, ""[^-]+- [^-]+- [^-]+ - (.+?)\.jpg""), "".jpg"", """"), ""-"", "", ""), """")"),"")</f>
        <v/>
      </c>
      <c r="L3980" s="12"/>
      <c r="M3980" s="13"/>
      <c r="N3980" s="2"/>
      <c r="O3980" s="20"/>
      <c r="P3980" s="42"/>
      <c r="R3980" s="23"/>
    </row>
    <row r="3981" spans="1:18" ht="12.75">
      <c r="A3981" s="12"/>
      <c r="D3981" s="12"/>
      <c r="E3981" s="12"/>
      <c r="H3981" s="11" t="str">
        <f ca="1">IFERROR(__xludf.DUMMYFUNCTION("IFERROR(SUBSTITUTE(SUBSTITUTE(REGEXEXTRACT(A3981, ""[^-]+- [^-]+- [^-]+ - (.+?)\.jpg""), "".jpg"", """"), ""-"", "", ""), """")"),"")</f>
        <v/>
      </c>
      <c r="L3981" s="12"/>
      <c r="M3981" s="13"/>
      <c r="N3981" s="2"/>
      <c r="O3981" s="20"/>
      <c r="P3981" s="42"/>
      <c r="R3981" s="23"/>
    </row>
    <row r="3982" spans="1:18" ht="12.75">
      <c r="A3982" s="12"/>
      <c r="D3982" s="12"/>
      <c r="E3982" s="12"/>
      <c r="H3982" s="11" t="str">
        <f ca="1">IFERROR(__xludf.DUMMYFUNCTION("IFERROR(SUBSTITUTE(SUBSTITUTE(REGEXEXTRACT(A3982, ""[^-]+- [^-]+- [^-]+ - (.+?)\.jpg""), "".jpg"", """"), ""-"", "", ""), """")"),"")</f>
        <v/>
      </c>
      <c r="L3982" s="12"/>
      <c r="M3982" s="13"/>
      <c r="N3982" s="2"/>
      <c r="O3982" s="20"/>
      <c r="P3982" s="42"/>
      <c r="R3982" s="23"/>
    </row>
    <row r="3983" spans="1:18" ht="12.75">
      <c r="A3983" s="12"/>
      <c r="D3983" s="12"/>
      <c r="E3983" s="12"/>
      <c r="H3983" s="11" t="str">
        <f ca="1">IFERROR(__xludf.DUMMYFUNCTION("IFERROR(SUBSTITUTE(SUBSTITUTE(REGEXEXTRACT(A3983, ""[^-]+- [^-]+- [^-]+ - (.+?)\.jpg""), "".jpg"", """"), ""-"", "", ""), """")"),"")</f>
        <v/>
      </c>
      <c r="L3983" s="12"/>
      <c r="M3983" s="13"/>
      <c r="N3983" s="2"/>
      <c r="O3983" s="20"/>
      <c r="P3983" s="42"/>
      <c r="R3983" s="23"/>
    </row>
    <row r="3984" spans="1:18" ht="12.75">
      <c r="A3984" s="12"/>
      <c r="D3984" s="12"/>
      <c r="E3984" s="12"/>
      <c r="H3984" s="11" t="str">
        <f ca="1">IFERROR(__xludf.DUMMYFUNCTION("IFERROR(SUBSTITUTE(SUBSTITUTE(REGEXEXTRACT(A3984, ""[^-]+- [^-]+- [^-]+ - (.+?)\.jpg""), "".jpg"", """"), ""-"", "", ""), """")"),"")</f>
        <v/>
      </c>
      <c r="L3984" s="12"/>
      <c r="M3984" s="13"/>
      <c r="N3984" s="2"/>
      <c r="O3984" s="20"/>
      <c r="P3984" s="42"/>
      <c r="R3984" s="23"/>
    </row>
    <row r="3985" spans="1:18" ht="12.75">
      <c r="A3985" s="12"/>
      <c r="D3985" s="12"/>
      <c r="E3985" s="12"/>
      <c r="H3985" s="11" t="str">
        <f ca="1">IFERROR(__xludf.DUMMYFUNCTION("IFERROR(SUBSTITUTE(SUBSTITUTE(REGEXEXTRACT(A3985, ""[^-]+- [^-]+- [^-]+ - (.+?)\.jpg""), "".jpg"", """"), ""-"", "", ""), """")"),"")</f>
        <v/>
      </c>
      <c r="L3985" s="12"/>
      <c r="M3985" s="13"/>
      <c r="N3985" s="2"/>
      <c r="O3985" s="20"/>
      <c r="P3985" s="42"/>
      <c r="R3985" s="23"/>
    </row>
    <row r="3986" spans="1:18" ht="12.75">
      <c r="A3986" s="12"/>
      <c r="D3986" s="12"/>
      <c r="E3986" s="12"/>
      <c r="H3986" s="11" t="str">
        <f ca="1">IFERROR(__xludf.DUMMYFUNCTION("IFERROR(SUBSTITUTE(SUBSTITUTE(REGEXEXTRACT(A3986, ""[^-]+- [^-]+- [^-]+ - (.+?)\.jpg""), "".jpg"", """"), ""-"", "", ""), """")"),"")</f>
        <v/>
      </c>
      <c r="L3986" s="12"/>
      <c r="M3986" s="13"/>
      <c r="N3986" s="2"/>
      <c r="O3986" s="20"/>
      <c r="P3986" s="42"/>
      <c r="R3986" s="23"/>
    </row>
    <row r="3987" spans="1:18" ht="12.75">
      <c r="A3987" s="12"/>
      <c r="D3987" s="12"/>
      <c r="E3987" s="12"/>
      <c r="H3987" s="11" t="str">
        <f ca="1">IFERROR(__xludf.DUMMYFUNCTION("IFERROR(SUBSTITUTE(SUBSTITUTE(REGEXEXTRACT(A3987, ""[^-]+- [^-]+- [^-]+ - (.+?)\.jpg""), "".jpg"", """"), ""-"", "", ""), """")"),"")</f>
        <v/>
      </c>
      <c r="L3987" s="12"/>
      <c r="M3987" s="13"/>
      <c r="N3987" s="2"/>
      <c r="O3987" s="20"/>
      <c r="P3987" s="42"/>
      <c r="R3987" s="23"/>
    </row>
    <row r="3988" spans="1:18" ht="12.75">
      <c r="A3988" s="12"/>
      <c r="D3988" s="12"/>
      <c r="E3988" s="12"/>
      <c r="H3988" s="11" t="str">
        <f ca="1">IFERROR(__xludf.DUMMYFUNCTION("IFERROR(SUBSTITUTE(SUBSTITUTE(REGEXEXTRACT(A3988, ""[^-]+- [^-]+- [^-]+ - (.+?)\.jpg""), "".jpg"", """"), ""-"", "", ""), """")"),"")</f>
        <v/>
      </c>
      <c r="L3988" s="12"/>
      <c r="M3988" s="13"/>
      <c r="N3988" s="2"/>
      <c r="O3988" s="20"/>
      <c r="P3988" s="42"/>
      <c r="R3988" s="23"/>
    </row>
    <row r="3989" spans="1:18" ht="12.75">
      <c r="A3989" s="12"/>
      <c r="D3989" s="12"/>
      <c r="E3989" s="12"/>
      <c r="H3989" s="11" t="str">
        <f ca="1">IFERROR(__xludf.DUMMYFUNCTION("IFERROR(SUBSTITUTE(SUBSTITUTE(REGEXEXTRACT(A3989, ""[^-]+- [^-]+- [^-]+ - (.+?)\.jpg""), "".jpg"", """"), ""-"", "", ""), """")"),"")</f>
        <v/>
      </c>
      <c r="L3989" s="12"/>
      <c r="M3989" s="13"/>
      <c r="N3989" s="2"/>
      <c r="O3989" s="20"/>
      <c r="P3989" s="42"/>
      <c r="R3989" s="23"/>
    </row>
    <row r="3990" spans="1:18" ht="12.75">
      <c r="A3990" s="12"/>
      <c r="D3990" s="12"/>
      <c r="E3990" s="12"/>
      <c r="H3990" s="11" t="str">
        <f ca="1">IFERROR(__xludf.DUMMYFUNCTION("IFERROR(SUBSTITUTE(SUBSTITUTE(REGEXEXTRACT(A3990, ""[^-]+- [^-]+- [^-]+ - (.+?)\.jpg""), "".jpg"", """"), ""-"", "", ""), """")"),"")</f>
        <v/>
      </c>
      <c r="L3990" s="12"/>
      <c r="M3990" s="13"/>
      <c r="N3990" s="2"/>
      <c r="O3990" s="20"/>
      <c r="P3990" s="42"/>
      <c r="R3990" s="23"/>
    </row>
    <row r="3991" spans="1:18" ht="12.75">
      <c r="A3991" s="12"/>
      <c r="D3991" s="12"/>
      <c r="E3991" s="12"/>
      <c r="H3991" s="11" t="str">
        <f ca="1">IFERROR(__xludf.DUMMYFUNCTION("IFERROR(SUBSTITUTE(SUBSTITUTE(REGEXEXTRACT(A3991, ""[^-]+- [^-]+- [^-]+ - (.+?)\.jpg""), "".jpg"", """"), ""-"", "", ""), """")"),"")</f>
        <v/>
      </c>
      <c r="L3991" s="12"/>
      <c r="M3991" s="13"/>
      <c r="N3991" s="2"/>
      <c r="O3991" s="20"/>
      <c r="P3991" s="42"/>
      <c r="R3991" s="23"/>
    </row>
    <row r="3992" spans="1:18" ht="12.75">
      <c r="A3992" s="12"/>
      <c r="D3992" s="12"/>
      <c r="E3992" s="12"/>
      <c r="H3992" s="11" t="str">
        <f ca="1">IFERROR(__xludf.DUMMYFUNCTION("IFERROR(SUBSTITUTE(SUBSTITUTE(REGEXEXTRACT(A3992, ""[^-]+- [^-]+- [^-]+ - (.+?)\.jpg""), "".jpg"", """"), ""-"", "", ""), """")"),"")</f>
        <v/>
      </c>
      <c r="L3992" s="12"/>
      <c r="M3992" s="13"/>
      <c r="N3992" s="2"/>
      <c r="O3992" s="20"/>
      <c r="P3992" s="42"/>
      <c r="R3992" s="23"/>
    </row>
    <row r="3993" spans="1:18" ht="12.75">
      <c r="A3993" s="12"/>
      <c r="D3993" s="12"/>
      <c r="E3993" s="12"/>
      <c r="H3993" s="11" t="str">
        <f ca="1">IFERROR(__xludf.DUMMYFUNCTION("IFERROR(SUBSTITUTE(SUBSTITUTE(REGEXEXTRACT(A3993, ""[^-]+- [^-]+- [^-]+ - (.+?)\.jpg""), "".jpg"", """"), ""-"", "", ""), """")"),"")</f>
        <v/>
      </c>
      <c r="L3993" s="12"/>
      <c r="M3993" s="13"/>
      <c r="N3993" s="2"/>
      <c r="O3993" s="20"/>
      <c r="P3993" s="42"/>
      <c r="R3993" s="23"/>
    </row>
    <row r="3994" spans="1:18" ht="12.75">
      <c r="A3994" s="12"/>
      <c r="D3994" s="12"/>
      <c r="E3994" s="12"/>
      <c r="H3994" s="11" t="str">
        <f ca="1">IFERROR(__xludf.DUMMYFUNCTION("IFERROR(SUBSTITUTE(SUBSTITUTE(REGEXEXTRACT(A3994, ""[^-]+- [^-]+- [^-]+ - (.+?)\.jpg""), "".jpg"", """"), ""-"", "", ""), """")"),"")</f>
        <v/>
      </c>
      <c r="L3994" s="12"/>
      <c r="M3994" s="13"/>
      <c r="N3994" s="2"/>
      <c r="O3994" s="20"/>
      <c r="P3994" s="42"/>
      <c r="R3994" s="23"/>
    </row>
    <row r="3995" spans="1:18" ht="12.75">
      <c r="A3995" s="12"/>
      <c r="D3995" s="12"/>
      <c r="E3995" s="12"/>
      <c r="H3995" s="11" t="str">
        <f ca="1">IFERROR(__xludf.DUMMYFUNCTION("IFERROR(SUBSTITUTE(SUBSTITUTE(REGEXEXTRACT(A3995, ""[^-]+- [^-]+- [^-]+ - (.+?)\.jpg""), "".jpg"", """"), ""-"", "", ""), """")"),"")</f>
        <v/>
      </c>
      <c r="L3995" s="12"/>
      <c r="M3995" s="13"/>
      <c r="N3995" s="2"/>
      <c r="O3995" s="20"/>
      <c r="P3995" s="42"/>
      <c r="R3995" s="23"/>
    </row>
    <row r="3996" spans="1:18" ht="12.75">
      <c r="A3996" s="12"/>
      <c r="D3996" s="12"/>
      <c r="E3996" s="12"/>
      <c r="H3996" s="11" t="str">
        <f ca="1">IFERROR(__xludf.DUMMYFUNCTION("IFERROR(SUBSTITUTE(SUBSTITUTE(REGEXEXTRACT(A3996, ""[^-]+- [^-]+- [^-]+ - (.+?)\.jpg""), "".jpg"", """"), ""-"", "", ""), """")"),"")</f>
        <v/>
      </c>
      <c r="L3996" s="12"/>
      <c r="M3996" s="13"/>
      <c r="N3996" s="2"/>
      <c r="O3996" s="20"/>
      <c r="P3996" s="42"/>
      <c r="R3996" s="23"/>
    </row>
    <row r="3997" spans="1:18" ht="12.75">
      <c r="A3997" s="12"/>
      <c r="D3997" s="12"/>
      <c r="E3997" s="12"/>
      <c r="H3997" s="11" t="str">
        <f ca="1">IFERROR(__xludf.DUMMYFUNCTION("IFERROR(SUBSTITUTE(SUBSTITUTE(REGEXEXTRACT(A3997, ""[^-]+- [^-]+- [^-]+ - (.+?)\.jpg""), "".jpg"", """"), ""-"", "", ""), """")"),"")</f>
        <v/>
      </c>
      <c r="L3997" s="12"/>
      <c r="M3997" s="13"/>
      <c r="N3997" s="2"/>
      <c r="O3997" s="20"/>
      <c r="P3997" s="42"/>
      <c r="R3997" s="23"/>
    </row>
    <row r="3998" spans="1:18" ht="12.75">
      <c r="A3998" s="12"/>
      <c r="D3998" s="12"/>
      <c r="E3998" s="12"/>
      <c r="H3998" s="11" t="str">
        <f ca="1">IFERROR(__xludf.DUMMYFUNCTION("IFERROR(SUBSTITUTE(SUBSTITUTE(REGEXEXTRACT(A3998, ""[^-]+- [^-]+- [^-]+ - (.+?)\.jpg""), "".jpg"", """"), ""-"", "", ""), """")"),"")</f>
        <v/>
      </c>
      <c r="L3998" s="12"/>
      <c r="M3998" s="13"/>
      <c r="N3998" s="2"/>
      <c r="O3998" s="20"/>
      <c r="P3998" s="42"/>
      <c r="R3998" s="23"/>
    </row>
    <row r="3999" spans="1:18" ht="12.75">
      <c r="A3999" s="12"/>
      <c r="D3999" s="12"/>
      <c r="E3999" s="12"/>
      <c r="H3999" s="11" t="str">
        <f ca="1">IFERROR(__xludf.DUMMYFUNCTION("IFERROR(SUBSTITUTE(SUBSTITUTE(REGEXEXTRACT(A3999, ""[^-]+- [^-]+- [^-]+ - (.+?)\.jpg""), "".jpg"", """"), ""-"", "", ""), """")"),"")</f>
        <v/>
      </c>
      <c r="L3999" s="12"/>
      <c r="M3999" s="13"/>
      <c r="N3999" s="2"/>
      <c r="O3999" s="20"/>
      <c r="P3999" s="42"/>
      <c r="R3999" s="23"/>
    </row>
    <row r="4000" spans="1:18" ht="12.75">
      <c r="A4000" s="12"/>
      <c r="D4000" s="12"/>
      <c r="E4000" s="12"/>
      <c r="H4000" s="11" t="str">
        <f ca="1">IFERROR(__xludf.DUMMYFUNCTION("IFERROR(SUBSTITUTE(SUBSTITUTE(REGEXEXTRACT(A4000, ""[^-]+- [^-]+- [^-]+ - (.+?)\.jpg""), "".jpg"", """"), ""-"", "", ""), """")"),"")</f>
        <v/>
      </c>
      <c r="L4000" s="12"/>
      <c r="M4000" s="13"/>
      <c r="N4000" s="2"/>
      <c r="O4000" s="20"/>
      <c r="P4000" s="42"/>
      <c r="R4000" s="23"/>
    </row>
    <row r="4001" spans="1:18" ht="12.75">
      <c r="A4001" s="12"/>
      <c r="D4001" s="12"/>
      <c r="E4001" s="12"/>
      <c r="H4001" s="11" t="str">
        <f ca="1">IFERROR(__xludf.DUMMYFUNCTION("IFERROR(SUBSTITUTE(SUBSTITUTE(REGEXEXTRACT(A4001, ""[^-]+- [^-]+- [^-]+ - (.+?)\.jpg""), "".jpg"", """"), ""-"", "", ""), """")"),"")</f>
        <v/>
      </c>
      <c r="L4001" s="12"/>
      <c r="M4001" s="13"/>
      <c r="N4001" s="2"/>
      <c r="O4001" s="20"/>
      <c r="P4001" s="42"/>
      <c r="R4001" s="23"/>
    </row>
    <row r="4002" spans="1:18" ht="12.75">
      <c r="A4002" s="12"/>
      <c r="D4002" s="12"/>
      <c r="E4002" s="12"/>
      <c r="H4002" s="11" t="str">
        <f ca="1">IFERROR(__xludf.DUMMYFUNCTION("IFERROR(SUBSTITUTE(SUBSTITUTE(REGEXEXTRACT(A4002, ""[^-]+- [^-]+- [^-]+ - (.+?)\.jpg""), "".jpg"", """"), ""-"", "", ""), """")"),"")</f>
        <v/>
      </c>
      <c r="L4002" s="12"/>
      <c r="M4002" s="13"/>
      <c r="N4002" s="2"/>
      <c r="O4002" s="20"/>
      <c r="P4002" s="42"/>
      <c r="R4002" s="23"/>
    </row>
    <row r="4003" spans="1:18" ht="12.75">
      <c r="A4003" s="12"/>
      <c r="D4003" s="12"/>
      <c r="E4003" s="12"/>
      <c r="H4003" s="11" t="str">
        <f ca="1">IFERROR(__xludf.DUMMYFUNCTION("IFERROR(SUBSTITUTE(SUBSTITUTE(REGEXEXTRACT(A4003, ""[^-]+- [^-]+- [^-]+ - (.+?)\.jpg""), "".jpg"", """"), ""-"", "", ""), """")"),"")</f>
        <v/>
      </c>
      <c r="L4003" s="12"/>
      <c r="M4003" s="13"/>
      <c r="N4003" s="2"/>
      <c r="O4003" s="20"/>
      <c r="P4003" s="42"/>
      <c r="R4003" s="23"/>
    </row>
    <row r="4004" spans="1:18" ht="12.75">
      <c r="A4004" s="12"/>
      <c r="D4004" s="12"/>
      <c r="E4004" s="12"/>
      <c r="H4004" s="11" t="str">
        <f ca="1">IFERROR(__xludf.DUMMYFUNCTION("IFERROR(SUBSTITUTE(SUBSTITUTE(REGEXEXTRACT(A4004, ""[^-]+- [^-]+- [^-]+ - (.+?)\.jpg""), "".jpg"", """"), ""-"", "", ""), """")"),"")</f>
        <v/>
      </c>
      <c r="L4004" s="12"/>
      <c r="M4004" s="13"/>
      <c r="N4004" s="2"/>
      <c r="O4004" s="20"/>
      <c r="P4004" s="42"/>
      <c r="R4004" s="23"/>
    </row>
    <row r="4005" spans="1:18" ht="12.75">
      <c r="A4005" s="12"/>
      <c r="D4005" s="12"/>
      <c r="E4005" s="12"/>
      <c r="H4005" s="11" t="str">
        <f ca="1">IFERROR(__xludf.DUMMYFUNCTION("IFERROR(SUBSTITUTE(SUBSTITUTE(REGEXEXTRACT(A4005, ""[^-]+- [^-]+- [^-]+ - (.+?)\.jpg""), "".jpg"", """"), ""-"", "", ""), """")"),"")</f>
        <v/>
      </c>
      <c r="L4005" s="12"/>
      <c r="M4005" s="13"/>
      <c r="N4005" s="2"/>
      <c r="O4005" s="20"/>
      <c r="P4005" s="42"/>
      <c r="R4005" s="23"/>
    </row>
    <row r="4006" spans="1:18" ht="12.75">
      <c r="A4006" s="12"/>
      <c r="D4006" s="12"/>
      <c r="E4006" s="12"/>
      <c r="H4006" s="11" t="str">
        <f ca="1">IFERROR(__xludf.DUMMYFUNCTION("IFERROR(SUBSTITUTE(SUBSTITUTE(REGEXEXTRACT(A4006, ""[^-]+- [^-]+- [^-]+ - (.+?)\.jpg""), "".jpg"", """"), ""-"", "", ""), """")"),"")</f>
        <v/>
      </c>
      <c r="L4006" s="12"/>
      <c r="M4006" s="13"/>
      <c r="N4006" s="2"/>
      <c r="O4006" s="20"/>
      <c r="P4006" s="42"/>
      <c r="R4006" s="23"/>
    </row>
    <row r="4007" spans="1:18" ht="12.75">
      <c r="A4007" s="12"/>
      <c r="D4007" s="12"/>
      <c r="E4007" s="12"/>
      <c r="H4007" s="11" t="str">
        <f ca="1">IFERROR(__xludf.DUMMYFUNCTION("IFERROR(SUBSTITUTE(SUBSTITUTE(REGEXEXTRACT(A4007, ""[^-]+- [^-]+- [^-]+ - (.+?)\.jpg""), "".jpg"", """"), ""-"", "", ""), """")"),"")</f>
        <v/>
      </c>
      <c r="L4007" s="12"/>
      <c r="M4007" s="13"/>
      <c r="N4007" s="2"/>
      <c r="O4007" s="20"/>
      <c r="P4007" s="42"/>
      <c r="R4007" s="23"/>
    </row>
    <row r="4008" spans="1:18" ht="12.75">
      <c r="A4008" s="12"/>
      <c r="D4008" s="12"/>
      <c r="E4008" s="12"/>
      <c r="H4008" s="11" t="str">
        <f ca="1">IFERROR(__xludf.DUMMYFUNCTION("IFERROR(SUBSTITUTE(SUBSTITUTE(REGEXEXTRACT(A4008, ""[^-]+- [^-]+- [^-]+ - (.+?)\.jpg""), "".jpg"", """"), ""-"", "", ""), """")"),"")</f>
        <v/>
      </c>
      <c r="L4008" s="12"/>
      <c r="M4008" s="13"/>
      <c r="N4008" s="2"/>
      <c r="O4008" s="20"/>
      <c r="P4008" s="42"/>
      <c r="R4008" s="23"/>
    </row>
    <row r="4009" spans="1:18" ht="12.75">
      <c r="A4009" s="12"/>
      <c r="D4009" s="12"/>
      <c r="E4009" s="12"/>
      <c r="H4009" s="11" t="str">
        <f ca="1">IFERROR(__xludf.DUMMYFUNCTION("IFERROR(SUBSTITUTE(SUBSTITUTE(REGEXEXTRACT(A4009, ""[^-]+- [^-]+- [^-]+ - (.+?)\.jpg""), "".jpg"", """"), ""-"", "", ""), """")"),"")</f>
        <v/>
      </c>
      <c r="L4009" s="12"/>
      <c r="M4009" s="13"/>
      <c r="N4009" s="2"/>
      <c r="O4009" s="20"/>
      <c r="P4009" s="42"/>
      <c r="R4009" s="23"/>
    </row>
    <row r="4010" spans="1:18" ht="12.75">
      <c r="A4010" s="12"/>
      <c r="D4010" s="12"/>
      <c r="E4010" s="12"/>
      <c r="H4010" s="11" t="str">
        <f ca="1">IFERROR(__xludf.DUMMYFUNCTION("IFERROR(SUBSTITUTE(SUBSTITUTE(REGEXEXTRACT(A4010, ""[^-]+- [^-]+- [^-]+ - (.+?)\.jpg""), "".jpg"", """"), ""-"", "", ""), """")"),"")</f>
        <v/>
      </c>
      <c r="L4010" s="12"/>
      <c r="M4010" s="13"/>
      <c r="N4010" s="2"/>
      <c r="O4010" s="20"/>
      <c r="P4010" s="42"/>
      <c r="R4010" s="23"/>
    </row>
    <row r="4011" spans="1:18" ht="12.75">
      <c r="A4011" s="12"/>
      <c r="D4011" s="12"/>
      <c r="E4011" s="12"/>
      <c r="H4011" s="11" t="str">
        <f ca="1">IFERROR(__xludf.DUMMYFUNCTION("IFERROR(SUBSTITUTE(SUBSTITUTE(REGEXEXTRACT(A4011, ""[^-]+- [^-]+- [^-]+ - (.+?)\.jpg""), "".jpg"", """"), ""-"", "", ""), """")"),"")</f>
        <v/>
      </c>
      <c r="L4011" s="12"/>
      <c r="M4011" s="13"/>
      <c r="N4011" s="2"/>
      <c r="O4011" s="20"/>
      <c r="P4011" s="42"/>
      <c r="R4011" s="23"/>
    </row>
    <row r="4012" spans="1:18" ht="12.75">
      <c r="A4012" s="12"/>
      <c r="D4012" s="12"/>
      <c r="E4012" s="12"/>
      <c r="H4012" s="11" t="str">
        <f ca="1">IFERROR(__xludf.DUMMYFUNCTION("IFERROR(SUBSTITUTE(SUBSTITUTE(REGEXEXTRACT(A4012, ""[^-]+- [^-]+- [^-]+ - (.+?)\.jpg""), "".jpg"", """"), ""-"", "", ""), """")"),"")</f>
        <v/>
      </c>
      <c r="L4012" s="12"/>
      <c r="M4012" s="13"/>
      <c r="N4012" s="2"/>
      <c r="O4012" s="20"/>
      <c r="P4012" s="42"/>
      <c r="R4012" s="23"/>
    </row>
    <row r="4013" spans="1:18" ht="12.75">
      <c r="A4013" s="12"/>
      <c r="D4013" s="12"/>
      <c r="E4013" s="12"/>
      <c r="H4013" s="11" t="str">
        <f ca="1">IFERROR(__xludf.DUMMYFUNCTION("IFERROR(SUBSTITUTE(SUBSTITUTE(REGEXEXTRACT(A4013, ""[^-]+- [^-]+- [^-]+ - (.+?)\.jpg""), "".jpg"", """"), ""-"", "", ""), """")"),"")</f>
        <v/>
      </c>
      <c r="L4013" s="12"/>
      <c r="M4013" s="13"/>
      <c r="N4013" s="2"/>
      <c r="O4013" s="20"/>
      <c r="P4013" s="42"/>
      <c r="R4013" s="23"/>
    </row>
    <row r="4014" spans="1:18" ht="12.75">
      <c r="A4014" s="12"/>
      <c r="D4014" s="12"/>
      <c r="E4014" s="12"/>
      <c r="H4014" s="11" t="str">
        <f ca="1">IFERROR(__xludf.DUMMYFUNCTION("IFERROR(SUBSTITUTE(SUBSTITUTE(REGEXEXTRACT(A4014, ""[^-]+- [^-]+- [^-]+ - (.+?)\.jpg""), "".jpg"", """"), ""-"", "", ""), """")"),"")</f>
        <v/>
      </c>
      <c r="L4014" s="12"/>
      <c r="M4014" s="13"/>
      <c r="N4014" s="2"/>
      <c r="O4014" s="20"/>
      <c r="P4014" s="42"/>
      <c r="R4014" s="23"/>
    </row>
    <row r="4015" spans="1:18" ht="12.75">
      <c r="A4015" s="12"/>
      <c r="D4015" s="12"/>
      <c r="E4015" s="12"/>
      <c r="H4015" s="11" t="str">
        <f ca="1">IFERROR(__xludf.DUMMYFUNCTION("IFERROR(SUBSTITUTE(SUBSTITUTE(REGEXEXTRACT(A4015, ""[^-]+- [^-]+- [^-]+ - (.+?)\.jpg""), "".jpg"", """"), ""-"", "", ""), """")"),"")</f>
        <v/>
      </c>
      <c r="L4015" s="12"/>
      <c r="M4015" s="13"/>
      <c r="N4015" s="2"/>
      <c r="O4015" s="20"/>
      <c r="P4015" s="42"/>
      <c r="R4015" s="23"/>
    </row>
    <row r="4016" spans="1:18" ht="12.75">
      <c r="A4016" s="12"/>
      <c r="D4016" s="12"/>
      <c r="E4016" s="12"/>
      <c r="H4016" s="11" t="str">
        <f ca="1">IFERROR(__xludf.DUMMYFUNCTION("IFERROR(SUBSTITUTE(SUBSTITUTE(REGEXEXTRACT(A4016, ""[^-]+- [^-]+- [^-]+ - (.+?)\.jpg""), "".jpg"", """"), ""-"", "", ""), """")"),"")</f>
        <v/>
      </c>
      <c r="L4016" s="12"/>
      <c r="M4016" s="13"/>
      <c r="N4016" s="2"/>
      <c r="O4016" s="20"/>
      <c r="P4016" s="42"/>
      <c r="R4016" s="23"/>
    </row>
    <row r="4017" spans="1:18" ht="12.75">
      <c r="A4017" s="12"/>
      <c r="D4017" s="12"/>
      <c r="E4017" s="12"/>
      <c r="H4017" s="11" t="str">
        <f ca="1">IFERROR(__xludf.DUMMYFUNCTION("IFERROR(SUBSTITUTE(SUBSTITUTE(REGEXEXTRACT(A4017, ""[^-]+- [^-]+- [^-]+ - (.+?)\.jpg""), "".jpg"", """"), ""-"", "", ""), """")"),"")</f>
        <v/>
      </c>
      <c r="L4017" s="12"/>
      <c r="M4017" s="13"/>
      <c r="N4017" s="2"/>
      <c r="O4017" s="20"/>
      <c r="P4017" s="42"/>
      <c r="R4017" s="23"/>
    </row>
    <row r="4018" spans="1:18" ht="12.75">
      <c r="A4018" s="12"/>
      <c r="D4018" s="12"/>
      <c r="E4018" s="12"/>
      <c r="H4018" s="11" t="str">
        <f ca="1">IFERROR(__xludf.DUMMYFUNCTION("IFERROR(SUBSTITUTE(SUBSTITUTE(REGEXEXTRACT(A4018, ""[^-]+- [^-]+- [^-]+ - (.+?)\.jpg""), "".jpg"", """"), ""-"", "", ""), """")"),"")</f>
        <v/>
      </c>
      <c r="L4018" s="12"/>
      <c r="M4018" s="13"/>
      <c r="N4018" s="2"/>
      <c r="O4018" s="20"/>
      <c r="P4018" s="42"/>
      <c r="R4018" s="23"/>
    </row>
    <row r="4019" spans="1:18" ht="12.75">
      <c r="A4019" s="12"/>
      <c r="D4019" s="12"/>
      <c r="E4019" s="12"/>
      <c r="H4019" s="11" t="str">
        <f ca="1">IFERROR(__xludf.DUMMYFUNCTION("IFERROR(SUBSTITUTE(SUBSTITUTE(REGEXEXTRACT(A4019, ""[^-]+- [^-]+- [^-]+ - (.+?)\.jpg""), "".jpg"", """"), ""-"", "", ""), """")"),"")</f>
        <v/>
      </c>
      <c r="L4019" s="12"/>
      <c r="M4019" s="13"/>
      <c r="N4019" s="2"/>
      <c r="O4019" s="20"/>
      <c r="P4019" s="42"/>
      <c r="R4019" s="23"/>
    </row>
    <row r="4020" spans="1:18" ht="12.75">
      <c r="A4020" s="12"/>
      <c r="D4020" s="12"/>
      <c r="E4020" s="12"/>
      <c r="H4020" s="11" t="str">
        <f ca="1">IFERROR(__xludf.DUMMYFUNCTION("IFERROR(SUBSTITUTE(SUBSTITUTE(REGEXEXTRACT(A4020, ""[^-]+- [^-]+- [^-]+ - (.+?)\.jpg""), "".jpg"", """"), ""-"", "", ""), """")"),"")</f>
        <v/>
      </c>
      <c r="L4020" s="12"/>
      <c r="M4020" s="13"/>
      <c r="N4020" s="2"/>
      <c r="O4020" s="20"/>
      <c r="P4020" s="42"/>
      <c r="R4020" s="23"/>
    </row>
    <row r="4021" spans="1:18" ht="12.75">
      <c r="A4021" s="12"/>
      <c r="D4021" s="12"/>
      <c r="E4021" s="12"/>
      <c r="H4021" s="11" t="str">
        <f ca="1">IFERROR(__xludf.DUMMYFUNCTION("IFERROR(SUBSTITUTE(SUBSTITUTE(REGEXEXTRACT(A4021, ""[^-]+- [^-]+- [^-]+ - (.+?)\.jpg""), "".jpg"", """"), ""-"", "", ""), """")"),"")</f>
        <v/>
      </c>
      <c r="L4021" s="12"/>
      <c r="M4021" s="13"/>
      <c r="N4021" s="2"/>
      <c r="O4021" s="20"/>
      <c r="P4021" s="42"/>
      <c r="R4021" s="23"/>
    </row>
    <row r="4022" spans="1:18" ht="12.75">
      <c r="A4022" s="12"/>
      <c r="D4022" s="12"/>
      <c r="E4022" s="12"/>
      <c r="H4022" s="11" t="str">
        <f ca="1">IFERROR(__xludf.DUMMYFUNCTION("IFERROR(SUBSTITUTE(SUBSTITUTE(REGEXEXTRACT(A4022, ""[^-]+- [^-]+- [^-]+ - (.+?)\.jpg""), "".jpg"", """"), ""-"", "", ""), """")"),"")</f>
        <v/>
      </c>
      <c r="L4022" s="12"/>
      <c r="M4022" s="13"/>
      <c r="N4022" s="2"/>
      <c r="O4022" s="20"/>
      <c r="P4022" s="42"/>
      <c r="R4022" s="23"/>
    </row>
    <row r="4023" spans="1:18" ht="12.75">
      <c r="A4023" s="12"/>
      <c r="D4023" s="12"/>
      <c r="E4023" s="12"/>
      <c r="H4023" s="11" t="str">
        <f ca="1">IFERROR(__xludf.DUMMYFUNCTION("IFERROR(SUBSTITUTE(SUBSTITUTE(REGEXEXTRACT(A4023, ""[^-]+- [^-]+- [^-]+ - (.+?)\.jpg""), "".jpg"", """"), ""-"", "", ""), """")"),"")</f>
        <v/>
      </c>
      <c r="L4023" s="12"/>
      <c r="M4023" s="13"/>
      <c r="N4023" s="2"/>
      <c r="O4023" s="20"/>
      <c r="P4023" s="42"/>
      <c r="R4023" s="23"/>
    </row>
    <row r="4024" spans="1:18" ht="12.75">
      <c r="A4024" s="12"/>
      <c r="D4024" s="12"/>
      <c r="E4024" s="12"/>
      <c r="H4024" s="11" t="str">
        <f ca="1">IFERROR(__xludf.DUMMYFUNCTION("IFERROR(SUBSTITUTE(SUBSTITUTE(REGEXEXTRACT(A4024, ""[^-]+- [^-]+- [^-]+ - (.+?)\.jpg""), "".jpg"", """"), ""-"", "", ""), """")"),"")</f>
        <v/>
      </c>
      <c r="L4024" s="12"/>
      <c r="M4024" s="13"/>
      <c r="N4024" s="2"/>
      <c r="O4024" s="20"/>
      <c r="P4024" s="42"/>
      <c r="R4024" s="23"/>
    </row>
    <row r="4025" spans="1:18" ht="12.75">
      <c r="A4025" s="12"/>
      <c r="D4025" s="12"/>
      <c r="E4025" s="12"/>
      <c r="H4025" s="11" t="str">
        <f ca="1">IFERROR(__xludf.DUMMYFUNCTION("IFERROR(SUBSTITUTE(SUBSTITUTE(REGEXEXTRACT(A4025, ""[^-]+- [^-]+- [^-]+ - (.+?)\.jpg""), "".jpg"", """"), ""-"", "", ""), """")"),"")</f>
        <v/>
      </c>
      <c r="L4025" s="12"/>
      <c r="M4025" s="13"/>
      <c r="N4025" s="2"/>
      <c r="O4025" s="20"/>
      <c r="P4025" s="42"/>
      <c r="R4025" s="23"/>
    </row>
    <row r="4026" spans="1:18" ht="12.75">
      <c r="A4026" s="12"/>
      <c r="D4026" s="12"/>
      <c r="E4026" s="12"/>
      <c r="H4026" s="11" t="str">
        <f ca="1">IFERROR(__xludf.DUMMYFUNCTION("IFERROR(SUBSTITUTE(SUBSTITUTE(REGEXEXTRACT(A4026, ""[^-]+- [^-]+- [^-]+ - (.+?)\.jpg""), "".jpg"", """"), ""-"", "", ""), """")"),"")</f>
        <v/>
      </c>
      <c r="L4026" s="12"/>
      <c r="M4026" s="13"/>
      <c r="N4026" s="2"/>
      <c r="O4026" s="20"/>
      <c r="P4026" s="42"/>
      <c r="R4026" s="23"/>
    </row>
    <row r="4027" spans="1:18" ht="12.75">
      <c r="A4027" s="12"/>
      <c r="D4027" s="12"/>
      <c r="E4027" s="12"/>
      <c r="H4027" s="11" t="str">
        <f ca="1">IFERROR(__xludf.DUMMYFUNCTION("IFERROR(SUBSTITUTE(SUBSTITUTE(REGEXEXTRACT(A4027, ""[^-]+- [^-]+- [^-]+ - (.+?)\.jpg""), "".jpg"", """"), ""-"", "", ""), """")"),"")</f>
        <v/>
      </c>
      <c r="L4027" s="12"/>
      <c r="M4027" s="13"/>
      <c r="N4027" s="2"/>
      <c r="O4027" s="20"/>
      <c r="P4027" s="42"/>
      <c r="R4027" s="23"/>
    </row>
    <row r="4028" spans="1:18" ht="12.75">
      <c r="A4028" s="12"/>
      <c r="D4028" s="12"/>
      <c r="E4028" s="12"/>
      <c r="H4028" s="11" t="str">
        <f ca="1">IFERROR(__xludf.DUMMYFUNCTION("IFERROR(SUBSTITUTE(SUBSTITUTE(REGEXEXTRACT(A4028, ""[^-]+- [^-]+- [^-]+ - (.+?)\.jpg""), "".jpg"", """"), ""-"", "", ""), """")"),"")</f>
        <v/>
      </c>
      <c r="L4028" s="12"/>
      <c r="M4028" s="13"/>
      <c r="N4028" s="2"/>
      <c r="O4028" s="20"/>
      <c r="P4028" s="42"/>
      <c r="R4028" s="23"/>
    </row>
    <row r="4029" spans="1:18" ht="12.75">
      <c r="A4029" s="12"/>
      <c r="D4029" s="12"/>
      <c r="E4029" s="12"/>
      <c r="H4029" s="11" t="str">
        <f ca="1">IFERROR(__xludf.DUMMYFUNCTION("IFERROR(SUBSTITUTE(SUBSTITUTE(REGEXEXTRACT(A4029, ""[^-]+- [^-]+- [^-]+ - (.+?)\.jpg""), "".jpg"", """"), ""-"", "", ""), """")"),"")</f>
        <v/>
      </c>
      <c r="L4029" s="12"/>
      <c r="M4029" s="13"/>
      <c r="N4029" s="2"/>
      <c r="O4029" s="20"/>
      <c r="P4029" s="42"/>
      <c r="R4029" s="23"/>
    </row>
    <row r="4030" spans="1:18" ht="12.75">
      <c r="A4030" s="12"/>
      <c r="D4030" s="12"/>
      <c r="E4030" s="12"/>
      <c r="H4030" s="11" t="str">
        <f ca="1">IFERROR(__xludf.DUMMYFUNCTION("IFERROR(SUBSTITUTE(SUBSTITUTE(REGEXEXTRACT(A4030, ""[^-]+- [^-]+- [^-]+ - (.+?)\.jpg""), "".jpg"", """"), ""-"", "", ""), """")"),"")</f>
        <v/>
      </c>
      <c r="L4030" s="12"/>
      <c r="M4030" s="13"/>
      <c r="N4030" s="2"/>
      <c r="O4030" s="20"/>
      <c r="P4030" s="42"/>
      <c r="R4030" s="23"/>
    </row>
    <row r="4031" spans="1:18" ht="12.75">
      <c r="A4031" s="12"/>
      <c r="D4031" s="12"/>
      <c r="E4031" s="12"/>
      <c r="H4031" s="11" t="str">
        <f ca="1">IFERROR(__xludf.DUMMYFUNCTION("IFERROR(SUBSTITUTE(SUBSTITUTE(REGEXEXTRACT(A4031, ""[^-]+- [^-]+- [^-]+ - (.+?)\.jpg""), "".jpg"", """"), ""-"", "", ""), """")"),"")</f>
        <v/>
      </c>
      <c r="L4031" s="12"/>
      <c r="M4031" s="13"/>
      <c r="N4031" s="2"/>
      <c r="O4031" s="20"/>
      <c r="P4031" s="42"/>
      <c r="R4031" s="23"/>
    </row>
    <row r="4032" spans="1:18" ht="12.75">
      <c r="A4032" s="12"/>
      <c r="D4032" s="12"/>
      <c r="E4032" s="12"/>
      <c r="H4032" s="11" t="str">
        <f ca="1">IFERROR(__xludf.DUMMYFUNCTION("IFERROR(SUBSTITUTE(SUBSTITUTE(REGEXEXTRACT(A4032, ""[^-]+- [^-]+- [^-]+ - (.+?)\.jpg""), "".jpg"", """"), ""-"", "", ""), """")"),"")</f>
        <v/>
      </c>
      <c r="L4032" s="12"/>
      <c r="M4032" s="13"/>
      <c r="N4032" s="2"/>
      <c r="O4032" s="20"/>
      <c r="P4032" s="42"/>
      <c r="R4032" s="23"/>
    </row>
    <row r="4033" spans="1:18" ht="12.75">
      <c r="A4033" s="12"/>
      <c r="D4033" s="12"/>
      <c r="E4033" s="12"/>
      <c r="H4033" s="11" t="str">
        <f ca="1">IFERROR(__xludf.DUMMYFUNCTION("IFERROR(SUBSTITUTE(SUBSTITUTE(REGEXEXTRACT(A4033, ""[^-]+- [^-]+- [^-]+ - (.+?)\.jpg""), "".jpg"", """"), ""-"", "", ""), """")"),"")</f>
        <v/>
      </c>
      <c r="L4033" s="12"/>
      <c r="M4033" s="13"/>
      <c r="N4033" s="2"/>
      <c r="O4033" s="20"/>
      <c r="P4033" s="42"/>
      <c r="R4033" s="23"/>
    </row>
    <row r="4034" spans="1:18" ht="12.75">
      <c r="A4034" s="12"/>
      <c r="D4034" s="12"/>
      <c r="E4034" s="12"/>
      <c r="H4034" s="11" t="str">
        <f ca="1">IFERROR(__xludf.DUMMYFUNCTION("IFERROR(SUBSTITUTE(SUBSTITUTE(REGEXEXTRACT(A4034, ""[^-]+- [^-]+- [^-]+ - (.+?)\.jpg""), "".jpg"", """"), ""-"", "", ""), """")"),"")</f>
        <v/>
      </c>
      <c r="L4034" s="12"/>
      <c r="M4034" s="13"/>
      <c r="N4034" s="2"/>
      <c r="O4034" s="20"/>
      <c r="P4034" s="42"/>
      <c r="R4034" s="23"/>
    </row>
    <row r="4035" spans="1:18" ht="12.75">
      <c r="A4035" s="12"/>
      <c r="D4035" s="12"/>
      <c r="E4035" s="12"/>
      <c r="H4035" s="11" t="str">
        <f ca="1">IFERROR(__xludf.DUMMYFUNCTION("IFERROR(SUBSTITUTE(SUBSTITUTE(REGEXEXTRACT(A4035, ""[^-]+- [^-]+- [^-]+ - (.+?)\.jpg""), "".jpg"", """"), ""-"", "", ""), """")"),"")</f>
        <v/>
      </c>
      <c r="L4035" s="12"/>
      <c r="M4035" s="13"/>
      <c r="N4035" s="2"/>
      <c r="O4035" s="20"/>
      <c r="P4035" s="42"/>
      <c r="R4035" s="23"/>
    </row>
    <row r="4036" spans="1:18" ht="12.75">
      <c r="A4036" s="12"/>
      <c r="D4036" s="12"/>
      <c r="E4036" s="12"/>
      <c r="H4036" s="11" t="str">
        <f ca="1">IFERROR(__xludf.DUMMYFUNCTION("IFERROR(SUBSTITUTE(SUBSTITUTE(REGEXEXTRACT(A4036, ""[^-]+- [^-]+- [^-]+ - (.+?)\.jpg""), "".jpg"", """"), ""-"", "", ""), """")"),"")</f>
        <v/>
      </c>
      <c r="L4036" s="12"/>
      <c r="M4036" s="13"/>
      <c r="N4036" s="2"/>
      <c r="O4036" s="20"/>
      <c r="P4036" s="42"/>
      <c r="R4036" s="23"/>
    </row>
    <row r="4037" spans="1:18" ht="12.75">
      <c r="A4037" s="12"/>
      <c r="D4037" s="12"/>
      <c r="E4037" s="12"/>
      <c r="H4037" s="11" t="str">
        <f ca="1">IFERROR(__xludf.DUMMYFUNCTION("IFERROR(SUBSTITUTE(SUBSTITUTE(REGEXEXTRACT(A4037, ""[^-]+- [^-]+- [^-]+ - (.+?)\.jpg""), "".jpg"", """"), ""-"", "", ""), """")"),"")</f>
        <v/>
      </c>
      <c r="L4037" s="12"/>
      <c r="M4037" s="13"/>
      <c r="N4037" s="2"/>
      <c r="O4037" s="20"/>
      <c r="P4037" s="42"/>
      <c r="R4037" s="23"/>
    </row>
    <row r="4038" spans="1:18" ht="12.75">
      <c r="A4038" s="12"/>
      <c r="D4038" s="12"/>
      <c r="E4038" s="12"/>
      <c r="H4038" s="11" t="str">
        <f ca="1">IFERROR(__xludf.DUMMYFUNCTION("IFERROR(SUBSTITUTE(SUBSTITUTE(REGEXEXTRACT(A4038, ""[^-]+- [^-]+- [^-]+ - (.+?)\.jpg""), "".jpg"", """"), ""-"", "", ""), """")"),"")</f>
        <v/>
      </c>
      <c r="L4038" s="12"/>
      <c r="M4038" s="13"/>
      <c r="N4038" s="2"/>
      <c r="O4038" s="20"/>
      <c r="P4038" s="42"/>
      <c r="R4038" s="23"/>
    </row>
    <row r="4039" spans="1:18" ht="12.75">
      <c r="A4039" s="12"/>
      <c r="D4039" s="12"/>
      <c r="E4039" s="12"/>
      <c r="H4039" s="11" t="str">
        <f ca="1">IFERROR(__xludf.DUMMYFUNCTION("IFERROR(SUBSTITUTE(SUBSTITUTE(REGEXEXTRACT(A4039, ""[^-]+- [^-]+- [^-]+ - (.+?)\.jpg""), "".jpg"", """"), ""-"", "", ""), """")"),"")</f>
        <v/>
      </c>
      <c r="L4039" s="12"/>
      <c r="M4039" s="13"/>
      <c r="N4039" s="2"/>
      <c r="O4039" s="20"/>
      <c r="P4039" s="42"/>
      <c r="R4039" s="23"/>
    </row>
    <row r="4040" spans="1:18" ht="12.75">
      <c r="A4040" s="12"/>
      <c r="D4040" s="12"/>
      <c r="E4040" s="12"/>
      <c r="H4040" s="11" t="str">
        <f ca="1">IFERROR(__xludf.DUMMYFUNCTION("IFERROR(SUBSTITUTE(SUBSTITUTE(REGEXEXTRACT(A4040, ""[^-]+- [^-]+- [^-]+ - (.+?)\.jpg""), "".jpg"", """"), ""-"", "", ""), """")"),"")</f>
        <v/>
      </c>
      <c r="L4040" s="12"/>
      <c r="M4040" s="13"/>
      <c r="N4040" s="2"/>
      <c r="O4040" s="20"/>
      <c r="P4040" s="42"/>
      <c r="R4040" s="23"/>
    </row>
    <row r="4041" spans="1:18" ht="12.75">
      <c r="A4041" s="12"/>
      <c r="D4041" s="12"/>
      <c r="E4041" s="12"/>
      <c r="H4041" s="11" t="str">
        <f ca="1">IFERROR(__xludf.DUMMYFUNCTION("IFERROR(SUBSTITUTE(SUBSTITUTE(REGEXEXTRACT(A4041, ""[^-]+- [^-]+- [^-]+ - (.+?)\.jpg""), "".jpg"", """"), ""-"", "", ""), """")"),"")</f>
        <v/>
      </c>
      <c r="L4041" s="12"/>
      <c r="M4041" s="13"/>
      <c r="N4041" s="2"/>
      <c r="O4041" s="20"/>
      <c r="P4041" s="42"/>
      <c r="R4041" s="23"/>
    </row>
    <row r="4042" spans="1:18" ht="12.75">
      <c r="A4042" s="12"/>
      <c r="D4042" s="12"/>
      <c r="E4042" s="12"/>
      <c r="H4042" s="11" t="str">
        <f ca="1">IFERROR(__xludf.DUMMYFUNCTION("IFERROR(SUBSTITUTE(SUBSTITUTE(REGEXEXTRACT(A4042, ""[^-]+- [^-]+- [^-]+ - (.+?)\.jpg""), "".jpg"", """"), ""-"", "", ""), """")"),"")</f>
        <v/>
      </c>
      <c r="L4042" s="12"/>
      <c r="M4042" s="13"/>
      <c r="N4042" s="2"/>
      <c r="O4042" s="20"/>
      <c r="P4042" s="42"/>
      <c r="R4042" s="23"/>
    </row>
    <row r="4043" spans="1:18" ht="12.75">
      <c r="A4043" s="12"/>
      <c r="D4043" s="12"/>
      <c r="E4043" s="12"/>
      <c r="H4043" s="11" t="str">
        <f ca="1">IFERROR(__xludf.DUMMYFUNCTION("IFERROR(SUBSTITUTE(SUBSTITUTE(REGEXEXTRACT(A4043, ""[^-]+- [^-]+- [^-]+ - (.+?)\.jpg""), "".jpg"", """"), ""-"", "", ""), """")"),"")</f>
        <v/>
      </c>
      <c r="L4043" s="12"/>
      <c r="M4043" s="13"/>
      <c r="N4043" s="2"/>
      <c r="O4043" s="20"/>
      <c r="P4043" s="42"/>
      <c r="R4043" s="23"/>
    </row>
    <row r="4044" spans="1:18" ht="12.75">
      <c r="A4044" s="12"/>
      <c r="D4044" s="12"/>
      <c r="E4044" s="12"/>
      <c r="H4044" s="11" t="str">
        <f ca="1">IFERROR(__xludf.DUMMYFUNCTION("IFERROR(SUBSTITUTE(SUBSTITUTE(REGEXEXTRACT(A4044, ""[^-]+- [^-]+- [^-]+ - (.+?)\.jpg""), "".jpg"", """"), ""-"", "", ""), """")"),"")</f>
        <v/>
      </c>
      <c r="L4044" s="12"/>
      <c r="M4044" s="13"/>
      <c r="N4044" s="2"/>
      <c r="O4044" s="20"/>
      <c r="P4044" s="42"/>
      <c r="R4044" s="23"/>
    </row>
    <row r="4045" spans="1:18" ht="12.75">
      <c r="A4045" s="12"/>
      <c r="D4045" s="12"/>
      <c r="E4045" s="12"/>
      <c r="H4045" s="11" t="str">
        <f ca="1">IFERROR(__xludf.DUMMYFUNCTION("IFERROR(SUBSTITUTE(SUBSTITUTE(REGEXEXTRACT(A4045, ""[^-]+- [^-]+- [^-]+ - (.+?)\.jpg""), "".jpg"", """"), ""-"", "", ""), """")"),"")</f>
        <v/>
      </c>
      <c r="L4045" s="12"/>
      <c r="M4045" s="13"/>
      <c r="N4045" s="2"/>
      <c r="O4045" s="20"/>
      <c r="P4045" s="42"/>
      <c r="R4045" s="23"/>
    </row>
    <row r="4046" spans="1:18" ht="12.75">
      <c r="A4046" s="12"/>
      <c r="D4046" s="12"/>
      <c r="E4046" s="12"/>
      <c r="H4046" s="11" t="str">
        <f ca="1">IFERROR(__xludf.DUMMYFUNCTION("IFERROR(SUBSTITUTE(SUBSTITUTE(REGEXEXTRACT(A4046, ""[^-]+- [^-]+- [^-]+ - (.+?)\.jpg""), "".jpg"", """"), ""-"", "", ""), """")"),"")</f>
        <v/>
      </c>
      <c r="L4046" s="12"/>
      <c r="M4046" s="13"/>
      <c r="N4046" s="2"/>
      <c r="O4046" s="20"/>
      <c r="P4046" s="42"/>
      <c r="R4046" s="23"/>
    </row>
    <row r="4047" spans="1:18" ht="12.75">
      <c r="A4047" s="12"/>
      <c r="D4047" s="12"/>
      <c r="E4047" s="12"/>
      <c r="H4047" s="11" t="str">
        <f ca="1">IFERROR(__xludf.DUMMYFUNCTION("IFERROR(SUBSTITUTE(SUBSTITUTE(REGEXEXTRACT(A4047, ""[^-]+- [^-]+- [^-]+ - (.+?)\.jpg""), "".jpg"", """"), ""-"", "", ""), """")"),"")</f>
        <v/>
      </c>
      <c r="L4047" s="12"/>
      <c r="M4047" s="13"/>
      <c r="N4047" s="2"/>
      <c r="O4047" s="20"/>
      <c r="P4047" s="42"/>
      <c r="R4047" s="23"/>
    </row>
    <row r="4048" spans="1:18" ht="12.75">
      <c r="A4048" s="12"/>
      <c r="D4048" s="12"/>
      <c r="E4048" s="12"/>
      <c r="H4048" s="11" t="str">
        <f ca="1">IFERROR(__xludf.DUMMYFUNCTION("IFERROR(SUBSTITUTE(SUBSTITUTE(REGEXEXTRACT(A4048, ""[^-]+- [^-]+- [^-]+ - (.+?)\.jpg""), "".jpg"", """"), ""-"", "", ""), """")"),"")</f>
        <v/>
      </c>
      <c r="L4048" s="12"/>
      <c r="M4048" s="13"/>
      <c r="N4048" s="2"/>
      <c r="O4048" s="20"/>
      <c r="P4048" s="42"/>
      <c r="R4048" s="23"/>
    </row>
    <row r="4049" spans="1:18" ht="12.75">
      <c r="A4049" s="12"/>
      <c r="D4049" s="12"/>
      <c r="E4049" s="12"/>
      <c r="H4049" s="11" t="str">
        <f ca="1">IFERROR(__xludf.DUMMYFUNCTION("IFERROR(SUBSTITUTE(SUBSTITUTE(REGEXEXTRACT(A4049, ""[^-]+- [^-]+- [^-]+ - (.+?)\.jpg""), "".jpg"", """"), ""-"", "", ""), """")"),"")</f>
        <v/>
      </c>
      <c r="L4049" s="12"/>
      <c r="M4049" s="13"/>
      <c r="N4049" s="2"/>
      <c r="O4049" s="20"/>
      <c r="P4049" s="42"/>
      <c r="R4049" s="23"/>
    </row>
    <row r="4050" spans="1:18" ht="12.75">
      <c r="A4050" s="12"/>
      <c r="D4050" s="12"/>
      <c r="E4050" s="12"/>
      <c r="H4050" s="11" t="str">
        <f ca="1">IFERROR(__xludf.DUMMYFUNCTION("IFERROR(SUBSTITUTE(SUBSTITUTE(REGEXEXTRACT(A4050, ""[^-]+- [^-]+- [^-]+ - (.+?)\.jpg""), "".jpg"", """"), ""-"", "", ""), """")"),"")</f>
        <v/>
      </c>
      <c r="L4050" s="12"/>
      <c r="M4050" s="13"/>
      <c r="N4050" s="2"/>
      <c r="O4050" s="20"/>
      <c r="P4050" s="42"/>
      <c r="R4050" s="23"/>
    </row>
    <row r="4051" spans="1:18" ht="12.75">
      <c r="A4051" s="12"/>
      <c r="D4051" s="12"/>
      <c r="E4051" s="12"/>
      <c r="H4051" s="11" t="str">
        <f ca="1">IFERROR(__xludf.DUMMYFUNCTION("IFERROR(SUBSTITUTE(SUBSTITUTE(REGEXEXTRACT(A4051, ""[^-]+- [^-]+- [^-]+ - (.+?)\.jpg""), "".jpg"", """"), ""-"", "", ""), """")"),"")</f>
        <v/>
      </c>
      <c r="L4051" s="12"/>
      <c r="M4051" s="13"/>
      <c r="N4051" s="2"/>
      <c r="O4051" s="20"/>
      <c r="P4051" s="42"/>
      <c r="R4051" s="23"/>
    </row>
    <row r="4052" spans="1:18" ht="12.75">
      <c r="A4052" s="12"/>
      <c r="D4052" s="12"/>
      <c r="E4052" s="12"/>
      <c r="H4052" s="11" t="str">
        <f ca="1">IFERROR(__xludf.DUMMYFUNCTION("IFERROR(SUBSTITUTE(SUBSTITUTE(REGEXEXTRACT(A4052, ""[^-]+- [^-]+- [^-]+ - (.+?)\.jpg""), "".jpg"", """"), ""-"", "", ""), """")"),"")</f>
        <v/>
      </c>
      <c r="L4052" s="12"/>
      <c r="M4052" s="13"/>
      <c r="N4052" s="2"/>
      <c r="O4052" s="20"/>
      <c r="P4052" s="42"/>
      <c r="R4052" s="23"/>
    </row>
    <row r="4053" spans="1:18" ht="12.75">
      <c r="A4053" s="12"/>
      <c r="D4053" s="12"/>
      <c r="E4053" s="12"/>
      <c r="H4053" s="11" t="str">
        <f ca="1">IFERROR(__xludf.DUMMYFUNCTION("IFERROR(SUBSTITUTE(SUBSTITUTE(REGEXEXTRACT(A4053, ""[^-]+- [^-]+- [^-]+ - (.+?)\.jpg""), "".jpg"", """"), ""-"", "", ""), """")"),"")</f>
        <v/>
      </c>
      <c r="L4053" s="12"/>
      <c r="M4053" s="13"/>
      <c r="N4053" s="2"/>
      <c r="O4053" s="20"/>
      <c r="P4053" s="42"/>
      <c r="R4053" s="23"/>
    </row>
    <row r="4054" spans="1:18" ht="12.75">
      <c r="A4054" s="12"/>
      <c r="D4054" s="12"/>
      <c r="E4054" s="12"/>
      <c r="H4054" s="11" t="str">
        <f ca="1">IFERROR(__xludf.DUMMYFUNCTION("IFERROR(SUBSTITUTE(SUBSTITUTE(REGEXEXTRACT(A4054, ""[^-]+- [^-]+- [^-]+ - (.+?)\.jpg""), "".jpg"", """"), ""-"", "", ""), """")"),"")</f>
        <v/>
      </c>
      <c r="L4054" s="12"/>
      <c r="M4054" s="13"/>
      <c r="N4054" s="2"/>
      <c r="O4054" s="20"/>
      <c r="P4054" s="42"/>
      <c r="R4054" s="23"/>
    </row>
    <row r="4055" spans="1:18" ht="12.75">
      <c r="A4055" s="12"/>
      <c r="D4055" s="12"/>
      <c r="E4055" s="12"/>
      <c r="H4055" s="11" t="str">
        <f ca="1">IFERROR(__xludf.DUMMYFUNCTION("IFERROR(SUBSTITUTE(SUBSTITUTE(REGEXEXTRACT(A4055, ""[^-]+- [^-]+- [^-]+ - (.+?)\.jpg""), "".jpg"", """"), ""-"", "", ""), """")"),"")</f>
        <v/>
      </c>
      <c r="L4055" s="12"/>
      <c r="M4055" s="13"/>
      <c r="N4055" s="2"/>
      <c r="O4055" s="20"/>
      <c r="P4055" s="42"/>
      <c r="R4055" s="23"/>
    </row>
    <row r="4056" spans="1:18" ht="12.75">
      <c r="A4056" s="12"/>
      <c r="D4056" s="12"/>
      <c r="E4056" s="12"/>
      <c r="H4056" s="11" t="str">
        <f ca="1">IFERROR(__xludf.DUMMYFUNCTION("IFERROR(SUBSTITUTE(SUBSTITUTE(REGEXEXTRACT(A4056, ""[^-]+- [^-]+- [^-]+ - (.+?)\.jpg""), "".jpg"", """"), ""-"", "", ""), """")"),"")</f>
        <v/>
      </c>
      <c r="L4056" s="12"/>
      <c r="M4056" s="13"/>
      <c r="N4056" s="2"/>
      <c r="O4056" s="20"/>
      <c r="P4056" s="42"/>
      <c r="R4056" s="23"/>
    </row>
    <row r="4057" spans="1:18" ht="12.75">
      <c r="A4057" s="12"/>
      <c r="D4057" s="12"/>
      <c r="E4057" s="12"/>
      <c r="H4057" s="11" t="str">
        <f ca="1">IFERROR(__xludf.DUMMYFUNCTION("IFERROR(SUBSTITUTE(SUBSTITUTE(REGEXEXTRACT(A4057, ""[^-]+- [^-]+- [^-]+ - (.+?)\.jpg""), "".jpg"", """"), ""-"", "", ""), """")"),"")</f>
        <v/>
      </c>
      <c r="L4057" s="12"/>
      <c r="M4057" s="13"/>
      <c r="N4057" s="2"/>
      <c r="O4057" s="20"/>
      <c r="P4057" s="42"/>
      <c r="R4057" s="23"/>
    </row>
    <row r="4058" spans="1:18" ht="12.75">
      <c r="A4058" s="12"/>
      <c r="D4058" s="12"/>
      <c r="E4058" s="12"/>
      <c r="H4058" s="11" t="str">
        <f ca="1">IFERROR(__xludf.DUMMYFUNCTION("IFERROR(SUBSTITUTE(SUBSTITUTE(REGEXEXTRACT(A4058, ""[^-]+- [^-]+- [^-]+ - (.+?)\.jpg""), "".jpg"", """"), ""-"", "", ""), """")"),"")</f>
        <v/>
      </c>
      <c r="L4058" s="12"/>
      <c r="M4058" s="13"/>
      <c r="N4058" s="2"/>
      <c r="O4058" s="20"/>
      <c r="P4058" s="42"/>
      <c r="R4058" s="23"/>
    </row>
    <row r="4059" spans="1:18" ht="12.75">
      <c r="A4059" s="12"/>
      <c r="D4059" s="12"/>
      <c r="E4059" s="12"/>
      <c r="H4059" s="11" t="str">
        <f ca="1">IFERROR(__xludf.DUMMYFUNCTION("IFERROR(SUBSTITUTE(SUBSTITUTE(REGEXEXTRACT(A4059, ""[^-]+- [^-]+- [^-]+ - (.+?)\.jpg""), "".jpg"", """"), ""-"", "", ""), """")"),"")</f>
        <v/>
      </c>
      <c r="L4059" s="12"/>
      <c r="M4059" s="13"/>
      <c r="N4059" s="2"/>
      <c r="O4059" s="20"/>
      <c r="P4059" s="42"/>
      <c r="R4059" s="23"/>
    </row>
    <row r="4060" spans="1:18" ht="12.75">
      <c r="A4060" s="12"/>
      <c r="D4060" s="12"/>
      <c r="E4060" s="12"/>
      <c r="H4060" s="11" t="str">
        <f ca="1">IFERROR(__xludf.DUMMYFUNCTION("IFERROR(SUBSTITUTE(SUBSTITUTE(REGEXEXTRACT(A4060, ""[^-]+- [^-]+- [^-]+ - (.+?)\.jpg""), "".jpg"", """"), ""-"", "", ""), """")"),"")</f>
        <v/>
      </c>
      <c r="L4060" s="12"/>
      <c r="M4060" s="13"/>
      <c r="N4060" s="2"/>
      <c r="O4060" s="20"/>
      <c r="P4060" s="42"/>
      <c r="R4060" s="23"/>
    </row>
    <row r="4061" spans="1:18" ht="12.75">
      <c r="A4061" s="12"/>
      <c r="D4061" s="12"/>
      <c r="E4061" s="12"/>
      <c r="H4061" s="11" t="str">
        <f ca="1">IFERROR(__xludf.DUMMYFUNCTION("IFERROR(SUBSTITUTE(SUBSTITUTE(REGEXEXTRACT(A4061, ""[^-]+- [^-]+- [^-]+ - (.+?)\.jpg""), "".jpg"", """"), ""-"", "", ""), """")"),"")</f>
        <v/>
      </c>
      <c r="L4061" s="12"/>
      <c r="M4061" s="13"/>
      <c r="N4061" s="2"/>
      <c r="O4061" s="20"/>
      <c r="P4061" s="42"/>
      <c r="R4061" s="23"/>
    </row>
    <row r="4062" spans="1:18" ht="12.75">
      <c r="A4062" s="12"/>
      <c r="D4062" s="12"/>
      <c r="E4062" s="12"/>
      <c r="H4062" s="11" t="str">
        <f ca="1">IFERROR(__xludf.DUMMYFUNCTION("IFERROR(SUBSTITUTE(SUBSTITUTE(REGEXEXTRACT(A4062, ""[^-]+- [^-]+- [^-]+ - (.+?)\.jpg""), "".jpg"", """"), ""-"", "", ""), """")"),"")</f>
        <v/>
      </c>
      <c r="L4062" s="12"/>
      <c r="M4062" s="13"/>
      <c r="N4062" s="2"/>
      <c r="O4062" s="20"/>
      <c r="P4062" s="42"/>
      <c r="R4062" s="23"/>
    </row>
    <row r="4063" spans="1:18" ht="12.75">
      <c r="A4063" s="12"/>
      <c r="D4063" s="12"/>
      <c r="E4063" s="12"/>
      <c r="H4063" s="11" t="str">
        <f ca="1">IFERROR(__xludf.DUMMYFUNCTION("IFERROR(SUBSTITUTE(SUBSTITUTE(REGEXEXTRACT(A4063, ""[^-]+- [^-]+- [^-]+ - (.+?)\.jpg""), "".jpg"", """"), ""-"", "", ""), """")"),"")</f>
        <v/>
      </c>
      <c r="L4063" s="12"/>
      <c r="M4063" s="13"/>
      <c r="N4063" s="2"/>
      <c r="O4063" s="20"/>
      <c r="P4063" s="42"/>
      <c r="R4063" s="23"/>
    </row>
    <row r="4064" spans="1:18" ht="12.75">
      <c r="A4064" s="12"/>
      <c r="D4064" s="12"/>
      <c r="E4064" s="12"/>
      <c r="H4064" s="11" t="str">
        <f ca="1">IFERROR(__xludf.DUMMYFUNCTION("IFERROR(SUBSTITUTE(SUBSTITUTE(REGEXEXTRACT(A4064, ""[^-]+- [^-]+- [^-]+ - (.+?)\.jpg""), "".jpg"", """"), ""-"", "", ""), """")"),"")</f>
        <v/>
      </c>
      <c r="L4064" s="12"/>
      <c r="M4064" s="13"/>
      <c r="N4064" s="2"/>
      <c r="O4064" s="20"/>
      <c r="P4064" s="42"/>
      <c r="R4064" s="23"/>
    </row>
    <row r="4065" spans="1:18" ht="12.75">
      <c r="A4065" s="12"/>
      <c r="D4065" s="12"/>
      <c r="E4065" s="12"/>
      <c r="H4065" s="11" t="str">
        <f ca="1">IFERROR(__xludf.DUMMYFUNCTION("IFERROR(SUBSTITUTE(SUBSTITUTE(REGEXEXTRACT(A4065, ""[^-]+- [^-]+- [^-]+ - (.+?)\.jpg""), "".jpg"", """"), ""-"", "", ""), """")"),"")</f>
        <v/>
      </c>
      <c r="L4065" s="12"/>
      <c r="M4065" s="13"/>
      <c r="N4065" s="2"/>
      <c r="O4065" s="20"/>
      <c r="P4065" s="42"/>
      <c r="R4065" s="23"/>
    </row>
    <row r="4066" spans="1:18" ht="12.75">
      <c r="A4066" s="12"/>
      <c r="D4066" s="12"/>
      <c r="E4066" s="12"/>
      <c r="H4066" s="11" t="str">
        <f ca="1">IFERROR(__xludf.DUMMYFUNCTION("IFERROR(SUBSTITUTE(SUBSTITUTE(REGEXEXTRACT(A4066, ""[^-]+- [^-]+- [^-]+ - (.+?)\.jpg""), "".jpg"", """"), ""-"", "", ""), """")"),"")</f>
        <v/>
      </c>
      <c r="L4066" s="12"/>
      <c r="M4066" s="13"/>
      <c r="N4066" s="2"/>
      <c r="O4066" s="20"/>
      <c r="P4066" s="42"/>
      <c r="R4066" s="23"/>
    </row>
    <row r="4067" spans="1:18" ht="12.75">
      <c r="A4067" s="12"/>
      <c r="D4067" s="12"/>
      <c r="E4067" s="12"/>
      <c r="H4067" s="11" t="str">
        <f ca="1">IFERROR(__xludf.DUMMYFUNCTION("IFERROR(SUBSTITUTE(SUBSTITUTE(REGEXEXTRACT(A4067, ""[^-]+- [^-]+- [^-]+ - (.+?)\.jpg""), "".jpg"", """"), ""-"", "", ""), """")"),"")</f>
        <v/>
      </c>
      <c r="L4067" s="12"/>
      <c r="M4067" s="13"/>
      <c r="N4067" s="2"/>
      <c r="O4067" s="20"/>
      <c r="P4067" s="42"/>
      <c r="R4067" s="23"/>
    </row>
    <row r="4068" spans="1:18" ht="12.75">
      <c r="A4068" s="12"/>
      <c r="D4068" s="12"/>
      <c r="E4068" s="12"/>
      <c r="H4068" s="11" t="str">
        <f ca="1">IFERROR(__xludf.DUMMYFUNCTION("IFERROR(SUBSTITUTE(SUBSTITUTE(REGEXEXTRACT(A4068, ""[^-]+- [^-]+- [^-]+ - (.+?)\.jpg""), "".jpg"", """"), ""-"", "", ""), """")"),"")</f>
        <v/>
      </c>
      <c r="L4068" s="12"/>
      <c r="M4068" s="13"/>
      <c r="N4068" s="2"/>
      <c r="O4068" s="20"/>
      <c r="P4068" s="42"/>
      <c r="R4068" s="23"/>
    </row>
    <row r="4069" spans="1:18" ht="12.75">
      <c r="A4069" s="12"/>
      <c r="D4069" s="12"/>
      <c r="E4069" s="12"/>
      <c r="H4069" s="11" t="str">
        <f ca="1">IFERROR(__xludf.DUMMYFUNCTION("IFERROR(SUBSTITUTE(SUBSTITUTE(REGEXEXTRACT(A4069, ""[^-]+- [^-]+- [^-]+ - (.+?)\.jpg""), "".jpg"", """"), ""-"", "", ""), """")"),"")</f>
        <v/>
      </c>
      <c r="L4069" s="12"/>
      <c r="M4069" s="13"/>
      <c r="N4069" s="2"/>
      <c r="O4069" s="20"/>
      <c r="P4069" s="42"/>
      <c r="R4069" s="23"/>
    </row>
    <row r="4070" spans="1:18" ht="12.75">
      <c r="A4070" s="12"/>
      <c r="D4070" s="12"/>
      <c r="E4070" s="12"/>
      <c r="H4070" s="11" t="str">
        <f ca="1">IFERROR(__xludf.DUMMYFUNCTION("IFERROR(SUBSTITUTE(SUBSTITUTE(REGEXEXTRACT(A4070, ""[^-]+- [^-]+- [^-]+ - (.+?)\.jpg""), "".jpg"", """"), ""-"", "", ""), """")"),"")</f>
        <v/>
      </c>
      <c r="L4070" s="12"/>
      <c r="M4070" s="13"/>
      <c r="N4070" s="2"/>
      <c r="O4070" s="20"/>
      <c r="P4070" s="42"/>
      <c r="R4070" s="23"/>
    </row>
    <row r="4071" spans="1:18" ht="12.75">
      <c r="A4071" s="12"/>
      <c r="D4071" s="12"/>
      <c r="E4071" s="12"/>
      <c r="H4071" s="11" t="str">
        <f ca="1">IFERROR(__xludf.DUMMYFUNCTION("IFERROR(SUBSTITUTE(SUBSTITUTE(REGEXEXTRACT(A4071, ""[^-]+- [^-]+- [^-]+ - (.+?)\.jpg""), "".jpg"", """"), ""-"", "", ""), """")"),"")</f>
        <v/>
      </c>
      <c r="L4071" s="12"/>
      <c r="M4071" s="13"/>
      <c r="N4071" s="2"/>
      <c r="O4071" s="20"/>
      <c r="P4071" s="42"/>
      <c r="R4071" s="23"/>
    </row>
    <row r="4072" spans="1:18" ht="12.75">
      <c r="A4072" s="12"/>
      <c r="D4072" s="12"/>
      <c r="E4072" s="12"/>
      <c r="H4072" s="11" t="str">
        <f ca="1">IFERROR(__xludf.DUMMYFUNCTION("IFERROR(SUBSTITUTE(SUBSTITUTE(REGEXEXTRACT(A4072, ""[^-]+- [^-]+- [^-]+ - (.+?)\.jpg""), "".jpg"", """"), ""-"", "", ""), """")"),"")</f>
        <v/>
      </c>
      <c r="L4072" s="12"/>
      <c r="M4072" s="13"/>
      <c r="N4072" s="2"/>
      <c r="O4072" s="20"/>
      <c r="P4072" s="42"/>
      <c r="R4072" s="23"/>
    </row>
    <row r="4073" spans="1:18" ht="12.75">
      <c r="A4073" s="12"/>
      <c r="D4073" s="12"/>
      <c r="E4073" s="12"/>
      <c r="H4073" s="11" t="str">
        <f ca="1">IFERROR(__xludf.DUMMYFUNCTION("IFERROR(SUBSTITUTE(SUBSTITUTE(REGEXEXTRACT(A4073, ""[^-]+- [^-]+- [^-]+ - (.+?)\.jpg""), "".jpg"", """"), ""-"", "", ""), """")"),"")</f>
        <v/>
      </c>
      <c r="L4073" s="12"/>
      <c r="M4073" s="13"/>
      <c r="N4073" s="2"/>
      <c r="O4073" s="20"/>
      <c r="P4073" s="42"/>
      <c r="R4073" s="23"/>
    </row>
    <row r="4074" spans="1:18" ht="12.75">
      <c r="A4074" s="12"/>
      <c r="D4074" s="12"/>
      <c r="E4074" s="12"/>
      <c r="H4074" s="11" t="str">
        <f ca="1">IFERROR(__xludf.DUMMYFUNCTION("IFERROR(SUBSTITUTE(SUBSTITUTE(REGEXEXTRACT(A4074, ""[^-]+- [^-]+- [^-]+ - (.+?)\.jpg""), "".jpg"", """"), ""-"", "", ""), """")"),"")</f>
        <v/>
      </c>
      <c r="L4074" s="12"/>
      <c r="M4074" s="13"/>
      <c r="N4074" s="2"/>
      <c r="O4074" s="20"/>
      <c r="P4074" s="42"/>
      <c r="R4074" s="23"/>
    </row>
    <row r="4075" spans="1:18" ht="12.75">
      <c r="A4075" s="12"/>
      <c r="D4075" s="12"/>
      <c r="E4075" s="12"/>
      <c r="H4075" s="11" t="str">
        <f ca="1">IFERROR(__xludf.DUMMYFUNCTION("IFERROR(SUBSTITUTE(SUBSTITUTE(REGEXEXTRACT(A4075, ""[^-]+- [^-]+- [^-]+ - (.+?)\.jpg""), "".jpg"", """"), ""-"", "", ""), """")"),"")</f>
        <v/>
      </c>
      <c r="L4075" s="12"/>
      <c r="M4075" s="13"/>
      <c r="N4075" s="2"/>
      <c r="O4075" s="20"/>
      <c r="P4075" s="42"/>
      <c r="R4075" s="23"/>
    </row>
    <row r="4076" spans="1:18" ht="12.75">
      <c r="A4076" s="12"/>
      <c r="D4076" s="12"/>
      <c r="E4076" s="12"/>
      <c r="H4076" s="11" t="str">
        <f ca="1">IFERROR(__xludf.DUMMYFUNCTION("IFERROR(SUBSTITUTE(SUBSTITUTE(REGEXEXTRACT(A4076, ""[^-]+- [^-]+- [^-]+ - (.+?)\.jpg""), "".jpg"", """"), ""-"", "", ""), """")"),"")</f>
        <v/>
      </c>
      <c r="L4076" s="12"/>
      <c r="M4076" s="13"/>
      <c r="N4076" s="2"/>
      <c r="O4076" s="20"/>
      <c r="P4076" s="42"/>
      <c r="R4076" s="23"/>
    </row>
    <row r="4077" spans="1:18" ht="12.75">
      <c r="A4077" s="12"/>
      <c r="D4077" s="12"/>
      <c r="E4077" s="12"/>
      <c r="H4077" s="11" t="str">
        <f ca="1">IFERROR(__xludf.DUMMYFUNCTION("IFERROR(SUBSTITUTE(SUBSTITUTE(REGEXEXTRACT(A4077, ""[^-]+- [^-]+- [^-]+ - (.+?)\.jpg""), "".jpg"", """"), ""-"", "", ""), """")"),"")</f>
        <v/>
      </c>
      <c r="L4077" s="12"/>
      <c r="M4077" s="13"/>
      <c r="N4077" s="2"/>
      <c r="O4077" s="20"/>
      <c r="P4077" s="42"/>
      <c r="R4077" s="23"/>
    </row>
    <row r="4078" spans="1:18" ht="12.75">
      <c r="A4078" s="12"/>
      <c r="D4078" s="12"/>
      <c r="E4078" s="12"/>
      <c r="H4078" s="11" t="str">
        <f ca="1">IFERROR(__xludf.DUMMYFUNCTION("IFERROR(SUBSTITUTE(SUBSTITUTE(REGEXEXTRACT(A4078, ""[^-]+- [^-]+- [^-]+ - (.+?)\.jpg""), "".jpg"", """"), ""-"", "", ""), """")"),"")</f>
        <v/>
      </c>
      <c r="L4078" s="12"/>
      <c r="M4078" s="13"/>
      <c r="N4078" s="2"/>
      <c r="O4078" s="20"/>
      <c r="P4078" s="42"/>
      <c r="R4078" s="23"/>
    </row>
    <row r="4079" spans="1:18" ht="12.75">
      <c r="A4079" s="12"/>
      <c r="D4079" s="12"/>
      <c r="E4079" s="12"/>
      <c r="H4079" s="11" t="str">
        <f ca="1">IFERROR(__xludf.DUMMYFUNCTION("IFERROR(SUBSTITUTE(SUBSTITUTE(REGEXEXTRACT(A4079, ""[^-]+- [^-]+- [^-]+ - (.+?)\.jpg""), "".jpg"", """"), ""-"", "", ""), """")"),"")</f>
        <v/>
      </c>
      <c r="L4079" s="12"/>
      <c r="M4079" s="13"/>
      <c r="N4079" s="2"/>
      <c r="O4079" s="20"/>
      <c r="P4079" s="42"/>
      <c r="R4079" s="23"/>
    </row>
    <row r="4080" spans="1:18" ht="12.75">
      <c r="A4080" s="12"/>
      <c r="D4080" s="12"/>
      <c r="E4080" s="12"/>
      <c r="H4080" s="11" t="str">
        <f ca="1">IFERROR(__xludf.DUMMYFUNCTION("IFERROR(SUBSTITUTE(SUBSTITUTE(REGEXEXTRACT(A4080, ""[^-]+- [^-]+- [^-]+ - (.+?)\.jpg""), "".jpg"", """"), ""-"", "", ""), """")"),"")</f>
        <v/>
      </c>
      <c r="L4080" s="12"/>
      <c r="M4080" s="13"/>
      <c r="N4080" s="2"/>
      <c r="O4080" s="20"/>
      <c r="P4080" s="42"/>
      <c r="R4080" s="23"/>
    </row>
    <row r="4081" spans="1:18" ht="12.75">
      <c r="A4081" s="12"/>
      <c r="D4081" s="12"/>
      <c r="E4081" s="12"/>
      <c r="H4081" s="11" t="str">
        <f ca="1">IFERROR(__xludf.DUMMYFUNCTION("IFERROR(SUBSTITUTE(SUBSTITUTE(REGEXEXTRACT(A4081, ""[^-]+- [^-]+- [^-]+ - (.+?)\.jpg""), "".jpg"", """"), ""-"", "", ""), """")"),"")</f>
        <v/>
      </c>
      <c r="L4081" s="12"/>
      <c r="M4081" s="13"/>
      <c r="N4081" s="2"/>
      <c r="O4081" s="20"/>
      <c r="P4081" s="42"/>
      <c r="R4081" s="23"/>
    </row>
    <row r="4082" spans="1:18" ht="12.75">
      <c r="A4082" s="12"/>
      <c r="D4082" s="12"/>
      <c r="E4082" s="12"/>
      <c r="H4082" s="11" t="str">
        <f ca="1">IFERROR(__xludf.DUMMYFUNCTION("IFERROR(SUBSTITUTE(SUBSTITUTE(REGEXEXTRACT(A4082, ""[^-]+- [^-]+- [^-]+ - (.+?)\.jpg""), "".jpg"", """"), ""-"", "", ""), """")"),"")</f>
        <v/>
      </c>
      <c r="L4082" s="12"/>
      <c r="M4082" s="13"/>
      <c r="N4082" s="2"/>
      <c r="O4082" s="20"/>
      <c r="P4082" s="42"/>
      <c r="R4082" s="23"/>
    </row>
    <row r="4083" spans="1:18" ht="12.75">
      <c r="A4083" s="12"/>
      <c r="D4083" s="12"/>
      <c r="E4083" s="12"/>
      <c r="H4083" s="11" t="str">
        <f ca="1">IFERROR(__xludf.DUMMYFUNCTION("IFERROR(SUBSTITUTE(SUBSTITUTE(REGEXEXTRACT(A4083, ""[^-]+- [^-]+- [^-]+ - (.+?)\.jpg""), "".jpg"", """"), ""-"", "", ""), """")"),"")</f>
        <v/>
      </c>
      <c r="L4083" s="12"/>
      <c r="M4083" s="13"/>
      <c r="N4083" s="2"/>
      <c r="O4083" s="20"/>
      <c r="P4083" s="42"/>
      <c r="R4083" s="23"/>
    </row>
    <row r="4084" spans="1:18" ht="12.75">
      <c r="A4084" s="12"/>
      <c r="D4084" s="12"/>
      <c r="E4084" s="12"/>
      <c r="H4084" s="11" t="str">
        <f ca="1">IFERROR(__xludf.DUMMYFUNCTION("IFERROR(SUBSTITUTE(SUBSTITUTE(REGEXEXTRACT(A4084, ""[^-]+- [^-]+- [^-]+ - (.+?)\.jpg""), "".jpg"", """"), ""-"", "", ""), """")"),"")</f>
        <v/>
      </c>
      <c r="L4084" s="12"/>
      <c r="M4084" s="13"/>
      <c r="N4084" s="2"/>
      <c r="O4084" s="20"/>
      <c r="P4084" s="42"/>
      <c r="R4084" s="23"/>
    </row>
    <row r="4085" spans="1:18" ht="12.75">
      <c r="A4085" s="12"/>
      <c r="D4085" s="12"/>
      <c r="E4085" s="12"/>
      <c r="H4085" s="11" t="str">
        <f ca="1">IFERROR(__xludf.DUMMYFUNCTION("IFERROR(SUBSTITUTE(SUBSTITUTE(REGEXEXTRACT(A4085, ""[^-]+- [^-]+- [^-]+ - (.+?)\.jpg""), "".jpg"", """"), ""-"", "", ""), """")"),"")</f>
        <v/>
      </c>
      <c r="L4085" s="12"/>
      <c r="M4085" s="13"/>
      <c r="N4085" s="2"/>
      <c r="O4085" s="20"/>
      <c r="P4085" s="42"/>
      <c r="R4085" s="23"/>
    </row>
    <row r="4086" spans="1:18" ht="12.75">
      <c r="A4086" s="12"/>
      <c r="D4086" s="12"/>
      <c r="E4086" s="12"/>
      <c r="H4086" s="11" t="str">
        <f ca="1">IFERROR(__xludf.DUMMYFUNCTION("IFERROR(SUBSTITUTE(SUBSTITUTE(REGEXEXTRACT(A4086, ""[^-]+- [^-]+- [^-]+ - (.+?)\.jpg""), "".jpg"", """"), ""-"", "", ""), """")"),"")</f>
        <v/>
      </c>
      <c r="L4086" s="12"/>
      <c r="M4086" s="13"/>
      <c r="N4086" s="2"/>
      <c r="O4086" s="20"/>
      <c r="P4086" s="42"/>
      <c r="R4086" s="23"/>
    </row>
    <row r="4087" spans="1:18" ht="12.75">
      <c r="A4087" s="12"/>
      <c r="D4087" s="12"/>
      <c r="E4087" s="12"/>
      <c r="H4087" s="11" t="str">
        <f ca="1">IFERROR(__xludf.DUMMYFUNCTION("IFERROR(SUBSTITUTE(SUBSTITUTE(REGEXEXTRACT(A4087, ""[^-]+- [^-]+- [^-]+ - (.+?)\.jpg""), "".jpg"", """"), ""-"", "", ""), """")"),"")</f>
        <v/>
      </c>
      <c r="L4087" s="12"/>
      <c r="M4087" s="13"/>
      <c r="N4087" s="2"/>
      <c r="O4087" s="20"/>
      <c r="P4087" s="42"/>
      <c r="R4087" s="23"/>
    </row>
    <row r="4088" spans="1:18" ht="12.75">
      <c r="A4088" s="12"/>
      <c r="D4088" s="12"/>
      <c r="E4088" s="12"/>
      <c r="H4088" s="11" t="str">
        <f ca="1">IFERROR(__xludf.DUMMYFUNCTION("IFERROR(SUBSTITUTE(SUBSTITUTE(REGEXEXTRACT(A4088, ""[^-]+- [^-]+- [^-]+ - (.+?)\.jpg""), "".jpg"", """"), ""-"", "", ""), """")"),"")</f>
        <v/>
      </c>
      <c r="L4088" s="12"/>
      <c r="M4088" s="13"/>
      <c r="N4088" s="2"/>
      <c r="O4088" s="20"/>
      <c r="P4088" s="42"/>
      <c r="R4088" s="23"/>
    </row>
    <row r="4089" spans="1:18" ht="12.75">
      <c r="A4089" s="12"/>
      <c r="D4089" s="12"/>
      <c r="E4089" s="12"/>
      <c r="H4089" s="11" t="str">
        <f ca="1">IFERROR(__xludf.DUMMYFUNCTION("IFERROR(SUBSTITUTE(SUBSTITUTE(REGEXEXTRACT(A4089, ""[^-]+- [^-]+- [^-]+ - (.+?)\.jpg""), "".jpg"", """"), ""-"", "", ""), """")"),"")</f>
        <v/>
      </c>
      <c r="L4089" s="12"/>
      <c r="M4089" s="13"/>
      <c r="N4089" s="2"/>
      <c r="O4089" s="20"/>
      <c r="P4089" s="42"/>
      <c r="R4089" s="23"/>
    </row>
    <row r="4090" spans="1:18" ht="12.75">
      <c r="A4090" s="12"/>
      <c r="D4090" s="12"/>
      <c r="E4090" s="12"/>
      <c r="H4090" s="11" t="str">
        <f ca="1">IFERROR(__xludf.DUMMYFUNCTION("IFERROR(SUBSTITUTE(SUBSTITUTE(REGEXEXTRACT(A4090, ""[^-]+- [^-]+- [^-]+ - (.+?)\.jpg""), "".jpg"", """"), ""-"", "", ""), """")"),"")</f>
        <v/>
      </c>
      <c r="L4090" s="12"/>
      <c r="M4090" s="13"/>
      <c r="N4090" s="2"/>
      <c r="O4090" s="20"/>
      <c r="P4090" s="42"/>
      <c r="R4090" s="23"/>
    </row>
    <row r="4091" spans="1:18" ht="12.75">
      <c r="A4091" s="12"/>
      <c r="D4091" s="12"/>
      <c r="E4091" s="12"/>
      <c r="H4091" s="11" t="str">
        <f ca="1">IFERROR(__xludf.DUMMYFUNCTION("IFERROR(SUBSTITUTE(SUBSTITUTE(REGEXEXTRACT(A4091, ""[^-]+- [^-]+- [^-]+ - (.+?)\.jpg""), "".jpg"", """"), ""-"", "", ""), """")"),"")</f>
        <v/>
      </c>
      <c r="L4091" s="12"/>
      <c r="M4091" s="13"/>
      <c r="N4091" s="2"/>
      <c r="O4091" s="20"/>
      <c r="P4091" s="42"/>
      <c r="R4091" s="23"/>
    </row>
    <row r="4092" spans="1:18" ht="12.75">
      <c r="A4092" s="12"/>
      <c r="D4092" s="12"/>
      <c r="E4092" s="12"/>
      <c r="H4092" s="11" t="str">
        <f ca="1">IFERROR(__xludf.DUMMYFUNCTION("IFERROR(SUBSTITUTE(SUBSTITUTE(REGEXEXTRACT(A4092, ""[^-]+- [^-]+- [^-]+ - (.+?)\.jpg""), "".jpg"", """"), ""-"", "", ""), """")"),"")</f>
        <v/>
      </c>
      <c r="L4092" s="12"/>
      <c r="M4092" s="13"/>
      <c r="N4092" s="2"/>
      <c r="O4092" s="20"/>
      <c r="P4092" s="42"/>
      <c r="R4092" s="23"/>
    </row>
    <row r="4093" spans="1:18" ht="12.75">
      <c r="A4093" s="12"/>
      <c r="D4093" s="12"/>
      <c r="E4093" s="12"/>
      <c r="H4093" s="11" t="str">
        <f ca="1">IFERROR(__xludf.DUMMYFUNCTION("IFERROR(SUBSTITUTE(SUBSTITUTE(REGEXEXTRACT(A4093, ""[^-]+- [^-]+- [^-]+ - (.+?)\.jpg""), "".jpg"", """"), ""-"", "", ""), """")"),"")</f>
        <v/>
      </c>
      <c r="L4093" s="12"/>
      <c r="M4093" s="13"/>
      <c r="N4093" s="2"/>
      <c r="O4093" s="20"/>
      <c r="P4093" s="42"/>
      <c r="R4093" s="23"/>
    </row>
    <row r="4094" spans="1:18" ht="12.75">
      <c r="A4094" s="12"/>
      <c r="D4094" s="12"/>
      <c r="E4094" s="12"/>
      <c r="H4094" s="11" t="str">
        <f ca="1">IFERROR(__xludf.DUMMYFUNCTION("IFERROR(SUBSTITUTE(SUBSTITUTE(REGEXEXTRACT(A4094, ""[^-]+- [^-]+- [^-]+ - (.+?)\.jpg""), "".jpg"", """"), ""-"", "", ""), """")"),"")</f>
        <v/>
      </c>
      <c r="L4094" s="12"/>
      <c r="M4094" s="13"/>
      <c r="N4094" s="2"/>
      <c r="O4094" s="20"/>
      <c r="P4094" s="42"/>
      <c r="R4094" s="23"/>
    </row>
    <row r="4095" spans="1:18" ht="12.75">
      <c r="A4095" s="12"/>
      <c r="D4095" s="12"/>
      <c r="E4095" s="12"/>
      <c r="H4095" s="11" t="str">
        <f ca="1">IFERROR(__xludf.DUMMYFUNCTION("IFERROR(SUBSTITUTE(SUBSTITUTE(REGEXEXTRACT(A4095, ""[^-]+- [^-]+- [^-]+ - (.+?)\.jpg""), "".jpg"", """"), ""-"", "", ""), """")"),"")</f>
        <v/>
      </c>
      <c r="L4095" s="12"/>
      <c r="M4095" s="13"/>
      <c r="N4095" s="2"/>
      <c r="O4095" s="20"/>
      <c r="P4095" s="42"/>
      <c r="R4095" s="23"/>
    </row>
    <row r="4096" spans="1:18" ht="12.75">
      <c r="A4096" s="12"/>
      <c r="D4096" s="12"/>
      <c r="E4096" s="12"/>
      <c r="H4096" s="11" t="str">
        <f ca="1">IFERROR(__xludf.DUMMYFUNCTION("IFERROR(SUBSTITUTE(SUBSTITUTE(REGEXEXTRACT(A4096, ""[^-]+- [^-]+- [^-]+ - (.+?)\.jpg""), "".jpg"", """"), ""-"", "", ""), """")"),"")</f>
        <v/>
      </c>
      <c r="L4096" s="12"/>
      <c r="M4096" s="13"/>
      <c r="N4096" s="2"/>
      <c r="O4096" s="20"/>
      <c r="P4096" s="42"/>
      <c r="R4096" s="23"/>
    </row>
    <row r="4097" spans="1:18" ht="12.75">
      <c r="A4097" s="12"/>
      <c r="D4097" s="12"/>
      <c r="E4097" s="12"/>
      <c r="H4097" s="11" t="str">
        <f ca="1">IFERROR(__xludf.DUMMYFUNCTION("IFERROR(SUBSTITUTE(SUBSTITUTE(REGEXEXTRACT(A4097, ""[^-]+- [^-]+- [^-]+ - (.+?)\.jpg""), "".jpg"", """"), ""-"", "", ""), """")"),"")</f>
        <v/>
      </c>
      <c r="L4097" s="12"/>
      <c r="M4097" s="13"/>
      <c r="N4097" s="2"/>
      <c r="O4097" s="20"/>
      <c r="P4097" s="42"/>
      <c r="R4097" s="23"/>
    </row>
    <row r="4098" spans="1:18" ht="12.75">
      <c r="A4098" s="12"/>
      <c r="D4098" s="12"/>
      <c r="E4098" s="12"/>
      <c r="H4098" s="11" t="str">
        <f ca="1">IFERROR(__xludf.DUMMYFUNCTION("IFERROR(SUBSTITUTE(SUBSTITUTE(REGEXEXTRACT(A4098, ""[^-]+- [^-]+- [^-]+ - (.+?)\.jpg""), "".jpg"", """"), ""-"", "", ""), """")"),"")</f>
        <v/>
      </c>
      <c r="L4098" s="12"/>
      <c r="M4098" s="13"/>
      <c r="N4098" s="2"/>
      <c r="O4098" s="20"/>
      <c r="P4098" s="42"/>
      <c r="R4098" s="23"/>
    </row>
    <row r="4099" spans="1:18" ht="12.75">
      <c r="A4099" s="12"/>
      <c r="D4099" s="12"/>
      <c r="E4099" s="12"/>
      <c r="H4099" s="11" t="str">
        <f ca="1">IFERROR(__xludf.DUMMYFUNCTION("IFERROR(SUBSTITUTE(SUBSTITUTE(REGEXEXTRACT(A4099, ""[^-]+- [^-]+- [^-]+ - (.+?)\.jpg""), "".jpg"", """"), ""-"", "", ""), """")"),"")</f>
        <v/>
      </c>
      <c r="L4099" s="12"/>
      <c r="M4099" s="13"/>
      <c r="N4099" s="2"/>
      <c r="O4099" s="20"/>
      <c r="P4099" s="42"/>
      <c r="R4099" s="23"/>
    </row>
    <row r="4100" spans="1:18" ht="12.75">
      <c r="A4100" s="12"/>
      <c r="D4100" s="12"/>
      <c r="E4100" s="12"/>
      <c r="H4100" s="11" t="str">
        <f ca="1">IFERROR(__xludf.DUMMYFUNCTION("IFERROR(SUBSTITUTE(SUBSTITUTE(REGEXEXTRACT(A4100, ""[^-]+- [^-]+- [^-]+ - (.+?)\.jpg""), "".jpg"", """"), ""-"", "", ""), """")"),"")</f>
        <v/>
      </c>
      <c r="L4100" s="12"/>
      <c r="M4100" s="13"/>
      <c r="N4100" s="2"/>
      <c r="O4100" s="20"/>
      <c r="P4100" s="42"/>
      <c r="R4100" s="23"/>
    </row>
    <row r="4101" spans="1:18" ht="12.75">
      <c r="A4101" s="12"/>
      <c r="D4101" s="12"/>
      <c r="E4101" s="12"/>
      <c r="H4101" s="11" t="str">
        <f ca="1">IFERROR(__xludf.DUMMYFUNCTION("IFERROR(SUBSTITUTE(SUBSTITUTE(REGEXEXTRACT(A4101, ""[^-]+- [^-]+- [^-]+ - (.+?)\.jpg""), "".jpg"", """"), ""-"", "", ""), """")"),"")</f>
        <v/>
      </c>
      <c r="L4101" s="12"/>
      <c r="M4101" s="13"/>
      <c r="N4101" s="2"/>
      <c r="O4101" s="20"/>
      <c r="P4101" s="42"/>
      <c r="R4101" s="23"/>
    </row>
    <row r="4102" spans="1:18" ht="12.75">
      <c r="A4102" s="12"/>
      <c r="D4102" s="12"/>
      <c r="E4102" s="12"/>
      <c r="H4102" s="11" t="str">
        <f ca="1">IFERROR(__xludf.DUMMYFUNCTION("IFERROR(SUBSTITUTE(SUBSTITUTE(REGEXEXTRACT(A4102, ""[^-]+- [^-]+- [^-]+ - (.+?)\.jpg""), "".jpg"", """"), ""-"", "", ""), """")"),"")</f>
        <v/>
      </c>
      <c r="L4102" s="12"/>
      <c r="M4102" s="13"/>
      <c r="N4102" s="2"/>
      <c r="O4102" s="20"/>
      <c r="P4102" s="42"/>
      <c r="R4102" s="23"/>
    </row>
    <row r="4103" spans="1:18" ht="12.75">
      <c r="A4103" s="12"/>
      <c r="D4103" s="12"/>
      <c r="E4103" s="12"/>
      <c r="H4103" s="11" t="str">
        <f ca="1">IFERROR(__xludf.DUMMYFUNCTION("IFERROR(SUBSTITUTE(SUBSTITUTE(REGEXEXTRACT(A4103, ""[^-]+- [^-]+- [^-]+ - (.+?)\.jpg""), "".jpg"", """"), ""-"", "", ""), """")"),"")</f>
        <v/>
      </c>
      <c r="L4103" s="12"/>
      <c r="M4103" s="13"/>
      <c r="N4103" s="2"/>
      <c r="O4103" s="20"/>
      <c r="P4103" s="42"/>
      <c r="R4103" s="23"/>
    </row>
    <row r="4104" spans="1:18" ht="12.75">
      <c r="A4104" s="12"/>
      <c r="D4104" s="12"/>
      <c r="E4104" s="12"/>
      <c r="H4104" s="11" t="str">
        <f ca="1">IFERROR(__xludf.DUMMYFUNCTION("IFERROR(SUBSTITUTE(SUBSTITUTE(REGEXEXTRACT(A4104, ""[^-]+- [^-]+- [^-]+ - (.+?)\.jpg""), "".jpg"", """"), ""-"", "", ""), """")"),"")</f>
        <v/>
      </c>
      <c r="L4104" s="12"/>
      <c r="M4104" s="13"/>
      <c r="N4104" s="2"/>
      <c r="O4104" s="20"/>
      <c r="P4104" s="42"/>
      <c r="R4104" s="23"/>
    </row>
    <row r="4105" spans="1:18" ht="12.75">
      <c r="A4105" s="12"/>
      <c r="D4105" s="12"/>
      <c r="E4105" s="12"/>
      <c r="H4105" s="11" t="str">
        <f ca="1">IFERROR(__xludf.DUMMYFUNCTION("IFERROR(SUBSTITUTE(SUBSTITUTE(REGEXEXTRACT(A4105, ""[^-]+- [^-]+- [^-]+ - (.+?)\.jpg""), "".jpg"", """"), ""-"", "", ""), """")"),"")</f>
        <v/>
      </c>
      <c r="L4105" s="12"/>
      <c r="M4105" s="13"/>
      <c r="N4105" s="2"/>
      <c r="O4105" s="20"/>
      <c r="P4105" s="42"/>
      <c r="R4105" s="23"/>
    </row>
    <row r="4106" spans="1:18" ht="12.75">
      <c r="A4106" s="12"/>
      <c r="D4106" s="12"/>
      <c r="E4106" s="12"/>
      <c r="H4106" s="11" t="str">
        <f ca="1">IFERROR(__xludf.DUMMYFUNCTION("IFERROR(SUBSTITUTE(SUBSTITUTE(REGEXEXTRACT(A4106, ""[^-]+- [^-]+- [^-]+ - (.+?)\.jpg""), "".jpg"", """"), ""-"", "", ""), """")"),"")</f>
        <v/>
      </c>
      <c r="L4106" s="12"/>
      <c r="M4106" s="13"/>
      <c r="N4106" s="2"/>
      <c r="O4106" s="20"/>
      <c r="P4106" s="42"/>
      <c r="R4106" s="23"/>
    </row>
    <row r="4107" spans="1:18" ht="12.75">
      <c r="A4107" s="12"/>
      <c r="D4107" s="12"/>
      <c r="E4107" s="12"/>
      <c r="H4107" s="11" t="str">
        <f ca="1">IFERROR(__xludf.DUMMYFUNCTION("IFERROR(SUBSTITUTE(SUBSTITUTE(REGEXEXTRACT(A4107, ""[^-]+- [^-]+- [^-]+ - (.+?)\.jpg""), "".jpg"", """"), ""-"", "", ""), """")"),"")</f>
        <v/>
      </c>
      <c r="L4107" s="12"/>
      <c r="M4107" s="13"/>
      <c r="N4107" s="2"/>
      <c r="O4107" s="20"/>
      <c r="P4107" s="42"/>
      <c r="R4107" s="23"/>
    </row>
    <row r="4108" spans="1:18" ht="12.75">
      <c r="A4108" s="12"/>
      <c r="D4108" s="12"/>
      <c r="E4108" s="12"/>
      <c r="H4108" s="11" t="str">
        <f ca="1">IFERROR(__xludf.DUMMYFUNCTION("IFERROR(SUBSTITUTE(SUBSTITUTE(REGEXEXTRACT(A4108, ""[^-]+- [^-]+- [^-]+ - (.+?)\.jpg""), "".jpg"", """"), ""-"", "", ""), """")"),"")</f>
        <v/>
      </c>
      <c r="L4108" s="12"/>
      <c r="M4108" s="13"/>
      <c r="N4108" s="2"/>
      <c r="O4108" s="20"/>
      <c r="P4108" s="42"/>
      <c r="R4108" s="23"/>
    </row>
    <row r="4109" spans="1:18" ht="12.75">
      <c r="A4109" s="12"/>
      <c r="D4109" s="12"/>
      <c r="E4109" s="12"/>
      <c r="H4109" s="11" t="str">
        <f ca="1">IFERROR(__xludf.DUMMYFUNCTION("IFERROR(SUBSTITUTE(SUBSTITUTE(REGEXEXTRACT(A4109, ""[^-]+- [^-]+- [^-]+ - (.+?)\.jpg""), "".jpg"", """"), ""-"", "", ""), """")"),"")</f>
        <v/>
      </c>
      <c r="L4109" s="12"/>
      <c r="M4109" s="13"/>
      <c r="N4109" s="2"/>
      <c r="O4109" s="20"/>
      <c r="P4109" s="42"/>
      <c r="R4109" s="23"/>
    </row>
    <row r="4110" spans="1:18" ht="12.75">
      <c r="A4110" s="12"/>
      <c r="D4110" s="12"/>
      <c r="E4110" s="12"/>
      <c r="H4110" s="11" t="str">
        <f ca="1">IFERROR(__xludf.DUMMYFUNCTION("IFERROR(SUBSTITUTE(SUBSTITUTE(REGEXEXTRACT(A4110, ""[^-]+- [^-]+- [^-]+ - (.+?)\.jpg""), "".jpg"", """"), ""-"", "", ""), """")"),"")</f>
        <v/>
      </c>
      <c r="L4110" s="12"/>
      <c r="M4110" s="13"/>
      <c r="N4110" s="2"/>
      <c r="O4110" s="20"/>
      <c r="P4110" s="42"/>
      <c r="R4110" s="23"/>
    </row>
    <row r="4111" spans="1:18" ht="12.75">
      <c r="A4111" s="12"/>
      <c r="D4111" s="12"/>
      <c r="E4111" s="12"/>
      <c r="H4111" s="11" t="str">
        <f ca="1">IFERROR(__xludf.DUMMYFUNCTION("IFERROR(SUBSTITUTE(SUBSTITUTE(REGEXEXTRACT(A4111, ""[^-]+- [^-]+- [^-]+ - (.+?)\.jpg""), "".jpg"", """"), ""-"", "", ""), """")"),"")</f>
        <v/>
      </c>
      <c r="L4111" s="12"/>
      <c r="M4111" s="13"/>
      <c r="N4111" s="2"/>
      <c r="O4111" s="20"/>
      <c r="P4111" s="42"/>
      <c r="R4111" s="23"/>
    </row>
    <row r="4112" spans="1:18" ht="12.75">
      <c r="A4112" s="12"/>
      <c r="D4112" s="12"/>
      <c r="E4112" s="12"/>
      <c r="H4112" s="11" t="str">
        <f ca="1">IFERROR(__xludf.DUMMYFUNCTION("IFERROR(SUBSTITUTE(SUBSTITUTE(REGEXEXTRACT(A4112, ""[^-]+- [^-]+- [^-]+ - (.+?)\.jpg""), "".jpg"", """"), ""-"", "", ""), """")"),"")</f>
        <v/>
      </c>
      <c r="L4112" s="12"/>
      <c r="M4112" s="13"/>
      <c r="N4112" s="2"/>
      <c r="O4112" s="20"/>
      <c r="P4112" s="42"/>
      <c r="R4112" s="23"/>
    </row>
    <row r="4113" spans="1:18" ht="12.75">
      <c r="A4113" s="12"/>
      <c r="D4113" s="12"/>
      <c r="E4113" s="12"/>
      <c r="H4113" s="11" t="str">
        <f ca="1">IFERROR(__xludf.DUMMYFUNCTION("IFERROR(SUBSTITUTE(SUBSTITUTE(REGEXEXTRACT(A4113, ""[^-]+- [^-]+- [^-]+ - (.+?)\.jpg""), "".jpg"", """"), ""-"", "", ""), """")"),"")</f>
        <v/>
      </c>
      <c r="L4113" s="12"/>
      <c r="M4113" s="13"/>
      <c r="N4113" s="2"/>
      <c r="O4113" s="20"/>
      <c r="P4113" s="42"/>
      <c r="R4113" s="23"/>
    </row>
    <row r="4114" spans="1:18" ht="12.75">
      <c r="A4114" s="12"/>
      <c r="D4114" s="12"/>
      <c r="E4114" s="12"/>
      <c r="H4114" s="11" t="str">
        <f ca="1">IFERROR(__xludf.DUMMYFUNCTION("IFERROR(SUBSTITUTE(SUBSTITUTE(REGEXEXTRACT(A4114, ""[^-]+- [^-]+- [^-]+ - (.+?)\.jpg""), "".jpg"", """"), ""-"", "", ""), """")"),"")</f>
        <v/>
      </c>
      <c r="L4114" s="12"/>
      <c r="M4114" s="13"/>
      <c r="N4114" s="2"/>
      <c r="O4114" s="20"/>
      <c r="P4114" s="42"/>
      <c r="R4114" s="23"/>
    </row>
    <row r="4115" spans="1:18" ht="12.75">
      <c r="A4115" s="12"/>
      <c r="D4115" s="12"/>
      <c r="E4115" s="12"/>
      <c r="H4115" s="11" t="str">
        <f ca="1">IFERROR(__xludf.DUMMYFUNCTION("IFERROR(SUBSTITUTE(SUBSTITUTE(REGEXEXTRACT(A4115, ""[^-]+- [^-]+- [^-]+ - (.+?)\.jpg""), "".jpg"", """"), ""-"", "", ""), """")"),"")</f>
        <v/>
      </c>
      <c r="L4115" s="12"/>
      <c r="M4115" s="13"/>
      <c r="N4115" s="2"/>
      <c r="O4115" s="20"/>
      <c r="P4115" s="42"/>
      <c r="R4115" s="23"/>
    </row>
    <row r="4116" spans="1:18" ht="12.75">
      <c r="A4116" s="12"/>
      <c r="D4116" s="12"/>
      <c r="E4116" s="12"/>
      <c r="H4116" s="11" t="str">
        <f ca="1">IFERROR(__xludf.DUMMYFUNCTION("IFERROR(SUBSTITUTE(SUBSTITUTE(REGEXEXTRACT(A4116, ""[^-]+- [^-]+- [^-]+ - (.+?)\.jpg""), "".jpg"", """"), ""-"", "", ""), """")"),"")</f>
        <v/>
      </c>
      <c r="L4116" s="12"/>
      <c r="M4116" s="13"/>
      <c r="N4116" s="2"/>
      <c r="O4116" s="20"/>
      <c r="P4116" s="42"/>
      <c r="R4116" s="23"/>
    </row>
    <row r="4117" spans="1:18" ht="12.75">
      <c r="A4117" s="12"/>
      <c r="D4117" s="12"/>
      <c r="E4117" s="12"/>
      <c r="H4117" s="11" t="str">
        <f ca="1">IFERROR(__xludf.DUMMYFUNCTION("IFERROR(SUBSTITUTE(SUBSTITUTE(REGEXEXTRACT(A4117, ""[^-]+- [^-]+- [^-]+ - (.+?)\.jpg""), "".jpg"", """"), ""-"", "", ""), """")"),"")</f>
        <v/>
      </c>
      <c r="L4117" s="12"/>
      <c r="M4117" s="13"/>
      <c r="N4117" s="2"/>
      <c r="O4117" s="20"/>
      <c r="P4117" s="42"/>
      <c r="R4117" s="23"/>
    </row>
    <row r="4118" spans="1:18" ht="12.75">
      <c r="A4118" s="12"/>
      <c r="D4118" s="12"/>
      <c r="E4118" s="12"/>
      <c r="H4118" s="11" t="str">
        <f ca="1">IFERROR(__xludf.DUMMYFUNCTION("IFERROR(SUBSTITUTE(SUBSTITUTE(REGEXEXTRACT(A4118, ""[^-]+- [^-]+- [^-]+ - (.+?)\.jpg""), "".jpg"", """"), ""-"", "", ""), """")"),"")</f>
        <v/>
      </c>
      <c r="L4118" s="12"/>
      <c r="M4118" s="13"/>
      <c r="N4118" s="2"/>
      <c r="O4118" s="20"/>
      <c r="P4118" s="42"/>
      <c r="R4118" s="23"/>
    </row>
    <row r="4119" spans="1:18" ht="12.75">
      <c r="A4119" s="12"/>
      <c r="D4119" s="12"/>
      <c r="E4119" s="12"/>
      <c r="H4119" s="11" t="str">
        <f ca="1">IFERROR(__xludf.DUMMYFUNCTION("IFERROR(SUBSTITUTE(SUBSTITUTE(REGEXEXTRACT(A4119, ""[^-]+- [^-]+- [^-]+ - (.+?)\.jpg""), "".jpg"", """"), ""-"", "", ""), """")"),"")</f>
        <v/>
      </c>
      <c r="L4119" s="12"/>
      <c r="M4119" s="13"/>
      <c r="N4119" s="2"/>
      <c r="O4119" s="20"/>
      <c r="P4119" s="42"/>
      <c r="R4119" s="23"/>
    </row>
    <row r="4120" spans="1:18" ht="12.75">
      <c r="A4120" s="12"/>
      <c r="D4120" s="12"/>
      <c r="E4120" s="12"/>
      <c r="H4120" s="11" t="str">
        <f ca="1">IFERROR(__xludf.DUMMYFUNCTION("IFERROR(SUBSTITUTE(SUBSTITUTE(REGEXEXTRACT(A4120, ""[^-]+- [^-]+- [^-]+ - (.+?)\.jpg""), "".jpg"", """"), ""-"", "", ""), """")"),"")</f>
        <v/>
      </c>
      <c r="L4120" s="12"/>
      <c r="M4120" s="13"/>
      <c r="N4120" s="2"/>
      <c r="O4120" s="20"/>
      <c r="P4120" s="42"/>
      <c r="R4120" s="23"/>
    </row>
    <row r="4121" spans="1:18" ht="12.75">
      <c r="A4121" s="12"/>
      <c r="D4121" s="12"/>
      <c r="E4121" s="12"/>
      <c r="H4121" s="11" t="str">
        <f ca="1">IFERROR(__xludf.DUMMYFUNCTION("IFERROR(SUBSTITUTE(SUBSTITUTE(REGEXEXTRACT(A4121, ""[^-]+- [^-]+- [^-]+ - (.+?)\.jpg""), "".jpg"", """"), ""-"", "", ""), """")"),"")</f>
        <v/>
      </c>
      <c r="L4121" s="12"/>
      <c r="M4121" s="13"/>
      <c r="N4121" s="2"/>
      <c r="O4121" s="20"/>
      <c r="P4121" s="42"/>
      <c r="R4121" s="23"/>
    </row>
    <row r="4122" spans="1:18" ht="12.75">
      <c r="A4122" s="12"/>
      <c r="D4122" s="12"/>
      <c r="E4122" s="12"/>
      <c r="H4122" s="11" t="str">
        <f ca="1">IFERROR(__xludf.DUMMYFUNCTION("IFERROR(SUBSTITUTE(SUBSTITUTE(REGEXEXTRACT(A4122, ""[^-]+- [^-]+- [^-]+ - (.+?)\.jpg""), "".jpg"", """"), ""-"", "", ""), """")"),"")</f>
        <v/>
      </c>
      <c r="L4122" s="12"/>
      <c r="M4122" s="13"/>
      <c r="N4122" s="2"/>
      <c r="O4122" s="20"/>
      <c r="P4122" s="42"/>
      <c r="R4122" s="23"/>
    </row>
    <row r="4123" spans="1:18" ht="12.75">
      <c r="A4123" s="12"/>
      <c r="D4123" s="12"/>
      <c r="E4123" s="12"/>
      <c r="H4123" s="11" t="str">
        <f ca="1">IFERROR(__xludf.DUMMYFUNCTION("IFERROR(SUBSTITUTE(SUBSTITUTE(REGEXEXTRACT(A4123, ""[^-]+- [^-]+- [^-]+ - (.+?)\.jpg""), "".jpg"", """"), ""-"", "", ""), """")"),"")</f>
        <v/>
      </c>
      <c r="L4123" s="12"/>
      <c r="M4123" s="13"/>
      <c r="N4123" s="2"/>
      <c r="O4123" s="20"/>
      <c r="P4123" s="42"/>
      <c r="R4123" s="23"/>
    </row>
    <row r="4124" spans="1:18" ht="12.75">
      <c r="A4124" s="12"/>
      <c r="D4124" s="12"/>
      <c r="E4124" s="12"/>
      <c r="H4124" s="11" t="str">
        <f ca="1">IFERROR(__xludf.DUMMYFUNCTION("IFERROR(SUBSTITUTE(SUBSTITUTE(REGEXEXTRACT(A4124, ""[^-]+- [^-]+- [^-]+ - (.+?)\.jpg""), "".jpg"", """"), ""-"", "", ""), """")"),"")</f>
        <v/>
      </c>
      <c r="L4124" s="12"/>
      <c r="M4124" s="13"/>
      <c r="N4124" s="2"/>
      <c r="O4124" s="20"/>
      <c r="P4124" s="42"/>
      <c r="R4124" s="23"/>
    </row>
    <row r="4125" spans="1:18" ht="12.75">
      <c r="A4125" s="12"/>
      <c r="D4125" s="12"/>
      <c r="E4125" s="12"/>
      <c r="H4125" s="11" t="str">
        <f ca="1">IFERROR(__xludf.DUMMYFUNCTION("IFERROR(SUBSTITUTE(SUBSTITUTE(REGEXEXTRACT(A4125, ""[^-]+- [^-]+- [^-]+ - (.+?)\.jpg""), "".jpg"", """"), ""-"", "", ""), """")"),"")</f>
        <v/>
      </c>
      <c r="L4125" s="12"/>
      <c r="M4125" s="13"/>
      <c r="N4125" s="2"/>
      <c r="O4125" s="20"/>
      <c r="P4125" s="42"/>
      <c r="R4125" s="23"/>
    </row>
    <row r="4126" spans="1:18" ht="12.75">
      <c r="A4126" s="12"/>
      <c r="D4126" s="12"/>
      <c r="E4126" s="12"/>
      <c r="H4126" s="11" t="str">
        <f ca="1">IFERROR(__xludf.DUMMYFUNCTION("IFERROR(SUBSTITUTE(SUBSTITUTE(REGEXEXTRACT(A4126, ""[^-]+- [^-]+- [^-]+ - (.+?)\.jpg""), "".jpg"", """"), ""-"", "", ""), """")"),"")</f>
        <v/>
      </c>
      <c r="L4126" s="12"/>
      <c r="M4126" s="13"/>
      <c r="N4126" s="2"/>
      <c r="O4126" s="20"/>
      <c r="P4126" s="42"/>
      <c r="R4126" s="23"/>
    </row>
    <row r="4127" spans="1:18" ht="12.75">
      <c r="A4127" s="12"/>
      <c r="D4127" s="12"/>
      <c r="E4127" s="12"/>
      <c r="H4127" s="11" t="str">
        <f ca="1">IFERROR(__xludf.DUMMYFUNCTION("IFERROR(SUBSTITUTE(SUBSTITUTE(REGEXEXTRACT(A4127, ""[^-]+- [^-]+- [^-]+ - (.+?)\.jpg""), "".jpg"", """"), ""-"", "", ""), """")"),"")</f>
        <v/>
      </c>
      <c r="L4127" s="12"/>
      <c r="M4127" s="13"/>
      <c r="N4127" s="2"/>
      <c r="O4127" s="20"/>
      <c r="P4127" s="42"/>
      <c r="R4127" s="23"/>
    </row>
    <row r="4128" spans="1:18" ht="12.75">
      <c r="A4128" s="12"/>
      <c r="D4128" s="12"/>
      <c r="E4128" s="12"/>
      <c r="H4128" s="11" t="str">
        <f ca="1">IFERROR(__xludf.DUMMYFUNCTION("IFERROR(SUBSTITUTE(SUBSTITUTE(REGEXEXTRACT(A4128, ""[^-]+- [^-]+- [^-]+ - (.+?)\.jpg""), "".jpg"", """"), ""-"", "", ""), """")"),"")</f>
        <v/>
      </c>
      <c r="L4128" s="12"/>
      <c r="M4128" s="13"/>
      <c r="N4128" s="2"/>
      <c r="O4128" s="20"/>
      <c r="P4128" s="42"/>
      <c r="R4128" s="23"/>
    </row>
    <row r="4129" spans="1:18" ht="12.75">
      <c r="A4129" s="12"/>
      <c r="D4129" s="12"/>
      <c r="E4129" s="12"/>
      <c r="H4129" s="11" t="str">
        <f ca="1">IFERROR(__xludf.DUMMYFUNCTION("IFERROR(SUBSTITUTE(SUBSTITUTE(REGEXEXTRACT(A4129, ""[^-]+- [^-]+- [^-]+ - (.+?)\.jpg""), "".jpg"", """"), ""-"", "", ""), """")"),"")</f>
        <v/>
      </c>
      <c r="L4129" s="12"/>
      <c r="M4129" s="13"/>
      <c r="N4129" s="2"/>
      <c r="O4129" s="20"/>
      <c r="P4129" s="42"/>
      <c r="R4129" s="23"/>
    </row>
    <row r="4130" spans="1:18" ht="12.75">
      <c r="A4130" s="12"/>
      <c r="D4130" s="12"/>
      <c r="E4130" s="12"/>
      <c r="H4130" s="11" t="str">
        <f ca="1">IFERROR(__xludf.DUMMYFUNCTION("IFERROR(SUBSTITUTE(SUBSTITUTE(REGEXEXTRACT(A4130, ""[^-]+- [^-]+- [^-]+ - (.+?)\.jpg""), "".jpg"", """"), ""-"", "", ""), """")"),"")</f>
        <v/>
      </c>
      <c r="L4130" s="12"/>
      <c r="M4130" s="13"/>
      <c r="N4130" s="2"/>
      <c r="O4130" s="20"/>
      <c r="P4130" s="42"/>
      <c r="R4130" s="23"/>
    </row>
    <row r="4131" spans="1:18" ht="12.75">
      <c r="A4131" s="12"/>
      <c r="D4131" s="12"/>
      <c r="E4131" s="12"/>
      <c r="H4131" s="11" t="str">
        <f ca="1">IFERROR(__xludf.DUMMYFUNCTION("IFERROR(SUBSTITUTE(SUBSTITUTE(REGEXEXTRACT(A4131, ""[^-]+- [^-]+- [^-]+ - (.+?)\.jpg""), "".jpg"", """"), ""-"", "", ""), """")"),"")</f>
        <v/>
      </c>
      <c r="L4131" s="12"/>
      <c r="M4131" s="13"/>
      <c r="N4131" s="2"/>
      <c r="O4131" s="20"/>
      <c r="P4131" s="42"/>
      <c r="R4131" s="23"/>
    </row>
    <row r="4132" spans="1:18" ht="12.75">
      <c r="A4132" s="12"/>
      <c r="D4132" s="12"/>
      <c r="E4132" s="12"/>
      <c r="H4132" s="11" t="str">
        <f ca="1">IFERROR(__xludf.DUMMYFUNCTION("IFERROR(SUBSTITUTE(SUBSTITUTE(REGEXEXTRACT(A4132, ""[^-]+- [^-]+- [^-]+ - (.+?)\.jpg""), "".jpg"", """"), ""-"", "", ""), """")"),"")</f>
        <v/>
      </c>
      <c r="L4132" s="12"/>
      <c r="M4132" s="13"/>
      <c r="N4132" s="2"/>
      <c r="O4132" s="20"/>
      <c r="P4132" s="42"/>
      <c r="R4132" s="23"/>
    </row>
    <row r="4133" spans="1:18" ht="12.75">
      <c r="A4133" s="12"/>
      <c r="D4133" s="12"/>
      <c r="E4133" s="12"/>
      <c r="H4133" s="11" t="str">
        <f ca="1">IFERROR(__xludf.DUMMYFUNCTION("IFERROR(SUBSTITUTE(SUBSTITUTE(REGEXEXTRACT(A4133, ""[^-]+- [^-]+- [^-]+ - (.+?)\.jpg""), "".jpg"", """"), ""-"", "", ""), """")"),"")</f>
        <v/>
      </c>
      <c r="L4133" s="12"/>
      <c r="M4133" s="13"/>
      <c r="N4133" s="2"/>
      <c r="O4133" s="20"/>
      <c r="P4133" s="42"/>
      <c r="R4133" s="23"/>
    </row>
    <row r="4134" spans="1:18" ht="12.75">
      <c r="A4134" s="12"/>
      <c r="D4134" s="12"/>
      <c r="E4134" s="12"/>
      <c r="H4134" s="11" t="str">
        <f ca="1">IFERROR(__xludf.DUMMYFUNCTION("IFERROR(SUBSTITUTE(SUBSTITUTE(REGEXEXTRACT(A4134, ""[^-]+- [^-]+- [^-]+ - (.+?)\.jpg""), "".jpg"", """"), ""-"", "", ""), """")"),"")</f>
        <v/>
      </c>
      <c r="L4134" s="12"/>
      <c r="M4134" s="13"/>
      <c r="N4134" s="2"/>
      <c r="O4134" s="20"/>
      <c r="P4134" s="42"/>
      <c r="R4134" s="23"/>
    </row>
    <row r="4135" spans="1:18" ht="12.75">
      <c r="A4135" s="12"/>
      <c r="D4135" s="12"/>
      <c r="E4135" s="12"/>
      <c r="H4135" s="11" t="str">
        <f ca="1">IFERROR(__xludf.DUMMYFUNCTION("IFERROR(SUBSTITUTE(SUBSTITUTE(REGEXEXTRACT(A4135, ""[^-]+- [^-]+- [^-]+ - (.+?)\.jpg""), "".jpg"", """"), ""-"", "", ""), """")"),"")</f>
        <v/>
      </c>
      <c r="L4135" s="12"/>
      <c r="M4135" s="13"/>
      <c r="N4135" s="2"/>
      <c r="O4135" s="20"/>
      <c r="P4135" s="42"/>
      <c r="R4135" s="23"/>
    </row>
    <row r="4136" spans="1:18" ht="12.75">
      <c r="A4136" s="12"/>
      <c r="D4136" s="12"/>
      <c r="E4136" s="12"/>
      <c r="H4136" s="11" t="str">
        <f ca="1">IFERROR(__xludf.DUMMYFUNCTION("IFERROR(SUBSTITUTE(SUBSTITUTE(REGEXEXTRACT(A4136, ""[^-]+- [^-]+- [^-]+ - (.+?)\.jpg""), "".jpg"", """"), ""-"", "", ""), """")"),"")</f>
        <v/>
      </c>
      <c r="L4136" s="12"/>
      <c r="M4136" s="13"/>
      <c r="N4136" s="2"/>
      <c r="O4136" s="20"/>
      <c r="P4136" s="42"/>
      <c r="R4136" s="23"/>
    </row>
    <row r="4137" spans="1:18" ht="12.75">
      <c r="A4137" s="12"/>
      <c r="D4137" s="12"/>
      <c r="E4137" s="12"/>
      <c r="H4137" s="11" t="str">
        <f ca="1">IFERROR(__xludf.DUMMYFUNCTION("IFERROR(SUBSTITUTE(SUBSTITUTE(REGEXEXTRACT(A4137, ""[^-]+- [^-]+- [^-]+ - (.+?)\.jpg""), "".jpg"", """"), ""-"", "", ""), """")"),"")</f>
        <v/>
      </c>
      <c r="L4137" s="12"/>
      <c r="M4137" s="13"/>
      <c r="N4137" s="2"/>
      <c r="O4137" s="20"/>
      <c r="P4137" s="42"/>
      <c r="R4137" s="23"/>
    </row>
    <row r="4138" spans="1:18" ht="12.75">
      <c r="A4138" s="12"/>
      <c r="D4138" s="12"/>
      <c r="E4138" s="12"/>
      <c r="H4138" s="11" t="str">
        <f ca="1">IFERROR(__xludf.DUMMYFUNCTION("IFERROR(SUBSTITUTE(SUBSTITUTE(REGEXEXTRACT(A4138, ""[^-]+- [^-]+- [^-]+ - (.+?)\.jpg""), "".jpg"", """"), ""-"", "", ""), """")"),"")</f>
        <v/>
      </c>
      <c r="L4138" s="12"/>
      <c r="M4138" s="13"/>
      <c r="N4138" s="2"/>
      <c r="O4138" s="20"/>
      <c r="P4138" s="42"/>
      <c r="R4138" s="23"/>
    </row>
    <row r="4139" spans="1:18" ht="12.75">
      <c r="A4139" s="12"/>
      <c r="D4139" s="12"/>
      <c r="E4139" s="12"/>
      <c r="H4139" s="11" t="str">
        <f ca="1">IFERROR(__xludf.DUMMYFUNCTION("IFERROR(SUBSTITUTE(SUBSTITUTE(REGEXEXTRACT(A4139, ""[^-]+- [^-]+- [^-]+ - (.+?)\.jpg""), "".jpg"", """"), ""-"", "", ""), """")"),"")</f>
        <v/>
      </c>
      <c r="L4139" s="12"/>
      <c r="M4139" s="13"/>
      <c r="N4139" s="2"/>
      <c r="O4139" s="20"/>
      <c r="P4139" s="42"/>
      <c r="R4139" s="23"/>
    </row>
    <row r="4140" spans="1:18" ht="12.75">
      <c r="A4140" s="12"/>
      <c r="D4140" s="12"/>
      <c r="E4140" s="12"/>
      <c r="H4140" s="11" t="str">
        <f ca="1">IFERROR(__xludf.DUMMYFUNCTION("IFERROR(SUBSTITUTE(SUBSTITUTE(REGEXEXTRACT(A4140, ""[^-]+- [^-]+- [^-]+ - (.+?)\.jpg""), "".jpg"", """"), ""-"", "", ""), """")"),"")</f>
        <v/>
      </c>
      <c r="L4140" s="12"/>
      <c r="M4140" s="13"/>
      <c r="N4140" s="2"/>
      <c r="O4140" s="20"/>
      <c r="P4140" s="42"/>
      <c r="R4140" s="23"/>
    </row>
    <row r="4141" spans="1:18" ht="12.75">
      <c r="A4141" s="12"/>
      <c r="D4141" s="12"/>
      <c r="E4141" s="12"/>
      <c r="H4141" s="11" t="str">
        <f ca="1">IFERROR(__xludf.DUMMYFUNCTION("IFERROR(SUBSTITUTE(SUBSTITUTE(REGEXEXTRACT(A4141, ""[^-]+- [^-]+- [^-]+ - (.+?)\.jpg""), "".jpg"", """"), ""-"", "", ""), """")"),"")</f>
        <v/>
      </c>
      <c r="L4141" s="12"/>
      <c r="M4141" s="13"/>
      <c r="N4141" s="2"/>
      <c r="O4141" s="20"/>
      <c r="P4141" s="42"/>
      <c r="R4141" s="23"/>
    </row>
    <row r="4142" spans="1:18" ht="12.75">
      <c r="A4142" s="12"/>
      <c r="D4142" s="12"/>
      <c r="E4142" s="12"/>
      <c r="H4142" s="11" t="str">
        <f ca="1">IFERROR(__xludf.DUMMYFUNCTION("IFERROR(SUBSTITUTE(SUBSTITUTE(REGEXEXTRACT(A4142, ""[^-]+- [^-]+- [^-]+ - (.+?)\.jpg""), "".jpg"", """"), ""-"", "", ""), """")"),"")</f>
        <v/>
      </c>
      <c r="L4142" s="12"/>
      <c r="M4142" s="13"/>
      <c r="N4142" s="2"/>
      <c r="O4142" s="20"/>
      <c r="P4142" s="42"/>
      <c r="R4142" s="23"/>
    </row>
    <row r="4143" spans="1:18" ht="12.75">
      <c r="A4143" s="12"/>
      <c r="D4143" s="12"/>
      <c r="E4143" s="12"/>
      <c r="H4143" s="11" t="str">
        <f ca="1">IFERROR(__xludf.DUMMYFUNCTION("IFERROR(SUBSTITUTE(SUBSTITUTE(REGEXEXTRACT(A4143, ""[^-]+- [^-]+- [^-]+ - (.+?)\.jpg""), "".jpg"", """"), ""-"", "", ""), """")"),"")</f>
        <v/>
      </c>
      <c r="L4143" s="12"/>
      <c r="M4143" s="13"/>
      <c r="N4143" s="2"/>
      <c r="O4143" s="20"/>
      <c r="P4143" s="42"/>
      <c r="R4143" s="23"/>
    </row>
    <row r="4144" spans="1:18" ht="12.75">
      <c r="A4144" s="12"/>
      <c r="D4144" s="12"/>
      <c r="E4144" s="12"/>
      <c r="H4144" s="11" t="str">
        <f ca="1">IFERROR(__xludf.DUMMYFUNCTION("IFERROR(SUBSTITUTE(SUBSTITUTE(REGEXEXTRACT(A4144, ""[^-]+- [^-]+- [^-]+ - (.+?)\.jpg""), "".jpg"", """"), ""-"", "", ""), """")"),"")</f>
        <v/>
      </c>
      <c r="L4144" s="12"/>
      <c r="M4144" s="13"/>
      <c r="N4144" s="2"/>
      <c r="O4144" s="20"/>
      <c r="P4144" s="42"/>
      <c r="R4144" s="23"/>
    </row>
    <row r="4145" spans="1:18" ht="12.75">
      <c r="A4145" s="12"/>
      <c r="D4145" s="12"/>
      <c r="E4145" s="12"/>
      <c r="H4145" s="11" t="str">
        <f ca="1">IFERROR(__xludf.DUMMYFUNCTION("IFERROR(SUBSTITUTE(SUBSTITUTE(REGEXEXTRACT(A4145, ""[^-]+- [^-]+- [^-]+ - (.+?)\.jpg""), "".jpg"", """"), ""-"", "", ""), """")"),"")</f>
        <v/>
      </c>
      <c r="L4145" s="12"/>
      <c r="M4145" s="13"/>
      <c r="N4145" s="2"/>
      <c r="O4145" s="20"/>
      <c r="P4145" s="42"/>
      <c r="R4145" s="23"/>
    </row>
    <row r="4146" spans="1:18" ht="12.75">
      <c r="A4146" s="12"/>
      <c r="D4146" s="12"/>
      <c r="E4146" s="12"/>
      <c r="H4146" s="11" t="str">
        <f ca="1">IFERROR(__xludf.DUMMYFUNCTION("IFERROR(SUBSTITUTE(SUBSTITUTE(REGEXEXTRACT(A4146, ""[^-]+- [^-]+- [^-]+ - (.+?)\.jpg""), "".jpg"", """"), ""-"", "", ""), """")"),"")</f>
        <v/>
      </c>
      <c r="L4146" s="12"/>
      <c r="M4146" s="13"/>
      <c r="N4146" s="2"/>
      <c r="O4146" s="20"/>
      <c r="P4146" s="42"/>
      <c r="R4146" s="23"/>
    </row>
    <row r="4147" spans="1:18" ht="12.75">
      <c r="A4147" s="12"/>
      <c r="D4147" s="12"/>
      <c r="E4147" s="12"/>
      <c r="H4147" s="11" t="str">
        <f ca="1">IFERROR(__xludf.DUMMYFUNCTION("IFERROR(SUBSTITUTE(SUBSTITUTE(REGEXEXTRACT(A4147, ""[^-]+- [^-]+- [^-]+ - (.+?)\.jpg""), "".jpg"", """"), ""-"", "", ""), """")"),"")</f>
        <v/>
      </c>
      <c r="L4147" s="12"/>
      <c r="M4147" s="13"/>
      <c r="N4147" s="2"/>
      <c r="O4147" s="20"/>
      <c r="P4147" s="42"/>
      <c r="R4147" s="23"/>
    </row>
    <row r="4148" spans="1:18" ht="12.75">
      <c r="A4148" s="12"/>
      <c r="D4148" s="12"/>
      <c r="E4148" s="12"/>
      <c r="H4148" s="11" t="str">
        <f ca="1">IFERROR(__xludf.DUMMYFUNCTION("IFERROR(SUBSTITUTE(SUBSTITUTE(REGEXEXTRACT(A4148, ""[^-]+- [^-]+- [^-]+ - (.+?)\.jpg""), "".jpg"", """"), ""-"", "", ""), """")"),"")</f>
        <v/>
      </c>
      <c r="L4148" s="12"/>
      <c r="M4148" s="13"/>
      <c r="N4148" s="2"/>
      <c r="O4148" s="20"/>
      <c r="P4148" s="42"/>
      <c r="R4148" s="23"/>
    </row>
    <row r="4149" spans="1:18" ht="12.75">
      <c r="A4149" s="12"/>
      <c r="D4149" s="12"/>
      <c r="E4149" s="12"/>
      <c r="H4149" s="11" t="str">
        <f ca="1">IFERROR(__xludf.DUMMYFUNCTION("IFERROR(SUBSTITUTE(SUBSTITUTE(REGEXEXTRACT(A4149, ""[^-]+- [^-]+- [^-]+ - (.+?)\.jpg""), "".jpg"", """"), ""-"", "", ""), """")"),"")</f>
        <v/>
      </c>
      <c r="L4149" s="12"/>
      <c r="M4149" s="13"/>
      <c r="N4149" s="2"/>
      <c r="O4149" s="20"/>
      <c r="P4149" s="42"/>
      <c r="R4149" s="23"/>
    </row>
    <row r="4150" spans="1:18" ht="12.75">
      <c r="A4150" s="12"/>
      <c r="D4150" s="12"/>
      <c r="E4150" s="12"/>
      <c r="H4150" s="11" t="str">
        <f ca="1">IFERROR(__xludf.DUMMYFUNCTION("IFERROR(SUBSTITUTE(SUBSTITUTE(REGEXEXTRACT(A4150, ""[^-]+- [^-]+- [^-]+ - (.+?)\.jpg""), "".jpg"", """"), ""-"", "", ""), """")"),"")</f>
        <v/>
      </c>
      <c r="L4150" s="12"/>
      <c r="M4150" s="13"/>
      <c r="N4150" s="2"/>
      <c r="O4150" s="20"/>
      <c r="P4150" s="42"/>
      <c r="R4150" s="23"/>
    </row>
    <row r="4151" spans="1:18" ht="12.75">
      <c r="A4151" s="12"/>
      <c r="D4151" s="12"/>
      <c r="E4151" s="12"/>
      <c r="H4151" s="11" t="str">
        <f ca="1">IFERROR(__xludf.DUMMYFUNCTION("IFERROR(SUBSTITUTE(SUBSTITUTE(REGEXEXTRACT(A4151, ""[^-]+- [^-]+- [^-]+ - (.+?)\.jpg""), "".jpg"", """"), ""-"", "", ""), """")"),"")</f>
        <v/>
      </c>
      <c r="L4151" s="12"/>
      <c r="M4151" s="13"/>
      <c r="N4151" s="2"/>
      <c r="O4151" s="20"/>
      <c r="P4151" s="42"/>
      <c r="R4151" s="23"/>
    </row>
    <row r="4152" spans="1:18" ht="12.75">
      <c r="A4152" s="12"/>
      <c r="D4152" s="12"/>
      <c r="E4152" s="12"/>
      <c r="H4152" s="11" t="str">
        <f ca="1">IFERROR(__xludf.DUMMYFUNCTION("IFERROR(SUBSTITUTE(SUBSTITUTE(REGEXEXTRACT(A4152, ""[^-]+- [^-]+- [^-]+ - (.+?)\.jpg""), "".jpg"", """"), ""-"", "", ""), """")"),"")</f>
        <v/>
      </c>
      <c r="L4152" s="12"/>
      <c r="M4152" s="13"/>
      <c r="N4152" s="2"/>
      <c r="O4152" s="20"/>
      <c r="P4152" s="42"/>
      <c r="R4152" s="23"/>
    </row>
    <row r="4153" spans="1:18" ht="12.75">
      <c r="A4153" s="12"/>
      <c r="D4153" s="12"/>
      <c r="E4153" s="12"/>
      <c r="H4153" s="11" t="str">
        <f ca="1">IFERROR(__xludf.DUMMYFUNCTION("IFERROR(SUBSTITUTE(SUBSTITUTE(REGEXEXTRACT(A4153, ""[^-]+- [^-]+- [^-]+ - (.+?)\.jpg""), "".jpg"", """"), ""-"", "", ""), """")"),"")</f>
        <v/>
      </c>
      <c r="L4153" s="12"/>
      <c r="M4153" s="13"/>
      <c r="N4153" s="2"/>
      <c r="O4153" s="20"/>
      <c r="P4153" s="42"/>
      <c r="R4153" s="23"/>
    </row>
    <row r="4154" spans="1:18" ht="12.75">
      <c r="A4154" s="12"/>
      <c r="D4154" s="12"/>
      <c r="E4154" s="12"/>
      <c r="H4154" s="11" t="str">
        <f ca="1">IFERROR(__xludf.DUMMYFUNCTION("IFERROR(SUBSTITUTE(SUBSTITUTE(REGEXEXTRACT(A4154, ""[^-]+- [^-]+- [^-]+ - (.+?)\.jpg""), "".jpg"", """"), ""-"", "", ""), """")"),"")</f>
        <v/>
      </c>
      <c r="L4154" s="12"/>
      <c r="M4154" s="13"/>
      <c r="N4154" s="2"/>
      <c r="O4154" s="20"/>
      <c r="P4154" s="42"/>
      <c r="R4154" s="23"/>
    </row>
    <row r="4155" spans="1:18" ht="12.75">
      <c r="A4155" s="12"/>
      <c r="D4155" s="12"/>
      <c r="E4155" s="12"/>
      <c r="H4155" s="11" t="str">
        <f ca="1">IFERROR(__xludf.DUMMYFUNCTION("IFERROR(SUBSTITUTE(SUBSTITUTE(REGEXEXTRACT(A4155, ""[^-]+- [^-]+- [^-]+ - (.+?)\.jpg""), "".jpg"", """"), ""-"", "", ""), """")"),"")</f>
        <v/>
      </c>
      <c r="L4155" s="12"/>
      <c r="M4155" s="13"/>
      <c r="N4155" s="2"/>
      <c r="O4155" s="20"/>
      <c r="P4155" s="42"/>
      <c r="R4155" s="23"/>
    </row>
    <row r="4156" spans="1:18" ht="12.75">
      <c r="A4156" s="12"/>
      <c r="D4156" s="12"/>
      <c r="E4156" s="12"/>
      <c r="H4156" s="11" t="str">
        <f ca="1">IFERROR(__xludf.DUMMYFUNCTION("IFERROR(SUBSTITUTE(SUBSTITUTE(REGEXEXTRACT(A4156, ""[^-]+- [^-]+- [^-]+ - (.+?)\.jpg""), "".jpg"", """"), ""-"", "", ""), """")"),"")</f>
        <v/>
      </c>
      <c r="L4156" s="12"/>
      <c r="M4156" s="13"/>
      <c r="N4156" s="2"/>
      <c r="O4156" s="20"/>
      <c r="P4156" s="42"/>
      <c r="R4156" s="23"/>
    </row>
    <row r="4157" spans="1:18" ht="12.75">
      <c r="A4157" s="12"/>
      <c r="D4157" s="12"/>
      <c r="E4157" s="12"/>
      <c r="H4157" s="11" t="str">
        <f ca="1">IFERROR(__xludf.DUMMYFUNCTION("IFERROR(SUBSTITUTE(SUBSTITUTE(REGEXEXTRACT(A4157, ""[^-]+- [^-]+- [^-]+ - (.+?)\.jpg""), "".jpg"", """"), ""-"", "", ""), """")"),"")</f>
        <v/>
      </c>
      <c r="L4157" s="12"/>
      <c r="M4157" s="13"/>
      <c r="N4157" s="2"/>
      <c r="O4157" s="20"/>
      <c r="P4157" s="42"/>
      <c r="R4157" s="23"/>
    </row>
    <row r="4158" spans="1:18" ht="12.75">
      <c r="A4158" s="12"/>
      <c r="D4158" s="12"/>
      <c r="E4158" s="12"/>
      <c r="H4158" s="11" t="str">
        <f ca="1">IFERROR(__xludf.DUMMYFUNCTION("IFERROR(SUBSTITUTE(SUBSTITUTE(REGEXEXTRACT(A4158, ""[^-]+- [^-]+- [^-]+ - (.+?)\.jpg""), "".jpg"", """"), ""-"", "", ""), """")"),"")</f>
        <v/>
      </c>
      <c r="L4158" s="12"/>
      <c r="M4158" s="13"/>
      <c r="N4158" s="2"/>
      <c r="O4158" s="20"/>
      <c r="P4158" s="42"/>
      <c r="R4158" s="23"/>
    </row>
    <row r="4159" spans="1:18" ht="12.75">
      <c r="A4159" s="12"/>
      <c r="D4159" s="12"/>
      <c r="E4159" s="12"/>
      <c r="H4159" s="11" t="str">
        <f ca="1">IFERROR(__xludf.DUMMYFUNCTION("IFERROR(SUBSTITUTE(SUBSTITUTE(REGEXEXTRACT(A4159, ""[^-]+- [^-]+- [^-]+ - (.+?)\.jpg""), "".jpg"", """"), ""-"", "", ""), """")"),"")</f>
        <v/>
      </c>
      <c r="L4159" s="12"/>
      <c r="M4159" s="13"/>
      <c r="N4159" s="2"/>
      <c r="O4159" s="20"/>
      <c r="P4159" s="42"/>
      <c r="R4159" s="23"/>
    </row>
    <row r="4160" spans="1:18" ht="12.75">
      <c r="A4160" s="12"/>
      <c r="D4160" s="12"/>
      <c r="E4160" s="12"/>
      <c r="H4160" s="11" t="str">
        <f ca="1">IFERROR(__xludf.DUMMYFUNCTION("IFERROR(SUBSTITUTE(SUBSTITUTE(REGEXEXTRACT(A4160, ""[^-]+- [^-]+- [^-]+ - (.+?)\.jpg""), "".jpg"", """"), ""-"", "", ""), """")"),"")</f>
        <v/>
      </c>
      <c r="L4160" s="12"/>
      <c r="M4160" s="13"/>
      <c r="N4160" s="2"/>
      <c r="O4160" s="20"/>
      <c r="P4160" s="42"/>
      <c r="R4160" s="23"/>
    </row>
    <row r="4161" spans="1:18" ht="12.75">
      <c r="A4161" s="12"/>
      <c r="D4161" s="12"/>
      <c r="E4161" s="12"/>
      <c r="H4161" s="11" t="str">
        <f ca="1">IFERROR(__xludf.DUMMYFUNCTION("IFERROR(SUBSTITUTE(SUBSTITUTE(REGEXEXTRACT(A4161, ""[^-]+- [^-]+- [^-]+ - (.+?)\.jpg""), "".jpg"", """"), ""-"", "", ""), """")"),"")</f>
        <v/>
      </c>
      <c r="L4161" s="12"/>
      <c r="M4161" s="13"/>
      <c r="N4161" s="2"/>
      <c r="O4161" s="20"/>
      <c r="P4161" s="42"/>
      <c r="R4161" s="23"/>
    </row>
    <row r="4162" spans="1:18" ht="12.75">
      <c r="A4162" s="12"/>
      <c r="D4162" s="12"/>
      <c r="E4162" s="12"/>
      <c r="H4162" s="11" t="str">
        <f ca="1">IFERROR(__xludf.DUMMYFUNCTION("IFERROR(SUBSTITUTE(SUBSTITUTE(REGEXEXTRACT(A4162, ""[^-]+- [^-]+- [^-]+ - (.+?)\.jpg""), "".jpg"", """"), ""-"", "", ""), """")"),"")</f>
        <v/>
      </c>
      <c r="L4162" s="12"/>
      <c r="M4162" s="13"/>
      <c r="N4162" s="2"/>
      <c r="O4162" s="20"/>
      <c r="P4162" s="42"/>
      <c r="R4162" s="23"/>
    </row>
    <row r="4163" spans="1:18" ht="12.75">
      <c r="A4163" s="12"/>
      <c r="D4163" s="12"/>
      <c r="E4163" s="12"/>
      <c r="H4163" s="11" t="str">
        <f ca="1">IFERROR(__xludf.DUMMYFUNCTION("IFERROR(SUBSTITUTE(SUBSTITUTE(REGEXEXTRACT(A4163, ""[^-]+- [^-]+- [^-]+ - (.+?)\.jpg""), "".jpg"", """"), ""-"", "", ""), """")"),"")</f>
        <v/>
      </c>
      <c r="L4163" s="12"/>
      <c r="M4163" s="13"/>
      <c r="N4163" s="2"/>
      <c r="O4163" s="20"/>
      <c r="P4163" s="42"/>
      <c r="R4163" s="23"/>
    </row>
    <row r="4164" spans="1:18" ht="12.75">
      <c r="A4164" s="12"/>
      <c r="D4164" s="12"/>
      <c r="E4164" s="12"/>
      <c r="H4164" s="11" t="str">
        <f ca="1">IFERROR(__xludf.DUMMYFUNCTION("IFERROR(SUBSTITUTE(SUBSTITUTE(REGEXEXTRACT(A4164, ""[^-]+- [^-]+- [^-]+ - (.+?)\.jpg""), "".jpg"", """"), ""-"", "", ""), """")"),"")</f>
        <v/>
      </c>
      <c r="L4164" s="12"/>
      <c r="M4164" s="13"/>
      <c r="N4164" s="2"/>
      <c r="O4164" s="20"/>
      <c r="P4164" s="42"/>
      <c r="R4164" s="23"/>
    </row>
    <row r="4165" spans="1:18" ht="12.75">
      <c r="A4165" s="12"/>
      <c r="D4165" s="12"/>
      <c r="E4165" s="12"/>
      <c r="H4165" s="11" t="str">
        <f ca="1">IFERROR(__xludf.DUMMYFUNCTION("IFERROR(SUBSTITUTE(SUBSTITUTE(REGEXEXTRACT(A4165, ""[^-]+- [^-]+- [^-]+ - (.+?)\.jpg""), "".jpg"", """"), ""-"", "", ""), """")"),"")</f>
        <v/>
      </c>
      <c r="L4165" s="12"/>
      <c r="M4165" s="13"/>
      <c r="N4165" s="2"/>
      <c r="O4165" s="20"/>
      <c r="P4165" s="42"/>
      <c r="R4165" s="23"/>
    </row>
    <row r="4166" spans="1:18" ht="12.75">
      <c r="A4166" s="12"/>
      <c r="D4166" s="12"/>
      <c r="E4166" s="12"/>
      <c r="H4166" s="11" t="str">
        <f ca="1">IFERROR(__xludf.DUMMYFUNCTION("IFERROR(SUBSTITUTE(SUBSTITUTE(REGEXEXTRACT(A4166, ""[^-]+- [^-]+- [^-]+ - (.+?)\.jpg""), "".jpg"", """"), ""-"", "", ""), """")"),"")</f>
        <v/>
      </c>
      <c r="L4166" s="12"/>
      <c r="M4166" s="13"/>
      <c r="N4166" s="2"/>
      <c r="O4166" s="20"/>
      <c r="P4166" s="42"/>
      <c r="R4166" s="23"/>
    </row>
    <row r="4167" spans="1:18" ht="12.75">
      <c r="A4167" s="12"/>
      <c r="D4167" s="12"/>
      <c r="E4167" s="12"/>
      <c r="H4167" s="11" t="str">
        <f ca="1">IFERROR(__xludf.DUMMYFUNCTION("IFERROR(SUBSTITUTE(SUBSTITUTE(REGEXEXTRACT(A4167, ""[^-]+- [^-]+- [^-]+ - (.+?)\.jpg""), "".jpg"", """"), ""-"", "", ""), """")"),"")</f>
        <v/>
      </c>
      <c r="L4167" s="12"/>
      <c r="M4167" s="13"/>
      <c r="N4167" s="2"/>
      <c r="O4167" s="20"/>
      <c r="P4167" s="42"/>
      <c r="R4167" s="23"/>
    </row>
    <row r="4168" spans="1:18" ht="12.75">
      <c r="A4168" s="12"/>
      <c r="D4168" s="12"/>
      <c r="E4168" s="12"/>
      <c r="H4168" s="11" t="str">
        <f ca="1">IFERROR(__xludf.DUMMYFUNCTION("IFERROR(SUBSTITUTE(SUBSTITUTE(REGEXEXTRACT(A4168, ""[^-]+- [^-]+- [^-]+ - (.+?)\.jpg""), "".jpg"", """"), ""-"", "", ""), """")"),"")</f>
        <v/>
      </c>
      <c r="L4168" s="12"/>
      <c r="M4168" s="13"/>
      <c r="N4168" s="2"/>
      <c r="O4168" s="20"/>
      <c r="P4168" s="42"/>
      <c r="R4168" s="23"/>
    </row>
    <row r="4169" spans="1:18" ht="12.75">
      <c r="A4169" s="12"/>
      <c r="D4169" s="12"/>
      <c r="E4169" s="12"/>
      <c r="H4169" s="11" t="str">
        <f ca="1">IFERROR(__xludf.DUMMYFUNCTION("IFERROR(SUBSTITUTE(SUBSTITUTE(REGEXEXTRACT(A4169, ""[^-]+- [^-]+- [^-]+ - (.+?)\.jpg""), "".jpg"", """"), ""-"", "", ""), """")"),"")</f>
        <v/>
      </c>
      <c r="L4169" s="12"/>
      <c r="M4169" s="13"/>
      <c r="N4169" s="2"/>
      <c r="O4169" s="20"/>
      <c r="P4169" s="42"/>
      <c r="R4169" s="23"/>
    </row>
    <row r="4170" spans="1:18" ht="12.75">
      <c r="A4170" s="12"/>
      <c r="D4170" s="12"/>
      <c r="E4170" s="12"/>
      <c r="H4170" s="11" t="str">
        <f ca="1">IFERROR(__xludf.DUMMYFUNCTION("IFERROR(SUBSTITUTE(SUBSTITUTE(REGEXEXTRACT(A4170, ""[^-]+- [^-]+- [^-]+ - (.+?)\.jpg""), "".jpg"", """"), ""-"", "", ""), """")"),"")</f>
        <v/>
      </c>
      <c r="L4170" s="12"/>
      <c r="M4170" s="13"/>
      <c r="N4170" s="2"/>
      <c r="O4170" s="20"/>
      <c r="P4170" s="42"/>
      <c r="R4170" s="23"/>
    </row>
    <row r="4171" spans="1:18" ht="12.75">
      <c r="A4171" s="12"/>
      <c r="D4171" s="12"/>
      <c r="E4171" s="12"/>
      <c r="H4171" s="11" t="str">
        <f ca="1">IFERROR(__xludf.DUMMYFUNCTION("IFERROR(SUBSTITUTE(SUBSTITUTE(REGEXEXTRACT(A4171, ""[^-]+- [^-]+- [^-]+ - (.+?)\.jpg""), "".jpg"", """"), ""-"", "", ""), """")"),"")</f>
        <v/>
      </c>
      <c r="L4171" s="12"/>
      <c r="M4171" s="13"/>
      <c r="N4171" s="2"/>
      <c r="O4171" s="20"/>
      <c r="P4171" s="42"/>
      <c r="R4171" s="23"/>
    </row>
    <row r="4172" spans="1:18" ht="12.75">
      <c r="A4172" s="12"/>
      <c r="D4172" s="12"/>
      <c r="E4172" s="12"/>
      <c r="H4172" s="11" t="str">
        <f ca="1">IFERROR(__xludf.DUMMYFUNCTION("IFERROR(SUBSTITUTE(SUBSTITUTE(REGEXEXTRACT(A4172, ""[^-]+- [^-]+- [^-]+ - (.+?)\.jpg""), "".jpg"", """"), ""-"", "", ""), """")"),"")</f>
        <v/>
      </c>
      <c r="L4172" s="12"/>
      <c r="M4172" s="13"/>
      <c r="N4172" s="2"/>
      <c r="O4172" s="20"/>
      <c r="P4172" s="42"/>
      <c r="R4172" s="23"/>
    </row>
    <row r="4173" spans="1:18" ht="12.75">
      <c r="A4173" s="12"/>
      <c r="D4173" s="12"/>
      <c r="E4173" s="12"/>
      <c r="H4173" s="11" t="str">
        <f ca="1">IFERROR(__xludf.DUMMYFUNCTION("IFERROR(SUBSTITUTE(SUBSTITUTE(REGEXEXTRACT(A4173, ""[^-]+- [^-]+- [^-]+ - (.+?)\.jpg""), "".jpg"", """"), ""-"", "", ""), """")"),"")</f>
        <v/>
      </c>
      <c r="L4173" s="12"/>
      <c r="M4173" s="13"/>
      <c r="N4173" s="2"/>
      <c r="O4173" s="20"/>
      <c r="P4173" s="42"/>
      <c r="R4173" s="23"/>
    </row>
    <row r="4174" spans="1:18" ht="12.75">
      <c r="A4174" s="12"/>
      <c r="D4174" s="12"/>
      <c r="E4174" s="12"/>
      <c r="H4174" s="11" t="str">
        <f ca="1">IFERROR(__xludf.DUMMYFUNCTION("IFERROR(SUBSTITUTE(SUBSTITUTE(REGEXEXTRACT(A4174, ""[^-]+- [^-]+- [^-]+ - (.+?)\.jpg""), "".jpg"", """"), ""-"", "", ""), """")"),"")</f>
        <v/>
      </c>
      <c r="L4174" s="12"/>
      <c r="M4174" s="13"/>
      <c r="N4174" s="2"/>
      <c r="O4174" s="20"/>
      <c r="P4174" s="42"/>
      <c r="R4174" s="23"/>
    </row>
    <row r="4175" spans="1:18" ht="12.75">
      <c r="A4175" s="12"/>
      <c r="D4175" s="12"/>
      <c r="E4175" s="12"/>
      <c r="H4175" s="11" t="str">
        <f ca="1">IFERROR(__xludf.DUMMYFUNCTION("IFERROR(SUBSTITUTE(SUBSTITUTE(REGEXEXTRACT(A4175, ""[^-]+- [^-]+- [^-]+ - (.+?)\.jpg""), "".jpg"", """"), ""-"", "", ""), """")"),"")</f>
        <v/>
      </c>
      <c r="L4175" s="12"/>
      <c r="M4175" s="13"/>
      <c r="N4175" s="2"/>
      <c r="O4175" s="20"/>
      <c r="P4175" s="42"/>
      <c r="R4175" s="23"/>
    </row>
    <row r="4176" spans="1:18" ht="12.75">
      <c r="A4176" s="12"/>
      <c r="D4176" s="12"/>
      <c r="E4176" s="12"/>
      <c r="H4176" s="11" t="str">
        <f ca="1">IFERROR(__xludf.DUMMYFUNCTION("IFERROR(SUBSTITUTE(SUBSTITUTE(REGEXEXTRACT(A4176, ""[^-]+- [^-]+- [^-]+ - (.+?)\.jpg""), "".jpg"", """"), ""-"", "", ""), """")"),"")</f>
        <v/>
      </c>
      <c r="L4176" s="12"/>
      <c r="M4176" s="13"/>
      <c r="N4176" s="2"/>
      <c r="O4176" s="20"/>
      <c r="P4176" s="42"/>
      <c r="R4176" s="23"/>
    </row>
    <row r="4177" spans="1:18" ht="12.75">
      <c r="A4177" s="12"/>
      <c r="D4177" s="12"/>
      <c r="E4177" s="12"/>
      <c r="H4177" s="11" t="str">
        <f ca="1">IFERROR(__xludf.DUMMYFUNCTION("IFERROR(SUBSTITUTE(SUBSTITUTE(REGEXEXTRACT(A4177, ""[^-]+- [^-]+- [^-]+ - (.+?)\.jpg""), "".jpg"", """"), ""-"", "", ""), """")"),"")</f>
        <v/>
      </c>
      <c r="L4177" s="12"/>
      <c r="M4177" s="13"/>
      <c r="N4177" s="2"/>
      <c r="O4177" s="20"/>
      <c r="P4177" s="42"/>
      <c r="R4177" s="23"/>
    </row>
    <row r="4178" spans="1:18" ht="12.75">
      <c r="A4178" s="12"/>
      <c r="D4178" s="12"/>
      <c r="E4178" s="12"/>
      <c r="H4178" s="11" t="str">
        <f ca="1">IFERROR(__xludf.DUMMYFUNCTION("IFERROR(SUBSTITUTE(SUBSTITUTE(REGEXEXTRACT(A4178, ""[^-]+- [^-]+- [^-]+ - (.+?)\.jpg""), "".jpg"", """"), ""-"", "", ""), """")"),"")</f>
        <v/>
      </c>
      <c r="L4178" s="12"/>
      <c r="M4178" s="13"/>
      <c r="N4178" s="2"/>
      <c r="O4178" s="20"/>
      <c r="P4178" s="42"/>
      <c r="R4178" s="23"/>
    </row>
    <row r="4179" spans="1:18" ht="12.75">
      <c r="A4179" s="12"/>
      <c r="D4179" s="12"/>
      <c r="E4179" s="12"/>
      <c r="H4179" s="11" t="str">
        <f ca="1">IFERROR(__xludf.DUMMYFUNCTION("IFERROR(SUBSTITUTE(SUBSTITUTE(REGEXEXTRACT(A4179, ""[^-]+- [^-]+- [^-]+ - (.+?)\.jpg""), "".jpg"", """"), ""-"", "", ""), """")"),"")</f>
        <v/>
      </c>
      <c r="L4179" s="12"/>
      <c r="M4179" s="13"/>
      <c r="N4179" s="2"/>
      <c r="O4179" s="20"/>
      <c r="P4179" s="42"/>
      <c r="R4179" s="23"/>
    </row>
    <row r="4180" spans="1:18" ht="12.75">
      <c r="A4180" s="12"/>
      <c r="D4180" s="12"/>
      <c r="E4180" s="12"/>
      <c r="H4180" s="11" t="str">
        <f ca="1">IFERROR(__xludf.DUMMYFUNCTION("IFERROR(SUBSTITUTE(SUBSTITUTE(REGEXEXTRACT(A4180, ""[^-]+- [^-]+- [^-]+ - (.+?)\.jpg""), "".jpg"", """"), ""-"", "", ""), """")"),"")</f>
        <v/>
      </c>
      <c r="L4180" s="12"/>
      <c r="M4180" s="13"/>
      <c r="N4180" s="2"/>
      <c r="O4180" s="20"/>
      <c r="P4180" s="42"/>
      <c r="R4180" s="23"/>
    </row>
    <row r="4181" spans="1:18" ht="12.75">
      <c r="A4181" s="12"/>
      <c r="D4181" s="12"/>
      <c r="E4181" s="12"/>
      <c r="H4181" s="11" t="str">
        <f ca="1">IFERROR(__xludf.DUMMYFUNCTION("IFERROR(SUBSTITUTE(SUBSTITUTE(REGEXEXTRACT(A4181, ""[^-]+- [^-]+- [^-]+ - (.+?)\.jpg""), "".jpg"", """"), ""-"", "", ""), """")"),"")</f>
        <v/>
      </c>
      <c r="L4181" s="12"/>
      <c r="M4181" s="13"/>
      <c r="N4181" s="2"/>
      <c r="O4181" s="20"/>
      <c r="P4181" s="42"/>
      <c r="R4181" s="23"/>
    </row>
    <row r="4182" spans="1:18" ht="12.75">
      <c r="A4182" s="12"/>
      <c r="D4182" s="12"/>
      <c r="E4182" s="12"/>
      <c r="H4182" s="11" t="str">
        <f ca="1">IFERROR(__xludf.DUMMYFUNCTION("IFERROR(SUBSTITUTE(SUBSTITUTE(REGEXEXTRACT(A4182, ""[^-]+- [^-]+- [^-]+ - (.+?)\.jpg""), "".jpg"", """"), ""-"", "", ""), """")"),"")</f>
        <v/>
      </c>
      <c r="L4182" s="12"/>
      <c r="M4182" s="13"/>
      <c r="N4182" s="2"/>
      <c r="O4182" s="20"/>
      <c r="P4182" s="42"/>
      <c r="R4182" s="23"/>
    </row>
    <row r="4183" spans="1:18" ht="12.75">
      <c r="A4183" s="12"/>
      <c r="D4183" s="12"/>
      <c r="E4183" s="12"/>
      <c r="H4183" s="11" t="str">
        <f ca="1">IFERROR(__xludf.DUMMYFUNCTION("IFERROR(SUBSTITUTE(SUBSTITUTE(REGEXEXTRACT(A4183, ""[^-]+- [^-]+- [^-]+ - (.+?)\.jpg""), "".jpg"", """"), ""-"", "", ""), """")"),"")</f>
        <v/>
      </c>
      <c r="L4183" s="12"/>
      <c r="M4183" s="13"/>
      <c r="N4183" s="2"/>
      <c r="O4183" s="20"/>
      <c r="P4183" s="42"/>
      <c r="R4183" s="23"/>
    </row>
    <row r="4184" spans="1:18" ht="12.75">
      <c r="A4184" s="12"/>
      <c r="D4184" s="12"/>
      <c r="E4184" s="12"/>
      <c r="H4184" s="11" t="str">
        <f ca="1">IFERROR(__xludf.DUMMYFUNCTION("IFERROR(SUBSTITUTE(SUBSTITUTE(REGEXEXTRACT(A4184, ""[^-]+- [^-]+- [^-]+ - (.+?)\.jpg""), "".jpg"", """"), ""-"", "", ""), """")"),"")</f>
        <v/>
      </c>
      <c r="L4184" s="12"/>
      <c r="M4184" s="13"/>
      <c r="N4184" s="2"/>
      <c r="O4184" s="20"/>
      <c r="P4184" s="42"/>
      <c r="R4184" s="23"/>
    </row>
    <row r="4185" spans="1:18" ht="12.75">
      <c r="A4185" s="12"/>
      <c r="D4185" s="12"/>
      <c r="E4185" s="12"/>
      <c r="H4185" s="11" t="str">
        <f ca="1">IFERROR(__xludf.DUMMYFUNCTION("IFERROR(SUBSTITUTE(SUBSTITUTE(REGEXEXTRACT(A4185, ""[^-]+- [^-]+- [^-]+ - (.+?)\.jpg""), "".jpg"", """"), ""-"", "", ""), """")"),"")</f>
        <v/>
      </c>
      <c r="L4185" s="12"/>
      <c r="M4185" s="13"/>
      <c r="N4185" s="2"/>
      <c r="O4185" s="20"/>
      <c r="P4185" s="42"/>
      <c r="R4185" s="23"/>
    </row>
    <row r="4186" spans="1:18" ht="12.75">
      <c r="A4186" s="12"/>
      <c r="D4186" s="12"/>
      <c r="E4186" s="12"/>
      <c r="H4186" s="11" t="str">
        <f ca="1">IFERROR(__xludf.DUMMYFUNCTION("IFERROR(SUBSTITUTE(SUBSTITUTE(REGEXEXTRACT(A4186, ""[^-]+- [^-]+- [^-]+ - (.+?)\.jpg""), "".jpg"", """"), ""-"", "", ""), """")"),"")</f>
        <v/>
      </c>
      <c r="L4186" s="12"/>
      <c r="M4186" s="13"/>
      <c r="N4186" s="2"/>
      <c r="O4186" s="20"/>
      <c r="P4186" s="42"/>
      <c r="R4186" s="23"/>
    </row>
    <row r="4187" spans="1:18" ht="12.75">
      <c r="A4187" s="12"/>
      <c r="D4187" s="12"/>
      <c r="E4187" s="12"/>
      <c r="H4187" s="11" t="str">
        <f ca="1">IFERROR(__xludf.DUMMYFUNCTION("IFERROR(SUBSTITUTE(SUBSTITUTE(REGEXEXTRACT(A4187, ""[^-]+- [^-]+- [^-]+ - (.+?)\.jpg""), "".jpg"", """"), ""-"", "", ""), """")"),"")</f>
        <v/>
      </c>
      <c r="L4187" s="12"/>
      <c r="M4187" s="13"/>
      <c r="N4187" s="2"/>
      <c r="O4187" s="20"/>
      <c r="P4187" s="42"/>
      <c r="R4187" s="23"/>
    </row>
    <row r="4188" spans="1:18" ht="12.75">
      <c r="A4188" s="12"/>
      <c r="D4188" s="12"/>
      <c r="E4188" s="12"/>
      <c r="H4188" s="11" t="str">
        <f ca="1">IFERROR(__xludf.DUMMYFUNCTION("IFERROR(SUBSTITUTE(SUBSTITUTE(REGEXEXTRACT(A4188, ""[^-]+- [^-]+- [^-]+ - (.+?)\.jpg""), "".jpg"", """"), ""-"", "", ""), """")"),"")</f>
        <v/>
      </c>
      <c r="L4188" s="12"/>
      <c r="M4188" s="13"/>
      <c r="N4188" s="2"/>
      <c r="O4188" s="20"/>
      <c r="P4188" s="42"/>
      <c r="R4188" s="23"/>
    </row>
    <row r="4189" spans="1:18" ht="12.75">
      <c r="A4189" s="12"/>
      <c r="D4189" s="12"/>
      <c r="E4189" s="12"/>
      <c r="H4189" s="11" t="str">
        <f ca="1">IFERROR(__xludf.DUMMYFUNCTION("IFERROR(SUBSTITUTE(SUBSTITUTE(REGEXEXTRACT(A4189, ""[^-]+- [^-]+- [^-]+ - (.+?)\.jpg""), "".jpg"", """"), ""-"", "", ""), """")"),"")</f>
        <v/>
      </c>
      <c r="L4189" s="12"/>
      <c r="M4189" s="13"/>
      <c r="N4189" s="2"/>
      <c r="O4189" s="20"/>
      <c r="P4189" s="42"/>
      <c r="R4189" s="23"/>
    </row>
    <row r="4190" spans="1:18" ht="12.75">
      <c r="A4190" s="12"/>
      <c r="D4190" s="12"/>
      <c r="E4190" s="12"/>
      <c r="H4190" s="11" t="str">
        <f ca="1">IFERROR(__xludf.DUMMYFUNCTION("IFERROR(SUBSTITUTE(SUBSTITUTE(REGEXEXTRACT(A4190, ""[^-]+- [^-]+- [^-]+ - (.+?)\.jpg""), "".jpg"", """"), ""-"", "", ""), """")"),"")</f>
        <v/>
      </c>
      <c r="L4190" s="12"/>
      <c r="M4190" s="13"/>
      <c r="N4190" s="2"/>
      <c r="O4190" s="20"/>
      <c r="P4190" s="42"/>
      <c r="R4190" s="23"/>
    </row>
    <row r="4191" spans="1:18" ht="12.75">
      <c r="A4191" s="12"/>
      <c r="D4191" s="12"/>
      <c r="E4191" s="12"/>
      <c r="H4191" s="11" t="str">
        <f ca="1">IFERROR(__xludf.DUMMYFUNCTION("IFERROR(SUBSTITUTE(SUBSTITUTE(REGEXEXTRACT(A4191, ""[^-]+- [^-]+- [^-]+ - (.+?)\.jpg""), "".jpg"", """"), ""-"", "", ""), """")"),"")</f>
        <v/>
      </c>
      <c r="L4191" s="12"/>
      <c r="M4191" s="13"/>
      <c r="N4191" s="2"/>
      <c r="O4191" s="20"/>
      <c r="P4191" s="42"/>
      <c r="R4191" s="23"/>
    </row>
    <row r="4192" spans="1:18" ht="12.75">
      <c r="A4192" s="12"/>
      <c r="D4192" s="12"/>
      <c r="E4192" s="12"/>
      <c r="H4192" s="11" t="str">
        <f ca="1">IFERROR(__xludf.DUMMYFUNCTION("IFERROR(SUBSTITUTE(SUBSTITUTE(REGEXEXTRACT(A4192, ""[^-]+- [^-]+- [^-]+ - (.+?)\.jpg""), "".jpg"", """"), ""-"", "", ""), """")"),"")</f>
        <v/>
      </c>
      <c r="L4192" s="12"/>
      <c r="M4192" s="13"/>
      <c r="N4192" s="2"/>
      <c r="O4192" s="20"/>
      <c r="P4192" s="42"/>
      <c r="R4192" s="23"/>
    </row>
    <row r="4193" spans="1:18" ht="12.75">
      <c r="A4193" s="12"/>
      <c r="D4193" s="12"/>
      <c r="E4193" s="12"/>
      <c r="H4193" s="11" t="str">
        <f ca="1">IFERROR(__xludf.DUMMYFUNCTION("IFERROR(SUBSTITUTE(SUBSTITUTE(REGEXEXTRACT(A4193, ""[^-]+- [^-]+- [^-]+ - (.+?)\.jpg""), "".jpg"", """"), ""-"", "", ""), """")"),"")</f>
        <v/>
      </c>
      <c r="L4193" s="12"/>
      <c r="M4193" s="13"/>
      <c r="N4193" s="2"/>
      <c r="O4193" s="20"/>
      <c r="P4193" s="42"/>
      <c r="R4193" s="23"/>
    </row>
    <row r="4194" spans="1:18" ht="12.75">
      <c r="A4194" s="12"/>
      <c r="D4194" s="12"/>
      <c r="E4194" s="12"/>
      <c r="H4194" s="11" t="str">
        <f ca="1">IFERROR(__xludf.DUMMYFUNCTION("IFERROR(SUBSTITUTE(SUBSTITUTE(REGEXEXTRACT(A4194, ""[^-]+- [^-]+- [^-]+ - (.+?)\.jpg""), "".jpg"", """"), ""-"", "", ""), """")"),"")</f>
        <v/>
      </c>
      <c r="L4194" s="12"/>
      <c r="M4194" s="13"/>
      <c r="N4194" s="2"/>
      <c r="O4194" s="20"/>
      <c r="P4194" s="42"/>
      <c r="R4194" s="23"/>
    </row>
    <row r="4195" spans="1:18" ht="12.75">
      <c r="A4195" s="12"/>
      <c r="D4195" s="12"/>
      <c r="E4195" s="12"/>
      <c r="H4195" s="11" t="str">
        <f ca="1">IFERROR(__xludf.DUMMYFUNCTION("IFERROR(SUBSTITUTE(SUBSTITUTE(REGEXEXTRACT(A4195, ""[^-]+- [^-]+- [^-]+ - (.+?)\.jpg""), "".jpg"", """"), ""-"", "", ""), """")"),"")</f>
        <v/>
      </c>
      <c r="L4195" s="12"/>
      <c r="M4195" s="13"/>
      <c r="N4195" s="2"/>
      <c r="O4195" s="20"/>
      <c r="P4195" s="42"/>
      <c r="R4195" s="23"/>
    </row>
    <row r="4196" spans="1:18" ht="12.75">
      <c r="A4196" s="12"/>
      <c r="D4196" s="12"/>
      <c r="E4196" s="12"/>
      <c r="H4196" s="11" t="str">
        <f ca="1">IFERROR(__xludf.DUMMYFUNCTION("IFERROR(SUBSTITUTE(SUBSTITUTE(REGEXEXTRACT(A4196, ""[^-]+- [^-]+- [^-]+ - (.+?)\.jpg""), "".jpg"", """"), ""-"", "", ""), """")"),"")</f>
        <v/>
      </c>
      <c r="L4196" s="12"/>
      <c r="M4196" s="13"/>
      <c r="N4196" s="2"/>
      <c r="O4196" s="20"/>
      <c r="P4196" s="42"/>
      <c r="R4196" s="23"/>
    </row>
    <row r="4197" spans="1:18" ht="12.75">
      <c r="A4197" s="12"/>
      <c r="D4197" s="12"/>
      <c r="E4197" s="12"/>
      <c r="H4197" s="11" t="str">
        <f ca="1">IFERROR(__xludf.DUMMYFUNCTION("IFERROR(SUBSTITUTE(SUBSTITUTE(REGEXEXTRACT(A4197, ""[^-]+- [^-]+- [^-]+ - (.+?)\.jpg""), "".jpg"", """"), ""-"", "", ""), """")"),"")</f>
        <v/>
      </c>
      <c r="L4197" s="12"/>
      <c r="M4197" s="13"/>
      <c r="N4197" s="2"/>
      <c r="O4197" s="20"/>
      <c r="P4197" s="42"/>
      <c r="R4197" s="23"/>
    </row>
    <row r="4198" spans="1:18" ht="12.75">
      <c r="A4198" s="12"/>
      <c r="D4198" s="12"/>
      <c r="E4198" s="12"/>
      <c r="H4198" s="11" t="str">
        <f ca="1">IFERROR(__xludf.DUMMYFUNCTION("IFERROR(SUBSTITUTE(SUBSTITUTE(REGEXEXTRACT(A4198, ""[^-]+- [^-]+- [^-]+ - (.+?)\.jpg""), "".jpg"", """"), ""-"", "", ""), """")"),"")</f>
        <v/>
      </c>
      <c r="L4198" s="12"/>
      <c r="M4198" s="13"/>
      <c r="N4198" s="2"/>
      <c r="O4198" s="20"/>
      <c r="P4198" s="42"/>
      <c r="R4198" s="23"/>
    </row>
    <row r="4199" spans="1:18" ht="12.75">
      <c r="A4199" s="12"/>
      <c r="D4199" s="12"/>
      <c r="E4199" s="12"/>
      <c r="H4199" s="11" t="str">
        <f ca="1">IFERROR(__xludf.DUMMYFUNCTION("IFERROR(SUBSTITUTE(SUBSTITUTE(REGEXEXTRACT(A4199, ""[^-]+- [^-]+- [^-]+ - (.+?)\.jpg""), "".jpg"", """"), ""-"", "", ""), """")"),"")</f>
        <v/>
      </c>
      <c r="L4199" s="12"/>
      <c r="M4199" s="13"/>
      <c r="N4199" s="2"/>
      <c r="O4199" s="20"/>
      <c r="P4199" s="42"/>
      <c r="R4199" s="23"/>
    </row>
    <row r="4200" spans="1:18" ht="12.75">
      <c r="A4200" s="12"/>
      <c r="D4200" s="12"/>
      <c r="E4200" s="12"/>
      <c r="H4200" s="11" t="str">
        <f ca="1">IFERROR(__xludf.DUMMYFUNCTION("IFERROR(SUBSTITUTE(SUBSTITUTE(REGEXEXTRACT(A4200, ""[^-]+- [^-]+- [^-]+ - (.+?)\.jpg""), "".jpg"", """"), ""-"", "", ""), """")"),"")</f>
        <v/>
      </c>
      <c r="L4200" s="12"/>
      <c r="M4200" s="13"/>
      <c r="N4200" s="2"/>
      <c r="O4200" s="20"/>
      <c r="P4200" s="42"/>
      <c r="R4200" s="23"/>
    </row>
    <row r="4201" spans="1:18" ht="12.75">
      <c r="A4201" s="12"/>
      <c r="D4201" s="12"/>
      <c r="E4201" s="12"/>
      <c r="H4201" s="11" t="str">
        <f ca="1">IFERROR(__xludf.DUMMYFUNCTION("IFERROR(SUBSTITUTE(SUBSTITUTE(REGEXEXTRACT(A4201, ""[^-]+- [^-]+- [^-]+ - (.+?)\.jpg""), "".jpg"", """"), ""-"", "", ""), """")"),"")</f>
        <v/>
      </c>
      <c r="L4201" s="12"/>
      <c r="M4201" s="13"/>
      <c r="N4201" s="2"/>
      <c r="O4201" s="20"/>
      <c r="P4201" s="42"/>
      <c r="R4201" s="23"/>
    </row>
    <row r="4202" spans="1:18" ht="12.75">
      <c r="A4202" s="12"/>
      <c r="D4202" s="12"/>
      <c r="E4202" s="12"/>
      <c r="H4202" s="11" t="str">
        <f ca="1">IFERROR(__xludf.DUMMYFUNCTION("IFERROR(SUBSTITUTE(SUBSTITUTE(REGEXEXTRACT(A4202, ""[^-]+- [^-]+- [^-]+ - (.+?)\.jpg""), "".jpg"", """"), ""-"", "", ""), """")"),"")</f>
        <v/>
      </c>
      <c r="L4202" s="12"/>
      <c r="M4202" s="13"/>
      <c r="N4202" s="2"/>
      <c r="O4202" s="20"/>
      <c r="P4202" s="42"/>
      <c r="R4202" s="23"/>
    </row>
    <row r="4203" spans="1:18" ht="12.75">
      <c r="A4203" s="12"/>
      <c r="D4203" s="12"/>
      <c r="E4203" s="12"/>
      <c r="H4203" s="11" t="str">
        <f ca="1">IFERROR(__xludf.DUMMYFUNCTION("IFERROR(SUBSTITUTE(SUBSTITUTE(REGEXEXTRACT(A4203, ""[^-]+- [^-]+- [^-]+ - (.+?)\.jpg""), "".jpg"", """"), ""-"", "", ""), """")"),"")</f>
        <v/>
      </c>
      <c r="L4203" s="12"/>
      <c r="M4203" s="13"/>
      <c r="N4203" s="2"/>
      <c r="O4203" s="20"/>
      <c r="P4203" s="42"/>
      <c r="R4203" s="23"/>
    </row>
    <row r="4204" spans="1:18" ht="12.75">
      <c r="A4204" s="12"/>
      <c r="D4204" s="12"/>
      <c r="E4204" s="12"/>
      <c r="H4204" s="11" t="str">
        <f ca="1">IFERROR(__xludf.DUMMYFUNCTION("IFERROR(SUBSTITUTE(SUBSTITUTE(REGEXEXTRACT(A4204, ""[^-]+- [^-]+- [^-]+ - (.+?)\.jpg""), "".jpg"", """"), ""-"", "", ""), """")"),"")</f>
        <v/>
      </c>
      <c r="L4204" s="12"/>
      <c r="M4204" s="13"/>
      <c r="N4204" s="2"/>
      <c r="O4204" s="20"/>
      <c r="P4204" s="42"/>
      <c r="R4204" s="23"/>
    </row>
    <row r="4205" spans="1:18" ht="12.75">
      <c r="A4205" s="12"/>
      <c r="D4205" s="12"/>
      <c r="E4205" s="12"/>
      <c r="H4205" s="11" t="str">
        <f ca="1">IFERROR(__xludf.DUMMYFUNCTION("IFERROR(SUBSTITUTE(SUBSTITUTE(REGEXEXTRACT(A4205, ""[^-]+- [^-]+- [^-]+ - (.+?)\.jpg""), "".jpg"", """"), ""-"", "", ""), """")"),"")</f>
        <v/>
      </c>
      <c r="L4205" s="12"/>
      <c r="M4205" s="13"/>
      <c r="N4205" s="2"/>
      <c r="O4205" s="20"/>
      <c r="P4205" s="42"/>
      <c r="R4205" s="23"/>
    </row>
    <row r="4206" spans="1:18" ht="12.75">
      <c r="A4206" s="12"/>
      <c r="D4206" s="12"/>
      <c r="E4206" s="12"/>
      <c r="H4206" s="11" t="str">
        <f ca="1">IFERROR(__xludf.DUMMYFUNCTION("IFERROR(SUBSTITUTE(SUBSTITUTE(REGEXEXTRACT(A4206, ""[^-]+- [^-]+- [^-]+ - (.+?)\.jpg""), "".jpg"", """"), ""-"", "", ""), """")"),"")</f>
        <v/>
      </c>
      <c r="L4206" s="12"/>
      <c r="M4206" s="13"/>
      <c r="N4206" s="2"/>
      <c r="O4206" s="20"/>
      <c r="P4206" s="42"/>
      <c r="R4206" s="23"/>
    </row>
    <row r="4207" spans="1:18" ht="12.75">
      <c r="A4207" s="12"/>
      <c r="D4207" s="12"/>
      <c r="E4207" s="12"/>
      <c r="H4207" s="11" t="str">
        <f ca="1">IFERROR(__xludf.DUMMYFUNCTION("IFERROR(SUBSTITUTE(SUBSTITUTE(REGEXEXTRACT(A4207, ""[^-]+- [^-]+- [^-]+ - (.+?)\.jpg""), "".jpg"", """"), ""-"", "", ""), """")"),"")</f>
        <v/>
      </c>
      <c r="L4207" s="12"/>
      <c r="M4207" s="13"/>
      <c r="N4207" s="2"/>
      <c r="O4207" s="20"/>
      <c r="P4207" s="42"/>
      <c r="R4207" s="23"/>
    </row>
    <row r="4208" spans="1:18" ht="12.75">
      <c r="A4208" s="12"/>
      <c r="D4208" s="12"/>
      <c r="E4208" s="12"/>
      <c r="H4208" s="11" t="str">
        <f ca="1">IFERROR(__xludf.DUMMYFUNCTION("IFERROR(SUBSTITUTE(SUBSTITUTE(REGEXEXTRACT(A4208, ""[^-]+- [^-]+- [^-]+ - (.+?)\.jpg""), "".jpg"", """"), ""-"", "", ""), """")"),"")</f>
        <v/>
      </c>
      <c r="L4208" s="12"/>
      <c r="M4208" s="13"/>
      <c r="N4208" s="2"/>
      <c r="O4208" s="20"/>
      <c r="P4208" s="42"/>
      <c r="R4208" s="23"/>
    </row>
    <row r="4209" spans="1:18" ht="12.75">
      <c r="A4209" s="12"/>
      <c r="D4209" s="12"/>
      <c r="E4209" s="12"/>
      <c r="H4209" s="11" t="str">
        <f ca="1">IFERROR(__xludf.DUMMYFUNCTION("IFERROR(SUBSTITUTE(SUBSTITUTE(REGEXEXTRACT(A4209, ""[^-]+- [^-]+- [^-]+ - (.+?)\.jpg""), "".jpg"", """"), ""-"", "", ""), """")"),"")</f>
        <v/>
      </c>
      <c r="L4209" s="12"/>
      <c r="M4209" s="13"/>
      <c r="N4209" s="2"/>
      <c r="O4209" s="20"/>
      <c r="P4209" s="42"/>
      <c r="R4209" s="23"/>
    </row>
    <row r="4210" spans="1:18" ht="12.75">
      <c r="A4210" s="12"/>
      <c r="D4210" s="12"/>
      <c r="E4210" s="12"/>
      <c r="H4210" s="11" t="str">
        <f ca="1">IFERROR(__xludf.DUMMYFUNCTION("IFERROR(SUBSTITUTE(SUBSTITUTE(REGEXEXTRACT(A4210, ""[^-]+- [^-]+- [^-]+ - (.+?)\.jpg""), "".jpg"", """"), ""-"", "", ""), """")"),"")</f>
        <v/>
      </c>
      <c r="L4210" s="12"/>
      <c r="M4210" s="13"/>
      <c r="N4210" s="2"/>
      <c r="O4210" s="20"/>
      <c r="P4210" s="42"/>
      <c r="R4210" s="23"/>
    </row>
    <row r="4211" spans="1:18" ht="12.75">
      <c r="A4211" s="12"/>
      <c r="D4211" s="12"/>
      <c r="E4211" s="12"/>
      <c r="H4211" s="11" t="str">
        <f ca="1">IFERROR(__xludf.DUMMYFUNCTION("IFERROR(SUBSTITUTE(SUBSTITUTE(REGEXEXTRACT(A4211, ""[^-]+- [^-]+- [^-]+ - (.+?)\.jpg""), "".jpg"", """"), ""-"", "", ""), """")"),"")</f>
        <v/>
      </c>
      <c r="L4211" s="12"/>
      <c r="M4211" s="13"/>
      <c r="N4211" s="2"/>
      <c r="O4211" s="20"/>
      <c r="P4211" s="42"/>
      <c r="R4211" s="23"/>
    </row>
    <row r="4212" spans="1:18" ht="12.75">
      <c r="A4212" s="12"/>
      <c r="D4212" s="12"/>
      <c r="E4212" s="12"/>
      <c r="H4212" s="11" t="str">
        <f ca="1">IFERROR(__xludf.DUMMYFUNCTION("IFERROR(SUBSTITUTE(SUBSTITUTE(REGEXEXTRACT(A4212, ""[^-]+- [^-]+- [^-]+ - (.+?)\.jpg""), "".jpg"", """"), ""-"", "", ""), """")"),"")</f>
        <v/>
      </c>
      <c r="L4212" s="12"/>
      <c r="M4212" s="13"/>
      <c r="N4212" s="2"/>
      <c r="O4212" s="20"/>
      <c r="P4212" s="42"/>
      <c r="R4212" s="23"/>
    </row>
    <row r="4213" spans="1:18" ht="12.75">
      <c r="A4213" s="12"/>
      <c r="D4213" s="12"/>
      <c r="E4213" s="12"/>
      <c r="H4213" s="11" t="str">
        <f ca="1">IFERROR(__xludf.DUMMYFUNCTION("IFERROR(SUBSTITUTE(SUBSTITUTE(REGEXEXTRACT(A4213, ""[^-]+- [^-]+- [^-]+ - (.+?)\.jpg""), "".jpg"", """"), ""-"", "", ""), """")"),"")</f>
        <v/>
      </c>
      <c r="L4213" s="12"/>
      <c r="M4213" s="13"/>
      <c r="N4213" s="2"/>
      <c r="O4213" s="20"/>
      <c r="P4213" s="42"/>
      <c r="R4213" s="23"/>
    </row>
    <row r="4214" spans="1:18" ht="12.75">
      <c r="A4214" s="12"/>
      <c r="D4214" s="12"/>
      <c r="E4214" s="12"/>
      <c r="H4214" s="11" t="str">
        <f ca="1">IFERROR(__xludf.DUMMYFUNCTION("IFERROR(SUBSTITUTE(SUBSTITUTE(REGEXEXTRACT(A4214, ""[^-]+- [^-]+- [^-]+ - (.+?)\.jpg""), "".jpg"", """"), ""-"", "", ""), """")"),"")</f>
        <v/>
      </c>
      <c r="L4214" s="12"/>
      <c r="M4214" s="13"/>
      <c r="N4214" s="2"/>
      <c r="O4214" s="20"/>
      <c r="P4214" s="42"/>
      <c r="R4214" s="23"/>
    </row>
    <row r="4215" spans="1:18" ht="12.75">
      <c r="A4215" s="12"/>
      <c r="D4215" s="12"/>
      <c r="E4215" s="12"/>
      <c r="H4215" s="11" t="str">
        <f ca="1">IFERROR(__xludf.DUMMYFUNCTION("IFERROR(SUBSTITUTE(SUBSTITUTE(REGEXEXTRACT(A4215, ""[^-]+- [^-]+- [^-]+ - (.+?)\.jpg""), "".jpg"", """"), ""-"", "", ""), """")"),"")</f>
        <v/>
      </c>
      <c r="L4215" s="12"/>
      <c r="M4215" s="13"/>
      <c r="N4215" s="2"/>
      <c r="O4215" s="20"/>
      <c r="P4215" s="42"/>
      <c r="R4215" s="23"/>
    </row>
    <row r="4216" spans="1:18" ht="12.75">
      <c r="A4216" s="12"/>
      <c r="D4216" s="12"/>
      <c r="E4216" s="12"/>
      <c r="H4216" s="11" t="str">
        <f ca="1">IFERROR(__xludf.DUMMYFUNCTION("IFERROR(SUBSTITUTE(SUBSTITUTE(REGEXEXTRACT(A4216, ""[^-]+- [^-]+- [^-]+ - (.+?)\.jpg""), "".jpg"", """"), ""-"", "", ""), """")"),"")</f>
        <v/>
      </c>
      <c r="L4216" s="12"/>
      <c r="M4216" s="13"/>
      <c r="N4216" s="2"/>
      <c r="O4216" s="20"/>
      <c r="P4216" s="42"/>
      <c r="R4216" s="23"/>
    </row>
    <row r="4217" spans="1:18" ht="12.75">
      <c r="A4217" s="12"/>
      <c r="D4217" s="12"/>
      <c r="E4217" s="12"/>
      <c r="H4217" s="11" t="str">
        <f ca="1">IFERROR(__xludf.DUMMYFUNCTION("IFERROR(SUBSTITUTE(SUBSTITUTE(REGEXEXTRACT(A4217, ""[^-]+- [^-]+- [^-]+ - (.+?)\.jpg""), "".jpg"", """"), ""-"", "", ""), """")"),"")</f>
        <v/>
      </c>
      <c r="L4217" s="12"/>
      <c r="M4217" s="13"/>
      <c r="N4217" s="2"/>
      <c r="O4217" s="20"/>
      <c r="P4217" s="42"/>
      <c r="R4217" s="23"/>
    </row>
    <row r="4218" spans="1:18" ht="12.75">
      <c r="A4218" s="12"/>
      <c r="D4218" s="12"/>
      <c r="E4218" s="12"/>
      <c r="H4218" s="11" t="str">
        <f ca="1">IFERROR(__xludf.DUMMYFUNCTION("IFERROR(SUBSTITUTE(SUBSTITUTE(REGEXEXTRACT(A4218, ""[^-]+- [^-]+- [^-]+ - (.+?)\.jpg""), "".jpg"", """"), ""-"", "", ""), """")"),"")</f>
        <v/>
      </c>
      <c r="L4218" s="12"/>
      <c r="M4218" s="13"/>
      <c r="N4218" s="2"/>
      <c r="O4218" s="20"/>
      <c r="P4218" s="42"/>
      <c r="R4218" s="23"/>
    </row>
    <row r="4219" spans="1:18" ht="12.75">
      <c r="A4219" s="12"/>
      <c r="D4219" s="12"/>
      <c r="E4219" s="12"/>
      <c r="H4219" s="11" t="str">
        <f ca="1">IFERROR(__xludf.DUMMYFUNCTION("IFERROR(SUBSTITUTE(SUBSTITUTE(REGEXEXTRACT(A4219, ""[^-]+- [^-]+- [^-]+ - (.+?)\.jpg""), "".jpg"", """"), ""-"", "", ""), """")"),"")</f>
        <v/>
      </c>
      <c r="L4219" s="12"/>
      <c r="M4219" s="13"/>
      <c r="N4219" s="2"/>
      <c r="O4219" s="20"/>
      <c r="P4219" s="42"/>
      <c r="R4219" s="23"/>
    </row>
    <row r="4220" spans="1:18" ht="12.75">
      <c r="A4220" s="12"/>
      <c r="D4220" s="12"/>
      <c r="E4220" s="12"/>
      <c r="H4220" s="11" t="str">
        <f ca="1">IFERROR(__xludf.DUMMYFUNCTION("IFERROR(SUBSTITUTE(SUBSTITUTE(REGEXEXTRACT(A4220, ""[^-]+- [^-]+- [^-]+ - (.+?)\.jpg""), "".jpg"", """"), ""-"", "", ""), """")"),"")</f>
        <v/>
      </c>
      <c r="L4220" s="12"/>
      <c r="M4220" s="13"/>
      <c r="N4220" s="2"/>
      <c r="O4220" s="20"/>
      <c r="P4220" s="42"/>
      <c r="R4220" s="23"/>
    </row>
    <row r="4221" spans="1:18" ht="12.75">
      <c r="A4221" s="12"/>
      <c r="D4221" s="12"/>
      <c r="E4221" s="12"/>
      <c r="H4221" s="11" t="str">
        <f ca="1">IFERROR(__xludf.DUMMYFUNCTION("IFERROR(SUBSTITUTE(SUBSTITUTE(REGEXEXTRACT(A4221, ""[^-]+- [^-]+- [^-]+ - (.+?)\.jpg""), "".jpg"", """"), ""-"", "", ""), """")"),"")</f>
        <v/>
      </c>
      <c r="L4221" s="12"/>
      <c r="M4221" s="13"/>
      <c r="N4221" s="2"/>
      <c r="O4221" s="20"/>
      <c r="P4221" s="42"/>
      <c r="R4221" s="23"/>
    </row>
    <row r="4222" spans="1:18" ht="12.75">
      <c r="A4222" s="12"/>
      <c r="D4222" s="12"/>
      <c r="E4222" s="12"/>
      <c r="H4222" s="11" t="str">
        <f ca="1">IFERROR(__xludf.DUMMYFUNCTION("IFERROR(SUBSTITUTE(SUBSTITUTE(REGEXEXTRACT(A4222, ""[^-]+- [^-]+- [^-]+ - (.+?)\.jpg""), "".jpg"", """"), ""-"", "", ""), """")"),"")</f>
        <v/>
      </c>
      <c r="L4222" s="12"/>
      <c r="M4222" s="13"/>
      <c r="N4222" s="2"/>
      <c r="O4222" s="20"/>
      <c r="P4222" s="42"/>
      <c r="R4222" s="23"/>
    </row>
    <row r="4223" spans="1:18" ht="12.75">
      <c r="A4223" s="12"/>
      <c r="D4223" s="12"/>
      <c r="E4223" s="12"/>
      <c r="H4223" s="11" t="str">
        <f ca="1">IFERROR(__xludf.DUMMYFUNCTION("IFERROR(SUBSTITUTE(SUBSTITUTE(REGEXEXTRACT(A4223, ""[^-]+- [^-]+- [^-]+ - (.+?)\.jpg""), "".jpg"", """"), ""-"", "", ""), """")"),"")</f>
        <v/>
      </c>
      <c r="L4223" s="12"/>
      <c r="M4223" s="13"/>
      <c r="N4223" s="2"/>
      <c r="O4223" s="20"/>
      <c r="P4223" s="42"/>
      <c r="R4223" s="23"/>
    </row>
    <row r="4224" spans="1:18" ht="12.75">
      <c r="A4224" s="12"/>
      <c r="D4224" s="12"/>
      <c r="E4224" s="12"/>
      <c r="H4224" s="11" t="str">
        <f ca="1">IFERROR(__xludf.DUMMYFUNCTION("IFERROR(SUBSTITUTE(SUBSTITUTE(REGEXEXTRACT(A4224, ""[^-]+- [^-]+- [^-]+ - (.+?)\.jpg""), "".jpg"", """"), ""-"", "", ""), """")"),"")</f>
        <v/>
      </c>
      <c r="L4224" s="12"/>
      <c r="M4224" s="13"/>
      <c r="N4224" s="2"/>
      <c r="O4224" s="20"/>
      <c r="P4224" s="42"/>
      <c r="R4224" s="23"/>
    </row>
    <row r="4225" spans="1:18" ht="12.75">
      <c r="A4225" s="12"/>
      <c r="D4225" s="12"/>
      <c r="E4225" s="12"/>
      <c r="H4225" s="11" t="str">
        <f ca="1">IFERROR(__xludf.DUMMYFUNCTION("IFERROR(SUBSTITUTE(SUBSTITUTE(REGEXEXTRACT(A4225, ""[^-]+- [^-]+- [^-]+ - (.+?)\.jpg""), "".jpg"", """"), ""-"", "", ""), """")"),"")</f>
        <v/>
      </c>
      <c r="L4225" s="12"/>
      <c r="M4225" s="13"/>
      <c r="N4225" s="2"/>
      <c r="O4225" s="20"/>
      <c r="P4225" s="42"/>
      <c r="R4225" s="23"/>
    </row>
    <row r="4226" spans="1:18" ht="12.75">
      <c r="A4226" s="12"/>
      <c r="D4226" s="12"/>
      <c r="E4226" s="12"/>
      <c r="H4226" s="11" t="str">
        <f ca="1">IFERROR(__xludf.DUMMYFUNCTION("IFERROR(SUBSTITUTE(SUBSTITUTE(REGEXEXTRACT(A4226, ""[^-]+- [^-]+- [^-]+ - (.+?)\.jpg""), "".jpg"", """"), ""-"", "", ""), """")"),"")</f>
        <v/>
      </c>
      <c r="L4226" s="12"/>
      <c r="M4226" s="13"/>
      <c r="N4226" s="2"/>
      <c r="O4226" s="20"/>
      <c r="P4226" s="42"/>
      <c r="R4226" s="23"/>
    </row>
    <row r="4227" spans="1:18" ht="12.75">
      <c r="A4227" s="12"/>
      <c r="D4227" s="12"/>
      <c r="E4227" s="12"/>
      <c r="H4227" s="11" t="str">
        <f ca="1">IFERROR(__xludf.DUMMYFUNCTION("IFERROR(SUBSTITUTE(SUBSTITUTE(REGEXEXTRACT(A4227, ""[^-]+- [^-]+- [^-]+ - (.+?)\.jpg""), "".jpg"", """"), ""-"", "", ""), """")"),"")</f>
        <v/>
      </c>
      <c r="L4227" s="12"/>
      <c r="M4227" s="13"/>
      <c r="N4227" s="2"/>
      <c r="O4227" s="20"/>
      <c r="P4227" s="42"/>
      <c r="R4227" s="23"/>
    </row>
    <row r="4228" spans="1:18" ht="12.75">
      <c r="A4228" s="12"/>
      <c r="D4228" s="12"/>
      <c r="E4228" s="12"/>
      <c r="H4228" s="11" t="str">
        <f ca="1">IFERROR(__xludf.DUMMYFUNCTION("IFERROR(SUBSTITUTE(SUBSTITUTE(REGEXEXTRACT(A4228, ""[^-]+- [^-]+- [^-]+ - (.+?)\.jpg""), "".jpg"", """"), ""-"", "", ""), """")"),"")</f>
        <v/>
      </c>
      <c r="L4228" s="12"/>
      <c r="M4228" s="13"/>
      <c r="N4228" s="2"/>
      <c r="O4228" s="20"/>
      <c r="P4228" s="42"/>
      <c r="R4228" s="23"/>
    </row>
    <row r="4229" spans="1:18" ht="12.75">
      <c r="A4229" s="12"/>
      <c r="D4229" s="12"/>
      <c r="E4229" s="12"/>
      <c r="H4229" s="11" t="str">
        <f ca="1">IFERROR(__xludf.DUMMYFUNCTION("IFERROR(SUBSTITUTE(SUBSTITUTE(REGEXEXTRACT(A4229, ""[^-]+- [^-]+- [^-]+ - (.+?)\.jpg""), "".jpg"", """"), ""-"", "", ""), """")"),"")</f>
        <v/>
      </c>
      <c r="L4229" s="12"/>
      <c r="M4229" s="13"/>
      <c r="N4229" s="2"/>
      <c r="O4229" s="20"/>
      <c r="P4229" s="42"/>
      <c r="R4229" s="23"/>
    </row>
    <row r="4230" spans="1:18" ht="12.75">
      <c r="A4230" s="12"/>
      <c r="D4230" s="12"/>
      <c r="E4230" s="12"/>
      <c r="H4230" s="11" t="str">
        <f ca="1">IFERROR(__xludf.DUMMYFUNCTION("IFERROR(SUBSTITUTE(SUBSTITUTE(REGEXEXTRACT(A4230, ""[^-]+- [^-]+- [^-]+ - (.+?)\.jpg""), "".jpg"", """"), ""-"", "", ""), """")"),"")</f>
        <v/>
      </c>
      <c r="L4230" s="12"/>
      <c r="M4230" s="13"/>
      <c r="N4230" s="2"/>
      <c r="O4230" s="20"/>
      <c r="P4230" s="42"/>
      <c r="R4230" s="23"/>
    </row>
    <row r="4231" spans="1:18" ht="12.75">
      <c r="A4231" s="12"/>
      <c r="D4231" s="12"/>
      <c r="E4231" s="12"/>
      <c r="H4231" s="11" t="str">
        <f ca="1">IFERROR(__xludf.DUMMYFUNCTION("IFERROR(SUBSTITUTE(SUBSTITUTE(REGEXEXTRACT(A4231, ""[^-]+- [^-]+- [^-]+ - (.+?)\.jpg""), "".jpg"", """"), ""-"", "", ""), """")"),"")</f>
        <v/>
      </c>
      <c r="L4231" s="12"/>
      <c r="M4231" s="13"/>
      <c r="N4231" s="2"/>
      <c r="O4231" s="20"/>
      <c r="P4231" s="42"/>
      <c r="R4231" s="23"/>
    </row>
    <row r="4232" spans="1:18" ht="12.75">
      <c r="A4232" s="12"/>
      <c r="D4232" s="12"/>
      <c r="E4232" s="12"/>
      <c r="H4232" s="11" t="str">
        <f ca="1">IFERROR(__xludf.DUMMYFUNCTION("IFERROR(SUBSTITUTE(SUBSTITUTE(REGEXEXTRACT(A4232, ""[^-]+- [^-]+- [^-]+ - (.+?)\.jpg""), "".jpg"", """"), ""-"", "", ""), """")"),"")</f>
        <v/>
      </c>
      <c r="L4232" s="12"/>
      <c r="M4232" s="13"/>
      <c r="N4232" s="2"/>
      <c r="O4232" s="20"/>
      <c r="P4232" s="42"/>
      <c r="R4232" s="23"/>
    </row>
    <row r="4233" spans="1:18" ht="12.75">
      <c r="A4233" s="12"/>
      <c r="D4233" s="12"/>
      <c r="E4233" s="12"/>
      <c r="H4233" s="11" t="str">
        <f ca="1">IFERROR(__xludf.DUMMYFUNCTION("IFERROR(SUBSTITUTE(SUBSTITUTE(REGEXEXTRACT(A4233, ""[^-]+- [^-]+- [^-]+ - (.+?)\.jpg""), "".jpg"", """"), ""-"", "", ""), """")"),"")</f>
        <v/>
      </c>
      <c r="L4233" s="12"/>
      <c r="M4233" s="13"/>
      <c r="N4233" s="2"/>
      <c r="O4233" s="20"/>
      <c r="P4233" s="42"/>
      <c r="R4233" s="23"/>
    </row>
    <row r="4234" spans="1:18" ht="12.75">
      <c r="A4234" s="12"/>
      <c r="D4234" s="12"/>
      <c r="E4234" s="12"/>
      <c r="H4234" s="11" t="str">
        <f ca="1">IFERROR(__xludf.DUMMYFUNCTION("IFERROR(SUBSTITUTE(SUBSTITUTE(REGEXEXTRACT(A4234, ""[^-]+- [^-]+- [^-]+ - (.+?)\.jpg""), "".jpg"", """"), ""-"", "", ""), """")"),"")</f>
        <v/>
      </c>
      <c r="L4234" s="12"/>
      <c r="M4234" s="13"/>
      <c r="N4234" s="2"/>
      <c r="O4234" s="20"/>
      <c r="P4234" s="42"/>
      <c r="R4234" s="23"/>
    </row>
    <row r="4235" spans="1:18" ht="12.75">
      <c r="A4235" s="12"/>
      <c r="D4235" s="12"/>
      <c r="E4235" s="12"/>
      <c r="H4235" s="11" t="str">
        <f ca="1">IFERROR(__xludf.DUMMYFUNCTION("IFERROR(SUBSTITUTE(SUBSTITUTE(REGEXEXTRACT(A4235, ""[^-]+- [^-]+- [^-]+ - (.+?)\.jpg""), "".jpg"", """"), ""-"", "", ""), """")"),"")</f>
        <v/>
      </c>
      <c r="L4235" s="12"/>
      <c r="M4235" s="13"/>
      <c r="N4235" s="2"/>
      <c r="O4235" s="20"/>
      <c r="P4235" s="42"/>
      <c r="R4235" s="23"/>
    </row>
    <row r="4236" spans="1:18" ht="12.75">
      <c r="A4236" s="12"/>
      <c r="D4236" s="12"/>
      <c r="E4236" s="12"/>
      <c r="H4236" s="11" t="str">
        <f ca="1">IFERROR(__xludf.DUMMYFUNCTION("IFERROR(SUBSTITUTE(SUBSTITUTE(REGEXEXTRACT(A4236, ""[^-]+- [^-]+- [^-]+ - (.+?)\.jpg""), "".jpg"", """"), ""-"", "", ""), """")"),"")</f>
        <v/>
      </c>
      <c r="L4236" s="12"/>
      <c r="M4236" s="13"/>
      <c r="N4236" s="2"/>
      <c r="O4236" s="20"/>
      <c r="P4236" s="42"/>
      <c r="R4236" s="23"/>
    </row>
    <row r="4237" spans="1:18" ht="12.75">
      <c r="A4237" s="12"/>
      <c r="D4237" s="12"/>
      <c r="E4237" s="12"/>
      <c r="H4237" s="11" t="str">
        <f ca="1">IFERROR(__xludf.DUMMYFUNCTION("IFERROR(SUBSTITUTE(SUBSTITUTE(REGEXEXTRACT(A4237, ""[^-]+- [^-]+- [^-]+ - (.+?)\.jpg""), "".jpg"", """"), ""-"", "", ""), """")"),"")</f>
        <v/>
      </c>
      <c r="L4237" s="12"/>
      <c r="M4237" s="13"/>
      <c r="N4237" s="2"/>
      <c r="O4237" s="20"/>
      <c r="P4237" s="42"/>
      <c r="R4237" s="23"/>
    </row>
    <row r="4238" spans="1:18" ht="12.75">
      <c r="A4238" s="12"/>
      <c r="D4238" s="12"/>
      <c r="E4238" s="12"/>
      <c r="H4238" s="11" t="str">
        <f ca="1">IFERROR(__xludf.DUMMYFUNCTION("IFERROR(SUBSTITUTE(SUBSTITUTE(REGEXEXTRACT(A4238, ""[^-]+- [^-]+- [^-]+ - (.+?)\.jpg""), "".jpg"", """"), ""-"", "", ""), """")"),"")</f>
        <v/>
      </c>
      <c r="L4238" s="12"/>
      <c r="M4238" s="13"/>
      <c r="N4238" s="2"/>
      <c r="O4238" s="20"/>
      <c r="P4238" s="42"/>
      <c r="R4238" s="23"/>
    </row>
    <row r="4239" spans="1:18" ht="12.75">
      <c r="A4239" s="12"/>
      <c r="D4239" s="12"/>
      <c r="E4239" s="12"/>
      <c r="H4239" s="11" t="str">
        <f ca="1">IFERROR(__xludf.DUMMYFUNCTION("IFERROR(SUBSTITUTE(SUBSTITUTE(REGEXEXTRACT(A4239, ""[^-]+- [^-]+- [^-]+ - (.+?)\.jpg""), "".jpg"", """"), ""-"", "", ""), """")"),"")</f>
        <v/>
      </c>
      <c r="L4239" s="12"/>
      <c r="M4239" s="13"/>
      <c r="N4239" s="2"/>
      <c r="O4239" s="20"/>
      <c r="P4239" s="42"/>
      <c r="R4239" s="23"/>
    </row>
    <row r="4240" spans="1:18" ht="12.75">
      <c r="A4240" s="12"/>
      <c r="D4240" s="12"/>
      <c r="E4240" s="12"/>
      <c r="H4240" s="11" t="str">
        <f ca="1">IFERROR(__xludf.DUMMYFUNCTION("IFERROR(SUBSTITUTE(SUBSTITUTE(REGEXEXTRACT(A4240, ""[^-]+- [^-]+- [^-]+ - (.+?)\.jpg""), "".jpg"", """"), ""-"", "", ""), """")"),"")</f>
        <v/>
      </c>
      <c r="L4240" s="12"/>
      <c r="M4240" s="13"/>
      <c r="N4240" s="2"/>
      <c r="O4240" s="20"/>
      <c r="P4240" s="42"/>
      <c r="R4240" s="23"/>
    </row>
    <row r="4241" spans="1:18" ht="12.75">
      <c r="A4241" s="12"/>
      <c r="D4241" s="12"/>
      <c r="E4241" s="12"/>
      <c r="H4241" s="11" t="str">
        <f ca="1">IFERROR(__xludf.DUMMYFUNCTION("IFERROR(SUBSTITUTE(SUBSTITUTE(REGEXEXTRACT(A4241, ""[^-]+- [^-]+- [^-]+ - (.+?)\.jpg""), "".jpg"", """"), ""-"", "", ""), """")"),"")</f>
        <v/>
      </c>
      <c r="L4241" s="12"/>
      <c r="M4241" s="13"/>
      <c r="N4241" s="2"/>
      <c r="O4241" s="20"/>
      <c r="P4241" s="42"/>
      <c r="R4241" s="23"/>
    </row>
    <row r="4242" spans="1:18" ht="12.75">
      <c r="A4242" s="12"/>
      <c r="D4242" s="12"/>
      <c r="E4242" s="12"/>
      <c r="H4242" s="11" t="str">
        <f ca="1">IFERROR(__xludf.DUMMYFUNCTION("IFERROR(SUBSTITUTE(SUBSTITUTE(REGEXEXTRACT(A4242, ""[^-]+- [^-]+- [^-]+ - (.+?)\.jpg""), "".jpg"", """"), ""-"", "", ""), """")"),"")</f>
        <v/>
      </c>
      <c r="L4242" s="12"/>
      <c r="M4242" s="13"/>
      <c r="N4242" s="2"/>
      <c r="O4242" s="20"/>
      <c r="P4242" s="42"/>
      <c r="R4242" s="23"/>
    </row>
    <row r="4243" spans="1:18" ht="12.75">
      <c r="A4243" s="12"/>
      <c r="D4243" s="12"/>
      <c r="E4243" s="12"/>
      <c r="H4243" s="11" t="str">
        <f ca="1">IFERROR(__xludf.DUMMYFUNCTION("IFERROR(SUBSTITUTE(SUBSTITUTE(REGEXEXTRACT(A4243, ""[^-]+- [^-]+- [^-]+ - (.+?)\.jpg""), "".jpg"", """"), ""-"", "", ""), """")"),"")</f>
        <v/>
      </c>
      <c r="L4243" s="12"/>
      <c r="M4243" s="13"/>
      <c r="N4243" s="2"/>
      <c r="O4243" s="20"/>
      <c r="P4243" s="42"/>
      <c r="R4243" s="23"/>
    </row>
    <row r="4244" spans="1:18" ht="12.75">
      <c r="A4244" s="12"/>
      <c r="D4244" s="12"/>
      <c r="E4244" s="12"/>
      <c r="H4244" s="11" t="str">
        <f ca="1">IFERROR(__xludf.DUMMYFUNCTION("IFERROR(SUBSTITUTE(SUBSTITUTE(REGEXEXTRACT(A4244, ""[^-]+- [^-]+- [^-]+ - (.+?)\.jpg""), "".jpg"", """"), ""-"", "", ""), """")"),"")</f>
        <v/>
      </c>
      <c r="L4244" s="12"/>
      <c r="M4244" s="13"/>
      <c r="N4244" s="2"/>
      <c r="O4244" s="20"/>
      <c r="P4244" s="42"/>
      <c r="R4244" s="23"/>
    </row>
    <row r="4245" spans="1:18" ht="12.75">
      <c r="A4245" s="12"/>
      <c r="D4245" s="12"/>
      <c r="E4245" s="12"/>
      <c r="H4245" s="11" t="str">
        <f ca="1">IFERROR(__xludf.DUMMYFUNCTION("IFERROR(SUBSTITUTE(SUBSTITUTE(REGEXEXTRACT(A4245, ""[^-]+- [^-]+- [^-]+ - (.+?)\.jpg""), "".jpg"", """"), ""-"", "", ""), """")"),"")</f>
        <v/>
      </c>
      <c r="L4245" s="12"/>
      <c r="M4245" s="13"/>
      <c r="N4245" s="2"/>
      <c r="O4245" s="20"/>
      <c r="P4245" s="42"/>
      <c r="R4245" s="23"/>
    </row>
    <row r="4246" spans="1:18" ht="12.75">
      <c r="A4246" s="12"/>
      <c r="D4246" s="12"/>
      <c r="E4246" s="12"/>
      <c r="H4246" s="11" t="str">
        <f ca="1">IFERROR(__xludf.DUMMYFUNCTION("IFERROR(SUBSTITUTE(SUBSTITUTE(REGEXEXTRACT(A4246, ""[^-]+- [^-]+- [^-]+ - (.+?)\.jpg""), "".jpg"", """"), ""-"", "", ""), """")"),"")</f>
        <v/>
      </c>
      <c r="L4246" s="12"/>
      <c r="M4246" s="13"/>
      <c r="N4246" s="2"/>
      <c r="O4246" s="20"/>
      <c r="P4246" s="42"/>
      <c r="R4246" s="23"/>
    </row>
    <row r="4247" spans="1:18" ht="12.75">
      <c r="A4247" s="12"/>
      <c r="D4247" s="12"/>
      <c r="E4247" s="12"/>
      <c r="H4247" s="11" t="str">
        <f ca="1">IFERROR(__xludf.DUMMYFUNCTION("IFERROR(SUBSTITUTE(SUBSTITUTE(REGEXEXTRACT(A4247, ""[^-]+- [^-]+- [^-]+ - (.+?)\.jpg""), "".jpg"", """"), ""-"", "", ""), """")"),"")</f>
        <v/>
      </c>
      <c r="L4247" s="12"/>
      <c r="M4247" s="13"/>
      <c r="N4247" s="2"/>
      <c r="O4247" s="20"/>
      <c r="P4247" s="42"/>
      <c r="R4247" s="23"/>
    </row>
    <row r="4248" spans="1:18" ht="12.75">
      <c r="A4248" s="12"/>
      <c r="D4248" s="12"/>
      <c r="E4248" s="12"/>
      <c r="H4248" s="11" t="str">
        <f ca="1">IFERROR(__xludf.DUMMYFUNCTION("IFERROR(SUBSTITUTE(SUBSTITUTE(REGEXEXTRACT(A4248, ""[^-]+- [^-]+- [^-]+ - (.+?)\.jpg""), "".jpg"", """"), ""-"", "", ""), """")"),"")</f>
        <v/>
      </c>
      <c r="L4248" s="12"/>
      <c r="M4248" s="13"/>
      <c r="N4248" s="2"/>
      <c r="O4248" s="20"/>
      <c r="P4248" s="42"/>
      <c r="R4248" s="23"/>
    </row>
    <row r="4249" spans="1:18" ht="12.75">
      <c r="A4249" s="12"/>
      <c r="D4249" s="12"/>
      <c r="E4249" s="12"/>
      <c r="H4249" s="11" t="str">
        <f ca="1">IFERROR(__xludf.DUMMYFUNCTION("IFERROR(SUBSTITUTE(SUBSTITUTE(REGEXEXTRACT(A4249, ""[^-]+- [^-]+- [^-]+ - (.+?)\.jpg""), "".jpg"", """"), ""-"", "", ""), """")"),"")</f>
        <v/>
      </c>
      <c r="L4249" s="12"/>
      <c r="M4249" s="13"/>
      <c r="N4249" s="2"/>
      <c r="O4249" s="20"/>
      <c r="P4249" s="42"/>
      <c r="R4249" s="23"/>
    </row>
    <row r="4250" spans="1:18" ht="12.75">
      <c r="A4250" s="12"/>
      <c r="D4250" s="12"/>
      <c r="E4250" s="12"/>
      <c r="H4250" s="11" t="str">
        <f ca="1">IFERROR(__xludf.DUMMYFUNCTION("IFERROR(SUBSTITUTE(SUBSTITUTE(REGEXEXTRACT(A4250, ""[^-]+- [^-]+- [^-]+ - (.+?)\.jpg""), "".jpg"", """"), ""-"", "", ""), """")"),"")</f>
        <v/>
      </c>
      <c r="L4250" s="12"/>
      <c r="M4250" s="13"/>
      <c r="N4250" s="2"/>
      <c r="O4250" s="20"/>
      <c r="P4250" s="42"/>
      <c r="R4250" s="23"/>
    </row>
    <row r="4251" spans="1:18" ht="12.75">
      <c r="A4251" s="12"/>
      <c r="D4251" s="12"/>
      <c r="E4251" s="12"/>
      <c r="H4251" s="11" t="str">
        <f ca="1">IFERROR(__xludf.DUMMYFUNCTION("IFERROR(SUBSTITUTE(SUBSTITUTE(REGEXEXTRACT(A4251, ""[^-]+- [^-]+- [^-]+ - (.+?)\.jpg""), "".jpg"", """"), ""-"", "", ""), """")"),"")</f>
        <v/>
      </c>
      <c r="L4251" s="12"/>
      <c r="M4251" s="13"/>
      <c r="N4251" s="2"/>
      <c r="O4251" s="20"/>
      <c r="P4251" s="42"/>
      <c r="R4251" s="23"/>
    </row>
    <row r="4252" spans="1:18" ht="12.75">
      <c r="A4252" s="12"/>
      <c r="D4252" s="12"/>
      <c r="E4252" s="12"/>
      <c r="H4252" s="11" t="str">
        <f ca="1">IFERROR(__xludf.DUMMYFUNCTION("IFERROR(SUBSTITUTE(SUBSTITUTE(REGEXEXTRACT(A4252, ""[^-]+- [^-]+- [^-]+ - (.+?)\.jpg""), "".jpg"", """"), ""-"", "", ""), """")"),"")</f>
        <v/>
      </c>
      <c r="L4252" s="12"/>
      <c r="M4252" s="13"/>
      <c r="N4252" s="2"/>
      <c r="O4252" s="20"/>
      <c r="P4252" s="42"/>
      <c r="R4252" s="23"/>
    </row>
    <row r="4253" spans="1:18" ht="12.75">
      <c r="A4253" s="12"/>
      <c r="D4253" s="12"/>
      <c r="E4253" s="12"/>
      <c r="H4253" s="11" t="str">
        <f ca="1">IFERROR(__xludf.DUMMYFUNCTION("IFERROR(SUBSTITUTE(SUBSTITUTE(REGEXEXTRACT(A4253, ""[^-]+- [^-]+- [^-]+ - (.+?)\.jpg""), "".jpg"", """"), ""-"", "", ""), """")"),"")</f>
        <v/>
      </c>
      <c r="L4253" s="12"/>
      <c r="M4253" s="13"/>
      <c r="N4253" s="2"/>
      <c r="O4253" s="20"/>
      <c r="P4253" s="42"/>
      <c r="R4253" s="23"/>
    </row>
    <row r="4254" spans="1:18" ht="12.75">
      <c r="A4254" s="12"/>
      <c r="D4254" s="12"/>
      <c r="E4254" s="12"/>
      <c r="H4254" s="11" t="str">
        <f ca="1">IFERROR(__xludf.DUMMYFUNCTION("IFERROR(SUBSTITUTE(SUBSTITUTE(REGEXEXTRACT(A4254, ""[^-]+- [^-]+- [^-]+ - (.+?)\.jpg""), "".jpg"", """"), ""-"", "", ""), """")"),"")</f>
        <v/>
      </c>
      <c r="L4254" s="12"/>
      <c r="M4254" s="13"/>
      <c r="N4254" s="2"/>
      <c r="O4254" s="20"/>
      <c r="P4254" s="42"/>
      <c r="R4254" s="23"/>
    </row>
    <row r="4255" spans="1:18" ht="12.75">
      <c r="A4255" s="12"/>
      <c r="D4255" s="12"/>
      <c r="E4255" s="12"/>
      <c r="H4255" s="11" t="str">
        <f ca="1">IFERROR(__xludf.DUMMYFUNCTION("IFERROR(SUBSTITUTE(SUBSTITUTE(REGEXEXTRACT(A4255, ""[^-]+- [^-]+- [^-]+ - (.+?)\.jpg""), "".jpg"", """"), ""-"", "", ""), """")"),"")</f>
        <v/>
      </c>
      <c r="L4255" s="12"/>
      <c r="M4255" s="13"/>
      <c r="N4255" s="2"/>
      <c r="O4255" s="20"/>
      <c r="P4255" s="42"/>
      <c r="R4255" s="23"/>
    </row>
    <row r="4256" spans="1:18" ht="12.75">
      <c r="A4256" s="12"/>
      <c r="D4256" s="12"/>
      <c r="E4256" s="12"/>
      <c r="H4256" s="11" t="str">
        <f ca="1">IFERROR(__xludf.DUMMYFUNCTION("IFERROR(SUBSTITUTE(SUBSTITUTE(REGEXEXTRACT(A4256, ""[^-]+- [^-]+- [^-]+ - (.+?)\.jpg""), "".jpg"", """"), ""-"", "", ""), """")"),"")</f>
        <v/>
      </c>
      <c r="L4256" s="12"/>
      <c r="M4256" s="13"/>
      <c r="N4256" s="2"/>
      <c r="O4256" s="20"/>
      <c r="P4256" s="42"/>
      <c r="R4256" s="23"/>
    </row>
    <row r="4257" spans="1:18" ht="12.75">
      <c r="A4257" s="12"/>
      <c r="D4257" s="12"/>
      <c r="E4257" s="12"/>
      <c r="H4257" s="11" t="str">
        <f ca="1">IFERROR(__xludf.DUMMYFUNCTION("IFERROR(SUBSTITUTE(SUBSTITUTE(REGEXEXTRACT(A4257, ""[^-]+- [^-]+- [^-]+ - (.+?)\.jpg""), "".jpg"", """"), ""-"", "", ""), """")"),"")</f>
        <v/>
      </c>
      <c r="L4257" s="12"/>
      <c r="M4257" s="13"/>
      <c r="N4257" s="2"/>
      <c r="O4257" s="20"/>
      <c r="P4257" s="42"/>
      <c r="R4257" s="23"/>
    </row>
    <row r="4258" spans="1:18" ht="12.75">
      <c r="A4258" s="12"/>
      <c r="D4258" s="12"/>
      <c r="E4258" s="12"/>
      <c r="H4258" s="11" t="str">
        <f ca="1">IFERROR(__xludf.DUMMYFUNCTION("IFERROR(SUBSTITUTE(SUBSTITUTE(REGEXEXTRACT(A4258, ""[^-]+- [^-]+- [^-]+ - (.+?)\.jpg""), "".jpg"", """"), ""-"", "", ""), """")"),"")</f>
        <v/>
      </c>
      <c r="L4258" s="12"/>
      <c r="M4258" s="13"/>
      <c r="N4258" s="2"/>
      <c r="O4258" s="20"/>
      <c r="P4258" s="42"/>
      <c r="R4258" s="23"/>
    </row>
    <row r="4259" spans="1:18" ht="12.75">
      <c r="A4259" s="12"/>
      <c r="D4259" s="12"/>
      <c r="E4259" s="12"/>
      <c r="H4259" s="11" t="str">
        <f ca="1">IFERROR(__xludf.DUMMYFUNCTION("IFERROR(SUBSTITUTE(SUBSTITUTE(REGEXEXTRACT(A4259, ""[^-]+- [^-]+- [^-]+ - (.+?)\.jpg""), "".jpg"", """"), ""-"", "", ""), """")"),"")</f>
        <v/>
      </c>
      <c r="L4259" s="12"/>
      <c r="M4259" s="13"/>
      <c r="N4259" s="2"/>
      <c r="O4259" s="20"/>
      <c r="P4259" s="42"/>
      <c r="R4259" s="23"/>
    </row>
    <row r="4260" spans="1:18" ht="12.75">
      <c r="A4260" s="12"/>
      <c r="D4260" s="12"/>
      <c r="E4260" s="12"/>
      <c r="H4260" s="11" t="str">
        <f ca="1">IFERROR(__xludf.DUMMYFUNCTION("IFERROR(SUBSTITUTE(SUBSTITUTE(REGEXEXTRACT(A4260, ""[^-]+- [^-]+- [^-]+ - (.+?)\.jpg""), "".jpg"", """"), ""-"", "", ""), """")"),"")</f>
        <v/>
      </c>
      <c r="L4260" s="12"/>
      <c r="M4260" s="13"/>
      <c r="N4260" s="2"/>
      <c r="O4260" s="20"/>
      <c r="P4260" s="42"/>
      <c r="R4260" s="23"/>
    </row>
    <row r="4261" spans="1:18" ht="12.75">
      <c r="A4261" s="12"/>
      <c r="D4261" s="12"/>
      <c r="E4261" s="12"/>
      <c r="H4261" s="11" t="str">
        <f ca="1">IFERROR(__xludf.DUMMYFUNCTION("IFERROR(SUBSTITUTE(SUBSTITUTE(REGEXEXTRACT(A4261, ""[^-]+- [^-]+- [^-]+ - (.+?)\.jpg""), "".jpg"", """"), ""-"", "", ""), """")"),"")</f>
        <v/>
      </c>
      <c r="L4261" s="12"/>
      <c r="M4261" s="13"/>
      <c r="N4261" s="2"/>
      <c r="O4261" s="20"/>
      <c r="P4261" s="42"/>
      <c r="R4261" s="23"/>
    </row>
    <row r="4262" spans="1:18" ht="12.75">
      <c r="A4262" s="12"/>
      <c r="D4262" s="12"/>
      <c r="E4262" s="12"/>
      <c r="H4262" s="11" t="str">
        <f ca="1">IFERROR(__xludf.DUMMYFUNCTION("IFERROR(SUBSTITUTE(SUBSTITUTE(REGEXEXTRACT(A4262, ""[^-]+- [^-]+- [^-]+ - (.+?)\.jpg""), "".jpg"", """"), ""-"", "", ""), """")"),"")</f>
        <v/>
      </c>
      <c r="L4262" s="12"/>
      <c r="M4262" s="13"/>
      <c r="N4262" s="2"/>
      <c r="O4262" s="20"/>
      <c r="P4262" s="42"/>
      <c r="R4262" s="23"/>
    </row>
    <row r="4263" spans="1:18" ht="12.75">
      <c r="A4263" s="12"/>
      <c r="D4263" s="12"/>
      <c r="E4263" s="12"/>
      <c r="H4263" s="11" t="str">
        <f ca="1">IFERROR(__xludf.DUMMYFUNCTION("IFERROR(SUBSTITUTE(SUBSTITUTE(REGEXEXTRACT(A4263, ""[^-]+- [^-]+- [^-]+ - (.+?)\.jpg""), "".jpg"", """"), ""-"", "", ""), """")"),"")</f>
        <v/>
      </c>
      <c r="L4263" s="12"/>
      <c r="M4263" s="13"/>
      <c r="N4263" s="2"/>
      <c r="O4263" s="20"/>
      <c r="P4263" s="42"/>
      <c r="R4263" s="23"/>
    </row>
    <row r="4264" spans="1:18" ht="12.75">
      <c r="A4264" s="12"/>
      <c r="D4264" s="12"/>
      <c r="E4264" s="12"/>
      <c r="H4264" s="11" t="str">
        <f ca="1">IFERROR(__xludf.DUMMYFUNCTION("IFERROR(SUBSTITUTE(SUBSTITUTE(REGEXEXTRACT(A4264, ""[^-]+- [^-]+- [^-]+ - (.+?)\.jpg""), "".jpg"", """"), ""-"", "", ""), """")"),"")</f>
        <v/>
      </c>
      <c r="L4264" s="12"/>
      <c r="M4264" s="13"/>
      <c r="N4264" s="2"/>
      <c r="O4264" s="20"/>
      <c r="P4264" s="42"/>
      <c r="R4264" s="23"/>
    </row>
    <row r="4265" spans="1:18" ht="12.75">
      <c r="A4265" s="12"/>
      <c r="D4265" s="12"/>
      <c r="E4265" s="12"/>
      <c r="H4265" s="11" t="str">
        <f ca="1">IFERROR(__xludf.DUMMYFUNCTION("IFERROR(SUBSTITUTE(SUBSTITUTE(REGEXEXTRACT(A4265, ""[^-]+- [^-]+- [^-]+ - (.+?)\.jpg""), "".jpg"", """"), ""-"", "", ""), """")"),"")</f>
        <v/>
      </c>
      <c r="L4265" s="12"/>
      <c r="M4265" s="13"/>
      <c r="N4265" s="2"/>
      <c r="O4265" s="20"/>
      <c r="P4265" s="42"/>
      <c r="R4265" s="23"/>
    </row>
    <row r="4266" spans="1:18" ht="12.75">
      <c r="A4266" s="12"/>
      <c r="D4266" s="12"/>
      <c r="E4266" s="12"/>
      <c r="H4266" s="11" t="str">
        <f ca="1">IFERROR(__xludf.DUMMYFUNCTION("IFERROR(SUBSTITUTE(SUBSTITUTE(REGEXEXTRACT(A4266, ""[^-]+- [^-]+- [^-]+ - (.+?)\.jpg""), "".jpg"", """"), ""-"", "", ""), """")"),"")</f>
        <v/>
      </c>
      <c r="L4266" s="12"/>
      <c r="M4266" s="13"/>
      <c r="N4266" s="2"/>
      <c r="O4266" s="20"/>
      <c r="P4266" s="42"/>
      <c r="R4266" s="23"/>
    </row>
    <row r="4267" spans="1:18" ht="12.75">
      <c r="A4267" s="12"/>
      <c r="D4267" s="12"/>
      <c r="E4267" s="12"/>
      <c r="H4267" s="11" t="str">
        <f ca="1">IFERROR(__xludf.DUMMYFUNCTION("IFERROR(SUBSTITUTE(SUBSTITUTE(REGEXEXTRACT(A4267, ""[^-]+- [^-]+- [^-]+ - (.+?)\.jpg""), "".jpg"", """"), ""-"", "", ""), """")"),"")</f>
        <v/>
      </c>
      <c r="L4267" s="12"/>
      <c r="M4267" s="13"/>
      <c r="N4267" s="2"/>
      <c r="O4267" s="20"/>
      <c r="P4267" s="42"/>
      <c r="R4267" s="23"/>
    </row>
    <row r="4268" spans="1:18" ht="12.75">
      <c r="A4268" s="12"/>
      <c r="D4268" s="12"/>
      <c r="E4268" s="12"/>
      <c r="H4268" s="11" t="str">
        <f ca="1">IFERROR(__xludf.DUMMYFUNCTION("IFERROR(SUBSTITUTE(SUBSTITUTE(REGEXEXTRACT(A4268, ""[^-]+- [^-]+- [^-]+ - (.+?)\.jpg""), "".jpg"", """"), ""-"", "", ""), """")"),"")</f>
        <v/>
      </c>
      <c r="L4268" s="12"/>
      <c r="M4268" s="13"/>
      <c r="N4268" s="2"/>
      <c r="O4268" s="20"/>
      <c r="P4268" s="42"/>
      <c r="R4268" s="23"/>
    </row>
    <row r="4269" spans="1:18" ht="12.75">
      <c r="A4269" s="12"/>
      <c r="D4269" s="12"/>
      <c r="E4269" s="12"/>
      <c r="H4269" s="11" t="str">
        <f ca="1">IFERROR(__xludf.DUMMYFUNCTION("IFERROR(SUBSTITUTE(SUBSTITUTE(REGEXEXTRACT(A4269, ""[^-]+- [^-]+- [^-]+ - (.+?)\.jpg""), "".jpg"", """"), ""-"", "", ""), """")"),"")</f>
        <v/>
      </c>
      <c r="L4269" s="12"/>
      <c r="M4269" s="13"/>
      <c r="N4269" s="2"/>
      <c r="O4269" s="20"/>
      <c r="P4269" s="42"/>
      <c r="R4269" s="23"/>
    </row>
    <row r="4270" spans="1:18" ht="12.75">
      <c r="A4270" s="12"/>
      <c r="D4270" s="12"/>
      <c r="E4270" s="12"/>
      <c r="H4270" s="11" t="str">
        <f ca="1">IFERROR(__xludf.DUMMYFUNCTION("IFERROR(SUBSTITUTE(SUBSTITUTE(REGEXEXTRACT(A4270, ""[^-]+- [^-]+- [^-]+ - (.+?)\.jpg""), "".jpg"", """"), ""-"", "", ""), """")"),"")</f>
        <v/>
      </c>
      <c r="L4270" s="12"/>
      <c r="M4270" s="13"/>
      <c r="N4270" s="2"/>
      <c r="O4270" s="20"/>
      <c r="P4270" s="42"/>
      <c r="R4270" s="23"/>
    </row>
    <row r="4271" spans="1:18" ht="12.75">
      <c r="A4271" s="12"/>
      <c r="D4271" s="12"/>
      <c r="E4271" s="12"/>
      <c r="H4271" s="11" t="str">
        <f ca="1">IFERROR(__xludf.DUMMYFUNCTION("IFERROR(SUBSTITUTE(SUBSTITUTE(REGEXEXTRACT(A4271, ""[^-]+- [^-]+- [^-]+ - (.+?)\.jpg""), "".jpg"", """"), ""-"", "", ""), """")"),"")</f>
        <v/>
      </c>
      <c r="L4271" s="12"/>
      <c r="M4271" s="13"/>
      <c r="N4271" s="2"/>
      <c r="O4271" s="20"/>
      <c r="P4271" s="42"/>
      <c r="R4271" s="23"/>
    </row>
    <row r="4272" spans="1:18" ht="12.75">
      <c r="A4272" s="12"/>
      <c r="D4272" s="12"/>
      <c r="E4272" s="12"/>
      <c r="H4272" s="11" t="str">
        <f ca="1">IFERROR(__xludf.DUMMYFUNCTION("IFERROR(SUBSTITUTE(SUBSTITUTE(REGEXEXTRACT(A4272, ""[^-]+- [^-]+- [^-]+ - (.+?)\.jpg""), "".jpg"", """"), ""-"", "", ""), """")"),"")</f>
        <v/>
      </c>
      <c r="L4272" s="12"/>
      <c r="M4272" s="13"/>
      <c r="N4272" s="2"/>
      <c r="O4272" s="20"/>
      <c r="P4272" s="42"/>
      <c r="R4272" s="23"/>
    </row>
    <row r="4273" spans="1:18" ht="12.75">
      <c r="A4273" s="12"/>
      <c r="D4273" s="12"/>
      <c r="E4273" s="12"/>
      <c r="H4273" s="11" t="str">
        <f ca="1">IFERROR(__xludf.DUMMYFUNCTION("IFERROR(SUBSTITUTE(SUBSTITUTE(REGEXEXTRACT(A4273, ""[^-]+- [^-]+- [^-]+ - (.+?)\.jpg""), "".jpg"", """"), ""-"", "", ""), """")"),"")</f>
        <v/>
      </c>
      <c r="L4273" s="12"/>
      <c r="M4273" s="13"/>
      <c r="N4273" s="2"/>
      <c r="O4273" s="20"/>
      <c r="P4273" s="42"/>
      <c r="R4273" s="23"/>
    </row>
    <row r="4274" spans="1:18" ht="12.75">
      <c r="A4274" s="12"/>
      <c r="D4274" s="12"/>
      <c r="E4274" s="12"/>
      <c r="H4274" s="11" t="str">
        <f ca="1">IFERROR(__xludf.DUMMYFUNCTION("IFERROR(SUBSTITUTE(SUBSTITUTE(REGEXEXTRACT(A4274, ""[^-]+- [^-]+- [^-]+ - (.+?)\.jpg""), "".jpg"", """"), ""-"", "", ""), """")"),"")</f>
        <v/>
      </c>
      <c r="L4274" s="12"/>
      <c r="M4274" s="13"/>
      <c r="N4274" s="2"/>
      <c r="O4274" s="20"/>
      <c r="P4274" s="42"/>
      <c r="R4274" s="23"/>
    </row>
    <row r="4275" spans="1:18" ht="12.75">
      <c r="A4275" s="12"/>
      <c r="D4275" s="12"/>
      <c r="E4275" s="12"/>
      <c r="H4275" s="11" t="str">
        <f ca="1">IFERROR(__xludf.DUMMYFUNCTION("IFERROR(SUBSTITUTE(SUBSTITUTE(REGEXEXTRACT(A4275, ""[^-]+- [^-]+- [^-]+ - (.+?)\.jpg""), "".jpg"", """"), ""-"", "", ""), """")"),"")</f>
        <v/>
      </c>
      <c r="L4275" s="12"/>
      <c r="M4275" s="13"/>
      <c r="N4275" s="2"/>
      <c r="O4275" s="20"/>
      <c r="P4275" s="42"/>
      <c r="R4275" s="23"/>
    </row>
    <row r="4276" spans="1:18" ht="12.75">
      <c r="A4276" s="12"/>
      <c r="D4276" s="12"/>
      <c r="E4276" s="12"/>
      <c r="H4276" s="11" t="str">
        <f ca="1">IFERROR(__xludf.DUMMYFUNCTION("IFERROR(SUBSTITUTE(SUBSTITUTE(REGEXEXTRACT(A4276, ""[^-]+- [^-]+- [^-]+ - (.+?)\.jpg""), "".jpg"", """"), ""-"", "", ""), """")"),"")</f>
        <v/>
      </c>
      <c r="L4276" s="12"/>
      <c r="M4276" s="13"/>
      <c r="N4276" s="2"/>
      <c r="O4276" s="20"/>
      <c r="P4276" s="42"/>
      <c r="R4276" s="23"/>
    </row>
    <row r="4277" spans="1:18" ht="12.75">
      <c r="A4277" s="12"/>
      <c r="D4277" s="12"/>
      <c r="E4277" s="12"/>
      <c r="H4277" s="11" t="str">
        <f ca="1">IFERROR(__xludf.DUMMYFUNCTION("IFERROR(SUBSTITUTE(SUBSTITUTE(REGEXEXTRACT(A4277, ""[^-]+- [^-]+- [^-]+ - (.+?)\.jpg""), "".jpg"", """"), ""-"", "", ""), """")"),"")</f>
        <v/>
      </c>
      <c r="L4277" s="12"/>
      <c r="M4277" s="13"/>
      <c r="N4277" s="2"/>
      <c r="O4277" s="20"/>
      <c r="P4277" s="42"/>
      <c r="R4277" s="23"/>
    </row>
    <row r="4278" spans="1:18" ht="12.75">
      <c r="A4278" s="12"/>
      <c r="D4278" s="12"/>
      <c r="E4278" s="12"/>
      <c r="H4278" s="11" t="str">
        <f ca="1">IFERROR(__xludf.DUMMYFUNCTION("IFERROR(SUBSTITUTE(SUBSTITUTE(REGEXEXTRACT(A4278, ""[^-]+- [^-]+- [^-]+ - (.+?)\.jpg""), "".jpg"", """"), ""-"", "", ""), """")"),"")</f>
        <v/>
      </c>
      <c r="L4278" s="12"/>
      <c r="M4278" s="13"/>
      <c r="N4278" s="2"/>
      <c r="O4278" s="20"/>
      <c r="P4278" s="42"/>
      <c r="R4278" s="23"/>
    </row>
    <row r="4279" spans="1:18" ht="12.75">
      <c r="A4279" s="12"/>
      <c r="D4279" s="12"/>
      <c r="E4279" s="12"/>
      <c r="H4279" s="11" t="str">
        <f ca="1">IFERROR(__xludf.DUMMYFUNCTION("IFERROR(SUBSTITUTE(SUBSTITUTE(REGEXEXTRACT(A4279, ""[^-]+- [^-]+- [^-]+ - (.+?)\.jpg""), "".jpg"", """"), ""-"", "", ""), """")"),"")</f>
        <v/>
      </c>
      <c r="L4279" s="12"/>
      <c r="M4279" s="13"/>
      <c r="N4279" s="2"/>
      <c r="O4279" s="20"/>
      <c r="P4279" s="42"/>
      <c r="R4279" s="23"/>
    </row>
    <row r="4280" spans="1:18" ht="12.75">
      <c r="A4280" s="12"/>
      <c r="D4280" s="12"/>
      <c r="E4280" s="12"/>
      <c r="H4280" s="11" t="str">
        <f ca="1">IFERROR(__xludf.DUMMYFUNCTION("IFERROR(SUBSTITUTE(SUBSTITUTE(REGEXEXTRACT(A4280, ""[^-]+- [^-]+- [^-]+ - (.+?)\.jpg""), "".jpg"", """"), ""-"", "", ""), """")"),"")</f>
        <v/>
      </c>
      <c r="L4280" s="12"/>
      <c r="M4280" s="13"/>
      <c r="N4280" s="2"/>
      <c r="O4280" s="20"/>
      <c r="P4280" s="42"/>
      <c r="R4280" s="23"/>
    </row>
    <row r="4281" spans="1:18" ht="12.75">
      <c r="A4281" s="12"/>
      <c r="D4281" s="12"/>
      <c r="E4281" s="12"/>
      <c r="H4281" s="11" t="str">
        <f ca="1">IFERROR(__xludf.DUMMYFUNCTION("IFERROR(SUBSTITUTE(SUBSTITUTE(REGEXEXTRACT(A4281, ""[^-]+- [^-]+- [^-]+ - (.+?)\.jpg""), "".jpg"", """"), ""-"", "", ""), """")"),"")</f>
        <v/>
      </c>
      <c r="L4281" s="12"/>
      <c r="M4281" s="13"/>
      <c r="N4281" s="2"/>
      <c r="O4281" s="20"/>
      <c r="P4281" s="42"/>
      <c r="R4281" s="23"/>
    </row>
    <row r="4282" spans="1:18" ht="12.75">
      <c r="A4282" s="12"/>
      <c r="D4282" s="12"/>
      <c r="E4282" s="12"/>
      <c r="H4282" s="11" t="str">
        <f ca="1">IFERROR(__xludf.DUMMYFUNCTION("IFERROR(SUBSTITUTE(SUBSTITUTE(REGEXEXTRACT(A4282, ""[^-]+- [^-]+- [^-]+ - (.+?)\.jpg""), "".jpg"", """"), ""-"", "", ""), """")"),"")</f>
        <v/>
      </c>
      <c r="L4282" s="12"/>
      <c r="M4282" s="13"/>
      <c r="N4282" s="2"/>
      <c r="O4282" s="20"/>
      <c r="P4282" s="42"/>
      <c r="R4282" s="23"/>
    </row>
    <row r="4283" spans="1:18" ht="12.75">
      <c r="A4283" s="12"/>
      <c r="D4283" s="12"/>
      <c r="E4283" s="12"/>
      <c r="H4283" s="11" t="str">
        <f ca="1">IFERROR(__xludf.DUMMYFUNCTION("IFERROR(SUBSTITUTE(SUBSTITUTE(REGEXEXTRACT(A4283, ""[^-]+- [^-]+- [^-]+ - (.+?)\.jpg""), "".jpg"", """"), ""-"", "", ""), """")"),"")</f>
        <v/>
      </c>
      <c r="L4283" s="12"/>
      <c r="M4283" s="13"/>
      <c r="N4283" s="2"/>
      <c r="O4283" s="20"/>
      <c r="P4283" s="42"/>
      <c r="R4283" s="23"/>
    </row>
    <row r="4284" spans="1:18" ht="12.75">
      <c r="A4284" s="12"/>
      <c r="D4284" s="12"/>
      <c r="E4284" s="12"/>
      <c r="H4284" s="11" t="str">
        <f ca="1">IFERROR(__xludf.DUMMYFUNCTION("IFERROR(SUBSTITUTE(SUBSTITUTE(REGEXEXTRACT(A4284, ""[^-]+- [^-]+- [^-]+ - (.+?)\.jpg""), "".jpg"", """"), ""-"", "", ""), """")"),"")</f>
        <v/>
      </c>
      <c r="L4284" s="12"/>
      <c r="M4284" s="13"/>
      <c r="N4284" s="2"/>
      <c r="O4284" s="20"/>
      <c r="P4284" s="42"/>
      <c r="R4284" s="23"/>
    </row>
    <row r="4285" spans="1:18" ht="12.75">
      <c r="A4285" s="12"/>
      <c r="D4285" s="12"/>
      <c r="E4285" s="12"/>
      <c r="H4285" s="11" t="str">
        <f ca="1">IFERROR(__xludf.DUMMYFUNCTION("IFERROR(SUBSTITUTE(SUBSTITUTE(REGEXEXTRACT(A4285, ""[^-]+- [^-]+- [^-]+ - (.+?)\.jpg""), "".jpg"", """"), ""-"", "", ""), """")"),"")</f>
        <v/>
      </c>
      <c r="L4285" s="12"/>
      <c r="M4285" s="13"/>
      <c r="N4285" s="2"/>
      <c r="O4285" s="20"/>
      <c r="P4285" s="42"/>
      <c r="R4285" s="23"/>
    </row>
    <row r="4286" spans="1:18" ht="12.75">
      <c r="A4286" s="12"/>
      <c r="D4286" s="12"/>
      <c r="E4286" s="12"/>
      <c r="H4286" s="11" t="str">
        <f ca="1">IFERROR(__xludf.DUMMYFUNCTION("IFERROR(SUBSTITUTE(SUBSTITUTE(REGEXEXTRACT(A4286, ""[^-]+- [^-]+- [^-]+ - (.+?)\.jpg""), "".jpg"", """"), ""-"", "", ""), """")"),"")</f>
        <v/>
      </c>
      <c r="L4286" s="12"/>
      <c r="M4286" s="13"/>
      <c r="N4286" s="2"/>
      <c r="O4286" s="20"/>
      <c r="P4286" s="42"/>
      <c r="R4286" s="23"/>
    </row>
    <row r="4287" spans="1:18" ht="12.75">
      <c r="A4287" s="12"/>
      <c r="D4287" s="12"/>
      <c r="E4287" s="12"/>
      <c r="H4287" s="11" t="str">
        <f ca="1">IFERROR(__xludf.DUMMYFUNCTION("IFERROR(SUBSTITUTE(SUBSTITUTE(REGEXEXTRACT(A4287, ""[^-]+- [^-]+- [^-]+ - (.+?)\.jpg""), "".jpg"", """"), ""-"", "", ""), """")"),"")</f>
        <v/>
      </c>
      <c r="L4287" s="12"/>
      <c r="M4287" s="13"/>
      <c r="N4287" s="2"/>
      <c r="O4287" s="20"/>
      <c r="P4287" s="42"/>
      <c r="R4287" s="23"/>
    </row>
    <row r="4288" spans="1:18" ht="12.75">
      <c r="A4288" s="12"/>
      <c r="D4288" s="12"/>
      <c r="E4288" s="12"/>
      <c r="H4288" s="11" t="str">
        <f ca="1">IFERROR(__xludf.DUMMYFUNCTION("IFERROR(SUBSTITUTE(SUBSTITUTE(REGEXEXTRACT(A4288, ""[^-]+- [^-]+- [^-]+ - (.+?)\.jpg""), "".jpg"", """"), ""-"", "", ""), """")"),"")</f>
        <v/>
      </c>
      <c r="L4288" s="12"/>
      <c r="M4288" s="13"/>
      <c r="N4288" s="2"/>
      <c r="O4288" s="20"/>
      <c r="P4288" s="42"/>
      <c r="R4288" s="23"/>
    </row>
    <row r="4289" spans="1:18" ht="12.75">
      <c r="A4289" s="12"/>
      <c r="D4289" s="12"/>
      <c r="E4289" s="12"/>
      <c r="H4289" s="11" t="str">
        <f ca="1">IFERROR(__xludf.DUMMYFUNCTION("IFERROR(SUBSTITUTE(SUBSTITUTE(REGEXEXTRACT(A4289, ""[^-]+- [^-]+- [^-]+ - (.+?)\.jpg""), "".jpg"", """"), ""-"", "", ""), """")"),"")</f>
        <v/>
      </c>
      <c r="L4289" s="12"/>
      <c r="M4289" s="13"/>
      <c r="N4289" s="2"/>
      <c r="O4289" s="20"/>
      <c r="P4289" s="42"/>
      <c r="R4289" s="23"/>
    </row>
    <row r="4290" spans="1:18" ht="12.75">
      <c r="A4290" s="12"/>
      <c r="D4290" s="12"/>
      <c r="E4290" s="12"/>
      <c r="H4290" s="11" t="str">
        <f ca="1">IFERROR(__xludf.DUMMYFUNCTION("IFERROR(SUBSTITUTE(SUBSTITUTE(REGEXEXTRACT(A4290, ""[^-]+- [^-]+- [^-]+ - (.+?)\.jpg""), "".jpg"", """"), ""-"", "", ""), """")"),"")</f>
        <v/>
      </c>
      <c r="L4290" s="12"/>
      <c r="M4290" s="13"/>
      <c r="N4290" s="2"/>
      <c r="O4290" s="20"/>
      <c r="P4290" s="42"/>
      <c r="R4290" s="23"/>
    </row>
    <row r="4291" spans="1:18" ht="12.75">
      <c r="A4291" s="12"/>
      <c r="D4291" s="12"/>
      <c r="E4291" s="12"/>
      <c r="H4291" s="11" t="str">
        <f ca="1">IFERROR(__xludf.DUMMYFUNCTION("IFERROR(SUBSTITUTE(SUBSTITUTE(REGEXEXTRACT(A4291, ""[^-]+- [^-]+- [^-]+ - (.+?)\.jpg""), "".jpg"", """"), ""-"", "", ""), """")"),"")</f>
        <v/>
      </c>
      <c r="L4291" s="12"/>
      <c r="M4291" s="13"/>
      <c r="N4291" s="2"/>
      <c r="O4291" s="20"/>
      <c r="P4291" s="42"/>
      <c r="R4291" s="23"/>
    </row>
    <row r="4292" spans="1:18" ht="12.75">
      <c r="A4292" s="12"/>
      <c r="D4292" s="12"/>
      <c r="E4292" s="12"/>
      <c r="H4292" s="11" t="str">
        <f ca="1">IFERROR(__xludf.DUMMYFUNCTION("IFERROR(SUBSTITUTE(SUBSTITUTE(REGEXEXTRACT(A4292, ""[^-]+- [^-]+- [^-]+ - (.+?)\.jpg""), "".jpg"", """"), ""-"", "", ""), """")"),"")</f>
        <v/>
      </c>
      <c r="L4292" s="12"/>
      <c r="M4292" s="13"/>
      <c r="N4292" s="2"/>
      <c r="O4292" s="20"/>
      <c r="P4292" s="42"/>
      <c r="R4292" s="23"/>
    </row>
    <row r="4293" spans="1:18" ht="12.75">
      <c r="A4293" s="12"/>
      <c r="D4293" s="12"/>
      <c r="E4293" s="12"/>
      <c r="H4293" s="11" t="str">
        <f ca="1">IFERROR(__xludf.DUMMYFUNCTION("IFERROR(SUBSTITUTE(SUBSTITUTE(REGEXEXTRACT(A4293, ""[^-]+- [^-]+- [^-]+ - (.+?)\.jpg""), "".jpg"", """"), ""-"", "", ""), """")"),"")</f>
        <v/>
      </c>
      <c r="L4293" s="12"/>
      <c r="M4293" s="13"/>
      <c r="N4293" s="2"/>
      <c r="O4293" s="20"/>
      <c r="P4293" s="42"/>
      <c r="R4293" s="23"/>
    </row>
    <row r="4294" spans="1:18" ht="12.75">
      <c r="A4294" s="12"/>
      <c r="D4294" s="12"/>
      <c r="E4294" s="12"/>
      <c r="H4294" s="11" t="str">
        <f ca="1">IFERROR(__xludf.DUMMYFUNCTION("IFERROR(SUBSTITUTE(SUBSTITUTE(REGEXEXTRACT(A4294, ""[^-]+- [^-]+- [^-]+ - (.+?)\.jpg""), "".jpg"", """"), ""-"", "", ""), """")"),"")</f>
        <v/>
      </c>
      <c r="L4294" s="12"/>
      <c r="M4294" s="13"/>
      <c r="N4294" s="2"/>
      <c r="O4294" s="20"/>
      <c r="P4294" s="42"/>
      <c r="R4294" s="23"/>
    </row>
    <row r="4295" spans="1:18" ht="12.75">
      <c r="A4295" s="12"/>
      <c r="D4295" s="12"/>
      <c r="E4295" s="12"/>
      <c r="H4295" s="11" t="str">
        <f ca="1">IFERROR(__xludf.DUMMYFUNCTION("IFERROR(SUBSTITUTE(SUBSTITUTE(REGEXEXTRACT(A4295, ""[^-]+- [^-]+- [^-]+ - (.+?)\.jpg""), "".jpg"", """"), ""-"", "", ""), """")"),"")</f>
        <v/>
      </c>
      <c r="L4295" s="12"/>
      <c r="M4295" s="13"/>
      <c r="N4295" s="2"/>
      <c r="O4295" s="20"/>
      <c r="P4295" s="42"/>
      <c r="R4295" s="23"/>
    </row>
    <row r="4296" spans="1:18" ht="12.75">
      <c r="A4296" s="12"/>
      <c r="D4296" s="12"/>
      <c r="E4296" s="12"/>
      <c r="H4296" s="11" t="str">
        <f ca="1">IFERROR(__xludf.DUMMYFUNCTION("IFERROR(SUBSTITUTE(SUBSTITUTE(REGEXEXTRACT(A4296, ""[^-]+- [^-]+- [^-]+ - (.+?)\.jpg""), "".jpg"", """"), ""-"", "", ""), """")"),"")</f>
        <v/>
      </c>
      <c r="L4296" s="12"/>
      <c r="M4296" s="13"/>
      <c r="N4296" s="2"/>
      <c r="O4296" s="20"/>
      <c r="P4296" s="42"/>
      <c r="R4296" s="23"/>
    </row>
    <row r="4297" spans="1:18" ht="12.75">
      <c r="A4297" s="12"/>
      <c r="D4297" s="12"/>
      <c r="E4297" s="12"/>
      <c r="H4297" s="11" t="str">
        <f ca="1">IFERROR(__xludf.DUMMYFUNCTION("IFERROR(SUBSTITUTE(SUBSTITUTE(REGEXEXTRACT(A4297, ""[^-]+- [^-]+- [^-]+ - (.+?)\.jpg""), "".jpg"", """"), ""-"", "", ""), """")"),"")</f>
        <v/>
      </c>
      <c r="L4297" s="12"/>
      <c r="M4297" s="13"/>
      <c r="N4297" s="2"/>
      <c r="O4297" s="20"/>
      <c r="P4297" s="42"/>
      <c r="R4297" s="23"/>
    </row>
    <row r="4298" spans="1:18" ht="12.75">
      <c r="A4298" s="12"/>
      <c r="D4298" s="12"/>
      <c r="E4298" s="12"/>
      <c r="H4298" s="11" t="str">
        <f ca="1">IFERROR(__xludf.DUMMYFUNCTION("IFERROR(SUBSTITUTE(SUBSTITUTE(REGEXEXTRACT(A4298, ""[^-]+- [^-]+- [^-]+ - (.+?)\.jpg""), "".jpg"", """"), ""-"", "", ""), """")"),"")</f>
        <v/>
      </c>
      <c r="L4298" s="12"/>
      <c r="M4298" s="13"/>
      <c r="N4298" s="2"/>
      <c r="O4298" s="20"/>
      <c r="P4298" s="42"/>
      <c r="R4298" s="23"/>
    </row>
    <row r="4299" spans="1:18" ht="12.75">
      <c r="A4299" s="12"/>
      <c r="D4299" s="12"/>
      <c r="E4299" s="12"/>
      <c r="H4299" s="11" t="str">
        <f ca="1">IFERROR(__xludf.DUMMYFUNCTION("IFERROR(SUBSTITUTE(SUBSTITUTE(REGEXEXTRACT(A4299, ""[^-]+- [^-]+- [^-]+ - (.+?)\.jpg""), "".jpg"", """"), ""-"", "", ""), """")"),"")</f>
        <v/>
      </c>
      <c r="L4299" s="12"/>
      <c r="M4299" s="13"/>
      <c r="N4299" s="2"/>
      <c r="O4299" s="20"/>
      <c r="P4299" s="42"/>
      <c r="R4299" s="23"/>
    </row>
    <row r="4300" spans="1:18" ht="12.75">
      <c r="A4300" s="12"/>
      <c r="D4300" s="12"/>
      <c r="E4300" s="12"/>
      <c r="H4300" s="11" t="str">
        <f ca="1">IFERROR(__xludf.DUMMYFUNCTION("IFERROR(SUBSTITUTE(SUBSTITUTE(REGEXEXTRACT(A4300, ""[^-]+- [^-]+- [^-]+ - (.+?)\.jpg""), "".jpg"", """"), ""-"", "", ""), """")"),"")</f>
        <v/>
      </c>
      <c r="L4300" s="12"/>
      <c r="M4300" s="13"/>
      <c r="N4300" s="2"/>
      <c r="O4300" s="20"/>
      <c r="P4300" s="42"/>
      <c r="R4300" s="23"/>
    </row>
    <row r="4301" spans="1:18" ht="12.75">
      <c r="A4301" s="12"/>
      <c r="D4301" s="12"/>
      <c r="E4301" s="12"/>
      <c r="H4301" s="11" t="str">
        <f ca="1">IFERROR(__xludf.DUMMYFUNCTION("IFERROR(SUBSTITUTE(SUBSTITUTE(REGEXEXTRACT(A4301, ""[^-]+- [^-]+- [^-]+ - (.+?)\.jpg""), "".jpg"", """"), ""-"", "", ""), """")"),"")</f>
        <v/>
      </c>
      <c r="L4301" s="12"/>
      <c r="M4301" s="13"/>
      <c r="N4301" s="2"/>
      <c r="O4301" s="20"/>
      <c r="P4301" s="42"/>
      <c r="R4301" s="23"/>
    </row>
    <row r="4302" spans="1:18" ht="12.75">
      <c r="A4302" s="12"/>
      <c r="D4302" s="12"/>
      <c r="E4302" s="12"/>
      <c r="H4302" s="11" t="str">
        <f ca="1">IFERROR(__xludf.DUMMYFUNCTION("IFERROR(SUBSTITUTE(SUBSTITUTE(REGEXEXTRACT(A4302, ""[^-]+- [^-]+- [^-]+ - (.+?)\.jpg""), "".jpg"", """"), ""-"", "", ""), """")"),"")</f>
        <v/>
      </c>
      <c r="L4302" s="12"/>
      <c r="M4302" s="13"/>
      <c r="N4302" s="2"/>
      <c r="O4302" s="20"/>
      <c r="P4302" s="42"/>
      <c r="R4302" s="23"/>
    </row>
    <row r="4303" spans="1:18" ht="12.75">
      <c r="A4303" s="12"/>
      <c r="D4303" s="12"/>
      <c r="E4303" s="12"/>
      <c r="H4303" s="11" t="str">
        <f ca="1">IFERROR(__xludf.DUMMYFUNCTION("IFERROR(SUBSTITUTE(SUBSTITUTE(REGEXEXTRACT(A4303, ""[^-]+- [^-]+- [^-]+ - (.+?)\.jpg""), "".jpg"", """"), ""-"", "", ""), """")"),"")</f>
        <v/>
      </c>
      <c r="L4303" s="12"/>
      <c r="M4303" s="13"/>
      <c r="N4303" s="2"/>
      <c r="O4303" s="20"/>
      <c r="P4303" s="42"/>
      <c r="R4303" s="23"/>
    </row>
    <row r="4304" spans="1:18" ht="12.75">
      <c r="A4304" s="12"/>
      <c r="D4304" s="12"/>
      <c r="E4304" s="12"/>
      <c r="H4304" s="11" t="str">
        <f ca="1">IFERROR(__xludf.DUMMYFUNCTION("IFERROR(SUBSTITUTE(SUBSTITUTE(REGEXEXTRACT(A4304, ""[^-]+- [^-]+- [^-]+ - (.+?)\.jpg""), "".jpg"", """"), ""-"", "", ""), """")"),"")</f>
        <v/>
      </c>
      <c r="L4304" s="12"/>
      <c r="M4304" s="13"/>
      <c r="N4304" s="2"/>
      <c r="O4304" s="20"/>
      <c r="P4304" s="42"/>
      <c r="R4304" s="23"/>
    </row>
    <row r="4305" spans="1:18" ht="12.75">
      <c r="A4305" s="12"/>
      <c r="D4305" s="12"/>
      <c r="E4305" s="12"/>
      <c r="H4305" s="11" t="str">
        <f ca="1">IFERROR(__xludf.DUMMYFUNCTION("IFERROR(SUBSTITUTE(SUBSTITUTE(REGEXEXTRACT(A4305, ""[^-]+- [^-]+- [^-]+ - (.+?)\.jpg""), "".jpg"", """"), ""-"", "", ""), """")"),"")</f>
        <v/>
      </c>
      <c r="L4305" s="12"/>
      <c r="M4305" s="13"/>
      <c r="N4305" s="2"/>
      <c r="O4305" s="20"/>
      <c r="P4305" s="42"/>
      <c r="R4305" s="23"/>
    </row>
    <row r="4306" spans="1:18" ht="12.75">
      <c r="A4306" s="12"/>
      <c r="D4306" s="12"/>
      <c r="E4306" s="12"/>
      <c r="H4306" s="11" t="str">
        <f ca="1">IFERROR(__xludf.DUMMYFUNCTION("IFERROR(SUBSTITUTE(SUBSTITUTE(REGEXEXTRACT(A4306, ""[^-]+- [^-]+- [^-]+ - (.+?)\.jpg""), "".jpg"", """"), ""-"", "", ""), """")"),"")</f>
        <v/>
      </c>
      <c r="L4306" s="12"/>
      <c r="M4306" s="13"/>
      <c r="N4306" s="2"/>
      <c r="O4306" s="20"/>
      <c r="P4306" s="42"/>
      <c r="R4306" s="23"/>
    </row>
    <row r="4307" spans="1:18" ht="12.75">
      <c r="A4307" s="12"/>
      <c r="D4307" s="12"/>
      <c r="E4307" s="12"/>
      <c r="H4307" s="11" t="str">
        <f ca="1">IFERROR(__xludf.DUMMYFUNCTION("IFERROR(SUBSTITUTE(SUBSTITUTE(REGEXEXTRACT(A4307, ""[^-]+- [^-]+- [^-]+ - (.+?)\.jpg""), "".jpg"", """"), ""-"", "", ""), """")"),"")</f>
        <v/>
      </c>
      <c r="L4307" s="12"/>
      <c r="M4307" s="13"/>
      <c r="N4307" s="2"/>
      <c r="O4307" s="20"/>
      <c r="P4307" s="42"/>
      <c r="R4307" s="23"/>
    </row>
    <row r="4308" spans="1:18" ht="12.75">
      <c r="A4308" s="12"/>
      <c r="D4308" s="12"/>
      <c r="E4308" s="12"/>
      <c r="H4308" s="11" t="str">
        <f ca="1">IFERROR(__xludf.DUMMYFUNCTION("IFERROR(SUBSTITUTE(SUBSTITUTE(REGEXEXTRACT(A4308, ""[^-]+- [^-]+- [^-]+ - (.+?)\.jpg""), "".jpg"", """"), ""-"", "", ""), """")"),"")</f>
        <v/>
      </c>
      <c r="L4308" s="12"/>
      <c r="M4308" s="13"/>
      <c r="N4308" s="2"/>
      <c r="O4308" s="20"/>
      <c r="P4308" s="42"/>
      <c r="R4308" s="23"/>
    </row>
    <row r="4309" spans="1:18" ht="12.75">
      <c r="A4309" s="12"/>
      <c r="D4309" s="12"/>
      <c r="E4309" s="12"/>
      <c r="H4309" s="11" t="str">
        <f ca="1">IFERROR(__xludf.DUMMYFUNCTION("IFERROR(SUBSTITUTE(SUBSTITUTE(REGEXEXTRACT(A4309, ""[^-]+- [^-]+- [^-]+ - (.+?)\.jpg""), "".jpg"", """"), ""-"", "", ""), """")"),"")</f>
        <v/>
      </c>
      <c r="L4309" s="12"/>
      <c r="M4309" s="13"/>
      <c r="N4309" s="2"/>
      <c r="O4309" s="20"/>
      <c r="P4309" s="42"/>
      <c r="R4309" s="23"/>
    </row>
    <row r="4310" spans="1:18" ht="12.75">
      <c r="A4310" s="12"/>
      <c r="D4310" s="12"/>
      <c r="E4310" s="12"/>
      <c r="H4310" s="11" t="str">
        <f ca="1">IFERROR(__xludf.DUMMYFUNCTION("IFERROR(SUBSTITUTE(SUBSTITUTE(REGEXEXTRACT(A4310, ""[^-]+- [^-]+- [^-]+ - (.+?)\.jpg""), "".jpg"", """"), ""-"", "", ""), """")"),"")</f>
        <v/>
      </c>
      <c r="L4310" s="12"/>
      <c r="M4310" s="13"/>
      <c r="N4310" s="2"/>
      <c r="O4310" s="20"/>
      <c r="P4310" s="42"/>
      <c r="R4310" s="23"/>
    </row>
    <row r="4311" spans="1:18" ht="12.75">
      <c r="A4311" s="12"/>
      <c r="D4311" s="12"/>
      <c r="E4311" s="12"/>
      <c r="H4311" s="11" t="str">
        <f ca="1">IFERROR(__xludf.DUMMYFUNCTION("IFERROR(SUBSTITUTE(SUBSTITUTE(REGEXEXTRACT(A4311, ""[^-]+- [^-]+- [^-]+ - (.+?)\.jpg""), "".jpg"", """"), ""-"", "", ""), """")"),"")</f>
        <v/>
      </c>
      <c r="L4311" s="12"/>
      <c r="M4311" s="13"/>
      <c r="N4311" s="2"/>
      <c r="O4311" s="20"/>
      <c r="P4311" s="42"/>
      <c r="R4311" s="23"/>
    </row>
    <row r="4312" spans="1:18" ht="12.75">
      <c r="A4312" s="12"/>
      <c r="D4312" s="12"/>
      <c r="E4312" s="12"/>
      <c r="H4312" s="11" t="str">
        <f ca="1">IFERROR(__xludf.DUMMYFUNCTION("IFERROR(SUBSTITUTE(SUBSTITUTE(REGEXEXTRACT(A4312, ""[^-]+- [^-]+- [^-]+ - (.+?)\.jpg""), "".jpg"", """"), ""-"", "", ""), """")"),"")</f>
        <v/>
      </c>
      <c r="L4312" s="12"/>
      <c r="M4312" s="13"/>
      <c r="N4312" s="2"/>
      <c r="O4312" s="20"/>
      <c r="P4312" s="42"/>
      <c r="R4312" s="23"/>
    </row>
    <row r="4313" spans="1:18" ht="12.75">
      <c r="A4313" s="12"/>
      <c r="D4313" s="12"/>
      <c r="E4313" s="12"/>
      <c r="H4313" s="11" t="str">
        <f ca="1">IFERROR(__xludf.DUMMYFUNCTION("IFERROR(SUBSTITUTE(SUBSTITUTE(REGEXEXTRACT(A4313, ""[^-]+- [^-]+- [^-]+ - (.+?)\.jpg""), "".jpg"", """"), ""-"", "", ""), """")"),"")</f>
        <v/>
      </c>
      <c r="L4313" s="12"/>
      <c r="M4313" s="13"/>
      <c r="N4313" s="2"/>
      <c r="O4313" s="20"/>
      <c r="P4313" s="42"/>
      <c r="R4313" s="23"/>
    </row>
    <row r="4314" spans="1:18" ht="12.75">
      <c r="A4314" s="12"/>
      <c r="D4314" s="12"/>
      <c r="E4314" s="12"/>
      <c r="H4314" s="11" t="str">
        <f ca="1">IFERROR(__xludf.DUMMYFUNCTION("IFERROR(SUBSTITUTE(SUBSTITUTE(REGEXEXTRACT(A4314, ""[^-]+- [^-]+- [^-]+ - (.+?)\.jpg""), "".jpg"", """"), ""-"", "", ""), """")"),"")</f>
        <v/>
      </c>
      <c r="L4314" s="12"/>
      <c r="M4314" s="13"/>
      <c r="N4314" s="2"/>
      <c r="O4314" s="20"/>
      <c r="P4314" s="42"/>
      <c r="R4314" s="23"/>
    </row>
    <row r="4315" spans="1:18" ht="12.75">
      <c r="A4315" s="12"/>
      <c r="D4315" s="12"/>
      <c r="E4315" s="12"/>
      <c r="H4315" s="11" t="str">
        <f ca="1">IFERROR(__xludf.DUMMYFUNCTION("IFERROR(SUBSTITUTE(SUBSTITUTE(REGEXEXTRACT(A4315, ""[^-]+- [^-]+- [^-]+ - (.+?)\.jpg""), "".jpg"", """"), ""-"", "", ""), """")"),"")</f>
        <v/>
      </c>
      <c r="L4315" s="12"/>
      <c r="M4315" s="13"/>
      <c r="N4315" s="2"/>
      <c r="O4315" s="20"/>
      <c r="P4315" s="42"/>
      <c r="R4315" s="23"/>
    </row>
    <row r="4316" spans="1:18" ht="12.75">
      <c r="A4316" s="12"/>
      <c r="D4316" s="12"/>
      <c r="E4316" s="12"/>
      <c r="H4316" s="11" t="str">
        <f ca="1">IFERROR(__xludf.DUMMYFUNCTION("IFERROR(SUBSTITUTE(SUBSTITUTE(REGEXEXTRACT(A4316, ""[^-]+- [^-]+- [^-]+ - (.+?)\.jpg""), "".jpg"", """"), ""-"", "", ""), """")"),"")</f>
        <v/>
      </c>
      <c r="L4316" s="12"/>
      <c r="M4316" s="13"/>
      <c r="N4316" s="2"/>
      <c r="O4316" s="20"/>
      <c r="P4316" s="42"/>
      <c r="R4316" s="23"/>
    </row>
    <row r="4317" spans="1:18" ht="12.75">
      <c r="A4317" s="12"/>
      <c r="D4317" s="12"/>
      <c r="E4317" s="12"/>
      <c r="H4317" s="11" t="str">
        <f ca="1">IFERROR(__xludf.DUMMYFUNCTION("IFERROR(SUBSTITUTE(SUBSTITUTE(REGEXEXTRACT(A4317, ""[^-]+- [^-]+- [^-]+ - (.+?)\.jpg""), "".jpg"", """"), ""-"", "", ""), """")"),"")</f>
        <v/>
      </c>
      <c r="L4317" s="12"/>
      <c r="M4317" s="13"/>
      <c r="N4317" s="2"/>
      <c r="O4317" s="20"/>
      <c r="P4317" s="42"/>
      <c r="R4317" s="23"/>
    </row>
    <row r="4318" spans="1:18" ht="12.75">
      <c r="A4318" s="12"/>
      <c r="D4318" s="12"/>
      <c r="E4318" s="12"/>
      <c r="H4318" s="11" t="str">
        <f ca="1">IFERROR(__xludf.DUMMYFUNCTION("IFERROR(SUBSTITUTE(SUBSTITUTE(REGEXEXTRACT(A4318, ""[^-]+- [^-]+- [^-]+ - (.+?)\.jpg""), "".jpg"", """"), ""-"", "", ""), """")"),"")</f>
        <v/>
      </c>
      <c r="L4318" s="12"/>
      <c r="M4318" s="13"/>
      <c r="N4318" s="2"/>
      <c r="O4318" s="20"/>
      <c r="P4318" s="42"/>
      <c r="R4318" s="23"/>
    </row>
    <row r="4319" spans="1:18" ht="12.75">
      <c r="A4319" s="12"/>
      <c r="D4319" s="12"/>
      <c r="E4319" s="12"/>
      <c r="H4319" s="11" t="str">
        <f ca="1">IFERROR(__xludf.DUMMYFUNCTION("IFERROR(SUBSTITUTE(SUBSTITUTE(REGEXEXTRACT(A4319, ""[^-]+- [^-]+- [^-]+ - (.+?)\.jpg""), "".jpg"", """"), ""-"", "", ""), """")"),"")</f>
        <v/>
      </c>
      <c r="L4319" s="12"/>
      <c r="M4319" s="13"/>
      <c r="N4319" s="2"/>
      <c r="O4319" s="20"/>
      <c r="P4319" s="42"/>
      <c r="R4319" s="23"/>
    </row>
    <row r="4320" spans="1:18" ht="12.75">
      <c r="A4320" s="12"/>
      <c r="D4320" s="12"/>
      <c r="E4320" s="12"/>
      <c r="H4320" s="11" t="str">
        <f ca="1">IFERROR(__xludf.DUMMYFUNCTION("IFERROR(SUBSTITUTE(SUBSTITUTE(REGEXEXTRACT(A4320, ""[^-]+- [^-]+- [^-]+ - (.+?)\.jpg""), "".jpg"", """"), ""-"", "", ""), """")"),"")</f>
        <v/>
      </c>
      <c r="L4320" s="12"/>
      <c r="M4320" s="13"/>
      <c r="N4320" s="2"/>
      <c r="O4320" s="20"/>
      <c r="P4320" s="42"/>
      <c r="R4320" s="23"/>
    </row>
    <row r="4321" spans="1:18" ht="12.75">
      <c r="A4321" s="12"/>
      <c r="D4321" s="12"/>
      <c r="E4321" s="12"/>
      <c r="H4321" s="11" t="str">
        <f ca="1">IFERROR(__xludf.DUMMYFUNCTION("IFERROR(SUBSTITUTE(SUBSTITUTE(REGEXEXTRACT(A4321, ""[^-]+- [^-]+- [^-]+ - (.+?)\.jpg""), "".jpg"", """"), ""-"", "", ""), """")"),"")</f>
        <v/>
      </c>
      <c r="L4321" s="12"/>
      <c r="M4321" s="13"/>
      <c r="N4321" s="2"/>
      <c r="O4321" s="20"/>
      <c r="P4321" s="42"/>
      <c r="R4321" s="23"/>
    </row>
    <row r="4322" spans="1:18" ht="12.75">
      <c r="A4322" s="12"/>
      <c r="D4322" s="12"/>
      <c r="E4322" s="12"/>
      <c r="H4322" s="11" t="str">
        <f ca="1">IFERROR(__xludf.DUMMYFUNCTION("IFERROR(SUBSTITUTE(SUBSTITUTE(REGEXEXTRACT(A4322, ""[^-]+- [^-]+- [^-]+ - (.+?)\.jpg""), "".jpg"", """"), ""-"", "", ""), """")"),"")</f>
        <v/>
      </c>
      <c r="L4322" s="12"/>
      <c r="M4322" s="13"/>
      <c r="N4322" s="2"/>
      <c r="O4322" s="20"/>
      <c r="P4322" s="42"/>
      <c r="R4322" s="23"/>
    </row>
    <row r="4323" spans="1:18" ht="12.75">
      <c r="A4323" s="12"/>
      <c r="D4323" s="12"/>
      <c r="E4323" s="12"/>
      <c r="H4323" s="11" t="str">
        <f ca="1">IFERROR(__xludf.DUMMYFUNCTION("IFERROR(SUBSTITUTE(SUBSTITUTE(REGEXEXTRACT(A4323, ""[^-]+- [^-]+- [^-]+ - (.+?)\.jpg""), "".jpg"", """"), ""-"", "", ""), """")"),"")</f>
        <v/>
      </c>
      <c r="L4323" s="12"/>
      <c r="M4323" s="13"/>
      <c r="N4323" s="2"/>
      <c r="O4323" s="20"/>
      <c r="P4323" s="42"/>
      <c r="R4323" s="23"/>
    </row>
    <row r="4324" spans="1:18" ht="12.75">
      <c r="A4324" s="12"/>
      <c r="D4324" s="12"/>
      <c r="E4324" s="12"/>
      <c r="H4324" s="11" t="str">
        <f ca="1">IFERROR(__xludf.DUMMYFUNCTION("IFERROR(SUBSTITUTE(SUBSTITUTE(REGEXEXTRACT(A4324, ""[^-]+- [^-]+- [^-]+ - (.+?)\.jpg""), "".jpg"", """"), ""-"", "", ""), """")"),"")</f>
        <v/>
      </c>
      <c r="L4324" s="12"/>
      <c r="M4324" s="13"/>
      <c r="N4324" s="2"/>
      <c r="O4324" s="20"/>
      <c r="P4324" s="42"/>
      <c r="R4324" s="23"/>
    </row>
    <row r="4325" spans="1:18" ht="12.75">
      <c r="A4325" s="12"/>
      <c r="D4325" s="12"/>
      <c r="E4325" s="12"/>
      <c r="H4325" s="11" t="str">
        <f ca="1">IFERROR(__xludf.DUMMYFUNCTION("IFERROR(SUBSTITUTE(SUBSTITUTE(REGEXEXTRACT(A4325, ""[^-]+- [^-]+- [^-]+ - (.+?)\.jpg""), "".jpg"", """"), ""-"", "", ""), """")"),"")</f>
        <v/>
      </c>
      <c r="L4325" s="12"/>
      <c r="M4325" s="13"/>
      <c r="N4325" s="2"/>
      <c r="O4325" s="20"/>
      <c r="P4325" s="42"/>
      <c r="R4325" s="23"/>
    </row>
    <row r="4326" spans="1:18" ht="12.75">
      <c r="A4326" s="12"/>
      <c r="D4326" s="12"/>
      <c r="E4326" s="12"/>
      <c r="H4326" s="11" t="str">
        <f ca="1">IFERROR(__xludf.DUMMYFUNCTION("IFERROR(SUBSTITUTE(SUBSTITUTE(REGEXEXTRACT(A4326, ""[^-]+- [^-]+- [^-]+ - (.+?)\.jpg""), "".jpg"", """"), ""-"", "", ""), """")"),"")</f>
        <v/>
      </c>
      <c r="L4326" s="12"/>
      <c r="M4326" s="13"/>
      <c r="N4326" s="2"/>
      <c r="O4326" s="20"/>
      <c r="P4326" s="42"/>
      <c r="R4326" s="23"/>
    </row>
    <row r="4327" spans="1:18" ht="12.75">
      <c r="A4327" s="12"/>
      <c r="D4327" s="12"/>
      <c r="E4327" s="12"/>
      <c r="H4327" s="11" t="str">
        <f ca="1">IFERROR(__xludf.DUMMYFUNCTION("IFERROR(SUBSTITUTE(SUBSTITUTE(REGEXEXTRACT(A4327, ""[^-]+- [^-]+- [^-]+ - (.+?)\.jpg""), "".jpg"", """"), ""-"", "", ""), """")"),"")</f>
        <v/>
      </c>
      <c r="L4327" s="12"/>
      <c r="M4327" s="13"/>
      <c r="N4327" s="2"/>
      <c r="O4327" s="20"/>
      <c r="P4327" s="42"/>
      <c r="R4327" s="23"/>
    </row>
    <row r="4328" spans="1:18" ht="12.75">
      <c r="A4328" s="12"/>
      <c r="D4328" s="12"/>
      <c r="E4328" s="12"/>
      <c r="H4328" s="11" t="str">
        <f ca="1">IFERROR(__xludf.DUMMYFUNCTION("IFERROR(SUBSTITUTE(SUBSTITUTE(REGEXEXTRACT(A4328, ""[^-]+- [^-]+- [^-]+ - (.+?)\.jpg""), "".jpg"", """"), ""-"", "", ""), """")"),"")</f>
        <v/>
      </c>
      <c r="L4328" s="12"/>
      <c r="M4328" s="13"/>
      <c r="N4328" s="2"/>
      <c r="O4328" s="20"/>
      <c r="P4328" s="42"/>
      <c r="R4328" s="23"/>
    </row>
    <row r="4329" spans="1:18" ht="12.75">
      <c r="A4329" s="12"/>
      <c r="D4329" s="12"/>
      <c r="E4329" s="12"/>
      <c r="H4329" s="11" t="str">
        <f ca="1">IFERROR(__xludf.DUMMYFUNCTION("IFERROR(SUBSTITUTE(SUBSTITUTE(REGEXEXTRACT(A4329, ""[^-]+- [^-]+- [^-]+ - (.+?)\.jpg""), "".jpg"", """"), ""-"", "", ""), """")"),"")</f>
        <v/>
      </c>
      <c r="L4329" s="12"/>
      <c r="M4329" s="13"/>
      <c r="N4329" s="2"/>
      <c r="O4329" s="20"/>
      <c r="P4329" s="42"/>
      <c r="R4329" s="23"/>
    </row>
    <row r="4330" spans="1:18" ht="12.75">
      <c r="A4330" s="12"/>
      <c r="D4330" s="12"/>
      <c r="E4330" s="12"/>
      <c r="H4330" s="11" t="str">
        <f ca="1">IFERROR(__xludf.DUMMYFUNCTION("IFERROR(SUBSTITUTE(SUBSTITUTE(REGEXEXTRACT(A4330, ""[^-]+- [^-]+- [^-]+ - (.+?)\.jpg""), "".jpg"", """"), ""-"", "", ""), """")"),"")</f>
        <v/>
      </c>
      <c r="L4330" s="12"/>
      <c r="M4330" s="13"/>
      <c r="N4330" s="2"/>
      <c r="O4330" s="20"/>
      <c r="P4330" s="42"/>
      <c r="R4330" s="23"/>
    </row>
    <row r="4331" spans="1:18" ht="12.75">
      <c r="A4331" s="12"/>
      <c r="D4331" s="12"/>
      <c r="E4331" s="12"/>
      <c r="H4331" s="11" t="str">
        <f ca="1">IFERROR(__xludf.DUMMYFUNCTION("IFERROR(SUBSTITUTE(SUBSTITUTE(REGEXEXTRACT(A4331, ""[^-]+- [^-]+- [^-]+ - (.+?)\.jpg""), "".jpg"", """"), ""-"", "", ""), """")"),"")</f>
        <v/>
      </c>
      <c r="L4331" s="12"/>
      <c r="M4331" s="13"/>
      <c r="N4331" s="2"/>
      <c r="O4331" s="20"/>
      <c r="P4331" s="42"/>
      <c r="R4331" s="23"/>
    </row>
    <row r="4332" spans="1:18" ht="12.75">
      <c r="A4332" s="12"/>
      <c r="D4332" s="12"/>
      <c r="E4332" s="12"/>
      <c r="H4332" s="11" t="str">
        <f ca="1">IFERROR(__xludf.DUMMYFUNCTION("IFERROR(SUBSTITUTE(SUBSTITUTE(REGEXEXTRACT(A4332, ""[^-]+- [^-]+- [^-]+ - (.+?)\.jpg""), "".jpg"", """"), ""-"", "", ""), """")"),"")</f>
        <v/>
      </c>
      <c r="L4332" s="12"/>
      <c r="M4332" s="13"/>
      <c r="N4332" s="2"/>
      <c r="O4332" s="20"/>
      <c r="P4332" s="42"/>
      <c r="R4332" s="23"/>
    </row>
    <row r="4333" spans="1:18" ht="12.75">
      <c r="A4333" s="12"/>
      <c r="D4333" s="12"/>
      <c r="E4333" s="12"/>
      <c r="H4333" s="11" t="str">
        <f ca="1">IFERROR(__xludf.DUMMYFUNCTION("IFERROR(SUBSTITUTE(SUBSTITUTE(REGEXEXTRACT(A4333, ""[^-]+- [^-]+- [^-]+ - (.+?)\.jpg""), "".jpg"", """"), ""-"", "", ""), """")"),"")</f>
        <v/>
      </c>
      <c r="L4333" s="12"/>
      <c r="M4333" s="13"/>
      <c r="N4333" s="2"/>
      <c r="O4333" s="20"/>
      <c r="P4333" s="42"/>
      <c r="R4333" s="23"/>
    </row>
    <row r="4334" spans="1:18" ht="12.75">
      <c r="A4334" s="12"/>
      <c r="D4334" s="12"/>
      <c r="E4334" s="12"/>
      <c r="H4334" s="11" t="str">
        <f ca="1">IFERROR(__xludf.DUMMYFUNCTION("IFERROR(SUBSTITUTE(SUBSTITUTE(REGEXEXTRACT(A4334, ""[^-]+- [^-]+- [^-]+ - (.+?)\.jpg""), "".jpg"", """"), ""-"", "", ""), """")"),"")</f>
        <v/>
      </c>
      <c r="L4334" s="12"/>
      <c r="M4334" s="13"/>
      <c r="N4334" s="2"/>
      <c r="O4334" s="20"/>
      <c r="P4334" s="42"/>
      <c r="R4334" s="23"/>
    </row>
    <row r="4335" spans="1:18" ht="12.75">
      <c r="A4335" s="12"/>
      <c r="D4335" s="12"/>
      <c r="E4335" s="12"/>
      <c r="H4335" s="11" t="str">
        <f ca="1">IFERROR(__xludf.DUMMYFUNCTION("IFERROR(SUBSTITUTE(SUBSTITUTE(REGEXEXTRACT(A4335, ""[^-]+- [^-]+- [^-]+ - (.+?)\.jpg""), "".jpg"", """"), ""-"", "", ""), """")"),"")</f>
        <v/>
      </c>
      <c r="L4335" s="12"/>
      <c r="M4335" s="13"/>
      <c r="N4335" s="2"/>
      <c r="O4335" s="20"/>
      <c r="P4335" s="42"/>
      <c r="R4335" s="23"/>
    </row>
    <row r="4336" spans="1:18" ht="12.75">
      <c r="A4336" s="12"/>
      <c r="D4336" s="12"/>
      <c r="E4336" s="12"/>
      <c r="H4336" s="11" t="str">
        <f ca="1">IFERROR(__xludf.DUMMYFUNCTION("IFERROR(SUBSTITUTE(SUBSTITUTE(REGEXEXTRACT(A4336, ""[^-]+- [^-]+- [^-]+ - (.+?)\.jpg""), "".jpg"", """"), ""-"", "", ""), """")"),"")</f>
        <v/>
      </c>
      <c r="L4336" s="12"/>
      <c r="M4336" s="13"/>
      <c r="N4336" s="2"/>
      <c r="O4336" s="20"/>
      <c r="P4336" s="42"/>
      <c r="R4336" s="23"/>
    </row>
    <row r="4337" spans="1:18" ht="12.75">
      <c r="A4337" s="12"/>
      <c r="D4337" s="12"/>
      <c r="E4337" s="12"/>
      <c r="H4337" s="11" t="str">
        <f ca="1">IFERROR(__xludf.DUMMYFUNCTION("IFERROR(SUBSTITUTE(SUBSTITUTE(REGEXEXTRACT(A4337, ""[^-]+- [^-]+- [^-]+ - (.+?)\.jpg""), "".jpg"", """"), ""-"", "", ""), """")"),"")</f>
        <v/>
      </c>
      <c r="L4337" s="12"/>
      <c r="M4337" s="13"/>
      <c r="N4337" s="2"/>
      <c r="O4337" s="20"/>
      <c r="P4337" s="42"/>
      <c r="R4337" s="23"/>
    </row>
    <row r="4338" spans="1:18" ht="12.75">
      <c r="A4338" s="12"/>
      <c r="D4338" s="12"/>
      <c r="E4338" s="12"/>
      <c r="H4338" s="11" t="str">
        <f ca="1">IFERROR(__xludf.DUMMYFUNCTION("IFERROR(SUBSTITUTE(SUBSTITUTE(REGEXEXTRACT(A4338, ""[^-]+- [^-]+- [^-]+ - (.+?)\.jpg""), "".jpg"", """"), ""-"", "", ""), """")"),"")</f>
        <v/>
      </c>
      <c r="L4338" s="12"/>
      <c r="M4338" s="13"/>
      <c r="N4338" s="2"/>
      <c r="O4338" s="20"/>
      <c r="P4338" s="42"/>
      <c r="R4338" s="23"/>
    </row>
    <row r="4339" spans="1:18" ht="12.75">
      <c r="A4339" s="12"/>
      <c r="D4339" s="12"/>
      <c r="E4339" s="12"/>
      <c r="H4339" s="11" t="str">
        <f ca="1">IFERROR(__xludf.DUMMYFUNCTION("IFERROR(SUBSTITUTE(SUBSTITUTE(REGEXEXTRACT(A4339, ""[^-]+- [^-]+- [^-]+ - (.+?)\.jpg""), "".jpg"", """"), ""-"", "", ""), """")"),"")</f>
        <v/>
      </c>
      <c r="L4339" s="12"/>
      <c r="M4339" s="13"/>
      <c r="N4339" s="2"/>
      <c r="O4339" s="20"/>
      <c r="P4339" s="42"/>
      <c r="R4339" s="23"/>
    </row>
    <row r="4340" spans="1:18" ht="12.75">
      <c r="A4340" s="12"/>
      <c r="D4340" s="12"/>
      <c r="E4340" s="12"/>
      <c r="H4340" s="11" t="str">
        <f ca="1">IFERROR(__xludf.DUMMYFUNCTION("IFERROR(SUBSTITUTE(SUBSTITUTE(REGEXEXTRACT(A4340, ""[^-]+- [^-]+- [^-]+ - (.+?)\.jpg""), "".jpg"", """"), ""-"", "", ""), """")"),"")</f>
        <v/>
      </c>
      <c r="L4340" s="12"/>
      <c r="M4340" s="13"/>
      <c r="N4340" s="2"/>
      <c r="O4340" s="20"/>
      <c r="P4340" s="42"/>
      <c r="R4340" s="23"/>
    </row>
    <row r="4341" spans="1:18" ht="12.75">
      <c r="A4341" s="12"/>
      <c r="D4341" s="12"/>
      <c r="E4341" s="12"/>
      <c r="H4341" s="11" t="str">
        <f ca="1">IFERROR(__xludf.DUMMYFUNCTION("IFERROR(SUBSTITUTE(SUBSTITUTE(REGEXEXTRACT(A4341, ""[^-]+- [^-]+- [^-]+ - (.+?)\.jpg""), "".jpg"", """"), ""-"", "", ""), """")"),"")</f>
        <v/>
      </c>
      <c r="L4341" s="12"/>
      <c r="M4341" s="13"/>
      <c r="N4341" s="2"/>
      <c r="O4341" s="20"/>
      <c r="P4341" s="42"/>
      <c r="R4341" s="23"/>
    </row>
    <row r="4342" spans="1:18" ht="12.75">
      <c r="A4342" s="12"/>
      <c r="D4342" s="12"/>
      <c r="E4342" s="12"/>
      <c r="H4342" s="11" t="str">
        <f ca="1">IFERROR(__xludf.DUMMYFUNCTION("IFERROR(SUBSTITUTE(SUBSTITUTE(REGEXEXTRACT(A4342, ""[^-]+- [^-]+- [^-]+ - (.+?)\.jpg""), "".jpg"", """"), ""-"", "", ""), """")"),"")</f>
        <v/>
      </c>
      <c r="L4342" s="12"/>
      <c r="M4342" s="13"/>
      <c r="N4342" s="2"/>
      <c r="O4342" s="20"/>
      <c r="P4342" s="42"/>
      <c r="R4342" s="23"/>
    </row>
    <row r="4343" spans="1:18" ht="12.75">
      <c r="A4343" s="12"/>
      <c r="D4343" s="12"/>
      <c r="E4343" s="12"/>
      <c r="H4343" s="11" t="str">
        <f ca="1">IFERROR(__xludf.DUMMYFUNCTION("IFERROR(SUBSTITUTE(SUBSTITUTE(REGEXEXTRACT(A4343, ""[^-]+- [^-]+- [^-]+ - (.+?)\.jpg""), "".jpg"", """"), ""-"", "", ""), """")"),"")</f>
        <v/>
      </c>
      <c r="L4343" s="12"/>
      <c r="M4343" s="13"/>
      <c r="N4343" s="2"/>
      <c r="O4343" s="20"/>
      <c r="P4343" s="42"/>
      <c r="R4343" s="23"/>
    </row>
    <row r="4344" spans="1:18" ht="12.75">
      <c r="A4344" s="12"/>
      <c r="D4344" s="12"/>
      <c r="E4344" s="12"/>
      <c r="H4344" s="11" t="str">
        <f ca="1">IFERROR(__xludf.DUMMYFUNCTION("IFERROR(SUBSTITUTE(SUBSTITUTE(REGEXEXTRACT(A4344, ""[^-]+- [^-]+- [^-]+ - (.+?)\.jpg""), "".jpg"", """"), ""-"", "", ""), """")"),"")</f>
        <v/>
      </c>
      <c r="L4344" s="12"/>
      <c r="M4344" s="13"/>
      <c r="N4344" s="2"/>
      <c r="O4344" s="20"/>
      <c r="P4344" s="42"/>
      <c r="R4344" s="23"/>
    </row>
    <row r="4345" spans="1:18" ht="12.75">
      <c r="A4345" s="12"/>
      <c r="D4345" s="12"/>
      <c r="E4345" s="12"/>
      <c r="H4345" s="11" t="str">
        <f ca="1">IFERROR(__xludf.DUMMYFUNCTION("IFERROR(SUBSTITUTE(SUBSTITUTE(REGEXEXTRACT(A4345, ""[^-]+- [^-]+- [^-]+ - (.+?)\.jpg""), "".jpg"", """"), ""-"", "", ""), """")"),"")</f>
        <v/>
      </c>
      <c r="L4345" s="12"/>
      <c r="M4345" s="13"/>
      <c r="N4345" s="2"/>
      <c r="O4345" s="20"/>
      <c r="P4345" s="42"/>
      <c r="R4345" s="23"/>
    </row>
    <row r="4346" spans="1:18" ht="12.75">
      <c r="A4346" s="12"/>
      <c r="D4346" s="12"/>
      <c r="E4346" s="12"/>
      <c r="H4346" s="11" t="str">
        <f ca="1">IFERROR(__xludf.DUMMYFUNCTION("IFERROR(SUBSTITUTE(SUBSTITUTE(REGEXEXTRACT(A4346, ""[^-]+- [^-]+- [^-]+ - (.+?)\.jpg""), "".jpg"", """"), ""-"", "", ""), """")"),"")</f>
        <v/>
      </c>
      <c r="L4346" s="12"/>
      <c r="M4346" s="13"/>
      <c r="N4346" s="2"/>
      <c r="O4346" s="20"/>
      <c r="P4346" s="42"/>
      <c r="R4346" s="23"/>
    </row>
    <row r="4347" spans="1:18" ht="12.75">
      <c r="A4347" s="12"/>
      <c r="D4347" s="12"/>
      <c r="E4347" s="12"/>
      <c r="H4347" s="11" t="str">
        <f ca="1">IFERROR(__xludf.DUMMYFUNCTION("IFERROR(SUBSTITUTE(SUBSTITUTE(REGEXEXTRACT(A4347, ""[^-]+- [^-]+- [^-]+ - (.+?)\.jpg""), "".jpg"", """"), ""-"", "", ""), """")"),"")</f>
        <v/>
      </c>
      <c r="L4347" s="12"/>
      <c r="M4347" s="13"/>
      <c r="N4347" s="2"/>
      <c r="O4347" s="20"/>
      <c r="P4347" s="42"/>
      <c r="R4347" s="23"/>
    </row>
    <row r="4348" spans="1:18" ht="12.75">
      <c r="A4348" s="12"/>
      <c r="D4348" s="12"/>
      <c r="E4348" s="12"/>
      <c r="H4348" s="11" t="str">
        <f ca="1">IFERROR(__xludf.DUMMYFUNCTION("IFERROR(SUBSTITUTE(SUBSTITUTE(REGEXEXTRACT(A4348, ""[^-]+- [^-]+- [^-]+ - (.+?)\.jpg""), "".jpg"", """"), ""-"", "", ""), """")"),"")</f>
        <v/>
      </c>
      <c r="L4348" s="12"/>
      <c r="M4348" s="13"/>
      <c r="N4348" s="2"/>
      <c r="O4348" s="20"/>
      <c r="P4348" s="42"/>
      <c r="R4348" s="23"/>
    </row>
    <row r="4349" spans="1:18" ht="12.75">
      <c r="A4349" s="12"/>
      <c r="D4349" s="12"/>
      <c r="E4349" s="12"/>
      <c r="H4349" s="11" t="str">
        <f ca="1">IFERROR(__xludf.DUMMYFUNCTION("IFERROR(SUBSTITUTE(SUBSTITUTE(REGEXEXTRACT(A4349, ""[^-]+- [^-]+- [^-]+ - (.+?)\.jpg""), "".jpg"", """"), ""-"", "", ""), """")"),"")</f>
        <v/>
      </c>
      <c r="L4349" s="12"/>
      <c r="M4349" s="13"/>
      <c r="N4349" s="2"/>
      <c r="O4349" s="20"/>
      <c r="P4349" s="42"/>
      <c r="R4349" s="23"/>
    </row>
    <row r="4350" spans="1:18" ht="12.75">
      <c r="A4350" s="12"/>
      <c r="D4350" s="12"/>
      <c r="E4350" s="12"/>
      <c r="H4350" s="11" t="str">
        <f ca="1">IFERROR(__xludf.DUMMYFUNCTION("IFERROR(SUBSTITUTE(SUBSTITUTE(REGEXEXTRACT(A4350, ""[^-]+- [^-]+- [^-]+ - (.+?)\.jpg""), "".jpg"", """"), ""-"", "", ""), """")"),"")</f>
        <v/>
      </c>
      <c r="L4350" s="12"/>
      <c r="M4350" s="13"/>
      <c r="N4350" s="2"/>
      <c r="O4350" s="20"/>
      <c r="P4350" s="42"/>
      <c r="R4350" s="23"/>
    </row>
    <row r="4351" spans="1:18" ht="12.75">
      <c r="A4351" s="12"/>
      <c r="D4351" s="12"/>
      <c r="E4351" s="12"/>
      <c r="H4351" s="11" t="str">
        <f ca="1">IFERROR(__xludf.DUMMYFUNCTION("IFERROR(SUBSTITUTE(SUBSTITUTE(REGEXEXTRACT(A4351, ""[^-]+- [^-]+- [^-]+ - (.+?)\.jpg""), "".jpg"", """"), ""-"", "", ""), """")"),"")</f>
        <v/>
      </c>
      <c r="L4351" s="12"/>
      <c r="M4351" s="13"/>
      <c r="N4351" s="2"/>
      <c r="O4351" s="20"/>
      <c r="P4351" s="42"/>
      <c r="R4351" s="23"/>
    </row>
    <row r="4352" spans="1:18" ht="12.75">
      <c r="A4352" s="12"/>
      <c r="D4352" s="12"/>
      <c r="E4352" s="12"/>
      <c r="H4352" s="11" t="str">
        <f ca="1">IFERROR(__xludf.DUMMYFUNCTION("IFERROR(SUBSTITUTE(SUBSTITUTE(REGEXEXTRACT(A4352, ""[^-]+- [^-]+- [^-]+ - (.+?)\.jpg""), "".jpg"", """"), ""-"", "", ""), """")"),"")</f>
        <v/>
      </c>
      <c r="L4352" s="12"/>
      <c r="M4352" s="13"/>
      <c r="N4352" s="2"/>
      <c r="O4352" s="20"/>
      <c r="P4352" s="42"/>
      <c r="R4352" s="23"/>
    </row>
    <row r="4353" spans="1:18" ht="12.75">
      <c r="A4353" s="12"/>
      <c r="D4353" s="12"/>
      <c r="E4353" s="12"/>
      <c r="H4353" s="11" t="str">
        <f ca="1">IFERROR(__xludf.DUMMYFUNCTION("IFERROR(SUBSTITUTE(SUBSTITUTE(REGEXEXTRACT(A4353, ""[^-]+- [^-]+- [^-]+ - (.+?)\.jpg""), "".jpg"", """"), ""-"", "", ""), """")"),"")</f>
        <v/>
      </c>
      <c r="L4353" s="12"/>
      <c r="M4353" s="13"/>
      <c r="N4353" s="2"/>
      <c r="O4353" s="20"/>
      <c r="P4353" s="42"/>
      <c r="R4353" s="23"/>
    </row>
    <row r="4354" spans="1:18" ht="12.75">
      <c r="A4354" s="12"/>
      <c r="D4354" s="12"/>
      <c r="E4354" s="12"/>
      <c r="H4354" s="11" t="str">
        <f ca="1">IFERROR(__xludf.DUMMYFUNCTION("IFERROR(SUBSTITUTE(SUBSTITUTE(REGEXEXTRACT(A4354, ""[^-]+- [^-]+- [^-]+ - (.+?)\.jpg""), "".jpg"", """"), ""-"", "", ""), """")"),"")</f>
        <v/>
      </c>
      <c r="L4354" s="12"/>
      <c r="M4354" s="13"/>
      <c r="N4354" s="2"/>
      <c r="O4354" s="20"/>
      <c r="P4354" s="42"/>
      <c r="R4354" s="23"/>
    </row>
    <row r="4355" spans="1:18" ht="12.75">
      <c r="A4355" s="12"/>
      <c r="D4355" s="12"/>
      <c r="E4355" s="12"/>
      <c r="H4355" s="11" t="str">
        <f ca="1">IFERROR(__xludf.DUMMYFUNCTION("IFERROR(SUBSTITUTE(SUBSTITUTE(REGEXEXTRACT(A4355, ""[^-]+- [^-]+- [^-]+ - (.+?)\.jpg""), "".jpg"", """"), ""-"", "", ""), """")"),"")</f>
        <v/>
      </c>
      <c r="L4355" s="12"/>
      <c r="M4355" s="13"/>
      <c r="N4355" s="2"/>
      <c r="O4355" s="20"/>
      <c r="P4355" s="42"/>
      <c r="R4355" s="23"/>
    </row>
    <row r="4356" spans="1:18" ht="12.75">
      <c r="A4356" s="12"/>
      <c r="D4356" s="12"/>
      <c r="E4356" s="12"/>
      <c r="H4356" s="11" t="str">
        <f ca="1">IFERROR(__xludf.DUMMYFUNCTION("IFERROR(SUBSTITUTE(SUBSTITUTE(REGEXEXTRACT(A4356, ""[^-]+- [^-]+- [^-]+ - (.+?)\.jpg""), "".jpg"", """"), ""-"", "", ""), """")"),"")</f>
        <v/>
      </c>
      <c r="L4356" s="12"/>
      <c r="M4356" s="13"/>
      <c r="N4356" s="2"/>
      <c r="O4356" s="20"/>
      <c r="P4356" s="42"/>
      <c r="R4356" s="23"/>
    </row>
    <row r="4357" spans="1:18" ht="12.75">
      <c r="A4357" s="12"/>
      <c r="D4357" s="12"/>
      <c r="E4357" s="12"/>
      <c r="H4357" s="11" t="str">
        <f ca="1">IFERROR(__xludf.DUMMYFUNCTION("IFERROR(SUBSTITUTE(SUBSTITUTE(REGEXEXTRACT(A4357, ""[^-]+- [^-]+- [^-]+ - (.+?)\.jpg""), "".jpg"", """"), ""-"", "", ""), """")"),"")</f>
        <v/>
      </c>
      <c r="L4357" s="12"/>
      <c r="M4357" s="13"/>
      <c r="N4357" s="2"/>
      <c r="O4357" s="20"/>
      <c r="P4357" s="42"/>
      <c r="R4357" s="23"/>
    </row>
    <row r="4358" spans="1:18" ht="12.75">
      <c r="A4358" s="12"/>
      <c r="D4358" s="12"/>
      <c r="E4358" s="12"/>
      <c r="H4358" s="11" t="str">
        <f ca="1">IFERROR(__xludf.DUMMYFUNCTION("IFERROR(SUBSTITUTE(SUBSTITUTE(REGEXEXTRACT(A4358, ""[^-]+- [^-]+- [^-]+ - (.+?)\.jpg""), "".jpg"", """"), ""-"", "", ""), """")"),"")</f>
        <v/>
      </c>
      <c r="L4358" s="12"/>
      <c r="M4358" s="13"/>
      <c r="N4358" s="2"/>
      <c r="O4358" s="20"/>
      <c r="P4358" s="42"/>
      <c r="R4358" s="23"/>
    </row>
    <row r="4359" spans="1:18" ht="12.75">
      <c r="A4359" s="12"/>
      <c r="D4359" s="12"/>
      <c r="E4359" s="12"/>
      <c r="H4359" s="11" t="str">
        <f ca="1">IFERROR(__xludf.DUMMYFUNCTION("IFERROR(SUBSTITUTE(SUBSTITUTE(REGEXEXTRACT(A4359, ""[^-]+- [^-]+- [^-]+ - (.+?)\.jpg""), "".jpg"", """"), ""-"", "", ""), """")"),"")</f>
        <v/>
      </c>
      <c r="L4359" s="12"/>
      <c r="M4359" s="13"/>
      <c r="N4359" s="2"/>
      <c r="O4359" s="20"/>
      <c r="P4359" s="42"/>
      <c r="R4359" s="23"/>
    </row>
    <row r="4360" spans="1:18" ht="12.75">
      <c r="A4360" s="12"/>
      <c r="D4360" s="12"/>
      <c r="E4360" s="12"/>
      <c r="H4360" s="11" t="str">
        <f ca="1">IFERROR(__xludf.DUMMYFUNCTION("IFERROR(SUBSTITUTE(SUBSTITUTE(REGEXEXTRACT(A4360, ""[^-]+- [^-]+- [^-]+ - (.+?)\.jpg""), "".jpg"", """"), ""-"", "", ""), """")"),"")</f>
        <v/>
      </c>
      <c r="L4360" s="12"/>
      <c r="M4360" s="13"/>
      <c r="N4360" s="2"/>
      <c r="O4360" s="20"/>
      <c r="P4360" s="42"/>
      <c r="R4360" s="23"/>
    </row>
    <row r="4361" spans="1:18" ht="12.75">
      <c r="A4361" s="12"/>
      <c r="D4361" s="12"/>
      <c r="E4361" s="12"/>
      <c r="H4361" s="11" t="str">
        <f ca="1">IFERROR(__xludf.DUMMYFUNCTION("IFERROR(SUBSTITUTE(SUBSTITUTE(REGEXEXTRACT(A4361, ""[^-]+- [^-]+- [^-]+ - (.+?)\.jpg""), "".jpg"", """"), ""-"", "", ""), """")"),"")</f>
        <v/>
      </c>
      <c r="L4361" s="12"/>
      <c r="M4361" s="13"/>
      <c r="N4361" s="2"/>
      <c r="O4361" s="20"/>
      <c r="P4361" s="42"/>
      <c r="R4361" s="23"/>
    </row>
    <row r="4362" spans="1:18" ht="12.75">
      <c r="A4362" s="12"/>
      <c r="D4362" s="12"/>
      <c r="E4362" s="12"/>
      <c r="H4362" s="11" t="str">
        <f ca="1">IFERROR(__xludf.DUMMYFUNCTION("IFERROR(SUBSTITUTE(SUBSTITUTE(REGEXEXTRACT(A4362, ""[^-]+- [^-]+- [^-]+ - (.+?)\.jpg""), "".jpg"", """"), ""-"", "", ""), """")"),"")</f>
        <v/>
      </c>
      <c r="L4362" s="12"/>
      <c r="M4362" s="13"/>
      <c r="N4362" s="2"/>
      <c r="O4362" s="20"/>
      <c r="P4362" s="42"/>
      <c r="R4362" s="23"/>
    </row>
    <row r="4363" spans="1:18" ht="12.75">
      <c r="A4363" s="12"/>
      <c r="D4363" s="12"/>
      <c r="E4363" s="12"/>
      <c r="H4363" s="11" t="str">
        <f ca="1">IFERROR(__xludf.DUMMYFUNCTION("IFERROR(SUBSTITUTE(SUBSTITUTE(REGEXEXTRACT(A4363, ""[^-]+- [^-]+- [^-]+ - (.+?)\.jpg""), "".jpg"", """"), ""-"", "", ""), """")"),"")</f>
        <v/>
      </c>
      <c r="L4363" s="12"/>
      <c r="M4363" s="13"/>
      <c r="N4363" s="2"/>
      <c r="O4363" s="20"/>
      <c r="P4363" s="42"/>
      <c r="R4363" s="23"/>
    </row>
    <row r="4364" spans="1:18" ht="12.75">
      <c r="A4364" s="12"/>
      <c r="D4364" s="12"/>
      <c r="E4364" s="12"/>
      <c r="H4364" s="11" t="str">
        <f ca="1">IFERROR(__xludf.DUMMYFUNCTION("IFERROR(SUBSTITUTE(SUBSTITUTE(REGEXEXTRACT(A4364, ""[^-]+- [^-]+- [^-]+ - (.+?)\.jpg""), "".jpg"", """"), ""-"", "", ""), """")"),"")</f>
        <v/>
      </c>
      <c r="L4364" s="12"/>
      <c r="M4364" s="13"/>
      <c r="N4364" s="2"/>
      <c r="O4364" s="20"/>
      <c r="P4364" s="42"/>
      <c r="R4364" s="23"/>
    </row>
    <row r="4365" spans="1:18" ht="12.75">
      <c r="A4365" s="12"/>
      <c r="D4365" s="12"/>
      <c r="E4365" s="12"/>
      <c r="H4365" s="11" t="str">
        <f ca="1">IFERROR(__xludf.DUMMYFUNCTION("IFERROR(SUBSTITUTE(SUBSTITUTE(REGEXEXTRACT(A4365, ""[^-]+- [^-]+- [^-]+ - (.+?)\.jpg""), "".jpg"", """"), ""-"", "", ""), """")"),"")</f>
        <v/>
      </c>
      <c r="L4365" s="12"/>
      <c r="M4365" s="13"/>
      <c r="N4365" s="2"/>
      <c r="O4365" s="20"/>
      <c r="P4365" s="42"/>
      <c r="R4365" s="23"/>
    </row>
    <row r="4366" spans="1:18" ht="12.75">
      <c r="A4366" s="12"/>
      <c r="D4366" s="12"/>
      <c r="E4366" s="12"/>
      <c r="H4366" s="11" t="str">
        <f ca="1">IFERROR(__xludf.DUMMYFUNCTION("IFERROR(SUBSTITUTE(SUBSTITUTE(REGEXEXTRACT(A4366, ""[^-]+- [^-]+- [^-]+ - (.+?)\.jpg""), "".jpg"", """"), ""-"", "", ""), """")"),"")</f>
        <v/>
      </c>
      <c r="L4366" s="12"/>
      <c r="M4366" s="13"/>
      <c r="N4366" s="2"/>
      <c r="O4366" s="20"/>
      <c r="P4366" s="42"/>
      <c r="R4366" s="23"/>
    </row>
    <row r="4367" spans="1:18" ht="12.75">
      <c r="A4367" s="12"/>
      <c r="D4367" s="12"/>
      <c r="E4367" s="12"/>
      <c r="H4367" s="11" t="str">
        <f ca="1">IFERROR(__xludf.DUMMYFUNCTION("IFERROR(SUBSTITUTE(SUBSTITUTE(REGEXEXTRACT(A4367, ""[^-]+- [^-]+- [^-]+ - (.+?)\.jpg""), "".jpg"", """"), ""-"", "", ""), """")"),"")</f>
        <v/>
      </c>
      <c r="L4367" s="12"/>
      <c r="M4367" s="13"/>
      <c r="N4367" s="2"/>
      <c r="O4367" s="20"/>
      <c r="P4367" s="42"/>
      <c r="R4367" s="23"/>
    </row>
    <row r="4368" spans="1:18" ht="12.75">
      <c r="A4368" s="12"/>
      <c r="D4368" s="12"/>
      <c r="E4368" s="12"/>
      <c r="H4368" s="11" t="str">
        <f ca="1">IFERROR(__xludf.DUMMYFUNCTION("IFERROR(SUBSTITUTE(SUBSTITUTE(REGEXEXTRACT(A4368, ""[^-]+- [^-]+- [^-]+ - (.+?)\.jpg""), "".jpg"", """"), ""-"", "", ""), """")"),"")</f>
        <v/>
      </c>
      <c r="L4368" s="12"/>
      <c r="M4368" s="13"/>
      <c r="N4368" s="2"/>
      <c r="O4368" s="20"/>
      <c r="P4368" s="42"/>
      <c r="R4368" s="23"/>
    </row>
    <row r="4369" spans="1:18" ht="12.75">
      <c r="A4369" s="12"/>
      <c r="D4369" s="12"/>
      <c r="E4369" s="12"/>
      <c r="H4369" s="11" t="str">
        <f ca="1">IFERROR(__xludf.DUMMYFUNCTION("IFERROR(SUBSTITUTE(SUBSTITUTE(REGEXEXTRACT(A4369, ""[^-]+- [^-]+- [^-]+ - (.+?)\.jpg""), "".jpg"", """"), ""-"", "", ""), """")"),"")</f>
        <v/>
      </c>
      <c r="L4369" s="12"/>
      <c r="M4369" s="13"/>
      <c r="N4369" s="2"/>
      <c r="O4369" s="20"/>
      <c r="P4369" s="42"/>
      <c r="R4369" s="23"/>
    </row>
    <row r="4370" spans="1:18" ht="12.75">
      <c r="A4370" s="12"/>
      <c r="D4370" s="12"/>
      <c r="E4370" s="12"/>
      <c r="H4370" s="11" t="str">
        <f ca="1">IFERROR(__xludf.DUMMYFUNCTION("IFERROR(SUBSTITUTE(SUBSTITUTE(REGEXEXTRACT(A4370, ""[^-]+- [^-]+- [^-]+ - (.+?)\.jpg""), "".jpg"", """"), ""-"", "", ""), """")"),"")</f>
        <v/>
      </c>
      <c r="L4370" s="12"/>
      <c r="M4370" s="13"/>
      <c r="N4370" s="2"/>
      <c r="O4370" s="20"/>
      <c r="P4370" s="42"/>
      <c r="R4370" s="23"/>
    </row>
    <row r="4371" spans="1:18" ht="12.75">
      <c r="A4371" s="12"/>
      <c r="D4371" s="12"/>
      <c r="E4371" s="12"/>
      <c r="H4371" s="11" t="str">
        <f ca="1">IFERROR(__xludf.DUMMYFUNCTION("IFERROR(SUBSTITUTE(SUBSTITUTE(REGEXEXTRACT(A4371, ""[^-]+- [^-]+- [^-]+ - (.+?)\.jpg""), "".jpg"", """"), ""-"", "", ""), """")"),"")</f>
        <v/>
      </c>
      <c r="L4371" s="12"/>
      <c r="M4371" s="13"/>
      <c r="N4371" s="2"/>
      <c r="O4371" s="20"/>
      <c r="P4371" s="42"/>
      <c r="R4371" s="23"/>
    </row>
    <row r="4372" spans="1:18" ht="12.75">
      <c r="A4372" s="12"/>
      <c r="D4372" s="12"/>
      <c r="E4372" s="12"/>
      <c r="H4372" s="11" t="str">
        <f ca="1">IFERROR(__xludf.DUMMYFUNCTION("IFERROR(SUBSTITUTE(SUBSTITUTE(REGEXEXTRACT(A4372, ""[^-]+- [^-]+- [^-]+ - (.+?)\.jpg""), "".jpg"", """"), ""-"", "", ""), """")"),"")</f>
        <v/>
      </c>
      <c r="L4372" s="12"/>
      <c r="M4372" s="13"/>
      <c r="N4372" s="2"/>
      <c r="O4372" s="20"/>
      <c r="P4372" s="42"/>
      <c r="R4372" s="23"/>
    </row>
    <row r="4373" spans="1:18" ht="12.75">
      <c r="A4373" s="12"/>
      <c r="D4373" s="12"/>
      <c r="E4373" s="12"/>
      <c r="H4373" s="11" t="str">
        <f ca="1">IFERROR(__xludf.DUMMYFUNCTION("IFERROR(SUBSTITUTE(SUBSTITUTE(REGEXEXTRACT(A4373, ""[^-]+- [^-]+- [^-]+ - (.+?)\.jpg""), "".jpg"", """"), ""-"", "", ""), """")"),"")</f>
        <v/>
      </c>
      <c r="L4373" s="12"/>
      <c r="M4373" s="13"/>
      <c r="N4373" s="2"/>
      <c r="O4373" s="20"/>
      <c r="P4373" s="42"/>
      <c r="R4373" s="23"/>
    </row>
    <row r="4374" spans="1:18" ht="12.75">
      <c r="A4374" s="12"/>
      <c r="D4374" s="12"/>
      <c r="E4374" s="12"/>
      <c r="H4374" s="11" t="str">
        <f ca="1">IFERROR(__xludf.DUMMYFUNCTION("IFERROR(SUBSTITUTE(SUBSTITUTE(REGEXEXTRACT(A4374, ""[^-]+- [^-]+- [^-]+ - (.+?)\.jpg""), "".jpg"", """"), ""-"", "", ""), """")"),"")</f>
        <v/>
      </c>
      <c r="L4374" s="12"/>
      <c r="M4374" s="13"/>
      <c r="N4374" s="2"/>
      <c r="O4374" s="20"/>
      <c r="P4374" s="42"/>
      <c r="R4374" s="23"/>
    </row>
    <row r="4375" spans="1:18" ht="12.75">
      <c r="A4375" s="12"/>
      <c r="D4375" s="12"/>
      <c r="E4375" s="12"/>
      <c r="H4375" s="11" t="str">
        <f ca="1">IFERROR(__xludf.DUMMYFUNCTION("IFERROR(SUBSTITUTE(SUBSTITUTE(REGEXEXTRACT(A4375, ""[^-]+- [^-]+- [^-]+ - (.+?)\.jpg""), "".jpg"", """"), ""-"", "", ""), """")"),"")</f>
        <v/>
      </c>
      <c r="L4375" s="12"/>
      <c r="M4375" s="13"/>
      <c r="N4375" s="2"/>
      <c r="O4375" s="20"/>
      <c r="P4375" s="42"/>
      <c r="R4375" s="23"/>
    </row>
    <row r="4376" spans="1:18" ht="12.75">
      <c r="A4376" s="12"/>
      <c r="D4376" s="12"/>
      <c r="E4376" s="12"/>
      <c r="H4376" s="11" t="str">
        <f ca="1">IFERROR(__xludf.DUMMYFUNCTION("IFERROR(SUBSTITUTE(SUBSTITUTE(REGEXEXTRACT(A4376, ""[^-]+- [^-]+- [^-]+ - (.+?)\.jpg""), "".jpg"", """"), ""-"", "", ""), """")"),"")</f>
        <v/>
      </c>
      <c r="L4376" s="12"/>
      <c r="M4376" s="13"/>
      <c r="N4376" s="2"/>
      <c r="O4376" s="20"/>
      <c r="P4376" s="42"/>
      <c r="R4376" s="23"/>
    </row>
    <row r="4377" spans="1:18" ht="12.75">
      <c r="A4377" s="12"/>
      <c r="D4377" s="12"/>
      <c r="E4377" s="12"/>
      <c r="H4377" s="11" t="str">
        <f ca="1">IFERROR(__xludf.DUMMYFUNCTION("IFERROR(SUBSTITUTE(SUBSTITUTE(REGEXEXTRACT(A4377, ""[^-]+- [^-]+- [^-]+ - (.+?)\.jpg""), "".jpg"", """"), ""-"", "", ""), """")"),"")</f>
        <v/>
      </c>
      <c r="L4377" s="12"/>
      <c r="M4377" s="13"/>
      <c r="N4377" s="2"/>
      <c r="O4377" s="20"/>
      <c r="P4377" s="42"/>
      <c r="R4377" s="23"/>
    </row>
    <row r="4378" spans="1:18" ht="12.75">
      <c r="A4378" s="12"/>
      <c r="D4378" s="12"/>
      <c r="E4378" s="12"/>
      <c r="H4378" s="11" t="str">
        <f ca="1">IFERROR(__xludf.DUMMYFUNCTION("IFERROR(SUBSTITUTE(SUBSTITUTE(REGEXEXTRACT(A4378, ""[^-]+- [^-]+- [^-]+ - (.+?)\.jpg""), "".jpg"", """"), ""-"", "", ""), """")"),"")</f>
        <v/>
      </c>
      <c r="L4378" s="12"/>
      <c r="M4378" s="13"/>
      <c r="N4378" s="2"/>
      <c r="O4378" s="20"/>
      <c r="P4378" s="42"/>
      <c r="R4378" s="23"/>
    </row>
    <row r="4379" spans="1:18" ht="12.75">
      <c r="A4379" s="12"/>
      <c r="D4379" s="12"/>
      <c r="E4379" s="12"/>
      <c r="H4379" s="11" t="str">
        <f ca="1">IFERROR(__xludf.DUMMYFUNCTION("IFERROR(SUBSTITUTE(SUBSTITUTE(REGEXEXTRACT(A4379, ""[^-]+- [^-]+- [^-]+ - (.+?)\.jpg""), "".jpg"", """"), ""-"", "", ""), """")"),"")</f>
        <v/>
      </c>
      <c r="L4379" s="12"/>
      <c r="M4379" s="13"/>
      <c r="N4379" s="2"/>
      <c r="O4379" s="20"/>
      <c r="P4379" s="42"/>
      <c r="R4379" s="23"/>
    </row>
    <row r="4380" spans="1:18" ht="12.75">
      <c r="A4380" s="12"/>
      <c r="D4380" s="12"/>
      <c r="E4380" s="12"/>
      <c r="H4380" s="11" t="str">
        <f ca="1">IFERROR(__xludf.DUMMYFUNCTION("IFERROR(SUBSTITUTE(SUBSTITUTE(REGEXEXTRACT(A4380, ""[^-]+- [^-]+- [^-]+ - (.+?)\.jpg""), "".jpg"", """"), ""-"", "", ""), """")"),"")</f>
        <v/>
      </c>
      <c r="L4380" s="12"/>
      <c r="M4380" s="13"/>
      <c r="N4380" s="2"/>
      <c r="O4380" s="20"/>
      <c r="P4380" s="42"/>
      <c r="R4380" s="23"/>
    </row>
    <row r="4381" spans="1:18" ht="12.75">
      <c r="A4381" s="12"/>
      <c r="D4381" s="12"/>
      <c r="E4381" s="12"/>
      <c r="H4381" s="11" t="str">
        <f ca="1">IFERROR(__xludf.DUMMYFUNCTION("IFERROR(SUBSTITUTE(SUBSTITUTE(REGEXEXTRACT(A4381, ""[^-]+- [^-]+- [^-]+ - (.+?)\.jpg""), "".jpg"", """"), ""-"", "", ""), """")"),"")</f>
        <v/>
      </c>
      <c r="L4381" s="12"/>
      <c r="M4381" s="13"/>
      <c r="N4381" s="2"/>
      <c r="O4381" s="20"/>
      <c r="P4381" s="42"/>
      <c r="R4381" s="23"/>
    </row>
    <row r="4382" spans="1:18" ht="12.75">
      <c r="A4382" s="12"/>
      <c r="D4382" s="12"/>
      <c r="E4382" s="12"/>
      <c r="H4382" s="11" t="str">
        <f ca="1">IFERROR(__xludf.DUMMYFUNCTION("IFERROR(SUBSTITUTE(SUBSTITUTE(REGEXEXTRACT(A4382, ""[^-]+- [^-]+- [^-]+ - (.+?)\.jpg""), "".jpg"", """"), ""-"", "", ""), """")"),"")</f>
        <v/>
      </c>
      <c r="L4382" s="12"/>
      <c r="M4382" s="13"/>
      <c r="N4382" s="2"/>
      <c r="O4382" s="20"/>
      <c r="P4382" s="42"/>
      <c r="R4382" s="23"/>
    </row>
    <row r="4383" spans="1:18" ht="12.75">
      <c r="A4383" s="12"/>
      <c r="D4383" s="12"/>
      <c r="E4383" s="12"/>
      <c r="H4383" s="11" t="str">
        <f ca="1">IFERROR(__xludf.DUMMYFUNCTION("IFERROR(SUBSTITUTE(SUBSTITUTE(REGEXEXTRACT(A4383, ""[^-]+- [^-]+- [^-]+ - (.+?)\.jpg""), "".jpg"", """"), ""-"", "", ""), """")"),"")</f>
        <v/>
      </c>
      <c r="L4383" s="12"/>
      <c r="M4383" s="13"/>
      <c r="N4383" s="2"/>
      <c r="O4383" s="20"/>
      <c r="P4383" s="42"/>
      <c r="R4383" s="23"/>
    </row>
    <row r="4384" spans="1:18" ht="12.75">
      <c r="A4384" s="12"/>
      <c r="D4384" s="12"/>
      <c r="E4384" s="12"/>
      <c r="H4384" s="11" t="str">
        <f ca="1">IFERROR(__xludf.DUMMYFUNCTION("IFERROR(SUBSTITUTE(SUBSTITUTE(REGEXEXTRACT(A4384, ""[^-]+- [^-]+- [^-]+ - (.+?)\.jpg""), "".jpg"", """"), ""-"", "", ""), """")"),"")</f>
        <v/>
      </c>
      <c r="L4384" s="12"/>
      <c r="M4384" s="13"/>
      <c r="N4384" s="2"/>
      <c r="O4384" s="20"/>
      <c r="P4384" s="42"/>
      <c r="R4384" s="23"/>
    </row>
    <row r="4385" spans="1:18" ht="12.75">
      <c r="A4385" s="12"/>
      <c r="D4385" s="12"/>
      <c r="E4385" s="12"/>
      <c r="H4385" s="11" t="str">
        <f ca="1">IFERROR(__xludf.DUMMYFUNCTION("IFERROR(SUBSTITUTE(SUBSTITUTE(REGEXEXTRACT(A4385, ""[^-]+- [^-]+- [^-]+ - (.+?)\.jpg""), "".jpg"", """"), ""-"", "", ""), """")"),"")</f>
        <v/>
      </c>
      <c r="L4385" s="12"/>
      <c r="M4385" s="13"/>
      <c r="N4385" s="2"/>
      <c r="O4385" s="20"/>
      <c r="P4385" s="42"/>
      <c r="R4385" s="23"/>
    </row>
    <row r="4386" spans="1:18" ht="12.75">
      <c r="A4386" s="12"/>
      <c r="D4386" s="12"/>
      <c r="E4386" s="12"/>
      <c r="H4386" s="11" t="str">
        <f ca="1">IFERROR(__xludf.DUMMYFUNCTION("IFERROR(SUBSTITUTE(SUBSTITUTE(REGEXEXTRACT(A4386, ""[^-]+- [^-]+- [^-]+ - (.+?)\.jpg""), "".jpg"", """"), ""-"", "", ""), """")"),"")</f>
        <v/>
      </c>
      <c r="L4386" s="12"/>
      <c r="M4386" s="13"/>
      <c r="N4386" s="2"/>
      <c r="O4386" s="20"/>
      <c r="P4386" s="42"/>
      <c r="R4386" s="23"/>
    </row>
    <row r="4387" spans="1:18" ht="12.75">
      <c r="A4387" s="12"/>
      <c r="D4387" s="12"/>
      <c r="E4387" s="12"/>
      <c r="H4387" s="11" t="str">
        <f ca="1">IFERROR(__xludf.DUMMYFUNCTION("IFERROR(SUBSTITUTE(SUBSTITUTE(REGEXEXTRACT(A4387, ""[^-]+- [^-]+- [^-]+ - (.+?)\.jpg""), "".jpg"", """"), ""-"", "", ""), """")"),"")</f>
        <v/>
      </c>
      <c r="L4387" s="12"/>
      <c r="M4387" s="13"/>
      <c r="N4387" s="2"/>
      <c r="O4387" s="20"/>
      <c r="P4387" s="42"/>
      <c r="R4387" s="23"/>
    </row>
    <row r="4388" spans="1:18" ht="12.75">
      <c r="A4388" s="12"/>
      <c r="D4388" s="12"/>
      <c r="E4388" s="12"/>
      <c r="H4388" s="11" t="str">
        <f ca="1">IFERROR(__xludf.DUMMYFUNCTION("IFERROR(SUBSTITUTE(SUBSTITUTE(REGEXEXTRACT(A4388, ""[^-]+- [^-]+- [^-]+ - (.+?)\.jpg""), "".jpg"", """"), ""-"", "", ""), """")"),"")</f>
        <v/>
      </c>
      <c r="L4388" s="12"/>
      <c r="M4388" s="13"/>
      <c r="N4388" s="2"/>
      <c r="O4388" s="20"/>
      <c r="P4388" s="42"/>
      <c r="R4388" s="23"/>
    </row>
    <row r="4389" spans="1:18" ht="12.75">
      <c r="A4389" s="12"/>
      <c r="D4389" s="12"/>
      <c r="E4389" s="12"/>
      <c r="H4389" s="11" t="str">
        <f ca="1">IFERROR(__xludf.DUMMYFUNCTION("IFERROR(SUBSTITUTE(SUBSTITUTE(REGEXEXTRACT(A4389, ""[^-]+- [^-]+- [^-]+ - (.+?)\.jpg""), "".jpg"", """"), ""-"", "", ""), """")"),"")</f>
        <v/>
      </c>
      <c r="L4389" s="12"/>
      <c r="M4389" s="13"/>
      <c r="N4389" s="2"/>
      <c r="O4389" s="20"/>
      <c r="P4389" s="42"/>
      <c r="R4389" s="23"/>
    </row>
    <row r="4390" spans="1:18" ht="12.75">
      <c r="A4390" s="12"/>
      <c r="D4390" s="12"/>
      <c r="E4390" s="12"/>
      <c r="H4390" s="11" t="str">
        <f ca="1">IFERROR(__xludf.DUMMYFUNCTION("IFERROR(SUBSTITUTE(SUBSTITUTE(REGEXEXTRACT(A4390, ""[^-]+- [^-]+- [^-]+ - (.+?)\.jpg""), "".jpg"", """"), ""-"", "", ""), """")"),"")</f>
        <v/>
      </c>
      <c r="L4390" s="12"/>
      <c r="M4390" s="13"/>
      <c r="N4390" s="2"/>
      <c r="O4390" s="20"/>
      <c r="P4390" s="42"/>
      <c r="R4390" s="23"/>
    </row>
    <row r="4391" spans="1:18" ht="12.75">
      <c r="A4391" s="12"/>
      <c r="D4391" s="12"/>
      <c r="E4391" s="12"/>
      <c r="H4391" s="11" t="str">
        <f ca="1">IFERROR(__xludf.DUMMYFUNCTION("IFERROR(SUBSTITUTE(SUBSTITUTE(REGEXEXTRACT(A4391, ""[^-]+- [^-]+- [^-]+ - (.+?)\.jpg""), "".jpg"", """"), ""-"", "", ""), """")"),"")</f>
        <v/>
      </c>
      <c r="L4391" s="12"/>
      <c r="M4391" s="13"/>
      <c r="N4391" s="2"/>
      <c r="O4391" s="20"/>
      <c r="P4391" s="42"/>
      <c r="R4391" s="23"/>
    </row>
    <row r="4392" spans="1:18" ht="12.75">
      <c r="A4392" s="12"/>
      <c r="D4392" s="12"/>
      <c r="E4392" s="12"/>
      <c r="H4392" s="11" t="str">
        <f ca="1">IFERROR(__xludf.DUMMYFUNCTION("IFERROR(SUBSTITUTE(SUBSTITUTE(REGEXEXTRACT(A4392, ""[^-]+- [^-]+- [^-]+ - (.+?)\.jpg""), "".jpg"", """"), ""-"", "", ""), """")"),"")</f>
        <v/>
      </c>
      <c r="L4392" s="12"/>
      <c r="M4392" s="13"/>
      <c r="N4392" s="2"/>
      <c r="O4392" s="20"/>
      <c r="P4392" s="42"/>
      <c r="R4392" s="23"/>
    </row>
    <row r="4393" spans="1:18" ht="12.75">
      <c r="A4393" s="12"/>
      <c r="D4393" s="12"/>
      <c r="E4393" s="12"/>
      <c r="H4393" s="11" t="str">
        <f ca="1">IFERROR(__xludf.DUMMYFUNCTION("IFERROR(SUBSTITUTE(SUBSTITUTE(REGEXEXTRACT(A4393, ""[^-]+- [^-]+- [^-]+ - (.+?)\.jpg""), "".jpg"", """"), ""-"", "", ""), """")"),"")</f>
        <v/>
      </c>
      <c r="L4393" s="12"/>
      <c r="M4393" s="13"/>
      <c r="N4393" s="2"/>
      <c r="O4393" s="20"/>
      <c r="P4393" s="42"/>
      <c r="R4393" s="23"/>
    </row>
    <row r="4394" spans="1:18" ht="12.75">
      <c r="A4394" s="12"/>
      <c r="D4394" s="12"/>
      <c r="E4394" s="12"/>
      <c r="H4394" s="11" t="str">
        <f ca="1">IFERROR(__xludf.DUMMYFUNCTION("IFERROR(SUBSTITUTE(SUBSTITUTE(REGEXEXTRACT(A4394, ""[^-]+- [^-]+- [^-]+ - (.+?)\.jpg""), "".jpg"", """"), ""-"", "", ""), """")"),"")</f>
        <v/>
      </c>
      <c r="L4394" s="12"/>
      <c r="M4394" s="13"/>
      <c r="N4394" s="2"/>
      <c r="O4394" s="20"/>
      <c r="P4394" s="42"/>
      <c r="R4394" s="23"/>
    </row>
    <row r="4395" spans="1:18" ht="12.75">
      <c r="A4395" s="12"/>
      <c r="D4395" s="12"/>
      <c r="E4395" s="12"/>
      <c r="H4395" s="11" t="str">
        <f ca="1">IFERROR(__xludf.DUMMYFUNCTION("IFERROR(SUBSTITUTE(SUBSTITUTE(REGEXEXTRACT(A4395, ""[^-]+- [^-]+- [^-]+ - (.+?)\.jpg""), "".jpg"", """"), ""-"", "", ""), """")"),"")</f>
        <v/>
      </c>
      <c r="L4395" s="12"/>
      <c r="M4395" s="13"/>
      <c r="N4395" s="2"/>
      <c r="O4395" s="20"/>
      <c r="P4395" s="42"/>
      <c r="R4395" s="23"/>
    </row>
    <row r="4396" spans="1:18" ht="12.75">
      <c r="A4396" s="12"/>
      <c r="D4396" s="12"/>
      <c r="E4396" s="12"/>
      <c r="H4396" s="11" t="str">
        <f ca="1">IFERROR(__xludf.DUMMYFUNCTION("IFERROR(SUBSTITUTE(SUBSTITUTE(REGEXEXTRACT(A4396, ""[^-]+- [^-]+- [^-]+ - (.+?)\.jpg""), "".jpg"", """"), ""-"", "", ""), """")"),"")</f>
        <v/>
      </c>
      <c r="L4396" s="12"/>
      <c r="M4396" s="13"/>
      <c r="N4396" s="2"/>
      <c r="O4396" s="20"/>
      <c r="P4396" s="42"/>
      <c r="R4396" s="23"/>
    </row>
    <row r="4397" spans="1:18" ht="12.75">
      <c r="A4397" s="12"/>
      <c r="D4397" s="12"/>
      <c r="E4397" s="12"/>
      <c r="H4397" s="11" t="str">
        <f ca="1">IFERROR(__xludf.DUMMYFUNCTION("IFERROR(SUBSTITUTE(SUBSTITUTE(REGEXEXTRACT(A4397, ""[^-]+- [^-]+- [^-]+ - (.+?)\.jpg""), "".jpg"", """"), ""-"", "", ""), """")"),"")</f>
        <v/>
      </c>
      <c r="L4397" s="12"/>
      <c r="M4397" s="13"/>
      <c r="N4397" s="2"/>
      <c r="O4397" s="20"/>
      <c r="P4397" s="42"/>
      <c r="R4397" s="23"/>
    </row>
    <row r="4398" spans="1:18" ht="12.75">
      <c r="A4398" s="12"/>
      <c r="D4398" s="12"/>
      <c r="E4398" s="12"/>
      <c r="H4398" s="11" t="str">
        <f ca="1">IFERROR(__xludf.DUMMYFUNCTION("IFERROR(SUBSTITUTE(SUBSTITUTE(REGEXEXTRACT(A4398, ""[^-]+- [^-]+- [^-]+ - (.+?)\.jpg""), "".jpg"", """"), ""-"", "", ""), """")"),"")</f>
        <v/>
      </c>
      <c r="L4398" s="12"/>
      <c r="M4398" s="13"/>
      <c r="N4398" s="2"/>
      <c r="O4398" s="20"/>
      <c r="P4398" s="42"/>
      <c r="R4398" s="23"/>
    </row>
    <row r="4399" spans="1:18" ht="12.75">
      <c r="A4399" s="12"/>
      <c r="D4399" s="12"/>
      <c r="E4399" s="12"/>
      <c r="H4399" s="11" t="str">
        <f ca="1">IFERROR(__xludf.DUMMYFUNCTION("IFERROR(SUBSTITUTE(SUBSTITUTE(REGEXEXTRACT(A4399, ""[^-]+- [^-]+- [^-]+ - (.+?)\.jpg""), "".jpg"", """"), ""-"", "", ""), """")"),"")</f>
        <v/>
      </c>
      <c r="L4399" s="12"/>
      <c r="M4399" s="13"/>
      <c r="N4399" s="2"/>
      <c r="O4399" s="20"/>
      <c r="P4399" s="42"/>
      <c r="R4399" s="23"/>
    </row>
    <row r="4400" spans="1:18" ht="12.75">
      <c r="A4400" s="12"/>
      <c r="D4400" s="12"/>
      <c r="E4400" s="12"/>
      <c r="H4400" s="11" t="str">
        <f ca="1">IFERROR(__xludf.DUMMYFUNCTION("IFERROR(SUBSTITUTE(SUBSTITUTE(REGEXEXTRACT(A4400, ""[^-]+- [^-]+- [^-]+ - (.+?)\.jpg""), "".jpg"", """"), ""-"", "", ""), """")"),"")</f>
        <v/>
      </c>
      <c r="L4400" s="12"/>
      <c r="M4400" s="13"/>
      <c r="N4400" s="2"/>
      <c r="O4400" s="20"/>
      <c r="P4400" s="42"/>
      <c r="R4400" s="23"/>
    </row>
    <row r="4401" spans="1:18" ht="12.75">
      <c r="A4401" s="12"/>
      <c r="D4401" s="12"/>
      <c r="E4401" s="12"/>
      <c r="H4401" s="11" t="str">
        <f ca="1">IFERROR(__xludf.DUMMYFUNCTION("IFERROR(SUBSTITUTE(SUBSTITUTE(REGEXEXTRACT(A4401, ""[^-]+- [^-]+- [^-]+ - (.+?)\.jpg""), "".jpg"", """"), ""-"", "", ""), """")"),"")</f>
        <v/>
      </c>
      <c r="L4401" s="12"/>
      <c r="M4401" s="13"/>
      <c r="N4401" s="2"/>
      <c r="O4401" s="20"/>
      <c r="P4401" s="42"/>
      <c r="R4401" s="23"/>
    </row>
    <row r="4402" spans="1:18" ht="12.75">
      <c r="A4402" s="12"/>
      <c r="D4402" s="12"/>
      <c r="E4402" s="12"/>
      <c r="H4402" s="11" t="str">
        <f ca="1">IFERROR(__xludf.DUMMYFUNCTION("IFERROR(SUBSTITUTE(SUBSTITUTE(REGEXEXTRACT(A4402, ""[^-]+- [^-]+- [^-]+ - (.+?)\.jpg""), "".jpg"", """"), ""-"", "", ""), """")"),"")</f>
        <v/>
      </c>
      <c r="L4402" s="12"/>
      <c r="M4402" s="13"/>
      <c r="N4402" s="2"/>
      <c r="O4402" s="20"/>
      <c r="P4402" s="42"/>
      <c r="R4402" s="23"/>
    </row>
    <row r="4403" spans="1:18" ht="12.75">
      <c r="A4403" s="12"/>
      <c r="D4403" s="12"/>
      <c r="E4403" s="12"/>
      <c r="H4403" s="11" t="str">
        <f ca="1">IFERROR(__xludf.DUMMYFUNCTION("IFERROR(SUBSTITUTE(SUBSTITUTE(REGEXEXTRACT(A4403, ""[^-]+- [^-]+- [^-]+ - (.+?)\.jpg""), "".jpg"", """"), ""-"", "", ""), """")"),"")</f>
        <v/>
      </c>
      <c r="L4403" s="12"/>
      <c r="M4403" s="13"/>
      <c r="N4403" s="2"/>
      <c r="O4403" s="20"/>
      <c r="P4403" s="42"/>
      <c r="R4403" s="23"/>
    </row>
    <row r="4404" spans="1:18" ht="12.75">
      <c r="A4404" s="12"/>
      <c r="D4404" s="12"/>
      <c r="E4404" s="12"/>
      <c r="H4404" s="11" t="str">
        <f ca="1">IFERROR(__xludf.DUMMYFUNCTION("IFERROR(SUBSTITUTE(SUBSTITUTE(REGEXEXTRACT(A4404, ""[^-]+- [^-]+- [^-]+ - (.+?)\.jpg""), "".jpg"", """"), ""-"", "", ""), """")"),"")</f>
        <v/>
      </c>
      <c r="L4404" s="12"/>
      <c r="M4404" s="13"/>
      <c r="N4404" s="2"/>
      <c r="O4404" s="20"/>
      <c r="P4404" s="42"/>
      <c r="R4404" s="23"/>
    </row>
    <row r="4405" spans="1:18" ht="12.75">
      <c r="A4405" s="12"/>
      <c r="D4405" s="12"/>
      <c r="E4405" s="12"/>
      <c r="H4405" s="11" t="str">
        <f ca="1">IFERROR(__xludf.DUMMYFUNCTION("IFERROR(SUBSTITUTE(SUBSTITUTE(REGEXEXTRACT(A4405, ""[^-]+- [^-]+- [^-]+ - (.+?)\.jpg""), "".jpg"", """"), ""-"", "", ""), """")"),"")</f>
        <v/>
      </c>
      <c r="L4405" s="12"/>
      <c r="M4405" s="13"/>
      <c r="N4405" s="2"/>
      <c r="O4405" s="20"/>
      <c r="P4405" s="42"/>
      <c r="R4405" s="23"/>
    </row>
    <row r="4406" spans="1:18" ht="12.75">
      <c r="A4406" s="12"/>
      <c r="D4406" s="12"/>
      <c r="E4406" s="12"/>
      <c r="H4406" s="11" t="str">
        <f ca="1">IFERROR(__xludf.DUMMYFUNCTION("IFERROR(SUBSTITUTE(SUBSTITUTE(REGEXEXTRACT(A4406, ""[^-]+- [^-]+- [^-]+ - (.+?)\.jpg""), "".jpg"", """"), ""-"", "", ""), """")"),"")</f>
        <v/>
      </c>
      <c r="L4406" s="12"/>
      <c r="M4406" s="13"/>
      <c r="N4406" s="2"/>
      <c r="O4406" s="20"/>
      <c r="P4406" s="42"/>
      <c r="R4406" s="23"/>
    </row>
    <row r="4407" spans="1:18" ht="12.75">
      <c r="A4407" s="12"/>
      <c r="D4407" s="12"/>
      <c r="E4407" s="12"/>
      <c r="H4407" s="11" t="str">
        <f ca="1">IFERROR(__xludf.DUMMYFUNCTION("IFERROR(SUBSTITUTE(SUBSTITUTE(REGEXEXTRACT(A4407, ""[^-]+- [^-]+- [^-]+ - (.+?)\.jpg""), "".jpg"", """"), ""-"", "", ""), """")"),"")</f>
        <v/>
      </c>
      <c r="L4407" s="12"/>
      <c r="M4407" s="13"/>
      <c r="N4407" s="2"/>
      <c r="O4407" s="20"/>
      <c r="P4407" s="42"/>
      <c r="R4407" s="23"/>
    </row>
    <row r="4408" spans="1:18" ht="12.75">
      <c r="A4408" s="12"/>
      <c r="D4408" s="12"/>
      <c r="E4408" s="12"/>
      <c r="H4408" s="11" t="str">
        <f ca="1">IFERROR(__xludf.DUMMYFUNCTION("IFERROR(SUBSTITUTE(SUBSTITUTE(REGEXEXTRACT(A4408, ""[^-]+- [^-]+- [^-]+ - (.+?)\.jpg""), "".jpg"", """"), ""-"", "", ""), """")"),"")</f>
        <v/>
      </c>
      <c r="L4408" s="12"/>
      <c r="M4408" s="13"/>
      <c r="N4408" s="2"/>
      <c r="O4408" s="20"/>
      <c r="P4408" s="42"/>
      <c r="R4408" s="23"/>
    </row>
    <row r="4409" spans="1:18" ht="12.75">
      <c r="A4409" s="12"/>
      <c r="D4409" s="12"/>
      <c r="E4409" s="12"/>
      <c r="H4409" s="11" t="str">
        <f ca="1">IFERROR(__xludf.DUMMYFUNCTION("IFERROR(SUBSTITUTE(SUBSTITUTE(REGEXEXTRACT(A4409, ""[^-]+- [^-]+- [^-]+ - (.+?)\.jpg""), "".jpg"", """"), ""-"", "", ""), """")"),"")</f>
        <v/>
      </c>
      <c r="L4409" s="12"/>
      <c r="M4409" s="13"/>
      <c r="N4409" s="2"/>
      <c r="O4409" s="20"/>
      <c r="P4409" s="42"/>
      <c r="R4409" s="23"/>
    </row>
    <row r="4410" spans="1:18" ht="12.75">
      <c r="A4410" s="12"/>
      <c r="D4410" s="12"/>
      <c r="E4410" s="12"/>
      <c r="H4410" s="11" t="str">
        <f ca="1">IFERROR(__xludf.DUMMYFUNCTION("IFERROR(SUBSTITUTE(SUBSTITUTE(REGEXEXTRACT(A4410, ""[^-]+- [^-]+- [^-]+ - (.+?)\.jpg""), "".jpg"", """"), ""-"", "", ""), """")"),"")</f>
        <v/>
      </c>
      <c r="L4410" s="12"/>
      <c r="M4410" s="13"/>
      <c r="N4410" s="2"/>
      <c r="O4410" s="20"/>
      <c r="P4410" s="42"/>
      <c r="R4410" s="23"/>
    </row>
    <row r="4411" spans="1:18" ht="12.75">
      <c r="A4411" s="12"/>
      <c r="D4411" s="12"/>
      <c r="E4411" s="12"/>
      <c r="H4411" s="11" t="str">
        <f ca="1">IFERROR(__xludf.DUMMYFUNCTION("IFERROR(SUBSTITUTE(SUBSTITUTE(REGEXEXTRACT(A4411, ""[^-]+- [^-]+- [^-]+ - (.+?)\.jpg""), "".jpg"", """"), ""-"", "", ""), """")"),"")</f>
        <v/>
      </c>
      <c r="L4411" s="12"/>
      <c r="M4411" s="13"/>
      <c r="N4411" s="2"/>
      <c r="O4411" s="20"/>
      <c r="P4411" s="42"/>
      <c r="R4411" s="23"/>
    </row>
    <row r="4412" spans="1:18" ht="12.75">
      <c r="A4412" s="12"/>
      <c r="D4412" s="12"/>
      <c r="E4412" s="12"/>
      <c r="H4412" s="11" t="str">
        <f ca="1">IFERROR(__xludf.DUMMYFUNCTION("IFERROR(SUBSTITUTE(SUBSTITUTE(REGEXEXTRACT(A4412, ""[^-]+- [^-]+- [^-]+ - (.+?)\.jpg""), "".jpg"", """"), ""-"", "", ""), """")"),"")</f>
        <v/>
      </c>
      <c r="L4412" s="12"/>
      <c r="M4412" s="13"/>
      <c r="N4412" s="2"/>
      <c r="O4412" s="20"/>
      <c r="P4412" s="42"/>
      <c r="R4412" s="23"/>
    </row>
    <row r="4413" spans="1:18" ht="12.75">
      <c r="A4413" s="12"/>
      <c r="D4413" s="12"/>
      <c r="E4413" s="12"/>
      <c r="H4413" s="11" t="str">
        <f ca="1">IFERROR(__xludf.DUMMYFUNCTION("IFERROR(SUBSTITUTE(SUBSTITUTE(REGEXEXTRACT(A4413, ""[^-]+- [^-]+- [^-]+ - (.+?)\.jpg""), "".jpg"", """"), ""-"", "", ""), """")"),"")</f>
        <v/>
      </c>
      <c r="L4413" s="12"/>
      <c r="M4413" s="13"/>
      <c r="N4413" s="2"/>
      <c r="O4413" s="20"/>
      <c r="P4413" s="42"/>
      <c r="R4413" s="23"/>
    </row>
    <row r="4414" spans="1:18" ht="12.75">
      <c r="A4414" s="12"/>
      <c r="D4414" s="12"/>
      <c r="E4414" s="12"/>
      <c r="H4414" s="11" t="str">
        <f ca="1">IFERROR(__xludf.DUMMYFUNCTION("IFERROR(SUBSTITUTE(SUBSTITUTE(REGEXEXTRACT(A4414, ""[^-]+- [^-]+- [^-]+ - (.+?)\.jpg""), "".jpg"", """"), ""-"", "", ""), """")"),"")</f>
        <v/>
      </c>
      <c r="L4414" s="12"/>
      <c r="M4414" s="13"/>
      <c r="N4414" s="2"/>
      <c r="O4414" s="20"/>
      <c r="P4414" s="42"/>
      <c r="R4414" s="23"/>
    </row>
    <row r="4415" spans="1:18" ht="12.75">
      <c r="A4415" s="12"/>
      <c r="D4415" s="12"/>
      <c r="E4415" s="12"/>
      <c r="H4415" s="11" t="str">
        <f ca="1">IFERROR(__xludf.DUMMYFUNCTION("IFERROR(SUBSTITUTE(SUBSTITUTE(REGEXEXTRACT(A4415, ""[^-]+- [^-]+- [^-]+ - (.+?)\.jpg""), "".jpg"", """"), ""-"", "", ""), """")"),"")</f>
        <v/>
      </c>
      <c r="L4415" s="12"/>
      <c r="M4415" s="13"/>
      <c r="N4415" s="2"/>
      <c r="O4415" s="20"/>
      <c r="P4415" s="42"/>
      <c r="R4415" s="23"/>
    </row>
    <row r="4416" spans="1:18" ht="12.75">
      <c r="A4416" s="12"/>
      <c r="D4416" s="12"/>
      <c r="E4416" s="12"/>
      <c r="H4416" s="11" t="str">
        <f ca="1">IFERROR(__xludf.DUMMYFUNCTION("IFERROR(SUBSTITUTE(SUBSTITUTE(REGEXEXTRACT(A4416, ""[^-]+- [^-]+- [^-]+ - (.+?)\.jpg""), "".jpg"", """"), ""-"", "", ""), """")"),"")</f>
        <v/>
      </c>
      <c r="L4416" s="12"/>
      <c r="M4416" s="13"/>
      <c r="N4416" s="2"/>
      <c r="O4416" s="20"/>
      <c r="P4416" s="42"/>
      <c r="R4416" s="23"/>
    </row>
    <row r="4417" spans="1:18" ht="12.75">
      <c r="A4417" s="12"/>
      <c r="D4417" s="12"/>
      <c r="E4417" s="12"/>
      <c r="H4417" s="11" t="str">
        <f ca="1">IFERROR(__xludf.DUMMYFUNCTION("IFERROR(SUBSTITUTE(SUBSTITUTE(REGEXEXTRACT(A4417, ""[^-]+- [^-]+- [^-]+ - (.+?)\.jpg""), "".jpg"", """"), ""-"", "", ""), """")"),"")</f>
        <v/>
      </c>
      <c r="L4417" s="12"/>
      <c r="M4417" s="13"/>
      <c r="N4417" s="2"/>
      <c r="O4417" s="20"/>
      <c r="P4417" s="42"/>
      <c r="R4417" s="23"/>
    </row>
    <row r="4418" spans="1:18" ht="12.75">
      <c r="A4418" s="12"/>
      <c r="D4418" s="12"/>
      <c r="E4418" s="12"/>
      <c r="H4418" s="11" t="str">
        <f ca="1">IFERROR(__xludf.DUMMYFUNCTION("IFERROR(SUBSTITUTE(SUBSTITUTE(REGEXEXTRACT(A4418, ""[^-]+- [^-]+- [^-]+ - (.+?)\.jpg""), "".jpg"", """"), ""-"", "", ""), """")"),"")</f>
        <v/>
      </c>
      <c r="L4418" s="12"/>
      <c r="M4418" s="13"/>
      <c r="N4418" s="2"/>
      <c r="O4418" s="20"/>
      <c r="P4418" s="42"/>
      <c r="R4418" s="23"/>
    </row>
    <row r="4419" spans="1:18" ht="12.75">
      <c r="A4419" s="12"/>
      <c r="D4419" s="12"/>
      <c r="E4419" s="12"/>
      <c r="H4419" s="11" t="str">
        <f ca="1">IFERROR(__xludf.DUMMYFUNCTION("IFERROR(SUBSTITUTE(SUBSTITUTE(REGEXEXTRACT(A4419, ""[^-]+- [^-]+- [^-]+ - (.+?)\.jpg""), "".jpg"", """"), ""-"", "", ""), """")"),"")</f>
        <v/>
      </c>
      <c r="L4419" s="12"/>
      <c r="M4419" s="13"/>
      <c r="N4419" s="2"/>
      <c r="O4419" s="20"/>
      <c r="P4419" s="42"/>
      <c r="R4419" s="23"/>
    </row>
    <row r="4420" spans="1:18" ht="12.75">
      <c r="A4420" s="12"/>
      <c r="D4420" s="12"/>
      <c r="E4420" s="12"/>
      <c r="H4420" s="11" t="str">
        <f ca="1">IFERROR(__xludf.DUMMYFUNCTION("IFERROR(SUBSTITUTE(SUBSTITUTE(REGEXEXTRACT(A4420, ""[^-]+- [^-]+- [^-]+ - (.+?)\.jpg""), "".jpg"", """"), ""-"", "", ""), """")"),"")</f>
        <v/>
      </c>
      <c r="L4420" s="12"/>
      <c r="M4420" s="13"/>
      <c r="N4420" s="2"/>
      <c r="O4420" s="20"/>
      <c r="P4420" s="42"/>
      <c r="R4420" s="23"/>
    </row>
    <row r="4421" spans="1:18" ht="12.75">
      <c r="A4421" s="12"/>
      <c r="D4421" s="12"/>
      <c r="E4421" s="12"/>
      <c r="H4421" s="11" t="str">
        <f ca="1">IFERROR(__xludf.DUMMYFUNCTION("IFERROR(SUBSTITUTE(SUBSTITUTE(REGEXEXTRACT(A4421, ""[^-]+- [^-]+- [^-]+ - (.+?)\.jpg""), "".jpg"", """"), ""-"", "", ""), """")"),"")</f>
        <v/>
      </c>
      <c r="L4421" s="12"/>
      <c r="M4421" s="13"/>
      <c r="N4421" s="2"/>
      <c r="O4421" s="20"/>
      <c r="P4421" s="42"/>
      <c r="R4421" s="23"/>
    </row>
    <row r="4422" spans="1:18" ht="12.75">
      <c r="A4422" s="12"/>
      <c r="D4422" s="12"/>
      <c r="E4422" s="12"/>
      <c r="H4422" s="11" t="str">
        <f ca="1">IFERROR(__xludf.DUMMYFUNCTION("IFERROR(SUBSTITUTE(SUBSTITUTE(REGEXEXTRACT(A4422, ""[^-]+- [^-]+- [^-]+ - (.+?)\.jpg""), "".jpg"", """"), ""-"", "", ""), """")"),"")</f>
        <v/>
      </c>
      <c r="L4422" s="12"/>
      <c r="M4422" s="13"/>
      <c r="N4422" s="2"/>
      <c r="O4422" s="20"/>
      <c r="P4422" s="42"/>
      <c r="R4422" s="23"/>
    </row>
    <row r="4423" spans="1:18" ht="12.75">
      <c r="A4423" s="12"/>
      <c r="D4423" s="12"/>
      <c r="E4423" s="12"/>
      <c r="H4423" s="11" t="str">
        <f ca="1">IFERROR(__xludf.DUMMYFUNCTION("IFERROR(SUBSTITUTE(SUBSTITUTE(REGEXEXTRACT(A4423, ""[^-]+- [^-]+- [^-]+ - (.+?)\.jpg""), "".jpg"", """"), ""-"", "", ""), """")"),"")</f>
        <v/>
      </c>
      <c r="L4423" s="12"/>
      <c r="M4423" s="13"/>
      <c r="N4423" s="2"/>
      <c r="O4423" s="20"/>
      <c r="P4423" s="42"/>
      <c r="R4423" s="23"/>
    </row>
    <row r="4424" spans="1:18" ht="12.75">
      <c r="A4424" s="12"/>
      <c r="D4424" s="12"/>
      <c r="E4424" s="12"/>
      <c r="H4424" s="11" t="str">
        <f ca="1">IFERROR(__xludf.DUMMYFUNCTION("IFERROR(SUBSTITUTE(SUBSTITUTE(REGEXEXTRACT(A4424, ""[^-]+- [^-]+- [^-]+ - (.+?)\.jpg""), "".jpg"", """"), ""-"", "", ""), """")"),"")</f>
        <v/>
      </c>
      <c r="L4424" s="12"/>
      <c r="M4424" s="13"/>
      <c r="N4424" s="2"/>
      <c r="O4424" s="20"/>
      <c r="P4424" s="42"/>
      <c r="R4424" s="23"/>
    </row>
    <row r="4425" spans="1:18" ht="12.75">
      <c r="A4425" s="12"/>
      <c r="D4425" s="12"/>
      <c r="E4425" s="12"/>
      <c r="H4425" s="11" t="str">
        <f ca="1">IFERROR(__xludf.DUMMYFUNCTION("IFERROR(SUBSTITUTE(SUBSTITUTE(REGEXEXTRACT(A4425, ""[^-]+- [^-]+- [^-]+ - (.+?)\.jpg""), "".jpg"", """"), ""-"", "", ""), """")"),"")</f>
        <v/>
      </c>
      <c r="L4425" s="12"/>
      <c r="M4425" s="13"/>
      <c r="N4425" s="2"/>
      <c r="O4425" s="20"/>
      <c r="P4425" s="42"/>
      <c r="R4425" s="23"/>
    </row>
    <row r="4426" spans="1:18" ht="12.75">
      <c r="A4426" s="12"/>
      <c r="D4426" s="12"/>
      <c r="E4426" s="12"/>
      <c r="H4426" s="11" t="str">
        <f ca="1">IFERROR(__xludf.DUMMYFUNCTION("IFERROR(SUBSTITUTE(SUBSTITUTE(REGEXEXTRACT(A4426, ""[^-]+- [^-]+- [^-]+ - (.+?)\.jpg""), "".jpg"", """"), ""-"", "", ""), """")"),"")</f>
        <v/>
      </c>
      <c r="L4426" s="12"/>
      <c r="M4426" s="13"/>
      <c r="N4426" s="2"/>
      <c r="O4426" s="20"/>
      <c r="P4426" s="42"/>
      <c r="R4426" s="23"/>
    </row>
    <row r="4427" spans="1:18" ht="12.75">
      <c r="A4427" s="12"/>
      <c r="D4427" s="12"/>
      <c r="E4427" s="12"/>
      <c r="H4427" s="11" t="str">
        <f ca="1">IFERROR(__xludf.DUMMYFUNCTION("IFERROR(SUBSTITUTE(SUBSTITUTE(REGEXEXTRACT(A4427, ""[^-]+- [^-]+- [^-]+ - (.+?)\.jpg""), "".jpg"", """"), ""-"", "", ""), """")"),"")</f>
        <v/>
      </c>
      <c r="L4427" s="12"/>
      <c r="M4427" s="13"/>
      <c r="N4427" s="2"/>
      <c r="O4427" s="20"/>
      <c r="P4427" s="42"/>
      <c r="R4427" s="23"/>
    </row>
    <row r="4428" spans="1:18" ht="12.75">
      <c r="A4428" s="12"/>
      <c r="D4428" s="12"/>
      <c r="E4428" s="12"/>
      <c r="H4428" s="11" t="str">
        <f ca="1">IFERROR(__xludf.DUMMYFUNCTION("IFERROR(SUBSTITUTE(SUBSTITUTE(REGEXEXTRACT(A4428, ""[^-]+- [^-]+- [^-]+ - (.+?)\.jpg""), "".jpg"", """"), ""-"", "", ""), """")"),"")</f>
        <v/>
      </c>
      <c r="L4428" s="12"/>
      <c r="M4428" s="13"/>
      <c r="N4428" s="2"/>
      <c r="O4428" s="20"/>
      <c r="P4428" s="42"/>
      <c r="R4428" s="23"/>
    </row>
    <row r="4429" spans="1:18" ht="12.75">
      <c r="A4429" s="12"/>
      <c r="D4429" s="12"/>
      <c r="E4429" s="12"/>
      <c r="H4429" s="11" t="str">
        <f ca="1">IFERROR(__xludf.DUMMYFUNCTION("IFERROR(SUBSTITUTE(SUBSTITUTE(REGEXEXTRACT(A4429, ""[^-]+- [^-]+- [^-]+ - (.+?)\.jpg""), "".jpg"", """"), ""-"", "", ""), """")"),"")</f>
        <v/>
      </c>
      <c r="L4429" s="12"/>
      <c r="M4429" s="13"/>
      <c r="N4429" s="2"/>
      <c r="O4429" s="20"/>
      <c r="P4429" s="42"/>
      <c r="R4429" s="23"/>
    </row>
    <row r="4430" spans="1:18" ht="12.75">
      <c r="A4430" s="12"/>
      <c r="D4430" s="12"/>
      <c r="E4430" s="12"/>
      <c r="H4430" s="11" t="str">
        <f ca="1">IFERROR(__xludf.DUMMYFUNCTION("IFERROR(SUBSTITUTE(SUBSTITUTE(REGEXEXTRACT(A4430, ""[^-]+- [^-]+- [^-]+ - (.+?)\.jpg""), "".jpg"", """"), ""-"", "", ""), """")"),"")</f>
        <v/>
      </c>
      <c r="L4430" s="12"/>
      <c r="M4430" s="13"/>
      <c r="N4430" s="2"/>
      <c r="O4430" s="20"/>
      <c r="P4430" s="42"/>
      <c r="R4430" s="23"/>
    </row>
    <row r="4431" spans="1:18" ht="12.75">
      <c r="A4431" s="12"/>
      <c r="D4431" s="12"/>
      <c r="E4431" s="12"/>
      <c r="H4431" s="11" t="str">
        <f ca="1">IFERROR(__xludf.DUMMYFUNCTION("IFERROR(SUBSTITUTE(SUBSTITUTE(REGEXEXTRACT(A4431, ""[^-]+- [^-]+- [^-]+ - (.+?)\.jpg""), "".jpg"", """"), ""-"", "", ""), """")"),"")</f>
        <v/>
      </c>
      <c r="L4431" s="12"/>
      <c r="M4431" s="13"/>
      <c r="N4431" s="2"/>
      <c r="O4431" s="20"/>
      <c r="P4431" s="42"/>
      <c r="R4431" s="23"/>
    </row>
    <row r="4432" spans="1:18" ht="12.75">
      <c r="A4432" s="12"/>
      <c r="D4432" s="12"/>
      <c r="E4432" s="12"/>
      <c r="H4432" s="11" t="str">
        <f ca="1">IFERROR(__xludf.DUMMYFUNCTION("IFERROR(SUBSTITUTE(SUBSTITUTE(REGEXEXTRACT(A4432, ""[^-]+- [^-]+- [^-]+ - (.+?)\.jpg""), "".jpg"", """"), ""-"", "", ""), """")"),"")</f>
        <v/>
      </c>
      <c r="L4432" s="12"/>
      <c r="M4432" s="13"/>
      <c r="N4432" s="2"/>
      <c r="O4432" s="20"/>
      <c r="P4432" s="42"/>
      <c r="R4432" s="23"/>
    </row>
    <row r="4433" spans="1:18" ht="12.75">
      <c r="A4433" s="12"/>
      <c r="D4433" s="12"/>
      <c r="E4433" s="12"/>
      <c r="H4433" s="11" t="str">
        <f ca="1">IFERROR(__xludf.DUMMYFUNCTION("IFERROR(SUBSTITUTE(SUBSTITUTE(REGEXEXTRACT(A4433, ""[^-]+- [^-]+- [^-]+ - (.+?)\.jpg""), "".jpg"", """"), ""-"", "", ""), """")"),"")</f>
        <v/>
      </c>
      <c r="L4433" s="12"/>
      <c r="M4433" s="13"/>
      <c r="N4433" s="2"/>
      <c r="O4433" s="20"/>
      <c r="P4433" s="42"/>
      <c r="R4433" s="23"/>
    </row>
    <row r="4434" spans="1:18" ht="12.75">
      <c r="A4434" s="12"/>
      <c r="D4434" s="12"/>
      <c r="E4434" s="12"/>
      <c r="H4434" s="11" t="str">
        <f ca="1">IFERROR(__xludf.DUMMYFUNCTION("IFERROR(SUBSTITUTE(SUBSTITUTE(REGEXEXTRACT(A4434, ""[^-]+- [^-]+- [^-]+ - (.+?)\.jpg""), "".jpg"", """"), ""-"", "", ""), """")"),"")</f>
        <v/>
      </c>
      <c r="L4434" s="12"/>
      <c r="M4434" s="13"/>
      <c r="N4434" s="2"/>
      <c r="O4434" s="20"/>
      <c r="P4434" s="42"/>
      <c r="R4434" s="23"/>
    </row>
    <row r="4435" spans="1:18" ht="12.75">
      <c r="A4435" s="12"/>
      <c r="D4435" s="12"/>
      <c r="E4435" s="12"/>
      <c r="H4435" s="11" t="str">
        <f ca="1">IFERROR(__xludf.DUMMYFUNCTION("IFERROR(SUBSTITUTE(SUBSTITUTE(REGEXEXTRACT(A4435, ""[^-]+- [^-]+- [^-]+ - (.+?)\.jpg""), "".jpg"", """"), ""-"", "", ""), """")"),"")</f>
        <v/>
      </c>
      <c r="L4435" s="12"/>
      <c r="M4435" s="13"/>
      <c r="N4435" s="2"/>
      <c r="O4435" s="20"/>
      <c r="P4435" s="42"/>
      <c r="R4435" s="23"/>
    </row>
    <row r="4436" spans="1:18" ht="12.75">
      <c r="A4436" s="12"/>
      <c r="D4436" s="12"/>
      <c r="E4436" s="12"/>
      <c r="H4436" s="11" t="str">
        <f ca="1">IFERROR(__xludf.DUMMYFUNCTION("IFERROR(SUBSTITUTE(SUBSTITUTE(REGEXEXTRACT(A4436, ""[^-]+- [^-]+- [^-]+ - (.+?)\.jpg""), "".jpg"", """"), ""-"", "", ""), """")"),"")</f>
        <v/>
      </c>
      <c r="L4436" s="12"/>
      <c r="M4436" s="13"/>
      <c r="N4436" s="2"/>
      <c r="O4436" s="20"/>
      <c r="P4436" s="42"/>
      <c r="R4436" s="23"/>
    </row>
    <row r="4437" spans="1:18" ht="12.75">
      <c r="A4437" s="12"/>
      <c r="D4437" s="12"/>
      <c r="E4437" s="12"/>
      <c r="H4437" s="11" t="str">
        <f ca="1">IFERROR(__xludf.DUMMYFUNCTION("IFERROR(SUBSTITUTE(SUBSTITUTE(REGEXEXTRACT(A4437, ""[^-]+- [^-]+- [^-]+ - (.+?)\.jpg""), "".jpg"", """"), ""-"", "", ""), """")"),"")</f>
        <v/>
      </c>
      <c r="L4437" s="12"/>
      <c r="M4437" s="13"/>
      <c r="N4437" s="2"/>
      <c r="O4437" s="20"/>
      <c r="P4437" s="42"/>
      <c r="R4437" s="23"/>
    </row>
    <row r="4438" spans="1:18" ht="12.75">
      <c r="A4438" s="12"/>
      <c r="D4438" s="12"/>
      <c r="E4438" s="12"/>
      <c r="H4438" s="11" t="str">
        <f ca="1">IFERROR(__xludf.DUMMYFUNCTION("IFERROR(SUBSTITUTE(SUBSTITUTE(REGEXEXTRACT(A4438, ""[^-]+- [^-]+- [^-]+ - (.+?)\.jpg""), "".jpg"", """"), ""-"", "", ""), """")"),"")</f>
        <v/>
      </c>
      <c r="L4438" s="12"/>
      <c r="M4438" s="13"/>
      <c r="N4438" s="2"/>
      <c r="O4438" s="20"/>
      <c r="P4438" s="42"/>
      <c r="R4438" s="23"/>
    </row>
    <row r="4439" spans="1:18" ht="12.75">
      <c r="A4439" s="12"/>
      <c r="D4439" s="12"/>
      <c r="E4439" s="12"/>
      <c r="H4439" s="11" t="str">
        <f ca="1">IFERROR(__xludf.DUMMYFUNCTION("IFERROR(SUBSTITUTE(SUBSTITUTE(REGEXEXTRACT(A4439, ""[^-]+- [^-]+- [^-]+ - (.+?)\.jpg""), "".jpg"", """"), ""-"", "", ""), """")"),"")</f>
        <v/>
      </c>
      <c r="L4439" s="12"/>
      <c r="M4439" s="13"/>
      <c r="N4439" s="2"/>
      <c r="O4439" s="20"/>
      <c r="P4439" s="42"/>
      <c r="R4439" s="23"/>
    </row>
    <row r="4440" spans="1:18" ht="12.75">
      <c r="A4440" s="12"/>
      <c r="D4440" s="12"/>
      <c r="E4440" s="12"/>
      <c r="H4440" s="11" t="str">
        <f ca="1">IFERROR(__xludf.DUMMYFUNCTION("IFERROR(SUBSTITUTE(SUBSTITUTE(REGEXEXTRACT(A4440, ""[^-]+- [^-]+- [^-]+ - (.+?)\.jpg""), "".jpg"", """"), ""-"", "", ""), """")"),"")</f>
        <v/>
      </c>
      <c r="L4440" s="12"/>
      <c r="M4440" s="13"/>
      <c r="N4440" s="2"/>
      <c r="O4440" s="20"/>
      <c r="P4440" s="42"/>
      <c r="R4440" s="23"/>
    </row>
    <row r="4441" spans="1:18" ht="12.75">
      <c r="A4441" s="12"/>
      <c r="D4441" s="12"/>
      <c r="E4441" s="12"/>
      <c r="H4441" s="11" t="str">
        <f ca="1">IFERROR(__xludf.DUMMYFUNCTION("IFERROR(SUBSTITUTE(SUBSTITUTE(REGEXEXTRACT(A4441, ""[^-]+- [^-]+- [^-]+ - (.+?)\.jpg""), "".jpg"", """"), ""-"", "", ""), """")"),"")</f>
        <v/>
      </c>
      <c r="L4441" s="12"/>
      <c r="M4441" s="13"/>
      <c r="N4441" s="2"/>
      <c r="O4441" s="20"/>
      <c r="P4441" s="42"/>
      <c r="R4441" s="23"/>
    </row>
    <row r="4442" spans="1:18" ht="12.75">
      <c r="A4442" s="12"/>
      <c r="D4442" s="12"/>
      <c r="E4442" s="12"/>
      <c r="H4442" s="11" t="str">
        <f ca="1">IFERROR(__xludf.DUMMYFUNCTION("IFERROR(SUBSTITUTE(SUBSTITUTE(REGEXEXTRACT(A4442, ""[^-]+- [^-]+- [^-]+ - (.+?)\.jpg""), "".jpg"", """"), ""-"", "", ""), """")"),"")</f>
        <v/>
      </c>
      <c r="L4442" s="12"/>
      <c r="M4442" s="13"/>
      <c r="N4442" s="2"/>
      <c r="O4442" s="20"/>
      <c r="P4442" s="42"/>
      <c r="R4442" s="23"/>
    </row>
    <row r="4443" spans="1:18" ht="12.75">
      <c r="A4443" s="12"/>
      <c r="D4443" s="12"/>
      <c r="E4443" s="12"/>
      <c r="H4443" s="11" t="str">
        <f ca="1">IFERROR(__xludf.DUMMYFUNCTION("IFERROR(SUBSTITUTE(SUBSTITUTE(REGEXEXTRACT(A4443, ""[^-]+- [^-]+- [^-]+ - (.+?)\.jpg""), "".jpg"", """"), ""-"", "", ""), """")"),"")</f>
        <v/>
      </c>
      <c r="L4443" s="12"/>
      <c r="M4443" s="13"/>
      <c r="N4443" s="2"/>
      <c r="O4443" s="20"/>
      <c r="P4443" s="42"/>
      <c r="R4443" s="23"/>
    </row>
    <row r="4444" spans="1:18" ht="12.75">
      <c r="A4444" s="12"/>
      <c r="D4444" s="12"/>
      <c r="E4444" s="12"/>
      <c r="H4444" s="11" t="str">
        <f ca="1">IFERROR(__xludf.DUMMYFUNCTION("IFERROR(SUBSTITUTE(SUBSTITUTE(REGEXEXTRACT(A4444, ""[^-]+- [^-]+- [^-]+ - (.+?)\.jpg""), "".jpg"", """"), ""-"", "", ""), """")"),"")</f>
        <v/>
      </c>
      <c r="L4444" s="12"/>
      <c r="M4444" s="13"/>
      <c r="N4444" s="2"/>
      <c r="O4444" s="20"/>
      <c r="P4444" s="42"/>
      <c r="R4444" s="23"/>
    </row>
    <row r="4445" spans="1:18" ht="12.75">
      <c r="A4445" s="12"/>
      <c r="D4445" s="12"/>
      <c r="E4445" s="12"/>
      <c r="H4445" s="11" t="str">
        <f ca="1">IFERROR(__xludf.DUMMYFUNCTION("IFERROR(SUBSTITUTE(SUBSTITUTE(REGEXEXTRACT(A4445, ""[^-]+- [^-]+- [^-]+ - (.+?)\.jpg""), "".jpg"", """"), ""-"", "", ""), """")"),"")</f>
        <v/>
      </c>
      <c r="L4445" s="12"/>
      <c r="M4445" s="13"/>
      <c r="N4445" s="2"/>
      <c r="O4445" s="20"/>
      <c r="P4445" s="42"/>
      <c r="R4445" s="23"/>
    </row>
    <row r="4446" spans="1:18" ht="12.75">
      <c r="A4446" s="12"/>
      <c r="D4446" s="12"/>
      <c r="E4446" s="12"/>
      <c r="H4446" s="11" t="str">
        <f ca="1">IFERROR(__xludf.DUMMYFUNCTION("IFERROR(SUBSTITUTE(SUBSTITUTE(REGEXEXTRACT(A4446, ""[^-]+- [^-]+- [^-]+ - (.+?)\.jpg""), "".jpg"", """"), ""-"", "", ""), """")"),"")</f>
        <v/>
      </c>
      <c r="L4446" s="12"/>
      <c r="M4446" s="13"/>
      <c r="N4446" s="2"/>
      <c r="O4446" s="20"/>
      <c r="P4446" s="42"/>
      <c r="R4446" s="23"/>
    </row>
    <row r="4447" spans="1:18" ht="12.75">
      <c r="A4447" s="12"/>
      <c r="D4447" s="12"/>
      <c r="E4447" s="12"/>
      <c r="H4447" s="11" t="str">
        <f ca="1">IFERROR(__xludf.DUMMYFUNCTION("IFERROR(SUBSTITUTE(SUBSTITUTE(REGEXEXTRACT(A4447, ""[^-]+- [^-]+- [^-]+ - (.+?)\.jpg""), "".jpg"", """"), ""-"", "", ""), """")"),"")</f>
        <v/>
      </c>
      <c r="L4447" s="12"/>
      <c r="M4447" s="13"/>
      <c r="N4447" s="2"/>
      <c r="O4447" s="20"/>
      <c r="P4447" s="42"/>
      <c r="R4447" s="23"/>
    </row>
    <row r="4448" spans="1:18" ht="12.75">
      <c r="A4448" s="12"/>
      <c r="D4448" s="12"/>
      <c r="E4448" s="12"/>
      <c r="H4448" s="11" t="str">
        <f ca="1">IFERROR(__xludf.DUMMYFUNCTION("IFERROR(SUBSTITUTE(SUBSTITUTE(REGEXEXTRACT(A4448, ""[^-]+- [^-]+- [^-]+ - (.+?)\.jpg""), "".jpg"", """"), ""-"", "", ""), """")"),"")</f>
        <v/>
      </c>
      <c r="L4448" s="12"/>
      <c r="M4448" s="13"/>
      <c r="N4448" s="2"/>
      <c r="O4448" s="20"/>
      <c r="P4448" s="42"/>
      <c r="R4448" s="23"/>
    </row>
    <row r="4449" spans="1:18" ht="12.75">
      <c r="A4449" s="12"/>
      <c r="D4449" s="12"/>
      <c r="E4449" s="12"/>
      <c r="H4449" s="11" t="str">
        <f ca="1">IFERROR(__xludf.DUMMYFUNCTION("IFERROR(SUBSTITUTE(SUBSTITUTE(REGEXEXTRACT(A4449, ""[^-]+- [^-]+- [^-]+ - (.+?)\.jpg""), "".jpg"", """"), ""-"", "", ""), """")"),"")</f>
        <v/>
      </c>
      <c r="L4449" s="12"/>
      <c r="M4449" s="13"/>
      <c r="N4449" s="2"/>
      <c r="O4449" s="20"/>
      <c r="P4449" s="42"/>
      <c r="R4449" s="23"/>
    </row>
    <row r="4450" spans="1:18" ht="12.75">
      <c r="A4450" s="12"/>
      <c r="D4450" s="12"/>
      <c r="E4450" s="12"/>
      <c r="H4450" s="11" t="str">
        <f ca="1">IFERROR(__xludf.DUMMYFUNCTION("IFERROR(SUBSTITUTE(SUBSTITUTE(REGEXEXTRACT(A4450, ""[^-]+- [^-]+- [^-]+ - (.+?)\.jpg""), "".jpg"", """"), ""-"", "", ""), """")"),"")</f>
        <v/>
      </c>
      <c r="L4450" s="12"/>
      <c r="M4450" s="13"/>
      <c r="N4450" s="2"/>
      <c r="O4450" s="20"/>
      <c r="P4450" s="42"/>
      <c r="R4450" s="23"/>
    </row>
    <row r="4451" spans="1:18" ht="12.75">
      <c r="A4451" s="12"/>
      <c r="D4451" s="12"/>
      <c r="E4451" s="12"/>
      <c r="H4451" s="11" t="str">
        <f ca="1">IFERROR(__xludf.DUMMYFUNCTION("IFERROR(SUBSTITUTE(SUBSTITUTE(REGEXEXTRACT(A4451, ""[^-]+- [^-]+- [^-]+ - (.+?)\.jpg""), "".jpg"", """"), ""-"", "", ""), """")"),"")</f>
        <v/>
      </c>
      <c r="L4451" s="12"/>
      <c r="M4451" s="13"/>
      <c r="N4451" s="2"/>
      <c r="O4451" s="20"/>
      <c r="P4451" s="42"/>
      <c r="R4451" s="23"/>
    </row>
    <row r="4452" spans="1:18" ht="12.75">
      <c r="A4452" s="12"/>
      <c r="D4452" s="12"/>
      <c r="E4452" s="12"/>
      <c r="H4452" s="11" t="str">
        <f ca="1">IFERROR(__xludf.DUMMYFUNCTION("IFERROR(SUBSTITUTE(SUBSTITUTE(REGEXEXTRACT(A4452, ""[^-]+- [^-]+- [^-]+ - (.+?)\.jpg""), "".jpg"", """"), ""-"", "", ""), """")"),"")</f>
        <v/>
      </c>
      <c r="L4452" s="12"/>
      <c r="M4452" s="13"/>
      <c r="N4452" s="2"/>
      <c r="O4452" s="20"/>
      <c r="P4452" s="42"/>
      <c r="R4452" s="23"/>
    </row>
    <row r="4453" spans="1:18" ht="12.75">
      <c r="A4453" s="12"/>
      <c r="D4453" s="12"/>
      <c r="E4453" s="12"/>
      <c r="H4453" s="11" t="str">
        <f ca="1">IFERROR(__xludf.DUMMYFUNCTION("IFERROR(SUBSTITUTE(SUBSTITUTE(REGEXEXTRACT(A4453, ""[^-]+- [^-]+- [^-]+ - (.+?)\.jpg""), "".jpg"", """"), ""-"", "", ""), """")"),"")</f>
        <v/>
      </c>
      <c r="L4453" s="12"/>
      <c r="M4453" s="13"/>
      <c r="N4453" s="2"/>
      <c r="O4453" s="20"/>
      <c r="P4453" s="42"/>
      <c r="R4453" s="23"/>
    </row>
    <row r="4454" spans="1:18" ht="12.75">
      <c r="A4454" s="12"/>
      <c r="D4454" s="12"/>
      <c r="E4454" s="12"/>
      <c r="H4454" s="11" t="str">
        <f ca="1">IFERROR(__xludf.DUMMYFUNCTION("IFERROR(SUBSTITUTE(SUBSTITUTE(REGEXEXTRACT(A4454, ""[^-]+- [^-]+- [^-]+ - (.+?)\.jpg""), "".jpg"", """"), ""-"", "", ""), """")"),"")</f>
        <v/>
      </c>
      <c r="L4454" s="12"/>
      <c r="M4454" s="13"/>
      <c r="N4454" s="2"/>
      <c r="O4454" s="20"/>
      <c r="P4454" s="42"/>
      <c r="R4454" s="23"/>
    </row>
    <row r="4455" spans="1:18" ht="12.75">
      <c r="A4455" s="12"/>
      <c r="D4455" s="12"/>
      <c r="E4455" s="12"/>
      <c r="H4455" s="11" t="str">
        <f ca="1">IFERROR(__xludf.DUMMYFUNCTION("IFERROR(SUBSTITUTE(SUBSTITUTE(REGEXEXTRACT(A4455, ""[^-]+- [^-]+- [^-]+ - (.+?)\.jpg""), "".jpg"", """"), ""-"", "", ""), """")"),"")</f>
        <v/>
      </c>
      <c r="L4455" s="12"/>
      <c r="M4455" s="13"/>
      <c r="N4455" s="2"/>
      <c r="O4455" s="20"/>
      <c r="P4455" s="42"/>
      <c r="R4455" s="23"/>
    </row>
    <row r="4456" spans="1:18" ht="12.75">
      <c r="A4456" s="12"/>
      <c r="D4456" s="12"/>
      <c r="E4456" s="12"/>
      <c r="H4456" s="11" t="str">
        <f ca="1">IFERROR(__xludf.DUMMYFUNCTION("IFERROR(SUBSTITUTE(SUBSTITUTE(REGEXEXTRACT(A4456, ""[^-]+- [^-]+- [^-]+ - (.+?)\.jpg""), "".jpg"", """"), ""-"", "", ""), """")"),"")</f>
        <v/>
      </c>
      <c r="L4456" s="12"/>
      <c r="M4456" s="13"/>
      <c r="N4456" s="2"/>
      <c r="O4456" s="20"/>
      <c r="P4456" s="42"/>
      <c r="R4456" s="23"/>
    </row>
    <row r="4457" spans="1:18" ht="12.75">
      <c r="A4457" s="12"/>
      <c r="D4457" s="12"/>
      <c r="E4457" s="12"/>
      <c r="H4457" s="11" t="str">
        <f ca="1">IFERROR(__xludf.DUMMYFUNCTION("IFERROR(SUBSTITUTE(SUBSTITUTE(REGEXEXTRACT(A4457, ""[^-]+- [^-]+- [^-]+ - (.+?)\.jpg""), "".jpg"", """"), ""-"", "", ""), """")"),"")</f>
        <v/>
      </c>
      <c r="L4457" s="12"/>
      <c r="M4457" s="13"/>
      <c r="N4457" s="2"/>
      <c r="O4457" s="20"/>
      <c r="P4457" s="42"/>
      <c r="R4457" s="23"/>
    </row>
    <row r="4458" spans="1:18" ht="12.75">
      <c r="A4458" s="12"/>
      <c r="D4458" s="12"/>
      <c r="E4458" s="12"/>
      <c r="H4458" s="11" t="str">
        <f ca="1">IFERROR(__xludf.DUMMYFUNCTION("IFERROR(SUBSTITUTE(SUBSTITUTE(REGEXEXTRACT(A4458, ""[^-]+- [^-]+- [^-]+ - (.+?)\.jpg""), "".jpg"", """"), ""-"", "", ""), """")"),"")</f>
        <v/>
      </c>
      <c r="L4458" s="12"/>
      <c r="M4458" s="13"/>
      <c r="N4458" s="2"/>
      <c r="O4458" s="20"/>
      <c r="P4458" s="42"/>
      <c r="R4458" s="23"/>
    </row>
    <row r="4459" spans="1:18" ht="12.75">
      <c r="A4459" s="12"/>
      <c r="D4459" s="12"/>
      <c r="E4459" s="12"/>
      <c r="H4459" s="11" t="str">
        <f ca="1">IFERROR(__xludf.DUMMYFUNCTION("IFERROR(SUBSTITUTE(SUBSTITUTE(REGEXEXTRACT(A4459, ""[^-]+- [^-]+- [^-]+ - (.+?)\.jpg""), "".jpg"", """"), ""-"", "", ""), """")"),"")</f>
        <v/>
      </c>
      <c r="L4459" s="12"/>
      <c r="M4459" s="13"/>
      <c r="N4459" s="2"/>
      <c r="O4459" s="20"/>
      <c r="P4459" s="42"/>
      <c r="R4459" s="23"/>
    </row>
    <row r="4460" spans="1:18" ht="12.75">
      <c r="A4460" s="12"/>
      <c r="D4460" s="12"/>
      <c r="E4460" s="12"/>
      <c r="H4460" s="11" t="str">
        <f ca="1">IFERROR(__xludf.DUMMYFUNCTION("IFERROR(SUBSTITUTE(SUBSTITUTE(REGEXEXTRACT(A4460, ""[^-]+- [^-]+- [^-]+ - (.+?)\.jpg""), "".jpg"", """"), ""-"", "", ""), """")"),"")</f>
        <v/>
      </c>
      <c r="L4460" s="12"/>
      <c r="M4460" s="13"/>
      <c r="N4460" s="2"/>
      <c r="O4460" s="20"/>
      <c r="P4460" s="42"/>
      <c r="R4460" s="23"/>
    </row>
    <row r="4461" spans="1:18" ht="12.75">
      <c r="A4461" s="12"/>
      <c r="D4461" s="12"/>
      <c r="E4461" s="12"/>
      <c r="H4461" s="11" t="str">
        <f ca="1">IFERROR(__xludf.DUMMYFUNCTION("IFERROR(SUBSTITUTE(SUBSTITUTE(REGEXEXTRACT(A4461, ""[^-]+- [^-]+- [^-]+ - (.+?)\.jpg""), "".jpg"", """"), ""-"", "", ""), """")"),"")</f>
        <v/>
      </c>
      <c r="L4461" s="12"/>
      <c r="M4461" s="13"/>
      <c r="N4461" s="2"/>
      <c r="O4461" s="20"/>
      <c r="P4461" s="42"/>
      <c r="R4461" s="23"/>
    </row>
    <row r="4462" spans="1:18" ht="12.75">
      <c r="A4462" s="12"/>
      <c r="D4462" s="12"/>
      <c r="E4462" s="12"/>
      <c r="H4462" s="11" t="str">
        <f ca="1">IFERROR(__xludf.DUMMYFUNCTION("IFERROR(SUBSTITUTE(SUBSTITUTE(REGEXEXTRACT(A4462, ""[^-]+- [^-]+- [^-]+ - (.+?)\.jpg""), "".jpg"", """"), ""-"", "", ""), """")"),"")</f>
        <v/>
      </c>
      <c r="L4462" s="12"/>
      <c r="M4462" s="13"/>
      <c r="N4462" s="2"/>
      <c r="O4462" s="20"/>
      <c r="P4462" s="42"/>
      <c r="R4462" s="23"/>
    </row>
    <row r="4463" spans="1:18" ht="12.75">
      <c r="A4463" s="12"/>
      <c r="D4463" s="12"/>
      <c r="E4463" s="12"/>
      <c r="H4463" s="11" t="str">
        <f ca="1">IFERROR(__xludf.DUMMYFUNCTION("IFERROR(SUBSTITUTE(SUBSTITUTE(REGEXEXTRACT(A4463, ""[^-]+- [^-]+- [^-]+ - (.+?)\.jpg""), "".jpg"", """"), ""-"", "", ""), """")"),"")</f>
        <v/>
      </c>
      <c r="L4463" s="12"/>
      <c r="M4463" s="13"/>
      <c r="N4463" s="2"/>
      <c r="O4463" s="20"/>
      <c r="P4463" s="42"/>
      <c r="R4463" s="23"/>
    </row>
    <row r="4464" spans="1:18" ht="12.75">
      <c r="A4464" s="12"/>
      <c r="D4464" s="12"/>
      <c r="E4464" s="12"/>
      <c r="H4464" s="11" t="str">
        <f ca="1">IFERROR(__xludf.DUMMYFUNCTION("IFERROR(SUBSTITUTE(SUBSTITUTE(REGEXEXTRACT(A4464, ""[^-]+- [^-]+- [^-]+ - (.+?)\.jpg""), "".jpg"", """"), ""-"", "", ""), """")"),"")</f>
        <v/>
      </c>
      <c r="L4464" s="12"/>
      <c r="M4464" s="13"/>
      <c r="N4464" s="2"/>
      <c r="O4464" s="20"/>
      <c r="P4464" s="42"/>
      <c r="R4464" s="23"/>
    </row>
    <row r="4465" spans="1:18" ht="12.75">
      <c r="A4465" s="12"/>
      <c r="D4465" s="12"/>
      <c r="E4465" s="12"/>
      <c r="H4465" s="11" t="str">
        <f ca="1">IFERROR(__xludf.DUMMYFUNCTION("IFERROR(SUBSTITUTE(SUBSTITUTE(REGEXEXTRACT(A4465, ""[^-]+- [^-]+- [^-]+ - (.+?)\.jpg""), "".jpg"", """"), ""-"", "", ""), """")"),"")</f>
        <v/>
      </c>
      <c r="L4465" s="12"/>
      <c r="M4465" s="13"/>
      <c r="N4465" s="2"/>
      <c r="O4465" s="20"/>
      <c r="P4465" s="42"/>
      <c r="R4465" s="23"/>
    </row>
    <row r="4466" spans="1:18" ht="12.75">
      <c r="A4466" s="12"/>
      <c r="D4466" s="12"/>
      <c r="E4466" s="12"/>
      <c r="H4466" s="11" t="str">
        <f ca="1">IFERROR(__xludf.DUMMYFUNCTION("IFERROR(SUBSTITUTE(SUBSTITUTE(REGEXEXTRACT(A4466, ""[^-]+- [^-]+- [^-]+ - (.+?)\.jpg""), "".jpg"", """"), ""-"", "", ""), """")"),"")</f>
        <v/>
      </c>
      <c r="L4466" s="12"/>
      <c r="M4466" s="13"/>
      <c r="N4466" s="2"/>
      <c r="O4466" s="20"/>
      <c r="P4466" s="42"/>
      <c r="R4466" s="23"/>
    </row>
    <row r="4467" spans="1:18" ht="12.75">
      <c r="A4467" s="12"/>
      <c r="D4467" s="12"/>
      <c r="E4467" s="12"/>
      <c r="H4467" s="11" t="str">
        <f ca="1">IFERROR(__xludf.DUMMYFUNCTION("IFERROR(SUBSTITUTE(SUBSTITUTE(REGEXEXTRACT(A4467, ""[^-]+- [^-]+- [^-]+ - (.+?)\.jpg""), "".jpg"", """"), ""-"", "", ""), """")"),"")</f>
        <v/>
      </c>
      <c r="L4467" s="12"/>
      <c r="M4467" s="13"/>
      <c r="N4467" s="2"/>
      <c r="O4467" s="20"/>
      <c r="P4467" s="42"/>
      <c r="R4467" s="23"/>
    </row>
    <row r="4468" spans="1:18" ht="12.75">
      <c r="A4468" s="12"/>
      <c r="D4468" s="12"/>
      <c r="E4468" s="12"/>
      <c r="H4468" s="11" t="str">
        <f ca="1">IFERROR(__xludf.DUMMYFUNCTION("IFERROR(SUBSTITUTE(SUBSTITUTE(REGEXEXTRACT(A4468, ""[^-]+- [^-]+- [^-]+ - (.+?)\.jpg""), "".jpg"", """"), ""-"", "", ""), """")"),"")</f>
        <v/>
      </c>
      <c r="L4468" s="12"/>
      <c r="M4468" s="13"/>
      <c r="N4468" s="2"/>
      <c r="O4468" s="20"/>
      <c r="P4468" s="42"/>
      <c r="R4468" s="23"/>
    </row>
    <row r="4469" spans="1:18" ht="12.75">
      <c r="A4469" s="12"/>
      <c r="D4469" s="12"/>
      <c r="E4469" s="12"/>
      <c r="H4469" s="11" t="str">
        <f ca="1">IFERROR(__xludf.DUMMYFUNCTION("IFERROR(SUBSTITUTE(SUBSTITUTE(REGEXEXTRACT(A4469, ""[^-]+- [^-]+- [^-]+ - (.+?)\.jpg""), "".jpg"", """"), ""-"", "", ""), """")"),"")</f>
        <v/>
      </c>
      <c r="L4469" s="12"/>
      <c r="M4469" s="13"/>
      <c r="N4469" s="2"/>
      <c r="O4469" s="20"/>
      <c r="P4469" s="42"/>
      <c r="R4469" s="23"/>
    </row>
    <row r="4470" spans="1:18" ht="12.75">
      <c r="A4470" s="12"/>
      <c r="D4470" s="12"/>
      <c r="E4470" s="12"/>
      <c r="H4470" s="11" t="str">
        <f ca="1">IFERROR(__xludf.DUMMYFUNCTION("IFERROR(SUBSTITUTE(SUBSTITUTE(REGEXEXTRACT(A4470, ""[^-]+- [^-]+- [^-]+ - (.+?)\.jpg""), "".jpg"", """"), ""-"", "", ""), """")"),"")</f>
        <v/>
      </c>
      <c r="L4470" s="12"/>
      <c r="M4470" s="13"/>
      <c r="N4470" s="2"/>
      <c r="O4470" s="20"/>
      <c r="P4470" s="42"/>
      <c r="R4470" s="23"/>
    </row>
    <row r="4471" spans="1:18" ht="12.75">
      <c r="A4471" s="12"/>
      <c r="D4471" s="12"/>
      <c r="E4471" s="12"/>
      <c r="H4471" s="11" t="str">
        <f ca="1">IFERROR(__xludf.DUMMYFUNCTION("IFERROR(SUBSTITUTE(SUBSTITUTE(REGEXEXTRACT(A4471, ""[^-]+- [^-]+- [^-]+ - (.+?)\.jpg""), "".jpg"", """"), ""-"", "", ""), """")"),"")</f>
        <v/>
      </c>
      <c r="L4471" s="12"/>
      <c r="M4471" s="13"/>
      <c r="N4471" s="2"/>
      <c r="O4471" s="20"/>
      <c r="P4471" s="42"/>
      <c r="R4471" s="23"/>
    </row>
    <row r="4472" spans="1:18" ht="12.75">
      <c r="A4472" s="12"/>
      <c r="D4472" s="12"/>
      <c r="E4472" s="12"/>
      <c r="H4472" s="11" t="str">
        <f ca="1">IFERROR(__xludf.DUMMYFUNCTION("IFERROR(SUBSTITUTE(SUBSTITUTE(REGEXEXTRACT(A4472, ""[^-]+- [^-]+- [^-]+ - (.+?)\.jpg""), "".jpg"", """"), ""-"", "", ""), """")"),"")</f>
        <v/>
      </c>
      <c r="L4472" s="12"/>
      <c r="M4472" s="13"/>
      <c r="N4472" s="2"/>
      <c r="O4472" s="20"/>
      <c r="P4472" s="42"/>
      <c r="R4472" s="23"/>
    </row>
    <row r="4473" spans="1:18" ht="12.75">
      <c r="A4473" s="12"/>
      <c r="D4473" s="12"/>
      <c r="E4473" s="12"/>
      <c r="H4473" s="11" t="str">
        <f ca="1">IFERROR(__xludf.DUMMYFUNCTION("IFERROR(SUBSTITUTE(SUBSTITUTE(REGEXEXTRACT(A4473, ""[^-]+- [^-]+- [^-]+ - (.+?)\.jpg""), "".jpg"", """"), ""-"", "", ""), """")"),"")</f>
        <v/>
      </c>
      <c r="L4473" s="12"/>
      <c r="M4473" s="13"/>
      <c r="N4473" s="2"/>
      <c r="O4473" s="20"/>
      <c r="P4473" s="42"/>
      <c r="R4473" s="23"/>
    </row>
    <row r="4474" spans="1:18" ht="12.75">
      <c r="A4474" s="12"/>
      <c r="D4474" s="12"/>
      <c r="E4474" s="12"/>
      <c r="H4474" s="11" t="str">
        <f ca="1">IFERROR(__xludf.DUMMYFUNCTION("IFERROR(SUBSTITUTE(SUBSTITUTE(REGEXEXTRACT(A4474, ""[^-]+- [^-]+- [^-]+ - (.+?)\.jpg""), "".jpg"", """"), ""-"", "", ""), """")"),"")</f>
        <v/>
      </c>
      <c r="L4474" s="12"/>
      <c r="M4474" s="13"/>
      <c r="N4474" s="2"/>
      <c r="O4474" s="20"/>
      <c r="P4474" s="42"/>
      <c r="R4474" s="23"/>
    </row>
    <row r="4475" spans="1:18" ht="12.75">
      <c r="A4475" s="12"/>
      <c r="D4475" s="12"/>
      <c r="E4475" s="12"/>
      <c r="H4475" s="11" t="str">
        <f ca="1">IFERROR(__xludf.DUMMYFUNCTION("IFERROR(SUBSTITUTE(SUBSTITUTE(REGEXEXTRACT(A4475, ""[^-]+- [^-]+- [^-]+ - (.+?)\.jpg""), "".jpg"", """"), ""-"", "", ""), """")"),"")</f>
        <v/>
      </c>
      <c r="L4475" s="12"/>
      <c r="M4475" s="13"/>
      <c r="N4475" s="2"/>
      <c r="O4475" s="20"/>
      <c r="P4475" s="42"/>
      <c r="R4475" s="23"/>
    </row>
    <row r="4476" spans="1:18" ht="12.75">
      <c r="A4476" s="12"/>
      <c r="D4476" s="12"/>
      <c r="E4476" s="12"/>
      <c r="H4476" s="11" t="str">
        <f ca="1">IFERROR(__xludf.DUMMYFUNCTION("IFERROR(SUBSTITUTE(SUBSTITUTE(REGEXEXTRACT(A4476, ""[^-]+- [^-]+- [^-]+ - (.+?)\.jpg""), "".jpg"", """"), ""-"", "", ""), """")"),"")</f>
        <v/>
      </c>
      <c r="L4476" s="12"/>
      <c r="M4476" s="13"/>
      <c r="N4476" s="2"/>
      <c r="O4476" s="20"/>
      <c r="P4476" s="42"/>
      <c r="R4476" s="23"/>
    </row>
    <row r="4477" spans="1:18" ht="12.75">
      <c r="A4477" s="12"/>
      <c r="D4477" s="12"/>
      <c r="E4477" s="12"/>
      <c r="H4477" s="11" t="str">
        <f ca="1">IFERROR(__xludf.DUMMYFUNCTION("IFERROR(SUBSTITUTE(SUBSTITUTE(REGEXEXTRACT(A4477, ""[^-]+- [^-]+- [^-]+ - (.+?)\.jpg""), "".jpg"", """"), ""-"", "", ""), """")"),"")</f>
        <v/>
      </c>
      <c r="L4477" s="12"/>
      <c r="M4477" s="13"/>
      <c r="N4477" s="2"/>
      <c r="O4477" s="20"/>
      <c r="P4477" s="42"/>
      <c r="R4477" s="23"/>
    </row>
    <row r="4478" spans="1:18" ht="12.75">
      <c r="A4478" s="12"/>
      <c r="D4478" s="12"/>
      <c r="E4478" s="12"/>
      <c r="H4478" s="11" t="str">
        <f ca="1">IFERROR(__xludf.DUMMYFUNCTION("IFERROR(SUBSTITUTE(SUBSTITUTE(REGEXEXTRACT(A4478, ""[^-]+- [^-]+- [^-]+ - (.+?)\.jpg""), "".jpg"", """"), ""-"", "", ""), """")"),"")</f>
        <v/>
      </c>
      <c r="L4478" s="12"/>
      <c r="M4478" s="13"/>
      <c r="N4478" s="2"/>
      <c r="O4478" s="20"/>
      <c r="P4478" s="42"/>
      <c r="R4478" s="23"/>
    </row>
    <row r="4479" spans="1:18" ht="12.75">
      <c r="A4479" s="12"/>
      <c r="D4479" s="12"/>
      <c r="E4479" s="12"/>
      <c r="H4479" s="11" t="str">
        <f ca="1">IFERROR(__xludf.DUMMYFUNCTION("IFERROR(SUBSTITUTE(SUBSTITUTE(REGEXEXTRACT(A4479, ""[^-]+- [^-]+- [^-]+ - (.+?)\.jpg""), "".jpg"", """"), ""-"", "", ""), """")"),"")</f>
        <v/>
      </c>
      <c r="L4479" s="12"/>
      <c r="M4479" s="13"/>
      <c r="N4479" s="2"/>
      <c r="O4479" s="20"/>
      <c r="P4479" s="42"/>
      <c r="R4479" s="23"/>
    </row>
    <row r="4480" spans="1:18" ht="12.75">
      <c r="A4480" s="12"/>
      <c r="D4480" s="12"/>
      <c r="E4480" s="12"/>
      <c r="H4480" s="11" t="str">
        <f ca="1">IFERROR(__xludf.DUMMYFUNCTION("IFERROR(SUBSTITUTE(SUBSTITUTE(REGEXEXTRACT(A4480, ""[^-]+- [^-]+- [^-]+ - (.+?)\.jpg""), "".jpg"", """"), ""-"", "", ""), """")"),"")</f>
        <v/>
      </c>
      <c r="L4480" s="12"/>
      <c r="M4480" s="13"/>
      <c r="N4480" s="2"/>
      <c r="O4480" s="20"/>
      <c r="P4480" s="42"/>
      <c r="R4480" s="23"/>
    </row>
    <row r="4481" spans="1:18" ht="12.75">
      <c r="A4481" s="12"/>
      <c r="D4481" s="12"/>
      <c r="E4481" s="12"/>
      <c r="H4481" s="11" t="str">
        <f ca="1">IFERROR(__xludf.DUMMYFUNCTION("IFERROR(SUBSTITUTE(SUBSTITUTE(REGEXEXTRACT(A4481, ""[^-]+- [^-]+- [^-]+ - (.+?)\.jpg""), "".jpg"", """"), ""-"", "", ""), """")"),"")</f>
        <v/>
      </c>
      <c r="L4481" s="12"/>
      <c r="M4481" s="13"/>
      <c r="N4481" s="2"/>
      <c r="O4481" s="20"/>
      <c r="P4481" s="42"/>
      <c r="R4481" s="23"/>
    </row>
    <row r="4482" spans="1:18" ht="12.75">
      <c r="A4482" s="12"/>
      <c r="D4482" s="12"/>
      <c r="E4482" s="12"/>
      <c r="H4482" s="11" t="str">
        <f ca="1">IFERROR(__xludf.DUMMYFUNCTION("IFERROR(SUBSTITUTE(SUBSTITUTE(REGEXEXTRACT(A4482, ""[^-]+- [^-]+- [^-]+ - (.+?)\.jpg""), "".jpg"", """"), ""-"", "", ""), """")"),"")</f>
        <v/>
      </c>
      <c r="L4482" s="12"/>
      <c r="M4482" s="13"/>
      <c r="N4482" s="2"/>
      <c r="O4482" s="20"/>
      <c r="P4482" s="42"/>
      <c r="R4482" s="23"/>
    </row>
    <row r="4483" spans="1:18" ht="12.75">
      <c r="A4483" s="12"/>
      <c r="D4483" s="12"/>
      <c r="E4483" s="12"/>
      <c r="H4483" s="11" t="str">
        <f ca="1">IFERROR(__xludf.DUMMYFUNCTION("IFERROR(SUBSTITUTE(SUBSTITUTE(REGEXEXTRACT(A4483, ""[^-]+- [^-]+- [^-]+ - (.+?)\.jpg""), "".jpg"", """"), ""-"", "", ""), """")"),"")</f>
        <v/>
      </c>
      <c r="L4483" s="12"/>
      <c r="M4483" s="13"/>
      <c r="N4483" s="2"/>
      <c r="O4483" s="20"/>
      <c r="P4483" s="42"/>
      <c r="R4483" s="23"/>
    </row>
    <row r="4484" spans="1:18" ht="12.75">
      <c r="A4484" s="12"/>
      <c r="D4484" s="12"/>
      <c r="E4484" s="12"/>
      <c r="H4484" s="11" t="str">
        <f ca="1">IFERROR(__xludf.DUMMYFUNCTION("IFERROR(SUBSTITUTE(SUBSTITUTE(REGEXEXTRACT(A4484, ""[^-]+- [^-]+- [^-]+ - (.+?)\.jpg""), "".jpg"", """"), ""-"", "", ""), """")"),"")</f>
        <v/>
      </c>
      <c r="L4484" s="12"/>
      <c r="M4484" s="13"/>
      <c r="N4484" s="2"/>
      <c r="O4484" s="20"/>
      <c r="P4484" s="42"/>
      <c r="R4484" s="23"/>
    </row>
    <row r="4485" spans="1:18" ht="12.75">
      <c r="A4485" s="12"/>
      <c r="D4485" s="12"/>
      <c r="E4485" s="12"/>
      <c r="H4485" s="11" t="str">
        <f ca="1">IFERROR(__xludf.DUMMYFUNCTION("IFERROR(SUBSTITUTE(SUBSTITUTE(REGEXEXTRACT(A4485, ""[^-]+- [^-]+- [^-]+ - (.+?)\.jpg""), "".jpg"", """"), ""-"", "", ""), """")"),"")</f>
        <v/>
      </c>
      <c r="L4485" s="12"/>
      <c r="M4485" s="13"/>
      <c r="N4485" s="2"/>
      <c r="O4485" s="20"/>
      <c r="P4485" s="42"/>
      <c r="R4485" s="23"/>
    </row>
    <row r="4486" spans="1:18" ht="12.75">
      <c r="A4486" s="12"/>
      <c r="D4486" s="12"/>
      <c r="E4486" s="12"/>
      <c r="H4486" s="11" t="str">
        <f ca="1">IFERROR(__xludf.DUMMYFUNCTION("IFERROR(SUBSTITUTE(SUBSTITUTE(REGEXEXTRACT(A4486, ""[^-]+- [^-]+- [^-]+ - (.+?)\.jpg""), "".jpg"", """"), ""-"", "", ""), """")"),"")</f>
        <v/>
      </c>
      <c r="L4486" s="12"/>
      <c r="M4486" s="13"/>
      <c r="N4486" s="2"/>
      <c r="O4486" s="20"/>
      <c r="P4486" s="42"/>
      <c r="R4486" s="23"/>
    </row>
    <row r="4487" spans="1:18" ht="12.75">
      <c r="A4487" s="12"/>
      <c r="D4487" s="12"/>
      <c r="E4487" s="12"/>
      <c r="H4487" s="11" t="str">
        <f ca="1">IFERROR(__xludf.DUMMYFUNCTION("IFERROR(SUBSTITUTE(SUBSTITUTE(REGEXEXTRACT(A4487, ""[^-]+- [^-]+- [^-]+ - (.+?)\.jpg""), "".jpg"", """"), ""-"", "", ""), """")"),"")</f>
        <v/>
      </c>
      <c r="L4487" s="12"/>
      <c r="M4487" s="13"/>
      <c r="N4487" s="2"/>
      <c r="O4487" s="20"/>
      <c r="P4487" s="42"/>
      <c r="R4487" s="23"/>
    </row>
    <row r="4488" spans="1:18" ht="12.75">
      <c r="A4488" s="12"/>
      <c r="D4488" s="12"/>
      <c r="E4488" s="12"/>
      <c r="H4488" s="11" t="str">
        <f ca="1">IFERROR(__xludf.DUMMYFUNCTION("IFERROR(SUBSTITUTE(SUBSTITUTE(REGEXEXTRACT(A4488, ""[^-]+- [^-]+- [^-]+ - (.+?)\.jpg""), "".jpg"", """"), ""-"", "", ""), """")"),"")</f>
        <v/>
      </c>
      <c r="L4488" s="12"/>
      <c r="M4488" s="13"/>
      <c r="N4488" s="2"/>
      <c r="O4488" s="20"/>
      <c r="P4488" s="42"/>
      <c r="R4488" s="23"/>
    </row>
    <row r="4489" spans="1:18" ht="12.75">
      <c r="A4489" s="12"/>
      <c r="D4489" s="12"/>
      <c r="E4489" s="12"/>
      <c r="H4489" s="11" t="str">
        <f ca="1">IFERROR(__xludf.DUMMYFUNCTION("IFERROR(SUBSTITUTE(SUBSTITUTE(REGEXEXTRACT(A4489, ""[^-]+- [^-]+- [^-]+ - (.+?)\.jpg""), "".jpg"", """"), ""-"", "", ""), """")"),"")</f>
        <v/>
      </c>
      <c r="L4489" s="12"/>
      <c r="M4489" s="13"/>
      <c r="N4489" s="2"/>
      <c r="O4489" s="20"/>
      <c r="P4489" s="42"/>
      <c r="R4489" s="23"/>
    </row>
    <row r="4490" spans="1:18" ht="12.75">
      <c r="A4490" s="12"/>
      <c r="D4490" s="12"/>
      <c r="E4490" s="12"/>
      <c r="H4490" s="11" t="str">
        <f ca="1">IFERROR(__xludf.DUMMYFUNCTION("IFERROR(SUBSTITUTE(SUBSTITUTE(REGEXEXTRACT(A4490, ""[^-]+- [^-]+- [^-]+ - (.+?)\.jpg""), "".jpg"", """"), ""-"", "", ""), """")"),"")</f>
        <v/>
      </c>
      <c r="L4490" s="12"/>
      <c r="M4490" s="13"/>
      <c r="N4490" s="2"/>
      <c r="O4490" s="20"/>
      <c r="P4490" s="42"/>
      <c r="R4490" s="23"/>
    </row>
    <row r="4491" spans="1:18" ht="12.75">
      <c r="A4491" s="12"/>
      <c r="D4491" s="12"/>
      <c r="E4491" s="12"/>
      <c r="H4491" s="11" t="str">
        <f ca="1">IFERROR(__xludf.DUMMYFUNCTION("IFERROR(SUBSTITUTE(SUBSTITUTE(REGEXEXTRACT(A4491, ""[^-]+- [^-]+- [^-]+ - (.+?)\.jpg""), "".jpg"", """"), ""-"", "", ""), """")"),"")</f>
        <v/>
      </c>
      <c r="L4491" s="12"/>
      <c r="M4491" s="13"/>
      <c r="N4491" s="2"/>
      <c r="O4491" s="20"/>
      <c r="P4491" s="42"/>
      <c r="R4491" s="23"/>
    </row>
    <row r="4492" spans="1:18" ht="12.75">
      <c r="A4492" s="12"/>
      <c r="D4492" s="12"/>
      <c r="E4492" s="12"/>
      <c r="H4492" s="11" t="str">
        <f ca="1">IFERROR(__xludf.DUMMYFUNCTION("IFERROR(SUBSTITUTE(SUBSTITUTE(REGEXEXTRACT(A4492, ""[^-]+- [^-]+- [^-]+ - (.+?)\.jpg""), "".jpg"", """"), ""-"", "", ""), """")"),"")</f>
        <v/>
      </c>
      <c r="L4492" s="12"/>
      <c r="M4492" s="13"/>
      <c r="N4492" s="2"/>
      <c r="O4492" s="20"/>
      <c r="P4492" s="42"/>
      <c r="R4492" s="23"/>
    </row>
    <row r="4493" spans="1:18" ht="12.75">
      <c r="A4493" s="12"/>
      <c r="D4493" s="12"/>
      <c r="E4493" s="12"/>
      <c r="H4493" s="11" t="str">
        <f ca="1">IFERROR(__xludf.DUMMYFUNCTION("IFERROR(SUBSTITUTE(SUBSTITUTE(REGEXEXTRACT(A4493, ""[^-]+- [^-]+- [^-]+ - (.+?)\.jpg""), "".jpg"", """"), ""-"", "", ""), """")"),"")</f>
        <v/>
      </c>
      <c r="L4493" s="12"/>
      <c r="M4493" s="13"/>
      <c r="N4493" s="2"/>
      <c r="O4493" s="20"/>
      <c r="P4493" s="42"/>
      <c r="R4493" s="23"/>
    </row>
    <row r="4494" spans="1:18" ht="12.75">
      <c r="A4494" s="12"/>
      <c r="D4494" s="12"/>
      <c r="E4494" s="12"/>
      <c r="H4494" s="11" t="str">
        <f ca="1">IFERROR(__xludf.DUMMYFUNCTION("IFERROR(SUBSTITUTE(SUBSTITUTE(REGEXEXTRACT(A4494, ""[^-]+- [^-]+- [^-]+ - (.+?)\.jpg""), "".jpg"", """"), ""-"", "", ""), """")"),"")</f>
        <v/>
      </c>
      <c r="L4494" s="12"/>
      <c r="M4494" s="13"/>
      <c r="N4494" s="2"/>
      <c r="O4494" s="20"/>
      <c r="P4494" s="42"/>
      <c r="R4494" s="23"/>
    </row>
    <row r="4495" spans="1:18" ht="12.75">
      <c r="A4495" s="12"/>
      <c r="D4495" s="12"/>
      <c r="E4495" s="12"/>
      <c r="H4495" s="11" t="str">
        <f ca="1">IFERROR(__xludf.DUMMYFUNCTION("IFERROR(SUBSTITUTE(SUBSTITUTE(REGEXEXTRACT(A4495, ""[^-]+- [^-]+- [^-]+ - (.+?)\.jpg""), "".jpg"", """"), ""-"", "", ""), """")"),"")</f>
        <v/>
      </c>
      <c r="L4495" s="12"/>
      <c r="M4495" s="13"/>
      <c r="N4495" s="2"/>
      <c r="O4495" s="20"/>
      <c r="P4495" s="42"/>
      <c r="R4495" s="23"/>
    </row>
    <row r="4496" spans="1:18" ht="12.75">
      <c r="A4496" s="12"/>
      <c r="D4496" s="12"/>
      <c r="E4496" s="12"/>
      <c r="H4496" s="11" t="str">
        <f ca="1">IFERROR(__xludf.DUMMYFUNCTION("IFERROR(SUBSTITUTE(SUBSTITUTE(REGEXEXTRACT(A4496, ""[^-]+- [^-]+- [^-]+ - (.+?)\.jpg""), "".jpg"", """"), ""-"", "", ""), """")"),"")</f>
        <v/>
      </c>
      <c r="L4496" s="12"/>
      <c r="M4496" s="13"/>
      <c r="N4496" s="2"/>
      <c r="O4496" s="20"/>
      <c r="P4496" s="42"/>
      <c r="R4496" s="23"/>
    </row>
    <row r="4497" spans="1:18" ht="12.75">
      <c r="A4497" s="12"/>
      <c r="D4497" s="12"/>
      <c r="E4497" s="12"/>
      <c r="H4497" s="11" t="str">
        <f ca="1">IFERROR(__xludf.DUMMYFUNCTION("IFERROR(SUBSTITUTE(SUBSTITUTE(REGEXEXTRACT(A4497, ""[^-]+- [^-]+- [^-]+ - (.+?)\.jpg""), "".jpg"", """"), ""-"", "", ""), """")"),"")</f>
        <v/>
      </c>
      <c r="L4497" s="12"/>
      <c r="M4497" s="13"/>
      <c r="N4497" s="2"/>
      <c r="O4497" s="20"/>
      <c r="P4497" s="42"/>
      <c r="R4497" s="23"/>
    </row>
    <row r="4498" spans="1:18" ht="12.75">
      <c r="A4498" s="12"/>
      <c r="D4498" s="12"/>
      <c r="E4498" s="12"/>
      <c r="H4498" s="11" t="str">
        <f ca="1">IFERROR(__xludf.DUMMYFUNCTION("IFERROR(SUBSTITUTE(SUBSTITUTE(REGEXEXTRACT(A4498, ""[^-]+- [^-]+- [^-]+ - (.+?)\.jpg""), "".jpg"", """"), ""-"", "", ""), """")"),"")</f>
        <v/>
      </c>
      <c r="L4498" s="12"/>
      <c r="M4498" s="13"/>
      <c r="N4498" s="2"/>
      <c r="O4498" s="20"/>
      <c r="P4498" s="42"/>
      <c r="R4498" s="23"/>
    </row>
    <row r="4499" spans="1:18" ht="12.75">
      <c r="A4499" s="12"/>
      <c r="D4499" s="12"/>
      <c r="E4499" s="12"/>
      <c r="H4499" s="11" t="str">
        <f ca="1">IFERROR(__xludf.DUMMYFUNCTION("IFERROR(SUBSTITUTE(SUBSTITUTE(REGEXEXTRACT(A4499, ""[^-]+- [^-]+- [^-]+ - (.+?)\.jpg""), "".jpg"", """"), ""-"", "", ""), """")"),"")</f>
        <v/>
      </c>
      <c r="L4499" s="12"/>
      <c r="M4499" s="13"/>
      <c r="N4499" s="2"/>
      <c r="O4499" s="20"/>
      <c r="P4499" s="42"/>
      <c r="R4499" s="23"/>
    </row>
    <row r="4500" spans="1:18" ht="12.75">
      <c r="A4500" s="12"/>
      <c r="D4500" s="12"/>
      <c r="E4500" s="12"/>
      <c r="H4500" s="11" t="str">
        <f ca="1">IFERROR(__xludf.DUMMYFUNCTION("IFERROR(SUBSTITUTE(SUBSTITUTE(REGEXEXTRACT(A4500, ""[^-]+- [^-]+- [^-]+ - (.+?)\.jpg""), "".jpg"", """"), ""-"", "", ""), """")"),"")</f>
        <v/>
      </c>
      <c r="L4500" s="12"/>
      <c r="M4500" s="13"/>
      <c r="N4500" s="2"/>
      <c r="O4500" s="20"/>
      <c r="P4500" s="42"/>
      <c r="R4500" s="23"/>
    </row>
    <row r="4501" spans="1:18" ht="12.75">
      <c r="A4501" s="12"/>
      <c r="D4501" s="12"/>
      <c r="E4501" s="12"/>
      <c r="H4501" s="11" t="str">
        <f ca="1">IFERROR(__xludf.DUMMYFUNCTION("IFERROR(SUBSTITUTE(SUBSTITUTE(REGEXEXTRACT(A4501, ""[^-]+- [^-]+- [^-]+ - (.+?)\.jpg""), "".jpg"", """"), ""-"", "", ""), """")"),"")</f>
        <v/>
      </c>
      <c r="L4501" s="12"/>
      <c r="M4501" s="13"/>
      <c r="N4501" s="2"/>
      <c r="O4501" s="20"/>
      <c r="P4501" s="42"/>
      <c r="R4501" s="23"/>
    </row>
    <row r="4502" spans="1:18" ht="12.75">
      <c r="A4502" s="12"/>
      <c r="D4502" s="12"/>
      <c r="E4502" s="12"/>
      <c r="H4502" s="11" t="str">
        <f ca="1">IFERROR(__xludf.DUMMYFUNCTION("IFERROR(SUBSTITUTE(SUBSTITUTE(REGEXEXTRACT(A4502, ""[^-]+- [^-]+- [^-]+ - (.+?)\.jpg""), "".jpg"", """"), ""-"", "", ""), """")"),"")</f>
        <v/>
      </c>
      <c r="L4502" s="12"/>
      <c r="M4502" s="13"/>
      <c r="N4502" s="2"/>
      <c r="O4502" s="20"/>
      <c r="P4502" s="42"/>
      <c r="R4502" s="23"/>
    </row>
    <row r="4503" spans="1:18" ht="12.75">
      <c r="A4503" s="12"/>
      <c r="D4503" s="12"/>
      <c r="E4503" s="12"/>
      <c r="H4503" s="11" t="str">
        <f ca="1">IFERROR(__xludf.DUMMYFUNCTION("IFERROR(SUBSTITUTE(SUBSTITUTE(REGEXEXTRACT(A4503, ""[^-]+- [^-]+- [^-]+ - (.+?)\.jpg""), "".jpg"", """"), ""-"", "", ""), """")"),"")</f>
        <v/>
      </c>
      <c r="L4503" s="12"/>
      <c r="M4503" s="13"/>
      <c r="N4503" s="2"/>
      <c r="O4503" s="20"/>
      <c r="P4503" s="42"/>
      <c r="R4503" s="23"/>
    </row>
    <row r="4504" spans="1:18" ht="12.75">
      <c r="A4504" s="12"/>
      <c r="D4504" s="12"/>
      <c r="E4504" s="12"/>
      <c r="H4504" s="11" t="str">
        <f ca="1">IFERROR(__xludf.DUMMYFUNCTION("IFERROR(SUBSTITUTE(SUBSTITUTE(REGEXEXTRACT(A4504, ""[^-]+- [^-]+- [^-]+ - (.+?)\.jpg""), "".jpg"", """"), ""-"", "", ""), """")"),"")</f>
        <v/>
      </c>
      <c r="L4504" s="12"/>
      <c r="M4504" s="13"/>
      <c r="N4504" s="2"/>
      <c r="O4504" s="20"/>
      <c r="P4504" s="42"/>
      <c r="R4504" s="23"/>
    </row>
    <row r="4505" spans="1:18" ht="12.75">
      <c r="A4505" s="12"/>
      <c r="D4505" s="12"/>
      <c r="E4505" s="12"/>
      <c r="H4505" s="11" t="str">
        <f ca="1">IFERROR(__xludf.DUMMYFUNCTION("IFERROR(SUBSTITUTE(SUBSTITUTE(REGEXEXTRACT(A4505, ""[^-]+- [^-]+- [^-]+ - (.+?)\.jpg""), "".jpg"", """"), ""-"", "", ""), """")"),"")</f>
        <v/>
      </c>
      <c r="L4505" s="12"/>
      <c r="M4505" s="13"/>
      <c r="N4505" s="2"/>
      <c r="O4505" s="20"/>
      <c r="P4505" s="42"/>
      <c r="R4505" s="23"/>
    </row>
    <row r="4506" spans="1:18" ht="12.75">
      <c r="A4506" s="12"/>
      <c r="D4506" s="12"/>
      <c r="E4506" s="12"/>
      <c r="H4506" s="11" t="str">
        <f ca="1">IFERROR(__xludf.DUMMYFUNCTION("IFERROR(SUBSTITUTE(SUBSTITUTE(REGEXEXTRACT(A4506, ""[^-]+- [^-]+- [^-]+ - (.+?)\.jpg""), "".jpg"", """"), ""-"", "", ""), """")"),"")</f>
        <v/>
      </c>
      <c r="L4506" s="12"/>
      <c r="M4506" s="13"/>
      <c r="N4506" s="2"/>
      <c r="O4506" s="20"/>
      <c r="P4506" s="42"/>
      <c r="R4506" s="23"/>
    </row>
    <row r="4507" spans="1:18" ht="12.75">
      <c r="A4507" s="12"/>
      <c r="D4507" s="12"/>
      <c r="E4507" s="12"/>
      <c r="H4507" s="11" t="str">
        <f ca="1">IFERROR(__xludf.DUMMYFUNCTION("IFERROR(SUBSTITUTE(SUBSTITUTE(REGEXEXTRACT(A4507, ""[^-]+- [^-]+- [^-]+ - (.+?)\.jpg""), "".jpg"", """"), ""-"", "", ""), """")"),"")</f>
        <v/>
      </c>
      <c r="L4507" s="12"/>
      <c r="M4507" s="13"/>
      <c r="N4507" s="2"/>
      <c r="O4507" s="20"/>
      <c r="P4507" s="42"/>
      <c r="R4507" s="23"/>
    </row>
    <row r="4508" spans="1:18" ht="12.75">
      <c r="A4508" s="12"/>
      <c r="D4508" s="12"/>
      <c r="E4508" s="12"/>
      <c r="H4508" s="11" t="str">
        <f ca="1">IFERROR(__xludf.DUMMYFUNCTION("IFERROR(SUBSTITUTE(SUBSTITUTE(REGEXEXTRACT(A4508, ""[^-]+- [^-]+- [^-]+ - (.+?)\.jpg""), "".jpg"", """"), ""-"", "", ""), """")"),"")</f>
        <v/>
      </c>
      <c r="L4508" s="12"/>
      <c r="M4508" s="13"/>
      <c r="N4508" s="2"/>
      <c r="O4508" s="20"/>
      <c r="P4508" s="42"/>
      <c r="R4508" s="23"/>
    </row>
    <row r="4509" spans="1:18" ht="12.75">
      <c r="A4509" s="12"/>
      <c r="D4509" s="12"/>
      <c r="E4509" s="12"/>
      <c r="H4509" s="11" t="str">
        <f ca="1">IFERROR(__xludf.DUMMYFUNCTION("IFERROR(SUBSTITUTE(SUBSTITUTE(REGEXEXTRACT(A4509, ""[^-]+- [^-]+- [^-]+ - (.+?)\.jpg""), "".jpg"", """"), ""-"", "", ""), """")"),"")</f>
        <v/>
      </c>
      <c r="L4509" s="12"/>
      <c r="M4509" s="13"/>
      <c r="N4509" s="2"/>
      <c r="O4509" s="20"/>
      <c r="P4509" s="42"/>
      <c r="R4509" s="23"/>
    </row>
    <row r="4510" spans="1:18" ht="12.75">
      <c r="A4510" s="12"/>
      <c r="D4510" s="12"/>
      <c r="E4510" s="12"/>
      <c r="H4510" s="11" t="str">
        <f ca="1">IFERROR(__xludf.DUMMYFUNCTION("IFERROR(SUBSTITUTE(SUBSTITUTE(REGEXEXTRACT(A4510, ""[^-]+- [^-]+- [^-]+ - (.+?)\.jpg""), "".jpg"", """"), ""-"", "", ""), """")"),"")</f>
        <v/>
      </c>
      <c r="L4510" s="12"/>
      <c r="M4510" s="13"/>
      <c r="N4510" s="2"/>
      <c r="O4510" s="20"/>
      <c r="P4510" s="42"/>
      <c r="R4510" s="23"/>
    </row>
    <row r="4511" spans="1:18" ht="12.75">
      <c r="A4511" s="12"/>
      <c r="D4511" s="12"/>
      <c r="E4511" s="12"/>
      <c r="H4511" s="11" t="str">
        <f ca="1">IFERROR(__xludf.DUMMYFUNCTION("IFERROR(SUBSTITUTE(SUBSTITUTE(REGEXEXTRACT(A4511, ""[^-]+- [^-]+- [^-]+ - (.+?)\.jpg""), "".jpg"", """"), ""-"", "", ""), """")"),"")</f>
        <v/>
      </c>
      <c r="L4511" s="12"/>
      <c r="M4511" s="13"/>
      <c r="N4511" s="2"/>
      <c r="O4511" s="20"/>
      <c r="P4511" s="42"/>
      <c r="R4511" s="23"/>
    </row>
    <row r="4512" spans="1:18" ht="12.75">
      <c r="A4512" s="12"/>
      <c r="D4512" s="12"/>
      <c r="E4512" s="12"/>
      <c r="H4512" s="11" t="str">
        <f ca="1">IFERROR(__xludf.DUMMYFUNCTION("IFERROR(SUBSTITUTE(SUBSTITUTE(REGEXEXTRACT(A4512, ""[^-]+- [^-]+- [^-]+ - (.+?)\.jpg""), "".jpg"", """"), ""-"", "", ""), """")"),"")</f>
        <v/>
      </c>
      <c r="L4512" s="12"/>
      <c r="M4512" s="13"/>
      <c r="N4512" s="2"/>
      <c r="O4512" s="20"/>
      <c r="P4512" s="42"/>
      <c r="R4512" s="23"/>
    </row>
    <row r="4513" spans="1:18" ht="12.75">
      <c r="A4513" s="12"/>
      <c r="D4513" s="12"/>
      <c r="E4513" s="12"/>
      <c r="H4513" s="11" t="str">
        <f ca="1">IFERROR(__xludf.DUMMYFUNCTION("IFERROR(SUBSTITUTE(SUBSTITUTE(REGEXEXTRACT(A4513, ""[^-]+- [^-]+- [^-]+ - (.+?)\.jpg""), "".jpg"", """"), ""-"", "", ""), """")"),"")</f>
        <v/>
      </c>
      <c r="L4513" s="12"/>
      <c r="M4513" s="13"/>
      <c r="N4513" s="2"/>
      <c r="O4513" s="20"/>
      <c r="P4513" s="42"/>
      <c r="R4513" s="23"/>
    </row>
    <row r="4514" spans="1:18" ht="12.75">
      <c r="A4514" s="12"/>
      <c r="D4514" s="12"/>
      <c r="E4514" s="12"/>
      <c r="H4514" s="11" t="str">
        <f ca="1">IFERROR(__xludf.DUMMYFUNCTION("IFERROR(SUBSTITUTE(SUBSTITUTE(REGEXEXTRACT(A4514, ""[^-]+- [^-]+- [^-]+ - (.+?)\.jpg""), "".jpg"", """"), ""-"", "", ""), """")"),"")</f>
        <v/>
      </c>
      <c r="L4514" s="12"/>
      <c r="M4514" s="13"/>
      <c r="N4514" s="2"/>
      <c r="O4514" s="20"/>
      <c r="P4514" s="42"/>
      <c r="R4514" s="23"/>
    </row>
    <row r="4515" spans="1:18" ht="12.75">
      <c r="A4515" s="12"/>
      <c r="D4515" s="12"/>
      <c r="E4515" s="12"/>
      <c r="H4515" s="11" t="str">
        <f ca="1">IFERROR(__xludf.DUMMYFUNCTION("IFERROR(SUBSTITUTE(SUBSTITUTE(REGEXEXTRACT(A4515, ""[^-]+- [^-]+- [^-]+ - (.+?)\.jpg""), "".jpg"", """"), ""-"", "", ""), """")"),"")</f>
        <v/>
      </c>
      <c r="L4515" s="12"/>
      <c r="M4515" s="13"/>
      <c r="N4515" s="2"/>
      <c r="O4515" s="20"/>
      <c r="P4515" s="42"/>
      <c r="R4515" s="23"/>
    </row>
    <row r="4516" spans="1:18" ht="12.75">
      <c r="A4516" s="12"/>
      <c r="D4516" s="12"/>
      <c r="E4516" s="12"/>
      <c r="H4516" s="11" t="str">
        <f ca="1">IFERROR(__xludf.DUMMYFUNCTION("IFERROR(SUBSTITUTE(SUBSTITUTE(REGEXEXTRACT(A4516, ""[^-]+- [^-]+- [^-]+ - (.+?)\.jpg""), "".jpg"", """"), ""-"", "", ""), """")"),"")</f>
        <v/>
      </c>
      <c r="L4516" s="12"/>
      <c r="M4516" s="13"/>
      <c r="N4516" s="2"/>
      <c r="O4516" s="20"/>
      <c r="P4516" s="42"/>
      <c r="R4516" s="23"/>
    </row>
    <row r="4517" spans="1:18" ht="12.75">
      <c r="A4517" s="12"/>
      <c r="D4517" s="12"/>
      <c r="E4517" s="12"/>
      <c r="H4517" s="11" t="str">
        <f ca="1">IFERROR(__xludf.DUMMYFUNCTION("IFERROR(SUBSTITUTE(SUBSTITUTE(REGEXEXTRACT(A4517, ""[^-]+- [^-]+- [^-]+ - (.+?)\.jpg""), "".jpg"", """"), ""-"", "", ""), """")"),"")</f>
        <v/>
      </c>
      <c r="L4517" s="12"/>
      <c r="M4517" s="13"/>
      <c r="N4517" s="2"/>
      <c r="O4517" s="20"/>
      <c r="P4517" s="42"/>
      <c r="R4517" s="23"/>
    </row>
    <row r="4518" spans="1:18" ht="12.75">
      <c r="A4518" s="12"/>
      <c r="D4518" s="12"/>
      <c r="E4518" s="12"/>
      <c r="H4518" s="11" t="str">
        <f ca="1">IFERROR(__xludf.DUMMYFUNCTION("IFERROR(SUBSTITUTE(SUBSTITUTE(REGEXEXTRACT(A4518, ""[^-]+- [^-]+- [^-]+ - (.+?)\.jpg""), "".jpg"", """"), ""-"", "", ""), """")"),"")</f>
        <v/>
      </c>
      <c r="L4518" s="12"/>
      <c r="M4518" s="13"/>
      <c r="N4518" s="2"/>
      <c r="O4518" s="20"/>
      <c r="P4518" s="42"/>
      <c r="R4518" s="23"/>
    </row>
    <row r="4519" spans="1:18" ht="12.75">
      <c r="A4519" s="12"/>
      <c r="D4519" s="12"/>
      <c r="E4519" s="12"/>
      <c r="H4519" s="11" t="str">
        <f ca="1">IFERROR(__xludf.DUMMYFUNCTION("IFERROR(SUBSTITUTE(SUBSTITUTE(REGEXEXTRACT(A4519, ""[^-]+- [^-]+- [^-]+ - (.+?)\.jpg""), "".jpg"", """"), ""-"", "", ""), """")"),"")</f>
        <v/>
      </c>
      <c r="L4519" s="12"/>
      <c r="M4519" s="13"/>
      <c r="N4519" s="2"/>
      <c r="O4519" s="20"/>
      <c r="P4519" s="42"/>
      <c r="R4519" s="23"/>
    </row>
    <row r="4520" spans="1:18" ht="12.75">
      <c r="A4520" s="12"/>
      <c r="D4520" s="12"/>
      <c r="E4520" s="12"/>
      <c r="H4520" s="11" t="str">
        <f ca="1">IFERROR(__xludf.DUMMYFUNCTION("IFERROR(SUBSTITUTE(SUBSTITUTE(REGEXEXTRACT(A4520, ""[^-]+- [^-]+- [^-]+ - (.+?)\.jpg""), "".jpg"", """"), ""-"", "", ""), """")"),"")</f>
        <v/>
      </c>
      <c r="L4520" s="12"/>
      <c r="M4520" s="13"/>
      <c r="N4520" s="2"/>
      <c r="O4520" s="20"/>
      <c r="P4520" s="42"/>
      <c r="R4520" s="23"/>
    </row>
    <row r="4521" spans="1:18" ht="12.75">
      <c r="A4521" s="12"/>
      <c r="D4521" s="12"/>
      <c r="E4521" s="12"/>
      <c r="H4521" s="11" t="str">
        <f ca="1">IFERROR(__xludf.DUMMYFUNCTION("IFERROR(SUBSTITUTE(SUBSTITUTE(REGEXEXTRACT(A4521, ""[^-]+- [^-]+- [^-]+ - (.+?)\.jpg""), "".jpg"", """"), ""-"", "", ""), """")"),"")</f>
        <v/>
      </c>
      <c r="L4521" s="12"/>
      <c r="M4521" s="13"/>
      <c r="N4521" s="2"/>
      <c r="O4521" s="20"/>
      <c r="P4521" s="42"/>
      <c r="R4521" s="23"/>
    </row>
    <row r="4522" spans="1:18" ht="12.75">
      <c r="A4522" s="12"/>
      <c r="D4522" s="12"/>
      <c r="E4522" s="12"/>
      <c r="H4522" s="11" t="str">
        <f ca="1">IFERROR(__xludf.DUMMYFUNCTION("IFERROR(SUBSTITUTE(SUBSTITUTE(REGEXEXTRACT(A4522, ""[^-]+- [^-]+- [^-]+ - (.+?)\.jpg""), "".jpg"", """"), ""-"", "", ""), """")"),"")</f>
        <v/>
      </c>
      <c r="L4522" s="12"/>
      <c r="M4522" s="13"/>
      <c r="N4522" s="2"/>
      <c r="O4522" s="20"/>
      <c r="P4522" s="42"/>
      <c r="R4522" s="23"/>
    </row>
    <row r="4523" spans="1:18" ht="12.75">
      <c r="A4523" s="12"/>
      <c r="D4523" s="12"/>
      <c r="E4523" s="12"/>
      <c r="H4523" s="11" t="str">
        <f ca="1">IFERROR(__xludf.DUMMYFUNCTION("IFERROR(SUBSTITUTE(SUBSTITUTE(REGEXEXTRACT(A4523, ""[^-]+- [^-]+- [^-]+ - (.+?)\.jpg""), "".jpg"", """"), ""-"", "", ""), """")"),"")</f>
        <v/>
      </c>
      <c r="L4523" s="12"/>
      <c r="M4523" s="13"/>
      <c r="N4523" s="2"/>
      <c r="O4523" s="20"/>
      <c r="P4523" s="42"/>
      <c r="R4523" s="23"/>
    </row>
    <row r="4524" spans="1:18" ht="12.75">
      <c r="A4524" s="12"/>
      <c r="D4524" s="12"/>
      <c r="E4524" s="12"/>
      <c r="H4524" s="11" t="str">
        <f ca="1">IFERROR(__xludf.DUMMYFUNCTION("IFERROR(SUBSTITUTE(SUBSTITUTE(REGEXEXTRACT(A4524, ""[^-]+- [^-]+- [^-]+ - (.+?)\.jpg""), "".jpg"", """"), ""-"", "", ""), """")"),"")</f>
        <v/>
      </c>
      <c r="L4524" s="12"/>
      <c r="M4524" s="13"/>
      <c r="N4524" s="2"/>
      <c r="O4524" s="20"/>
      <c r="P4524" s="42"/>
      <c r="R4524" s="23"/>
    </row>
    <row r="4525" spans="1:18" ht="12.75">
      <c r="A4525" s="12"/>
      <c r="D4525" s="12"/>
      <c r="E4525" s="12"/>
      <c r="H4525" s="11" t="str">
        <f ca="1">IFERROR(__xludf.DUMMYFUNCTION("IFERROR(SUBSTITUTE(SUBSTITUTE(REGEXEXTRACT(A4525, ""[^-]+- [^-]+- [^-]+ - (.+?)\.jpg""), "".jpg"", """"), ""-"", "", ""), """")"),"")</f>
        <v/>
      </c>
      <c r="L4525" s="12"/>
      <c r="M4525" s="13"/>
      <c r="N4525" s="2"/>
      <c r="O4525" s="20"/>
      <c r="P4525" s="42"/>
      <c r="R4525" s="23"/>
    </row>
    <row r="4526" spans="1:18" ht="12.75">
      <c r="A4526" s="12"/>
      <c r="D4526" s="12"/>
      <c r="E4526" s="12"/>
      <c r="H4526" s="11" t="str">
        <f ca="1">IFERROR(__xludf.DUMMYFUNCTION("IFERROR(SUBSTITUTE(SUBSTITUTE(REGEXEXTRACT(A4526, ""[^-]+- [^-]+- [^-]+ - (.+?)\.jpg""), "".jpg"", """"), ""-"", "", ""), """")"),"")</f>
        <v/>
      </c>
      <c r="L4526" s="12"/>
      <c r="M4526" s="13"/>
      <c r="N4526" s="2"/>
      <c r="O4526" s="20"/>
      <c r="P4526" s="42"/>
      <c r="R4526" s="23"/>
    </row>
    <row r="4527" spans="1:18" ht="12.75">
      <c r="A4527" s="12"/>
      <c r="D4527" s="12"/>
      <c r="E4527" s="12"/>
      <c r="H4527" s="11" t="str">
        <f ca="1">IFERROR(__xludf.DUMMYFUNCTION("IFERROR(SUBSTITUTE(SUBSTITUTE(REGEXEXTRACT(A4527, ""[^-]+- [^-]+- [^-]+ - (.+?)\.jpg""), "".jpg"", """"), ""-"", "", ""), """")"),"")</f>
        <v/>
      </c>
      <c r="L4527" s="12"/>
      <c r="M4527" s="13"/>
      <c r="N4527" s="2"/>
      <c r="O4527" s="20"/>
      <c r="P4527" s="42"/>
      <c r="R4527" s="23"/>
    </row>
    <row r="4528" spans="1:18" ht="12.75">
      <c r="A4528" s="12"/>
      <c r="D4528" s="12"/>
      <c r="E4528" s="12"/>
      <c r="H4528" s="11" t="str">
        <f ca="1">IFERROR(__xludf.DUMMYFUNCTION("IFERROR(SUBSTITUTE(SUBSTITUTE(REGEXEXTRACT(A4528, ""[^-]+- [^-]+- [^-]+ - (.+?)\.jpg""), "".jpg"", """"), ""-"", "", ""), """")"),"")</f>
        <v/>
      </c>
      <c r="L4528" s="12"/>
      <c r="M4528" s="13"/>
      <c r="N4528" s="2"/>
      <c r="O4528" s="20"/>
      <c r="P4528" s="42"/>
      <c r="R4528" s="23"/>
    </row>
    <row r="4529" spans="1:18" ht="12.75">
      <c r="A4529" s="12"/>
      <c r="D4529" s="12"/>
      <c r="E4529" s="12"/>
      <c r="H4529" s="11" t="str">
        <f ca="1">IFERROR(__xludf.DUMMYFUNCTION("IFERROR(SUBSTITUTE(SUBSTITUTE(REGEXEXTRACT(A4529, ""[^-]+- [^-]+- [^-]+ - (.+?)\.jpg""), "".jpg"", """"), ""-"", "", ""), """")"),"")</f>
        <v/>
      </c>
      <c r="L4529" s="12"/>
      <c r="M4529" s="13"/>
      <c r="N4529" s="2"/>
      <c r="O4529" s="20"/>
      <c r="P4529" s="42"/>
      <c r="R4529" s="23"/>
    </row>
    <row r="4530" spans="1:18" ht="12.75">
      <c r="A4530" s="12"/>
      <c r="D4530" s="12"/>
      <c r="E4530" s="12"/>
      <c r="H4530" s="11" t="str">
        <f ca="1">IFERROR(__xludf.DUMMYFUNCTION("IFERROR(SUBSTITUTE(SUBSTITUTE(REGEXEXTRACT(A4530, ""[^-]+- [^-]+- [^-]+ - (.+?)\.jpg""), "".jpg"", """"), ""-"", "", ""), """")"),"")</f>
        <v/>
      </c>
      <c r="L4530" s="12"/>
      <c r="M4530" s="13"/>
      <c r="N4530" s="2"/>
      <c r="O4530" s="20"/>
      <c r="P4530" s="42"/>
      <c r="R4530" s="23"/>
    </row>
    <row r="4531" spans="1:18" ht="12.75">
      <c r="A4531" s="12"/>
      <c r="D4531" s="12"/>
      <c r="E4531" s="12"/>
      <c r="H4531" s="11" t="str">
        <f ca="1">IFERROR(__xludf.DUMMYFUNCTION("IFERROR(SUBSTITUTE(SUBSTITUTE(REGEXEXTRACT(A4531, ""[^-]+- [^-]+- [^-]+ - (.+?)\.jpg""), "".jpg"", """"), ""-"", "", ""), """")"),"")</f>
        <v/>
      </c>
      <c r="L4531" s="12"/>
      <c r="M4531" s="13"/>
      <c r="N4531" s="2"/>
      <c r="O4531" s="20"/>
      <c r="P4531" s="42"/>
      <c r="R4531" s="23"/>
    </row>
    <row r="4532" spans="1:18" ht="12.75">
      <c r="A4532" s="12"/>
      <c r="D4532" s="12"/>
      <c r="E4532" s="12"/>
      <c r="H4532" s="11" t="str">
        <f ca="1">IFERROR(__xludf.DUMMYFUNCTION("IFERROR(SUBSTITUTE(SUBSTITUTE(REGEXEXTRACT(A4532, ""[^-]+- [^-]+- [^-]+ - (.+?)\.jpg""), "".jpg"", """"), ""-"", "", ""), """")"),"")</f>
        <v/>
      </c>
      <c r="L4532" s="12"/>
      <c r="M4532" s="13"/>
      <c r="N4532" s="2"/>
      <c r="O4532" s="20"/>
      <c r="P4532" s="42"/>
      <c r="R4532" s="23"/>
    </row>
    <row r="4533" spans="1:18" ht="12.75">
      <c r="A4533" s="12"/>
      <c r="D4533" s="12"/>
      <c r="E4533" s="12"/>
      <c r="H4533" s="11" t="str">
        <f ca="1">IFERROR(__xludf.DUMMYFUNCTION("IFERROR(SUBSTITUTE(SUBSTITUTE(REGEXEXTRACT(A4533, ""[^-]+- [^-]+- [^-]+ - (.+?)\.jpg""), "".jpg"", """"), ""-"", "", ""), """")"),"")</f>
        <v/>
      </c>
      <c r="L4533" s="12"/>
      <c r="M4533" s="13"/>
      <c r="N4533" s="2"/>
      <c r="O4533" s="20"/>
      <c r="P4533" s="42"/>
      <c r="R4533" s="23"/>
    </row>
    <row r="4534" spans="1:18" ht="12.75">
      <c r="A4534" s="12"/>
      <c r="D4534" s="12"/>
      <c r="E4534" s="12"/>
      <c r="H4534" s="11" t="str">
        <f ca="1">IFERROR(__xludf.DUMMYFUNCTION("IFERROR(SUBSTITUTE(SUBSTITUTE(REGEXEXTRACT(A4534, ""[^-]+- [^-]+- [^-]+ - (.+?)\.jpg""), "".jpg"", """"), ""-"", "", ""), """")"),"")</f>
        <v/>
      </c>
      <c r="L4534" s="12"/>
      <c r="M4534" s="13"/>
      <c r="N4534" s="2"/>
      <c r="O4534" s="20"/>
      <c r="P4534" s="42"/>
      <c r="R4534" s="23"/>
    </row>
    <row r="4535" spans="1:18" ht="12.75">
      <c r="A4535" s="12"/>
      <c r="D4535" s="12"/>
      <c r="E4535" s="12"/>
      <c r="H4535" s="11" t="str">
        <f ca="1">IFERROR(__xludf.DUMMYFUNCTION("IFERROR(SUBSTITUTE(SUBSTITUTE(REGEXEXTRACT(A4535, ""[^-]+- [^-]+- [^-]+ - (.+?)\.jpg""), "".jpg"", """"), ""-"", "", ""), """")"),"")</f>
        <v/>
      </c>
      <c r="L4535" s="12"/>
      <c r="M4535" s="13"/>
      <c r="N4535" s="2"/>
      <c r="O4535" s="20"/>
      <c r="P4535" s="42"/>
      <c r="R4535" s="23"/>
    </row>
    <row r="4536" spans="1:18" ht="12.75">
      <c r="A4536" s="12"/>
      <c r="D4536" s="12"/>
      <c r="E4536" s="12"/>
      <c r="H4536" s="11" t="str">
        <f ca="1">IFERROR(__xludf.DUMMYFUNCTION("IFERROR(SUBSTITUTE(SUBSTITUTE(REGEXEXTRACT(A4536, ""[^-]+- [^-]+- [^-]+ - (.+?)\.jpg""), "".jpg"", """"), ""-"", "", ""), """")"),"")</f>
        <v/>
      </c>
      <c r="L4536" s="12"/>
      <c r="M4536" s="13"/>
      <c r="N4536" s="2"/>
      <c r="O4536" s="20"/>
      <c r="P4536" s="42"/>
      <c r="R4536" s="23"/>
    </row>
    <row r="4537" spans="1:18" ht="12.75">
      <c r="A4537" s="12"/>
      <c r="D4537" s="12"/>
      <c r="E4537" s="12"/>
      <c r="H4537" s="11" t="str">
        <f ca="1">IFERROR(__xludf.DUMMYFUNCTION("IFERROR(SUBSTITUTE(SUBSTITUTE(REGEXEXTRACT(A4537, ""[^-]+- [^-]+- [^-]+ - (.+?)\.jpg""), "".jpg"", """"), ""-"", "", ""), """")"),"")</f>
        <v/>
      </c>
      <c r="L4537" s="12"/>
      <c r="M4537" s="13"/>
      <c r="N4537" s="2"/>
      <c r="O4537" s="20"/>
      <c r="P4537" s="42"/>
      <c r="R4537" s="23"/>
    </row>
    <row r="4538" spans="1:18" ht="12.75">
      <c r="A4538" s="12"/>
      <c r="D4538" s="12"/>
      <c r="E4538" s="12"/>
      <c r="H4538" s="11" t="str">
        <f ca="1">IFERROR(__xludf.DUMMYFUNCTION("IFERROR(SUBSTITUTE(SUBSTITUTE(REGEXEXTRACT(A4538, ""[^-]+- [^-]+- [^-]+ - (.+?)\.jpg""), "".jpg"", """"), ""-"", "", ""), """")"),"")</f>
        <v/>
      </c>
      <c r="L4538" s="12"/>
      <c r="M4538" s="13"/>
      <c r="N4538" s="2"/>
      <c r="O4538" s="20"/>
      <c r="P4538" s="42"/>
      <c r="R4538" s="23"/>
    </row>
    <row r="4539" spans="1:18" ht="12.75">
      <c r="A4539" s="12"/>
      <c r="D4539" s="12"/>
      <c r="E4539" s="12"/>
      <c r="H4539" s="11" t="str">
        <f ca="1">IFERROR(__xludf.DUMMYFUNCTION("IFERROR(SUBSTITUTE(SUBSTITUTE(REGEXEXTRACT(A4539, ""[^-]+- [^-]+- [^-]+ - (.+?)\.jpg""), "".jpg"", """"), ""-"", "", ""), """")"),"")</f>
        <v/>
      </c>
      <c r="L4539" s="12"/>
      <c r="M4539" s="13"/>
      <c r="N4539" s="2"/>
      <c r="O4539" s="20"/>
      <c r="P4539" s="42"/>
      <c r="R4539" s="23"/>
    </row>
    <row r="4540" spans="1:18" ht="12.75">
      <c r="A4540" s="12"/>
      <c r="D4540" s="12"/>
      <c r="E4540" s="12"/>
      <c r="H4540" s="11" t="str">
        <f ca="1">IFERROR(__xludf.DUMMYFUNCTION("IFERROR(SUBSTITUTE(SUBSTITUTE(REGEXEXTRACT(A4540, ""[^-]+- [^-]+- [^-]+ - (.+?)\.jpg""), "".jpg"", """"), ""-"", "", ""), """")"),"")</f>
        <v/>
      </c>
      <c r="L4540" s="12"/>
      <c r="M4540" s="13"/>
      <c r="N4540" s="2"/>
      <c r="O4540" s="20"/>
      <c r="P4540" s="42"/>
      <c r="R4540" s="23"/>
    </row>
    <row r="4541" spans="1:18" ht="12.75">
      <c r="A4541" s="12"/>
      <c r="D4541" s="12"/>
      <c r="E4541" s="12"/>
      <c r="H4541" s="11" t="str">
        <f ca="1">IFERROR(__xludf.DUMMYFUNCTION("IFERROR(SUBSTITUTE(SUBSTITUTE(REGEXEXTRACT(A4541, ""[^-]+- [^-]+- [^-]+ - (.+?)\.jpg""), "".jpg"", """"), ""-"", "", ""), """")"),"")</f>
        <v/>
      </c>
      <c r="L4541" s="12"/>
      <c r="M4541" s="13"/>
      <c r="N4541" s="2"/>
      <c r="O4541" s="20"/>
      <c r="P4541" s="42"/>
      <c r="R4541" s="23"/>
    </row>
    <row r="4542" spans="1:18" ht="12.75">
      <c r="A4542" s="12"/>
      <c r="D4542" s="12"/>
      <c r="E4542" s="12"/>
      <c r="H4542" s="11" t="str">
        <f ca="1">IFERROR(__xludf.DUMMYFUNCTION("IFERROR(SUBSTITUTE(SUBSTITUTE(REGEXEXTRACT(A4542, ""[^-]+- [^-]+- [^-]+ - (.+?)\.jpg""), "".jpg"", """"), ""-"", "", ""), """")"),"")</f>
        <v/>
      </c>
      <c r="L4542" s="12"/>
      <c r="M4542" s="13"/>
      <c r="N4542" s="2"/>
      <c r="O4542" s="20"/>
      <c r="P4542" s="42"/>
      <c r="R4542" s="23"/>
    </row>
    <row r="4543" spans="1:18" ht="12.75">
      <c r="A4543" s="12"/>
      <c r="D4543" s="12"/>
      <c r="E4543" s="12"/>
      <c r="H4543" s="11" t="str">
        <f ca="1">IFERROR(__xludf.DUMMYFUNCTION("IFERROR(SUBSTITUTE(SUBSTITUTE(REGEXEXTRACT(A4543, ""[^-]+- [^-]+- [^-]+ - (.+?)\.jpg""), "".jpg"", """"), ""-"", "", ""), """")"),"")</f>
        <v/>
      </c>
      <c r="L4543" s="12"/>
      <c r="M4543" s="13"/>
      <c r="N4543" s="2"/>
      <c r="O4543" s="20"/>
      <c r="P4543" s="42"/>
      <c r="R4543" s="23"/>
    </row>
    <row r="4544" spans="1:18" ht="12.75">
      <c r="A4544" s="12"/>
      <c r="D4544" s="12"/>
      <c r="E4544" s="12"/>
      <c r="H4544" s="11" t="str">
        <f ca="1">IFERROR(__xludf.DUMMYFUNCTION("IFERROR(SUBSTITUTE(SUBSTITUTE(REGEXEXTRACT(A4544, ""[^-]+- [^-]+- [^-]+ - (.+?)\.jpg""), "".jpg"", """"), ""-"", "", ""), """")"),"")</f>
        <v/>
      </c>
      <c r="L4544" s="12"/>
      <c r="M4544" s="13"/>
      <c r="N4544" s="2"/>
      <c r="O4544" s="20"/>
      <c r="P4544" s="42"/>
      <c r="R4544" s="23"/>
    </row>
    <row r="4545" spans="1:18" ht="12.75">
      <c r="A4545" s="12"/>
      <c r="D4545" s="12"/>
      <c r="E4545" s="12"/>
      <c r="H4545" s="11" t="str">
        <f ca="1">IFERROR(__xludf.DUMMYFUNCTION("IFERROR(SUBSTITUTE(SUBSTITUTE(REGEXEXTRACT(A4545, ""[^-]+- [^-]+- [^-]+ - (.+?)\.jpg""), "".jpg"", """"), ""-"", "", ""), """")"),"")</f>
        <v/>
      </c>
      <c r="L4545" s="12"/>
      <c r="M4545" s="13"/>
      <c r="N4545" s="2"/>
      <c r="O4545" s="20"/>
      <c r="P4545" s="42"/>
      <c r="R4545" s="23"/>
    </row>
    <row r="4546" spans="1:18" ht="12.75">
      <c r="A4546" s="12"/>
      <c r="D4546" s="12"/>
      <c r="E4546" s="12"/>
      <c r="H4546" s="11" t="str">
        <f ca="1">IFERROR(__xludf.DUMMYFUNCTION("IFERROR(SUBSTITUTE(SUBSTITUTE(REGEXEXTRACT(A4546, ""[^-]+- [^-]+- [^-]+ - (.+?)\.jpg""), "".jpg"", """"), ""-"", "", ""), """")"),"")</f>
        <v/>
      </c>
      <c r="L4546" s="12"/>
      <c r="M4546" s="13"/>
      <c r="N4546" s="2"/>
      <c r="O4546" s="20"/>
      <c r="P4546" s="42"/>
      <c r="R4546" s="23"/>
    </row>
    <row r="4547" spans="1:18" ht="12.75">
      <c r="A4547" s="12"/>
      <c r="D4547" s="12"/>
      <c r="E4547" s="12"/>
      <c r="H4547" s="11" t="str">
        <f ca="1">IFERROR(__xludf.DUMMYFUNCTION("IFERROR(SUBSTITUTE(SUBSTITUTE(REGEXEXTRACT(A4547, ""[^-]+- [^-]+- [^-]+ - (.+?)\.jpg""), "".jpg"", """"), ""-"", "", ""), """")"),"")</f>
        <v/>
      </c>
      <c r="L4547" s="12"/>
      <c r="M4547" s="13"/>
      <c r="N4547" s="2"/>
      <c r="O4547" s="20"/>
      <c r="P4547" s="42"/>
      <c r="R4547" s="23"/>
    </row>
    <row r="4548" spans="1:18" ht="12.75">
      <c r="A4548" s="12"/>
      <c r="D4548" s="12"/>
      <c r="E4548" s="12"/>
      <c r="H4548" s="11" t="str">
        <f ca="1">IFERROR(__xludf.DUMMYFUNCTION("IFERROR(SUBSTITUTE(SUBSTITUTE(REGEXEXTRACT(A4548, ""[^-]+- [^-]+- [^-]+ - (.+?)\.jpg""), "".jpg"", """"), ""-"", "", ""), """")"),"")</f>
        <v/>
      </c>
      <c r="L4548" s="12"/>
      <c r="M4548" s="13"/>
      <c r="N4548" s="2"/>
      <c r="O4548" s="20"/>
      <c r="P4548" s="42"/>
      <c r="R4548" s="23"/>
    </row>
    <row r="4549" spans="1:18" ht="12.75">
      <c r="A4549" s="12"/>
      <c r="D4549" s="12"/>
      <c r="E4549" s="12"/>
      <c r="H4549" s="11" t="str">
        <f ca="1">IFERROR(__xludf.DUMMYFUNCTION("IFERROR(SUBSTITUTE(SUBSTITUTE(REGEXEXTRACT(A4549, ""[^-]+- [^-]+- [^-]+ - (.+?)\.jpg""), "".jpg"", """"), ""-"", "", ""), """")"),"")</f>
        <v/>
      </c>
      <c r="L4549" s="12"/>
      <c r="M4549" s="13"/>
      <c r="N4549" s="2"/>
      <c r="O4549" s="20"/>
      <c r="P4549" s="42"/>
      <c r="R4549" s="23"/>
    </row>
    <row r="4550" spans="1:18" ht="12.75">
      <c r="A4550" s="12"/>
      <c r="D4550" s="12"/>
      <c r="E4550" s="12"/>
      <c r="H4550" s="11" t="str">
        <f ca="1">IFERROR(__xludf.DUMMYFUNCTION("IFERROR(SUBSTITUTE(SUBSTITUTE(REGEXEXTRACT(A4550, ""[^-]+- [^-]+- [^-]+ - (.+?)\.jpg""), "".jpg"", """"), ""-"", "", ""), """")"),"")</f>
        <v/>
      </c>
      <c r="L4550" s="12"/>
      <c r="M4550" s="13"/>
      <c r="N4550" s="2"/>
      <c r="O4550" s="20"/>
      <c r="P4550" s="42"/>
      <c r="R4550" s="23"/>
    </row>
    <row r="4551" spans="1:18" ht="12.75">
      <c r="A4551" s="12"/>
      <c r="D4551" s="12"/>
      <c r="E4551" s="12"/>
      <c r="H4551" s="11" t="str">
        <f ca="1">IFERROR(__xludf.DUMMYFUNCTION("IFERROR(SUBSTITUTE(SUBSTITUTE(REGEXEXTRACT(A4551, ""[^-]+- [^-]+- [^-]+ - (.+?)\.jpg""), "".jpg"", """"), ""-"", "", ""), """")"),"")</f>
        <v/>
      </c>
      <c r="L4551" s="12"/>
      <c r="M4551" s="13"/>
      <c r="N4551" s="2"/>
      <c r="O4551" s="20"/>
      <c r="P4551" s="42"/>
      <c r="R4551" s="23"/>
    </row>
    <row r="4552" spans="1:18" ht="12.75">
      <c r="A4552" s="12"/>
      <c r="D4552" s="12"/>
      <c r="E4552" s="12"/>
      <c r="H4552" s="11" t="str">
        <f ca="1">IFERROR(__xludf.DUMMYFUNCTION("IFERROR(SUBSTITUTE(SUBSTITUTE(REGEXEXTRACT(A4552, ""[^-]+- [^-]+- [^-]+ - (.+?)\.jpg""), "".jpg"", """"), ""-"", "", ""), """")"),"")</f>
        <v/>
      </c>
      <c r="L4552" s="12"/>
      <c r="M4552" s="13"/>
      <c r="N4552" s="2"/>
      <c r="O4552" s="20"/>
      <c r="P4552" s="42"/>
      <c r="R4552" s="23"/>
    </row>
    <row r="4553" spans="1:18" ht="12.75">
      <c r="A4553" s="12"/>
      <c r="D4553" s="12"/>
      <c r="E4553" s="12"/>
      <c r="H4553" s="11" t="str">
        <f ca="1">IFERROR(__xludf.DUMMYFUNCTION("IFERROR(SUBSTITUTE(SUBSTITUTE(REGEXEXTRACT(A4553, ""[^-]+- [^-]+- [^-]+ - (.+?)\.jpg""), "".jpg"", """"), ""-"", "", ""), """")"),"")</f>
        <v/>
      </c>
      <c r="L4553" s="12"/>
      <c r="M4553" s="13"/>
      <c r="N4553" s="2"/>
      <c r="O4553" s="20"/>
      <c r="P4553" s="42"/>
      <c r="R4553" s="23"/>
    </row>
    <row r="4554" spans="1:18" ht="12.75">
      <c r="A4554" s="12"/>
      <c r="D4554" s="12"/>
      <c r="E4554" s="12"/>
      <c r="H4554" s="11" t="str">
        <f ca="1">IFERROR(__xludf.DUMMYFUNCTION("IFERROR(SUBSTITUTE(SUBSTITUTE(REGEXEXTRACT(A4554, ""[^-]+- [^-]+- [^-]+ - (.+?)\.jpg""), "".jpg"", """"), ""-"", "", ""), """")"),"")</f>
        <v/>
      </c>
      <c r="L4554" s="12"/>
      <c r="M4554" s="13"/>
      <c r="N4554" s="2"/>
      <c r="O4554" s="20"/>
      <c r="P4554" s="42"/>
      <c r="R4554" s="23"/>
    </row>
    <row r="4555" spans="1:18" ht="12.75">
      <c r="A4555" s="12"/>
      <c r="D4555" s="12"/>
      <c r="E4555" s="12"/>
      <c r="H4555" s="11" t="str">
        <f ca="1">IFERROR(__xludf.DUMMYFUNCTION("IFERROR(SUBSTITUTE(SUBSTITUTE(REGEXEXTRACT(A4555, ""[^-]+- [^-]+- [^-]+ - (.+?)\.jpg""), "".jpg"", """"), ""-"", "", ""), """")"),"")</f>
        <v/>
      </c>
      <c r="L4555" s="12"/>
      <c r="M4555" s="13"/>
      <c r="N4555" s="2"/>
      <c r="O4555" s="20"/>
      <c r="P4555" s="42"/>
      <c r="R4555" s="23"/>
    </row>
    <row r="4556" spans="1:18" ht="12.75">
      <c r="A4556" s="12"/>
      <c r="D4556" s="12"/>
      <c r="E4556" s="12"/>
      <c r="H4556" s="11" t="str">
        <f ca="1">IFERROR(__xludf.DUMMYFUNCTION("IFERROR(SUBSTITUTE(SUBSTITUTE(REGEXEXTRACT(A4556, ""[^-]+- [^-]+- [^-]+ - (.+?)\.jpg""), "".jpg"", """"), ""-"", "", ""), """")"),"")</f>
        <v/>
      </c>
      <c r="L4556" s="12"/>
      <c r="M4556" s="13"/>
      <c r="N4556" s="2"/>
      <c r="O4556" s="20"/>
      <c r="P4556" s="42"/>
      <c r="R4556" s="23"/>
    </row>
    <row r="4557" spans="1:18" ht="12.75">
      <c r="A4557" s="12"/>
      <c r="D4557" s="12"/>
      <c r="E4557" s="12"/>
      <c r="H4557" s="11" t="str">
        <f ca="1">IFERROR(__xludf.DUMMYFUNCTION("IFERROR(SUBSTITUTE(SUBSTITUTE(REGEXEXTRACT(A4557, ""[^-]+- [^-]+- [^-]+ - (.+?)\.jpg""), "".jpg"", """"), ""-"", "", ""), """")"),"")</f>
        <v/>
      </c>
      <c r="L4557" s="12"/>
      <c r="M4557" s="13"/>
      <c r="N4557" s="2"/>
      <c r="O4557" s="20"/>
      <c r="P4557" s="42"/>
      <c r="R4557" s="23"/>
    </row>
    <row r="4558" spans="1:18" ht="12.75">
      <c r="A4558" s="12"/>
      <c r="D4558" s="12"/>
      <c r="E4558" s="12"/>
      <c r="H4558" s="11" t="str">
        <f ca="1">IFERROR(__xludf.DUMMYFUNCTION("IFERROR(SUBSTITUTE(SUBSTITUTE(REGEXEXTRACT(A4558, ""[^-]+- [^-]+- [^-]+ - (.+?)\.jpg""), "".jpg"", """"), ""-"", "", ""), """")"),"")</f>
        <v/>
      </c>
      <c r="L4558" s="12"/>
      <c r="M4558" s="13"/>
      <c r="N4558" s="2"/>
      <c r="O4558" s="20"/>
      <c r="P4558" s="42"/>
      <c r="R4558" s="23"/>
    </row>
    <row r="4559" spans="1:18" ht="12.75">
      <c r="A4559" s="12"/>
      <c r="D4559" s="12"/>
      <c r="E4559" s="12"/>
      <c r="H4559" s="11" t="str">
        <f ca="1">IFERROR(__xludf.DUMMYFUNCTION("IFERROR(SUBSTITUTE(SUBSTITUTE(REGEXEXTRACT(A4559, ""[^-]+- [^-]+- [^-]+ - (.+?)\.jpg""), "".jpg"", """"), ""-"", "", ""), """")"),"")</f>
        <v/>
      </c>
      <c r="L4559" s="12"/>
      <c r="M4559" s="13"/>
      <c r="N4559" s="2"/>
      <c r="O4559" s="20"/>
      <c r="P4559" s="42"/>
      <c r="R4559" s="23"/>
    </row>
    <row r="4560" spans="1:18" ht="12.75">
      <c r="A4560" s="12"/>
      <c r="D4560" s="12"/>
      <c r="E4560" s="12"/>
      <c r="H4560" s="11" t="str">
        <f ca="1">IFERROR(__xludf.DUMMYFUNCTION("IFERROR(SUBSTITUTE(SUBSTITUTE(REGEXEXTRACT(A4560, ""[^-]+- [^-]+- [^-]+ - (.+?)\.jpg""), "".jpg"", """"), ""-"", "", ""), """")"),"")</f>
        <v/>
      </c>
      <c r="L4560" s="12"/>
      <c r="M4560" s="13"/>
      <c r="N4560" s="2"/>
      <c r="O4560" s="20"/>
      <c r="P4560" s="42"/>
      <c r="R4560" s="23"/>
    </row>
    <row r="4561" spans="1:18" ht="12.75">
      <c r="A4561" s="12"/>
      <c r="D4561" s="12"/>
      <c r="E4561" s="12"/>
      <c r="H4561" s="11" t="str">
        <f ca="1">IFERROR(__xludf.DUMMYFUNCTION("IFERROR(SUBSTITUTE(SUBSTITUTE(REGEXEXTRACT(A4561, ""[^-]+- [^-]+- [^-]+ - (.+?)\.jpg""), "".jpg"", """"), ""-"", "", ""), """")"),"")</f>
        <v/>
      </c>
      <c r="L4561" s="12"/>
      <c r="M4561" s="13"/>
      <c r="N4561" s="2"/>
      <c r="O4561" s="20"/>
      <c r="P4561" s="42"/>
      <c r="R4561" s="23"/>
    </row>
    <row r="4562" spans="1:18" ht="12.75">
      <c r="A4562" s="12"/>
      <c r="D4562" s="12"/>
      <c r="E4562" s="12"/>
      <c r="H4562" s="11" t="str">
        <f ca="1">IFERROR(__xludf.DUMMYFUNCTION("IFERROR(SUBSTITUTE(SUBSTITUTE(REGEXEXTRACT(A4562, ""[^-]+- [^-]+- [^-]+ - (.+?)\.jpg""), "".jpg"", """"), ""-"", "", ""), """")"),"")</f>
        <v/>
      </c>
      <c r="L4562" s="12"/>
      <c r="M4562" s="13"/>
      <c r="N4562" s="2"/>
      <c r="O4562" s="20"/>
      <c r="P4562" s="42"/>
      <c r="R4562" s="23"/>
    </row>
    <row r="4563" spans="1:18" ht="12.75">
      <c r="A4563" s="12"/>
      <c r="D4563" s="12"/>
      <c r="E4563" s="12"/>
      <c r="H4563" s="11" t="str">
        <f ca="1">IFERROR(__xludf.DUMMYFUNCTION("IFERROR(SUBSTITUTE(SUBSTITUTE(REGEXEXTRACT(A4563, ""[^-]+- [^-]+- [^-]+ - (.+?)\.jpg""), "".jpg"", """"), ""-"", "", ""), """")"),"")</f>
        <v/>
      </c>
      <c r="L4563" s="12"/>
      <c r="M4563" s="13"/>
      <c r="N4563" s="2"/>
      <c r="O4563" s="20"/>
      <c r="P4563" s="42"/>
      <c r="R4563" s="23"/>
    </row>
    <row r="4564" spans="1:18" ht="12.75">
      <c r="A4564" s="12"/>
      <c r="D4564" s="12"/>
      <c r="E4564" s="12"/>
      <c r="H4564" s="11" t="str">
        <f ca="1">IFERROR(__xludf.DUMMYFUNCTION("IFERROR(SUBSTITUTE(SUBSTITUTE(REGEXEXTRACT(A4564, ""[^-]+- [^-]+- [^-]+ - (.+?)\.jpg""), "".jpg"", """"), ""-"", "", ""), """")"),"")</f>
        <v/>
      </c>
      <c r="L4564" s="12"/>
      <c r="M4564" s="13"/>
      <c r="N4564" s="2"/>
      <c r="O4564" s="20"/>
      <c r="P4564" s="42"/>
      <c r="R4564" s="23"/>
    </row>
    <row r="4565" spans="1:18" ht="12.75">
      <c r="A4565" s="12"/>
      <c r="D4565" s="12"/>
      <c r="E4565" s="12"/>
      <c r="H4565" s="11" t="str">
        <f ca="1">IFERROR(__xludf.DUMMYFUNCTION("IFERROR(SUBSTITUTE(SUBSTITUTE(REGEXEXTRACT(A4565, ""[^-]+- [^-]+- [^-]+ - (.+?)\.jpg""), "".jpg"", """"), ""-"", "", ""), """")"),"")</f>
        <v/>
      </c>
      <c r="L4565" s="12"/>
      <c r="M4565" s="13"/>
      <c r="N4565" s="2"/>
      <c r="O4565" s="20"/>
      <c r="P4565" s="42"/>
      <c r="R4565" s="23"/>
    </row>
    <row r="4566" spans="1:18" ht="12.75">
      <c r="A4566" s="12"/>
      <c r="D4566" s="12"/>
      <c r="E4566" s="12"/>
      <c r="H4566" s="11" t="str">
        <f ca="1">IFERROR(__xludf.DUMMYFUNCTION("IFERROR(SUBSTITUTE(SUBSTITUTE(REGEXEXTRACT(A4566, ""[^-]+- [^-]+- [^-]+ - (.+?)\.jpg""), "".jpg"", """"), ""-"", "", ""), """")"),"")</f>
        <v/>
      </c>
      <c r="L4566" s="12"/>
      <c r="M4566" s="13"/>
      <c r="N4566" s="2"/>
      <c r="O4566" s="20"/>
      <c r="P4566" s="42"/>
      <c r="R4566" s="23"/>
    </row>
    <row r="4567" spans="1:18" ht="12.75">
      <c r="A4567" s="12"/>
      <c r="D4567" s="12"/>
      <c r="E4567" s="12"/>
      <c r="H4567" s="11" t="str">
        <f ca="1">IFERROR(__xludf.DUMMYFUNCTION("IFERROR(SUBSTITUTE(SUBSTITUTE(REGEXEXTRACT(A4567, ""[^-]+- [^-]+- [^-]+ - (.+?)\.jpg""), "".jpg"", """"), ""-"", "", ""), """")"),"")</f>
        <v/>
      </c>
      <c r="L4567" s="12"/>
      <c r="M4567" s="13"/>
      <c r="N4567" s="2"/>
      <c r="O4567" s="20"/>
      <c r="P4567" s="42"/>
      <c r="R4567" s="23"/>
    </row>
    <row r="4568" spans="1:18" ht="12.75">
      <c r="A4568" s="12"/>
      <c r="D4568" s="12"/>
      <c r="E4568" s="12"/>
      <c r="H4568" s="11" t="str">
        <f ca="1">IFERROR(__xludf.DUMMYFUNCTION("IFERROR(SUBSTITUTE(SUBSTITUTE(REGEXEXTRACT(A4568, ""[^-]+- [^-]+- [^-]+ - (.+?)\.jpg""), "".jpg"", """"), ""-"", "", ""), """")"),"")</f>
        <v/>
      </c>
      <c r="L4568" s="12"/>
      <c r="M4568" s="13"/>
      <c r="N4568" s="2"/>
      <c r="O4568" s="20"/>
      <c r="P4568" s="42"/>
      <c r="R4568" s="23"/>
    </row>
    <row r="4569" spans="1:18" ht="12.75">
      <c r="A4569" s="12"/>
      <c r="D4569" s="12"/>
      <c r="E4569" s="12"/>
      <c r="H4569" s="11" t="str">
        <f ca="1">IFERROR(__xludf.DUMMYFUNCTION("IFERROR(SUBSTITUTE(SUBSTITUTE(REGEXEXTRACT(A4569, ""[^-]+- [^-]+- [^-]+ - (.+?)\.jpg""), "".jpg"", """"), ""-"", "", ""), """")"),"")</f>
        <v/>
      </c>
      <c r="L4569" s="12"/>
      <c r="M4569" s="13"/>
      <c r="N4569" s="2"/>
      <c r="O4569" s="20"/>
      <c r="P4569" s="42"/>
      <c r="R4569" s="23"/>
    </row>
    <row r="4570" spans="1:18" ht="12.75">
      <c r="A4570" s="12"/>
      <c r="D4570" s="12"/>
      <c r="E4570" s="12"/>
      <c r="H4570" s="11" t="str">
        <f ca="1">IFERROR(__xludf.DUMMYFUNCTION("IFERROR(SUBSTITUTE(SUBSTITUTE(REGEXEXTRACT(A4570, ""[^-]+- [^-]+- [^-]+ - (.+?)\.jpg""), "".jpg"", """"), ""-"", "", ""), """")"),"")</f>
        <v/>
      </c>
      <c r="L4570" s="12"/>
      <c r="M4570" s="13"/>
      <c r="N4570" s="2"/>
      <c r="O4570" s="20"/>
      <c r="P4570" s="42"/>
      <c r="R4570" s="23"/>
    </row>
    <row r="4571" spans="1:18" ht="12.75">
      <c r="A4571" s="12"/>
      <c r="D4571" s="12"/>
      <c r="E4571" s="12"/>
      <c r="H4571" s="11" t="str">
        <f ca="1">IFERROR(__xludf.DUMMYFUNCTION("IFERROR(SUBSTITUTE(SUBSTITUTE(REGEXEXTRACT(A4571, ""[^-]+- [^-]+- [^-]+ - (.+?)\.jpg""), "".jpg"", """"), ""-"", "", ""), """")"),"")</f>
        <v/>
      </c>
      <c r="L4571" s="12"/>
      <c r="M4571" s="13"/>
      <c r="N4571" s="2"/>
      <c r="O4571" s="20"/>
      <c r="P4571" s="42"/>
      <c r="R4571" s="23"/>
    </row>
    <row r="4572" spans="1:18" ht="12.75">
      <c r="A4572" s="12"/>
      <c r="D4572" s="12"/>
      <c r="E4572" s="12"/>
      <c r="H4572" s="11" t="str">
        <f ca="1">IFERROR(__xludf.DUMMYFUNCTION("IFERROR(SUBSTITUTE(SUBSTITUTE(REGEXEXTRACT(A4572, ""[^-]+- [^-]+- [^-]+ - (.+?)\.jpg""), "".jpg"", """"), ""-"", "", ""), """")"),"")</f>
        <v/>
      </c>
      <c r="L4572" s="12"/>
      <c r="M4572" s="13"/>
      <c r="N4572" s="2"/>
      <c r="O4572" s="20"/>
      <c r="P4572" s="42"/>
      <c r="R4572" s="23"/>
    </row>
    <row r="4573" spans="1:18" ht="12.75">
      <c r="A4573" s="12"/>
      <c r="D4573" s="12"/>
      <c r="E4573" s="12"/>
      <c r="H4573" s="11" t="str">
        <f ca="1">IFERROR(__xludf.DUMMYFUNCTION("IFERROR(SUBSTITUTE(SUBSTITUTE(REGEXEXTRACT(A4573, ""[^-]+- [^-]+- [^-]+ - (.+?)\.jpg""), "".jpg"", """"), ""-"", "", ""), """")"),"")</f>
        <v/>
      </c>
      <c r="L4573" s="12"/>
      <c r="M4573" s="13"/>
      <c r="N4573" s="2"/>
      <c r="O4573" s="20"/>
      <c r="P4573" s="42"/>
      <c r="R4573" s="23"/>
    </row>
    <row r="4574" spans="1:18" ht="12.75">
      <c r="A4574" s="12"/>
      <c r="D4574" s="12"/>
      <c r="E4574" s="12"/>
      <c r="H4574" s="11" t="str">
        <f ca="1">IFERROR(__xludf.DUMMYFUNCTION("IFERROR(SUBSTITUTE(SUBSTITUTE(REGEXEXTRACT(A4574, ""[^-]+- [^-]+- [^-]+ - (.+?)\.jpg""), "".jpg"", """"), ""-"", "", ""), """")"),"")</f>
        <v/>
      </c>
      <c r="L4574" s="12"/>
      <c r="M4574" s="13"/>
      <c r="N4574" s="2"/>
      <c r="O4574" s="20"/>
      <c r="P4574" s="42"/>
      <c r="R4574" s="23"/>
    </row>
    <row r="4575" spans="1:18" ht="12.75">
      <c r="A4575" s="12"/>
      <c r="D4575" s="12"/>
      <c r="E4575" s="12"/>
      <c r="H4575" s="11" t="str">
        <f ca="1">IFERROR(__xludf.DUMMYFUNCTION("IFERROR(SUBSTITUTE(SUBSTITUTE(REGEXEXTRACT(A4575, ""[^-]+- [^-]+- [^-]+ - (.+?)\.jpg""), "".jpg"", """"), ""-"", "", ""), """")"),"")</f>
        <v/>
      </c>
      <c r="L4575" s="12"/>
      <c r="M4575" s="13"/>
      <c r="N4575" s="2"/>
      <c r="O4575" s="20"/>
      <c r="P4575" s="42"/>
      <c r="R4575" s="23"/>
    </row>
    <row r="4576" spans="1:18" ht="12.75">
      <c r="A4576" s="12"/>
      <c r="D4576" s="12"/>
      <c r="E4576" s="12"/>
      <c r="H4576" s="11" t="str">
        <f ca="1">IFERROR(__xludf.DUMMYFUNCTION("IFERROR(SUBSTITUTE(SUBSTITUTE(REGEXEXTRACT(A4576, ""[^-]+- [^-]+- [^-]+ - (.+?)\.jpg""), "".jpg"", """"), ""-"", "", ""), """")"),"")</f>
        <v/>
      </c>
      <c r="L4576" s="12"/>
      <c r="M4576" s="13"/>
      <c r="N4576" s="2"/>
      <c r="O4576" s="20"/>
      <c r="P4576" s="42"/>
      <c r="R4576" s="23"/>
    </row>
    <row r="4577" spans="1:18" ht="12.75">
      <c r="A4577" s="12"/>
      <c r="D4577" s="12"/>
      <c r="E4577" s="12"/>
      <c r="H4577" s="11" t="str">
        <f ca="1">IFERROR(__xludf.DUMMYFUNCTION("IFERROR(SUBSTITUTE(SUBSTITUTE(REGEXEXTRACT(A4577, ""[^-]+- [^-]+- [^-]+ - (.+?)\.jpg""), "".jpg"", """"), ""-"", "", ""), """")"),"")</f>
        <v/>
      </c>
      <c r="L4577" s="12"/>
      <c r="M4577" s="13"/>
      <c r="N4577" s="2"/>
      <c r="O4577" s="20"/>
      <c r="P4577" s="42"/>
      <c r="R4577" s="23"/>
    </row>
    <row r="4578" spans="1:18" ht="12.75">
      <c r="A4578" s="12"/>
      <c r="D4578" s="12"/>
      <c r="E4578" s="12"/>
      <c r="H4578" s="11" t="str">
        <f ca="1">IFERROR(__xludf.DUMMYFUNCTION("IFERROR(SUBSTITUTE(SUBSTITUTE(REGEXEXTRACT(A4578, ""[^-]+- [^-]+- [^-]+ - (.+?)\.jpg""), "".jpg"", """"), ""-"", "", ""), """")"),"")</f>
        <v/>
      </c>
      <c r="L4578" s="12"/>
      <c r="M4578" s="13"/>
      <c r="N4578" s="2"/>
      <c r="O4578" s="20"/>
      <c r="P4578" s="42"/>
      <c r="R4578" s="23"/>
    </row>
    <row r="4579" spans="1:18" ht="12.75">
      <c r="A4579" s="12"/>
      <c r="D4579" s="12"/>
      <c r="E4579" s="12"/>
      <c r="H4579" s="11" t="str">
        <f ca="1">IFERROR(__xludf.DUMMYFUNCTION("IFERROR(SUBSTITUTE(SUBSTITUTE(REGEXEXTRACT(A4579, ""[^-]+- [^-]+- [^-]+ - (.+?)\.jpg""), "".jpg"", """"), ""-"", "", ""), """")"),"")</f>
        <v/>
      </c>
      <c r="L4579" s="12"/>
      <c r="M4579" s="13"/>
      <c r="N4579" s="2"/>
      <c r="O4579" s="20"/>
      <c r="P4579" s="42"/>
      <c r="R4579" s="23"/>
    </row>
    <row r="4580" spans="1:18" ht="12.75">
      <c r="A4580" s="12"/>
      <c r="D4580" s="12"/>
      <c r="E4580" s="12"/>
      <c r="H4580" s="11" t="str">
        <f ca="1">IFERROR(__xludf.DUMMYFUNCTION("IFERROR(SUBSTITUTE(SUBSTITUTE(REGEXEXTRACT(A4580, ""[^-]+- [^-]+- [^-]+ - (.+?)\.jpg""), "".jpg"", """"), ""-"", "", ""), """")"),"")</f>
        <v/>
      </c>
      <c r="L4580" s="12"/>
      <c r="M4580" s="13"/>
      <c r="N4580" s="2"/>
      <c r="O4580" s="20"/>
      <c r="P4580" s="42"/>
      <c r="R4580" s="23"/>
    </row>
    <row r="4581" spans="1:18" ht="12.75">
      <c r="A4581" s="12"/>
      <c r="D4581" s="12"/>
      <c r="E4581" s="12"/>
      <c r="H4581" s="11" t="str">
        <f ca="1">IFERROR(__xludf.DUMMYFUNCTION("IFERROR(SUBSTITUTE(SUBSTITUTE(REGEXEXTRACT(A4581, ""[^-]+- [^-]+- [^-]+ - (.+?)\.jpg""), "".jpg"", """"), ""-"", "", ""), """")"),"")</f>
        <v/>
      </c>
      <c r="L4581" s="12"/>
      <c r="M4581" s="13"/>
      <c r="N4581" s="2"/>
      <c r="O4581" s="20"/>
      <c r="P4581" s="42"/>
      <c r="R4581" s="23"/>
    </row>
    <row r="4582" spans="1:18" ht="12.75">
      <c r="A4582" s="12"/>
      <c r="D4582" s="12"/>
      <c r="E4582" s="12"/>
      <c r="H4582" s="11" t="str">
        <f ca="1">IFERROR(__xludf.DUMMYFUNCTION("IFERROR(SUBSTITUTE(SUBSTITUTE(REGEXEXTRACT(A4582, ""[^-]+- [^-]+- [^-]+ - (.+?)\.jpg""), "".jpg"", """"), ""-"", "", ""), """")"),"")</f>
        <v/>
      </c>
      <c r="L4582" s="12"/>
      <c r="M4582" s="13"/>
      <c r="N4582" s="2"/>
      <c r="O4582" s="20"/>
      <c r="P4582" s="42"/>
      <c r="R4582" s="23"/>
    </row>
    <row r="4583" spans="1:18" ht="12.75">
      <c r="A4583" s="12"/>
      <c r="D4583" s="12"/>
      <c r="E4583" s="12"/>
      <c r="H4583" s="11" t="str">
        <f ca="1">IFERROR(__xludf.DUMMYFUNCTION("IFERROR(SUBSTITUTE(SUBSTITUTE(REGEXEXTRACT(A4583, ""[^-]+- [^-]+- [^-]+ - (.+?)\.jpg""), "".jpg"", """"), ""-"", "", ""), """")"),"")</f>
        <v/>
      </c>
      <c r="L4583" s="12"/>
      <c r="M4583" s="13"/>
      <c r="N4583" s="2"/>
      <c r="O4583" s="20"/>
      <c r="P4583" s="42"/>
      <c r="R4583" s="23"/>
    </row>
    <row r="4584" spans="1:18" ht="12.75">
      <c r="A4584" s="12"/>
      <c r="D4584" s="12"/>
      <c r="E4584" s="12"/>
      <c r="H4584" s="11" t="str">
        <f ca="1">IFERROR(__xludf.DUMMYFUNCTION("IFERROR(SUBSTITUTE(SUBSTITUTE(REGEXEXTRACT(A4584, ""[^-]+- [^-]+- [^-]+ - (.+?)\.jpg""), "".jpg"", """"), ""-"", "", ""), """")"),"")</f>
        <v/>
      </c>
      <c r="L4584" s="12"/>
      <c r="M4584" s="13"/>
      <c r="N4584" s="2"/>
      <c r="O4584" s="20"/>
      <c r="P4584" s="42"/>
      <c r="R4584" s="23"/>
    </row>
    <row r="4585" spans="1:18" ht="12.75">
      <c r="A4585" s="12"/>
      <c r="D4585" s="12"/>
      <c r="E4585" s="12"/>
      <c r="H4585" s="11" t="str">
        <f ca="1">IFERROR(__xludf.DUMMYFUNCTION("IFERROR(SUBSTITUTE(SUBSTITUTE(REGEXEXTRACT(A4585, ""[^-]+- [^-]+- [^-]+ - (.+?)\.jpg""), "".jpg"", """"), ""-"", "", ""), """")"),"")</f>
        <v/>
      </c>
      <c r="L4585" s="12"/>
      <c r="M4585" s="13"/>
      <c r="N4585" s="2"/>
      <c r="O4585" s="20"/>
      <c r="P4585" s="42"/>
      <c r="R4585" s="23"/>
    </row>
    <row r="4586" spans="1:18" ht="12.75">
      <c r="A4586" s="12"/>
      <c r="D4586" s="12"/>
      <c r="E4586" s="12"/>
      <c r="H4586" s="11" t="str">
        <f ca="1">IFERROR(__xludf.DUMMYFUNCTION("IFERROR(SUBSTITUTE(SUBSTITUTE(REGEXEXTRACT(A4586, ""[^-]+- [^-]+- [^-]+ - (.+?)\.jpg""), "".jpg"", """"), ""-"", "", ""), """")"),"")</f>
        <v/>
      </c>
      <c r="L4586" s="12"/>
      <c r="M4586" s="13"/>
      <c r="N4586" s="2"/>
      <c r="O4586" s="20"/>
      <c r="P4586" s="42"/>
      <c r="R4586" s="23"/>
    </row>
    <row r="4587" spans="1:18" ht="12.75">
      <c r="A4587" s="12"/>
      <c r="D4587" s="12"/>
      <c r="E4587" s="12"/>
      <c r="H4587" s="11" t="str">
        <f ca="1">IFERROR(__xludf.DUMMYFUNCTION("IFERROR(SUBSTITUTE(SUBSTITUTE(REGEXEXTRACT(A4587, ""[^-]+- [^-]+- [^-]+ - (.+?)\.jpg""), "".jpg"", """"), ""-"", "", ""), """")"),"")</f>
        <v/>
      </c>
      <c r="L4587" s="12"/>
      <c r="M4587" s="13"/>
      <c r="N4587" s="2"/>
      <c r="O4587" s="20"/>
      <c r="P4587" s="42"/>
      <c r="R4587" s="23"/>
    </row>
    <row r="4588" spans="1:18" ht="12.75">
      <c r="A4588" s="12"/>
      <c r="D4588" s="12"/>
      <c r="E4588" s="12"/>
      <c r="H4588" s="11" t="str">
        <f ca="1">IFERROR(__xludf.DUMMYFUNCTION("IFERROR(SUBSTITUTE(SUBSTITUTE(REGEXEXTRACT(A4588, ""[^-]+- [^-]+- [^-]+ - (.+?)\.jpg""), "".jpg"", """"), ""-"", "", ""), """")"),"")</f>
        <v/>
      </c>
      <c r="L4588" s="12"/>
      <c r="M4588" s="13"/>
      <c r="N4588" s="2"/>
      <c r="O4588" s="20"/>
      <c r="P4588" s="42"/>
      <c r="R4588" s="23"/>
    </row>
    <row r="4589" spans="1:18" ht="12.75">
      <c r="A4589" s="12"/>
      <c r="D4589" s="12"/>
      <c r="E4589" s="12"/>
      <c r="H4589" s="11" t="str">
        <f ca="1">IFERROR(__xludf.DUMMYFUNCTION("IFERROR(SUBSTITUTE(SUBSTITUTE(REGEXEXTRACT(A4589, ""[^-]+- [^-]+- [^-]+ - (.+?)\.jpg""), "".jpg"", """"), ""-"", "", ""), """")"),"")</f>
        <v/>
      </c>
      <c r="L4589" s="12"/>
      <c r="M4589" s="13"/>
      <c r="N4589" s="2"/>
      <c r="O4589" s="20"/>
      <c r="P4589" s="42"/>
      <c r="R4589" s="23"/>
    </row>
    <row r="4590" spans="1:18" ht="12.75">
      <c r="A4590" s="12"/>
      <c r="D4590" s="12"/>
      <c r="E4590" s="12"/>
      <c r="H4590" s="11" t="str">
        <f ca="1">IFERROR(__xludf.DUMMYFUNCTION("IFERROR(SUBSTITUTE(SUBSTITUTE(REGEXEXTRACT(A4590, ""[^-]+- [^-]+- [^-]+ - (.+?)\.jpg""), "".jpg"", """"), ""-"", "", ""), """")"),"")</f>
        <v/>
      </c>
      <c r="L4590" s="12"/>
      <c r="M4590" s="13"/>
      <c r="N4590" s="2"/>
      <c r="O4590" s="20"/>
      <c r="P4590" s="42"/>
      <c r="R4590" s="23"/>
    </row>
    <row r="4591" spans="1:18" ht="12.75">
      <c r="A4591" s="12"/>
      <c r="D4591" s="12"/>
      <c r="E4591" s="12"/>
      <c r="H4591" s="11" t="str">
        <f ca="1">IFERROR(__xludf.DUMMYFUNCTION("IFERROR(SUBSTITUTE(SUBSTITUTE(REGEXEXTRACT(A4591, ""[^-]+- [^-]+- [^-]+ - (.+?)\.jpg""), "".jpg"", """"), ""-"", "", ""), """")"),"")</f>
        <v/>
      </c>
      <c r="L4591" s="12"/>
      <c r="M4591" s="13"/>
      <c r="N4591" s="2"/>
      <c r="O4591" s="20"/>
      <c r="P4591" s="42"/>
      <c r="R4591" s="23"/>
    </row>
    <row r="4592" spans="1:18" ht="12.75">
      <c r="A4592" s="12"/>
      <c r="D4592" s="12"/>
      <c r="E4592" s="12"/>
      <c r="H4592" s="11" t="str">
        <f ca="1">IFERROR(__xludf.DUMMYFUNCTION("IFERROR(SUBSTITUTE(SUBSTITUTE(REGEXEXTRACT(A4592, ""[^-]+- [^-]+- [^-]+ - (.+?)\.jpg""), "".jpg"", """"), ""-"", "", ""), """")"),"")</f>
        <v/>
      </c>
      <c r="L4592" s="12"/>
      <c r="M4592" s="13"/>
      <c r="N4592" s="2"/>
      <c r="O4592" s="20"/>
      <c r="P4592" s="42"/>
      <c r="R4592" s="23"/>
    </row>
    <row r="4593" spans="1:18" ht="12.75">
      <c r="A4593" s="12"/>
      <c r="D4593" s="12"/>
      <c r="E4593" s="12"/>
      <c r="H4593" s="11" t="str">
        <f ca="1">IFERROR(__xludf.DUMMYFUNCTION("IFERROR(SUBSTITUTE(SUBSTITUTE(REGEXEXTRACT(A4593, ""[^-]+- [^-]+- [^-]+ - (.+?)\.jpg""), "".jpg"", """"), ""-"", "", ""), """")"),"")</f>
        <v/>
      </c>
      <c r="L4593" s="12"/>
      <c r="M4593" s="13"/>
      <c r="N4593" s="2"/>
      <c r="O4593" s="20"/>
      <c r="P4593" s="42"/>
      <c r="R4593" s="23"/>
    </row>
    <row r="4594" spans="1:18" ht="12.75">
      <c r="A4594" s="12"/>
      <c r="D4594" s="12"/>
      <c r="E4594" s="12"/>
      <c r="H4594" s="11" t="str">
        <f ca="1">IFERROR(__xludf.DUMMYFUNCTION("IFERROR(SUBSTITUTE(SUBSTITUTE(REGEXEXTRACT(A4594, ""[^-]+- [^-]+- [^-]+ - (.+?)\.jpg""), "".jpg"", """"), ""-"", "", ""), """")"),"")</f>
        <v/>
      </c>
      <c r="L4594" s="12"/>
      <c r="M4594" s="13"/>
      <c r="N4594" s="2"/>
      <c r="O4594" s="20"/>
      <c r="P4594" s="42"/>
      <c r="R4594" s="23"/>
    </row>
    <row r="4595" spans="1:18" ht="12.75">
      <c r="A4595" s="12"/>
      <c r="D4595" s="12"/>
      <c r="E4595" s="12"/>
      <c r="H4595" s="11" t="str">
        <f ca="1">IFERROR(__xludf.DUMMYFUNCTION("IFERROR(SUBSTITUTE(SUBSTITUTE(REGEXEXTRACT(A4595, ""[^-]+- [^-]+- [^-]+ - (.+?)\.jpg""), "".jpg"", """"), ""-"", "", ""), """")"),"")</f>
        <v/>
      </c>
      <c r="L4595" s="12"/>
      <c r="M4595" s="13"/>
      <c r="N4595" s="2"/>
      <c r="O4595" s="20"/>
      <c r="P4595" s="42"/>
      <c r="R4595" s="23"/>
    </row>
    <row r="4596" spans="1:18" ht="12.75">
      <c r="A4596" s="12"/>
      <c r="D4596" s="12"/>
      <c r="E4596" s="12"/>
      <c r="H4596" s="11" t="str">
        <f ca="1">IFERROR(__xludf.DUMMYFUNCTION("IFERROR(SUBSTITUTE(SUBSTITUTE(REGEXEXTRACT(A4596, ""[^-]+- [^-]+- [^-]+ - (.+?)\.jpg""), "".jpg"", """"), ""-"", "", ""), """")"),"")</f>
        <v/>
      </c>
      <c r="L4596" s="12"/>
      <c r="M4596" s="13"/>
      <c r="N4596" s="2"/>
      <c r="O4596" s="20"/>
      <c r="P4596" s="42"/>
      <c r="R4596" s="23"/>
    </row>
    <row r="4597" spans="1:18" ht="12.75">
      <c r="A4597" s="12"/>
      <c r="D4597" s="12"/>
      <c r="E4597" s="12"/>
      <c r="H4597" s="11" t="str">
        <f ca="1">IFERROR(__xludf.DUMMYFUNCTION("IFERROR(SUBSTITUTE(SUBSTITUTE(REGEXEXTRACT(A4597, ""[^-]+- [^-]+- [^-]+ - (.+?)\.jpg""), "".jpg"", """"), ""-"", "", ""), """")"),"")</f>
        <v/>
      </c>
      <c r="L4597" s="12"/>
      <c r="M4597" s="13"/>
      <c r="N4597" s="2"/>
      <c r="O4597" s="20"/>
      <c r="P4597" s="42"/>
      <c r="R4597" s="23"/>
    </row>
    <row r="4598" spans="1:18" ht="12.75">
      <c r="A4598" s="12"/>
      <c r="D4598" s="12"/>
      <c r="E4598" s="12"/>
      <c r="H4598" s="11" t="str">
        <f ca="1">IFERROR(__xludf.DUMMYFUNCTION("IFERROR(SUBSTITUTE(SUBSTITUTE(REGEXEXTRACT(A4598, ""[^-]+- [^-]+- [^-]+ - (.+?)\.jpg""), "".jpg"", """"), ""-"", "", ""), """")"),"")</f>
        <v/>
      </c>
      <c r="L4598" s="12"/>
      <c r="M4598" s="13"/>
      <c r="N4598" s="2"/>
      <c r="O4598" s="20"/>
      <c r="P4598" s="42"/>
      <c r="R4598" s="23"/>
    </row>
    <row r="4599" spans="1:18" ht="12.75">
      <c r="A4599" s="12"/>
      <c r="D4599" s="12"/>
      <c r="E4599" s="12"/>
      <c r="H4599" s="11" t="str">
        <f ca="1">IFERROR(__xludf.DUMMYFUNCTION("IFERROR(SUBSTITUTE(SUBSTITUTE(REGEXEXTRACT(A4599, ""[^-]+- [^-]+- [^-]+ - (.+?)\.jpg""), "".jpg"", """"), ""-"", "", ""), """")"),"")</f>
        <v/>
      </c>
      <c r="L4599" s="12"/>
      <c r="M4599" s="13"/>
      <c r="N4599" s="2"/>
      <c r="O4599" s="20"/>
      <c r="P4599" s="42"/>
      <c r="R4599" s="23"/>
    </row>
    <row r="4600" spans="1:18" ht="12.75">
      <c r="A4600" s="12"/>
      <c r="D4600" s="12"/>
      <c r="E4600" s="12"/>
      <c r="H4600" s="11" t="str">
        <f ca="1">IFERROR(__xludf.DUMMYFUNCTION("IFERROR(SUBSTITUTE(SUBSTITUTE(REGEXEXTRACT(A4600, ""[^-]+- [^-]+- [^-]+ - (.+?)\.jpg""), "".jpg"", """"), ""-"", "", ""), """")"),"")</f>
        <v/>
      </c>
      <c r="L4600" s="12"/>
      <c r="M4600" s="13"/>
      <c r="N4600" s="2"/>
      <c r="O4600" s="20"/>
      <c r="P4600" s="42"/>
      <c r="R4600" s="23"/>
    </row>
    <row r="4601" spans="1:18" ht="12.75">
      <c r="A4601" s="12"/>
      <c r="D4601" s="12"/>
      <c r="E4601" s="12"/>
      <c r="H4601" s="11" t="str">
        <f ca="1">IFERROR(__xludf.DUMMYFUNCTION("IFERROR(SUBSTITUTE(SUBSTITUTE(REGEXEXTRACT(A4601, ""[^-]+- [^-]+- [^-]+ - (.+?)\.jpg""), "".jpg"", """"), ""-"", "", ""), """")"),"")</f>
        <v/>
      </c>
      <c r="L4601" s="12"/>
      <c r="M4601" s="13"/>
      <c r="N4601" s="2"/>
      <c r="O4601" s="20"/>
      <c r="P4601" s="42"/>
      <c r="R4601" s="23"/>
    </row>
    <row r="4602" spans="1:18" ht="12.75">
      <c r="A4602" s="12"/>
      <c r="D4602" s="12"/>
      <c r="E4602" s="12"/>
      <c r="H4602" s="11" t="str">
        <f ca="1">IFERROR(__xludf.DUMMYFUNCTION("IFERROR(SUBSTITUTE(SUBSTITUTE(REGEXEXTRACT(A4602, ""[^-]+- [^-]+- [^-]+ - (.+?)\.jpg""), "".jpg"", """"), ""-"", "", ""), """")"),"")</f>
        <v/>
      </c>
      <c r="L4602" s="12"/>
      <c r="M4602" s="13"/>
      <c r="N4602" s="2"/>
      <c r="O4602" s="20"/>
      <c r="P4602" s="42"/>
      <c r="R4602" s="23"/>
    </row>
    <row r="4603" spans="1:18" ht="12.75">
      <c r="A4603" s="12"/>
      <c r="D4603" s="12"/>
      <c r="E4603" s="12"/>
      <c r="H4603" s="11" t="str">
        <f ca="1">IFERROR(__xludf.DUMMYFUNCTION("IFERROR(SUBSTITUTE(SUBSTITUTE(REGEXEXTRACT(A4603, ""[^-]+- [^-]+- [^-]+ - (.+?)\.jpg""), "".jpg"", """"), ""-"", "", ""), """")"),"")</f>
        <v/>
      </c>
      <c r="L4603" s="12"/>
      <c r="M4603" s="13"/>
      <c r="N4603" s="2"/>
      <c r="O4603" s="20"/>
      <c r="P4603" s="42"/>
      <c r="R4603" s="23"/>
    </row>
    <row r="4604" spans="1:18" ht="12.75">
      <c r="A4604" s="12"/>
      <c r="D4604" s="12"/>
      <c r="E4604" s="12"/>
      <c r="H4604" s="11" t="str">
        <f ca="1">IFERROR(__xludf.DUMMYFUNCTION("IFERROR(SUBSTITUTE(SUBSTITUTE(REGEXEXTRACT(A4604, ""[^-]+- [^-]+- [^-]+ - (.+?)\.jpg""), "".jpg"", """"), ""-"", "", ""), """")"),"")</f>
        <v/>
      </c>
      <c r="L4604" s="12"/>
      <c r="M4604" s="13"/>
      <c r="N4604" s="2"/>
      <c r="O4604" s="20"/>
      <c r="P4604" s="42"/>
      <c r="R4604" s="23"/>
    </row>
    <row r="4605" spans="1:18" ht="12.75">
      <c r="A4605" s="12"/>
      <c r="D4605" s="12"/>
      <c r="E4605" s="12"/>
      <c r="H4605" s="11" t="str">
        <f ca="1">IFERROR(__xludf.DUMMYFUNCTION("IFERROR(SUBSTITUTE(SUBSTITUTE(REGEXEXTRACT(A4605, ""[^-]+- [^-]+- [^-]+ - (.+?)\.jpg""), "".jpg"", """"), ""-"", "", ""), """")"),"")</f>
        <v/>
      </c>
      <c r="L4605" s="12"/>
      <c r="M4605" s="13"/>
      <c r="N4605" s="2"/>
      <c r="O4605" s="20"/>
      <c r="P4605" s="42"/>
      <c r="R4605" s="23"/>
    </row>
    <row r="4606" spans="1:18" ht="12.75">
      <c r="A4606" s="12"/>
      <c r="D4606" s="12"/>
      <c r="E4606" s="12"/>
      <c r="H4606" s="11" t="str">
        <f ca="1">IFERROR(__xludf.DUMMYFUNCTION("IFERROR(SUBSTITUTE(SUBSTITUTE(REGEXEXTRACT(A4606, ""[^-]+- [^-]+- [^-]+ - (.+?)\.jpg""), "".jpg"", """"), ""-"", "", ""), """")"),"")</f>
        <v/>
      </c>
      <c r="L4606" s="12"/>
      <c r="M4606" s="13"/>
      <c r="N4606" s="2"/>
      <c r="O4606" s="20"/>
      <c r="P4606" s="42"/>
      <c r="R4606" s="23"/>
    </row>
    <row r="4607" spans="1:18" ht="12.75">
      <c r="A4607" s="12"/>
      <c r="D4607" s="12"/>
      <c r="E4607" s="12"/>
      <c r="H4607" s="11" t="str">
        <f ca="1">IFERROR(__xludf.DUMMYFUNCTION("IFERROR(SUBSTITUTE(SUBSTITUTE(REGEXEXTRACT(A4607, ""[^-]+- [^-]+- [^-]+ - (.+?)\.jpg""), "".jpg"", """"), ""-"", "", ""), """")"),"")</f>
        <v/>
      </c>
      <c r="L4607" s="12"/>
      <c r="M4607" s="13"/>
      <c r="N4607" s="2"/>
      <c r="O4607" s="20"/>
      <c r="P4607" s="42"/>
      <c r="R4607" s="23"/>
    </row>
    <row r="4608" spans="1:18" ht="12.75">
      <c r="A4608" s="12"/>
      <c r="D4608" s="12"/>
      <c r="E4608" s="12"/>
      <c r="H4608" s="11" t="str">
        <f ca="1">IFERROR(__xludf.DUMMYFUNCTION("IFERROR(SUBSTITUTE(SUBSTITUTE(REGEXEXTRACT(A4608, ""[^-]+- [^-]+- [^-]+ - (.+?)\.jpg""), "".jpg"", """"), ""-"", "", ""), """")"),"")</f>
        <v/>
      </c>
      <c r="L4608" s="12"/>
      <c r="M4608" s="13"/>
      <c r="N4608" s="2"/>
      <c r="O4608" s="20"/>
      <c r="P4608" s="42"/>
      <c r="R4608" s="23"/>
    </row>
    <row r="4609" spans="1:18" ht="12.75">
      <c r="A4609" s="12"/>
      <c r="D4609" s="12"/>
      <c r="E4609" s="12"/>
      <c r="H4609" s="11" t="str">
        <f ca="1">IFERROR(__xludf.DUMMYFUNCTION("IFERROR(SUBSTITUTE(SUBSTITUTE(REGEXEXTRACT(A4609, ""[^-]+- [^-]+- [^-]+ - (.+?)\.jpg""), "".jpg"", """"), ""-"", "", ""), """")"),"")</f>
        <v/>
      </c>
      <c r="L4609" s="12"/>
      <c r="M4609" s="13"/>
      <c r="N4609" s="2"/>
      <c r="O4609" s="20"/>
      <c r="P4609" s="42"/>
      <c r="R4609" s="23"/>
    </row>
    <row r="4610" spans="1:18" ht="12.75">
      <c r="A4610" s="12"/>
      <c r="D4610" s="12"/>
      <c r="E4610" s="12"/>
      <c r="H4610" s="11" t="str">
        <f ca="1">IFERROR(__xludf.DUMMYFUNCTION("IFERROR(SUBSTITUTE(SUBSTITUTE(REGEXEXTRACT(A4610, ""[^-]+- [^-]+- [^-]+ - (.+?)\.jpg""), "".jpg"", """"), ""-"", "", ""), """")"),"")</f>
        <v/>
      </c>
      <c r="L4610" s="12"/>
      <c r="M4610" s="13"/>
      <c r="N4610" s="2"/>
      <c r="O4610" s="20"/>
      <c r="P4610" s="42"/>
      <c r="R4610" s="23"/>
    </row>
    <row r="4611" spans="1:18" ht="12.75">
      <c r="A4611" s="12"/>
      <c r="D4611" s="12"/>
      <c r="E4611" s="12"/>
      <c r="H4611" s="11" t="str">
        <f ca="1">IFERROR(__xludf.DUMMYFUNCTION("IFERROR(SUBSTITUTE(SUBSTITUTE(REGEXEXTRACT(A4611, ""[^-]+- [^-]+- [^-]+ - (.+?)\.jpg""), "".jpg"", """"), ""-"", "", ""), """")"),"")</f>
        <v/>
      </c>
      <c r="L4611" s="12"/>
      <c r="M4611" s="13"/>
      <c r="N4611" s="2"/>
      <c r="O4611" s="20"/>
      <c r="P4611" s="42"/>
      <c r="R4611" s="23"/>
    </row>
    <row r="4612" spans="1:18" ht="12.75">
      <c r="A4612" s="12"/>
      <c r="D4612" s="12"/>
      <c r="E4612" s="12"/>
      <c r="H4612" s="11" t="str">
        <f ca="1">IFERROR(__xludf.DUMMYFUNCTION("IFERROR(SUBSTITUTE(SUBSTITUTE(REGEXEXTRACT(A4612, ""[^-]+- [^-]+- [^-]+ - (.+?)\.jpg""), "".jpg"", """"), ""-"", "", ""), """")"),"")</f>
        <v/>
      </c>
      <c r="L4612" s="12"/>
      <c r="M4612" s="13"/>
      <c r="N4612" s="2"/>
      <c r="O4612" s="20"/>
      <c r="P4612" s="42"/>
      <c r="R4612" s="23"/>
    </row>
    <row r="4613" spans="1:18" ht="12.75">
      <c r="A4613" s="12"/>
      <c r="D4613" s="12"/>
      <c r="E4613" s="12"/>
      <c r="H4613" s="11" t="str">
        <f ca="1">IFERROR(__xludf.DUMMYFUNCTION("IFERROR(SUBSTITUTE(SUBSTITUTE(REGEXEXTRACT(A4613, ""[^-]+- [^-]+- [^-]+ - (.+?)\.jpg""), "".jpg"", """"), ""-"", "", ""), """")"),"")</f>
        <v/>
      </c>
      <c r="L4613" s="12"/>
      <c r="M4613" s="13"/>
      <c r="N4613" s="2"/>
      <c r="O4613" s="20"/>
      <c r="P4613" s="42"/>
      <c r="R4613" s="23"/>
    </row>
    <row r="4614" spans="1:18" ht="12.75">
      <c r="A4614" s="12"/>
      <c r="D4614" s="12"/>
      <c r="E4614" s="12"/>
      <c r="H4614" s="11" t="str">
        <f ca="1">IFERROR(__xludf.DUMMYFUNCTION("IFERROR(SUBSTITUTE(SUBSTITUTE(REGEXEXTRACT(A4614, ""[^-]+- [^-]+- [^-]+ - (.+?)\.jpg""), "".jpg"", """"), ""-"", "", ""), """")"),"")</f>
        <v/>
      </c>
      <c r="L4614" s="12"/>
      <c r="M4614" s="13"/>
      <c r="N4614" s="2"/>
      <c r="O4614" s="20"/>
      <c r="P4614" s="42"/>
      <c r="R4614" s="23"/>
    </row>
    <row r="4615" spans="1:18" ht="12.75">
      <c r="A4615" s="12"/>
      <c r="D4615" s="12"/>
      <c r="E4615" s="12"/>
      <c r="H4615" s="11" t="str">
        <f ca="1">IFERROR(__xludf.DUMMYFUNCTION("IFERROR(SUBSTITUTE(SUBSTITUTE(REGEXEXTRACT(A4615, ""[^-]+- [^-]+- [^-]+ - (.+?)\.jpg""), "".jpg"", """"), ""-"", "", ""), """")"),"")</f>
        <v/>
      </c>
      <c r="L4615" s="12"/>
      <c r="M4615" s="13"/>
      <c r="N4615" s="2"/>
      <c r="O4615" s="20"/>
      <c r="P4615" s="42"/>
      <c r="R4615" s="23"/>
    </row>
    <row r="4616" spans="1:18" ht="12.75">
      <c r="A4616" s="12"/>
      <c r="D4616" s="12"/>
      <c r="E4616" s="12"/>
      <c r="H4616" s="11" t="str">
        <f ca="1">IFERROR(__xludf.DUMMYFUNCTION("IFERROR(SUBSTITUTE(SUBSTITUTE(REGEXEXTRACT(A4616, ""[^-]+- [^-]+- [^-]+ - (.+?)\.jpg""), "".jpg"", """"), ""-"", "", ""), """")"),"")</f>
        <v/>
      </c>
      <c r="L4616" s="12"/>
      <c r="M4616" s="13"/>
      <c r="N4616" s="2"/>
      <c r="O4616" s="20"/>
      <c r="P4616" s="42"/>
      <c r="R4616" s="23"/>
    </row>
    <row r="4617" spans="1:18" ht="12.75">
      <c r="A4617" s="12"/>
      <c r="D4617" s="12"/>
      <c r="E4617" s="12"/>
      <c r="H4617" s="11" t="str">
        <f ca="1">IFERROR(__xludf.DUMMYFUNCTION("IFERROR(SUBSTITUTE(SUBSTITUTE(REGEXEXTRACT(A4617, ""[^-]+- [^-]+- [^-]+ - (.+?)\.jpg""), "".jpg"", """"), ""-"", "", ""), """")"),"")</f>
        <v/>
      </c>
      <c r="L4617" s="12"/>
      <c r="M4617" s="13"/>
      <c r="N4617" s="2"/>
      <c r="O4617" s="20"/>
      <c r="P4617" s="42"/>
      <c r="R4617" s="23"/>
    </row>
    <row r="4618" spans="1:18" ht="12.75">
      <c r="A4618" s="12"/>
      <c r="D4618" s="12"/>
      <c r="E4618" s="12"/>
      <c r="H4618" s="11" t="str">
        <f ca="1">IFERROR(__xludf.DUMMYFUNCTION("IFERROR(SUBSTITUTE(SUBSTITUTE(REGEXEXTRACT(A4618, ""[^-]+- [^-]+- [^-]+ - (.+?)\.jpg""), "".jpg"", """"), ""-"", "", ""), """")"),"")</f>
        <v/>
      </c>
      <c r="L4618" s="12"/>
      <c r="M4618" s="13"/>
      <c r="N4618" s="2"/>
      <c r="O4618" s="20"/>
      <c r="P4618" s="42"/>
      <c r="R4618" s="23"/>
    </row>
    <row r="4619" spans="1:18" ht="12.75">
      <c r="A4619" s="12"/>
      <c r="D4619" s="12"/>
      <c r="E4619" s="12"/>
      <c r="H4619" s="11" t="str">
        <f ca="1">IFERROR(__xludf.DUMMYFUNCTION("IFERROR(SUBSTITUTE(SUBSTITUTE(REGEXEXTRACT(A4619, ""[^-]+- [^-]+- [^-]+ - (.+?)\.jpg""), "".jpg"", """"), ""-"", "", ""), """")"),"")</f>
        <v/>
      </c>
      <c r="L4619" s="12"/>
      <c r="M4619" s="13"/>
      <c r="N4619" s="2"/>
      <c r="O4619" s="20"/>
      <c r="P4619" s="42"/>
      <c r="R4619" s="23"/>
    </row>
    <row r="4620" spans="1:18" ht="12.75">
      <c r="A4620" s="12"/>
      <c r="D4620" s="12"/>
      <c r="E4620" s="12"/>
      <c r="H4620" s="11" t="str">
        <f ca="1">IFERROR(__xludf.DUMMYFUNCTION("IFERROR(SUBSTITUTE(SUBSTITUTE(REGEXEXTRACT(A4620, ""[^-]+- [^-]+- [^-]+ - (.+?)\.jpg""), "".jpg"", """"), ""-"", "", ""), """")"),"")</f>
        <v/>
      </c>
      <c r="L4620" s="12"/>
      <c r="M4620" s="13"/>
      <c r="N4620" s="2"/>
      <c r="O4620" s="20"/>
      <c r="P4620" s="42"/>
      <c r="R4620" s="23"/>
    </row>
    <row r="4621" spans="1:18" ht="12.75">
      <c r="A4621" s="12"/>
      <c r="D4621" s="12"/>
      <c r="E4621" s="12"/>
      <c r="H4621" s="11" t="str">
        <f ca="1">IFERROR(__xludf.DUMMYFUNCTION("IFERROR(SUBSTITUTE(SUBSTITUTE(REGEXEXTRACT(A4621, ""[^-]+- [^-]+- [^-]+ - (.+?)\.jpg""), "".jpg"", """"), ""-"", "", ""), """")"),"")</f>
        <v/>
      </c>
      <c r="L4621" s="12"/>
      <c r="M4621" s="13"/>
      <c r="N4621" s="2"/>
      <c r="O4621" s="20"/>
      <c r="P4621" s="42"/>
      <c r="R4621" s="23"/>
    </row>
    <row r="4622" spans="1:18" ht="12.75">
      <c r="A4622" s="12"/>
      <c r="D4622" s="12"/>
      <c r="E4622" s="12"/>
      <c r="H4622" s="11" t="str">
        <f ca="1">IFERROR(__xludf.DUMMYFUNCTION("IFERROR(SUBSTITUTE(SUBSTITUTE(REGEXEXTRACT(A4622, ""[^-]+- [^-]+- [^-]+ - (.+?)\.jpg""), "".jpg"", """"), ""-"", "", ""), """")"),"")</f>
        <v/>
      </c>
      <c r="L4622" s="12"/>
      <c r="M4622" s="13"/>
      <c r="N4622" s="2"/>
      <c r="O4622" s="20"/>
      <c r="P4622" s="42"/>
      <c r="R4622" s="23"/>
    </row>
    <row r="4623" spans="1:18" ht="12.75">
      <c r="A4623" s="12"/>
      <c r="D4623" s="12"/>
      <c r="E4623" s="12"/>
      <c r="H4623" s="11" t="str">
        <f ca="1">IFERROR(__xludf.DUMMYFUNCTION("IFERROR(SUBSTITUTE(SUBSTITUTE(REGEXEXTRACT(A4623, ""[^-]+- [^-]+- [^-]+ - (.+?)\.jpg""), "".jpg"", """"), ""-"", "", ""), """")"),"")</f>
        <v/>
      </c>
      <c r="L4623" s="12"/>
      <c r="M4623" s="13"/>
      <c r="N4623" s="2"/>
      <c r="O4623" s="20"/>
      <c r="P4623" s="42"/>
      <c r="R4623" s="23"/>
    </row>
    <row r="4624" spans="1:18" ht="12.75">
      <c r="A4624" s="12"/>
      <c r="D4624" s="12"/>
      <c r="E4624" s="12"/>
      <c r="H4624" s="11" t="str">
        <f ca="1">IFERROR(__xludf.DUMMYFUNCTION("IFERROR(SUBSTITUTE(SUBSTITUTE(REGEXEXTRACT(A4624, ""[^-]+- [^-]+- [^-]+ - (.+?)\.jpg""), "".jpg"", """"), ""-"", "", ""), """")"),"")</f>
        <v/>
      </c>
      <c r="L4624" s="12"/>
      <c r="M4624" s="13"/>
      <c r="N4624" s="2"/>
      <c r="O4624" s="20"/>
      <c r="P4624" s="42"/>
      <c r="R4624" s="23"/>
    </row>
    <row r="4625" spans="1:18" ht="12.75">
      <c r="A4625" s="12"/>
      <c r="D4625" s="12"/>
      <c r="E4625" s="12"/>
      <c r="H4625" s="11" t="str">
        <f ca="1">IFERROR(__xludf.DUMMYFUNCTION("IFERROR(SUBSTITUTE(SUBSTITUTE(REGEXEXTRACT(A4625, ""[^-]+- [^-]+- [^-]+ - (.+?)\.jpg""), "".jpg"", """"), ""-"", "", ""), """")"),"")</f>
        <v/>
      </c>
      <c r="L4625" s="12"/>
      <c r="M4625" s="13"/>
      <c r="N4625" s="2"/>
      <c r="O4625" s="20"/>
      <c r="P4625" s="42"/>
      <c r="R4625" s="23"/>
    </row>
    <row r="4626" spans="1:18" ht="12.75">
      <c r="A4626" s="12"/>
      <c r="D4626" s="12"/>
      <c r="E4626" s="12"/>
      <c r="H4626" s="11" t="str">
        <f ca="1">IFERROR(__xludf.DUMMYFUNCTION("IFERROR(SUBSTITUTE(SUBSTITUTE(REGEXEXTRACT(A4626, ""[^-]+- [^-]+- [^-]+ - (.+?)\.jpg""), "".jpg"", """"), ""-"", "", ""), """")"),"")</f>
        <v/>
      </c>
      <c r="L4626" s="12"/>
      <c r="M4626" s="13"/>
      <c r="N4626" s="2"/>
      <c r="O4626" s="20"/>
      <c r="P4626" s="42"/>
      <c r="R4626" s="23"/>
    </row>
    <row r="4627" spans="1:18" ht="12.75">
      <c r="A4627" s="12"/>
      <c r="D4627" s="12"/>
      <c r="E4627" s="12"/>
      <c r="H4627" s="11" t="str">
        <f ca="1">IFERROR(__xludf.DUMMYFUNCTION("IFERROR(SUBSTITUTE(SUBSTITUTE(REGEXEXTRACT(A4627, ""[^-]+- [^-]+- [^-]+ - (.+?)\.jpg""), "".jpg"", """"), ""-"", "", ""), """")"),"")</f>
        <v/>
      </c>
      <c r="L4627" s="12"/>
      <c r="M4627" s="13"/>
      <c r="N4627" s="2"/>
      <c r="O4627" s="20"/>
      <c r="P4627" s="42"/>
      <c r="R4627" s="23"/>
    </row>
    <row r="4628" spans="1:18" ht="12.75">
      <c r="A4628" s="12"/>
      <c r="D4628" s="12"/>
      <c r="E4628" s="12"/>
      <c r="H4628" s="11" t="str">
        <f ca="1">IFERROR(__xludf.DUMMYFUNCTION("IFERROR(SUBSTITUTE(SUBSTITUTE(REGEXEXTRACT(A4628, ""[^-]+- [^-]+- [^-]+ - (.+?)\.jpg""), "".jpg"", """"), ""-"", "", ""), """")"),"")</f>
        <v/>
      </c>
      <c r="L4628" s="12"/>
      <c r="M4628" s="13"/>
      <c r="N4628" s="2"/>
      <c r="O4628" s="20"/>
      <c r="P4628" s="42"/>
      <c r="R4628" s="23"/>
    </row>
    <row r="4629" spans="1:18" ht="12.75">
      <c r="A4629" s="12"/>
      <c r="D4629" s="12"/>
      <c r="E4629" s="12"/>
      <c r="H4629" s="11" t="str">
        <f ca="1">IFERROR(__xludf.DUMMYFUNCTION("IFERROR(SUBSTITUTE(SUBSTITUTE(REGEXEXTRACT(A4629, ""[^-]+- [^-]+- [^-]+ - (.+?)\.jpg""), "".jpg"", """"), ""-"", "", ""), """")"),"")</f>
        <v/>
      </c>
      <c r="L4629" s="12"/>
      <c r="M4629" s="13"/>
      <c r="N4629" s="2"/>
      <c r="O4629" s="20"/>
      <c r="P4629" s="42"/>
      <c r="R4629" s="23"/>
    </row>
    <row r="4630" spans="1:18" ht="12.75">
      <c r="A4630" s="12"/>
      <c r="D4630" s="12"/>
      <c r="E4630" s="12"/>
      <c r="H4630" s="11" t="str">
        <f ca="1">IFERROR(__xludf.DUMMYFUNCTION("IFERROR(SUBSTITUTE(SUBSTITUTE(REGEXEXTRACT(A4630, ""[^-]+- [^-]+- [^-]+ - (.+?)\.jpg""), "".jpg"", """"), ""-"", "", ""), """")"),"")</f>
        <v/>
      </c>
      <c r="L4630" s="12"/>
      <c r="M4630" s="13"/>
      <c r="N4630" s="2"/>
      <c r="O4630" s="20"/>
      <c r="P4630" s="42"/>
      <c r="R4630" s="23"/>
    </row>
    <row r="4631" spans="1:18" ht="12.75">
      <c r="A4631" s="12"/>
      <c r="D4631" s="12"/>
      <c r="E4631" s="12"/>
      <c r="H4631" s="11" t="str">
        <f ca="1">IFERROR(__xludf.DUMMYFUNCTION("IFERROR(SUBSTITUTE(SUBSTITUTE(REGEXEXTRACT(A4631, ""[^-]+- [^-]+- [^-]+ - (.+?)\.jpg""), "".jpg"", """"), ""-"", "", ""), """")"),"")</f>
        <v/>
      </c>
      <c r="L4631" s="12"/>
      <c r="M4631" s="13"/>
      <c r="N4631" s="2"/>
      <c r="O4631" s="20"/>
      <c r="P4631" s="42"/>
      <c r="R4631" s="23"/>
    </row>
    <row r="4632" spans="1:18" ht="12.75">
      <c r="A4632" s="12"/>
      <c r="D4632" s="12"/>
      <c r="E4632" s="12"/>
      <c r="H4632" s="11" t="str">
        <f ca="1">IFERROR(__xludf.DUMMYFUNCTION("IFERROR(SUBSTITUTE(SUBSTITUTE(REGEXEXTRACT(A4632, ""[^-]+- [^-]+- [^-]+ - (.+?)\.jpg""), "".jpg"", """"), ""-"", "", ""), """")"),"")</f>
        <v/>
      </c>
      <c r="L4632" s="12"/>
      <c r="M4632" s="13"/>
      <c r="N4632" s="2"/>
      <c r="O4632" s="20"/>
      <c r="P4632" s="42"/>
      <c r="R4632" s="23"/>
    </row>
    <row r="4633" spans="1:18" ht="12.75">
      <c r="A4633" s="12"/>
      <c r="D4633" s="12"/>
      <c r="E4633" s="12"/>
      <c r="H4633" s="11" t="str">
        <f ca="1">IFERROR(__xludf.DUMMYFUNCTION("IFERROR(SUBSTITUTE(SUBSTITUTE(REGEXEXTRACT(A4633, ""[^-]+- [^-]+- [^-]+ - (.+?)\.jpg""), "".jpg"", """"), ""-"", "", ""), """")"),"")</f>
        <v/>
      </c>
      <c r="L4633" s="12"/>
      <c r="M4633" s="13"/>
      <c r="N4633" s="2"/>
      <c r="O4633" s="20"/>
      <c r="P4633" s="42"/>
      <c r="R4633" s="23"/>
    </row>
    <row r="4634" spans="1:18" ht="12.75">
      <c r="A4634" s="12"/>
      <c r="D4634" s="12"/>
      <c r="E4634" s="12"/>
      <c r="H4634" s="11" t="str">
        <f ca="1">IFERROR(__xludf.DUMMYFUNCTION("IFERROR(SUBSTITUTE(SUBSTITUTE(REGEXEXTRACT(A4634, ""[^-]+- [^-]+- [^-]+ - (.+?)\.jpg""), "".jpg"", """"), ""-"", "", ""), """")"),"")</f>
        <v/>
      </c>
      <c r="L4634" s="12"/>
      <c r="M4634" s="13"/>
      <c r="N4634" s="2"/>
      <c r="O4634" s="20"/>
      <c r="P4634" s="42"/>
      <c r="R4634" s="23"/>
    </row>
    <row r="4635" spans="1:18" ht="12.75">
      <c r="A4635" s="12"/>
      <c r="D4635" s="12"/>
      <c r="E4635" s="12"/>
      <c r="H4635" s="11" t="str">
        <f ca="1">IFERROR(__xludf.DUMMYFUNCTION("IFERROR(SUBSTITUTE(SUBSTITUTE(REGEXEXTRACT(A4635, ""[^-]+- [^-]+- [^-]+ - (.+?)\.jpg""), "".jpg"", """"), ""-"", "", ""), """")"),"")</f>
        <v/>
      </c>
      <c r="L4635" s="12"/>
      <c r="M4635" s="13"/>
      <c r="N4635" s="2"/>
      <c r="O4635" s="20"/>
      <c r="P4635" s="42"/>
      <c r="R4635" s="23"/>
    </row>
    <row r="4636" spans="1:18" ht="12.75">
      <c r="A4636" s="12"/>
      <c r="D4636" s="12"/>
      <c r="E4636" s="12"/>
      <c r="H4636" s="11" t="str">
        <f ca="1">IFERROR(__xludf.DUMMYFUNCTION("IFERROR(SUBSTITUTE(SUBSTITUTE(REGEXEXTRACT(A4636, ""[^-]+- [^-]+- [^-]+ - (.+?)\.jpg""), "".jpg"", """"), ""-"", "", ""), """")"),"")</f>
        <v/>
      </c>
      <c r="L4636" s="12"/>
      <c r="M4636" s="13"/>
      <c r="N4636" s="2"/>
      <c r="O4636" s="20"/>
      <c r="P4636" s="42"/>
      <c r="R4636" s="23"/>
    </row>
    <row r="4637" spans="1:18" ht="12.75">
      <c r="A4637" s="12"/>
      <c r="D4637" s="12"/>
      <c r="E4637" s="12"/>
      <c r="H4637" s="11" t="str">
        <f ca="1">IFERROR(__xludf.DUMMYFUNCTION("IFERROR(SUBSTITUTE(SUBSTITUTE(REGEXEXTRACT(A4637, ""[^-]+- [^-]+- [^-]+ - (.+?)\.jpg""), "".jpg"", """"), ""-"", "", ""), """")"),"")</f>
        <v/>
      </c>
      <c r="L4637" s="12"/>
      <c r="M4637" s="13"/>
      <c r="N4637" s="2"/>
      <c r="O4637" s="20"/>
      <c r="P4637" s="42"/>
      <c r="R4637" s="23"/>
    </row>
    <row r="4638" spans="1:18" ht="12.75">
      <c r="A4638" s="12"/>
      <c r="D4638" s="12"/>
      <c r="E4638" s="12"/>
      <c r="H4638" s="11" t="str">
        <f ca="1">IFERROR(__xludf.DUMMYFUNCTION("IFERROR(SUBSTITUTE(SUBSTITUTE(REGEXEXTRACT(A4638, ""[^-]+- [^-]+- [^-]+ - (.+?)\.jpg""), "".jpg"", """"), ""-"", "", ""), """")"),"")</f>
        <v/>
      </c>
      <c r="L4638" s="12"/>
      <c r="M4638" s="13"/>
      <c r="N4638" s="2"/>
      <c r="O4638" s="20"/>
      <c r="P4638" s="42"/>
      <c r="R4638" s="23"/>
    </row>
    <row r="4639" spans="1:18" ht="12.75">
      <c r="A4639" s="12"/>
      <c r="D4639" s="12"/>
      <c r="E4639" s="12"/>
      <c r="H4639" s="11" t="str">
        <f ca="1">IFERROR(__xludf.DUMMYFUNCTION("IFERROR(SUBSTITUTE(SUBSTITUTE(REGEXEXTRACT(A4639, ""[^-]+- [^-]+- [^-]+ - (.+?)\.jpg""), "".jpg"", """"), ""-"", "", ""), """")"),"")</f>
        <v/>
      </c>
      <c r="L4639" s="12"/>
      <c r="M4639" s="13"/>
      <c r="N4639" s="2"/>
      <c r="O4639" s="20"/>
      <c r="P4639" s="42"/>
      <c r="R4639" s="23"/>
    </row>
    <row r="4640" spans="1:18" ht="12.75">
      <c r="A4640" s="12"/>
      <c r="D4640" s="12"/>
      <c r="E4640" s="12"/>
      <c r="H4640" s="11" t="str">
        <f ca="1">IFERROR(__xludf.DUMMYFUNCTION("IFERROR(SUBSTITUTE(SUBSTITUTE(REGEXEXTRACT(A4640, ""[^-]+- [^-]+- [^-]+ - (.+?)\.jpg""), "".jpg"", """"), ""-"", "", ""), """")"),"")</f>
        <v/>
      </c>
      <c r="L4640" s="12"/>
      <c r="M4640" s="13"/>
      <c r="N4640" s="2"/>
      <c r="O4640" s="20"/>
      <c r="P4640" s="42"/>
      <c r="R4640" s="23"/>
    </row>
    <row r="4641" spans="1:18" ht="12.75">
      <c r="A4641" s="12"/>
      <c r="D4641" s="12"/>
      <c r="E4641" s="12"/>
      <c r="H4641" s="11" t="str">
        <f ca="1">IFERROR(__xludf.DUMMYFUNCTION("IFERROR(SUBSTITUTE(SUBSTITUTE(REGEXEXTRACT(A4641, ""[^-]+- [^-]+- [^-]+ - (.+?)\.jpg""), "".jpg"", """"), ""-"", "", ""), """")"),"")</f>
        <v/>
      </c>
      <c r="L4641" s="12"/>
      <c r="M4641" s="13"/>
      <c r="N4641" s="2"/>
      <c r="O4641" s="20"/>
      <c r="P4641" s="42"/>
      <c r="R4641" s="23"/>
    </row>
    <row r="4642" spans="1:18" ht="12.75">
      <c r="A4642" s="12"/>
      <c r="D4642" s="12"/>
      <c r="E4642" s="12"/>
      <c r="H4642" s="11" t="str">
        <f ca="1">IFERROR(__xludf.DUMMYFUNCTION("IFERROR(SUBSTITUTE(SUBSTITUTE(REGEXEXTRACT(A4642, ""[^-]+- [^-]+- [^-]+ - (.+?)\.jpg""), "".jpg"", """"), ""-"", "", ""), """")"),"")</f>
        <v/>
      </c>
      <c r="L4642" s="12"/>
      <c r="M4642" s="13"/>
      <c r="N4642" s="2"/>
      <c r="O4642" s="20"/>
      <c r="P4642" s="42"/>
      <c r="R4642" s="23"/>
    </row>
    <row r="4643" spans="1:18" ht="12.75">
      <c r="A4643" s="12"/>
      <c r="D4643" s="12"/>
      <c r="E4643" s="12"/>
      <c r="H4643" s="11" t="str">
        <f ca="1">IFERROR(__xludf.DUMMYFUNCTION("IFERROR(SUBSTITUTE(SUBSTITUTE(REGEXEXTRACT(A4643, ""[^-]+- [^-]+- [^-]+ - (.+?)\.jpg""), "".jpg"", """"), ""-"", "", ""), """")"),"")</f>
        <v/>
      </c>
      <c r="L4643" s="12"/>
      <c r="M4643" s="13"/>
      <c r="N4643" s="2"/>
      <c r="O4643" s="20"/>
      <c r="P4643" s="42"/>
      <c r="R4643" s="23"/>
    </row>
    <row r="4644" spans="1:18" ht="12.75">
      <c r="A4644" s="12"/>
      <c r="D4644" s="12"/>
      <c r="E4644" s="12"/>
      <c r="H4644" s="11" t="str">
        <f ca="1">IFERROR(__xludf.DUMMYFUNCTION("IFERROR(SUBSTITUTE(SUBSTITUTE(REGEXEXTRACT(A4644, ""[^-]+- [^-]+- [^-]+ - (.+?)\.jpg""), "".jpg"", """"), ""-"", "", ""), """")"),"")</f>
        <v/>
      </c>
      <c r="L4644" s="12"/>
      <c r="M4644" s="13"/>
      <c r="N4644" s="2"/>
      <c r="O4644" s="20"/>
      <c r="P4644" s="42"/>
      <c r="R4644" s="23"/>
    </row>
    <row r="4645" spans="1:18" ht="12.75">
      <c r="A4645" s="12"/>
      <c r="D4645" s="12"/>
      <c r="E4645" s="12"/>
      <c r="H4645" s="11" t="str">
        <f ca="1">IFERROR(__xludf.DUMMYFUNCTION("IFERROR(SUBSTITUTE(SUBSTITUTE(REGEXEXTRACT(A4645, ""[^-]+- [^-]+- [^-]+ - (.+?)\.jpg""), "".jpg"", """"), ""-"", "", ""), """")"),"")</f>
        <v/>
      </c>
      <c r="L4645" s="12"/>
      <c r="M4645" s="13"/>
      <c r="N4645" s="2"/>
      <c r="O4645" s="20"/>
      <c r="P4645" s="42"/>
      <c r="R4645" s="23"/>
    </row>
    <row r="4646" spans="1:18" ht="12.75">
      <c r="A4646" s="12"/>
      <c r="D4646" s="12"/>
      <c r="E4646" s="12"/>
      <c r="H4646" s="11" t="str">
        <f ca="1">IFERROR(__xludf.DUMMYFUNCTION("IFERROR(SUBSTITUTE(SUBSTITUTE(REGEXEXTRACT(A4646, ""[^-]+- [^-]+- [^-]+ - (.+?)\.jpg""), "".jpg"", """"), ""-"", "", ""), """")"),"")</f>
        <v/>
      </c>
      <c r="L4646" s="12"/>
      <c r="M4646" s="13"/>
      <c r="N4646" s="2"/>
      <c r="O4646" s="20"/>
      <c r="P4646" s="42"/>
      <c r="R4646" s="23"/>
    </row>
    <row r="4647" spans="1:18" ht="12.75">
      <c r="A4647" s="12"/>
      <c r="D4647" s="12"/>
      <c r="E4647" s="12"/>
      <c r="H4647" s="11" t="str">
        <f ca="1">IFERROR(__xludf.DUMMYFUNCTION("IFERROR(SUBSTITUTE(SUBSTITUTE(REGEXEXTRACT(A4647, ""[^-]+- [^-]+- [^-]+ - (.+?)\.jpg""), "".jpg"", """"), ""-"", "", ""), """")"),"")</f>
        <v/>
      </c>
      <c r="L4647" s="12"/>
      <c r="M4647" s="13"/>
      <c r="N4647" s="2"/>
      <c r="O4647" s="20"/>
      <c r="P4647" s="42"/>
      <c r="R4647" s="23"/>
    </row>
    <row r="4648" spans="1:18" ht="12.75">
      <c r="A4648" s="12"/>
      <c r="D4648" s="12"/>
      <c r="E4648" s="12"/>
      <c r="H4648" s="11" t="str">
        <f ca="1">IFERROR(__xludf.DUMMYFUNCTION("IFERROR(SUBSTITUTE(SUBSTITUTE(REGEXEXTRACT(A4648, ""[^-]+- [^-]+- [^-]+ - (.+?)\.jpg""), "".jpg"", """"), ""-"", "", ""), """")"),"")</f>
        <v/>
      </c>
      <c r="L4648" s="12"/>
      <c r="M4648" s="13"/>
      <c r="N4648" s="2"/>
      <c r="O4648" s="20"/>
      <c r="P4648" s="42"/>
      <c r="R4648" s="23"/>
    </row>
    <row r="4649" spans="1:18" ht="12.75">
      <c r="A4649" s="12"/>
      <c r="D4649" s="12"/>
      <c r="E4649" s="12"/>
      <c r="H4649" s="11" t="str">
        <f ca="1">IFERROR(__xludf.DUMMYFUNCTION("IFERROR(SUBSTITUTE(SUBSTITUTE(REGEXEXTRACT(A4649, ""[^-]+- [^-]+- [^-]+ - (.+?)\.jpg""), "".jpg"", """"), ""-"", "", ""), """")"),"")</f>
        <v/>
      </c>
      <c r="L4649" s="12"/>
      <c r="M4649" s="13"/>
      <c r="N4649" s="2"/>
      <c r="O4649" s="20"/>
      <c r="P4649" s="42"/>
      <c r="R4649" s="23"/>
    </row>
    <row r="4650" spans="1:18" ht="12.75">
      <c r="A4650" s="12"/>
      <c r="D4650" s="12"/>
      <c r="E4650" s="12"/>
      <c r="H4650" s="11" t="str">
        <f ca="1">IFERROR(__xludf.DUMMYFUNCTION("IFERROR(SUBSTITUTE(SUBSTITUTE(REGEXEXTRACT(A4650, ""[^-]+- [^-]+- [^-]+ - (.+?)\.jpg""), "".jpg"", """"), ""-"", "", ""), """")"),"")</f>
        <v/>
      </c>
      <c r="L4650" s="12"/>
      <c r="M4650" s="13"/>
      <c r="N4650" s="2"/>
      <c r="O4650" s="20"/>
      <c r="P4650" s="42"/>
      <c r="R4650" s="23"/>
    </row>
    <row r="4651" spans="1:18" ht="12.75">
      <c r="A4651" s="12"/>
      <c r="D4651" s="12"/>
      <c r="E4651" s="12"/>
      <c r="H4651" s="11" t="str">
        <f ca="1">IFERROR(__xludf.DUMMYFUNCTION("IFERROR(SUBSTITUTE(SUBSTITUTE(REGEXEXTRACT(A4651, ""[^-]+- [^-]+- [^-]+ - (.+?)\.jpg""), "".jpg"", """"), ""-"", "", ""), """")"),"")</f>
        <v/>
      </c>
      <c r="L4651" s="12"/>
      <c r="M4651" s="13"/>
      <c r="N4651" s="2"/>
      <c r="O4651" s="20"/>
      <c r="P4651" s="42"/>
      <c r="R4651" s="23"/>
    </row>
    <row r="4652" spans="1:18" ht="12.75">
      <c r="A4652" s="12"/>
      <c r="D4652" s="12"/>
      <c r="E4652" s="12"/>
      <c r="H4652" s="11" t="str">
        <f ca="1">IFERROR(__xludf.DUMMYFUNCTION("IFERROR(SUBSTITUTE(SUBSTITUTE(REGEXEXTRACT(A4652, ""[^-]+- [^-]+- [^-]+ - (.+?)\.jpg""), "".jpg"", """"), ""-"", "", ""), """")"),"")</f>
        <v/>
      </c>
      <c r="L4652" s="12"/>
      <c r="M4652" s="13"/>
      <c r="N4652" s="2"/>
      <c r="O4652" s="20"/>
      <c r="P4652" s="42"/>
      <c r="R4652" s="23"/>
    </row>
    <row r="4653" spans="1:18" ht="12.75">
      <c r="A4653" s="12"/>
      <c r="D4653" s="12"/>
      <c r="E4653" s="12"/>
      <c r="H4653" s="11" t="str">
        <f ca="1">IFERROR(__xludf.DUMMYFUNCTION("IFERROR(SUBSTITUTE(SUBSTITUTE(REGEXEXTRACT(A4653, ""[^-]+- [^-]+- [^-]+ - (.+?)\.jpg""), "".jpg"", """"), ""-"", "", ""), """")"),"")</f>
        <v/>
      </c>
      <c r="L4653" s="12"/>
      <c r="M4653" s="13"/>
      <c r="N4653" s="2"/>
      <c r="O4653" s="20"/>
      <c r="P4653" s="42"/>
      <c r="R4653" s="23"/>
    </row>
    <row r="4654" spans="1:18" ht="12.75">
      <c r="A4654" s="12"/>
      <c r="D4654" s="12"/>
      <c r="E4654" s="12"/>
      <c r="H4654" s="11" t="str">
        <f ca="1">IFERROR(__xludf.DUMMYFUNCTION("IFERROR(SUBSTITUTE(SUBSTITUTE(REGEXEXTRACT(A4654, ""[^-]+- [^-]+- [^-]+ - (.+?)\.jpg""), "".jpg"", """"), ""-"", "", ""), """")"),"")</f>
        <v/>
      </c>
      <c r="L4654" s="12"/>
      <c r="M4654" s="13"/>
      <c r="N4654" s="2"/>
      <c r="O4654" s="20"/>
      <c r="P4654" s="42"/>
      <c r="R4654" s="23"/>
    </row>
    <row r="4655" spans="1:18" ht="12.75">
      <c r="A4655" s="12"/>
      <c r="D4655" s="12"/>
      <c r="E4655" s="12"/>
      <c r="H4655" s="11" t="str">
        <f ca="1">IFERROR(__xludf.DUMMYFUNCTION("IFERROR(SUBSTITUTE(SUBSTITUTE(REGEXEXTRACT(A4655, ""[^-]+- [^-]+- [^-]+ - (.+?)\.jpg""), "".jpg"", """"), ""-"", "", ""), """")"),"")</f>
        <v/>
      </c>
      <c r="L4655" s="12"/>
      <c r="M4655" s="13"/>
      <c r="N4655" s="2"/>
      <c r="O4655" s="20"/>
      <c r="P4655" s="42"/>
      <c r="R4655" s="23"/>
    </row>
    <row r="4656" spans="1:18" ht="12.75">
      <c r="A4656" s="12"/>
      <c r="D4656" s="12"/>
      <c r="E4656" s="12"/>
      <c r="H4656" s="11" t="str">
        <f ca="1">IFERROR(__xludf.DUMMYFUNCTION("IFERROR(SUBSTITUTE(SUBSTITUTE(REGEXEXTRACT(A4656, ""[^-]+- [^-]+- [^-]+ - (.+?)\.jpg""), "".jpg"", """"), ""-"", "", ""), """")"),"")</f>
        <v/>
      </c>
      <c r="L4656" s="12"/>
      <c r="M4656" s="13"/>
      <c r="N4656" s="2"/>
      <c r="O4656" s="20"/>
      <c r="P4656" s="42"/>
      <c r="R4656" s="23"/>
    </row>
    <row r="4657" spans="1:18" ht="12.75">
      <c r="A4657" s="12"/>
      <c r="D4657" s="12"/>
      <c r="E4657" s="12"/>
      <c r="H4657" s="11" t="str">
        <f ca="1">IFERROR(__xludf.DUMMYFUNCTION("IFERROR(SUBSTITUTE(SUBSTITUTE(REGEXEXTRACT(A4657, ""[^-]+- [^-]+- [^-]+ - (.+?)\.jpg""), "".jpg"", """"), ""-"", "", ""), """")"),"")</f>
        <v/>
      </c>
      <c r="L4657" s="12"/>
      <c r="M4657" s="13"/>
      <c r="N4657" s="2"/>
      <c r="O4657" s="20"/>
      <c r="P4657" s="42"/>
      <c r="R4657" s="23"/>
    </row>
    <row r="4658" spans="1:18" ht="12.75">
      <c r="A4658" s="12"/>
      <c r="D4658" s="12"/>
      <c r="E4658" s="12"/>
      <c r="H4658" s="11" t="str">
        <f ca="1">IFERROR(__xludf.DUMMYFUNCTION("IFERROR(SUBSTITUTE(SUBSTITUTE(REGEXEXTRACT(A4658, ""[^-]+- [^-]+- [^-]+ - (.+?)\.jpg""), "".jpg"", """"), ""-"", "", ""), """")"),"")</f>
        <v/>
      </c>
      <c r="L4658" s="12"/>
      <c r="M4658" s="13"/>
      <c r="N4658" s="2"/>
      <c r="O4658" s="20"/>
      <c r="P4658" s="42"/>
      <c r="R4658" s="23"/>
    </row>
    <row r="4659" spans="1:18" ht="12.75">
      <c r="A4659" s="12"/>
      <c r="D4659" s="12"/>
      <c r="E4659" s="12"/>
      <c r="H4659" s="11" t="str">
        <f ca="1">IFERROR(__xludf.DUMMYFUNCTION("IFERROR(SUBSTITUTE(SUBSTITUTE(REGEXEXTRACT(A4659, ""[^-]+- [^-]+- [^-]+ - (.+?)\.jpg""), "".jpg"", """"), ""-"", "", ""), """")"),"")</f>
        <v/>
      </c>
      <c r="L4659" s="12"/>
      <c r="M4659" s="13"/>
      <c r="N4659" s="2"/>
      <c r="O4659" s="20"/>
      <c r="P4659" s="42"/>
      <c r="R4659" s="23"/>
    </row>
    <row r="4660" spans="1:18" ht="12.75">
      <c r="A4660" s="12"/>
      <c r="D4660" s="12"/>
      <c r="E4660" s="12"/>
      <c r="H4660" s="11" t="str">
        <f ca="1">IFERROR(__xludf.DUMMYFUNCTION("IFERROR(SUBSTITUTE(SUBSTITUTE(REGEXEXTRACT(A4660, ""[^-]+- [^-]+- [^-]+ - (.+?)\.jpg""), "".jpg"", """"), ""-"", "", ""), """")"),"")</f>
        <v/>
      </c>
      <c r="L4660" s="12"/>
      <c r="M4660" s="13"/>
      <c r="N4660" s="2"/>
      <c r="O4660" s="20"/>
      <c r="P4660" s="42"/>
      <c r="R4660" s="23"/>
    </row>
    <row r="4661" spans="1:18" ht="12.75">
      <c r="A4661" s="12"/>
      <c r="D4661" s="12"/>
      <c r="E4661" s="12"/>
      <c r="H4661" s="11" t="str">
        <f ca="1">IFERROR(__xludf.DUMMYFUNCTION("IFERROR(SUBSTITUTE(SUBSTITUTE(REGEXEXTRACT(A4661, ""[^-]+- [^-]+- [^-]+ - (.+?)\.jpg""), "".jpg"", """"), ""-"", "", ""), """")"),"")</f>
        <v/>
      </c>
      <c r="L4661" s="12"/>
      <c r="M4661" s="13"/>
      <c r="N4661" s="2"/>
      <c r="O4661" s="20"/>
      <c r="P4661" s="42"/>
      <c r="R4661" s="23"/>
    </row>
    <row r="4662" spans="1:18" ht="12.75">
      <c r="A4662" s="12"/>
      <c r="D4662" s="12"/>
      <c r="E4662" s="12"/>
      <c r="H4662" s="11" t="str">
        <f ca="1">IFERROR(__xludf.DUMMYFUNCTION("IFERROR(SUBSTITUTE(SUBSTITUTE(REGEXEXTRACT(A4662, ""[^-]+- [^-]+- [^-]+ - (.+?)\.jpg""), "".jpg"", """"), ""-"", "", ""), """")"),"")</f>
        <v/>
      </c>
      <c r="L4662" s="12"/>
      <c r="M4662" s="13"/>
      <c r="N4662" s="2"/>
      <c r="O4662" s="20"/>
      <c r="P4662" s="42"/>
      <c r="R4662" s="23"/>
    </row>
    <row r="4663" spans="1:18" ht="12.75">
      <c r="A4663" s="12"/>
      <c r="D4663" s="12"/>
      <c r="E4663" s="12"/>
      <c r="H4663" s="11" t="str">
        <f ca="1">IFERROR(__xludf.DUMMYFUNCTION("IFERROR(SUBSTITUTE(SUBSTITUTE(REGEXEXTRACT(A4663, ""[^-]+- [^-]+- [^-]+ - (.+?)\.jpg""), "".jpg"", """"), ""-"", "", ""), """")"),"")</f>
        <v/>
      </c>
      <c r="L4663" s="12"/>
      <c r="M4663" s="13"/>
      <c r="N4663" s="2"/>
      <c r="O4663" s="20"/>
      <c r="P4663" s="42"/>
      <c r="R4663" s="23"/>
    </row>
    <row r="4664" spans="1:18" ht="12.75">
      <c r="A4664" s="12"/>
      <c r="D4664" s="12"/>
      <c r="E4664" s="12"/>
      <c r="H4664" s="11" t="str">
        <f ca="1">IFERROR(__xludf.DUMMYFUNCTION("IFERROR(SUBSTITUTE(SUBSTITUTE(REGEXEXTRACT(A4664, ""[^-]+- [^-]+- [^-]+ - (.+?)\.jpg""), "".jpg"", """"), ""-"", "", ""), """")"),"")</f>
        <v/>
      </c>
      <c r="L4664" s="12"/>
      <c r="M4664" s="13"/>
      <c r="N4664" s="2"/>
      <c r="O4664" s="20"/>
      <c r="P4664" s="42"/>
      <c r="R4664" s="23"/>
    </row>
    <row r="4665" spans="1:18" ht="12.75">
      <c r="A4665" s="12"/>
      <c r="D4665" s="12"/>
      <c r="E4665" s="12"/>
      <c r="H4665" s="11" t="str">
        <f ca="1">IFERROR(__xludf.DUMMYFUNCTION("IFERROR(SUBSTITUTE(SUBSTITUTE(REGEXEXTRACT(A4665, ""[^-]+- [^-]+- [^-]+ - (.+?)\.jpg""), "".jpg"", """"), ""-"", "", ""), """")"),"")</f>
        <v/>
      </c>
      <c r="L4665" s="12"/>
      <c r="M4665" s="13"/>
      <c r="N4665" s="2"/>
      <c r="O4665" s="20"/>
      <c r="P4665" s="42"/>
      <c r="R4665" s="23"/>
    </row>
    <row r="4666" spans="1:18" ht="12.75">
      <c r="A4666" s="12"/>
      <c r="D4666" s="12"/>
      <c r="E4666" s="12"/>
      <c r="H4666" s="11" t="str">
        <f ca="1">IFERROR(__xludf.DUMMYFUNCTION("IFERROR(SUBSTITUTE(SUBSTITUTE(REGEXEXTRACT(A4666, ""[^-]+- [^-]+- [^-]+ - (.+?)\.jpg""), "".jpg"", """"), ""-"", "", ""), """")"),"")</f>
        <v/>
      </c>
      <c r="L4666" s="12"/>
      <c r="M4666" s="13"/>
      <c r="N4666" s="2"/>
      <c r="O4666" s="20"/>
      <c r="P4666" s="42"/>
      <c r="R4666" s="23"/>
    </row>
    <row r="4667" spans="1:18" ht="12.75">
      <c r="A4667" s="12"/>
      <c r="D4667" s="12"/>
      <c r="E4667" s="12"/>
      <c r="H4667" s="11" t="str">
        <f ca="1">IFERROR(__xludf.DUMMYFUNCTION("IFERROR(SUBSTITUTE(SUBSTITUTE(REGEXEXTRACT(A4667, ""[^-]+- [^-]+- [^-]+ - (.+?)\.jpg""), "".jpg"", """"), ""-"", "", ""), """")"),"")</f>
        <v/>
      </c>
      <c r="L4667" s="12"/>
      <c r="M4667" s="13"/>
      <c r="N4667" s="2"/>
      <c r="O4667" s="20"/>
      <c r="P4667" s="42"/>
      <c r="R4667" s="23"/>
    </row>
    <row r="4668" spans="1:18" ht="12.75">
      <c r="A4668" s="12"/>
      <c r="D4668" s="12"/>
      <c r="E4668" s="12"/>
      <c r="H4668" s="11" t="str">
        <f ca="1">IFERROR(__xludf.DUMMYFUNCTION("IFERROR(SUBSTITUTE(SUBSTITUTE(REGEXEXTRACT(A4668, ""[^-]+- [^-]+- [^-]+ - (.+?)\.jpg""), "".jpg"", """"), ""-"", "", ""), """")"),"")</f>
        <v/>
      </c>
      <c r="L4668" s="12"/>
      <c r="M4668" s="13"/>
      <c r="N4668" s="2"/>
      <c r="O4668" s="20"/>
      <c r="P4668" s="42"/>
      <c r="R4668" s="23"/>
    </row>
    <row r="4669" spans="1:18" ht="12.75">
      <c r="A4669" s="12"/>
      <c r="D4669" s="12"/>
      <c r="E4669" s="12"/>
      <c r="H4669" s="11" t="str">
        <f ca="1">IFERROR(__xludf.DUMMYFUNCTION("IFERROR(SUBSTITUTE(SUBSTITUTE(REGEXEXTRACT(A4669, ""[^-]+- [^-]+- [^-]+ - (.+?)\.jpg""), "".jpg"", """"), ""-"", "", ""), """")"),"")</f>
        <v/>
      </c>
      <c r="L4669" s="12"/>
      <c r="M4669" s="13"/>
      <c r="N4669" s="2"/>
      <c r="O4669" s="20"/>
      <c r="P4669" s="42"/>
      <c r="R4669" s="23"/>
    </row>
    <row r="4670" spans="1:18" ht="12.75">
      <c r="A4670" s="12"/>
      <c r="D4670" s="12"/>
      <c r="E4670" s="12"/>
      <c r="H4670" s="11" t="str">
        <f ca="1">IFERROR(__xludf.DUMMYFUNCTION("IFERROR(SUBSTITUTE(SUBSTITUTE(REGEXEXTRACT(A4670, ""[^-]+- [^-]+- [^-]+ - (.+?)\.jpg""), "".jpg"", """"), ""-"", "", ""), """")"),"")</f>
        <v/>
      </c>
      <c r="L4670" s="12"/>
      <c r="M4670" s="13"/>
      <c r="N4670" s="2"/>
      <c r="O4670" s="20"/>
      <c r="P4670" s="42"/>
      <c r="R4670" s="23"/>
    </row>
    <row r="4671" spans="1:18" ht="12.75">
      <c r="A4671" s="12"/>
      <c r="D4671" s="12"/>
      <c r="E4671" s="12"/>
      <c r="H4671" s="11" t="str">
        <f ca="1">IFERROR(__xludf.DUMMYFUNCTION("IFERROR(SUBSTITUTE(SUBSTITUTE(REGEXEXTRACT(A4671, ""[^-]+- [^-]+- [^-]+ - (.+?)\.jpg""), "".jpg"", """"), ""-"", "", ""), """")"),"")</f>
        <v/>
      </c>
      <c r="L4671" s="12"/>
      <c r="M4671" s="13"/>
      <c r="N4671" s="2"/>
      <c r="O4671" s="20"/>
      <c r="P4671" s="42"/>
      <c r="R4671" s="23"/>
    </row>
    <row r="4672" spans="1:18" ht="12.75">
      <c r="A4672" s="12"/>
      <c r="D4672" s="12"/>
      <c r="E4672" s="12"/>
      <c r="H4672" s="11" t="str">
        <f ca="1">IFERROR(__xludf.DUMMYFUNCTION("IFERROR(SUBSTITUTE(SUBSTITUTE(REGEXEXTRACT(A4672, ""[^-]+- [^-]+- [^-]+ - (.+?)\.jpg""), "".jpg"", """"), ""-"", "", ""), """")"),"")</f>
        <v/>
      </c>
      <c r="L4672" s="12"/>
      <c r="M4672" s="13"/>
      <c r="N4672" s="2"/>
      <c r="O4672" s="20"/>
      <c r="P4672" s="42"/>
      <c r="R4672" s="23"/>
    </row>
    <row r="4673" spans="1:18" ht="12.75">
      <c r="A4673" s="12"/>
      <c r="D4673" s="12"/>
      <c r="E4673" s="12"/>
      <c r="H4673" s="11" t="str">
        <f ca="1">IFERROR(__xludf.DUMMYFUNCTION("IFERROR(SUBSTITUTE(SUBSTITUTE(REGEXEXTRACT(A4673, ""[^-]+- [^-]+- [^-]+ - (.+?)\.jpg""), "".jpg"", """"), ""-"", "", ""), """")"),"")</f>
        <v/>
      </c>
      <c r="L4673" s="12"/>
      <c r="M4673" s="13"/>
      <c r="N4673" s="2"/>
      <c r="O4673" s="20"/>
      <c r="P4673" s="42"/>
      <c r="R4673" s="23"/>
    </row>
    <row r="4674" spans="1:18" ht="12.75">
      <c r="A4674" s="12"/>
      <c r="D4674" s="12"/>
      <c r="E4674" s="12"/>
      <c r="H4674" s="11" t="str">
        <f ca="1">IFERROR(__xludf.DUMMYFUNCTION("IFERROR(SUBSTITUTE(SUBSTITUTE(REGEXEXTRACT(A4674, ""[^-]+- [^-]+- [^-]+ - (.+?)\.jpg""), "".jpg"", """"), ""-"", "", ""), """")"),"")</f>
        <v/>
      </c>
      <c r="L4674" s="12"/>
      <c r="M4674" s="13"/>
      <c r="N4674" s="2"/>
      <c r="O4674" s="20"/>
      <c r="P4674" s="42"/>
      <c r="R4674" s="23"/>
    </row>
    <row r="4675" spans="1:18" ht="12.75">
      <c r="A4675" s="12"/>
      <c r="D4675" s="12"/>
      <c r="E4675" s="12"/>
      <c r="H4675" s="11" t="str">
        <f ca="1">IFERROR(__xludf.DUMMYFUNCTION("IFERROR(SUBSTITUTE(SUBSTITUTE(REGEXEXTRACT(A4675, ""[^-]+- [^-]+- [^-]+ - (.+?)\.jpg""), "".jpg"", """"), ""-"", "", ""), """")"),"")</f>
        <v/>
      </c>
      <c r="L4675" s="12"/>
      <c r="M4675" s="13"/>
      <c r="N4675" s="2"/>
      <c r="O4675" s="20"/>
      <c r="P4675" s="42"/>
      <c r="R4675" s="23"/>
    </row>
    <row r="4676" spans="1:18" ht="12.75">
      <c r="A4676" s="12"/>
      <c r="D4676" s="12"/>
      <c r="E4676" s="12"/>
      <c r="H4676" s="11" t="str">
        <f ca="1">IFERROR(__xludf.DUMMYFUNCTION("IFERROR(SUBSTITUTE(SUBSTITUTE(REGEXEXTRACT(A4676, ""[^-]+- [^-]+- [^-]+ - (.+?)\.jpg""), "".jpg"", """"), ""-"", "", ""), """")"),"")</f>
        <v/>
      </c>
      <c r="L4676" s="12"/>
      <c r="M4676" s="13"/>
      <c r="N4676" s="2"/>
      <c r="O4676" s="20"/>
      <c r="P4676" s="42"/>
      <c r="R4676" s="23"/>
    </row>
    <row r="4677" spans="1:18" ht="12.75">
      <c r="A4677" s="12"/>
      <c r="D4677" s="12"/>
      <c r="E4677" s="12"/>
      <c r="H4677" s="11" t="str">
        <f ca="1">IFERROR(__xludf.DUMMYFUNCTION("IFERROR(SUBSTITUTE(SUBSTITUTE(REGEXEXTRACT(A4677, ""[^-]+- [^-]+- [^-]+ - (.+?)\.jpg""), "".jpg"", """"), ""-"", "", ""), """")"),"")</f>
        <v/>
      </c>
      <c r="L4677" s="12"/>
      <c r="M4677" s="13"/>
      <c r="N4677" s="2"/>
      <c r="O4677" s="20"/>
      <c r="P4677" s="42"/>
      <c r="R4677" s="23"/>
    </row>
    <row r="4678" spans="1:18" ht="12.75">
      <c r="A4678" s="12"/>
      <c r="D4678" s="12"/>
      <c r="E4678" s="12"/>
      <c r="H4678" s="11" t="str">
        <f ca="1">IFERROR(__xludf.DUMMYFUNCTION("IFERROR(SUBSTITUTE(SUBSTITUTE(REGEXEXTRACT(A4678, ""[^-]+- [^-]+- [^-]+ - (.+?)\.jpg""), "".jpg"", """"), ""-"", "", ""), """")"),"")</f>
        <v/>
      </c>
      <c r="L4678" s="12"/>
      <c r="M4678" s="13"/>
      <c r="N4678" s="2"/>
      <c r="O4678" s="20"/>
      <c r="P4678" s="42"/>
      <c r="R4678" s="23"/>
    </row>
    <row r="4679" spans="1:18" ht="12.75">
      <c r="A4679" s="12"/>
      <c r="D4679" s="12"/>
      <c r="E4679" s="12"/>
      <c r="H4679" s="11" t="str">
        <f ca="1">IFERROR(__xludf.DUMMYFUNCTION("IFERROR(SUBSTITUTE(SUBSTITUTE(REGEXEXTRACT(A4679, ""[^-]+- [^-]+- [^-]+ - (.+?)\.jpg""), "".jpg"", """"), ""-"", "", ""), """")"),"")</f>
        <v/>
      </c>
      <c r="L4679" s="12"/>
      <c r="M4679" s="13"/>
      <c r="N4679" s="2"/>
      <c r="O4679" s="20"/>
      <c r="P4679" s="42"/>
      <c r="R4679" s="23"/>
    </row>
    <row r="4680" spans="1:18" ht="12.75">
      <c r="A4680" s="12"/>
      <c r="D4680" s="12"/>
      <c r="E4680" s="12"/>
      <c r="H4680" s="11" t="str">
        <f ca="1">IFERROR(__xludf.DUMMYFUNCTION("IFERROR(SUBSTITUTE(SUBSTITUTE(REGEXEXTRACT(A4680, ""[^-]+- [^-]+- [^-]+ - (.+?)\.jpg""), "".jpg"", """"), ""-"", "", ""), """")"),"")</f>
        <v/>
      </c>
      <c r="L4680" s="12"/>
      <c r="M4680" s="13"/>
      <c r="N4680" s="2"/>
      <c r="O4680" s="20"/>
      <c r="P4680" s="42"/>
      <c r="R4680" s="23"/>
    </row>
    <row r="4681" spans="1:18" ht="12.75">
      <c r="A4681" s="12"/>
      <c r="D4681" s="12"/>
      <c r="E4681" s="12"/>
      <c r="H4681" s="11" t="str">
        <f ca="1">IFERROR(__xludf.DUMMYFUNCTION("IFERROR(SUBSTITUTE(SUBSTITUTE(REGEXEXTRACT(A4681, ""[^-]+- [^-]+- [^-]+ - (.+?)\.jpg""), "".jpg"", """"), ""-"", "", ""), """")"),"")</f>
        <v/>
      </c>
      <c r="L4681" s="12"/>
      <c r="M4681" s="13"/>
      <c r="N4681" s="2"/>
      <c r="O4681" s="20"/>
      <c r="P4681" s="42"/>
      <c r="R4681" s="23"/>
    </row>
    <row r="4682" spans="1:18" ht="12.75">
      <c r="A4682" s="12"/>
      <c r="D4682" s="12"/>
      <c r="E4682" s="12"/>
      <c r="H4682" s="11" t="str">
        <f ca="1">IFERROR(__xludf.DUMMYFUNCTION("IFERROR(SUBSTITUTE(SUBSTITUTE(REGEXEXTRACT(A4682, ""[^-]+- [^-]+- [^-]+ - (.+?)\.jpg""), "".jpg"", """"), ""-"", "", ""), """")"),"")</f>
        <v/>
      </c>
      <c r="L4682" s="12"/>
      <c r="M4682" s="13"/>
      <c r="N4682" s="2"/>
      <c r="O4682" s="20"/>
      <c r="P4682" s="42"/>
      <c r="R4682" s="23"/>
    </row>
    <row r="4683" spans="1:18" ht="12.75">
      <c r="A4683" s="12"/>
      <c r="D4683" s="12"/>
      <c r="E4683" s="12"/>
      <c r="H4683" s="11" t="str">
        <f ca="1">IFERROR(__xludf.DUMMYFUNCTION("IFERROR(SUBSTITUTE(SUBSTITUTE(REGEXEXTRACT(A4683, ""[^-]+- [^-]+- [^-]+ - (.+?)\.jpg""), "".jpg"", """"), ""-"", "", ""), """")"),"")</f>
        <v/>
      </c>
      <c r="L4683" s="12"/>
      <c r="M4683" s="13"/>
      <c r="N4683" s="2"/>
      <c r="O4683" s="20"/>
      <c r="P4683" s="42"/>
      <c r="R4683" s="23"/>
    </row>
    <row r="4684" spans="1:18" ht="12.75">
      <c r="A4684" s="12"/>
      <c r="D4684" s="12"/>
      <c r="E4684" s="12"/>
      <c r="H4684" s="11" t="str">
        <f ca="1">IFERROR(__xludf.DUMMYFUNCTION("IFERROR(SUBSTITUTE(SUBSTITUTE(REGEXEXTRACT(A4684, ""[^-]+- [^-]+- [^-]+ - (.+?)\.jpg""), "".jpg"", """"), ""-"", "", ""), """")"),"")</f>
        <v/>
      </c>
      <c r="L4684" s="12"/>
      <c r="M4684" s="13"/>
      <c r="N4684" s="2"/>
      <c r="O4684" s="20"/>
      <c r="P4684" s="42"/>
      <c r="R4684" s="23"/>
    </row>
    <row r="4685" spans="1:18" ht="12.75">
      <c r="A4685" s="12"/>
      <c r="D4685" s="12"/>
      <c r="E4685" s="12"/>
      <c r="H4685" s="11" t="str">
        <f ca="1">IFERROR(__xludf.DUMMYFUNCTION("IFERROR(SUBSTITUTE(SUBSTITUTE(REGEXEXTRACT(A4685, ""[^-]+- [^-]+- [^-]+ - (.+?)\.jpg""), "".jpg"", """"), ""-"", "", ""), """")"),"")</f>
        <v/>
      </c>
      <c r="L4685" s="12"/>
      <c r="M4685" s="13"/>
      <c r="N4685" s="2"/>
      <c r="O4685" s="20"/>
      <c r="P4685" s="42"/>
      <c r="R4685" s="23"/>
    </row>
    <row r="4686" spans="1:18" ht="12.75">
      <c r="A4686" s="12"/>
      <c r="D4686" s="12"/>
      <c r="E4686" s="12"/>
      <c r="H4686" s="11" t="str">
        <f ca="1">IFERROR(__xludf.DUMMYFUNCTION("IFERROR(SUBSTITUTE(SUBSTITUTE(REGEXEXTRACT(A4686, ""[^-]+- [^-]+- [^-]+ - (.+?)\.jpg""), "".jpg"", """"), ""-"", "", ""), """")"),"")</f>
        <v/>
      </c>
      <c r="L4686" s="12"/>
      <c r="M4686" s="13"/>
      <c r="N4686" s="2"/>
      <c r="O4686" s="20"/>
      <c r="P4686" s="42"/>
      <c r="R4686" s="23"/>
    </row>
    <row r="4687" spans="1:18" ht="12.75">
      <c r="A4687" s="12"/>
      <c r="D4687" s="12"/>
      <c r="E4687" s="12"/>
      <c r="H4687" s="11" t="str">
        <f ca="1">IFERROR(__xludf.DUMMYFUNCTION("IFERROR(SUBSTITUTE(SUBSTITUTE(REGEXEXTRACT(A4687, ""[^-]+- [^-]+- [^-]+ - (.+?)\.jpg""), "".jpg"", """"), ""-"", "", ""), """")"),"")</f>
        <v/>
      </c>
      <c r="L4687" s="12"/>
      <c r="M4687" s="13"/>
      <c r="N4687" s="2"/>
      <c r="O4687" s="20"/>
      <c r="P4687" s="42"/>
      <c r="R4687" s="23"/>
    </row>
    <row r="4688" spans="1:18" ht="12.75">
      <c r="A4688" s="12"/>
      <c r="D4688" s="12"/>
      <c r="E4688" s="12"/>
      <c r="H4688" s="11" t="str">
        <f ca="1">IFERROR(__xludf.DUMMYFUNCTION("IFERROR(SUBSTITUTE(SUBSTITUTE(REGEXEXTRACT(A4688, ""[^-]+- [^-]+- [^-]+ - (.+?)\.jpg""), "".jpg"", """"), ""-"", "", ""), """")"),"")</f>
        <v/>
      </c>
      <c r="L4688" s="12"/>
      <c r="M4688" s="13"/>
      <c r="N4688" s="2"/>
      <c r="O4688" s="20"/>
      <c r="P4688" s="42"/>
      <c r="R4688" s="23"/>
    </row>
    <row r="4689" spans="1:18" ht="12.75">
      <c r="A4689" s="12"/>
      <c r="D4689" s="12"/>
      <c r="E4689" s="12"/>
      <c r="H4689" s="11" t="str">
        <f ca="1">IFERROR(__xludf.DUMMYFUNCTION("IFERROR(SUBSTITUTE(SUBSTITUTE(REGEXEXTRACT(A4689, ""[^-]+- [^-]+- [^-]+ - (.+?)\.jpg""), "".jpg"", """"), ""-"", "", ""), """")"),"")</f>
        <v/>
      </c>
      <c r="L4689" s="12"/>
      <c r="M4689" s="13"/>
      <c r="N4689" s="2"/>
      <c r="O4689" s="20"/>
      <c r="P4689" s="42"/>
      <c r="R4689" s="23"/>
    </row>
    <row r="4690" spans="1:18" ht="12.75">
      <c r="A4690" s="12"/>
      <c r="D4690" s="12"/>
      <c r="E4690" s="12"/>
      <c r="H4690" s="11" t="str">
        <f ca="1">IFERROR(__xludf.DUMMYFUNCTION("IFERROR(SUBSTITUTE(SUBSTITUTE(REGEXEXTRACT(A4690, ""[^-]+- [^-]+- [^-]+ - (.+?)\.jpg""), "".jpg"", """"), ""-"", "", ""), """")"),"")</f>
        <v/>
      </c>
      <c r="L4690" s="12"/>
      <c r="M4690" s="13"/>
      <c r="N4690" s="2"/>
      <c r="O4690" s="20"/>
      <c r="P4690" s="42"/>
      <c r="R4690" s="23"/>
    </row>
    <row r="4691" spans="1:18" ht="12.75">
      <c r="A4691" s="12"/>
      <c r="D4691" s="12"/>
      <c r="E4691" s="12"/>
      <c r="H4691" s="11" t="str">
        <f ca="1">IFERROR(__xludf.DUMMYFUNCTION("IFERROR(SUBSTITUTE(SUBSTITUTE(REGEXEXTRACT(A4691, ""[^-]+- [^-]+- [^-]+ - (.+?)\.jpg""), "".jpg"", """"), ""-"", "", ""), """")"),"")</f>
        <v/>
      </c>
      <c r="L4691" s="12"/>
      <c r="M4691" s="13"/>
      <c r="N4691" s="2"/>
      <c r="O4691" s="20"/>
      <c r="P4691" s="42"/>
      <c r="R4691" s="23"/>
    </row>
    <row r="4692" spans="1:18" ht="12.75">
      <c r="A4692" s="12"/>
      <c r="D4692" s="12"/>
      <c r="E4692" s="12"/>
      <c r="H4692" s="11" t="str">
        <f ca="1">IFERROR(__xludf.DUMMYFUNCTION("IFERROR(SUBSTITUTE(SUBSTITUTE(REGEXEXTRACT(A4692, ""[^-]+- [^-]+- [^-]+ - (.+?)\.jpg""), "".jpg"", """"), ""-"", "", ""), """")"),"")</f>
        <v/>
      </c>
      <c r="L4692" s="12"/>
      <c r="M4692" s="13"/>
      <c r="N4692" s="2"/>
      <c r="O4692" s="20"/>
      <c r="P4692" s="42"/>
      <c r="R4692" s="23"/>
    </row>
    <row r="4693" spans="1:18" ht="12.75">
      <c r="A4693" s="12"/>
      <c r="D4693" s="12"/>
      <c r="E4693" s="12"/>
      <c r="H4693" s="11" t="str">
        <f ca="1">IFERROR(__xludf.DUMMYFUNCTION("IFERROR(SUBSTITUTE(SUBSTITUTE(REGEXEXTRACT(A4693, ""[^-]+- [^-]+- [^-]+ - (.+?)\.jpg""), "".jpg"", """"), ""-"", "", ""), """")"),"")</f>
        <v/>
      </c>
      <c r="L4693" s="12"/>
      <c r="M4693" s="13"/>
      <c r="N4693" s="2"/>
      <c r="O4693" s="20"/>
      <c r="P4693" s="42"/>
      <c r="R4693" s="23"/>
    </row>
    <row r="4694" spans="1:18" ht="12.75">
      <c r="A4694" s="12"/>
      <c r="D4694" s="12"/>
      <c r="E4694" s="12"/>
      <c r="H4694" s="11" t="str">
        <f ca="1">IFERROR(__xludf.DUMMYFUNCTION("IFERROR(SUBSTITUTE(SUBSTITUTE(REGEXEXTRACT(A4694, ""[^-]+- [^-]+- [^-]+ - (.+?)\.jpg""), "".jpg"", """"), ""-"", "", ""), """")"),"")</f>
        <v/>
      </c>
      <c r="L4694" s="12"/>
      <c r="M4694" s="13"/>
      <c r="N4694" s="2"/>
      <c r="O4694" s="20"/>
      <c r="P4694" s="42"/>
      <c r="R4694" s="23"/>
    </row>
    <row r="4695" spans="1:18" ht="12.75">
      <c r="A4695" s="12"/>
      <c r="D4695" s="12"/>
      <c r="E4695" s="12"/>
      <c r="H4695" s="11" t="str">
        <f ca="1">IFERROR(__xludf.DUMMYFUNCTION("IFERROR(SUBSTITUTE(SUBSTITUTE(REGEXEXTRACT(A4695, ""[^-]+- [^-]+- [^-]+ - (.+?)\.jpg""), "".jpg"", """"), ""-"", "", ""), """")"),"")</f>
        <v/>
      </c>
      <c r="L4695" s="12"/>
      <c r="M4695" s="13"/>
      <c r="N4695" s="2"/>
      <c r="O4695" s="20"/>
      <c r="P4695" s="42"/>
      <c r="R4695" s="23"/>
    </row>
    <row r="4696" spans="1:18" ht="12.75">
      <c r="A4696" s="12"/>
      <c r="D4696" s="12"/>
      <c r="E4696" s="12"/>
      <c r="H4696" s="11" t="str">
        <f ca="1">IFERROR(__xludf.DUMMYFUNCTION("IFERROR(SUBSTITUTE(SUBSTITUTE(REGEXEXTRACT(A4696, ""[^-]+- [^-]+- [^-]+ - (.+?)\.jpg""), "".jpg"", """"), ""-"", "", ""), """")"),"")</f>
        <v/>
      </c>
      <c r="L4696" s="12"/>
      <c r="M4696" s="13"/>
      <c r="N4696" s="2"/>
      <c r="O4696" s="20"/>
      <c r="P4696" s="42"/>
      <c r="R4696" s="23"/>
    </row>
    <row r="4697" spans="1:18" ht="12.75">
      <c r="A4697" s="12"/>
      <c r="D4697" s="12"/>
      <c r="E4697" s="12"/>
      <c r="H4697" s="11" t="str">
        <f ca="1">IFERROR(__xludf.DUMMYFUNCTION("IFERROR(SUBSTITUTE(SUBSTITUTE(REGEXEXTRACT(A4697, ""[^-]+- [^-]+- [^-]+ - (.+?)\.jpg""), "".jpg"", """"), ""-"", "", ""), """")"),"")</f>
        <v/>
      </c>
      <c r="L4697" s="12"/>
      <c r="M4697" s="13"/>
      <c r="N4697" s="2"/>
      <c r="O4697" s="20"/>
      <c r="P4697" s="42"/>
      <c r="R4697" s="23"/>
    </row>
    <row r="4698" spans="1:18" ht="12.75">
      <c r="A4698" s="12"/>
      <c r="D4698" s="12"/>
      <c r="E4698" s="12"/>
      <c r="H4698" s="11" t="str">
        <f ca="1">IFERROR(__xludf.DUMMYFUNCTION("IFERROR(SUBSTITUTE(SUBSTITUTE(REGEXEXTRACT(A4698, ""[^-]+- [^-]+- [^-]+ - (.+?)\.jpg""), "".jpg"", """"), ""-"", "", ""), """")"),"")</f>
        <v/>
      </c>
      <c r="L4698" s="12"/>
      <c r="M4698" s="13"/>
      <c r="N4698" s="2"/>
      <c r="O4698" s="20"/>
      <c r="P4698" s="42"/>
      <c r="R4698" s="23"/>
    </row>
    <row r="4699" spans="1:18" ht="12.75">
      <c r="A4699" s="12"/>
      <c r="D4699" s="12"/>
      <c r="E4699" s="12"/>
      <c r="H4699" s="11" t="str">
        <f ca="1">IFERROR(__xludf.DUMMYFUNCTION("IFERROR(SUBSTITUTE(SUBSTITUTE(REGEXEXTRACT(A4699, ""[^-]+- [^-]+- [^-]+ - (.+?)\.jpg""), "".jpg"", """"), ""-"", "", ""), """")"),"")</f>
        <v/>
      </c>
      <c r="L4699" s="12"/>
      <c r="M4699" s="13"/>
      <c r="N4699" s="2"/>
      <c r="O4699" s="20"/>
      <c r="P4699" s="42"/>
      <c r="R4699" s="23"/>
    </row>
    <row r="4700" spans="1:18" ht="12.75">
      <c r="A4700" s="12"/>
      <c r="D4700" s="12"/>
      <c r="E4700" s="12"/>
      <c r="H4700" s="11" t="str">
        <f ca="1">IFERROR(__xludf.DUMMYFUNCTION("IFERROR(SUBSTITUTE(SUBSTITUTE(REGEXEXTRACT(A4700, ""[^-]+- [^-]+- [^-]+ - (.+?)\.jpg""), "".jpg"", """"), ""-"", "", ""), """")"),"")</f>
        <v/>
      </c>
      <c r="L4700" s="12"/>
      <c r="M4700" s="13"/>
      <c r="N4700" s="2"/>
      <c r="O4700" s="20"/>
      <c r="P4700" s="42"/>
      <c r="R4700" s="23"/>
    </row>
    <row r="4701" spans="1:18" ht="12.75">
      <c r="A4701" s="12"/>
      <c r="D4701" s="12"/>
      <c r="E4701" s="12"/>
      <c r="H4701" s="11" t="str">
        <f ca="1">IFERROR(__xludf.DUMMYFUNCTION("IFERROR(SUBSTITUTE(SUBSTITUTE(REGEXEXTRACT(A4701, ""[^-]+- [^-]+- [^-]+ - (.+?)\.jpg""), "".jpg"", """"), ""-"", "", ""), """")"),"")</f>
        <v/>
      </c>
      <c r="L4701" s="12"/>
      <c r="M4701" s="13"/>
      <c r="N4701" s="2"/>
      <c r="O4701" s="20"/>
      <c r="P4701" s="42"/>
      <c r="R4701" s="23"/>
    </row>
    <row r="4702" spans="1:18" ht="12.75">
      <c r="A4702" s="12"/>
      <c r="D4702" s="12"/>
      <c r="E4702" s="12"/>
      <c r="H4702" s="11" t="str">
        <f ca="1">IFERROR(__xludf.DUMMYFUNCTION("IFERROR(SUBSTITUTE(SUBSTITUTE(REGEXEXTRACT(A4702, ""[^-]+- [^-]+- [^-]+ - (.+?)\.jpg""), "".jpg"", """"), ""-"", "", ""), """")"),"")</f>
        <v/>
      </c>
      <c r="L4702" s="12"/>
      <c r="M4702" s="13"/>
      <c r="N4702" s="2"/>
      <c r="O4702" s="20"/>
      <c r="P4702" s="42"/>
      <c r="R4702" s="23"/>
    </row>
    <row r="4703" spans="1:18" ht="12.75">
      <c r="A4703" s="12"/>
      <c r="D4703" s="12"/>
      <c r="E4703" s="12"/>
      <c r="H4703" s="11" t="str">
        <f ca="1">IFERROR(__xludf.DUMMYFUNCTION("IFERROR(SUBSTITUTE(SUBSTITUTE(REGEXEXTRACT(A4703, ""[^-]+- [^-]+- [^-]+ - (.+?)\.jpg""), "".jpg"", """"), ""-"", "", ""), """")"),"")</f>
        <v/>
      </c>
      <c r="L4703" s="12"/>
      <c r="M4703" s="13"/>
      <c r="N4703" s="2"/>
      <c r="O4703" s="20"/>
      <c r="P4703" s="42"/>
      <c r="R4703" s="23"/>
    </row>
    <row r="4704" spans="1:18" ht="12.75">
      <c r="A4704" s="12"/>
      <c r="D4704" s="12"/>
      <c r="E4704" s="12"/>
      <c r="H4704" s="11" t="str">
        <f ca="1">IFERROR(__xludf.DUMMYFUNCTION("IFERROR(SUBSTITUTE(SUBSTITUTE(REGEXEXTRACT(A4704, ""[^-]+- [^-]+- [^-]+ - (.+?)\.jpg""), "".jpg"", """"), ""-"", "", ""), """")"),"")</f>
        <v/>
      </c>
      <c r="L4704" s="12"/>
      <c r="M4704" s="13"/>
      <c r="N4704" s="2"/>
      <c r="O4704" s="20"/>
      <c r="P4704" s="42"/>
      <c r="R4704" s="23"/>
    </row>
    <row r="4705" spans="1:18" ht="12.75">
      <c r="A4705" s="12"/>
      <c r="D4705" s="12"/>
      <c r="E4705" s="12"/>
      <c r="H4705" s="11" t="str">
        <f ca="1">IFERROR(__xludf.DUMMYFUNCTION("IFERROR(SUBSTITUTE(SUBSTITUTE(REGEXEXTRACT(A4705, ""[^-]+- [^-]+- [^-]+ - (.+?)\.jpg""), "".jpg"", """"), ""-"", "", ""), """")"),"")</f>
        <v/>
      </c>
      <c r="L4705" s="12"/>
      <c r="M4705" s="13"/>
      <c r="N4705" s="2"/>
      <c r="O4705" s="20"/>
      <c r="P4705" s="42"/>
      <c r="R4705" s="23"/>
    </row>
    <row r="4706" spans="1:18" ht="12.75">
      <c r="A4706" s="12"/>
      <c r="D4706" s="12"/>
      <c r="E4706" s="12"/>
      <c r="H4706" s="11" t="str">
        <f ca="1">IFERROR(__xludf.DUMMYFUNCTION("IFERROR(SUBSTITUTE(SUBSTITUTE(REGEXEXTRACT(A4706, ""[^-]+- [^-]+- [^-]+ - (.+?)\.jpg""), "".jpg"", """"), ""-"", "", ""), """")"),"")</f>
        <v/>
      </c>
      <c r="L4706" s="12"/>
      <c r="M4706" s="13"/>
      <c r="N4706" s="2"/>
      <c r="O4706" s="20"/>
      <c r="P4706" s="42"/>
      <c r="R4706" s="23"/>
    </row>
    <row r="4707" spans="1:18" ht="12.75">
      <c r="A4707" s="12"/>
      <c r="D4707" s="12"/>
      <c r="E4707" s="12"/>
      <c r="H4707" s="11" t="str">
        <f ca="1">IFERROR(__xludf.DUMMYFUNCTION("IFERROR(SUBSTITUTE(SUBSTITUTE(REGEXEXTRACT(A4707, ""[^-]+- [^-]+- [^-]+ - (.+?)\.jpg""), "".jpg"", """"), ""-"", "", ""), """")"),"")</f>
        <v/>
      </c>
      <c r="L4707" s="12"/>
      <c r="M4707" s="13"/>
      <c r="N4707" s="2"/>
      <c r="O4707" s="20"/>
      <c r="P4707" s="42"/>
      <c r="R4707" s="23"/>
    </row>
    <row r="4708" spans="1:18" ht="12.75">
      <c r="A4708" s="12"/>
      <c r="D4708" s="12"/>
      <c r="E4708" s="12"/>
      <c r="H4708" s="11" t="str">
        <f ca="1">IFERROR(__xludf.DUMMYFUNCTION("IFERROR(SUBSTITUTE(SUBSTITUTE(REGEXEXTRACT(A4708, ""[^-]+- [^-]+- [^-]+ - (.+?)\.jpg""), "".jpg"", """"), ""-"", "", ""), """")"),"")</f>
        <v/>
      </c>
      <c r="L4708" s="12"/>
      <c r="M4708" s="13"/>
      <c r="N4708" s="2"/>
      <c r="O4708" s="20"/>
      <c r="P4708" s="42"/>
      <c r="R4708" s="23"/>
    </row>
    <row r="4709" spans="1:18" ht="12.75">
      <c r="A4709" s="12"/>
      <c r="D4709" s="12"/>
      <c r="E4709" s="12"/>
      <c r="H4709" s="11" t="str">
        <f ca="1">IFERROR(__xludf.DUMMYFUNCTION("IFERROR(SUBSTITUTE(SUBSTITUTE(REGEXEXTRACT(A4709, ""[^-]+- [^-]+- [^-]+ - (.+?)\.jpg""), "".jpg"", """"), ""-"", "", ""), """")"),"")</f>
        <v/>
      </c>
      <c r="L4709" s="12"/>
      <c r="M4709" s="13"/>
      <c r="N4709" s="2"/>
      <c r="O4709" s="20"/>
      <c r="P4709" s="42"/>
      <c r="R4709" s="23"/>
    </row>
    <row r="4710" spans="1:18" ht="12.75">
      <c r="A4710" s="12"/>
      <c r="D4710" s="12"/>
      <c r="E4710" s="12"/>
      <c r="H4710" s="11" t="str">
        <f ca="1">IFERROR(__xludf.DUMMYFUNCTION("IFERROR(SUBSTITUTE(SUBSTITUTE(REGEXEXTRACT(A4710, ""[^-]+- [^-]+- [^-]+ - (.+?)\.jpg""), "".jpg"", """"), ""-"", "", ""), """")"),"")</f>
        <v/>
      </c>
      <c r="L4710" s="12"/>
      <c r="M4710" s="13"/>
      <c r="N4710" s="2"/>
      <c r="O4710" s="20"/>
      <c r="P4710" s="42"/>
      <c r="R4710" s="23"/>
    </row>
    <row r="4711" spans="1:18" ht="12.75">
      <c r="A4711" s="12"/>
      <c r="D4711" s="12"/>
      <c r="E4711" s="12"/>
      <c r="H4711" s="11" t="str">
        <f ca="1">IFERROR(__xludf.DUMMYFUNCTION("IFERROR(SUBSTITUTE(SUBSTITUTE(REGEXEXTRACT(A4711, ""[^-]+- [^-]+- [^-]+ - (.+?)\.jpg""), "".jpg"", """"), ""-"", "", ""), """")"),"")</f>
        <v/>
      </c>
      <c r="L4711" s="12"/>
      <c r="M4711" s="13"/>
      <c r="N4711" s="2"/>
      <c r="O4711" s="20"/>
      <c r="P4711" s="42"/>
      <c r="R4711" s="23"/>
    </row>
    <row r="4712" spans="1:18" ht="12.75">
      <c r="A4712" s="12"/>
      <c r="D4712" s="12"/>
      <c r="E4712" s="12"/>
      <c r="H4712" s="11" t="str">
        <f ca="1">IFERROR(__xludf.DUMMYFUNCTION("IFERROR(SUBSTITUTE(SUBSTITUTE(REGEXEXTRACT(A4712, ""[^-]+- [^-]+- [^-]+ - (.+?)\.jpg""), "".jpg"", """"), ""-"", "", ""), """")"),"")</f>
        <v/>
      </c>
      <c r="L4712" s="12"/>
      <c r="M4712" s="13"/>
      <c r="N4712" s="2"/>
      <c r="O4712" s="20"/>
      <c r="P4712" s="42"/>
      <c r="R4712" s="23"/>
    </row>
    <row r="4713" spans="1:18" ht="12.75">
      <c r="A4713" s="12"/>
      <c r="D4713" s="12"/>
      <c r="E4713" s="12"/>
      <c r="H4713" s="11" t="str">
        <f ca="1">IFERROR(__xludf.DUMMYFUNCTION("IFERROR(SUBSTITUTE(SUBSTITUTE(REGEXEXTRACT(A4713, ""[^-]+- [^-]+- [^-]+ - (.+?)\.jpg""), "".jpg"", """"), ""-"", "", ""), """")"),"")</f>
        <v/>
      </c>
      <c r="L4713" s="12"/>
      <c r="M4713" s="13"/>
      <c r="N4713" s="2"/>
      <c r="O4713" s="20"/>
      <c r="P4713" s="42"/>
      <c r="R4713" s="23"/>
    </row>
    <row r="4714" spans="1:18" ht="12.75">
      <c r="A4714" s="12"/>
      <c r="D4714" s="12"/>
      <c r="E4714" s="12"/>
      <c r="H4714" s="11" t="str">
        <f ca="1">IFERROR(__xludf.DUMMYFUNCTION("IFERROR(SUBSTITUTE(SUBSTITUTE(REGEXEXTRACT(A4714, ""[^-]+- [^-]+- [^-]+ - (.+?)\.jpg""), "".jpg"", """"), ""-"", "", ""), """")"),"")</f>
        <v/>
      </c>
      <c r="L4714" s="12"/>
      <c r="M4714" s="13"/>
      <c r="N4714" s="2"/>
      <c r="O4714" s="20"/>
      <c r="P4714" s="42"/>
      <c r="R4714" s="23"/>
    </row>
    <row r="4715" spans="1:18" ht="12.75">
      <c r="A4715" s="12"/>
      <c r="D4715" s="12"/>
      <c r="E4715" s="12"/>
      <c r="H4715" s="11" t="str">
        <f ca="1">IFERROR(__xludf.DUMMYFUNCTION("IFERROR(SUBSTITUTE(SUBSTITUTE(REGEXEXTRACT(A4715, ""[^-]+- [^-]+- [^-]+ - (.+?)\.jpg""), "".jpg"", """"), ""-"", "", ""), """")"),"")</f>
        <v/>
      </c>
      <c r="L4715" s="12"/>
      <c r="M4715" s="13"/>
      <c r="N4715" s="2"/>
      <c r="O4715" s="20"/>
      <c r="P4715" s="42"/>
      <c r="R4715" s="23"/>
    </row>
    <row r="4716" spans="1:18" ht="12.75">
      <c r="A4716" s="12"/>
      <c r="D4716" s="12"/>
      <c r="E4716" s="12"/>
      <c r="H4716" s="11" t="str">
        <f ca="1">IFERROR(__xludf.DUMMYFUNCTION("IFERROR(SUBSTITUTE(SUBSTITUTE(REGEXEXTRACT(A4716, ""[^-]+- [^-]+- [^-]+ - (.+?)\.jpg""), "".jpg"", """"), ""-"", "", ""), """")"),"")</f>
        <v/>
      </c>
      <c r="L4716" s="12"/>
      <c r="M4716" s="13"/>
      <c r="N4716" s="2"/>
      <c r="O4716" s="20"/>
      <c r="P4716" s="42"/>
      <c r="R4716" s="23"/>
    </row>
    <row r="4717" spans="1:18" ht="12.75">
      <c r="A4717" s="12"/>
      <c r="D4717" s="12"/>
      <c r="E4717" s="12"/>
      <c r="H4717" s="11" t="str">
        <f ca="1">IFERROR(__xludf.DUMMYFUNCTION("IFERROR(SUBSTITUTE(SUBSTITUTE(REGEXEXTRACT(A4717, ""[^-]+- [^-]+- [^-]+ - (.+?)\.jpg""), "".jpg"", """"), ""-"", "", ""), """")"),"")</f>
        <v/>
      </c>
      <c r="L4717" s="12"/>
      <c r="M4717" s="13"/>
      <c r="N4717" s="2"/>
      <c r="O4717" s="20"/>
      <c r="P4717" s="42"/>
      <c r="R4717" s="23"/>
    </row>
    <row r="4718" spans="1:18" ht="12.75">
      <c r="A4718" s="12"/>
      <c r="D4718" s="12"/>
      <c r="E4718" s="12"/>
      <c r="H4718" s="11" t="str">
        <f ca="1">IFERROR(__xludf.DUMMYFUNCTION("IFERROR(SUBSTITUTE(SUBSTITUTE(REGEXEXTRACT(A4718, ""[^-]+- [^-]+- [^-]+ - (.+?)\.jpg""), "".jpg"", """"), ""-"", "", ""), """")"),"")</f>
        <v/>
      </c>
      <c r="L4718" s="12"/>
      <c r="M4718" s="13"/>
      <c r="N4718" s="2"/>
      <c r="O4718" s="20"/>
      <c r="P4718" s="42"/>
      <c r="R4718" s="23"/>
    </row>
    <row r="4719" spans="1:18" ht="12.75">
      <c r="A4719" s="12"/>
      <c r="D4719" s="12"/>
      <c r="E4719" s="12"/>
      <c r="H4719" s="11" t="str">
        <f ca="1">IFERROR(__xludf.DUMMYFUNCTION("IFERROR(SUBSTITUTE(SUBSTITUTE(REGEXEXTRACT(A4719, ""[^-]+- [^-]+- [^-]+ - (.+?)\.jpg""), "".jpg"", """"), ""-"", "", ""), """")"),"")</f>
        <v/>
      </c>
      <c r="L4719" s="12"/>
      <c r="M4719" s="13"/>
      <c r="N4719" s="2"/>
      <c r="O4719" s="20"/>
      <c r="P4719" s="42"/>
      <c r="R4719" s="23"/>
    </row>
    <row r="4720" spans="1:18" ht="12.75">
      <c r="A4720" s="12"/>
      <c r="D4720" s="12"/>
      <c r="E4720" s="12"/>
      <c r="H4720" s="11" t="str">
        <f ca="1">IFERROR(__xludf.DUMMYFUNCTION("IFERROR(SUBSTITUTE(SUBSTITUTE(REGEXEXTRACT(A4720, ""[^-]+- [^-]+- [^-]+ - (.+?)\.jpg""), "".jpg"", """"), ""-"", "", ""), """")"),"")</f>
        <v/>
      </c>
      <c r="L4720" s="12"/>
      <c r="M4720" s="13"/>
      <c r="N4720" s="2"/>
      <c r="O4720" s="20"/>
      <c r="P4720" s="42"/>
      <c r="R4720" s="23"/>
    </row>
    <row r="4721" spans="1:18" ht="12.75">
      <c r="A4721" s="12"/>
      <c r="D4721" s="12"/>
      <c r="E4721" s="12"/>
      <c r="H4721" s="11" t="str">
        <f ca="1">IFERROR(__xludf.DUMMYFUNCTION("IFERROR(SUBSTITUTE(SUBSTITUTE(REGEXEXTRACT(A4721, ""[^-]+- [^-]+- [^-]+ - (.+?)\.jpg""), "".jpg"", """"), ""-"", "", ""), """")"),"")</f>
        <v/>
      </c>
      <c r="L4721" s="12"/>
      <c r="M4721" s="13"/>
      <c r="N4721" s="2"/>
      <c r="O4721" s="20"/>
      <c r="P4721" s="42"/>
      <c r="R4721" s="23"/>
    </row>
    <row r="4722" spans="1:18" ht="12.75">
      <c r="A4722" s="12"/>
      <c r="D4722" s="12"/>
      <c r="E4722" s="12"/>
      <c r="H4722" s="11" t="str">
        <f ca="1">IFERROR(__xludf.DUMMYFUNCTION("IFERROR(SUBSTITUTE(SUBSTITUTE(REGEXEXTRACT(A4722, ""[^-]+- [^-]+- [^-]+ - (.+?)\.jpg""), "".jpg"", """"), ""-"", "", ""), """")"),"")</f>
        <v/>
      </c>
      <c r="L4722" s="12"/>
      <c r="M4722" s="13"/>
      <c r="N4722" s="2"/>
      <c r="O4722" s="20"/>
      <c r="P4722" s="42"/>
      <c r="R4722" s="23"/>
    </row>
    <row r="4723" spans="1:18" ht="12.75">
      <c r="A4723" s="12"/>
      <c r="D4723" s="12"/>
      <c r="E4723" s="12"/>
      <c r="H4723" s="11" t="str">
        <f ca="1">IFERROR(__xludf.DUMMYFUNCTION("IFERROR(SUBSTITUTE(SUBSTITUTE(REGEXEXTRACT(A4723, ""[^-]+- [^-]+- [^-]+ - (.+?)\.jpg""), "".jpg"", """"), ""-"", "", ""), """")"),"")</f>
        <v/>
      </c>
      <c r="L4723" s="12"/>
      <c r="M4723" s="13"/>
      <c r="N4723" s="2"/>
      <c r="O4723" s="20"/>
      <c r="P4723" s="42"/>
      <c r="R4723" s="23"/>
    </row>
    <row r="4724" spans="1:18" ht="12.75">
      <c r="A4724" s="12"/>
      <c r="D4724" s="12"/>
      <c r="E4724" s="12"/>
      <c r="H4724" s="11" t="str">
        <f ca="1">IFERROR(__xludf.DUMMYFUNCTION("IFERROR(SUBSTITUTE(SUBSTITUTE(REGEXEXTRACT(A4724, ""[^-]+- [^-]+- [^-]+ - (.+?)\.jpg""), "".jpg"", """"), ""-"", "", ""), """")"),"")</f>
        <v/>
      </c>
      <c r="L4724" s="12"/>
      <c r="M4724" s="13"/>
      <c r="N4724" s="2"/>
      <c r="O4724" s="20"/>
      <c r="P4724" s="42"/>
      <c r="R4724" s="23"/>
    </row>
    <row r="4725" spans="1:18" ht="12.75">
      <c r="A4725" s="12"/>
      <c r="D4725" s="12"/>
      <c r="E4725" s="12"/>
      <c r="H4725" s="11" t="str">
        <f ca="1">IFERROR(__xludf.DUMMYFUNCTION("IFERROR(SUBSTITUTE(SUBSTITUTE(REGEXEXTRACT(A4725, ""[^-]+- [^-]+- [^-]+ - (.+?)\.jpg""), "".jpg"", """"), ""-"", "", ""), """")"),"")</f>
        <v/>
      </c>
      <c r="L4725" s="12"/>
      <c r="M4725" s="13"/>
      <c r="N4725" s="2"/>
      <c r="O4725" s="20"/>
      <c r="P4725" s="42"/>
      <c r="R4725" s="23"/>
    </row>
    <row r="4726" spans="1:18" ht="12.75">
      <c r="A4726" s="12"/>
      <c r="D4726" s="12"/>
      <c r="E4726" s="12"/>
      <c r="H4726" s="11" t="str">
        <f ca="1">IFERROR(__xludf.DUMMYFUNCTION("IFERROR(SUBSTITUTE(SUBSTITUTE(REGEXEXTRACT(A4726, ""[^-]+- [^-]+- [^-]+ - (.+?)\.jpg""), "".jpg"", """"), ""-"", "", ""), """")"),"")</f>
        <v/>
      </c>
      <c r="L4726" s="12"/>
      <c r="M4726" s="13"/>
      <c r="N4726" s="2"/>
      <c r="O4726" s="20"/>
      <c r="P4726" s="42"/>
      <c r="R4726" s="23"/>
    </row>
    <row r="4727" spans="1:18" ht="12.75">
      <c r="A4727" s="12"/>
      <c r="D4727" s="12"/>
      <c r="E4727" s="12"/>
      <c r="H4727" s="11" t="str">
        <f ca="1">IFERROR(__xludf.DUMMYFUNCTION("IFERROR(SUBSTITUTE(SUBSTITUTE(REGEXEXTRACT(A4727, ""[^-]+- [^-]+- [^-]+ - (.+?)\.jpg""), "".jpg"", """"), ""-"", "", ""), """")"),"")</f>
        <v/>
      </c>
      <c r="L4727" s="12"/>
      <c r="M4727" s="13"/>
      <c r="N4727" s="2"/>
      <c r="O4727" s="20"/>
      <c r="P4727" s="42"/>
      <c r="R4727" s="23"/>
    </row>
    <row r="4728" spans="1:18" ht="12.75">
      <c r="A4728" s="12"/>
      <c r="D4728" s="12"/>
      <c r="E4728" s="12"/>
      <c r="H4728" s="11" t="str">
        <f ca="1">IFERROR(__xludf.DUMMYFUNCTION("IFERROR(SUBSTITUTE(SUBSTITUTE(REGEXEXTRACT(A4728, ""[^-]+- [^-]+- [^-]+ - (.+?)\.jpg""), "".jpg"", """"), ""-"", "", ""), """")"),"")</f>
        <v/>
      </c>
      <c r="L4728" s="12"/>
      <c r="M4728" s="13"/>
      <c r="N4728" s="2"/>
      <c r="O4728" s="20"/>
      <c r="P4728" s="42"/>
      <c r="R4728" s="23"/>
    </row>
    <row r="4729" spans="1:18" ht="12.75">
      <c r="A4729" s="12"/>
      <c r="D4729" s="12"/>
      <c r="E4729" s="12"/>
      <c r="H4729" s="11" t="str">
        <f ca="1">IFERROR(__xludf.DUMMYFUNCTION("IFERROR(SUBSTITUTE(SUBSTITUTE(REGEXEXTRACT(A4729, ""[^-]+- [^-]+- [^-]+ - (.+?)\.jpg""), "".jpg"", """"), ""-"", "", ""), """")"),"")</f>
        <v/>
      </c>
      <c r="L4729" s="12"/>
      <c r="M4729" s="13"/>
      <c r="N4729" s="2"/>
      <c r="O4729" s="20"/>
      <c r="P4729" s="42"/>
      <c r="R4729" s="23"/>
    </row>
    <row r="4730" spans="1:18" ht="12.75">
      <c r="A4730" s="12"/>
      <c r="D4730" s="12"/>
      <c r="E4730" s="12"/>
      <c r="H4730" s="11" t="str">
        <f ca="1">IFERROR(__xludf.DUMMYFUNCTION("IFERROR(SUBSTITUTE(SUBSTITUTE(REGEXEXTRACT(A4730, ""[^-]+- [^-]+- [^-]+ - (.+?)\.jpg""), "".jpg"", """"), ""-"", "", ""), """")"),"")</f>
        <v/>
      </c>
      <c r="L4730" s="12"/>
      <c r="M4730" s="13"/>
      <c r="N4730" s="2"/>
      <c r="O4730" s="20"/>
      <c r="P4730" s="42"/>
      <c r="R4730" s="23"/>
    </row>
    <row r="4731" spans="1:18" ht="12.75">
      <c r="A4731" s="12"/>
      <c r="D4731" s="12"/>
      <c r="E4731" s="12"/>
      <c r="H4731" s="11" t="str">
        <f ca="1">IFERROR(__xludf.DUMMYFUNCTION("IFERROR(SUBSTITUTE(SUBSTITUTE(REGEXEXTRACT(A4731, ""[^-]+- [^-]+- [^-]+ - (.+?)\.jpg""), "".jpg"", """"), ""-"", "", ""), """")"),"")</f>
        <v/>
      </c>
      <c r="L4731" s="12"/>
      <c r="M4731" s="13"/>
      <c r="N4731" s="2"/>
      <c r="O4731" s="20"/>
      <c r="P4731" s="42"/>
      <c r="R4731" s="23"/>
    </row>
    <row r="4732" spans="1:18" ht="12.75">
      <c r="A4732" s="12"/>
      <c r="D4732" s="12"/>
      <c r="E4732" s="12"/>
      <c r="H4732" s="11" t="str">
        <f ca="1">IFERROR(__xludf.DUMMYFUNCTION("IFERROR(SUBSTITUTE(SUBSTITUTE(REGEXEXTRACT(A4732, ""[^-]+- [^-]+- [^-]+ - (.+?)\.jpg""), "".jpg"", """"), ""-"", "", ""), """")"),"")</f>
        <v/>
      </c>
      <c r="L4732" s="12"/>
      <c r="M4732" s="13"/>
      <c r="N4732" s="2"/>
      <c r="O4732" s="20"/>
      <c r="P4732" s="42"/>
      <c r="R4732" s="23"/>
    </row>
    <row r="4733" spans="1:18" ht="12.75">
      <c r="A4733" s="12"/>
      <c r="D4733" s="12"/>
      <c r="E4733" s="12"/>
      <c r="H4733" s="11" t="str">
        <f ca="1">IFERROR(__xludf.DUMMYFUNCTION("IFERROR(SUBSTITUTE(SUBSTITUTE(REGEXEXTRACT(A4733, ""[^-]+- [^-]+- [^-]+ - (.+?)\.jpg""), "".jpg"", """"), ""-"", "", ""), """")"),"")</f>
        <v/>
      </c>
      <c r="L4733" s="12"/>
      <c r="M4733" s="13"/>
      <c r="N4733" s="2"/>
      <c r="O4733" s="20"/>
      <c r="P4733" s="42"/>
      <c r="R4733" s="23"/>
    </row>
    <row r="4734" spans="1:18" ht="12.75">
      <c r="A4734" s="12"/>
      <c r="D4734" s="12"/>
      <c r="E4734" s="12"/>
      <c r="H4734" s="11" t="str">
        <f ca="1">IFERROR(__xludf.DUMMYFUNCTION("IFERROR(SUBSTITUTE(SUBSTITUTE(REGEXEXTRACT(A4734, ""[^-]+- [^-]+- [^-]+ - (.+?)\.jpg""), "".jpg"", """"), ""-"", "", ""), """")"),"")</f>
        <v/>
      </c>
      <c r="L4734" s="12"/>
      <c r="M4734" s="13"/>
      <c r="N4734" s="2"/>
      <c r="O4734" s="20"/>
      <c r="P4734" s="42"/>
      <c r="R4734" s="23"/>
    </row>
    <row r="4735" spans="1:18" ht="12.75">
      <c r="A4735" s="12"/>
      <c r="D4735" s="12"/>
      <c r="E4735" s="12"/>
      <c r="H4735" s="11" t="str">
        <f ca="1">IFERROR(__xludf.DUMMYFUNCTION("IFERROR(SUBSTITUTE(SUBSTITUTE(REGEXEXTRACT(A4735, ""[^-]+- [^-]+- [^-]+ - (.+?)\.jpg""), "".jpg"", """"), ""-"", "", ""), """")"),"")</f>
        <v/>
      </c>
      <c r="L4735" s="12"/>
      <c r="M4735" s="13"/>
      <c r="N4735" s="2"/>
      <c r="O4735" s="20"/>
      <c r="P4735" s="42"/>
      <c r="R4735" s="23"/>
    </row>
    <row r="4736" spans="1:18" ht="12.75">
      <c r="A4736" s="12"/>
      <c r="D4736" s="12"/>
      <c r="E4736" s="12"/>
      <c r="H4736" s="11" t="str">
        <f ca="1">IFERROR(__xludf.DUMMYFUNCTION("IFERROR(SUBSTITUTE(SUBSTITUTE(REGEXEXTRACT(A4736, ""[^-]+- [^-]+- [^-]+ - (.+?)\.jpg""), "".jpg"", """"), ""-"", "", ""), """")"),"")</f>
        <v/>
      </c>
      <c r="L4736" s="12"/>
      <c r="M4736" s="13"/>
      <c r="N4736" s="2"/>
      <c r="O4736" s="20"/>
      <c r="P4736" s="42"/>
      <c r="R4736" s="23"/>
    </row>
    <row r="4737" spans="1:18" ht="12.75">
      <c r="A4737" s="12"/>
      <c r="D4737" s="12"/>
      <c r="E4737" s="12"/>
      <c r="H4737" s="11" t="str">
        <f ca="1">IFERROR(__xludf.DUMMYFUNCTION("IFERROR(SUBSTITUTE(SUBSTITUTE(REGEXEXTRACT(A4737, ""[^-]+- [^-]+- [^-]+ - (.+?)\.jpg""), "".jpg"", """"), ""-"", "", ""), """")"),"")</f>
        <v/>
      </c>
      <c r="L4737" s="12"/>
      <c r="M4737" s="13"/>
      <c r="N4737" s="2"/>
      <c r="O4737" s="20"/>
      <c r="P4737" s="42"/>
      <c r="R4737" s="23"/>
    </row>
    <row r="4738" spans="1:18" ht="12.75">
      <c r="A4738" s="12"/>
      <c r="D4738" s="12"/>
      <c r="E4738" s="12"/>
      <c r="H4738" s="11" t="str">
        <f ca="1">IFERROR(__xludf.DUMMYFUNCTION("IFERROR(SUBSTITUTE(SUBSTITUTE(REGEXEXTRACT(A4738, ""[^-]+- [^-]+- [^-]+ - (.+?)\.jpg""), "".jpg"", """"), ""-"", "", ""), """")"),"")</f>
        <v/>
      </c>
      <c r="L4738" s="12"/>
      <c r="M4738" s="13"/>
      <c r="N4738" s="2"/>
      <c r="O4738" s="20"/>
      <c r="P4738" s="42"/>
      <c r="R4738" s="23"/>
    </row>
    <row r="4739" spans="1:18" ht="12.75">
      <c r="A4739" s="12"/>
      <c r="D4739" s="12"/>
      <c r="E4739" s="12"/>
      <c r="H4739" s="11" t="str">
        <f ca="1">IFERROR(__xludf.DUMMYFUNCTION("IFERROR(SUBSTITUTE(SUBSTITUTE(REGEXEXTRACT(A4739, ""[^-]+- [^-]+- [^-]+ - (.+?)\.jpg""), "".jpg"", """"), ""-"", "", ""), """")"),"")</f>
        <v/>
      </c>
      <c r="L4739" s="12"/>
      <c r="M4739" s="13"/>
      <c r="N4739" s="2"/>
      <c r="O4739" s="20"/>
      <c r="P4739" s="42"/>
      <c r="R4739" s="23"/>
    </row>
    <row r="4740" spans="1:18" ht="12.75">
      <c r="A4740" s="12"/>
      <c r="D4740" s="12"/>
      <c r="E4740" s="12"/>
      <c r="H4740" s="11" t="str">
        <f ca="1">IFERROR(__xludf.DUMMYFUNCTION("IFERROR(SUBSTITUTE(SUBSTITUTE(REGEXEXTRACT(A4740, ""[^-]+- [^-]+- [^-]+ - (.+?)\.jpg""), "".jpg"", """"), ""-"", "", ""), """")"),"")</f>
        <v/>
      </c>
      <c r="L4740" s="12"/>
      <c r="M4740" s="13"/>
      <c r="N4740" s="2"/>
      <c r="O4740" s="20"/>
      <c r="P4740" s="42"/>
      <c r="R4740" s="23"/>
    </row>
    <row r="4741" spans="1:18" ht="12.75">
      <c r="A4741" s="12"/>
      <c r="D4741" s="12"/>
      <c r="E4741" s="12"/>
      <c r="H4741" s="11" t="str">
        <f ca="1">IFERROR(__xludf.DUMMYFUNCTION("IFERROR(SUBSTITUTE(SUBSTITUTE(REGEXEXTRACT(A4741, ""[^-]+- [^-]+- [^-]+ - (.+?)\.jpg""), "".jpg"", """"), ""-"", "", ""), """")"),"")</f>
        <v/>
      </c>
      <c r="L4741" s="12"/>
      <c r="M4741" s="13"/>
      <c r="N4741" s="2"/>
      <c r="O4741" s="20"/>
      <c r="P4741" s="42"/>
      <c r="R4741" s="23"/>
    </row>
    <row r="4742" spans="1:18" ht="12.75">
      <c r="A4742" s="12"/>
      <c r="D4742" s="12"/>
      <c r="E4742" s="12"/>
      <c r="H4742" s="11" t="str">
        <f ca="1">IFERROR(__xludf.DUMMYFUNCTION("IFERROR(SUBSTITUTE(SUBSTITUTE(REGEXEXTRACT(A4742, ""[^-]+- [^-]+- [^-]+ - (.+?)\.jpg""), "".jpg"", """"), ""-"", "", ""), """")"),"")</f>
        <v/>
      </c>
      <c r="L4742" s="12"/>
      <c r="M4742" s="13"/>
      <c r="N4742" s="2"/>
      <c r="O4742" s="20"/>
      <c r="P4742" s="42"/>
      <c r="R4742" s="23"/>
    </row>
    <row r="4743" spans="1:18" ht="12.75">
      <c r="A4743" s="12"/>
      <c r="D4743" s="12"/>
      <c r="E4743" s="12"/>
      <c r="H4743" s="11" t="str">
        <f ca="1">IFERROR(__xludf.DUMMYFUNCTION("IFERROR(SUBSTITUTE(SUBSTITUTE(REGEXEXTRACT(A4743, ""[^-]+- [^-]+- [^-]+ - (.+?)\.jpg""), "".jpg"", """"), ""-"", "", ""), """")"),"")</f>
        <v/>
      </c>
      <c r="L4743" s="12"/>
      <c r="M4743" s="13"/>
      <c r="N4743" s="2"/>
      <c r="O4743" s="20"/>
      <c r="P4743" s="42"/>
      <c r="R4743" s="23"/>
    </row>
    <row r="4744" spans="1:18" ht="12.75">
      <c r="A4744" s="12"/>
      <c r="D4744" s="12"/>
      <c r="E4744" s="12"/>
      <c r="H4744" s="11" t="str">
        <f ca="1">IFERROR(__xludf.DUMMYFUNCTION("IFERROR(SUBSTITUTE(SUBSTITUTE(REGEXEXTRACT(A4744, ""[^-]+- [^-]+- [^-]+ - (.+?)\.jpg""), "".jpg"", """"), ""-"", "", ""), """")"),"")</f>
        <v/>
      </c>
      <c r="L4744" s="12"/>
      <c r="M4744" s="13"/>
      <c r="N4744" s="2"/>
      <c r="O4744" s="20"/>
      <c r="P4744" s="42"/>
      <c r="R4744" s="23"/>
    </row>
    <row r="4745" spans="1:18" ht="12.75">
      <c r="A4745" s="12"/>
      <c r="D4745" s="12"/>
      <c r="E4745" s="12"/>
      <c r="H4745" s="11" t="str">
        <f ca="1">IFERROR(__xludf.DUMMYFUNCTION("IFERROR(SUBSTITUTE(SUBSTITUTE(REGEXEXTRACT(A4745, ""[^-]+- [^-]+- [^-]+ - (.+?)\.jpg""), "".jpg"", """"), ""-"", "", ""), """")"),"")</f>
        <v/>
      </c>
      <c r="L4745" s="12"/>
      <c r="M4745" s="13"/>
      <c r="N4745" s="2"/>
      <c r="O4745" s="20"/>
      <c r="P4745" s="42"/>
      <c r="R4745" s="23"/>
    </row>
    <row r="4746" spans="1:18" ht="12.75">
      <c r="A4746" s="12"/>
      <c r="D4746" s="12"/>
      <c r="E4746" s="12"/>
      <c r="H4746" s="11" t="str">
        <f ca="1">IFERROR(__xludf.DUMMYFUNCTION("IFERROR(SUBSTITUTE(SUBSTITUTE(REGEXEXTRACT(A4746, ""[^-]+- [^-]+- [^-]+ - (.+?)\.jpg""), "".jpg"", """"), ""-"", "", ""), """")"),"")</f>
        <v/>
      </c>
      <c r="L4746" s="12"/>
      <c r="M4746" s="13"/>
      <c r="N4746" s="2"/>
      <c r="O4746" s="20"/>
      <c r="P4746" s="42"/>
      <c r="R4746" s="23"/>
    </row>
    <row r="4747" spans="1:18" ht="12.75">
      <c r="A4747" s="12"/>
      <c r="D4747" s="12"/>
      <c r="E4747" s="12"/>
      <c r="H4747" s="11" t="str">
        <f ca="1">IFERROR(__xludf.DUMMYFUNCTION("IFERROR(SUBSTITUTE(SUBSTITUTE(REGEXEXTRACT(A4747, ""[^-]+- [^-]+- [^-]+ - (.+?)\.jpg""), "".jpg"", """"), ""-"", "", ""), """")"),"")</f>
        <v/>
      </c>
      <c r="L4747" s="12"/>
      <c r="M4747" s="13"/>
      <c r="N4747" s="2"/>
      <c r="O4747" s="20"/>
      <c r="P4747" s="42"/>
      <c r="R4747" s="23"/>
    </row>
    <row r="4748" spans="1:18" ht="12.75">
      <c r="A4748" s="12"/>
      <c r="D4748" s="12"/>
      <c r="E4748" s="12"/>
      <c r="H4748" s="11" t="str">
        <f ca="1">IFERROR(__xludf.DUMMYFUNCTION("IFERROR(SUBSTITUTE(SUBSTITUTE(REGEXEXTRACT(A4748, ""[^-]+- [^-]+- [^-]+ - (.+?)\.jpg""), "".jpg"", """"), ""-"", "", ""), """")"),"")</f>
        <v/>
      </c>
      <c r="L4748" s="12"/>
      <c r="M4748" s="13"/>
      <c r="N4748" s="2"/>
      <c r="O4748" s="20"/>
      <c r="P4748" s="42"/>
      <c r="R4748" s="23"/>
    </row>
    <row r="4749" spans="1:18" ht="12.75">
      <c r="A4749" s="12"/>
      <c r="D4749" s="12"/>
      <c r="E4749" s="12"/>
      <c r="H4749" s="11" t="str">
        <f ca="1">IFERROR(__xludf.DUMMYFUNCTION("IFERROR(SUBSTITUTE(SUBSTITUTE(REGEXEXTRACT(A4749, ""[^-]+- [^-]+- [^-]+ - (.+?)\.jpg""), "".jpg"", """"), ""-"", "", ""), """")"),"")</f>
        <v/>
      </c>
      <c r="L4749" s="12"/>
      <c r="M4749" s="13"/>
      <c r="N4749" s="2"/>
      <c r="O4749" s="20"/>
      <c r="P4749" s="42"/>
      <c r="R4749" s="23"/>
    </row>
    <row r="4750" spans="1:18" ht="12.75">
      <c r="A4750" s="12"/>
      <c r="D4750" s="12"/>
      <c r="E4750" s="12"/>
      <c r="H4750" s="11" t="str">
        <f ca="1">IFERROR(__xludf.DUMMYFUNCTION("IFERROR(SUBSTITUTE(SUBSTITUTE(REGEXEXTRACT(A4750, ""[^-]+- [^-]+- [^-]+ - (.+?)\.jpg""), "".jpg"", """"), ""-"", "", ""), """")"),"")</f>
        <v/>
      </c>
      <c r="L4750" s="12"/>
      <c r="M4750" s="13"/>
      <c r="N4750" s="2"/>
      <c r="O4750" s="20"/>
      <c r="P4750" s="42"/>
      <c r="R4750" s="23"/>
    </row>
    <row r="4751" spans="1:18" ht="12.75">
      <c r="A4751" s="12"/>
      <c r="D4751" s="12"/>
      <c r="E4751" s="12"/>
      <c r="H4751" s="11" t="str">
        <f ca="1">IFERROR(__xludf.DUMMYFUNCTION("IFERROR(SUBSTITUTE(SUBSTITUTE(REGEXEXTRACT(A4751, ""[^-]+- [^-]+- [^-]+ - (.+?)\.jpg""), "".jpg"", """"), ""-"", "", ""), """")"),"")</f>
        <v/>
      </c>
      <c r="L4751" s="12"/>
      <c r="M4751" s="13"/>
      <c r="N4751" s="2"/>
      <c r="O4751" s="20"/>
      <c r="P4751" s="42"/>
      <c r="R4751" s="23"/>
    </row>
    <row r="4752" spans="1:18" ht="12.75">
      <c r="A4752" s="12"/>
      <c r="D4752" s="12"/>
      <c r="E4752" s="12"/>
      <c r="H4752" s="11" t="str">
        <f ca="1">IFERROR(__xludf.DUMMYFUNCTION("IFERROR(SUBSTITUTE(SUBSTITUTE(REGEXEXTRACT(A4752, ""[^-]+- [^-]+- [^-]+ - (.+?)\.jpg""), "".jpg"", """"), ""-"", "", ""), """")"),"")</f>
        <v/>
      </c>
      <c r="L4752" s="12"/>
      <c r="M4752" s="13"/>
      <c r="N4752" s="2"/>
      <c r="O4752" s="20"/>
      <c r="P4752" s="42"/>
      <c r="R4752" s="23"/>
    </row>
    <row r="4753" spans="1:18" ht="12.75">
      <c r="A4753" s="12"/>
      <c r="D4753" s="12"/>
      <c r="E4753" s="12"/>
      <c r="H4753" s="11" t="str">
        <f ca="1">IFERROR(__xludf.DUMMYFUNCTION("IFERROR(SUBSTITUTE(SUBSTITUTE(REGEXEXTRACT(A4753, ""[^-]+- [^-]+- [^-]+ - (.+?)\.jpg""), "".jpg"", """"), ""-"", "", ""), """")"),"")</f>
        <v/>
      </c>
      <c r="L4753" s="12"/>
      <c r="M4753" s="13"/>
      <c r="N4753" s="2"/>
      <c r="O4753" s="20"/>
      <c r="P4753" s="42"/>
      <c r="R4753" s="23"/>
    </row>
    <row r="4754" spans="1:18" ht="12.75">
      <c r="A4754" s="12"/>
      <c r="D4754" s="12"/>
      <c r="E4754" s="12"/>
      <c r="H4754" s="11" t="str">
        <f ca="1">IFERROR(__xludf.DUMMYFUNCTION("IFERROR(SUBSTITUTE(SUBSTITUTE(REGEXEXTRACT(A4754, ""[^-]+- [^-]+- [^-]+ - (.+?)\.jpg""), "".jpg"", """"), ""-"", "", ""), """")"),"")</f>
        <v/>
      </c>
      <c r="L4754" s="12"/>
      <c r="M4754" s="13"/>
      <c r="N4754" s="2"/>
      <c r="O4754" s="20"/>
      <c r="P4754" s="42"/>
      <c r="R4754" s="23"/>
    </row>
    <row r="4755" spans="1:18" ht="12.75">
      <c r="A4755" s="12"/>
      <c r="D4755" s="12"/>
      <c r="E4755" s="12"/>
      <c r="H4755" s="11" t="str">
        <f ca="1">IFERROR(__xludf.DUMMYFUNCTION("IFERROR(SUBSTITUTE(SUBSTITUTE(REGEXEXTRACT(A4755, ""[^-]+- [^-]+- [^-]+ - (.+?)\.jpg""), "".jpg"", """"), ""-"", "", ""), """")"),"")</f>
        <v/>
      </c>
      <c r="L4755" s="12"/>
      <c r="M4755" s="13"/>
      <c r="N4755" s="2"/>
      <c r="O4755" s="20"/>
      <c r="P4755" s="42"/>
      <c r="R4755" s="23"/>
    </row>
    <row r="4756" spans="1:18" ht="12.75">
      <c r="A4756" s="12"/>
      <c r="D4756" s="12"/>
      <c r="E4756" s="12"/>
      <c r="H4756" s="11" t="str">
        <f ca="1">IFERROR(__xludf.DUMMYFUNCTION("IFERROR(SUBSTITUTE(SUBSTITUTE(REGEXEXTRACT(A4756, ""[^-]+- [^-]+- [^-]+ - (.+?)\.jpg""), "".jpg"", """"), ""-"", "", ""), """")"),"")</f>
        <v/>
      </c>
      <c r="L4756" s="12"/>
      <c r="M4756" s="13"/>
      <c r="N4756" s="2"/>
      <c r="O4756" s="20"/>
      <c r="P4756" s="42"/>
      <c r="R4756" s="23"/>
    </row>
    <row r="4757" spans="1:18" ht="12.75">
      <c r="A4757" s="12"/>
      <c r="D4757" s="12"/>
      <c r="E4757" s="12"/>
      <c r="H4757" s="11" t="str">
        <f ca="1">IFERROR(__xludf.DUMMYFUNCTION("IFERROR(SUBSTITUTE(SUBSTITUTE(REGEXEXTRACT(A4757, ""[^-]+- [^-]+- [^-]+ - (.+?)\.jpg""), "".jpg"", """"), ""-"", "", ""), """")"),"")</f>
        <v/>
      </c>
      <c r="L4757" s="12"/>
      <c r="M4757" s="13"/>
      <c r="N4757" s="2"/>
      <c r="O4757" s="20"/>
      <c r="P4757" s="42"/>
      <c r="R4757" s="23"/>
    </row>
    <row r="4758" spans="1:18" ht="12.75">
      <c r="A4758" s="12"/>
      <c r="D4758" s="12"/>
      <c r="E4758" s="12"/>
      <c r="H4758" s="11" t="str">
        <f ca="1">IFERROR(__xludf.DUMMYFUNCTION("IFERROR(SUBSTITUTE(SUBSTITUTE(REGEXEXTRACT(A4758, ""[^-]+- [^-]+- [^-]+ - (.+?)\.jpg""), "".jpg"", """"), ""-"", "", ""), """")"),"")</f>
        <v/>
      </c>
      <c r="L4758" s="12"/>
      <c r="M4758" s="13"/>
      <c r="N4758" s="2"/>
      <c r="O4758" s="20"/>
      <c r="P4758" s="42"/>
      <c r="R4758" s="23"/>
    </row>
    <row r="4759" spans="1:18" ht="12.75">
      <c r="A4759" s="12"/>
      <c r="D4759" s="12"/>
      <c r="E4759" s="12"/>
      <c r="H4759" s="11" t="str">
        <f ca="1">IFERROR(__xludf.DUMMYFUNCTION("IFERROR(SUBSTITUTE(SUBSTITUTE(REGEXEXTRACT(A4759, ""[^-]+- [^-]+- [^-]+ - (.+?)\.jpg""), "".jpg"", """"), ""-"", "", ""), """")"),"")</f>
        <v/>
      </c>
      <c r="L4759" s="12"/>
      <c r="M4759" s="13"/>
      <c r="N4759" s="2"/>
      <c r="O4759" s="20"/>
      <c r="P4759" s="42"/>
      <c r="R4759" s="23"/>
    </row>
    <row r="4760" spans="1:18" ht="12.75">
      <c r="A4760" s="12"/>
      <c r="D4760" s="12"/>
      <c r="E4760" s="12"/>
      <c r="H4760" s="11" t="str">
        <f ca="1">IFERROR(__xludf.DUMMYFUNCTION("IFERROR(SUBSTITUTE(SUBSTITUTE(REGEXEXTRACT(A4760, ""[^-]+- [^-]+- [^-]+ - (.+?)\.jpg""), "".jpg"", """"), ""-"", "", ""), """")"),"")</f>
        <v/>
      </c>
      <c r="L4760" s="12"/>
      <c r="M4760" s="13"/>
      <c r="N4760" s="2"/>
      <c r="O4760" s="20"/>
      <c r="P4760" s="42"/>
      <c r="R4760" s="23"/>
    </row>
    <row r="4761" spans="1:18" ht="12.75">
      <c r="A4761" s="12"/>
      <c r="D4761" s="12"/>
      <c r="E4761" s="12"/>
      <c r="H4761" s="11" t="str">
        <f ca="1">IFERROR(__xludf.DUMMYFUNCTION("IFERROR(SUBSTITUTE(SUBSTITUTE(REGEXEXTRACT(A4761, ""[^-]+- [^-]+- [^-]+ - (.+?)\.jpg""), "".jpg"", """"), ""-"", "", ""), """")"),"")</f>
        <v/>
      </c>
      <c r="L4761" s="12"/>
      <c r="M4761" s="13"/>
      <c r="N4761" s="2"/>
      <c r="O4761" s="20"/>
      <c r="P4761" s="42"/>
      <c r="R4761" s="23"/>
    </row>
    <row r="4762" spans="1:18" ht="12.75">
      <c r="A4762" s="12"/>
      <c r="D4762" s="12"/>
      <c r="E4762" s="12"/>
      <c r="H4762" s="11" t="str">
        <f ca="1">IFERROR(__xludf.DUMMYFUNCTION("IFERROR(SUBSTITUTE(SUBSTITUTE(REGEXEXTRACT(A4762, ""[^-]+- [^-]+- [^-]+ - (.+?)\.jpg""), "".jpg"", """"), ""-"", "", ""), """")"),"")</f>
        <v/>
      </c>
      <c r="L4762" s="12"/>
      <c r="M4762" s="13"/>
      <c r="N4762" s="2"/>
      <c r="O4762" s="20"/>
      <c r="P4762" s="42"/>
      <c r="R4762" s="23"/>
    </row>
    <row r="4763" spans="1:18" ht="12.75">
      <c r="A4763" s="12"/>
      <c r="D4763" s="12"/>
      <c r="E4763" s="12"/>
      <c r="H4763" s="11" t="str">
        <f ca="1">IFERROR(__xludf.DUMMYFUNCTION("IFERROR(SUBSTITUTE(SUBSTITUTE(REGEXEXTRACT(A4763, ""[^-]+- [^-]+- [^-]+ - (.+?)\.jpg""), "".jpg"", """"), ""-"", "", ""), """")"),"")</f>
        <v/>
      </c>
      <c r="L4763" s="12"/>
      <c r="M4763" s="13"/>
      <c r="N4763" s="2"/>
      <c r="O4763" s="20"/>
      <c r="P4763" s="42"/>
      <c r="R4763" s="23"/>
    </row>
    <row r="4764" spans="1:18" ht="12.75">
      <c r="A4764" s="12"/>
      <c r="D4764" s="12"/>
      <c r="E4764" s="12"/>
      <c r="H4764" s="11" t="str">
        <f ca="1">IFERROR(__xludf.DUMMYFUNCTION("IFERROR(SUBSTITUTE(SUBSTITUTE(REGEXEXTRACT(A4764, ""[^-]+- [^-]+- [^-]+ - (.+?)\.jpg""), "".jpg"", """"), ""-"", "", ""), """")"),"")</f>
        <v/>
      </c>
      <c r="L4764" s="12"/>
      <c r="M4764" s="13"/>
      <c r="N4764" s="2"/>
      <c r="O4764" s="20"/>
      <c r="P4764" s="42"/>
      <c r="R4764" s="23"/>
    </row>
    <row r="4765" spans="1:18" ht="12.75">
      <c r="A4765" s="12"/>
      <c r="D4765" s="12"/>
      <c r="E4765" s="12"/>
      <c r="H4765" s="11" t="str">
        <f ca="1">IFERROR(__xludf.DUMMYFUNCTION("IFERROR(SUBSTITUTE(SUBSTITUTE(REGEXEXTRACT(A4765, ""[^-]+- [^-]+- [^-]+ - (.+?)\.jpg""), "".jpg"", """"), ""-"", "", ""), """")"),"")</f>
        <v/>
      </c>
      <c r="L4765" s="12"/>
      <c r="M4765" s="13"/>
      <c r="N4765" s="2"/>
      <c r="O4765" s="20"/>
      <c r="P4765" s="42"/>
      <c r="R4765" s="23"/>
    </row>
    <row r="4766" spans="1:18" ht="12.75">
      <c r="A4766" s="12"/>
      <c r="D4766" s="12"/>
      <c r="E4766" s="12"/>
      <c r="H4766" s="11" t="str">
        <f ca="1">IFERROR(__xludf.DUMMYFUNCTION("IFERROR(SUBSTITUTE(SUBSTITUTE(REGEXEXTRACT(A4766, ""[^-]+- [^-]+- [^-]+ - (.+?)\.jpg""), "".jpg"", """"), ""-"", "", ""), """")"),"")</f>
        <v/>
      </c>
      <c r="L4766" s="12"/>
      <c r="M4766" s="13"/>
      <c r="N4766" s="2"/>
      <c r="O4766" s="20"/>
      <c r="P4766" s="42"/>
      <c r="R4766" s="23"/>
    </row>
    <row r="4767" spans="1:18" ht="12.75">
      <c r="A4767" s="12"/>
      <c r="D4767" s="12"/>
      <c r="E4767" s="12"/>
      <c r="H4767" s="11" t="str">
        <f ca="1">IFERROR(__xludf.DUMMYFUNCTION("IFERROR(SUBSTITUTE(SUBSTITUTE(REGEXEXTRACT(A4767, ""[^-]+- [^-]+- [^-]+ - (.+?)\.jpg""), "".jpg"", """"), ""-"", "", ""), """")"),"")</f>
        <v/>
      </c>
      <c r="L4767" s="12"/>
      <c r="M4767" s="13"/>
      <c r="N4767" s="2"/>
      <c r="O4767" s="20"/>
      <c r="P4767" s="42"/>
      <c r="R4767" s="23"/>
    </row>
    <row r="4768" spans="1:18" ht="12.75">
      <c r="A4768" s="12"/>
      <c r="D4768" s="12"/>
      <c r="E4768" s="12"/>
      <c r="H4768" s="11" t="str">
        <f ca="1">IFERROR(__xludf.DUMMYFUNCTION("IFERROR(SUBSTITUTE(SUBSTITUTE(REGEXEXTRACT(A4768, ""[^-]+- [^-]+- [^-]+ - (.+?)\.jpg""), "".jpg"", """"), ""-"", "", ""), """")"),"")</f>
        <v/>
      </c>
      <c r="L4768" s="12"/>
      <c r="M4768" s="13"/>
      <c r="N4768" s="2"/>
      <c r="O4768" s="20"/>
      <c r="P4768" s="42"/>
      <c r="R4768" s="23"/>
    </row>
    <row r="4769" spans="1:18" ht="12.75">
      <c r="A4769" s="12"/>
      <c r="D4769" s="12"/>
      <c r="E4769" s="12"/>
      <c r="H4769" s="11" t="str">
        <f ca="1">IFERROR(__xludf.DUMMYFUNCTION("IFERROR(SUBSTITUTE(SUBSTITUTE(REGEXEXTRACT(A4769, ""[^-]+- [^-]+- [^-]+ - (.+?)\.jpg""), "".jpg"", """"), ""-"", "", ""), """")"),"")</f>
        <v/>
      </c>
      <c r="L4769" s="12"/>
      <c r="M4769" s="13"/>
      <c r="N4769" s="2"/>
      <c r="O4769" s="20"/>
      <c r="P4769" s="42"/>
      <c r="R4769" s="23"/>
    </row>
    <row r="4770" spans="1:18" ht="12.75">
      <c r="A4770" s="12"/>
      <c r="D4770" s="12"/>
      <c r="E4770" s="12"/>
      <c r="H4770" s="11" t="str">
        <f ca="1">IFERROR(__xludf.DUMMYFUNCTION("IFERROR(SUBSTITUTE(SUBSTITUTE(REGEXEXTRACT(A4770, ""[^-]+- [^-]+- [^-]+ - (.+?)\.jpg""), "".jpg"", """"), ""-"", "", ""), """")"),"")</f>
        <v/>
      </c>
      <c r="L4770" s="12"/>
      <c r="M4770" s="13"/>
      <c r="N4770" s="2"/>
      <c r="O4770" s="20"/>
      <c r="P4770" s="42"/>
      <c r="R4770" s="23"/>
    </row>
    <row r="4771" spans="1:18" ht="12.75">
      <c r="A4771" s="12"/>
      <c r="D4771" s="12"/>
      <c r="E4771" s="12"/>
      <c r="H4771" s="11" t="str">
        <f ca="1">IFERROR(__xludf.DUMMYFUNCTION("IFERROR(SUBSTITUTE(SUBSTITUTE(REGEXEXTRACT(A4771, ""[^-]+- [^-]+- [^-]+ - (.+?)\.jpg""), "".jpg"", """"), ""-"", "", ""), """")"),"")</f>
        <v/>
      </c>
      <c r="L4771" s="12"/>
      <c r="M4771" s="13"/>
      <c r="N4771" s="2"/>
      <c r="O4771" s="20"/>
      <c r="P4771" s="42"/>
      <c r="R4771" s="23"/>
    </row>
    <row r="4772" spans="1:18" ht="12.75">
      <c r="A4772" s="12"/>
      <c r="D4772" s="12"/>
      <c r="E4772" s="12"/>
      <c r="H4772" s="11" t="str">
        <f ca="1">IFERROR(__xludf.DUMMYFUNCTION("IFERROR(SUBSTITUTE(SUBSTITUTE(REGEXEXTRACT(A4772, ""[^-]+- [^-]+- [^-]+ - (.+?)\.jpg""), "".jpg"", """"), ""-"", "", ""), """")"),"")</f>
        <v/>
      </c>
      <c r="L4772" s="12"/>
      <c r="M4772" s="13"/>
      <c r="N4772" s="2"/>
      <c r="O4772" s="20"/>
      <c r="P4772" s="42"/>
      <c r="R4772" s="23"/>
    </row>
    <row r="4773" spans="1:18" ht="12.75">
      <c r="A4773" s="12"/>
      <c r="D4773" s="12"/>
      <c r="E4773" s="12"/>
      <c r="H4773" s="11" t="str">
        <f ca="1">IFERROR(__xludf.DUMMYFUNCTION("IFERROR(SUBSTITUTE(SUBSTITUTE(REGEXEXTRACT(A4773, ""[^-]+- [^-]+- [^-]+ - (.+?)\.jpg""), "".jpg"", """"), ""-"", "", ""), """")"),"")</f>
        <v/>
      </c>
      <c r="L4773" s="12"/>
      <c r="M4773" s="13"/>
      <c r="N4773" s="2"/>
      <c r="O4773" s="20"/>
      <c r="P4773" s="42"/>
      <c r="R4773" s="23"/>
    </row>
    <row r="4774" spans="1:18" ht="12.75">
      <c r="A4774" s="12"/>
      <c r="D4774" s="12"/>
      <c r="E4774" s="12"/>
      <c r="H4774" s="11" t="str">
        <f ca="1">IFERROR(__xludf.DUMMYFUNCTION("IFERROR(SUBSTITUTE(SUBSTITUTE(REGEXEXTRACT(A4774, ""[^-]+- [^-]+- [^-]+ - (.+?)\.jpg""), "".jpg"", """"), ""-"", "", ""), """")"),"")</f>
        <v/>
      </c>
      <c r="L4774" s="12"/>
      <c r="M4774" s="13"/>
      <c r="N4774" s="2"/>
      <c r="O4774" s="20"/>
      <c r="P4774" s="42"/>
      <c r="R4774" s="23"/>
    </row>
    <row r="4775" spans="1:18" ht="12.75">
      <c r="A4775" s="12"/>
      <c r="D4775" s="12"/>
      <c r="E4775" s="12"/>
      <c r="H4775" s="11" t="str">
        <f ca="1">IFERROR(__xludf.DUMMYFUNCTION("IFERROR(SUBSTITUTE(SUBSTITUTE(REGEXEXTRACT(A4775, ""[^-]+- [^-]+- [^-]+ - (.+?)\.jpg""), "".jpg"", """"), ""-"", "", ""), """")"),"")</f>
        <v/>
      </c>
      <c r="L4775" s="12"/>
      <c r="M4775" s="13"/>
      <c r="N4775" s="2"/>
      <c r="O4775" s="20"/>
      <c r="P4775" s="42"/>
      <c r="R4775" s="23"/>
    </row>
    <row r="4776" spans="1:18" ht="12.75">
      <c r="A4776" s="12"/>
      <c r="D4776" s="12"/>
      <c r="E4776" s="12"/>
      <c r="H4776" s="11" t="str">
        <f ca="1">IFERROR(__xludf.DUMMYFUNCTION("IFERROR(SUBSTITUTE(SUBSTITUTE(REGEXEXTRACT(A4776, ""[^-]+- [^-]+- [^-]+ - (.+?)\.jpg""), "".jpg"", """"), ""-"", "", ""), """")"),"")</f>
        <v/>
      </c>
      <c r="L4776" s="12"/>
      <c r="M4776" s="13"/>
      <c r="N4776" s="2"/>
      <c r="O4776" s="20"/>
      <c r="P4776" s="42"/>
      <c r="R4776" s="23"/>
    </row>
    <row r="4777" spans="1:18" ht="12.75">
      <c r="A4777" s="12"/>
      <c r="D4777" s="12"/>
      <c r="E4777" s="12"/>
      <c r="H4777" s="11" t="str">
        <f ca="1">IFERROR(__xludf.DUMMYFUNCTION("IFERROR(SUBSTITUTE(SUBSTITUTE(REGEXEXTRACT(A4777, ""[^-]+- [^-]+- [^-]+ - (.+?)\.jpg""), "".jpg"", """"), ""-"", "", ""), """")"),"")</f>
        <v/>
      </c>
      <c r="L4777" s="12"/>
      <c r="M4777" s="13"/>
      <c r="N4777" s="2"/>
      <c r="O4777" s="20"/>
      <c r="P4777" s="42"/>
      <c r="R4777" s="23"/>
    </row>
    <row r="4778" spans="1:18" ht="12.75">
      <c r="A4778" s="12"/>
      <c r="D4778" s="12"/>
      <c r="E4778" s="12"/>
      <c r="H4778" s="11" t="str">
        <f ca="1">IFERROR(__xludf.DUMMYFUNCTION("IFERROR(SUBSTITUTE(SUBSTITUTE(REGEXEXTRACT(A4778, ""[^-]+- [^-]+- [^-]+ - (.+?)\.jpg""), "".jpg"", """"), ""-"", "", ""), """")"),"")</f>
        <v/>
      </c>
      <c r="L4778" s="12"/>
      <c r="M4778" s="13"/>
      <c r="N4778" s="2"/>
      <c r="O4778" s="20"/>
      <c r="P4778" s="42"/>
      <c r="R4778" s="23"/>
    </row>
    <row r="4779" spans="1:18" ht="12.75">
      <c r="A4779" s="12"/>
      <c r="D4779" s="12"/>
      <c r="E4779" s="12"/>
      <c r="H4779" s="11" t="str">
        <f ca="1">IFERROR(__xludf.DUMMYFUNCTION("IFERROR(SUBSTITUTE(SUBSTITUTE(REGEXEXTRACT(A4779, ""[^-]+- [^-]+- [^-]+ - (.+?)\.jpg""), "".jpg"", """"), ""-"", "", ""), """")"),"")</f>
        <v/>
      </c>
      <c r="L4779" s="12"/>
      <c r="M4779" s="13"/>
      <c r="N4779" s="2"/>
      <c r="O4779" s="20"/>
      <c r="P4779" s="42"/>
      <c r="R4779" s="23"/>
    </row>
    <row r="4780" spans="1:18" ht="12.75">
      <c r="A4780" s="12"/>
      <c r="D4780" s="12"/>
      <c r="E4780" s="12"/>
      <c r="H4780" s="11" t="str">
        <f ca="1">IFERROR(__xludf.DUMMYFUNCTION("IFERROR(SUBSTITUTE(SUBSTITUTE(REGEXEXTRACT(A4780, ""[^-]+- [^-]+- [^-]+ - (.+?)\.jpg""), "".jpg"", """"), ""-"", "", ""), """")"),"")</f>
        <v/>
      </c>
      <c r="L4780" s="12"/>
      <c r="M4780" s="13"/>
      <c r="N4780" s="2"/>
      <c r="O4780" s="20"/>
      <c r="P4780" s="42"/>
      <c r="R4780" s="23"/>
    </row>
    <row r="4781" spans="1:18" ht="12.75">
      <c r="A4781" s="12"/>
      <c r="D4781" s="12"/>
      <c r="E4781" s="12"/>
      <c r="H4781" s="11" t="str">
        <f ca="1">IFERROR(__xludf.DUMMYFUNCTION("IFERROR(SUBSTITUTE(SUBSTITUTE(REGEXEXTRACT(A4781, ""[^-]+- [^-]+- [^-]+ - (.+?)\.jpg""), "".jpg"", """"), ""-"", "", ""), """")"),"")</f>
        <v/>
      </c>
      <c r="L4781" s="12"/>
      <c r="M4781" s="13"/>
      <c r="N4781" s="2"/>
      <c r="O4781" s="20"/>
      <c r="P4781" s="42"/>
      <c r="R4781" s="23"/>
    </row>
    <row r="4782" spans="1:18" ht="12.75">
      <c r="A4782" s="12"/>
      <c r="D4782" s="12"/>
      <c r="E4782" s="12"/>
      <c r="H4782" s="11" t="str">
        <f ca="1">IFERROR(__xludf.DUMMYFUNCTION("IFERROR(SUBSTITUTE(SUBSTITUTE(REGEXEXTRACT(A4782, ""[^-]+- [^-]+- [^-]+ - (.+?)\.jpg""), "".jpg"", """"), ""-"", "", ""), """")"),"")</f>
        <v/>
      </c>
      <c r="L4782" s="12"/>
      <c r="M4782" s="13"/>
      <c r="N4782" s="2"/>
      <c r="O4782" s="20"/>
      <c r="P4782" s="42"/>
      <c r="R4782" s="23"/>
    </row>
    <row r="4783" spans="1:18" ht="12.75">
      <c r="A4783" s="12"/>
      <c r="D4783" s="12"/>
      <c r="E4783" s="12"/>
      <c r="H4783" s="11" t="str">
        <f ca="1">IFERROR(__xludf.DUMMYFUNCTION("IFERROR(SUBSTITUTE(SUBSTITUTE(REGEXEXTRACT(A4783, ""[^-]+- [^-]+- [^-]+ - (.+?)\.jpg""), "".jpg"", """"), ""-"", "", ""), """")"),"")</f>
        <v/>
      </c>
      <c r="L4783" s="12"/>
      <c r="M4783" s="13"/>
      <c r="N4783" s="2"/>
      <c r="O4783" s="20"/>
      <c r="P4783" s="42"/>
      <c r="R4783" s="23"/>
    </row>
    <row r="4784" spans="1:18" ht="12.75">
      <c r="A4784" s="12"/>
      <c r="D4784" s="12"/>
      <c r="E4784" s="12"/>
      <c r="H4784" s="11" t="str">
        <f ca="1">IFERROR(__xludf.DUMMYFUNCTION("IFERROR(SUBSTITUTE(SUBSTITUTE(REGEXEXTRACT(A4784, ""[^-]+- [^-]+- [^-]+ - (.+?)\.jpg""), "".jpg"", """"), ""-"", "", ""), """")"),"")</f>
        <v/>
      </c>
      <c r="L4784" s="12"/>
      <c r="M4784" s="13"/>
      <c r="N4784" s="2"/>
      <c r="O4784" s="20"/>
      <c r="P4784" s="42"/>
      <c r="R4784" s="23"/>
    </row>
    <row r="4785" spans="1:18" ht="12.75">
      <c r="A4785" s="12"/>
      <c r="D4785" s="12"/>
      <c r="E4785" s="12"/>
      <c r="H4785" s="11" t="str">
        <f ca="1">IFERROR(__xludf.DUMMYFUNCTION("IFERROR(SUBSTITUTE(SUBSTITUTE(REGEXEXTRACT(A4785, ""[^-]+- [^-]+- [^-]+ - (.+?)\.jpg""), "".jpg"", """"), ""-"", "", ""), """")"),"")</f>
        <v/>
      </c>
      <c r="L4785" s="12"/>
      <c r="M4785" s="13"/>
      <c r="N4785" s="2"/>
      <c r="O4785" s="20"/>
      <c r="P4785" s="42"/>
      <c r="R4785" s="23"/>
    </row>
    <row r="4786" spans="1:18" ht="12.75">
      <c r="A4786" s="12"/>
      <c r="D4786" s="12"/>
      <c r="E4786" s="12"/>
      <c r="H4786" s="11" t="str">
        <f ca="1">IFERROR(__xludf.DUMMYFUNCTION("IFERROR(SUBSTITUTE(SUBSTITUTE(REGEXEXTRACT(A4786, ""[^-]+- [^-]+- [^-]+ - (.+?)\.jpg""), "".jpg"", """"), ""-"", "", ""), """")"),"")</f>
        <v/>
      </c>
      <c r="L4786" s="12"/>
      <c r="M4786" s="13"/>
      <c r="N4786" s="2"/>
      <c r="O4786" s="20"/>
      <c r="P4786" s="42"/>
      <c r="R4786" s="23"/>
    </row>
    <row r="4787" spans="1:18" ht="12.75">
      <c r="A4787" s="12"/>
      <c r="D4787" s="12"/>
      <c r="E4787" s="12"/>
      <c r="H4787" s="11" t="str">
        <f ca="1">IFERROR(__xludf.DUMMYFUNCTION("IFERROR(SUBSTITUTE(SUBSTITUTE(REGEXEXTRACT(A4787, ""[^-]+- [^-]+- [^-]+ - (.+?)\.jpg""), "".jpg"", """"), ""-"", "", ""), """")"),"")</f>
        <v/>
      </c>
      <c r="L4787" s="12"/>
      <c r="M4787" s="13"/>
      <c r="N4787" s="2"/>
      <c r="O4787" s="20"/>
      <c r="P4787" s="42"/>
      <c r="R4787" s="23"/>
    </row>
    <row r="4788" spans="1:18" ht="12.75">
      <c r="A4788" s="12"/>
      <c r="D4788" s="12"/>
      <c r="E4788" s="12"/>
      <c r="H4788" s="11" t="str">
        <f ca="1">IFERROR(__xludf.DUMMYFUNCTION("IFERROR(SUBSTITUTE(SUBSTITUTE(REGEXEXTRACT(A4788, ""[^-]+- [^-]+- [^-]+ - (.+?)\.jpg""), "".jpg"", """"), ""-"", "", ""), """")"),"")</f>
        <v/>
      </c>
      <c r="L4788" s="12"/>
      <c r="M4788" s="13"/>
      <c r="N4788" s="2"/>
      <c r="O4788" s="20"/>
      <c r="P4788" s="42"/>
      <c r="R4788" s="23"/>
    </row>
    <row r="4789" spans="1:18" ht="12.75">
      <c r="A4789" s="12"/>
      <c r="D4789" s="12"/>
      <c r="E4789" s="12"/>
      <c r="H4789" s="11" t="str">
        <f ca="1">IFERROR(__xludf.DUMMYFUNCTION("IFERROR(SUBSTITUTE(SUBSTITUTE(REGEXEXTRACT(A4789, ""[^-]+- [^-]+- [^-]+ - (.+?)\.jpg""), "".jpg"", """"), ""-"", "", ""), """")"),"")</f>
        <v/>
      </c>
      <c r="L4789" s="12"/>
      <c r="M4789" s="13"/>
      <c r="N4789" s="2"/>
      <c r="O4789" s="20"/>
      <c r="P4789" s="42"/>
      <c r="R4789" s="23"/>
    </row>
    <row r="4790" spans="1:18" ht="12.75">
      <c r="A4790" s="12"/>
      <c r="D4790" s="12"/>
      <c r="E4790" s="12"/>
      <c r="H4790" s="11" t="str">
        <f ca="1">IFERROR(__xludf.DUMMYFUNCTION("IFERROR(SUBSTITUTE(SUBSTITUTE(REGEXEXTRACT(A4790, ""[^-]+- [^-]+- [^-]+ - (.+?)\.jpg""), "".jpg"", """"), ""-"", "", ""), """")"),"")</f>
        <v/>
      </c>
      <c r="L4790" s="12"/>
      <c r="M4790" s="13"/>
      <c r="N4790" s="2"/>
      <c r="O4790" s="20"/>
      <c r="P4790" s="42"/>
      <c r="R4790" s="23"/>
    </row>
    <row r="4791" spans="1:18" ht="12.75">
      <c r="A4791" s="12"/>
      <c r="D4791" s="12"/>
      <c r="E4791" s="12"/>
      <c r="H4791" s="11" t="str">
        <f ca="1">IFERROR(__xludf.DUMMYFUNCTION("IFERROR(SUBSTITUTE(SUBSTITUTE(REGEXEXTRACT(A4791, ""[^-]+- [^-]+- [^-]+ - (.+?)\.jpg""), "".jpg"", """"), ""-"", "", ""), """")"),"")</f>
        <v/>
      </c>
      <c r="L4791" s="12"/>
      <c r="M4791" s="13"/>
      <c r="N4791" s="2"/>
      <c r="O4791" s="20"/>
      <c r="P4791" s="42"/>
      <c r="R4791" s="23"/>
    </row>
    <row r="4792" spans="1:18" ht="12.75">
      <c r="A4792" s="12"/>
      <c r="D4792" s="12"/>
      <c r="E4792" s="12"/>
      <c r="H4792" s="11" t="str">
        <f ca="1">IFERROR(__xludf.DUMMYFUNCTION("IFERROR(SUBSTITUTE(SUBSTITUTE(REGEXEXTRACT(A4792, ""[^-]+- [^-]+- [^-]+ - (.+?)\.jpg""), "".jpg"", """"), ""-"", "", ""), """")"),"")</f>
        <v/>
      </c>
      <c r="L4792" s="12"/>
      <c r="M4792" s="13"/>
      <c r="N4792" s="2"/>
      <c r="O4792" s="20"/>
      <c r="P4792" s="42"/>
      <c r="R4792" s="23"/>
    </row>
    <row r="4793" spans="1:18" ht="12.75">
      <c r="A4793" s="12"/>
      <c r="D4793" s="12"/>
      <c r="E4793" s="12"/>
      <c r="H4793" s="11" t="str">
        <f ca="1">IFERROR(__xludf.DUMMYFUNCTION("IFERROR(SUBSTITUTE(SUBSTITUTE(REGEXEXTRACT(A4793, ""[^-]+- [^-]+- [^-]+ - (.+?)\.jpg""), "".jpg"", """"), ""-"", "", ""), """")"),"")</f>
        <v/>
      </c>
      <c r="L4793" s="12"/>
      <c r="M4793" s="13"/>
      <c r="N4793" s="2"/>
      <c r="O4793" s="20"/>
      <c r="P4793" s="42"/>
      <c r="R4793" s="23"/>
    </row>
    <row r="4794" spans="1:18" ht="12.75">
      <c r="A4794" s="12"/>
      <c r="D4794" s="12"/>
      <c r="E4794" s="12"/>
      <c r="H4794" s="11" t="str">
        <f ca="1">IFERROR(__xludf.DUMMYFUNCTION("IFERROR(SUBSTITUTE(SUBSTITUTE(REGEXEXTRACT(A4794, ""[^-]+- [^-]+- [^-]+ - (.+?)\.jpg""), "".jpg"", """"), ""-"", "", ""), """")"),"")</f>
        <v/>
      </c>
      <c r="L4794" s="12"/>
      <c r="M4794" s="13"/>
      <c r="N4794" s="2"/>
      <c r="O4794" s="20"/>
      <c r="P4794" s="42"/>
      <c r="R4794" s="23"/>
    </row>
    <row r="4795" spans="1:18" ht="12.75">
      <c r="A4795" s="12"/>
      <c r="D4795" s="12"/>
      <c r="E4795" s="12"/>
      <c r="H4795" s="11" t="str">
        <f ca="1">IFERROR(__xludf.DUMMYFUNCTION("IFERROR(SUBSTITUTE(SUBSTITUTE(REGEXEXTRACT(A4795, ""[^-]+- [^-]+- [^-]+ - (.+?)\.jpg""), "".jpg"", """"), ""-"", "", ""), """")"),"")</f>
        <v/>
      </c>
      <c r="L4795" s="12"/>
      <c r="M4795" s="13"/>
      <c r="N4795" s="2"/>
      <c r="O4795" s="20"/>
      <c r="P4795" s="42"/>
      <c r="R4795" s="23"/>
    </row>
    <row r="4796" spans="1:18" ht="12.75">
      <c r="A4796" s="12"/>
      <c r="D4796" s="12"/>
      <c r="E4796" s="12"/>
      <c r="H4796" s="11" t="str">
        <f ca="1">IFERROR(__xludf.DUMMYFUNCTION("IFERROR(SUBSTITUTE(SUBSTITUTE(REGEXEXTRACT(A4796, ""[^-]+- [^-]+- [^-]+ - (.+?)\.jpg""), "".jpg"", """"), ""-"", "", ""), """")"),"")</f>
        <v/>
      </c>
      <c r="L4796" s="12"/>
      <c r="M4796" s="13"/>
      <c r="N4796" s="2"/>
      <c r="O4796" s="20"/>
      <c r="P4796" s="42"/>
      <c r="R4796" s="23"/>
    </row>
    <row r="4797" spans="1:18" ht="12.75">
      <c r="A4797" s="12"/>
      <c r="D4797" s="12"/>
      <c r="E4797" s="12"/>
      <c r="H4797" s="11" t="str">
        <f ca="1">IFERROR(__xludf.DUMMYFUNCTION("IFERROR(SUBSTITUTE(SUBSTITUTE(REGEXEXTRACT(A4797, ""[^-]+- [^-]+- [^-]+ - (.+?)\.jpg""), "".jpg"", """"), ""-"", "", ""), """")"),"")</f>
        <v/>
      </c>
      <c r="L4797" s="12"/>
      <c r="M4797" s="13"/>
      <c r="N4797" s="2"/>
      <c r="O4797" s="20"/>
      <c r="P4797" s="42"/>
      <c r="R4797" s="23"/>
    </row>
    <row r="4798" spans="1:18" ht="12.75">
      <c r="A4798" s="12"/>
      <c r="D4798" s="12"/>
      <c r="E4798" s="12"/>
      <c r="H4798" s="11" t="str">
        <f ca="1">IFERROR(__xludf.DUMMYFUNCTION("IFERROR(SUBSTITUTE(SUBSTITUTE(REGEXEXTRACT(A4798, ""[^-]+- [^-]+- [^-]+ - (.+?)\.jpg""), "".jpg"", """"), ""-"", "", ""), """")"),"")</f>
        <v/>
      </c>
      <c r="L4798" s="12"/>
      <c r="M4798" s="13"/>
      <c r="N4798" s="2"/>
      <c r="O4798" s="20"/>
      <c r="P4798" s="42"/>
      <c r="R4798" s="23"/>
    </row>
    <row r="4799" spans="1:18" ht="12.75">
      <c r="A4799" s="12"/>
      <c r="D4799" s="12"/>
      <c r="E4799" s="12"/>
      <c r="H4799" s="11" t="str">
        <f ca="1">IFERROR(__xludf.DUMMYFUNCTION("IFERROR(SUBSTITUTE(SUBSTITUTE(REGEXEXTRACT(A4799, ""[^-]+- [^-]+- [^-]+ - (.+?)\.jpg""), "".jpg"", """"), ""-"", "", ""), """")"),"")</f>
        <v/>
      </c>
      <c r="L4799" s="12"/>
      <c r="M4799" s="13"/>
      <c r="N4799" s="2"/>
      <c r="O4799" s="20"/>
      <c r="P4799" s="42"/>
      <c r="R4799" s="23"/>
    </row>
    <row r="4800" spans="1:18" ht="12.75">
      <c r="A4800" s="12"/>
      <c r="D4800" s="12"/>
      <c r="E4800" s="12"/>
      <c r="H4800" s="11" t="str">
        <f ca="1">IFERROR(__xludf.DUMMYFUNCTION("IFERROR(SUBSTITUTE(SUBSTITUTE(REGEXEXTRACT(A4800, ""[^-]+- [^-]+- [^-]+ - (.+?)\.jpg""), "".jpg"", """"), ""-"", "", ""), """")"),"")</f>
        <v/>
      </c>
      <c r="L4800" s="12"/>
      <c r="M4800" s="13"/>
      <c r="N4800" s="2"/>
      <c r="O4800" s="20"/>
      <c r="P4800" s="42"/>
      <c r="R4800" s="23"/>
    </row>
    <row r="4801" spans="1:18" ht="12.75">
      <c r="A4801" s="12"/>
      <c r="D4801" s="12"/>
      <c r="E4801" s="12"/>
      <c r="H4801" s="11" t="str">
        <f ca="1">IFERROR(__xludf.DUMMYFUNCTION("IFERROR(SUBSTITUTE(SUBSTITUTE(REGEXEXTRACT(A4801, ""[^-]+- [^-]+- [^-]+ - (.+?)\.jpg""), "".jpg"", """"), ""-"", "", ""), """")"),"")</f>
        <v/>
      </c>
      <c r="L4801" s="12"/>
      <c r="M4801" s="13"/>
      <c r="N4801" s="2"/>
      <c r="O4801" s="20"/>
      <c r="P4801" s="42"/>
      <c r="R4801" s="23"/>
    </row>
    <row r="4802" spans="1:18" ht="12.75">
      <c r="A4802" s="12"/>
      <c r="D4802" s="12"/>
      <c r="E4802" s="12"/>
      <c r="H4802" s="11" t="str">
        <f ca="1">IFERROR(__xludf.DUMMYFUNCTION("IFERROR(SUBSTITUTE(SUBSTITUTE(REGEXEXTRACT(A4802, ""[^-]+- [^-]+- [^-]+ - (.+?)\.jpg""), "".jpg"", """"), ""-"", "", ""), """")"),"")</f>
        <v/>
      </c>
      <c r="L4802" s="12"/>
      <c r="M4802" s="13"/>
      <c r="N4802" s="2"/>
      <c r="O4802" s="20"/>
      <c r="P4802" s="42"/>
      <c r="R4802" s="23"/>
    </row>
    <row r="4803" spans="1:18" ht="12.75">
      <c r="A4803" s="12"/>
      <c r="D4803" s="12"/>
      <c r="E4803" s="12"/>
      <c r="H4803" s="11" t="str">
        <f ca="1">IFERROR(__xludf.DUMMYFUNCTION("IFERROR(SUBSTITUTE(SUBSTITUTE(REGEXEXTRACT(A4803, ""[^-]+- [^-]+- [^-]+ - (.+?)\.jpg""), "".jpg"", """"), ""-"", "", ""), """")"),"")</f>
        <v/>
      </c>
      <c r="L4803" s="12"/>
      <c r="M4803" s="13"/>
      <c r="N4803" s="2"/>
      <c r="O4803" s="20"/>
      <c r="P4803" s="42"/>
      <c r="R4803" s="23"/>
    </row>
    <row r="4804" spans="1:18" ht="12.75">
      <c r="A4804" s="12"/>
      <c r="D4804" s="12"/>
      <c r="E4804" s="12"/>
      <c r="H4804" s="11" t="str">
        <f ca="1">IFERROR(__xludf.DUMMYFUNCTION("IFERROR(SUBSTITUTE(SUBSTITUTE(REGEXEXTRACT(A4804, ""[^-]+- [^-]+- [^-]+ - (.+?)\.jpg""), "".jpg"", """"), ""-"", "", ""), """")"),"")</f>
        <v/>
      </c>
      <c r="L4804" s="12"/>
      <c r="M4804" s="13"/>
      <c r="N4804" s="2"/>
      <c r="O4804" s="20"/>
      <c r="P4804" s="42"/>
      <c r="R4804" s="23"/>
    </row>
    <row r="4805" spans="1:18" ht="12.75">
      <c r="A4805" s="12"/>
      <c r="D4805" s="12"/>
      <c r="E4805" s="12"/>
      <c r="H4805" s="11" t="str">
        <f ca="1">IFERROR(__xludf.DUMMYFUNCTION("IFERROR(SUBSTITUTE(SUBSTITUTE(REGEXEXTRACT(A4805, ""[^-]+- [^-]+- [^-]+ - (.+?)\.jpg""), "".jpg"", """"), ""-"", "", ""), """")"),"")</f>
        <v/>
      </c>
      <c r="L4805" s="12"/>
      <c r="M4805" s="13"/>
      <c r="N4805" s="2"/>
      <c r="O4805" s="20"/>
      <c r="P4805" s="42"/>
      <c r="R4805" s="23"/>
    </row>
    <row r="4806" spans="1:18" ht="12.75">
      <c r="A4806" s="12"/>
      <c r="D4806" s="12"/>
      <c r="E4806" s="12"/>
      <c r="H4806" s="11" t="str">
        <f ca="1">IFERROR(__xludf.DUMMYFUNCTION("IFERROR(SUBSTITUTE(SUBSTITUTE(REGEXEXTRACT(A4806, ""[^-]+- [^-]+- [^-]+ - (.+?)\.jpg""), "".jpg"", """"), ""-"", "", ""), """")"),"")</f>
        <v/>
      </c>
      <c r="L4806" s="12"/>
      <c r="M4806" s="13"/>
      <c r="N4806" s="2"/>
      <c r="O4806" s="20"/>
      <c r="P4806" s="42"/>
      <c r="R4806" s="23"/>
    </row>
    <row r="4807" spans="1:18" ht="12.75">
      <c r="A4807" s="12"/>
      <c r="D4807" s="12"/>
      <c r="E4807" s="12"/>
      <c r="H4807" s="11" t="str">
        <f ca="1">IFERROR(__xludf.DUMMYFUNCTION("IFERROR(SUBSTITUTE(SUBSTITUTE(REGEXEXTRACT(A4807, ""[^-]+- [^-]+- [^-]+ - (.+?)\.jpg""), "".jpg"", """"), ""-"", "", ""), """")"),"")</f>
        <v/>
      </c>
      <c r="L4807" s="12"/>
      <c r="M4807" s="13"/>
      <c r="N4807" s="2"/>
      <c r="O4807" s="20"/>
      <c r="P4807" s="42"/>
      <c r="R4807" s="23"/>
    </row>
    <row r="4808" spans="1:18" ht="12.75">
      <c r="A4808" s="12"/>
      <c r="D4808" s="12"/>
      <c r="E4808" s="12"/>
      <c r="H4808" s="11" t="str">
        <f ca="1">IFERROR(__xludf.DUMMYFUNCTION("IFERROR(SUBSTITUTE(SUBSTITUTE(REGEXEXTRACT(A4808, ""[^-]+- [^-]+- [^-]+ - (.+?)\.jpg""), "".jpg"", """"), ""-"", "", ""), """")"),"")</f>
        <v/>
      </c>
      <c r="L4808" s="12"/>
      <c r="M4808" s="13"/>
      <c r="N4808" s="2"/>
      <c r="O4808" s="20"/>
      <c r="P4808" s="42"/>
      <c r="R4808" s="23"/>
    </row>
    <row r="4809" spans="1:18" ht="12.75">
      <c r="A4809" s="12"/>
      <c r="D4809" s="12"/>
      <c r="E4809" s="12"/>
      <c r="H4809" s="11" t="str">
        <f ca="1">IFERROR(__xludf.DUMMYFUNCTION("IFERROR(SUBSTITUTE(SUBSTITUTE(REGEXEXTRACT(A4809, ""[^-]+- [^-]+- [^-]+ - (.+?)\.jpg""), "".jpg"", """"), ""-"", "", ""), """")"),"")</f>
        <v/>
      </c>
      <c r="L4809" s="12"/>
      <c r="M4809" s="13"/>
      <c r="N4809" s="2"/>
      <c r="O4809" s="20"/>
      <c r="P4809" s="42"/>
      <c r="R4809" s="23"/>
    </row>
    <row r="4810" spans="1:18" ht="12.75">
      <c r="A4810" s="12"/>
      <c r="D4810" s="12"/>
      <c r="E4810" s="12"/>
      <c r="H4810" s="11" t="str">
        <f ca="1">IFERROR(__xludf.DUMMYFUNCTION("IFERROR(SUBSTITUTE(SUBSTITUTE(REGEXEXTRACT(A4810, ""[^-]+- [^-]+- [^-]+ - (.+?)\.jpg""), "".jpg"", """"), ""-"", "", ""), """")"),"")</f>
        <v/>
      </c>
      <c r="L4810" s="12"/>
      <c r="M4810" s="13"/>
      <c r="N4810" s="2"/>
      <c r="O4810" s="20"/>
      <c r="P4810" s="42"/>
      <c r="R4810" s="23"/>
    </row>
    <row r="4811" spans="1:18" ht="12.75">
      <c r="A4811" s="12"/>
      <c r="D4811" s="12"/>
      <c r="E4811" s="12"/>
      <c r="H4811" s="11" t="str">
        <f ca="1">IFERROR(__xludf.DUMMYFUNCTION("IFERROR(SUBSTITUTE(SUBSTITUTE(REGEXEXTRACT(A4811, ""[^-]+- [^-]+- [^-]+ - (.+?)\.jpg""), "".jpg"", """"), ""-"", "", ""), """")"),"")</f>
        <v/>
      </c>
      <c r="L4811" s="12"/>
      <c r="M4811" s="13"/>
      <c r="N4811" s="2"/>
      <c r="O4811" s="20"/>
      <c r="P4811" s="42"/>
      <c r="R4811" s="23"/>
    </row>
    <row r="4812" spans="1:18" ht="12.75">
      <c r="A4812" s="12"/>
      <c r="D4812" s="12"/>
      <c r="E4812" s="12"/>
      <c r="H4812" s="11" t="str">
        <f ca="1">IFERROR(__xludf.DUMMYFUNCTION("IFERROR(SUBSTITUTE(SUBSTITUTE(REGEXEXTRACT(A4812, ""[^-]+- [^-]+- [^-]+ - (.+?)\.jpg""), "".jpg"", """"), ""-"", "", ""), """")"),"")</f>
        <v/>
      </c>
      <c r="L4812" s="12"/>
      <c r="M4812" s="13"/>
      <c r="N4812" s="2"/>
      <c r="O4812" s="20"/>
      <c r="P4812" s="42"/>
      <c r="R4812" s="23"/>
    </row>
    <row r="4813" spans="1:18" ht="12.75">
      <c r="A4813" s="12"/>
      <c r="D4813" s="12"/>
      <c r="E4813" s="12"/>
      <c r="H4813" s="11" t="str">
        <f ca="1">IFERROR(__xludf.DUMMYFUNCTION("IFERROR(SUBSTITUTE(SUBSTITUTE(REGEXEXTRACT(A4813, ""[^-]+- [^-]+- [^-]+ - (.+?)\.jpg""), "".jpg"", """"), ""-"", "", ""), """")"),"")</f>
        <v/>
      </c>
      <c r="L4813" s="12"/>
      <c r="M4813" s="13"/>
      <c r="N4813" s="2"/>
      <c r="O4813" s="20"/>
      <c r="P4813" s="42"/>
      <c r="R4813" s="23"/>
    </row>
    <row r="4814" spans="1:18" ht="12.75">
      <c r="A4814" s="12"/>
      <c r="D4814" s="12"/>
      <c r="E4814" s="12"/>
      <c r="H4814" s="11" t="str">
        <f ca="1">IFERROR(__xludf.DUMMYFUNCTION("IFERROR(SUBSTITUTE(SUBSTITUTE(REGEXEXTRACT(A4814, ""[^-]+- [^-]+- [^-]+ - (.+?)\.jpg""), "".jpg"", """"), ""-"", "", ""), """")"),"")</f>
        <v/>
      </c>
      <c r="L4814" s="12"/>
      <c r="M4814" s="13"/>
      <c r="N4814" s="2"/>
      <c r="O4814" s="20"/>
      <c r="P4814" s="42"/>
      <c r="R4814" s="23"/>
    </row>
    <row r="4815" spans="1:18" ht="12.75">
      <c r="A4815" s="12"/>
      <c r="D4815" s="12"/>
      <c r="E4815" s="12"/>
      <c r="H4815" s="11" t="str">
        <f ca="1">IFERROR(__xludf.DUMMYFUNCTION("IFERROR(SUBSTITUTE(SUBSTITUTE(REGEXEXTRACT(A4815, ""[^-]+- [^-]+- [^-]+ - (.+?)\.jpg""), "".jpg"", """"), ""-"", "", ""), """")"),"")</f>
        <v/>
      </c>
      <c r="L4815" s="12"/>
      <c r="M4815" s="13"/>
      <c r="N4815" s="2"/>
      <c r="O4815" s="20"/>
      <c r="P4815" s="42"/>
      <c r="R4815" s="23"/>
    </row>
    <row r="4816" spans="1:18" ht="12.75">
      <c r="A4816" s="12"/>
      <c r="D4816" s="12"/>
      <c r="E4816" s="12"/>
      <c r="H4816" s="11" t="str">
        <f ca="1">IFERROR(__xludf.DUMMYFUNCTION("IFERROR(SUBSTITUTE(SUBSTITUTE(REGEXEXTRACT(A4816, ""[^-]+- [^-]+- [^-]+ - (.+?)\.jpg""), "".jpg"", """"), ""-"", "", ""), """")"),"")</f>
        <v/>
      </c>
      <c r="L4816" s="12"/>
      <c r="M4816" s="13"/>
      <c r="N4816" s="2"/>
      <c r="O4816" s="20"/>
      <c r="P4816" s="42"/>
      <c r="R4816" s="23"/>
    </row>
    <row r="4817" spans="1:18" ht="12.75">
      <c r="A4817" s="12"/>
      <c r="D4817" s="12"/>
      <c r="E4817" s="12"/>
      <c r="H4817" s="11" t="str">
        <f ca="1">IFERROR(__xludf.DUMMYFUNCTION("IFERROR(SUBSTITUTE(SUBSTITUTE(REGEXEXTRACT(A4817, ""[^-]+- [^-]+- [^-]+ - (.+?)\.jpg""), "".jpg"", """"), ""-"", "", ""), """")"),"")</f>
        <v/>
      </c>
      <c r="L4817" s="12"/>
      <c r="M4817" s="13"/>
      <c r="N4817" s="2"/>
      <c r="O4817" s="20"/>
      <c r="P4817" s="42"/>
      <c r="R4817" s="23"/>
    </row>
    <row r="4818" spans="1:18" ht="12.75">
      <c r="A4818" s="12"/>
      <c r="D4818" s="12"/>
      <c r="E4818" s="12"/>
      <c r="H4818" s="11" t="str">
        <f ca="1">IFERROR(__xludf.DUMMYFUNCTION("IFERROR(SUBSTITUTE(SUBSTITUTE(REGEXEXTRACT(A4818, ""[^-]+- [^-]+- [^-]+ - (.+?)\.jpg""), "".jpg"", """"), ""-"", "", ""), """")"),"")</f>
        <v/>
      </c>
      <c r="L4818" s="12"/>
      <c r="M4818" s="13"/>
      <c r="N4818" s="2"/>
      <c r="O4818" s="20"/>
      <c r="P4818" s="42"/>
      <c r="R4818" s="23"/>
    </row>
    <row r="4819" spans="1:18" ht="12.75">
      <c r="A4819" s="12"/>
      <c r="D4819" s="12"/>
      <c r="E4819" s="12"/>
      <c r="H4819" s="11" t="str">
        <f ca="1">IFERROR(__xludf.DUMMYFUNCTION("IFERROR(SUBSTITUTE(SUBSTITUTE(REGEXEXTRACT(A4819, ""[^-]+- [^-]+- [^-]+ - (.+?)\.jpg""), "".jpg"", """"), ""-"", "", ""), """")"),"")</f>
        <v/>
      </c>
      <c r="L4819" s="12"/>
      <c r="M4819" s="13"/>
      <c r="N4819" s="2"/>
      <c r="O4819" s="20"/>
      <c r="P4819" s="42"/>
      <c r="R4819" s="23"/>
    </row>
    <row r="4820" spans="1:18" ht="12.75">
      <c r="A4820" s="12"/>
      <c r="D4820" s="12"/>
      <c r="E4820" s="12"/>
      <c r="H4820" s="11" t="str">
        <f ca="1">IFERROR(__xludf.DUMMYFUNCTION("IFERROR(SUBSTITUTE(SUBSTITUTE(REGEXEXTRACT(A4820, ""[^-]+- [^-]+- [^-]+ - (.+?)\.jpg""), "".jpg"", """"), ""-"", "", ""), """")"),"")</f>
        <v/>
      </c>
      <c r="L4820" s="12"/>
      <c r="M4820" s="13"/>
      <c r="N4820" s="2"/>
      <c r="O4820" s="20"/>
      <c r="P4820" s="42"/>
      <c r="R4820" s="23"/>
    </row>
    <row r="4821" spans="1:18" ht="12.75">
      <c r="A4821" s="12"/>
      <c r="D4821" s="12"/>
      <c r="E4821" s="12"/>
      <c r="H4821" s="11" t="str">
        <f ca="1">IFERROR(__xludf.DUMMYFUNCTION("IFERROR(SUBSTITUTE(SUBSTITUTE(REGEXEXTRACT(A4821, ""[^-]+- [^-]+- [^-]+ - (.+?)\.jpg""), "".jpg"", """"), ""-"", "", ""), """")"),"")</f>
        <v/>
      </c>
      <c r="L4821" s="12"/>
      <c r="M4821" s="13"/>
      <c r="N4821" s="2"/>
      <c r="O4821" s="20"/>
      <c r="P4821" s="42"/>
      <c r="R4821" s="23"/>
    </row>
    <row r="4822" spans="1:18" ht="12.75">
      <c r="A4822" s="12"/>
      <c r="D4822" s="12"/>
      <c r="E4822" s="12"/>
      <c r="H4822" s="11" t="str">
        <f ca="1">IFERROR(__xludf.DUMMYFUNCTION("IFERROR(SUBSTITUTE(SUBSTITUTE(REGEXEXTRACT(A4822, ""[^-]+- [^-]+- [^-]+ - (.+?)\.jpg""), "".jpg"", """"), ""-"", "", ""), """")"),"")</f>
        <v/>
      </c>
      <c r="L4822" s="12"/>
      <c r="M4822" s="13"/>
      <c r="N4822" s="2"/>
      <c r="O4822" s="20"/>
      <c r="P4822" s="42"/>
      <c r="R4822" s="23"/>
    </row>
    <row r="4823" spans="1:18" ht="12.75">
      <c r="A4823" s="12"/>
      <c r="D4823" s="12"/>
      <c r="E4823" s="12"/>
      <c r="H4823" s="11" t="str">
        <f ca="1">IFERROR(__xludf.DUMMYFUNCTION("IFERROR(SUBSTITUTE(SUBSTITUTE(REGEXEXTRACT(A4823, ""[^-]+- [^-]+- [^-]+ - (.+?)\.jpg""), "".jpg"", """"), ""-"", "", ""), """")"),"")</f>
        <v/>
      </c>
      <c r="L4823" s="12"/>
      <c r="M4823" s="13"/>
      <c r="N4823" s="2"/>
      <c r="O4823" s="20"/>
      <c r="P4823" s="42"/>
      <c r="R4823" s="23"/>
    </row>
    <row r="4824" spans="1:18" ht="12.75">
      <c r="A4824" s="12"/>
      <c r="D4824" s="12"/>
      <c r="E4824" s="12"/>
      <c r="H4824" s="11" t="str">
        <f ca="1">IFERROR(__xludf.DUMMYFUNCTION("IFERROR(SUBSTITUTE(SUBSTITUTE(REGEXEXTRACT(A4824, ""[^-]+- [^-]+- [^-]+ - (.+?)\.jpg""), "".jpg"", """"), ""-"", "", ""), """")"),"")</f>
        <v/>
      </c>
      <c r="L4824" s="12"/>
      <c r="M4824" s="13"/>
      <c r="N4824" s="2"/>
      <c r="O4824" s="20"/>
      <c r="P4824" s="42"/>
      <c r="R4824" s="23"/>
    </row>
    <row r="4825" spans="1:18" ht="12.75">
      <c r="A4825" s="12"/>
      <c r="D4825" s="12"/>
      <c r="E4825" s="12"/>
      <c r="H4825" s="11" t="str">
        <f ca="1">IFERROR(__xludf.DUMMYFUNCTION("IFERROR(SUBSTITUTE(SUBSTITUTE(REGEXEXTRACT(A4825, ""[^-]+- [^-]+- [^-]+ - (.+?)\.jpg""), "".jpg"", """"), ""-"", "", ""), """")"),"")</f>
        <v/>
      </c>
      <c r="L4825" s="12"/>
      <c r="M4825" s="13"/>
      <c r="N4825" s="2"/>
      <c r="O4825" s="20"/>
      <c r="P4825" s="42"/>
      <c r="R4825" s="23"/>
    </row>
    <row r="4826" spans="1:18" ht="12.75">
      <c r="A4826" s="12"/>
      <c r="D4826" s="12"/>
      <c r="E4826" s="12"/>
      <c r="H4826" s="11" t="str">
        <f ca="1">IFERROR(__xludf.DUMMYFUNCTION("IFERROR(SUBSTITUTE(SUBSTITUTE(REGEXEXTRACT(A4826, ""[^-]+- [^-]+- [^-]+ - (.+?)\.jpg""), "".jpg"", """"), ""-"", "", ""), """")"),"")</f>
        <v/>
      </c>
      <c r="L4826" s="12"/>
      <c r="M4826" s="13"/>
      <c r="N4826" s="2"/>
      <c r="O4826" s="20"/>
      <c r="P4826" s="42"/>
      <c r="R4826" s="23"/>
    </row>
    <row r="4827" spans="1:18" ht="12.75">
      <c r="A4827" s="12"/>
      <c r="D4827" s="12"/>
      <c r="E4827" s="12"/>
      <c r="H4827" s="11" t="str">
        <f ca="1">IFERROR(__xludf.DUMMYFUNCTION("IFERROR(SUBSTITUTE(SUBSTITUTE(REGEXEXTRACT(A4827, ""[^-]+- [^-]+- [^-]+ - (.+?)\.jpg""), "".jpg"", """"), ""-"", "", ""), """")"),"")</f>
        <v/>
      </c>
      <c r="L4827" s="12"/>
      <c r="M4827" s="13"/>
      <c r="N4827" s="2"/>
      <c r="O4827" s="20"/>
      <c r="P4827" s="42"/>
      <c r="R4827" s="23"/>
    </row>
    <row r="4828" spans="1:18" ht="12.75">
      <c r="A4828" s="12"/>
      <c r="D4828" s="12"/>
      <c r="E4828" s="12"/>
      <c r="H4828" s="11" t="str">
        <f ca="1">IFERROR(__xludf.DUMMYFUNCTION("IFERROR(SUBSTITUTE(SUBSTITUTE(REGEXEXTRACT(A4828, ""[^-]+- [^-]+- [^-]+ - (.+?)\.jpg""), "".jpg"", """"), ""-"", "", ""), """")"),"")</f>
        <v/>
      </c>
      <c r="L4828" s="12"/>
      <c r="M4828" s="13"/>
      <c r="N4828" s="2"/>
      <c r="O4828" s="20"/>
      <c r="P4828" s="42"/>
      <c r="R4828" s="23"/>
    </row>
    <row r="4829" spans="1:18" ht="12.75">
      <c r="A4829" s="12"/>
      <c r="D4829" s="12"/>
      <c r="E4829" s="12"/>
      <c r="H4829" s="11" t="str">
        <f ca="1">IFERROR(__xludf.DUMMYFUNCTION("IFERROR(SUBSTITUTE(SUBSTITUTE(REGEXEXTRACT(A4829, ""[^-]+- [^-]+- [^-]+ - (.+?)\.jpg""), "".jpg"", """"), ""-"", "", ""), """")"),"")</f>
        <v/>
      </c>
      <c r="L4829" s="12"/>
      <c r="M4829" s="13"/>
      <c r="N4829" s="2"/>
      <c r="O4829" s="20"/>
      <c r="P4829" s="42"/>
      <c r="R4829" s="23"/>
    </row>
    <row r="4830" spans="1:18" ht="12.75">
      <c r="A4830" s="12"/>
      <c r="D4830" s="12"/>
      <c r="E4830" s="12"/>
      <c r="H4830" s="11" t="str">
        <f ca="1">IFERROR(__xludf.DUMMYFUNCTION("IFERROR(SUBSTITUTE(SUBSTITUTE(REGEXEXTRACT(A4830, ""[^-]+- [^-]+- [^-]+ - (.+?)\.jpg""), "".jpg"", """"), ""-"", "", ""), """")"),"")</f>
        <v/>
      </c>
      <c r="L4830" s="12"/>
      <c r="M4830" s="13"/>
      <c r="N4830" s="2"/>
      <c r="O4830" s="20"/>
      <c r="P4830" s="42"/>
      <c r="R4830" s="23"/>
    </row>
    <row r="4831" spans="1:18" ht="12.75">
      <c r="A4831" s="12"/>
      <c r="D4831" s="12"/>
      <c r="E4831" s="12"/>
      <c r="H4831" s="11" t="str">
        <f ca="1">IFERROR(__xludf.DUMMYFUNCTION("IFERROR(SUBSTITUTE(SUBSTITUTE(REGEXEXTRACT(A4831, ""[^-]+- [^-]+- [^-]+ - (.+?)\.jpg""), "".jpg"", """"), ""-"", "", ""), """")"),"")</f>
        <v/>
      </c>
      <c r="L4831" s="12"/>
      <c r="M4831" s="13"/>
      <c r="N4831" s="2"/>
      <c r="O4831" s="20"/>
      <c r="P4831" s="42"/>
      <c r="R4831" s="23"/>
    </row>
    <row r="4832" spans="1:18" ht="12.75">
      <c r="A4832" s="12"/>
      <c r="D4832" s="12"/>
      <c r="E4832" s="12"/>
      <c r="H4832" s="11" t="str">
        <f ca="1">IFERROR(__xludf.DUMMYFUNCTION("IFERROR(SUBSTITUTE(SUBSTITUTE(REGEXEXTRACT(A4832, ""[^-]+- [^-]+- [^-]+ - (.+?)\.jpg""), "".jpg"", """"), ""-"", "", ""), """")"),"")</f>
        <v/>
      </c>
      <c r="L4832" s="12"/>
      <c r="M4832" s="13"/>
      <c r="N4832" s="2"/>
      <c r="O4832" s="20"/>
      <c r="P4832" s="42"/>
      <c r="R4832" s="23"/>
    </row>
    <row r="4833" spans="1:18" ht="12.75">
      <c r="A4833" s="12"/>
      <c r="D4833" s="12"/>
      <c r="E4833" s="12"/>
      <c r="H4833" s="11" t="str">
        <f ca="1">IFERROR(__xludf.DUMMYFUNCTION("IFERROR(SUBSTITUTE(SUBSTITUTE(REGEXEXTRACT(A4833, ""[^-]+- [^-]+- [^-]+ - (.+?)\.jpg""), "".jpg"", """"), ""-"", "", ""), """")"),"")</f>
        <v/>
      </c>
      <c r="L4833" s="12"/>
      <c r="M4833" s="13"/>
      <c r="N4833" s="2"/>
      <c r="O4833" s="20"/>
      <c r="P4833" s="42"/>
      <c r="R4833" s="23"/>
    </row>
    <row r="4834" spans="1:18" ht="12.75">
      <c r="A4834" s="12"/>
      <c r="D4834" s="12"/>
      <c r="E4834" s="12"/>
      <c r="H4834" s="11" t="str">
        <f ca="1">IFERROR(__xludf.DUMMYFUNCTION("IFERROR(SUBSTITUTE(SUBSTITUTE(REGEXEXTRACT(A4834, ""[^-]+- [^-]+- [^-]+ - (.+?)\.jpg""), "".jpg"", """"), ""-"", "", ""), """")"),"")</f>
        <v/>
      </c>
      <c r="L4834" s="12"/>
      <c r="M4834" s="13"/>
      <c r="N4834" s="2"/>
      <c r="O4834" s="20"/>
      <c r="P4834" s="42"/>
      <c r="R4834" s="23"/>
    </row>
    <row r="4835" spans="1:18" ht="12.75">
      <c r="A4835" s="12"/>
      <c r="D4835" s="12"/>
      <c r="E4835" s="12"/>
      <c r="H4835" s="11" t="str">
        <f ca="1">IFERROR(__xludf.DUMMYFUNCTION("IFERROR(SUBSTITUTE(SUBSTITUTE(REGEXEXTRACT(A4835, ""[^-]+- [^-]+- [^-]+ - (.+?)\.jpg""), "".jpg"", """"), ""-"", "", ""), """")"),"")</f>
        <v/>
      </c>
      <c r="L4835" s="12"/>
      <c r="M4835" s="13"/>
      <c r="N4835" s="2"/>
      <c r="O4835" s="20"/>
      <c r="P4835" s="42"/>
      <c r="R4835" s="23"/>
    </row>
    <row r="4836" spans="1:18" ht="12.75">
      <c r="A4836" s="12"/>
      <c r="D4836" s="12"/>
      <c r="E4836" s="12"/>
      <c r="H4836" s="11" t="str">
        <f ca="1">IFERROR(__xludf.DUMMYFUNCTION("IFERROR(SUBSTITUTE(SUBSTITUTE(REGEXEXTRACT(A4836, ""[^-]+- [^-]+- [^-]+ - (.+?)\.jpg""), "".jpg"", """"), ""-"", "", ""), """")"),"")</f>
        <v/>
      </c>
      <c r="L4836" s="12"/>
      <c r="M4836" s="13"/>
      <c r="N4836" s="2"/>
      <c r="O4836" s="20"/>
      <c r="P4836" s="42"/>
      <c r="R4836" s="23"/>
    </row>
    <row r="4837" spans="1:18" ht="12.75">
      <c r="A4837" s="12"/>
      <c r="D4837" s="12"/>
      <c r="E4837" s="12"/>
      <c r="H4837" s="11" t="str">
        <f ca="1">IFERROR(__xludf.DUMMYFUNCTION("IFERROR(SUBSTITUTE(SUBSTITUTE(REGEXEXTRACT(A4837, ""[^-]+- [^-]+- [^-]+ - (.+?)\.jpg""), "".jpg"", """"), ""-"", "", ""), """")"),"")</f>
        <v/>
      </c>
      <c r="L4837" s="12"/>
      <c r="M4837" s="13"/>
      <c r="N4837" s="2"/>
      <c r="O4837" s="20"/>
      <c r="P4837" s="42"/>
      <c r="R4837" s="23"/>
    </row>
    <row r="4838" spans="1:18" ht="12.75">
      <c r="A4838" s="12"/>
      <c r="D4838" s="12"/>
      <c r="E4838" s="12"/>
      <c r="H4838" s="11" t="str">
        <f ca="1">IFERROR(__xludf.DUMMYFUNCTION("IFERROR(SUBSTITUTE(SUBSTITUTE(REGEXEXTRACT(A4838, ""[^-]+- [^-]+- [^-]+ - (.+?)\.jpg""), "".jpg"", """"), ""-"", "", ""), """")"),"")</f>
        <v/>
      </c>
      <c r="L4838" s="12"/>
      <c r="M4838" s="13"/>
      <c r="N4838" s="2"/>
      <c r="O4838" s="20"/>
      <c r="P4838" s="42"/>
      <c r="R4838" s="23"/>
    </row>
    <row r="4839" spans="1:18" ht="12.75">
      <c r="A4839" s="12"/>
      <c r="D4839" s="12"/>
      <c r="E4839" s="12"/>
      <c r="H4839" s="11" t="str">
        <f ca="1">IFERROR(__xludf.DUMMYFUNCTION("IFERROR(SUBSTITUTE(SUBSTITUTE(REGEXEXTRACT(A4839, ""[^-]+- [^-]+- [^-]+ - (.+?)\.jpg""), "".jpg"", """"), ""-"", "", ""), """")"),"")</f>
        <v/>
      </c>
      <c r="L4839" s="12"/>
      <c r="M4839" s="13"/>
      <c r="N4839" s="2"/>
      <c r="O4839" s="20"/>
      <c r="P4839" s="42"/>
      <c r="R4839" s="23"/>
    </row>
    <row r="4840" spans="1:18" ht="12.75">
      <c r="A4840" s="12"/>
      <c r="D4840" s="12"/>
      <c r="E4840" s="12"/>
      <c r="H4840" s="11" t="str">
        <f ca="1">IFERROR(__xludf.DUMMYFUNCTION("IFERROR(SUBSTITUTE(SUBSTITUTE(REGEXEXTRACT(A4840, ""[^-]+- [^-]+- [^-]+ - (.+?)\.jpg""), "".jpg"", """"), ""-"", "", ""), """")"),"")</f>
        <v/>
      </c>
      <c r="L4840" s="12"/>
      <c r="M4840" s="13"/>
      <c r="N4840" s="2"/>
      <c r="O4840" s="20"/>
      <c r="P4840" s="42"/>
      <c r="R4840" s="23"/>
    </row>
    <row r="4841" spans="1:18" ht="12.75">
      <c r="A4841" s="12"/>
      <c r="D4841" s="12"/>
      <c r="E4841" s="12"/>
      <c r="H4841" s="11" t="str">
        <f ca="1">IFERROR(__xludf.DUMMYFUNCTION("IFERROR(SUBSTITUTE(SUBSTITUTE(REGEXEXTRACT(A4841, ""[^-]+- [^-]+- [^-]+ - (.+?)\.jpg""), "".jpg"", """"), ""-"", "", ""), """")"),"")</f>
        <v/>
      </c>
      <c r="L4841" s="12"/>
      <c r="M4841" s="13"/>
      <c r="N4841" s="2"/>
      <c r="O4841" s="20"/>
      <c r="P4841" s="42"/>
      <c r="R4841" s="23"/>
    </row>
    <row r="4842" spans="1:18" ht="12.75">
      <c r="A4842" s="12"/>
      <c r="D4842" s="12"/>
      <c r="E4842" s="12"/>
      <c r="H4842" s="11" t="str">
        <f ca="1">IFERROR(__xludf.DUMMYFUNCTION("IFERROR(SUBSTITUTE(SUBSTITUTE(REGEXEXTRACT(A4842, ""[^-]+- [^-]+- [^-]+ - (.+?)\.jpg""), "".jpg"", """"), ""-"", "", ""), """")"),"")</f>
        <v/>
      </c>
      <c r="L4842" s="12"/>
      <c r="M4842" s="13"/>
      <c r="N4842" s="2"/>
      <c r="O4842" s="20"/>
      <c r="P4842" s="42"/>
      <c r="R4842" s="23"/>
    </row>
    <row r="4843" spans="1:18" ht="12.75">
      <c r="A4843" s="12"/>
      <c r="D4843" s="12"/>
      <c r="E4843" s="12"/>
      <c r="H4843" s="11" t="str">
        <f ca="1">IFERROR(__xludf.DUMMYFUNCTION("IFERROR(SUBSTITUTE(SUBSTITUTE(REGEXEXTRACT(A4843, ""[^-]+- [^-]+- [^-]+ - (.+?)\.jpg""), "".jpg"", """"), ""-"", "", ""), """")"),"")</f>
        <v/>
      </c>
      <c r="L4843" s="12"/>
      <c r="M4843" s="13"/>
      <c r="N4843" s="2"/>
      <c r="O4843" s="20"/>
      <c r="P4843" s="42"/>
      <c r="R4843" s="23"/>
    </row>
    <row r="4844" spans="1:18" ht="12.75">
      <c r="A4844" s="12"/>
      <c r="D4844" s="12"/>
      <c r="E4844" s="12"/>
      <c r="H4844" s="11" t="str">
        <f ca="1">IFERROR(__xludf.DUMMYFUNCTION("IFERROR(SUBSTITUTE(SUBSTITUTE(REGEXEXTRACT(A4844, ""[^-]+- [^-]+- [^-]+ - (.+?)\.jpg""), "".jpg"", """"), ""-"", "", ""), """")"),"")</f>
        <v/>
      </c>
      <c r="L4844" s="12"/>
      <c r="M4844" s="13"/>
      <c r="N4844" s="2"/>
      <c r="O4844" s="20"/>
      <c r="P4844" s="42"/>
      <c r="R4844" s="23"/>
    </row>
    <row r="4845" spans="1:18" ht="12.75">
      <c r="A4845" s="12"/>
      <c r="D4845" s="12"/>
      <c r="E4845" s="12"/>
      <c r="H4845" s="11" t="str">
        <f ca="1">IFERROR(__xludf.DUMMYFUNCTION("IFERROR(SUBSTITUTE(SUBSTITUTE(REGEXEXTRACT(A4845, ""[^-]+- [^-]+- [^-]+ - (.+?)\.jpg""), "".jpg"", """"), ""-"", "", ""), """")"),"")</f>
        <v/>
      </c>
      <c r="L4845" s="12"/>
      <c r="M4845" s="13"/>
      <c r="N4845" s="2"/>
      <c r="O4845" s="20"/>
      <c r="P4845" s="42"/>
      <c r="R4845" s="23"/>
    </row>
    <row r="4846" spans="1:18" ht="12.75">
      <c r="A4846" s="12"/>
      <c r="D4846" s="12"/>
      <c r="E4846" s="12"/>
      <c r="H4846" s="11" t="str">
        <f ca="1">IFERROR(__xludf.DUMMYFUNCTION("IFERROR(SUBSTITUTE(SUBSTITUTE(REGEXEXTRACT(A4846, ""[^-]+- [^-]+- [^-]+ - (.+?)\.jpg""), "".jpg"", """"), ""-"", "", ""), """")"),"")</f>
        <v/>
      </c>
      <c r="L4846" s="12"/>
      <c r="M4846" s="13"/>
      <c r="N4846" s="2"/>
      <c r="O4846" s="20"/>
      <c r="P4846" s="42"/>
      <c r="R4846" s="23"/>
    </row>
    <row r="4847" spans="1:18" ht="12.75">
      <c r="A4847" s="12"/>
      <c r="D4847" s="12"/>
      <c r="E4847" s="12"/>
      <c r="H4847" s="11" t="str">
        <f ca="1">IFERROR(__xludf.DUMMYFUNCTION("IFERROR(SUBSTITUTE(SUBSTITUTE(REGEXEXTRACT(A4847, ""[^-]+- [^-]+- [^-]+ - (.+?)\.jpg""), "".jpg"", """"), ""-"", "", ""), """")"),"")</f>
        <v/>
      </c>
      <c r="L4847" s="12"/>
      <c r="M4847" s="13"/>
      <c r="N4847" s="2"/>
      <c r="O4847" s="20"/>
      <c r="P4847" s="42"/>
      <c r="R4847" s="23"/>
    </row>
    <row r="4848" spans="1:18" ht="12.75">
      <c r="A4848" s="12"/>
      <c r="D4848" s="12"/>
      <c r="E4848" s="12"/>
      <c r="H4848" s="11" t="str">
        <f ca="1">IFERROR(__xludf.DUMMYFUNCTION("IFERROR(SUBSTITUTE(SUBSTITUTE(REGEXEXTRACT(A4848, ""[^-]+- [^-]+- [^-]+ - (.+?)\.jpg""), "".jpg"", """"), ""-"", "", ""), """")"),"")</f>
        <v/>
      </c>
      <c r="L4848" s="12"/>
      <c r="M4848" s="13"/>
      <c r="N4848" s="2"/>
      <c r="O4848" s="20"/>
      <c r="P4848" s="42"/>
      <c r="R4848" s="23"/>
    </row>
    <row r="4849" spans="1:18" ht="12.75">
      <c r="A4849" s="12"/>
      <c r="D4849" s="12"/>
      <c r="E4849" s="12"/>
      <c r="H4849" s="11" t="str">
        <f ca="1">IFERROR(__xludf.DUMMYFUNCTION("IFERROR(SUBSTITUTE(SUBSTITUTE(REGEXEXTRACT(A4849, ""[^-]+- [^-]+- [^-]+ - (.+?)\.jpg""), "".jpg"", """"), ""-"", "", ""), """")"),"")</f>
        <v/>
      </c>
      <c r="L4849" s="12"/>
      <c r="M4849" s="13"/>
      <c r="N4849" s="2"/>
      <c r="O4849" s="20"/>
      <c r="P4849" s="42"/>
      <c r="R4849" s="23"/>
    </row>
    <row r="4850" spans="1:18" ht="12.75">
      <c r="A4850" s="12"/>
      <c r="D4850" s="12"/>
      <c r="E4850" s="12"/>
      <c r="H4850" s="11" t="str">
        <f ca="1">IFERROR(__xludf.DUMMYFUNCTION("IFERROR(SUBSTITUTE(SUBSTITUTE(REGEXEXTRACT(A4850, ""[^-]+- [^-]+- [^-]+ - (.+?)\.jpg""), "".jpg"", """"), ""-"", "", ""), """")"),"")</f>
        <v/>
      </c>
      <c r="L4850" s="12"/>
      <c r="M4850" s="13"/>
      <c r="N4850" s="2"/>
      <c r="O4850" s="20"/>
      <c r="P4850" s="42"/>
      <c r="R4850" s="23"/>
    </row>
    <row r="4851" spans="1:18" ht="12.75">
      <c r="A4851" s="12"/>
      <c r="D4851" s="12"/>
      <c r="E4851" s="12"/>
      <c r="H4851" s="11" t="str">
        <f ca="1">IFERROR(__xludf.DUMMYFUNCTION("IFERROR(SUBSTITUTE(SUBSTITUTE(REGEXEXTRACT(A4851, ""[^-]+- [^-]+- [^-]+ - (.+?)\.jpg""), "".jpg"", """"), ""-"", "", ""), """")"),"")</f>
        <v/>
      </c>
      <c r="L4851" s="12"/>
      <c r="M4851" s="13"/>
      <c r="N4851" s="2"/>
      <c r="O4851" s="20"/>
      <c r="P4851" s="42"/>
      <c r="R4851" s="23"/>
    </row>
    <row r="4852" spans="1:18" ht="12.75">
      <c r="A4852" s="12"/>
      <c r="D4852" s="12"/>
      <c r="E4852" s="12"/>
      <c r="H4852" s="11" t="str">
        <f ca="1">IFERROR(__xludf.DUMMYFUNCTION("IFERROR(SUBSTITUTE(SUBSTITUTE(REGEXEXTRACT(A4852, ""[^-]+- [^-]+- [^-]+ - (.+?)\.jpg""), "".jpg"", """"), ""-"", "", ""), """")"),"")</f>
        <v/>
      </c>
      <c r="L4852" s="12"/>
      <c r="M4852" s="13"/>
      <c r="N4852" s="2"/>
      <c r="O4852" s="20"/>
      <c r="P4852" s="42"/>
      <c r="R4852" s="23"/>
    </row>
    <row r="4853" spans="1:18" ht="12.75">
      <c r="A4853" s="12"/>
      <c r="D4853" s="12"/>
      <c r="E4853" s="12"/>
      <c r="H4853" s="11" t="str">
        <f ca="1">IFERROR(__xludf.DUMMYFUNCTION("IFERROR(SUBSTITUTE(SUBSTITUTE(REGEXEXTRACT(A4853, ""[^-]+- [^-]+- [^-]+ - (.+?)\.jpg""), "".jpg"", """"), ""-"", "", ""), """")"),"")</f>
        <v/>
      </c>
      <c r="L4853" s="12"/>
      <c r="M4853" s="13"/>
      <c r="N4853" s="2"/>
      <c r="O4853" s="20"/>
      <c r="P4853" s="42"/>
      <c r="R4853" s="23"/>
    </row>
    <row r="4854" spans="1:18" ht="12.75">
      <c r="A4854" s="12"/>
      <c r="D4854" s="12"/>
      <c r="E4854" s="12"/>
      <c r="H4854" s="11" t="str">
        <f ca="1">IFERROR(__xludf.DUMMYFUNCTION("IFERROR(SUBSTITUTE(SUBSTITUTE(REGEXEXTRACT(A4854, ""[^-]+- [^-]+- [^-]+ - (.+?)\.jpg""), "".jpg"", """"), ""-"", "", ""), """")"),"")</f>
        <v/>
      </c>
      <c r="L4854" s="12"/>
      <c r="M4854" s="13"/>
      <c r="N4854" s="2"/>
      <c r="O4854" s="20"/>
      <c r="P4854" s="42"/>
      <c r="R4854" s="23"/>
    </row>
    <row r="4855" spans="1:18" ht="12.75">
      <c r="A4855" s="12"/>
      <c r="D4855" s="12"/>
      <c r="E4855" s="12"/>
      <c r="H4855" s="11" t="str">
        <f ca="1">IFERROR(__xludf.DUMMYFUNCTION("IFERROR(SUBSTITUTE(SUBSTITUTE(REGEXEXTRACT(A4855, ""[^-]+- [^-]+- [^-]+ - (.+?)\.jpg""), "".jpg"", """"), ""-"", "", ""), """")"),"")</f>
        <v/>
      </c>
      <c r="L4855" s="12"/>
      <c r="M4855" s="13"/>
      <c r="N4855" s="2"/>
      <c r="O4855" s="20"/>
      <c r="P4855" s="42"/>
      <c r="R4855" s="23"/>
    </row>
    <row r="4856" spans="1:18" ht="12.75">
      <c r="A4856" s="12"/>
      <c r="D4856" s="12"/>
      <c r="E4856" s="12"/>
      <c r="H4856" s="11" t="str">
        <f ca="1">IFERROR(__xludf.DUMMYFUNCTION("IFERROR(SUBSTITUTE(SUBSTITUTE(REGEXEXTRACT(A4856, ""[^-]+- [^-]+- [^-]+ - (.+?)\.jpg""), "".jpg"", """"), ""-"", "", ""), """")"),"")</f>
        <v/>
      </c>
      <c r="L4856" s="12"/>
      <c r="M4856" s="13"/>
      <c r="N4856" s="2"/>
      <c r="O4856" s="20"/>
      <c r="P4856" s="42"/>
      <c r="R4856" s="23"/>
    </row>
    <row r="4857" spans="1:18" ht="12.75">
      <c r="A4857" s="12"/>
      <c r="D4857" s="12"/>
      <c r="E4857" s="12"/>
      <c r="H4857" s="11" t="str">
        <f ca="1">IFERROR(__xludf.DUMMYFUNCTION("IFERROR(SUBSTITUTE(SUBSTITUTE(REGEXEXTRACT(A4857, ""[^-]+- [^-]+- [^-]+ - (.+?)\.jpg""), "".jpg"", """"), ""-"", "", ""), """")"),"")</f>
        <v/>
      </c>
      <c r="L4857" s="12"/>
      <c r="M4857" s="13"/>
      <c r="N4857" s="2"/>
      <c r="O4857" s="20"/>
      <c r="P4857" s="42"/>
      <c r="R4857" s="23"/>
    </row>
    <row r="4858" spans="1:18" ht="12.75">
      <c r="A4858" s="12"/>
      <c r="D4858" s="12"/>
      <c r="E4858" s="12"/>
      <c r="H4858" s="11" t="str">
        <f ca="1">IFERROR(__xludf.DUMMYFUNCTION("IFERROR(SUBSTITUTE(SUBSTITUTE(REGEXEXTRACT(A4858, ""[^-]+- [^-]+- [^-]+ - (.+?)\.jpg""), "".jpg"", """"), ""-"", "", ""), """")"),"")</f>
        <v/>
      </c>
      <c r="L4858" s="12"/>
      <c r="M4858" s="13"/>
      <c r="N4858" s="2"/>
      <c r="O4858" s="20"/>
      <c r="P4858" s="42"/>
      <c r="R4858" s="23"/>
    </row>
    <row r="4859" spans="1:18" ht="12.75">
      <c r="A4859" s="12"/>
      <c r="D4859" s="12"/>
      <c r="E4859" s="12"/>
      <c r="H4859" s="11" t="str">
        <f ca="1">IFERROR(__xludf.DUMMYFUNCTION("IFERROR(SUBSTITUTE(SUBSTITUTE(REGEXEXTRACT(A4859, ""[^-]+- [^-]+- [^-]+ - (.+?)\.jpg""), "".jpg"", """"), ""-"", "", ""), """")"),"")</f>
        <v/>
      </c>
      <c r="L4859" s="12"/>
      <c r="M4859" s="13"/>
      <c r="N4859" s="2"/>
      <c r="O4859" s="20"/>
      <c r="P4859" s="42"/>
      <c r="R4859" s="23"/>
    </row>
    <row r="4860" spans="1:18" ht="12.75">
      <c r="A4860" s="12"/>
      <c r="D4860" s="12"/>
      <c r="E4860" s="12"/>
      <c r="H4860" s="11" t="str">
        <f ca="1">IFERROR(__xludf.DUMMYFUNCTION("IFERROR(SUBSTITUTE(SUBSTITUTE(REGEXEXTRACT(A4860, ""[^-]+- [^-]+- [^-]+ - (.+?)\.jpg""), "".jpg"", """"), ""-"", "", ""), """")"),"")</f>
        <v/>
      </c>
      <c r="L4860" s="12"/>
      <c r="M4860" s="13"/>
      <c r="N4860" s="2"/>
      <c r="O4860" s="20"/>
      <c r="P4860" s="42"/>
      <c r="R4860" s="23"/>
    </row>
    <row r="4861" spans="1:18" ht="12.75">
      <c r="A4861" s="12"/>
      <c r="D4861" s="12"/>
      <c r="E4861" s="12"/>
      <c r="H4861" s="11" t="str">
        <f ca="1">IFERROR(__xludf.DUMMYFUNCTION("IFERROR(SUBSTITUTE(SUBSTITUTE(REGEXEXTRACT(A4861, ""[^-]+- [^-]+- [^-]+ - (.+?)\.jpg""), "".jpg"", """"), ""-"", "", ""), """")"),"")</f>
        <v/>
      </c>
      <c r="L4861" s="12"/>
      <c r="M4861" s="13"/>
      <c r="N4861" s="2"/>
      <c r="O4861" s="20"/>
      <c r="P4861" s="42"/>
      <c r="R4861" s="23"/>
    </row>
    <row r="4862" spans="1:18" ht="12.75">
      <c r="A4862" s="12"/>
      <c r="D4862" s="12"/>
      <c r="E4862" s="12"/>
      <c r="H4862" s="11" t="str">
        <f ca="1">IFERROR(__xludf.DUMMYFUNCTION("IFERROR(SUBSTITUTE(SUBSTITUTE(REGEXEXTRACT(A4862, ""[^-]+- [^-]+- [^-]+ - (.+?)\.jpg""), "".jpg"", """"), ""-"", "", ""), """")"),"")</f>
        <v/>
      </c>
      <c r="L4862" s="12"/>
      <c r="M4862" s="13"/>
      <c r="N4862" s="2"/>
      <c r="O4862" s="20"/>
      <c r="P4862" s="42"/>
      <c r="R4862" s="23"/>
    </row>
    <row r="4863" spans="1:18" ht="12.75">
      <c r="A4863" s="12"/>
      <c r="D4863" s="12"/>
      <c r="E4863" s="12"/>
      <c r="H4863" s="11" t="str">
        <f ca="1">IFERROR(__xludf.DUMMYFUNCTION("IFERROR(SUBSTITUTE(SUBSTITUTE(REGEXEXTRACT(A4863, ""[^-]+- [^-]+- [^-]+ - (.+?)\.jpg""), "".jpg"", """"), ""-"", "", ""), """")"),"")</f>
        <v/>
      </c>
      <c r="L4863" s="12"/>
      <c r="M4863" s="13"/>
      <c r="N4863" s="2"/>
      <c r="O4863" s="20"/>
      <c r="P4863" s="42"/>
      <c r="R4863" s="23"/>
    </row>
    <row r="4864" spans="1:18" ht="12.75">
      <c r="A4864" s="12"/>
      <c r="D4864" s="12"/>
      <c r="E4864" s="12"/>
      <c r="H4864" s="11" t="str">
        <f ca="1">IFERROR(__xludf.DUMMYFUNCTION("IFERROR(SUBSTITUTE(SUBSTITUTE(REGEXEXTRACT(A4864, ""[^-]+- [^-]+- [^-]+ - (.+?)\.jpg""), "".jpg"", """"), ""-"", "", ""), """")"),"")</f>
        <v/>
      </c>
      <c r="L4864" s="12"/>
      <c r="M4864" s="13"/>
      <c r="N4864" s="2"/>
      <c r="O4864" s="20"/>
      <c r="P4864" s="42"/>
      <c r="R4864" s="23"/>
    </row>
    <row r="4865" spans="1:18" ht="12.75">
      <c r="A4865" s="12"/>
      <c r="D4865" s="12"/>
      <c r="E4865" s="12"/>
      <c r="H4865" s="11" t="str">
        <f ca="1">IFERROR(__xludf.DUMMYFUNCTION("IFERROR(SUBSTITUTE(SUBSTITUTE(REGEXEXTRACT(A4865, ""[^-]+- [^-]+- [^-]+ - (.+?)\.jpg""), "".jpg"", """"), ""-"", "", ""), """")"),"")</f>
        <v/>
      </c>
      <c r="L4865" s="12"/>
      <c r="M4865" s="13"/>
      <c r="N4865" s="2"/>
      <c r="O4865" s="20"/>
      <c r="P4865" s="42"/>
      <c r="R4865" s="23"/>
    </row>
    <row r="4866" spans="1:18" ht="12.75">
      <c r="A4866" s="12"/>
      <c r="D4866" s="12"/>
      <c r="E4866" s="12"/>
      <c r="H4866" s="11" t="str">
        <f ca="1">IFERROR(__xludf.DUMMYFUNCTION("IFERROR(SUBSTITUTE(SUBSTITUTE(REGEXEXTRACT(A4866, ""[^-]+- [^-]+- [^-]+ - (.+?)\.jpg""), "".jpg"", """"), ""-"", "", ""), """")"),"")</f>
        <v/>
      </c>
      <c r="L4866" s="12"/>
      <c r="M4866" s="13"/>
      <c r="N4866" s="2"/>
      <c r="O4866" s="20"/>
      <c r="P4866" s="42"/>
      <c r="R4866" s="23"/>
    </row>
    <row r="4867" spans="1:18" ht="12.75">
      <c r="A4867" s="12"/>
      <c r="D4867" s="12"/>
      <c r="E4867" s="12"/>
      <c r="H4867" s="11" t="str">
        <f ca="1">IFERROR(__xludf.DUMMYFUNCTION("IFERROR(SUBSTITUTE(SUBSTITUTE(REGEXEXTRACT(A4867, ""[^-]+- [^-]+- [^-]+ - (.+?)\.jpg""), "".jpg"", """"), ""-"", "", ""), """")"),"")</f>
        <v/>
      </c>
      <c r="L4867" s="12"/>
      <c r="M4867" s="13"/>
      <c r="N4867" s="2"/>
      <c r="O4867" s="20"/>
      <c r="P4867" s="42"/>
      <c r="R4867" s="23"/>
    </row>
    <row r="4868" spans="1:18" ht="12.75">
      <c r="A4868" s="12"/>
      <c r="D4868" s="12"/>
      <c r="E4868" s="12"/>
      <c r="H4868" s="11" t="str">
        <f ca="1">IFERROR(__xludf.DUMMYFUNCTION("IFERROR(SUBSTITUTE(SUBSTITUTE(REGEXEXTRACT(A4868, ""[^-]+- [^-]+- [^-]+ - (.+?)\.jpg""), "".jpg"", """"), ""-"", "", ""), """")"),"")</f>
        <v/>
      </c>
      <c r="L4868" s="12"/>
      <c r="M4868" s="13"/>
      <c r="N4868" s="2"/>
      <c r="O4868" s="20"/>
      <c r="P4868" s="42"/>
      <c r="R4868" s="23"/>
    </row>
    <row r="4869" spans="1:18" ht="12.75">
      <c r="A4869" s="12"/>
      <c r="D4869" s="12"/>
      <c r="E4869" s="12"/>
      <c r="H4869" s="11" t="str">
        <f ca="1">IFERROR(__xludf.DUMMYFUNCTION("IFERROR(SUBSTITUTE(SUBSTITUTE(REGEXEXTRACT(A4869, ""[^-]+- [^-]+- [^-]+ - (.+?)\.jpg""), "".jpg"", """"), ""-"", "", ""), """")"),"")</f>
        <v/>
      </c>
      <c r="L4869" s="12"/>
      <c r="M4869" s="13"/>
      <c r="N4869" s="2"/>
      <c r="O4869" s="20"/>
      <c r="P4869" s="42"/>
      <c r="R4869" s="23"/>
    </row>
    <row r="4870" spans="1:18" ht="12.75">
      <c r="A4870" s="12"/>
      <c r="D4870" s="12"/>
      <c r="E4870" s="12"/>
      <c r="H4870" s="11" t="str">
        <f ca="1">IFERROR(__xludf.DUMMYFUNCTION("IFERROR(SUBSTITUTE(SUBSTITUTE(REGEXEXTRACT(A4870, ""[^-]+- [^-]+- [^-]+ - (.+?)\.jpg""), "".jpg"", """"), ""-"", "", ""), """")"),"")</f>
        <v/>
      </c>
      <c r="L4870" s="12"/>
      <c r="M4870" s="13"/>
      <c r="N4870" s="2"/>
      <c r="O4870" s="20"/>
      <c r="P4870" s="42"/>
      <c r="R4870" s="23"/>
    </row>
    <row r="4871" spans="1:18" ht="12.75">
      <c r="A4871" s="12"/>
      <c r="D4871" s="12"/>
      <c r="E4871" s="12"/>
      <c r="H4871" s="11" t="str">
        <f ca="1">IFERROR(__xludf.DUMMYFUNCTION("IFERROR(SUBSTITUTE(SUBSTITUTE(REGEXEXTRACT(A4871, ""[^-]+- [^-]+- [^-]+ - (.+?)\.jpg""), "".jpg"", """"), ""-"", "", ""), """")"),"")</f>
        <v/>
      </c>
      <c r="L4871" s="12"/>
      <c r="M4871" s="13"/>
      <c r="N4871" s="2"/>
      <c r="O4871" s="20"/>
      <c r="P4871" s="42"/>
      <c r="R4871" s="23"/>
    </row>
    <row r="4872" spans="1:18" ht="12.75">
      <c r="A4872" s="12"/>
      <c r="D4872" s="12"/>
      <c r="E4872" s="12"/>
      <c r="H4872" s="11" t="str">
        <f ca="1">IFERROR(__xludf.DUMMYFUNCTION("IFERROR(SUBSTITUTE(SUBSTITUTE(REGEXEXTRACT(A4872, ""[^-]+- [^-]+- [^-]+ - (.+?)\.jpg""), "".jpg"", """"), ""-"", "", ""), """")"),"")</f>
        <v/>
      </c>
      <c r="L4872" s="12"/>
      <c r="M4872" s="13"/>
      <c r="N4872" s="2"/>
      <c r="O4872" s="20"/>
      <c r="P4872" s="42"/>
      <c r="R4872" s="23"/>
    </row>
    <row r="4873" spans="1:18" ht="12.75">
      <c r="A4873" s="12"/>
      <c r="D4873" s="12"/>
      <c r="E4873" s="12"/>
      <c r="H4873" s="11" t="str">
        <f ca="1">IFERROR(__xludf.DUMMYFUNCTION("IFERROR(SUBSTITUTE(SUBSTITUTE(REGEXEXTRACT(A4873, ""[^-]+- [^-]+- [^-]+ - (.+?)\.jpg""), "".jpg"", """"), ""-"", "", ""), """")"),"")</f>
        <v/>
      </c>
      <c r="L4873" s="12"/>
      <c r="M4873" s="13"/>
      <c r="N4873" s="2"/>
      <c r="O4873" s="20"/>
      <c r="P4873" s="42"/>
      <c r="R4873" s="23"/>
    </row>
    <row r="4874" spans="1:18" ht="12.75">
      <c r="A4874" s="12"/>
      <c r="D4874" s="12"/>
      <c r="E4874" s="12"/>
      <c r="H4874" s="11" t="str">
        <f ca="1">IFERROR(__xludf.DUMMYFUNCTION("IFERROR(SUBSTITUTE(SUBSTITUTE(REGEXEXTRACT(A4874, ""[^-]+- [^-]+- [^-]+ - (.+?)\.jpg""), "".jpg"", """"), ""-"", "", ""), """")"),"")</f>
        <v/>
      </c>
      <c r="L4874" s="12"/>
      <c r="M4874" s="13"/>
      <c r="N4874" s="2"/>
      <c r="O4874" s="20"/>
      <c r="P4874" s="42"/>
      <c r="R4874" s="23"/>
    </row>
    <row r="4875" spans="1:18" ht="12.75">
      <c r="A4875" s="12"/>
      <c r="D4875" s="12"/>
      <c r="E4875" s="12"/>
      <c r="H4875" s="11" t="str">
        <f ca="1">IFERROR(__xludf.DUMMYFUNCTION("IFERROR(SUBSTITUTE(SUBSTITUTE(REGEXEXTRACT(A4875, ""[^-]+- [^-]+- [^-]+ - (.+?)\.jpg""), "".jpg"", """"), ""-"", "", ""), """")"),"")</f>
        <v/>
      </c>
      <c r="L4875" s="12"/>
      <c r="M4875" s="13"/>
      <c r="N4875" s="2"/>
      <c r="O4875" s="20"/>
      <c r="P4875" s="42"/>
      <c r="R4875" s="23"/>
    </row>
    <row r="4876" spans="1:18" ht="12.75">
      <c r="A4876" s="12"/>
      <c r="D4876" s="12"/>
      <c r="E4876" s="12"/>
      <c r="H4876" s="11" t="str">
        <f ca="1">IFERROR(__xludf.DUMMYFUNCTION("IFERROR(SUBSTITUTE(SUBSTITUTE(REGEXEXTRACT(A4876, ""[^-]+- [^-]+- [^-]+ - (.+?)\.jpg""), "".jpg"", """"), ""-"", "", ""), """")"),"")</f>
        <v/>
      </c>
      <c r="L4876" s="12"/>
      <c r="M4876" s="13"/>
      <c r="N4876" s="2"/>
      <c r="O4876" s="20"/>
      <c r="P4876" s="42"/>
      <c r="R4876" s="23"/>
    </row>
    <row r="4877" spans="1:18" ht="12.75">
      <c r="A4877" s="12"/>
      <c r="D4877" s="12"/>
      <c r="E4877" s="12"/>
      <c r="H4877" s="11" t="str">
        <f ca="1">IFERROR(__xludf.DUMMYFUNCTION("IFERROR(SUBSTITUTE(SUBSTITUTE(REGEXEXTRACT(A4877, ""[^-]+- [^-]+- [^-]+ - (.+?)\.jpg""), "".jpg"", """"), ""-"", "", ""), """")"),"")</f>
        <v/>
      </c>
      <c r="L4877" s="12"/>
      <c r="M4877" s="13"/>
      <c r="N4877" s="2"/>
      <c r="O4877" s="20"/>
      <c r="P4877" s="42"/>
      <c r="R4877" s="23"/>
    </row>
    <row r="4878" spans="1:18" ht="12.75">
      <c r="A4878" s="12"/>
      <c r="D4878" s="12"/>
      <c r="E4878" s="12"/>
      <c r="H4878" s="11" t="str">
        <f ca="1">IFERROR(__xludf.DUMMYFUNCTION("IFERROR(SUBSTITUTE(SUBSTITUTE(REGEXEXTRACT(A4878, ""[^-]+- [^-]+- [^-]+ - (.+?)\.jpg""), "".jpg"", """"), ""-"", "", ""), """")"),"")</f>
        <v/>
      </c>
      <c r="L4878" s="12"/>
      <c r="M4878" s="13"/>
      <c r="N4878" s="2"/>
      <c r="O4878" s="20"/>
      <c r="P4878" s="42"/>
      <c r="R4878" s="23"/>
    </row>
    <row r="4879" spans="1:18" ht="12.75">
      <c r="A4879" s="12"/>
      <c r="D4879" s="12"/>
      <c r="E4879" s="12"/>
      <c r="H4879" s="11" t="str">
        <f ca="1">IFERROR(__xludf.DUMMYFUNCTION("IFERROR(SUBSTITUTE(SUBSTITUTE(REGEXEXTRACT(A4879, ""[^-]+- [^-]+- [^-]+ - (.+?)\.jpg""), "".jpg"", """"), ""-"", "", ""), """")"),"")</f>
        <v/>
      </c>
      <c r="L4879" s="12"/>
      <c r="M4879" s="13"/>
      <c r="N4879" s="2"/>
      <c r="O4879" s="20"/>
      <c r="P4879" s="42"/>
      <c r="R4879" s="23"/>
    </row>
    <row r="4880" spans="1:18" ht="12.75">
      <c r="A4880" s="12"/>
      <c r="D4880" s="12"/>
      <c r="E4880" s="12"/>
      <c r="H4880" s="11" t="str">
        <f ca="1">IFERROR(__xludf.DUMMYFUNCTION("IFERROR(SUBSTITUTE(SUBSTITUTE(REGEXEXTRACT(A4880, ""[^-]+- [^-]+- [^-]+ - (.+?)\.jpg""), "".jpg"", """"), ""-"", "", ""), """")"),"")</f>
        <v/>
      </c>
      <c r="L4880" s="12"/>
      <c r="M4880" s="13"/>
      <c r="N4880" s="2"/>
      <c r="O4880" s="20"/>
      <c r="P4880" s="42"/>
      <c r="R4880" s="23"/>
    </row>
    <row r="4881" spans="1:18" ht="12.75">
      <c r="A4881" s="12"/>
      <c r="D4881" s="12"/>
      <c r="E4881" s="12"/>
      <c r="H4881" s="11" t="str">
        <f ca="1">IFERROR(__xludf.DUMMYFUNCTION("IFERROR(SUBSTITUTE(SUBSTITUTE(REGEXEXTRACT(A4881, ""[^-]+- [^-]+- [^-]+ - (.+?)\.jpg""), "".jpg"", """"), ""-"", "", ""), """")"),"")</f>
        <v/>
      </c>
      <c r="L4881" s="12"/>
      <c r="M4881" s="13"/>
      <c r="N4881" s="2"/>
      <c r="O4881" s="20"/>
      <c r="P4881" s="42"/>
      <c r="R4881" s="23"/>
    </row>
    <row r="4882" spans="1:18" ht="12.75">
      <c r="A4882" s="12"/>
      <c r="D4882" s="12"/>
      <c r="E4882" s="12"/>
      <c r="H4882" s="11" t="str">
        <f ca="1">IFERROR(__xludf.DUMMYFUNCTION("IFERROR(SUBSTITUTE(SUBSTITUTE(REGEXEXTRACT(A4882, ""[^-]+- [^-]+- [^-]+ - (.+?)\.jpg""), "".jpg"", """"), ""-"", "", ""), """")"),"")</f>
        <v/>
      </c>
      <c r="L4882" s="12"/>
      <c r="M4882" s="13"/>
      <c r="N4882" s="2"/>
      <c r="O4882" s="20"/>
      <c r="P4882" s="42"/>
      <c r="R4882" s="23"/>
    </row>
    <row r="4883" spans="1:18" ht="12.75">
      <c r="A4883" s="12"/>
      <c r="D4883" s="12"/>
      <c r="E4883" s="12"/>
      <c r="H4883" s="11" t="str">
        <f ca="1">IFERROR(__xludf.DUMMYFUNCTION("IFERROR(SUBSTITUTE(SUBSTITUTE(REGEXEXTRACT(A4883, ""[^-]+- [^-]+- [^-]+ - (.+?)\.jpg""), "".jpg"", """"), ""-"", "", ""), """")"),"")</f>
        <v/>
      </c>
      <c r="L4883" s="12"/>
      <c r="M4883" s="13"/>
      <c r="N4883" s="2"/>
      <c r="O4883" s="20"/>
      <c r="P4883" s="42"/>
      <c r="R4883" s="23"/>
    </row>
    <row r="4884" spans="1:18" ht="12.75">
      <c r="A4884" s="12"/>
      <c r="D4884" s="12"/>
      <c r="E4884" s="12"/>
      <c r="H4884" s="11" t="str">
        <f ca="1">IFERROR(__xludf.DUMMYFUNCTION("IFERROR(SUBSTITUTE(SUBSTITUTE(REGEXEXTRACT(A4884, ""[^-]+- [^-]+- [^-]+ - (.+?)\.jpg""), "".jpg"", """"), ""-"", "", ""), """")"),"")</f>
        <v/>
      </c>
      <c r="L4884" s="12"/>
      <c r="M4884" s="13"/>
      <c r="N4884" s="2"/>
      <c r="O4884" s="20"/>
      <c r="P4884" s="42"/>
      <c r="R4884" s="23"/>
    </row>
    <row r="4885" spans="1:18" ht="12.75">
      <c r="A4885" s="12"/>
      <c r="D4885" s="12"/>
      <c r="E4885" s="12"/>
      <c r="H4885" s="11" t="str">
        <f ca="1">IFERROR(__xludf.DUMMYFUNCTION("IFERROR(SUBSTITUTE(SUBSTITUTE(REGEXEXTRACT(A4885, ""[^-]+- [^-]+- [^-]+ - (.+?)\.jpg""), "".jpg"", """"), ""-"", "", ""), """")"),"")</f>
        <v/>
      </c>
      <c r="L4885" s="12"/>
      <c r="M4885" s="13"/>
      <c r="N4885" s="2"/>
      <c r="O4885" s="20"/>
      <c r="P4885" s="42"/>
      <c r="R4885" s="23"/>
    </row>
    <row r="4886" spans="1:18" ht="12.75">
      <c r="A4886" s="12"/>
      <c r="D4886" s="12"/>
      <c r="E4886" s="12"/>
      <c r="H4886" s="11" t="str">
        <f ca="1">IFERROR(__xludf.DUMMYFUNCTION("IFERROR(SUBSTITUTE(SUBSTITUTE(REGEXEXTRACT(A4886, ""[^-]+- [^-]+- [^-]+ - (.+?)\.jpg""), "".jpg"", """"), ""-"", "", ""), """")"),"")</f>
        <v/>
      </c>
      <c r="L4886" s="12"/>
      <c r="M4886" s="13"/>
      <c r="N4886" s="2"/>
      <c r="O4886" s="20"/>
      <c r="P4886" s="42"/>
      <c r="R4886" s="23"/>
    </row>
    <row r="4887" spans="1:18" ht="12.75">
      <c r="A4887" s="12"/>
      <c r="D4887" s="12"/>
      <c r="E4887" s="12"/>
      <c r="H4887" s="11" t="str">
        <f ca="1">IFERROR(__xludf.DUMMYFUNCTION("IFERROR(SUBSTITUTE(SUBSTITUTE(REGEXEXTRACT(A4887, ""[^-]+- [^-]+- [^-]+ - (.+?)\.jpg""), "".jpg"", """"), ""-"", "", ""), """")"),"")</f>
        <v/>
      </c>
      <c r="L4887" s="12"/>
      <c r="M4887" s="13"/>
      <c r="N4887" s="2"/>
      <c r="O4887" s="20"/>
      <c r="P4887" s="42"/>
      <c r="R4887" s="23"/>
    </row>
    <row r="4888" spans="1:18" ht="12.75">
      <c r="A4888" s="12"/>
      <c r="D4888" s="12"/>
      <c r="E4888" s="12"/>
      <c r="H4888" s="11" t="str">
        <f ca="1">IFERROR(__xludf.DUMMYFUNCTION("IFERROR(SUBSTITUTE(SUBSTITUTE(REGEXEXTRACT(A4888, ""[^-]+- [^-]+- [^-]+ - (.+?)\.jpg""), "".jpg"", """"), ""-"", "", ""), """")"),"")</f>
        <v/>
      </c>
      <c r="L4888" s="12"/>
      <c r="M4888" s="13"/>
      <c r="N4888" s="2"/>
      <c r="O4888" s="20"/>
      <c r="P4888" s="42"/>
      <c r="R4888" s="23"/>
    </row>
    <row r="4889" spans="1:18" ht="12.75">
      <c r="A4889" s="12"/>
      <c r="D4889" s="12"/>
      <c r="E4889" s="12"/>
      <c r="H4889" s="11" t="str">
        <f ca="1">IFERROR(__xludf.DUMMYFUNCTION("IFERROR(SUBSTITUTE(SUBSTITUTE(REGEXEXTRACT(A4889, ""[^-]+- [^-]+- [^-]+ - (.+?)\.jpg""), "".jpg"", """"), ""-"", "", ""), """")"),"")</f>
        <v/>
      </c>
      <c r="L4889" s="12"/>
      <c r="M4889" s="13"/>
      <c r="N4889" s="2"/>
      <c r="O4889" s="20"/>
      <c r="P4889" s="42"/>
      <c r="R4889" s="23"/>
    </row>
    <row r="4890" spans="1:18" ht="12.75">
      <c r="A4890" s="12"/>
      <c r="D4890" s="12"/>
      <c r="E4890" s="12"/>
      <c r="H4890" s="11" t="str">
        <f ca="1">IFERROR(__xludf.DUMMYFUNCTION("IFERROR(SUBSTITUTE(SUBSTITUTE(REGEXEXTRACT(A4890, ""[^-]+- [^-]+- [^-]+ - (.+?)\.jpg""), "".jpg"", """"), ""-"", "", ""), """")"),"")</f>
        <v/>
      </c>
      <c r="L4890" s="12"/>
      <c r="M4890" s="13"/>
      <c r="N4890" s="2"/>
      <c r="O4890" s="20"/>
      <c r="P4890" s="42"/>
      <c r="R4890" s="23"/>
    </row>
    <row r="4891" spans="1:18" ht="12.75">
      <c r="A4891" s="12"/>
      <c r="D4891" s="12"/>
      <c r="E4891" s="12"/>
      <c r="H4891" s="11" t="str">
        <f ca="1">IFERROR(__xludf.DUMMYFUNCTION("IFERROR(SUBSTITUTE(SUBSTITUTE(REGEXEXTRACT(A4891, ""[^-]+- [^-]+- [^-]+ - (.+?)\.jpg""), "".jpg"", """"), ""-"", "", ""), """")"),"")</f>
        <v/>
      </c>
      <c r="L4891" s="12"/>
      <c r="M4891" s="13"/>
      <c r="N4891" s="2"/>
      <c r="O4891" s="20"/>
      <c r="P4891" s="42"/>
      <c r="R4891" s="23"/>
    </row>
    <row r="4892" spans="1:18" ht="12.75">
      <c r="A4892" s="12"/>
      <c r="D4892" s="12"/>
      <c r="E4892" s="12"/>
      <c r="H4892" s="11" t="str">
        <f ca="1">IFERROR(__xludf.DUMMYFUNCTION("IFERROR(SUBSTITUTE(SUBSTITUTE(REGEXEXTRACT(A4892, ""[^-]+- [^-]+- [^-]+ - (.+?)\.jpg""), "".jpg"", """"), ""-"", "", ""), """")"),"")</f>
        <v/>
      </c>
      <c r="L4892" s="12"/>
      <c r="M4892" s="13"/>
      <c r="N4892" s="2"/>
      <c r="O4892" s="20"/>
      <c r="P4892" s="42"/>
      <c r="R4892" s="23"/>
    </row>
    <row r="4893" spans="1:18" ht="12.75">
      <c r="A4893" s="12"/>
      <c r="D4893" s="12"/>
      <c r="E4893" s="12"/>
      <c r="H4893" s="11" t="str">
        <f ca="1">IFERROR(__xludf.DUMMYFUNCTION("IFERROR(SUBSTITUTE(SUBSTITUTE(REGEXEXTRACT(A4893, ""[^-]+- [^-]+- [^-]+ - (.+?)\.jpg""), "".jpg"", """"), ""-"", "", ""), """")"),"")</f>
        <v/>
      </c>
      <c r="L4893" s="12"/>
      <c r="M4893" s="13"/>
      <c r="N4893" s="2"/>
      <c r="O4893" s="20"/>
      <c r="P4893" s="42"/>
      <c r="R4893" s="23"/>
    </row>
    <row r="4894" spans="1:18" ht="12.75">
      <c r="A4894" s="12"/>
      <c r="D4894" s="12"/>
      <c r="E4894" s="12"/>
      <c r="H4894" s="11" t="str">
        <f ca="1">IFERROR(__xludf.DUMMYFUNCTION("IFERROR(SUBSTITUTE(SUBSTITUTE(REGEXEXTRACT(A4894, ""[^-]+- [^-]+- [^-]+ - (.+?)\.jpg""), "".jpg"", """"), ""-"", "", ""), """")"),"")</f>
        <v/>
      </c>
      <c r="L4894" s="12"/>
      <c r="M4894" s="13"/>
      <c r="N4894" s="2"/>
      <c r="O4894" s="20"/>
      <c r="P4894" s="42"/>
      <c r="R4894" s="23"/>
    </row>
    <row r="4895" spans="1:18" ht="12.75">
      <c r="A4895" s="12"/>
      <c r="D4895" s="12"/>
      <c r="E4895" s="12"/>
      <c r="H4895" s="11" t="str">
        <f ca="1">IFERROR(__xludf.DUMMYFUNCTION("IFERROR(SUBSTITUTE(SUBSTITUTE(REGEXEXTRACT(A4895, ""[^-]+- [^-]+- [^-]+ - (.+?)\.jpg""), "".jpg"", """"), ""-"", "", ""), """")"),"")</f>
        <v/>
      </c>
      <c r="L4895" s="12"/>
      <c r="M4895" s="13"/>
      <c r="N4895" s="2"/>
      <c r="O4895" s="20"/>
      <c r="P4895" s="42"/>
      <c r="R4895" s="23"/>
    </row>
    <row r="4896" spans="1:18" ht="12.75">
      <c r="A4896" s="12"/>
      <c r="D4896" s="12"/>
      <c r="E4896" s="12"/>
      <c r="H4896" s="11" t="str">
        <f ca="1">IFERROR(__xludf.DUMMYFUNCTION("IFERROR(SUBSTITUTE(SUBSTITUTE(REGEXEXTRACT(A4896, ""[^-]+- [^-]+- [^-]+ - (.+?)\.jpg""), "".jpg"", """"), ""-"", "", ""), """")"),"")</f>
        <v/>
      </c>
      <c r="L4896" s="12"/>
      <c r="M4896" s="13"/>
      <c r="N4896" s="2"/>
      <c r="O4896" s="20"/>
      <c r="P4896" s="42"/>
      <c r="R4896" s="23"/>
    </row>
    <row r="4897" spans="1:18" ht="12.75">
      <c r="A4897" s="12"/>
      <c r="D4897" s="12"/>
      <c r="E4897" s="12"/>
      <c r="H4897" s="11" t="str">
        <f ca="1">IFERROR(__xludf.DUMMYFUNCTION("IFERROR(SUBSTITUTE(SUBSTITUTE(REGEXEXTRACT(A4897, ""[^-]+- [^-]+- [^-]+ - (.+?)\.jpg""), "".jpg"", """"), ""-"", "", ""), """")"),"")</f>
        <v/>
      </c>
      <c r="L4897" s="12"/>
      <c r="M4897" s="13"/>
      <c r="N4897" s="2"/>
      <c r="O4897" s="20"/>
      <c r="P4897" s="42"/>
      <c r="R4897" s="23"/>
    </row>
    <row r="4898" spans="1:18" ht="12.75">
      <c r="A4898" s="12"/>
      <c r="D4898" s="12"/>
      <c r="E4898" s="12"/>
      <c r="H4898" s="11" t="str">
        <f ca="1">IFERROR(__xludf.DUMMYFUNCTION("IFERROR(SUBSTITUTE(SUBSTITUTE(REGEXEXTRACT(A4898, ""[^-]+- [^-]+- [^-]+ - (.+?)\.jpg""), "".jpg"", """"), ""-"", "", ""), """")"),"")</f>
        <v/>
      </c>
      <c r="L4898" s="12"/>
      <c r="M4898" s="13"/>
      <c r="N4898" s="2"/>
      <c r="O4898" s="20"/>
      <c r="P4898" s="42"/>
      <c r="R4898" s="23"/>
    </row>
    <row r="4899" spans="1:18" ht="12.75">
      <c r="A4899" s="12"/>
      <c r="D4899" s="12"/>
      <c r="E4899" s="12"/>
      <c r="H4899" s="11" t="str">
        <f ca="1">IFERROR(__xludf.DUMMYFUNCTION("IFERROR(SUBSTITUTE(SUBSTITUTE(REGEXEXTRACT(A4899, ""[^-]+- [^-]+- [^-]+ - (.+?)\.jpg""), "".jpg"", """"), ""-"", "", ""), """")"),"")</f>
        <v/>
      </c>
      <c r="L4899" s="12"/>
      <c r="M4899" s="13"/>
      <c r="N4899" s="2"/>
      <c r="O4899" s="20"/>
      <c r="P4899" s="42"/>
      <c r="R4899" s="23"/>
    </row>
    <row r="4900" spans="1:18" ht="12.75">
      <c r="A4900" s="12"/>
      <c r="D4900" s="12"/>
      <c r="E4900" s="12"/>
      <c r="H4900" s="11" t="str">
        <f ca="1">IFERROR(__xludf.DUMMYFUNCTION("IFERROR(SUBSTITUTE(SUBSTITUTE(REGEXEXTRACT(A4900, ""[^-]+- [^-]+- [^-]+ - (.+?)\.jpg""), "".jpg"", """"), ""-"", "", ""), """")"),"")</f>
        <v/>
      </c>
      <c r="L4900" s="12"/>
      <c r="M4900" s="13"/>
      <c r="N4900" s="2"/>
      <c r="O4900" s="20"/>
      <c r="P4900" s="42"/>
      <c r="R4900" s="23"/>
    </row>
    <row r="4901" spans="1:18" ht="12.75">
      <c r="A4901" s="12"/>
      <c r="D4901" s="12"/>
      <c r="E4901" s="12"/>
      <c r="H4901" s="11" t="str">
        <f ca="1">IFERROR(__xludf.DUMMYFUNCTION("IFERROR(SUBSTITUTE(SUBSTITUTE(REGEXEXTRACT(A4901, ""[^-]+- [^-]+- [^-]+ - (.+?)\.jpg""), "".jpg"", """"), ""-"", "", ""), """")"),"")</f>
        <v/>
      </c>
      <c r="L4901" s="12"/>
      <c r="M4901" s="13"/>
      <c r="N4901" s="2"/>
      <c r="O4901" s="20"/>
      <c r="P4901" s="42"/>
      <c r="R4901" s="23"/>
    </row>
    <row r="4902" spans="1:18" ht="12.75">
      <c r="A4902" s="12"/>
      <c r="D4902" s="12"/>
      <c r="E4902" s="12"/>
      <c r="H4902" s="11" t="str">
        <f ca="1">IFERROR(__xludf.DUMMYFUNCTION("IFERROR(SUBSTITUTE(SUBSTITUTE(REGEXEXTRACT(A4902, ""[^-]+- [^-]+- [^-]+ - (.+?)\.jpg""), "".jpg"", """"), ""-"", "", ""), """")"),"")</f>
        <v/>
      </c>
      <c r="L4902" s="12"/>
      <c r="M4902" s="13"/>
      <c r="N4902" s="2"/>
      <c r="O4902" s="20"/>
      <c r="P4902" s="42"/>
      <c r="R4902" s="23"/>
    </row>
    <row r="4903" spans="1:18" ht="12.75">
      <c r="A4903" s="12"/>
      <c r="D4903" s="12"/>
      <c r="E4903" s="12"/>
      <c r="H4903" s="11" t="str">
        <f ca="1">IFERROR(__xludf.DUMMYFUNCTION("IFERROR(SUBSTITUTE(SUBSTITUTE(REGEXEXTRACT(A4903, ""[^-]+- [^-]+- [^-]+ - (.+?)\.jpg""), "".jpg"", """"), ""-"", "", ""), """")"),"")</f>
        <v/>
      </c>
      <c r="L4903" s="12"/>
      <c r="M4903" s="13"/>
      <c r="N4903" s="2"/>
      <c r="O4903" s="20"/>
      <c r="P4903" s="42"/>
      <c r="R4903" s="23"/>
    </row>
    <row r="4904" spans="1:18" ht="12.75">
      <c r="A4904" s="12"/>
      <c r="D4904" s="12"/>
      <c r="E4904" s="12"/>
      <c r="H4904" s="11" t="str">
        <f ca="1">IFERROR(__xludf.DUMMYFUNCTION("IFERROR(SUBSTITUTE(SUBSTITUTE(REGEXEXTRACT(A4904, ""[^-]+- [^-]+- [^-]+ - (.+?)\.jpg""), "".jpg"", """"), ""-"", "", ""), """")"),"")</f>
        <v/>
      </c>
      <c r="L4904" s="12"/>
      <c r="M4904" s="13"/>
      <c r="N4904" s="2"/>
      <c r="O4904" s="20"/>
      <c r="P4904" s="42"/>
      <c r="R4904" s="23"/>
    </row>
    <row r="4905" spans="1:18" ht="12.75">
      <c r="A4905" s="12"/>
      <c r="D4905" s="12"/>
      <c r="E4905" s="12"/>
      <c r="H4905" s="11" t="str">
        <f ca="1">IFERROR(__xludf.DUMMYFUNCTION("IFERROR(SUBSTITUTE(SUBSTITUTE(REGEXEXTRACT(A4905, ""[^-]+- [^-]+- [^-]+ - (.+?)\.jpg""), "".jpg"", """"), ""-"", "", ""), """")"),"")</f>
        <v/>
      </c>
      <c r="L4905" s="12"/>
      <c r="M4905" s="13"/>
      <c r="N4905" s="2"/>
      <c r="O4905" s="20"/>
      <c r="P4905" s="42"/>
      <c r="R4905" s="23"/>
    </row>
    <row r="4906" spans="1:18" ht="12.75">
      <c r="A4906" s="12"/>
      <c r="D4906" s="12"/>
      <c r="E4906" s="12"/>
      <c r="H4906" s="11" t="str">
        <f ca="1">IFERROR(__xludf.DUMMYFUNCTION("IFERROR(SUBSTITUTE(SUBSTITUTE(REGEXEXTRACT(A4906, ""[^-]+- [^-]+- [^-]+ - (.+?)\.jpg""), "".jpg"", """"), ""-"", "", ""), """")"),"")</f>
        <v/>
      </c>
      <c r="L4906" s="12"/>
      <c r="M4906" s="13"/>
      <c r="N4906" s="2"/>
      <c r="O4906" s="20"/>
      <c r="P4906" s="42"/>
      <c r="R4906" s="23"/>
    </row>
    <row r="4907" spans="1:18" ht="12.75">
      <c r="A4907" s="12"/>
      <c r="D4907" s="12"/>
      <c r="E4907" s="12"/>
      <c r="H4907" s="11" t="str">
        <f ca="1">IFERROR(__xludf.DUMMYFUNCTION("IFERROR(SUBSTITUTE(SUBSTITUTE(REGEXEXTRACT(A4907, ""[^-]+- [^-]+- [^-]+ - (.+?)\.jpg""), "".jpg"", """"), ""-"", "", ""), """")"),"")</f>
        <v/>
      </c>
      <c r="L4907" s="12"/>
      <c r="M4907" s="13"/>
      <c r="N4907" s="2"/>
      <c r="O4907" s="20"/>
      <c r="P4907" s="42"/>
      <c r="R4907" s="23"/>
    </row>
    <row r="4908" spans="1:18" ht="12.75">
      <c r="A4908" s="12"/>
      <c r="D4908" s="12"/>
      <c r="E4908" s="12"/>
      <c r="H4908" s="11" t="str">
        <f ca="1">IFERROR(__xludf.DUMMYFUNCTION("IFERROR(SUBSTITUTE(SUBSTITUTE(REGEXEXTRACT(A4908, ""[^-]+- [^-]+- [^-]+ - (.+?)\.jpg""), "".jpg"", """"), ""-"", "", ""), """")"),"")</f>
        <v/>
      </c>
      <c r="L4908" s="12"/>
      <c r="M4908" s="13"/>
      <c r="N4908" s="2"/>
      <c r="O4908" s="20"/>
      <c r="P4908" s="42"/>
      <c r="R4908" s="23"/>
    </row>
    <row r="4909" spans="1:18" ht="12.75">
      <c r="A4909" s="12"/>
      <c r="D4909" s="12"/>
      <c r="E4909" s="12"/>
      <c r="H4909" s="11" t="str">
        <f ca="1">IFERROR(__xludf.DUMMYFUNCTION("IFERROR(SUBSTITUTE(SUBSTITUTE(REGEXEXTRACT(A4909, ""[^-]+- [^-]+- [^-]+ - (.+?)\.jpg""), "".jpg"", """"), ""-"", "", ""), """")"),"")</f>
        <v/>
      </c>
      <c r="L4909" s="12"/>
      <c r="M4909" s="13"/>
      <c r="N4909" s="2"/>
      <c r="O4909" s="20"/>
      <c r="P4909" s="42"/>
      <c r="R4909" s="23"/>
    </row>
    <row r="4910" spans="1:18" ht="12.75">
      <c r="A4910" s="12"/>
      <c r="D4910" s="12"/>
      <c r="E4910" s="12"/>
      <c r="H4910" s="11" t="str">
        <f ca="1">IFERROR(__xludf.DUMMYFUNCTION("IFERROR(SUBSTITUTE(SUBSTITUTE(REGEXEXTRACT(A4910, ""[^-]+- [^-]+- [^-]+ - (.+?)\.jpg""), "".jpg"", """"), ""-"", "", ""), """")"),"")</f>
        <v/>
      </c>
      <c r="L4910" s="12"/>
      <c r="M4910" s="13"/>
      <c r="N4910" s="2"/>
      <c r="O4910" s="20"/>
      <c r="P4910" s="42"/>
      <c r="R4910" s="23"/>
    </row>
    <row r="4911" spans="1:18" ht="12.75">
      <c r="A4911" s="12"/>
      <c r="D4911" s="12"/>
      <c r="E4911" s="12"/>
      <c r="H4911" s="11" t="str">
        <f ca="1">IFERROR(__xludf.DUMMYFUNCTION("IFERROR(SUBSTITUTE(SUBSTITUTE(REGEXEXTRACT(A4911, ""[^-]+- [^-]+- [^-]+ - (.+?)\.jpg""), "".jpg"", """"), ""-"", "", ""), """")"),"")</f>
        <v/>
      </c>
      <c r="L4911" s="12"/>
      <c r="M4911" s="13"/>
      <c r="N4911" s="2"/>
      <c r="O4911" s="20"/>
      <c r="P4911" s="42"/>
      <c r="R4911" s="23"/>
    </row>
    <row r="4912" spans="1:18" ht="12.75">
      <c r="A4912" s="12"/>
      <c r="D4912" s="12"/>
      <c r="E4912" s="12"/>
      <c r="H4912" s="11" t="str">
        <f ca="1">IFERROR(__xludf.DUMMYFUNCTION("IFERROR(SUBSTITUTE(SUBSTITUTE(REGEXEXTRACT(A4912, ""[^-]+- [^-]+- [^-]+ - (.+?)\.jpg""), "".jpg"", """"), ""-"", "", ""), """")"),"")</f>
        <v/>
      </c>
      <c r="L4912" s="12"/>
      <c r="M4912" s="13"/>
      <c r="N4912" s="2"/>
      <c r="O4912" s="20"/>
      <c r="P4912" s="42"/>
      <c r="R4912" s="23"/>
    </row>
    <row r="4913" spans="1:18" ht="12.75">
      <c r="A4913" s="12"/>
      <c r="D4913" s="12"/>
      <c r="E4913" s="12"/>
      <c r="H4913" s="11" t="str">
        <f ca="1">IFERROR(__xludf.DUMMYFUNCTION("IFERROR(SUBSTITUTE(SUBSTITUTE(REGEXEXTRACT(A4913, ""[^-]+- [^-]+- [^-]+ - (.+?)\.jpg""), "".jpg"", """"), ""-"", "", ""), """")"),"")</f>
        <v/>
      </c>
      <c r="L4913" s="12"/>
      <c r="M4913" s="13"/>
      <c r="N4913" s="2"/>
      <c r="O4913" s="20"/>
      <c r="P4913" s="42"/>
      <c r="R4913" s="23"/>
    </row>
    <row r="4914" spans="1:18" ht="12.75">
      <c r="A4914" s="12"/>
      <c r="D4914" s="12"/>
      <c r="E4914" s="12"/>
      <c r="H4914" s="11" t="str">
        <f ca="1">IFERROR(__xludf.DUMMYFUNCTION("IFERROR(SUBSTITUTE(SUBSTITUTE(REGEXEXTRACT(A4914, ""[^-]+- [^-]+- [^-]+ - (.+?)\.jpg""), "".jpg"", """"), ""-"", "", ""), """")"),"")</f>
        <v/>
      </c>
      <c r="L4914" s="12"/>
      <c r="M4914" s="13"/>
      <c r="N4914" s="2"/>
      <c r="O4914" s="20"/>
      <c r="P4914" s="42"/>
      <c r="R4914" s="23"/>
    </row>
    <row r="4915" spans="1:18" ht="12.75">
      <c r="A4915" s="12"/>
      <c r="D4915" s="12"/>
      <c r="E4915" s="12"/>
      <c r="H4915" s="11" t="str">
        <f ca="1">IFERROR(__xludf.DUMMYFUNCTION("IFERROR(SUBSTITUTE(SUBSTITUTE(REGEXEXTRACT(A4915, ""[^-]+- [^-]+- [^-]+ - (.+?)\.jpg""), "".jpg"", """"), ""-"", "", ""), """")"),"")</f>
        <v/>
      </c>
      <c r="L4915" s="12"/>
      <c r="M4915" s="13"/>
      <c r="N4915" s="2"/>
      <c r="O4915" s="20"/>
      <c r="P4915" s="42"/>
      <c r="R4915" s="23"/>
    </row>
    <row r="4916" spans="1:18" ht="12.75">
      <c r="A4916" s="12"/>
      <c r="D4916" s="12"/>
      <c r="E4916" s="12"/>
      <c r="H4916" s="11" t="str">
        <f ca="1">IFERROR(__xludf.DUMMYFUNCTION("IFERROR(SUBSTITUTE(SUBSTITUTE(REGEXEXTRACT(A4916, ""[^-]+- [^-]+- [^-]+ - (.+?)\.jpg""), "".jpg"", """"), ""-"", "", ""), """")"),"")</f>
        <v/>
      </c>
      <c r="L4916" s="12"/>
      <c r="M4916" s="13"/>
      <c r="N4916" s="2"/>
      <c r="O4916" s="20"/>
      <c r="P4916" s="42"/>
      <c r="R4916" s="23"/>
    </row>
    <row r="4917" spans="1:18" ht="12.75">
      <c r="A4917" s="12"/>
      <c r="D4917" s="12"/>
      <c r="E4917" s="12"/>
      <c r="H4917" s="11" t="str">
        <f ca="1">IFERROR(__xludf.DUMMYFUNCTION("IFERROR(SUBSTITUTE(SUBSTITUTE(REGEXEXTRACT(A4917, ""[^-]+- [^-]+- [^-]+ - (.+?)\.jpg""), "".jpg"", """"), ""-"", "", ""), """")"),"")</f>
        <v/>
      </c>
      <c r="L4917" s="12"/>
      <c r="M4917" s="13"/>
      <c r="N4917" s="2"/>
      <c r="O4917" s="20"/>
      <c r="P4917" s="42"/>
      <c r="R4917" s="23"/>
    </row>
    <row r="4918" spans="1:18" ht="12.75">
      <c r="A4918" s="12"/>
      <c r="D4918" s="12"/>
      <c r="E4918" s="12"/>
      <c r="H4918" s="11" t="str">
        <f ca="1">IFERROR(__xludf.DUMMYFUNCTION("IFERROR(SUBSTITUTE(SUBSTITUTE(REGEXEXTRACT(A4918, ""[^-]+- [^-]+- [^-]+ - (.+?)\.jpg""), "".jpg"", """"), ""-"", "", ""), """")"),"")</f>
        <v/>
      </c>
      <c r="L4918" s="12"/>
      <c r="M4918" s="13"/>
      <c r="N4918" s="2"/>
      <c r="O4918" s="20"/>
      <c r="P4918" s="42"/>
      <c r="R4918" s="23"/>
    </row>
    <row r="4919" spans="1:18" ht="12.75">
      <c r="A4919" s="12"/>
      <c r="D4919" s="12"/>
      <c r="E4919" s="12"/>
      <c r="H4919" s="11" t="str">
        <f ca="1">IFERROR(__xludf.DUMMYFUNCTION("IFERROR(SUBSTITUTE(SUBSTITUTE(REGEXEXTRACT(A4919, ""[^-]+- [^-]+- [^-]+ - (.+?)\.jpg""), "".jpg"", """"), ""-"", "", ""), """")"),"")</f>
        <v/>
      </c>
      <c r="L4919" s="12"/>
      <c r="M4919" s="13"/>
      <c r="N4919" s="2"/>
      <c r="O4919" s="20"/>
      <c r="P4919" s="42"/>
      <c r="R4919" s="23"/>
    </row>
    <row r="4920" spans="1:18" ht="12.75">
      <c r="A4920" s="12"/>
      <c r="D4920" s="12"/>
      <c r="E4920" s="12"/>
      <c r="H4920" s="11" t="str">
        <f ca="1">IFERROR(__xludf.DUMMYFUNCTION("IFERROR(SUBSTITUTE(SUBSTITUTE(REGEXEXTRACT(A4920, ""[^-]+- [^-]+- [^-]+ - (.+?)\.jpg""), "".jpg"", """"), ""-"", "", ""), """")"),"")</f>
        <v/>
      </c>
      <c r="L4920" s="12"/>
      <c r="M4920" s="13"/>
      <c r="N4920" s="2"/>
      <c r="O4920" s="20"/>
      <c r="P4920" s="42"/>
      <c r="R4920" s="23"/>
    </row>
    <row r="4921" spans="1:18" ht="12.75">
      <c r="A4921" s="12"/>
      <c r="D4921" s="12"/>
      <c r="E4921" s="12"/>
      <c r="H4921" s="11" t="str">
        <f ca="1">IFERROR(__xludf.DUMMYFUNCTION("IFERROR(SUBSTITUTE(SUBSTITUTE(REGEXEXTRACT(A4921, ""[^-]+- [^-]+- [^-]+ - (.+?)\.jpg""), "".jpg"", """"), ""-"", "", ""), """")"),"")</f>
        <v/>
      </c>
      <c r="L4921" s="12"/>
      <c r="M4921" s="13"/>
      <c r="N4921" s="2"/>
      <c r="O4921" s="20"/>
      <c r="P4921" s="42"/>
      <c r="R4921" s="23"/>
    </row>
    <row r="4922" spans="1:18" ht="12.75">
      <c r="A4922" s="12"/>
      <c r="D4922" s="12"/>
      <c r="E4922" s="12"/>
      <c r="H4922" s="11" t="str">
        <f ca="1">IFERROR(__xludf.DUMMYFUNCTION("IFERROR(SUBSTITUTE(SUBSTITUTE(REGEXEXTRACT(A4922, ""[^-]+- [^-]+- [^-]+ - (.+?)\.jpg""), "".jpg"", """"), ""-"", "", ""), """")"),"")</f>
        <v/>
      </c>
      <c r="L4922" s="12"/>
      <c r="M4922" s="13"/>
      <c r="N4922" s="2"/>
      <c r="O4922" s="20"/>
      <c r="P4922" s="42"/>
      <c r="R4922" s="23"/>
    </row>
    <row r="4923" spans="1:18" ht="12.75">
      <c r="A4923" s="12"/>
      <c r="D4923" s="12"/>
      <c r="E4923" s="12"/>
      <c r="H4923" s="11" t="str">
        <f ca="1">IFERROR(__xludf.DUMMYFUNCTION("IFERROR(SUBSTITUTE(SUBSTITUTE(REGEXEXTRACT(A4923, ""[^-]+- [^-]+- [^-]+ - (.+?)\.jpg""), "".jpg"", """"), ""-"", "", ""), """")"),"")</f>
        <v/>
      </c>
      <c r="L4923" s="12"/>
      <c r="M4923" s="13"/>
      <c r="N4923" s="2"/>
      <c r="O4923" s="20"/>
      <c r="P4923" s="42"/>
      <c r="R4923" s="23"/>
    </row>
    <row r="4924" spans="1:18" ht="12.75">
      <c r="A4924" s="12"/>
      <c r="D4924" s="12"/>
      <c r="E4924" s="12"/>
      <c r="H4924" s="11" t="str">
        <f ca="1">IFERROR(__xludf.DUMMYFUNCTION("IFERROR(SUBSTITUTE(SUBSTITUTE(REGEXEXTRACT(A4924, ""[^-]+- [^-]+- [^-]+ - (.+?)\.jpg""), "".jpg"", """"), ""-"", "", ""), """")"),"")</f>
        <v/>
      </c>
      <c r="L4924" s="12"/>
      <c r="M4924" s="13"/>
      <c r="N4924" s="2"/>
      <c r="O4924" s="20"/>
      <c r="P4924" s="42"/>
      <c r="R4924" s="23"/>
    </row>
    <row r="4925" spans="1:18" ht="12.75">
      <c r="A4925" s="12"/>
      <c r="D4925" s="12"/>
      <c r="E4925" s="12"/>
      <c r="H4925" s="11" t="str">
        <f ca="1">IFERROR(__xludf.DUMMYFUNCTION("IFERROR(SUBSTITUTE(SUBSTITUTE(REGEXEXTRACT(A4925, ""[^-]+- [^-]+- [^-]+ - (.+?)\.jpg""), "".jpg"", """"), ""-"", "", ""), """")"),"")</f>
        <v/>
      </c>
      <c r="L4925" s="12"/>
      <c r="M4925" s="13"/>
      <c r="N4925" s="2"/>
      <c r="O4925" s="20"/>
      <c r="P4925" s="42"/>
      <c r="R4925" s="23"/>
    </row>
    <row r="4926" spans="1:18" ht="12.75">
      <c r="A4926" s="12"/>
      <c r="D4926" s="12"/>
      <c r="E4926" s="12"/>
      <c r="H4926" s="11" t="str">
        <f ca="1">IFERROR(__xludf.DUMMYFUNCTION("IFERROR(SUBSTITUTE(SUBSTITUTE(REGEXEXTRACT(A4926, ""[^-]+- [^-]+- [^-]+ - (.+?)\.jpg""), "".jpg"", """"), ""-"", "", ""), """")"),"")</f>
        <v/>
      </c>
      <c r="L4926" s="12"/>
      <c r="M4926" s="13"/>
      <c r="N4926" s="2"/>
      <c r="O4926" s="20"/>
      <c r="P4926" s="42"/>
      <c r="R4926" s="23"/>
    </row>
    <row r="4927" spans="1:18" ht="12.75">
      <c r="A4927" s="12"/>
      <c r="D4927" s="12"/>
      <c r="E4927" s="12"/>
      <c r="H4927" s="11" t="str">
        <f ca="1">IFERROR(__xludf.DUMMYFUNCTION("IFERROR(SUBSTITUTE(SUBSTITUTE(REGEXEXTRACT(A4927, ""[^-]+- [^-]+- [^-]+ - (.+?)\.jpg""), "".jpg"", """"), ""-"", "", ""), """")"),"")</f>
        <v/>
      </c>
      <c r="L4927" s="12"/>
      <c r="M4927" s="13"/>
      <c r="N4927" s="2"/>
      <c r="O4927" s="20"/>
      <c r="P4927" s="42"/>
      <c r="R4927" s="23"/>
    </row>
    <row r="4928" spans="1:18" ht="12.75">
      <c r="A4928" s="12"/>
      <c r="D4928" s="12"/>
      <c r="E4928" s="12"/>
      <c r="H4928" s="11" t="str">
        <f ca="1">IFERROR(__xludf.DUMMYFUNCTION("IFERROR(SUBSTITUTE(SUBSTITUTE(REGEXEXTRACT(A4928, ""[^-]+- [^-]+- [^-]+ - (.+?)\.jpg""), "".jpg"", """"), ""-"", "", ""), """")"),"")</f>
        <v/>
      </c>
      <c r="L4928" s="12"/>
      <c r="M4928" s="13"/>
      <c r="N4928" s="2"/>
      <c r="O4928" s="20"/>
      <c r="P4928" s="42"/>
      <c r="R4928" s="23"/>
    </row>
    <row r="4929" spans="1:18" ht="12.75">
      <c r="A4929" s="12"/>
      <c r="D4929" s="12"/>
      <c r="E4929" s="12"/>
      <c r="H4929" s="11" t="str">
        <f ca="1">IFERROR(__xludf.DUMMYFUNCTION("IFERROR(SUBSTITUTE(SUBSTITUTE(REGEXEXTRACT(A4929, ""[^-]+- [^-]+- [^-]+ - (.+?)\.jpg""), "".jpg"", """"), ""-"", "", ""), """")"),"")</f>
        <v/>
      </c>
      <c r="L4929" s="12"/>
      <c r="M4929" s="13"/>
      <c r="N4929" s="2"/>
      <c r="O4929" s="20"/>
      <c r="P4929" s="42"/>
      <c r="R4929" s="23"/>
    </row>
    <row r="4930" spans="1:18" ht="12.75">
      <c r="A4930" s="12"/>
      <c r="D4930" s="12"/>
      <c r="E4930" s="12"/>
      <c r="H4930" s="11" t="str">
        <f ca="1">IFERROR(__xludf.DUMMYFUNCTION("IFERROR(SUBSTITUTE(SUBSTITUTE(REGEXEXTRACT(A4930, ""[^-]+- [^-]+- [^-]+ - (.+?)\.jpg""), "".jpg"", """"), ""-"", "", ""), """")"),"")</f>
        <v/>
      </c>
      <c r="L4930" s="12"/>
      <c r="M4930" s="13"/>
      <c r="N4930" s="2"/>
      <c r="O4930" s="20"/>
      <c r="P4930" s="42"/>
      <c r="R4930" s="23"/>
    </row>
    <row r="4931" spans="1:18" ht="12.75">
      <c r="A4931" s="12"/>
      <c r="D4931" s="12"/>
      <c r="E4931" s="12"/>
      <c r="H4931" s="11" t="str">
        <f ca="1">IFERROR(__xludf.DUMMYFUNCTION("IFERROR(SUBSTITUTE(SUBSTITUTE(REGEXEXTRACT(A4931, ""[^-]+- [^-]+- [^-]+ - (.+?)\.jpg""), "".jpg"", """"), ""-"", "", ""), """")"),"")</f>
        <v/>
      </c>
      <c r="L4931" s="12"/>
      <c r="M4931" s="13"/>
      <c r="N4931" s="2"/>
      <c r="O4931" s="20"/>
      <c r="P4931" s="42"/>
      <c r="R4931" s="23"/>
    </row>
    <row r="4932" spans="1:18" ht="12.75">
      <c r="A4932" s="12"/>
      <c r="D4932" s="12"/>
      <c r="E4932" s="12"/>
      <c r="H4932" s="11" t="str">
        <f ca="1">IFERROR(__xludf.DUMMYFUNCTION("IFERROR(SUBSTITUTE(SUBSTITUTE(REGEXEXTRACT(A4932, ""[^-]+- [^-]+- [^-]+ - (.+?)\.jpg""), "".jpg"", """"), ""-"", "", ""), """")"),"")</f>
        <v/>
      </c>
      <c r="L4932" s="12"/>
      <c r="M4932" s="13"/>
      <c r="N4932" s="2"/>
      <c r="O4932" s="20"/>
      <c r="P4932" s="42"/>
      <c r="R4932" s="23"/>
    </row>
    <row r="4933" spans="1:18" ht="12.75">
      <c r="A4933" s="12"/>
      <c r="D4933" s="12"/>
      <c r="E4933" s="12"/>
      <c r="H4933" s="11" t="str">
        <f ca="1">IFERROR(__xludf.DUMMYFUNCTION("IFERROR(SUBSTITUTE(SUBSTITUTE(REGEXEXTRACT(A4933, ""[^-]+- [^-]+- [^-]+ - (.+?)\.jpg""), "".jpg"", """"), ""-"", "", ""), """")"),"")</f>
        <v/>
      </c>
      <c r="L4933" s="12"/>
      <c r="M4933" s="13"/>
      <c r="N4933" s="2"/>
      <c r="O4933" s="20"/>
      <c r="P4933" s="42"/>
      <c r="R4933" s="23"/>
    </row>
    <row r="4934" spans="1:18" ht="12.75">
      <c r="A4934" s="12"/>
      <c r="D4934" s="12"/>
      <c r="E4934" s="12"/>
      <c r="H4934" s="11" t="str">
        <f ca="1">IFERROR(__xludf.DUMMYFUNCTION("IFERROR(SUBSTITUTE(SUBSTITUTE(REGEXEXTRACT(A4934, ""[^-]+- [^-]+- [^-]+ - (.+?)\.jpg""), "".jpg"", """"), ""-"", "", ""), """")"),"")</f>
        <v/>
      </c>
      <c r="L4934" s="12"/>
      <c r="M4934" s="13"/>
      <c r="N4934" s="2"/>
      <c r="O4934" s="20"/>
      <c r="P4934" s="42"/>
      <c r="R4934" s="23"/>
    </row>
    <row r="4935" spans="1:18" ht="12.75">
      <c r="A4935" s="12"/>
      <c r="D4935" s="12"/>
      <c r="E4935" s="12"/>
      <c r="H4935" s="11" t="str">
        <f ca="1">IFERROR(__xludf.DUMMYFUNCTION("IFERROR(SUBSTITUTE(SUBSTITUTE(REGEXEXTRACT(A4935, ""[^-]+- [^-]+- [^-]+ - (.+?)\.jpg""), "".jpg"", """"), ""-"", "", ""), """")"),"")</f>
        <v/>
      </c>
      <c r="L4935" s="12"/>
      <c r="M4935" s="13"/>
      <c r="N4935" s="2"/>
      <c r="O4935" s="20"/>
      <c r="P4935" s="42"/>
      <c r="R4935" s="23"/>
    </row>
    <row r="4936" spans="1:18" ht="12.75">
      <c r="A4936" s="12"/>
      <c r="D4936" s="12"/>
      <c r="E4936" s="12"/>
      <c r="H4936" s="11" t="str">
        <f ca="1">IFERROR(__xludf.DUMMYFUNCTION("IFERROR(SUBSTITUTE(SUBSTITUTE(REGEXEXTRACT(A4936, ""[^-]+- [^-]+- [^-]+ - (.+?)\.jpg""), "".jpg"", """"), ""-"", "", ""), """")"),"")</f>
        <v/>
      </c>
      <c r="L4936" s="12"/>
      <c r="M4936" s="13"/>
      <c r="N4936" s="2"/>
      <c r="O4936" s="20"/>
      <c r="P4936" s="42"/>
      <c r="R4936" s="23"/>
    </row>
    <row r="4937" spans="1:18" ht="12.75">
      <c r="A4937" s="12"/>
      <c r="D4937" s="12"/>
      <c r="E4937" s="12"/>
      <c r="H4937" s="11" t="str">
        <f ca="1">IFERROR(__xludf.DUMMYFUNCTION("IFERROR(SUBSTITUTE(SUBSTITUTE(REGEXEXTRACT(A4937, ""[^-]+- [^-]+- [^-]+ - (.+?)\.jpg""), "".jpg"", """"), ""-"", "", ""), """")"),"")</f>
        <v/>
      </c>
      <c r="L4937" s="12"/>
      <c r="M4937" s="13"/>
      <c r="N4937" s="2"/>
      <c r="O4937" s="20"/>
      <c r="P4937" s="42"/>
      <c r="R4937" s="23"/>
    </row>
    <row r="4938" spans="1:18" ht="12.75">
      <c r="A4938" s="12"/>
      <c r="D4938" s="12"/>
      <c r="E4938" s="12"/>
      <c r="H4938" s="11" t="str">
        <f ca="1">IFERROR(__xludf.DUMMYFUNCTION("IFERROR(SUBSTITUTE(SUBSTITUTE(REGEXEXTRACT(A4938, ""[^-]+- [^-]+- [^-]+ - (.+?)\.jpg""), "".jpg"", """"), ""-"", "", ""), """")"),"")</f>
        <v/>
      </c>
      <c r="L4938" s="12"/>
      <c r="M4938" s="13"/>
      <c r="N4938" s="2"/>
      <c r="O4938" s="20"/>
      <c r="P4938" s="42"/>
      <c r="R4938" s="23"/>
    </row>
    <row r="4939" spans="1:18" ht="12.75">
      <c r="A4939" s="12"/>
      <c r="D4939" s="12"/>
      <c r="E4939" s="12"/>
      <c r="H4939" s="11" t="str">
        <f ca="1">IFERROR(__xludf.DUMMYFUNCTION("IFERROR(SUBSTITUTE(SUBSTITUTE(REGEXEXTRACT(A4939, ""[^-]+- [^-]+- [^-]+ - (.+?)\.jpg""), "".jpg"", """"), ""-"", "", ""), """")"),"")</f>
        <v/>
      </c>
      <c r="L4939" s="12"/>
      <c r="M4939" s="13"/>
      <c r="N4939" s="2"/>
      <c r="O4939" s="20"/>
      <c r="P4939" s="42"/>
      <c r="R4939" s="23"/>
    </row>
    <row r="4940" spans="1:18" ht="12.75">
      <c r="A4940" s="12"/>
      <c r="D4940" s="12"/>
      <c r="E4940" s="12"/>
      <c r="H4940" s="11" t="str">
        <f ca="1">IFERROR(__xludf.DUMMYFUNCTION("IFERROR(SUBSTITUTE(SUBSTITUTE(REGEXEXTRACT(A4940, ""[^-]+- [^-]+- [^-]+ - (.+?)\.jpg""), "".jpg"", """"), ""-"", "", ""), """")"),"")</f>
        <v/>
      </c>
      <c r="L4940" s="12"/>
      <c r="M4940" s="13"/>
      <c r="N4940" s="2"/>
      <c r="O4940" s="20"/>
      <c r="P4940" s="42"/>
      <c r="R4940" s="23"/>
    </row>
    <row r="4941" spans="1:18" ht="12.75">
      <c r="A4941" s="12"/>
      <c r="D4941" s="12"/>
      <c r="E4941" s="12"/>
      <c r="H4941" s="11" t="str">
        <f ca="1">IFERROR(__xludf.DUMMYFUNCTION("IFERROR(SUBSTITUTE(SUBSTITUTE(REGEXEXTRACT(A4941, ""[^-]+- [^-]+- [^-]+ - (.+?)\.jpg""), "".jpg"", """"), ""-"", "", ""), """")"),"")</f>
        <v/>
      </c>
      <c r="L4941" s="12"/>
      <c r="M4941" s="13"/>
      <c r="N4941" s="2"/>
      <c r="O4941" s="20"/>
      <c r="P4941" s="42"/>
      <c r="R4941" s="23"/>
    </row>
    <row r="4942" spans="1:18" ht="12.75">
      <c r="A4942" s="12"/>
      <c r="D4942" s="12"/>
      <c r="E4942" s="12"/>
      <c r="H4942" s="11" t="str">
        <f ca="1">IFERROR(__xludf.DUMMYFUNCTION("IFERROR(SUBSTITUTE(SUBSTITUTE(REGEXEXTRACT(A4942, ""[^-]+- [^-]+- [^-]+ - (.+?)\.jpg""), "".jpg"", """"), ""-"", "", ""), """")"),"")</f>
        <v/>
      </c>
      <c r="L4942" s="12"/>
      <c r="M4942" s="13"/>
      <c r="N4942" s="2"/>
      <c r="O4942" s="20"/>
      <c r="P4942" s="42"/>
      <c r="R4942" s="23"/>
    </row>
    <row r="4943" spans="1:18" ht="12.75">
      <c r="A4943" s="12"/>
      <c r="D4943" s="12"/>
      <c r="E4943" s="12"/>
      <c r="H4943" s="11" t="str">
        <f ca="1">IFERROR(__xludf.DUMMYFUNCTION("IFERROR(SUBSTITUTE(SUBSTITUTE(REGEXEXTRACT(A4943, ""[^-]+- [^-]+- [^-]+ - (.+?)\.jpg""), "".jpg"", """"), ""-"", "", ""), """")"),"")</f>
        <v/>
      </c>
      <c r="L4943" s="12"/>
      <c r="M4943" s="13"/>
      <c r="N4943" s="2"/>
      <c r="O4943" s="20"/>
      <c r="P4943" s="42"/>
      <c r="R4943" s="23"/>
    </row>
    <row r="4944" spans="1:18" ht="12.75">
      <c r="A4944" s="12"/>
      <c r="D4944" s="12"/>
      <c r="E4944" s="12"/>
      <c r="H4944" s="11" t="str">
        <f ca="1">IFERROR(__xludf.DUMMYFUNCTION("IFERROR(SUBSTITUTE(SUBSTITUTE(REGEXEXTRACT(A4944, ""[^-]+- [^-]+- [^-]+ - (.+?)\.jpg""), "".jpg"", """"), ""-"", "", ""), """")"),"")</f>
        <v/>
      </c>
      <c r="L4944" s="12"/>
      <c r="M4944" s="13"/>
      <c r="N4944" s="2"/>
      <c r="O4944" s="20"/>
      <c r="P4944" s="42"/>
      <c r="R4944" s="23"/>
    </row>
    <row r="4945" spans="1:18" ht="12.75">
      <c r="A4945" s="12"/>
      <c r="D4945" s="12"/>
      <c r="E4945" s="12"/>
      <c r="H4945" s="11" t="str">
        <f ca="1">IFERROR(__xludf.DUMMYFUNCTION("IFERROR(SUBSTITUTE(SUBSTITUTE(REGEXEXTRACT(A4945, ""[^-]+- [^-]+- [^-]+ - (.+?)\.jpg""), "".jpg"", """"), ""-"", "", ""), """")"),"")</f>
        <v/>
      </c>
      <c r="L4945" s="12"/>
      <c r="M4945" s="13"/>
      <c r="N4945" s="2"/>
      <c r="O4945" s="20"/>
      <c r="P4945" s="42"/>
      <c r="R4945" s="23"/>
    </row>
    <row r="4946" spans="1:18" ht="12.75">
      <c r="A4946" s="12"/>
      <c r="D4946" s="12"/>
      <c r="E4946" s="12"/>
      <c r="H4946" s="11" t="str">
        <f ca="1">IFERROR(__xludf.DUMMYFUNCTION("IFERROR(SUBSTITUTE(SUBSTITUTE(REGEXEXTRACT(A4946, ""[^-]+- [^-]+- [^-]+ - (.+?)\.jpg""), "".jpg"", """"), ""-"", "", ""), """")"),"")</f>
        <v/>
      </c>
      <c r="L4946" s="12"/>
      <c r="M4946" s="13"/>
      <c r="N4946" s="2"/>
      <c r="O4946" s="20"/>
      <c r="P4946" s="42"/>
      <c r="R4946" s="23"/>
    </row>
    <row r="4947" spans="1:18" ht="12.75">
      <c r="A4947" s="12"/>
      <c r="D4947" s="12"/>
      <c r="E4947" s="12"/>
      <c r="H4947" s="11" t="str">
        <f ca="1">IFERROR(__xludf.DUMMYFUNCTION("IFERROR(SUBSTITUTE(SUBSTITUTE(REGEXEXTRACT(A4947, ""[^-]+- [^-]+- [^-]+ - (.+?)\.jpg""), "".jpg"", """"), ""-"", "", ""), """")"),"")</f>
        <v/>
      </c>
      <c r="L4947" s="12"/>
      <c r="M4947" s="13"/>
      <c r="N4947" s="2"/>
      <c r="O4947" s="20"/>
      <c r="P4947" s="42"/>
      <c r="R4947" s="23"/>
    </row>
    <row r="4948" spans="1:18" ht="12.75">
      <c r="A4948" s="12"/>
      <c r="D4948" s="12"/>
      <c r="E4948" s="12"/>
      <c r="H4948" s="11" t="str">
        <f ca="1">IFERROR(__xludf.DUMMYFUNCTION("IFERROR(SUBSTITUTE(SUBSTITUTE(REGEXEXTRACT(A4948, ""[^-]+- [^-]+- [^-]+ - (.+?)\.jpg""), "".jpg"", """"), ""-"", "", ""), """")"),"")</f>
        <v/>
      </c>
      <c r="L4948" s="12"/>
      <c r="M4948" s="13"/>
      <c r="N4948" s="2"/>
      <c r="O4948" s="20"/>
      <c r="P4948" s="42"/>
      <c r="R4948" s="23"/>
    </row>
    <row r="4949" spans="1:18" ht="12.75">
      <c r="A4949" s="12"/>
      <c r="D4949" s="12"/>
      <c r="E4949" s="12"/>
      <c r="H4949" s="11" t="str">
        <f ca="1">IFERROR(__xludf.DUMMYFUNCTION("IFERROR(SUBSTITUTE(SUBSTITUTE(REGEXEXTRACT(A4949, ""[^-]+- [^-]+- [^-]+ - (.+?)\.jpg""), "".jpg"", """"), ""-"", "", ""), """")"),"")</f>
        <v/>
      </c>
      <c r="L4949" s="12"/>
      <c r="M4949" s="13"/>
      <c r="N4949" s="2"/>
      <c r="O4949" s="20"/>
      <c r="P4949" s="42"/>
      <c r="R4949" s="23"/>
    </row>
    <row r="4950" spans="1:18" ht="12.75">
      <c r="A4950" s="12"/>
      <c r="D4950" s="12"/>
      <c r="E4950" s="12"/>
      <c r="H4950" s="11" t="str">
        <f ca="1">IFERROR(__xludf.DUMMYFUNCTION("IFERROR(SUBSTITUTE(SUBSTITUTE(REGEXEXTRACT(A4950, ""[^-]+- [^-]+- [^-]+ - (.+?)\.jpg""), "".jpg"", """"), ""-"", "", ""), """")"),"")</f>
        <v/>
      </c>
      <c r="L4950" s="12"/>
      <c r="M4950" s="13"/>
      <c r="N4950" s="2"/>
      <c r="O4950" s="20"/>
      <c r="P4950" s="42"/>
      <c r="R4950" s="23"/>
    </row>
    <row r="4951" spans="1:18" ht="12.75">
      <c r="A4951" s="12"/>
      <c r="D4951" s="12"/>
      <c r="E4951" s="12"/>
      <c r="H4951" s="11" t="str">
        <f ca="1">IFERROR(__xludf.DUMMYFUNCTION("IFERROR(SUBSTITUTE(SUBSTITUTE(REGEXEXTRACT(A4951, ""[^-]+- [^-]+- [^-]+ - (.+?)\.jpg""), "".jpg"", """"), ""-"", "", ""), """")"),"")</f>
        <v/>
      </c>
      <c r="L4951" s="12"/>
      <c r="M4951" s="13"/>
      <c r="N4951" s="2"/>
      <c r="O4951" s="20"/>
      <c r="P4951" s="42"/>
      <c r="R4951" s="23"/>
    </row>
    <row r="4952" spans="1:18" ht="12.75">
      <c r="A4952" s="12"/>
      <c r="D4952" s="12"/>
      <c r="E4952" s="12"/>
      <c r="H4952" s="11" t="str">
        <f ca="1">IFERROR(__xludf.DUMMYFUNCTION("IFERROR(SUBSTITUTE(SUBSTITUTE(REGEXEXTRACT(A4952, ""[^-]+- [^-]+- [^-]+ - (.+?)\.jpg""), "".jpg"", """"), ""-"", "", ""), """")"),"")</f>
        <v/>
      </c>
      <c r="L4952" s="12"/>
      <c r="M4952" s="13"/>
      <c r="N4952" s="2"/>
      <c r="O4952" s="20"/>
      <c r="P4952" s="42"/>
      <c r="R4952" s="23"/>
    </row>
    <row r="4953" spans="1:18" ht="12.75">
      <c r="A4953" s="12"/>
      <c r="D4953" s="12"/>
      <c r="E4953" s="12"/>
      <c r="H4953" s="11" t="str">
        <f ca="1">IFERROR(__xludf.DUMMYFUNCTION("IFERROR(SUBSTITUTE(SUBSTITUTE(REGEXEXTRACT(A4953, ""[^-]+- [^-]+- [^-]+ - (.+?)\.jpg""), "".jpg"", """"), ""-"", "", ""), """")"),"")</f>
        <v/>
      </c>
      <c r="L4953" s="12"/>
      <c r="M4953" s="13"/>
      <c r="N4953" s="2"/>
      <c r="O4953" s="20"/>
      <c r="P4953" s="42"/>
      <c r="R4953" s="23"/>
    </row>
    <row r="4954" spans="1:18" ht="12.75">
      <c r="A4954" s="12"/>
      <c r="D4954" s="12"/>
      <c r="E4954" s="12"/>
      <c r="H4954" s="11" t="str">
        <f ca="1">IFERROR(__xludf.DUMMYFUNCTION("IFERROR(SUBSTITUTE(SUBSTITUTE(REGEXEXTRACT(A4954, ""[^-]+- [^-]+- [^-]+ - (.+?)\.jpg""), "".jpg"", """"), ""-"", "", ""), """")"),"")</f>
        <v/>
      </c>
      <c r="L4954" s="12"/>
      <c r="M4954" s="13"/>
      <c r="N4954" s="2"/>
      <c r="O4954" s="20"/>
      <c r="P4954" s="42"/>
      <c r="R4954" s="23"/>
    </row>
    <row r="4955" spans="1:18" ht="12.75">
      <c r="A4955" s="12"/>
      <c r="D4955" s="12"/>
      <c r="E4955" s="12"/>
      <c r="H4955" s="11" t="str">
        <f ca="1">IFERROR(__xludf.DUMMYFUNCTION("IFERROR(SUBSTITUTE(SUBSTITUTE(REGEXEXTRACT(A4955, ""[^-]+- [^-]+- [^-]+ - (.+?)\.jpg""), "".jpg"", """"), ""-"", "", ""), """")"),"")</f>
        <v/>
      </c>
      <c r="L4955" s="12"/>
      <c r="M4955" s="13"/>
      <c r="N4955" s="2"/>
      <c r="O4955" s="20"/>
      <c r="P4955" s="42"/>
      <c r="R4955" s="23"/>
    </row>
    <row r="4956" spans="1:18" ht="12.75">
      <c r="A4956" s="12"/>
      <c r="D4956" s="12"/>
      <c r="E4956" s="12"/>
      <c r="H4956" s="11" t="str">
        <f ca="1">IFERROR(__xludf.DUMMYFUNCTION("IFERROR(SUBSTITUTE(SUBSTITUTE(REGEXEXTRACT(A4956, ""[^-]+- [^-]+- [^-]+ - (.+?)\.jpg""), "".jpg"", """"), ""-"", "", ""), """")"),"")</f>
        <v/>
      </c>
      <c r="L4956" s="12"/>
      <c r="M4956" s="13"/>
      <c r="N4956" s="2"/>
      <c r="O4956" s="20"/>
      <c r="P4956" s="42"/>
      <c r="R4956" s="23"/>
    </row>
    <row r="4957" spans="1:18" ht="12.75">
      <c r="A4957" s="12"/>
      <c r="D4957" s="12"/>
      <c r="E4957" s="12"/>
      <c r="H4957" s="11" t="str">
        <f ca="1">IFERROR(__xludf.DUMMYFUNCTION("IFERROR(SUBSTITUTE(SUBSTITUTE(REGEXEXTRACT(A4957, ""[^-]+- [^-]+- [^-]+ - (.+?)\.jpg""), "".jpg"", """"), ""-"", "", ""), """")"),"")</f>
        <v/>
      </c>
      <c r="L4957" s="12"/>
      <c r="M4957" s="13"/>
      <c r="N4957" s="2"/>
      <c r="O4957" s="20"/>
      <c r="P4957" s="42"/>
      <c r="R4957" s="23"/>
    </row>
    <row r="4958" spans="1:18" ht="12.75">
      <c r="A4958" s="12"/>
      <c r="D4958" s="12"/>
      <c r="E4958" s="12"/>
      <c r="H4958" s="11" t="str">
        <f ca="1">IFERROR(__xludf.DUMMYFUNCTION("IFERROR(SUBSTITUTE(SUBSTITUTE(REGEXEXTRACT(A4958, ""[^-]+- [^-]+- [^-]+ - (.+?)\.jpg""), "".jpg"", """"), ""-"", "", ""), """")"),"")</f>
        <v/>
      </c>
      <c r="L4958" s="12"/>
      <c r="M4958" s="13"/>
      <c r="N4958" s="2"/>
      <c r="O4958" s="20"/>
      <c r="P4958" s="42"/>
      <c r="R4958" s="23"/>
    </row>
    <row r="4959" spans="1:18" ht="12.75">
      <c r="A4959" s="12"/>
      <c r="D4959" s="12"/>
      <c r="E4959" s="12"/>
      <c r="H4959" s="11" t="str">
        <f ca="1">IFERROR(__xludf.DUMMYFUNCTION("IFERROR(SUBSTITUTE(SUBSTITUTE(REGEXEXTRACT(A4959, ""[^-]+- [^-]+- [^-]+ - (.+?)\.jpg""), "".jpg"", """"), ""-"", "", ""), """")"),"")</f>
        <v/>
      </c>
      <c r="L4959" s="12"/>
      <c r="M4959" s="13"/>
      <c r="N4959" s="2"/>
      <c r="O4959" s="20"/>
      <c r="P4959" s="42"/>
      <c r="R4959" s="23"/>
    </row>
    <row r="4960" spans="1:18" ht="12.75">
      <c r="A4960" s="12"/>
      <c r="D4960" s="12"/>
      <c r="E4960" s="12"/>
      <c r="H4960" s="11" t="str">
        <f ca="1">IFERROR(__xludf.DUMMYFUNCTION("IFERROR(SUBSTITUTE(SUBSTITUTE(REGEXEXTRACT(A4960, ""[^-]+- [^-]+- [^-]+ - (.+?)\.jpg""), "".jpg"", """"), ""-"", "", ""), """")"),"")</f>
        <v/>
      </c>
      <c r="L4960" s="12"/>
      <c r="M4960" s="13"/>
      <c r="N4960" s="2"/>
      <c r="O4960" s="20"/>
      <c r="P4960" s="42"/>
      <c r="R4960" s="23"/>
    </row>
    <row r="4961" spans="1:18" ht="12.75">
      <c r="A4961" s="12"/>
      <c r="D4961" s="12"/>
      <c r="E4961" s="12"/>
      <c r="H4961" s="11" t="str">
        <f ca="1">IFERROR(__xludf.DUMMYFUNCTION("IFERROR(SUBSTITUTE(SUBSTITUTE(REGEXEXTRACT(A4961, ""[^-]+- [^-]+- [^-]+ - (.+?)\.jpg""), "".jpg"", """"), ""-"", "", ""), """")"),"")</f>
        <v/>
      </c>
      <c r="L4961" s="12"/>
      <c r="M4961" s="13"/>
      <c r="N4961" s="2"/>
      <c r="O4961" s="20"/>
      <c r="P4961" s="42"/>
      <c r="R4961" s="23"/>
    </row>
    <row r="4962" spans="1:18" ht="12.75">
      <c r="A4962" s="12"/>
      <c r="D4962" s="12"/>
      <c r="E4962" s="12"/>
      <c r="H4962" s="11" t="str">
        <f ca="1">IFERROR(__xludf.DUMMYFUNCTION("IFERROR(SUBSTITUTE(SUBSTITUTE(REGEXEXTRACT(A4962, ""[^-]+- [^-]+- [^-]+ - (.+?)\.jpg""), "".jpg"", """"), ""-"", "", ""), """")"),"")</f>
        <v/>
      </c>
      <c r="L4962" s="12"/>
      <c r="M4962" s="13"/>
      <c r="N4962" s="2"/>
      <c r="O4962" s="20"/>
      <c r="P4962" s="42"/>
      <c r="R4962" s="23"/>
    </row>
    <row r="4963" spans="1:18" ht="12.75">
      <c r="A4963" s="12"/>
      <c r="D4963" s="12"/>
      <c r="E4963" s="12"/>
      <c r="H4963" s="11" t="str">
        <f ca="1">IFERROR(__xludf.DUMMYFUNCTION("IFERROR(SUBSTITUTE(SUBSTITUTE(REGEXEXTRACT(A4963, ""[^-]+- [^-]+- [^-]+ - (.+?)\.jpg""), "".jpg"", """"), ""-"", "", ""), """")"),"")</f>
        <v/>
      </c>
      <c r="L4963" s="12"/>
      <c r="M4963" s="13"/>
      <c r="N4963" s="2"/>
      <c r="O4963" s="20"/>
      <c r="P4963" s="42"/>
      <c r="R4963" s="23"/>
    </row>
    <row r="4964" spans="1:18" ht="12.75">
      <c r="A4964" s="12"/>
      <c r="D4964" s="12"/>
      <c r="E4964" s="12"/>
      <c r="H4964" s="11" t="str">
        <f ca="1">IFERROR(__xludf.DUMMYFUNCTION("IFERROR(SUBSTITUTE(SUBSTITUTE(REGEXEXTRACT(A4964, ""[^-]+- [^-]+- [^-]+ - (.+?)\.jpg""), "".jpg"", """"), ""-"", "", ""), """")"),"")</f>
        <v/>
      </c>
      <c r="L4964" s="12"/>
      <c r="M4964" s="13"/>
      <c r="N4964" s="2"/>
      <c r="O4964" s="20"/>
      <c r="P4964" s="42"/>
      <c r="R4964" s="23"/>
    </row>
    <row r="4965" spans="1:18" ht="12.75">
      <c r="A4965" s="12"/>
      <c r="D4965" s="12"/>
      <c r="E4965" s="12"/>
      <c r="H4965" s="11" t="str">
        <f ca="1">IFERROR(__xludf.DUMMYFUNCTION("IFERROR(SUBSTITUTE(SUBSTITUTE(REGEXEXTRACT(A4965, ""[^-]+- [^-]+- [^-]+ - (.+?)\.jpg""), "".jpg"", """"), ""-"", "", ""), """")"),"")</f>
        <v/>
      </c>
      <c r="L4965" s="12"/>
      <c r="M4965" s="13"/>
      <c r="N4965" s="2"/>
      <c r="O4965" s="20"/>
      <c r="P4965" s="42"/>
      <c r="R4965" s="23"/>
    </row>
    <row r="4966" spans="1:18" ht="12.75">
      <c r="A4966" s="12"/>
      <c r="D4966" s="12"/>
      <c r="E4966" s="12"/>
      <c r="H4966" s="11" t="str">
        <f ca="1">IFERROR(__xludf.DUMMYFUNCTION("IFERROR(SUBSTITUTE(SUBSTITUTE(REGEXEXTRACT(A4966, ""[^-]+- [^-]+- [^-]+ - (.+?)\.jpg""), "".jpg"", """"), ""-"", "", ""), """")"),"")</f>
        <v/>
      </c>
      <c r="L4966" s="12"/>
      <c r="M4966" s="13"/>
      <c r="N4966" s="2"/>
      <c r="O4966" s="20"/>
      <c r="P4966" s="42"/>
      <c r="R4966" s="23"/>
    </row>
    <row r="4967" spans="1:18" ht="12.75">
      <c r="A4967" s="12"/>
      <c r="D4967" s="12"/>
      <c r="E4967" s="12"/>
      <c r="H4967" s="11" t="str">
        <f ca="1">IFERROR(__xludf.DUMMYFUNCTION("IFERROR(SUBSTITUTE(SUBSTITUTE(REGEXEXTRACT(A4967, ""[^-]+- [^-]+- [^-]+ - (.+?)\.jpg""), "".jpg"", """"), ""-"", "", ""), """")"),"")</f>
        <v/>
      </c>
      <c r="L4967" s="12"/>
      <c r="M4967" s="13"/>
      <c r="N4967" s="2"/>
      <c r="O4967" s="20"/>
      <c r="P4967" s="42"/>
      <c r="R4967" s="23"/>
    </row>
    <row r="4968" spans="1:18" ht="12.75">
      <c r="A4968" s="12"/>
      <c r="D4968" s="12"/>
      <c r="E4968" s="12"/>
      <c r="H4968" s="11" t="str">
        <f ca="1">IFERROR(__xludf.DUMMYFUNCTION("IFERROR(SUBSTITUTE(SUBSTITUTE(REGEXEXTRACT(A4968, ""[^-]+- [^-]+- [^-]+ - (.+?)\.jpg""), "".jpg"", """"), ""-"", "", ""), """")"),"")</f>
        <v/>
      </c>
      <c r="L4968" s="12"/>
      <c r="M4968" s="13"/>
      <c r="N4968" s="2"/>
      <c r="O4968" s="20"/>
      <c r="P4968" s="42"/>
      <c r="R4968" s="23"/>
    </row>
    <row r="4969" spans="1:18" ht="12.75">
      <c r="A4969" s="12"/>
      <c r="D4969" s="12"/>
      <c r="E4969" s="12"/>
      <c r="H4969" s="11" t="str">
        <f ca="1">IFERROR(__xludf.DUMMYFUNCTION("IFERROR(SUBSTITUTE(SUBSTITUTE(REGEXEXTRACT(A4969, ""[^-]+- [^-]+- [^-]+ - (.+?)\.jpg""), "".jpg"", """"), ""-"", "", ""), """")"),"")</f>
        <v/>
      </c>
      <c r="L4969" s="12"/>
      <c r="M4969" s="13"/>
      <c r="N4969" s="2"/>
      <c r="O4969" s="20"/>
      <c r="P4969" s="42"/>
      <c r="R4969" s="23"/>
    </row>
    <row r="4970" spans="1:18" ht="12.75">
      <c r="A4970" s="12"/>
      <c r="D4970" s="12"/>
      <c r="E4970" s="12"/>
      <c r="H4970" s="11" t="str">
        <f ca="1">IFERROR(__xludf.DUMMYFUNCTION("IFERROR(SUBSTITUTE(SUBSTITUTE(REGEXEXTRACT(A4970, ""[^-]+- [^-]+- [^-]+ - (.+?)\.jpg""), "".jpg"", """"), ""-"", "", ""), """")"),"")</f>
        <v/>
      </c>
      <c r="L4970" s="12"/>
      <c r="M4970" s="13"/>
      <c r="N4970" s="2"/>
      <c r="O4970" s="20"/>
      <c r="P4970" s="42"/>
      <c r="R4970" s="23"/>
    </row>
    <row r="4971" spans="1:18" ht="12.75">
      <c r="A4971" s="12"/>
      <c r="D4971" s="12"/>
      <c r="E4971" s="12"/>
      <c r="H4971" s="11" t="str">
        <f ca="1">IFERROR(__xludf.DUMMYFUNCTION("IFERROR(SUBSTITUTE(SUBSTITUTE(REGEXEXTRACT(A4971, ""[^-]+- [^-]+- [^-]+ - (.+?)\.jpg""), "".jpg"", """"), ""-"", "", ""), """")"),"")</f>
        <v/>
      </c>
      <c r="L4971" s="12"/>
      <c r="M4971" s="13"/>
      <c r="N4971" s="2"/>
      <c r="O4971" s="20"/>
      <c r="P4971" s="42"/>
      <c r="R4971" s="23"/>
    </row>
    <row r="4972" spans="1:18" ht="12.75">
      <c r="A4972" s="12"/>
      <c r="D4972" s="12"/>
      <c r="E4972" s="12"/>
      <c r="H4972" s="11" t="str">
        <f ca="1">IFERROR(__xludf.DUMMYFUNCTION("IFERROR(SUBSTITUTE(SUBSTITUTE(REGEXEXTRACT(A4972, ""[^-]+- [^-]+- [^-]+ - (.+?)\.jpg""), "".jpg"", """"), ""-"", "", ""), """")"),"")</f>
        <v/>
      </c>
      <c r="L4972" s="12"/>
      <c r="M4972" s="13"/>
      <c r="N4972" s="2"/>
      <c r="O4972" s="20"/>
      <c r="P4972" s="42"/>
      <c r="R4972" s="23"/>
    </row>
    <row r="4973" spans="1:18" ht="12.75">
      <c r="A4973" s="12"/>
      <c r="D4973" s="12"/>
      <c r="E4973" s="12"/>
      <c r="H4973" s="11" t="str">
        <f ca="1">IFERROR(__xludf.DUMMYFUNCTION("IFERROR(SUBSTITUTE(SUBSTITUTE(REGEXEXTRACT(A4973, ""[^-]+- [^-]+- [^-]+ - (.+?)\.jpg""), "".jpg"", """"), ""-"", "", ""), """")"),"")</f>
        <v/>
      </c>
      <c r="L4973" s="12"/>
      <c r="M4973" s="13"/>
      <c r="N4973" s="2"/>
      <c r="O4973" s="20"/>
      <c r="P4973" s="42"/>
      <c r="R4973" s="23"/>
    </row>
    <row r="4974" spans="1:18" ht="12.75">
      <c r="A4974" s="12"/>
      <c r="D4974" s="12"/>
      <c r="E4974" s="12"/>
      <c r="H4974" s="11" t="str">
        <f ca="1">IFERROR(__xludf.DUMMYFUNCTION("IFERROR(SUBSTITUTE(SUBSTITUTE(REGEXEXTRACT(A4974, ""[^-]+- [^-]+- [^-]+ - (.+?)\.jpg""), "".jpg"", """"), ""-"", "", ""), """")"),"")</f>
        <v/>
      </c>
      <c r="L4974" s="12"/>
      <c r="M4974" s="13"/>
      <c r="N4974" s="2"/>
      <c r="O4974" s="20"/>
      <c r="P4974" s="42"/>
      <c r="R4974" s="23"/>
    </row>
    <row r="4975" spans="1:18" ht="12.75">
      <c r="A4975" s="12"/>
      <c r="D4975" s="12"/>
      <c r="E4975" s="12"/>
      <c r="H4975" s="11" t="str">
        <f ca="1">IFERROR(__xludf.DUMMYFUNCTION("IFERROR(SUBSTITUTE(SUBSTITUTE(REGEXEXTRACT(A4975, ""[^-]+- [^-]+- [^-]+ - (.+?)\.jpg""), "".jpg"", """"), ""-"", "", ""), """")"),"")</f>
        <v/>
      </c>
      <c r="L4975" s="12"/>
      <c r="M4975" s="13"/>
      <c r="N4975" s="2"/>
      <c r="O4975" s="20"/>
      <c r="P4975" s="42"/>
      <c r="R4975" s="23"/>
    </row>
    <row r="4976" spans="1:18" ht="12.75">
      <c r="A4976" s="12"/>
      <c r="D4976" s="12"/>
      <c r="E4976" s="12"/>
      <c r="H4976" s="11" t="str">
        <f ca="1">IFERROR(__xludf.DUMMYFUNCTION("IFERROR(SUBSTITUTE(SUBSTITUTE(REGEXEXTRACT(A4976, ""[^-]+- [^-]+- [^-]+ - (.+?)\.jpg""), "".jpg"", """"), ""-"", "", ""), """")"),"")</f>
        <v/>
      </c>
      <c r="L4976" s="12"/>
      <c r="M4976" s="13"/>
      <c r="N4976" s="2"/>
      <c r="O4976" s="20"/>
      <c r="P4976" s="42"/>
      <c r="R4976" s="23"/>
    </row>
    <row r="4977" spans="1:18" ht="12.75">
      <c r="A4977" s="12"/>
      <c r="D4977" s="12"/>
      <c r="E4977" s="12"/>
      <c r="H4977" s="11" t="str">
        <f ca="1">IFERROR(__xludf.DUMMYFUNCTION("IFERROR(SUBSTITUTE(SUBSTITUTE(REGEXEXTRACT(A4977, ""[^-]+- [^-]+- [^-]+ - (.+?)\.jpg""), "".jpg"", """"), ""-"", "", ""), """")"),"")</f>
        <v/>
      </c>
      <c r="L4977" s="12"/>
      <c r="M4977" s="13"/>
      <c r="N4977" s="2"/>
      <c r="O4977" s="20"/>
      <c r="P4977" s="42"/>
      <c r="R4977" s="23"/>
    </row>
    <row r="4978" spans="1:18" ht="12.75">
      <c r="A4978" s="12"/>
      <c r="D4978" s="12"/>
      <c r="E4978" s="12"/>
      <c r="H4978" s="11" t="str">
        <f ca="1">IFERROR(__xludf.DUMMYFUNCTION("IFERROR(SUBSTITUTE(SUBSTITUTE(REGEXEXTRACT(A4978, ""[^-]+- [^-]+- [^-]+ - (.+?)\.jpg""), "".jpg"", """"), ""-"", "", ""), """")"),"")</f>
        <v/>
      </c>
      <c r="L4978" s="12"/>
      <c r="M4978" s="13"/>
      <c r="N4978" s="2"/>
      <c r="O4978" s="20"/>
      <c r="P4978" s="42"/>
      <c r="R4978" s="23"/>
    </row>
    <row r="4979" spans="1:18" ht="12.75">
      <c r="A4979" s="12"/>
      <c r="D4979" s="12"/>
      <c r="E4979" s="12"/>
      <c r="H4979" s="11" t="str">
        <f ca="1">IFERROR(__xludf.DUMMYFUNCTION("IFERROR(SUBSTITUTE(SUBSTITUTE(REGEXEXTRACT(A4979, ""[^-]+- [^-]+- [^-]+ - (.+?)\.jpg""), "".jpg"", """"), ""-"", "", ""), """")"),"")</f>
        <v/>
      </c>
      <c r="L4979" s="12"/>
      <c r="M4979" s="13"/>
      <c r="N4979" s="2"/>
      <c r="O4979" s="20"/>
      <c r="P4979" s="42"/>
      <c r="R4979" s="23"/>
    </row>
    <row r="4980" spans="1:18" ht="12.75">
      <c r="A4980" s="12"/>
      <c r="D4980" s="12"/>
      <c r="E4980" s="12"/>
      <c r="H4980" s="11" t="str">
        <f ca="1">IFERROR(__xludf.DUMMYFUNCTION("IFERROR(SUBSTITUTE(SUBSTITUTE(REGEXEXTRACT(A4980, ""[^-]+- [^-]+- [^-]+ - (.+?)\.jpg""), "".jpg"", """"), ""-"", "", ""), """")"),"")</f>
        <v/>
      </c>
      <c r="L4980" s="12"/>
      <c r="M4980" s="13"/>
      <c r="N4980" s="2"/>
      <c r="O4980" s="20"/>
      <c r="P4980" s="42"/>
      <c r="R4980" s="23"/>
    </row>
    <row r="4981" spans="1:18" ht="12.75">
      <c r="A4981" s="12"/>
      <c r="D4981" s="12"/>
      <c r="E4981" s="12"/>
      <c r="H4981" s="11" t="str">
        <f ca="1">IFERROR(__xludf.DUMMYFUNCTION("IFERROR(SUBSTITUTE(SUBSTITUTE(REGEXEXTRACT(A4981, ""[^-]+- [^-]+- [^-]+ - (.+?)\.jpg""), "".jpg"", """"), ""-"", "", ""), """")"),"")</f>
        <v/>
      </c>
      <c r="L4981" s="12"/>
      <c r="M4981" s="13"/>
      <c r="N4981" s="2"/>
      <c r="O4981" s="20"/>
      <c r="P4981" s="42"/>
      <c r="R4981" s="23"/>
    </row>
    <row r="4982" spans="1:18" ht="12.75">
      <c r="A4982" s="12"/>
      <c r="D4982" s="12"/>
      <c r="E4982" s="12"/>
      <c r="H4982" s="11" t="str">
        <f ca="1">IFERROR(__xludf.DUMMYFUNCTION("IFERROR(SUBSTITUTE(SUBSTITUTE(REGEXEXTRACT(A4982, ""[^-]+- [^-]+- [^-]+ - (.+?)\.jpg""), "".jpg"", """"), ""-"", "", ""), """")"),"")</f>
        <v/>
      </c>
      <c r="L4982" s="12"/>
      <c r="M4982" s="13"/>
      <c r="N4982" s="2"/>
      <c r="O4982" s="20"/>
      <c r="P4982" s="42"/>
      <c r="R4982" s="23"/>
    </row>
    <row r="4983" spans="1:18" ht="12.75">
      <c r="A4983" s="12"/>
      <c r="D4983" s="12"/>
      <c r="E4983" s="12"/>
      <c r="H4983" s="11" t="str">
        <f ca="1">IFERROR(__xludf.DUMMYFUNCTION("IFERROR(SUBSTITUTE(SUBSTITUTE(REGEXEXTRACT(A4983, ""[^-]+- [^-]+- [^-]+ - (.+?)\.jpg""), "".jpg"", """"), ""-"", "", ""), """")"),"")</f>
        <v/>
      </c>
      <c r="L4983" s="12"/>
      <c r="M4983" s="13"/>
      <c r="N4983" s="2"/>
      <c r="O4983" s="20"/>
      <c r="P4983" s="42"/>
      <c r="R4983" s="23"/>
    </row>
    <row r="4984" spans="1:18" ht="12.75">
      <c r="A4984" s="12"/>
      <c r="D4984" s="12"/>
      <c r="E4984" s="12"/>
      <c r="H4984" s="11" t="str">
        <f ca="1">IFERROR(__xludf.DUMMYFUNCTION("IFERROR(SUBSTITUTE(SUBSTITUTE(REGEXEXTRACT(A4984, ""[^-]+- [^-]+- [^-]+ - (.+?)\.jpg""), "".jpg"", """"), ""-"", "", ""), """")"),"")</f>
        <v/>
      </c>
      <c r="L4984" s="12"/>
      <c r="M4984" s="13"/>
      <c r="N4984" s="2"/>
      <c r="O4984" s="20"/>
      <c r="P4984" s="42"/>
      <c r="R4984" s="23"/>
    </row>
    <row r="4985" spans="1:18" ht="12.75">
      <c r="A4985" s="12"/>
      <c r="D4985" s="12"/>
      <c r="E4985" s="12"/>
      <c r="H4985" s="11" t="str">
        <f ca="1">IFERROR(__xludf.DUMMYFUNCTION("IFERROR(SUBSTITUTE(SUBSTITUTE(REGEXEXTRACT(A4985, ""[^-]+- [^-]+- [^-]+ - (.+?)\.jpg""), "".jpg"", """"), ""-"", "", ""), """")"),"")</f>
        <v/>
      </c>
      <c r="L4985" s="12"/>
      <c r="M4985" s="13"/>
      <c r="N4985" s="2"/>
      <c r="O4985" s="20"/>
      <c r="P4985" s="42"/>
      <c r="R4985" s="23"/>
    </row>
    <row r="4986" spans="1:18" ht="12.75">
      <c r="A4986" s="12"/>
      <c r="D4986" s="12"/>
      <c r="E4986" s="12"/>
      <c r="H4986" s="11" t="str">
        <f ca="1">IFERROR(__xludf.DUMMYFUNCTION("IFERROR(SUBSTITUTE(SUBSTITUTE(REGEXEXTRACT(A4986, ""[^-]+- [^-]+- [^-]+ - (.+?)\.jpg""), "".jpg"", """"), ""-"", "", ""), """")"),"")</f>
        <v/>
      </c>
      <c r="L4986" s="12"/>
      <c r="M4986" s="13"/>
      <c r="N4986" s="2"/>
      <c r="O4986" s="20"/>
      <c r="P4986" s="42"/>
      <c r="R4986" s="23"/>
    </row>
    <row r="4987" spans="1:18" ht="12.75">
      <c r="A4987" s="12"/>
      <c r="D4987" s="12"/>
      <c r="E4987" s="12"/>
      <c r="H4987" s="11" t="str">
        <f ca="1">IFERROR(__xludf.DUMMYFUNCTION("IFERROR(SUBSTITUTE(SUBSTITUTE(REGEXEXTRACT(A4987, ""[^-]+- [^-]+- [^-]+ - (.+?)\.jpg""), "".jpg"", """"), ""-"", "", ""), """")"),"")</f>
        <v/>
      </c>
      <c r="L4987" s="12"/>
      <c r="M4987" s="13"/>
      <c r="N4987" s="2"/>
      <c r="O4987" s="20"/>
      <c r="P4987" s="42"/>
      <c r="R4987" s="23"/>
    </row>
    <row r="4988" spans="1:18" ht="12.75">
      <c r="A4988" s="12"/>
      <c r="D4988" s="12"/>
      <c r="E4988" s="12"/>
      <c r="H4988" s="11" t="str">
        <f ca="1">IFERROR(__xludf.DUMMYFUNCTION("IFERROR(SUBSTITUTE(SUBSTITUTE(REGEXEXTRACT(A4988, ""[^-]+- [^-]+- [^-]+ - (.+?)\.jpg""), "".jpg"", """"), ""-"", "", ""), """")"),"")</f>
        <v/>
      </c>
      <c r="L4988" s="12"/>
      <c r="M4988" s="13"/>
      <c r="N4988" s="2"/>
      <c r="O4988" s="20"/>
      <c r="P4988" s="42"/>
      <c r="R4988" s="23"/>
    </row>
    <row r="4989" spans="1:18" ht="12.75">
      <c r="A4989" s="12"/>
      <c r="D4989" s="12"/>
      <c r="E4989" s="12"/>
      <c r="H4989" s="11" t="str">
        <f ca="1">IFERROR(__xludf.DUMMYFUNCTION("IFERROR(SUBSTITUTE(SUBSTITUTE(REGEXEXTRACT(A4989, ""[^-]+- [^-]+- [^-]+ - (.+?)\.jpg""), "".jpg"", """"), ""-"", "", ""), """")"),"")</f>
        <v/>
      </c>
      <c r="L4989" s="12"/>
      <c r="M4989" s="13"/>
      <c r="N4989" s="2"/>
      <c r="O4989" s="20"/>
      <c r="P4989" s="42"/>
      <c r="R4989" s="23"/>
    </row>
    <row r="4990" spans="1:18" ht="12.75">
      <c r="A4990" s="12"/>
      <c r="D4990" s="12"/>
      <c r="E4990" s="12"/>
      <c r="H4990" s="11" t="str">
        <f ca="1">IFERROR(__xludf.DUMMYFUNCTION("IFERROR(SUBSTITUTE(SUBSTITUTE(REGEXEXTRACT(A4990, ""[^-]+- [^-]+- [^-]+ - (.+?)\.jpg""), "".jpg"", """"), ""-"", "", ""), """")"),"")</f>
        <v/>
      </c>
      <c r="L4990" s="12"/>
      <c r="M4990" s="13"/>
      <c r="N4990" s="2"/>
      <c r="O4990" s="20"/>
      <c r="P4990" s="42"/>
      <c r="R4990" s="23"/>
    </row>
    <row r="4991" spans="1:18" ht="12.75">
      <c r="A4991" s="12"/>
      <c r="D4991" s="12"/>
      <c r="E4991" s="12"/>
      <c r="H4991" s="11" t="str">
        <f ca="1">IFERROR(__xludf.DUMMYFUNCTION("IFERROR(SUBSTITUTE(SUBSTITUTE(REGEXEXTRACT(A4991, ""[^-]+- [^-]+- [^-]+ - (.+?)\.jpg""), "".jpg"", """"), ""-"", "", ""), """")"),"")</f>
        <v/>
      </c>
      <c r="L4991" s="12"/>
      <c r="M4991" s="13"/>
      <c r="N4991" s="2"/>
      <c r="O4991" s="20"/>
      <c r="P4991" s="42"/>
      <c r="R4991" s="23"/>
    </row>
    <row r="4992" spans="1:18" ht="12.75">
      <c r="A4992" s="12"/>
      <c r="D4992" s="12"/>
      <c r="E4992" s="12"/>
      <c r="H4992" s="11" t="str">
        <f ca="1">IFERROR(__xludf.DUMMYFUNCTION("IFERROR(SUBSTITUTE(SUBSTITUTE(REGEXEXTRACT(A4992, ""[^-]+- [^-]+- [^-]+ - (.+?)\.jpg""), "".jpg"", """"), ""-"", "", ""), """")"),"")</f>
        <v/>
      </c>
      <c r="L4992" s="12"/>
      <c r="M4992" s="13"/>
      <c r="N4992" s="2"/>
      <c r="O4992" s="20"/>
      <c r="P4992" s="42"/>
      <c r="R4992" s="23"/>
    </row>
    <row r="4993" spans="1:18" ht="12.75">
      <c r="A4993" s="12"/>
      <c r="D4993" s="12"/>
      <c r="E4993" s="12"/>
      <c r="H4993" s="11" t="str">
        <f ca="1">IFERROR(__xludf.DUMMYFUNCTION("IFERROR(SUBSTITUTE(SUBSTITUTE(REGEXEXTRACT(A4993, ""[^-]+- [^-]+- [^-]+ - (.+?)\.jpg""), "".jpg"", """"), ""-"", "", ""), """")"),"")</f>
        <v/>
      </c>
      <c r="L4993" s="12"/>
      <c r="M4993" s="13"/>
      <c r="N4993" s="2"/>
      <c r="O4993" s="20"/>
      <c r="P4993" s="42"/>
      <c r="R4993" s="23"/>
    </row>
    <row r="4994" spans="1:18" ht="12.75">
      <c r="A4994" s="12"/>
      <c r="D4994" s="12"/>
      <c r="E4994" s="12"/>
      <c r="H4994" s="11" t="str">
        <f ca="1">IFERROR(__xludf.DUMMYFUNCTION("IFERROR(SUBSTITUTE(SUBSTITUTE(REGEXEXTRACT(A4994, ""[^-]+- [^-]+- [^-]+ - (.+?)\.jpg""), "".jpg"", """"), ""-"", "", ""), """")"),"")</f>
        <v/>
      </c>
      <c r="L4994" s="12"/>
      <c r="M4994" s="13"/>
      <c r="N4994" s="2"/>
      <c r="O4994" s="20"/>
      <c r="P4994" s="42"/>
      <c r="R4994" s="23"/>
    </row>
    <row r="4995" spans="1:18" ht="12.75">
      <c r="A4995" s="12"/>
      <c r="D4995" s="12"/>
      <c r="E4995" s="12"/>
      <c r="H4995" s="11" t="str">
        <f ca="1">IFERROR(__xludf.DUMMYFUNCTION("IFERROR(SUBSTITUTE(SUBSTITUTE(REGEXEXTRACT(A4995, ""[^-]+- [^-]+- [^-]+ - (.+?)\.jpg""), "".jpg"", """"), ""-"", "", ""), """")"),"")</f>
        <v/>
      </c>
      <c r="L4995" s="12"/>
      <c r="M4995" s="13"/>
      <c r="N4995" s="2"/>
      <c r="O4995" s="20"/>
      <c r="P4995" s="42"/>
      <c r="R4995" s="23"/>
    </row>
    <row r="4996" spans="1:18" ht="12.75">
      <c r="A4996" s="12"/>
      <c r="D4996" s="12"/>
      <c r="E4996" s="12"/>
      <c r="H4996" s="11" t="str">
        <f ca="1">IFERROR(__xludf.DUMMYFUNCTION("IFERROR(SUBSTITUTE(SUBSTITUTE(REGEXEXTRACT(A4996, ""[^-]+- [^-]+- [^-]+ - (.+?)\.jpg""), "".jpg"", """"), ""-"", "", ""), """")"),"")</f>
        <v/>
      </c>
      <c r="L4996" s="12"/>
      <c r="M4996" s="13"/>
      <c r="N4996" s="2"/>
      <c r="O4996" s="20"/>
      <c r="P4996" s="42"/>
      <c r="R4996" s="23"/>
    </row>
    <row r="4997" spans="1:18" ht="12.75">
      <c r="A4997" s="12"/>
      <c r="D4997" s="12"/>
      <c r="E4997" s="12"/>
      <c r="H4997" s="11" t="str">
        <f ca="1">IFERROR(__xludf.DUMMYFUNCTION("IFERROR(SUBSTITUTE(SUBSTITUTE(REGEXEXTRACT(A4997, ""[^-]+- [^-]+- [^-]+ - (.+?)\.jpg""), "".jpg"", """"), ""-"", "", ""), """")"),"")</f>
        <v/>
      </c>
      <c r="L4997" s="12"/>
      <c r="M4997" s="13"/>
      <c r="N4997" s="2"/>
      <c r="O4997" s="20"/>
      <c r="P4997" s="42"/>
      <c r="R4997" s="23"/>
    </row>
    <row r="4998" spans="1:18" ht="12.75">
      <c r="A4998" s="12"/>
      <c r="D4998" s="12"/>
      <c r="E4998" s="12"/>
      <c r="H4998" s="11" t="str">
        <f ca="1">IFERROR(__xludf.DUMMYFUNCTION("IFERROR(SUBSTITUTE(SUBSTITUTE(REGEXEXTRACT(A4998, ""[^-]+- [^-]+- [^-]+ - (.+?)\.jpg""), "".jpg"", """"), ""-"", "", ""), """")"),"")</f>
        <v/>
      </c>
      <c r="L4998" s="12"/>
      <c r="M4998" s="13"/>
      <c r="N4998" s="2"/>
      <c r="O4998" s="20"/>
      <c r="P4998" s="42"/>
      <c r="R4998" s="23"/>
    </row>
    <row r="4999" spans="1:18" ht="12.75">
      <c r="A4999" s="12"/>
      <c r="D4999" s="12"/>
      <c r="E4999" s="12"/>
      <c r="H4999" s="11" t="str">
        <f ca="1">IFERROR(__xludf.DUMMYFUNCTION("IFERROR(SUBSTITUTE(SUBSTITUTE(REGEXEXTRACT(A4999, ""[^-]+- [^-]+- [^-]+ - (.+?)\.jpg""), "".jpg"", """"), ""-"", "", ""), """")"),"")</f>
        <v/>
      </c>
      <c r="L4999" s="12"/>
      <c r="M4999" s="13"/>
      <c r="N4999" s="2"/>
      <c r="O4999" s="20"/>
      <c r="P4999" s="42"/>
      <c r="R4999" s="23"/>
    </row>
    <row r="5000" spans="1:18" ht="12.75">
      <c r="A5000" s="12"/>
      <c r="D5000" s="12"/>
      <c r="E5000" s="12"/>
      <c r="H5000" s="11" t="str">
        <f ca="1">IFERROR(__xludf.DUMMYFUNCTION("IFERROR(SUBSTITUTE(SUBSTITUTE(REGEXEXTRACT(A5000, ""[^-]+- [^-]+- [^-]+ - (.+?)\.jpg""), "".jpg"", """"), ""-"", "", ""), """")"),"")</f>
        <v/>
      </c>
      <c r="L5000" s="12"/>
      <c r="M5000" s="13"/>
      <c r="N5000" s="2"/>
      <c r="O5000" s="20"/>
      <c r="P5000" s="42"/>
      <c r="R5000" s="23"/>
    </row>
    <row r="5001" spans="1:18" ht="12.75">
      <c r="A5001" s="12"/>
      <c r="D5001" s="12"/>
      <c r="E5001" s="12"/>
      <c r="H5001" s="11" t="str">
        <f ca="1">IFERROR(__xludf.DUMMYFUNCTION("IFERROR(SUBSTITUTE(SUBSTITUTE(REGEXEXTRACT(A5001, ""[^-]+- [^-]+- [^-]+ - (.+?)\.jpg""), "".jpg"", """"), ""-"", "", ""), """")"),"")</f>
        <v/>
      </c>
      <c r="L5001" s="12"/>
      <c r="M5001" s="13"/>
      <c r="N5001" s="2"/>
      <c r="O5001" s="20"/>
      <c r="P5001" s="42"/>
      <c r="R5001" s="23"/>
    </row>
    <row r="5002" spans="1:18" ht="12.75">
      <c r="A5002" s="12"/>
      <c r="D5002" s="12"/>
      <c r="E5002" s="12"/>
      <c r="H5002" s="11" t="str">
        <f ca="1">IFERROR(__xludf.DUMMYFUNCTION("IFERROR(SUBSTITUTE(SUBSTITUTE(REGEXEXTRACT(A5002, ""[^-]+- [^-]+- [^-]+ - (.+?)\.jpg""), "".jpg"", """"), ""-"", "", ""), """")"),"")</f>
        <v/>
      </c>
      <c r="L5002" s="12"/>
      <c r="M5002" s="13"/>
      <c r="N5002" s="2"/>
      <c r="O5002" s="20"/>
      <c r="P5002" s="42"/>
      <c r="R5002" s="23"/>
    </row>
    <row r="5003" spans="1:18" ht="12.75">
      <c r="A5003" s="12"/>
      <c r="D5003" s="12"/>
      <c r="E5003" s="12"/>
      <c r="H5003" s="11" t="str">
        <f ca="1">IFERROR(__xludf.DUMMYFUNCTION("IFERROR(SUBSTITUTE(SUBSTITUTE(REGEXEXTRACT(A5003, ""[^-]+- [^-]+- [^-]+ - (.+?)\.jpg""), "".jpg"", """"), ""-"", "", ""), """")"),"")</f>
        <v/>
      </c>
      <c r="L5003" s="12"/>
      <c r="M5003" s="13"/>
      <c r="N5003" s="2"/>
      <c r="O5003" s="20"/>
      <c r="P5003" s="42"/>
      <c r="R5003" s="23"/>
    </row>
    <row r="5004" spans="1:18" ht="12.75">
      <c r="A5004" s="12"/>
      <c r="D5004" s="12"/>
      <c r="E5004" s="12"/>
      <c r="H5004" s="11" t="str">
        <f ca="1">IFERROR(__xludf.DUMMYFUNCTION("IFERROR(SUBSTITUTE(SUBSTITUTE(REGEXEXTRACT(A5004, ""[^-]+- [^-]+- [^-]+ - (.+?)\.jpg""), "".jpg"", """"), ""-"", "", ""), """")"),"")</f>
        <v/>
      </c>
      <c r="L5004" s="12"/>
      <c r="M5004" s="13"/>
      <c r="N5004" s="2"/>
      <c r="O5004" s="20"/>
      <c r="P5004" s="42"/>
      <c r="R5004" s="23"/>
    </row>
    <row r="5005" spans="1:18" ht="12.75">
      <c r="A5005" s="12"/>
      <c r="D5005" s="12"/>
      <c r="E5005" s="12"/>
      <c r="H5005" s="11" t="str">
        <f ca="1">IFERROR(__xludf.DUMMYFUNCTION("IFERROR(SUBSTITUTE(SUBSTITUTE(REGEXEXTRACT(A5005, ""[^-]+- [^-]+- [^-]+ - (.+?)\.jpg""), "".jpg"", """"), ""-"", "", ""), """")"),"")</f>
        <v/>
      </c>
      <c r="L5005" s="12"/>
      <c r="M5005" s="13"/>
      <c r="N5005" s="2"/>
      <c r="O5005" s="20"/>
      <c r="P5005" s="42"/>
      <c r="R5005" s="23"/>
    </row>
    <row r="5006" spans="1:18" ht="12.75">
      <c r="A5006" s="12"/>
      <c r="D5006" s="12"/>
      <c r="E5006" s="12"/>
      <c r="H5006" s="11" t="str">
        <f ca="1">IFERROR(__xludf.DUMMYFUNCTION("IFERROR(SUBSTITUTE(SUBSTITUTE(REGEXEXTRACT(A5006, ""[^-]+- [^-]+- [^-]+ - (.+?)\.jpg""), "".jpg"", """"), ""-"", "", ""), """")"),"")</f>
        <v/>
      </c>
      <c r="L5006" s="12"/>
      <c r="M5006" s="13"/>
      <c r="N5006" s="2"/>
      <c r="O5006" s="20"/>
      <c r="P5006" s="42"/>
      <c r="R5006" s="23"/>
    </row>
    <row r="5007" spans="1:18" ht="12.75">
      <c r="A5007" s="12"/>
      <c r="D5007" s="12"/>
      <c r="E5007" s="12"/>
      <c r="H5007" s="11" t="str">
        <f ca="1">IFERROR(__xludf.DUMMYFUNCTION("IFERROR(SUBSTITUTE(SUBSTITUTE(REGEXEXTRACT(A5007, ""[^-]+- [^-]+- [^-]+ - (.+?)\.jpg""), "".jpg"", """"), ""-"", "", ""), """")"),"")</f>
        <v/>
      </c>
      <c r="L5007" s="12"/>
      <c r="M5007" s="13"/>
      <c r="N5007" s="2"/>
      <c r="O5007" s="20"/>
      <c r="P5007" s="42"/>
      <c r="R5007" s="23"/>
    </row>
    <row r="5008" spans="1:18" ht="12.75">
      <c r="A5008" s="12"/>
      <c r="D5008" s="12"/>
      <c r="E5008" s="12"/>
      <c r="H5008" s="11" t="str">
        <f ca="1">IFERROR(__xludf.DUMMYFUNCTION("IFERROR(SUBSTITUTE(SUBSTITUTE(REGEXEXTRACT(A5008, ""[^-]+- [^-]+- [^-]+ - (.+?)\.jpg""), "".jpg"", """"), ""-"", "", ""), """")"),"")</f>
        <v/>
      </c>
      <c r="L5008" s="12"/>
      <c r="M5008" s="13"/>
      <c r="N5008" s="2"/>
      <c r="O5008" s="20"/>
      <c r="P5008" s="42"/>
      <c r="R5008" s="23"/>
    </row>
    <row r="5009" spans="1:18" ht="12.75">
      <c r="A5009" s="12"/>
      <c r="D5009" s="12"/>
      <c r="E5009" s="12"/>
      <c r="H5009" s="11" t="str">
        <f ca="1">IFERROR(__xludf.DUMMYFUNCTION("IFERROR(SUBSTITUTE(SUBSTITUTE(REGEXEXTRACT(A5009, ""[^-]+- [^-]+- [^-]+ - (.+?)\.jpg""), "".jpg"", """"), ""-"", "", ""), """")"),"")</f>
        <v/>
      </c>
      <c r="L5009" s="12"/>
      <c r="M5009" s="13"/>
      <c r="N5009" s="2"/>
      <c r="O5009" s="20"/>
      <c r="P5009" s="42"/>
      <c r="R5009" s="23"/>
    </row>
    <row r="5010" spans="1:18" ht="12.75">
      <c r="A5010" s="12"/>
      <c r="D5010" s="12"/>
      <c r="E5010" s="12"/>
      <c r="H5010" s="11" t="str">
        <f ca="1">IFERROR(__xludf.DUMMYFUNCTION("IFERROR(SUBSTITUTE(SUBSTITUTE(REGEXEXTRACT(A5010, ""[^-]+- [^-]+- [^-]+ - (.+?)\.jpg""), "".jpg"", """"), ""-"", "", ""), """")"),"")</f>
        <v/>
      </c>
      <c r="L5010" s="12"/>
      <c r="M5010" s="13"/>
      <c r="N5010" s="2"/>
      <c r="O5010" s="20"/>
      <c r="P5010" s="42"/>
      <c r="R5010" s="23"/>
    </row>
    <row r="5011" spans="1:18" ht="12.75">
      <c r="A5011" s="12"/>
      <c r="D5011" s="12"/>
      <c r="E5011" s="12"/>
      <c r="H5011" s="11" t="str">
        <f ca="1">IFERROR(__xludf.DUMMYFUNCTION("IFERROR(SUBSTITUTE(SUBSTITUTE(REGEXEXTRACT(A5011, ""[^-]+- [^-]+- [^-]+ - (.+?)\.jpg""), "".jpg"", """"), ""-"", "", ""), """")"),"")</f>
        <v/>
      </c>
      <c r="L5011" s="12"/>
      <c r="M5011" s="13"/>
      <c r="N5011" s="2"/>
      <c r="O5011" s="20"/>
      <c r="P5011" s="42"/>
      <c r="R5011" s="23"/>
    </row>
    <row r="5012" spans="1:18" ht="12.75">
      <c r="A5012" s="12"/>
      <c r="D5012" s="12"/>
      <c r="E5012" s="12"/>
      <c r="H5012" s="11" t="str">
        <f ca="1">IFERROR(__xludf.DUMMYFUNCTION("IFERROR(SUBSTITUTE(SUBSTITUTE(REGEXEXTRACT(A5012, ""[^-]+- [^-]+- [^-]+ - (.+?)\.jpg""), "".jpg"", """"), ""-"", "", ""), """")"),"")</f>
        <v/>
      </c>
      <c r="L5012" s="12"/>
      <c r="M5012" s="13"/>
      <c r="N5012" s="2"/>
      <c r="O5012" s="20"/>
      <c r="P5012" s="42"/>
      <c r="R5012" s="23"/>
    </row>
    <row r="5013" spans="1:18" ht="12.75">
      <c r="A5013" s="12"/>
      <c r="D5013" s="12"/>
      <c r="E5013" s="12"/>
      <c r="H5013" s="11" t="str">
        <f ca="1">IFERROR(__xludf.DUMMYFUNCTION("IFERROR(SUBSTITUTE(SUBSTITUTE(REGEXEXTRACT(A5013, ""[^-]+- [^-]+- [^-]+ - (.+?)\.jpg""), "".jpg"", """"), ""-"", "", ""), """")"),"")</f>
        <v/>
      </c>
      <c r="L5013" s="12"/>
      <c r="M5013" s="13"/>
      <c r="N5013" s="2"/>
      <c r="O5013" s="20"/>
      <c r="P5013" s="42"/>
      <c r="R5013" s="23"/>
    </row>
    <row r="5014" spans="1:18" ht="12.75">
      <c r="A5014" s="12"/>
      <c r="D5014" s="12"/>
      <c r="E5014" s="12"/>
      <c r="H5014" s="11" t="str">
        <f ca="1">IFERROR(__xludf.DUMMYFUNCTION("IFERROR(SUBSTITUTE(SUBSTITUTE(REGEXEXTRACT(A5014, ""[^-]+- [^-]+- [^-]+ - (.+?)\.jpg""), "".jpg"", """"), ""-"", "", ""), """")"),"")</f>
        <v/>
      </c>
      <c r="L5014" s="12"/>
      <c r="M5014" s="13"/>
      <c r="N5014" s="2"/>
      <c r="O5014" s="20"/>
      <c r="P5014" s="42"/>
      <c r="R5014" s="23"/>
    </row>
    <row r="5015" spans="1:18" ht="12.75">
      <c r="A5015" s="12"/>
      <c r="D5015" s="12"/>
      <c r="E5015" s="12"/>
      <c r="H5015" s="11" t="str">
        <f ca="1">IFERROR(__xludf.DUMMYFUNCTION("IFERROR(SUBSTITUTE(SUBSTITUTE(REGEXEXTRACT(A5015, ""[^-]+- [^-]+- [^-]+ - (.+?)\.jpg""), "".jpg"", """"), ""-"", "", ""), """")"),"")</f>
        <v/>
      </c>
      <c r="L5015" s="12"/>
      <c r="M5015" s="13"/>
      <c r="N5015" s="2"/>
      <c r="O5015" s="20"/>
      <c r="P5015" s="42"/>
      <c r="R5015" s="23"/>
    </row>
    <row r="5016" spans="1:18" ht="12.75">
      <c r="A5016" s="12"/>
      <c r="D5016" s="12"/>
      <c r="E5016" s="12"/>
      <c r="H5016" s="11" t="str">
        <f ca="1">IFERROR(__xludf.DUMMYFUNCTION("IFERROR(SUBSTITUTE(SUBSTITUTE(REGEXEXTRACT(A5016, ""[^-]+- [^-]+- [^-]+ - (.+?)\.jpg""), "".jpg"", """"), ""-"", "", ""), """")"),"")</f>
        <v/>
      </c>
      <c r="L5016" s="12"/>
      <c r="M5016" s="13"/>
      <c r="N5016" s="2"/>
      <c r="O5016" s="20"/>
      <c r="P5016" s="42"/>
      <c r="R5016" s="23"/>
    </row>
    <row r="5017" spans="1:18" ht="12.75">
      <c r="A5017" s="12"/>
      <c r="D5017" s="12"/>
      <c r="E5017" s="12"/>
      <c r="H5017" s="11" t="str">
        <f ca="1">IFERROR(__xludf.DUMMYFUNCTION("IFERROR(SUBSTITUTE(SUBSTITUTE(REGEXEXTRACT(A5017, ""[^-]+- [^-]+- [^-]+ - (.+?)\.jpg""), "".jpg"", """"), ""-"", "", ""), """")"),"")</f>
        <v/>
      </c>
      <c r="L5017" s="12"/>
      <c r="M5017" s="13"/>
      <c r="N5017" s="2"/>
      <c r="O5017" s="20"/>
      <c r="P5017" s="42"/>
      <c r="R5017" s="23"/>
    </row>
    <row r="5018" spans="1:18" ht="12.75">
      <c r="A5018" s="12"/>
      <c r="D5018" s="12"/>
      <c r="E5018" s="12"/>
      <c r="H5018" s="11" t="str">
        <f ca="1">IFERROR(__xludf.DUMMYFUNCTION("IFERROR(SUBSTITUTE(SUBSTITUTE(REGEXEXTRACT(A5018, ""[^-]+- [^-]+- [^-]+ - (.+?)\.jpg""), "".jpg"", """"), ""-"", "", ""), """")"),"")</f>
        <v/>
      </c>
      <c r="L5018" s="12"/>
      <c r="M5018" s="13"/>
      <c r="N5018" s="2"/>
      <c r="O5018" s="20"/>
      <c r="P5018" s="42"/>
      <c r="R5018" s="23"/>
    </row>
    <row r="5019" spans="1:18" ht="12.75">
      <c r="A5019" s="12"/>
      <c r="D5019" s="12"/>
      <c r="E5019" s="12"/>
      <c r="H5019" s="11" t="str">
        <f ca="1">IFERROR(__xludf.DUMMYFUNCTION("IFERROR(SUBSTITUTE(SUBSTITUTE(REGEXEXTRACT(A5019, ""[^-]+- [^-]+- [^-]+ - (.+?)\.jpg""), "".jpg"", """"), ""-"", "", ""), """")"),"")</f>
        <v/>
      </c>
      <c r="L5019" s="12"/>
      <c r="M5019" s="13"/>
      <c r="N5019" s="2"/>
      <c r="O5019" s="20"/>
      <c r="P5019" s="42"/>
      <c r="R5019" s="23"/>
    </row>
    <row r="5020" spans="1:18" ht="12.75">
      <c r="A5020" s="12"/>
      <c r="D5020" s="12"/>
      <c r="E5020" s="12"/>
      <c r="H5020" s="11" t="str">
        <f ca="1">IFERROR(__xludf.DUMMYFUNCTION("IFERROR(SUBSTITUTE(SUBSTITUTE(REGEXEXTRACT(A5020, ""[^-]+- [^-]+- [^-]+ - (.+?)\.jpg""), "".jpg"", """"), ""-"", "", ""), """")"),"")</f>
        <v/>
      </c>
      <c r="L5020" s="12"/>
      <c r="M5020" s="13"/>
      <c r="N5020" s="2"/>
      <c r="O5020" s="20"/>
      <c r="P5020" s="42"/>
      <c r="R5020" s="23"/>
    </row>
    <row r="5021" spans="1:18" ht="12.75">
      <c r="A5021" s="12"/>
      <c r="D5021" s="12"/>
      <c r="E5021" s="12"/>
      <c r="H5021" s="11" t="str">
        <f ca="1">IFERROR(__xludf.DUMMYFUNCTION("IFERROR(SUBSTITUTE(SUBSTITUTE(REGEXEXTRACT(A5021, ""[^-]+- [^-]+- [^-]+ - (.+?)\.jpg""), "".jpg"", """"), ""-"", "", ""), """")"),"")</f>
        <v/>
      </c>
      <c r="L5021" s="12"/>
      <c r="M5021" s="13"/>
      <c r="N5021" s="2"/>
      <c r="O5021" s="20"/>
      <c r="P5021" s="42"/>
      <c r="R5021" s="23"/>
    </row>
    <row r="5022" spans="1:18" ht="12.75">
      <c r="A5022" s="12"/>
      <c r="D5022" s="12"/>
      <c r="E5022" s="12"/>
      <c r="H5022" s="11" t="str">
        <f ca="1">IFERROR(__xludf.DUMMYFUNCTION("IFERROR(SUBSTITUTE(SUBSTITUTE(REGEXEXTRACT(A5022, ""[^-]+- [^-]+- [^-]+ - (.+?)\.jpg""), "".jpg"", """"), ""-"", "", ""), """")"),"")</f>
        <v/>
      </c>
      <c r="L5022" s="12"/>
      <c r="M5022" s="13"/>
      <c r="N5022" s="2"/>
      <c r="O5022" s="20"/>
      <c r="P5022" s="42"/>
      <c r="R5022" s="23"/>
    </row>
    <row r="5023" spans="1:18" ht="12.75">
      <c r="A5023" s="12"/>
      <c r="D5023" s="12"/>
      <c r="E5023" s="12"/>
      <c r="H5023" s="11" t="str">
        <f ca="1">IFERROR(__xludf.DUMMYFUNCTION("IFERROR(SUBSTITUTE(SUBSTITUTE(REGEXEXTRACT(A5023, ""[^-]+- [^-]+- [^-]+ - (.+?)\.jpg""), "".jpg"", """"), ""-"", "", ""), """")"),"")</f>
        <v/>
      </c>
      <c r="L5023" s="12"/>
      <c r="M5023" s="13"/>
      <c r="N5023" s="2"/>
      <c r="O5023" s="20"/>
      <c r="P5023" s="42"/>
      <c r="R5023" s="23"/>
    </row>
    <row r="5024" spans="1:18" ht="12.75">
      <c r="A5024" s="12"/>
      <c r="D5024" s="12"/>
      <c r="E5024" s="12"/>
      <c r="H5024" s="11" t="str">
        <f ca="1">IFERROR(__xludf.DUMMYFUNCTION("IFERROR(SUBSTITUTE(SUBSTITUTE(REGEXEXTRACT(A5024, ""[^-]+- [^-]+- [^-]+ - (.+?)\.jpg""), "".jpg"", """"), ""-"", "", ""), """")"),"")</f>
        <v/>
      </c>
      <c r="L5024" s="12"/>
      <c r="M5024" s="13"/>
      <c r="N5024" s="2"/>
      <c r="O5024" s="20"/>
      <c r="P5024" s="42"/>
      <c r="R5024" s="23"/>
    </row>
    <row r="5025" spans="1:18" ht="12.75">
      <c r="A5025" s="12"/>
      <c r="D5025" s="12"/>
      <c r="E5025" s="12"/>
      <c r="H5025" s="11" t="str">
        <f ca="1">IFERROR(__xludf.DUMMYFUNCTION("IFERROR(SUBSTITUTE(SUBSTITUTE(REGEXEXTRACT(A5025, ""[^-]+- [^-]+- [^-]+ - (.+?)\.jpg""), "".jpg"", """"), ""-"", "", ""), """")"),"")</f>
        <v/>
      </c>
      <c r="L5025" s="12"/>
      <c r="M5025" s="13"/>
      <c r="N5025" s="2"/>
      <c r="O5025" s="20"/>
      <c r="P5025" s="42"/>
      <c r="R5025" s="23"/>
    </row>
    <row r="5026" spans="1:18" ht="12.75">
      <c r="A5026" s="12"/>
      <c r="D5026" s="12"/>
      <c r="E5026" s="12"/>
      <c r="H5026" s="11" t="str">
        <f ca="1">IFERROR(__xludf.DUMMYFUNCTION("IFERROR(SUBSTITUTE(SUBSTITUTE(REGEXEXTRACT(A5026, ""[^-]+- [^-]+- [^-]+ - (.+?)\.jpg""), "".jpg"", """"), ""-"", "", ""), """")"),"")</f>
        <v/>
      </c>
      <c r="L5026" s="12"/>
      <c r="M5026" s="13"/>
      <c r="N5026" s="2"/>
      <c r="O5026" s="20"/>
      <c r="P5026" s="42"/>
      <c r="R5026" s="23"/>
    </row>
    <row r="5027" spans="1:18" ht="12.75">
      <c r="A5027" s="12"/>
      <c r="D5027" s="12"/>
      <c r="E5027" s="12"/>
      <c r="H5027" s="11" t="str">
        <f ca="1">IFERROR(__xludf.DUMMYFUNCTION("IFERROR(SUBSTITUTE(SUBSTITUTE(REGEXEXTRACT(A5027, ""[^-]+- [^-]+- [^-]+ - (.+?)\.jpg""), "".jpg"", """"), ""-"", "", ""), """")"),"")</f>
        <v/>
      </c>
      <c r="L5027" s="12"/>
      <c r="M5027" s="13"/>
      <c r="N5027" s="2"/>
      <c r="O5027" s="20"/>
      <c r="P5027" s="42"/>
      <c r="R5027" s="23"/>
    </row>
    <row r="5028" spans="1:18" ht="12.75">
      <c r="A5028" s="12"/>
      <c r="D5028" s="12"/>
      <c r="E5028" s="12"/>
      <c r="H5028" s="11" t="str">
        <f ca="1">IFERROR(__xludf.DUMMYFUNCTION("IFERROR(SUBSTITUTE(SUBSTITUTE(REGEXEXTRACT(A5028, ""[^-]+- [^-]+- [^-]+ - (.+?)\.jpg""), "".jpg"", """"), ""-"", "", ""), """")"),"")</f>
        <v/>
      </c>
      <c r="L5028" s="12"/>
      <c r="M5028" s="13"/>
      <c r="N5028" s="2"/>
      <c r="O5028" s="20"/>
      <c r="P5028" s="42"/>
      <c r="R5028" s="23"/>
    </row>
    <row r="5029" spans="1:18" ht="12.75">
      <c r="A5029" s="12"/>
      <c r="D5029" s="12"/>
      <c r="E5029" s="12"/>
      <c r="H5029" s="11" t="str">
        <f ca="1">IFERROR(__xludf.DUMMYFUNCTION("IFERROR(SUBSTITUTE(SUBSTITUTE(REGEXEXTRACT(A5029, ""[^-]+- [^-]+- [^-]+ - (.+?)\.jpg""), "".jpg"", """"), ""-"", "", ""), """")"),"")</f>
        <v/>
      </c>
      <c r="L5029" s="12"/>
      <c r="M5029" s="13"/>
      <c r="N5029" s="2"/>
      <c r="O5029" s="20"/>
      <c r="P5029" s="42"/>
      <c r="R5029" s="23"/>
    </row>
    <row r="5030" spans="1:18" ht="12.75">
      <c r="A5030" s="12"/>
      <c r="D5030" s="12"/>
      <c r="E5030" s="12"/>
      <c r="H5030" s="11" t="str">
        <f ca="1">IFERROR(__xludf.DUMMYFUNCTION("IFERROR(SUBSTITUTE(SUBSTITUTE(REGEXEXTRACT(A5030, ""[^-]+- [^-]+- [^-]+ - (.+?)\.jpg""), "".jpg"", """"), ""-"", "", ""), """")"),"")</f>
        <v/>
      </c>
      <c r="L5030" s="12"/>
      <c r="M5030" s="13"/>
      <c r="N5030" s="2"/>
      <c r="O5030" s="20"/>
      <c r="P5030" s="42"/>
      <c r="R5030" s="23"/>
    </row>
    <row r="5031" spans="1:18" ht="12.75">
      <c r="A5031" s="12"/>
      <c r="D5031" s="12"/>
      <c r="E5031" s="12"/>
      <c r="H5031" s="11" t="str">
        <f ca="1">IFERROR(__xludf.DUMMYFUNCTION("IFERROR(SUBSTITUTE(SUBSTITUTE(REGEXEXTRACT(A5031, ""[^-]+- [^-]+- [^-]+ - (.+?)\.jpg""), "".jpg"", """"), ""-"", "", ""), """")"),"")</f>
        <v/>
      </c>
      <c r="L5031" s="12"/>
      <c r="M5031" s="13"/>
      <c r="N5031" s="2"/>
      <c r="O5031" s="20"/>
      <c r="P5031" s="42"/>
      <c r="R5031" s="23"/>
    </row>
    <row r="5032" spans="1:18" ht="12.75">
      <c r="A5032" s="12"/>
      <c r="D5032" s="12"/>
      <c r="E5032" s="12"/>
      <c r="H5032" s="11" t="str">
        <f ca="1">IFERROR(__xludf.DUMMYFUNCTION("IFERROR(SUBSTITUTE(SUBSTITUTE(REGEXEXTRACT(A5032, ""[^-]+- [^-]+- [^-]+ - (.+?)\.jpg""), "".jpg"", """"), ""-"", "", ""), """")"),"")</f>
        <v/>
      </c>
      <c r="L5032" s="12"/>
      <c r="M5032" s="13"/>
      <c r="N5032" s="2"/>
      <c r="O5032" s="20"/>
      <c r="P5032" s="42"/>
      <c r="R5032" s="23"/>
    </row>
    <row r="5033" spans="1:18" ht="12.75">
      <c r="A5033" s="12"/>
      <c r="D5033" s="12"/>
      <c r="E5033" s="12"/>
      <c r="H5033" s="11" t="str">
        <f ca="1">IFERROR(__xludf.DUMMYFUNCTION("IFERROR(SUBSTITUTE(SUBSTITUTE(REGEXEXTRACT(A5033, ""[^-]+- [^-]+- [^-]+ - (.+?)\.jpg""), "".jpg"", """"), ""-"", "", ""), """")"),"")</f>
        <v/>
      </c>
      <c r="L5033" s="12"/>
      <c r="M5033" s="13"/>
      <c r="N5033" s="2"/>
      <c r="O5033" s="20"/>
      <c r="P5033" s="42"/>
      <c r="R5033" s="23"/>
    </row>
    <row r="5034" spans="1:18" ht="12.75">
      <c r="A5034" s="12"/>
      <c r="D5034" s="12"/>
      <c r="E5034" s="12"/>
      <c r="H5034" s="11" t="str">
        <f ca="1">IFERROR(__xludf.DUMMYFUNCTION("IFERROR(SUBSTITUTE(SUBSTITUTE(REGEXEXTRACT(A5034, ""[^-]+- [^-]+- [^-]+ - (.+?)\.jpg""), "".jpg"", """"), ""-"", "", ""), """")"),"")</f>
        <v/>
      </c>
      <c r="L5034" s="12"/>
      <c r="M5034" s="13"/>
      <c r="N5034" s="2"/>
      <c r="O5034" s="20"/>
      <c r="P5034" s="42"/>
      <c r="R5034" s="23"/>
    </row>
    <row r="5035" spans="1:18" ht="12.75">
      <c r="A5035" s="12"/>
      <c r="D5035" s="12"/>
      <c r="E5035" s="12"/>
      <c r="H5035" s="11" t="str">
        <f ca="1">IFERROR(__xludf.DUMMYFUNCTION("IFERROR(SUBSTITUTE(SUBSTITUTE(REGEXEXTRACT(A5035, ""[^-]+- [^-]+- [^-]+ - (.+?)\.jpg""), "".jpg"", """"), ""-"", "", ""), """")"),"")</f>
        <v/>
      </c>
      <c r="L5035" s="12"/>
      <c r="M5035" s="13"/>
      <c r="N5035" s="2"/>
      <c r="O5035" s="20"/>
      <c r="P5035" s="42"/>
      <c r="R5035" s="23"/>
    </row>
    <row r="5036" spans="1:18" ht="12.75">
      <c r="A5036" s="12"/>
      <c r="D5036" s="12"/>
      <c r="E5036" s="12"/>
      <c r="H5036" s="11" t="str">
        <f ca="1">IFERROR(__xludf.DUMMYFUNCTION("IFERROR(SUBSTITUTE(SUBSTITUTE(REGEXEXTRACT(A5036, ""[^-]+- [^-]+- [^-]+ - (.+?)\.jpg""), "".jpg"", """"), ""-"", "", ""), """")"),"")</f>
        <v/>
      </c>
      <c r="L5036" s="12"/>
      <c r="M5036" s="13"/>
      <c r="N5036" s="2"/>
      <c r="O5036" s="20"/>
      <c r="P5036" s="42"/>
      <c r="R5036" s="23"/>
    </row>
    <row r="5037" spans="1:18" ht="12.75">
      <c r="A5037" s="12"/>
      <c r="D5037" s="12"/>
      <c r="E5037" s="12"/>
      <c r="H5037" s="11" t="str">
        <f ca="1">IFERROR(__xludf.DUMMYFUNCTION("IFERROR(SUBSTITUTE(SUBSTITUTE(REGEXEXTRACT(A5037, ""[^-]+- [^-]+- [^-]+ - (.+?)\.jpg""), "".jpg"", """"), ""-"", "", ""), """")"),"")</f>
        <v/>
      </c>
      <c r="L5037" s="12"/>
      <c r="M5037" s="13"/>
      <c r="N5037" s="2"/>
      <c r="O5037" s="20"/>
      <c r="P5037" s="42"/>
      <c r="R5037" s="23"/>
    </row>
    <row r="5038" spans="1:18" ht="12.75">
      <c r="A5038" s="12"/>
      <c r="D5038" s="12"/>
      <c r="E5038" s="12"/>
      <c r="H5038" s="11" t="str">
        <f ca="1">IFERROR(__xludf.DUMMYFUNCTION("IFERROR(SUBSTITUTE(SUBSTITUTE(REGEXEXTRACT(A5038, ""[^-]+- [^-]+- [^-]+ - (.+?)\.jpg""), "".jpg"", """"), ""-"", "", ""), """")"),"")</f>
        <v/>
      </c>
      <c r="L5038" s="12"/>
      <c r="M5038" s="13"/>
      <c r="N5038" s="2"/>
      <c r="O5038" s="20"/>
      <c r="P5038" s="42"/>
      <c r="R5038" s="23"/>
    </row>
    <row r="5039" spans="1:18" ht="12.75">
      <c r="A5039" s="12"/>
      <c r="D5039" s="12"/>
      <c r="E5039" s="12"/>
      <c r="H5039" s="11" t="str">
        <f ca="1">IFERROR(__xludf.DUMMYFUNCTION("IFERROR(SUBSTITUTE(SUBSTITUTE(REGEXEXTRACT(A5039, ""[^-]+- [^-]+- [^-]+ - (.+?)\.jpg""), "".jpg"", """"), ""-"", "", ""), """")"),"")</f>
        <v/>
      </c>
      <c r="L5039" s="12"/>
      <c r="M5039" s="13"/>
      <c r="N5039" s="2"/>
      <c r="O5039" s="20"/>
      <c r="P5039" s="42"/>
      <c r="R5039" s="23"/>
    </row>
    <row r="5040" spans="1:18" ht="12.75">
      <c r="A5040" s="12"/>
      <c r="D5040" s="12"/>
      <c r="E5040" s="12"/>
      <c r="H5040" s="11" t="str">
        <f ca="1">IFERROR(__xludf.DUMMYFUNCTION("IFERROR(SUBSTITUTE(SUBSTITUTE(REGEXEXTRACT(A5040, ""[^-]+- [^-]+- [^-]+ - (.+?)\.jpg""), "".jpg"", """"), ""-"", "", ""), """")"),"")</f>
        <v/>
      </c>
      <c r="L5040" s="12"/>
      <c r="M5040" s="13"/>
      <c r="N5040" s="2"/>
      <c r="O5040" s="20"/>
      <c r="P5040" s="42"/>
      <c r="R5040" s="23"/>
    </row>
    <row r="5041" spans="1:18" ht="12.75">
      <c r="A5041" s="12"/>
      <c r="D5041" s="12"/>
      <c r="E5041" s="12"/>
      <c r="H5041" s="11" t="str">
        <f ca="1">IFERROR(__xludf.DUMMYFUNCTION("IFERROR(SUBSTITUTE(SUBSTITUTE(REGEXEXTRACT(A5041, ""[^-]+- [^-]+- [^-]+ - (.+?)\.jpg""), "".jpg"", """"), ""-"", "", ""), """")"),"")</f>
        <v/>
      </c>
      <c r="L5041" s="12"/>
      <c r="M5041" s="13"/>
      <c r="N5041" s="2"/>
      <c r="O5041" s="20"/>
      <c r="P5041" s="42"/>
      <c r="R5041" s="23"/>
    </row>
    <row r="5042" spans="1:18" ht="12.75">
      <c r="A5042" s="12"/>
      <c r="D5042" s="12"/>
      <c r="E5042" s="12"/>
      <c r="H5042" s="11" t="str">
        <f ca="1">IFERROR(__xludf.DUMMYFUNCTION("IFERROR(SUBSTITUTE(SUBSTITUTE(REGEXEXTRACT(A5042, ""[^-]+- [^-]+- [^-]+ - (.+?)\.jpg""), "".jpg"", """"), ""-"", "", ""), """")"),"")</f>
        <v/>
      </c>
      <c r="L5042" s="12"/>
      <c r="M5042" s="13"/>
      <c r="N5042" s="2"/>
      <c r="O5042" s="20"/>
      <c r="P5042" s="42"/>
      <c r="R5042" s="23"/>
    </row>
    <row r="5043" spans="1:18" ht="12.75">
      <c r="A5043" s="12"/>
      <c r="D5043" s="12"/>
      <c r="E5043" s="12"/>
      <c r="H5043" s="11" t="str">
        <f ca="1">IFERROR(__xludf.DUMMYFUNCTION("IFERROR(SUBSTITUTE(SUBSTITUTE(REGEXEXTRACT(A5043, ""[^-]+- [^-]+- [^-]+ - (.+?)\.jpg""), "".jpg"", """"), ""-"", "", ""), """")"),"")</f>
        <v/>
      </c>
      <c r="L5043" s="12"/>
      <c r="M5043" s="13"/>
      <c r="N5043" s="2"/>
      <c r="O5043" s="20"/>
      <c r="P5043" s="42"/>
      <c r="R5043" s="23"/>
    </row>
    <row r="5044" spans="1:18" ht="12.75">
      <c r="A5044" s="12"/>
      <c r="D5044" s="12"/>
      <c r="E5044" s="12"/>
      <c r="H5044" s="11" t="str">
        <f ca="1">IFERROR(__xludf.DUMMYFUNCTION("IFERROR(SUBSTITUTE(SUBSTITUTE(REGEXEXTRACT(A5044, ""[^-]+- [^-]+- [^-]+ - (.+?)\.jpg""), "".jpg"", """"), ""-"", "", ""), """")"),"")</f>
        <v/>
      </c>
      <c r="L5044" s="12"/>
      <c r="M5044" s="13"/>
      <c r="N5044" s="2"/>
      <c r="O5044" s="20"/>
      <c r="P5044" s="42"/>
      <c r="R5044" s="23"/>
    </row>
    <row r="5045" spans="1:18" ht="12.75">
      <c r="A5045" s="12"/>
      <c r="D5045" s="12"/>
      <c r="E5045" s="12"/>
      <c r="H5045" s="11" t="str">
        <f ca="1">IFERROR(__xludf.DUMMYFUNCTION("IFERROR(SUBSTITUTE(SUBSTITUTE(REGEXEXTRACT(A5045, ""[^-]+- [^-]+- [^-]+ - (.+?)\.jpg""), "".jpg"", """"), ""-"", "", ""), """")"),"")</f>
        <v/>
      </c>
      <c r="L5045" s="12"/>
      <c r="M5045" s="13"/>
      <c r="N5045" s="2"/>
      <c r="O5045" s="20"/>
      <c r="P5045" s="42"/>
      <c r="R5045" s="23"/>
    </row>
    <row r="5046" spans="1:18" ht="12.75">
      <c r="A5046" s="12"/>
      <c r="D5046" s="12"/>
      <c r="E5046" s="12"/>
      <c r="H5046" s="11" t="str">
        <f ca="1">IFERROR(__xludf.DUMMYFUNCTION("IFERROR(SUBSTITUTE(SUBSTITUTE(REGEXEXTRACT(A5046, ""[^-]+- [^-]+- [^-]+ - (.+?)\.jpg""), "".jpg"", """"), ""-"", "", ""), """")"),"")</f>
        <v/>
      </c>
      <c r="L5046" s="12"/>
      <c r="M5046" s="13"/>
      <c r="N5046" s="2"/>
      <c r="O5046" s="20"/>
      <c r="P5046" s="42"/>
      <c r="R5046" s="23"/>
    </row>
    <row r="5047" spans="1:18" ht="12.75">
      <c r="A5047" s="12"/>
      <c r="D5047" s="12"/>
      <c r="E5047" s="12"/>
      <c r="H5047" s="11" t="str">
        <f ca="1">IFERROR(__xludf.DUMMYFUNCTION("IFERROR(SUBSTITUTE(SUBSTITUTE(REGEXEXTRACT(A5047, ""[^-]+- [^-]+- [^-]+ - (.+?)\.jpg""), "".jpg"", """"), ""-"", "", ""), """")"),"")</f>
        <v/>
      </c>
      <c r="L5047" s="12"/>
      <c r="M5047" s="13"/>
      <c r="N5047" s="2"/>
      <c r="O5047" s="20"/>
      <c r="P5047" s="42"/>
      <c r="R5047" s="23"/>
    </row>
    <row r="5048" spans="1:18" ht="12.75">
      <c r="A5048" s="12"/>
      <c r="D5048" s="12"/>
      <c r="E5048" s="12"/>
      <c r="H5048" s="11" t="str">
        <f ca="1">IFERROR(__xludf.DUMMYFUNCTION("IFERROR(SUBSTITUTE(SUBSTITUTE(REGEXEXTRACT(A5048, ""[^-]+- [^-]+- [^-]+ - (.+?)\.jpg""), "".jpg"", """"), ""-"", "", ""), """")"),"")</f>
        <v/>
      </c>
      <c r="L5048" s="12"/>
      <c r="M5048" s="13"/>
      <c r="N5048" s="2"/>
      <c r="O5048" s="20"/>
      <c r="P5048" s="42"/>
      <c r="R5048" s="23"/>
    </row>
    <row r="5049" spans="1:18" ht="12.75">
      <c r="A5049" s="12"/>
      <c r="D5049" s="12"/>
      <c r="E5049" s="12"/>
      <c r="H5049" s="11" t="str">
        <f ca="1">IFERROR(__xludf.DUMMYFUNCTION("IFERROR(SUBSTITUTE(SUBSTITUTE(REGEXEXTRACT(A5049, ""[^-]+- [^-]+- [^-]+ - (.+?)\.jpg""), "".jpg"", """"), ""-"", "", ""), """")"),"")</f>
        <v/>
      </c>
      <c r="L5049" s="12"/>
      <c r="M5049" s="13"/>
      <c r="N5049" s="2"/>
      <c r="O5049" s="20"/>
      <c r="P5049" s="42"/>
      <c r="R5049" s="23"/>
    </row>
    <row r="5050" spans="1:18" ht="12.75">
      <c r="A5050" s="12"/>
      <c r="D5050" s="12"/>
      <c r="E5050" s="12"/>
      <c r="H5050" s="11" t="str">
        <f ca="1">IFERROR(__xludf.DUMMYFUNCTION("IFERROR(SUBSTITUTE(SUBSTITUTE(REGEXEXTRACT(A5050, ""[^-]+- [^-]+- [^-]+ - (.+?)\.jpg""), "".jpg"", """"), ""-"", "", ""), """")"),"")</f>
        <v/>
      </c>
      <c r="L5050" s="12"/>
      <c r="M5050" s="13"/>
      <c r="N5050" s="2"/>
      <c r="O5050" s="20"/>
      <c r="P5050" s="42"/>
      <c r="R5050" s="23"/>
    </row>
    <row r="5051" spans="1:18" ht="12.75">
      <c r="A5051" s="12"/>
      <c r="D5051" s="12"/>
      <c r="E5051" s="12"/>
      <c r="H5051" s="11" t="str">
        <f ca="1">IFERROR(__xludf.DUMMYFUNCTION("IFERROR(SUBSTITUTE(SUBSTITUTE(REGEXEXTRACT(A5051, ""[^-]+- [^-]+- [^-]+ - (.+?)\.jpg""), "".jpg"", """"), ""-"", "", ""), """")"),"")</f>
        <v/>
      </c>
      <c r="L5051" s="12"/>
      <c r="M5051" s="13"/>
      <c r="N5051" s="2"/>
      <c r="O5051" s="20"/>
      <c r="P5051" s="42"/>
      <c r="R5051" s="23"/>
    </row>
    <row r="5052" spans="1:18" ht="12.75">
      <c r="A5052" s="12"/>
      <c r="D5052" s="12"/>
      <c r="E5052" s="12"/>
      <c r="H5052" s="11" t="str">
        <f ca="1">IFERROR(__xludf.DUMMYFUNCTION("IFERROR(SUBSTITUTE(SUBSTITUTE(REGEXEXTRACT(A5052, ""[^-]+- [^-]+- [^-]+ - (.+?)\.jpg""), "".jpg"", """"), ""-"", "", ""), """")"),"")</f>
        <v/>
      </c>
      <c r="L5052" s="12"/>
      <c r="M5052" s="13"/>
      <c r="N5052" s="2"/>
      <c r="O5052" s="20"/>
      <c r="P5052" s="42"/>
      <c r="R5052" s="23"/>
    </row>
    <row r="5053" spans="1:18" ht="12.75">
      <c r="A5053" s="12"/>
      <c r="D5053" s="12"/>
      <c r="E5053" s="12"/>
      <c r="H5053" s="11" t="str">
        <f ca="1">IFERROR(__xludf.DUMMYFUNCTION("IFERROR(SUBSTITUTE(SUBSTITUTE(REGEXEXTRACT(A5053, ""[^-]+- [^-]+- [^-]+ - (.+?)\.jpg""), "".jpg"", """"), ""-"", "", ""), """")"),"")</f>
        <v/>
      </c>
      <c r="L5053" s="12"/>
      <c r="M5053" s="13"/>
      <c r="N5053" s="2"/>
      <c r="O5053" s="20"/>
      <c r="P5053" s="42"/>
      <c r="R5053" s="23"/>
    </row>
    <row r="5054" spans="1:18" ht="12.75">
      <c r="A5054" s="12"/>
      <c r="D5054" s="12"/>
      <c r="E5054" s="12"/>
      <c r="H5054" s="11" t="str">
        <f ca="1">IFERROR(__xludf.DUMMYFUNCTION("IFERROR(SUBSTITUTE(SUBSTITUTE(REGEXEXTRACT(A5054, ""[^-]+- [^-]+- [^-]+ - (.+?)\.jpg""), "".jpg"", """"), ""-"", "", ""), """")"),"")</f>
        <v/>
      </c>
      <c r="L5054" s="12"/>
      <c r="M5054" s="13"/>
      <c r="N5054" s="2"/>
      <c r="O5054" s="20"/>
      <c r="P5054" s="42"/>
      <c r="R5054" s="23"/>
    </row>
    <row r="5055" spans="1:18" ht="12.75">
      <c r="A5055" s="12"/>
      <c r="D5055" s="12"/>
      <c r="E5055" s="12"/>
      <c r="H5055" s="11" t="str">
        <f ca="1">IFERROR(__xludf.DUMMYFUNCTION("IFERROR(SUBSTITUTE(SUBSTITUTE(REGEXEXTRACT(A5055, ""[^-]+- [^-]+- [^-]+ - (.+?)\.jpg""), "".jpg"", """"), ""-"", "", ""), """")"),"")</f>
        <v/>
      </c>
      <c r="L5055" s="12"/>
      <c r="M5055" s="13"/>
      <c r="N5055" s="2"/>
      <c r="O5055" s="20"/>
      <c r="P5055" s="42"/>
      <c r="R5055" s="23"/>
    </row>
    <row r="5056" spans="1:18" ht="12.75">
      <c r="A5056" s="12"/>
      <c r="D5056" s="12"/>
      <c r="E5056" s="12"/>
      <c r="H5056" s="11" t="str">
        <f ca="1">IFERROR(__xludf.DUMMYFUNCTION("IFERROR(SUBSTITUTE(SUBSTITUTE(REGEXEXTRACT(A5056, ""[^-]+- [^-]+- [^-]+ - (.+?)\.jpg""), "".jpg"", """"), ""-"", "", ""), """")"),"")</f>
        <v/>
      </c>
      <c r="L5056" s="12"/>
      <c r="M5056" s="13"/>
      <c r="N5056" s="2"/>
      <c r="O5056" s="20"/>
      <c r="P5056" s="42"/>
      <c r="R5056" s="23"/>
    </row>
    <row r="5057" spans="1:18" ht="12.75">
      <c r="A5057" s="12"/>
      <c r="D5057" s="12"/>
      <c r="E5057" s="12"/>
      <c r="H5057" s="11" t="str">
        <f ca="1">IFERROR(__xludf.DUMMYFUNCTION("IFERROR(SUBSTITUTE(SUBSTITUTE(REGEXEXTRACT(A5057, ""[^-]+- [^-]+- [^-]+ - (.+?)\.jpg""), "".jpg"", """"), ""-"", "", ""), """")"),"")</f>
        <v/>
      </c>
      <c r="L5057" s="12"/>
      <c r="M5057" s="13"/>
      <c r="N5057" s="2"/>
      <c r="O5057" s="20"/>
      <c r="P5057" s="42"/>
      <c r="R5057" s="23"/>
    </row>
    <row r="5058" spans="1:18" ht="12.75">
      <c r="A5058" s="12"/>
      <c r="D5058" s="12"/>
      <c r="E5058" s="12"/>
      <c r="H5058" s="11" t="str">
        <f ca="1">IFERROR(__xludf.DUMMYFUNCTION("IFERROR(SUBSTITUTE(SUBSTITUTE(REGEXEXTRACT(A5058, ""[^-]+- [^-]+- [^-]+ - (.+?)\.jpg""), "".jpg"", """"), ""-"", "", ""), """")"),"")</f>
        <v/>
      </c>
      <c r="L5058" s="12"/>
      <c r="M5058" s="13"/>
      <c r="N5058" s="2"/>
      <c r="O5058" s="20"/>
      <c r="P5058" s="42"/>
      <c r="R5058" s="23"/>
    </row>
    <row r="5059" spans="1:18" ht="12.75">
      <c r="A5059" s="12"/>
      <c r="D5059" s="12"/>
      <c r="E5059" s="12"/>
      <c r="H5059" s="11" t="str">
        <f ca="1">IFERROR(__xludf.DUMMYFUNCTION("IFERROR(SUBSTITUTE(SUBSTITUTE(REGEXEXTRACT(A5059, ""[^-]+- [^-]+- [^-]+ - (.+?)\.jpg""), "".jpg"", """"), ""-"", "", ""), """")"),"")</f>
        <v/>
      </c>
      <c r="L5059" s="12"/>
      <c r="M5059" s="13"/>
      <c r="N5059" s="2"/>
      <c r="O5059" s="20"/>
      <c r="P5059" s="42"/>
      <c r="R5059" s="23"/>
    </row>
    <row r="5060" spans="1:18" ht="12.75">
      <c r="A5060" s="12"/>
      <c r="D5060" s="12"/>
      <c r="E5060" s="12"/>
      <c r="H5060" s="11" t="str">
        <f ca="1">IFERROR(__xludf.DUMMYFUNCTION("IFERROR(SUBSTITUTE(SUBSTITUTE(REGEXEXTRACT(A5060, ""[^-]+- [^-]+- [^-]+ - (.+?)\.jpg""), "".jpg"", """"), ""-"", "", ""), """")"),"")</f>
        <v/>
      </c>
      <c r="L5060" s="12"/>
      <c r="M5060" s="13"/>
      <c r="N5060" s="2"/>
      <c r="O5060" s="20"/>
      <c r="P5060" s="42"/>
      <c r="R5060" s="23"/>
    </row>
    <row r="5061" spans="1:18" ht="12.75">
      <c r="A5061" s="12"/>
      <c r="D5061" s="12"/>
      <c r="E5061" s="12"/>
      <c r="H5061" s="11" t="str">
        <f ca="1">IFERROR(__xludf.DUMMYFUNCTION("IFERROR(SUBSTITUTE(SUBSTITUTE(REGEXEXTRACT(A5061, ""[^-]+- [^-]+- [^-]+ - (.+?)\.jpg""), "".jpg"", """"), ""-"", "", ""), """")"),"")</f>
        <v/>
      </c>
      <c r="L5061" s="12"/>
      <c r="M5061" s="13"/>
      <c r="N5061" s="2"/>
      <c r="O5061" s="20"/>
      <c r="P5061" s="42"/>
      <c r="R5061" s="23"/>
    </row>
    <row r="5062" spans="1:18" ht="12.75">
      <c r="A5062" s="12"/>
      <c r="D5062" s="12"/>
      <c r="E5062" s="12"/>
      <c r="H5062" s="11" t="str">
        <f ca="1">IFERROR(__xludf.DUMMYFUNCTION("IFERROR(SUBSTITUTE(SUBSTITUTE(REGEXEXTRACT(A5062, ""[^-]+- [^-]+- [^-]+ - (.+?)\.jpg""), "".jpg"", """"), ""-"", "", ""), """")"),"")</f>
        <v/>
      </c>
      <c r="L5062" s="12"/>
      <c r="M5062" s="13"/>
      <c r="N5062" s="2"/>
      <c r="O5062" s="20"/>
      <c r="P5062" s="42"/>
      <c r="R5062" s="23"/>
    </row>
    <row r="5063" spans="1:18" ht="12.75">
      <c r="A5063" s="12"/>
      <c r="D5063" s="12"/>
      <c r="E5063" s="12"/>
      <c r="H5063" s="11" t="str">
        <f ca="1">IFERROR(__xludf.DUMMYFUNCTION("IFERROR(SUBSTITUTE(SUBSTITUTE(REGEXEXTRACT(A5063, ""[^-]+- [^-]+- [^-]+ - (.+?)\.jpg""), "".jpg"", """"), ""-"", "", ""), """")"),"")</f>
        <v/>
      </c>
      <c r="L5063" s="12"/>
      <c r="M5063" s="13"/>
      <c r="N5063" s="2"/>
      <c r="O5063" s="20"/>
      <c r="P5063" s="42"/>
      <c r="R5063" s="23"/>
    </row>
    <row r="5064" spans="1:18" ht="12.75">
      <c r="A5064" s="12"/>
      <c r="D5064" s="12"/>
      <c r="E5064" s="12"/>
      <c r="H5064" s="11" t="str">
        <f ca="1">IFERROR(__xludf.DUMMYFUNCTION("IFERROR(SUBSTITUTE(SUBSTITUTE(REGEXEXTRACT(A5064, ""[^-]+- [^-]+- [^-]+ - (.+?)\.jpg""), "".jpg"", """"), ""-"", "", ""), """")"),"")</f>
        <v/>
      </c>
      <c r="L5064" s="12"/>
      <c r="M5064" s="13"/>
      <c r="N5064" s="2"/>
      <c r="O5064" s="20"/>
      <c r="P5064" s="42"/>
      <c r="R5064" s="23"/>
    </row>
    <row r="5065" spans="1:18" ht="12.75">
      <c r="A5065" s="12"/>
      <c r="D5065" s="12"/>
      <c r="E5065" s="12"/>
      <c r="H5065" s="11" t="str">
        <f ca="1">IFERROR(__xludf.DUMMYFUNCTION("IFERROR(SUBSTITUTE(SUBSTITUTE(REGEXEXTRACT(A5065, ""[^-]+- [^-]+- [^-]+ - (.+?)\.jpg""), "".jpg"", """"), ""-"", "", ""), """")"),"")</f>
        <v/>
      </c>
      <c r="L5065" s="12"/>
      <c r="M5065" s="13"/>
      <c r="N5065" s="2"/>
      <c r="O5065" s="20"/>
      <c r="P5065" s="42"/>
      <c r="R5065" s="23"/>
    </row>
    <row r="5066" spans="1:18" ht="12.75">
      <c r="A5066" s="12"/>
      <c r="D5066" s="12"/>
      <c r="E5066" s="12"/>
      <c r="H5066" s="11" t="str">
        <f ca="1">IFERROR(__xludf.DUMMYFUNCTION("IFERROR(SUBSTITUTE(SUBSTITUTE(REGEXEXTRACT(A5066, ""[^-]+- [^-]+- [^-]+ - (.+?)\.jpg""), "".jpg"", """"), ""-"", "", ""), """")"),"")</f>
        <v/>
      </c>
      <c r="L5066" s="12"/>
      <c r="M5066" s="13"/>
      <c r="N5066" s="2"/>
      <c r="O5066" s="20"/>
      <c r="P5066" s="42"/>
      <c r="R5066" s="23"/>
    </row>
    <row r="5067" spans="1:18" ht="12.75">
      <c r="A5067" s="12"/>
      <c r="D5067" s="12"/>
      <c r="E5067" s="12"/>
      <c r="H5067" s="11" t="str">
        <f ca="1">IFERROR(__xludf.DUMMYFUNCTION("IFERROR(SUBSTITUTE(SUBSTITUTE(REGEXEXTRACT(A5067, ""[^-]+- [^-]+- [^-]+ - (.+?)\.jpg""), "".jpg"", """"), ""-"", "", ""), """")"),"")</f>
        <v/>
      </c>
      <c r="L5067" s="12"/>
      <c r="M5067" s="13"/>
      <c r="N5067" s="2"/>
      <c r="O5067" s="20"/>
      <c r="P5067" s="42"/>
      <c r="R5067" s="23"/>
    </row>
    <row r="5068" spans="1:18" ht="12.75">
      <c r="A5068" s="12"/>
      <c r="D5068" s="12"/>
      <c r="E5068" s="12"/>
      <c r="H5068" s="11" t="str">
        <f ca="1">IFERROR(__xludf.DUMMYFUNCTION("IFERROR(SUBSTITUTE(SUBSTITUTE(REGEXEXTRACT(A5068, ""[^-]+- [^-]+- [^-]+ - (.+?)\.jpg""), "".jpg"", """"), ""-"", "", ""), """")"),"")</f>
        <v/>
      </c>
      <c r="L5068" s="12"/>
      <c r="M5068" s="13"/>
      <c r="N5068" s="2"/>
      <c r="O5068" s="20"/>
      <c r="P5068" s="42"/>
      <c r="R5068" s="23"/>
    </row>
    <row r="5069" spans="1:18" ht="12.75">
      <c r="A5069" s="12"/>
      <c r="D5069" s="12"/>
      <c r="E5069" s="12"/>
      <c r="H5069" s="11" t="str">
        <f ca="1">IFERROR(__xludf.DUMMYFUNCTION("IFERROR(SUBSTITUTE(SUBSTITUTE(REGEXEXTRACT(A5069, ""[^-]+- [^-]+- [^-]+ - (.+?)\.jpg""), "".jpg"", """"), ""-"", "", ""), """")"),"")</f>
        <v/>
      </c>
      <c r="L5069" s="12"/>
      <c r="M5069" s="13"/>
      <c r="N5069" s="2"/>
      <c r="O5069" s="20"/>
      <c r="P5069" s="42"/>
      <c r="R5069" s="23"/>
    </row>
    <row r="5070" spans="1:18" ht="12.75">
      <c r="A5070" s="12"/>
      <c r="D5070" s="12"/>
      <c r="E5070" s="12"/>
      <c r="H5070" s="11" t="str">
        <f ca="1">IFERROR(__xludf.DUMMYFUNCTION("IFERROR(SUBSTITUTE(SUBSTITUTE(REGEXEXTRACT(A5070, ""[^-]+- [^-]+- [^-]+ - (.+?)\.jpg""), "".jpg"", """"), ""-"", "", ""), """")"),"")</f>
        <v/>
      </c>
      <c r="L5070" s="12"/>
      <c r="M5070" s="13"/>
      <c r="N5070" s="2"/>
      <c r="O5070" s="20"/>
      <c r="P5070" s="42"/>
      <c r="R5070" s="23"/>
    </row>
    <row r="5071" spans="1:18" ht="12.75">
      <c r="A5071" s="12"/>
      <c r="D5071" s="12"/>
      <c r="E5071" s="12"/>
      <c r="H5071" s="11" t="str">
        <f ca="1">IFERROR(__xludf.DUMMYFUNCTION("IFERROR(SUBSTITUTE(SUBSTITUTE(REGEXEXTRACT(A5071, ""[^-]+- [^-]+- [^-]+ - (.+?)\.jpg""), "".jpg"", """"), ""-"", "", ""), """")"),"")</f>
        <v/>
      </c>
      <c r="L5071" s="12"/>
      <c r="M5071" s="13"/>
      <c r="N5071" s="2"/>
      <c r="O5071" s="20"/>
      <c r="P5071" s="42"/>
      <c r="R5071" s="23"/>
    </row>
    <row r="5072" spans="1:18" ht="12.75">
      <c r="A5072" s="12"/>
      <c r="D5072" s="12"/>
      <c r="E5072" s="12"/>
      <c r="H5072" s="11" t="str">
        <f ca="1">IFERROR(__xludf.DUMMYFUNCTION("IFERROR(SUBSTITUTE(SUBSTITUTE(REGEXEXTRACT(A5072, ""[^-]+- [^-]+- [^-]+ - (.+?)\.jpg""), "".jpg"", """"), ""-"", "", ""), """")"),"")</f>
        <v/>
      </c>
      <c r="L5072" s="12"/>
      <c r="M5072" s="13"/>
      <c r="N5072" s="2"/>
      <c r="O5072" s="20"/>
      <c r="P5072" s="42"/>
      <c r="R5072" s="23"/>
    </row>
    <row r="5073" spans="1:18" ht="12.75">
      <c r="A5073" s="12"/>
      <c r="D5073" s="12"/>
      <c r="E5073" s="12"/>
      <c r="H5073" s="11" t="str">
        <f ca="1">IFERROR(__xludf.DUMMYFUNCTION("IFERROR(SUBSTITUTE(SUBSTITUTE(REGEXEXTRACT(A5073, ""[^-]+- [^-]+- [^-]+ - (.+?)\.jpg""), "".jpg"", """"), ""-"", "", ""), """")"),"")</f>
        <v/>
      </c>
      <c r="L5073" s="12"/>
      <c r="M5073" s="13"/>
      <c r="N5073" s="2"/>
      <c r="O5073" s="20"/>
      <c r="P5073" s="42"/>
      <c r="R5073" s="23"/>
    </row>
    <row r="5074" spans="1:18" ht="12.75">
      <c r="A5074" s="12"/>
      <c r="D5074" s="12"/>
      <c r="E5074" s="12"/>
      <c r="H5074" s="11" t="str">
        <f ca="1">IFERROR(__xludf.DUMMYFUNCTION("IFERROR(SUBSTITUTE(SUBSTITUTE(REGEXEXTRACT(A5074, ""[^-]+- [^-]+- [^-]+ - (.+?)\.jpg""), "".jpg"", """"), ""-"", "", ""), """")"),"")</f>
        <v/>
      </c>
      <c r="L5074" s="12"/>
      <c r="M5074" s="13"/>
      <c r="N5074" s="2"/>
      <c r="O5074" s="20"/>
      <c r="P5074" s="42"/>
      <c r="R5074" s="23"/>
    </row>
    <row r="5075" spans="1:18" ht="12.75">
      <c r="A5075" s="12"/>
      <c r="D5075" s="12"/>
      <c r="E5075" s="12"/>
      <c r="H5075" s="11" t="str">
        <f ca="1">IFERROR(__xludf.DUMMYFUNCTION("IFERROR(SUBSTITUTE(SUBSTITUTE(REGEXEXTRACT(A5075, ""[^-]+- [^-]+- [^-]+ - (.+?)\.jpg""), "".jpg"", """"), ""-"", "", ""), """")"),"")</f>
        <v/>
      </c>
      <c r="L5075" s="12"/>
      <c r="M5075" s="13"/>
      <c r="N5075" s="2"/>
      <c r="O5075" s="20"/>
      <c r="P5075" s="42"/>
      <c r="R5075" s="23"/>
    </row>
    <row r="5076" spans="1:18" ht="12.75">
      <c r="A5076" s="12"/>
      <c r="D5076" s="12"/>
      <c r="E5076" s="12"/>
      <c r="H5076" s="11" t="str">
        <f ca="1">IFERROR(__xludf.DUMMYFUNCTION("IFERROR(SUBSTITUTE(SUBSTITUTE(REGEXEXTRACT(A5076, ""[^-]+- [^-]+- [^-]+ - (.+?)\.jpg""), "".jpg"", """"), ""-"", "", ""), """")"),"")</f>
        <v/>
      </c>
      <c r="L5076" s="12"/>
      <c r="M5076" s="13"/>
      <c r="N5076" s="2"/>
      <c r="O5076" s="20"/>
      <c r="P5076" s="42"/>
      <c r="R5076" s="23"/>
    </row>
    <row r="5077" spans="1:18" ht="12.75">
      <c r="A5077" s="12"/>
      <c r="D5077" s="12"/>
      <c r="E5077" s="12"/>
      <c r="H5077" s="11" t="str">
        <f ca="1">IFERROR(__xludf.DUMMYFUNCTION("IFERROR(SUBSTITUTE(SUBSTITUTE(REGEXEXTRACT(A5077, ""[^-]+- [^-]+- [^-]+ - (.+?)\.jpg""), "".jpg"", """"), ""-"", "", ""), """")"),"")</f>
        <v/>
      </c>
      <c r="L5077" s="12"/>
      <c r="M5077" s="13"/>
      <c r="N5077" s="2"/>
      <c r="O5077" s="20"/>
      <c r="P5077" s="42"/>
      <c r="R5077" s="23"/>
    </row>
    <row r="5078" spans="1:18" ht="12.75">
      <c r="A5078" s="12"/>
      <c r="D5078" s="12"/>
      <c r="E5078" s="12"/>
      <c r="H5078" s="11" t="str">
        <f ca="1">IFERROR(__xludf.DUMMYFUNCTION("IFERROR(SUBSTITUTE(SUBSTITUTE(REGEXEXTRACT(A5078, ""[^-]+- [^-]+- [^-]+ - (.+?)\.jpg""), "".jpg"", """"), ""-"", "", ""), """")"),"")</f>
        <v/>
      </c>
      <c r="L5078" s="12"/>
      <c r="M5078" s="13"/>
      <c r="N5078" s="2"/>
      <c r="O5078" s="20"/>
      <c r="P5078" s="42"/>
      <c r="R5078" s="23"/>
    </row>
    <row r="5079" spans="1:18" ht="12.75">
      <c r="A5079" s="12"/>
      <c r="D5079" s="12"/>
      <c r="E5079" s="12"/>
      <c r="H5079" s="11" t="str">
        <f ca="1">IFERROR(__xludf.DUMMYFUNCTION("IFERROR(SUBSTITUTE(SUBSTITUTE(REGEXEXTRACT(A5079, ""[^-]+- [^-]+- [^-]+ - (.+?)\.jpg""), "".jpg"", """"), ""-"", "", ""), """")"),"")</f>
        <v/>
      </c>
      <c r="L5079" s="12"/>
      <c r="M5079" s="13"/>
      <c r="N5079" s="2"/>
      <c r="O5079" s="20"/>
      <c r="P5079" s="42"/>
      <c r="R5079" s="23"/>
    </row>
    <row r="5080" spans="1:18" ht="12.75">
      <c r="A5080" s="12"/>
      <c r="D5080" s="12"/>
      <c r="E5080" s="12"/>
      <c r="H5080" s="11" t="str">
        <f ca="1">IFERROR(__xludf.DUMMYFUNCTION("IFERROR(SUBSTITUTE(SUBSTITUTE(REGEXEXTRACT(A5080, ""[^-]+- [^-]+- [^-]+ - (.+?)\.jpg""), "".jpg"", """"), ""-"", "", ""), """")"),"")</f>
        <v/>
      </c>
      <c r="L5080" s="12"/>
      <c r="M5080" s="13"/>
      <c r="N5080" s="2"/>
      <c r="O5080" s="20"/>
      <c r="P5080" s="42"/>
      <c r="R5080" s="23"/>
    </row>
    <row r="5081" spans="1:18" ht="12.75">
      <c r="A5081" s="12"/>
      <c r="D5081" s="12"/>
      <c r="E5081" s="12"/>
      <c r="H5081" s="11" t="str">
        <f ca="1">IFERROR(__xludf.DUMMYFUNCTION("IFERROR(SUBSTITUTE(SUBSTITUTE(REGEXEXTRACT(A5081, ""[^-]+- [^-]+- [^-]+ - (.+?)\.jpg""), "".jpg"", """"), ""-"", "", ""), """")"),"")</f>
        <v/>
      </c>
      <c r="L5081" s="12"/>
      <c r="M5081" s="13"/>
      <c r="N5081" s="2"/>
      <c r="O5081" s="20"/>
      <c r="P5081" s="42"/>
      <c r="R5081" s="23"/>
    </row>
    <row r="5082" spans="1:18" ht="12.75">
      <c r="A5082" s="12"/>
      <c r="D5082" s="12"/>
      <c r="E5082" s="12"/>
      <c r="H5082" s="11" t="str">
        <f ca="1">IFERROR(__xludf.DUMMYFUNCTION("IFERROR(SUBSTITUTE(SUBSTITUTE(REGEXEXTRACT(A5082, ""[^-]+- [^-]+- [^-]+ - (.+?)\.jpg""), "".jpg"", """"), ""-"", "", ""), """")"),"")</f>
        <v/>
      </c>
      <c r="L5082" s="12"/>
      <c r="M5082" s="13"/>
      <c r="N5082" s="2"/>
      <c r="O5082" s="20"/>
      <c r="P5082" s="42"/>
      <c r="R5082" s="23"/>
    </row>
    <row r="5083" spans="1:18" ht="12.75">
      <c r="A5083" s="12"/>
      <c r="D5083" s="12"/>
      <c r="E5083" s="12"/>
      <c r="H5083" s="11" t="str">
        <f ca="1">IFERROR(__xludf.DUMMYFUNCTION("IFERROR(SUBSTITUTE(SUBSTITUTE(REGEXEXTRACT(A5083, ""[^-]+- [^-]+- [^-]+ - (.+?)\.jpg""), "".jpg"", """"), ""-"", "", ""), """")"),"")</f>
        <v/>
      </c>
      <c r="L5083" s="12"/>
      <c r="M5083" s="13"/>
      <c r="N5083" s="2"/>
      <c r="O5083" s="20"/>
      <c r="P5083" s="42"/>
      <c r="R5083" s="23"/>
    </row>
    <row r="5084" spans="1:18" ht="12.75">
      <c r="A5084" s="12"/>
      <c r="D5084" s="12"/>
      <c r="E5084" s="12"/>
      <c r="H5084" s="11" t="str">
        <f ca="1">IFERROR(__xludf.DUMMYFUNCTION("IFERROR(SUBSTITUTE(SUBSTITUTE(REGEXEXTRACT(A5084, ""[^-]+- [^-]+- [^-]+ - (.+?)\.jpg""), "".jpg"", """"), ""-"", "", ""), """")"),"")</f>
        <v/>
      </c>
      <c r="L5084" s="12"/>
      <c r="M5084" s="13"/>
      <c r="N5084" s="2"/>
      <c r="O5084" s="20"/>
      <c r="P5084" s="42"/>
      <c r="R5084" s="23"/>
    </row>
    <row r="5085" spans="1:18" ht="12.75">
      <c r="A5085" s="12"/>
      <c r="D5085" s="12"/>
      <c r="E5085" s="12"/>
      <c r="H5085" s="11" t="str">
        <f ca="1">IFERROR(__xludf.DUMMYFUNCTION("IFERROR(SUBSTITUTE(SUBSTITUTE(REGEXEXTRACT(A5085, ""[^-]+- [^-]+- [^-]+ - (.+?)\.jpg""), "".jpg"", """"), ""-"", "", ""), """")"),"")</f>
        <v/>
      </c>
      <c r="L5085" s="12"/>
      <c r="M5085" s="13"/>
      <c r="N5085" s="2"/>
      <c r="O5085" s="20"/>
      <c r="P5085" s="42"/>
      <c r="R5085" s="23"/>
    </row>
    <row r="5086" spans="1:18" ht="12.75">
      <c r="A5086" s="12"/>
      <c r="D5086" s="12"/>
      <c r="E5086" s="12"/>
      <c r="H5086" s="11" t="str">
        <f ca="1">IFERROR(__xludf.DUMMYFUNCTION("IFERROR(SUBSTITUTE(SUBSTITUTE(REGEXEXTRACT(A5086, ""[^-]+- [^-]+- [^-]+ - (.+?)\.jpg""), "".jpg"", """"), ""-"", "", ""), """")"),"")</f>
        <v/>
      </c>
      <c r="L5086" s="12"/>
      <c r="M5086" s="13"/>
      <c r="N5086" s="2"/>
      <c r="O5086" s="20"/>
      <c r="P5086" s="42"/>
      <c r="R5086" s="23"/>
    </row>
    <row r="5087" spans="1:18" ht="12.75">
      <c r="A5087" s="12"/>
      <c r="D5087" s="12"/>
      <c r="E5087" s="12"/>
      <c r="H5087" s="11" t="str">
        <f ca="1">IFERROR(__xludf.DUMMYFUNCTION("IFERROR(SUBSTITUTE(SUBSTITUTE(REGEXEXTRACT(A5087, ""[^-]+- [^-]+- [^-]+ - (.+?)\.jpg""), "".jpg"", """"), ""-"", "", ""), """")"),"")</f>
        <v/>
      </c>
      <c r="L5087" s="12"/>
      <c r="M5087" s="13"/>
      <c r="N5087" s="2"/>
      <c r="O5087" s="20"/>
      <c r="P5087" s="42"/>
      <c r="R5087" s="23"/>
    </row>
    <row r="5088" spans="1:18" ht="12.75">
      <c r="A5088" s="12"/>
      <c r="D5088" s="12"/>
      <c r="E5088" s="12"/>
      <c r="H5088" s="11" t="str">
        <f ca="1">IFERROR(__xludf.DUMMYFUNCTION("IFERROR(SUBSTITUTE(SUBSTITUTE(REGEXEXTRACT(A5088, ""[^-]+- [^-]+- [^-]+ - (.+?)\.jpg""), "".jpg"", """"), ""-"", "", ""), """")"),"")</f>
        <v/>
      </c>
      <c r="L5088" s="12"/>
      <c r="M5088" s="13"/>
      <c r="N5088" s="2"/>
      <c r="O5088" s="20"/>
      <c r="P5088" s="42"/>
      <c r="R5088" s="23"/>
    </row>
    <row r="5089" spans="1:18" ht="12.75">
      <c r="A5089" s="12"/>
      <c r="D5089" s="12"/>
      <c r="E5089" s="12"/>
      <c r="H5089" s="11" t="str">
        <f ca="1">IFERROR(__xludf.DUMMYFUNCTION("IFERROR(SUBSTITUTE(SUBSTITUTE(REGEXEXTRACT(A5089, ""[^-]+- [^-]+- [^-]+ - (.+?)\.jpg""), "".jpg"", """"), ""-"", "", ""), """")"),"")</f>
        <v/>
      </c>
      <c r="L5089" s="12"/>
      <c r="M5089" s="13"/>
      <c r="N5089" s="2"/>
      <c r="O5089" s="20"/>
      <c r="P5089" s="42"/>
      <c r="R5089" s="23"/>
    </row>
    <row r="5090" spans="1:18" ht="12.75">
      <c r="A5090" s="12"/>
      <c r="D5090" s="12"/>
      <c r="E5090" s="12"/>
      <c r="H5090" s="11" t="str">
        <f ca="1">IFERROR(__xludf.DUMMYFUNCTION("IFERROR(SUBSTITUTE(SUBSTITUTE(REGEXEXTRACT(A5090, ""[^-]+- [^-]+- [^-]+ - (.+?)\.jpg""), "".jpg"", """"), ""-"", "", ""), """")"),"")</f>
        <v/>
      </c>
      <c r="L5090" s="12"/>
      <c r="M5090" s="13"/>
      <c r="N5090" s="2"/>
      <c r="O5090" s="20"/>
      <c r="P5090" s="42"/>
      <c r="R5090" s="23"/>
    </row>
    <row r="5091" spans="1:18" ht="12.75">
      <c r="A5091" s="12"/>
      <c r="D5091" s="12"/>
      <c r="E5091" s="12"/>
      <c r="H5091" s="11" t="str">
        <f ca="1">IFERROR(__xludf.DUMMYFUNCTION("IFERROR(SUBSTITUTE(SUBSTITUTE(REGEXEXTRACT(A5091, ""[^-]+- [^-]+- [^-]+ - (.+?)\.jpg""), "".jpg"", """"), ""-"", "", ""), """")"),"")</f>
        <v/>
      </c>
      <c r="L5091" s="12"/>
      <c r="M5091" s="13"/>
      <c r="N5091" s="2"/>
      <c r="O5091" s="20"/>
      <c r="P5091" s="42"/>
      <c r="R5091" s="23"/>
    </row>
    <row r="5092" spans="1:18" ht="12.75">
      <c r="A5092" s="12"/>
      <c r="D5092" s="12"/>
      <c r="E5092" s="12"/>
      <c r="H5092" s="11" t="str">
        <f ca="1">IFERROR(__xludf.DUMMYFUNCTION("IFERROR(SUBSTITUTE(SUBSTITUTE(REGEXEXTRACT(A5092, ""[^-]+- [^-]+- [^-]+ - (.+?)\.jpg""), "".jpg"", """"), ""-"", "", ""), """")"),"")</f>
        <v/>
      </c>
      <c r="L5092" s="12"/>
      <c r="M5092" s="13"/>
      <c r="N5092" s="2"/>
      <c r="O5092" s="20"/>
      <c r="P5092" s="42"/>
      <c r="R5092" s="23"/>
    </row>
    <row r="5093" spans="1:18" ht="12.75">
      <c r="A5093" s="12"/>
      <c r="D5093" s="12"/>
      <c r="E5093" s="12"/>
      <c r="H5093" s="11" t="str">
        <f ca="1">IFERROR(__xludf.DUMMYFUNCTION("IFERROR(SUBSTITUTE(SUBSTITUTE(REGEXEXTRACT(A5093, ""[^-]+- [^-]+- [^-]+ - (.+?)\.jpg""), "".jpg"", """"), ""-"", "", ""), """")"),"")</f>
        <v/>
      </c>
      <c r="L5093" s="12"/>
      <c r="M5093" s="13"/>
      <c r="N5093" s="2"/>
      <c r="O5093" s="20"/>
      <c r="P5093" s="42"/>
      <c r="R5093" s="23"/>
    </row>
    <row r="5094" spans="1:18" ht="12.75">
      <c r="A5094" s="12"/>
      <c r="D5094" s="12"/>
      <c r="E5094" s="12"/>
      <c r="H5094" s="11" t="str">
        <f ca="1">IFERROR(__xludf.DUMMYFUNCTION("IFERROR(SUBSTITUTE(SUBSTITUTE(REGEXEXTRACT(A5094, ""[^-]+- [^-]+- [^-]+ - (.+?)\.jpg""), "".jpg"", """"), ""-"", "", ""), """")"),"")</f>
        <v/>
      </c>
      <c r="L5094" s="12"/>
      <c r="M5094" s="13"/>
      <c r="N5094" s="2"/>
      <c r="O5094" s="20"/>
      <c r="P5094" s="42"/>
      <c r="R5094" s="23"/>
    </row>
    <row r="5095" spans="1:18" ht="12.75">
      <c r="A5095" s="12"/>
      <c r="D5095" s="12"/>
      <c r="E5095" s="12"/>
      <c r="H5095" s="11" t="str">
        <f ca="1">IFERROR(__xludf.DUMMYFUNCTION("IFERROR(SUBSTITUTE(SUBSTITUTE(REGEXEXTRACT(A5095, ""[^-]+- [^-]+- [^-]+ - (.+?)\.jpg""), "".jpg"", """"), ""-"", "", ""), """")"),"")</f>
        <v/>
      </c>
      <c r="L5095" s="12"/>
      <c r="M5095" s="13"/>
      <c r="N5095" s="2"/>
      <c r="O5095" s="20"/>
      <c r="P5095" s="42"/>
      <c r="R5095" s="23"/>
    </row>
    <row r="5096" spans="1:18" ht="12.75">
      <c r="A5096" s="12"/>
      <c r="D5096" s="12"/>
      <c r="E5096" s="12"/>
      <c r="H5096" s="11" t="str">
        <f ca="1">IFERROR(__xludf.DUMMYFUNCTION("IFERROR(SUBSTITUTE(SUBSTITUTE(REGEXEXTRACT(A5096, ""[^-]+- [^-]+- [^-]+ - (.+?)\.jpg""), "".jpg"", """"), ""-"", "", ""), """")"),"")</f>
        <v/>
      </c>
      <c r="L5096" s="12"/>
      <c r="M5096" s="13"/>
      <c r="N5096" s="2"/>
      <c r="O5096" s="20"/>
      <c r="P5096" s="42"/>
      <c r="R5096" s="23"/>
    </row>
    <row r="5097" spans="1:18" ht="12.75">
      <c r="A5097" s="12"/>
      <c r="D5097" s="12"/>
      <c r="E5097" s="12"/>
      <c r="H5097" s="11" t="str">
        <f ca="1">IFERROR(__xludf.DUMMYFUNCTION("IFERROR(SUBSTITUTE(SUBSTITUTE(REGEXEXTRACT(A5097, ""[^-]+- [^-]+- [^-]+ - (.+?)\.jpg""), "".jpg"", """"), ""-"", "", ""), """")"),"")</f>
        <v/>
      </c>
      <c r="L5097" s="12"/>
      <c r="M5097" s="13"/>
      <c r="N5097" s="2"/>
      <c r="O5097" s="20"/>
      <c r="P5097" s="42"/>
      <c r="R5097" s="23"/>
    </row>
    <row r="5098" spans="1:18" ht="12.75">
      <c r="A5098" s="12"/>
      <c r="D5098" s="12"/>
      <c r="E5098" s="12"/>
      <c r="H5098" s="11" t="str">
        <f ca="1">IFERROR(__xludf.DUMMYFUNCTION("IFERROR(SUBSTITUTE(SUBSTITUTE(REGEXEXTRACT(A5098, ""[^-]+- [^-]+- [^-]+ - (.+?)\.jpg""), "".jpg"", """"), ""-"", "", ""), """")"),"")</f>
        <v/>
      </c>
      <c r="L5098" s="12"/>
      <c r="M5098" s="13"/>
      <c r="N5098" s="2"/>
      <c r="O5098" s="20"/>
      <c r="P5098" s="42"/>
      <c r="R5098" s="23"/>
    </row>
    <row r="5099" spans="1:18" ht="12.75">
      <c r="A5099" s="12"/>
      <c r="D5099" s="12"/>
      <c r="E5099" s="12"/>
      <c r="H5099" s="11" t="str">
        <f ca="1">IFERROR(__xludf.DUMMYFUNCTION("IFERROR(SUBSTITUTE(SUBSTITUTE(REGEXEXTRACT(A5099, ""[^-]+- [^-]+- [^-]+ - (.+?)\.jpg""), "".jpg"", """"), ""-"", "", ""), """")"),"")</f>
        <v/>
      </c>
      <c r="L5099" s="12"/>
      <c r="M5099" s="13"/>
      <c r="N5099" s="2"/>
      <c r="O5099" s="20"/>
      <c r="P5099" s="42"/>
      <c r="R5099" s="23"/>
    </row>
    <row r="5100" spans="1:18" ht="12.75">
      <c r="A5100" s="12"/>
      <c r="D5100" s="12"/>
      <c r="E5100" s="12"/>
      <c r="H5100" s="11" t="str">
        <f ca="1">IFERROR(__xludf.DUMMYFUNCTION("IFERROR(SUBSTITUTE(SUBSTITUTE(REGEXEXTRACT(A5100, ""[^-]+- [^-]+- [^-]+ - (.+?)\.jpg""), "".jpg"", """"), ""-"", "", ""), """")"),"")</f>
        <v/>
      </c>
      <c r="L5100" s="12"/>
      <c r="M5100" s="13"/>
      <c r="N5100" s="2"/>
      <c r="O5100" s="20"/>
      <c r="P5100" s="42"/>
      <c r="R5100" s="23"/>
    </row>
    <row r="5101" spans="1:18" ht="12.75">
      <c r="A5101" s="12"/>
      <c r="D5101" s="12"/>
      <c r="E5101" s="12"/>
      <c r="H5101" s="11" t="str">
        <f ca="1">IFERROR(__xludf.DUMMYFUNCTION("IFERROR(SUBSTITUTE(SUBSTITUTE(REGEXEXTRACT(A5101, ""[^-]+- [^-]+- [^-]+ - (.+?)\.jpg""), "".jpg"", """"), ""-"", "", ""), """")"),"")</f>
        <v/>
      </c>
      <c r="L5101" s="12"/>
      <c r="M5101" s="13"/>
      <c r="N5101" s="2"/>
      <c r="O5101" s="20"/>
      <c r="P5101" s="42"/>
      <c r="R5101" s="23"/>
    </row>
    <row r="5102" spans="1:18" ht="12.75">
      <c r="A5102" s="12"/>
      <c r="D5102" s="12"/>
      <c r="E5102" s="12"/>
      <c r="H5102" s="11" t="str">
        <f ca="1">IFERROR(__xludf.DUMMYFUNCTION("IFERROR(SUBSTITUTE(SUBSTITUTE(REGEXEXTRACT(A5102, ""[^-]+- [^-]+- [^-]+ - (.+?)\.jpg""), "".jpg"", """"), ""-"", "", ""), """")"),"")</f>
        <v/>
      </c>
      <c r="L5102" s="12"/>
      <c r="M5102" s="13"/>
      <c r="N5102" s="2"/>
      <c r="O5102" s="20"/>
      <c r="P5102" s="42"/>
      <c r="R5102" s="23"/>
    </row>
    <row r="5103" spans="1:18" ht="12.75">
      <c r="A5103" s="12"/>
      <c r="D5103" s="12"/>
      <c r="E5103" s="12"/>
      <c r="H5103" s="11" t="str">
        <f ca="1">IFERROR(__xludf.DUMMYFUNCTION("IFERROR(SUBSTITUTE(SUBSTITUTE(REGEXEXTRACT(A5103, ""[^-]+- [^-]+- [^-]+ - (.+?)\.jpg""), "".jpg"", """"), ""-"", "", ""), """")"),"")</f>
        <v/>
      </c>
      <c r="L5103" s="12"/>
      <c r="M5103" s="13"/>
      <c r="N5103" s="2"/>
      <c r="O5103" s="20"/>
      <c r="P5103" s="42"/>
      <c r="R5103" s="23"/>
    </row>
    <row r="5104" spans="1:18" ht="12.75">
      <c r="A5104" s="12"/>
      <c r="D5104" s="12"/>
      <c r="E5104" s="12"/>
      <c r="H5104" s="11" t="str">
        <f ca="1">IFERROR(__xludf.DUMMYFUNCTION("IFERROR(SUBSTITUTE(SUBSTITUTE(REGEXEXTRACT(A5104, ""[^-]+- [^-]+- [^-]+ - (.+?)\.jpg""), "".jpg"", """"), ""-"", "", ""), """")"),"")</f>
        <v/>
      </c>
      <c r="L5104" s="12"/>
      <c r="M5104" s="13"/>
      <c r="N5104" s="2"/>
      <c r="O5104" s="20"/>
      <c r="P5104" s="42"/>
      <c r="R5104" s="23"/>
    </row>
    <row r="5105" spans="1:18" ht="12.75">
      <c r="A5105" s="12"/>
      <c r="D5105" s="12"/>
      <c r="E5105" s="12"/>
      <c r="H5105" s="11" t="str">
        <f ca="1">IFERROR(__xludf.DUMMYFUNCTION("IFERROR(SUBSTITUTE(SUBSTITUTE(REGEXEXTRACT(A5105, ""[^-]+- [^-]+- [^-]+ - (.+?)\.jpg""), "".jpg"", """"), ""-"", "", ""), """")"),"")</f>
        <v/>
      </c>
      <c r="L5105" s="12"/>
      <c r="M5105" s="13"/>
      <c r="N5105" s="2"/>
      <c r="O5105" s="20"/>
      <c r="P5105" s="42"/>
      <c r="R5105" s="23"/>
    </row>
    <row r="5106" spans="1:18" ht="12.75">
      <c r="A5106" s="12"/>
      <c r="D5106" s="12"/>
      <c r="E5106" s="12"/>
      <c r="H5106" s="11" t="str">
        <f ca="1">IFERROR(__xludf.DUMMYFUNCTION("IFERROR(SUBSTITUTE(SUBSTITUTE(REGEXEXTRACT(A5106, ""[^-]+- [^-]+- [^-]+ - (.+?)\.jpg""), "".jpg"", """"), ""-"", "", ""), """")"),"")</f>
        <v/>
      </c>
      <c r="L5106" s="12"/>
      <c r="M5106" s="13"/>
      <c r="N5106" s="2"/>
      <c r="O5106" s="20"/>
      <c r="P5106" s="42"/>
      <c r="R5106" s="23"/>
    </row>
    <row r="5107" spans="1:18" ht="12.75">
      <c r="A5107" s="12"/>
      <c r="D5107" s="12"/>
      <c r="E5107" s="12"/>
      <c r="H5107" s="11" t="str">
        <f ca="1">IFERROR(__xludf.DUMMYFUNCTION("IFERROR(SUBSTITUTE(SUBSTITUTE(REGEXEXTRACT(A5107, ""[^-]+- [^-]+- [^-]+ - (.+?)\.jpg""), "".jpg"", """"), ""-"", "", ""), """")"),"")</f>
        <v/>
      </c>
      <c r="L5107" s="12"/>
      <c r="M5107" s="13"/>
      <c r="N5107" s="2"/>
      <c r="O5107" s="20"/>
      <c r="P5107" s="42"/>
      <c r="R5107" s="23"/>
    </row>
    <row r="5108" spans="1:18" ht="12.75">
      <c r="A5108" s="12"/>
      <c r="D5108" s="12"/>
      <c r="E5108" s="12"/>
      <c r="H5108" s="11" t="str">
        <f ca="1">IFERROR(__xludf.DUMMYFUNCTION("IFERROR(SUBSTITUTE(SUBSTITUTE(REGEXEXTRACT(A5108, ""[^-]+- [^-]+- [^-]+ - (.+?)\.jpg""), "".jpg"", """"), ""-"", "", ""), """")"),"")</f>
        <v/>
      </c>
      <c r="L5108" s="12"/>
      <c r="M5108" s="13"/>
      <c r="N5108" s="2"/>
      <c r="O5108" s="20"/>
      <c r="P5108" s="42"/>
      <c r="R5108" s="23"/>
    </row>
    <row r="5109" spans="1:18" ht="12.75">
      <c r="A5109" s="12"/>
      <c r="D5109" s="12"/>
      <c r="E5109" s="12"/>
      <c r="H5109" s="11" t="str">
        <f ca="1">IFERROR(__xludf.DUMMYFUNCTION("IFERROR(SUBSTITUTE(SUBSTITUTE(REGEXEXTRACT(A5109, ""[^-]+- [^-]+- [^-]+ - (.+?)\.jpg""), "".jpg"", """"), ""-"", "", ""), """")"),"")</f>
        <v/>
      </c>
      <c r="L5109" s="12"/>
      <c r="M5109" s="13"/>
      <c r="N5109" s="2"/>
      <c r="O5109" s="20"/>
      <c r="P5109" s="42"/>
      <c r="R5109" s="23"/>
    </row>
    <row r="5110" spans="1:18" ht="12.75">
      <c r="A5110" s="12"/>
      <c r="D5110" s="12"/>
      <c r="E5110" s="12"/>
      <c r="H5110" s="11" t="str">
        <f ca="1">IFERROR(__xludf.DUMMYFUNCTION("IFERROR(SUBSTITUTE(SUBSTITUTE(REGEXEXTRACT(A5110, ""[^-]+- [^-]+- [^-]+ - (.+?)\.jpg""), "".jpg"", """"), ""-"", "", ""), """")"),"")</f>
        <v/>
      </c>
      <c r="L5110" s="12"/>
      <c r="M5110" s="13"/>
      <c r="N5110" s="2"/>
      <c r="O5110" s="20"/>
      <c r="P5110" s="42"/>
      <c r="R5110" s="23"/>
    </row>
    <row r="5111" spans="1:18" ht="12.75">
      <c r="A5111" s="12"/>
      <c r="D5111" s="12"/>
      <c r="E5111" s="12"/>
      <c r="H5111" s="11" t="str">
        <f ca="1">IFERROR(__xludf.DUMMYFUNCTION("IFERROR(SUBSTITUTE(SUBSTITUTE(REGEXEXTRACT(A5111, ""[^-]+- [^-]+- [^-]+ - (.+?)\.jpg""), "".jpg"", """"), ""-"", "", ""), """")"),"")</f>
        <v/>
      </c>
      <c r="L5111" s="12"/>
      <c r="M5111" s="13"/>
      <c r="N5111" s="2"/>
      <c r="O5111" s="20"/>
      <c r="P5111" s="42"/>
      <c r="R5111" s="23"/>
    </row>
    <row r="5112" spans="1:18" ht="12.75">
      <c r="A5112" s="12"/>
      <c r="D5112" s="12"/>
      <c r="E5112" s="12"/>
      <c r="H5112" s="11" t="str">
        <f ca="1">IFERROR(__xludf.DUMMYFUNCTION("IFERROR(SUBSTITUTE(SUBSTITUTE(REGEXEXTRACT(A5112, ""[^-]+- [^-]+- [^-]+ - (.+?)\.jpg""), "".jpg"", """"), ""-"", "", ""), """")"),"")</f>
        <v/>
      </c>
      <c r="L5112" s="12"/>
      <c r="M5112" s="13"/>
      <c r="N5112" s="2"/>
      <c r="O5112" s="20"/>
      <c r="P5112" s="42"/>
      <c r="R5112" s="23"/>
    </row>
    <row r="5113" spans="1:18" ht="12.75">
      <c r="A5113" s="12"/>
      <c r="D5113" s="12"/>
      <c r="E5113" s="12"/>
      <c r="H5113" s="11" t="str">
        <f ca="1">IFERROR(__xludf.DUMMYFUNCTION("IFERROR(SUBSTITUTE(SUBSTITUTE(REGEXEXTRACT(A5113, ""[^-]+- [^-]+- [^-]+ - (.+?)\.jpg""), "".jpg"", """"), ""-"", "", ""), """")"),"")</f>
        <v/>
      </c>
      <c r="L5113" s="12"/>
      <c r="M5113" s="13"/>
      <c r="N5113" s="2"/>
      <c r="O5113" s="20"/>
      <c r="P5113" s="42"/>
      <c r="R5113" s="23"/>
    </row>
    <row r="5114" spans="1:18" ht="12.75">
      <c r="A5114" s="12"/>
      <c r="D5114" s="12"/>
      <c r="E5114" s="12"/>
      <c r="H5114" s="11" t="str">
        <f ca="1">IFERROR(__xludf.DUMMYFUNCTION("IFERROR(SUBSTITUTE(SUBSTITUTE(REGEXEXTRACT(A5114, ""[^-]+- [^-]+- [^-]+ - (.+?)\.jpg""), "".jpg"", """"), ""-"", "", ""), """")"),"")</f>
        <v/>
      </c>
      <c r="L5114" s="12"/>
      <c r="M5114" s="13"/>
      <c r="N5114" s="2"/>
      <c r="O5114" s="20"/>
      <c r="P5114" s="42"/>
      <c r="R5114" s="23"/>
    </row>
    <row r="5115" spans="1:18" ht="12.75">
      <c r="A5115" s="12"/>
      <c r="D5115" s="12"/>
      <c r="E5115" s="12"/>
      <c r="H5115" s="11" t="str">
        <f ca="1">IFERROR(__xludf.DUMMYFUNCTION("IFERROR(SUBSTITUTE(SUBSTITUTE(REGEXEXTRACT(A5115, ""[^-]+- [^-]+- [^-]+ - (.+?)\.jpg""), "".jpg"", """"), ""-"", "", ""), """")"),"")</f>
        <v/>
      </c>
      <c r="L5115" s="12"/>
      <c r="M5115" s="13"/>
      <c r="N5115" s="2"/>
      <c r="O5115" s="20"/>
      <c r="P5115" s="42"/>
      <c r="R5115" s="23"/>
    </row>
    <row r="5116" spans="1:18" ht="12.75">
      <c r="A5116" s="12"/>
      <c r="D5116" s="12"/>
      <c r="E5116" s="12"/>
      <c r="H5116" s="11" t="str">
        <f ca="1">IFERROR(__xludf.DUMMYFUNCTION("IFERROR(SUBSTITUTE(SUBSTITUTE(REGEXEXTRACT(A5116, ""[^-]+- [^-]+- [^-]+ - (.+?)\.jpg""), "".jpg"", """"), ""-"", "", ""), """")"),"")</f>
        <v/>
      </c>
      <c r="L5116" s="12"/>
      <c r="M5116" s="13"/>
      <c r="N5116" s="2"/>
      <c r="O5116" s="20"/>
      <c r="P5116" s="42"/>
      <c r="R5116" s="23"/>
    </row>
    <row r="5117" spans="1:18" ht="12.75">
      <c r="A5117" s="12"/>
      <c r="D5117" s="12"/>
      <c r="E5117" s="12"/>
      <c r="H5117" s="11" t="str">
        <f ca="1">IFERROR(__xludf.DUMMYFUNCTION("IFERROR(SUBSTITUTE(SUBSTITUTE(REGEXEXTRACT(A5117, ""[^-]+- [^-]+- [^-]+ - (.+?)\.jpg""), "".jpg"", """"), ""-"", "", ""), """")"),"")</f>
        <v/>
      </c>
      <c r="L5117" s="12"/>
      <c r="M5117" s="13"/>
      <c r="N5117" s="2"/>
      <c r="O5117" s="20"/>
      <c r="P5117" s="42"/>
      <c r="R5117" s="23"/>
    </row>
    <row r="5118" spans="1:18" ht="12.75">
      <c r="A5118" s="12"/>
      <c r="D5118" s="12"/>
      <c r="E5118" s="12"/>
      <c r="H5118" s="11" t="str">
        <f ca="1">IFERROR(__xludf.DUMMYFUNCTION("IFERROR(SUBSTITUTE(SUBSTITUTE(REGEXEXTRACT(A5118, ""[^-]+- [^-]+- [^-]+ - (.+?)\.jpg""), "".jpg"", """"), ""-"", "", ""), """")"),"")</f>
        <v/>
      </c>
      <c r="L5118" s="12"/>
      <c r="M5118" s="13"/>
      <c r="N5118" s="2"/>
      <c r="O5118" s="20"/>
      <c r="P5118" s="42"/>
      <c r="R5118" s="23"/>
    </row>
    <row r="5119" spans="1:18" ht="12.75">
      <c r="A5119" s="12"/>
      <c r="D5119" s="12"/>
      <c r="E5119" s="12"/>
      <c r="H5119" s="11" t="str">
        <f ca="1">IFERROR(__xludf.DUMMYFUNCTION("IFERROR(SUBSTITUTE(SUBSTITUTE(REGEXEXTRACT(A5119, ""[^-]+- [^-]+- [^-]+ - (.+?)\.jpg""), "".jpg"", """"), ""-"", "", ""), """")"),"")</f>
        <v/>
      </c>
      <c r="L5119" s="12"/>
      <c r="M5119" s="13"/>
      <c r="N5119" s="2"/>
      <c r="O5119" s="20"/>
      <c r="P5119" s="42"/>
      <c r="R5119" s="23"/>
    </row>
    <row r="5120" spans="1:18" ht="12.75">
      <c r="A5120" s="12"/>
      <c r="D5120" s="12"/>
      <c r="E5120" s="12"/>
      <c r="H5120" s="11" t="str">
        <f ca="1">IFERROR(__xludf.DUMMYFUNCTION("IFERROR(SUBSTITUTE(SUBSTITUTE(REGEXEXTRACT(A5120, ""[^-]+- [^-]+- [^-]+ - (.+?)\.jpg""), "".jpg"", """"), ""-"", "", ""), """")"),"")</f>
        <v/>
      </c>
      <c r="L5120" s="12"/>
      <c r="M5120" s="13"/>
      <c r="N5120" s="2"/>
      <c r="O5120" s="20"/>
      <c r="P5120" s="42"/>
      <c r="R5120" s="23"/>
    </row>
    <row r="5121" spans="1:18" ht="12.75">
      <c r="A5121" s="12"/>
      <c r="D5121" s="12"/>
      <c r="E5121" s="12"/>
      <c r="H5121" s="11" t="str">
        <f ca="1">IFERROR(__xludf.DUMMYFUNCTION("IFERROR(SUBSTITUTE(SUBSTITUTE(REGEXEXTRACT(A5121, ""[^-]+- [^-]+- [^-]+ - (.+?)\.jpg""), "".jpg"", """"), ""-"", "", ""), """")"),"")</f>
        <v/>
      </c>
      <c r="L5121" s="12"/>
      <c r="M5121" s="13"/>
      <c r="N5121" s="2"/>
      <c r="O5121" s="20"/>
      <c r="P5121" s="42"/>
      <c r="R5121" s="23"/>
    </row>
    <row r="5122" spans="1:18" ht="12.75">
      <c r="A5122" s="12"/>
      <c r="D5122" s="12"/>
      <c r="E5122" s="12"/>
      <c r="H5122" s="11" t="str">
        <f ca="1">IFERROR(__xludf.DUMMYFUNCTION("IFERROR(SUBSTITUTE(SUBSTITUTE(REGEXEXTRACT(A5122, ""[^-]+- [^-]+- [^-]+ - (.+?)\.jpg""), "".jpg"", """"), ""-"", "", ""), """")"),"")</f>
        <v/>
      </c>
      <c r="L5122" s="12"/>
      <c r="M5122" s="13"/>
      <c r="N5122" s="2"/>
      <c r="O5122" s="20"/>
      <c r="P5122" s="42"/>
      <c r="R5122" s="23"/>
    </row>
    <row r="5123" spans="1:18" ht="12.75">
      <c r="A5123" s="12"/>
      <c r="D5123" s="12"/>
      <c r="E5123" s="12"/>
      <c r="H5123" s="11" t="str">
        <f ca="1">IFERROR(__xludf.DUMMYFUNCTION("IFERROR(SUBSTITUTE(SUBSTITUTE(REGEXEXTRACT(A5123, ""[^-]+- [^-]+- [^-]+ - (.+?)\.jpg""), "".jpg"", """"), ""-"", "", ""), """")"),"")</f>
        <v/>
      </c>
      <c r="L5123" s="12"/>
      <c r="M5123" s="13"/>
      <c r="N5123" s="2"/>
      <c r="O5123" s="20"/>
      <c r="P5123" s="42"/>
      <c r="R5123" s="23"/>
    </row>
    <row r="5124" spans="1:18" ht="12.75">
      <c r="A5124" s="12"/>
      <c r="D5124" s="12"/>
      <c r="E5124" s="12"/>
      <c r="H5124" s="11" t="str">
        <f ca="1">IFERROR(__xludf.DUMMYFUNCTION("IFERROR(SUBSTITUTE(SUBSTITUTE(REGEXEXTRACT(A5124, ""[^-]+- [^-]+- [^-]+ - (.+?)\.jpg""), "".jpg"", """"), ""-"", "", ""), """")"),"")</f>
        <v/>
      </c>
      <c r="L5124" s="12"/>
      <c r="M5124" s="13"/>
      <c r="N5124" s="2"/>
      <c r="O5124" s="20"/>
      <c r="P5124" s="42"/>
      <c r="R5124" s="23"/>
    </row>
    <row r="5125" spans="1:18" ht="12.75">
      <c r="A5125" s="12"/>
      <c r="D5125" s="12"/>
      <c r="E5125" s="12"/>
      <c r="H5125" s="11" t="str">
        <f ca="1">IFERROR(__xludf.DUMMYFUNCTION("IFERROR(SUBSTITUTE(SUBSTITUTE(REGEXEXTRACT(A5125, ""[^-]+- [^-]+- [^-]+ - (.+?)\.jpg""), "".jpg"", """"), ""-"", "", ""), """")"),"")</f>
        <v/>
      </c>
      <c r="L5125" s="12"/>
      <c r="M5125" s="13"/>
      <c r="N5125" s="2"/>
      <c r="O5125" s="20"/>
      <c r="P5125" s="42"/>
      <c r="R5125" s="23"/>
    </row>
    <row r="5126" spans="1:18" ht="12.75">
      <c r="A5126" s="12"/>
      <c r="D5126" s="12"/>
      <c r="E5126" s="12"/>
      <c r="H5126" s="11" t="str">
        <f ca="1">IFERROR(__xludf.DUMMYFUNCTION("IFERROR(SUBSTITUTE(SUBSTITUTE(REGEXEXTRACT(A5126, ""[^-]+- [^-]+- [^-]+ - (.+?)\.jpg""), "".jpg"", """"), ""-"", "", ""), """")"),"")</f>
        <v/>
      </c>
      <c r="L5126" s="12"/>
      <c r="M5126" s="13"/>
      <c r="N5126" s="2"/>
      <c r="O5126" s="20"/>
      <c r="P5126" s="42"/>
      <c r="R5126" s="23"/>
    </row>
    <row r="5127" spans="1:18" ht="12.75">
      <c r="A5127" s="12"/>
      <c r="D5127" s="12"/>
      <c r="E5127" s="12"/>
      <c r="H5127" s="11" t="str">
        <f ca="1">IFERROR(__xludf.DUMMYFUNCTION("IFERROR(SUBSTITUTE(SUBSTITUTE(REGEXEXTRACT(A5127, ""[^-]+- [^-]+- [^-]+ - (.+?)\.jpg""), "".jpg"", """"), ""-"", "", ""), """")"),"")</f>
        <v/>
      </c>
      <c r="L5127" s="12"/>
      <c r="M5127" s="13"/>
      <c r="N5127" s="2"/>
      <c r="O5127" s="20"/>
      <c r="P5127" s="42"/>
      <c r="R5127" s="23"/>
    </row>
    <row r="5128" spans="1:18" ht="12.75">
      <c r="A5128" s="12"/>
      <c r="D5128" s="12"/>
      <c r="E5128" s="12"/>
      <c r="H5128" s="11" t="str">
        <f ca="1">IFERROR(__xludf.DUMMYFUNCTION("IFERROR(SUBSTITUTE(SUBSTITUTE(REGEXEXTRACT(A5128, ""[^-]+- [^-]+- [^-]+ - (.+?)\.jpg""), "".jpg"", """"), ""-"", "", ""), """")"),"")</f>
        <v/>
      </c>
      <c r="L5128" s="12"/>
      <c r="M5128" s="13"/>
      <c r="N5128" s="2"/>
      <c r="O5128" s="20"/>
      <c r="P5128" s="42"/>
      <c r="R5128" s="23"/>
    </row>
    <row r="5129" spans="1:18" ht="12.75">
      <c r="A5129" s="12"/>
      <c r="D5129" s="12"/>
      <c r="E5129" s="12"/>
      <c r="H5129" s="11" t="str">
        <f ca="1">IFERROR(__xludf.DUMMYFUNCTION("IFERROR(SUBSTITUTE(SUBSTITUTE(REGEXEXTRACT(A5129, ""[^-]+- [^-]+- [^-]+ - (.+?)\.jpg""), "".jpg"", """"), ""-"", "", ""), """")"),"")</f>
        <v/>
      </c>
      <c r="L5129" s="12"/>
      <c r="M5129" s="13"/>
      <c r="N5129" s="2"/>
      <c r="O5129" s="20"/>
      <c r="P5129" s="42"/>
      <c r="R5129" s="23"/>
    </row>
    <row r="5130" spans="1:18" ht="12.75">
      <c r="A5130" s="12"/>
      <c r="D5130" s="12"/>
      <c r="E5130" s="12"/>
      <c r="H5130" s="11" t="str">
        <f ca="1">IFERROR(__xludf.DUMMYFUNCTION("IFERROR(SUBSTITUTE(SUBSTITUTE(REGEXEXTRACT(A5130, ""[^-]+- [^-]+- [^-]+ - (.+?)\.jpg""), "".jpg"", """"), ""-"", "", ""), """")"),"")</f>
        <v/>
      </c>
      <c r="L5130" s="12"/>
      <c r="M5130" s="13"/>
      <c r="N5130" s="2"/>
      <c r="O5130" s="20"/>
      <c r="P5130" s="42"/>
      <c r="R5130" s="23"/>
    </row>
    <row r="5131" spans="1:18" ht="12.75">
      <c r="A5131" s="12"/>
      <c r="D5131" s="12"/>
      <c r="E5131" s="12"/>
      <c r="H5131" s="11" t="str">
        <f ca="1">IFERROR(__xludf.DUMMYFUNCTION("IFERROR(SUBSTITUTE(SUBSTITUTE(REGEXEXTRACT(A5131, ""[^-]+- [^-]+- [^-]+ - (.+?)\.jpg""), "".jpg"", """"), ""-"", "", ""), """")"),"")</f>
        <v/>
      </c>
      <c r="L5131" s="12"/>
      <c r="M5131" s="13"/>
      <c r="N5131" s="2"/>
      <c r="O5131" s="20"/>
      <c r="P5131" s="42"/>
      <c r="R5131" s="23"/>
    </row>
    <row r="5132" spans="1:18" ht="12.75">
      <c r="A5132" s="12"/>
      <c r="D5132" s="12"/>
      <c r="E5132" s="12"/>
      <c r="H5132" s="11" t="str">
        <f ca="1">IFERROR(__xludf.DUMMYFUNCTION("IFERROR(SUBSTITUTE(SUBSTITUTE(REGEXEXTRACT(A5132, ""[^-]+- [^-]+- [^-]+ - (.+?)\.jpg""), "".jpg"", """"), ""-"", "", ""), """")"),"")</f>
        <v/>
      </c>
      <c r="L5132" s="12"/>
      <c r="M5132" s="13"/>
      <c r="N5132" s="2"/>
      <c r="O5132" s="20"/>
      <c r="P5132" s="42"/>
      <c r="R5132" s="23"/>
    </row>
    <row r="5133" spans="1:18" ht="12.75">
      <c r="A5133" s="12"/>
      <c r="D5133" s="12"/>
      <c r="E5133" s="12"/>
      <c r="H5133" s="11" t="str">
        <f ca="1">IFERROR(__xludf.DUMMYFUNCTION("IFERROR(SUBSTITUTE(SUBSTITUTE(REGEXEXTRACT(A5133, ""[^-]+- [^-]+- [^-]+ - (.+?)\.jpg""), "".jpg"", """"), ""-"", "", ""), """")"),"")</f>
        <v/>
      </c>
      <c r="L5133" s="12"/>
      <c r="M5133" s="13"/>
      <c r="N5133" s="2"/>
      <c r="O5133" s="20"/>
      <c r="P5133" s="42"/>
      <c r="R5133" s="23"/>
    </row>
    <row r="5134" spans="1:18" ht="12.75">
      <c r="A5134" s="12"/>
      <c r="D5134" s="12"/>
      <c r="E5134" s="12"/>
      <c r="H5134" s="11" t="str">
        <f ca="1">IFERROR(__xludf.DUMMYFUNCTION("IFERROR(SUBSTITUTE(SUBSTITUTE(REGEXEXTRACT(A5134, ""[^-]+- [^-]+- [^-]+ - (.+?)\.jpg""), "".jpg"", """"), ""-"", "", ""), """")"),"")</f>
        <v/>
      </c>
      <c r="L5134" s="12"/>
      <c r="M5134" s="13"/>
      <c r="N5134" s="2"/>
      <c r="O5134" s="20"/>
      <c r="P5134" s="42"/>
      <c r="R5134" s="23"/>
    </row>
    <row r="5135" spans="1:18" ht="12.75">
      <c r="A5135" s="12"/>
      <c r="D5135" s="12"/>
      <c r="E5135" s="12"/>
      <c r="H5135" s="11" t="str">
        <f ca="1">IFERROR(__xludf.DUMMYFUNCTION("IFERROR(SUBSTITUTE(SUBSTITUTE(REGEXEXTRACT(A5135, ""[^-]+- [^-]+- [^-]+ - (.+?)\.jpg""), "".jpg"", """"), ""-"", "", ""), """")"),"")</f>
        <v/>
      </c>
      <c r="L5135" s="12"/>
      <c r="M5135" s="13"/>
      <c r="N5135" s="2"/>
      <c r="O5135" s="20"/>
      <c r="P5135" s="42"/>
      <c r="R5135" s="23"/>
    </row>
    <row r="5136" spans="1:18" ht="12.75">
      <c r="A5136" s="12"/>
      <c r="D5136" s="12"/>
      <c r="E5136" s="12"/>
      <c r="H5136" s="11" t="str">
        <f ca="1">IFERROR(__xludf.DUMMYFUNCTION("IFERROR(SUBSTITUTE(SUBSTITUTE(REGEXEXTRACT(A5136, ""[^-]+- [^-]+- [^-]+ - (.+?)\.jpg""), "".jpg"", """"), ""-"", "", ""), """")"),"")</f>
        <v/>
      </c>
      <c r="L5136" s="12"/>
      <c r="M5136" s="13"/>
      <c r="N5136" s="2"/>
      <c r="O5136" s="20"/>
      <c r="P5136" s="42"/>
      <c r="R5136" s="23"/>
    </row>
    <row r="5137" spans="1:18" ht="12.75">
      <c r="A5137" s="12"/>
      <c r="D5137" s="12"/>
      <c r="E5137" s="12"/>
      <c r="H5137" s="11" t="str">
        <f ca="1">IFERROR(__xludf.DUMMYFUNCTION("IFERROR(SUBSTITUTE(SUBSTITUTE(REGEXEXTRACT(A5137, ""[^-]+- [^-]+- [^-]+ - (.+?)\.jpg""), "".jpg"", """"), ""-"", "", ""), """")"),"")</f>
        <v/>
      </c>
      <c r="L5137" s="12"/>
      <c r="M5137" s="13"/>
      <c r="N5137" s="2"/>
      <c r="O5137" s="20"/>
      <c r="P5137" s="42"/>
      <c r="R5137" s="23"/>
    </row>
    <row r="5138" spans="1:18" ht="12.75">
      <c r="A5138" s="12"/>
      <c r="D5138" s="12"/>
      <c r="E5138" s="12"/>
      <c r="H5138" s="11" t="str">
        <f ca="1">IFERROR(__xludf.DUMMYFUNCTION("IFERROR(SUBSTITUTE(SUBSTITUTE(REGEXEXTRACT(A5138, ""[^-]+- [^-]+- [^-]+ - (.+?)\.jpg""), "".jpg"", """"), ""-"", "", ""), """")"),"")</f>
        <v/>
      </c>
      <c r="L5138" s="12"/>
      <c r="M5138" s="13"/>
      <c r="N5138" s="2"/>
      <c r="O5138" s="20"/>
      <c r="P5138" s="42"/>
      <c r="R5138" s="23"/>
    </row>
    <row r="5139" spans="1:18" ht="12.75">
      <c r="A5139" s="12"/>
      <c r="D5139" s="12"/>
      <c r="E5139" s="12"/>
      <c r="H5139" s="11" t="str">
        <f ca="1">IFERROR(__xludf.DUMMYFUNCTION("IFERROR(SUBSTITUTE(SUBSTITUTE(REGEXEXTRACT(A5139, ""[^-]+- [^-]+- [^-]+ - (.+?)\.jpg""), "".jpg"", """"), ""-"", "", ""), """")"),"")</f>
        <v/>
      </c>
      <c r="L5139" s="12"/>
      <c r="M5139" s="13"/>
      <c r="N5139" s="2"/>
      <c r="O5139" s="20"/>
      <c r="P5139" s="42"/>
      <c r="R5139" s="23"/>
    </row>
    <row r="5140" spans="1:18" ht="12.75">
      <c r="A5140" s="12"/>
      <c r="D5140" s="12"/>
      <c r="E5140" s="12"/>
      <c r="H5140" s="11" t="str">
        <f ca="1">IFERROR(__xludf.DUMMYFUNCTION("IFERROR(SUBSTITUTE(SUBSTITUTE(REGEXEXTRACT(A5140, ""[^-]+- [^-]+- [^-]+ - (.+?)\.jpg""), "".jpg"", """"), ""-"", "", ""), """")"),"")</f>
        <v/>
      </c>
      <c r="L5140" s="12"/>
      <c r="M5140" s="13"/>
      <c r="N5140" s="2"/>
      <c r="O5140" s="20"/>
      <c r="P5140" s="42"/>
      <c r="R5140" s="23"/>
    </row>
    <row r="5141" spans="1:18" ht="12.75">
      <c r="A5141" s="12"/>
      <c r="D5141" s="12"/>
      <c r="E5141" s="12"/>
      <c r="H5141" s="11" t="str">
        <f ca="1">IFERROR(__xludf.DUMMYFUNCTION("IFERROR(SUBSTITUTE(SUBSTITUTE(REGEXEXTRACT(A5141, ""[^-]+- [^-]+- [^-]+ - (.+?)\.jpg""), "".jpg"", """"), ""-"", "", ""), """")"),"")</f>
        <v/>
      </c>
      <c r="L5141" s="12"/>
      <c r="M5141" s="13"/>
      <c r="N5141" s="2"/>
      <c r="O5141" s="20"/>
      <c r="P5141" s="42"/>
      <c r="R5141" s="23"/>
    </row>
    <row r="5142" spans="1:18" ht="12.75">
      <c r="A5142" s="12"/>
      <c r="D5142" s="12"/>
      <c r="E5142" s="12"/>
      <c r="H5142" s="11" t="str">
        <f ca="1">IFERROR(__xludf.DUMMYFUNCTION("IFERROR(SUBSTITUTE(SUBSTITUTE(REGEXEXTRACT(A5142, ""[^-]+- [^-]+- [^-]+ - (.+?)\.jpg""), "".jpg"", """"), ""-"", "", ""), """")"),"")</f>
        <v/>
      </c>
      <c r="L5142" s="12"/>
      <c r="M5142" s="13"/>
      <c r="N5142" s="2"/>
      <c r="O5142" s="20"/>
      <c r="P5142" s="42"/>
      <c r="R5142" s="23"/>
    </row>
    <row r="5143" spans="1:18" ht="12.75">
      <c r="A5143" s="12"/>
      <c r="D5143" s="12"/>
      <c r="E5143" s="12"/>
      <c r="H5143" s="11" t="str">
        <f ca="1">IFERROR(__xludf.DUMMYFUNCTION("IFERROR(SUBSTITUTE(SUBSTITUTE(REGEXEXTRACT(A5143, ""[^-]+- [^-]+- [^-]+ - (.+?)\.jpg""), "".jpg"", """"), ""-"", "", ""), """")"),"")</f>
        <v/>
      </c>
      <c r="L5143" s="12"/>
      <c r="M5143" s="13"/>
      <c r="N5143" s="2"/>
      <c r="O5143" s="20"/>
      <c r="P5143" s="42"/>
      <c r="R5143" s="23"/>
    </row>
    <row r="5144" spans="1:18" ht="12.75">
      <c r="A5144" s="12"/>
      <c r="D5144" s="12"/>
      <c r="E5144" s="12"/>
      <c r="H5144" s="11" t="str">
        <f ca="1">IFERROR(__xludf.DUMMYFUNCTION("IFERROR(SUBSTITUTE(SUBSTITUTE(REGEXEXTRACT(A5144, ""[^-]+- [^-]+- [^-]+ - (.+?)\.jpg""), "".jpg"", """"), ""-"", "", ""), """")"),"")</f>
        <v/>
      </c>
      <c r="L5144" s="12"/>
      <c r="M5144" s="13"/>
      <c r="N5144" s="2"/>
      <c r="O5144" s="20"/>
      <c r="P5144" s="42"/>
      <c r="R5144" s="23"/>
    </row>
    <row r="5145" spans="1:18" ht="12.75">
      <c r="A5145" s="12"/>
      <c r="D5145" s="12"/>
      <c r="E5145" s="12"/>
      <c r="H5145" s="11" t="str">
        <f ca="1">IFERROR(__xludf.DUMMYFUNCTION("IFERROR(SUBSTITUTE(SUBSTITUTE(REGEXEXTRACT(A5145, ""[^-]+- [^-]+- [^-]+ - (.+?)\.jpg""), "".jpg"", """"), ""-"", "", ""), """")"),"")</f>
        <v/>
      </c>
      <c r="L5145" s="12"/>
      <c r="M5145" s="13"/>
      <c r="N5145" s="2"/>
      <c r="O5145" s="20"/>
      <c r="P5145" s="42"/>
      <c r="R5145" s="23"/>
    </row>
    <row r="5146" spans="1:18" ht="12.75">
      <c r="A5146" s="12"/>
      <c r="D5146" s="12"/>
      <c r="E5146" s="12"/>
      <c r="H5146" s="11" t="str">
        <f ca="1">IFERROR(__xludf.DUMMYFUNCTION("IFERROR(SUBSTITUTE(SUBSTITUTE(REGEXEXTRACT(A5146, ""[^-]+- [^-]+- [^-]+ - (.+?)\.jpg""), "".jpg"", """"), ""-"", "", ""), """")"),"")</f>
        <v/>
      </c>
      <c r="L5146" s="12"/>
      <c r="M5146" s="13"/>
      <c r="N5146" s="2"/>
      <c r="O5146" s="20"/>
      <c r="P5146" s="42"/>
      <c r="R5146" s="23"/>
    </row>
    <row r="5147" spans="1:18" ht="12.75">
      <c r="A5147" s="12"/>
      <c r="D5147" s="12"/>
      <c r="E5147" s="12"/>
      <c r="H5147" s="11" t="str">
        <f ca="1">IFERROR(__xludf.DUMMYFUNCTION("IFERROR(SUBSTITUTE(SUBSTITUTE(REGEXEXTRACT(A5147, ""[^-]+- [^-]+- [^-]+ - (.+?)\.jpg""), "".jpg"", """"), ""-"", "", ""), """")"),"")</f>
        <v/>
      </c>
      <c r="L5147" s="12"/>
      <c r="M5147" s="13"/>
      <c r="N5147" s="2"/>
      <c r="O5147" s="20"/>
      <c r="P5147" s="42"/>
      <c r="R5147" s="23"/>
    </row>
    <row r="5148" spans="1:18" ht="12.75">
      <c r="A5148" s="12"/>
      <c r="D5148" s="12"/>
      <c r="E5148" s="12"/>
      <c r="H5148" s="11" t="str">
        <f ca="1">IFERROR(__xludf.DUMMYFUNCTION("IFERROR(SUBSTITUTE(SUBSTITUTE(REGEXEXTRACT(A5148, ""[^-]+- [^-]+- [^-]+ - (.+?)\.jpg""), "".jpg"", """"), ""-"", "", ""), """")"),"")</f>
        <v/>
      </c>
      <c r="L5148" s="12"/>
      <c r="M5148" s="13"/>
      <c r="N5148" s="2"/>
      <c r="O5148" s="20"/>
      <c r="P5148" s="42"/>
      <c r="R5148" s="23"/>
    </row>
    <row r="5149" spans="1:18" ht="12.75">
      <c r="A5149" s="12"/>
      <c r="D5149" s="12"/>
      <c r="E5149" s="12"/>
      <c r="H5149" s="11" t="str">
        <f ca="1">IFERROR(__xludf.DUMMYFUNCTION("IFERROR(SUBSTITUTE(SUBSTITUTE(REGEXEXTRACT(A5149, ""[^-]+- [^-]+- [^-]+ - (.+?)\.jpg""), "".jpg"", """"), ""-"", "", ""), """")"),"")</f>
        <v/>
      </c>
      <c r="L5149" s="12"/>
      <c r="M5149" s="13"/>
      <c r="N5149" s="2"/>
      <c r="O5149" s="20"/>
      <c r="P5149" s="42"/>
      <c r="R5149" s="23"/>
    </row>
    <row r="5150" spans="1:18" ht="12.75">
      <c r="A5150" s="12"/>
      <c r="D5150" s="12"/>
      <c r="E5150" s="12"/>
      <c r="H5150" s="11" t="str">
        <f ca="1">IFERROR(__xludf.DUMMYFUNCTION("IFERROR(SUBSTITUTE(SUBSTITUTE(REGEXEXTRACT(A5150, ""[^-]+- [^-]+- [^-]+ - (.+?)\.jpg""), "".jpg"", """"), ""-"", "", ""), """")"),"")</f>
        <v/>
      </c>
      <c r="L5150" s="12"/>
      <c r="M5150" s="13"/>
      <c r="N5150" s="2"/>
      <c r="O5150" s="20"/>
      <c r="P5150" s="42"/>
      <c r="R5150" s="23"/>
    </row>
    <row r="5151" spans="1:18" ht="12.75">
      <c r="A5151" s="12"/>
      <c r="D5151" s="12"/>
      <c r="E5151" s="12"/>
      <c r="H5151" s="11" t="str">
        <f ca="1">IFERROR(__xludf.DUMMYFUNCTION("IFERROR(SUBSTITUTE(SUBSTITUTE(REGEXEXTRACT(A5151, ""[^-]+- [^-]+- [^-]+ - (.+?)\.jpg""), "".jpg"", """"), ""-"", "", ""), """")"),"")</f>
        <v/>
      </c>
      <c r="L5151" s="12"/>
      <c r="M5151" s="13"/>
      <c r="N5151" s="2"/>
      <c r="O5151" s="20"/>
      <c r="P5151" s="42"/>
      <c r="R5151" s="23"/>
    </row>
    <row r="5152" spans="1:18" ht="12.75">
      <c r="A5152" s="12"/>
      <c r="D5152" s="12"/>
      <c r="E5152" s="12"/>
      <c r="H5152" s="11" t="str">
        <f ca="1">IFERROR(__xludf.DUMMYFUNCTION("IFERROR(SUBSTITUTE(SUBSTITUTE(REGEXEXTRACT(A5152, ""[^-]+- [^-]+- [^-]+ - (.+?)\.jpg""), "".jpg"", """"), ""-"", "", ""), """")"),"")</f>
        <v/>
      </c>
      <c r="L5152" s="12"/>
      <c r="M5152" s="13"/>
      <c r="N5152" s="2"/>
      <c r="O5152" s="20"/>
      <c r="P5152" s="42"/>
      <c r="R5152" s="23"/>
    </row>
    <row r="5153" spans="1:18" ht="12.75">
      <c r="A5153" s="12"/>
      <c r="D5153" s="12"/>
      <c r="E5153" s="12"/>
      <c r="H5153" s="11" t="str">
        <f ca="1">IFERROR(__xludf.DUMMYFUNCTION("IFERROR(SUBSTITUTE(SUBSTITUTE(REGEXEXTRACT(A5153, ""[^-]+- [^-]+- [^-]+ - (.+?)\.jpg""), "".jpg"", """"), ""-"", "", ""), """")"),"")</f>
        <v/>
      </c>
      <c r="L5153" s="12"/>
      <c r="M5153" s="13"/>
      <c r="N5153" s="2"/>
      <c r="O5153" s="20"/>
      <c r="P5153" s="42"/>
      <c r="R5153" s="23"/>
    </row>
    <row r="5154" spans="1:18" ht="12.75">
      <c r="A5154" s="12"/>
      <c r="D5154" s="12"/>
      <c r="E5154" s="12"/>
      <c r="H5154" s="11" t="str">
        <f ca="1">IFERROR(__xludf.DUMMYFUNCTION("IFERROR(SUBSTITUTE(SUBSTITUTE(REGEXEXTRACT(A5154, ""[^-]+- [^-]+- [^-]+ - (.+?)\.jpg""), "".jpg"", """"), ""-"", "", ""), """")"),"")</f>
        <v/>
      </c>
      <c r="L5154" s="12"/>
      <c r="M5154" s="13"/>
      <c r="N5154" s="2"/>
      <c r="O5154" s="20"/>
      <c r="P5154" s="42"/>
      <c r="R5154" s="23"/>
    </row>
    <row r="5155" spans="1:18" ht="12.75">
      <c r="A5155" s="12"/>
      <c r="D5155" s="12"/>
      <c r="E5155" s="12"/>
      <c r="H5155" s="11" t="str">
        <f ca="1">IFERROR(__xludf.DUMMYFUNCTION("IFERROR(SUBSTITUTE(SUBSTITUTE(REGEXEXTRACT(A5155, ""[^-]+- [^-]+- [^-]+ - (.+?)\.jpg""), "".jpg"", """"), ""-"", "", ""), """")"),"")</f>
        <v/>
      </c>
      <c r="L5155" s="12"/>
      <c r="M5155" s="13"/>
      <c r="N5155" s="2"/>
      <c r="O5155" s="20"/>
      <c r="P5155" s="42"/>
      <c r="R5155" s="23"/>
    </row>
    <row r="5156" spans="1:18" ht="12.75">
      <c r="A5156" s="12"/>
      <c r="D5156" s="12"/>
      <c r="E5156" s="12"/>
      <c r="H5156" s="11" t="str">
        <f ca="1">IFERROR(__xludf.DUMMYFUNCTION("IFERROR(SUBSTITUTE(SUBSTITUTE(REGEXEXTRACT(A5156, ""[^-]+- [^-]+- [^-]+ - (.+?)\.jpg""), "".jpg"", """"), ""-"", "", ""), """")"),"")</f>
        <v/>
      </c>
      <c r="L5156" s="12"/>
      <c r="M5156" s="13"/>
      <c r="N5156" s="2"/>
      <c r="O5156" s="20"/>
      <c r="P5156" s="42"/>
      <c r="R5156" s="23"/>
    </row>
    <row r="5157" spans="1:18" ht="12.75">
      <c r="A5157" s="12"/>
      <c r="D5157" s="12"/>
      <c r="E5157" s="12"/>
      <c r="H5157" s="11" t="str">
        <f ca="1">IFERROR(__xludf.DUMMYFUNCTION("IFERROR(SUBSTITUTE(SUBSTITUTE(REGEXEXTRACT(A5157, ""[^-]+- [^-]+- [^-]+ - (.+?)\.jpg""), "".jpg"", """"), ""-"", "", ""), """")"),"")</f>
        <v/>
      </c>
      <c r="L5157" s="12"/>
      <c r="M5157" s="13"/>
      <c r="N5157" s="2"/>
      <c r="O5157" s="20"/>
      <c r="P5157" s="42"/>
      <c r="R5157" s="23"/>
    </row>
    <row r="5158" spans="1:18" ht="12.75">
      <c r="A5158" s="12"/>
      <c r="D5158" s="12"/>
      <c r="E5158" s="12"/>
      <c r="H5158" s="11" t="str">
        <f ca="1">IFERROR(__xludf.DUMMYFUNCTION("IFERROR(SUBSTITUTE(SUBSTITUTE(REGEXEXTRACT(A5158, ""[^-]+- [^-]+- [^-]+ - (.+?)\.jpg""), "".jpg"", """"), ""-"", "", ""), """")"),"")</f>
        <v/>
      </c>
      <c r="L5158" s="12"/>
      <c r="M5158" s="13"/>
      <c r="N5158" s="2"/>
      <c r="O5158" s="20"/>
      <c r="P5158" s="42"/>
      <c r="R5158" s="23"/>
    </row>
    <row r="5159" spans="1:18" ht="12.75">
      <c r="A5159" s="12"/>
      <c r="D5159" s="12"/>
      <c r="E5159" s="12"/>
      <c r="H5159" s="11" t="str">
        <f ca="1">IFERROR(__xludf.DUMMYFUNCTION("IFERROR(SUBSTITUTE(SUBSTITUTE(REGEXEXTRACT(A5159, ""[^-]+- [^-]+- [^-]+ - (.+?)\.jpg""), "".jpg"", """"), ""-"", "", ""), """")"),"")</f>
        <v/>
      </c>
      <c r="L5159" s="12"/>
      <c r="M5159" s="13"/>
      <c r="N5159" s="2"/>
      <c r="O5159" s="20"/>
      <c r="P5159" s="42"/>
      <c r="R5159" s="23"/>
    </row>
    <row r="5160" spans="1:18" ht="12.75">
      <c r="A5160" s="12"/>
      <c r="D5160" s="12"/>
      <c r="E5160" s="12"/>
      <c r="H5160" s="11" t="str">
        <f ca="1">IFERROR(__xludf.DUMMYFUNCTION("IFERROR(SUBSTITUTE(SUBSTITUTE(REGEXEXTRACT(A5160, ""[^-]+- [^-]+- [^-]+ - (.+?)\.jpg""), "".jpg"", """"), ""-"", "", ""), """")"),"")</f>
        <v/>
      </c>
      <c r="L5160" s="12"/>
      <c r="M5160" s="13"/>
      <c r="N5160" s="2"/>
      <c r="O5160" s="20"/>
      <c r="P5160" s="42"/>
      <c r="R5160" s="23"/>
    </row>
    <row r="5161" spans="1:18" ht="12.75">
      <c r="A5161" s="12"/>
      <c r="D5161" s="12"/>
      <c r="E5161" s="12"/>
      <c r="H5161" s="11" t="str">
        <f ca="1">IFERROR(__xludf.DUMMYFUNCTION("IFERROR(SUBSTITUTE(SUBSTITUTE(REGEXEXTRACT(A5161, ""[^-]+- [^-]+- [^-]+ - (.+?)\.jpg""), "".jpg"", """"), ""-"", "", ""), """")"),"")</f>
        <v/>
      </c>
      <c r="L5161" s="12"/>
      <c r="M5161" s="13"/>
      <c r="N5161" s="2"/>
      <c r="O5161" s="20"/>
      <c r="P5161" s="42"/>
      <c r="R5161" s="23"/>
    </row>
    <row r="5162" spans="1:18" ht="12.75">
      <c r="A5162" s="12"/>
      <c r="D5162" s="12"/>
      <c r="E5162" s="12"/>
      <c r="H5162" s="11" t="str">
        <f ca="1">IFERROR(__xludf.DUMMYFUNCTION("IFERROR(SUBSTITUTE(SUBSTITUTE(REGEXEXTRACT(A5162, ""[^-]+- [^-]+- [^-]+ - (.+?)\.jpg""), "".jpg"", """"), ""-"", "", ""), """")"),"")</f>
        <v/>
      </c>
      <c r="L5162" s="12"/>
      <c r="M5162" s="13"/>
      <c r="N5162" s="2"/>
      <c r="O5162" s="20"/>
      <c r="P5162" s="42"/>
      <c r="R5162" s="23"/>
    </row>
    <row r="5163" spans="1:18" ht="12.75">
      <c r="A5163" s="12"/>
      <c r="D5163" s="12"/>
      <c r="E5163" s="12"/>
      <c r="H5163" s="11" t="str">
        <f ca="1">IFERROR(__xludf.DUMMYFUNCTION("IFERROR(SUBSTITUTE(SUBSTITUTE(REGEXEXTRACT(A5163, ""[^-]+- [^-]+- [^-]+ - (.+?)\.jpg""), "".jpg"", """"), ""-"", "", ""), """")"),"")</f>
        <v/>
      </c>
      <c r="L5163" s="12"/>
      <c r="M5163" s="13"/>
      <c r="N5163" s="2"/>
      <c r="O5163" s="20"/>
      <c r="P5163" s="42"/>
      <c r="R5163" s="23"/>
    </row>
    <row r="5164" spans="1:18" ht="12.75">
      <c r="A5164" s="12"/>
      <c r="D5164" s="12"/>
      <c r="E5164" s="12"/>
      <c r="H5164" s="11" t="str">
        <f ca="1">IFERROR(__xludf.DUMMYFUNCTION("IFERROR(SUBSTITUTE(SUBSTITUTE(REGEXEXTRACT(A5164, ""[^-]+- [^-]+- [^-]+ - (.+?)\.jpg""), "".jpg"", """"), ""-"", "", ""), """")"),"")</f>
        <v/>
      </c>
      <c r="L5164" s="12"/>
      <c r="M5164" s="13"/>
      <c r="N5164" s="2"/>
      <c r="O5164" s="20"/>
      <c r="P5164" s="42"/>
      <c r="R5164" s="23"/>
    </row>
    <row r="5165" spans="1:18" ht="12.75">
      <c r="A5165" s="12"/>
      <c r="D5165" s="12"/>
      <c r="E5165" s="12"/>
      <c r="H5165" s="11" t="str">
        <f ca="1">IFERROR(__xludf.DUMMYFUNCTION("IFERROR(SUBSTITUTE(SUBSTITUTE(REGEXEXTRACT(A5165, ""[^-]+- [^-]+- [^-]+ - (.+?)\.jpg""), "".jpg"", """"), ""-"", "", ""), """")"),"")</f>
        <v/>
      </c>
      <c r="L5165" s="12"/>
      <c r="M5165" s="13"/>
      <c r="N5165" s="2"/>
      <c r="O5165" s="20"/>
      <c r="P5165" s="42"/>
      <c r="R5165" s="23"/>
    </row>
    <row r="5166" spans="1:18" ht="12.75">
      <c r="A5166" s="12"/>
      <c r="D5166" s="12"/>
      <c r="E5166" s="12"/>
      <c r="H5166" s="11" t="str">
        <f ca="1">IFERROR(__xludf.DUMMYFUNCTION("IFERROR(SUBSTITUTE(SUBSTITUTE(REGEXEXTRACT(A5166, ""[^-]+- [^-]+- [^-]+ - (.+?)\.jpg""), "".jpg"", """"), ""-"", "", ""), """")"),"")</f>
        <v/>
      </c>
      <c r="L5166" s="12"/>
      <c r="M5166" s="13"/>
      <c r="N5166" s="2"/>
      <c r="O5166" s="20"/>
      <c r="P5166" s="42"/>
      <c r="R5166" s="23"/>
    </row>
    <row r="5167" spans="1:18" ht="12.75">
      <c r="A5167" s="12"/>
      <c r="D5167" s="12"/>
      <c r="E5167" s="12"/>
      <c r="H5167" s="11" t="str">
        <f ca="1">IFERROR(__xludf.DUMMYFUNCTION("IFERROR(SUBSTITUTE(SUBSTITUTE(REGEXEXTRACT(A5167, ""[^-]+- [^-]+- [^-]+ - (.+?)\.jpg""), "".jpg"", """"), ""-"", "", ""), """")"),"")</f>
        <v/>
      </c>
      <c r="L5167" s="12"/>
      <c r="M5167" s="13"/>
      <c r="N5167" s="2"/>
      <c r="O5167" s="20"/>
      <c r="P5167" s="42"/>
      <c r="R5167" s="23"/>
    </row>
    <row r="5168" spans="1:18" ht="12.75">
      <c r="A5168" s="12"/>
      <c r="D5168" s="12"/>
      <c r="E5168" s="12"/>
      <c r="H5168" s="11" t="str">
        <f ca="1">IFERROR(__xludf.DUMMYFUNCTION("IFERROR(SUBSTITUTE(SUBSTITUTE(REGEXEXTRACT(A5168, ""[^-]+- [^-]+- [^-]+ - (.+?)\.jpg""), "".jpg"", """"), ""-"", "", ""), """")"),"")</f>
        <v/>
      </c>
      <c r="L5168" s="12"/>
      <c r="M5168" s="13"/>
      <c r="N5168" s="2"/>
      <c r="O5168" s="20"/>
      <c r="P5168" s="42"/>
      <c r="R5168" s="23"/>
    </row>
    <row r="5169" spans="1:18" ht="12.75">
      <c r="A5169" s="12"/>
      <c r="D5169" s="12"/>
      <c r="E5169" s="12"/>
      <c r="H5169" s="11" t="str">
        <f ca="1">IFERROR(__xludf.DUMMYFUNCTION("IFERROR(SUBSTITUTE(SUBSTITUTE(REGEXEXTRACT(A5169, ""[^-]+- [^-]+- [^-]+ - (.+?)\.jpg""), "".jpg"", """"), ""-"", "", ""), """")"),"")</f>
        <v/>
      </c>
      <c r="L5169" s="12"/>
      <c r="M5169" s="13"/>
      <c r="N5169" s="2"/>
      <c r="O5169" s="20"/>
      <c r="P5169" s="42"/>
      <c r="R5169" s="23"/>
    </row>
    <row r="5170" spans="1:18" ht="12.75">
      <c r="A5170" s="12"/>
      <c r="D5170" s="12"/>
      <c r="E5170" s="12"/>
      <c r="H5170" s="11" t="str">
        <f ca="1">IFERROR(__xludf.DUMMYFUNCTION("IFERROR(SUBSTITUTE(SUBSTITUTE(REGEXEXTRACT(A5170, ""[^-]+- [^-]+- [^-]+ - (.+?)\.jpg""), "".jpg"", """"), ""-"", "", ""), """")"),"")</f>
        <v/>
      </c>
      <c r="L5170" s="12"/>
      <c r="M5170" s="13"/>
      <c r="N5170" s="2"/>
      <c r="O5170" s="20"/>
      <c r="P5170" s="42"/>
      <c r="R5170" s="23"/>
    </row>
    <row r="5171" spans="1:18" ht="12.75">
      <c r="A5171" s="12"/>
      <c r="D5171" s="12"/>
      <c r="E5171" s="12"/>
      <c r="H5171" s="11" t="str">
        <f ca="1">IFERROR(__xludf.DUMMYFUNCTION("IFERROR(SUBSTITUTE(SUBSTITUTE(REGEXEXTRACT(A5171, ""[^-]+- [^-]+- [^-]+ - (.+?)\.jpg""), "".jpg"", """"), ""-"", "", ""), """")"),"")</f>
        <v/>
      </c>
      <c r="L5171" s="12"/>
      <c r="M5171" s="13"/>
      <c r="N5171" s="2"/>
      <c r="O5171" s="20"/>
      <c r="P5171" s="42"/>
      <c r="R5171" s="23"/>
    </row>
    <row r="5172" spans="1:18" ht="12.75">
      <c r="A5172" s="12"/>
      <c r="D5172" s="12"/>
      <c r="E5172" s="12"/>
      <c r="H5172" s="11" t="str">
        <f ca="1">IFERROR(__xludf.DUMMYFUNCTION("IFERROR(SUBSTITUTE(SUBSTITUTE(REGEXEXTRACT(A5172, ""[^-]+- [^-]+- [^-]+ - (.+?)\.jpg""), "".jpg"", """"), ""-"", "", ""), """")"),"")</f>
        <v/>
      </c>
      <c r="L5172" s="12"/>
      <c r="M5172" s="13"/>
      <c r="N5172" s="2"/>
      <c r="O5172" s="20"/>
      <c r="P5172" s="42"/>
      <c r="R5172" s="23"/>
    </row>
    <row r="5173" spans="1:18" ht="12.75">
      <c r="A5173" s="12"/>
      <c r="D5173" s="12"/>
      <c r="E5173" s="12"/>
      <c r="H5173" s="11" t="str">
        <f ca="1">IFERROR(__xludf.DUMMYFUNCTION("IFERROR(SUBSTITUTE(SUBSTITUTE(REGEXEXTRACT(A5173, ""[^-]+- [^-]+- [^-]+ - (.+?)\.jpg""), "".jpg"", """"), ""-"", "", ""), """")"),"")</f>
        <v/>
      </c>
      <c r="L5173" s="12"/>
      <c r="M5173" s="13"/>
      <c r="N5173" s="2"/>
      <c r="O5173" s="20"/>
      <c r="P5173" s="42"/>
      <c r="R5173" s="23"/>
    </row>
    <row r="5174" spans="1:18" ht="12.75">
      <c r="A5174" s="12"/>
      <c r="D5174" s="12"/>
      <c r="E5174" s="12"/>
      <c r="H5174" s="11" t="str">
        <f ca="1">IFERROR(__xludf.DUMMYFUNCTION("IFERROR(SUBSTITUTE(SUBSTITUTE(REGEXEXTRACT(A5174, ""[^-]+- [^-]+- [^-]+ - (.+?)\.jpg""), "".jpg"", """"), ""-"", "", ""), """")"),"")</f>
        <v/>
      </c>
      <c r="L5174" s="12"/>
      <c r="M5174" s="13"/>
      <c r="N5174" s="2"/>
      <c r="O5174" s="20"/>
      <c r="P5174" s="42"/>
      <c r="R5174" s="23"/>
    </row>
    <row r="5175" spans="1:18" ht="12.75">
      <c r="A5175" s="12"/>
      <c r="D5175" s="12"/>
      <c r="E5175" s="12"/>
      <c r="H5175" s="11" t="str">
        <f ca="1">IFERROR(__xludf.DUMMYFUNCTION("IFERROR(SUBSTITUTE(SUBSTITUTE(REGEXEXTRACT(A5175, ""[^-]+- [^-]+- [^-]+ - (.+?)\.jpg""), "".jpg"", """"), ""-"", "", ""), """")"),"")</f>
        <v/>
      </c>
      <c r="L5175" s="12"/>
      <c r="M5175" s="13"/>
      <c r="N5175" s="2"/>
      <c r="O5175" s="20"/>
      <c r="P5175" s="42"/>
      <c r="R5175" s="23"/>
    </row>
    <row r="5176" spans="1:18" ht="12.75">
      <c r="A5176" s="12"/>
      <c r="D5176" s="12"/>
      <c r="E5176" s="12"/>
      <c r="H5176" s="11" t="str">
        <f ca="1">IFERROR(__xludf.DUMMYFUNCTION("IFERROR(SUBSTITUTE(SUBSTITUTE(REGEXEXTRACT(A5176, ""[^-]+- [^-]+- [^-]+ - (.+?)\.jpg""), "".jpg"", """"), ""-"", "", ""), """")"),"")</f>
        <v/>
      </c>
      <c r="L5176" s="12"/>
      <c r="M5176" s="13"/>
      <c r="N5176" s="2"/>
      <c r="O5176" s="20"/>
      <c r="P5176" s="42"/>
      <c r="R5176" s="23"/>
    </row>
    <row r="5177" spans="1:18" ht="12.75">
      <c r="A5177" s="12"/>
      <c r="D5177" s="12"/>
      <c r="E5177" s="12"/>
      <c r="H5177" s="11" t="str">
        <f ca="1">IFERROR(__xludf.DUMMYFUNCTION("IFERROR(SUBSTITUTE(SUBSTITUTE(REGEXEXTRACT(A5177, ""[^-]+- [^-]+- [^-]+ - (.+?)\.jpg""), "".jpg"", """"), ""-"", "", ""), """")"),"")</f>
        <v/>
      </c>
      <c r="L5177" s="12"/>
      <c r="M5177" s="13"/>
      <c r="N5177" s="2"/>
      <c r="O5177" s="20"/>
      <c r="P5177" s="42"/>
      <c r="R5177" s="23"/>
    </row>
    <row r="5178" spans="1:18" ht="12.75">
      <c r="A5178" s="12"/>
      <c r="D5178" s="12"/>
      <c r="E5178" s="12"/>
      <c r="H5178" s="11" t="str">
        <f ca="1">IFERROR(__xludf.DUMMYFUNCTION("IFERROR(SUBSTITUTE(SUBSTITUTE(REGEXEXTRACT(A5178, ""[^-]+- [^-]+- [^-]+ - (.+?)\.jpg""), "".jpg"", """"), ""-"", "", ""), """")"),"")</f>
        <v/>
      </c>
      <c r="L5178" s="12"/>
      <c r="M5178" s="13"/>
      <c r="N5178" s="2"/>
      <c r="O5178" s="20"/>
      <c r="P5178" s="42"/>
      <c r="R5178" s="23"/>
    </row>
    <row r="5179" spans="1:18" ht="12.75">
      <c r="A5179" s="12"/>
      <c r="D5179" s="12"/>
      <c r="E5179" s="12"/>
      <c r="H5179" s="11" t="str">
        <f ca="1">IFERROR(__xludf.DUMMYFUNCTION("IFERROR(SUBSTITUTE(SUBSTITUTE(REGEXEXTRACT(A5179, ""[^-]+- [^-]+- [^-]+ - (.+?)\.jpg""), "".jpg"", """"), ""-"", "", ""), """")"),"")</f>
        <v/>
      </c>
      <c r="L5179" s="12"/>
      <c r="M5179" s="13"/>
      <c r="N5179" s="2"/>
      <c r="O5179" s="20"/>
      <c r="P5179" s="42"/>
      <c r="R5179" s="23"/>
    </row>
    <row r="5180" spans="1:18" ht="12.75">
      <c r="A5180" s="12"/>
      <c r="D5180" s="12"/>
      <c r="E5180" s="12"/>
      <c r="H5180" s="11" t="str">
        <f ca="1">IFERROR(__xludf.DUMMYFUNCTION("IFERROR(SUBSTITUTE(SUBSTITUTE(REGEXEXTRACT(A5180, ""[^-]+- [^-]+- [^-]+ - (.+?)\.jpg""), "".jpg"", """"), ""-"", "", ""), """")"),"")</f>
        <v/>
      </c>
      <c r="L5180" s="12"/>
      <c r="M5180" s="13"/>
      <c r="N5180" s="2"/>
      <c r="O5180" s="20"/>
      <c r="P5180" s="42"/>
      <c r="R5180" s="23"/>
    </row>
    <row r="5181" spans="1:18" ht="12.75">
      <c r="A5181" s="12"/>
      <c r="D5181" s="12"/>
      <c r="E5181" s="12"/>
      <c r="H5181" s="11" t="str">
        <f ca="1">IFERROR(__xludf.DUMMYFUNCTION("IFERROR(SUBSTITUTE(SUBSTITUTE(REGEXEXTRACT(A5181, ""[^-]+- [^-]+- [^-]+ - (.+?)\.jpg""), "".jpg"", """"), ""-"", "", ""), """")"),"")</f>
        <v/>
      </c>
      <c r="L5181" s="12"/>
      <c r="M5181" s="13"/>
      <c r="N5181" s="2"/>
      <c r="O5181" s="20"/>
      <c r="P5181" s="42"/>
      <c r="R5181" s="23"/>
    </row>
    <row r="5182" spans="1:18" ht="12.75">
      <c r="A5182" s="12"/>
      <c r="D5182" s="12"/>
      <c r="E5182" s="12"/>
      <c r="H5182" s="11" t="str">
        <f ca="1">IFERROR(__xludf.DUMMYFUNCTION("IFERROR(SUBSTITUTE(SUBSTITUTE(REGEXEXTRACT(A5182, ""[^-]+- [^-]+- [^-]+ - (.+?)\.jpg""), "".jpg"", """"), ""-"", "", ""), """")"),"")</f>
        <v/>
      </c>
      <c r="L5182" s="12"/>
      <c r="M5182" s="13"/>
      <c r="N5182" s="2"/>
      <c r="O5182" s="20"/>
      <c r="P5182" s="42"/>
      <c r="R5182" s="23"/>
    </row>
    <row r="5183" spans="1:18" ht="12.75">
      <c r="A5183" s="12"/>
      <c r="D5183" s="12"/>
      <c r="E5183" s="12"/>
      <c r="H5183" s="11" t="str">
        <f ca="1">IFERROR(__xludf.DUMMYFUNCTION("IFERROR(SUBSTITUTE(SUBSTITUTE(REGEXEXTRACT(A5183, ""[^-]+- [^-]+- [^-]+ - (.+?)\.jpg""), "".jpg"", """"), ""-"", "", ""), """")"),"")</f>
        <v/>
      </c>
      <c r="L5183" s="12"/>
      <c r="M5183" s="13"/>
      <c r="N5183" s="2"/>
      <c r="O5183" s="20"/>
      <c r="P5183" s="42"/>
      <c r="R5183" s="23"/>
    </row>
    <row r="5184" spans="1:18" ht="12.75">
      <c r="A5184" s="12"/>
      <c r="D5184" s="12"/>
      <c r="E5184" s="12"/>
      <c r="H5184" s="11" t="str">
        <f ca="1">IFERROR(__xludf.DUMMYFUNCTION("IFERROR(SUBSTITUTE(SUBSTITUTE(REGEXEXTRACT(A5184, ""[^-]+- [^-]+- [^-]+ - (.+?)\.jpg""), "".jpg"", """"), ""-"", "", ""), """")"),"")</f>
        <v/>
      </c>
      <c r="L5184" s="12"/>
      <c r="M5184" s="13"/>
      <c r="N5184" s="2"/>
      <c r="O5184" s="20"/>
      <c r="P5184" s="42"/>
      <c r="R5184" s="23"/>
    </row>
    <row r="5185" spans="1:18" ht="12.75">
      <c r="A5185" s="12"/>
      <c r="D5185" s="12"/>
      <c r="E5185" s="12"/>
      <c r="H5185" s="11" t="str">
        <f ca="1">IFERROR(__xludf.DUMMYFUNCTION("IFERROR(SUBSTITUTE(SUBSTITUTE(REGEXEXTRACT(A5185, ""[^-]+- [^-]+- [^-]+ - (.+?)\.jpg""), "".jpg"", """"), ""-"", "", ""), """")"),"")</f>
        <v/>
      </c>
      <c r="L5185" s="12"/>
      <c r="M5185" s="13"/>
      <c r="N5185" s="2"/>
      <c r="O5185" s="20"/>
      <c r="P5185" s="42"/>
      <c r="R5185" s="23"/>
    </row>
    <row r="5186" spans="1:18" ht="12.75">
      <c r="A5186" s="12"/>
      <c r="D5186" s="12"/>
      <c r="E5186" s="12"/>
      <c r="H5186" s="11" t="str">
        <f ca="1">IFERROR(__xludf.DUMMYFUNCTION("IFERROR(SUBSTITUTE(SUBSTITUTE(REGEXEXTRACT(A5186, ""[^-]+- [^-]+- [^-]+ - (.+?)\.jpg""), "".jpg"", """"), ""-"", "", ""), """")"),"")</f>
        <v/>
      </c>
      <c r="L5186" s="12"/>
      <c r="M5186" s="13"/>
      <c r="N5186" s="2"/>
      <c r="O5186" s="20"/>
      <c r="P5186" s="42"/>
      <c r="R5186" s="23"/>
    </row>
    <row r="5187" spans="1:18" ht="12.75">
      <c r="A5187" s="12"/>
      <c r="D5187" s="12"/>
      <c r="E5187" s="12"/>
      <c r="H5187" s="11" t="str">
        <f ca="1">IFERROR(__xludf.DUMMYFUNCTION("IFERROR(SUBSTITUTE(SUBSTITUTE(REGEXEXTRACT(A5187, ""[^-]+- [^-]+- [^-]+ - (.+?)\.jpg""), "".jpg"", """"), ""-"", "", ""), """")"),"")</f>
        <v/>
      </c>
      <c r="L5187" s="12"/>
      <c r="M5187" s="13"/>
      <c r="N5187" s="2"/>
      <c r="O5187" s="20"/>
      <c r="P5187" s="42"/>
      <c r="R5187" s="23"/>
    </row>
    <row r="5188" spans="1:18" ht="12.75">
      <c r="A5188" s="12"/>
      <c r="D5188" s="12"/>
      <c r="E5188" s="12"/>
      <c r="H5188" s="11" t="str">
        <f ca="1">IFERROR(__xludf.DUMMYFUNCTION("IFERROR(SUBSTITUTE(SUBSTITUTE(REGEXEXTRACT(A5188, ""[^-]+- [^-]+- [^-]+ - (.+?)\.jpg""), "".jpg"", """"), ""-"", "", ""), """")"),"")</f>
        <v/>
      </c>
      <c r="L5188" s="12"/>
      <c r="M5188" s="13"/>
      <c r="N5188" s="2"/>
      <c r="O5188" s="20"/>
      <c r="P5188" s="42"/>
      <c r="R5188" s="23"/>
    </row>
    <row r="5189" spans="1:18" ht="12.75">
      <c r="A5189" s="12"/>
      <c r="D5189" s="12"/>
      <c r="E5189" s="12"/>
      <c r="H5189" s="11" t="str">
        <f ca="1">IFERROR(__xludf.DUMMYFUNCTION("IFERROR(SUBSTITUTE(SUBSTITUTE(REGEXEXTRACT(A5189, ""[^-]+- [^-]+- [^-]+ - (.+?)\.jpg""), "".jpg"", """"), ""-"", "", ""), """")"),"")</f>
        <v/>
      </c>
      <c r="L5189" s="12"/>
      <c r="M5189" s="13"/>
      <c r="N5189" s="2"/>
      <c r="O5189" s="20"/>
      <c r="P5189" s="42"/>
      <c r="R5189" s="23"/>
    </row>
    <row r="5190" spans="1:18" ht="12.75">
      <c r="A5190" s="12"/>
      <c r="D5190" s="12"/>
      <c r="E5190" s="12"/>
      <c r="H5190" s="11" t="str">
        <f ca="1">IFERROR(__xludf.DUMMYFUNCTION("IFERROR(SUBSTITUTE(SUBSTITUTE(REGEXEXTRACT(A5190, ""[^-]+- [^-]+- [^-]+ - (.+?)\.jpg""), "".jpg"", """"), ""-"", "", ""), """")"),"")</f>
        <v/>
      </c>
      <c r="L5190" s="12"/>
      <c r="M5190" s="13"/>
      <c r="N5190" s="2"/>
      <c r="O5190" s="20"/>
      <c r="P5190" s="42"/>
      <c r="R5190" s="23"/>
    </row>
    <row r="5191" spans="1:18" ht="12.75">
      <c r="A5191" s="12"/>
      <c r="D5191" s="12"/>
      <c r="E5191" s="12"/>
      <c r="H5191" s="11" t="str">
        <f ca="1">IFERROR(__xludf.DUMMYFUNCTION("IFERROR(SUBSTITUTE(SUBSTITUTE(REGEXEXTRACT(A5191, ""[^-]+- [^-]+- [^-]+ - (.+?)\.jpg""), "".jpg"", """"), ""-"", "", ""), """")"),"")</f>
        <v/>
      </c>
      <c r="L5191" s="12"/>
      <c r="M5191" s="13"/>
      <c r="N5191" s="2"/>
      <c r="O5191" s="20"/>
      <c r="P5191" s="42"/>
      <c r="R5191" s="23"/>
    </row>
    <row r="5192" spans="1:18" ht="12.75">
      <c r="A5192" s="12"/>
      <c r="D5192" s="12"/>
      <c r="E5192" s="12"/>
      <c r="H5192" s="11" t="str">
        <f ca="1">IFERROR(__xludf.DUMMYFUNCTION("IFERROR(SUBSTITUTE(SUBSTITUTE(REGEXEXTRACT(A5192, ""[^-]+- [^-]+- [^-]+ - (.+?)\.jpg""), "".jpg"", """"), ""-"", "", ""), """")"),"")</f>
        <v/>
      </c>
      <c r="L5192" s="12"/>
      <c r="M5192" s="13"/>
      <c r="N5192" s="2"/>
      <c r="O5192" s="20"/>
      <c r="P5192" s="42"/>
      <c r="R5192" s="23"/>
    </row>
    <row r="5193" spans="1:18" ht="12.75">
      <c r="A5193" s="12"/>
      <c r="D5193" s="12"/>
      <c r="E5193" s="12"/>
      <c r="H5193" s="11" t="str">
        <f ca="1">IFERROR(__xludf.DUMMYFUNCTION("IFERROR(SUBSTITUTE(SUBSTITUTE(REGEXEXTRACT(A5193, ""[^-]+- [^-]+- [^-]+ - (.+?)\.jpg""), "".jpg"", """"), ""-"", "", ""), """")"),"")</f>
        <v/>
      </c>
      <c r="L5193" s="12"/>
      <c r="M5193" s="13"/>
      <c r="N5193" s="2"/>
      <c r="O5193" s="20"/>
      <c r="P5193" s="42"/>
      <c r="R5193" s="23"/>
    </row>
    <row r="5194" spans="1:18" ht="12.75">
      <c r="A5194" s="12"/>
      <c r="D5194" s="12"/>
      <c r="E5194" s="12"/>
      <c r="H5194" s="11" t="str">
        <f ca="1">IFERROR(__xludf.DUMMYFUNCTION("IFERROR(SUBSTITUTE(SUBSTITUTE(REGEXEXTRACT(A5194, ""[^-]+- [^-]+- [^-]+ - (.+?)\.jpg""), "".jpg"", """"), ""-"", "", ""), """")"),"")</f>
        <v/>
      </c>
      <c r="L5194" s="12"/>
      <c r="M5194" s="13"/>
      <c r="N5194" s="2"/>
      <c r="O5194" s="20"/>
      <c r="P5194" s="42"/>
      <c r="R5194" s="23"/>
    </row>
    <row r="5195" spans="1:18" ht="12.75">
      <c r="A5195" s="12"/>
      <c r="D5195" s="12"/>
      <c r="E5195" s="12"/>
      <c r="H5195" s="11" t="str">
        <f ca="1">IFERROR(__xludf.DUMMYFUNCTION("IFERROR(SUBSTITUTE(SUBSTITUTE(REGEXEXTRACT(A5195, ""[^-]+- [^-]+- [^-]+ - (.+?)\.jpg""), "".jpg"", """"), ""-"", "", ""), """")"),"")</f>
        <v/>
      </c>
      <c r="L5195" s="12"/>
      <c r="M5195" s="13"/>
      <c r="N5195" s="2"/>
      <c r="O5195" s="20"/>
      <c r="P5195" s="42"/>
      <c r="R5195" s="23"/>
    </row>
    <row r="5196" spans="1:18" ht="12.75">
      <c r="A5196" s="12"/>
      <c r="D5196" s="12"/>
      <c r="E5196" s="12"/>
      <c r="H5196" s="11" t="str">
        <f ca="1">IFERROR(__xludf.DUMMYFUNCTION("IFERROR(SUBSTITUTE(SUBSTITUTE(REGEXEXTRACT(A5196, ""[^-]+- [^-]+- [^-]+ - (.+?)\.jpg""), "".jpg"", """"), ""-"", "", ""), """")"),"")</f>
        <v/>
      </c>
      <c r="L5196" s="12"/>
      <c r="M5196" s="13"/>
      <c r="N5196" s="2"/>
      <c r="O5196" s="20"/>
      <c r="P5196" s="42"/>
      <c r="R5196" s="23"/>
    </row>
    <row r="5197" spans="1:18" ht="12.75">
      <c r="A5197" s="12"/>
      <c r="D5197" s="12"/>
      <c r="E5197" s="12"/>
      <c r="H5197" s="11" t="str">
        <f ca="1">IFERROR(__xludf.DUMMYFUNCTION("IFERROR(SUBSTITUTE(SUBSTITUTE(REGEXEXTRACT(A5197, ""[^-]+- [^-]+- [^-]+ - (.+?)\.jpg""), "".jpg"", """"), ""-"", "", ""), """")"),"")</f>
        <v/>
      </c>
      <c r="L5197" s="12"/>
      <c r="M5197" s="13"/>
      <c r="N5197" s="2"/>
      <c r="O5197" s="20"/>
      <c r="P5197" s="42"/>
      <c r="R5197" s="23"/>
    </row>
    <row r="5198" spans="1:18" ht="12.75">
      <c r="A5198" s="12"/>
      <c r="D5198" s="12"/>
      <c r="E5198" s="12"/>
      <c r="H5198" s="11" t="str">
        <f ca="1">IFERROR(__xludf.DUMMYFUNCTION("IFERROR(SUBSTITUTE(SUBSTITUTE(REGEXEXTRACT(A5198, ""[^-]+- [^-]+- [^-]+ - (.+?)\.jpg""), "".jpg"", """"), ""-"", "", ""), """")"),"")</f>
        <v/>
      </c>
      <c r="L5198" s="12"/>
      <c r="M5198" s="13"/>
      <c r="N5198" s="2"/>
      <c r="O5198" s="20"/>
      <c r="P5198" s="42"/>
      <c r="R5198" s="23"/>
    </row>
    <row r="5199" spans="1:18" ht="12.75">
      <c r="A5199" s="12"/>
      <c r="D5199" s="12"/>
      <c r="E5199" s="12"/>
      <c r="H5199" s="11" t="str">
        <f ca="1">IFERROR(__xludf.DUMMYFUNCTION("IFERROR(SUBSTITUTE(SUBSTITUTE(REGEXEXTRACT(A5199, ""[^-]+- [^-]+- [^-]+ - (.+?)\.jpg""), "".jpg"", """"), ""-"", "", ""), """")"),"")</f>
        <v/>
      </c>
      <c r="L5199" s="12"/>
      <c r="M5199" s="13"/>
      <c r="N5199" s="2"/>
      <c r="O5199" s="20"/>
      <c r="P5199" s="42"/>
      <c r="R5199" s="23"/>
    </row>
    <row r="5200" spans="1:18" ht="12.75">
      <c r="A5200" s="12"/>
      <c r="D5200" s="12"/>
      <c r="E5200" s="12"/>
      <c r="H5200" s="11" t="str">
        <f ca="1">IFERROR(__xludf.DUMMYFUNCTION("IFERROR(SUBSTITUTE(SUBSTITUTE(REGEXEXTRACT(A5200, ""[^-]+- [^-]+- [^-]+ - (.+?)\.jpg""), "".jpg"", """"), ""-"", "", ""), """")"),"")</f>
        <v/>
      </c>
      <c r="L5200" s="12"/>
      <c r="M5200" s="13"/>
      <c r="N5200" s="2"/>
      <c r="O5200" s="20"/>
      <c r="P5200" s="42"/>
      <c r="R5200" s="23"/>
    </row>
    <row r="5201" spans="1:18" ht="12.75">
      <c r="A5201" s="12"/>
      <c r="D5201" s="12"/>
      <c r="E5201" s="12"/>
      <c r="H5201" s="11" t="str">
        <f ca="1">IFERROR(__xludf.DUMMYFUNCTION("IFERROR(SUBSTITUTE(SUBSTITUTE(REGEXEXTRACT(A5201, ""[^-]+- [^-]+- [^-]+ - (.+?)\.jpg""), "".jpg"", """"), ""-"", "", ""), """")"),"")</f>
        <v/>
      </c>
      <c r="L5201" s="12"/>
      <c r="M5201" s="13"/>
      <c r="N5201" s="2"/>
      <c r="O5201" s="20"/>
      <c r="P5201" s="42"/>
      <c r="R5201" s="23"/>
    </row>
    <row r="5202" spans="1:18" ht="12.75">
      <c r="A5202" s="12"/>
      <c r="D5202" s="12"/>
      <c r="E5202" s="12"/>
      <c r="H5202" s="11" t="str">
        <f ca="1">IFERROR(__xludf.DUMMYFUNCTION("IFERROR(SUBSTITUTE(SUBSTITUTE(REGEXEXTRACT(A5202, ""[^-]+- [^-]+- [^-]+ - (.+?)\.jpg""), "".jpg"", """"), ""-"", "", ""), """")"),"")</f>
        <v/>
      </c>
      <c r="L5202" s="12"/>
      <c r="M5202" s="13"/>
      <c r="N5202" s="2"/>
      <c r="O5202" s="20"/>
      <c r="P5202" s="42"/>
      <c r="R5202" s="23"/>
    </row>
    <row r="5203" spans="1:18" ht="12.75">
      <c r="A5203" s="12"/>
      <c r="D5203" s="12"/>
      <c r="E5203" s="12"/>
      <c r="H5203" s="11" t="str">
        <f ca="1">IFERROR(__xludf.DUMMYFUNCTION("IFERROR(SUBSTITUTE(SUBSTITUTE(REGEXEXTRACT(A5203, ""[^-]+- [^-]+- [^-]+ - (.+?)\.jpg""), "".jpg"", """"), ""-"", "", ""), """")"),"")</f>
        <v/>
      </c>
      <c r="L5203" s="12"/>
      <c r="M5203" s="13"/>
      <c r="N5203" s="2"/>
      <c r="O5203" s="20"/>
      <c r="P5203" s="42"/>
      <c r="R5203" s="23"/>
    </row>
    <row r="5204" spans="1:18" ht="12.75">
      <c r="A5204" s="12"/>
      <c r="D5204" s="12"/>
      <c r="E5204" s="12"/>
      <c r="H5204" s="11" t="str">
        <f ca="1">IFERROR(__xludf.DUMMYFUNCTION("IFERROR(SUBSTITUTE(SUBSTITUTE(REGEXEXTRACT(A5204, ""[^-]+- [^-]+- [^-]+ - (.+?)\.jpg""), "".jpg"", """"), ""-"", "", ""), """")"),"")</f>
        <v/>
      </c>
      <c r="L5204" s="12"/>
      <c r="M5204" s="13"/>
      <c r="N5204" s="2"/>
      <c r="O5204" s="20"/>
      <c r="P5204" s="42"/>
      <c r="R5204" s="23"/>
    </row>
    <row r="5205" spans="1:18" ht="12.75">
      <c r="A5205" s="12"/>
      <c r="D5205" s="12"/>
      <c r="E5205" s="12"/>
      <c r="H5205" s="11" t="str">
        <f ca="1">IFERROR(__xludf.DUMMYFUNCTION("IFERROR(SUBSTITUTE(SUBSTITUTE(REGEXEXTRACT(A5205, ""[^-]+- [^-]+- [^-]+ - (.+?)\.jpg""), "".jpg"", """"), ""-"", "", ""), """")"),"")</f>
        <v/>
      </c>
      <c r="L5205" s="12"/>
      <c r="M5205" s="13"/>
      <c r="N5205" s="2"/>
      <c r="O5205" s="20"/>
      <c r="P5205" s="42"/>
      <c r="R5205" s="23"/>
    </row>
    <row r="5206" spans="1:18" ht="12.75">
      <c r="A5206" s="12"/>
      <c r="D5206" s="12"/>
      <c r="E5206" s="12"/>
      <c r="H5206" s="11" t="str">
        <f ca="1">IFERROR(__xludf.DUMMYFUNCTION("IFERROR(SUBSTITUTE(SUBSTITUTE(REGEXEXTRACT(A5206, ""[^-]+- [^-]+- [^-]+ - (.+?)\.jpg""), "".jpg"", """"), ""-"", "", ""), """")"),"")</f>
        <v/>
      </c>
      <c r="L5206" s="12"/>
      <c r="M5206" s="13"/>
      <c r="N5206" s="2"/>
      <c r="O5206" s="20"/>
      <c r="P5206" s="42"/>
      <c r="R5206" s="23"/>
    </row>
    <row r="5207" spans="1:18" ht="12.75">
      <c r="A5207" s="12"/>
      <c r="D5207" s="12"/>
      <c r="E5207" s="12"/>
      <c r="H5207" s="11" t="str">
        <f ca="1">IFERROR(__xludf.DUMMYFUNCTION("IFERROR(SUBSTITUTE(SUBSTITUTE(REGEXEXTRACT(A5207, ""[^-]+- [^-]+- [^-]+ - (.+?)\.jpg""), "".jpg"", """"), ""-"", "", ""), """")"),"")</f>
        <v/>
      </c>
      <c r="L5207" s="12"/>
      <c r="M5207" s="13"/>
      <c r="N5207" s="2"/>
      <c r="O5207" s="20"/>
      <c r="P5207" s="42"/>
      <c r="R5207" s="23"/>
    </row>
    <row r="5208" spans="1:18" ht="12.75">
      <c r="A5208" s="12"/>
      <c r="D5208" s="12"/>
      <c r="E5208" s="12"/>
      <c r="H5208" s="11" t="str">
        <f ca="1">IFERROR(__xludf.DUMMYFUNCTION("IFERROR(SUBSTITUTE(SUBSTITUTE(REGEXEXTRACT(A5208, ""[^-]+- [^-]+- [^-]+ - (.+?)\.jpg""), "".jpg"", """"), ""-"", "", ""), """")"),"")</f>
        <v/>
      </c>
      <c r="L5208" s="12"/>
      <c r="M5208" s="13"/>
      <c r="N5208" s="2"/>
      <c r="O5208" s="20"/>
      <c r="P5208" s="42"/>
      <c r="R5208" s="23"/>
    </row>
    <row r="5209" spans="1:18" ht="12.75">
      <c r="A5209" s="12"/>
      <c r="D5209" s="12"/>
      <c r="E5209" s="12"/>
      <c r="H5209" s="11" t="str">
        <f ca="1">IFERROR(__xludf.DUMMYFUNCTION("IFERROR(SUBSTITUTE(SUBSTITUTE(REGEXEXTRACT(A5209, ""[^-]+- [^-]+- [^-]+ - (.+?)\.jpg""), "".jpg"", """"), ""-"", "", ""), """")"),"")</f>
        <v/>
      </c>
      <c r="L5209" s="12"/>
      <c r="M5209" s="13"/>
      <c r="N5209" s="2"/>
      <c r="O5209" s="20"/>
      <c r="P5209" s="42"/>
      <c r="R5209" s="23"/>
    </row>
    <row r="5210" spans="1:18" ht="12.75">
      <c r="A5210" s="12"/>
      <c r="D5210" s="12"/>
      <c r="E5210" s="12"/>
      <c r="H5210" s="11" t="str">
        <f ca="1">IFERROR(__xludf.DUMMYFUNCTION("IFERROR(SUBSTITUTE(SUBSTITUTE(REGEXEXTRACT(A5210, ""[^-]+- [^-]+- [^-]+ - (.+?)\.jpg""), "".jpg"", """"), ""-"", "", ""), """")"),"")</f>
        <v/>
      </c>
      <c r="L5210" s="12"/>
      <c r="M5210" s="13"/>
      <c r="N5210" s="2"/>
      <c r="O5210" s="20"/>
      <c r="P5210" s="42"/>
      <c r="R5210" s="23"/>
    </row>
    <row r="5211" spans="1:18" ht="12.75">
      <c r="A5211" s="12"/>
      <c r="D5211" s="12"/>
      <c r="E5211" s="12"/>
      <c r="H5211" s="11" t="str">
        <f ca="1">IFERROR(__xludf.DUMMYFUNCTION("IFERROR(SUBSTITUTE(SUBSTITUTE(REGEXEXTRACT(A5211, ""[^-]+- [^-]+- [^-]+ - (.+?)\.jpg""), "".jpg"", """"), ""-"", "", ""), """")"),"")</f>
        <v/>
      </c>
      <c r="L5211" s="12"/>
      <c r="M5211" s="13"/>
      <c r="N5211" s="2"/>
      <c r="O5211" s="20"/>
      <c r="P5211" s="42"/>
      <c r="R5211" s="23"/>
    </row>
    <row r="5212" spans="1:18" ht="12.75">
      <c r="A5212" s="12"/>
      <c r="D5212" s="12"/>
      <c r="E5212" s="12"/>
      <c r="H5212" s="11" t="str">
        <f ca="1">IFERROR(__xludf.DUMMYFUNCTION("IFERROR(SUBSTITUTE(SUBSTITUTE(REGEXEXTRACT(A5212, ""[^-]+- [^-]+- [^-]+ - (.+?)\.jpg""), "".jpg"", """"), ""-"", "", ""), """")"),"")</f>
        <v/>
      </c>
      <c r="L5212" s="12"/>
      <c r="M5212" s="13"/>
      <c r="N5212" s="2"/>
      <c r="O5212" s="20"/>
      <c r="P5212" s="42"/>
      <c r="R5212" s="23"/>
    </row>
    <row r="5213" spans="1:18" ht="12.75">
      <c r="A5213" s="12"/>
      <c r="D5213" s="12"/>
      <c r="E5213" s="12"/>
      <c r="H5213" s="11" t="str">
        <f ca="1">IFERROR(__xludf.DUMMYFUNCTION("IFERROR(SUBSTITUTE(SUBSTITUTE(REGEXEXTRACT(A5213, ""[^-]+- [^-]+- [^-]+ - (.+?)\.jpg""), "".jpg"", """"), ""-"", "", ""), """")"),"")</f>
        <v/>
      </c>
      <c r="L5213" s="12"/>
      <c r="M5213" s="13"/>
      <c r="N5213" s="2"/>
      <c r="O5213" s="20"/>
      <c r="P5213" s="42"/>
      <c r="R5213" s="23"/>
    </row>
    <row r="5214" spans="1:18" ht="12.75">
      <c r="A5214" s="12"/>
      <c r="D5214" s="12"/>
      <c r="E5214" s="12"/>
      <c r="H5214" s="11" t="str">
        <f ca="1">IFERROR(__xludf.DUMMYFUNCTION("IFERROR(SUBSTITUTE(SUBSTITUTE(REGEXEXTRACT(A5214, ""[^-]+- [^-]+- [^-]+ - (.+?)\.jpg""), "".jpg"", """"), ""-"", "", ""), """")"),"")</f>
        <v/>
      </c>
      <c r="L5214" s="12"/>
      <c r="M5214" s="13"/>
      <c r="N5214" s="2"/>
      <c r="O5214" s="20"/>
      <c r="P5214" s="42"/>
      <c r="R5214" s="23"/>
    </row>
    <row r="5215" spans="1:18" ht="12.75">
      <c r="A5215" s="12"/>
      <c r="D5215" s="12"/>
      <c r="E5215" s="12"/>
      <c r="H5215" s="11" t="str">
        <f ca="1">IFERROR(__xludf.DUMMYFUNCTION("IFERROR(SUBSTITUTE(SUBSTITUTE(REGEXEXTRACT(A5215, ""[^-]+- [^-]+- [^-]+ - (.+?)\.jpg""), "".jpg"", """"), ""-"", "", ""), """")"),"")</f>
        <v/>
      </c>
      <c r="L5215" s="12"/>
      <c r="M5215" s="13"/>
      <c r="N5215" s="2"/>
      <c r="O5215" s="20"/>
      <c r="P5215" s="42"/>
      <c r="R5215" s="23"/>
    </row>
    <row r="5216" spans="1:18" ht="12.75">
      <c r="A5216" s="12"/>
      <c r="D5216" s="12"/>
      <c r="E5216" s="12"/>
      <c r="H5216" s="11" t="str">
        <f ca="1">IFERROR(__xludf.DUMMYFUNCTION("IFERROR(SUBSTITUTE(SUBSTITUTE(REGEXEXTRACT(A5216, ""[^-]+- [^-]+- [^-]+ - (.+?)\.jpg""), "".jpg"", """"), ""-"", "", ""), """")"),"")</f>
        <v/>
      </c>
      <c r="L5216" s="12"/>
      <c r="M5216" s="13"/>
      <c r="N5216" s="2"/>
      <c r="O5216" s="20"/>
      <c r="P5216" s="42"/>
      <c r="R5216" s="23"/>
    </row>
    <row r="5217" spans="1:18" ht="12.75">
      <c r="A5217" s="12"/>
      <c r="D5217" s="12"/>
      <c r="E5217" s="12"/>
      <c r="H5217" s="11" t="str">
        <f ca="1">IFERROR(__xludf.DUMMYFUNCTION("IFERROR(SUBSTITUTE(SUBSTITUTE(REGEXEXTRACT(A5217, ""[^-]+- [^-]+- [^-]+ - (.+?)\.jpg""), "".jpg"", """"), ""-"", "", ""), """")"),"")</f>
        <v/>
      </c>
      <c r="L5217" s="12"/>
      <c r="M5217" s="13"/>
      <c r="N5217" s="2"/>
      <c r="O5217" s="20"/>
      <c r="P5217" s="42"/>
      <c r="R5217" s="23"/>
    </row>
    <row r="5218" spans="1:18" ht="12.75">
      <c r="A5218" s="12"/>
      <c r="D5218" s="12"/>
      <c r="E5218" s="12"/>
      <c r="H5218" s="11" t="str">
        <f ca="1">IFERROR(__xludf.DUMMYFUNCTION("IFERROR(SUBSTITUTE(SUBSTITUTE(REGEXEXTRACT(A5218, ""[^-]+- [^-]+- [^-]+ - (.+?)\.jpg""), "".jpg"", """"), ""-"", "", ""), """")"),"")</f>
        <v/>
      </c>
      <c r="L5218" s="12"/>
      <c r="M5218" s="13"/>
      <c r="N5218" s="2"/>
      <c r="O5218" s="20"/>
      <c r="P5218" s="42"/>
      <c r="R5218" s="23"/>
    </row>
    <row r="5219" spans="1:18" ht="12.75">
      <c r="A5219" s="12"/>
      <c r="D5219" s="12"/>
      <c r="E5219" s="12"/>
      <c r="H5219" s="11" t="str">
        <f ca="1">IFERROR(__xludf.DUMMYFUNCTION("IFERROR(SUBSTITUTE(SUBSTITUTE(REGEXEXTRACT(A5219, ""[^-]+- [^-]+- [^-]+ - (.+?)\.jpg""), "".jpg"", """"), ""-"", "", ""), """")"),"")</f>
        <v/>
      </c>
      <c r="L5219" s="12"/>
      <c r="M5219" s="13"/>
      <c r="N5219" s="2"/>
      <c r="O5219" s="20"/>
      <c r="P5219" s="42"/>
      <c r="R5219" s="23"/>
    </row>
    <row r="5220" spans="1:18" ht="12.75">
      <c r="A5220" s="12"/>
      <c r="D5220" s="12"/>
      <c r="E5220" s="12"/>
      <c r="H5220" s="11" t="str">
        <f ca="1">IFERROR(__xludf.DUMMYFUNCTION("IFERROR(SUBSTITUTE(SUBSTITUTE(REGEXEXTRACT(A5220, ""[^-]+- [^-]+- [^-]+ - (.+?)\.jpg""), "".jpg"", """"), ""-"", "", ""), """")"),"")</f>
        <v/>
      </c>
      <c r="L5220" s="12"/>
      <c r="M5220" s="13"/>
      <c r="N5220" s="2"/>
      <c r="O5220" s="20"/>
      <c r="P5220" s="42"/>
      <c r="R5220" s="23"/>
    </row>
    <row r="5221" spans="1:18" ht="12.75">
      <c r="A5221" s="12"/>
      <c r="D5221" s="12"/>
      <c r="E5221" s="12"/>
      <c r="H5221" s="11" t="str">
        <f ca="1">IFERROR(__xludf.DUMMYFUNCTION("IFERROR(SUBSTITUTE(SUBSTITUTE(REGEXEXTRACT(A5221, ""[^-]+- [^-]+- [^-]+ - (.+?)\.jpg""), "".jpg"", """"), ""-"", "", ""), """")"),"")</f>
        <v/>
      </c>
      <c r="L5221" s="12"/>
      <c r="M5221" s="13"/>
      <c r="N5221" s="2"/>
      <c r="O5221" s="20"/>
      <c r="P5221" s="42"/>
      <c r="R5221" s="23"/>
    </row>
    <row r="5222" spans="1:18" ht="12.75">
      <c r="A5222" s="12"/>
      <c r="D5222" s="12"/>
      <c r="E5222" s="12"/>
      <c r="H5222" s="11" t="str">
        <f ca="1">IFERROR(__xludf.DUMMYFUNCTION("IFERROR(SUBSTITUTE(SUBSTITUTE(REGEXEXTRACT(A5222, ""[^-]+- [^-]+- [^-]+ - (.+?)\.jpg""), "".jpg"", """"), ""-"", "", ""), """")"),"")</f>
        <v/>
      </c>
      <c r="L5222" s="12"/>
      <c r="M5222" s="13"/>
      <c r="N5222" s="2"/>
      <c r="O5222" s="20"/>
      <c r="P5222" s="42"/>
      <c r="R5222" s="23"/>
    </row>
    <row r="5223" spans="1:18" ht="12.75">
      <c r="A5223" s="12"/>
      <c r="D5223" s="12"/>
      <c r="E5223" s="12"/>
      <c r="H5223" s="11" t="str">
        <f ca="1">IFERROR(__xludf.DUMMYFUNCTION("IFERROR(SUBSTITUTE(SUBSTITUTE(REGEXEXTRACT(A5223, ""[^-]+- [^-]+- [^-]+ - (.+?)\.jpg""), "".jpg"", """"), ""-"", "", ""), """")"),"")</f>
        <v/>
      </c>
      <c r="L5223" s="12"/>
      <c r="M5223" s="13"/>
      <c r="N5223" s="2"/>
      <c r="O5223" s="20"/>
      <c r="P5223" s="42"/>
      <c r="R5223" s="23"/>
    </row>
    <row r="5224" spans="1:18" ht="12.75">
      <c r="A5224" s="12"/>
      <c r="D5224" s="12"/>
      <c r="E5224" s="12"/>
      <c r="H5224" s="11" t="str">
        <f ca="1">IFERROR(__xludf.DUMMYFUNCTION("IFERROR(SUBSTITUTE(SUBSTITUTE(REGEXEXTRACT(A5224, ""[^-]+- [^-]+- [^-]+ - (.+?)\.jpg""), "".jpg"", """"), ""-"", "", ""), """")"),"")</f>
        <v/>
      </c>
      <c r="L5224" s="12"/>
      <c r="M5224" s="13"/>
      <c r="N5224" s="2"/>
      <c r="O5224" s="20"/>
      <c r="P5224" s="42"/>
      <c r="R5224" s="23"/>
    </row>
    <row r="5225" spans="1:18" ht="12.75">
      <c r="A5225" s="12"/>
      <c r="D5225" s="12"/>
      <c r="E5225" s="12"/>
      <c r="H5225" s="11" t="str">
        <f ca="1">IFERROR(__xludf.DUMMYFUNCTION("IFERROR(SUBSTITUTE(SUBSTITUTE(REGEXEXTRACT(A5225, ""[^-]+- [^-]+- [^-]+ - (.+?)\.jpg""), "".jpg"", """"), ""-"", "", ""), """")"),"")</f>
        <v/>
      </c>
      <c r="L5225" s="12"/>
      <c r="M5225" s="13"/>
      <c r="N5225" s="2"/>
      <c r="O5225" s="20"/>
      <c r="P5225" s="42"/>
      <c r="R5225" s="23"/>
    </row>
    <row r="5226" spans="1:18" ht="12.75">
      <c r="A5226" s="12"/>
      <c r="D5226" s="12"/>
      <c r="E5226" s="12"/>
      <c r="H5226" s="11" t="str">
        <f ca="1">IFERROR(__xludf.DUMMYFUNCTION("IFERROR(SUBSTITUTE(SUBSTITUTE(REGEXEXTRACT(A5226, ""[^-]+- [^-]+- [^-]+ - (.+?)\.jpg""), "".jpg"", """"), ""-"", "", ""), """")"),"")</f>
        <v/>
      </c>
      <c r="L5226" s="12"/>
      <c r="M5226" s="13"/>
      <c r="N5226" s="2"/>
      <c r="O5226" s="20"/>
      <c r="P5226" s="42"/>
      <c r="R5226" s="23"/>
    </row>
    <row r="5227" spans="1:18" ht="12.75">
      <c r="A5227" s="12"/>
      <c r="D5227" s="12"/>
      <c r="E5227" s="12"/>
      <c r="H5227" s="11" t="str">
        <f ca="1">IFERROR(__xludf.DUMMYFUNCTION("IFERROR(SUBSTITUTE(SUBSTITUTE(REGEXEXTRACT(A5227, ""[^-]+- [^-]+- [^-]+ - (.+?)\.jpg""), "".jpg"", """"), ""-"", "", ""), """")"),"")</f>
        <v/>
      </c>
      <c r="L5227" s="12"/>
      <c r="M5227" s="13"/>
      <c r="N5227" s="2"/>
      <c r="O5227" s="20"/>
      <c r="P5227" s="42"/>
      <c r="R5227" s="23"/>
    </row>
    <row r="5228" spans="1:18" ht="12.75">
      <c r="A5228" s="12"/>
      <c r="D5228" s="12"/>
      <c r="E5228" s="12"/>
      <c r="H5228" s="11" t="str">
        <f ca="1">IFERROR(__xludf.DUMMYFUNCTION("IFERROR(SUBSTITUTE(SUBSTITUTE(REGEXEXTRACT(A5228, ""[^-]+- [^-]+- [^-]+ - (.+?)\.jpg""), "".jpg"", """"), ""-"", "", ""), """")"),"")</f>
        <v/>
      </c>
      <c r="L5228" s="12"/>
      <c r="M5228" s="13"/>
      <c r="N5228" s="2"/>
      <c r="O5228" s="20"/>
      <c r="P5228" s="42"/>
      <c r="R5228" s="23"/>
    </row>
    <row r="5229" spans="1:18" ht="12.75">
      <c r="A5229" s="12"/>
      <c r="D5229" s="12"/>
      <c r="E5229" s="12"/>
      <c r="H5229" s="11" t="str">
        <f ca="1">IFERROR(__xludf.DUMMYFUNCTION("IFERROR(SUBSTITUTE(SUBSTITUTE(REGEXEXTRACT(A5229, ""[^-]+- [^-]+- [^-]+ - (.+?)\.jpg""), "".jpg"", """"), ""-"", "", ""), """")"),"")</f>
        <v/>
      </c>
      <c r="L5229" s="12"/>
      <c r="M5229" s="13"/>
      <c r="N5229" s="2"/>
      <c r="O5229" s="20"/>
      <c r="P5229" s="42"/>
      <c r="R5229" s="23"/>
    </row>
    <row r="5230" spans="1:18" ht="12.75">
      <c r="A5230" s="12"/>
      <c r="D5230" s="12"/>
      <c r="E5230" s="12"/>
      <c r="H5230" s="11" t="str">
        <f ca="1">IFERROR(__xludf.DUMMYFUNCTION("IFERROR(SUBSTITUTE(SUBSTITUTE(REGEXEXTRACT(A5230, ""[^-]+- [^-]+- [^-]+ - (.+?)\.jpg""), "".jpg"", """"), ""-"", "", ""), """")"),"")</f>
        <v/>
      </c>
      <c r="L5230" s="12"/>
      <c r="M5230" s="13"/>
      <c r="N5230" s="2"/>
      <c r="O5230" s="20"/>
      <c r="P5230" s="42"/>
      <c r="R5230" s="23"/>
    </row>
    <row r="5231" spans="1:18" ht="12.75">
      <c r="A5231" s="12"/>
      <c r="D5231" s="12"/>
      <c r="E5231" s="12"/>
      <c r="H5231" s="11" t="str">
        <f ca="1">IFERROR(__xludf.DUMMYFUNCTION("IFERROR(SUBSTITUTE(SUBSTITUTE(REGEXEXTRACT(A5231, ""[^-]+- [^-]+- [^-]+ - (.+?)\.jpg""), "".jpg"", """"), ""-"", "", ""), """")"),"")</f>
        <v/>
      </c>
      <c r="L5231" s="12"/>
      <c r="M5231" s="13"/>
      <c r="N5231" s="2"/>
      <c r="O5231" s="20"/>
      <c r="P5231" s="42"/>
      <c r="R5231" s="23"/>
    </row>
    <row r="5232" spans="1:18" ht="12.75">
      <c r="A5232" s="12"/>
      <c r="D5232" s="12"/>
      <c r="E5232" s="12"/>
      <c r="H5232" s="11" t="str">
        <f ca="1">IFERROR(__xludf.DUMMYFUNCTION("IFERROR(SUBSTITUTE(SUBSTITUTE(REGEXEXTRACT(A5232, ""[^-]+- [^-]+- [^-]+ - (.+?)\.jpg""), "".jpg"", """"), ""-"", "", ""), """")"),"")</f>
        <v/>
      </c>
      <c r="L5232" s="12"/>
      <c r="M5232" s="13"/>
      <c r="N5232" s="2"/>
      <c r="O5232" s="20"/>
      <c r="P5232" s="42"/>
      <c r="R5232" s="23"/>
    </row>
    <row r="5233" spans="1:18" ht="12.75">
      <c r="A5233" s="12"/>
      <c r="D5233" s="12"/>
      <c r="E5233" s="12"/>
      <c r="H5233" s="11" t="str">
        <f ca="1">IFERROR(__xludf.DUMMYFUNCTION("IFERROR(SUBSTITUTE(SUBSTITUTE(REGEXEXTRACT(A5233, ""[^-]+- [^-]+- [^-]+ - (.+?)\.jpg""), "".jpg"", """"), ""-"", "", ""), """")"),"")</f>
        <v/>
      </c>
      <c r="L5233" s="12"/>
      <c r="M5233" s="13"/>
      <c r="N5233" s="2"/>
      <c r="O5233" s="20"/>
      <c r="P5233" s="42"/>
      <c r="R5233" s="23"/>
    </row>
    <row r="5234" spans="1:18" ht="12.75">
      <c r="A5234" s="12"/>
      <c r="D5234" s="12"/>
      <c r="E5234" s="12"/>
      <c r="H5234" s="11" t="str">
        <f ca="1">IFERROR(__xludf.DUMMYFUNCTION("IFERROR(SUBSTITUTE(SUBSTITUTE(REGEXEXTRACT(A5234, ""[^-]+- [^-]+- [^-]+ - (.+?)\.jpg""), "".jpg"", """"), ""-"", "", ""), """")"),"")</f>
        <v/>
      </c>
      <c r="L5234" s="12"/>
      <c r="M5234" s="13"/>
      <c r="N5234" s="2"/>
      <c r="O5234" s="20"/>
      <c r="P5234" s="42"/>
      <c r="R5234" s="23"/>
    </row>
    <row r="5235" spans="1:18" ht="12.75">
      <c r="A5235" s="12"/>
      <c r="D5235" s="12"/>
      <c r="E5235" s="12"/>
      <c r="H5235" s="11" t="str">
        <f ca="1">IFERROR(__xludf.DUMMYFUNCTION("IFERROR(SUBSTITUTE(SUBSTITUTE(REGEXEXTRACT(A5235, ""[^-]+- [^-]+- [^-]+ - (.+?)\.jpg""), "".jpg"", """"), ""-"", "", ""), """")"),"")</f>
        <v/>
      </c>
      <c r="L5235" s="12"/>
      <c r="M5235" s="13"/>
      <c r="N5235" s="2"/>
      <c r="O5235" s="20"/>
      <c r="P5235" s="42"/>
      <c r="R5235" s="23"/>
    </row>
    <row r="5236" spans="1:18" ht="12.75">
      <c r="A5236" s="12"/>
      <c r="D5236" s="12"/>
      <c r="E5236" s="12"/>
      <c r="H5236" s="11" t="str">
        <f ca="1">IFERROR(__xludf.DUMMYFUNCTION("IFERROR(SUBSTITUTE(SUBSTITUTE(REGEXEXTRACT(A5236, ""[^-]+- [^-]+- [^-]+ - (.+?)\.jpg""), "".jpg"", """"), ""-"", "", ""), """")"),"")</f>
        <v/>
      </c>
      <c r="L5236" s="12"/>
      <c r="M5236" s="13"/>
      <c r="N5236" s="2"/>
      <c r="O5236" s="20"/>
      <c r="P5236" s="42"/>
      <c r="R5236" s="23"/>
    </row>
    <row r="5237" spans="1:18" ht="12.75">
      <c r="A5237" s="12"/>
      <c r="D5237" s="12"/>
      <c r="E5237" s="12"/>
      <c r="H5237" s="11" t="str">
        <f ca="1">IFERROR(__xludf.DUMMYFUNCTION("IFERROR(SUBSTITUTE(SUBSTITUTE(REGEXEXTRACT(A5237, ""[^-]+- [^-]+- [^-]+ - (.+?)\.jpg""), "".jpg"", """"), ""-"", "", ""), """")"),"")</f>
        <v/>
      </c>
      <c r="L5237" s="12"/>
      <c r="M5237" s="13"/>
      <c r="N5237" s="2"/>
      <c r="O5237" s="20"/>
      <c r="P5237" s="42"/>
      <c r="R5237" s="23"/>
    </row>
    <row r="5238" spans="1:18" ht="12.75">
      <c r="A5238" s="12"/>
      <c r="D5238" s="12"/>
      <c r="E5238" s="12"/>
      <c r="H5238" s="11" t="str">
        <f ca="1">IFERROR(__xludf.DUMMYFUNCTION("IFERROR(SUBSTITUTE(SUBSTITUTE(REGEXEXTRACT(A5238, ""[^-]+- [^-]+- [^-]+ - (.+?)\.jpg""), "".jpg"", """"), ""-"", "", ""), """")"),"")</f>
        <v/>
      </c>
      <c r="L5238" s="12"/>
      <c r="M5238" s="13"/>
      <c r="N5238" s="2"/>
      <c r="O5238" s="20"/>
      <c r="P5238" s="42"/>
      <c r="R5238" s="23"/>
    </row>
    <row r="5239" spans="1:18" ht="12.75">
      <c r="A5239" s="12"/>
      <c r="D5239" s="12"/>
      <c r="E5239" s="12"/>
      <c r="H5239" s="11" t="str">
        <f ca="1">IFERROR(__xludf.DUMMYFUNCTION("IFERROR(SUBSTITUTE(SUBSTITUTE(REGEXEXTRACT(A5239, ""[^-]+- [^-]+- [^-]+ - (.+?)\.jpg""), "".jpg"", """"), ""-"", "", ""), """")"),"")</f>
        <v/>
      </c>
      <c r="L5239" s="12"/>
      <c r="M5239" s="13"/>
      <c r="N5239" s="2"/>
      <c r="O5239" s="20"/>
      <c r="P5239" s="42"/>
      <c r="R5239" s="23"/>
    </row>
    <row r="5240" spans="1:18" ht="12.75">
      <c r="A5240" s="12"/>
      <c r="D5240" s="12"/>
      <c r="E5240" s="12"/>
      <c r="H5240" s="11" t="str">
        <f ca="1">IFERROR(__xludf.DUMMYFUNCTION("IFERROR(SUBSTITUTE(SUBSTITUTE(REGEXEXTRACT(A5240, ""[^-]+- [^-]+- [^-]+ - (.+?)\.jpg""), "".jpg"", """"), ""-"", "", ""), """")"),"")</f>
        <v/>
      </c>
      <c r="L5240" s="12"/>
      <c r="M5240" s="13"/>
      <c r="N5240" s="2"/>
      <c r="O5240" s="20"/>
      <c r="P5240" s="42"/>
      <c r="R5240" s="23"/>
    </row>
    <row r="5241" spans="1:18" ht="12.75">
      <c r="A5241" s="12"/>
      <c r="D5241" s="12"/>
      <c r="E5241" s="12"/>
      <c r="H5241" s="11" t="str">
        <f ca="1">IFERROR(__xludf.DUMMYFUNCTION("IFERROR(SUBSTITUTE(SUBSTITUTE(REGEXEXTRACT(A5241, ""[^-]+- [^-]+- [^-]+ - (.+?)\.jpg""), "".jpg"", """"), ""-"", "", ""), """")"),"")</f>
        <v/>
      </c>
      <c r="L5241" s="12"/>
      <c r="M5241" s="13"/>
      <c r="N5241" s="2"/>
      <c r="O5241" s="20"/>
      <c r="P5241" s="42"/>
      <c r="R5241" s="23"/>
    </row>
    <row r="5242" spans="1:18" ht="12.75">
      <c r="A5242" s="12"/>
      <c r="D5242" s="12"/>
      <c r="E5242" s="12"/>
      <c r="H5242" s="11" t="str">
        <f ca="1">IFERROR(__xludf.DUMMYFUNCTION("IFERROR(SUBSTITUTE(SUBSTITUTE(REGEXEXTRACT(A5242, ""[^-]+- [^-]+- [^-]+ - (.+?)\.jpg""), "".jpg"", """"), ""-"", "", ""), """")"),"")</f>
        <v/>
      </c>
      <c r="L5242" s="12"/>
      <c r="M5242" s="13"/>
      <c r="N5242" s="2"/>
      <c r="O5242" s="20"/>
      <c r="P5242" s="42"/>
      <c r="R5242" s="23"/>
    </row>
    <row r="5243" spans="1:18" ht="12.75">
      <c r="A5243" s="12"/>
      <c r="D5243" s="12"/>
      <c r="E5243" s="12"/>
      <c r="H5243" s="11" t="str">
        <f ca="1">IFERROR(__xludf.DUMMYFUNCTION("IFERROR(SUBSTITUTE(SUBSTITUTE(REGEXEXTRACT(A5243, ""[^-]+- [^-]+- [^-]+ - (.+?)\.jpg""), "".jpg"", """"), ""-"", "", ""), """")"),"")</f>
        <v/>
      </c>
      <c r="L5243" s="12"/>
      <c r="M5243" s="13"/>
      <c r="N5243" s="2"/>
      <c r="O5243" s="20"/>
      <c r="P5243" s="42"/>
      <c r="R5243" s="23"/>
    </row>
    <row r="5244" spans="1:18" ht="12.75">
      <c r="A5244" s="12"/>
      <c r="D5244" s="12"/>
      <c r="E5244" s="12"/>
      <c r="H5244" s="11" t="str">
        <f ca="1">IFERROR(__xludf.DUMMYFUNCTION("IFERROR(SUBSTITUTE(SUBSTITUTE(REGEXEXTRACT(A5244, ""[^-]+- [^-]+- [^-]+ - (.+?)\.jpg""), "".jpg"", """"), ""-"", "", ""), """")"),"")</f>
        <v/>
      </c>
      <c r="L5244" s="12"/>
      <c r="M5244" s="13"/>
      <c r="N5244" s="2"/>
      <c r="O5244" s="20"/>
      <c r="P5244" s="42"/>
      <c r="R5244" s="23"/>
    </row>
    <row r="5245" spans="1:18" ht="12.75">
      <c r="A5245" s="12"/>
      <c r="D5245" s="12"/>
      <c r="E5245" s="12"/>
      <c r="H5245" s="11" t="str">
        <f ca="1">IFERROR(__xludf.DUMMYFUNCTION("IFERROR(SUBSTITUTE(SUBSTITUTE(REGEXEXTRACT(A5245, ""[^-]+- [^-]+- [^-]+ - (.+?)\.jpg""), "".jpg"", """"), ""-"", "", ""), """")"),"")</f>
        <v/>
      </c>
      <c r="L5245" s="12"/>
      <c r="M5245" s="13"/>
      <c r="N5245" s="2"/>
      <c r="O5245" s="20"/>
      <c r="P5245" s="42"/>
      <c r="R5245" s="23"/>
    </row>
    <row r="5246" spans="1:18" ht="12.75">
      <c r="A5246" s="12"/>
      <c r="D5246" s="12"/>
      <c r="E5246" s="12"/>
      <c r="H5246" s="11" t="str">
        <f ca="1">IFERROR(__xludf.DUMMYFUNCTION("IFERROR(SUBSTITUTE(SUBSTITUTE(REGEXEXTRACT(A5246, ""[^-]+- [^-]+- [^-]+ - (.+?)\.jpg""), "".jpg"", """"), ""-"", "", ""), """")"),"")</f>
        <v/>
      </c>
      <c r="L5246" s="12"/>
      <c r="M5246" s="13"/>
      <c r="N5246" s="2"/>
      <c r="O5246" s="20"/>
      <c r="P5246" s="42"/>
      <c r="R5246" s="23"/>
    </row>
    <row r="5247" spans="1:18" ht="12.75">
      <c r="A5247" s="12"/>
      <c r="D5247" s="12"/>
      <c r="E5247" s="12"/>
      <c r="H5247" s="11" t="str">
        <f ca="1">IFERROR(__xludf.DUMMYFUNCTION("IFERROR(SUBSTITUTE(SUBSTITUTE(REGEXEXTRACT(A5247, ""[^-]+- [^-]+- [^-]+ - (.+?)\.jpg""), "".jpg"", """"), ""-"", "", ""), """")"),"")</f>
        <v/>
      </c>
      <c r="L5247" s="12"/>
      <c r="M5247" s="13"/>
      <c r="N5247" s="2"/>
      <c r="O5247" s="20"/>
      <c r="P5247" s="42"/>
      <c r="R5247" s="23"/>
    </row>
    <row r="5248" spans="1:18" ht="12.75">
      <c r="A5248" s="12"/>
      <c r="D5248" s="12"/>
      <c r="E5248" s="12"/>
      <c r="H5248" s="11" t="str">
        <f ca="1">IFERROR(__xludf.DUMMYFUNCTION("IFERROR(SUBSTITUTE(SUBSTITUTE(REGEXEXTRACT(A5248, ""[^-]+- [^-]+- [^-]+ - (.+?)\.jpg""), "".jpg"", """"), ""-"", "", ""), """")"),"")</f>
        <v/>
      </c>
      <c r="L5248" s="12"/>
      <c r="M5248" s="13"/>
      <c r="N5248" s="2"/>
      <c r="O5248" s="20"/>
      <c r="P5248" s="42"/>
      <c r="R5248" s="23"/>
    </row>
    <row r="5249" spans="1:18" ht="12.75">
      <c r="A5249" s="12"/>
      <c r="D5249" s="12"/>
      <c r="E5249" s="12"/>
      <c r="H5249" s="11" t="str">
        <f ca="1">IFERROR(__xludf.DUMMYFUNCTION("IFERROR(SUBSTITUTE(SUBSTITUTE(REGEXEXTRACT(A5249, ""[^-]+- [^-]+- [^-]+ - (.+?)\.jpg""), "".jpg"", """"), ""-"", "", ""), """")"),"")</f>
        <v/>
      </c>
      <c r="L5249" s="12"/>
      <c r="M5249" s="13"/>
      <c r="N5249" s="2"/>
      <c r="O5249" s="20"/>
      <c r="P5249" s="42"/>
      <c r="R5249" s="23"/>
    </row>
    <row r="5250" spans="1:18" ht="12.75">
      <c r="A5250" s="12"/>
      <c r="D5250" s="12"/>
      <c r="E5250" s="12"/>
      <c r="H5250" s="11" t="str">
        <f ca="1">IFERROR(__xludf.DUMMYFUNCTION("IFERROR(SUBSTITUTE(SUBSTITUTE(REGEXEXTRACT(A5250, ""[^-]+- [^-]+- [^-]+ - (.+?)\.jpg""), "".jpg"", """"), ""-"", "", ""), """")"),"")</f>
        <v/>
      </c>
      <c r="L5250" s="12"/>
      <c r="M5250" s="13"/>
      <c r="N5250" s="2"/>
      <c r="O5250" s="20"/>
      <c r="P5250" s="42"/>
      <c r="R5250" s="23"/>
    </row>
    <row r="5251" spans="1:18" ht="12.75">
      <c r="A5251" s="12"/>
      <c r="D5251" s="12"/>
      <c r="E5251" s="12"/>
      <c r="H5251" s="11" t="str">
        <f ca="1">IFERROR(__xludf.DUMMYFUNCTION("IFERROR(SUBSTITUTE(SUBSTITUTE(REGEXEXTRACT(A5251, ""[^-]+- [^-]+- [^-]+ - (.+?)\.jpg""), "".jpg"", """"), ""-"", "", ""), """")"),"")</f>
        <v/>
      </c>
      <c r="L5251" s="12"/>
      <c r="M5251" s="13"/>
      <c r="N5251" s="2"/>
      <c r="O5251" s="20"/>
      <c r="P5251" s="42"/>
      <c r="R5251" s="23"/>
    </row>
    <row r="5252" spans="1:18" ht="12.75">
      <c r="A5252" s="12"/>
      <c r="D5252" s="12"/>
      <c r="E5252" s="12"/>
      <c r="H5252" s="11" t="str">
        <f ca="1">IFERROR(__xludf.DUMMYFUNCTION("IFERROR(SUBSTITUTE(SUBSTITUTE(REGEXEXTRACT(A5252, ""[^-]+- [^-]+- [^-]+ - (.+?)\.jpg""), "".jpg"", """"), ""-"", "", ""), """")"),"")</f>
        <v/>
      </c>
      <c r="L5252" s="12"/>
      <c r="M5252" s="13"/>
      <c r="N5252" s="2"/>
      <c r="O5252" s="20"/>
      <c r="P5252" s="42"/>
      <c r="R5252" s="23"/>
    </row>
    <row r="5253" spans="1:18" ht="12.75">
      <c r="A5253" s="12"/>
      <c r="D5253" s="12"/>
      <c r="E5253" s="12"/>
      <c r="H5253" s="11" t="str">
        <f ca="1">IFERROR(__xludf.DUMMYFUNCTION("IFERROR(SUBSTITUTE(SUBSTITUTE(REGEXEXTRACT(A5253, ""[^-]+- [^-]+- [^-]+ - (.+?)\.jpg""), "".jpg"", """"), ""-"", "", ""), """")"),"")</f>
        <v/>
      </c>
      <c r="L5253" s="12"/>
      <c r="M5253" s="13"/>
      <c r="N5253" s="2"/>
      <c r="O5253" s="20"/>
      <c r="P5253" s="42"/>
      <c r="R5253" s="23"/>
    </row>
    <row r="5254" spans="1:18" ht="12.75">
      <c r="A5254" s="12"/>
      <c r="D5254" s="12"/>
      <c r="E5254" s="12"/>
      <c r="H5254" s="11" t="str">
        <f ca="1">IFERROR(__xludf.DUMMYFUNCTION("IFERROR(SUBSTITUTE(SUBSTITUTE(REGEXEXTRACT(A5254, ""[^-]+- [^-]+- [^-]+ - (.+?)\.jpg""), "".jpg"", """"), ""-"", "", ""), """")"),"")</f>
        <v/>
      </c>
      <c r="L5254" s="12"/>
      <c r="M5254" s="13"/>
      <c r="N5254" s="2"/>
      <c r="O5254" s="20"/>
      <c r="P5254" s="42"/>
      <c r="R5254" s="23"/>
    </row>
    <row r="5255" spans="1:18" ht="12.75">
      <c r="A5255" s="12"/>
      <c r="D5255" s="12"/>
      <c r="E5255" s="12"/>
      <c r="H5255" s="11" t="str">
        <f ca="1">IFERROR(__xludf.DUMMYFUNCTION("IFERROR(SUBSTITUTE(SUBSTITUTE(REGEXEXTRACT(A5255, ""[^-]+- [^-]+- [^-]+ - (.+?)\.jpg""), "".jpg"", """"), ""-"", "", ""), """")"),"")</f>
        <v/>
      </c>
      <c r="L5255" s="12"/>
      <c r="M5255" s="13"/>
      <c r="N5255" s="2"/>
      <c r="O5255" s="20"/>
      <c r="P5255" s="42"/>
      <c r="R5255" s="23"/>
    </row>
    <row r="5256" spans="1:18" ht="12.75">
      <c r="A5256" s="12"/>
      <c r="D5256" s="12"/>
      <c r="E5256" s="12"/>
      <c r="H5256" s="11" t="str">
        <f ca="1">IFERROR(__xludf.DUMMYFUNCTION("IFERROR(SUBSTITUTE(SUBSTITUTE(REGEXEXTRACT(A5256, ""[^-]+- [^-]+- [^-]+ - (.+?)\.jpg""), "".jpg"", """"), ""-"", "", ""), """")"),"")</f>
        <v/>
      </c>
      <c r="L5256" s="12"/>
      <c r="M5256" s="13"/>
      <c r="N5256" s="2"/>
      <c r="O5256" s="20"/>
      <c r="P5256" s="42"/>
      <c r="R5256" s="23"/>
    </row>
    <row r="5257" spans="1:18" ht="12.75">
      <c r="A5257" s="12"/>
      <c r="D5257" s="12"/>
      <c r="E5257" s="12"/>
      <c r="H5257" s="11" t="str">
        <f ca="1">IFERROR(__xludf.DUMMYFUNCTION("IFERROR(SUBSTITUTE(SUBSTITUTE(REGEXEXTRACT(A5257, ""[^-]+- [^-]+- [^-]+ - (.+?)\.jpg""), "".jpg"", """"), ""-"", "", ""), """")"),"")</f>
        <v/>
      </c>
      <c r="L5257" s="12"/>
      <c r="M5257" s="13"/>
      <c r="N5257" s="2"/>
      <c r="O5257" s="20"/>
      <c r="P5257" s="42"/>
      <c r="R5257" s="23"/>
    </row>
    <row r="5258" spans="1:18" ht="12.75">
      <c r="A5258" s="12"/>
      <c r="D5258" s="12"/>
      <c r="E5258" s="12"/>
      <c r="H5258" s="11" t="str">
        <f ca="1">IFERROR(__xludf.DUMMYFUNCTION("IFERROR(SUBSTITUTE(SUBSTITUTE(REGEXEXTRACT(A5258, ""[^-]+- [^-]+- [^-]+ - (.+?)\.jpg""), "".jpg"", """"), ""-"", "", ""), """")"),"")</f>
        <v/>
      </c>
      <c r="L5258" s="12"/>
      <c r="M5258" s="13"/>
      <c r="N5258" s="2"/>
      <c r="O5258" s="20"/>
      <c r="P5258" s="42"/>
      <c r="R5258" s="23"/>
    </row>
    <row r="5259" spans="1:18" ht="12.75">
      <c r="A5259" s="12"/>
      <c r="D5259" s="12"/>
      <c r="E5259" s="12"/>
      <c r="H5259" s="11" t="str">
        <f ca="1">IFERROR(__xludf.DUMMYFUNCTION("IFERROR(SUBSTITUTE(SUBSTITUTE(REGEXEXTRACT(A5259, ""[^-]+- [^-]+- [^-]+ - (.+?)\.jpg""), "".jpg"", """"), ""-"", "", ""), """")"),"")</f>
        <v/>
      </c>
      <c r="L5259" s="12"/>
      <c r="M5259" s="13"/>
      <c r="N5259" s="2"/>
      <c r="O5259" s="20"/>
      <c r="P5259" s="42"/>
      <c r="R5259" s="23"/>
    </row>
    <row r="5260" spans="1:18" ht="12.75">
      <c r="A5260" s="12"/>
      <c r="D5260" s="12"/>
      <c r="E5260" s="12"/>
      <c r="H5260" s="11" t="str">
        <f ca="1">IFERROR(__xludf.DUMMYFUNCTION("IFERROR(SUBSTITUTE(SUBSTITUTE(REGEXEXTRACT(A5260, ""[^-]+- [^-]+- [^-]+ - (.+?)\.jpg""), "".jpg"", """"), ""-"", "", ""), """")"),"")</f>
        <v/>
      </c>
      <c r="L5260" s="12"/>
      <c r="M5260" s="13"/>
      <c r="N5260" s="2"/>
      <c r="O5260" s="20"/>
      <c r="P5260" s="42"/>
      <c r="R5260" s="23"/>
    </row>
    <row r="5261" spans="1:18" ht="12.75">
      <c r="A5261" s="12"/>
      <c r="D5261" s="12"/>
      <c r="E5261" s="12"/>
      <c r="H5261" s="11" t="str">
        <f ca="1">IFERROR(__xludf.DUMMYFUNCTION("IFERROR(SUBSTITUTE(SUBSTITUTE(REGEXEXTRACT(A5261, ""[^-]+- [^-]+- [^-]+ - (.+?)\.jpg""), "".jpg"", """"), ""-"", "", ""), """")"),"")</f>
        <v/>
      </c>
      <c r="L5261" s="12"/>
      <c r="M5261" s="13"/>
      <c r="N5261" s="2"/>
      <c r="O5261" s="20"/>
      <c r="P5261" s="42"/>
      <c r="R5261" s="23"/>
    </row>
    <row r="5262" spans="1:18" ht="12.75">
      <c r="A5262" s="12"/>
      <c r="D5262" s="12"/>
      <c r="E5262" s="12"/>
      <c r="H5262" s="11" t="str">
        <f ca="1">IFERROR(__xludf.DUMMYFUNCTION("IFERROR(SUBSTITUTE(SUBSTITUTE(REGEXEXTRACT(A5262, ""[^-]+- [^-]+- [^-]+ - (.+?)\.jpg""), "".jpg"", """"), ""-"", "", ""), """")"),"")</f>
        <v/>
      </c>
      <c r="L5262" s="12"/>
      <c r="M5262" s="13"/>
      <c r="N5262" s="2"/>
      <c r="O5262" s="20"/>
      <c r="P5262" s="42"/>
      <c r="R5262" s="23"/>
    </row>
    <row r="5263" spans="1:18" ht="12.75">
      <c r="A5263" s="12"/>
      <c r="D5263" s="12"/>
      <c r="E5263" s="12"/>
      <c r="H5263" s="11" t="str">
        <f ca="1">IFERROR(__xludf.DUMMYFUNCTION("IFERROR(SUBSTITUTE(SUBSTITUTE(REGEXEXTRACT(A5263, ""[^-]+- [^-]+- [^-]+ - (.+?)\.jpg""), "".jpg"", """"), ""-"", "", ""), """")"),"")</f>
        <v/>
      </c>
      <c r="L5263" s="12"/>
      <c r="M5263" s="13"/>
      <c r="N5263" s="2"/>
      <c r="O5263" s="20"/>
      <c r="P5263" s="42"/>
      <c r="R5263" s="23"/>
    </row>
    <row r="5264" spans="1:18" ht="12.75">
      <c r="A5264" s="12"/>
      <c r="D5264" s="12"/>
      <c r="E5264" s="12"/>
      <c r="H5264" s="11" t="str">
        <f ca="1">IFERROR(__xludf.DUMMYFUNCTION("IFERROR(SUBSTITUTE(SUBSTITUTE(REGEXEXTRACT(A5264, ""[^-]+- [^-]+- [^-]+ - (.+?)\.jpg""), "".jpg"", """"), ""-"", "", ""), """")"),"")</f>
        <v/>
      </c>
      <c r="L5264" s="12"/>
      <c r="M5264" s="13"/>
      <c r="N5264" s="2"/>
      <c r="O5264" s="20"/>
      <c r="P5264" s="42"/>
      <c r="R5264" s="23"/>
    </row>
    <row r="5265" spans="1:18" ht="12.75">
      <c r="A5265" s="12"/>
      <c r="D5265" s="12"/>
      <c r="E5265" s="12"/>
      <c r="H5265" s="11" t="str">
        <f ca="1">IFERROR(__xludf.DUMMYFUNCTION("IFERROR(SUBSTITUTE(SUBSTITUTE(REGEXEXTRACT(A5265, ""[^-]+- [^-]+- [^-]+ - (.+?)\.jpg""), "".jpg"", """"), ""-"", "", ""), """")"),"")</f>
        <v/>
      </c>
      <c r="L5265" s="12"/>
      <c r="M5265" s="13"/>
      <c r="N5265" s="2"/>
      <c r="O5265" s="20"/>
      <c r="P5265" s="42"/>
      <c r="R5265" s="23"/>
    </row>
    <row r="5266" spans="1:18" ht="12.75">
      <c r="A5266" s="12"/>
      <c r="D5266" s="12"/>
      <c r="E5266" s="12"/>
      <c r="H5266" s="11" t="str">
        <f ca="1">IFERROR(__xludf.DUMMYFUNCTION("IFERROR(SUBSTITUTE(SUBSTITUTE(REGEXEXTRACT(A5266, ""[^-]+- [^-]+- [^-]+ - (.+?)\.jpg""), "".jpg"", """"), ""-"", "", ""), """")"),"")</f>
        <v/>
      </c>
      <c r="L5266" s="12"/>
      <c r="M5266" s="13"/>
      <c r="N5266" s="2"/>
      <c r="O5266" s="20"/>
      <c r="P5266" s="42"/>
      <c r="R5266" s="23"/>
    </row>
    <row r="5267" spans="1:18" ht="12.75">
      <c r="A5267" s="12"/>
      <c r="D5267" s="12"/>
      <c r="E5267" s="12"/>
      <c r="H5267" s="11" t="str">
        <f ca="1">IFERROR(__xludf.DUMMYFUNCTION("IFERROR(SUBSTITUTE(SUBSTITUTE(REGEXEXTRACT(A5267, ""[^-]+- [^-]+- [^-]+ - (.+?)\.jpg""), "".jpg"", """"), ""-"", "", ""), """")"),"")</f>
        <v/>
      </c>
      <c r="L5267" s="12"/>
      <c r="M5267" s="13"/>
      <c r="N5267" s="2"/>
      <c r="O5267" s="20"/>
      <c r="P5267" s="42"/>
      <c r="R5267" s="23"/>
    </row>
    <row r="5268" spans="1:18" ht="12.75">
      <c r="A5268" s="12"/>
      <c r="D5268" s="12"/>
      <c r="E5268" s="12"/>
      <c r="H5268" s="11" t="str">
        <f ca="1">IFERROR(__xludf.DUMMYFUNCTION("IFERROR(SUBSTITUTE(SUBSTITUTE(REGEXEXTRACT(A5268, ""[^-]+- [^-]+- [^-]+ - (.+?)\.jpg""), "".jpg"", """"), ""-"", "", ""), """")"),"")</f>
        <v/>
      </c>
      <c r="L5268" s="12"/>
      <c r="M5268" s="13"/>
      <c r="N5268" s="2"/>
      <c r="O5268" s="20"/>
      <c r="P5268" s="42"/>
      <c r="R5268" s="23"/>
    </row>
    <row r="5269" spans="1:18" ht="12.75">
      <c r="A5269" s="12"/>
      <c r="D5269" s="12"/>
      <c r="E5269" s="12"/>
      <c r="H5269" s="11" t="str">
        <f ca="1">IFERROR(__xludf.DUMMYFUNCTION("IFERROR(SUBSTITUTE(SUBSTITUTE(REGEXEXTRACT(A5269, ""[^-]+- [^-]+- [^-]+ - (.+?)\.jpg""), "".jpg"", """"), ""-"", "", ""), """")"),"")</f>
        <v/>
      </c>
      <c r="L5269" s="12"/>
      <c r="M5269" s="13"/>
      <c r="N5269" s="2"/>
      <c r="O5269" s="20"/>
      <c r="P5269" s="42"/>
      <c r="R5269" s="23"/>
    </row>
    <row r="5270" spans="1:18" ht="12.75">
      <c r="A5270" s="12"/>
      <c r="D5270" s="12"/>
      <c r="E5270" s="12"/>
      <c r="H5270" s="11" t="str">
        <f ca="1">IFERROR(__xludf.DUMMYFUNCTION("IFERROR(SUBSTITUTE(SUBSTITUTE(REGEXEXTRACT(A5270, ""[^-]+- [^-]+- [^-]+ - (.+?)\.jpg""), "".jpg"", """"), ""-"", "", ""), """")"),"")</f>
        <v/>
      </c>
      <c r="L5270" s="12"/>
      <c r="M5270" s="13"/>
      <c r="N5270" s="2"/>
      <c r="O5270" s="20"/>
      <c r="P5270" s="42"/>
      <c r="R5270" s="23"/>
    </row>
    <row r="5271" spans="1:18" ht="12.75">
      <c r="A5271" s="12"/>
      <c r="D5271" s="12"/>
      <c r="E5271" s="12"/>
      <c r="H5271" s="11" t="str">
        <f ca="1">IFERROR(__xludf.DUMMYFUNCTION("IFERROR(SUBSTITUTE(SUBSTITUTE(REGEXEXTRACT(A5271, ""[^-]+- [^-]+- [^-]+ - (.+?)\.jpg""), "".jpg"", """"), ""-"", "", ""), """")"),"")</f>
        <v/>
      </c>
      <c r="L5271" s="12"/>
      <c r="M5271" s="13"/>
      <c r="N5271" s="2"/>
      <c r="O5271" s="20"/>
      <c r="P5271" s="42"/>
      <c r="R5271" s="23"/>
    </row>
    <row r="5272" spans="1:18" ht="12.75">
      <c r="A5272" s="12"/>
      <c r="D5272" s="12"/>
      <c r="E5272" s="12"/>
      <c r="H5272" s="11" t="str">
        <f ca="1">IFERROR(__xludf.DUMMYFUNCTION("IFERROR(SUBSTITUTE(SUBSTITUTE(REGEXEXTRACT(A5272, ""[^-]+- [^-]+- [^-]+ - (.+?)\.jpg""), "".jpg"", """"), ""-"", "", ""), """")"),"")</f>
        <v/>
      </c>
      <c r="L5272" s="12"/>
      <c r="M5272" s="13"/>
      <c r="N5272" s="2"/>
      <c r="O5272" s="20"/>
      <c r="P5272" s="42"/>
      <c r="R5272" s="23"/>
    </row>
    <row r="5273" spans="1:18" ht="12.75">
      <c r="A5273" s="12"/>
      <c r="D5273" s="12"/>
      <c r="E5273" s="12"/>
      <c r="H5273" s="11" t="str">
        <f ca="1">IFERROR(__xludf.DUMMYFUNCTION("IFERROR(SUBSTITUTE(SUBSTITUTE(REGEXEXTRACT(A5273, ""[^-]+- [^-]+- [^-]+ - (.+?)\.jpg""), "".jpg"", """"), ""-"", "", ""), """")"),"")</f>
        <v/>
      </c>
      <c r="L5273" s="12"/>
      <c r="M5273" s="13"/>
      <c r="N5273" s="2"/>
      <c r="O5273" s="20"/>
      <c r="P5273" s="42"/>
      <c r="R5273" s="23"/>
    </row>
    <row r="5274" spans="1:18" ht="12.75">
      <c r="A5274" s="12"/>
      <c r="D5274" s="12"/>
      <c r="E5274" s="12"/>
      <c r="H5274" s="11" t="str">
        <f ca="1">IFERROR(__xludf.DUMMYFUNCTION("IFERROR(SUBSTITUTE(SUBSTITUTE(REGEXEXTRACT(A5274, ""[^-]+- [^-]+- [^-]+ - (.+?)\.jpg""), "".jpg"", """"), ""-"", "", ""), """")"),"")</f>
        <v/>
      </c>
      <c r="L5274" s="12"/>
      <c r="M5274" s="13"/>
      <c r="N5274" s="2"/>
      <c r="O5274" s="20"/>
      <c r="P5274" s="42"/>
      <c r="R5274" s="23"/>
    </row>
    <row r="5275" spans="1:18" ht="12.75">
      <c r="A5275" s="12"/>
      <c r="D5275" s="12"/>
      <c r="E5275" s="12"/>
      <c r="H5275" s="11" t="str">
        <f ca="1">IFERROR(__xludf.DUMMYFUNCTION("IFERROR(SUBSTITUTE(SUBSTITUTE(REGEXEXTRACT(A5275, ""[^-]+- [^-]+- [^-]+ - (.+?)\.jpg""), "".jpg"", """"), ""-"", "", ""), """")"),"")</f>
        <v/>
      </c>
      <c r="L5275" s="12"/>
      <c r="M5275" s="13"/>
      <c r="N5275" s="2"/>
      <c r="O5275" s="20"/>
      <c r="P5275" s="42"/>
      <c r="R5275" s="23"/>
    </row>
    <row r="5276" spans="1:18" ht="12.75">
      <c r="A5276" s="12"/>
      <c r="D5276" s="12"/>
      <c r="E5276" s="12"/>
      <c r="H5276" s="11" t="str">
        <f ca="1">IFERROR(__xludf.DUMMYFUNCTION("IFERROR(SUBSTITUTE(SUBSTITUTE(REGEXEXTRACT(A5276, ""[^-]+- [^-]+- [^-]+ - (.+?)\.jpg""), "".jpg"", """"), ""-"", "", ""), """")"),"")</f>
        <v/>
      </c>
      <c r="L5276" s="12"/>
      <c r="M5276" s="13"/>
      <c r="N5276" s="2"/>
      <c r="O5276" s="20"/>
      <c r="P5276" s="42"/>
      <c r="R5276" s="23"/>
    </row>
    <row r="5277" spans="1:18" ht="12.75">
      <c r="A5277" s="12"/>
      <c r="D5277" s="12"/>
      <c r="E5277" s="12"/>
      <c r="H5277" s="11" t="str">
        <f ca="1">IFERROR(__xludf.DUMMYFUNCTION("IFERROR(SUBSTITUTE(SUBSTITUTE(REGEXEXTRACT(A5277, ""[^-]+- [^-]+- [^-]+ - (.+?)\.jpg""), "".jpg"", """"), ""-"", "", ""), """")"),"")</f>
        <v/>
      </c>
      <c r="L5277" s="12"/>
      <c r="M5277" s="13"/>
      <c r="N5277" s="2"/>
      <c r="O5277" s="20"/>
      <c r="P5277" s="42"/>
      <c r="R5277" s="23"/>
    </row>
    <row r="5278" spans="1:18" ht="12.75">
      <c r="A5278" s="12"/>
      <c r="D5278" s="12"/>
      <c r="E5278" s="12"/>
      <c r="H5278" s="11" t="str">
        <f ca="1">IFERROR(__xludf.DUMMYFUNCTION("IFERROR(SUBSTITUTE(SUBSTITUTE(REGEXEXTRACT(A5278, ""[^-]+- [^-]+- [^-]+ - (.+?)\.jpg""), "".jpg"", """"), ""-"", "", ""), """")"),"")</f>
        <v/>
      </c>
      <c r="L5278" s="12"/>
      <c r="M5278" s="13"/>
      <c r="N5278" s="2"/>
      <c r="O5278" s="20"/>
      <c r="P5278" s="42"/>
      <c r="R5278" s="23"/>
    </row>
    <row r="5279" spans="1:18" ht="12.75">
      <c r="A5279" s="12"/>
      <c r="D5279" s="12"/>
      <c r="E5279" s="12"/>
      <c r="H5279" s="11" t="str">
        <f ca="1">IFERROR(__xludf.DUMMYFUNCTION("IFERROR(SUBSTITUTE(SUBSTITUTE(REGEXEXTRACT(A5279, ""[^-]+- [^-]+- [^-]+ - (.+?)\.jpg""), "".jpg"", """"), ""-"", "", ""), """")"),"")</f>
        <v/>
      </c>
      <c r="L5279" s="12"/>
      <c r="M5279" s="13"/>
      <c r="N5279" s="2"/>
      <c r="O5279" s="20"/>
      <c r="P5279" s="42"/>
      <c r="R5279" s="23"/>
    </row>
    <row r="5280" spans="1:18" ht="12.75">
      <c r="A5280" s="12"/>
      <c r="D5280" s="12"/>
      <c r="E5280" s="12"/>
      <c r="H5280" s="11" t="str">
        <f ca="1">IFERROR(__xludf.DUMMYFUNCTION("IFERROR(SUBSTITUTE(SUBSTITUTE(REGEXEXTRACT(A5280, ""[^-]+- [^-]+- [^-]+ - (.+?)\.jpg""), "".jpg"", """"), ""-"", "", ""), """")"),"")</f>
        <v/>
      </c>
      <c r="L5280" s="12"/>
      <c r="M5280" s="13"/>
      <c r="N5280" s="2"/>
      <c r="O5280" s="20"/>
      <c r="P5280" s="42"/>
      <c r="R5280" s="23"/>
    </row>
    <row r="5281" spans="1:18" ht="12.75">
      <c r="A5281" s="12"/>
      <c r="D5281" s="12"/>
      <c r="E5281" s="12"/>
      <c r="H5281" s="11" t="str">
        <f ca="1">IFERROR(__xludf.DUMMYFUNCTION("IFERROR(SUBSTITUTE(SUBSTITUTE(REGEXEXTRACT(A5281, ""[^-]+- [^-]+- [^-]+ - (.+?)\.jpg""), "".jpg"", """"), ""-"", "", ""), """")"),"")</f>
        <v/>
      </c>
      <c r="L5281" s="12"/>
      <c r="M5281" s="13"/>
      <c r="N5281" s="2"/>
      <c r="O5281" s="20"/>
      <c r="P5281" s="42"/>
      <c r="R5281" s="23"/>
    </row>
    <row r="5282" spans="1:18" ht="12.75">
      <c r="A5282" s="12"/>
      <c r="D5282" s="12"/>
      <c r="E5282" s="12"/>
      <c r="H5282" s="11" t="str">
        <f ca="1">IFERROR(__xludf.DUMMYFUNCTION("IFERROR(SUBSTITUTE(SUBSTITUTE(REGEXEXTRACT(A5282, ""[^-]+- [^-]+- [^-]+ - (.+?)\.jpg""), "".jpg"", """"), ""-"", "", ""), """")"),"")</f>
        <v/>
      </c>
      <c r="L5282" s="12"/>
      <c r="M5282" s="13"/>
      <c r="N5282" s="2"/>
      <c r="O5282" s="20"/>
      <c r="P5282" s="42"/>
      <c r="R5282" s="23"/>
    </row>
    <row r="5283" spans="1:18" ht="12.75">
      <c r="A5283" s="12"/>
      <c r="D5283" s="12"/>
      <c r="E5283" s="12"/>
      <c r="H5283" s="11" t="str">
        <f ca="1">IFERROR(__xludf.DUMMYFUNCTION("IFERROR(SUBSTITUTE(SUBSTITUTE(REGEXEXTRACT(A5283, ""[^-]+- [^-]+- [^-]+ - (.+?)\.jpg""), "".jpg"", """"), ""-"", "", ""), """")"),"")</f>
        <v/>
      </c>
      <c r="L5283" s="12"/>
      <c r="M5283" s="13"/>
      <c r="N5283" s="2"/>
      <c r="O5283" s="20"/>
      <c r="P5283" s="42"/>
      <c r="R5283" s="23"/>
    </row>
    <row r="5284" spans="1:18" ht="12.75">
      <c r="A5284" s="12"/>
      <c r="D5284" s="12"/>
      <c r="E5284" s="12"/>
      <c r="H5284" s="11" t="str">
        <f ca="1">IFERROR(__xludf.DUMMYFUNCTION("IFERROR(SUBSTITUTE(SUBSTITUTE(REGEXEXTRACT(A5284, ""[^-]+- [^-]+- [^-]+ - (.+?)\.jpg""), "".jpg"", """"), ""-"", "", ""), """")"),"")</f>
        <v/>
      </c>
      <c r="L5284" s="12"/>
      <c r="M5284" s="13"/>
      <c r="N5284" s="2"/>
      <c r="O5284" s="20"/>
      <c r="P5284" s="42"/>
      <c r="R5284" s="23"/>
    </row>
    <row r="5285" spans="1:18" ht="12.75">
      <c r="A5285" s="12"/>
      <c r="D5285" s="12"/>
      <c r="E5285" s="12"/>
      <c r="H5285" s="11" t="str">
        <f ca="1">IFERROR(__xludf.DUMMYFUNCTION("IFERROR(SUBSTITUTE(SUBSTITUTE(REGEXEXTRACT(A5285, ""[^-]+- [^-]+- [^-]+ - (.+?)\.jpg""), "".jpg"", """"), ""-"", "", ""), """")"),"")</f>
        <v/>
      </c>
      <c r="L5285" s="12"/>
      <c r="M5285" s="13"/>
      <c r="N5285" s="2"/>
      <c r="O5285" s="20"/>
      <c r="P5285" s="42"/>
      <c r="R5285" s="23"/>
    </row>
    <row r="5286" spans="1:18" ht="12.75">
      <c r="A5286" s="12"/>
      <c r="D5286" s="12"/>
      <c r="E5286" s="12"/>
      <c r="H5286" s="11" t="str">
        <f ca="1">IFERROR(__xludf.DUMMYFUNCTION("IFERROR(SUBSTITUTE(SUBSTITUTE(REGEXEXTRACT(A5286, ""[^-]+- [^-]+- [^-]+ - (.+?)\.jpg""), "".jpg"", """"), ""-"", "", ""), """")"),"")</f>
        <v/>
      </c>
      <c r="L5286" s="12"/>
      <c r="M5286" s="13"/>
      <c r="N5286" s="2"/>
      <c r="O5286" s="20"/>
      <c r="P5286" s="42"/>
      <c r="R5286" s="23"/>
    </row>
    <row r="5287" spans="1:18" ht="12.75">
      <c r="A5287" s="12"/>
      <c r="D5287" s="12"/>
      <c r="E5287" s="12"/>
      <c r="H5287" s="11" t="str">
        <f ca="1">IFERROR(__xludf.DUMMYFUNCTION("IFERROR(SUBSTITUTE(SUBSTITUTE(REGEXEXTRACT(A5287, ""[^-]+- [^-]+- [^-]+ - (.+?)\.jpg""), "".jpg"", """"), ""-"", "", ""), """")"),"")</f>
        <v/>
      </c>
      <c r="L5287" s="12"/>
      <c r="M5287" s="13"/>
      <c r="N5287" s="2"/>
      <c r="O5287" s="20"/>
      <c r="P5287" s="42"/>
      <c r="R5287" s="23"/>
    </row>
    <row r="5288" spans="1:18" ht="12.75">
      <c r="A5288" s="12"/>
      <c r="D5288" s="12"/>
      <c r="E5288" s="12"/>
      <c r="H5288" s="11" t="str">
        <f ca="1">IFERROR(__xludf.DUMMYFUNCTION("IFERROR(SUBSTITUTE(SUBSTITUTE(REGEXEXTRACT(A5288, ""[^-]+- [^-]+- [^-]+ - (.+?)\.jpg""), "".jpg"", """"), ""-"", "", ""), """")"),"")</f>
        <v/>
      </c>
      <c r="L5288" s="12"/>
      <c r="M5288" s="13"/>
      <c r="N5288" s="2"/>
      <c r="O5288" s="20"/>
      <c r="P5288" s="42"/>
      <c r="R5288" s="23"/>
    </row>
    <row r="5289" spans="1:18" ht="12.75">
      <c r="A5289" s="12"/>
      <c r="D5289" s="12"/>
      <c r="E5289" s="12"/>
      <c r="H5289" s="11" t="str">
        <f ca="1">IFERROR(__xludf.DUMMYFUNCTION("IFERROR(SUBSTITUTE(SUBSTITUTE(REGEXEXTRACT(A5289, ""[^-]+- [^-]+- [^-]+ - (.+?)\.jpg""), "".jpg"", """"), ""-"", "", ""), """")"),"")</f>
        <v/>
      </c>
      <c r="L5289" s="12"/>
      <c r="M5289" s="13"/>
      <c r="N5289" s="2"/>
      <c r="O5289" s="20"/>
      <c r="P5289" s="42"/>
      <c r="R5289" s="23"/>
    </row>
    <row r="5290" spans="1:18" ht="12.75">
      <c r="A5290" s="12"/>
      <c r="D5290" s="12"/>
      <c r="E5290" s="12"/>
      <c r="H5290" s="11" t="str">
        <f ca="1">IFERROR(__xludf.DUMMYFUNCTION("IFERROR(SUBSTITUTE(SUBSTITUTE(REGEXEXTRACT(A5290, ""[^-]+- [^-]+- [^-]+ - (.+?)\.jpg""), "".jpg"", """"), ""-"", "", ""), """")"),"")</f>
        <v/>
      </c>
      <c r="L5290" s="12"/>
      <c r="M5290" s="13"/>
      <c r="N5290" s="2"/>
      <c r="O5290" s="20"/>
      <c r="P5290" s="42"/>
      <c r="R5290" s="23"/>
    </row>
    <row r="5291" spans="1:18" ht="12.75">
      <c r="A5291" s="12"/>
      <c r="D5291" s="12"/>
      <c r="E5291" s="12"/>
      <c r="H5291" s="11" t="str">
        <f ca="1">IFERROR(__xludf.DUMMYFUNCTION("IFERROR(SUBSTITUTE(SUBSTITUTE(REGEXEXTRACT(A5291, ""[^-]+- [^-]+- [^-]+ - (.+?)\.jpg""), "".jpg"", """"), ""-"", "", ""), """")"),"")</f>
        <v/>
      </c>
      <c r="L5291" s="12"/>
      <c r="M5291" s="13"/>
      <c r="N5291" s="2"/>
      <c r="O5291" s="20"/>
      <c r="P5291" s="42"/>
      <c r="R5291" s="23"/>
    </row>
    <row r="5292" spans="1:18" ht="12.75">
      <c r="A5292" s="12"/>
      <c r="D5292" s="12"/>
      <c r="E5292" s="12"/>
      <c r="H5292" s="11" t="str">
        <f ca="1">IFERROR(__xludf.DUMMYFUNCTION("IFERROR(SUBSTITUTE(SUBSTITUTE(REGEXEXTRACT(A5292, ""[^-]+- [^-]+- [^-]+ - (.+?)\.jpg""), "".jpg"", """"), ""-"", "", ""), """")"),"")</f>
        <v/>
      </c>
      <c r="L5292" s="12"/>
      <c r="M5292" s="13"/>
      <c r="N5292" s="2"/>
      <c r="O5292" s="20"/>
      <c r="P5292" s="42"/>
      <c r="R5292" s="23"/>
    </row>
    <row r="5293" spans="1:18" ht="12.75">
      <c r="A5293" s="12"/>
      <c r="D5293" s="12"/>
      <c r="E5293" s="12"/>
      <c r="H5293" s="11" t="str">
        <f ca="1">IFERROR(__xludf.DUMMYFUNCTION("IFERROR(SUBSTITUTE(SUBSTITUTE(REGEXEXTRACT(A5293, ""[^-]+- [^-]+- [^-]+ - (.+?)\.jpg""), "".jpg"", """"), ""-"", "", ""), """")"),"")</f>
        <v/>
      </c>
      <c r="L5293" s="12"/>
      <c r="M5293" s="13"/>
      <c r="N5293" s="2"/>
      <c r="O5293" s="20"/>
      <c r="P5293" s="42"/>
      <c r="R5293" s="23"/>
    </row>
    <row r="5294" spans="1:18" ht="12.75">
      <c r="A5294" s="12"/>
      <c r="D5294" s="12"/>
      <c r="E5294" s="12"/>
      <c r="H5294" s="11" t="str">
        <f ca="1">IFERROR(__xludf.DUMMYFUNCTION("IFERROR(SUBSTITUTE(SUBSTITUTE(REGEXEXTRACT(A5294, ""[^-]+- [^-]+- [^-]+ - (.+?)\.jpg""), "".jpg"", """"), ""-"", "", ""), """")"),"")</f>
        <v/>
      </c>
      <c r="L5294" s="12"/>
      <c r="M5294" s="13"/>
      <c r="N5294" s="2"/>
      <c r="O5294" s="20"/>
      <c r="P5294" s="42"/>
      <c r="R5294" s="23"/>
    </row>
    <row r="5295" spans="1:18" ht="12.75">
      <c r="A5295" s="12"/>
      <c r="D5295" s="12"/>
      <c r="E5295" s="12"/>
      <c r="H5295" s="11" t="str">
        <f ca="1">IFERROR(__xludf.DUMMYFUNCTION("IFERROR(SUBSTITUTE(SUBSTITUTE(REGEXEXTRACT(A5295, ""[^-]+- [^-]+- [^-]+ - (.+?)\.jpg""), "".jpg"", """"), ""-"", "", ""), """")"),"")</f>
        <v/>
      </c>
      <c r="L5295" s="12"/>
      <c r="M5295" s="13"/>
      <c r="N5295" s="2"/>
      <c r="O5295" s="20"/>
      <c r="P5295" s="42"/>
      <c r="R5295" s="23"/>
    </row>
    <row r="5296" spans="1:18" ht="12.75">
      <c r="A5296" s="12"/>
      <c r="D5296" s="12"/>
      <c r="E5296" s="12"/>
      <c r="H5296" s="11" t="str">
        <f ca="1">IFERROR(__xludf.DUMMYFUNCTION("IFERROR(SUBSTITUTE(SUBSTITUTE(REGEXEXTRACT(A5296, ""[^-]+- [^-]+- [^-]+ - (.+?)\.jpg""), "".jpg"", """"), ""-"", "", ""), """")"),"")</f>
        <v/>
      </c>
      <c r="L5296" s="12"/>
      <c r="M5296" s="13"/>
      <c r="N5296" s="2"/>
      <c r="O5296" s="20"/>
      <c r="P5296" s="42"/>
      <c r="R5296" s="23"/>
    </row>
    <row r="5297" spans="1:18" ht="12.75">
      <c r="A5297" s="12"/>
      <c r="D5297" s="12"/>
      <c r="E5297" s="12"/>
      <c r="H5297" s="11" t="str">
        <f ca="1">IFERROR(__xludf.DUMMYFUNCTION("IFERROR(SUBSTITUTE(SUBSTITUTE(REGEXEXTRACT(A5297, ""[^-]+- [^-]+- [^-]+ - (.+?)\.jpg""), "".jpg"", """"), ""-"", "", ""), """")"),"")</f>
        <v/>
      </c>
      <c r="L5297" s="12"/>
      <c r="M5297" s="13"/>
      <c r="N5297" s="2"/>
      <c r="O5297" s="20"/>
      <c r="P5297" s="42"/>
      <c r="R5297" s="23"/>
    </row>
    <row r="5298" spans="1:18" ht="12.75">
      <c r="A5298" s="12"/>
      <c r="D5298" s="12"/>
      <c r="E5298" s="12"/>
      <c r="H5298" s="11" t="str">
        <f ca="1">IFERROR(__xludf.DUMMYFUNCTION("IFERROR(SUBSTITUTE(SUBSTITUTE(REGEXEXTRACT(A5298, ""[^-]+- [^-]+- [^-]+ - (.+?)\.jpg""), "".jpg"", """"), ""-"", "", ""), """")"),"")</f>
        <v/>
      </c>
      <c r="L5298" s="12"/>
      <c r="M5298" s="13"/>
      <c r="N5298" s="2"/>
      <c r="O5298" s="20"/>
      <c r="P5298" s="42"/>
      <c r="R5298" s="23"/>
    </row>
    <row r="5299" spans="1:18" ht="12.75">
      <c r="A5299" s="12"/>
      <c r="D5299" s="12"/>
      <c r="E5299" s="12"/>
      <c r="H5299" s="11" t="str">
        <f ca="1">IFERROR(__xludf.DUMMYFUNCTION("IFERROR(SUBSTITUTE(SUBSTITUTE(REGEXEXTRACT(A5299, ""[^-]+- [^-]+- [^-]+ - (.+?)\.jpg""), "".jpg"", """"), ""-"", "", ""), """")"),"")</f>
        <v/>
      </c>
      <c r="L5299" s="12"/>
      <c r="M5299" s="13"/>
      <c r="N5299" s="2"/>
      <c r="O5299" s="20"/>
      <c r="P5299" s="42"/>
      <c r="R5299" s="23"/>
    </row>
    <row r="5300" spans="1:18" ht="12.75">
      <c r="A5300" s="12"/>
      <c r="D5300" s="12"/>
      <c r="E5300" s="12"/>
      <c r="H5300" s="11" t="str">
        <f ca="1">IFERROR(__xludf.DUMMYFUNCTION("IFERROR(SUBSTITUTE(SUBSTITUTE(REGEXEXTRACT(A5300, ""[^-]+- [^-]+- [^-]+ - (.+?)\.jpg""), "".jpg"", """"), ""-"", "", ""), """")"),"")</f>
        <v/>
      </c>
      <c r="L5300" s="12"/>
      <c r="M5300" s="13"/>
      <c r="N5300" s="2"/>
      <c r="O5300" s="20"/>
      <c r="P5300" s="42"/>
      <c r="R5300" s="23"/>
    </row>
    <row r="5301" spans="1:18" ht="12.75">
      <c r="A5301" s="12"/>
      <c r="D5301" s="12"/>
      <c r="E5301" s="12"/>
      <c r="H5301" s="11" t="str">
        <f ca="1">IFERROR(__xludf.DUMMYFUNCTION("IFERROR(SUBSTITUTE(SUBSTITUTE(REGEXEXTRACT(A5301, ""[^-]+- [^-]+- [^-]+ - (.+?)\.jpg""), "".jpg"", """"), ""-"", "", ""), """")"),"")</f>
        <v/>
      </c>
      <c r="L5301" s="12"/>
      <c r="M5301" s="13"/>
      <c r="N5301" s="2"/>
      <c r="O5301" s="20"/>
      <c r="P5301" s="42"/>
      <c r="R5301" s="23"/>
    </row>
    <row r="5302" spans="1:18" ht="12.75">
      <c r="A5302" s="12"/>
      <c r="D5302" s="12"/>
      <c r="E5302" s="12"/>
      <c r="H5302" s="11" t="str">
        <f ca="1">IFERROR(__xludf.DUMMYFUNCTION("IFERROR(SUBSTITUTE(SUBSTITUTE(REGEXEXTRACT(A5302, ""[^-]+- [^-]+- [^-]+ - (.+?)\.jpg""), "".jpg"", """"), ""-"", "", ""), """")"),"")</f>
        <v/>
      </c>
      <c r="L5302" s="12"/>
      <c r="M5302" s="13"/>
      <c r="N5302" s="2"/>
      <c r="O5302" s="20"/>
      <c r="P5302" s="42"/>
      <c r="R5302" s="23"/>
    </row>
    <row r="5303" spans="1:18" ht="12.75">
      <c r="A5303" s="12"/>
      <c r="D5303" s="12"/>
      <c r="E5303" s="12"/>
      <c r="H5303" s="11" t="str">
        <f ca="1">IFERROR(__xludf.DUMMYFUNCTION("IFERROR(SUBSTITUTE(SUBSTITUTE(REGEXEXTRACT(A5303, ""[^-]+- [^-]+- [^-]+ - (.+?)\.jpg""), "".jpg"", """"), ""-"", "", ""), """")"),"")</f>
        <v/>
      </c>
      <c r="L5303" s="12"/>
      <c r="M5303" s="13"/>
      <c r="N5303" s="2"/>
      <c r="O5303" s="20"/>
      <c r="P5303" s="42"/>
      <c r="R5303" s="23"/>
    </row>
    <row r="5304" spans="1:18" ht="12.75">
      <c r="A5304" s="12"/>
      <c r="D5304" s="12"/>
      <c r="E5304" s="12"/>
      <c r="H5304" s="11" t="str">
        <f ca="1">IFERROR(__xludf.DUMMYFUNCTION("IFERROR(SUBSTITUTE(SUBSTITUTE(REGEXEXTRACT(A5304, ""[^-]+- [^-]+- [^-]+ - (.+?)\.jpg""), "".jpg"", """"), ""-"", "", ""), """")"),"")</f>
        <v/>
      </c>
      <c r="L5304" s="12"/>
      <c r="M5304" s="13"/>
      <c r="N5304" s="2"/>
      <c r="O5304" s="20"/>
      <c r="P5304" s="42"/>
      <c r="R5304" s="23"/>
    </row>
    <row r="5305" spans="1:18" ht="12.75">
      <c r="A5305" s="12"/>
      <c r="D5305" s="12"/>
      <c r="E5305" s="12"/>
      <c r="H5305" s="11" t="str">
        <f ca="1">IFERROR(__xludf.DUMMYFUNCTION("IFERROR(SUBSTITUTE(SUBSTITUTE(REGEXEXTRACT(A5305, ""[^-]+- [^-]+- [^-]+ - (.+?)\.jpg""), "".jpg"", """"), ""-"", "", ""), """")"),"")</f>
        <v/>
      </c>
      <c r="L5305" s="12"/>
      <c r="M5305" s="13"/>
      <c r="N5305" s="2"/>
      <c r="O5305" s="20"/>
      <c r="P5305" s="42"/>
      <c r="R5305" s="23"/>
    </row>
    <row r="5306" spans="1:18" ht="12.75">
      <c r="A5306" s="12"/>
      <c r="D5306" s="12"/>
      <c r="E5306" s="12"/>
      <c r="H5306" s="11" t="str">
        <f ca="1">IFERROR(__xludf.DUMMYFUNCTION("IFERROR(SUBSTITUTE(SUBSTITUTE(REGEXEXTRACT(A5306, ""[^-]+- [^-]+- [^-]+ - (.+?)\.jpg""), "".jpg"", """"), ""-"", "", ""), """")"),"")</f>
        <v/>
      </c>
      <c r="L5306" s="12"/>
      <c r="M5306" s="13"/>
      <c r="N5306" s="2"/>
      <c r="O5306" s="20"/>
      <c r="P5306" s="42"/>
      <c r="R5306" s="23"/>
    </row>
    <row r="5307" spans="1:18" ht="12.75">
      <c r="A5307" s="12"/>
      <c r="D5307" s="12"/>
      <c r="E5307" s="12"/>
      <c r="H5307" s="11" t="str">
        <f ca="1">IFERROR(__xludf.DUMMYFUNCTION("IFERROR(SUBSTITUTE(SUBSTITUTE(REGEXEXTRACT(A5307, ""[^-]+- [^-]+- [^-]+ - (.+?)\.jpg""), "".jpg"", """"), ""-"", "", ""), """")"),"")</f>
        <v/>
      </c>
      <c r="L5307" s="12"/>
      <c r="M5307" s="13"/>
      <c r="N5307" s="2"/>
      <c r="O5307" s="20"/>
      <c r="P5307" s="42"/>
      <c r="R5307" s="23"/>
    </row>
    <row r="5308" spans="1:18" ht="12.75">
      <c r="A5308" s="12"/>
      <c r="D5308" s="12"/>
      <c r="E5308" s="12"/>
      <c r="H5308" s="11" t="str">
        <f ca="1">IFERROR(__xludf.DUMMYFUNCTION("IFERROR(SUBSTITUTE(SUBSTITUTE(REGEXEXTRACT(A5308, ""[^-]+- [^-]+- [^-]+ - (.+?)\.jpg""), "".jpg"", """"), ""-"", "", ""), """")"),"")</f>
        <v/>
      </c>
      <c r="L5308" s="12"/>
      <c r="M5308" s="13"/>
      <c r="N5308" s="2"/>
      <c r="O5308" s="20"/>
      <c r="P5308" s="42"/>
      <c r="R5308" s="23"/>
    </row>
    <row r="5309" spans="1:18" ht="12.75">
      <c r="A5309" s="12"/>
      <c r="D5309" s="12"/>
      <c r="E5309" s="12"/>
      <c r="H5309" s="11" t="str">
        <f ca="1">IFERROR(__xludf.DUMMYFUNCTION("IFERROR(SUBSTITUTE(SUBSTITUTE(REGEXEXTRACT(A5309, ""[^-]+- [^-]+- [^-]+ - (.+?)\.jpg""), "".jpg"", """"), ""-"", "", ""), """")"),"")</f>
        <v/>
      </c>
      <c r="L5309" s="12"/>
      <c r="M5309" s="13"/>
      <c r="N5309" s="2"/>
      <c r="O5309" s="20"/>
      <c r="P5309" s="42"/>
      <c r="R5309" s="23"/>
    </row>
    <row r="5310" spans="1:18" ht="12.75">
      <c r="A5310" s="12"/>
      <c r="D5310" s="12"/>
      <c r="E5310" s="12"/>
      <c r="H5310" s="11" t="str">
        <f ca="1">IFERROR(__xludf.DUMMYFUNCTION("IFERROR(SUBSTITUTE(SUBSTITUTE(REGEXEXTRACT(A5310, ""[^-]+- [^-]+- [^-]+ - (.+?)\.jpg""), "".jpg"", """"), ""-"", "", ""), """")"),"")</f>
        <v/>
      </c>
      <c r="L5310" s="12"/>
      <c r="M5310" s="13"/>
      <c r="N5310" s="2"/>
      <c r="O5310" s="20"/>
      <c r="P5310" s="42"/>
      <c r="R5310" s="23"/>
    </row>
    <row r="5311" spans="1:18" ht="12.75">
      <c r="A5311" s="12"/>
      <c r="D5311" s="12"/>
      <c r="E5311" s="12"/>
      <c r="H5311" s="11" t="str">
        <f ca="1">IFERROR(__xludf.DUMMYFUNCTION("IFERROR(SUBSTITUTE(SUBSTITUTE(REGEXEXTRACT(A5311, ""[^-]+- [^-]+- [^-]+ - (.+?)\.jpg""), "".jpg"", """"), ""-"", "", ""), """")"),"")</f>
        <v/>
      </c>
      <c r="L5311" s="12"/>
      <c r="M5311" s="13"/>
      <c r="N5311" s="2"/>
      <c r="O5311" s="20"/>
      <c r="P5311" s="42"/>
      <c r="R5311" s="23"/>
    </row>
    <row r="5312" spans="1:18" ht="12.75">
      <c r="A5312" s="12"/>
      <c r="D5312" s="12"/>
      <c r="E5312" s="12"/>
      <c r="H5312" s="11" t="str">
        <f ca="1">IFERROR(__xludf.DUMMYFUNCTION("IFERROR(SUBSTITUTE(SUBSTITUTE(REGEXEXTRACT(A5312, ""[^-]+- [^-]+- [^-]+ - (.+?)\.jpg""), "".jpg"", """"), ""-"", "", ""), """")"),"")</f>
        <v/>
      </c>
      <c r="L5312" s="12"/>
      <c r="M5312" s="13"/>
      <c r="N5312" s="2"/>
      <c r="O5312" s="20"/>
      <c r="P5312" s="42"/>
      <c r="R5312" s="23"/>
    </row>
    <row r="5313" spans="1:18" ht="12.75">
      <c r="A5313" s="12"/>
      <c r="D5313" s="12"/>
      <c r="E5313" s="12"/>
      <c r="H5313" s="11" t="str">
        <f ca="1">IFERROR(__xludf.DUMMYFUNCTION("IFERROR(SUBSTITUTE(SUBSTITUTE(REGEXEXTRACT(A5313, ""[^-]+- [^-]+- [^-]+ - (.+?)\.jpg""), "".jpg"", """"), ""-"", "", ""), """")"),"")</f>
        <v/>
      </c>
      <c r="L5313" s="12"/>
      <c r="M5313" s="13"/>
      <c r="N5313" s="2"/>
      <c r="O5313" s="20"/>
      <c r="P5313" s="42"/>
      <c r="R5313" s="23"/>
    </row>
    <row r="5314" spans="1:18" ht="12.75">
      <c r="A5314" s="12"/>
      <c r="D5314" s="12"/>
      <c r="E5314" s="12"/>
      <c r="H5314" s="11" t="str">
        <f ca="1">IFERROR(__xludf.DUMMYFUNCTION("IFERROR(SUBSTITUTE(SUBSTITUTE(REGEXEXTRACT(A5314, ""[^-]+- [^-]+- [^-]+ - (.+?)\.jpg""), "".jpg"", """"), ""-"", "", ""), """")"),"")</f>
        <v/>
      </c>
      <c r="L5314" s="12"/>
      <c r="M5314" s="13"/>
      <c r="N5314" s="2"/>
      <c r="O5314" s="20"/>
      <c r="P5314" s="42"/>
      <c r="R5314" s="23"/>
    </row>
    <row r="5315" spans="1:18" ht="12.75">
      <c r="A5315" s="12"/>
      <c r="D5315" s="12"/>
      <c r="E5315" s="12"/>
      <c r="H5315" s="11" t="str">
        <f ca="1">IFERROR(__xludf.DUMMYFUNCTION("IFERROR(SUBSTITUTE(SUBSTITUTE(REGEXEXTRACT(A5315, ""[^-]+- [^-]+- [^-]+ - (.+?)\.jpg""), "".jpg"", """"), ""-"", "", ""), """")"),"")</f>
        <v/>
      </c>
      <c r="L5315" s="12"/>
      <c r="M5315" s="13"/>
      <c r="N5315" s="2"/>
      <c r="O5315" s="20"/>
      <c r="P5315" s="42"/>
      <c r="R5315" s="23"/>
    </row>
    <row r="5316" spans="1:18" ht="12.75">
      <c r="A5316" s="12"/>
      <c r="D5316" s="12"/>
      <c r="E5316" s="12"/>
      <c r="H5316" s="11" t="str">
        <f ca="1">IFERROR(__xludf.DUMMYFUNCTION("IFERROR(SUBSTITUTE(SUBSTITUTE(REGEXEXTRACT(A5316, ""[^-]+- [^-]+- [^-]+ - (.+?)\.jpg""), "".jpg"", """"), ""-"", "", ""), """")"),"")</f>
        <v/>
      </c>
      <c r="L5316" s="12"/>
      <c r="M5316" s="13"/>
      <c r="N5316" s="2"/>
      <c r="O5316" s="20"/>
      <c r="P5316" s="42"/>
      <c r="R5316" s="23"/>
    </row>
    <row r="5317" spans="1:18" ht="12.75">
      <c r="A5317" s="12"/>
      <c r="D5317" s="12"/>
      <c r="E5317" s="12"/>
      <c r="H5317" s="11" t="str">
        <f ca="1">IFERROR(__xludf.DUMMYFUNCTION("IFERROR(SUBSTITUTE(SUBSTITUTE(REGEXEXTRACT(A5317, ""[^-]+- [^-]+- [^-]+ - (.+?)\.jpg""), "".jpg"", """"), ""-"", "", ""), """")"),"")</f>
        <v/>
      </c>
      <c r="L5317" s="12"/>
      <c r="M5317" s="13"/>
      <c r="N5317" s="2"/>
      <c r="O5317" s="20"/>
      <c r="P5317" s="42"/>
      <c r="R5317" s="23"/>
    </row>
    <row r="5318" spans="1:18" ht="12.75">
      <c r="A5318" s="12"/>
      <c r="D5318" s="12"/>
      <c r="E5318" s="12"/>
      <c r="H5318" s="11" t="str">
        <f ca="1">IFERROR(__xludf.DUMMYFUNCTION("IFERROR(SUBSTITUTE(SUBSTITUTE(REGEXEXTRACT(A5318, ""[^-]+- [^-]+- [^-]+ - (.+?)\.jpg""), "".jpg"", """"), ""-"", "", ""), """")"),"")</f>
        <v/>
      </c>
      <c r="L5318" s="12"/>
      <c r="M5318" s="13"/>
      <c r="N5318" s="2"/>
      <c r="O5318" s="20"/>
      <c r="P5318" s="42"/>
      <c r="R5318" s="23"/>
    </row>
    <row r="5319" spans="1:18" ht="12.75">
      <c r="A5319" s="12"/>
      <c r="D5319" s="12"/>
      <c r="E5319" s="12"/>
      <c r="H5319" s="11" t="str">
        <f ca="1">IFERROR(__xludf.DUMMYFUNCTION("IFERROR(SUBSTITUTE(SUBSTITUTE(REGEXEXTRACT(A5319, ""[^-]+- [^-]+- [^-]+ - (.+?)\.jpg""), "".jpg"", """"), ""-"", "", ""), """")"),"")</f>
        <v/>
      </c>
      <c r="L5319" s="12"/>
      <c r="M5319" s="13"/>
      <c r="N5319" s="2"/>
      <c r="O5319" s="20"/>
      <c r="P5319" s="42"/>
      <c r="R5319" s="23"/>
    </row>
    <row r="5320" spans="1:18" ht="12.75">
      <c r="A5320" s="12"/>
      <c r="D5320" s="12"/>
      <c r="E5320" s="12"/>
      <c r="H5320" s="11" t="str">
        <f ca="1">IFERROR(__xludf.DUMMYFUNCTION("IFERROR(SUBSTITUTE(SUBSTITUTE(REGEXEXTRACT(A5320, ""[^-]+- [^-]+- [^-]+ - (.+?)\.jpg""), "".jpg"", """"), ""-"", "", ""), """")"),"")</f>
        <v/>
      </c>
      <c r="L5320" s="12"/>
      <c r="M5320" s="13"/>
      <c r="N5320" s="2"/>
      <c r="O5320" s="20"/>
      <c r="P5320" s="42"/>
      <c r="R5320" s="23"/>
    </row>
    <row r="5321" spans="1:18" ht="12.75">
      <c r="A5321" s="12"/>
      <c r="D5321" s="12"/>
      <c r="E5321" s="12"/>
      <c r="H5321" s="11" t="str">
        <f ca="1">IFERROR(__xludf.DUMMYFUNCTION("IFERROR(SUBSTITUTE(SUBSTITUTE(REGEXEXTRACT(A5321, ""[^-]+- [^-]+- [^-]+ - (.+?)\.jpg""), "".jpg"", """"), ""-"", "", ""), """")"),"")</f>
        <v/>
      </c>
      <c r="L5321" s="12"/>
      <c r="M5321" s="13"/>
      <c r="N5321" s="2"/>
      <c r="O5321" s="20"/>
      <c r="P5321" s="42"/>
      <c r="R5321" s="23"/>
    </row>
    <row r="5322" spans="1:18" ht="12.75">
      <c r="A5322" s="12"/>
      <c r="D5322" s="12"/>
      <c r="E5322" s="12"/>
      <c r="H5322" s="11" t="str">
        <f ca="1">IFERROR(__xludf.DUMMYFUNCTION("IFERROR(SUBSTITUTE(SUBSTITUTE(REGEXEXTRACT(A5322, ""[^-]+- [^-]+- [^-]+ - (.+?)\.jpg""), "".jpg"", """"), ""-"", "", ""), """")"),"")</f>
        <v/>
      </c>
      <c r="L5322" s="12"/>
      <c r="M5322" s="13"/>
      <c r="N5322" s="2"/>
      <c r="O5322" s="20"/>
      <c r="P5322" s="42"/>
      <c r="R5322" s="23"/>
    </row>
    <row r="5323" spans="1:18" ht="12.75">
      <c r="A5323" s="12"/>
      <c r="D5323" s="12"/>
      <c r="E5323" s="12"/>
      <c r="H5323" s="11" t="str">
        <f ca="1">IFERROR(__xludf.DUMMYFUNCTION("IFERROR(SUBSTITUTE(SUBSTITUTE(REGEXEXTRACT(A5323, ""[^-]+- [^-]+- [^-]+ - (.+?)\.jpg""), "".jpg"", """"), ""-"", "", ""), """")"),"")</f>
        <v/>
      </c>
      <c r="L5323" s="12"/>
      <c r="M5323" s="13"/>
      <c r="N5323" s="2"/>
      <c r="O5323" s="20"/>
      <c r="P5323" s="42"/>
      <c r="R5323" s="23"/>
    </row>
    <row r="5324" spans="1:18" ht="12.75">
      <c r="A5324" s="12"/>
      <c r="D5324" s="12"/>
      <c r="E5324" s="12"/>
      <c r="H5324" s="11" t="str">
        <f ca="1">IFERROR(__xludf.DUMMYFUNCTION("IFERROR(SUBSTITUTE(SUBSTITUTE(REGEXEXTRACT(A5324, ""[^-]+- [^-]+- [^-]+ - (.+?)\.jpg""), "".jpg"", """"), ""-"", "", ""), """")"),"")</f>
        <v/>
      </c>
      <c r="L5324" s="12"/>
      <c r="M5324" s="13"/>
      <c r="N5324" s="2"/>
      <c r="O5324" s="20"/>
      <c r="P5324" s="42"/>
      <c r="R5324" s="23"/>
    </row>
    <row r="5325" spans="1:18" ht="12.75">
      <c r="A5325" s="12"/>
      <c r="D5325" s="12"/>
      <c r="E5325" s="12"/>
      <c r="H5325" s="11" t="str">
        <f ca="1">IFERROR(__xludf.DUMMYFUNCTION("IFERROR(SUBSTITUTE(SUBSTITUTE(REGEXEXTRACT(A5325, ""[^-]+- [^-]+- [^-]+ - (.+?)\.jpg""), "".jpg"", """"), ""-"", "", ""), """")"),"")</f>
        <v/>
      </c>
      <c r="L5325" s="12"/>
      <c r="M5325" s="13"/>
      <c r="N5325" s="2"/>
      <c r="O5325" s="20"/>
      <c r="P5325" s="42"/>
      <c r="R5325" s="23"/>
    </row>
    <row r="5326" spans="1:18" ht="12.75">
      <c r="A5326" s="12"/>
      <c r="D5326" s="12"/>
      <c r="E5326" s="12"/>
      <c r="H5326" s="11" t="str">
        <f ca="1">IFERROR(__xludf.DUMMYFUNCTION("IFERROR(SUBSTITUTE(SUBSTITUTE(REGEXEXTRACT(A5326, ""[^-]+- [^-]+- [^-]+ - (.+?)\.jpg""), "".jpg"", """"), ""-"", "", ""), """")"),"")</f>
        <v/>
      </c>
      <c r="L5326" s="12"/>
      <c r="M5326" s="13"/>
      <c r="N5326" s="2"/>
      <c r="O5326" s="20"/>
      <c r="P5326" s="42"/>
      <c r="R5326" s="23"/>
    </row>
    <row r="5327" spans="1:18" ht="12.75">
      <c r="A5327" s="12"/>
      <c r="D5327" s="12"/>
      <c r="E5327" s="12"/>
      <c r="H5327" s="11" t="str">
        <f ca="1">IFERROR(__xludf.DUMMYFUNCTION("IFERROR(SUBSTITUTE(SUBSTITUTE(REGEXEXTRACT(A5327, ""[^-]+- [^-]+- [^-]+ - (.+?)\.jpg""), "".jpg"", """"), ""-"", "", ""), """")"),"")</f>
        <v/>
      </c>
      <c r="L5327" s="12"/>
      <c r="M5327" s="13"/>
      <c r="N5327" s="2"/>
      <c r="O5327" s="20"/>
      <c r="P5327" s="42"/>
      <c r="R5327" s="23"/>
    </row>
    <row r="5328" spans="1:18" ht="12.75">
      <c r="A5328" s="12"/>
      <c r="D5328" s="12"/>
      <c r="E5328" s="12"/>
      <c r="H5328" s="11" t="str">
        <f ca="1">IFERROR(__xludf.DUMMYFUNCTION("IFERROR(SUBSTITUTE(SUBSTITUTE(REGEXEXTRACT(A5328, ""[^-]+- [^-]+- [^-]+ - (.+?)\.jpg""), "".jpg"", """"), ""-"", "", ""), """")"),"")</f>
        <v/>
      </c>
      <c r="L5328" s="12"/>
      <c r="M5328" s="13"/>
      <c r="N5328" s="2"/>
      <c r="O5328" s="20"/>
      <c r="P5328" s="42"/>
      <c r="R5328" s="23"/>
    </row>
    <row r="5329" spans="1:18" ht="12.75">
      <c r="A5329" s="12"/>
      <c r="D5329" s="12"/>
      <c r="E5329" s="12"/>
      <c r="H5329" s="11" t="str">
        <f ca="1">IFERROR(__xludf.DUMMYFUNCTION("IFERROR(SUBSTITUTE(SUBSTITUTE(REGEXEXTRACT(A5329, ""[^-]+- [^-]+- [^-]+ - (.+?)\.jpg""), "".jpg"", """"), ""-"", "", ""), """")"),"")</f>
        <v/>
      </c>
      <c r="L5329" s="12"/>
      <c r="M5329" s="13"/>
      <c r="N5329" s="2"/>
      <c r="O5329" s="20"/>
      <c r="P5329" s="42"/>
      <c r="R5329" s="23"/>
    </row>
    <row r="5330" spans="1:18" ht="12.75">
      <c r="A5330" s="12"/>
      <c r="D5330" s="12"/>
      <c r="E5330" s="12"/>
      <c r="H5330" s="11" t="str">
        <f ca="1">IFERROR(__xludf.DUMMYFUNCTION("IFERROR(SUBSTITUTE(SUBSTITUTE(REGEXEXTRACT(A5330, ""[^-]+- [^-]+- [^-]+ - (.+?)\.jpg""), "".jpg"", """"), ""-"", "", ""), """")"),"")</f>
        <v/>
      </c>
      <c r="L5330" s="12"/>
      <c r="M5330" s="13"/>
      <c r="N5330" s="2"/>
      <c r="O5330" s="20"/>
      <c r="P5330" s="42"/>
      <c r="R5330" s="23"/>
    </row>
    <row r="5331" spans="1:18" ht="12.75">
      <c r="A5331" s="12"/>
      <c r="D5331" s="12"/>
      <c r="E5331" s="12"/>
      <c r="H5331" s="11" t="str">
        <f ca="1">IFERROR(__xludf.DUMMYFUNCTION("IFERROR(SUBSTITUTE(SUBSTITUTE(REGEXEXTRACT(A5331, ""[^-]+- [^-]+- [^-]+ - (.+?)\.jpg""), "".jpg"", """"), ""-"", "", ""), """")"),"")</f>
        <v/>
      </c>
      <c r="L5331" s="12"/>
      <c r="M5331" s="13"/>
      <c r="N5331" s="2"/>
      <c r="O5331" s="20"/>
      <c r="P5331" s="42"/>
      <c r="R5331" s="23"/>
    </row>
    <row r="5332" spans="1:18" ht="12.75">
      <c r="A5332" s="12"/>
      <c r="D5332" s="12"/>
      <c r="E5332" s="12"/>
      <c r="H5332" s="11" t="str">
        <f ca="1">IFERROR(__xludf.DUMMYFUNCTION("IFERROR(SUBSTITUTE(SUBSTITUTE(REGEXEXTRACT(A5332, ""[^-]+- [^-]+- [^-]+ - (.+?)\.jpg""), "".jpg"", """"), ""-"", "", ""), """")"),"")</f>
        <v/>
      </c>
      <c r="L5332" s="12"/>
      <c r="M5332" s="13"/>
      <c r="N5332" s="2"/>
      <c r="O5332" s="20"/>
      <c r="P5332" s="42"/>
      <c r="R5332" s="23"/>
    </row>
    <row r="5333" spans="1:18" ht="12.75">
      <c r="A5333" s="12"/>
      <c r="D5333" s="12"/>
      <c r="E5333" s="12"/>
      <c r="H5333" s="11" t="str">
        <f ca="1">IFERROR(__xludf.DUMMYFUNCTION("IFERROR(SUBSTITUTE(SUBSTITUTE(REGEXEXTRACT(A5333, ""[^-]+- [^-]+- [^-]+ - (.+?)\.jpg""), "".jpg"", """"), ""-"", "", ""), """")"),"")</f>
        <v/>
      </c>
      <c r="L5333" s="12"/>
      <c r="M5333" s="13"/>
      <c r="N5333" s="2"/>
      <c r="O5333" s="20"/>
      <c r="P5333" s="42"/>
      <c r="R5333" s="23"/>
    </row>
    <row r="5334" spans="1:18" ht="12.75">
      <c r="A5334" s="12"/>
      <c r="D5334" s="12"/>
      <c r="E5334" s="12"/>
      <c r="H5334" s="11" t="str">
        <f ca="1">IFERROR(__xludf.DUMMYFUNCTION("IFERROR(SUBSTITUTE(SUBSTITUTE(REGEXEXTRACT(A5334, ""[^-]+- [^-]+- [^-]+ - (.+?)\.jpg""), "".jpg"", """"), ""-"", "", ""), """")"),"")</f>
        <v/>
      </c>
      <c r="L5334" s="12"/>
      <c r="M5334" s="13"/>
      <c r="N5334" s="2"/>
      <c r="O5334" s="20"/>
      <c r="P5334" s="42"/>
      <c r="R5334" s="23"/>
    </row>
    <row r="5335" spans="1:18" ht="12.75">
      <c r="A5335" s="12"/>
      <c r="D5335" s="12"/>
      <c r="E5335" s="12"/>
      <c r="H5335" s="11" t="str">
        <f ca="1">IFERROR(__xludf.DUMMYFUNCTION("IFERROR(SUBSTITUTE(SUBSTITUTE(REGEXEXTRACT(A5335, ""[^-]+- [^-]+- [^-]+ - (.+?)\.jpg""), "".jpg"", """"), ""-"", "", ""), """")"),"")</f>
        <v/>
      </c>
      <c r="L5335" s="12"/>
      <c r="M5335" s="13"/>
      <c r="N5335" s="2"/>
      <c r="O5335" s="20"/>
      <c r="P5335" s="42"/>
      <c r="R5335" s="23"/>
    </row>
    <row r="5336" spans="1:18" ht="12.75">
      <c r="A5336" s="12"/>
      <c r="D5336" s="12"/>
      <c r="E5336" s="12"/>
      <c r="H5336" s="11" t="str">
        <f ca="1">IFERROR(__xludf.DUMMYFUNCTION("IFERROR(SUBSTITUTE(SUBSTITUTE(REGEXEXTRACT(A5336, ""[^-]+- [^-]+- [^-]+ - (.+?)\.jpg""), "".jpg"", """"), ""-"", "", ""), """")"),"")</f>
        <v/>
      </c>
      <c r="L5336" s="12"/>
      <c r="M5336" s="13"/>
      <c r="N5336" s="2"/>
      <c r="O5336" s="20"/>
      <c r="P5336" s="42"/>
      <c r="R5336" s="23"/>
    </row>
    <row r="5337" spans="1:18" ht="12.75">
      <c r="A5337" s="12"/>
      <c r="D5337" s="12"/>
      <c r="E5337" s="12"/>
      <c r="H5337" s="11" t="str">
        <f ca="1">IFERROR(__xludf.DUMMYFUNCTION("IFERROR(SUBSTITUTE(SUBSTITUTE(REGEXEXTRACT(A5337, ""[^-]+- [^-]+- [^-]+ - (.+?)\.jpg""), "".jpg"", """"), ""-"", "", ""), """")"),"")</f>
        <v/>
      </c>
      <c r="L5337" s="12"/>
      <c r="M5337" s="13"/>
      <c r="N5337" s="2"/>
      <c r="O5337" s="20"/>
      <c r="P5337" s="42"/>
      <c r="R5337" s="23"/>
    </row>
    <row r="5338" spans="1:18" ht="12.75">
      <c r="A5338" s="12"/>
      <c r="D5338" s="12"/>
      <c r="E5338" s="12"/>
      <c r="H5338" s="11" t="str">
        <f ca="1">IFERROR(__xludf.DUMMYFUNCTION("IFERROR(SUBSTITUTE(SUBSTITUTE(REGEXEXTRACT(A5338, ""[^-]+- [^-]+- [^-]+ - (.+?)\.jpg""), "".jpg"", """"), ""-"", "", ""), """")"),"")</f>
        <v/>
      </c>
      <c r="L5338" s="12"/>
      <c r="M5338" s="13"/>
      <c r="N5338" s="2"/>
      <c r="O5338" s="20"/>
      <c r="P5338" s="42"/>
      <c r="R5338" s="23"/>
    </row>
    <row r="5339" spans="1:18" ht="12.75">
      <c r="A5339" s="12"/>
      <c r="D5339" s="12"/>
      <c r="E5339" s="12"/>
      <c r="H5339" s="11" t="str">
        <f ca="1">IFERROR(__xludf.DUMMYFUNCTION("IFERROR(SUBSTITUTE(SUBSTITUTE(REGEXEXTRACT(A5339, ""[^-]+- [^-]+- [^-]+ - (.+?)\.jpg""), "".jpg"", """"), ""-"", "", ""), """")"),"")</f>
        <v/>
      </c>
      <c r="L5339" s="12"/>
      <c r="M5339" s="13"/>
      <c r="N5339" s="2"/>
      <c r="O5339" s="20"/>
      <c r="P5339" s="42"/>
      <c r="R5339" s="23"/>
    </row>
    <row r="5340" spans="1:18" ht="12.75">
      <c r="A5340" s="12"/>
      <c r="D5340" s="12"/>
      <c r="E5340" s="12"/>
      <c r="H5340" s="11" t="str">
        <f ca="1">IFERROR(__xludf.DUMMYFUNCTION("IFERROR(SUBSTITUTE(SUBSTITUTE(REGEXEXTRACT(A5340, ""[^-]+- [^-]+- [^-]+ - (.+?)\.jpg""), "".jpg"", """"), ""-"", "", ""), """")"),"")</f>
        <v/>
      </c>
      <c r="L5340" s="12"/>
      <c r="M5340" s="13"/>
      <c r="N5340" s="2"/>
      <c r="O5340" s="20"/>
      <c r="P5340" s="42"/>
      <c r="R5340" s="23"/>
    </row>
    <row r="5341" spans="1:18" ht="12.75">
      <c r="A5341" s="12"/>
      <c r="D5341" s="12"/>
      <c r="E5341" s="12"/>
      <c r="H5341" s="11" t="str">
        <f ca="1">IFERROR(__xludf.DUMMYFUNCTION("IFERROR(SUBSTITUTE(SUBSTITUTE(REGEXEXTRACT(A5341, ""[^-]+- [^-]+- [^-]+ - (.+?)\.jpg""), "".jpg"", """"), ""-"", "", ""), """")"),"")</f>
        <v/>
      </c>
      <c r="L5341" s="12"/>
      <c r="M5341" s="13"/>
      <c r="N5341" s="2"/>
      <c r="O5341" s="20"/>
      <c r="P5341" s="42"/>
      <c r="R5341" s="23"/>
    </row>
    <row r="5342" spans="1:18" ht="12.75">
      <c r="A5342" s="12"/>
      <c r="D5342" s="12"/>
      <c r="E5342" s="12"/>
      <c r="H5342" s="11" t="str">
        <f ca="1">IFERROR(__xludf.DUMMYFUNCTION("IFERROR(SUBSTITUTE(SUBSTITUTE(REGEXEXTRACT(A5342, ""[^-]+- [^-]+- [^-]+ - (.+?)\.jpg""), "".jpg"", """"), ""-"", "", ""), """")"),"")</f>
        <v/>
      </c>
      <c r="L5342" s="12"/>
      <c r="M5342" s="13"/>
      <c r="N5342" s="2"/>
      <c r="O5342" s="20"/>
      <c r="P5342" s="42"/>
      <c r="R5342" s="23"/>
    </row>
    <row r="5343" spans="1:18" ht="12.75">
      <c r="A5343" s="12"/>
      <c r="D5343" s="12"/>
      <c r="E5343" s="12"/>
      <c r="H5343" s="11" t="str">
        <f ca="1">IFERROR(__xludf.DUMMYFUNCTION("IFERROR(SUBSTITUTE(SUBSTITUTE(REGEXEXTRACT(A5343, ""[^-]+- [^-]+- [^-]+ - (.+?)\.jpg""), "".jpg"", """"), ""-"", "", ""), """")"),"")</f>
        <v/>
      </c>
      <c r="L5343" s="12"/>
      <c r="M5343" s="13"/>
      <c r="N5343" s="2"/>
      <c r="O5343" s="20"/>
      <c r="P5343" s="42"/>
      <c r="R5343" s="23"/>
    </row>
    <row r="5344" spans="1:18" ht="12.75">
      <c r="A5344" s="12"/>
      <c r="D5344" s="12"/>
      <c r="E5344" s="12"/>
      <c r="H5344" s="11" t="str">
        <f ca="1">IFERROR(__xludf.DUMMYFUNCTION("IFERROR(SUBSTITUTE(SUBSTITUTE(REGEXEXTRACT(A5344, ""[^-]+- [^-]+- [^-]+ - (.+?)\.jpg""), "".jpg"", """"), ""-"", "", ""), """")"),"")</f>
        <v/>
      </c>
      <c r="L5344" s="12"/>
      <c r="M5344" s="13"/>
      <c r="N5344" s="2"/>
      <c r="O5344" s="20"/>
      <c r="P5344" s="42"/>
      <c r="R5344" s="23"/>
    </row>
    <row r="5345" spans="1:18" ht="12.75">
      <c r="A5345" s="12"/>
      <c r="D5345" s="12"/>
      <c r="E5345" s="12"/>
      <c r="H5345" s="11" t="str">
        <f ca="1">IFERROR(__xludf.DUMMYFUNCTION("IFERROR(SUBSTITUTE(SUBSTITUTE(REGEXEXTRACT(A5345, ""[^-]+- [^-]+- [^-]+ - (.+?)\.jpg""), "".jpg"", """"), ""-"", "", ""), """")"),"")</f>
        <v/>
      </c>
      <c r="L5345" s="12"/>
      <c r="M5345" s="13"/>
      <c r="N5345" s="2"/>
      <c r="O5345" s="20"/>
      <c r="P5345" s="42"/>
      <c r="R5345" s="23"/>
    </row>
    <row r="5346" spans="1:18" ht="12.75">
      <c r="A5346" s="12"/>
      <c r="D5346" s="12"/>
      <c r="E5346" s="12"/>
      <c r="H5346" s="11" t="str">
        <f ca="1">IFERROR(__xludf.DUMMYFUNCTION("IFERROR(SUBSTITUTE(SUBSTITUTE(REGEXEXTRACT(A5346, ""[^-]+- [^-]+- [^-]+ - (.+?)\.jpg""), "".jpg"", """"), ""-"", "", ""), """")"),"")</f>
        <v/>
      </c>
      <c r="L5346" s="12"/>
      <c r="M5346" s="13"/>
      <c r="N5346" s="2"/>
      <c r="O5346" s="20"/>
      <c r="P5346" s="42"/>
      <c r="R5346" s="23"/>
    </row>
    <row r="5347" spans="1:18" ht="12.75">
      <c r="A5347" s="12"/>
      <c r="D5347" s="12"/>
      <c r="E5347" s="12"/>
      <c r="H5347" s="11" t="str">
        <f ca="1">IFERROR(__xludf.DUMMYFUNCTION("IFERROR(SUBSTITUTE(SUBSTITUTE(REGEXEXTRACT(A5347, ""[^-]+- [^-]+- [^-]+ - (.+?)\.jpg""), "".jpg"", """"), ""-"", "", ""), """")"),"")</f>
        <v/>
      </c>
      <c r="L5347" s="12"/>
      <c r="M5347" s="13"/>
      <c r="N5347" s="2"/>
      <c r="O5347" s="20"/>
      <c r="P5347" s="42"/>
      <c r="R5347" s="23"/>
    </row>
    <row r="5348" spans="1:18" ht="12.75">
      <c r="A5348" s="12"/>
      <c r="D5348" s="12"/>
      <c r="E5348" s="12"/>
      <c r="H5348" s="11" t="str">
        <f ca="1">IFERROR(__xludf.DUMMYFUNCTION("IFERROR(SUBSTITUTE(SUBSTITUTE(REGEXEXTRACT(A5348, ""[^-]+- [^-]+- [^-]+ - (.+?)\.jpg""), "".jpg"", """"), ""-"", "", ""), """")"),"")</f>
        <v/>
      </c>
      <c r="L5348" s="12"/>
      <c r="M5348" s="13"/>
      <c r="N5348" s="2"/>
      <c r="O5348" s="20"/>
      <c r="P5348" s="42"/>
      <c r="R5348" s="23"/>
    </row>
    <row r="5349" spans="1:18" ht="12.75">
      <c r="A5349" s="12"/>
      <c r="D5349" s="12"/>
      <c r="E5349" s="12"/>
      <c r="H5349" s="11" t="str">
        <f ca="1">IFERROR(__xludf.DUMMYFUNCTION("IFERROR(SUBSTITUTE(SUBSTITUTE(REGEXEXTRACT(A5349, ""[^-]+- [^-]+- [^-]+ - (.+?)\.jpg""), "".jpg"", """"), ""-"", "", ""), """")"),"")</f>
        <v/>
      </c>
      <c r="L5349" s="12"/>
      <c r="M5349" s="13"/>
      <c r="N5349" s="2"/>
      <c r="O5349" s="20"/>
      <c r="P5349" s="42"/>
      <c r="R5349" s="23"/>
    </row>
    <row r="5350" spans="1:18" ht="12.75">
      <c r="A5350" s="12"/>
      <c r="D5350" s="12"/>
      <c r="E5350" s="12"/>
      <c r="H5350" s="11" t="str">
        <f ca="1">IFERROR(__xludf.DUMMYFUNCTION("IFERROR(SUBSTITUTE(SUBSTITUTE(REGEXEXTRACT(A5350, ""[^-]+- [^-]+- [^-]+ - (.+?)\.jpg""), "".jpg"", """"), ""-"", "", ""), """")"),"")</f>
        <v/>
      </c>
      <c r="L5350" s="12"/>
      <c r="M5350" s="13"/>
      <c r="N5350" s="2"/>
      <c r="O5350" s="20"/>
      <c r="P5350" s="42"/>
      <c r="R5350" s="23"/>
    </row>
    <row r="5351" spans="1:18" ht="12.75">
      <c r="A5351" s="12"/>
      <c r="D5351" s="12"/>
      <c r="E5351" s="12"/>
      <c r="H5351" s="11" t="str">
        <f ca="1">IFERROR(__xludf.DUMMYFUNCTION("IFERROR(SUBSTITUTE(SUBSTITUTE(REGEXEXTRACT(A5351, ""[^-]+- [^-]+- [^-]+ - (.+?)\.jpg""), "".jpg"", """"), ""-"", "", ""), """")"),"")</f>
        <v/>
      </c>
      <c r="L5351" s="12"/>
      <c r="M5351" s="13"/>
      <c r="N5351" s="2"/>
      <c r="O5351" s="20"/>
      <c r="P5351" s="42"/>
      <c r="R5351" s="23"/>
    </row>
    <row r="5352" spans="1:18" ht="12.75">
      <c r="A5352" s="12"/>
      <c r="D5352" s="12"/>
      <c r="E5352" s="12"/>
      <c r="H5352" s="11" t="str">
        <f ca="1">IFERROR(__xludf.DUMMYFUNCTION("IFERROR(SUBSTITUTE(SUBSTITUTE(REGEXEXTRACT(A5352, ""[^-]+- [^-]+- [^-]+ - (.+?)\.jpg""), "".jpg"", """"), ""-"", "", ""), """")"),"")</f>
        <v/>
      </c>
      <c r="L5352" s="12"/>
      <c r="M5352" s="13"/>
      <c r="N5352" s="2"/>
      <c r="O5352" s="20"/>
      <c r="P5352" s="42"/>
      <c r="R5352" s="23"/>
    </row>
    <row r="5353" spans="1:18" ht="12.75">
      <c r="A5353" s="12"/>
      <c r="D5353" s="12"/>
      <c r="E5353" s="12"/>
      <c r="H5353" s="11" t="str">
        <f ca="1">IFERROR(__xludf.DUMMYFUNCTION("IFERROR(SUBSTITUTE(SUBSTITUTE(REGEXEXTRACT(A5353, ""[^-]+- [^-]+- [^-]+ - (.+?)\.jpg""), "".jpg"", """"), ""-"", "", ""), """")"),"")</f>
        <v/>
      </c>
      <c r="L5353" s="12"/>
      <c r="M5353" s="13"/>
      <c r="N5353" s="2"/>
      <c r="O5353" s="20"/>
      <c r="P5353" s="42"/>
      <c r="R5353" s="23"/>
    </row>
    <row r="5354" spans="1:18" ht="12.75">
      <c r="A5354" s="12"/>
      <c r="D5354" s="12"/>
      <c r="E5354" s="12"/>
      <c r="H5354" s="11" t="str">
        <f ca="1">IFERROR(__xludf.DUMMYFUNCTION("IFERROR(SUBSTITUTE(SUBSTITUTE(REGEXEXTRACT(A5354, ""[^-]+- [^-]+- [^-]+ - (.+?)\.jpg""), "".jpg"", """"), ""-"", "", ""), """")"),"")</f>
        <v/>
      </c>
      <c r="L5354" s="12"/>
      <c r="M5354" s="13"/>
      <c r="N5354" s="2"/>
      <c r="O5354" s="20"/>
      <c r="P5354" s="42"/>
      <c r="R5354" s="23"/>
    </row>
    <row r="5355" spans="1:18" ht="12.75">
      <c r="A5355" s="12"/>
      <c r="D5355" s="12"/>
      <c r="E5355" s="12"/>
      <c r="H5355" s="11" t="str">
        <f ca="1">IFERROR(__xludf.DUMMYFUNCTION("IFERROR(SUBSTITUTE(SUBSTITUTE(REGEXEXTRACT(A5355, ""[^-]+- [^-]+- [^-]+ - (.+?)\.jpg""), "".jpg"", """"), ""-"", "", ""), """")"),"")</f>
        <v/>
      </c>
      <c r="L5355" s="12"/>
      <c r="M5355" s="13"/>
      <c r="N5355" s="2"/>
      <c r="O5355" s="20"/>
      <c r="P5355" s="42"/>
      <c r="R5355" s="23"/>
    </row>
    <row r="5356" spans="1:18" ht="12.75">
      <c r="A5356" s="12"/>
      <c r="D5356" s="12"/>
      <c r="E5356" s="12"/>
      <c r="H5356" s="11" t="str">
        <f ca="1">IFERROR(__xludf.DUMMYFUNCTION("IFERROR(SUBSTITUTE(SUBSTITUTE(REGEXEXTRACT(A5356, ""[^-]+- [^-]+- [^-]+ - (.+?)\.jpg""), "".jpg"", """"), ""-"", "", ""), """")"),"")</f>
        <v/>
      </c>
      <c r="L5356" s="12"/>
      <c r="M5356" s="13"/>
      <c r="N5356" s="2"/>
      <c r="O5356" s="20"/>
      <c r="P5356" s="42"/>
      <c r="R5356" s="23"/>
    </row>
    <row r="5357" spans="1:18" ht="12.75">
      <c r="A5357" s="12"/>
      <c r="D5357" s="12"/>
      <c r="E5357" s="12"/>
      <c r="H5357" s="11" t="str">
        <f ca="1">IFERROR(__xludf.DUMMYFUNCTION("IFERROR(SUBSTITUTE(SUBSTITUTE(REGEXEXTRACT(A5357, ""[^-]+- [^-]+- [^-]+ - (.+?)\.jpg""), "".jpg"", """"), ""-"", "", ""), """")"),"")</f>
        <v/>
      </c>
      <c r="L5357" s="12"/>
      <c r="M5357" s="13"/>
      <c r="N5357" s="2"/>
      <c r="O5357" s="20"/>
      <c r="P5357" s="42"/>
      <c r="R5357" s="23"/>
    </row>
    <row r="5358" spans="1:18" ht="12.75">
      <c r="A5358" s="12"/>
      <c r="D5358" s="12"/>
      <c r="E5358" s="12"/>
      <c r="H5358" s="11" t="str">
        <f ca="1">IFERROR(__xludf.DUMMYFUNCTION("IFERROR(SUBSTITUTE(SUBSTITUTE(REGEXEXTRACT(A5358, ""[^-]+- [^-]+- [^-]+ - (.+?)\.jpg""), "".jpg"", """"), ""-"", "", ""), """")"),"")</f>
        <v/>
      </c>
      <c r="L5358" s="12"/>
      <c r="M5358" s="13"/>
      <c r="N5358" s="2"/>
      <c r="O5358" s="20"/>
      <c r="P5358" s="42"/>
      <c r="R5358" s="23"/>
    </row>
    <row r="5359" spans="1:18" ht="12.75">
      <c r="A5359" s="12"/>
      <c r="D5359" s="12"/>
      <c r="E5359" s="12"/>
      <c r="H5359" s="11" t="str">
        <f ca="1">IFERROR(__xludf.DUMMYFUNCTION("IFERROR(SUBSTITUTE(SUBSTITUTE(REGEXEXTRACT(A5359, ""[^-]+- [^-]+- [^-]+ - (.+?)\.jpg""), "".jpg"", """"), ""-"", "", ""), """")"),"")</f>
        <v/>
      </c>
      <c r="L5359" s="12"/>
      <c r="M5359" s="13"/>
      <c r="N5359" s="2"/>
      <c r="O5359" s="20"/>
      <c r="P5359" s="42"/>
      <c r="R5359" s="23"/>
    </row>
    <row r="5360" spans="1:18" ht="12.75">
      <c r="A5360" s="12"/>
      <c r="D5360" s="12"/>
      <c r="E5360" s="12"/>
      <c r="H5360" s="11" t="str">
        <f ca="1">IFERROR(__xludf.DUMMYFUNCTION("IFERROR(SUBSTITUTE(SUBSTITUTE(REGEXEXTRACT(A5360, ""[^-]+- [^-]+- [^-]+ - (.+?)\.jpg""), "".jpg"", """"), ""-"", "", ""), """")"),"")</f>
        <v/>
      </c>
      <c r="L5360" s="12"/>
      <c r="M5360" s="13"/>
      <c r="N5360" s="2"/>
      <c r="O5360" s="20"/>
      <c r="P5360" s="42"/>
      <c r="R5360" s="23"/>
    </row>
    <row r="5361" spans="1:18" ht="12.75">
      <c r="A5361" s="12"/>
      <c r="D5361" s="12"/>
      <c r="E5361" s="12"/>
      <c r="H5361" s="11" t="str">
        <f ca="1">IFERROR(__xludf.DUMMYFUNCTION("IFERROR(SUBSTITUTE(SUBSTITUTE(REGEXEXTRACT(A5361, ""[^-]+- [^-]+- [^-]+ - (.+?)\.jpg""), "".jpg"", """"), ""-"", "", ""), """")"),"")</f>
        <v/>
      </c>
      <c r="L5361" s="12"/>
      <c r="M5361" s="13"/>
      <c r="N5361" s="2"/>
      <c r="O5361" s="20"/>
      <c r="P5361" s="42"/>
      <c r="R5361" s="23"/>
    </row>
    <row r="5362" spans="1:18" ht="12.75">
      <c r="A5362" s="12"/>
      <c r="D5362" s="12"/>
      <c r="E5362" s="12"/>
      <c r="H5362" s="11" t="str">
        <f ca="1">IFERROR(__xludf.DUMMYFUNCTION("IFERROR(SUBSTITUTE(SUBSTITUTE(REGEXEXTRACT(A5362, ""[^-]+- [^-]+- [^-]+ - (.+?)\.jpg""), "".jpg"", """"), ""-"", "", ""), """")"),"")</f>
        <v/>
      </c>
      <c r="L5362" s="12"/>
      <c r="M5362" s="13"/>
      <c r="N5362" s="2"/>
      <c r="O5362" s="20"/>
      <c r="P5362" s="42"/>
      <c r="R5362" s="23"/>
    </row>
    <row r="5363" spans="1:18" ht="12.75">
      <c r="A5363" s="12"/>
      <c r="D5363" s="12"/>
      <c r="E5363" s="12"/>
      <c r="H5363" s="11" t="str">
        <f ca="1">IFERROR(__xludf.DUMMYFUNCTION("IFERROR(SUBSTITUTE(SUBSTITUTE(REGEXEXTRACT(A5363, ""[^-]+- [^-]+- [^-]+ - (.+?)\.jpg""), "".jpg"", """"), ""-"", "", ""), """")"),"")</f>
        <v/>
      </c>
      <c r="L5363" s="12"/>
      <c r="M5363" s="13"/>
      <c r="N5363" s="2"/>
      <c r="O5363" s="20"/>
      <c r="P5363" s="42"/>
      <c r="R5363" s="23"/>
    </row>
    <row r="5364" spans="1:18" ht="12.75">
      <c r="A5364" s="12"/>
      <c r="D5364" s="12"/>
      <c r="E5364" s="12"/>
      <c r="H5364" s="11" t="str">
        <f ca="1">IFERROR(__xludf.DUMMYFUNCTION("IFERROR(SUBSTITUTE(SUBSTITUTE(REGEXEXTRACT(A5364, ""[^-]+- [^-]+- [^-]+ - (.+?)\.jpg""), "".jpg"", """"), ""-"", "", ""), """")"),"")</f>
        <v/>
      </c>
      <c r="L5364" s="12"/>
      <c r="M5364" s="13"/>
      <c r="N5364" s="2"/>
      <c r="O5364" s="20"/>
      <c r="P5364" s="42"/>
      <c r="R5364" s="23"/>
    </row>
    <row r="5365" spans="1:18" ht="12.75">
      <c r="A5365" s="12"/>
      <c r="D5365" s="12"/>
      <c r="E5365" s="12"/>
      <c r="H5365" s="11" t="str">
        <f ca="1">IFERROR(__xludf.DUMMYFUNCTION("IFERROR(SUBSTITUTE(SUBSTITUTE(REGEXEXTRACT(A5365, ""[^-]+- [^-]+- [^-]+ - (.+?)\.jpg""), "".jpg"", """"), ""-"", "", ""), """")"),"")</f>
        <v/>
      </c>
      <c r="L5365" s="12"/>
      <c r="M5365" s="13"/>
      <c r="N5365" s="2"/>
      <c r="O5365" s="20"/>
      <c r="P5365" s="42"/>
      <c r="R5365" s="23"/>
    </row>
    <row r="5366" spans="1:18" ht="12.75">
      <c r="A5366" s="12"/>
      <c r="D5366" s="12"/>
      <c r="E5366" s="12"/>
      <c r="H5366" s="11" t="str">
        <f ca="1">IFERROR(__xludf.DUMMYFUNCTION("IFERROR(SUBSTITUTE(SUBSTITUTE(REGEXEXTRACT(A5366, ""[^-]+- [^-]+- [^-]+ - (.+?)\.jpg""), "".jpg"", """"), ""-"", "", ""), """")"),"")</f>
        <v/>
      </c>
      <c r="L5366" s="12"/>
      <c r="M5366" s="13"/>
      <c r="N5366" s="2"/>
      <c r="O5366" s="20"/>
      <c r="P5366" s="42"/>
      <c r="R5366" s="23"/>
    </row>
    <row r="5367" spans="1:18" ht="12.75">
      <c r="A5367" s="12"/>
      <c r="D5367" s="12"/>
      <c r="E5367" s="12"/>
      <c r="H5367" s="11" t="str">
        <f ca="1">IFERROR(__xludf.DUMMYFUNCTION("IFERROR(SUBSTITUTE(SUBSTITUTE(REGEXEXTRACT(A5367, ""[^-]+- [^-]+- [^-]+ - (.+?)\.jpg""), "".jpg"", """"), ""-"", "", ""), """")"),"")</f>
        <v/>
      </c>
      <c r="L5367" s="12"/>
      <c r="M5367" s="13"/>
      <c r="N5367" s="2"/>
      <c r="O5367" s="20"/>
      <c r="P5367" s="42"/>
      <c r="R5367" s="23"/>
    </row>
    <row r="5368" spans="1:18" ht="12.75">
      <c r="A5368" s="12"/>
      <c r="D5368" s="12"/>
      <c r="E5368" s="12"/>
      <c r="H5368" s="11" t="str">
        <f ca="1">IFERROR(__xludf.DUMMYFUNCTION("IFERROR(SUBSTITUTE(SUBSTITUTE(REGEXEXTRACT(A5368, ""[^-]+- [^-]+- [^-]+ - (.+?)\.jpg""), "".jpg"", """"), ""-"", "", ""), """")"),"")</f>
        <v/>
      </c>
      <c r="L5368" s="12"/>
      <c r="M5368" s="13"/>
      <c r="N5368" s="2"/>
      <c r="O5368" s="20"/>
      <c r="P5368" s="42"/>
      <c r="R5368" s="23"/>
    </row>
    <row r="5369" spans="1:18" ht="12.75">
      <c r="A5369" s="12"/>
      <c r="D5369" s="12"/>
      <c r="E5369" s="12"/>
      <c r="H5369" s="11" t="str">
        <f ca="1">IFERROR(__xludf.DUMMYFUNCTION("IFERROR(SUBSTITUTE(SUBSTITUTE(REGEXEXTRACT(A5369, ""[^-]+- [^-]+- [^-]+ - (.+?)\.jpg""), "".jpg"", """"), ""-"", "", ""), """")"),"")</f>
        <v/>
      </c>
      <c r="L5369" s="12"/>
      <c r="M5369" s="13"/>
      <c r="N5369" s="2"/>
      <c r="O5369" s="20"/>
      <c r="P5369" s="42"/>
      <c r="R5369" s="23"/>
    </row>
    <row r="5370" spans="1:18" ht="12.75">
      <c r="A5370" s="12"/>
      <c r="D5370" s="12"/>
      <c r="E5370" s="12"/>
      <c r="H5370" s="11" t="str">
        <f ca="1">IFERROR(__xludf.DUMMYFUNCTION("IFERROR(SUBSTITUTE(SUBSTITUTE(REGEXEXTRACT(A5370, ""[^-]+- [^-]+- [^-]+ - (.+?)\.jpg""), "".jpg"", """"), ""-"", "", ""), """")"),"")</f>
        <v/>
      </c>
      <c r="L5370" s="12"/>
      <c r="M5370" s="13"/>
      <c r="N5370" s="2"/>
      <c r="O5370" s="20"/>
      <c r="P5370" s="42"/>
      <c r="R5370" s="23"/>
    </row>
    <row r="5371" spans="1:18" ht="12.75">
      <c r="A5371" s="12"/>
      <c r="D5371" s="12"/>
      <c r="E5371" s="12"/>
      <c r="H5371" s="11" t="str">
        <f ca="1">IFERROR(__xludf.DUMMYFUNCTION("IFERROR(SUBSTITUTE(SUBSTITUTE(REGEXEXTRACT(A5371, ""[^-]+- [^-]+- [^-]+ - (.+?)\.jpg""), "".jpg"", """"), ""-"", "", ""), """")"),"")</f>
        <v/>
      </c>
      <c r="L5371" s="12"/>
      <c r="M5371" s="13"/>
      <c r="N5371" s="2"/>
      <c r="O5371" s="20"/>
      <c r="P5371" s="42"/>
      <c r="R5371" s="23"/>
    </row>
    <row r="5372" spans="1:18" ht="12.75">
      <c r="A5372" s="12"/>
      <c r="D5372" s="12"/>
      <c r="E5372" s="12"/>
      <c r="H5372" s="11" t="str">
        <f ca="1">IFERROR(__xludf.DUMMYFUNCTION("IFERROR(SUBSTITUTE(SUBSTITUTE(REGEXEXTRACT(A5372, ""[^-]+- [^-]+- [^-]+ - (.+?)\.jpg""), "".jpg"", """"), ""-"", "", ""), """")"),"")</f>
        <v/>
      </c>
      <c r="L5372" s="12"/>
      <c r="M5372" s="13"/>
      <c r="N5372" s="2"/>
      <c r="O5372" s="20"/>
      <c r="P5372" s="42"/>
      <c r="R5372" s="23"/>
    </row>
    <row r="5373" spans="1:18" ht="12.75">
      <c r="A5373" s="12"/>
      <c r="D5373" s="12"/>
      <c r="E5373" s="12"/>
      <c r="H5373" s="11" t="str">
        <f ca="1">IFERROR(__xludf.DUMMYFUNCTION("IFERROR(SUBSTITUTE(SUBSTITUTE(REGEXEXTRACT(A5373, ""[^-]+- [^-]+- [^-]+ - (.+?)\.jpg""), "".jpg"", """"), ""-"", "", ""), """")"),"")</f>
        <v/>
      </c>
      <c r="L5373" s="12"/>
      <c r="M5373" s="13"/>
      <c r="N5373" s="2"/>
      <c r="O5373" s="20"/>
      <c r="P5373" s="42"/>
      <c r="R5373" s="23"/>
    </row>
    <row r="5374" spans="1:18" ht="12.75">
      <c r="A5374" s="12"/>
      <c r="D5374" s="12"/>
      <c r="E5374" s="12"/>
      <c r="H5374" s="11" t="str">
        <f ca="1">IFERROR(__xludf.DUMMYFUNCTION("IFERROR(SUBSTITUTE(SUBSTITUTE(REGEXEXTRACT(A5374, ""[^-]+- [^-]+- [^-]+ - (.+?)\.jpg""), "".jpg"", """"), ""-"", "", ""), """")"),"")</f>
        <v/>
      </c>
      <c r="L5374" s="12"/>
      <c r="M5374" s="13"/>
      <c r="N5374" s="2"/>
      <c r="O5374" s="20"/>
      <c r="P5374" s="42"/>
      <c r="R5374" s="23"/>
    </row>
    <row r="5375" spans="1:18" ht="12.75">
      <c r="A5375" s="12"/>
      <c r="D5375" s="12"/>
      <c r="E5375" s="12"/>
      <c r="H5375" s="11" t="str">
        <f ca="1">IFERROR(__xludf.DUMMYFUNCTION("IFERROR(SUBSTITUTE(SUBSTITUTE(REGEXEXTRACT(A5375, ""[^-]+- [^-]+- [^-]+ - (.+?)\.jpg""), "".jpg"", """"), ""-"", "", ""), """")"),"")</f>
        <v/>
      </c>
      <c r="L5375" s="12"/>
      <c r="M5375" s="13"/>
      <c r="N5375" s="2"/>
      <c r="O5375" s="20"/>
      <c r="P5375" s="42"/>
      <c r="R5375" s="23"/>
    </row>
    <row r="5376" spans="1:18" ht="12.75">
      <c r="A5376" s="12"/>
      <c r="D5376" s="12"/>
      <c r="E5376" s="12"/>
      <c r="H5376" s="11" t="str">
        <f ca="1">IFERROR(__xludf.DUMMYFUNCTION("IFERROR(SUBSTITUTE(SUBSTITUTE(REGEXEXTRACT(A5376, ""[^-]+- [^-]+- [^-]+ - (.+?)\.jpg""), "".jpg"", """"), ""-"", "", ""), """")"),"")</f>
        <v/>
      </c>
      <c r="L5376" s="12"/>
      <c r="M5376" s="13"/>
      <c r="N5376" s="2"/>
      <c r="O5376" s="20"/>
      <c r="P5376" s="42"/>
      <c r="R5376" s="23"/>
    </row>
    <row r="5377" spans="1:18" ht="12.75">
      <c r="A5377" s="12"/>
      <c r="D5377" s="12"/>
      <c r="E5377" s="12"/>
      <c r="H5377" s="11" t="str">
        <f ca="1">IFERROR(__xludf.DUMMYFUNCTION("IFERROR(SUBSTITUTE(SUBSTITUTE(REGEXEXTRACT(A5377, ""[^-]+- [^-]+- [^-]+ - (.+?)\.jpg""), "".jpg"", """"), ""-"", "", ""), """")"),"")</f>
        <v/>
      </c>
      <c r="L5377" s="12"/>
      <c r="M5377" s="13"/>
      <c r="N5377" s="2"/>
      <c r="O5377" s="20"/>
      <c r="P5377" s="42"/>
      <c r="R5377" s="23"/>
    </row>
    <row r="5378" spans="1:18" ht="12.75">
      <c r="A5378" s="12"/>
      <c r="D5378" s="12"/>
      <c r="E5378" s="12"/>
      <c r="H5378" s="11" t="str">
        <f ca="1">IFERROR(__xludf.DUMMYFUNCTION("IFERROR(SUBSTITUTE(SUBSTITUTE(REGEXEXTRACT(A5378, ""[^-]+- [^-]+- [^-]+ - (.+?)\.jpg""), "".jpg"", """"), ""-"", "", ""), """")"),"")</f>
        <v/>
      </c>
      <c r="L5378" s="12"/>
      <c r="M5378" s="13"/>
      <c r="N5378" s="2"/>
      <c r="O5378" s="20"/>
      <c r="P5378" s="42"/>
      <c r="R5378" s="23"/>
    </row>
    <row r="5379" spans="1:18" ht="12.75">
      <c r="A5379" s="12"/>
      <c r="D5379" s="12"/>
      <c r="E5379" s="12"/>
      <c r="H5379" s="11" t="str">
        <f ca="1">IFERROR(__xludf.DUMMYFUNCTION("IFERROR(SUBSTITUTE(SUBSTITUTE(REGEXEXTRACT(A5379, ""[^-]+- [^-]+- [^-]+ - (.+?)\.jpg""), "".jpg"", """"), ""-"", "", ""), """")"),"")</f>
        <v/>
      </c>
      <c r="L5379" s="12"/>
      <c r="M5379" s="13"/>
      <c r="N5379" s="2"/>
      <c r="O5379" s="20"/>
      <c r="P5379" s="42"/>
      <c r="R5379" s="23"/>
    </row>
    <row r="5380" spans="1:18" ht="12.75">
      <c r="A5380" s="12"/>
      <c r="D5380" s="12"/>
      <c r="E5380" s="12"/>
      <c r="H5380" s="11" t="str">
        <f ca="1">IFERROR(__xludf.DUMMYFUNCTION("IFERROR(SUBSTITUTE(SUBSTITUTE(REGEXEXTRACT(A5380, ""[^-]+- [^-]+- [^-]+ - (.+?)\.jpg""), "".jpg"", """"), ""-"", "", ""), """")"),"")</f>
        <v/>
      </c>
      <c r="L5380" s="12"/>
      <c r="M5380" s="13"/>
      <c r="N5380" s="2"/>
      <c r="O5380" s="20"/>
      <c r="P5380" s="42"/>
      <c r="R5380" s="23"/>
    </row>
    <row r="5381" spans="1:18" ht="12.75">
      <c r="A5381" s="12"/>
      <c r="D5381" s="12"/>
      <c r="E5381" s="12"/>
      <c r="H5381" s="11" t="str">
        <f ca="1">IFERROR(__xludf.DUMMYFUNCTION("IFERROR(SUBSTITUTE(SUBSTITUTE(REGEXEXTRACT(A5381, ""[^-]+- [^-]+- [^-]+ - (.+?)\.jpg""), "".jpg"", """"), ""-"", "", ""), """")"),"")</f>
        <v/>
      </c>
      <c r="L5381" s="12"/>
      <c r="M5381" s="13"/>
      <c r="N5381" s="2"/>
      <c r="O5381" s="20"/>
      <c r="P5381" s="42"/>
      <c r="R5381" s="23"/>
    </row>
    <row r="5382" spans="1:18" ht="12.75">
      <c r="A5382" s="12"/>
      <c r="D5382" s="12"/>
      <c r="E5382" s="12"/>
      <c r="H5382" s="11" t="str">
        <f ca="1">IFERROR(__xludf.DUMMYFUNCTION("IFERROR(SUBSTITUTE(SUBSTITUTE(REGEXEXTRACT(A5382, ""[^-]+- [^-]+- [^-]+ - (.+?)\.jpg""), "".jpg"", """"), ""-"", "", ""), """")"),"")</f>
        <v/>
      </c>
      <c r="L5382" s="12"/>
      <c r="M5382" s="13"/>
      <c r="N5382" s="2"/>
      <c r="O5382" s="20"/>
      <c r="P5382" s="42"/>
      <c r="R5382" s="23"/>
    </row>
    <row r="5383" spans="1:18" ht="12.75">
      <c r="A5383" s="12"/>
      <c r="D5383" s="12"/>
      <c r="E5383" s="12"/>
      <c r="H5383" s="11" t="str">
        <f ca="1">IFERROR(__xludf.DUMMYFUNCTION("IFERROR(SUBSTITUTE(SUBSTITUTE(REGEXEXTRACT(A5383, ""[^-]+- [^-]+- [^-]+ - (.+?)\.jpg""), "".jpg"", """"), ""-"", "", ""), """")"),"")</f>
        <v/>
      </c>
      <c r="L5383" s="12"/>
      <c r="M5383" s="13"/>
      <c r="N5383" s="2"/>
      <c r="O5383" s="20"/>
      <c r="P5383" s="42"/>
      <c r="R5383" s="23"/>
    </row>
    <row r="5384" spans="1:18" ht="12.75">
      <c r="A5384" s="12"/>
      <c r="D5384" s="12"/>
      <c r="E5384" s="12"/>
      <c r="H5384" s="11" t="str">
        <f ca="1">IFERROR(__xludf.DUMMYFUNCTION("IFERROR(SUBSTITUTE(SUBSTITUTE(REGEXEXTRACT(A5384, ""[^-]+- [^-]+- [^-]+ - (.+?)\.jpg""), "".jpg"", """"), ""-"", "", ""), """")"),"")</f>
        <v/>
      </c>
      <c r="L5384" s="12"/>
      <c r="M5384" s="13"/>
      <c r="N5384" s="2"/>
      <c r="O5384" s="20"/>
      <c r="P5384" s="42"/>
      <c r="R5384" s="23"/>
    </row>
    <row r="5385" spans="1:18" ht="12.75">
      <c r="A5385" s="12"/>
      <c r="D5385" s="12"/>
      <c r="E5385" s="12"/>
      <c r="H5385" s="11" t="str">
        <f ca="1">IFERROR(__xludf.DUMMYFUNCTION("IFERROR(SUBSTITUTE(SUBSTITUTE(REGEXEXTRACT(A5385, ""[^-]+- [^-]+- [^-]+ - (.+?)\.jpg""), "".jpg"", """"), ""-"", "", ""), """")"),"")</f>
        <v/>
      </c>
      <c r="L5385" s="12"/>
      <c r="M5385" s="13"/>
      <c r="N5385" s="2"/>
      <c r="O5385" s="20"/>
      <c r="P5385" s="42"/>
      <c r="R5385" s="23"/>
    </row>
    <row r="5386" spans="1:18" ht="12.75">
      <c r="A5386" s="12"/>
      <c r="D5386" s="12"/>
      <c r="E5386" s="12"/>
      <c r="H5386" s="11" t="str">
        <f ca="1">IFERROR(__xludf.DUMMYFUNCTION("IFERROR(SUBSTITUTE(SUBSTITUTE(REGEXEXTRACT(A5386, ""[^-]+- [^-]+- [^-]+ - (.+?)\.jpg""), "".jpg"", """"), ""-"", "", ""), """")"),"")</f>
        <v/>
      </c>
      <c r="L5386" s="12"/>
      <c r="M5386" s="13"/>
      <c r="N5386" s="2"/>
      <c r="O5386" s="20"/>
      <c r="P5386" s="42"/>
      <c r="R5386" s="23"/>
    </row>
    <row r="5387" spans="1:18" ht="12.75">
      <c r="A5387" s="12"/>
      <c r="D5387" s="12"/>
      <c r="E5387" s="12"/>
      <c r="H5387" s="11" t="str">
        <f ca="1">IFERROR(__xludf.DUMMYFUNCTION("IFERROR(SUBSTITUTE(SUBSTITUTE(REGEXEXTRACT(A5387, ""[^-]+- [^-]+- [^-]+ - (.+?)\.jpg""), "".jpg"", """"), ""-"", "", ""), """")"),"")</f>
        <v/>
      </c>
      <c r="L5387" s="12"/>
      <c r="M5387" s="13"/>
      <c r="N5387" s="2"/>
      <c r="O5387" s="20"/>
      <c r="P5387" s="42"/>
      <c r="R5387" s="23"/>
    </row>
    <row r="5388" spans="1:18" ht="12.75">
      <c r="A5388" s="12"/>
      <c r="D5388" s="12"/>
      <c r="E5388" s="12"/>
      <c r="H5388" s="11" t="str">
        <f ca="1">IFERROR(__xludf.DUMMYFUNCTION("IFERROR(SUBSTITUTE(SUBSTITUTE(REGEXEXTRACT(A5388, ""[^-]+- [^-]+- [^-]+ - (.+?)\.jpg""), "".jpg"", """"), ""-"", "", ""), """")"),"")</f>
        <v/>
      </c>
      <c r="L5388" s="12"/>
      <c r="M5388" s="13"/>
      <c r="N5388" s="2"/>
      <c r="O5388" s="20"/>
      <c r="P5388" s="42"/>
      <c r="R5388" s="23"/>
    </row>
    <row r="5389" spans="1:18" ht="12.75">
      <c r="A5389" s="12"/>
      <c r="D5389" s="12"/>
      <c r="E5389" s="12"/>
      <c r="H5389" s="11" t="str">
        <f ca="1">IFERROR(__xludf.DUMMYFUNCTION("IFERROR(SUBSTITUTE(SUBSTITUTE(REGEXEXTRACT(A5389, ""[^-]+- [^-]+- [^-]+ - (.+?)\.jpg""), "".jpg"", """"), ""-"", "", ""), """")"),"")</f>
        <v/>
      </c>
      <c r="L5389" s="12"/>
      <c r="M5389" s="13"/>
      <c r="N5389" s="2"/>
      <c r="O5389" s="20"/>
      <c r="P5389" s="42"/>
      <c r="R5389" s="23"/>
    </row>
    <row r="5390" spans="1:18" ht="12.75">
      <c r="A5390" s="12"/>
      <c r="D5390" s="12"/>
      <c r="E5390" s="12"/>
      <c r="H5390" s="11" t="str">
        <f ca="1">IFERROR(__xludf.DUMMYFUNCTION("IFERROR(SUBSTITUTE(SUBSTITUTE(REGEXEXTRACT(A5390, ""[^-]+- [^-]+- [^-]+ - (.+?)\.jpg""), "".jpg"", """"), ""-"", "", ""), """")"),"")</f>
        <v/>
      </c>
      <c r="L5390" s="12"/>
      <c r="M5390" s="13"/>
      <c r="N5390" s="2"/>
      <c r="O5390" s="20"/>
      <c r="P5390" s="42"/>
      <c r="R5390" s="23"/>
    </row>
    <row r="5391" spans="1:18" ht="12.75">
      <c r="A5391" s="12"/>
      <c r="D5391" s="12"/>
      <c r="E5391" s="12"/>
      <c r="H5391" s="11" t="str">
        <f ca="1">IFERROR(__xludf.DUMMYFUNCTION("IFERROR(SUBSTITUTE(SUBSTITUTE(REGEXEXTRACT(A5391, ""[^-]+- [^-]+- [^-]+ - (.+?)\.jpg""), "".jpg"", """"), ""-"", "", ""), """")"),"")</f>
        <v/>
      </c>
      <c r="L5391" s="12"/>
      <c r="M5391" s="13"/>
      <c r="N5391" s="2"/>
      <c r="O5391" s="20"/>
      <c r="P5391" s="42"/>
      <c r="R5391" s="23"/>
    </row>
    <row r="5392" spans="1:18" ht="12.75">
      <c r="A5392" s="12"/>
      <c r="D5392" s="12"/>
      <c r="E5392" s="12"/>
      <c r="H5392" s="11" t="str">
        <f ca="1">IFERROR(__xludf.DUMMYFUNCTION("IFERROR(SUBSTITUTE(SUBSTITUTE(REGEXEXTRACT(A5392, ""[^-]+- [^-]+- [^-]+ - (.+?)\.jpg""), "".jpg"", """"), ""-"", "", ""), """")"),"")</f>
        <v/>
      </c>
      <c r="L5392" s="12"/>
      <c r="M5392" s="13"/>
      <c r="N5392" s="2"/>
      <c r="O5392" s="20"/>
      <c r="P5392" s="42"/>
      <c r="R5392" s="23"/>
    </row>
    <row r="5393" spans="1:18" ht="12.75">
      <c r="A5393" s="12"/>
      <c r="D5393" s="12"/>
      <c r="E5393" s="12"/>
      <c r="H5393" s="11" t="str">
        <f ca="1">IFERROR(__xludf.DUMMYFUNCTION("IFERROR(SUBSTITUTE(SUBSTITUTE(REGEXEXTRACT(A5393, ""[^-]+- [^-]+- [^-]+ - (.+?)\.jpg""), "".jpg"", """"), ""-"", "", ""), """")"),"")</f>
        <v/>
      </c>
      <c r="L5393" s="12"/>
      <c r="M5393" s="13"/>
      <c r="N5393" s="2"/>
      <c r="O5393" s="20"/>
      <c r="P5393" s="42"/>
      <c r="R5393" s="23"/>
    </row>
    <row r="5394" spans="1:18" ht="12.75">
      <c r="A5394" s="12"/>
      <c r="D5394" s="12"/>
      <c r="E5394" s="12"/>
      <c r="H5394" s="11" t="str">
        <f ca="1">IFERROR(__xludf.DUMMYFUNCTION("IFERROR(SUBSTITUTE(SUBSTITUTE(REGEXEXTRACT(A5394, ""[^-]+- [^-]+- [^-]+ - (.+?)\.jpg""), "".jpg"", """"), ""-"", "", ""), """")"),"")</f>
        <v/>
      </c>
      <c r="L5394" s="12"/>
      <c r="M5394" s="13"/>
      <c r="N5394" s="2"/>
      <c r="O5394" s="20"/>
      <c r="P5394" s="42"/>
      <c r="R5394" s="23"/>
    </row>
    <row r="5395" spans="1:18" ht="12.75">
      <c r="A5395" s="12"/>
      <c r="D5395" s="12"/>
      <c r="E5395" s="12"/>
      <c r="H5395" s="11" t="str">
        <f ca="1">IFERROR(__xludf.DUMMYFUNCTION("IFERROR(SUBSTITUTE(SUBSTITUTE(REGEXEXTRACT(A5395, ""[^-]+- [^-]+- [^-]+ - (.+?)\.jpg""), "".jpg"", """"), ""-"", "", ""), """")"),"")</f>
        <v/>
      </c>
      <c r="L5395" s="12"/>
      <c r="M5395" s="13"/>
      <c r="N5395" s="2"/>
      <c r="O5395" s="20"/>
      <c r="P5395" s="42"/>
      <c r="R5395" s="23"/>
    </row>
    <row r="5396" spans="1:18" ht="12.75">
      <c r="A5396" s="12"/>
      <c r="D5396" s="12"/>
      <c r="E5396" s="12"/>
      <c r="H5396" s="11" t="str">
        <f ca="1">IFERROR(__xludf.DUMMYFUNCTION("IFERROR(SUBSTITUTE(SUBSTITUTE(REGEXEXTRACT(A5396, ""[^-]+- [^-]+- [^-]+ - (.+?)\.jpg""), "".jpg"", """"), ""-"", "", ""), """")"),"")</f>
        <v/>
      </c>
      <c r="L5396" s="12"/>
      <c r="M5396" s="13"/>
      <c r="N5396" s="2"/>
      <c r="O5396" s="20"/>
      <c r="P5396" s="42"/>
      <c r="R5396" s="23"/>
    </row>
    <row r="5397" spans="1:18" ht="12.75">
      <c r="A5397" s="12"/>
      <c r="D5397" s="12"/>
      <c r="E5397" s="12"/>
      <c r="H5397" s="11" t="str">
        <f ca="1">IFERROR(__xludf.DUMMYFUNCTION("IFERROR(SUBSTITUTE(SUBSTITUTE(REGEXEXTRACT(A5397, ""[^-]+- [^-]+- [^-]+ - (.+?)\.jpg""), "".jpg"", """"), ""-"", "", ""), """")"),"")</f>
        <v/>
      </c>
      <c r="L5397" s="12"/>
      <c r="M5397" s="13"/>
      <c r="N5397" s="2"/>
      <c r="O5397" s="20"/>
      <c r="P5397" s="42"/>
      <c r="R5397" s="23"/>
    </row>
    <row r="5398" spans="1:18" ht="12.75">
      <c r="A5398" s="12"/>
      <c r="D5398" s="12"/>
      <c r="E5398" s="12"/>
      <c r="H5398" s="11" t="str">
        <f ca="1">IFERROR(__xludf.DUMMYFUNCTION("IFERROR(SUBSTITUTE(SUBSTITUTE(REGEXEXTRACT(A5398, ""[^-]+- [^-]+- [^-]+ - (.+?)\.jpg""), "".jpg"", """"), ""-"", "", ""), """")"),"")</f>
        <v/>
      </c>
      <c r="L5398" s="12"/>
      <c r="M5398" s="13"/>
      <c r="N5398" s="2"/>
      <c r="O5398" s="20"/>
      <c r="P5398" s="42"/>
      <c r="R5398" s="23"/>
    </row>
    <row r="5399" spans="1:18" ht="12.75">
      <c r="A5399" s="12"/>
      <c r="D5399" s="12"/>
      <c r="E5399" s="12"/>
      <c r="H5399" s="11" t="str">
        <f ca="1">IFERROR(__xludf.DUMMYFUNCTION("IFERROR(SUBSTITUTE(SUBSTITUTE(REGEXEXTRACT(A5399, ""[^-]+- [^-]+- [^-]+ - (.+?)\.jpg""), "".jpg"", """"), ""-"", "", ""), """")"),"")</f>
        <v/>
      </c>
      <c r="L5399" s="12"/>
      <c r="M5399" s="13"/>
      <c r="N5399" s="2"/>
      <c r="O5399" s="20"/>
      <c r="P5399" s="42"/>
      <c r="R5399" s="23"/>
    </row>
    <row r="5400" spans="1:18" ht="12.75">
      <c r="A5400" s="12"/>
      <c r="D5400" s="12"/>
      <c r="E5400" s="12"/>
      <c r="H5400" s="11" t="str">
        <f ca="1">IFERROR(__xludf.DUMMYFUNCTION("IFERROR(SUBSTITUTE(SUBSTITUTE(REGEXEXTRACT(A5400, ""[^-]+- [^-]+- [^-]+ - (.+?)\.jpg""), "".jpg"", """"), ""-"", "", ""), """")"),"")</f>
        <v/>
      </c>
      <c r="L5400" s="12"/>
      <c r="M5400" s="13"/>
      <c r="N5400" s="2"/>
      <c r="O5400" s="20"/>
      <c r="P5400" s="42"/>
      <c r="R5400" s="23"/>
    </row>
    <row r="5401" spans="1:18" ht="12.75">
      <c r="A5401" s="12"/>
      <c r="D5401" s="12"/>
      <c r="E5401" s="12"/>
      <c r="H5401" s="11" t="str">
        <f ca="1">IFERROR(__xludf.DUMMYFUNCTION("IFERROR(SUBSTITUTE(SUBSTITUTE(REGEXEXTRACT(A5401, ""[^-]+- [^-]+- [^-]+ - (.+?)\.jpg""), "".jpg"", """"), ""-"", "", ""), """")"),"")</f>
        <v/>
      </c>
      <c r="L5401" s="12"/>
      <c r="M5401" s="13"/>
      <c r="N5401" s="2"/>
      <c r="O5401" s="20"/>
      <c r="P5401" s="42"/>
      <c r="R5401" s="23"/>
    </row>
    <row r="5402" spans="1:18" ht="12.75">
      <c r="A5402" s="12"/>
      <c r="D5402" s="12"/>
      <c r="E5402" s="12"/>
      <c r="H5402" s="11" t="str">
        <f ca="1">IFERROR(__xludf.DUMMYFUNCTION("IFERROR(SUBSTITUTE(SUBSTITUTE(REGEXEXTRACT(A5402, ""[^-]+- [^-]+- [^-]+ - (.+?)\.jpg""), "".jpg"", """"), ""-"", "", ""), """")"),"")</f>
        <v/>
      </c>
      <c r="L5402" s="12"/>
      <c r="M5402" s="13"/>
      <c r="N5402" s="2"/>
      <c r="O5402" s="20"/>
      <c r="P5402" s="42"/>
      <c r="R5402" s="23"/>
    </row>
    <row r="5403" spans="1:18" ht="12.75">
      <c r="A5403" s="12"/>
      <c r="D5403" s="12"/>
      <c r="E5403" s="12"/>
      <c r="H5403" s="11" t="str">
        <f ca="1">IFERROR(__xludf.DUMMYFUNCTION("IFERROR(SUBSTITUTE(SUBSTITUTE(REGEXEXTRACT(A5403, ""[^-]+- [^-]+- [^-]+ - (.+?)\.jpg""), "".jpg"", """"), ""-"", "", ""), """")"),"")</f>
        <v/>
      </c>
      <c r="L5403" s="12"/>
      <c r="M5403" s="13"/>
      <c r="N5403" s="2"/>
      <c r="O5403" s="20"/>
      <c r="P5403" s="42"/>
      <c r="R5403" s="23"/>
    </row>
    <row r="5404" spans="1:18" ht="12.75">
      <c r="A5404" s="12"/>
      <c r="D5404" s="12"/>
      <c r="E5404" s="12"/>
      <c r="H5404" s="11" t="str">
        <f ca="1">IFERROR(__xludf.DUMMYFUNCTION("IFERROR(SUBSTITUTE(SUBSTITUTE(REGEXEXTRACT(A5404, ""[^-]+- [^-]+- [^-]+ - (.+?)\.jpg""), "".jpg"", """"), ""-"", "", ""), """")"),"")</f>
        <v/>
      </c>
      <c r="L5404" s="12"/>
      <c r="M5404" s="13"/>
      <c r="N5404" s="2"/>
      <c r="O5404" s="20"/>
      <c r="P5404" s="42"/>
      <c r="R5404" s="23"/>
    </row>
    <row r="5405" spans="1:18" ht="12.75">
      <c r="A5405" s="12"/>
      <c r="D5405" s="12"/>
      <c r="E5405" s="12"/>
      <c r="H5405" s="11" t="str">
        <f ca="1">IFERROR(__xludf.DUMMYFUNCTION("IFERROR(SUBSTITUTE(SUBSTITUTE(REGEXEXTRACT(A5405, ""[^-]+- [^-]+- [^-]+ - (.+?)\.jpg""), "".jpg"", """"), ""-"", "", ""), """")"),"")</f>
        <v/>
      </c>
      <c r="L5405" s="12"/>
      <c r="M5405" s="13"/>
      <c r="N5405" s="2"/>
      <c r="O5405" s="20"/>
      <c r="P5405" s="42"/>
      <c r="R5405" s="23"/>
    </row>
    <row r="5406" spans="1:18" ht="12.75">
      <c r="A5406" s="12"/>
      <c r="D5406" s="12"/>
      <c r="E5406" s="12"/>
      <c r="H5406" s="11" t="str">
        <f ca="1">IFERROR(__xludf.DUMMYFUNCTION("IFERROR(SUBSTITUTE(SUBSTITUTE(REGEXEXTRACT(A5406, ""[^-]+- [^-]+- [^-]+ - (.+?)\.jpg""), "".jpg"", """"), ""-"", "", ""), """")"),"")</f>
        <v/>
      </c>
      <c r="L5406" s="12"/>
      <c r="M5406" s="13"/>
      <c r="N5406" s="2"/>
      <c r="O5406" s="20"/>
      <c r="P5406" s="42"/>
      <c r="R5406" s="23"/>
    </row>
    <row r="5407" spans="1:18" ht="12.75">
      <c r="A5407" s="12"/>
      <c r="D5407" s="12"/>
      <c r="E5407" s="12"/>
      <c r="H5407" s="11" t="str">
        <f ca="1">IFERROR(__xludf.DUMMYFUNCTION("IFERROR(SUBSTITUTE(SUBSTITUTE(REGEXEXTRACT(A5407, ""[^-]+- [^-]+- [^-]+ - (.+?)\.jpg""), "".jpg"", """"), ""-"", "", ""), """")"),"")</f>
        <v/>
      </c>
      <c r="L5407" s="12"/>
      <c r="M5407" s="13"/>
      <c r="N5407" s="2"/>
      <c r="O5407" s="20"/>
      <c r="P5407" s="42"/>
      <c r="R5407" s="23"/>
    </row>
    <row r="5408" spans="1:18" ht="12.75">
      <c r="A5408" s="12"/>
      <c r="D5408" s="12"/>
      <c r="E5408" s="12"/>
      <c r="H5408" s="11" t="str">
        <f ca="1">IFERROR(__xludf.DUMMYFUNCTION("IFERROR(SUBSTITUTE(SUBSTITUTE(REGEXEXTRACT(A5408, ""[^-]+- [^-]+- [^-]+ - (.+?)\.jpg""), "".jpg"", """"), ""-"", "", ""), """")"),"")</f>
        <v/>
      </c>
      <c r="L5408" s="12"/>
      <c r="M5408" s="13"/>
      <c r="N5408" s="2"/>
      <c r="O5408" s="20"/>
      <c r="P5408" s="42"/>
      <c r="R5408" s="23"/>
    </row>
    <row r="5409" spans="1:18" ht="12.75">
      <c r="A5409" s="12"/>
      <c r="D5409" s="12"/>
      <c r="E5409" s="12"/>
      <c r="H5409" s="11" t="str">
        <f ca="1">IFERROR(__xludf.DUMMYFUNCTION("IFERROR(SUBSTITUTE(SUBSTITUTE(REGEXEXTRACT(A5409, ""[^-]+- [^-]+- [^-]+ - (.+?)\.jpg""), "".jpg"", """"), ""-"", "", ""), """")"),"")</f>
        <v/>
      </c>
      <c r="L5409" s="12"/>
      <c r="M5409" s="13"/>
      <c r="N5409" s="2"/>
      <c r="O5409" s="20"/>
      <c r="P5409" s="42"/>
      <c r="R5409" s="23"/>
    </row>
    <row r="5410" spans="1:18" ht="12.75">
      <c r="A5410" s="12"/>
      <c r="D5410" s="12"/>
      <c r="E5410" s="12"/>
      <c r="H5410" s="11" t="str">
        <f ca="1">IFERROR(__xludf.DUMMYFUNCTION("IFERROR(SUBSTITUTE(SUBSTITUTE(REGEXEXTRACT(A5410, ""[^-]+- [^-]+- [^-]+ - (.+?)\.jpg""), "".jpg"", """"), ""-"", "", ""), """")"),"")</f>
        <v/>
      </c>
      <c r="L5410" s="12"/>
      <c r="M5410" s="13"/>
      <c r="N5410" s="2"/>
      <c r="O5410" s="20"/>
      <c r="P5410" s="42"/>
      <c r="R5410" s="23"/>
    </row>
    <row r="5411" spans="1:18" ht="12.75">
      <c r="A5411" s="12"/>
      <c r="D5411" s="12"/>
      <c r="E5411" s="12"/>
      <c r="H5411" s="11" t="str">
        <f ca="1">IFERROR(__xludf.DUMMYFUNCTION("IFERROR(SUBSTITUTE(SUBSTITUTE(REGEXEXTRACT(A5411, ""[^-]+- [^-]+- [^-]+ - (.+?)\.jpg""), "".jpg"", """"), ""-"", "", ""), """")"),"")</f>
        <v/>
      </c>
      <c r="L5411" s="12"/>
      <c r="M5411" s="13"/>
      <c r="N5411" s="2"/>
      <c r="O5411" s="20"/>
      <c r="P5411" s="42"/>
      <c r="R5411" s="23"/>
    </row>
    <row r="5412" spans="1:18" ht="12.75">
      <c r="A5412" s="12"/>
      <c r="D5412" s="12"/>
      <c r="E5412" s="12"/>
      <c r="H5412" s="11" t="str">
        <f ca="1">IFERROR(__xludf.DUMMYFUNCTION("IFERROR(SUBSTITUTE(SUBSTITUTE(REGEXEXTRACT(A5412, ""[^-]+- [^-]+- [^-]+ - (.+?)\.jpg""), "".jpg"", """"), ""-"", "", ""), """")"),"")</f>
        <v/>
      </c>
      <c r="L5412" s="12"/>
      <c r="M5412" s="13"/>
      <c r="N5412" s="2"/>
      <c r="O5412" s="20"/>
      <c r="P5412" s="42"/>
      <c r="R5412" s="23"/>
    </row>
    <row r="5413" spans="1:18" ht="12.75">
      <c r="A5413" s="12"/>
      <c r="D5413" s="12"/>
      <c r="E5413" s="12"/>
      <c r="H5413" s="11" t="str">
        <f ca="1">IFERROR(__xludf.DUMMYFUNCTION("IFERROR(SUBSTITUTE(SUBSTITUTE(REGEXEXTRACT(A5413, ""[^-]+- [^-]+- [^-]+ - (.+?)\.jpg""), "".jpg"", """"), ""-"", "", ""), """")"),"")</f>
        <v/>
      </c>
      <c r="L5413" s="12"/>
      <c r="M5413" s="13"/>
      <c r="N5413" s="2"/>
      <c r="O5413" s="20"/>
      <c r="P5413" s="42"/>
      <c r="R5413" s="23"/>
    </row>
    <row r="5414" spans="1:18" ht="12.75">
      <c r="A5414" s="12"/>
      <c r="D5414" s="12"/>
      <c r="E5414" s="12"/>
      <c r="H5414" s="11" t="str">
        <f ca="1">IFERROR(__xludf.DUMMYFUNCTION("IFERROR(SUBSTITUTE(SUBSTITUTE(REGEXEXTRACT(A5414, ""[^-]+- [^-]+- [^-]+ - (.+?)\.jpg""), "".jpg"", """"), ""-"", "", ""), """")"),"")</f>
        <v/>
      </c>
      <c r="L5414" s="12"/>
      <c r="M5414" s="13"/>
      <c r="N5414" s="2"/>
      <c r="O5414" s="20"/>
      <c r="P5414" s="42"/>
      <c r="R5414" s="23"/>
    </row>
    <row r="5415" spans="1:18" ht="12.75">
      <c r="A5415" s="12"/>
      <c r="D5415" s="12"/>
      <c r="E5415" s="12"/>
      <c r="H5415" s="11" t="str">
        <f ca="1">IFERROR(__xludf.DUMMYFUNCTION("IFERROR(SUBSTITUTE(SUBSTITUTE(REGEXEXTRACT(A5415, ""[^-]+- [^-]+- [^-]+ - (.+?)\.jpg""), "".jpg"", """"), ""-"", "", ""), """")"),"")</f>
        <v/>
      </c>
      <c r="L5415" s="12"/>
      <c r="M5415" s="13"/>
      <c r="N5415" s="2"/>
      <c r="O5415" s="20"/>
      <c r="P5415" s="42"/>
      <c r="R5415" s="23"/>
    </row>
    <row r="5416" spans="1:18" ht="12.75">
      <c r="A5416" s="12"/>
      <c r="D5416" s="12"/>
      <c r="E5416" s="12"/>
      <c r="H5416" s="11" t="str">
        <f ca="1">IFERROR(__xludf.DUMMYFUNCTION("IFERROR(SUBSTITUTE(SUBSTITUTE(REGEXEXTRACT(A5416, ""[^-]+- [^-]+- [^-]+ - (.+?)\.jpg""), "".jpg"", """"), ""-"", "", ""), """")"),"")</f>
        <v/>
      </c>
      <c r="L5416" s="12"/>
      <c r="M5416" s="13"/>
      <c r="N5416" s="2"/>
      <c r="O5416" s="20"/>
      <c r="P5416" s="42"/>
      <c r="R5416" s="23"/>
    </row>
    <row r="5417" spans="1:18" ht="12.75">
      <c r="A5417" s="12"/>
      <c r="D5417" s="12"/>
      <c r="E5417" s="12"/>
      <c r="H5417" s="11" t="str">
        <f ca="1">IFERROR(__xludf.DUMMYFUNCTION("IFERROR(SUBSTITUTE(SUBSTITUTE(REGEXEXTRACT(A5417, ""[^-]+- [^-]+- [^-]+ - (.+?)\.jpg""), "".jpg"", """"), ""-"", "", ""), """")"),"")</f>
        <v/>
      </c>
      <c r="L5417" s="12"/>
      <c r="M5417" s="13"/>
      <c r="N5417" s="2"/>
      <c r="O5417" s="20"/>
      <c r="P5417" s="42"/>
      <c r="R5417" s="23"/>
    </row>
    <row r="5418" spans="1:18" ht="12.75">
      <c r="A5418" s="12"/>
      <c r="D5418" s="12"/>
      <c r="E5418" s="12"/>
      <c r="H5418" s="11" t="str">
        <f ca="1">IFERROR(__xludf.DUMMYFUNCTION("IFERROR(SUBSTITUTE(SUBSTITUTE(REGEXEXTRACT(A5418, ""[^-]+- [^-]+- [^-]+ - (.+?)\.jpg""), "".jpg"", """"), ""-"", "", ""), """")"),"")</f>
        <v/>
      </c>
      <c r="L5418" s="12"/>
      <c r="M5418" s="13"/>
      <c r="N5418" s="2"/>
      <c r="O5418" s="20"/>
      <c r="P5418" s="42"/>
      <c r="R5418" s="23"/>
    </row>
    <row r="5419" spans="1:18" ht="12.75">
      <c r="A5419" s="12"/>
      <c r="D5419" s="12"/>
      <c r="E5419" s="12"/>
      <c r="H5419" s="11" t="str">
        <f ca="1">IFERROR(__xludf.DUMMYFUNCTION("IFERROR(SUBSTITUTE(SUBSTITUTE(REGEXEXTRACT(A5419, ""[^-]+- [^-]+- [^-]+ - (.+?)\.jpg""), "".jpg"", """"), ""-"", "", ""), """")"),"")</f>
        <v/>
      </c>
      <c r="L5419" s="12"/>
      <c r="M5419" s="13"/>
      <c r="N5419" s="2"/>
      <c r="O5419" s="20"/>
      <c r="P5419" s="42"/>
      <c r="R5419" s="23"/>
    </row>
    <row r="5420" spans="1:18" ht="12.75">
      <c r="A5420" s="12"/>
      <c r="D5420" s="12"/>
      <c r="E5420" s="12"/>
      <c r="H5420" s="11" t="str">
        <f ca="1">IFERROR(__xludf.DUMMYFUNCTION("IFERROR(SUBSTITUTE(SUBSTITUTE(REGEXEXTRACT(A5420, ""[^-]+- [^-]+- [^-]+ - (.+?)\.jpg""), "".jpg"", """"), ""-"", "", ""), """")"),"")</f>
        <v/>
      </c>
      <c r="L5420" s="12"/>
      <c r="M5420" s="13"/>
      <c r="N5420" s="2"/>
      <c r="O5420" s="20"/>
      <c r="P5420" s="42"/>
      <c r="R5420" s="23"/>
    </row>
    <row r="5421" spans="1:18" ht="12.75">
      <c r="A5421" s="12"/>
      <c r="D5421" s="12"/>
      <c r="E5421" s="12"/>
      <c r="H5421" s="11" t="str">
        <f ca="1">IFERROR(__xludf.DUMMYFUNCTION("IFERROR(SUBSTITUTE(SUBSTITUTE(REGEXEXTRACT(A5421, ""[^-]+- [^-]+- [^-]+ - (.+?)\.jpg""), "".jpg"", """"), ""-"", "", ""), """")"),"")</f>
        <v/>
      </c>
      <c r="L5421" s="12"/>
      <c r="M5421" s="13"/>
      <c r="N5421" s="2"/>
      <c r="O5421" s="20"/>
      <c r="P5421" s="42"/>
      <c r="R5421" s="23"/>
    </row>
    <row r="5422" spans="1:18" ht="12.75">
      <c r="A5422" s="12"/>
      <c r="D5422" s="12"/>
      <c r="E5422" s="12"/>
      <c r="H5422" s="11" t="str">
        <f ca="1">IFERROR(__xludf.DUMMYFUNCTION("IFERROR(SUBSTITUTE(SUBSTITUTE(REGEXEXTRACT(A5422, ""[^-]+- [^-]+- [^-]+ - (.+?)\.jpg""), "".jpg"", """"), ""-"", "", ""), """")"),"")</f>
        <v/>
      </c>
      <c r="L5422" s="12"/>
      <c r="M5422" s="13"/>
      <c r="N5422" s="2"/>
      <c r="O5422" s="20"/>
      <c r="P5422" s="42"/>
      <c r="R5422" s="23"/>
    </row>
    <row r="5423" spans="1:18" ht="12.75">
      <c r="A5423" s="12"/>
      <c r="D5423" s="12"/>
      <c r="E5423" s="12"/>
      <c r="H5423" s="11" t="str">
        <f ca="1">IFERROR(__xludf.DUMMYFUNCTION("IFERROR(SUBSTITUTE(SUBSTITUTE(REGEXEXTRACT(A5423, ""[^-]+- [^-]+- [^-]+ - (.+?)\.jpg""), "".jpg"", """"), ""-"", "", ""), """")"),"")</f>
        <v/>
      </c>
      <c r="L5423" s="12"/>
      <c r="M5423" s="13"/>
      <c r="N5423" s="2"/>
      <c r="O5423" s="20"/>
      <c r="P5423" s="42"/>
      <c r="R5423" s="23"/>
    </row>
    <row r="5424" spans="1:18" ht="12.75">
      <c r="A5424" s="12"/>
      <c r="D5424" s="12"/>
      <c r="E5424" s="12"/>
      <c r="H5424" s="11" t="str">
        <f ca="1">IFERROR(__xludf.DUMMYFUNCTION("IFERROR(SUBSTITUTE(SUBSTITUTE(REGEXEXTRACT(A5424, ""[^-]+- [^-]+- [^-]+ - (.+?)\.jpg""), "".jpg"", """"), ""-"", "", ""), """")"),"")</f>
        <v/>
      </c>
      <c r="L5424" s="12"/>
      <c r="M5424" s="13"/>
      <c r="N5424" s="2"/>
      <c r="O5424" s="20"/>
      <c r="P5424" s="42"/>
      <c r="R5424" s="23"/>
    </row>
    <row r="5425" spans="1:18" ht="12.75">
      <c r="A5425" s="12"/>
      <c r="D5425" s="12"/>
      <c r="E5425" s="12"/>
      <c r="H5425" s="11" t="str">
        <f ca="1">IFERROR(__xludf.DUMMYFUNCTION("IFERROR(SUBSTITUTE(SUBSTITUTE(REGEXEXTRACT(A5425, ""[^-]+- [^-]+- [^-]+ - (.+?)\.jpg""), "".jpg"", """"), ""-"", "", ""), """")"),"")</f>
        <v/>
      </c>
      <c r="L5425" s="12"/>
      <c r="M5425" s="13"/>
      <c r="N5425" s="2"/>
      <c r="O5425" s="20"/>
      <c r="P5425" s="42"/>
      <c r="R5425" s="23"/>
    </row>
    <row r="5426" spans="1:18" ht="12.75">
      <c r="A5426" s="12"/>
      <c r="D5426" s="12"/>
      <c r="E5426" s="12"/>
      <c r="H5426" s="11" t="str">
        <f ca="1">IFERROR(__xludf.DUMMYFUNCTION("IFERROR(SUBSTITUTE(SUBSTITUTE(REGEXEXTRACT(A5426, ""[^-]+- [^-]+- [^-]+ - (.+?)\.jpg""), "".jpg"", """"), ""-"", "", ""), """")"),"")</f>
        <v/>
      </c>
      <c r="L5426" s="12"/>
      <c r="M5426" s="13"/>
      <c r="N5426" s="2"/>
      <c r="O5426" s="20"/>
      <c r="P5426" s="42"/>
      <c r="R5426" s="23"/>
    </row>
    <row r="5427" spans="1:18" ht="12.75">
      <c r="A5427" s="12"/>
      <c r="D5427" s="12"/>
      <c r="E5427" s="12"/>
      <c r="H5427" s="11" t="str">
        <f ca="1">IFERROR(__xludf.DUMMYFUNCTION("IFERROR(SUBSTITUTE(SUBSTITUTE(REGEXEXTRACT(A5427, ""[^-]+- [^-]+- [^-]+ - (.+?)\.jpg""), "".jpg"", """"), ""-"", "", ""), """")"),"")</f>
        <v/>
      </c>
      <c r="L5427" s="12"/>
      <c r="M5427" s="13"/>
      <c r="N5427" s="2"/>
      <c r="O5427" s="20"/>
      <c r="P5427" s="42"/>
      <c r="R5427" s="23"/>
    </row>
    <row r="5428" spans="1:18" ht="12.75">
      <c r="A5428" s="12"/>
      <c r="D5428" s="12"/>
      <c r="E5428" s="12"/>
      <c r="H5428" s="11" t="str">
        <f ca="1">IFERROR(__xludf.DUMMYFUNCTION("IFERROR(SUBSTITUTE(SUBSTITUTE(REGEXEXTRACT(A5428, ""[^-]+- [^-]+- [^-]+ - (.+?)\.jpg""), "".jpg"", """"), ""-"", "", ""), """")"),"")</f>
        <v/>
      </c>
      <c r="L5428" s="12"/>
      <c r="M5428" s="13"/>
      <c r="N5428" s="2"/>
      <c r="O5428" s="20"/>
      <c r="P5428" s="42"/>
      <c r="R5428" s="23"/>
    </row>
    <row r="5429" spans="1:18" ht="12.75">
      <c r="A5429" s="12"/>
      <c r="D5429" s="12"/>
      <c r="E5429" s="12"/>
      <c r="H5429" s="11" t="str">
        <f ca="1">IFERROR(__xludf.DUMMYFUNCTION("IFERROR(SUBSTITUTE(SUBSTITUTE(REGEXEXTRACT(A5429, ""[^-]+- [^-]+- [^-]+ - (.+?)\.jpg""), "".jpg"", """"), ""-"", "", ""), """")"),"")</f>
        <v/>
      </c>
      <c r="L5429" s="12"/>
      <c r="M5429" s="13"/>
      <c r="N5429" s="2"/>
      <c r="O5429" s="20"/>
      <c r="P5429" s="42"/>
      <c r="R5429" s="23"/>
    </row>
    <row r="5430" spans="1:18" ht="12.75">
      <c r="A5430" s="12"/>
      <c r="D5430" s="12"/>
      <c r="E5430" s="12"/>
      <c r="H5430" s="11" t="str">
        <f ca="1">IFERROR(__xludf.DUMMYFUNCTION("IFERROR(SUBSTITUTE(SUBSTITUTE(REGEXEXTRACT(A5430, ""[^-]+- [^-]+- [^-]+ - (.+?)\.jpg""), "".jpg"", """"), ""-"", "", ""), """")"),"")</f>
        <v/>
      </c>
      <c r="L5430" s="12"/>
      <c r="M5430" s="13"/>
      <c r="N5430" s="2"/>
      <c r="O5430" s="20"/>
      <c r="P5430" s="42"/>
      <c r="R5430" s="23"/>
    </row>
    <row r="5431" spans="1:18" ht="12.75">
      <c r="A5431" s="12"/>
      <c r="D5431" s="12"/>
      <c r="E5431" s="12"/>
      <c r="H5431" s="11" t="str">
        <f ca="1">IFERROR(__xludf.DUMMYFUNCTION("IFERROR(SUBSTITUTE(SUBSTITUTE(REGEXEXTRACT(A5431, ""[^-]+- [^-]+- [^-]+ - (.+?)\.jpg""), "".jpg"", """"), ""-"", "", ""), """")"),"")</f>
        <v/>
      </c>
      <c r="L5431" s="12"/>
      <c r="M5431" s="13"/>
      <c r="N5431" s="2"/>
      <c r="O5431" s="20"/>
      <c r="P5431" s="42"/>
      <c r="R5431" s="23"/>
    </row>
    <row r="5432" spans="1:18" ht="12.75">
      <c r="A5432" s="12"/>
      <c r="D5432" s="12"/>
      <c r="E5432" s="12"/>
      <c r="H5432" s="11" t="str">
        <f ca="1">IFERROR(__xludf.DUMMYFUNCTION("IFERROR(SUBSTITUTE(SUBSTITUTE(REGEXEXTRACT(A5432, ""[^-]+- [^-]+- [^-]+ - (.+?)\.jpg""), "".jpg"", """"), ""-"", "", ""), """")"),"")</f>
        <v/>
      </c>
      <c r="L5432" s="12"/>
      <c r="M5432" s="13"/>
      <c r="N5432" s="2"/>
      <c r="O5432" s="20"/>
      <c r="P5432" s="42"/>
      <c r="R5432" s="23"/>
    </row>
    <row r="5433" spans="1:18" ht="12.75">
      <c r="A5433" s="12"/>
      <c r="D5433" s="12"/>
      <c r="E5433" s="12"/>
      <c r="H5433" s="11" t="str">
        <f ca="1">IFERROR(__xludf.DUMMYFUNCTION("IFERROR(SUBSTITUTE(SUBSTITUTE(REGEXEXTRACT(A5433, ""[^-]+- [^-]+- [^-]+ - (.+?)\.jpg""), "".jpg"", """"), ""-"", "", ""), """")"),"")</f>
        <v/>
      </c>
      <c r="L5433" s="12"/>
      <c r="M5433" s="13"/>
      <c r="N5433" s="2"/>
      <c r="O5433" s="20"/>
      <c r="P5433" s="42"/>
      <c r="R5433" s="23"/>
    </row>
    <row r="5434" spans="1:18" ht="12.75">
      <c r="A5434" s="12"/>
      <c r="D5434" s="12"/>
      <c r="E5434" s="12"/>
      <c r="H5434" s="11" t="str">
        <f ca="1">IFERROR(__xludf.DUMMYFUNCTION("IFERROR(SUBSTITUTE(SUBSTITUTE(REGEXEXTRACT(A5434, ""[^-]+- [^-]+- [^-]+ - (.+?)\.jpg""), "".jpg"", """"), ""-"", "", ""), """")"),"")</f>
        <v/>
      </c>
      <c r="L5434" s="12"/>
      <c r="M5434" s="13"/>
      <c r="N5434" s="2"/>
      <c r="O5434" s="20"/>
      <c r="P5434" s="42"/>
      <c r="R5434" s="23"/>
    </row>
    <row r="5435" spans="1:18" ht="12.75">
      <c r="A5435" s="12"/>
      <c r="D5435" s="12"/>
      <c r="E5435" s="12"/>
      <c r="H5435" s="11" t="str">
        <f ca="1">IFERROR(__xludf.DUMMYFUNCTION("IFERROR(SUBSTITUTE(SUBSTITUTE(REGEXEXTRACT(A5435, ""[^-]+- [^-]+- [^-]+ - (.+?)\.jpg""), "".jpg"", """"), ""-"", "", ""), """")"),"")</f>
        <v/>
      </c>
      <c r="L5435" s="12"/>
      <c r="M5435" s="13"/>
      <c r="N5435" s="2"/>
      <c r="O5435" s="20"/>
      <c r="P5435" s="42"/>
      <c r="R5435" s="23"/>
    </row>
    <row r="5436" spans="1:18" ht="12.75">
      <c r="A5436" s="12"/>
      <c r="D5436" s="12"/>
      <c r="E5436" s="12"/>
      <c r="H5436" s="11" t="str">
        <f ca="1">IFERROR(__xludf.DUMMYFUNCTION("IFERROR(SUBSTITUTE(SUBSTITUTE(REGEXEXTRACT(A5436, ""[^-]+- [^-]+- [^-]+ - (.+?)\.jpg""), "".jpg"", """"), ""-"", "", ""), """")"),"")</f>
        <v/>
      </c>
      <c r="L5436" s="12"/>
      <c r="M5436" s="13"/>
      <c r="N5436" s="2"/>
      <c r="O5436" s="20"/>
      <c r="P5436" s="42"/>
      <c r="R5436" s="23"/>
    </row>
    <row r="5437" spans="1:18" ht="12.75">
      <c r="A5437" s="12"/>
      <c r="D5437" s="12"/>
      <c r="E5437" s="12"/>
      <c r="H5437" s="11" t="str">
        <f ca="1">IFERROR(__xludf.DUMMYFUNCTION("IFERROR(SUBSTITUTE(SUBSTITUTE(REGEXEXTRACT(A5437, ""[^-]+- [^-]+- [^-]+ - (.+?)\.jpg""), "".jpg"", """"), ""-"", "", ""), """")"),"")</f>
        <v/>
      </c>
      <c r="L5437" s="12"/>
      <c r="M5437" s="13"/>
      <c r="N5437" s="2"/>
      <c r="O5437" s="20"/>
      <c r="P5437" s="42"/>
      <c r="R5437" s="23"/>
    </row>
    <row r="5438" spans="1:18" ht="12.75">
      <c r="A5438" s="12"/>
      <c r="D5438" s="12"/>
      <c r="E5438" s="12"/>
      <c r="H5438" s="11" t="str">
        <f ca="1">IFERROR(__xludf.DUMMYFUNCTION("IFERROR(SUBSTITUTE(SUBSTITUTE(REGEXEXTRACT(A5438, ""[^-]+- [^-]+- [^-]+ - (.+?)\.jpg""), "".jpg"", """"), ""-"", "", ""), """")"),"")</f>
        <v/>
      </c>
      <c r="L5438" s="12"/>
      <c r="M5438" s="13"/>
      <c r="N5438" s="2"/>
      <c r="O5438" s="20"/>
      <c r="P5438" s="42"/>
      <c r="R5438" s="23"/>
    </row>
    <row r="5439" spans="1:18" ht="12.75">
      <c r="A5439" s="12"/>
      <c r="D5439" s="12"/>
      <c r="E5439" s="12"/>
      <c r="H5439" s="11" t="str">
        <f ca="1">IFERROR(__xludf.DUMMYFUNCTION("IFERROR(SUBSTITUTE(SUBSTITUTE(REGEXEXTRACT(A5439, ""[^-]+- [^-]+- [^-]+ - (.+?)\.jpg""), "".jpg"", """"), ""-"", "", ""), """")"),"")</f>
        <v/>
      </c>
      <c r="L5439" s="12"/>
      <c r="M5439" s="13"/>
      <c r="N5439" s="2"/>
      <c r="O5439" s="20"/>
      <c r="P5439" s="42"/>
      <c r="R5439" s="23"/>
    </row>
    <row r="5440" spans="1:18" ht="12.75">
      <c r="A5440" s="12"/>
      <c r="D5440" s="12"/>
      <c r="E5440" s="12"/>
      <c r="H5440" s="11" t="str">
        <f ca="1">IFERROR(__xludf.DUMMYFUNCTION("IFERROR(SUBSTITUTE(SUBSTITUTE(REGEXEXTRACT(A5440, ""[^-]+- [^-]+- [^-]+ - (.+?)\.jpg""), "".jpg"", """"), ""-"", "", ""), """")"),"")</f>
        <v/>
      </c>
      <c r="L5440" s="12"/>
      <c r="M5440" s="13"/>
      <c r="N5440" s="2"/>
      <c r="O5440" s="20"/>
      <c r="P5440" s="42"/>
      <c r="R5440" s="23"/>
    </row>
    <row r="5441" spans="1:18" ht="12.75">
      <c r="A5441" s="12"/>
      <c r="D5441" s="12"/>
      <c r="E5441" s="12"/>
      <c r="H5441" s="11" t="str">
        <f ca="1">IFERROR(__xludf.DUMMYFUNCTION("IFERROR(SUBSTITUTE(SUBSTITUTE(REGEXEXTRACT(A5441, ""[^-]+- [^-]+- [^-]+ - (.+?)\.jpg""), "".jpg"", """"), ""-"", "", ""), """")"),"")</f>
        <v/>
      </c>
      <c r="L5441" s="12"/>
      <c r="M5441" s="13"/>
      <c r="N5441" s="2"/>
      <c r="O5441" s="20"/>
      <c r="P5441" s="42"/>
      <c r="R5441" s="23"/>
    </row>
    <row r="5442" spans="1:18" ht="12.75">
      <c r="A5442" s="12"/>
      <c r="D5442" s="12"/>
      <c r="E5442" s="12"/>
      <c r="H5442" s="11" t="str">
        <f ca="1">IFERROR(__xludf.DUMMYFUNCTION("IFERROR(SUBSTITUTE(SUBSTITUTE(REGEXEXTRACT(A5442, ""[^-]+- [^-]+- [^-]+ - (.+?)\.jpg""), "".jpg"", """"), ""-"", "", ""), """")"),"")</f>
        <v/>
      </c>
      <c r="L5442" s="12"/>
      <c r="M5442" s="13"/>
      <c r="N5442" s="2"/>
      <c r="O5442" s="20"/>
      <c r="P5442" s="42"/>
      <c r="R5442" s="23"/>
    </row>
    <row r="5443" spans="1:18" ht="12.75">
      <c r="A5443" s="12"/>
      <c r="D5443" s="12"/>
      <c r="E5443" s="12"/>
      <c r="H5443" s="11" t="str">
        <f ca="1">IFERROR(__xludf.DUMMYFUNCTION("IFERROR(SUBSTITUTE(SUBSTITUTE(REGEXEXTRACT(A5443, ""[^-]+- [^-]+- [^-]+ - (.+?)\.jpg""), "".jpg"", """"), ""-"", "", ""), """")"),"")</f>
        <v/>
      </c>
      <c r="L5443" s="12"/>
      <c r="M5443" s="13"/>
      <c r="N5443" s="2"/>
      <c r="O5443" s="20"/>
      <c r="P5443" s="42"/>
      <c r="R5443" s="23"/>
    </row>
    <row r="5444" spans="1:18" ht="12.75">
      <c r="A5444" s="12"/>
      <c r="D5444" s="12"/>
      <c r="E5444" s="12"/>
      <c r="H5444" s="11" t="str">
        <f ca="1">IFERROR(__xludf.DUMMYFUNCTION("IFERROR(SUBSTITUTE(SUBSTITUTE(REGEXEXTRACT(A5444, ""[^-]+- [^-]+- [^-]+ - (.+?)\.jpg""), "".jpg"", """"), ""-"", "", ""), """")"),"")</f>
        <v/>
      </c>
      <c r="L5444" s="12"/>
      <c r="M5444" s="13"/>
      <c r="N5444" s="2"/>
      <c r="O5444" s="20"/>
      <c r="P5444" s="42"/>
      <c r="R5444" s="23"/>
    </row>
    <row r="5445" spans="1:18" ht="12.75">
      <c r="A5445" s="12"/>
      <c r="D5445" s="12"/>
      <c r="E5445" s="12"/>
      <c r="H5445" s="11" t="str">
        <f ca="1">IFERROR(__xludf.DUMMYFUNCTION("IFERROR(SUBSTITUTE(SUBSTITUTE(REGEXEXTRACT(A5445, ""[^-]+- [^-]+- [^-]+ - (.+?)\.jpg""), "".jpg"", """"), ""-"", "", ""), """")"),"")</f>
        <v/>
      </c>
      <c r="L5445" s="12"/>
      <c r="M5445" s="13"/>
      <c r="N5445" s="2"/>
      <c r="O5445" s="20"/>
      <c r="P5445" s="42"/>
      <c r="R5445" s="23"/>
    </row>
    <row r="5446" spans="1:18" ht="12.75">
      <c r="A5446" s="12"/>
      <c r="D5446" s="12"/>
      <c r="E5446" s="12"/>
      <c r="H5446" s="11" t="str">
        <f ca="1">IFERROR(__xludf.DUMMYFUNCTION("IFERROR(SUBSTITUTE(SUBSTITUTE(REGEXEXTRACT(A5446, ""[^-]+- [^-]+- [^-]+ - (.+?)\.jpg""), "".jpg"", """"), ""-"", "", ""), """")"),"")</f>
        <v/>
      </c>
      <c r="L5446" s="12"/>
      <c r="M5446" s="13"/>
      <c r="N5446" s="2"/>
      <c r="O5446" s="20"/>
      <c r="P5446" s="42"/>
      <c r="R5446" s="23"/>
    </row>
    <row r="5447" spans="1:18" ht="12.75">
      <c r="A5447" s="12"/>
      <c r="D5447" s="12"/>
      <c r="E5447" s="12"/>
      <c r="H5447" s="11" t="str">
        <f ca="1">IFERROR(__xludf.DUMMYFUNCTION("IFERROR(SUBSTITUTE(SUBSTITUTE(REGEXEXTRACT(A5447, ""[^-]+- [^-]+- [^-]+ - (.+?)\.jpg""), "".jpg"", """"), ""-"", "", ""), """")"),"")</f>
        <v/>
      </c>
      <c r="L5447" s="12"/>
      <c r="M5447" s="13"/>
      <c r="N5447" s="2"/>
      <c r="O5447" s="20"/>
      <c r="P5447" s="42"/>
      <c r="R5447" s="23"/>
    </row>
    <row r="5448" spans="1:18" ht="12.75">
      <c r="A5448" s="12"/>
      <c r="D5448" s="12"/>
      <c r="E5448" s="12"/>
      <c r="H5448" s="11" t="str">
        <f ca="1">IFERROR(__xludf.DUMMYFUNCTION("IFERROR(SUBSTITUTE(SUBSTITUTE(REGEXEXTRACT(A5448, ""[^-]+- [^-]+- [^-]+ - (.+?)\.jpg""), "".jpg"", """"), ""-"", "", ""), """")"),"")</f>
        <v/>
      </c>
      <c r="L5448" s="12"/>
      <c r="M5448" s="13"/>
      <c r="N5448" s="2"/>
      <c r="O5448" s="20"/>
      <c r="P5448" s="42"/>
      <c r="R5448" s="23"/>
    </row>
    <row r="5449" spans="1:18" ht="12.75">
      <c r="A5449" s="12"/>
      <c r="D5449" s="12"/>
      <c r="E5449" s="12"/>
      <c r="H5449" s="11" t="str">
        <f ca="1">IFERROR(__xludf.DUMMYFUNCTION("IFERROR(SUBSTITUTE(SUBSTITUTE(REGEXEXTRACT(A5449, ""[^-]+- [^-]+- [^-]+ - (.+?)\.jpg""), "".jpg"", """"), ""-"", "", ""), """")"),"")</f>
        <v/>
      </c>
      <c r="L5449" s="12"/>
      <c r="M5449" s="13"/>
      <c r="N5449" s="2"/>
      <c r="O5449" s="20"/>
      <c r="P5449" s="42"/>
      <c r="R5449" s="23"/>
    </row>
    <row r="5450" spans="1:18" ht="12.75">
      <c r="A5450" s="12"/>
      <c r="D5450" s="12"/>
      <c r="E5450" s="12"/>
      <c r="H5450" s="11" t="str">
        <f ca="1">IFERROR(__xludf.DUMMYFUNCTION("IFERROR(SUBSTITUTE(SUBSTITUTE(REGEXEXTRACT(A5450, ""[^-]+- [^-]+- [^-]+ - (.+?)\.jpg""), "".jpg"", """"), ""-"", "", ""), """")"),"")</f>
        <v/>
      </c>
      <c r="L5450" s="12"/>
      <c r="M5450" s="13"/>
      <c r="N5450" s="2"/>
      <c r="O5450" s="20"/>
      <c r="P5450" s="42"/>
      <c r="R5450" s="23"/>
    </row>
    <row r="5451" spans="1:18" ht="12.75">
      <c r="A5451" s="12"/>
      <c r="D5451" s="12"/>
      <c r="E5451" s="12"/>
      <c r="H5451" s="11" t="str">
        <f ca="1">IFERROR(__xludf.DUMMYFUNCTION("IFERROR(SUBSTITUTE(SUBSTITUTE(REGEXEXTRACT(A5451, ""[^-]+- [^-]+- [^-]+ - (.+?)\.jpg""), "".jpg"", """"), ""-"", "", ""), """")"),"")</f>
        <v/>
      </c>
      <c r="L5451" s="12"/>
      <c r="M5451" s="13"/>
      <c r="N5451" s="2"/>
      <c r="O5451" s="20"/>
      <c r="P5451" s="42"/>
      <c r="R5451" s="23"/>
    </row>
    <row r="5452" spans="1:18" ht="12.75">
      <c r="A5452" s="12"/>
      <c r="D5452" s="12"/>
      <c r="E5452" s="12"/>
      <c r="H5452" s="11" t="str">
        <f ca="1">IFERROR(__xludf.DUMMYFUNCTION("IFERROR(SUBSTITUTE(SUBSTITUTE(REGEXEXTRACT(A5452, ""[^-]+- [^-]+- [^-]+ - (.+?)\.jpg""), "".jpg"", """"), ""-"", "", ""), """")"),"")</f>
        <v/>
      </c>
      <c r="L5452" s="12"/>
      <c r="M5452" s="13"/>
      <c r="N5452" s="2"/>
      <c r="O5452" s="20"/>
      <c r="P5452" s="42"/>
      <c r="R5452" s="23"/>
    </row>
    <row r="5453" spans="1:18" ht="12.75">
      <c r="A5453" s="12"/>
      <c r="D5453" s="12"/>
      <c r="E5453" s="12"/>
      <c r="H5453" s="11" t="str">
        <f ca="1">IFERROR(__xludf.DUMMYFUNCTION("IFERROR(SUBSTITUTE(SUBSTITUTE(REGEXEXTRACT(A5453, ""[^-]+- [^-]+- [^-]+ - (.+?)\.jpg""), "".jpg"", """"), ""-"", "", ""), """")"),"")</f>
        <v/>
      </c>
      <c r="L5453" s="12"/>
      <c r="M5453" s="13"/>
      <c r="N5453" s="2"/>
      <c r="O5453" s="20"/>
      <c r="P5453" s="42"/>
      <c r="R5453" s="23"/>
    </row>
    <row r="5454" spans="1:18" ht="12.75">
      <c r="A5454" s="12"/>
      <c r="D5454" s="12"/>
      <c r="E5454" s="12"/>
      <c r="H5454" s="11" t="str">
        <f ca="1">IFERROR(__xludf.DUMMYFUNCTION("IFERROR(SUBSTITUTE(SUBSTITUTE(REGEXEXTRACT(A5454, ""[^-]+- [^-]+- [^-]+ - (.+?)\.jpg""), "".jpg"", """"), ""-"", "", ""), """")"),"")</f>
        <v/>
      </c>
      <c r="L5454" s="12"/>
      <c r="M5454" s="13"/>
      <c r="N5454" s="2"/>
      <c r="O5454" s="20"/>
      <c r="P5454" s="42"/>
      <c r="R5454" s="23"/>
    </row>
    <row r="5455" spans="1:18" ht="12.75">
      <c r="A5455" s="12"/>
      <c r="D5455" s="12"/>
      <c r="E5455" s="12"/>
      <c r="H5455" s="11" t="str">
        <f ca="1">IFERROR(__xludf.DUMMYFUNCTION("IFERROR(SUBSTITUTE(SUBSTITUTE(REGEXEXTRACT(A5455, ""[^-]+- [^-]+- [^-]+ - (.+?)\.jpg""), "".jpg"", """"), ""-"", "", ""), """")"),"")</f>
        <v/>
      </c>
      <c r="L5455" s="12"/>
      <c r="M5455" s="13"/>
      <c r="N5455" s="2"/>
      <c r="O5455" s="20"/>
      <c r="P5455" s="42"/>
      <c r="R5455" s="23"/>
    </row>
    <row r="5456" spans="1:18" ht="12.75">
      <c r="A5456" s="12"/>
      <c r="D5456" s="12"/>
      <c r="E5456" s="12"/>
      <c r="H5456" s="11" t="str">
        <f ca="1">IFERROR(__xludf.DUMMYFUNCTION("IFERROR(SUBSTITUTE(SUBSTITUTE(REGEXEXTRACT(A5456, ""[^-]+- [^-]+- [^-]+ - (.+?)\.jpg""), "".jpg"", """"), ""-"", "", ""), """")"),"")</f>
        <v/>
      </c>
      <c r="L5456" s="12"/>
      <c r="M5456" s="13"/>
      <c r="N5456" s="2"/>
      <c r="O5456" s="20"/>
      <c r="P5456" s="42"/>
      <c r="R5456" s="23"/>
    </row>
    <row r="5457" spans="1:18" ht="12.75">
      <c r="A5457" s="12"/>
      <c r="D5457" s="12"/>
      <c r="E5457" s="12"/>
      <c r="H5457" s="11" t="str">
        <f ca="1">IFERROR(__xludf.DUMMYFUNCTION("IFERROR(SUBSTITUTE(SUBSTITUTE(REGEXEXTRACT(A5457, ""[^-]+- [^-]+- [^-]+ - (.+?)\.jpg""), "".jpg"", """"), ""-"", "", ""), """")"),"")</f>
        <v/>
      </c>
      <c r="L5457" s="12"/>
      <c r="M5457" s="13"/>
      <c r="N5457" s="2"/>
      <c r="O5457" s="20"/>
      <c r="P5457" s="42"/>
      <c r="R5457" s="23"/>
    </row>
    <row r="5458" spans="1:18" ht="12.75">
      <c r="A5458" s="12"/>
      <c r="D5458" s="12"/>
      <c r="E5458" s="12"/>
      <c r="H5458" s="11" t="str">
        <f ca="1">IFERROR(__xludf.DUMMYFUNCTION("IFERROR(SUBSTITUTE(SUBSTITUTE(REGEXEXTRACT(A5458, ""[^-]+- [^-]+- [^-]+ - (.+?)\.jpg""), "".jpg"", """"), ""-"", "", ""), """")"),"")</f>
        <v/>
      </c>
      <c r="L5458" s="12"/>
      <c r="M5458" s="13"/>
      <c r="N5458" s="2"/>
      <c r="O5458" s="20"/>
      <c r="P5458" s="42"/>
      <c r="R5458" s="23"/>
    </row>
    <row r="5459" spans="1:18" ht="12.75">
      <c r="A5459" s="12"/>
      <c r="D5459" s="12"/>
      <c r="E5459" s="12"/>
      <c r="H5459" s="11" t="str">
        <f ca="1">IFERROR(__xludf.DUMMYFUNCTION("IFERROR(SUBSTITUTE(SUBSTITUTE(REGEXEXTRACT(A5459, ""[^-]+- [^-]+- [^-]+ - (.+?)\.jpg""), "".jpg"", """"), ""-"", "", ""), """")"),"")</f>
        <v/>
      </c>
      <c r="L5459" s="12"/>
      <c r="M5459" s="13"/>
      <c r="N5459" s="2"/>
      <c r="O5459" s="20"/>
      <c r="P5459" s="42"/>
      <c r="R5459" s="23"/>
    </row>
    <row r="5460" spans="1:18" ht="12.75">
      <c r="A5460" s="12"/>
      <c r="D5460" s="12"/>
      <c r="E5460" s="12"/>
      <c r="H5460" s="11" t="str">
        <f ca="1">IFERROR(__xludf.DUMMYFUNCTION("IFERROR(SUBSTITUTE(SUBSTITUTE(REGEXEXTRACT(A5460, ""[^-]+- [^-]+- [^-]+ - (.+?)\.jpg""), "".jpg"", """"), ""-"", "", ""), """")"),"")</f>
        <v/>
      </c>
      <c r="L5460" s="12"/>
      <c r="M5460" s="13"/>
      <c r="N5460" s="2"/>
      <c r="O5460" s="20"/>
      <c r="P5460" s="42"/>
      <c r="R5460" s="23"/>
    </row>
    <row r="5461" spans="1:18" ht="12.75">
      <c r="A5461" s="12"/>
      <c r="D5461" s="12"/>
      <c r="E5461" s="12"/>
      <c r="H5461" s="11" t="str">
        <f ca="1">IFERROR(__xludf.DUMMYFUNCTION("IFERROR(SUBSTITUTE(SUBSTITUTE(REGEXEXTRACT(A5461, ""[^-]+- [^-]+- [^-]+ - (.+?)\.jpg""), "".jpg"", """"), ""-"", "", ""), """")"),"")</f>
        <v/>
      </c>
      <c r="L5461" s="12"/>
      <c r="M5461" s="13"/>
      <c r="N5461" s="2"/>
      <c r="O5461" s="20"/>
      <c r="P5461" s="42"/>
      <c r="R5461" s="23"/>
    </row>
    <row r="5462" spans="1:18" ht="12.75">
      <c r="A5462" s="12"/>
      <c r="D5462" s="12"/>
      <c r="E5462" s="12"/>
      <c r="H5462" s="11" t="str">
        <f ca="1">IFERROR(__xludf.DUMMYFUNCTION("IFERROR(SUBSTITUTE(SUBSTITUTE(REGEXEXTRACT(A5462, ""[^-]+- [^-]+- [^-]+ - (.+?)\.jpg""), "".jpg"", """"), ""-"", "", ""), """")"),"")</f>
        <v/>
      </c>
      <c r="L5462" s="12"/>
      <c r="M5462" s="13"/>
      <c r="N5462" s="2"/>
      <c r="O5462" s="20"/>
      <c r="P5462" s="42"/>
      <c r="R5462" s="23"/>
    </row>
    <row r="5463" spans="1:18" ht="12.75">
      <c r="A5463" s="12"/>
      <c r="D5463" s="12"/>
      <c r="E5463" s="12"/>
      <c r="H5463" s="11" t="str">
        <f ca="1">IFERROR(__xludf.DUMMYFUNCTION("IFERROR(SUBSTITUTE(SUBSTITUTE(REGEXEXTRACT(A5463, ""[^-]+- [^-]+- [^-]+ - (.+?)\.jpg""), "".jpg"", """"), ""-"", "", ""), """")"),"")</f>
        <v/>
      </c>
      <c r="L5463" s="12"/>
      <c r="M5463" s="13"/>
      <c r="N5463" s="2"/>
      <c r="O5463" s="20"/>
      <c r="P5463" s="42"/>
      <c r="R5463" s="23"/>
    </row>
    <row r="5464" spans="1:18" ht="12.75">
      <c r="A5464" s="12"/>
      <c r="D5464" s="12"/>
      <c r="E5464" s="12"/>
      <c r="H5464" s="11" t="str">
        <f ca="1">IFERROR(__xludf.DUMMYFUNCTION("IFERROR(SUBSTITUTE(SUBSTITUTE(REGEXEXTRACT(A5464, ""[^-]+- [^-]+- [^-]+ - (.+?)\.jpg""), "".jpg"", """"), ""-"", "", ""), """")"),"")</f>
        <v/>
      </c>
      <c r="L5464" s="12"/>
      <c r="M5464" s="13"/>
      <c r="N5464" s="2"/>
      <c r="O5464" s="20"/>
      <c r="P5464" s="42"/>
      <c r="R5464" s="23"/>
    </row>
    <row r="5465" spans="1:18" ht="12.75">
      <c r="A5465" s="12"/>
      <c r="D5465" s="12"/>
      <c r="E5465" s="12"/>
      <c r="H5465" s="11" t="str">
        <f ca="1">IFERROR(__xludf.DUMMYFUNCTION("IFERROR(SUBSTITUTE(SUBSTITUTE(REGEXEXTRACT(A5465, ""[^-]+- [^-]+- [^-]+ - (.+?)\.jpg""), "".jpg"", """"), ""-"", "", ""), """")"),"")</f>
        <v/>
      </c>
      <c r="L5465" s="12"/>
      <c r="M5465" s="13"/>
      <c r="N5465" s="2"/>
      <c r="O5465" s="20"/>
      <c r="P5465" s="42"/>
      <c r="R5465" s="23"/>
    </row>
    <row r="5466" spans="1:18" ht="12.75">
      <c r="A5466" s="12"/>
      <c r="D5466" s="12"/>
      <c r="E5466" s="12"/>
      <c r="H5466" s="11" t="str">
        <f ca="1">IFERROR(__xludf.DUMMYFUNCTION("IFERROR(SUBSTITUTE(SUBSTITUTE(REGEXEXTRACT(A5466, ""[^-]+- [^-]+- [^-]+ - (.+?)\.jpg""), "".jpg"", """"), ""-"", "", ""), """")"),"")</f>
        <v/>
      </c>
      <c r="L5466" s="12"/>
      <c r="M5466" s="13"/>
      <c r="N5466" s="2"/>
      <c r="O5466" s="20"/>
      <c r="P5466" s="42"/>
      <c r="R5466" s="23"/>
    </row>
    <row r="5467" spans="1:18" ht="12.75">
      <c r="A5467" s="12"/>
      <c r="D5467" s="12"/>
      <c r="E5467" s="12"/>
      <c r="H5467" s="11" t="str">
        <f ca="1">IFERROR(__xludf.DUMMYFUNCTION("IFERROR(SUBSTITUTE(SUBSTITUTE(REGEXEXTRACT(A5467, ""[^-]+- [^-]+- [^-]+ - (.+?)\.jpg""), "".jpg"", """"), ""-"", "", ""), """")"),"")</f>
        <v/>
      </c>
      <c r="L5467" s="12"/>
      <c r="M5467" s="13"/>
      <c r="N5467" s="2"/>
      <c r="O5467" s="20"/>
      <c r="P5467" s="42"/>
      <c r="R5467" s="23"/>
    </row>
    <row r="5468" spans="1:18" ht="12.75">
      <c r="A5468" s="12"/>
      <c r="D5468" s="12"/>
      <c r="E5468" s="12"/>
      <c r="H5468" s="11" t="str">
        <f ca="1">IFERROR(__xludf.DUMMYFUNCTION("IFERROR(SUBSTITUTE(SUBSTITUTE(REGEXEXTRACT(A5468, ""[^-]+- [^-]+- [^-]+ - (.+?)\.jpg""), "".jpg"", """"), ""-"", "", ""), """")"),"")</f>
        <v/>
      </c>
      <c r="L5468" s="12"/>
      <c r="M5468" s="13"/>
      <c r="N5468" s="2"/>
      <c r="O5468" s="20"/>
      <c r="P5468" s="42"/>
      <c r="R5468" s="23"/>
    </row>
    <row r="5469" spans="1:18" ht="12.75">
      <c r="A5469" s="12"/>
      <c r="D5469" s="12"/>
      <c r="E5469" s="12"/>
      <c r="H5469" s="11" t="str">
        <f ca="1">IFERROR(__xludf.DUMMYFUNCTION("IFERROR(SUBSTITUTE(SUBSTITUTE(REGEXEXTRACT(A5469, ""[^-]+- [^-]+- [^-]+ - (.+?)\.jpg""), "".jpg"", """"), ""-"", "", ""), """")"),"")</f>
        <v/>
      </c>
      <c r="L5469" s="12"/>
      <c r="M5469" s="13"/>
      <c r="N5469" s="2"/>
      <c r="O5469" s="20"/>
      <c r="P5469" s="42"/>
      <c r="R5469" s="23"/>
    </row>
    <row r="5470" spans="1:18" ht="12.75">
      <c r="A5470" s="12"/>
      <c r="D5470" s="12"/>
      <c r="E5470" s="12"/>
      <c r="H5470" s="11" t="str">
        <f ca="1">IFERROR(__xludf.DUMMYFUNCTION("IFERROR(SUBSTITUTE(SUBSTITUTE(REGEXEXTRACT(A5470, ""[^-]+- [^-]+- [^-]+ - (.+?)\.jpg""), "".jpg"", """"), ""-"", "", ""), """")"),"")</f>
        <v/>
      </c>
      <c r="L5470" s="12"/>
      <c r="M5470" s="13"/>
      <c r="N5470" s="2"/>
      <c r="O5470" s="20"/>
      <c r="P5470" s="42"/>
      <c r="R5470" s="23"/>
    </row>
    <row r="5471" spans="1:18" ht="12.75">
      <c r="A5471" s="12"/>
      <c r="D5471" s="12"/>
      <c r="E5471" s="12"/>
      <c r="H5471" s="11" t="str">
        <f ca="1">IFERROR(__xludf.DUMMYFUNCTION("IFERROR(SUBSTITUTE(SUBSTITUTE(REGEXEXTRACT(A5471, ""[^-]+- [^-]+- [^-]+ - (.+?)\.jpg""), "".jpg"", """"), ""-"", "", ""), """")"),"")</f>
        <v/>
      </c>
      <c r="L5471" s="12"/>
      <c r="M5471" s="13"/>
      <c r="N5471" s="2"/>
      <c r="O5471" s="20"/>
      <c r="P5471" s="42"/>
      <c r="R5471" s="23"/>
    </row>
    <row r="5472" spans="1:18" ht="12.75">
      <c r="A5472" s="12"/>
      <c r="D5472" s="12"/>
      <c r="E5472" s="12"/>
      <c r="H5472" s="11" t="str">
        <f ca="1">IFERROR(__xludf.DUMMYFUNCTION("IFERROR(SUBSTITUTE(SUBSTITUTE(REGEXEXTRACT(A5472, ""[^-]+- [^-]+- [^-]+ - (.+?)\.jpg""), "".jpg"", """"), ""-"", "", ""), """")"),"")</f>
        <v/>
      </c>
      <c r="L5472" s="12"/>
      <c r="M5472" s="13"/>
      <c r="N5472" s="2"/>
      <c r="O5472" s="20"/>
      <c r="P5472" s="42"/>
      <c r="R5472" s="23"/>
    </row>
    <row r="5473" spans="1:18" ht="12.75">
      <c r="A5473" s="12"/>
      <c r="D5473" s="12"/>
      <c r="E5473" s="12"/>
      <c r="H5473" s="11" t="str">
        <f ca="1">IFERROR(__xludf.DUMMYFUNCTION("IFERROR(SUBSTITUTE(SUBSTITUTE(REGEXEXTRACT(A5473, ""[^-]+- [^-]+- [^-]+ - (.+?)\.jpg""), "".jpg"", """"), ""-"", "", ""), """")"),"")</f>
        <v/>
      </c>
      <c r="L5473" s="12"/>
      <c r="M5473" s="13"/>
      <c r="N5473" s="2"/>
      <c r="O5473" s="20"/>
      <c r="P5473" s="42"/>
      <c r="R5473" s="23"/>
    </row>
    <row r="5474" spans="1:18" ht="12.75">
      <c r="A5474" s="12"/>
      <c r="D5474" s="12"/>
      <c r="E5474" s="12"/>
      <c r="H5474" s="11" t="str">
        <f ca="1">IFERROR(__xludf.DUMMYFUNCTION("IFERROR(SUBSTITUTE(SUBSTITUTE(REGEXEXTRACT(A5474, ""[^-]+- [^-]+- [^-]+ - (.+?)\.jpg""), "".jpg"", """"), ""-"", "", ""), """")"),"")</f>
        <v/>
      </c>
      <c r="L5474" s="12"/>
      <c r="M5474" s="13"/>
      <c r="N5474" s="2"/>
      <c r="O5474" s="20"/>
      <c r="P5474" s="42"/>
      <c r="R5474" s="23"/>
    </row>
    <row r="5475" spans="1:18" ht="12.75">
      <c r="A5475" s="12"/>
      <c r="D5475" s="12"/>
      <c r="E5475" s="12"/>
      <c r="H5475" s="11" t="str">
        <f ca="1">IFERROR(__xludf.DUMMYFUNCTION("IFERROR(SUBSTITUTE(SUBSTITUTE(REGEXEXTRACT(A5475, ""[^-]+- [^-]+- [^-]+ - (.+?)\.jpg""), "".jpg"", """"), ""-"", "", ""), """")"),"")</f>
        <v/>
      </c>
      <c r="L5475" s="12"/>
      <c r="M5475" s="13"/>
      <c r="N5475" s="2"/>
      <c r="O5475" s="20"/>
      <c r="P5475" s="42"/>
      <c r="R5475" s="23"/>
    </row>
    <row r="5476" spans="1:18" ht="12.75">
      <c r="A5476" s="12"/>
      <c r="D5476" s="12"/>
      <c r="E5476" s="12"/>
      <c r="H5476" s="11" t="str">
        <f ca="1">IFERROR(__xludf.DUMMYFUNCTION("IFERROR(SUBSTITUTE(SUBSTITUTE(REGEXEXTRACT(A5476, ""[^-]+- [^-]+- [^-]+ - (.+?)\.jpg""), "".jpg"", """"), ""-"", "", ""), """")"),"")</f>
        <v/>
      </c>
      <c r="L5476" s="12"/>
      <c r="M5476" s="13"/>
      <c r="N5476" s="2"/>
      <c r="O5476" s="20"/>
      <c r="P5476" s="42"/>
      <c r="R5476" s="23"/>
    </row>
    <row r="5477" spans="1:18" ht="12.75">
      <c r="A5477" s="12"/>
      <c r="D5477" s="12"/>
      <c r="E5477" s="12"/>
      <c r="H5477" s="11" t="str">
        <f ca="1">IFERROR(__xludf.DUMMYFUNCTION("IFERROR(SUBSTITUTE(SUBSTITUTE(REGEXEXTRACT(A5477, ""[^-]+- [^-]+- [^-]+ - (.+?)\.jpg""), "".jpg"", """"), ""-"", "", ""), """")"),"")</f>
        <v/>
      </c>
      <c r="L5477" s="12"/>
      <c r="M5477" s="13"/>
      <c r="N5477" s="2"/>
      <c r="O5477" s="20"/>
      <c r="P5477" s="42"/>
      <c r="R5477" s="23"/>
    </row>
    <row r="5478" spans="1:18" ht="12.75">
      <c r="A5478" s="12"/>
      <c r="D5478" s="12"/>
      <c r="E5478" s="12"/>
      <c r="H5478" s="11" t="str">
        <f ca="1">IFERROR(__xludf.DUMMYFUNCTION("IFERROR(SUBSTITUTE(SUBSTITUTE(REGEXEXTRACT(A5478, ""[^-]+- [^-]+- [^-]+ - (.+?)\.jpg""), "".jpg"", """"), ""-"", "", ""), """")"),"")</f>
        <v/>
      </c>
      <c r="L5478" s="12"/>
      <c r="M5478" s="13"/>
      <c r="N5478" s="2"/>
      <c r="O5478" s="20"/>
      <c r="P5478" s="42"/>
      <c r="R5478" s="23"/>
    </row>
    <row r="5479" spans="1:18" ht="12.75">
      <c r="A5479" s="12"/>
      <c r="D5479" s="12"/>
      <c r="E5479" s="12"/>
      <c r="H5479" s="11" t="str">
        <f ca="1">IFERROR(__xludf.DUMMYFUNCTION("IFERROR(SUBSTITUTE(SUBSTITUTE(REGEXEXTRACT(A5479, ""[^-]+- [^-]+- [^-]+ - (.+?)\.jpg""), "".jpg"", """"), ""-"", "", ""), """")"),"")</f>
        <v/>
      </c>
      <c r="L5479" s="12"/>
      <c r="M5479" s="13"/>
      <c r="N5479" s="2"/>
      <c r="O5479" s="20"/>
      <c r="P5479" s="42"/>
      <c r="R5479" s="23"/>
    </row>
    <row r="5480" spans="1:18" ht="12.75">
      <c r="A5480" s="12"/>
      <c r="D5480" s="12"/>
      <c r="E5480" s="12"/>
      <c r="H5480" s="11" t="str">
        <f ca="1">IFERROR(__xludf.DUMMYFUNCTION("IFERROR(SUBSTITUTE(SUBSTITUTE(REGEXEXTRACT(A5480, ""[^-]+- [^-]+- [^-]+ - (.+?)\.jpg""), "".jpg"", """"), ""-"", "", ""), """")"),"")</f>
        <v/>
      </c>
      <c r="L5480" s="12"/>
      <c r="M5480" s="13"/>
      <c r="N5480" s="2"/>
      <c r="O5480" s="20"/>
      <c r="P5480" s="42"/>
      <c r="R5480" s="23"/>
    </row>
    <row r="5481" spans="1:18" ht="12.75">
      <c r="A5481" s="12"/>
      <c r="D5481" s="12"/>
      <c r="E5481" s="12"/>
      <c r="H5481" s="11" t="str">
        <f ca="1">IFERROR(__xludf.DUMMYFUNCTION("IFERROR(SUBSTITUTE(SUBSTITUTE(REGEXEXTRACT(A5481, ""[^-]+- [^-]+- [^-]+ - (.+?)\.jpg""), "".jpg"", """"), ""-"", "", ""), """")"),"")</f>
        <v/>
      </c>
      <c r="L5481" s="12"/>
      <c r="M5481" s="13"/>
      <c r="N5481" s="2"/>
      <c r="O5481" s="20"/>
      <c r="P5481" s="42"/>
      <c r="R5481" s="23"/>
    </row>
    <row r="5482" spans="1:18" ht="12.75">
      <c r="A5482" s="12"/>
      <c r="D5482" s="12"/>
      <c r="E5482" s="12"/>
      <c r="H5482" s="11" t="str">
        <f ca="1">IFERROR(__xludf.DUMMYFUNCTION("IFERROR(SUBSTITUTE(SUBSTITUTE(REGEXEXTRACT(A5482, ""[^-]+- [^-]+- [^-]+ - (.+?)\.jpg""), "".jpg"", """"), ""-"", "", ""), """")"),"")</f>
        <v/>
      </c>
      <c r="L5482" s="12"/>
      <c r="M5482" s="13"/>
      <c r="N5482" s="2"/>
      <c r="O5482" s="20"/>
      <c r="P5482" s="42"/>
      <c r="R5482" s="23"/>
    </row>
    <row r="5483" spans="1:18" ht="12.75">
      <c r="A5483" s="12"/>
      <c r="D5483" s="12"/>
      <c r="E5483" s="12"/>
      <c r="H5483" s="11" t="str">
        <f ca="1">IFERROR(__xludf.DUMMYFUNCTION("IFERROR(SUBSTITUTE(SUBSTITUTE(REGEXEXTRACT(A5483, ""[^-]+- [^-]+- [^-]+ - (.+?)\.jpg""), "".jpg"", """"), ""-"", "", ""), """")"),"")</f>
        <v/>
      </c>
      <c r="L5483" s="12"/>
      <c r="M5483" s="13"/>
      <c r="N5483" s="2"/>
      <c r="O5483" s="20"/>
      <c r="P5483" s="42"/>
      <c r="R5483" s="23"/>
    </row>
    <row r="5484" spans="1:18" ht="12.75">
      <c r="A5484" s="12"/>
      <c r="D5484" s="12"/>
      <c r="E5484" s="12"/>
      <c r="H5484" s="11" t="str">
        <f ca="1">IFERROR(__xludf.DUMMYFUNCTION("IFERROR(SUBSTITUTE(SUBSTITUTE(REGEXEXTRACT(A5484, ""[^-]+- [^-]+- [^-]+ - (.+?)\.jpg""), "".jpg"", """"), ""-"", "", ""), """")"),"")</f>
        <v/>
      </c>
      <c r="L5484" s="12"/>
      <c r="M5484" s="13"/>
      <c r="N5484" s="2"/>
      <c r="O5484" s="20"/>
      <c r="P5484" s="42"/>
      <c r="R5484" s="23"/>
    </row>
    <row r="5485" spans="1:18" ht="12.75">
      <c r="A5485" s="12"/>
      <c r="D5485" s="12"/>
      <c r="E5485" s="12"/>
      <c r="H5485" s="11" t="str">
        <f ca="1">IFERROR(__xludf.DUMMYFUNCTION("IFERROR(SUBSTITUTE(SUBSTITUTE(REGEXEXTRACT(A5485, ""[^-]+- [^-]+- [^-]+ - (.+?)\.jpg""), "".jpg"", """"), ""-"", "", ""), """")"),"")</f>
        <v/>
      </c>
      <c r="L5485" s="12"/>
      <c r="M5485" s="13"/>
      <c r="N5485" s="2"/>
      <c r="O5485" s="20"/>
      <c r="P5485" s="42"/>
      <c r="R5485" s="23"/>
    </row>
    <row r="5486" spans="1:18" ht="12.75">
      <c r="A5486" s="12"/>
      <c r="D5486" s="12"/>
      <c r="E5486" s="12"/>
      <c r="H5486" s="11" t="str">
        <f ca="1">IFERROR(__xludf.DUMMYFUNCTION("IFERROR(SUBSTITUTE(SUBSTITUTE(REGEXEXTRACT(A5486, ""[^-]+- [^-]+- [^-]+ - (.+?)\.jpg""), "".jpg"", """"), ""-"", "", ""), """")"),"")</f>
        <v/>
      </c>
      <c r="L5486" s="12"/>
      <c r="M5486" s="13"/>
      <c r="N5486" s="2"/>
      <c r="O5486" s="20"/>
      <c r="P5486" s="42"/>
      <c r="R5486" s="23"/>
    </row>
    <row r="5487" spans="1:18" ht="12.75">
      <c r="A5487" s="12"/>
      <c r="D5487" s="12"/>
      <c r="E5487" s="12"/>
      <c r="H5487" s="11" t="str">
        <f ca="1">IFERROR(__xludf.DUMMYFUNCTION("IFERROR(SUBSTITUTE(SUBSTITUTE(REGEXEXTRACT(A5487, ""[^-]+- [^-]+- [^-]+ - (.+?)\.jpg""), "".jpg"", """"), ""-"", "", ""), """")"),"")</f>
        <v/>
      </c>
      <c r="L5487" s="12"/>
      <c r="M5487" s="13"/>
      <c r="N5487" s="2"/>
      <c r="O5487" s="20"/>
      <c r="P5487" s="42"/>
      <c r="R5487" s="23"/>
    </row>
    <row r="5488" spans="1:18" ht="12.75">
      <c r="A5488" s="12"/>
      <c r="D5488" s="12"/>
      <c r="E5488" s="12"/>
      <c r="H5488" s="11" t="str">
        <f ca="1">IFERROR(__xludf.DUMMYFUNCTION("IFERROR(SUBSTITUTE(SUBSTITUTE(REGEXEXTRACT(A5488, ""[^-]+- [^-]+- [^-]+ - (.+?)\.jpg""), "".jpg"", """"), ""-"", "", ""), """")"),"")</f>
        <v/>
      </c>
      <c r="L5488" s="12"/>
      <c r="M5488" s="13"/>
      <c r="N5488" s="2"/>
      <c r="O5488" s="20"/>
      <c r="P5488" s="42"/>
      <c r="R5488" s="23"/>
    </row>
    <row r="5489" spans="1:18" ht="12.75">
      <c r="A5489" s="12"/>
      <c r="D5489" s="12"/>
      <c r="E5489" s="12"/>
      <c r="H5489" s="11" t="str">
        <f ca="1">IFERROR(__xludf.DUMMYFUNCTION("IFERROR(SUBSTITUTE(SUBSTITUTE(REGEXEXTRACT(A5489, ""[^-]+- [^-]+- [^-]+ - (.+?)\.jpg""), "".jpg"", """"), ""-"", "", ""), """")"),"")</f>
        <v/>
      </c>
      <c r="L5489" s="12"/>
      <c r="M5489" s="13"/>
      <c r="N5489" s="2"/>
      <c r="O5489" s="20"/>
      <c r="P5489" s="42"/>
      <c r="R5489" s="23"/>
    </row>
    <row r="5490" spans="1:18" ht="12.75">
      <c r="A5490" s="12"/>
      <c r="D5490" s="12"/>
      <c r="E5490" s="12"/>
      <c r="H5490" s="11" t="str">
        <f ca="1">IFERROR(__xludf.DUMMYFUNCTION("IFERROR(SUBSTITUTE(SUBSTITUTE(REGEXEXTRACT(A5490, ""[^-]+- [^-]+- [^-]+ - (.+?)\.jpg""), "".jpg"", """"), ""-"", "", ""), """")"),"")</f>
        <v/>
      </c>
      <c r="L5490" s="12"/>
      <c r="M5490" s="13"/>
      <c r="N5490" s="2"/>
      <c r="O5490" s="20"/>
      <c r="P5490" s="42"/>
      <c r="R5490" s="23"/>
    </row>
    <row r="5491" spans="1:18" ht="12.75">
      <c r="A5491" s="12"/>
      <c r="D5491" s="12"/>
      <c r="E5491" s="12"/>
      <c r="H5491" s="11" t="str">
        <f ca="1">IFERROR(__xludf.DUMMYFUNCTION("IFERROR(SUBSTITUTE(SUBSTITUTE(REGEXEXTRACT(A5491, ""[^-]+- [^-]+- [^-]+ - (.+?)\.jpg""), "".jpg"", """"), ""-"", "", ""), """")"),"")</f>
        <v/>
      </c>
      <c r="L5491" s="12"/>
      <c r="M5491" s="13"/>
      <c r="N5491" s="2"/>
      <c r="O5491" s="20"/>
      <c r="P5491" s="42"/>
      <c r="R5491" s="23"/>
    </row>
    <row r="5492" spans="1:18" ht="12.75">
      <c r="A5492" s="12"/>
      <c r="D5492" s="12"/>
      <c r="E5492" s="12"/>
      <c r="H5492" s="11" t="str">
        <f ca="1">IFERROR(__xludf.DUMMYFUNCTION("IFERROR(SUBSTITUTE(SUBSTITUTE(REGEXEXTRACT(A5492, ""[^-]+- [^-]+- [^-]+ - (.+?)\.jpg""), "".jpg"", """"), ""-"", "", ""), """")"),"")</f>
        <v/>
      </c>
      <c r="L5492" s="12"/>
      <c r="M5492" s="13"/>
      <c r="N5492" s="2"/>
      <c r="O5492" s="20"/>
      <c r="P5492" s="42"/>
      <c r="R5492" s="23"/>
    </row>
    <row r="5493" spans="1:18" ht="12.75">
      <c r="A5493" s="12"/>
      <c r="D5493" s="12"/>
      <c r="E5493" s="12"/>
      <c r="H5493" s="11" t="str">
        <f ca="1">IFERROR(__xludf.DUMMYFUNCTION("IFERROR(SUBSTITUTE(SUBSTITUTE(REGEXEXTRACT(A5493, ""[^-]+- [^-]+- [^-]+ - (.+?)\.jpg""), "".jpg"", """"), ""-"", "", ""), """")"),"")</f>
        <v/>
      </c>
      <c r="L5493" s="12"/>
      <c r="M5493" s="13"/>
      <c r="N5493" s="2"/>
      <c r="O5493" s="20"/>
      <c r="P5493" s="42"/>
      <c r="R5493" s="23"/>
    </row>
    <row r="5494" spans="1:18" ht="12.75">
      <c r="A5494" s="12"/>
      <c r="D5494" s="12"/>
      <c r="E5494" s="12"/>
      <c r="H5494" s="11" t="str">
        <f ca="1">IFERROR(__xludf.DUMMYFUNCTION("IFERROR(SUBSTITUTE(SUBSTITUTE(REGEXEXTRACT(A5494, ""[^-]+- [^-]+- [^-]+ - (.+?)\.jpg""), "".jpg"", """"), ""-"", "", ""), """")"),"")</f>
        <v/>
      </c>
      <c r="L5494" s="12"/>
      <c r="M5494" s="13"/>
      <c r="N5494" s="2"/>
      <c r="O5494" s="20"/>
      <c r="P5494" s="42"/>
      <c r="R5494" s="23"/>
    </row>
    <row r="5495" spans="1:18" ht="12.75">
      <c r="A5495" s="12"/>
      <c r="D5495" s="12"/>
      <c r="E5495" s="12"/>
      <c r="H5495" s="11" t="str">
        <f ca="1">IFERROR(__xludf.DUMMYFUNCTION("IFERROR(SUBSTITUTE(SUBSTITUTE(REGEXEXTRACT(A5495, ""[^-]+- [^-]+- [^-]+ - (.+?)\.jpg""), "".jpg"", """"), ""-"", "", ""), """")"),"")</f>
        <v/>
      </c>
      <c r="L5495" s="12"/>
      <c r="M5495" s="13"/>
      <c r="N5495" s="2"/>
      <c r="O5495" s="20"/>
      <c r="P5495" s="42"/>
      <c r="R5495" s="23"/>
    </row>
    <row r="5496" spans="1:18" ht="12.75">
      <c r="A5496" s="12"/>
      <c r="D5496" s="12"/>
      <c r="E5496" s="12"/>
      <c r="H5496" s="11" t="str">
        <f ca="1">IFERROR(__xludf.DUMMYFUNCTION("IFERROR(SUBSTITUTE(SUBSTITUTE(REGEXEXTRACT(A5496, ""[^-]+- [^-]+- [^-]+ - (.+?)\.jpg""), "".jpg"", """"), ""-"", "", ""), """")"),"")</f>
        <v/>
      </c>
      <c r="L5496" s="12"/>
      <c r="M5496" s="13"/>
      <c r="N5496" s="2"/>
      <c r="O5496" s="20"/>
      <c r="P5496" s="42"/>
      <c r="R5496" s="23"/>
    </row>
    <row r="5497" spans="1:18" ht="12.75">
      <c r="A5497" s="12"/>
      <c r="D5497" s="12"/>
      <c r="E5497" s="12"/>
      <c r="H5497" s="11" t="str">
        <f ca="1">IFERROR(__xludf.DUMMYFUNCTION("IFERROR(SUBSTITUTE(SUBSTITUTE(REGEXEXTRACT(A5497, ""[^-]+- [^-]+- [^-]+ - (.+?)\.jpg""), "".jpg"", """"), ""-"", "", ""), """")"),"")</f>
        <v/>
      </c>
      <c r="L5497" s="12"/>
      <c r="M5497" s="13"/>
      <c r="N5497" s="2"/>
      <c r="O5497" s="20"/>
      <c r="P5497" s="42"/>
      <c r="R5497" s="23"/>
    </row>
    <row r="5498" spans="1:18" ht="12.75">
      <c r="A5498" s="12"/>
      <c r="D5498" s="12"/>
      <c r="E5498" s="12"/>
      <c r="H5498" s="11" t="str">
        <f ca="1">IFERROR(__xludf.DUMMYFUNCTION("IFERROR(SUBSTITUTE(SUBSTITUTE(REGEXEXTRACT(A5498, ""[^-]+- [^-]+- [^-]+ - (.+?)\.jpg""), "".jpg"", """"), ""-"", "", ""), """")"),"")</f>
        <v/>
      </c>
      <c r="L5498" s="12"/>
      <c r="M5498" s="13"/>
      <c r="N5498" s="2"/>
      <c r="O5498" s="20"/>
      <c r="P5498" s="42"/>
      <c r="R5498" s="23"/>
    </row>
    <row r="5499" spans="1:18" ht="12.75">
      <c r="A5499" s="12"/>
      <c r="D5499" s="12"/>
      <c r="E5499" s="12"/>
      <c r="H5499" s="11" t="str">
        <f ca="1">IFERROR(__xludf.DUMMYFUNCTION("IFERROR(SUBSTITUTE(SUBSTITUTE(REGEXEXTRACT(A5499, ""[^-]+- [^-]+- [^-]+ - (.+?)\.jpg""), "".jpg"", """"), ""-"", "", ""), """")"),"")</f>
        <v/>
      </c>
      <c r="L5499" s="12"/>
      <c r="M5499" s="13"/>
      <c r="N5499" s="2"/>
      <c r="O5499" s="20"/>
      <c r="P5499" s="42"/>
      <c r="R5499" s="23"/>
    </row>
    <row r="5500" spans="1:18" ht="12.75">
      <c r="A5500" s="12"/>
      <c r="D5500" s="12"/>
      <c r="E5500" s="12"/>
      <c r="H5500" s="11" t="str">
        <f ca="1">IFERROR(__xludf.DUMMYFUNCTION("IFERROR(SUBSTITUTE(SUBSTITUTE(REGEXEXTRACT(A5500, ""[^-]+- [^-]+- [^-]+ - (.+?)\.jpg""), "".jpg"", """"), ""-"", "", ""), """")"),"")</f>
        <v/>
      </c>
      <c r="L5500" s="12"/>
      <c r="M5500" s="13"/>
      <c r="N5500" s="2"/>
      <c r="O5500" s="20"/>
      <c r="P5500" s="42"/>
      <c r="R5500" s="23"/>
    </row>
    <row r="5501" spans="1:18" ht="12.75">
      <c r="A5501" s="12"/>
      <c r="D5501" s="12"/>
      <c r="E5501" s="12"/>
      <c r="H5501" s="11" t="str">
        <f ca="1">IFERROR(__xludf.DUMMYFUNCTION("IFERROR(SUBSTITUTE(SUBSTITUTE(REGEXEXTRACT(A5501, ""[^-]+- [^-]+- [^-]+ - (.+?)\.jpg""), "".jpg"", """"), ""-"", "", ""), """")"),"")</f>
        <v/>
      </c>
      <c r="L5501" s="12"/>
      <c r="M5501" s="13"/>
      <c r="N5501" s="2"/>
      <c r="O5501" s="20"/>
      <c r="P5501" s="42"/>
      <c r="R5501" s="23"/>
    </row>
    <row r="5502" spans="1:18" ht="12.75">
      <c r="A5502" s="12"/>
      <c r="D5502" s="12"/>
      <c r="E5502" s="12"/>
      <c r="H5502" s="11" t="str">
        <f ca="1">IFERROR(__xludf.DUMMYFUNCTION("IFERROR(SUBSTITUTE(SUBSTITUTE(REGEXEXTRACT(A5502, ""[^-]+- [^-]+- [^-]+ - (.+?)\.jpg""), "".jpg"", """"), ""-"", "", ""), """")"),"")</f>
        <v/>
      </c>
      <c r="L5502" s="12"/>
      <c r="M5502" s="13"/>
      <c r="N5502" s="2"/>
      <c r="O5502" s="20"/>
      <c r="P5502" s="42"/>
      <c r="R5502" s="23"/>
    </row>
    <row r="5503" spans="1:18" ht="12.75">
      <c r="A5503" s="12"/>
      <c r="D5503" s="12"/>
      <c r="E5503" s="12"/>
      <c r="H5503" s="11" t="str">
        <f ca="1">IFERROR(__xludf.DUMMYFUNCTION("IFERROR(SUBSTITUTE(SUBSTITUTE(REGEXEXTRACT(A5503, ""[^-]+- [^-]+- [^-]+ - (.+?)\.jpg""), "".jpg"", """"), ""-"", "", ""), """")"),"")</f>
        <v/>
      </c>
      <c r="L5503" s="12"/>
      <c r="M5503" s="13"/>
      <c r="N5503" s="2"/>
      <c r="O5503" s="20"/>
      <c r="P5503" s="42"/>
      <c r="R5503" s="23"/>
    </row>
    <row r="5504" spans="1:18" ht="12.75">
      <c r="A5504" s="12"/>
      <c r="D5504" s="12"/>
      <c r="E5504" s="12"/>
      <c r="H5504" s="11" t="str">
        <f ca="1">IFERROR(__xludf.DUMMYFUNCTION("IFERROR(SUBSTITUTE(SUBSTITUTE(REGEXEXTRACT(A5504, ""[^-]+- [^-]+- [^-]+ - (.+?)\.jpg""), "".jpg"", """"), ""-"", "", ""), """")"),"")</f>
        <v/>
      </c>
      <c r="L5504" s="12"/>
      <c r="M5504" s="13"/>
      <c r="N5504" s="2"/>
      <c r="O5504" s="20"/>
      <c r="P5504" s="42"/>
      <c r="R5504" s="23"/>
    </row>
    <row r="5505" spans="1:18" ht="12.75">
      <c r="A5505" s="12"/>
      <c r="D5505" s="12"/>
      <c r="E5505" s="12"/>
      <c r="H5505" s="11" t="str">
        <f ca="1">IFERROR(__xludf.DUMMYFUNCTION("IFERROR(SUBSTITUTE(SUBSTITUTE(REGEXEXTRACT(A5505, ""[^-]+- [^-]+- [^-]+ - (.+?)\.jpg""), "".jpg"", """"), ""-"", "", ""), """")"),"")</f>
        <v/>
      </c>
      <c r="L5505" s="12"/>
      <c r="M5505" s="13"/>
      <c r="N5505" s="2"/>
      <c r="O5505" s="20"/>
      <c r="P5505" s="42"/>
      <c r="R5505" s="23"/>
    </row>
    <row r="5506" spans="1:18" ht="12.75">
      <c r="A5506" s="12"/>
      <c r="D5506" s="12"/>
      <c r="E5506" s="12"/>
      <c r="H5506" s="11" t="str">
        <f ca="1">IFERROR(__xludf.DUMMYFUNCTION("IFERROR(SUBSTITUTE(SUBSTITUTE(REGEXEXTRACT(A5506, ""[^-]+- [^-]+- [^-]+ - (.+?)\.jpg""), "".jpg"", """"), ""-"", "", ""), """")"),"")</f>
        <v/>
      </c>
      <c r="L5506" s="12"/>
      <c r="M5506" s="13"/>
      <c r="N5506" s="2"/>
      <c r="O5506" s="20"/>
      <c r="P5506" s="42"/>
      <c r="R5506" s="23"/>
    </row>
    <row r="5507" spans="1:18" ht="12.75">
      <c r="A5507" s="12"/>
      <c r="D5507" s="12"/>
      <c r="E5507" s="12"/>
      <c r="H5507" s="11" t="str">
        <f ca="1">IFERROR(__xludf.DUMMYFUNCTION("IFERROR(SUBSTITUTE(SUBSTITUTE(REGEXEXTRACT(A5507, ""[^-]+- [^-]+- [^-]+ - (.+?)\.jpg""), "".jpg"", """"), ""-"", "", ""), """")"),"")</f>
        <v/>
      </c>
      <c r="L5507" s="12"/>
      <c r="M5507" s="13"/>
      <c r="N5507" s="2"/>
      <c r="O5507" s="20"/>
      <c r="P5507" s="42"/>
      <c r="R5507" s="23"/>
    </row>
    <row r="5508" spans="1:18" ht="12.75">
      <c r="A5508" s="12"/>
      <c r="D5508" s="12"/>
      <c r="E5508" s="12"/>
      <c r="H5508" s="11" t="str">
        <f ca="1">IFERROR(__xludf.DUMMYFUNCTION("IFERROR(SUBSTITUTE(SUBSTITUTE(REGEXEXTRACT(A5508, ""[^-]+- [^-]+- [^-]+ - (.+?)\.jpg""), "".jpg"", """"), ""-"", "", ""), """")"),"")</f>
        <v/>
      </c>
      <c r="L5508" s="12"/>
      <c r="M5508" s="13"/>
      <c r="N5508" s="2"/>
      <c r="O5508" s="20"/>
      <c r="P5508" s="42"/>
      <c r="R5508" s="23"/>
    </row>
    <row r="5509" spans="1:18" ht="12.75">
      <c r="A5509" s="12"/>
      <c r="D5509" s="12"/>
      <c r="E5509" s="12"/>
      <c r="H5509" s="11" t="str">
        <f ca="1">IFERROR(__xludf.DUMMYFUNCTION("IFERROR(SUBSTITUTE(SUBSTITUTE(REGEXEXTRACT(A5509, ""[^-]+- [^-]+- [^-]+ - (.+?)\.jpg""), "".jpg"", """"), ""-"", "", ""), """")"),"")</f>
        <v/>
      </c>
      <c r="L5509" s="12"/>
      <c r="M5509" s="13"/>
      <c r="N5509" s="2"/>
      <c r="O5509" s="20"/>
      <c r="P5509" s="42"/>
      <c r="R5509" s="23"/>
    </row>
    <row r="5510" spans="1:18" ht="12.75">
      <c r="A5510" s="12"/>
      <c r="D5510" s="12"/>
      <c r="E5510" s="12"/>
      <c r="H5510" s="11" t="str">
        <f ca="1">IFERROR(__xludf.DUMMYFUNCTION("IFERROR(SUBSTITUTE(SUBSTITUTE(REGEXEXTRACT(A5510, ""[^-]+- [^-]+- [^-]+ - (.+?)\.jpg""), "".jpg"", """"), ""-"", "", ""), """")"),"")</f>
        <v/>
      </c>
      <c r="L5510" s="12"/>
      <c r="M5510" s="13"/>
      <c r="N5510" s="2"/>
      <c r="O5510" s="20"/>
      <c r="P5510" s="42"/>
      <c r="R5510" s="23"/>
    </row>
    <row r="5511" spans="1:18" ht="12.75">
      <c r="A5511" s="12"/>
      <c r="D5511" s="12"/>
      <c r="E5511" s="12"/>
      <c r="H5511" s="11" t="str">
        <f ca="1">IFERROR(__xludf.DUMMYFUNCTION("IFERROR(SUBSTITUTE(SUBSTITUTE(REGEXEXTRACT(A5511, ""[^-]+- [^-]+- [^-]+ - (.+?)\.jpg""), "".jpg"", """"), ""-"", "", ""), """")"),"")</f>
        <v/>
      </c>
      <c r="L5511" s="12"/>
      <c r="M5511" s="13"/>
      <c r="N5511" s="2"/>
      <c r="O5511" s="20"/>
      <c r="P5511" s="42"/>
      <c r="R5511" s="23"/>
    </row>
    <row r="5512" spans="1:18" ht="12.75">
      <c r="A5512" s="12"/>
      <c r="D5512" s="12"/>
      <c r="E5512" s="12"/>
      <c r="H5512" s="11" t="str">
        <f ca="1">IFERROR(__xludf.DUMMYFUNCTION("IFERROR(SUBSTITUTE(SUBSTITUTE(REGEXEXTRACT(A5512, ""[^-]+- [^-]+- [^-]+ - (.+?)\.jpg""), "".jpg"", """"), ""-"", "", ""), """")"),"")</f>
        <v/>
      </c>
      <c r="L5512" s="12"/>
      <c r="M5512" s="13"/>
      <c r="N5512" s="2"/>
      <c r="O5512" s="20"/>
      <c r="P5512" s="42"/>
      <c r="R5512" s="23"/>
    </row>
    <row r="5513" spans="1:18" ht="12.75">
      <c r="A5513" s="12"/>
      <c r="D5513" s="12"/>
      <c r="E5513" s="12"/>
      <c r="H5513" s="11" t="str">
        <f ca="1">IFERROR(__xludf.DUMMYFUNCTION("IFERROR(SUBSTITUTE(SUBSTITUTE(REGEXEXTRACT(A5513, ""[^-]+- [^-]+- [^-]+ - (.+?)\.jpg""), "".jpg"", """"), ""-"", "", ""), """")"),"")</f>
        <v/>
      </c>
      <c r="L5513" s="12"/>
      <c r="M5513" s="13"/>
      <c r="N5513" s="2"/>
      <c r="O5513" s="20"/>
      <c r="P5513" s="42"/>
      <c r="R5513" s="23"/>
    </row>
    <row r="5514" spans="1:18" ht="12.75">
      <c r="A5514" s="12"/>
      <c r="D5514" s="12"/>
      <c r="E5514" s="12"/>
      <c r="H5514" s="11" t="str">
        <f ca="1">IFERROR(__xludf.DUMMYFUNCTION("IFERROR(SUBSTITUTE(SUBSTITUTE(REGEXEXTRACT(A5514, ""[^-]+- [^-]+- [^-]+ - (.+?)\.jpg""), "".jpg"", """"), ""-"", "", ""), """")"),"")</f>
        <v/>
      </c>
      <c r="L5514" s="12"/>
      <c r="M5514" s="13"/>
      <c r="N5514" s="2"/>
      <c r="O5514" s="20"/>
      <c r="P5514" s="42"/>
      <c r="R5514" s="23"/>
    </row>
    <row r="5515" spans="1:18" ht="12.75">
      <c r="A5515" s="12"/>
      <c r="D5515" s="12"/>
      <c r="E5515" s="12"/>
      <c r="H5515" s="11" t="str">
        <f ca="1">IFERROR(__xludf.DUMMYFUNCTION("IFERROR(SUBSTITUTE(SUBSTITUTE(REGEXEXTRACT(A5515, ""[^-]+- [^-]+- [^-]+ - (.+?)\.jpg""), "".jpg"", """"), ""-"", "", ""), """")"),"")</f>
        <v/>
      </c>
      <c r="L5515" s="12"/>
      <c r="M5515" s="13"/>
      <c r="N5515" s="2"/>
      <c r="O5515" s="20"/>
      <c r="P5515" s="42"/>
      <c r="R5515" s="23"/>
    </row>
    <row r="5516" spans="1:18" ht="12.75">
      <c r="A5516" s="12"/>
      <c r="D5516" s="12"/>
      <c r="E5516" s="12"/>
      <c r="H5516" s="11" t="str">
        <f ca="1">IFERROR(__xludf.DUMMYFUNCTION("IFERROR(SUBSTITUTE(SUBSTITUTE(REGEXEXTRACT(A5516, ""[^-]+- [^-]+- [^-]+ - (.+?)\.jpg""), "".jpg"", """"), ""-"", "", ""), """")"),"")</f>
        <v/>
      </c>
      <c r="L5516" s="12"/>
      <c r="M5516" s="13"/>
      <c r="N5516" s="2"/>
      <c r="O5516" s="20"/>
      <c r="P5516" s="42"/>
      <c r="R5516" s="23"/>
    </row>
    <row r="5517" spans="1:18" ht="12.75">
      <c r="A5517" s="12"/>
      <c r="D5517" s="12"/>
      <c r="E5517" s="12"/>
      <c r="H5517" s="11" t="str">
        <f ca="1">IFERROR(__xludf.DUMMYFUNCTION("IFERROR(SUBSTITUTE(SUBSTITUTE(REGEXEXTRACT(A5517, ""[^-]+- [^-]+- [^-]+ - (.+?)\.jpg""), "".jpg"", """"), ""-"", "", ""), """")"),"")</f>
        <v/>
      </c>
      <c r="L5517" s="12"/>
      <c r="M5517" s="13"/>
      <c r="N5517" s="2"/>
      <c r="O5517" s="20"/>
      <c r="P5517" s="42"/>
      <c r="R5517" s="23"/>
    </row>
    <row r="5518" spans="1:18" ht="12.75">
      <c r="A5518" s="12"/>
      <c r="D5518" s="12"/>
      <c r="E5518" s="12"/>
      <c r="H5518" s="11" t="str">
        <f ca="1">IFERROR(__xludf.DUMMYFUNCTION("IFERROR(SUBSTITUTE(SUBSTITUTE(REGEXEXTRACT(A5518, ""[^-]+- [^-]+- [^-]+ - (.+?)\.jpg""), "".jpg"", """"), ""-"", "", ""), """")"),"")</f>
        <v/>
      </c>
      <c r="L5518" s="12"/>
      <c r="M5518" s="13"/>
      <c r="N5518" s="2"/>
      <c r="O5518" s="20"/>
      <c r="P5518" s="42"/>
      <c r="R5518" s="23"/>
    </row>
    <row r="5519" spans="1:18" ht="12.75">
      <c r="A5519" s="12"/>
      <c r="D5519" s="12"/>
      <c r="E5519" s="12"/>
      <c r="H5519" s="11" t="str">
        <f ca="1">IFERROR(__xludf.DUMMYFUNCTION("IFERROR(SUBSTITUTE(SUBSTITUTE(REGEXEXTRACT(A5519, ""[^-]+- [^-]+- [^-]+ - (.+?)\.jpg""), "".jpg"", """"), ""-"", "", ""), """")"),"")</f>
        <v/>
      </c>
      <c r="L5519" s="12"/>
      <c r="M5519" s="13"/>
      <c r="N5519" s="2"/>
      <c r="O5519" s="20"/>
      <c r="P5519" s="42"/>
      <c r="R5519" s="23"/>
    </row>
    <row r="5520" spans="1:18" ht="12.75">
      <c r="A5520" s="12"/>
      <c r="D5520" s="12"/>
      <c r="E5520" s="12"/>
      <c r="H5520" s="11" t="str">
        <f ca="1">IFERROR(__xludf.DUMMYFUNCTION("IFERROR(SUBSTITUTE(SUBSTITUTE(REGEXEXTRACT(A5520, ""[^-]+- [^-]+- [^-]+ - (.+?)\.jpg""), "".jpg"", """"), ""-"", "", ""), """")"),"")</f>
        <v/>
      </c>
      <c r="L5520" s="12"/>
      <c r="M5520" s="13"/>
      <c r="N5520" s="2"/>
      <c r="O5520" s="20"/>
      <c r="P5520" s="42"/>
      <c r="R5520" s="23"/>
    </row>
    <row r="5521" spans="1:18" ht="12.75">
      <c r="A5521" s="12"/>
      <c r="D5521" s="12"/>
      <c r="E5521" s="12"/>
      <c r="H5521" s="11" t="str">
        <f ca="1">IFERROR(__xludf.DUMMYFUNCTION("IFERROR(SUBSTITUTE(SUBSTITUTE(REGEXEXTRACT(A5521, ""[^-]+- [^-]+- [^-]+ - (.+?)\.jpg""), "".jpg"", """"), ""-"", "", ""), """")"),"")</f>
        <v/>
      </c>
      <c r="L5521" s="12"/>
      <c r="M5521" s="13"/>
      <c r="N5521" s="2"/>
      <c r="O5521" s="20"/>
      <c r="P5521" s="42"/>
      <c r="R5521" s="23"/>
    </row>
    <row r="5522" spans="1:18" ht="12.75">
      <c r="A5522" s="12"/>
      <c r="D5522" s="12"/>
      <c r="E5522" s="12"/>
      <c r="H5522" s="11" t="str">
        <f ca="1">IFERROR(__xludf.DUMMYFUNCTION("IFERROR(SUBSTITUTE(SUBSTITUTE(REGEXEXTRACT(A5522, ""[^-]+- [^-]+- [^-]+ - (.+?)\.jpg""), "".jpg"", """"), ""-"", "", ""), """")"),"")</f>
        <v/>
      </c>
      <c r="L5522" s="12"/>
      <c r="M5522" s="13"/>
      <c r="N5522" s="2"/>
      <c r="O5522" s="20"/>
      <c r="P5522" s="42"/>
      <c r="R5522" s="23"/>
    </row>
    <row r="5523" spans="1:18" ht="12.75">
      <c r="A5523" s="12"/>
      <c r="D5523" s="12"/>
      <c r="E5523" s="12"/>
      <c r="H5523" s="11" t="str">
        <f ca="1">IFERROR(__xludf.DUMMYFUNCTION("IFERROR(SUBSTITUTE(SUBSTITUTE(REGEXEXTRACT(A5523, ""[^-]+- [^-]+- [^-]+ - (.+?)\.jpg""), "".jpg"", """"), ""-"", "", ""), """")"),"")</f>
        <v/>
      </c>
      <c r="L5523" s="12"/>
      <c r="M5523" s="13"/>
      <c r="N5523" s="2"/>
      <c r="O5523" s="20"/>
      <c r="P5523" s="42"/>
      <c r="R5523" s="23"/>
    </row>
    <row r="5524" spans="1:18" ht="12.75">
      <c r="A5524" s="12"/>
      <c r="D5524" s="12"/>
      <c r="E5524" s="12"/>
      <c r="H5524" s="11" t="str">
        <f ca="1">IFERROR(__xludf.DUMMYFUNCTION("IFERROR(SUBSTITUTE(SUBSTITUTE(REGEXEXTRACT(A5524, ""[^-]+- [^-]+- [^-]+ - (.+?)\.jpg""), "".jpg"", """"), ""-"", "", ""), """")"),"")</f>
        <v/>
      </c>
      <c r="L5524" s="12"/>
      <c r="M5524" s="13"/>
      <c r="N5524" s="2"/>
      <c r="O5524" s="20"/>
      <c r="P5524" s="42"/>
      <c r="R5524" s="23"/>
    </row>
    <row r="5525" spans="1:18" ht="12.75">
      <c r="A5525" s="12"/>
      <c r="D5525" s="12"/>
      <c r="E5525" s="12"/>
      <c r="H5525" s="11" t="str">
        <f ca="1">IFERROR(__xludf.DUMMYFUNCTION("IFERROR(SUBSTITUTE(SUBSTITUTE(REGEXEXTRACT(A5525, ""[^-]+- [^-]+- [^-]+ - (.+?)\.jpg""), "".jpg"", """"), ""-"", "", ""), """")"),"")</f>
        <v/>
      </c>
      <c r="L5525" s="12"/>
      <c r="M5525" s="13"/>
      <c r="N5525" s="2"/>
      <c r="O5525" s="20"/>
      <c r="P5525" s="42"/>
      <c r="R5525" s="23"/>
    </row>
    <row r="5526" spans="1:18" ht="12.75">
      <c r="A5526" s="12"/>
      <c r="D5526" s="12"/>
      <c r="E5526" s="12"/>
      <c r="H5526" s="11" t="str">
        <f ca="1">IFERROR(__xludf.DUMMYFUNCTION("IFERROR(SUBSTITUTE(SUBSTITUTE(REGEXEXTRACT(A5526, ""[^-]+- [^-]+- [^-]+ - (.+?)\.jpg""), "".jpg"", """"), ""-"", "", ""), """")"),"")</f>
        <v/>
      </c>
      <c r="L5526" s="12"/>
      <c r="M5526" s="13"/>
      <c r="N5526" s="2"/>
      <c r="O5526" s="20"/>
      <c r="P5526" s="42"/>
      <c r="R5526" s="23"/>
    </row>
    <row r="5527" spans="1:18" ht="12.75">
      <c r="A5527" s="12"/>
      <c r="D5527" s="12"/>
      <c r="E5527" s="12"/>
      <c r="H5527" s="11" t="str">
        <f ca="1">IFERROR(__xludf.DUMMYFUNCTION("IFERROR(SUBSTITUTE(SUBSTITUTE(REGEXEXTRACT(A5527, ""[^-]+- [^-]+- [^-]+ - (.+?)\.jpg""), "".jpg"", """"), ""-"", "", ""), """")"),"")</f>
        <v/>
      </c>
      <c r="L5527" s="12"/>
      <c r="M5527" s="13"/>
      <c r="N5527" s="2"/>
      <c r="O5527" s="20"/>
      <c r="P5527" s="42"/>
      <c r="R5527" s="23"/>
    </row>
    <row r="5528" spans="1:18" ht="12.75">
      <c r="A5528" s="12"/>
      <c r="D5528" s="12"/>
      <c r="E5528" s="12"/>
      <c r="H5528" s="11" t="str">
        <f ca="1">IFERROR(__xludf.DUMMYFUNCTION("IFERROR(SUBSTITUTE(SUBSTITUTE(REGEXEXTRACT(A5528, ""[^-]+- [^-]+- [^-]+ - (.+?)\.jpg""), "".jpg"", """"), ""-"", "", ""), """")"),"")</f>
        <v/>
      </c>
      <c r="L5528" s="12"/>
      <c r="M5528" s="13"/>
      <c r="N5528" s="2"/>
      <c r="O5528" s="20"/>
      <c r="P5528" s="42"/>
      <c r="R5528" s="23"/>
    </row>
    <row r="5529" spans="1:18" ht="12.75">
      <c r="A5529" s="12"/>
      <c r="D5529" s="12"/>
      <c r="E5529" s="12"/>
      <c r="H5529" s="11" t="str">
        <f ca="1">IFERROR(__xludf.DUMMYFUNCTION("IFERROR(SUBSTITUTE(SUBSTITUTE(REGEXEXTRACT(A5529, ""[^-]+- [^-]+- [^-]+ - (.+?)\.jpg""), "".jpg"", """"), ""-"", "", ""), """")"),"")</f>
        <v/>
      </c>
      <c r="L5529" s="12"/>
      <c r="M5529" s="13"/>
      <c r="N5529" s="2"/>
      <c r="O5529" s="20"/>
      <c r="P5529" s="42"/>
      <c r="R5529" s="23"/>
    </row>
    <row r="5530" spans="1:18" ht="12.75">
      <c r="A5530" s="12"/>
      <c r="D5530" s="12"/>
      <c r="E5530" s="12"/>
      <c r="H5530" s="11" t="str">
        <f ca="1">IFERROR(__xludf.DUMMYFUNCTION("IFERROR(SUBSTITUTE(SUBSTITUTE(REGEXEXTRACT(A5530, ""[^-]+- [^-]+- [^-]+ - (.+?)\.jpg""), "".jpg"", """"), ""-"", "", ""), """")"),"")</f>
        <v/>
      </c>
      <c r="L5530" s="12"/>
      <c r="M5530" s="13"/>
      <c r="N5530" s="2"/>
      <c r="O5530" s="20"/>
      <c r="P5530" s="42"/>
      <c r="R5530" s="23"/>
    </row>
    <row r="5531" spans="1:18" ht="12.75">
      <c r="A5531" s="12"/>
      <c r="D5531" s="12"/>
      <c r="E5531" s="12"/>
      <c r="H5531" s="11" t="str">
        <f ca="1">IFERROR(__xludf.DUMMYFUNCTION("IFERROR(SUBSTITUTE(SUBSTITUTE(REGEXEXTRACT(A5531, ""[^-]+- [^-]+- [^-]+ - (.+?)\.jpg""), "".jpg"", """"), ""-"", "", ""), """")"),"")</f>
        <v/>
      </c>
      <c r="L5531" s="12"/>
      <c r="M5531" s="13"/>
      <c r="N5531" s="2"/>
      <c r="O5531" s="20"/>
      <c r="P5531" s="42"/>
      <c r="R5531" s="23"/>
    </row>
    <row r="5532" spans="1:18" ht="12.75">
      <c r="A5532" s="12"/>
      <c r="D5532" s="12"/>
      <c r="E5532" s="12"/>
      <c r="H5532" s="11" t="str">
        <f ca="1">IFERROR(__xludf.DUMMYFUNCTION("IFERROR(SUBSTITUTE(SUBSTITUTE(REGEXEXTRACT(A5532, ""[^-]+- [^-]+- [^-]+ - (.+?)\.jpg""), "".jpg"", """"), ""-"", "", ""), """")"),"")</f>
        <v/>
      </c>
      <c r="L5532" s="12"/>
      <c r="M5532" s="13"/>
      <c r="N5532" s="2"/>
      <c r="O5532" s="20"/>
      <c r="P5532" s="42"/>
      <c r="R5532" s="23"/>
    </row>
    <row r="5533" spans="1:18" ht="12.75">
      <c r="A5533" s="12"/>
      <c r="D5533" s="12"/>
      <c r="E5533" s="12"/>
      <c r="H5533" s="11" t="str">
        <f ca="1">IFERROR(__xludf.DUMMYFUNCTION("IFERROR(SUBSTITUTE(SUBSTITUTE(REGEXEXTRACT(A5533, ""[^-]+- [^-]+- [^-]+ - (.+?)\.jpg""), "".jpg"", """"), ""-"", "", ""), """")"),"")</f>
        <v/>
      </c>
      <c r="L5533" s="12"/>
      <c r="M5533" s="13"/>
      <c r="N5533" s="2"/>
      <c r="O5533" s="20"/>
      <c r="P5533" s="42"/>
      <c r="R5533" s="23"/>
    </row>
    <row r="5534" spans="1:18" ht="12.75">
      <c r="A5534" s="12"/>
      <c r="D5534" s="12"/>
      <c r="E5534" s="12"/>
      <c r="H5534" s="11" t="str">
        <f ca="1">IFERROR(__xludf.DUMMYFUNCTION("IFERROR(SUBSTITUTE(SUBSTITUTE(REGEXEXTRACT(A5534, ""[^-]+- [^-]+- [^-]+ - (.+?)\.jpg""), "".jpg"", """"), ""-"", "", ""), """")"),"")</f>
        <v/>
      </c>
      <c r="L5534" s="12"/>
      <c r="M5534" s="13"/>
      <c r="N5534" s="2"/>
      <c r="O5534" s="20"/>
      <c r="P5534" s="42"/>
      <c r="R5534" s="23"/>
    </row>
    <row r="5535" spans="1:18" ht="12.75">
      <c r="A5535" s="12"/>
      <c r="D5535" s="12"/>
      <c r="E5535" s="12"/>
      <c r="H5535" s="11" t="str">
        <f ca="1">IFERROR(__xludf.DUMMYFUNCTION("IFERROR(SUBSTITUTE(SUBSTITUTE(REGEXEXTRACT(A5535, ""[^-]+- [^-]+- [^-]+ - (.+?)\.jpg""), "".jpg"", """"), ""-"", "", ""), """")"),"")</f>
        <v/>
      </c>
      <c r="L5535" s="12"/>
      <c r="M5535" s="13"/>
      <c r="N5535" s="2"/>
      <c r="O5535" s="20"/>
      <c r="P5535" s="42"/>
      <c r="R5535" s="23"/>
    </row>
    <row r="5536" spans="1:18" ht="12.75">
      <c r="A5536" s="12"/>
      <c r="D5536" s="12"/>
      <c r="E5536" s="12"/>
      <c r="H5536" s="11" t="str">
        <f ca="1">IFERROR(__xludf.DUMMYFUNCTION("IFERROR(SUBSTITUTE(SUBSTITUTE(REGEXEXTRACT(A5536, ""[^-]+- [^-]+- [^-]+ - (.+?)\.jpg""), "".jpg"", """"), ""-"", "", ""), """")"),"")</f>
        <v/>
      </c>
      <c r="L5536" s="12"/>
      <c r="M5536" s="13"/>
      <c r="N5536" s="2"/>
      <c r="O5536" s="20"/>
      <c r="P5536" s="42"/>
      <c r="R5536" s="23"/>
    </row>
    <row r="5537" spans="1:18" ht="12.75">
      <c r="A5537" s="12"/>
      <c r="D5537" s="12"/>
      <c r="E5537" s="12"/>
      <c r="H5537" s="11" t="str">
        <f ca="1">IFERROR(__xludf.DUMMYFUNCTION("IFERROR(SUBSTITUTE(SUBSTITUTE(REGEXEXTRACT(A5537, ""[^-]+- [^-]+- [^-]+ - (.+?)\.jpg""), "".jpg"", """"), ""-"", "", ""), """")"),"")</f>
        <v/>
      </c>
      <c r="L5537" s="12"/>
      <c r="M5537" s="13"/>
      <c r="N5537" s="2"/>
      <c r="O5537" s="20"/>
      <c r="P5537" s="42"/>
      <c r="R5537" s="23"/>
    </row>
    <row r="5538" spans="1:18" ht="12.75">
      <c r="A5538" s="12"/>
      <c r="D5538" s="12"/>
      <c r="E5538" s="12"/>
      <c r="H5538" s="11" t="str">
        <f ca="1">IFERROR(__xludf.DUMMYFUNCTION("IFERROR(SUBSTITUTE(SUBSTITUTE(REGEXEXTRACT(A5538, ""[^-]+- [^-]+- [^-]+ - (.+?)\.jpg""), "".jpg"", """"), ""-"", "", ""), """")"),"")</f>
        <v/>
      </c>
      <c r="L5538" s="12"/>
      <c r="M5538" s="13"/>
      <c r="N5538" s="2"/>
      <c r="O5538" s="20"/>
      <c r="P5538" s="42"/>
      <c r="R5538" s="23"/>
    </row>
    <row r="5539" spans="1:18" ht="12.75">
      <c r="A5539" s="12"/>
      <c r="D5539" s="12"/>
      <c r="E5539" s="12"/>
      <c r="H5539" s="11" t="str">
        <f ca="1">IFERROR(__xludf.DUMMYFUNCTION("IFERROR(SUBSTITUTE(SUBSTITUTE(REGEXEXTRACT(A5539, ""[^-]+- [^-]+- [^-]+ - (.+?)\.jpg""), "".jpg"", """"), ""-"", "", ""), """")"),"")</f>
        <v/>
      </c>
      <c r="L5539" s="12"/>
      <c r="M5539" s="13"/>
      <c r="N5539" s="2"/>
      <c r="O5539" s="20"/>
      <c r="P5539" s="42"/>
      <c r="R5539" s="23"/>
    </row>
    <row r="5540" spans="1:18" ht="12.75">
      <c r="A5540" s="12"/>
      <c r="D5540" s="12"/>
      <c r="E5540" s="12"/>
      <c r="H5540" s="11" t="str">
        <f ca="1">IFERROR(__xludf.DUMMYFUNCTION("IFERROR(SUBSTITUTE(SUBSTITUTE(REGEXEXTRACT(A5540, ""[^-]+- [^-]+- [^-]+ - (.+?)\.jpg""), "".jpg"", """"), ""-"", "", ""), """")"),"")</f>
        <v/>
      </c>
      <c r="L5540" s="12"/>
      <c r="M5540" s="13"/>
      <c r="N5540" s="2"/>
      <c r="O5540" s="20"/>
      <c r="P5540" s="42"/>
      <c r="R5540" s="23"/>
    </row>
    <row r="5541" spans="1:18" ht="12.75">
      <c r="A5541" s="12"/>
      <c r="D5541" s="12"/>
      <c r="E5541" s="12"/>
      <c r="H5541" s="11" t="str">
        <f ca="1">IFERROR(__xludf.DUMMYFUNCTION("IFERROR(SUBSTITUTE(SUBSTITUTE(REGEXEXTRACT(A5541, ""[^-]+- [^-]+- [^-]+ - (.+?)\.jpg""), "".jpg"", """"), ""-"", "", ""), """")"),"")</f>
        <v/>
      </c>
      <c r="L5541" s="12"/>
      <c r="M5541" s="13"/>
      <c r="N5541" s="2"/>
      <c r="O5541" s="20"/>
      <c r="P5541" s="42"/>
      <c r="R5541" s="23"/>
    </row>
    <row r="5542" spans="1:18" ht="12.75">
      <c r="A5542" s="12"/>
      <c r="D5542" s="12"/>
      <c r="E5542" s="12"/>
      <c r="H5542" s="11" t="str">
        <f ca="1">IFERROR(__xludf.DUMMYFUNCTION("IFERROR(SUBSTITUTE(SUBSTITUTE(REGEXEXTRACT(A5542, ""[^-]+- [^-]+- [^-]+ - (.+?)\.jpg""), "".jpg"", """"), ""-"", "", ""), """")"),"")</f>
        <v/>
      </c>
      <c r="L5542" s="12"/>
      <c r="M5542" s="13"/>
      <c r="N5542" s="2"/>
      <c r="O5542" s="20"/>
      <c r="P5542" s="42"/>
      <c r="R5542" s="23"/>
    </row>
    <row r="5543" spans="1:18" ht="12.75">
      <c r="A5543" s="12"/>
      <c r="D5543" s="12"/>
      <c r="E5543" s="12"/>
      <c r="H5543" s="11" t="str">
        <f ca="1">IFERROR(__xludf.DUMMYFUNCTION("IFERROR(SUBSTITUTE(SUBSTITUTE(REGEXEXTRACT(A5543, ""[^-]+- [^-]+- [^-]+ - (.+?)\.jpg""), "".jpg"", """"), ""-"", "", ""), """")"),"")</f>
        <v/>
      </c>
      <c r="L5543" s="12"/>
      <c r="M5543" s="13"/>
      <c r="N5543" s="2"/>
      <c r="O5543" s="20"/>
      <c r="P5543" s="42"/>
      <c r="R5543" s="23"/>
    </row>
    <row r="5544" spans="1:18" ht="12.75">
      <c r="A5544" s="12"/>
      <c r="D5544" s="12"/>
      <c r="E5544" s="12"/>
      <c r="H5544" s="11" t="str">
        <f ca="1">IFERROR(__xludf.DUMMYFUNCTION("IFERROR(SUBSTITUTE(SUBSTITUTE(REGEXEXTRACT(A5544, ""[^-]+- [^-]+- [^-]+ - (.+?)\.jpg""), "".jpg"", """"), ""-"", "", ""), """")"),"")</f>
        <v/>
      </c>
      <c r="L5544" s="12"/>
      <c r="M5544" s="13"/>
      <c r="N5544" s="2"/>
      <c r="O5544" s="20"/>
      <c r="P5544" s="42"/>
      <c r="R5544" s="23"/>
    </row>
    <row r="5545" spans="1:18" ht="12.75">
      <c r="A5545" s="12"/>
      <c r="D5545" s="12"/>
      <c r="E5545" s="12"/>
      <c r="H5545" s="11" t="str">
        <f ca="1">IFERROR(__xludf.DUMMYFUNCTION("IFERROR(SUBSTITUTE(SUBSTITUTE(REGEXEXTRACT(A5545, ""[^-]+- [^-]+- [^-]+ - (.+?)\.jpg""), "".jpg"", """"), ""-"", "", ""), """")"),"")</f>
        <v/>
      </c>
      <c r="L5545" s="12"/>
      <c r="M5545" s="13"/>
      <c r="N5545" s="2"/>
      <c r="O5545" s="20"/>
      <c r="P5545" s="42"/>
      <c r="R5545" s="23"/>
    </row>
    <row r="5546" spans="1:18" ht="12.75">
      <c r="A5546" s="12"/>
      <c r="D5546" s="12"/>
      <c r="E5546" s="12"/>
      <c r="H5546" s="11" t="str">
        <f ca="1">IFERROR(__xludf.DUMMYFUNCTION("IFERROR(SUBSTITUTE(SUBSTITUTE(REGEXEXTRACT(A5546, ""[^-]+- [^-]+- [^-]+ - (.+?)\.jpg""), "".jpg"", """"), ""-"", "", ""), """")"),"")</f>
        <v/>
      </c>
      <c r="L5546" s="12"/>
      <c r="M5546" s="13"/>
      <c r="N5546" s="2"/>
      <c r="O5546" s="20"/>
      <c r="P5546" s="42"/>
      <c r="R5546" s="23"/>
    </row>
    <row r="5547" spans="1:18" ht="12.75">
      <c r="A5547" s="12"/>
      <c r="D5547" s="12"/>
      <c r="E5547" s="12"/>
      <c r="H5547" s="11" t="str">
        <f ca="1">IFERROR(__xludf.DUMMYFUNCTION("IFERROR(SUBSTITUTE(SUBSTITUTE(REGEXEXTRACT(A5547, ""[^-]+- [^-]+- [^-]+ - (.+?)\.jpg""), "".jpg"", """"), ""-"", "", ""), """")"),"")</f>
        <v/>
      </c>
      <c r="L5547" s="12"/>
      <c r="M5547" s="13"/>
      <c r="N5547" s="2"/>
      <c r="O5547" s="20"/>
      <c r="P5547" s="42"/>
      <c r="R5547" s="23"/>
    </row>
    <row r="5548" spans="1:18" ht="12.75">
      <c r="A5548" s="12"/>
      <c r="D5548" s="12"/>
      <c r="E5548" s="12"/>
      <c r="H5548" s="11" t="str">
        <f ca="1">IFERROR(__xludf.DUMMYFUNCTION("IFERROR(SUBSTITUTE(SUBSTITUTE(REGEXEXTRACT(A5548, ""[^-]+- [^-]+- [^-]+ - (.+?)\.jpg""), "".jpg"", """"), ""-"", "", ""), """")"),"")</f>
        <v/>
      </c>
      <c r="L5548" s="12"/>
      <c r="M5548" s="13"/>
      <c r="N5548" s="2"/>
      <c r="O5548" s="20"/>
      <c r="P5548" s="42"/>
      <c r="R5548" s="23"/>
    </row>
    <row r="5549" spans="1:18" ht="12.75">
      <c r="A5549" s="12"/>
      <c r="D5549" s="12"/>
      <c r="E5549" s="12"/>
      <c r="H5549" s="11" t="str">
        <f ca="1">IFERROR(__xludf.DUMMYFUNCTION("IFERROR(SUBSTITUTE(SUBSTITUTE(REGEXEXTRACT(A5549, ""[^-]+- [^-]+- [^-]+ - (.+?)\.jpg""), "".jpg"", """"), ""-"", "", ""), """")"),"")</f>
        <v/>
      </c>
      <c r="L5549" s="12"/>
      <c r="M5549" s="13"/>
      <c r="N5549" s="2"/>
      <c r="O5549" s="20"/>
      <c r="P5549" s="42"/>
      <c r="R5549" s="23"/>
    </row>
    <row r="5550" spans="1:18" ht="12.75">
      <c r="A5550" s="12"/>
      <c r="D5550" s="12"/>
      <c r="E5550" s="12"/>
      <c r="H5550" s="11" t="str">
        <f ca="1">IFERROR(__xludf.DUMMYFUNCTION("IFERROR(SUBSTITUTE(SUBSTITUTE(REGEXEXTRACT(A5550, ""[^-]+- [^-]+- [^-]+ - (.+?)\.jpg""), "".jpg"", """"), ""-"", "", ""), """")"),"")</f>
        <v/>
      </c>
      <c r="L5550" s="12"/>
      <c r="M5550" s="13"/>
      <c r="N5550" s="2"/>
      <c r="O5550" s="20"/>
      <c r="P5550" s="42"/>
      <c r="R5550" s="23"/>
    </row>
    <row r="5551" spans="1:18" ht="12.75">
      <c r="A5551" s="12"/>
      <c r="D5551" s="12"/>
      <c r="E5551" s="12"/>
      <c r="H5551" s="11" t="str">
        <f ca="1">IFERROR(__xludf.DUMMYFUNCTION("IFERROR(SUBSTITUTE(SUBSTITUTE(REGEXEXTRACT(A5551, ""[^-]+- [^-]+- [^-]+ - (.+?)\.jpg""), "".jpg"", """"), ""-"", "", ""), """")"),"")</f>
        <v/>
      </c>
      <c r="L5551" s="12"/>
      <c r="M5551" s="13"/>
      <c r="N5551" s="2"/>
      <c r="O5551" s="20"/>
      <c r="P5551" s="42"/>
      <c r="R5551" s="23"/>
    </row>
    <row r="5552" spans="1:18" ht="12.75">
      <c r="A5552" s="12"/>
      <c r="D5552" s="12"/>
      <c r="E5552" s="12"/>
      <c r="H5552" s="11" t="str">
        <f ca="1">IFERROR(__xludf.DUMMYFUNCTION("IFERROR(SUBSTITUTE(SUBSTITUTE(REGEXEXTRACT(A5552, ""[^-]+- [^-]+- [^-]+ - (.+?)\.jpg""), "".jpg"", """"), ""-"", "", ""), """")"),"")</f>
        <v/>
      </c>
      <c r="L5552" s="12"/>
      <c r="M5552" s="13"/>
      <c r="N5552" s="2"/>
      <c r="O5552" s="20"/>
      <c r="P5552" s="42"/>
      <c r="R5552" s="23"/>
    </row>
    <row r="5553" spans="1:18" ht="12.75">
      <c r="A5553" s="12"/>
      <c r="D5553" s="12"/>
      <c r="E5553" s="12"/>
      <c r="H5553" s="11" t="str">
        <f ca="1">IFERROR(__xludf.DUMMYFUNCTION("IFERROR(SUBSTITUTE(SUBSTITUTE(REGEXEXTRACT(A5553, ""[^-]+- [^-]+- [^-]+ - (.+?)\.jpg""), "".jpg"", """"), ""-"", "", ""), """")"),"")</f>
        <v/>
      </c>
      <c r="L5553" s="12"/>
      <c r="M5553" s="13"/>
      <c r="N5553" s="2"/>
      <c r="O5553" s="20"/>
      <c r="P5553" s="42"/>
      <c r="R5553" s="23"/>
    </row>
    <row r="5554" spans="1:18" ht="12.75">
      <c r="A5554" s="12"/>
      <c r="D5554" s="12"/>
      <c r="E5554" s="12"/>
      <c r="H5554" s="11" t="str">
        <f ca="1">IFERROR(__xludf.DUMMYFUNCTION("IFERROR(SUBSTITUTE(SUBSTITUTE(REGEXEXTRACT(A5554, ""[^-]+- [^-]+- [^-]+ - (.+?)\.jpg""), "".jpg"", """"), ""-"", "", ""), """")"),"")</f>
        <v/>
      </c>
      <c r="L5554" s="12"/>
      <c r="M5554" s="13"/>
      <c r="N5554" s="2"/>
      <c r="O5554" s="20"/>
      <c r="P5554" s="42"/>
      <c r="R5554" s="23"/>
    </row>
    <row r="5555" spans="1:18" ht="12.75">
      <c r="A5555" s="12"/>
      <c r="D5555" s="12"/>
      <c r="E5555" s="12"/>
      <c r="H5555" s="11" t="str">
        <f ca="1">IFERROR(__xludf.DUMMYFUNCTION("IFERROR(SUBSTITUTE(SUBSTITUTE(REGEXEXTRACT(A5555, ""[^-]+- [^-]+- [^-]+ - (.+?)\.jpg""), "".jpg"", """"), ""-"", "", ""), """")"),"")</f>
        <v/>
      </c>
      <c r="L5555" s="12"/>
      <c r="M5555" s="13"/>
      <c r="N5555" s="2"/>
      <c r="O5555" s="20"/>
      <c r="P5555" s="42"/>
      <c r="R5555" s="23"/>
    </row>
    <row r="5556" spans="1:18" ht="12.75">
      <c r="A5556" s="12"/>
      <c r="D5556" s="12"/>
      <c r="E5556" s="12"/>
      <c r="H5556" s="11" t="str">
        <f ca="1">IFERROR(__xludf.DUMMYFUNCTION("IFERROR(SUBSTITUTE(SUBSTITUTE(REGEXEXTRACT(A5556, ""[^-]+- [^-]+- [^-]+ - (.+?)\.jpg""), "".jpg"", """"), ""-"", "", ""), """")"),"")</f>
        <v/>
      </c>
      <c r="L5556" s="12"/>
      <c r="M5556" s="13"/>
      <c r="N5556" s="2"/>
      <c r="O5556" s="20"/>
      <c r="P5556" s="42"/>
      <c r="R5556" s="23"/>
    </row>
    <row r="5557" spans="1:18" ht="12.75">
      <c r="A5557" s="12"/>
      <c r="D5557" s="12"/>
      <c r="E5557" s="12"/>
      <c r="H5557" s="11" t="str">
        <f ca="1">IFERROR(__xludf.DUMMYFUNCTION("IFERROR(SUBSTITUTE(SUBSTITUTE(REGEXEXTRACT(A5557, ""[^-]+- [^-]+- [^-]+ - (.+?)\.jpg""), "".jpg"", """"), ""-"", "", ""), """")"),"")</f>
        <v/>
      </c>
      <c r="L5557" s="12"/>
      <c r="M5557" s="13"/>
      <c r="N5557" s="2"/>
      <c r="O5557" s="20"/>
      <c r="P5557" s="42"/>
      <c r="R5557" s="23"/>
    </row>
    <row r="5558" spans="1:18" ht="12.75">
      <c r="A5558" s="12"/>
      <c r="D5558" s="12"/>
      <c r="E5558" s="12"/>
      <c r="H5558" s="11" t="str">
        <f ca="1">IFERROR(__xludf.DUMMYFUNCTION("IFERROR(SUBSTITUTE(SUBSTITUTE(REGEXEXTRACT(A5558, ""[^-]+- [^-]+- [^-]+ - (.+?)\.jpg""), "".jpg"", """"), ""-"", "", ""), """")"),"")</f>
        <v/>
      </c>
      <c r="L5558" s="12"/>
      <c r="M5558" s="13"/>
      <c r="N5558" s="2"/>
      <c r="O5558" s="20"/>
      <c r="P5558" s="42"/>
      <c r="R5558" s="23"/>
    </row>
    <row r="5559" spans="1:18" ht="12.75">
      <c r="A5559" s="12"/>
      <c r="D5559" s="12"/>
      <c r="E5559" s="12"/>
      <c r="H5559" s="11" t="str">
        <f ca="1">IFERROR(__xludf.DUMMYFUNCTION("IFERROR(SUBSTITUTE(SUBSTITUTE(REGEXEXTRACT(A5559, ""[^-]+- [^-]+- [^-]+ - (.+?)\.jpg""), "".jpg"", """"), ""-"", "", ""), """")"),"")</f>
        <v/>
      </c>
      <c r="L5559" s="12"/>
      <c r="M5559" s="13"/>
      <c r="N5559" s="2"/>
      <c r="O5559" s="20"/>
      <c r="P5559" s="42"/>
      <c r="R5559" s="23"/>
    </row>
    <row r="5560" spans="1:18" ht="12.75">
      <c r="A5560" s="12"/>
      <c r="D5560" s="12"/>
      <c r="E5560" s="12"/>
      <c r="H5560" s="11" t="str">
        <f ca="1">IFERROR(__xludf.DUMMYFUNCTION("IFERROR(SUBSTITUTE(SUBSTITUTE(REGEXEXTRACT(A5560, ""[^-]+- [^-]+- [^-]+ - (.+?)\.jpg""), "".jpg"", """"), ""-"", "", ""), """")"),"")</f>
        <v/>
      </c>
      <c r="L5560" s="12"/>
      <c r="M5560" s="13"/>
      <c r="N5560" s="2"/>
      <c r="O5560" s="20"/>
      <c r="P5560" s="42"/>
      <c r="R5560" s="23"/>
    </row>
    <row r="5561" spans="1:18" ht="12.75">
      <c r="A5561" s="12"/>
      <c r="D5561" s="12"/>
      <c r="E5561" s="12"/>
      <c r="H5561" s="11" t="str">
        <f ca="1">IFERROR(__xludf.DUMMYFUNCTION("IFERROR(SUBSTITUTE(SUBSTITUTE(REGEXEXTRACT(A5561, ""[^-]+- [^-]+- [^-]+ - (.+?)\.jpg""), "".jpg"", """"), ""-"", "", ""), """")"),"")</f>
        <v/>
      </c>
      <c r="L5561" s="12"/>
      <c r="M5561" s="13"/>
      <c r="N5561" s="2"/>
      <c r="O5561" s="20"/>
      <c r="P5561" s="42"/>
      <c r="R5561" s="23"/>
    </row>
    <row r="5562" spans="1:18" ht="12.75">
      <c r="A5562" s="12"/>
      <c r="D5562" s="12"/>
      <c r="E5562" s="12"/>
      <c r="H5562" s="11" t="str">
        <f ca="1">IFERROR(__xludf.DUMMYFUNCTION("IFERROR(SUBSTITUTE(SUBSTITUTE(REGEXEXTRACT(A5562, ""[^-]+- [^-]+- [^-]+ - (.+?)\.jpg""), "".jpg"", """"), ""-"", "", ""), """")"),"")</f>
        <v/>
      </c>
      <c r="L5562" s="12"/>
      <c r="M5562" s="13"/>
      <c r="N5562" s="2"/>
      <c r="O5562" s="20"/>
      <c r="P5562" s="42"/>
      <c r="R5562" s="23"/>
    </row>
    <row r="5563" spans="1:18" ht="12.75">
      <c r="A5563" s="12"/>
      <c r="D5563" s="12"/>
      <c r="E5563" s="12"/>
      <c r="H5563" s="11" t="str">
        <f ca="1">IFERROR(__xludf.DUMMYFUNCTION("IFERROR(SUBSTITUTE(SUBSTITUTE(REGEXEXTRACT(A5563, ""[^-]+- [^-]+- [^-]+ - (.+?)\.jpg""), "".jpg"", """"), ""-"", "", ""), """")"),"")</f>
        <v/>
      </c>
      <c r="L5563" s="12"/>
      <c r="M5563" s="13"/>
      <c r="N5563" s="2"/>
      <c r="O5563" s="20"/>
      <c r="P5563" s="42"/>
      <c r="R5563" s="23"/>
    </row>
    <row r="5564" spans="1:18" ht="12.75">
      <c r="A5564" s="12"/>
      <c r="D5564" s="12"/>
      <c r="E5564" s="12"/>
      <c r="H5564" s="11" t="str">
        <f ca="1">IFERROR(__xludf.DUMMYFUNCTION("IFERROR(SUBSTITUTE(SUBSTITUTE(REGEXEXTRACT(A5564, ""[^-]+- [^-]+- [^-]+ - (.+?)\.jpg""), "".jpg"", """"), ""-"", "", ""), """")"),"")</f>
        <v/>
      </c>
      <c r="L5564" s="12"/>
      <c r="M5564" s="13"/>
      <c r="N5564" s="2"/>
      <c r="O5564" s="20"/>
      <c r="P5564" s="42"/>
      <c r="R5564" s="23"/>
    </row>
    <row r="5565" spans="1:18" ht="12.75">
      <c r="A5565" s="12"/>
      <c r="D5565" s="12"/>
      <c r="E5565" s="12"/>
      <c r="H5565" s="11" t="str">
        <f ca="1">IFERROR(__xludf.DUMMYFUNCTION("IFERROR(SUBSTITUTE(SUBSTITUTE(REGEXEXTRACT(A5565, ""[^-]+- [^-]+- [^-]+ - (.+?)\.jpg""), "".jpg"", """"), ""-"", "", ""), """")"),"")</f>
        <v/>
      </c>
      <c r="L5565" s="12"/>
      <c r="M5565" s="13"/>
      <c r="N5565" s="2"/>
      <c r="O5565" s="20"/>
      <c r="P5565" s="42"/>
      <c r="R5565" s="23"/>
    </row>
    <row r="5566" spans="1:18" ht="12.75">
      <c r="A5566" s="12"/>
      <c r="D5566" s="12"/>
      <c r="E5566" s="12"/>
      <c r="H5566" s="11" t="str">
        <f ca="1">IFERROR(__xludf.DUMMYFUNCTION("IFERROR(SUBSTITUTE(SUBSTITUTE(REGEXEXTRACT(A5566, ""[^-]+- [^-]+- [^-]+ - (.+?)\.jpg""), "".jpg"", """"), ""-"", "", ""), """")"),"")</f>
        <v/>
      </c>
      <c r="L5566" s="12"/>
      <c r="M5566" s="13"/>
      <c r="N5566" s="2"/>
      <c r="O5566" s="20"/>
      <c r="P5566" s="42"/>
      <c r="R5566" s="23"/>
    </row>
    <row r="5567" spans="1:18" ht="12.75">
      <c r="A5567" s="12"/>
      <c r="D5567" s="12"/>
      <c r="E5567" s="12"/>
      <c r="H5567" s="11" t="str">
        <f ca="1">IFERROR(__xludf.DUMMYFUNCTION("IFERROR(SUBSTITUTE(SUBSTITUTE(REGEXEXTRACT(A5567, ""[^-]+- [^-]+- [^-]+ - (.+?)\.jpg""), "".jpg"", """"), ""-"", "", ""), """")"),"")</f>
        <v/>
      </c>
      <c r="L5567" s="12"/>
      <c r="M5567" s="13"/>
      <c r="N5567" s="2"/>
      <c r="O5567" s="20"/>
      <c r="P5567" s="42"/>
      <c r="R5567" s="23"/>
    </row>
    <row r="5568" spans="1:18" ht="12.75">
      <c r="A5568" s="12"/>
      <c r="D5568" s="12"/>
      <c r="E5568" s="12"/>
      <c r="H5568" s="11" t="str">
        <f ca="1">IFERROR(__xludf.DUMMYFUNCTION("IFERROR(SUBSTITUTE(SUBSTITUTE(REGEXEXTRACT(A5568, ""[^-]+- [^-]+- [^-]+ - (.+?)\.jpg""), "".jpg"", """"), ""-"", "", ""), """")"),"")</f>
        <v/>
      </c>
      <c r="L5568" s="12"/>
      <c r="M5568" s="13"/>
      <c r="N5568" s="2"/>
      <c r="O5568" s="20"/>
      <c r="P5568" s="42"/>
      <c r="R5568" s="23"/>
    </row>
    <row r="5569" spans="1:18" ht="12.75">
      <c r="A5569" s="12"/>
      <c r="D5569" s="12"/>
      <c r="E5569" s="12"/>
      <c r="H5569" s="11" t="str">
        <f ca="1">IFERROR(__xludf.DUMMYFUNCTION("IFERROR(SUBSTITUTE(SUBSTITUTE(REGEXEXTRACT(A5569, ""[^-]+- [^-]+- [^-]+ - (.+?)\.jpg""), "".jpg"", """"), ""-"", "", ""), """")"),"")</f>
        <v/>
      </c>
      <c r="L5569" s="12"/>
      <c r="M5569" s="13"/>
      <c r="N5569" s="2"/>
      <c r="O5569" s="20"/>
      <c r="P5569" s="42"/>
      <c r="R5569" s="23"/>
    </row>
    <row r="5570" spans="1:18" ht="12.75">
      <c r="A5570" s="12"/>
      <c r="D5570" s="12"/>
      <c r="E5570" s="12"/>
      <c r="H5570" s="11" t="str">
        <f ca="1">IFERROR(__xludf.DUMMYFUNCTION("IFERROR(SUBSTITUTE(SUBSTITUTE(REGEXEXTRACT(A5570, ""[^-]+- [^-]+- [^-]+ - (.+?)\.jpg""), "".jpg"", """"), ""-"", "", ""), """")"),"")</f>
        <v/>
      </c>
      <c r="L5570" s="12"/>
      <c r="M5570" s="13"/>
      <c r="N5570" s="2"/>
      <c r="O5570" s="20"/>
      <c r="P5570" s="42"/>
      <c r="R5570" s="23"/>
    </row>
    <row r="5571" spans="1:18" ht="12.75">
      <c r="A5571" s="12"/>
      <c r="D5571" s="12"/>
      <c r="E5571" s="12"/>
      <c r="H5571" s="11" t="str">
        <f ca="1">IFERROR(__xludf.DUMMYFUNCTION("IFERROR(SUBSTITUTE(SUBSTITUTE(REGEXEXTRACT(A5571, ""[^-]+- [^-]+- [^-]+ - (.+?)\.jpg""), "".jpg"", """"), ""-"", "", ""), """")"),"")</f>
        <v/>
      </c>
      <c r="L5571" s="12"/>
      <c r="M5571" s="13"/>
      <c r="N5571" s="2"/>
      <c r="O5571" s="20"/>
      <c r="P5571" s="42"/>
      <c r="R5571" s="23"/>
    </row>
    <row r="5572" spans="1:18" ht="12.75">
      <c r="A5572" s="12"/>
      <c r="D5572" s="12"/>
      <c r="E5572" s="12"/>
      <c r="H5572" s="11" t="str">
        <f ca="1">IFERROR(__xludf.DUMMYFUNCTION("IFERROR(SUBSTITUTE(SUBSTITUTE(REGEXEXTRACT(A5572, ""[^-]+- [^-]+- [^-]+ - (.+?)\.jpg""), "".jpg"", """"), ""-"", "", ""), """")"),"")</f>
        <v/>
      </c>
      <c r="L5572" s="12"/>
      <c r="M5572" s="13"/>
      <c r="N5572" s="2"/>
      <c r="O5572" s="20"/>
      <c r="P5572" s="42"/>
      <c r="R5572" s="23"/>
    </row>
    <row r="5573" spans="1:18" ht="12.75">
      <c r="A5573" s="12"/>
      <c r="D5573" s="12"/>
      <c r="E5573" s="12"/>
      <c r="H5573" s="11" t="str">
        <f ca="1">IFERROR(__xludf.DUMMYFUNCTION("IFERROR(SUBSTITUTE(SUBSTITUTE(REGEXEXTRACT(A5573, ""[^-]+- [^-]+- [^-]+ - (.+?)\.jpg""), "".jpg"", """"), ""-"", "", ""), """")"),"")</f>
        <v/>
      </c>
      <c r="L5573" s="12"/>
      <c r="M5573" s="13"/>
      <c r="N5573" s="2"/>
      <c r="O5573" s="20"/>
      <c r="P5573" s="42"/>
      <c r="R5573" s="23"/>
    </row>
    <row r="5574" spans="1:18" ht="12.75">
      <c r="A5574" s="12"/>
      <c r="D5574" s="12"/>
      <c r="E5574" s="12"/>
      <c r="H5574" s="11" t="str">
        <f ca="1">IFERROR(__xludf.DUMMYFUNCTION("IFERROR(SUBSTITUTE(SUBSTITUTE(REGEXEXTRACT(A5574, ""[^-]+- [^-]+- [^-]+ - (.+?)\.jpg""), "".jpg"", """"), ""-"", "", ""), """")"),"")</f>
        <v/>
      </c>
      <c r="L5574" s="12"/>
      <c r="M5574" s="13"/>
      <c r="N5574" s="2"/>
      <c r="O5574" s="20"/>
      <c r="P5574" s="42"/>
      <c r="R5574" s="23"/>
    </row>
    <row r="5575" spans="1:18" ht="12.75">
      <c r="A5575" s="12"/>
      <c r="D5575" s="12"/>
      <c r="E5575" s="12"/>
      <c r="H5575" s="11" t="str">
        <f ca="1">IFERROR(__xludf.DUMMYFUNCTION("IFERROR(SUBSTITUTE(SUBSTITUTE(REGEXEXTRACT(A5575, ""[^-]+- [^-]+- [^-]+ - (.+?)\.jpg""), "".jpg"", """"), ""-"", "", ""), """")"),"")</f>
        <v/>
      </c>
      <c r="L5575" s="12"/>
      <c r="M5575" s="13"/>
      <c r="N5575" s="2"/>
      <c r="O5575" s="20"/>
      <c r="P5575" s="42"/>
      <c r="R5575" s="23"/>
    </row>
    <row r="5576" spans="1:18" ht="12.75">
      <c r="A5576" s="12"/>
      <c r="D5576" s="12"/>
      <c r="E5576" s="12"/>
      <c r="H5576" s="11" t="str">
        <f ca="1">IFERROR(__xludf.DUMMYFUNCTION("IFERROR(SUBSTITUTE(SUBSTITUTE(REGEXEXTRACT(A5576, ""[^-]+- [^-]+- [^-]+ - (.+?)\.jpg""), "".jpg"", """"), ""-"", "", ""), """")"),"")</f>
        <v/>
      </c>
      <c r="L5576" s="12"/>
      <c r="M5576" s="13"/>
      <c r="N5576" s="2"/>
      <c r="O5576" s="20"/>
      <c r="P5576" s="42"/>
      <c r="R5576" s="23"/>
    </row>
    <row r="5577" spans="1:18" ht="12.75">
      <c r="A5577" s="12"/>
      <c r="D5577" s="12"/>
      <c r="E5577" s="12"/>
      <c r="H5577" s="11" t="str">
        <f ca="1">IFERROR(__xludf.DUMMYFUNCTION("IFERROR(SUBSTITUTE(SUBSTITUTE(REGEXEXTRACT(A5577, ""[^-]+- [^-]+- [^-]+ - (.+?)\.jpg""), "".jpg"", """"), ""-"", "", ""), """")"),"")</f>
        <v/>
      </c>
      <c r="L5577" s="12"/>
      <c r="M5577" s="13"/>
      <c r="N5577" s="2"/>
      <c r="O5577" s="20"/>
      <c r="P5577" s="42"/>
      <c r="R5577" s="23"/>
    </row>
    <row r="5578" spans="1:18" ht="12.75">
      <c r="A5578" s="12"/>
      <c r="D5578" s="12"/>
      <c r="E5578" s="12"/>
      <c r="H5578" s="11" t="str">
        <f ca="1">IFERROR(__xludf.DUMMYFUNCTION("IFERROR(SUBSTITUTE(SUBSTITUTE(REGEXEXTRACT(A5578, ""[^-]+- [^-]+- [^-]+ - (.+?)\.jpg""), "".jpg"", """"), ""-"", "", ""), """")"),"")</f>
        <v/>
      </c>
      <c r="L5578" s="12"/>
      <c r="M5578" s="13"/>
      <c r="N5578" s="2"/>
      <c r="O5578" s="20"/>
      <c r="P5578" s="42"/>
      <c r="R5578" s="23"/>
    </row>
    <row r="5579" spans="1:18" ht="12.75">
      <c r="A5579" s="12"/>
      <c r="D5579" s="12"/>
      <c r="E5579" s="12"/>
      <c r="H5579" s="11" t="str">
        <f ca="1">IFERROR(__xludf.DUMMYFUNCTION("IFERROR(SUBSTITUTE(SUBSTITUTE(REGEXEXTRACT(A5579, ""[^-]+- [^-]+- [^-]+ - (.+?)\.jpg""), "".jpg"", """"), ""-"", "", ""), """")"),"")</f>
        <v/>
      </c>
      <c r="L5579" s="12"/>
      <c r="M5579" s="13"/>
      <c r="N5579" s="2"/>
      <c r="O5579" s="20"/>
      <c r="P5579" s="42"/>
      <c r="R5579" s="23"/>
    </row>
    <row r="5580" spans="1:18" ht="12.75">
      <c r="A5580" s="12"/>
      <c r="D5580" s="12"/>
      <c r="E5580" s="12"/>
      <c r="H5580" s="11" t="str">
        <f ca="1">IFERROR(__xludf.DUMMYFUNCTION("IFERROR(SUBSTITUTE(SUBSTITUTE(REGEXEXTRACT(A5580, ""[^-]+- [^-]+- [^-]+ - (.+?)\.jpg""), "".jpg"", """"), ""-"", "", ""), """")"),"")</f>
        <v/>
      </c>
      <c r="L5580" s="12"/>
      <c r="M5580" s="13"/>
      <c r="N5580" s="2"/>
      <c r="O5580" s="20"/>
      <c r="P5580" s="42"/>
      <c r="R5580" s="23"/>
    </row>
    <row r="5581" spans="1:18" ht="12.75">
      <c r="A5581" s="12"/>
      <c r="D5581" s="12"/>
      <c r="E5581" s="12"/>
      <c r="H5581" s="11" t="str">
        <f ca="1">IFERROR(__xludf.DUMMYFUNCTION("IFERROR(SUBSTITUTE(SUBSTITUTE(REGEXEXTRACT(A5581, ""[^-]+- [^-]+- [^-]+ - (.+?)\.jpg""), "".jpg"", """"), ""-"", "", ""), """")"),"")</f>
        <v/>
      </c>
      <c r="L5581" s="12"/>
      <c r="M5581" s="13"/>
      <c r="N5581" s="2"/>
      <c r="O5581" s="20"/>
      <c r="P5581" s="42"/>
      <c r="R5581" s="23"/>
    </row>
    <row r="5582" spans="1:18" ht="12.75">
      <c r="A5582" s="12"/>
      <c r="D5582" s="12"/>
      <c r="E5582" s="12"/>
      <c r="H5582" s="11" t="str">
        <f ca="1">IFERROR(__xludf.DUMMYFUNCTION("IFERROR(SUBSTITUTE(SUBSTITUTE(REGEXEXTRACT(A5582, ""[^-]+- [^-]+- [^-]+ - (.+?)\.jpg""), "".jpg"", """"), ""-"", "", ""), """")"),"")</f>
        <v/>
      </c>
      <c r="L5582" s="12"/>
      <c r="M5582" s="13"/>
      <c r="N5582" s="2"/>
      <c r="O5582" s="20"/>
      <c r="P5582" s="42"/>
      <c r="R5582" s="23"/>
    </row>
    <row r="5583" spans="1:18" ht="12.75">
      <c r="A5583" s="12"/>
      <c r="D5583" s="12"/>
      <c r="E5583" s="12"/>
      <c r="H5583" s="11" t="str">
        <f ca="1">IFERROR(__xludf.DUMMYFUNCTION("IFERROR(SUBSTITUTE(SUBSTITUTE(REGEXEXTRACT(A5583, ""[^-]+- [^-]+- [^-]+ - (.+?)\.jpg""), "".jpg"", """"), ""-"", "", ""), """")"),"")</f>
        <v/>
      </c>
      <c r="L5583" s="12"/>
      <c r="M5583" s="13"/>
      <c r="N5583" s="2"/>
      <c r="O5583" s="20"/>
      <c r="P5583" s="42"/>
      <c r="R5583" s="23"/>
    </row>
    <row r="5584" spans="1:18" ht="12.75">
      <c r="A5584" s="12"/>
      <c r="D5584" s="12"/>
      <c r="E5584" s="12"/>
      <c r="H5584" s="11" t="str">
        <f ca="1">IFERROR(__xludf.DUMMYFUNCTION("IFERROR(SUBSTITUTE(SUBSTITUTE(REGEXEXTRACT(A5584, ""[^-]+- [^-]+- [^-]+ - (.+?)\.jpg""), "".jpg"", """"), ""-"", "", ""), """")"),"")</f>
        <v/>
      </c>
      <c r="L5584" s="12"/>
      <c r="M5584" s="13"/>
      <c r="N5584" s="2"/>
      <c r="O5584" s="20"/>
      <c r="P5584" s="42"/>
      <c r="R5584" s="23"/>
    </row>
    <row r="5585" spans="1:18" ht="12.75">
      <c r="A5585" s="12"/>
      <c r="D5585" s="12"/>
      <c r="E5585" s="12"/>
      <c r="H5585" s="11" t="str">
        <f ca="1">IFERROR(__xludf.DUMMYFUNCTION("IFERROR(SUBSTITUTE(SUBSTITUTE(REGEXEXTRACT(A5585, ""[^-]+- [^-]+- [^-]+ - (.+?)\.jpg""), "".jpg"", """"), ""-"", "", ""), """")"),"")</f>
        <v/>
      </c>
      <c r="L5585" s="12"/>
      <c r="M5585" s="13"/>
      <c r="N5585" s="2"/>
      <c r="O5585" s="20"/>
      <c r="P5585" s="42"/>
      <c r="R5585" s="23"/>
    </row>
    <row r="5586" spans="1:18" ht="12.75">
      <c r="A5586" s="12"/>
      <c r="D5586" s="12"/>
      <c r="E5586" s="12"/>
      <c r="H5586" s="11" t="str">
        <f ca="1">IFERROR(__xludf.DUMMYFUNCTION("IFERROR(SUBSTITUTE(SUBSTITUTE(REGEXEXTRACT(A5586, ""[^-]+- [^-]+- [^-]+ - (.+?)\.jpg""), "".jpg"", """"), ""-"", "", ""), """")"),"")</f>
        <v/>
      </c>
      <c r="L5586" s="12"/>
      <c r="M5586" s="13"/>
      <c r="N5586" s="2"/>
      <c r="O5586" s="20"/>
      <c r="P5586" s="42"/>
      <c r="R5586" s="23"/>
    </row>
    <row r="5587" spans="1:18" ht="12.75">
      <c r="A5587" s="12"/>
      <c r="D5587" s="12"/>
      <c r="E5587" s="12"/>
      <c r="H5587" s="11" t="str">
        <f ca="1">IFERROR(__xludf.DUMMYFUNCTION("IFERROR(SUBSTITUTE(SUBSTITUTE(REGEXEXTRACT(A5587, ""[^-]+- [^-]+- [^-]+ - (.+?)\.jpg""), "".jpg"", """"), ""-"", "", ""), """")"),"")</f>
        <v/>
      </c>
      <c r="L5587" s="12"/>
      <c r="M5587" s="13"/>
      <c r="N5587" s="2"/>
      <c r="O5587" s="20"/>
      <c r="P5587" s="42"/>
      <c r="R5587" s="23"/>
    </row>
    <row r="5588" spans="1:18" ht="12.75">
      <c r="A5588" s="12"/>
      <c r="D5588" s="12"/>
      <c r="E5588" s="12"/>
      <c r="H5588" s="11" t="str">
        <f ca="1">IFERROR(__xludf.DUMMYFUNCTION("IFERROR(SUBSTITUTE(SUBSTITUTE(REGEXEXTRACT(A5588, ""[^-]+- [^-]+- [^-]+ - (.+?)\.jpg""), "".jpg"", """"), ""-"", "", ""), """")"),"")</f>
        <v/>
      </c>
      <c r="L5588" s="12"/>
      <c r="M5588" s="13"/>
      <c r="N5588" s="2"/>
      <c r="O5588" s="20"/>
      <c r="P5588" s="42"/>
      <c r="R5588" s="23"/>
    </row>
    <row r="5589" spans="1:18" ht="12.75">
      <c r="A5589" s="12"/>
      <c r="D5589" s="12"/>
      <c r="E5589" s="12"/>
      <c r="H5589" s="11" t="str">
        <f ca="1">IFERROR(__xludf.DUMMYFUNCTION("IFERROR(SUBSTITUTE(SUBSTITUTE(REGEXEXTRACT(A5589, ""[^-]+- [^-]+- [^-]+ - (.+?)\.jpg""), "".jpg"", """"), ""-"", "", ""), """")"),"")</f>
        <v/>
      </c>
      <c r="L5589" s="12"/>
      <c r="M5589" s="13"/>
      <c r="N5589" s="2"/>
      <c r="O5589" s="20"/>
      <c r="P5589" s="42"/>
      <c r="R5589" s="23"/>
    </row>
    <row r="5590" spans="1:18" ht="12.75">
      <c r="A5590" s="12"/>
      <c r="D5590" s="12"/>
      <c r="E5590" s="12"/>
      <c r="H5590" s="11" t="str">
        <f ca="1">IFERROR(__xludf.DUMMYFUNCTION("IFERROR(SUBSTITUTE(SUBSTITUTE(REGEXEXTRACT(A5590, ""[^-]+- [^-]+- [^-]+ - (.+?)\.jpg""), "".jpg"", """"), ""-"", "", ""), """")"),"")</f>
        <v/>
      </c>
      <c r="L5590" s="12"/>
      <c r="M5590" s="13"/>
      <c r="N5590" s="2"/>
      <c r="O5590" s="20"/>
      <c r="P5590" s="42"/>
      <c r="R5590" s="23"/>
    </row>
    <row r="5591" spans="1:18" ht="12.75">
      <c r="A5591" s="12"/>
      <c r="D5591" s="12"/>
      <c r="E5591" s="12"/>
      <c r="H5591" s="11" t="str">
        <f ca="1">IFERROR(__xludf.DUMMYFUNCTION("IFERROR(SUBSTITUTE(SUBSTITUTE(REGEXEXTRACT(A5591, ""[^-]+- [^-]+- [^-]+ - (.+?)\.jpg""), "".jpg"", """"), ""-"", "", ""), """")"),"")</f>
        <v/>
      </c>
      <c r="L5591" s="12"/>
      <c r="M5591" s="13"/>
      <c r="N5591" s="2"/>
      <c r="O5591" s="20"/>
      <c r="P5591" s="42"/>
      <c r="R5591" s="23"/>
    </row>
    <row r="5592" spans="1:18" ht="12.75">
      <c r="A5592" s="12"/>
      <c r="D5592" s="12"/>
      <c r="E5592" s="12"/>
      <c r="H5592" s="11" t="str">
        <f ca="1">IFERROR(__xludf.DUMMYFUNCTION("IFERROR(SUBSTITUTE(SUBSTITUTE(REGEXEXTRACT(A5592, ""[^-]+- [^-]+- [^-]+ - (.+?)\.jpg""), "".jpg"", """"), ""-"", "", ""), """")"),"")</f>
        <v/>
      </c>
      <c r="L5592" s="12"/>
      <c r="M5592" s="13"/>
      <c r="N5592" s="2"/>
      <c r="O5592" s="20"/>
      <c r="P5592" s="42"/>
      <c r="R5592" s="23"/>
    </row>
    <row r="5593" spans="1:18" ht="12.75">
      <c r="A5593" s="12"/>
      <c r="D5593" s="12"/>
      <c r="E5593" s="12"/>
      <c r="H5593" s="11" t="str">
        <f ca="1">IFERROR(__xludf.DUMMYFUNCTION("IFERROR(SUBSTITUTE(SUBSTITUTE(REGEXEXTRACT(A5593, ""[^-]+- [^-]+- [^-]+ - (.+?)\.jpg""), "".jpg"", """"), ""-"", "", ""), """")"),"")</f>
        <v/>
      </c>
      <c r="L5593" s="12"/>
      <c r="M5593" s="13"/>
      <c r="N5593" s="2"/>
      <c r="O5593" s="20"/>
      <c r="P5593" s="42"/>
      <c r="R5593" s="23"/>
    </row>
    <row r="5594" spans="1:18" ht="12.75">
      <c r="A5594" s="12"/>
      <c r="D5594" s="12"/>
      <c r="E5594" s="12"/>
      <c r="H5594" s="11" t="str">
        <f ca="1">IFERROR(__xludf.DUMMYFUNCTION("IFERROR(SUBSTITUTE(SUBSTITUTE(REGEXEXTRACT(A5594, ""[^-]+- [^-]+- [^-]+ - (.+?)\.jpg""), "".jpg"", """"), ""-"", "", ""), """")"),"")</f>
        <v/>
      </c>
      <c r="L5594" s="12"/>
      <c r="M5594" s="13"/>
      <c r="N5594" s="2"/>
      <c r="O5594" s="20"/>
      <c r="P5594" s="42"/>
      <c r="R5594" s="23"/>
    </row>
    <row r="5595" spans="1:18" ht="12.75">
      <c r="A5595" s="12"/>
      <c r="D5595" s="12"/>
      <c r="E5595" s="12"/>
      <c r="H5595" s="11" t="str">
        <f ca="1">IFERROR(__xludf.DUMMYFUNCTION("IFERROR(SUBSTITUTE(SUBSTITUTE(REGEXEXTRACT(A5595, ""[^-]+- [^-]+- [^-]+ - (.+?)\.jpg""), "".jpg"", """"), ""-"", "", ""), """")"),"")</f>
        <v/>
      </c>
      <c r="L5595" s="12"/>
      <c r="M5595" s="13"/>
      <c r="N5595" s="2"/>
      <c r="O5595" s="20"/>
      <c r="P5595" s="42"/>
      <c r="R5595" s="23"/>
    </row>
    <row r="5596" spans="1:18" ht="12.75">
      <c r="A5596" s="12"/>
      <c r="D5596" s="12"/>
      <c r="E5596" s="12"/>
      <c r="H5596" s="11" t="str">
        <f ca="1">IFERROR(__xludf.DUMMYFUNCTION("IFERROR(SUBSTITUTE(SUBSTITUTE(REGEXEXTRACT(A5596, ""[^-]+- [^-]+- [^-]+ - (.+?)\.jpg""), "".jpg"", """"), ""-"", "", ""), """")"),"")</f>
        <v/>
      </c>
      <c r="L5596" s="12"/>
      <c r="M5596" s="13"/>
      <c r="N5596" s="2"/>
      <c r="O5596" s="20"/>
      <c r="P5596" s="42"/>
      <c r="R5596" s="23"/>
    </row>
    <row r="5597" spans="1:18" ht="12.75">
      <c r="A5597" s="12"/>
      <c r="D5597" s="12"/>
      <c r="E5597" s="12"/>
      <c r="H5597" s="11" t="str">
        <f ca="1">IFERROR(__xludf.DUMMYFUNCTION("IFERROR(SUBSTITUTE(SUBSTITUTE(REGEXEXTRACT(A5597, ""[^-]+- [^-]+- [^-]+ - (.+?)\.jpg""), "".jpg"", """"), ""-"", "", ""), """")"),"")</f>
        <v/>
      </c>
      <c r="L5597" s="12"/>
      <c r="M5597" s="13"/>
      <c r="N5597" s="2"/>
      <c r="O5597" s="20"/>
      <c r="P5597" s="42"/>
      <c r="R5597" s="23"/>
    </row>
    <row r="5598" spans="1:18" ht="12.75">
      <c r="A5598" s="12"/>
      <c r="D5598" s="12"/>
      <c r="E5598" s="12"/>
      <c r="H5598" s="11" t="str">
        <f ca="1">IFERROR(__xludf.DUMMYFUNCTION("IFERROR(SUBSTITUTE(SUBSTITUTE(REGEXEXTRACT(A5598, ""[^-]+- [^-]+- [^-]+ - (.+?)\.jpg""), "".jpg"", """"), ""-"", "", ""), """")"),"")</f>
        <v/>
      </c>
      <c r="L5598" s="12"/>
      <c r="M5598" s="13"/>
      <c r="N5598" s="2"/>
      <c r="O5598" s="20"/>
      <c r="P5598" s="42"/>
      <c r="R5598" s="23"/>
    </row>
    <row r="5599" spans="1:18" ht="12.75">
      <c r="A5599" s="12"/>
      <c r="D5599" s="12"/>
      <c r="E5599" s="12"/>
      <c r="H5599" s="11" t="str">
        <f ca="1">IFERROR(__xludf.DUMMYFUNCTION("IFERROR(SUBSTITUTE(SUBSTITUTE(REGEXEXTRACT(A5599, ""[^-]+- [^-]+- [^-]+ - (.+?)\.jpg""), "".jpg"", """"), ""-"", "", ""), """")"),"")</f>
        <v/>
      </c>
      <c r="L5599" s="12"/>
      <c r="M5599" s="13"/>
      <c r="N5599" s="2"/>
      <c r="O5599" s="20"/>
      <c r="P5599" s="42"/>
      <c r="R5599" s="23"/>
    </row>
    <row r="5600" spans="1:18" ht="12.75">
      <c r="A5600" s="12"/>
      <c r="D5600" s="12"/>
      <c r="E5600" s="12"/>
      <c r="H5600" s="11" t="str">
        <f ca="1">IFERROR(__xludf.DUMMYFUNCTION("IFERROR(SUBSTITUTE(SUBSTITUTE(REGEXEXTRACT(A5600, ""[^-]+- [^-]+- [^-]+ - (.+?)\.jpg""), "".jpg"", """"), ""-"", "", ""), """")"),"")</f>
        <v/>
      </c>
      <c r="L5600" s="12"/>
      <c r="M5600" s="13"/>
      <c r="N5600" s="2"/>
      <c r="O5600" s="20"/>
      <c r="P5600" s="42"/>
      <c r="R5600" s="23"/>
    </row>
    <row r="5601" spans="1:18" ht="12.75">
      <c r="A5601" s="12"/>
      <c r="D5601" s="12"/>
      <c r="E5601" s="12"/>
      <c r="H5601" s="11" t="str">
        <f ca="1">IFERROR(__xludf.DUMMYFUNCTION("IFERROR(SUBSTITUTE(SUBSTITUTE(REGEXEXTRACT(A5601, ""[^-]+- [^-]+- [^-]+ - (.+?)\.jpg""), "".jpg"", """"), ""-"", "", ""), """")"),"")</f>
        <v/>
      </c>
      <c r="L5601" s="12"/>
      <c r="M5601" s="13"/>
      <c r="N5601" s="2"/>
      <c r="O5601" s="20"/>
      <c r="P5601" s="42"/>
      <c r="R5601" s="23"/>
    </row>
    <row r="5602" spans="1:18" ht="12.75">
      <c r="A5602" s="12"/>
      <c r="D5602" s="12"/>
      <c r="E5602" s="12"/>
      <c r="H5602" s="11" t="str">
        <f ca="1">IFERROR(__xludf.DUMMYFUNCTION("IFERROR(SUBSTITUTE(SUBSTITUTE(REGEXEXTRACT(A5602, ""[^-]+- [^-]+- [^-]+ - (.+?)\.jpg""), "".jpg"", """"), ""-"", "", ""), """")"),"")</f>
        <v/>
      </c>
      <c r="L5602" s="12"/>
      <c r="M5602" s="13"/>
      <c r="N5602" s="2"/>
      <c r="O5602" s="20"/>
      <c r="P5602" s="42"/>
      <c r="R5602" s="23"/>
    </row>
    <row r="5603" spans="1:18" ht="12.75">
      <c r="A5603" s="12"/>
      <c r="D5603" s="12"/>
      <c r="E5603" s="12"/>
      <c r="H5603" s="11" t="str">
        <f ca="1">IFERROR(__xludf.DUMMYFUNCTION("IFERROR(SUBSTITUTE(SUBSTITUTE(REGEXEXTRACT(A5603, ""[^-]+- [^-]+- [^-]+ - (.+?)\.jpg""), "".jpg"", """"), ""-"", "", ""), """")"),"")</f>
        <v/>
      </c>
      <c r="L5603" s="12"/>
      <c r="M5603" s="13"/>
      <c r="N5603" s="2"/>
      <c r="O5603" s="20"/>
      <c r="P5603" s="42"/>
      <c r="R5603" s="23"/>
    </row>
    <row r="5604" spans="1:18" ht="12.75">
      <c r="A5604" s="12"/>
      <c r="D5604" s="12"/>
      <c r="E5604" s="12"/>
      <c r="H5604" s="11" t="str">
        <f ca="1">IFERROR(__xludf.DUMMYFUNCTION("IFERROR(SUBSTITUTE(SUBSTITUTE(REGEXEXTRACT(A5604, ""[^-]+- [^-]+- [^-]+ - (.+?)\.jpg""), "".jpg"", """"), ""-"", "", ""), """")"),"")</f>
        <v/>
      </c>
      <c r="L5604" s="12"/>
      <c r="M5604" s="13"/>
      <c r="N5604" s="2"/>
      <c r="O5604" s="20"/>
      <c r="P5604" s="42"/>
      <c r="R5604" s="23"/>
    </row>
    <row r="5605" spans="1:18" ht="12.75">
      <c r="A5605" s="12"/>
      <c r="D5605" s="12"/>
      <c r="E5605" s="12"/>
      <c r="H5605" s="11" t="str">
        <f ca="1">IFERROR(__xludf.DUMMYFUNCTION("IFERROR(SUBSTITUTE(SUBSTITUTE(REGEXEXTRACT(A5605, ""[^-]+- [^-]+- [^-]+ - (.+?)\.jpg""), "".jpg"", """"), ""-"", "", ""), """")"),"")</f>
        <v/>
      </c>
      <c r="L5605" s="12"/>
      <c r="M5605" s="13"/>
      <c r="N5605" s="2"/>
      <c r="O5605" s="20"/>
      <c r="P5605" s="42"/>
      <c r="R5605" s="23"/>
    </row>
    <row r="5606" spans="1:18" ht="12.75">
      <c r="A5606" s="12"/>
      <c r="D5606" s="12"/>
      <c r="E5606" s="12"/>
      <c r="H5606" s="11" t="str">
        <f ca="1">IFERROR(__xludf.DUMMYFUNCTION("IFERROR(SUBSTITUTE(SUBSTITUTE(REGEXEXTRACT(A5606, ""[^-]+- [^-]+- [^-]+ - (.+?)\.jpg""), "".jpg"", """"), ""-"", "", ""), """")"),"")</f>
        <v/>
      </c>
      <c r="L5606" s="12"/>
      <c r="M5606" s="13"/>
      <c r="N5606" s="2"/>
      <c r="O5606" s="20"/>
      <c r="P5606" s="42"/>
      <c r="R5606" s="23"/>
    </row>
    <row r="5607" spans="1:18" ht="12.75">
      <c r="A5607" s="12"/>
      <c r="D5607" s="12"/>
      <c r="E5607" s="12"/>
      <c r="H5607" s="11" t="str">
        <f ca="1">IFERROR(__xludf.DUMMYFUNCTION("IFERROR(SUBSTITUTE(SUBSTITUTE(REGEXEXTRACT(A5607, ""[^-]+- [^-]+- [^-]+ - (.+?)\.jpg""), "".jpg"", """"), ""-"", "", ""), """")"),"")</f>
        <v/>
      </c>
      <c r="L5607" s="12"/>
      <c r="M5607" s="13"/>
      <c r="N5607" s="2"/>
      <c r="O5607" s="20"/>
      <c r="P5607" s="42"/>
      <c r="R5607" s="23"/>
    </row>
    <row r="5608" spans="1:18" ht="12.75">
      <c r="A5608" s="12"/>
      <c r="D5608" s="12"/>
      <c r="E5608" s="12"/>
      <c r="H5608" s="11" t="str">
        <f ca="1">IFERROR(__xludf.DUMMYFUNCTION("IFERROR(SUBSTITUTE(SUBSTITUTE(REGEXEXTRACT(A5608, ""[^-]+- [^-]+- [^-]+ - (.+?)\.jpg""), "".jpg"", """"), ""-"", "", ""), """")"),"")</f>
        <v/>
      </c>
      <c r="L5608" s="12"/>
      <c r="M5608" s="13"/>
      <c r="N5608" s="2"/>
      <c r="O5608" s="20"/>
      <c r="P5608" s="42"/>
      <c r="R5608" s="23"/>
    </row>
    <row r="5609" spans="1:18" ht="12.75">
      <c r="A5609" s="12"/>
      <c r="D5609" s="12"/>
      <c r="E5609" s="12"/>
      <c r="H5609" s="11" t="str">
        <f ca="1">IFERROR(__xludf.DUMMYFUNCTION("IFERROR(SUBSTITUTE(SUBSTITUTE(REGEXEXTRACT(A5609, ""[^-]+- [^-]+- [^-]+ - (.+?)\.jpg""), "".jpg"", """"), ""-"", "", ""), """")"),"")</f>
        <v/>
      </c>
      <c r="L5609" s="12"/>
      <c r="M5609" s="13"/>
      <c r="N5609" s="2"/>
      <c r="O5609" s="20"/>
      <c r="P5609" s="42"/>
      <c r="R5609" s="23"/>
    </row>
    <row r="5610" spans="1:18" ht="12.75">
      <c r="A5610" s="12"/>
      <c r="D5610" s="12"/>
      <c r="E5610" s="12"/>
      <c r="H5610" s="11" t="str">
        <f ca="1">IFERROR(__xludf.DUMMYFUNCTION("IFERROR(SUBSTITUTE(SUBSTITUTE(REGEXEXTRACT(A5610, ""[^-]+- [^-]+- [^-]+ - (.+?)\.jpg""), "".jpg"", """"), ""-"", "", ""), """")"),"")</f>
        <v/>
      </c>
      <c r="L5610" s="12"/>
      <c r="M5610" s="13"/>
      <c r="N5610" s="2"/>
      <c r="O5610" s="20"/>
      <c r="P5610" s="42"/>
      <c r="R5610" s="23"/>
    </row>
    <row r="5611" spans="1:18" ht="12.75">
      <c r="A5611" s="12"/>
      <c r="D5611" s="12"/>
      <c r="E5611" s="12"/>
      <c r="H5611" s="11" t="str">
        <f ca="1">IFERROR(__xludf.DUMMYFUNCTION("IFERROR(SUBSTITUTE(SUBSTITUTE(REGEXEXTRACT(A5611, ""[^-]+- [^-]+- [^-]+ - (.+?)\.jpg""), "".jpg"", """"), ""-"", "", ""), """")"),"")</f>
        <v/>
      </c>
      <c r="L5611" s="12"/>
      <c r="M5611" s="13"/>
      <c r="N5611" s="2"/>
      <c r="O5611" s="20"/>
      <c r="P5611" s="42"/>
      <c r="R5611" s="23"/>
    </row>
    <row r="5612" spans="1:18" ht="12.75">
      <c r="A5612" s="12"/>
      <c r="D5612" s="12"/>
      <c r="E5612" s="12"/>
      <c r="H5612" s="11" t="str">
        <f ca="1">IFERROR(__xludf.DUMMYFUNCTION("IFERROR(SUBSTITUTE(SUBSTITUTE(REGEXEXTRACT(A5612, ""[^-]+- [^-]+- [^-]+ - (.+?)\.jpg""), "".jpg"", """"), ""-"", "", ""), """")"),"")</f>
        <v/>
      </c>
      <c r="L5612" s="12"/>
      <c r="M5612" s="13"/>
      <c r="N5612" s="2"/>
      <c r="O5612" s="20"/>
      <c r="P5612" s="42"/>
      <c r="R5612" s="23"/>
    </row>
    <row r="5613" spans="1:18" ht="12.75">
      <c r="A5613" s="12"/>
      <c r="D5613" s="12"/>
      <c r="E5613" s="12"/>
      <c r="H5613" s="11" t="str">
        <f ca="1">IFERROR(__xludf.DUMMYFUNCTION("IFERROR(SUBSTITUTE(SUBSTITUTE(REGEXEXTRACT(A5613, ""[^-]+- [^-]+- [^-]+ - (.+?)\.jpg""), "".jpg"", """"), ""-"", "", ""), """")"),"")</f>
        <v/>
      </c>
      <c r="L5613" s="12"/>
      <c r="M5613" s="13"/>
      <c r="N5613" s="2"/>
      <c r="O5613" s="20"/>
      <c r="P5613" s="42"/>
      <c r="R5613" s="23"/>
    </row>
    <row r="5614" spans="1:18" ht="12.75">
      <c r="A5614" s="12"/>
      <c r="D5614" s="12"/>
      <c r="E5614" s="12"/>
      <c r="H5614" s="11" t="str">
        <f ca="1">IFERROR(__xludf.DUMMYFUNCTION("IFERROR(SUBSTITUTE(SUBSTITUTE(REGEXEXTRACT(A5614, ""[^-]+- [^-]+- [^-]+ - (.+?)\.jpg""), "".jpg"", """"), ""-"", "", ""), """")"),"")</f>
        <v/>
      </c>
      <c r="L5614" s="12"/>
      <c r="M5614" s="13"/>
      <c r="N5614" s="2"/>
      <c r="O5614" s="20"/>
      <c r="P5614" s="42"/>
      <c r="R5614" s="23"/>
    </row>
    <row r="5615" spans="1:18" ht="12.75">
      <c r="A5615" s="12"/>
      <c r="D5615" s="12"/>
      <c r="E5615" s="12"/>
      <c r="H5615" s="11" t="str">
        <f ca="1">IFERROR(__xludf.DUMMYFUNCTION("IFERROR(SUBSTITUTE(SUBSTITUTE(REGEXEXTRACT(A5615, ""[^-]+- [^-]+- [^-]+ - (.+?)\.jpg""), "".jpg"", """"), ""-"", "", ""), """")"),"")</f>
        <v/>
      </c>
      <c r="L5615" s="12"/>
      <c r="M5615" s="13"/>
      <c r="N5615" s="2"/>
      <c r="O5615" s="20"/>
      <c r="P5615" s="42"/>
      <c r="R5615" s="23"/>
    </row>
    <row r="5616" spans="1:18" ht="12.75">
      <c r="A5616" s="12"/>
      <c r="D5616" s="12"/>
      <c r="E5616" s="12"/>
      <c r="H5616" s="11" t="str">
        <f ca="1">IFERROR(__xludf.DUMMYFUNCTION("IFERROR(SUBSTITUTE(SUBSTITUTE(REGEXEXTRACT(A5616, ""[^-]+- [^-]+- [^-]+ - (.+?)\.jpg""), "".jpg"", """"), ""-"", "", ""), """")"),"")</f>
        <v/>
      </c>
      <c r="L5616" s="12"/>
      <c r="M5616" s="13"/>
      <c r="N5616" s="2"/>
      <c r="O5616" s="20"/>
      <c r="P5616" s="42"/>
      <c r="R5616" s="23"/>
    </row>
    <row r="5617" spans="1:18" ht="12.75">
      <c r="A5617" s="12"/>
      <c r="D5617" s="12"/>
      <c r="E5617" s="12"/>
      <c r="H5617" s="11" t="str">
        <f ca="1">IFERROR(__xludf.DUMMYFUNCTION("IFERROR(SUBSTITUTE(SUBSTITUTE(REGEXEXTRACT(A5617, ""[^-]+- [^-]+- [^-]+ - (.+?)\.jpg""), "".jpg"", """"), ""-"", "", ""), """")"),"")</f>
        <v/>
      </c>
      <c r="L5617" s="12"/>
      <c r="M5617" s="13"/>
      <c r="N5617" s="2"/>
      <c r="O5617" s="20"/>
      <c r="P5617" s="42"/>
      <c r="R5617" s="23"/>
    </row>
    <row r="5618" spans="1:18" ht="12.75">
      <c r="A5618" s="12"/>
      <c r="D5618" s="12"/>
      <c r="E5618" s="12"/>
      <c r="H5618" s="11" t="str">
        <f ca="1">IFERROR(__xludf.DUMMYFUNCTION("IFERROR(SUBSTITUTE(SUBSTITUTE(REGEXEXTRACT(A5618, ""[^-]+- [^-]+- [^-]+ - (.+?)\.jpg""), "".jpg"", """"), ""-"", "", ""), """")"),"")</f>
        <v/>
      </c>
      <c r="L5618" s="12"/>
      <c r="M5618" s="13"/>
      <c r="N5618" s="2"/>
      <c r="O5618" s="20"/>
      <c r="P5618" s="42"/>
      <c r="R5618" s="23"/>
    </row>
    <row r="5619" spans="1:18" ht="12.75">
      <c r="A5619" s="12"/>
      <c r="D5619" s="12"/>
      <c r="E5619" s="12"/>
      <c r="H5619" s="11" t="str">
        <f ca="1">IFERROR(__xludf.DUMMYFUNCTION("IFERROR(SUBSTITUTE(SUBSTITUTE(REGEXEXTRACT(A5619, ""[^-]+- [^-]+- [^-]+ - (.+?)\.jpg""), "".jpg"", """"), ""-"", "", ""), """")"),"")</f>
        <v/>
      </c>
      <c r="L5619" s="12"/>
      <c r="M5619" s="13"/>
      <c r="N5619" s="2"/>
      <c r="O5619" s="20"/>
      <c r="P5619" s="42"/>
      <c r="R5619" s="23"/>
    </row>
    <row r="5620" spans="1:18" ht="12.75">
      <c r="A5620" s="12"/>
      <c r="D5620" s="12"/>
      <c r="E5620" s="12"/>
      <c r="H5620" s="11" t="str">
        <f ca="1">IFERROR(__xludf.DUMMYFUNCTION("IFERROR(SUBSTITUTE(SUBSTITUTE(REGEXEXTRACT(A5620, ""[^-]+- [^-]+- [^-]+ - (.+?)\.jpg""), "".jpg"", """"), ""-"", "", ""), """")"),"")</f>
        <v/>
      </c>
      <c r="L5620" s="12"/>
      <c r="M5620" s="13"/>
      <c r="N5620" s="2"/>
      <c r="O5620" s="20"/>
      <c r="P5620" s="42"/>
      <c r="R5620" s="23"/>
    </row>
    <row r="5621" spans="1:18" ht="12.75">
      <c r="A5621" s="12"/>
      <c r="D5621" s="12"/>
      <c r="E5621" s="12"/>
      <c r="H5621" s="11" t="str">
        <f ca="1">IFERROR(__xludf.DUMMYFUNCTION("IFERROR(SUBSTITUTE(SUBSTITUTE(REGEXEXTRACT(A5621, ""[^-]+- [^-]+- [^-]+ - (.+?)\.jpg""), "".jpg"", """"), ""-"", "", ""), """")"),"")</f>
        <v/>
      </c>
      <c r="L5621" s="12"/>
      <c r="M5621" s="13"/>
      <c r="N5621" s="2"/>
      <c r="O5621" s="20"/>
      <c r="P5621" s="42"/>
      <c r="R5621" s="23"/>
    </row>
    <row r="5622" spans="1:18" ht="12.75">
      <c r="A5622" s="12"/>
      <c r="D5622" s="12"/>
      <c r="E5622" s="12"/>
      <c r="H5622" s="11" t="str">
        <f ca="1">IFERROR(__xludf.DUMMYFUNCTION("IFERROR(SUBSTITUTE(SUBSTITUTE(REGEXEXTRACT(A5622, ""[^-]+- [^-]+- [^-]+ - (.+?)\.jpg""), "".jpg"", """"), ""-"", "", ""), """")"),"")</f>
        <v/>
      </c>
      <c r="L5622" s="12"/>
      <c r="M5622" s="13"/>
      <c r="N5622" s="2"/>
      <c r="O5622" s="20"/>
      <c r="P5622" s="42"/>
      <c r="R5622" s="23"/>
    </row>
    <row r="5623" spans="1:18" ht="12.75">
      <c r="A5623" s="12"/>
      <c r="D5623" s="12"/>
      <c r="E5623" s="12"/>
      <c r="H5623" s="11" t="str">
        <f ca="1">IFERROR(__xludf.DUMMYFUNCTION("IFERROR(SUBSTITUTE(SUBSTITUTE(REGEXEXTRACT(A5623, ""[^-]+- [^-]+- [^-]+ - (.+?)\.jpg""), "".jpg"", """"), ""-"", "", ""), """")"),"")</f>
        <v/>
      </c>
      <c r="L5623" s="12"/>
      <c r="M5623" s="13"/>
      <c r="N5623" s="2"/>
      <c r="O5623" s="20"/>
      <c r="P5623" s="42"/>
      <c r="R5623" s="23"/>
    </row>
    <row r="5624" spans="1:18" ht="12.75">
      <c r="A5624" s="12"/>
      <c r="D5624" s="12"/>
      <c r="E5624" s="12"/>
      <c r="H5624" s="11" t="str">
        <f ca="1">IFERROR(__xludf.DUMMYFUNCTION("IFERROR(SUBSTITUTE(SUBSTITUTE(REGEXEXTRACT(A5624, ""[^-]+- [^-]+- [^-]+ - (.+?)\.jpg""), "".jpg"", """"), ""-"", "", ""), """")"),"")</f>
        <v/>
      </c>
      <c r="L5624" s="12"/>
      <c r="M5624" s="13"/>
      <c r="N5624" s="2"/>
      <c r="O5624" s="20"/>
      <c r="P5624" s="42"/>
      <c r="R5624" s="23"/>
    </row>
    <row r="5625" spans="1:18" ht="12.75">
      <c r="A5625" s="12"/>
      <c r="D5625" s="12"/>
      <c r="E5625" s="12"/>
      <c r="H5625" s="11" t="str">
        <f ca="1">IFERROR(__xludf.DUMMYFUNCTION("IFERROR(SUBSTITUTE(SUBSTITUTE(REGEXEXTRACT(A5625, ""[^-]+- [^-]+- [^-]+ - (.+?)\.jpg""), "".jpg"", """"), ""-"", "", ""), """")"),"")</f>
        <v/>
      </c>
      <c r="L5625" s="12"/>
      <c r="M5625" s="13"/>
      <c r="N5625" s="2"/>
      <c r="O5625" s="20"/>
      <c r="P5625" s="42"/>
      <c r="R5625" s="23"/>
    </row>
    <row r="5626" spans="1:18" ht="12.75">
      <c r="A5626" s="12"/>
      <c r="D5626" s="12"/>
      <c r="E5626" s="12"/>
      <c r="H5626" s="11" t="str">
        <f ca="1">IFERROR(__xludf.DUMMYFUNCTION("IFERROR(SUBSTITUTE(SUBSTITUTE(REGEXEXTRACT(A5626, ""[^-]+- [^-]+- [^-]+ - (.+?)\.jpg""), "".jpg"", """"), ""-"", "", ""), """")"),"")</f>
        <v/>
      </c>
      <c r="L5626" s="12"/>
      <c r="M5626" s="13"/>
      <c r="N5626" s="2"/>
      <c r="O5626" s="20"/>
      <c r="P5626" s="42"/>
      <c r="R5626" s="23"/>
    </row>
    <row r="5627" spans="1:18" ht="12.75">
      <c r="A5627" s="12"/>
      <c r="D5627" s="12"/>
      <c r="E5627" s="12"/>
      <c r="H5627" s="11" t="str">
        <f ca="1">IFERROR(__xludf.DUMMYFUNCTION("IFERROR(SUBSTITUTE(SUBSTITUTE(REGEXEXTRACT(A5627, ""[^-]+- [^-]+- [^-]+ - (.+?)\.jpg""), "".jpg"", """"), ""-"", "", ""), """")"),"")</f>
        <v/>
      </c>
      <c r="L5627" s="12"/>
      <c r="M5627" s="13"/>
      <c r="N5627" s="2"/>
      <c r="O5627" s="20"/>
      <c r="P5627" s="42"/>
      <c r="R5627" s="23"/>
    </row>
    <row r="5628" spans="1:18" ht="12.75">
      <c r="A5628" s="12"/>
      <c r="D5628" s="12"/>
      <c r="E5628" s="12"/>
      <c r="H5628" s="11" t="str">
        <f ca="1">IFERROR(__xludf.DUMMYFUNCTION("IFERROR(SUBSTITUTE(SUBSTITUTE(REGEXEXTRACT(A5628, ""[^-]+- [^-]+- [^-]+ - (.+?)\.jpg""), "".jpg"", """"), ""-"", "", ""), """")"),"")</f>
        <v/>
      </c>
      <c r="L5628" s="12"/>
      <c r="M5628" s="13"/>
      <c r="N5628" s="2"/>
      <c r="O5628" s="20"/>
      <c r="P5628" s="42"/>
      <c r="R5628" s="23"/>
    </row>
    <row r="5629" spans="1:18" ht="12.75">
      <c r="A5629" s="12"/>
      <c r="D5629" s="12"/>
      <c r="E5629" s="12"/>
      <c r="H5629" s="11" t="str">
        <f ca="1">IFERROR(__xludf.DUMMYFUNCTION("IFERROR(SUBSTITUTE(SUBSTITUTE(REGEXEXTRACT(A5629, ""[^-]+- [^-]+- [^-]+ - (.+?)\.jpg""), "".jpg"", """"), ""-"", "", ""), """")"),"")</f>
        <v/>
      </c>
      <c r="L5629" s="12"/>
      <c r="M5629" s="13"/>
      <c r="N5629" s="2"/>
      <c r="O5629" s="20"/>
      <c r="P5629" s="42"/>
      <c r="R5629" s="23"/>
    </row>
    <row r="5630" spans="1:18" ht="12.75">
      <c r="A5630" s="12"/>
      <c r="D5630" s="12"/>
      <c r="E5630" s="12"/>
      <c r="H5630" s="11" t="str">
        <f ca="1">IFERROR(__xludf.DUMMYFUNCTION("IFERROR(SUBSTITUTE(SUBSTITUTE(REGEXEXTRACT(A5630, ""[^-]+- [^-]+- [^-]+ - (.+?)\.jpg""), "".jpg"", """"), ""-"", "", ""), """")"),"")</f>
        <v/>
      </c>
      <c r="L5630" s="12"/>
      <c r="M5630" s="13"/>
      <c r="N5630" s="2"/>
      <c r="O5630" s="20"/>
      <c r="P5630" s="42"/>
      <c r="R5630" s="23"/>
    </row>
    <row r="5631" spans="1:18" ht="12.75">
      <c r="A5631" s="12"/>
      <c r="D5631" s="12"/>
      <c r="E5631" s="12"/>
      <c r="H5631" s="11" t="str">
        <f ca="1">IFERROR(__xludf.DUMMYFUNCTION("IFERROR(SUBSTITUTE(SUBSTITUTE(REGEXEXTRACT(A5631, ""[^-]+- [^-]+- [^-]+ - (.+?)\.jpg""), "".jpg"", """"), ""-"", "", ""), """")"),"")</f>
        <v/>
      </c>
      <c r="L5631" s="12"/>
      <c r="M5631" s="13"/>
      <c r="N5631" s="2"/>
      <c r="O5631" s="20"/>
      <c r="P5631" s="42"/>
      <c r="R5631" s="23"/>
    </row>
    <row r="5632" spans="1:18" ht="12.75">
      <c r="A5632" s="12"/>
      <c r="D5632" s="12"/>
      <c r="E5632" s="12"/>
      <c r="H5632" s="11" t="str">
        <f ca="1">IFERROR(__xludf.DUMMYFUNCTION("IFERROR(SUBSTITUTE(SUBSTITUTE(REGEXEXTRACT(A5632, ""[^-]+- [^-]+- [^-]+ - (.+?)\.jpg""), "".jpg"", """"), ""-"", "", ""), """")"),"")</f>
        <v/>
      </c>
      <c r="L5632" s="12"/>
      <c r="M5632" s="13"/>
      <c r="N5632" s="2"/>
      <c r="O5632" s="20"/>
      <c r="P5632" s="42"/>
      <c r="R5632" s="23"/>
    </row>
    <row r="5633" spans="1:18" ht="12.75">
      <c r="A5633" s="12"/>
      <c r="D5633" s="12"/>
      <c r="E5633" s="12"/>
      <c r="H5633" s="11" t="str">
        <f ca="1">IFERROR(__xludf.DUMMYFUNCTION("IFERROR(SUBSTITUTE(SUBSTITUTE(REGEXEXTRACT(A5633, ""[^-]+- [^-]+- [^-]+ - (.+?)\.jpg""), "".jpg"", """"), ""-"", "", ""), """")"),"")</f>
        <v/>
      </c>
      <c r="L5633" s="12"/>
      <c r="M5633" s="13"/>
      <c r="N5633" s="2"/>
      <c r="O5633" s="20"/>
      <c r="P5633" s="42"/>
      <c r="R5633" s="23"/>
    </row>
    <row r="5634" spans="1:18" ht="12.75">
      <c r="A5634" s="12"/>
      <c r="D5634" s="12"/>
      <c r="E5634" s="12"/>
      <c r="H5634" s="11" t="str">
        <f ca="1">IFERROR(__xludf.DUMMYFUNCTION("IFERROR(SUBSTITUTE(SUBSTITUTE(REGEXEXTRACT(A5634, ""[^-]+- [^-]+- [^-]+ - (.+?)\.jpg""), "".jpg"", """"), ""-"", "", ""), """")"),"")</f>
        <v/>
      </c>
      <c r="L5634" s="12"/>
      <c r="M5634" s="13"/>
      <c r="N5634" s="2"/>
      <c r="O5634" s="20"/>
      <c r="P5634" s="42"/>
      <c r="R5634" s="23"/>
    </row>
    <row r="5635" spans="1:18" ht="12.75">
      <c r="A5635" s="12"/>
      <c r="D5635" s="12"/>
      <c r="E5635" s="12"/>
      <c r="H5635" s="11" t="str">
        <f ca="1">IFERROR(__xludf.DUMMYFUNCTION("IFERROR(SUBSTITUTE(SUBSTITUTE(REGEXEXTRACT(A5635, ""[^-]+- [^-]+- [^-]+ - (.+?)\.jpg""), "".jpg"", """"), ""-"", "", ""), """")"),"")</f>
        <v/>
      </c>
      <c r="L5635" s="12"/>
      <c r="M5635" s="13"/>
      <c r="N5635" s="2"/>
      <c r="O5635" s="20"/>
      <c r="P5635" s="42"/>
      <c r="R5635" s="23"/>
    </row>
    <row r="5636" spans="1:18" ht="12.75">
      <c r="A5636" s="12"/>
      <c r="D5636" s="12"/>
      <c r="E5636" s="12"/>
      <c r="H5636" s="11" t="str">
        <f ca="1">IFERROR(__xludf.DUMMYFUNCTION("IFERROR(SUBSTITUTE(SUBSTITUTE(REGEXEXTRACT(A5636, ""[^-]+- [^-]+- [^-]+ - (.+?)\.jpg""), "".jpg"", """"), ""-"", "", ""), """")"),"")</f>
        <v/>
      </c>
      <c r="L5636" s="12"/>
      <c r="M5636" s="13"/>
      <c r="N5636" s="2"/>
      <c r="O5636" s="20"/>
      <c r="P5636" s="42"/>
      <c r="R5636" s="23"/>
    </row>
    <row r="5637" spans="1:18" ht="12.75">
      <c r="A5637" s="12"/>
      <c r="D5637" s="12"/>
      <c r="E5637" s="12"/>
      <c r="H5637" s="11" t="str">
        <f ca="1">IFERROR(__xludf.DUMMYFUNCTION("IFERROR(SUBSTITUTE(SUBSTITUTE(REGEXEXTRACT(A5637, ""[^-]+- [^-]+- [^-]+ - (.+?)\.jpg""), "".jpg"", """"), ""-"", "", ""), """")"),"")</f>
        <v/>
      </c>
      <c r="L5637" s="12"/>
      <c r="M5637" s="13"/>
      <c r="N5637" s="2"/>
      <c r="O5637" s="20"/>
      <c r="P5637" s="42"/>
      <c r="R5637" s="23"/>
    </row>
    <row r="5638" spans="1:18" ht="12.75">
      <c r="A5638" s="12"/>
      <c r="D5638" s="12"/>
      <c r="E5638" s="12"/>
      <c r="H5638" s="11" t="str">
        <f ca="1">IFERROR(__xludf.DUMMYFUNCTION("IFERROR(SUBSTITUTE(SUBSTITUTE(REGEXEXTRACT(A5638, ""[^-]+- [^-]+- [^-]+ - (.+?)\.jpg""), "".jpg"", """"), ""-"", "", ""), """")"),"")</f>
        <v/>
      </c>
      <c r="L5638" s="12"/>
      <c r="M5638" s="13"/>
      <c r="N5638" s="2"/>
      <c r="O5638" s="20"/>
      <c r="P5638" s="42"/>
      <c r="R5638" s="23"/>
    </row>
    <row r="5639" spans="1:18" ht="12.75">
      <c r="A5639" s="12"/>
      <c r="D5639" s="12"/>
      <c r="E5639" s="12"/>
      <c r="H5639" s="11" t="str">
        <f ca="1">IFERROR(__xludf.DUMMYFUNCTION("IFERROR(SUBSTITUTE(SUBSTITUTE(REGEXEXTRACT(A5639, ""[^-]+- [^-]+- [^-]+ - (.+?)\.jpg""), "".jpg"", """"), ""-"", "", ""), """")"),"")</f>
        <v/>
      </c>
      <c r="L5639" s="12"/>
      <c r="M5639" s="13"/>
      <c r="N5639" s="2"/>
      <c r="O5639" s="20"/>
      <c r="P5639" s="42"/>
      <c r="R5639" s="23"/>
    </row>
    <row r="5640" spans="1:18" ht="12.75">
      <c r="A5640" s="12"/>
      <c r="D5640" s="12"/>
      <c r="E5640" s="12"/>
      <c r="H5640" s="11" t="str">
        <f ca="1">IFERROR(__xludf.DUMMYFUNCTION("IFERROR(SUBSTITUTE(SUBSTITUTE(REGEXEXTRACT(A5640, ""[^-]+- [^-]+- [^-]+ - (.+?)\.jpg""), "".jpg"", """"), ""-"", "", ""), """")"),"")</f>
        <v/>
      </c>
      <c r="L5640" s="12"/>
      <c r="M5640" s="13"/>
      <c r="N5640" s="2"/>
      <c r="O5640" s="20"/>
      <c r="P5640" s="42"/>
      <c r="R5640" s="23"/>
    </row>
    <row r="5641" spans="1:18" ht="12.75">
      <c r="A5641" s="12"/>
      <c r="D5641" s="12"/>
      <c r="E5641" s="12"/>
      <c r="H5641" s="11" t="str">
        <f ca="1">IFERROR(__xludf.DUMMYFUNCTION("IFERROR(SUBSTITUTE(SUBSTITUTE(REGEXEXTRACT(A5641, ""[^-]+- [^-]+- [^-]+ - (.+?)\.jpg""), "".jpg"", """"), ""-"", "", ""), """")"),"")</f>
        <v/>
      </c>
      <c r="L5641" s="12"/>
      <c r="M5641" s="13"/>
      <c r="N5641" s="2"/>
      <c r="O5641" s="20"/>
      <c r="P5641" s="42"/>
      <c r="R5641" s="23"/>
    </row>
    <row r="5642" spans="1:18" ht="12.75">
      <c r="A5642" s="12"/>
      <c r="D5642" s="12"/>
      <c r="E5642" s="12"/>
      <c r="H5642" s="11" t="str">
        <f ca="1">IFERROR(__xludf.DUMMYFUNCTION("IFERROR(SUBSTITUTE(SUBSTITUTE(REGEXEXTRACT(A5642, ""[^-]+- [^-]+- [^-]+ - (.+?)\.jpg""), "".jpg"", """"), ""-"", "", ""), """")"),"")</f>
        <v/>
      </c>
      <c r="L5642" s="12"/>
      <c r="M5642" s="13"/>
      <c r="N5642" s="2"/>
      <c r="O5642" s="20"/>
      <c r="P5642" s="42"/>
      <c r="R5642" s="23"/>
    </row>
    <row r="5643" spans="1:18" ht="12.75">
      <c r="A5643" s="12"/>
      <c r="D5643" s="12"/>
      <c r="E5643" s="12"/>
      <c r="H5643" s="11" t="str">
        <f ca="1">IFERROR(__xludf.DUMMYFUNCTION("IFERROR(SUBSTITUTE(SUBSTITUTE(REGEXEXTRACT(A5643, ""[^-]+- [^-]+- [^-]+ - (.+?)\.jpg""), "".jpg"", """"), ""-"", "", ""), """")"),"")</f>
        <v/>
      </c>
      <c r="L5643" s="12"/>
      <c r="M5643" s="13"/>
      <c r="N5643" s="2"/>
      <c r="O5643" s="20"/>
      <c r="P5643" s="42"/>
      <c r="R5643" s="23"/>
    </row>
    <row r="5644" spans="1:18" ht="12.75">
      <c r="A5644" s="12"/>
      <c r="D5644" s="12"/>
      <c r="E5644" s="12"/>
      <c r="H5644" s="11" t="str">
        <f ca="1">IFERROR(__xludf.DUMMYFUNCTION("IFERROR(SUBSTITUTE(SUBSTITUTE(REGEXEXTRACT(A5644, ""[^-]+- [^-]+- [^-]+ - (.+?)\.jpg""), "".jpg"", """"), ""-"", "", ""), """")"),"")</f>
        <v/>
      </c>
      <c r="L5644" s="12"/>
      <c r="M5644" s="13"/>
      <c r="N5644" s="2"/>
      <c r="O5644" s="20"/>
      <c r="P5644" s="42"/>
      <c r="R5644" s="23"/>
    </row>
    <row r="5645" spans="1:18" ht="12.75">
      <c r="A5645" s="12"/>
      <c r="D5645" s="12"/>
      <c r="E5645" s="12"/>
      <c r="H5645" s="11" t="str">
        <f ca="1">IFERROR(__xludf.DUMMYFUNCTION("IFERROR(SUBSTITUTE(SUBSTITUTE(REGEXEXTRACT(A5645, ""[^-]+- [^-]+- [^-]+ - (.+?)\.jpg""), "".jpg"", """"), ""-"", "", ""), """")"),"")</f>
        <v/>
      </c>
      <c r="L5645" s="12"/>
      <c r="M5645" s="13"/>
      <c r="N5645" s="2"/>
      <c r="O5645" s="20"/>
      <c r="P5645" s="42"/>
      <c r="R5645" s="23"/>
    </row>
    <row r="5646" spans="1:18" ht="12.75">
      <c r="A5646" s="12"/>
      <c r="D5646" s="12"/>
      <c r="E5646" s="12"/>
      <c r="H5646" s="11" t="str">
        <f ca="1">IFERROR(__xludf.DUMMYFUNCTION("IFERROR(SUBSTITUTE(SUBSTITUTE(REGEXEXTRACT(A5646, ""[^-]+- [^-]+- [^-]+ - (.+?)\.jpg""), "".jpg"", """"), ""-"", "", ""), """")"),"")</f>
        <v/>
      </c>
      <c r="L5646" s="12"/>
      <c r="M5646" s="13"/>
      <c r="N5646" s="2"/>
      <c r="O5646" s="20"/>
      <c r="P5646" s="42"/>
      <c r="R5646" s="23"/>
    </row>
    <row r="5647" spans="1:18" ht="12.75">
      <c r="A5647" s="12"/>
      <c r="D5647" s="12"/>
      <c r="E5647" s="12"/>
      <c r="H5647" s="11" t="str">
        <f ca="1">IFERROR(__xludf.DUMMYFUNCTION("IFERROR(SUBSTITUTE(SUBSTITUTE(REGEXEXTRACT(A5647, ""[^-]+- [^-]+- [^-]+ - (.+?)\.jpg""), "".jpg"", """"), ""-"", "", ""), """")"),"")</f>
        <v/>
      </c>
      <c r="L5647" s="12"/>
      <c r="M5647" s="13"/>
      <c r="N5647" s="2"/>
      <c r="O5647" s="20"/>
      <c r="P5647" s="42"/>
      <c r="R5647" s="23"/>
    </row>
    <row r="5648" spans="1:18" ht="12.75">
      <c r="A5648" s="12"/>
      <c r="D5648" s="12"/>
      <c r="E5648" s="12"/>
      <c r="H5648" s="11" t="str">
        <f ca="1">IFERROR(__xludf.DUMMYFUNCTION("IFERROR(SUBSTITUTE(SUBSTITUTE(REGEXEXTRACT(A5648, ""[^-]+- [^-]+- [^-]+ - (.+?)\.jpg""), "".jpg"", """"), ""-"", "", ""), """")"),"")</f>
        <v/>
      </c>
      <c r="L5648" s="12"/>
      <c r="M5648" s="13"/>
      <c r="N5648" s="2"/>
      <c r="O5648" s="20"/>
      <c r="P5648" s="42"/>
      <c r="R5648" s="23"/>
    </row>
    <row r="5649" spans="1:18" ht="12.75">
      <c r="A5649" s="12"/>
      <c r="D5649" s="12"/>
      <c r="E5649" s="12"/>
      <c r="H5649" s="11" t="str">
        <f ca="1">IFERROR(__xludf.DUMMYFUNCTION("IFERROR(SUBSTITUTE(SUBSTITUTE(REGEXEXTRACT(A5649, ""[^-]+- [^-]+- [^-]+ - (.+?)\.jpg""), "".jpg"", """"), ""-"", "", ""), """")"),"")</f>
        <v/>
      </c>
      <c r="L5649" s="12"/>
      <c r="M5649" s="13"/>
      <c r="N5649" s="2"/>
      <c r="O5649" s="20"/>
      <c r="P5649" s="42"/>
      <c r="R5649" s="23"/>
    </row>
    <row r="5650" spans="1:18" ht="12.75">
      <c r="A5650" s="12"/>
      <c r="D5650" s="12"/>
      <c r="E5650" s="12"/>
      <c r="H5650" s="11" t="str">
        <f ca="1">IFERROR(__xludf.DUMMYFUNCTION("IFERROR(SUBSTITUTE(SUBSTITUTE(REGEXEXTRACT(A5650, ""[^-]+- [^-]+- [^-]+ - (.+?)\.jpg""), "".jpg"", """"), ""-"", "", ""), """")"),"")</f>
        <v/>
      </c>
      <c r="L5650" s="12"/>
      <c r="M5650" s="13"/>
      <c r="N5650" s="2"/>
      <c r="O5650" s="20"/>
      <c r="P5650" s="42"/>
      <c r="R5650" s="23"/>
    </row>
    <row r="5651" spans="1:18" ht="12.75">
      <c r="A5651" s="12"/>
      <c r="D5651" s="12"/>
      <c r="E5651" s="12"/>
      <c r="H5651" s="11" t="str">
        <f ca="1">IFERROR(__xludf.DUMMYFUNCTION("IFERROR(SUBSTITUTE(SUBSTITUTE(REGEXEXTRACT(A5651, ""[^-]+- [^-]+- [^-]+ - (.+?)\.jpg""), "".jpg"", """"), ""-"", "", ""), """")"),"")</f>
        <v/>
      </c>
      <c r="L5651" s="12"/>
      <c r="M5651" s="13"/>
      <c r="N5651" s="2"/>
      <c r="O5651" s="20"/>
      <c r="P5651" s="42"/>
      <c r="R5651" s="23"/>
    </row>
    <row r="5652" spans="1:18" ht="12.75">
      <c r="A5652" s="12"/>
      <c r="D5652" s="12"/>
      <c r="E5652" s="12"/>
      <c r="H5652" s="11" t="str">
        <f ca="1">IFERROR(__xludf.DUMMYFUNCTION("IFERROR(SUBSTITUTE(SUBSTITUTE(REGEXEXTRACT(A5652, ""[^-]+- [^-]+- [^-]+ - (.+?)\.jpg""), "".jpg"", """"), ""-"", "", ""), """")"),"")</f>
        <v/>
      </c>
      <c r="L5652" s="12"/>
      <c r="M5652" s="13"/>
      <c r="N5652" s="2"/>
      <c r="O5652" s="20"/>
      <c r="P5652" s="42"/>
      <c r="R5652" s="23"/>
    </row>
    <row r="5653" spans="1:18" ht="12.75">
      <c r="A5653" s="12"/>
      <c r="D5653" s="12"/>
      <c r="E5653" s="12"/>
      <c r="H5653" s="11" t="str">
        <f ca="1">IFERROR(__xludf.DUMMYFUNCTION("IFERROR(SUBSTITUTE(SUBSTITUTE(REGEXEXTRACT(A5653, ""[^-]+- [^-]+- [^-]+ - (.+?)\.jpg""), "".jpg"", """"), ""-"", "", ""), """")"),"")</f>
        <v/>
      </c>
      <c r="L5653" s="12"/>
      <c r="M5653" s="13"/>
      <c r="N5653" s="2"/>
      <c r="O5653" s="20"/>
      <c r="P5653" s="42"/>
      <c r="R5653" s="23"/>
    </row>
    <row r="5654" spans="1:18" ht="12.75">
      <c r="A5654" s="12"/>
      <c r="D5654" s="12"/>
      <c r="E5654" s="12"/>
      <c r="H5654" s="11" t="str">
        <f ca="1">IFERROR(__xludf.DUMMYFUNCTION("IFERROR(SUBSTITUTE(SUBSTITUTE(REGEXEXTRACT(A5654, ""[^-]+- [^-]+- [^-]+ - (.+?)\.jpg""), "".jpg"", """"), ""-"", "", ""), """")"),"")</f>
        <v/>
      </c>
      <c r="L5654" s="12"/>
      <c r="M5654" s="13"/>
      <c r="N5654" s="2"/>
      <c r="O5654" s="20"/>
      <c r="P5654" s="42"/>
      <c r="R5654" s="23"/>
    </row>
    <row r="5655" spans="1:18" ht="12.75">
      <c r="A5655" s="12"/>
      <c r="D5655" s="12"/>
      <c r="E5655" s="12"/>
      <c r="H5655" s="11" t="str">
        <f ca="1">IFERROR(__xludf.DUMMYFUNCTION("IFERROR(SUBSTITUTE(SUBSTITUTE(REGEXEXTRACT(A5655, ""[^-]+- [^-]+- [^-]+ - (.+?)\.jpg""), "".jpg"", """"), ""-"", "", ""), """")"),"")</f>
        <v/>
      </c>
      <c r="L5655" s="12"/>
      <c r="M5655" s="13"/>
      <c r="N5655" s="2"/>
      <c r="O5655" s="20"/>
      <c r="P5655" s="42"/>
      <c r="R5655" s="23"/>
    </row>
    <row r="5656" spans="1:18" ht="12.75">
      <c r="A5656" s="12"/>
      <c r="D5656" s="12"/>
      <c r="E5656" s="12"/>
      <c r="H5656" s="11" t="str">
        <f ca="1">IFERROR(__xludf.DUMMYFUNCTION("IFERROR(SUBSTITUTE(SUBSTITUTE(REGEXEXTRACT(A5656, ""[^-]+- [^-]+- [^-]+ - (.+?)\.jpg""), "".jpg"", """"), ""-"", "", ""), """")"),"")</f>
        <v/>
      </c>
      <c r="L5656" s="12"/>
      <c r="M5656" s="13"/>
      <c r="N5656" s="2"/>
      <c r="O5656" s="20"/>
      <c r="P5656" s="42"/>
      <c r="R5656" s="23"/>
    </row>
    <row r="5657" spans="1:18" ht="12.75">
      <c r="A5657" s="12"/>
      <c r="D5657" s="12"/>
      <c r="E5657" s="12"/>
      <c r="H5657" s="11" t="str">
        <f ca="1">IFERROR(__xludf.DUMMYFUNCTION("IFERROR(SUBSTITUTE(SUBSTITUTE(REGEXEXTRACT(A5657, ""[^-]+- [^-]+- [^-]+ - (.+?)\.jpg""), "".jpg"", """"), ""-"", "", ""), """")"),"")</f>
        <v/>
      </c>
      <c r="L5657" s="12"/>
      <c r="M5657" s="13"/>
      <c r="N5657" s="2"/>
      <c r="O5657" s="20"/>
      <c r="P5657" s="42"/>
      <c r="R5657" s="23"/>
    </row>
    <row r="5658" spans="1:18" ht="12.75">
      <c r="A5658" s="12"/>
      <c r="D5658" s="12"/>
      <c r="E5658" s="12"/>
      <c r="H5658" s="11" t="str">
        <f ca="1">IFERROR(__xludf.DUMMYFUNCTION("IFERROR(SUBSTITUTE(SUBSTITUTE(REGEXEXTRACT(A5658, ""[^-]+- [^-]+- [^-]+ - (.+?)\.jpg""), "".jpg"", """"), ""-"", "", ""), """")"),"")</f>
        <v/>
      </c>
      <c r="L5658" s="12"/>
      <c r="M5658" s="13"/>
      <c r="N5658" s="2"/>
      <c r="O5658" s="20"/>
      <c r="P5658" s="42"/>
      <c r="R5658" s="23"/>
    </row>
    <row r="5659" spans="1:18" ht="12.75">
      <c r="A5659" s="12"/>
      <c r="D5659" s="12"/>
      <c r="E5659" s="12"/>
      <c r="H5659" s="11" t="str">
        <f ca="1">IFERROR(__xludf.DUMMYFUNCTION("IFERROR(SUBSTITUTE(SUBSTITUTE(REGEXEXTRACT(A5659, ""[^-]+- [^-]+- [^-]+ - (.+?)\.jpg""), "".jpg"", """"), ""-"", "", ""), """")"),"")</f>
        <v/>
      </c>
      <c r="L5659" s="12"/>
      <c r="M5659" s="13"/>
      <c r="N5659" s="2"/>
      <c r="O5659" s="20"/>
      <c r="P5659" s="42"/>
      <c r="R5659" s="23"/>
    </row>
    <row r="5660" spans="1:18" ht="12.75">
      <c r="A5660" s="12"/>
      <c r="D5660" s="12"/>
      <c r="E5660" s="12"/>
      <c r="H5660" s="11" t="str">
        <f ca="1">IFERROR(__xludf.DUMMYFUNCTION("IFERROR(SUBSTITUTE(SUBSTITUTE(REGEXEXTRACT(A5660, ""[^-]+- [^-]+- [^-]+ - (.+?)\.jpg""), "".jpg"", """"), ""-"", "", ""), """")"),"")</f>
        <v/>
      </c>
      <c r="L5660" s="12"/>
      <c r="M5660" s="13"/>
      <c r="N5660" s="2"/>
      <c r="O5660" s="20"/>
      <c r="P5660" s="42"/>
      <c r="R5660" s="23"/>
    </row>
    <row r="5661" spans="1:18" ht="12.75">
      <c r="A5661" s="12"/>
      <c r="D5661" s="12"/>
      <c r="E5661" s="12"/>
      <c r="H5661" s="11" t="str">
        <f ca="1">IFERROR(__xludf.DUMMYFUNCTION("IFERROR(SUBSTITUTE(SUBSTITUTE(REGEXEXTRACT(A5661, ""[^-]+- [^-]+- [^-]+ - (.+?)\.jpg""), "".jpg"", """"), ""-"", "", ""), """")"),"")</f>
        <v/>
      </c>
      <c r="L5661" s="12"/>
      <c r="M5661" s="13"/>
      <c r="N5661" s="2"/>
      <c r="O5661" s="20"/>
      <c r="P5661" s="42"/>
      <c r="R5661" s="23"/>
    </row>
    <row r="5662" spans="1:18" ht="12.75">
      <c r="A5662" s="12"/>
      <c r="D5662" s="12"/>
      <c r="E5662" s="12"/>
      <c r="H5662" s="11" t="str">
        <f ca="1">IFERROR(__xludf.DUMMYFUNCTION("IFERROR(SUBSTITUTE(SUBSTITUTE(REGEXEXTRACT(A5662, ""[^-]+- [^-]+- [^-]+ - (.+?)\.jpg""), "".jpg"", """"), ""-"", "", ""), """")"),"")</f>
        <v/>
      </c>
      <c r="L5662" s="12"/>
      <c r="M5662" s="13"/>
      <c r="N5662" s="2"/>
      <c r="O5662" s="20"/>
      <c r="P5662" s="42"/>
      <c r="R5662" s="23"/>
    </row>
    <row r="5663" spans="1:18" ht="12.75">
      <c r="A5663" s="12"/>
      <c r="D5663" s="12"/>
      <c r="E5663" s="12"/>
      <c r="H5663" s="11" t="str">
        <f ca="1">IFERROR(__xludf.DUMMYFUNCTION("IFERROR(SUBSTITUTE(SUBSTITUTE(REGEXEXTRACT(A5663, ""[^-]+- [^-]+- [^-]+ - (.+?)\.jpg""), "".jpg"", """"), ""-"", "", ""), """")"),"")</f>
        <v/>
      </c>
      <c r="L5663" s="12"/>
      <c r="M5663" s="13"/>
      <c r="N5663" s="2"/>
      <c r="O5663" s="20"/>
      <c r="P5663" s="42"/>
      <c r="R5663" s="23"/>
    </row>
    <row r="5664" spans="1:18" ht="12.75">
      <c r="A5664" s="12"/>
      <c r="D5664" s="12"/>
      <c r="E5664" s="12"/>
      <c r="H5664" s="11" t="str">
        <f ca="1">IFERROR(__xludf.DUMMYFUNCTION("IFERROR(SUBSTITUTE(SUBSTITUTE(REGEXEXTRACT(A5664, ""[^-]+- [^-]+- [^-]+ - (.+?)\.jpg""), "".jpg"", """"), ""-"", "", ""), """")"),"")</f>
        <v/>
      </c>
      <c r="L5664" s="12"/>
      <c r="M5664" s="13"/>
      <c r="N5664" s="2"/>
      <c r="O5664" s="20"/>
      <c r="P5664" s="42"/>
      <c r="R5664" s="23"/>
    </row>
    <row r="5665" spans="1:18" ht="12.75">
      <c r="A5665" s="12"/>
      <c r="D5665" s="12"/>
      <c r="E5665" s="12"/>
      <c r="H5665" s="11" t="str">
        <f ca="1">IFERROR(__xludf.DUMMYFUNCTION("IFERROR(SUBSTITUTE(SUBSTITUTE(REGEXEXTRACT(A5665, ""[^-]+- [^-]+- [^-]+ - (.+?)\.jpg""), "".jpg"", """"), ""-"", "", ""), """")"),"")</f>
        <v/>
      </c>
      <c r="L5665" s="12"/>
      <c r="M5665" s="13"/>
      <c r="N5665" s="2"/>
      <c r="O5665" s="20"/>
      <c r="P5665" s="42"/>
      <c r="R5665" s="23"/>
    </row>
    <row r="5666" spans="1:18" ht="12.75">
      <c r="A5666" s="12"/>
      <c r="D5666" s="12"/>
      <c r="E5666" s="12"/>
      <c r="H5666" s="11" t="str">
        <f ca="1">IFERROR(__xludf.DUMMYFUNCTION("IFERROR(SUBSTITUTE(SUBSTITUTE(REGEXEXTRACT(A5666, ""[^-]+- [^-]+- [^-]+ - (.+?)\.jpg""), "".jpg"", """"), ""-"", "", ""), """")"),"")</f>
        <v/>
      </c>
      <c r="L5666" s="12"/>
      <c r="M5666" s="13"/>
      <c r="N5666" s="2"/>
      <c r="O5666" s="20"/>
      <c r="P5666" s="42"/>
      <c r="R5666" s="23"/>
    </row>
    <row r="5667" spans="1:18" ht="12.75">
      <c r="A5667" s="12"/>
      <c r="D5667" s="12"/>
      <c r="E5667" s="12"/>
      <c r="H5667" s="11" t="str">
        <f ca="1">IFERROR(__xludf.DUMMYFUNCTION("IFERROR(SUBSTITUTE(SUBSTITUTE(REGEXEXTRACT(A5667, ""[^-]+- [^-]+- [^-]+ - (.+?)\.jpg""), "".jpg"", """"), ""-"", "", ""), """")"),"")</f>
        <v/>
      </c>
      <c r="L5667" s="12"/>
      <c r="M5667" s="13"/>
      <c r="N5667" s="2"/>
      <c r="O5667" s="20"/>
      <c r="P5667" s="42"/>
      <c r="R5667" s="23"/>
    </row>
    <row r="5668" spans="1:18" ht="12.75">
      <c r="A5668" s="12"/>
      <c r="D5668" s="12"/>
      <c r="E5668" s="12"/>
      <c r="H5668" s="11" t="str">
        <f ca="1">IFERROR(__xludf.DUMMYFUNCTION("IFERROR(SUBSTITUTE(SUBSTITUTE(REGEXEXTRACT(A5668, ""[^-]+- [^-]+- [^-]+ - (.+?)\.jpg""), "".jpg"", """"), ""-"", "", ""), """")"),"")</f>
        <v/>
      </c>
      <c r="L5668" s="12"/>
      <c r="M5668" s="13"/>
      <c r="N5668" s="2"/>
      <c r="O5668" s="20"/>
      <c r="P5668" s="42"/>
      <c r="R5668" s="23"/>
    </row>
    <row r="5669" spans="1:18" ht="12.75">
      <c r="A5669" s="12"/>
      <c r="D5669" s="12"/>
      <c r="E5669" s="12"/>
      <c r="H5669" s="11" t="str">
        <f ca="1">IFERROR(__xludf.DUMMYFUNCTION("IFERROR(SUBSTITUTE(SUBSTITUTE(REGEXEXTRACT(A5669, ""[^-]+- [^-]+- [^-]+ - (.+?)\.jpg""), "".jpg"", """"), ""-"", "", ""), """")"),"")</f>
        <v/>
      </c>
      <c r="L5669" s="12"/>
      <c r="M5669" s="13"/>
      <c r="N5669" s="2"/>
      <c r="O5669" s="20"/>
      <c r="P5669" s="42"/>
      <c r="R5669" s="23"/>
    </row>
    <row r="5670" spans="1:18" ht="12.75">
      <c r="A5670" s="12"/>
      <c r="D5670" s="12"/>
      <c r="E5670" s="12"/>
      <c r="H5670" s="11" t="str">
        <f ca="1">IFERROR(__xludf.DUMMYFUNCTION("IFERROR(SUBSTITUTE(SUBSTITUTE(REGEXEXTRACT(A5670, ""[^-]+- [^-]+- [^-]+ - (.+?)\.jpg""), "".jpg"", """"), ""-"", "", ""), """")"),"")</f>
        <v/>
      </c>
      <c r="L5670" s="12"/>
      <c r="M5670" s="13"/>
      <c r="N5670" s="2"/>
      <c r="O5670" s="20"/>
      <c r="P5670" s="42"/>
      <c r="R5670" s="23"/>
    </row>
    <row r="5671" spans="1:18" ht="12.75">
      <c r="A5671" s="12"/>
      <c r="D5671" s="12"/>
      <c r="E5671" s="12"/>
      <c r="H5671" s="11" t="str">
        <f ca="1">IFERROR(__xludf.DUMMYFUNCTION("IFERROR(SUBSTITUTE(SUBSTITUTE(REGEXEXTRACT(A5671, ""[^-]+- [^-]+- [^-]+ - (.+?)\.jpg""), "".jpg"", """"), ""-"", "", ""), """")"),"")</f>
        <v/>
      </c>
      <c r="L5671" s="12"/>
      <c r="M5671" s="13"/>
      <c r="N5671" s="2"/>
      <c r="O5671" s="20"/>
      <c r="P5671" s="42"/>
      <c r="R5671" s="23"/>
    </row>
    <row r="5672" spans="1:18" ht="12.75">
      <c r="A5672" s="12"/>
      <c r="D5672" s="12"/>
      <c r="E5672" s="12"/>
      <c r="H5672" s="11" t="str">
        <f ca="1">IFERROR(__xludf.DUMMYFUNCTION("IFERROR(SUBSTITUTE(SUBSTITUTE(REGEXEXTRACT(A5672, ""[^-]+- [^-]+- [^-]+ - (.+?)\.jpg""), "".jpg"", """"), ""-"", "", ""), """")"),"")</f>
        <v/>
      </c>
      <c r="L5672" s="12"/>
      <c r="M5672" s="13"/>
      <c r="N5672" s="2"/>
      <c r="O5672" s="20"/>
      <c r="P5672" s="42"/>
      <c r="R5672" s="23"/>
    </row>
    <row r="5673" spans="1:18" ht="12.75">
      <c r="A5673" s="12"/>
      <c r="D5673" s="12"/>
      <c r="E5673" s="12"/>
      <c r="H5673" s="11" t="str">
        <f ca="1">IFERROR(__xludf.DUMMYFUNCTION("IFERROR(SUBSTITUTE(SUBSTITUTE(REGEXEXTRACT(A5673, ""[^-]+- [^-]+- [^-]+ - (.+?)\.jpg""), "".jpg"", """"), ""-"", "", ""), """")"),"")</f>
        <v/>
      </c>
      <c r="L5673" s="12"/>
      <c r="M5673" s="13"/>
      <c r="N5673" s="2"/>
      <c r="O5673" s="20"/>
      <c r="P5673" s="42"/>
      <c r="R5673" s="23"/>
    </row>
    <row r="5674" spans="1:18" ht="12.75">
      <c r="A5674" s="12"/>
      <c r="D5674" s="12"/>
      <c r="E5674" s="12"/>
      <c r="H5674" s="11" t="str">
        <f ca="1">IFERROR(__xludf.DUMMYFUNCTION("IFERROR(SUBSTITUTE(SUBSTITUTE(REGEXEXTRACT(A5674, ""[^-]+- [^-]+- [^-]+ - (.+?)\.jpg""), "".jpg"", """"), ""-"", "", ""), """")"),"")</f>
        <v/>
      </c>
      <c r="L5674" s="12"/>
      <c r="M5674" s="13"/>
      <c r="N5674" s="2"/>
      <c r="O5674" s="20"/>
      <c r="P5674" s="42"/>
      <c r="R5674" s="23"/>
    </row>
    <row r="5675" spans="1:18" ht="12.75">
      <c r="A5675" s="12"/>
      <c r="D5675" s="12"/>
      <c r="E5675" s="12"/>
      <c r="H5675" s="11" t="str">
        <f ca="1">IFERROR(__xludf.DUMMYFUNCTION("IFERROR(SUBSTITUTE(SUBSTITUTE(REGEXEXTRACT(A5675, ""[^-]+- [^-]+- [^-]+ - (.+?)\.jpg""), "".jpg"", """"), ""-"", "", ""), """")"),"")</f>
        <v/>
      </c>
      <c r="L5675" s="12"/>
      <c r="M5675" s="13"/>
      <c r="N5675" s="2"/>
      <c r="O5675" s="20"/>
      <c r="P5675" s="42"/>
      <c r="R5675" s="23"/>
    </row>
    <row r="5676" spans="1:18" ht="12.75">
      <c r="A5676" s="12"/>
      <c r="D5676" s="12"/>
      <c r="E5676" s="12"/>
      <c r="H5676" s="11" t="str">
        <f ca="1">IFERROR(__xludf.DUMMYFUNCTION("IFERROR(SUBSTITUTE(SUBSTITUTE(REGEXEXTRACT(A5676, ""[^-]+- [^-]+- [^-]+ - (.+?)\.jpg""), "".jpg"", """"), ""-"", "", ""), """")"),"")</f>
        <v/>
      </c>
      <c r="L5676" s="12"/>
      <c r="M5676" s="13"/>
      <c r="N5676" s="2"/>
      <c r="O5676" s="20"/>
      <c r="P5676" s="42"/>
      <c r="R5676" s="23"/>
    </row>
    <row r="5677" spans="1:18" ht="12.75">
      <c r="A5677" s="12"/>
      <c r="D5677" s="12"/>
      <c r="E5677" s="12"/>
      <c r="H5677" s="11" t="str">
        <f ca="1">IFERROR(__xludf.DUMMYFUNCTION("IFERROR(SUBSTITUTE(SUBSTITUTE(REGEXEXTRACT(A5677, ""[^-]+- [^-]+- [^-]+ - (.+?)\.jpg""), "".jpg"", """"), ""-"", "", ""), """")"),"")</f>
        <v/>
      </c>
      <c r="L5677" s="12"/>
      <c r="M5677" s="13"/>
      <c r="N5677" s="2"/>
      <c r="O5677" s="20"/>
      <c r="P5677" s="42"/>
      <c r="R5677" s="23"/>
    </row>
    <row r="5678" spans="1:18" ht="12.75">
      <c r="A5678" s="12"/>
      <c r="D5678" s="12"/>
      <c r="E5678" s="12"/>
      <c r="H5678" s="11" t="str">
        <f ca="1">IFERROR(__xludf.DUMMYFUNCTION("IFERROR(SUBSTITUTE(SUBSTITUTE(REGEXEXTRACT(A5678, ""[^-]+- [^-]+- [^-]+ - (.+?)\.jpg""), "".jpg"", """"), ""-"", "", ""), """")"),"")</f>
        <v/>
      </c>
      <c r="L5678" s="12"/>
      <c r="M5678" s="13"/>
      <c r="N5678" s="2"/>
      <c r="O5678" s="20"/>
      <c r="P5678" s="42"/>
      <c r="R5678" s="23"/>
    </row>
    <row r="5679" spans="1:18" ht="12.75">
      <c r="A5679" s="12"/>
      <c r="D5679" s="12"/>
      <c r="E5679" s="12"/>
      <c r="H5679" s="11" t="str">
        <f ca="1">IFERROR(__xludf.DUMMYFUNCTION("IFERROR(SUBSTITUTE(SUBSTITUTE(REGEXEXTRACT(A5679, ""[^-]+- [^-]+- [^-]+ - (.+?)\.jpg""), "".jpg"", """"), ""-"", "", ""), """")"),"")</f>
        <v/>
      </c>
      <c r="L5679" s="12"/>
      <c r="M5679" s="13"/>
      <c r="N5679" s="2"/>
      <c r="O5679" s="20"/>
      <c r="P5679" s="42"/>
      <c r="R5679" s="23"/>
    </row>
    <row r="5680" spans="1:18" ht="12.75">
      <c r="A5680" s="12"/>
      <c r="D5680" s="12"/>
      <c r="E5680" s="12"/>
      <c r="H5680" s="11" t="str">
        <f ca="1">IFERROR(__xludf.DUMMYFUNCTION("IFERROR(SUBSTITUTE(SUBSTITUTE(REGEXEXTRACT(A5680, ""[^-]+- [^-]+- [^-]+ - (.+?)\.jpg""), "".jpg"", """"), ""-"", "", ""), """")"),"")</f>
        <v/>
      </c>
      <c r="L5680" s="12"/>
      <c r="M5680" s="13"/>
      <c r="N5680" s="2"/>
      <c r="O5680" s="20"/>
      <c r="P5680" s="42"/>
      <c r="R5680" s="23"/>
    </row>
    <row r="5681" spans="1:18" ht="12.75">
      <c r="A5681" s="12"/>
      <c r="D5681" s="12"/>
      <c r="E5681" s="12"/>
      <c r="H5681" s="11" t="str">
        <f ca="1">IFERROR(__xludf.DUMMYFUNCTION("IFERROR(SUBSTITUTE(SUBSTITUTE(REGEXEXTRACT(A5681, ""[^-]+- [^-]+- [^-]+ - (.+?)\.jpg""), "".jpg"", """"), ""-"", "", ""), """")"),"")</f>
        <v/>
      </c>
      <c r="L5681" s="12"/>
      <c r="M5681" s="13"/>
      <c r="N5681" s="2"/>
      <c r="O5681" s="20"/>
      <c r="P5681" s="42"/>
      <c r="R5681" s="23"/>
    </row>
    <row r="5682" spans="1:18" ht="12.75">
      <c r="A5682" s="12"/>
      <c r="D5682" s="12"/>
      <c r="E5682" s="12"/>
      <c r="H5682" s="11" t="str">
        <f ca="1">IFERROR(__xludf.DUMMYFUNCTION("IFERROR(SUBSTITUTE(SUBSTITUTE(REGEXEXTRACT(A5682, ""[^-]+- [^-]+- [^-]+ - (.+?)\.jpg""), "".jpg"", """"), ""-"", "", ""), """")"),"")</f>
        <v/>
      </c>
      <c r="L5682" s="12"/>
      <c r="M5682" s="13"/>
      <c r="N5682" s="2"/>
      <c r="O5682" s="20"/>
      <c r="P5682" s="42"/>
      <c r="R5682" s="23"/>
    </row>
    <row r="5683" spans="1:18" ht="12.75">
      <c r="A5683" s="12"/>
      <c r="D5683" s="12"/>
      <c r="E5683" s="12"/>
      <c r="H5683" s="11" t="str">
        <f ca="1">IFERROR(__xludf.DUMMYFUNCTION("IFERROR(SUBSTITUTE(SUBSTITUTE(REGEXEXTRACT(A5683, ""[^-]+- [^-]+- [^-]+ - (.+?)\.jpg""), "".jpg"", """"), ""-"", "", ""), """")"),"")</f>
        <v/>
      </c>
      <c r="L5683" s="12"/>
      <c r="M5683" s="13"/>
      <c r="N5683" s="2"/>
      <c r="O5683" s="20"/>
      <c r="P5683" s="42"/>
      <c r="R5683" s="23"/>
    </row>
    <row r="5684" spans="1:18" ht="12.75">
      <c r="A5684" s="12"/>
      <c r="D5684" s="12"/>
      <c r="E5684" s="12"/>
      <c r="H5684" s="11" t="str">
        <f ca="1">IFERROR(__xludf.DUMMYFUNCTION("IFERROR(SUBSTITUTE(SUBSTITUTE(REGEXEXTRACT(A5684, ""[^-]+- [^-]+- [^-]+ - (.+?)\.jpg""), "".jpg"", """"), ""-"", "", ""), """")"),"")</f>
        <v/>
      </c>
      <c r="L5684" s="12"/>
      <c r="M5684" s="13"/>
      <c r="N5684" s="2"/>
      <c r="O5684" s="20"/>
      <c r="P5684" s="42"/>
      <c r="R5684" s="23"/>
    </row>
    <row r="5685" spans="1:18" ht="12.75">
      <c r="A5685" s="12"/>
      <c r="D5685" s="12"/>
      <c r="E5685" s="12"/>
      <c r="H5685" s="11" t="str">
        <f ca="1">IFERROR(__xludf.DUMMYFUNCTION("IFERROR(SUBSTITUTE(SUBSTITUTE(REGEXEXTRACT(A5685, ""[^-]+- [^-]+- [^-]+ - (.+?)\.jpg""), "".jpg"", """"), ""-"", "", ""), """")"),"")</f>
        <v/>
      </c>
      <c r="L5685" s="12"/>
      <c r="M5685" s="13"/>
      <c r="N5685" s="2"/>
      <c r="O5685" s="20"/>
      <c r="P5685" s="42"/>
      <c r="R5685" s="23"/>
    </row>
    <row r="5686" spans="1:18" ht="12.75">
      <c r="A5686" s="12"/>
      <c r="D5686" s="12"/>
      <c r="E5686" s="12"/>
      <c r="H5686" s="11" t="str">
        <f ca="1">IFERROR(__xludf.DUMMYFUNCTION("IFERROR(SUBSTITUTE(SUBSTITUTE(REGEXEXTRACT(A5686, ""[^-]+- [^-]+- [^-]+ - (.+?)\.jpg""), "".jpg"", """"), ""-"", "", ""), """")"),"")</f>
        <v/>
      </c>
      <c r="L5686" s="12"/>
      <c r="M5686" s="13"/>
      <c r="N5686" s="2"/>
      <c r="O5686" s="20"/>
      <c r="P5686" s="42"/>
      <c r="R5686" s="23"/>
    </row>
    <row r="5687" spans="1:18" ht="12.75">
      <c r="A5687" s="12"/>
      <c r="D5687" s="12"/>
      <c r="E5687" s="12"/>
      <c r="H5687" s="11" t="str">
        <f ca="1">IFERROR(__xludf.DUMMYFUNCTION("IFERROR(SUBSTITUTE(SUBSTITUTE(REGEXEXTRACT(A5687, ""[^-]+- [^-]+- [^-]+ - (.+?)\.jpg""), "".jpg"", """"), ""-"", "", ""), """")"),"")</f>
        <v/>
      </c>
      <c r="L5687" s="12"/>
      <c r="M5687" s="13"/>
      <c r="N5687" s="2"/>
      <c r="O5687" s="20"/>
      <c r="P5687" s="42"/>
      <c r="R5687" s="23"/>
    </row>
    <row r="5688" spans="1:18" ht="12.75">
      <c r="A5688" s="12"/>
      <c r="D5688" s="12"/>
      <c r="E5688" s="12"/>
      <c r="H5688" s="11" t="str">
        <f ca="1">IFERROR(__xludf.DUMMYFUNCTION("IFERROR(SUBSTITUTE(SUBSTITUTE(REGEXEXTRACT(A5688, ""[^-]+- [^-]+- [^-]+ - (.+?)\.jpg""), "".jpg"", """"), ""-"", "", ""), """")"),"")</f>
        <v/>
      </c>
      <c r="L5688" s="12"/>
      <c r="M5688" s="13"/>
      <c r="N5688" s="2"/>
      <c r="O5688" s="20"/>
      <c r="P5688" s="42"/>
      <c r="R5688" s="23"/>
    </row>
    <row r="5689" spans="1:18" ht="12.75">
      <c r="A5689" s="12"/>
      <c r="D5689" s="12"/>
      <c r="E5689" s="12"/>
      <c r="H5689" s="11" t="str">
        <f ca="1">IFERROR(__xludf.DUMMYFUNCTION("IFERROR(SUBSTITUTE(SUBSTITUTE(REGEXEXTRACT(A5689, ""[^-]+- [^-]+- [^-]+ - (.+?)\.jpg""), "".jpg"", """"), ""-"", "", ""), """")"),"")</f>
        <v/>
      </c>
      <c r="L5689" s="12"/>
      <c r="M5689" s="13"/>
      <c r="N5689" s="2"/>
      <c r="O5689" s="20"/>
      <c r="P5689" s="42"/>
      <c r="R5689" s="23"/>
    </row>
    <row r="5690" spans="1:18" ht="12.75">
      <c r="A5690" s="12"/>
      <c r="D5690" s="12"/>
      <c r="E5690" s="12"/>
      <c r="H5690" s="11" t="str">
        <f ca="1">IFERROR(__xludf.DUMMYFUNCTION("IFERROR(SUBSTITUTE(SUBSTITUTE(REGEXEXTRACT(A5690, ""[^-]+- [^-]+- [^-]+ - (.+?)\.jpg""), "".jpg"", """"), ""-"", "", ""), """")"),"")</f>
        <v/>
      </c>
      <c r="L5690" s="12"/>
      <c r="M5690" s="13"/>
      <c r="N5690" s="2"/>
      <c r="O5690" s="20"/>
      <c r="P5690" s="42"/>
      <c r="R5690" s="23"/>
    </row>
    <row r="5691" spans="1:18" ht="12.75">
      <c r="A5691" s="12"/>
      <c r="D5691" s="12"/>
      <c r="E5691" s="12"/>
      <c r="H5691" s="11" t="str">
        <f ca="1">IFERROR(__xludf.DUMMYFUNCTION("IFERROR(SUBSTITUTE(SUBSTITUTE(REGEXEXTRACT(A5691, ""[^-]+- [^-]+- [^-]+ - (.+?)\.jpg""), "".jpg"", """"), ""-"", "", ""), """")"),"")</f>
        <v/>
      </c>
      <c r="L5691" s="12"/>
      <c r="M5691" s="13"/>
      <c r="N5691" s="2"/>
      <c r="O5691" s="20"/>
      <c r="P5691" s="42"/>
      <c r="R5691" s="23"/>
    </row>
    <row r="5692" spans="1:18" ht="12.75">
      <c r="A5692" s="12"/>
      <c r="D5692" s="12"/>
      <c r="E5692" s="12"/>
      <c r="H5692" s="11" t="str">
        <f ca="1">IFERROR(__xludf.DUMMYFUNCTION("IFERROR(SUBSTITUTE(SUBSTITUTE(REGEXEXTRACT(A5692, ""[^-]+- [^-]+- [^-]+ - (.+?)\.jpg""), "".jpg"", """"), ""-"", "", ""), """")"),"")</f>
        <v/>
      </c>
      <c r="L5692" s="12"/>
      <c r="M5692" s="13"/>
      <c r="N5692" s="2"/>
      <c r="O5692" s="20"/>
      <c r="P5692" s="42"/>
      <c r="R5692" s="23"/>
    </row>
    <row r="5693" spans="1:18" ht="12.75">
      <c r="A5693" s="12"/>
      <c r="D5693" s="12"/>
      <c r="E5693" s="12"/>
      <c r="H5693" s="11" t="str">
        <f ca="1">IFERROR(__xludf.DUMMYFUNCTION("IFERROR(SUBSTITUTE(SUBSTITUTE(REGEXEXTRACT(A5693, ""[^-]+- [^-]+- [^-]+ - (.+?)\.jpg""), "".jpg"", """"), ""-"", "", ""), """")"),"")</f>
        <v/>
      </c>
      <c r="L5693" s="12"/>
      <c r="M5693" s="13"/>
      <c r="N5693" s="2"/>
      <c r="O5693" s="20"/>
      <c r="P5693" s="42"/>
      <c r="R5693" s="23"/>
    </row>
    <row r="5694" spans="1:18" ht="12.75">
      <c r="A5694" s="12"/>
      <c r="D5694" s="12"/>
      <c r="E5694" s="12"/>
      <c r="H5694" s="11" t="str">
        <f ca="1">IFERROR(__xludf.DUMMYFUNCTION("IFERROR(SUBSTITUTE(SUBSTITUTE(REGEXEXTRACT(A5694, ""[^-]+- [^-]+- [^-]+ - (.+?)\.jpg""), "".jpg"", """"), ""-"", "", ""), """")"),"")</f>
        <v/>
      </c>
      <c r="L5694" s="12"/>
      <c r="M5694" s="13"/>
      <c r="N5694" s="2"/>
      <c r="O5694" s="20"/>
      <c r="P5694" s="42"/>
      <c r="R5694" s="23"/>
    </row>
    <row r="5695" spans="1:18" ht="12.75">
      <c r="A5695" s="12"/>
      <c r="D5695" s="12"/>
      <c r="E5695" s="12"/>
      <c r="H5695" s="11" t="str">
        <f ca="1">IFERROR(__xludf.DUMMYFUNCTION("IFERROR(SUBSTITUTE(SUBSTITUTE(REGEXEXTRACT(A5695, ""[^-]+- [^-]+- [^-]+ - (.+?)\.jpg""), "".jpg"", """"), ""-"", "", ""), """")"),"")</f>
        <v/>
      </c>
      <c r="L5695" s="12"/>
      <c r="M5695" s="13"/>
      <c r="N5695" s="2"/>
      <c r="O5695" s="20"/>
      <c r="P5695" s="42"/>
      <c r="R5695" s="23"/>
    </row>
    <row r="5696" spans="1:18" ht="12.75">
      <c r="A5696" s="12"/>
      <c r="D5696" s="12"/>
      <c r="E5696" s="12"/>
      <c r="H5696" s="11" t="str">
        <f ca="1">IFERROR(__xludf.DUMMYFUNCTION("IFERROR(SUBSTITUTE(SUBSTITUTE(REGEXEXTRACT(A5696, ""[^-]+- [^-]+- [^-]+ - (.+?)\.jpg""), "".jpg"", """"), ""-"", "", ""), """")"),"")</f>
        <v/>
      </c>
      <c r="L5696" s="12"/>
      <c r="M5696" s="13"/>
      <c r="N5696" s="2"/>
      <c r="O5696" s="20"/>
      <c r="P5696" s="42"/>
      <c r="R5696" s="23"/>
    </row>
    <row r="5697" spans="1:18" ht="12.75">
      <c r="A5697" s="12"/>
      <c r="D5697" s="12"/>
      <c r="E5697" s="12"/>
      <c r="H5697" s="11" t="str">
        <f ca="1">IFERROR(__xludf.DUMMYFUNCTION("IFERROR(SUBSTITUTE(SUBSTITUTE(REGEXEXTRACT(A5697, ""[^-]+- [^-]+- [^-]+ - (.+?)\.jpg""), "".jpg"", """"), ""-"", "", ""), """")"),"")</f>
        <v/>
      </c>
      <c r="L5697" s="12"/>
      <c r="M5697" s="13"/>
      <c r="N5697" s="2"/>
      <c r="O5697" s="20"/>
      <c r="P5697" s="42"/>
      <c r="R5697" s="23"/>
    </row>
    <row r="5698" spans="1:18" ht="12.75">
      <c r="A5698" s="12"/>
      <c r="D5698" s="12"/>
      <c r="E5698" s="12"/>
      <c r="H5698" s="11" t="str">
        <f ca="1">IFERROR(__xludf.DUMMYFUNCTION("IFERROR(SUBSTITUTE(SUBSTITUTE(REGEXEXTRACT(A5698, ""[^-]+- [^-]+- [^-]+ - (.+?)\.jpg""), "".jpg"", """"), ""-"", "", ""), """")"),"")</f>
        <v/>
      </c>
      <c r="L5698" s="12"/>
      <c r="M5698" s="13"/>
      <c r="N5698" s="2"/>
      <c r="O5698" s="20"/>
      <c r="P5698" s="42"/>
      <c r="R5698" s="23"/>
    </row>
    <row r="5699" spans="1:18" ht="12.75">
      <c r="A5699" s="12"/>
      <c r="D5699" s="12"/>
      <c r="E5699" s="12"/>
      <c r="H5699" s="11" t="str">
        <f ca="1">IFERROR(__xludf.DUMMYFUNCTION("IFERROR(SUBSTITUTE(SUBSTITUTE(REGEXEXTRACT(A5699, ""[^-]+- [^-]+- [^-]+ - (.+?)\.jpg""), "".jpg"", """"), ""-"", "", ""), """")"),"")</f>
        <v/>
      </c>
      <c r="L5699" s="12"/>
      <c r="M5699" s="13"/>
      <c r="N5699" s="2"/>
      <c r="O5699" s="20"/>
      <c r="P5699" s="42"/>
      <c r="R5699" s="23"/>
    </row>
    <row r="5700" spans="1:18" ht="12.75">
      <c r="A5700" s="12"/>
      <c r="D5700" s="12"/>
      <c r="E5700" s="12"/>
      <c r="H5700" s="11" t="str">
        <f ca="1">IFERROR(__xludf.DUMMYFUNCTION("IFERROR(SUBSTITUTE(SUBSTITUTE(REGEXEXTRACT(A5700, ""[^-]+- [^-]+- [^-]+ - (.+?)\.jpg""), "".jpg"", """"), ""-"", "", ""), """")"),"")</f>
        <v/>
      </c>
      <c r="L5700" s="12"/>
      <c r="M5700" s="13"/>
      <c r="N5700" s="2"/>
      <c r="O5700" s="20"/>
      <c r="P5700" s="42"/>
      <c r="R5700" s="23"/>
    </row>
    <row r="5701" spans="1:18" ht="12.75">
      <c r="A5701" s="12"/>
      <c r="D5701" s="12"/>
      <c r="E5701" s="12"/>
      <c r="H5701" s="11" t="str">
        <f ca="1">IFERROR(__xludf.DUMMYFUNCTION("IFERROR(SUBSTITUTE(SUBSTITUTE(REGEXEXTRACT(A5701, ""[^-]+- [^-]+- [^-]+ - (.+?)\.jpg""), "".jpg"", """"), ""-"", "", ""), """")"),"")</f>
        <v/>
      </c>
      <c r="L5701" s="12"/>
      <c r="M5701" s="13"/>
      <c r="N5701" s="2"/>
      <c r="O5701" s="20"/>
      <c r="P5701" s="42"/>
      <c r="R5701" s="23"/>
    </row>
    <row r="5702" spans="1:18" ht="12.75">
      <c r="A5702" s="12"/>
      <c r="D5702" s="12"/>
      <c r="E5702" s="12"/>
      <c r="H5702" s="11" t="str">
        <f ca="1">IFERROR(__xludf.DUMMYFUNCTION("IFERROR(SUBSTITUTE(SUBSTITUTE(REGEXEXTRACT(A5702, ""[^-]+- [^-]+- [^-]+ - (.+?)\.jpg""), "".jpg"", """"), ""-"", "", ""), """")"),"")</f>
        <v/>
      </c>
      <c r="L5702" s="12"/>
      <c r="M5702" s="13"/>
      <c r="N5702" s="2"/>
      <c r="O5702" s="20"/>
      <c r="P5702" s="42"/>
      <c r="R5702" s="23"/>
    </row>
    <row r="5703" spans="1:18" ht="12.75">
      <c r="A5703" s="12"/>
      <c r="D5703" s="12"/>
      <c r="E5703" s="12"/>
      <c r="H5703" s="11" t="str">
        <f ca="1">IFERROR(__xludf.DUMMYFUNCTION("IFERROR(SUBSTITUTE(SUBSTITUTE(REGEXEXTRACT(A5703, ""[^-]+- [^-]+- [^-]+ - (.+?)\.jpg""), "".jpg"", """"), ""-"", "", ""), """")"),"")</f>
        <v/>
      </c>
      <c r="L5703" s="12"/>
      <c r="M5703" s="13"/>
      <c r="N5703" s="2"/>
      <c r="O5703" s="20"/>
      <c r="P5703" s="42"/>
      <c r="R5703" s="23"/>
    </row>
    <row r="5704" spans="1:18" ht="12.75">
      <c r="A5704" s="12"/>
      <c r="D5704" s="12"/>
      <c r="E5704" s="12"/>
      <c r="H5704" s="11" t="str">
        <f ca="1">IFERROR(__xludf.DUMMYFUNCTION("IFERROR(SUBSTITUTE(SUBSTITUTE(REGEXEXTRACT(A5704, ""[^-]+- [^-]+- [^-]+ - (.+?)\.jpg""), "".jpg"", """"), ""-"", "", ""), """")"),"")</f>
        <v/>
      </c>
      <c r="L5704" s="12"/>
      <c r="M5704" s="13"/>
      <c r="N5704" s="2"/>
      <c r="O5704" s="20"/>
      <c r="P5704" s="42"/>
      <c r="R5704" s="23"/>
    </row>
    <row r="5705" spans="1:18" ht="12.75">
      <c r="A5705" s="12"/>
      <c r="D5705" s="12"/>
      <c r="E5705" s="12"/>
      <c r="H5705" s="11" t="str">
        <f ca="1">IFERROR(__xludf.DUMMYFUNCTION("IFERROR(SUBSTITUTE(SUBSTITUTE(REGEXEXTRACT(A5705, ""[^-]+- [^-]+- [^-]+ - (.+?)\.jpg""), "".jpg"", """"), ""-"", "", ""), """")"),"")</f>
        <v/>
      </c>
      <c r="L5705" s="12"/>
      <c r="M5705" s="13"/>
      <c r="N5705" s="2"/>
      <c r="O5705" s="20"/>
      <c r="P5705" s="42"/>
      <c r="R5705" s="23"/>
    </row>
    <row r="5706" spans="1:18" ht="12.75">
      <c r="A5706" s="12"/>
      <c r="D5706" s="12"/>
      <c r="E5706" s="12"/>
      <c r="H5706" s="11" t="str">
        <f ca="1">IFERROR(__xludf.DUMMYFUNCTION("IFERROR(SUBSTITUTE(SUBSTITUTE(REGEXEXTRACT(A5706, ""[^-]+- [^-]+- [^-]+ - (.+?)\.jpg""), "".jpg"", """"), ""-"", "", ""), """")"),"")</f>
        <v/>
      </c>
      <c r="L5706" s="12"/>
      <c r="M5706" s="13"/>
      <c r="N5706" s="2"/>
      <c r="O5706" s="20"/>
      <c r="P5706" s="42"/>
      <c r="R5706" s="23"/>
    </row>
    <row r="5707" spans="1:18" ht="12.75">
      <c r="A5707" s="12"/>
      <c r="D5707" s="12"/>
      <c r="E5707" s="12"/>
      <c r="H5707" s="11" t="str">
        <f ca="1">IFERROR(__xludf.DUMMYFUNCTION("IFERROR(SUBSTITUTE(SUBSTITUTE(REGEXEXTRACT(A5707, ""[^-]+- [^-]+- [^-]+ - (.+?)\.jpg""), "".jpg"", """"), ""-"", "", ""), """")"),"")</f>
        <v/>
      </c>
      <c r="L5707" s="12"/>
      <c r="M5707" s="13"/>
      <c r="N5707" s="2"/>
      <c r="O5707" s="20"/>
      <c r="P5707" s="42"/>
      <c r="R5707" s="23"/>
    </row>
    <row r="5708" spans="1:18" ht="12.75">
      <c r="A5708" s="12"/>
      <c r="D5708" s="12"/>
      <c r="E5708" s="12"/>
      <c r="H5708" s="11" t="str">
        <f ca="1">IFERROR(__xludf.DUMMYFUNCTION("IFERROR(SUBSTITUTE(SUBSTITUTE(REGEXEXTRACT(A5708, ""[^-]+- [^-]+- [^-]+ - (.+?)\.jpg""), "".jpg"", """"), ""-"", "", ""), """")"),"")</f>
        <v/>
      </c>
      <c r="L5708" s="12"/>
      <c r="M5708" s="13"/>
      <c r="N5708" s="2"/>
      <c r="O5708" s="20"/>
      <c r="P5708" s="42"/>
      <c r="R5708" s="23"/>
    </row>
    <row r="5709" spans="1:18" ht="12.75">
      <c r="A5709" s="12"/>
      <c r="D5709" s="12"/>
      <c r="E5709" s="12"/>
      <c r="H5709" s="11" t="str">
        <f ca="1">IFERROR(__xludf.DUMMYFUNCTION("IFERROR(SUBSTITUTE(SUBSTITUTE(REGEXEXTRACT(A5709, ""[^-]+- [^-]+- [^-]+ - (.+?)\.jpg""), "".jpg"", """"), ""-"", "", ""), """")"),"")</f>
        <v/>
      </c>
      <c r="L5709" s="12"/>
      <c r="M5709" s="13"/>
      <c r="N5709" s="2"/>
      <c r="O5709" s="20"/>
      <c r="P5709" s="42"/>
      <c r="R5709" s="23"/>
    </row>
    <row r="5710" spans="1:18" ht="12.75">
      <c r="A5710" s="12"/>
      <c r="D5710" s="12"/>
      <c r="E5710" s="12"/>
      <c r="H5710" s="11" t="str">
        <f ca="1">IFERROR(__xludf.DUMMYFUNCTION("IFERROR(SUBSTITUTE(SUBSTITUTE(REGEXEXTRACT(A5710, ""[^-]+- [^-]+- [^-]+ - (.+?)\.jpg""), "".jpg"", """"), ""-"", "", ""), """")"),"")</f>
        <v/>
      </c>
      <c r="L5710" s="12"/>
      <c r="M5710" s="13"/>
      <c r="N5710" s="2"/>
      <c r="O5710" s="20"/>
      <c r="P5710" s="42"/>
      <c r="R5710" s="23"/>
    </row>
    <row r="5711" spans="1:18" ht="12.75">
      <c r="A5711" s="12"/>
      <c r="D5711" s="12"/>
      <c r="E5711" s="12"/>
      <c r="H5711" s="11" t="str">
        <f ca="1">IFERROR(__xludf.DUMMYFUNCTION("IFERROR(SUBSTITUTE(SUBSTITUTE(REGEXEXTRACT(A5711, ""[^-]+- [^-]+- [^-]+ - (.+?)\.jpg""), "".jpg"", """"), ""-"", "", ""), """")"),"")</f>
        <v/>
      </c>
      <c r="L5711" s="12"/>
      <c r="M5711" s="13"/>
      <c r="N5711" s="2"/>
      <c r="O5711" s="20"/>
      <c r="P5711" s="42"/>
      <c r="R5711" s="23"/>
    </row>
    <row r="5712" spans="1:18" ht="12.75">
      <c r="A5712" s="12"/>
      <c r="D5712" s="12"/>
      <c r="E5712" s="12"/>
      <c r="H5712" s="11" t="str">
        <f ca="1">IFERROR(__xludf.DUMMYFUNCTION("IFERROR(SUBSTITUTE(SUBSTITUTE(REGEXEXTRACT(A5712, ""[^-]+- [^-]+- [^-]+ - (.+?)\.jpg""), "".jpg"", """"), ""-"", "", ""), """")"),"")</f>
        <v/>
      </c>
      <c r="L5712" s="12"/>
      <c r="M5712" s="13"/>
      <c r="N5712" s="2"/>
      <c r="O5712" s="20"/>
      <c r="P5712" s="42"/>
      <c r="R5712" s="23"/>
    </row>
    <row r="5713" spans="1:18" ht="12.75">
      <c r="A5713" s="12"/>
      <c r="D5713" s="12"/>
      <c r="E5713" s="12"/>
      <c r="H5713" s="11" t="str">
        <f ca="1">IFERROR(__xludf.DUMMYFUNCTION("IFERROR(SUBSTITUTE(SUBSTITUTE(REGEXEXTRACT(A5713, ""[^-]+- [^-]+- [^-]+ - (.+?)\.jpg""), "".jpg"", """"), ""-"", "", ""), """")"),"")</f>
        <v/>
      </c>
      <c r="L5713" s="12"/>
      <c r="M5713" s="13"/>
      <c r="N5713" s="2"/>
      <c r="O5713" s="20"/>
      <c r="P5713" s="42"/>
      <c r="R5713" s="23"/>
    </row>
    <row r="5714" spans="1:18" ht="12.75">
      <c r="A5714" s="12"/>
      <c r="D5714" s="12"/>
      <c r="E5714" s="12"/>
      <c r="H5714" s="11" t="str">
        <f ca="1">IFERROR(__xludf.DUMMYFUNCTION("IFERROR(SUBSTITUTE(SUBSTITUTE(REGEXEXTRACT(A5714, ""[^-]+- [^-]+- [^-]+ - (.+?)\.jpg""), "".jpg"", """"), ""-"", "", ""), """")"),"")</f>
        <v/>
      </c>
      <c r="L5714" s="12"/>
      <c r="M5714" s="13"/>
      <c r="N5714" s="2"/>
      <c r="O5714" s="20"/>
      <c r="P5714" s="42"/>
      <c r="R5714" s="23"/>
    </row>
    <row r="5715" spans="1:18" ht="12.75">
      <c r="A5715" s="12"/>
      <c r="D5715" s="12"/>
      <c r="E5715" s="12"/>
      <c r="H5715" s="11" t="str">
        <f ca="1">IFERROR(__xludf.DUMMYFUNCTION("IFERROR(SUBSTITUTE(SUBSTITUTE(REGEXEXTRACT(A5715, ""[^-]+- [^-]+- [^-]+ - (.+?)\.jpg""), "".jpg"", """"), ""-"", "", ""), """")"),"")</f>
        <v/>
      </c>
      <c r="L5715" s="12"/>
      <c r="M5715" s="13"/>
      <c r="N5715" s="2"/>
      <c r="O5715" s="20"/>
      <c r="P5715" s="42"/>
      <c r="R5715" s="23"/>
    </row>
    <row r="5716" spans="1:18" ht="12.75">
      <c r="A5716" s="12"/>
      <c r="D5716" s="12"/>
      <c r="E5716" s="12"/>
      <c r="H5716" s="11" t="str">
        <f ca="1">IFERROR(__xludf.DUMMYFUNCTION("IFERROR(SUBSTITUTE(SUBSTITUTE(REGEXEXTRACT(A5716, ""[^-]+- [^-]+- [^-]+ - (.+?)\.jpg""), "".jpg"", """"), ""-"", "", ""), """")"),"")</f>
        <v/>
      </c>
      <c r="L5716" s="12"/>
      <c r="M5716" s="13"/>
      <c r="N5716" s="2"/>
      <c r="O5716" s="20"/>
      <c r="P5716" s="42"/>
      <c r="R5716" s="23"/>
    </row>
    <row r="5717" spans="1:18" ht="12.75">
      <c r="A5717" s="12"/>
      <c r="D5717" s="12"/>
      <c r="E5717" s="12"/>
      <c r="H5717" s="11" t="str">
        <f ca="1">IFERROR(__xludf.DUMMYFUNCTION("IFERROR(SUBSTITUTE(SUBSTITUTE(REGEXEXTRACT(A5717, ""[^-]+- [^-]+- [^-]+ - (.+?)\.jpg""), "".jpg"", """"), ""-"", "", ""), """")"),"")</f>
        <v/>
      </c>
      <c r="L5717" s="12"/>
      <c r="M5717" s="13"/>
      <c r="N5717" s="2"/>
      <c r="O5717" s="20"/>
      <c r="P5717" s="42"/>
      <c r="R5717" s="23"/>
    </row>
    <row r="5718" spans="1:18" ht="12.75">
      <c r="A5718" s="12"/>
      <c r="D5718" s="12"/>
      <c r="E5718" s="12"/>
      <c r="H5718" s="11" t="str">
        <f ca="1">IFERROR(__xludf.DUMMYFUNCTION("IFERROR(SUBSTITUTE(SUBSTITUTE(REGEXEXTRACT(A5718, ""[^-]+- [^-]+- [^-]+ - (.+?)\.jpg""), "".jpg"", """"), ""-"", "", ""), """")"),"")</f>
        <v/>
      </c>
      <c r="L5718" s="12"/>
      <c r="M5718" s="13"/>
      <c r="N5718" s="2"/>
      <c r="O5718" s="20"/>
      <c r="P5718" s="42"/>
      <c r="R5718" s="23"/>
    </row>
    <row r="5719" spans="1:18" ht="12.75">
      <c r="A5719" s="12"/>
      <c r="D5719" s="12"/>
      <c r="E5719" s="12"/>
      <c r="H5719" s="11" t="str">
        <f ca="1">IFERROR(__xludf.DUMMYFUNCTION("IFERROR(SUBSTITUTE(SUBSTITUTE(REGEXEXTRACT(A5719, ""[^-]+- [^-]+- [^-]+ - (.+?)\.jpg""), "".jpg"", """"), ""-"", "", ""), """")"),"")</f>
        <v/>
      </c>
      <c r="L5719" s="12"/>
      <c r="M5719" s="13"/>
      <c r="N5719" s="2"/>
      <c r="O5719" s="20"/>
      <c r="P5719" s="42"/>
      <c r="R5719" s="23"/>
    </row>
    <row r="5720" spans="1:18" ht="12.75">
      <c r="A5720" s="12"/>
      <c r="D5720" s="12"/>
      <c r="E5720" s="12"/>
      <c r="H5720" s="11" t="str">
        <f ca="1">IFERROR(__xludf.DUMMYFUNCTION("IFERROR(SUBSTITUTE(SUBSTITUTE(REGEXEXTRACT(A5720, ""[^-]+- [^-]+- [^-]+ - (.+?)\.jpg""), "".jpg"", """"), ""-"", "", ""), """")"),"")</f>
        <v/>
      </c>
      <c r="L5720" s="12"/>
      <c r="M5720" s="13"/>
      <c r="N5720" s="2"/>
      <c r="O5720" s="20"/>
      <c r="P5720" s="42"/>
      <c r="R5720" s="23"/>
    </row>
    <row r="5721" spans="1:18" ht="12.75">
      <c r="A5721" s="12"/>
      <c r="D5721" s="12"/>
      <c r="E5721" s="12"/>
      <c r="H5721" s="11" t="str">
        <f ca="1">IFERROR(__xludf.DUMMYFUNCTION("IFERROR(SUBSTITUTE(SUBSTITUTE(REGEXEXTRACT(A5721, ""[^-]+- [^-]+- [^-]+ - (.+?)\.jpg""), "".jpg"", """"), ""-"", "", ""), """")"),"")</f>
        <v/>
      </c>
      <c r="L5721" s="12"/>
      <c r="M5721" s="13"/>
      <c r="N5721" s="2"/>
      <c r="O5721" s="20"/>
      <c r="P5721" s="42"/>
      <c r="R5721" s="23"/>
    </row>
    <row r="5722" spans="1:18" ht="12.75">
      <c r="A5722" s="12"/>
      <c r="D5722" s="12"/>
      <c r="E5722" s="12"/>
      <c r="H5722" s="11" t="str">
        <f ca="1">IFERROR(__xludf.DUMMYFUNCTION("IFERROR(SUBSTITUTE(SUBSTITUTE(REGEXEXTRACT(A5722, ""[^-]+- [^-]+- [^-]+ - (.+?)\.jpg""), "".jpg"", """"), ""-"", "", ""), """")"),"")</f>
        <v/>
      </c>
      <c r="L5722" s="12"/>
      <c r="M5722" s="13"/>
      <c r="N5722" s="2"/>
      <c r="O5722" s="20"/>
      <c r="P5722" s="42"/>
      <c r="R5722" s="23"/>
    </row>
    <row r="5723" spans="1:18" ht="12.75">
      <c r="A5723" s="12"/>
      <c r="D5723" s="12"/>
      <c r="E5723" s="12"/>
      <c r="H5723" s="11" t="str">
        <f ca="1">IFERROR(__xludf.DUMMYFUNCTION("IFERROR(SUBSTITUTE(SUBSTITUTE(REGEXEXTRACT(A5723, ""[^-]+- [^-]+- [^-]+ - (.+?)\.jpg""), "".jpg"", """"), ""-"", "", ""), """")"),"")</f>
        <v/>
      </c>
      <c r="L5723" s="12"/>
      <c r="M5723" s="13"/>
      <c r="N5723" s="2"/>
      <c r="O5723" s="20"/>
      <c r="P5723" s="42"/>
      <c r="R5723" s="23"/>
    </row>
    <row r="5724" spans="1:18" ht="12.75">
      <c r="A5724" s="12"/>
      <c r="D5724" s="12"/>
      <c r="E5724" s="12"/>
      <c r="H5724" s="11" t="str">
        <f ca="1">IFERROR(__xludf.DUMMYFUNCTION("IFERROR(SUBSTITUTE(SUBSTITUTE(REGEXEXTRACT(A5724, ""[^-]+- [^-]+- [^-]+ - (.+?)\.jpg""), "".jpg"", """"), ""-"", "", ""), """")"),"")</f>
        <v/>
      </c>
      <c r="L5724" s="12"/>
      <c r="M5724" s="13"/>
      <c r="N5724" s="2"/>
      <c r="O5724" s="20"/>
      <c r="P5724" s="42"/>
      <c r="R5724" s="23"/>
    </row>
    <row r="5725" spans="1:18" ht="12.75">
      <c r="A5725" s="12"/>
      <c r="D5725" s="12"/>
      <c r="E5725" s="12"/>
      <c r="H5725" s="11" t="str">
        <f ca="1">IFERROR(__xludf.DUMMYFUNCTION("IFERROR(SUBSTITUTE(SUBSTITUTE(REGEXEXTRACT(A5725, ""[^-]+- [^-]+- [^-]+ - (.+?)\.jpg""), "".jpg"", """"), ""-"", "", ""), """")"),"")</f>
        <v/>
      </c>
      <c r="L5725" s="12"/>
      <c r="M5725" s="13"/>
      <c r="N5725" s="2"/>
      <c r="O5725" s="20"/>
      <c r="P5725" s="42"/>
      <c r="R5725" s="23"/>
    </row>
    <row r="5726" spans="1:18" ht="12.75">
      <c r="A5726" s="12"/>
      <c r="D5726" s="12"/>
      <c r="E5726" s="12"/>
      <c r="H5726" s="11" t="str">
        <f ca="1">IFERROR(__xludf.DUMMYFUNCTION("IFERROR(SUBSTITUTE(SUBSTITUTE(REGEXEXTRACT(A5726, ""[^-]+- [^-]+- [^-]+ - (.+?)\.jpg""), "".jpg"", """"), ""-"", "", ""), """")"),"")</f>
        <v/>
      </c>
      <c r="L5726" s="12"/>
      <c r="M5726" s="13"/>
      <c r="N5726" s="2"/>
      <c r="O5726" s="20"/>
      <c r="P5726" s="42"/>
      <c r="R5726" s="23"/>
    </row>
    <row r="5727" spans="1:18" ht="12.75">
      <c r="A5727" s="12"/>
      <c r="D5727" s="12"/>
      <c r="E5727" s="12"/>
      <c r="H5727" s="11" t="str">
        <f ca="1">IFERROR(__xludf.DUMMYFUNCTION("IFERROR(SUBSTITUTE(SUBSTITUTE(REGEXEXTRACT(A5727, ""[^-]+- [^-]+- [^-]+ - (.+?)\.jpg""), "".jpg"", """"), ""-"", "", ""), """")"),"")</f>
        <v/>
      </c>
      <c r="L5727" s="12"/>
      <c r="M5727" s="13"/>
      <c r="N5727" s="2"/>
      <c r="O5727" s="20"/>
      <c r="P5727" s="42"/>
      <c r="R5727" s="23"/>
    </row>
    <row r="5728" spans="1:18" ht="12.75">
      <c r="A5728" s="12"/>
      <c r="D5728" s="12"/>
      <c r="E5728" s="12"/>
      <c r="H5728" s="11" t="str">
        <f ca="1">IFERROR(__xludf.DUMMYFUNCTION("IFERROR(SUBSTITUTE(SUBSTITUTE(REGEXEXTRACT(A5728, ""[^-]+- [^-]+- [^-]+ - (.+?)\.jpg""), "".jpg"", """"), ""-"", "", ""), """")"),"")</f>
        <v/>
      </c>
      <c r="L5728" s="12"/>
      <c r="M5728" s="13"/>
      <c r="N5728" s="2"/>
      <c r="O5728" s="20"/>
      <c r="P5728" s="42"/>
      <c r="R5728" s="23"/>
    </row>
    <row r="5729" spans="1:18" ht="12.75">
      <c r="A5729" s="12"/>
      <c r="D5729" s="12"/>
      <c r="E5729" s="12"/>
      <c r="H5729" s="11" t="str">
        <f ca="1">IFERROR(__xludf.DUMMYFUNCTION("IFERROR(SUBSTITUTE(SUBSTITUTE(REGEXEXTRACT(A5729, ""[^-]+- [^-]+- [^-]+ - (.+?)\.jpg""), "".jpg"", """"), ""-"", "", ""), """")"),"")</f>
        <v/>
      </c>
      <c r="L5729" s="12"/>
      <c r="M5729" s="13"/>
      <c r="N5729" s="2"/>
      <c r="O5729" s="20"/>
      <c r="P5729" s="42"/>
      <c r="R5729" s="23"/>
    </row>
    <row r="5730" spans="1:18" ht="12.75">
      <c r="A5730" s="12"/>
      <c r="D5730" s="12"/>
      <c r="E5730" s="12"/>
      <c r="H5730" s="11" t="str">
        <f ca="1">IFERROR(__xludf.DUMMYFUNCTION("IFERROR(SUBSTITUTE(SUBSTITUTE(REGEXEXTRACT(A5730, ""[^-]+- [^-]+- [^-]+ - (.+?)\.jpg""), "".jpg"", """"), ""-"", "", ""), """")"),"")</f>
        <v/>
      </c>
      <c r="L5730" s="12"/>
      <c r="M5730" s="13"/>
      <c r="N5730" s="2"/>
      <c r="O5730" s="20"/>
      <c r="P5730" s="42"/>
      <c r="R5730" s="23"/>
    </row>
    <row r="5731" spans="1:18" ht="12.75">
      <c r="A5731" s="12"/>
      <c r="D5731" s="12"/>
      <c r="E5731" s="12"/>
      <c r="H5731" s="11" t="str">
        <f ca="1">IFERROR(__xludf.DUMMYFUNCTION("IFERROR(SUBSTITUTE(SUBSTITUTE(REGEXEXTRACT(A5731, ""[^-]+- [^-]+- [^-]+ - (.+?)\.jpg""), "".jpg"", """"), ""-"", "", ""), """")"),"")</f>
        <v/>
      </c>
      <c r="L5731" s="12"/>
      <c r="M5731" s="13"/>
      <c r="N5731" s="2"/>
      <c r="O5731" s="20"/>
      <c r="P5731" s="42"/>
      <c r="R5731" s="23"/>
    </row>
    <row r="5732" spans="1:18" ht="12.75">
      <c r="A5732" s="12"/>
      <c r="D5732" s="12"/>
      <c r="E5732" s="12"/>
      <c r="H5732" s="11" t="str">
        <f ca="1">IFERROR(__xludf.DUMMYFUNCTION("IFERROR(SUBSTITUTE(SUBSTITUTE(REGEXEXTRACT(A5732, ""[^-]+- [^-]+- [^-]+ - (.+?)\.jpg""), "".jpg"", """"), ""-"", "", ""), """")"),"")</f>
        <v/>
      </c>
      <c r="L5732" s="12"/>
      <c r="M5732" s="13"/>
      <c r="N5732" s="2"/>
      <c r="O5732" s="20"/>
      <c r="P5732" s="42"/>
      <c r="R5732" s="23"/>
    </row>
    <row r="5733" spans="1:18" ht="12.75">
      <c r="A5733" s="12"/>
      <c r="D5733" s="12"/>
      <c r="E5733" s="12"/>
      <c r="H5733" s="11" t="str">
        <f ca="1">IFERROR(__xludf.DUMMYFUNCTION("IFERROR(SUBSTITUTE(SUBSTITUTE(REGEXEXTRACT(A5733, ""[^-]+- [^-]+- [^-]+ - (.+?)\.jpg""), "".jpg"", """"), ""-"", "", ""), """")"),"")</f>
        <v/>
      </c>
      <c r="L5733" s="12"/>
      <c r="M5733" s="13"/>
      <c r="N5733" s="2"/>
      <c r="O5733" s="20"/>
      <c r="P5733" s="42"/>
      <c r="R5733" s="23"/>
    </row>
    <row r="5734" spans="1:18" ht="12.75">
      <c r="A5734" s="12"/>
      <c r="D5734" s="12"/>
      <c r="E5734" s="12"/>
      <c r="H5734" s="11" t="str">
        <f ca="1">IFERROR(__xludf.DUMMYFUNCTION("IFERROR(SUBSTITUTE(SUBSTITUTE(REGEXEXTRACT(A5734, ""[^-]+- [^-]+- [^-]+ - (.+?)\.jpg""), "".jpg"", """"), ""-"", "", ""), """")"),"")</f>
        <v/>
      </c>
      <c r="L5734" s="12"/>
      <c r="M5734" s="13"/>
      <c r="N5734" s="2"/>
      <c r="O5734" s="20"/>
      <c r="P5734" s="42"/>
      <c r="R5734" s="23"/>
    </row>
    <row r="5735" spans="1:18" ht="12.75">
      <c r="A5735" s="12"/>
      <c r="D5735" s="12"/>
      <c r="E5735" s="12"/>
      <c r="H5735" s="11" t="str">
        <f ca="1">IFERROR(__xludf.DUMMYFUNCTION("IFERROR(SUBSTITUTE(SUBSTITUTE(REGEXEXTRACT(A5735, ""[^-]+- [^-]+- [^-]+ - (.+?)\.jpg""), "".jpg"", """"), ""-"", "", ""), """")"),"")</f>
        <v/>
      </c>
      <c r="L5735" s="12"/>
      <c r="M5735" s="13"/>
      <c r="N5735" s="2"/>
      <c r="O5735" s="20"/>
      <c r="P5735" s="42"/>
      <c r="R5735" s="23"/>
    </row>
    <row r="5736" spans="1:18" ht="12.75">
      <c r="A5736" s="12"/>
      <c r="D5736" s="12"/>
      <c r="E5736" s="12"/>
      <c r="H5736" s="11" t="str">
        <f ca="1">IFERROR(__xludf.DUMMYFUNCTION("IFERROR(SUBSTITUTE(SUBSTITUTE(REGEXEXTRACT(A5736, ""[^-]+- [^-]+- [^-]+ - (.+?)\.jpg""), "".jpg"", """"), ""-"", "", ""), """")"),"")</f>
        <v/>
      </c>
      <c r="L5736" s="12"/>
      <c r="M5736" s="13"/>
      <c r="N5736" s="2"/>
      <c r="O5736" s="20"/>
      <c r="P5736" s="42"/>
      <c r="R5736" s="23"/>
    </row>
    <row r="5737" spans="1:18" ht="12.75">
      <c r="A5737" s="12"/>
      <c r="D5737" s="12"/>
      <c r="E5737" s="12"/>
      <c r="H5737" s="11" t="str">
        <f ca="1">IFERROR(__xludf.DUMMYFUNCTION("IFERROR(SUBSTITUTE(SUBSTITUTE(REGEXEXTRACT(A5737, ""[^-]+- [^-]+- [^-]+ - (.+?)\.jpg""), "".jpg"", """"), ""-"", "", ""), """")"),"")</f>
        <v/>
      </c>
      <c r="L5737" s="12"/>
      <c r="M5737" s="13"/>
      <c r="N5737" s="2"/>
      <c r="O5737" s="20"/>
      <c r="P5737" s="42"/>
      <c r="R5737" s="23"/>
    </row>
    <row r="5738" spans="1:18" ht="12.75">
      <c r="A5738" s="12"/>
      <c r="D5738" s="12"/>
      <c r="E5738" s="12"/>
      <c r="H5738" s="11" t="str">
        <f ca="1">IFERROR(__xludf.DUMMYFUNCTION("IFERROR(SUBSTITUTE(SUBSTITUTE(REGEXEXTRACT(A5738, ""[^-]+- [^-]+- [^-]+ - (.+?)\.jpg""), "".jpg"", """"), ""-"", "", ""), """")"),"")</f>
        <v/>
      </c>
      <c r="L5738" s="12"/>
      <c r="M5738" s="13"/>
      <c r="N5738" s="2"/>
      <c r="O5738" s="20"/>
      <c r="P5738" s="42"/>
      <c r="R5738" s="23"/>
    </row>
    <row r="5739" spans="1:18" ht="12.75">
      <c r="A5739" s="12"/>
      <c r="D5739" s="12"/>
      <c r="E5739" s="12"/>
      <c r="H5739" s="11" t="str">
        <f ca="1">IFERROR(__xludf.DUMMYFUNCTION("IFERROR(SUBSTITUTE(SUBSTITUTE(REGEXEXTRACT(A5739, ""[^-]+- [^-]+- [^-]+ - (.+?)\.jpg""), "".jpg"", """"), ""-"", "", ""), """")"),"")</f>
        <v/>
      </c>
      <c r="L5739" s="12"/>
      <c r="M5739" s="13"/>
      <c r="N5739" s="2"/>
      <c r="O5739" s="20"/>
      <c r="P5739" s="42"/>
      <c r="R5739" s="23"/>
    </row>
    <row r="5740" spans="1:18" ht="12.75">
      <c r="A5740" s="12"/>
      <c r="D5740" s="12"/>
      <c r="E5740" s="12"/>
      <c r="H5740" s="11" t="str">
        <f ca="1">IFERROR(__xludf.DUMMYFUNCTION("IFERROR(SUBSTITUTE(SUBSTITUTE(REGEXEXTRACT(A5740, ""[^-]+- [^-]+- [^-]+ - (.+?)\.jpg""), "".jpg"", """"), ""-"", "", ""), """")"),"")</f>
        <v/>
      </c>
      <c r="L5740" s="12"/>
      <c r="M5740" s="13"/>
      <c r="N5740" s="2"/>
      <c r="O5740" s="20"/>
      <c r="P5740" s="42"/>
      <c r="R5740" s="23"/>
    </row>
    <row r="5741" spans="1:18" ht="12.75">
      <c r="A5741" s="12"/>
      <c r="D5741" s="12"/>
      <c r="E5741" s="12"/>
      <c r="H5741" s="11" t="str">
        <f ca="1">IFERROR(__xludf.DUMMYFUNCTION("IFERROR(SUBSTITUTE(SUBSTITUTE(REGEXEXTRACT(A5741, ""[^-]+- [^-]+- [^-]+ - (.+?)\.jpg""), "".jpg"", """"), ""-"", "", ""), """")"),"")</f>
        <v/>
      </c>
      <c r="L5741" s="12"/>
      <c r="M5741" s="13"/>
      <c r="N5741" s="2"/>
      <c r="O5741" s="20"/>
      <c r="P5741" s="42"/>
      <c r="R5741" s="23"/>
    </row>
    <row r="5742" spans="1:18" ht="12.75">
      <c r="A5742" s="12"/>
      <c r="D5742" s="12"/>
      <c r="E5742" s="12"/>
      <c r="H5742" s="11" t="str">
        <f ca="1">IFERROR(__xludf.DUMMYFUNCTION("IFERROR(SUBSTITUTE(SUBSTITUTE(REGEXEXTRACT(A5742, ""[^-]+- [^-]+- [^-]+ - (.+?)\.jpg""), "".jpg"", """"), ""-"", "", ""), """")"),"")</f>
        <v/>
      </c>
      <c r="L5742" s="12"/>
      <c r="M5742" s="13"/>
      <c r="N5742" s="2"/>
      <c r="O5742" s="20"/>
      <c r="P5742" s="42"/>
      <c r="R5742" s="23"/>
    </row>
    <row r="5743" spans="1:18" ht="12.75">
      <c r="A5743" s="12"/>
      <c r="D5743" s="12"/>
      <c r="E5743" s="12"/>
      <c r="H5743" s="11" t="str">
        <f ca="1">IFERROR(__xludf.DUMMYFUNCTION("IFERROR(SUBSTITUTE(SUBSTITUTE(REGEXEXTRACT(A5743, ""[^-]+- [^-]+- [^-]+ - (.+?)\.jpg""), "".jpg"", """"), ""-"", "", ""), """")"),"")</f>
        <v/>
      </c>
      <c r="L5743" s="12"/>
      <c r="M5743" s="13"/>
      <c r="N5743" s="2"/>
      <c r="O5743" s="20"/>
      <c r="P5743" s="42"/>
      <c r="R5743" s="23"/>
    </row>
    <row r="5744" spans="1:18" ht="12.75">
      <c r="A5744" s="12"/>
      <c r="D5744" s="12"/>
      <c r="E5744" s="12"/>
      <c r="H5744" s="11" t="str">
        <f ca="1">IFERROR(__xludf.DUMMYFUNCTION("IFERROR(SUBSTITUTE(SUBSTITUTE(REGEXEXTRACT(A5744, ""[^-]+- [^-]+- [^-]+ - (.+?)\.jpg""), "".jpg"", """"), ""-"", "", ""), """")"),"")</f>
        <v/>
      </c>
      <c r="L5744" s="12"/>
      <c r="M5744" s="13"/>
      <c r="N5744" s="2"/>
      <c r="O5744" s="20"/>
      <c r="P5744" s="42"/>
      <c r="R5744" s="23"/>
    </row>
    <row r="5745" spans="1:18" ht="12.75">
      <c r="A5745" s="12"/>
      <c r="D5745" s="12"/>
      <c r="E5745" s="12"/>
      <c r="H5745" s="11" t="str">
        <f ca="1">IFERROR(__xludf.DUMMYFUNCTION("IFERROR(SUBSTITUTE(SUBSTITUTE(REGEXEXTRACT(A5745, ""[^-]+- [^-]+- [^-]+ - (.+?)\.jpg""), "".jpg"", """"), ""-"", "", ""), """")"),"")</f>
        <v/>
      </c>
      <c r="L5745" s="12"/>
      <c r="M5745" s="13"/>
      <c r="N5745" s="2"/>
      <c r="O5745" s="20"/>
      <c r="P5745" s="42"/>
      <c r="R5745" s="23"/>
    </row>
    <row r="5746" spans="1:18" ht="12.75">
      <c r="A5746" s="12"/>
      <c r="D5746" s="12"/>
      <c r="E5746" s="12"/>
      <c r="H5746" s="11" t="str">
        <f ca="1">IFERROR(__xludf.DUMMYFUNCTION("IFERROR(SUBSTITUTE(SUBSTITUTE(REGEXEXTRACT(A5746, ""[^-]+- [^-]+- [^-]+ - (.+?)\.jpg""), "".jpg"", """"), ""-"", "", ""), """")"),"")</f>
        <v/>
      </c>
      <c r="L5746" s="12"/>
      <c r="M5746" s="13"/>
      <c r="N5746" s="2"/>
      <c r="O5746" s="20"/>
      <c r="P5746" s="42"/>
      <c r="R5746" s="23"/>
    </row>
    <row r="5747" spans="1:18" ht="12.75">
      <c r="A5747" s="12"/>
      <c r="D5747" s="12"/>
      <c r="E5747" s="12"/>
      <c r="H5747" s="11" t="str">
        <f ca="1">IFERROR(__xludf.DUMMYFUNCTION("IFERROR(SUBSTITUTE(SUBSTITUTE(REGEXEXTRACT(A5747, ""[^-]+- [^-]+- [^-]+ - (.+?)\.jpg""), "".jpg"", """"), ""-"", "", ""), """")"),"")</f>
        <v/>
      </c>
      <c r="L5747" s="12"/>
      <c r="M5747" s="13"/>
      <c r="N5747" s="2"/>
      <c r="O5747" s="20"/>
      <c r="P5747" s="42"/>
      <c r="R5747" s="23"/>
    </row>
    <row r="5748" spans="1:18" ht="12.75">
      <c r="A5748" s="12"/>
      <c r="D5748" s="12"/>
      <c r="E5748" s="12"/>
      <c r="H5748" s="11" t="str">
        <f ca="1">IFERROR(__xludf.DUMMYFUNCTION("IFERROR(SUBSTITUTE(SUBSTITUTE(REGEXEXTRACT(A5748, ""[^-]+- [^-]+- [^-]+ - (.+?)\.jpg""), "".jpg"", """"), ""-"", "", ""), """")"),"")</f>
        <v/>
      </c>
      <c r="L5748" s="12"/>
      <c r="M5748" s="13"/>
      <c r="N5748" s="2"/>
      <c r="O5748" s="20"/>
      <c r="P5748" s="42"/>
      <c r="R5748" s="23"/>
    </row>
    <row r="5749" spans="1:18" ht="12.75">
      <c r="A5749" s="12"/>
      <c r="D5749" s="12"/>
      <c r="E5749" s="12"/>
      <c r="H5749" s="11" t="str">
        <f ca="1">IFERROR(__xludf.DUMMYFUNCTION("IFERROR(SUBSTITUTE(SUBSTITUTE(REGEXEXTRACT(A5749, ""[^-]+- [^-]+- [^-]+ - (.+?)\.jpg""), "".jpg"", """"), ""-"", "", ""), """")"),"")</f>
        <v/>
      </c>
      <c r="L5749" s="12"/>
      <c r="M5749" s="13"/>
      <c r="N5749" s="2"/>
      <c r="O5749" s="20"/>
      <c r="P5749" s="42"/>
      <c r="R5749" s="23"/>
    </row>
    <row r="5750" spans="1:18" ht="12.75">
      <c r="A5750" s="12"/>
      <c r="D5750" s="12"/>
      <c r="E5750" s="12"/>
      <c r="H5750" s="11" t="str">
        <f ca="1">IFERROR(__xludf.DUMMYFUNCTION("IFERROR(SUBSTITUTE(SUBSTITUTE(REGEXEXTRACT(A5750, ""[^-]+- [^-]+- [^-]+ - (.+?)\.jpg""), "".jpg"", """"), ""-"", "", ""), """")"),"")</f>
        <v/>
      </c>
      <c r="L5750" s="12"/>
      <c r="M5750" s="13"/>
      <c r="N5750" s="2"/>
      <c r="O5750" s="20"/>
      <c r="P5750" s="42"/>
      <c r="R5750" s="23"/>
    </row>
    <row r="5751" spans="1:18" ht="12.75">
      <c r="A5751" s="12"/>
      <c r="D5751" s="12"/>
      <c r="E5751" s="12"/>
      <c r="H5751" s="11" t="str">
        <f ca="1">IFERROR(__xludf.DUMMYFUNCTION("IFERROR(SUBSTITUTE(SUBSTITUTE(REGEXEXTRACT(A5751, ""[^-]+- [^-]+- [^-]+ - (.+?)\.jpg""), "".jpg"", """"), ""-"", "", ""), """")"),"")</f>
        <v/>
      </c>
      <c r="L5751" s="12"/>
      <c r="M5751" s="13"/>
      <c r="N5751" s="2"/>
      <c r="O5751" s="20"/>
      <c r="P5751" s="42"/>
      <c r="R5751" s="23"/>
    </row>
    <row r="5752" spans="1:18" ht="12.75">
      <c r="A5752" s="12"/>
      <c r="D5752" s="12"/>
      <c r="E5752" s="12"/>
      <c r="H5752" s="11" t="str">
        <f ca="1">IFERROR(__xludf.DUMMYFUNCTION("IFERROR(SUBSTITUTE(SUBSTITUTE(REGEXEXTRACT(A5752, ""[^-]+- [^-]+- [^-]+ - (.+?)\.jpg""), "".jpg"", """"), ""-"", "", ""), """")"),"")</f>
        <v/>
      </c>
      <c r="L5752" s="12"/>
      <c r="M5752" s="13"/>
      <c r="N5752" s="2"/>
      <c r="O5752" s="20"/>
      <c r="P5752" s="42"/>
      <c r="R5752" s="23"/>
    </row>
    <row r="5753" spans="1:18" ht="12.75">
      <c r="A5753" s="12"/>
      <c r="D5753" s="12"/>
      <c r="E5753" s="12"/>
      <c r="H5753" s="11" t="str">
        <f ca="1">IFERROR(__xludf.DUMMYFUNCTION("IFERROR(SUBSTITUTE(SUBSTITUTE(REGEXEXTRACT(A5753, ""[^-]+- [^-]+- [^-]+ - (.+?)\.jpg""), "".jpg"", """"), ""-"", "", ""), """")"),"")</f>
        <v/>
      </c>
      <c r="L5753" s="12"/>
      <c r="M5753" s="13"/>
      <c r="N5753" s="2"/>
      <c r="O5753" s="20"/>
      <c r="P5753" s="42"/>
      <c r="R5753" s="23"/>
    </row>
    <row r="5754" spans="1:18" ht="12.75">
      <c r="A5754" s="12"/>
      <c r="D5754" s="12"/>
      <c r="E5754" s="12"/>
      <c r="H5754" s="11" t="str">
        <f ca="1">IFERROR(__xludf.DUMMYFUNCTION("IFERROR(SUBSTITUTE(SUBSTITUTE(REGEXEXTRACT(A5754, ""[^-]+- [^-]+- [^-]+ - (.+?)\.jpg""), "".jpg"", """"), ""-"", "", ""), """")"),"")</f>
        <v/>
      </c>
      <c r="L5754" s="12"/>
      <c r="M5754" s="13"/>
      <c r="N5754" s="2"/>
      <c r="O5754" s="20"/>
      <c r="P5754" s="42"/>
      <c r="R5754" s="23"/>
    </row>
    <row r="5755" spans="1:18" ht="12.75">
      <c r="A5755" s="12"/>
      <c r="D5755" s="12"/>
      <c r="E5755" s="12"/>
      <c r="H5755" s="11" t="str">
        <f ca="1">IFERROR(__xludf.DUMMYFUNCTION("IFERROR(SUBSTITUTE(SUBSTITUTE(REGEXEXTRACT(A5755, ""[^-]+- [^-]+- [^-]+ - (.+?)\.jpg""), "".jpg"", """"), ""-"", "", ""), """")"),"")</f>
        <v/>
      </c>
      <c r="L5755" s="12"/>
      <c r="M5755" s="13"/>
      <c r="N5755" s="2"/>
      <c r="O5755" s="20"/>
      <c r="P5755" s="42"/>
      <c r="R5755" s="23"/>
    </row>
    <row r="5756" spans="1:18" ht="12.75">
      <c r="A5756" s="12"/>
      <c r="D5756" s="12"/>
      <c r="E5756" s="12"/>
      <c r="H5756" s="11" t="str">
        <f ca="1">IFERROR(__xludf.DUMMYFUNCTION("IFERROR(SUBSTITUTE(SUBSTITUTE(REGEXEXTRACT(A5756, ""[^-]+- [^-]+- [^-]+ - (.+?)\.jpg""), "".jpg"", """"), ""-"", "", ""), """")"),"")</f>
        <v/>
      </c>
      <c r="L5756" s="12"/>
      <c r="M5756" s="13"/>
      <c r="N5756" s="2"/>
      <c r="O5756" s="20"/>
      <c r="P5756" s="42"/>
      <c r="R5756" s="23"/>
    </row>
    <row r="5757" spans="1:18" ht="12.75">
      <c r="A5757" s="12"/>
      <c r="D5757" s="12"/>
      <c r="E5757" s="12"/>
      <c r="H5757" s="11" t="str">
        <f ca="1">IFERROR(__xludf.DUMMYFUNCTION("IFERROR(SUBSTITUTE(SUBSTITUTE(REGEXEXTRACT(A5757, ""[^-]+- [^-]+- [^-]+ - (.+?)\.jpg""), "".jpg"", """"), ""-"", "", ""), """")"),"")</f>
        <v/>
      </c>
      <c r="L5757" s="12"/>
      <c r="M5757" s="13"/>
      <c r="N5757" s="2"/>
      <c r="O5757" s="20"/>
      <c r="P5757" s="42"/>
      <c r="R5757" s="23"/>
    </row>
    <row r="5758" spans="1:18" ht="12.75">
      <c r="A5758" s="12"/>
      <c r="D5758" s="12"/>
      <c r="E5758" s="12"/>
      <c r="H5758" s="11" t="str">
        <f ca="1">IFERROR(__xludf.DUMMYFUNCTION("IFERROR(SUBSTITUTE(SUBSTITUTE(REGEXEXTRACT(A5758, ""[^-]+- [^-]+- [^-]+ - (.+?)\.jpg""), "".jpg"", """"), ""-"", "", ""), """")"),"")</f>
        <v/>
      </c>
      <c r="L5758" s="12"/>
      <c r="M5758" s="13"/>
      <c r="N5758" s="2"/>
      <c r="O5758" s="20"/>
      <c r="P5758" s="42"/>
      <c r="R5758" s="23"/>
    </row>
    <row r="5759" spans="1:18" ht="12.75">
      <c r="A5759" s="12"/>
      <c r="D5759" s="12"/>
      <c r="E5759" s="12"/>
      <c r="H5759" s="11" t="str">
        <f ca="1">IFERROR(__xludf.DUMMYFUNCTION("IFERROR(SUBSTITUTE(SUBSTITUTE(REGEXEXTRACT(A5759, ""[^-]+- [^-]+- [^-]+ - (.+?)\.jpg""), "".jpg"", """"), ""-"", "", ""), """")"),"")</f>
        <v/>
      </c>
      <c r="L5759" s="12"/>
      <c r="M5759" s="13"/>
      <c r="N5759" s="2"/>
      <c r="O5759" s="20"/>
      <c r="P5759" s="42"/>
      <c r="R5759" s="23"/>
    </row>
    <row r="5760" spans="1:18" ht="12.75">
      <c r="A5760" s="12"/>
      <c r="D5760" s="12"/>
      <c r="E5760" s="12"/>
      <c r="H5760" s="11" t="str">
        <f ca="1">IFERROR(__xludf.DUMMYFUNCTION("IFERROR(SUBSTITUTE(SUBSTITUTE(REGEXEXTRACT(A5760, ""[^-]+- [^-]+- [^-]+ - (.+?)\.jpg""), "".jpg"", """"), ""-"", "", ""), """")"),"")</f>
        <v/>
      </c>
      <c r="L5760" s="12"/>
      <c r="M5760" s="13"/>
      <c r="N5760" s="2"/>
      <c r="O5760" s="20"/>
      <c r="P5760" s="42"/>
      <c r="R5760" s="23"/>
    </row>
    <row r="5761" spans="1:18" ht="12.75">
      <c r="A5761" s="12"/>
      <c r="D5761" s="12"/>
      <c r="E5761" s="12"/>
      <c r="H5761" s="11" t="str">
        <f ca="1">IFERROR(__xludf.DUMMYFUNCTION("IFERROR(SUBSTITUTE(SUBSTITUTE(REGEXEXTRACT(A5761, ""[^-]+- [^-]+- [^-]+ - (.+?)\.jpg""), "".jpg"", """"), ""-"", "", ""), """")"),"")</f>
        <v/>
      </c>
      <c r="L5761" s="12"/>
      <c r="M5761" s="13"/>
      <c r="N5761" s="2"/>
      <c r="O5761" s="20"/>
      <c r="P5761" s="42"/>
      <c r="R5761" s="23"/>
    </row>
    <row r="5762" spans="1:18" ht="12.75">
      <c r="A5762" s="12"/>
      <c r="D5762" s="12"/>
      <c r="E5762" s="12"/>
      <c r="H5762" s="11" t="str">
        <f ca="1">IFERROR(__xludf.DUMMYFUNCTION("IFERROR(SUBSTITUTE(SUBSTITUTE(REGEXEXTRACT(A5762, ""[^-]+- [^-]+- [^-]+ - (.+?)\.jpg""), "".jpg"", """"), ""-"", "", ""), """")"),"")</f>
        <v/>
      </c>
      <c r="L5762" s="12"/>
      <c r="M5762" s="13"/>
      <c r="N5762" s="2"/>
      <c r="O5762" s="20"/>
      <c r="P5762" s="42"/>
      <c r="R5762" s="23"/>
    </row>
    <row r="5763" spans="1:18" ht="12.75">
      <c r="A5763" s="12"/>
      <c r="D5763" s="12"/>
      <c r="E5763" s="12"/>
      <c r="H5763" s="11" t="str">
        <f ca="1">IFERROR(__xludf.DUMMYFUNCTION("IFERROR(SUBSTITUTE(SUBSTITUTE(REGEXEXTRACT(A5763, ""[^-]+- [^-]+- [^-]+ - (.+?)\.jpg""), "".jpg"", """"), ""-"", "", ""), """")"),"")</f>
        <v/>
      </c>
      <c r="L5763" s="12"/>
      <c r="M5763" s="13"/>
      <c r="N5763" s="2"/>
      <c r="O5763" s="20"/>
      <c r="P5763" s="42"/>
      <c r="R5763" s="23"/>
    </row>
    <row r="5764" spans="1:18" ht="12.75">
      <c r="A5764" s="12"/>
      <c r="D5764" s="12"/>
      <c r="E5764" s="12"/>
      <c r="H5764" s="11" t="str">
        <f ca="1">IFERROR(__xludf.DUMMYFUNCTION("IFERROR(SUBSTITUTE(SUBSTITUTE(REGEXEXTRACT(A5764, ""[^-]+- [^-]+- [^-]+ - (.+?)\.jpg""), "".jpg"", """"), ""-"", "", ""), """")"),"")</f>
        <v/>
      </c>
      <c r="L5764" s="12"/>
      <c r="M5764" s="13"/>
      <c r="N5764" s="2"/>
      <c r="O5764" s="20"/>
      <c r="P5764" s="42"/>
      <c r="R5764" s="23"/>
    </row>
    <row r="5765" spans="1:18" ht="12.75">
      <c r="A5765" s="12"/>
      <c r="D5765" s="12"/>
      <c r="E5765" s="12"/>
      <c r="H5765" s="11" t="str">
        <f ca="1">IFERROR(__xludf.DUMMYFUNCTION("IFERROR(SUBSTITUTE(SUBSTITUTE(REGEXEXTRACT(A5765, ""[^-]+- [^-]+- [^-]+ - (.+?)\.jpg""), "".jpg"", """"), ""-"", "", ""), """")"),"")</f>
        <v/>
      </c>
      <c r="L5765" s="12"/>
      <c r="M5765" s="13"/>
      <c r="N5765" s="2"/>
      <c r="O5765" s="20"/>
      <c r="P5765" s="42"/>
      <c r="R5765" s="23"/>
    </row>
    <row r="5766" spans="1:18" ht="12.75">
      <c r="A5766" s="12"/>
      <c r="D5766" s="12"/>
      <c r="E5766" s="12"/>
      <c r="H5766" s="11" t="str">
        <f ca="1">IFERROR(__xludf.DUMMYFUNCTION("IFERROR(SUBSTITUTE(SUBSTITUTE(REGEXEXTRACT(A5766, ""[^-]+- [^-]+- [^-]+ - (.+?)\.jpg""), "".jpg"", """"), ""-"", "", ""), """")"),"")</f>
        <v/>
      </c>
      <c r="L5766" s="12"/>
      <c r="M5766" s="13"/>
      <c r="N5766" s="2"/>
      <c r="O5766" s="20"/>
      <c r="P5766" s="42"/>
      <c r="R5766" s="23"/>
    </row>
    <row r="5767" spans="1:18" ht="12.75">
      <c r="A5767" s="12"/>
      <c r="D5767" s="12"/>
      <c r="E5767" s="12"/>
      <c r="H5767" s="11" t="str">
        <f ca="1">IFERROR(__xludf.DUMMYFUNCTION("IFERROR(SUBSTITUTE(SUBSTITUTE(REGEXEXTRACT(A5767, ""[^-]+- [^-]+- [^-]+ - (.+?)\.jpg""), "".jpg"", """"), ""-"", "", ""), """")"),"")</f>
        <v/>
      </c>
      <c r="L5767" s="12"/>
      <c r="M5767" s="13"/>
      <c r="N5767" s="2"/>
      <c r="O5767" s="20"/>
      <c r="P5767" s="42"/>
      <c r="R5767" s="23"/>
    </row>
    <row r="5768" spans="1:18" ht="12.75">
      <c r="A5768" s="12"/>
      <c r="D5768" s="12"/>
      <c r="E5768" s="12"/>
      <c r="H5768" s="11" t="str">
        <f ca="1">IFERROR(__xludf.DUMMYFUNCTION("IFERROR(SUBSTITUTE(SUBSTITUTE(REGEXEXTRACT(A5768, ""[^-]+- [^-]+- [^-]+ - (.+?)\.jpg""), "".jpg"", """"), ""-"", "", ""), """")"),"")</f>
        <v/>
      </c>
      <c r="L5768" s="12"/>
      <c r="M5768" s="13"/>
      <c r="N5768" s="2"/>
      <c r="O5768" s="20"/>
      <c r="P5768" s="42"/>
      <c r="R5768" s="23"/>
    </row>
    <row r="5769" spans="1:18" ht="12.75">
      <c r="A5769" s="12"/>
      <c r="D5769" s="12"/>
      <c r="E5769" s="12"/>
      <c r="H5769" s="11" t="str">
        <f ca="1">IFERROR(__xludf.DUMMYFUNCTION("IFERROR(SUBSTITUTE(SUBSTITUTE(REGEXEXTRACT(A5769, ""[^-]+- [^-]+- [^-]+ - (.+?)\.jpg""), "".jpg"", """"), ""-"", "", ""), """")"),"")</f>
        <v/>
      </c>
      <c r="L5769" s="12"/>
      <c r="M5769" s="13"/>
      <c r="N5769" s="2"/>
      <c r="O5769" s="20"/>
      <c r="P5769" s="42"/>
      <c r="R5769" s="23"/>
    </row>
    <row r="5770" spans="1:18" ht="12.75">
      <c r="A5770" s="12"/>
      <c r="D5770" s="12"/>
      <c r="E5770" s="12"/>
      <c r="H5770" s="11" t="str">
        <f ca="1">IFERROR(__xludf.DUMMYFUNCTION("IFERROR(SUBSTITUTE(SUBSTITUTE(REGEXEXTRACT(A5770, ""[^-]+- [^-]+- [^-]+ - (.+?)\.jpg""), "".jpg"", """"), ""-"", "", ""), """")"),"")</f>
        <v/>
      </c>
      <c r="L5770" s="12"/>
      <c r="M5770" s="13"/>
      <c r="N5770" s="2"/>
      <c r="O5770" s="20"/>
      <c r="P5770" s="42"/>
      <c r="R5770" s="23"/>
    </row>
    <row r="5771" spans="1:18" ht="12.75">
      <c r="A5771" s="12"/>
      <c r="D5771" s="12"/>
      <c r="E5771" s="12"/>
      <c r="H5771" s="11" t="str">
        <f ca="1">IFERROR(__xludf.DUMMYFUNCTION("IFERROR(SUBSTITUTE(SUBSTITUTE(REGEXEXTRACT(A5771, ""[^-]+- [^-]+- [^-]+ - (.+?)\.jpg""), "".jpg"", """"), ""-"", "", ""), """")"),"")</f>
        <v/>
      </c>
      <c r="L5771" s="12"/>
      <c r="M5771" s="13"/>
      <c r="N5771" s="2"/>
      <c r="O5771" s="20"/>
      <c r="P5771" s="42"/>
      <c r="R5771" s="23"/>
    </row>
    <row r="5772" spans="1:18" ht="12.75">
      <c r="A5772" s="12"/>
      <c r="D5772" s="12"/>
      <c r="E5772" s="12"/>
      <c r="H5772" s="11" t="str">
        <f ca="1">IFERROR(__xludf.DUMMYFUNCTION("IFERROR(SUBSTITUTE(SUBSTITUTE(REGEXEXTRACT(A5772, ""[^-]+- [^-]+- [^-]+ - (.+?)\.jpg""), "".jpg"", """"), ""-"", "", ""), """")"),"")</f>
        <v/>
      </c>
      <c r="L5772" s="12"/>
      <c r="M5772" s="13"/>
      <c r="N5772" s="2"/>
      <c r="O5772" s="20"/>
      <c r="P5772" s="42"/>
      <c r="R5772" s="23"/>
    </row>
    <row r="5773" spans="1:18" ht="12.75">
      <c r="A5773" s="12"/>
      <c r="D5773" s="12"/>
      <c r="E5773" s="12"/>
      <c r="H5773" s="11" t="str">
        <f ca="1">IFERROR(__xludf.DUMMYFUNCTION("IFERROR(SUBSTITUTE(SUBSTITUTE(REGEXEXTRACT(A5773, ""[^-]+- [^-]+- [^-]+ - (.+?)\.jpg""), "".jpg"", """"), ""-"", "", ""), """")"),"")</f>
        <v/>
      </c>
      <c r="L5773" s="12"/>
      <c r="M5773" s="13"/>
      <c r="N5773" s="2"/>
      <c r="O5773" s="20"/>
      <c r="P5773" s="42"/>
      <c r="R5773" s="23"/>
    </row>
    <row r="5774" spans="1:18" ht="12.75">
      <c r="A5774" s="12"/>
      <c r="D5774" s="12"/>
      <c r="E5774" s="12"/>
      <c r="H5774" s="11" t="str">
        <f ca="1">IFERROR(__xludf.DUMMYFUNCTION("IFERROR(SUBSTITUTE(SUBSTITUTE(REGEXEXTRACT(A5774, ""[^-]+- [^-]+- [^-]+ - (.+?)\.jpg""), "".jpg"", """"), ""-"", "", ""), """")"),"")</f>
        <v/>
      </c>
      <c r="L5774" s="12"/>
      <c r="M5774" s="13"/>
      <c r="N5774" s="2"/>
      <c r="O5774" s="20"/>
      <c r="P5774" s="42"/>
      <c r="R5774" s="23"/>
    </row>
    <row r="5775" spans="1:18" ht="12.75">
      <c r="A5775" s="12"/>
      <c r="D5775" s="12"/>
      <c r="E5775" s="12"/>
      <c r="H5775" s="11" t="str">
        <f ca="1">IFERROR(__xludf.DUMMYFUNCTION("IFERROR(SUBSTITUTE(SUBSTITUTE(REGEXEXTRACT(A5775, ""[^-]+- [^-]+- [^-]+ - (.+?)\.jpg""), "".jpg"", """"), ""-"", "", ""), """")"),"")</f>
        <v/>
      </c>
      <c r="L5775" s="12"/>
      <c r="M5775" s="13"/>
      <c r="N5775" s="2"/>
      <c r="O5775" s="20"/>
      <c r="P5775" s="42"/>
      <c r="R5775" s="23"/>
    </row>
    <row r="5776" spans="1:18" ht="12.75">
      <c r="A5776" s="12"/>
      <c r="D5776" s="12"/>
      <c r="E5776" s="12"/>
      <c r="H5776" s="11" t="str">
        <f ca="1">IFERROR(__xludf.DUMMYFUNCTION("IFERROR(SUBSTITUTE(SUBSTITUTE(REGEXEXTRACT(A5776, ""[^-]+- [^-]+- [^-]+ - (.+?)\.jpg""), "".jpg"", """"), ""-"", "", ""), """")"),"")</f>
        <v/>
      </c>
      <c r="L5776" s="12"/>
      <c r="M5776" s="13"/>
      <c r="N5776" s="2"/>
      <c r="O5776" s="20"/>
      <c r="P5776" s="42"/>
      <c r="R5776" s="23"/>
    </row>
    <row r="5777" spans="1:18" ht="12.75">
      <c r="A5777" s="12"/>
      <c r="D5777" s="12"/>
      <c r="E5777" s="12"/>
      <c r="H5777" s="11" t="str">
        <f ca="1">IFERROR(__xludf.DUMMYFUNCTION("IFERROR(SUBSTITUTE(SUBSTITUTE(REGEXEXTRACT(A5777, ""[^-]+- [^-]+- [^-]+ - (.+?)\.jpg""), "".jpg"", """"), ""-"", "", ""), """")"),"")</f>
        <v/>
      </c>
      <c r="L5777" s="12"/>
      <c r="M5777" s="13"/>
      <c r="N5777" s="2"/>
      <c r="O5777" s="20"/>
      <c r="P5777" s="42"/>
      <c r="R5777" s="23"/>
    </row>
    <row r="5778" spans="1:18" ht="12.75">
      <c r="A5778" s="12"/>
      <c r="D5778" s="12"/>
      <c r="E5778" s="12"/>
      <c r="H5778" s="11" t="str">
        <f ca="1">IFERROR(__xludf.DUMMYFUNCTION("IFERROR(SUBSTITUTE(SUBSTITUTE(REGEXEXTRACT(A5778, ""[^-]+- [^-]+- [^-]+ - (.+?)\.jpg""), "".jpg"", """"), ""-"", "", ""), """")"),"")</f>
        <v/>
      </c>
      <c r="L5778" s="12"/>
      <c r="M5778" s="13"/>
      <c r="N5778" s="2"/>
      <c r="O5778" s="20"/>
      <c r="P5778" s="42"/>
      <c r="R5778" s="23"/>
    </row>
    <row r="5779" spans="1:18" ht="12.75">
      <c r="A5779" s="12"/>
      <c r="D5779" s="12"/>
      <c r="E5779" s="12"/>
      <c r="H5779" s="11" t="str">
        <f ca="1">IFERROR(__xludf.DUMMYFUNCTION("IFERROR(SUBSTITUTE(SUBSTITUTE(REGEXEXTRACT(A5779, ""[^-]+- [^-]+- [^-]+ - (.+?)\.jpg""), "".jpg"", """"), ""-"", "", ""), """")"),"")</f>
        <v/>
      </c>
      <c r="L5779" s="12"/>
      <c r="M5779" s="13"/>
      <c r="N5779" s="2"/>
      <c r="O5779" s="20"/>
      <c r="P5779" s="42"/>
      <c r="R5779" s="23"/>
    </row>
    <row r="5780" spans="1:18" ht="12.75">
      <c r="A5780" s="12"/>
      <c r="D5780" s="12"/>
      <c r="E5780" s="12"/>
      <c r="H5780" s="11" t="str">
        <f ca="1">IFERROR(__xludf.DUMMYFUNCTION("IFERROR(SUBSTITUTE(SUBSTITUTE(REGEXEXTRACT(A5780, ""[^-]+- [^-]+- [^-]+ - (.+?)\.jpg""), "".jpg"", """"), ""-"", "", ""), """")"),"")</f>
        <v/>
      </c>
      <c r="L5780" s="12"/>
      <c r="M5780" s="13"/>
      <c r="N5780" s="2"/>
      <c r="O5780" s="20"/>
      <c r="P5780" s="42"/>
      <c r="R5780" s="23"/>
    </row>
    <row r="5781" spans="1:18" ht="12.75">
      <c r="A5781" s="12"/>
      <c r="D5781" s="12"/>
      <c r="E5781" s="12"/>
      <c r="H5781" s="11" t="str">
        <f ca="1">IFERROR(__xludf.DUMMYFUNCTION("IFERROR(SUBSTITUTE(SUBSTITUTE(REGEXEXTRACT(A5781, ""[^-]+- [^-]+- [^-]+ - (.+?)\.jpg""), "".jpg"", """"), ""-"", "", ""), """")"),"")</f>
        <v/>
      </c>
      <c r="L5781" s="12"/>
      <c r="M5781" s="13"/>
      <c r="N5781" s="2"/>
      <c r="O5781" s="20"/>
      <c r="P5781" s="42"/>
      <c r="R5781" s="23"/>
    </row>
    <row r="5782" spans="1:18" ht="12.75">
      <c r="A5782" s="12"/>
      <c r="D5782" s="12"/>
      <c r="E5782" s="12"/>
      <c r="H5782" s="11" t="str">
        <f ca="1">IFERROR(__xludf.DUMMYFUNCTION("IFERROR(SUBSTITUTE(SUBSTITUTE(REGEXEXTRACT(A5782, ""[^-]+- [^-]+- [^-]+ - (.+?)\.jpg""), "".jpg"", """"), ""-"", "", ""), """")"),"")</f>
        <v/>
      </c>
      <c r="L5782" s="12"/>
      <c r="M5782" s="13"/>
      <c r="N5782" s="2"/>
      <c r="O5782" s="20"/>
      <c r="P5782" s="42"/>
      <c r="R5782" s="23"/>
    </row>
    <row r="5783" spans="1:18" ht="12.75">
      <c r="A5783" s="12"/>
      <c r="D5783" s="12"/>
      <c r="E5783" s="12"/>
      <c r="H5783" s="11" t="str">
        <f ca="1">IFERROR(__xludf.DUMMYFUNCTION("IFERROR(SUBSTITUTE(SUBSTITUTE(REGEXEXTRACT(A5783, ""[^-]+- [^-]+- [^-]+ - (.+?)\.jpg""), "".jpg"", """"), ""-"", "", ""), """")"),"")</f>
        <v/>
      </c>
      <c r="L5783" s="12"/>
      <c r="M5783" s="13"/>
      <c r="N5783" s="2"/>
      <c r="O5783" s="20"/>
      <c r="P5783" s="42"/>
      <c r="R5783" s="23"/>
    </row>
    <row r="5784" spans="1:18" ht="12.75">
      <c r="A5784" s="12"/>
      <c r="D5784" s="12"/>
      <c r="E5784" s="12"/>
      <c r="H5784" s="11" t="str">
        <f ca="1">IFERROR(__xludf.DUMMYFUNCTION("IFERROR(SUBSTITUTE(SUBSTITUTE(REGEXEXTRACT(A5784, ""[^-]+- [^-]+- [^-]+ - (.+?)\.jpg""), "".jpg"", """"), ""-"", "", ""), """")"),"")</f>
        <v/>
      </c>
      <c r="L5784" s="12"/>
      <c r="M5784" s="13"/>
      <c r="N5784" s="2"/>
      <c r="O5784" s="20"/>
      <c r="P5784" s="42"/>
      <c r="R5784" s="23"/>
    </row>
    <row r="5785" spans="1:18" ht="12.75">
      <c r="A5785" s="12"/>
      <c r="D5785" s="12"/>
      <c r="E5785" s="12"/>
      <c r="H5785" s="11" t="str">
        <f ca="1">IFERROR(__xludf.DUMMYFUNCTION("IFERROR(SUBSTITUTE(SUBSTITUTE(REGEXEXTRACT(A5785, ""[^-]+- [^-]+- [^-]+ - (.+?)\.jpg""), "".jpg"", """"), ""-"", "", ""), """")"),"")</f>
        <v/>
      </c>
      <c r="L5785" s="12"/>
      <c r="M5785" s="13"/>
      <c r="N5785" s="2"/>
      <c r="O5785" s="20"/>
      <c r="P5785" s="42"/>
      <c r="R5785" s="23"/>
    </row>
    <row r="5786" spans="1:18" ht="12.75">
      <c r="A5786" s="12"/>
      <c r="D5786" s="12"/>
      <c r="E5786" s="12"/>
      <c r="H5786" s="11" t="str">
        <f ca="1">IFERROR(__xludf.DUMMYFUNCTION("IFERROR(SUBSTITUTE(SUBSTITUTE(REGEXEXTRACT(A5786, ""[^-]+- [^-]+- [^-]+ - (.+?)\.jpg""), "".jpg"", """"), ""-"", "", ""), """")"),"")</f>
        <v/>
      </c>
      <c r="L5786" s="12"/>
      <c r="M5786" s="13"/>
      <c r="N5786" s="2"/>
      <c r="O5786" s="20"/>
      <c r="P5786" s="42"/>
      <c r="R5786" s="23"/>
    </row>
    <row r="5787" spans="1:18" ht="12.75">
      <c r="A5787" s="12"/>
      <c r="D5787" s="12"/>
      <c r="E5787" s="12"/>
      <c r="H5787" s="11" t="str">
        <f ca="1">IFERROR(__xludf.DUMMYFUNCTION("IFERROR(SUBSTITUTE(SUBSTITUTE(REGEXEXTRACT(A5787, ""[^-]+- [^-]+- [^-]+ - (.+?)\.jpg""), "".jpg"", """"), ""-"", "", ""), """")"),"")</f>
        <v/>
      </c>
      <c r="L5787" s="12"/>
      <c r="M5787" s="13"/>
      <c r="N5787" s="2"/>
      <c r="O5787" s="20"/>
      <c r="P5787" s="42"/>
      <c r="R5787" s="23"/>
    </row>
    <row r="5788" spans="1:18" ht="12.75">
      <c r="A5788" s="12"/>
      <c r="D5788" s="12"/>
      <c r="E5788" s="12"/>
      <c r="H5788" s="11" t="str">
        <f ca="1">IFERROR(__xludf.DUMMYFUNCTION("IFERROR(SUBSTITUTE(SUBSTITUTE(REGEXEXTRACT(A5788, ""[^-]+- [^-]+- [^-]+ - (.+?)\.jpg""), "".jpg"", """"), ""-"", "", ""), """")"),"")</f>
        <v/>
      </c>
      <c r="L5788" s="12"/>
      <c r="M5788" s="13"/>
      <c r="N5788" s="2"/>
      <c r="O5788" s="20"/>
      <c r="P5788" s="42"/>
      <c r="R5788" s="23"/>
    </row>
    <row r="5789" spans="1:18" ht="12.75">
      <c r="A5789" s="12"/>
      <c r="D5789" s="12"/>
      <c r="E5789" s="12"/>
      <c r="H5789" s="11" t="str">
        <f ca="1">IFERROR(__xludf.DUMMYFUNCTION("IFERROR(SUBSTITUTE(SUBSTITUTE(REGEXEXTRACT(A5789, ""[^-]+- [^-]+- [^-]+ - (.+?)\.jpg""), "".jpg"", """"), ""-"", "", ""), """")"),"")</f>
        <v/>
      </c>
      <c r="L5789" s="12"/>
      <c r="M5789" s="13"/>
      <c r="N5789" s="2"/>
      <c r="O5789" s="20"/>
      <c r="P5789" s="42"/>
      <c r="R5789" s="23"/>
    </row>
    <row r="5790" spans="1:18" ht="12.75">
      <c r="A5790" s="12"/>
      <c r="D5790" s="12"/>
      <c r="E5790" s="12"/>
      <c r="H5790" s="11" t="str">
        <f ca="1">IFERROR(__xludf.DUMMYFUNCTION("IFERROR(SUBSTITUTE(SUBSTITUTE(REGEXEXTRACT(A5790, ""[^-]+- [^-]+- [^-]+ - (.+?)\.jpg""), "".jpg"", """"), ""-"", "", ""), """")"),"")</f>
        <v/>
      </c>
      <c r="L5790" s="12"/>
      <c r="M5790" s="13"/>
      <c r="N5790" s="2"/>
      <c r="O5790" s="20"/>
      <c r="P5790" s="42"/>
      <c r="R5790" s="23"/>
    </row>
    <row r="5791" spans="1:18" ht="12.75">
      <c r="A5791" s="12"/>
      <c r="D5791" s="12"/>
      <c r="E5791" s="12"/>
      <c r="H5791" s="11" t="str">
        <f ca="1">IFERROR(__xludf.DUMMYFUNCTION("IFERROR(SUBSTITUTE(SUBSTITUTE(REGEXEXTRACT(A5791, ""[^-]+- [^-]+- [^-]+ - (.+?)\.jpg""), "".jpg"", """"), ""-"", "", ""), """")"),"")</f>
        <v/>
      </c>
      <c r="L5791" s="12"/>
      <c r="M5791" s="13"/>
      <c r="N5791" s="2"/>
      <c r="O5791" s="20"/>
      <c r="P5791" s="42"/>
      <c r="R5791" s="23"/>
    </row>
    <row r="5792" spans="1:18" ht="12.75">
      <c r="A5792" s="12"/>
      <c r="D5792" s="12"/>
      <c r="E5792" s="12"/>
      <c r="H5792" s="11" t="str">
        <f ca="1">IFERROR(__xludf.DUMMYFUNCTION("IFERROR(SUBSTITUTE(SUBSTITUTE(REGEXEXTRACT(A5792, ""[^-]+- [^-]+- [^-]+ - (.+?)\.jpg""), "".jpg"", """"), ""-"", "", ""), """")"),"")</f>
        <v/>
      </c>
      <c r="L5792" s="12"/>
      <c r="M5792" s="13"/>
      <c r="N5792" s="2"/>
      <c r="O5792" s="20"/>
      <c r="P5792" s="42"/>
      <c r="R5792" s="23"/>
    </row>
    <row r="5793" spans="1:18" ht="12.75">
      <c r="A5793" s="12"/>
      <c r="D5793" s="12"/>
      <c r="E5793" s="12"/>
      <c r="H5793" s="11" t="str">
        <f ca="1">IFERROR(__xludf.DUMMYFUNCTION("IFERROR(SUBSTITUTE(SUBSTITUTE(REGEXEXTRACT(A5793, ""[^-]+- [^-]+- [^-]+ - (.+?)\.jpg""), "".jpg"", """"), ""-"", "", ""), """")"),"")</f>
        <v/>
      </c>
      <c r="L5793" s="12"/>
      <c r="M5793" s="13"/>
      <c r="N5793" s="2"/>
      <c r="O5793" s="20"/>
      <c r="P5793" s="42"/>
      <c r="R5793" s="23"/>
    </row>
    <row r="5794" spans="1:18" ht="12.75">
      <c r="A5794" s="12"/>
      <c r="D5794" s="12"/>
      <c r="E5794" s="12"/>
      <c r="H5794" s="11" t="str">
        <f ca="1">IFERROR(__xludf.DUMMYFUNCTION("IFERROR(SUBSTITUTE(SUBSTITUTE(REGEXEXTRACT(A5794, ""[^-]+- [^-]+- [^-]+ - (.+?)\.jpg""), "".jpg"", """"), ""-"", "", ""), """")"),"")</f>
        <v/>
      </c>
      <c r="L5794" s="12"/>
      <c r="M5794" s="13"/>
      <c r="N5794" s="2"/>
      <c r="O5794" s="20"/>
      <c r="P5794" s="42"/>
      <c r="R5794" s="23"/>
    </row>
    <row r="5795" spans="1:18" ht="12.75">
      <c r="A5795" s="12"/>
      <c r="D5795" s="12"/>
      <c r="E5795" s="12"/>
      <c r="H5795" s="11" t="str">
        <f ca="1">IFERROR(__xludf.DUMMYFUNCTION("IFERROR(SUBSTITUTE(SUBSTITUTE(REGEXEXTRACT(A5795, ""[^-]+- [^-]+- [^-]+ - (.+?)\.jpg""), "".jpg"", """"), ""-"", "", ""), """")"),"")</f>
        <v/>
      </c>
      <c r="L5795" s="12"/>
      <c r="M5795" s="13"/>
      <c r="N5795" s="2"/>
      <c r="O5795" s="20"/>
      <c r="P5795" s="42"/>
      <c r="R5795" s="23"/>
    </row>
    <row r="5796" spans="1:18" ht="12.75">
      <c r="A5796" s="12"/>
      <c r="D5796" s="12"/>
      <c r="E5796" s="12"/>
      <c r="H5796" s="11" t="str">
        <f ca="1">IFERROR(__xludf.DUMMYFUNCTION("IFERROR(SUBSTITUTE(SUBSTITUTE(REGEXEXTRACT(A5796, ""[^-]+- [^-]+- [^-]+ - (.+?)\.jpg""), "".jpg"", """"), ""-"", "", ""), """")"),"")</f>
        <v/>
      </c>
      <c r="L5796" s="12"/>
      <c r="M5796" s="13"/>
      <c r="N5796" s="2"/>
      <c r="O5796" s="20"/>
      <c r="P5796" s="42"/>
      <c r="R5796" s="23"/>
    </row>
    <row r="5797" spans="1:18" ht="12.75">
      <c r="A5797" s="12"/>
      <c r="D5797" s="12"/>
      <c r="E5797" s="12"/>
      <c r="H5797" s="11" t="str">
        <f ca="1">IFERROR(__xludf.DUMMYFUNCTION("IFERROR(SUBSTITUTE(SUBSTITUTE(REGEXEXTRACT(A5797, ""[^-]+- [^-]+- [^-]+ - (.+?)\.jpg""), "".jpg"", """"), ""-"", "", ""), """")"),"")</f>
        <v/>
      </c>
      <c r="L5797" s="12"/>
      <c r="M5797" s="13"/>
      <c r="N5797" s="2"/>
      <c r="O5797" s="20"/>
      <c r="P5797" s="42"/>
      <c r="R5797" s="23"/>
    </row>
    <row r="5798" spans="1:18" ht="12.75">
      <c r="A5798" s="12"/>
      <c r="D5798" s="12"/>
      <c r="E5798" s="12"/>
      <c r="H5798" s="11" t="str">
        <f ca="1">IFERROR(__xludf.DUMMYFUNCTION("IFERROR(SUBSTITUTE(SUBSTITUTE(REGEXEXTRACT(A5798, ""[^-]+- [^-]+- [^-]+ - (.+?)\.jpg""), "".jpg"", """"), ""-"", "", ""), """")"),"")</f>
        <v/>
      </c>
      <c r="L5798" s="12"/>
      <c r="M5798" s="13"/>
      <c r="N5798" s="2"/>
      <c r="O5798" s="20"/>
      <c r="P5798" s="42"/>
      <c r="R5798" s="23"/>
    </row>
    <row r="5799" spans="1:18" ht="12.75">
      <c r="A5799" s="12"/>
      <c r="D5799" s="12"/>
      <c r="E5799" s="12"/>
      <c r="H5799" s="11" t="str">
        <f ca="1">IFERROR(__xludf.DUMMYFUNCTION("IFERROR(SUBSTITUTE(SUBSTITUTE(REGEXEXTRACT(A5799, ""[^-]+- [^-]+- [^-]+ - (.+?)\.jpg""), "".jpg"", """"), ""-"", "", ""), """")"),"")</f>
        <v/>
      </c>
      <c r="L5799" s="12"/>
      <c r="M5799" s="13"/>
      <c r="N5799" s="2"/>
      <c r="O5799" s="20"/>
      <c r="P5799" s="42"/>
      <c r="R5799" s="23"/>
    </row>
    <row r="5800" spans="1:18" ht="12.75">
      <c r="A5800" s="12"/>
      <c r="D5800" s="12"/>
      <c r="E5800" s="12"/>
      <c r="H5800" s="11" t="str">
        <f ca="1">IFERROR(__xludf.DUMMYFUNCTION("IFERROR(SUBSTITUTE(SUBSTITUTE(REGEXEXTRACT(A5800, ""[^-]+- [^-]+- [^-]+ - (.+?)\.jpg""), "".jpg"", """"), ""-"", "", ""), """")"),"")</f>
        <v/>
      </c>
      <c r="L5800" s="12"/>
      <c r="M5800" s="13"/>
      <c r="N5800" s="2"/>
      <c r="O5800" s="20"/>
      <c r="P5800" s="42"/>
      <c r="R5800" s="23"/>
    </row>
    <row r="5801" spans="1:18" ht="12.75">
      <c r="A5801" s="12"/>
      <c r="D5801" s="12"/>
      <c r="E5801" s="12"/>
      <c r="H5801" s="11" t="str">
        <f ca="1">IFERROR(__xludf.DUMMYFUNCTION("IFERROR(SUBSTITUTE(SUBSTITUTE(REGEXEXTRACT(A5801, ""[^-]+- [^-]+- [^-]+ - (.+?)\.jpg""), "".jpg"", """"), ""-"", "", ""), """")"),"")</f>
        <v/>
      </c>
      <c r="L5801" s="12"/>
      <c r="M5801" s="13"/>
      <c r="N5801" s="2"/>
      <c r="O5801" s="20"/>
      <c r="P5801" s="42"/>
      <c r="R5801" s="23"/>
    </row>
    <row r="5802" spans="1:18" ht="12.75">
      <c r="A5802" s="12"/>
      <c r="D5802" s="12"/>
      <c r="E5802" s="12"/>
      <c r="H5802" s="11" t="str">
        <f ca="1">IFERROR(__xludf.DUMMYFUNCTION("IFERROR(SUBSTITUTE(SUBSTITUTE(REGEXEXTRACT(A5802, ""[^-]+- [^-]+- [^-]+ - (.+?)\.jpg""), "".jpg"", """"), ""-"", "", ""), """")"),"")</f>
        <v/>
      </c>
      <c r="L5802" s="12"/>
      <c r="M5802" s="13"/>
      <c r="N5802" s="2"/>
      <c r="O5802" s="20"/>
      <c r="P5802" s="42"/>
      <c r="R5802" s="23"/>
    </row>
    <row r="5803" spans="1:18" ht="12.75">
      <c r="A5803" s="12"/>
      <c r="D5803" s="12"/>
      <c r="E5803" s="12"/>
      <c r="H5803" s="11" t="str">
        <f ca="1">IFERROR(__xludf.DUMMYFUNCTION("IFERROR(SUBSTITUTE(SUBSTITUTE(REGEXEXTRACT(A5803, ""[^-]+- [^-]+- [^-]+ - (.+?)\.jpg""), "".jpg"", """"), ""-"", "", ""), """")"),"")</f>
        <v/>
      </c>
      <c r="L5803" s="12"/>
      <c r="M5803" s="13"/>
      <c r="N5803" s="2"/>
      <c r="O5803" s="20"/>
      <c r="P5803" s="42"/>
      <c r="R5803" s="23"/>
    </row>
    <row r="5804" spans="1:18" ht="12.75">
      <c r="A5804" s="12"/>
      <c r="D5804" s="12"/>
      <c r="E5804" s="12"/>
      <c r="H5804" s="11" t="str">
        <f ca="1">IFERROR(__xludf.DUMMYFUNCTION("IFERROR(SUBSTITUTE(SUBSTITUTE(REGEXEXTRACT(A5804, ""[^-]+- [^-]+- [^-]+ - (.+?)\.jpg""), "".jpg"", """"), ""-"", "", ""), """")"),"")</f>
        <v/>
      </c>
      <c r="L5804" s="12"/>
      <c r="M5804" s="13"/>
      <c r="N5804" s="2"/>
      <c r="O5804" s="20"/>
      <c r="P5804" s="42"/>
      <c r="R5804" s="23"/>
    </row>
    <row r="5805" spans="1:18" ht="12.75">
      <c r="A5805" s="12"/>
      <c r="D5805" s="12"/>
      <c r="E5805" s="12"/>
      <c r="H5805" s="11" t="str">
        <f ca="1">IFERROR(__xludf.DUMMYFUNCTION("IFERROR(SUBSTITUTE(SUBSTITUTE(REGEXEXTRACT(A5805, ""[^-]+- [^-]+- [^-]+ - (.+?)\.jpg""), "".jpg"", """"), ""-"", "", ""), """")"),"")</f>
        <v/>
      </c>
      <c r="L5805" s="12"/>
      <c r="M5805" s="13"/>
      <c r="N5805" s="2"/>
      <c r="O5805" s="20"/>
      <c r="P5805" s="42"/>
      <c r="R5805" s="23"/>
    </row>
    <row r="5806" spans="1:18" ht="12.75">
      <c r="A5806" s="12"/>
      <c r="D5806" s="12"/>
      <c r="E5806" s="12"/>
      <c r="H5806" s="11" t="str">
        <f ca="1">IFERROR(__xludf.DUMMYFUNCTION("IFERROR(SUBSTITUTE(SUBSTITUTE(REGEXEXTRACT(A5806, ""[^-]+- [^-]+- [^-]+ - (.+?)\.jpg""), "".jpg"", """"), ""-"", "", ""), """")"),"")</f>
        <v/>
      </c>
      <c r="L5806" s="12"/>
      <c r="M5806" s="13"/>
      <c r="N5806" s="2"/>
      <c r="O5806" s="20"/>
      <c r="P5806" s="42"/>
      <c r="R5806" s="23"/>
    </row>
    <row r="5807" spans="1:18" ht="12.75">
      <c r="A5807" s="12"/>
      <c r="D5807" s="12"/>
      <c r="E5807" s="12"/>
      <c r="H5807" s="11" t="str">
        <f ca="1">IFERROR(__xludf.DUMMYFUNCTION("IFERROR(SUBSTITUTE(SUBSTITUTE(REGEXEXTRACT(A5807, ""[^-]+- [^-]+- [^-]+ - (.+?)\.jpg""), "".jpg"", """"), ""-"", "", ""), """")"),"")</f>
        <v/>
      </c>
      <c r="L5807" s="12"/>
      <c r="M5807" s="13"/>
      <c r="N5807" s="2"/>
      <c r="O5807" s="20"/>
      <c r="P5807" s="42"/>
      <c r="R5807" s="23"/>
    </row>
    <row r="5808" spans="1:18" ht="12.75">
      <c r="A5808" s="12"/>
      <c r="D5808" s="12"/>
      <c r="E5808" s="12"/>
      <c r="H5808" s="11" t="str">
        <f ca="1">IFERROR(__xludf.DUMMYFUNCTION("IFERROR(SUBSTITUTE(SUBSTITUTE(REGEXEXTRACT(A5808, ""[^-]+- [^-]+- [^-]+ - (.+?)\.jpg""), "".jpg"", """"), ""-"", "", ""), """")"),"")</f>
        <v/>
      </c>
      <c r="L5808" s="12"/>
      <c r="M5808" s="13"/>
      <c r="N5808" s="2"/>
      <c r="O5808" s="20"/>
      <c r="P5808" s="42"/>
      <c r="R5808" s="23"/>
    </row>
    <row r="5809" spans="1:18" ht="12.75">
      <c r="A5809" s="12"/>
      <c r="D5809" s="12"/>
      <c r="E5809" s="12"/>
      <c r="H5809" s="11" t="str">
        <f ca="1">IFERROR(__xludf.DUMMYFUNCTION("IFERROR(SUBSTITUTE(SUBSTITUTE(REGEXEXTRACT(A5809, ""[^-]+- [^-]+- [^-]+ - (.+?)\.jpg""), "".jpg"", """"), ""-"", "", ""), """")"),"")</f>
        <v/>
      </c>
      <c r="L5809" s="12"/>
      <c r="M5809" s="13"/>
      <c r="N5809" s="2"/>
      <c r="O5809" s="20"/>
      <c r="P5809" s="42"/>
      <c r="R5809" s="23"/>
    </row>
    <row r="5810" spans="1:18" ht="12.75">
      <c r="A5810" s="12"/>
      <c r="D5810" s="12"/>
      <c r="E5810" s="12"/>
      <c r="H5810" s="11" t="str">
        <f ca="1">IFERROR(__xludf.DUMMYFUNCTION("IFERROR(SUBSTITUTE(SUBSTITUTE(REGEXEXTRACT(A5810, ""[^-]+- [^-]+- [^-]+ - (.+?)\.jpg""), "".jpg"", """"), ""-"", "", ""), """")"),"")</f>
        <v/>
      </c>
      <c r="L5810" s="12"/>
      <c r="M5810" s="13"/>
      <c r="N5810" s="2"/>
      <c r="O5810" s="20"/>
      <c r="P5810" s="42"/>
      <c r="R5810" s="23"/>
    </row>
    <row r="5811" spans="1:18" ht="12.75">
      <c r="A5811" s="12"/>
      <c r="D5811" s="12"/>
      <c r="E5811" s="12"/>
      <c r="H5811" s="11" t="str">
        <f ca="1">IFERROR(__xludf.DUMMYFUNCTION("IFERROR(SUBSTITUTE(SUBSTITUTE(REGEXEXTRACT(A5811, ""[^-]+- [^-]+- [^-]+ - (.+?)\.jpg""), "".jpg"", """"), ""-"", "", ""), """")"),"")</f>
        <v/>
      </c>
      <c r="L5811" s="12"/>
      <c r="M5811" s="13"/>
      <c r="N5811" s="2"/>
      <c r="O5811" s="20"/>
      <c r="P5811" s="42"/>
      <c r="R5811" s="23"/>
    </row>
    <row r="5812" spans="1:18" ht="12.75">
      <c r="A5812" s="12"/>
      <c r="D5812" s="12"/>
      <c r="E5812" s="12"/>
      <c r="H5812" s="11" t="str">
        <f ca="1">IFERROR(__xludf.DUMMYFUNCTION("IFERROR(SUBSTITUTE(SUBSTITUTE(REGEXEXTRACT(A5812, ""[^-]+- [^-]+- [^-]+ - (.+?)\.jpg""), "".jpg"", """"), ""-"", "", ""), """")"),"")</f>
        <v/>
      </c>
      <c r="L5812" s="12"/>
      <c r="M5812" s="13"/>
      <c r="N5812" s="2"/>
      <c r="O5812" s="20"/>
      <c r="P5812" s="42"/>
      <c r="R5812" s="23"/>
    </row>
    <row r="5813" spans="1:18" ht="12.75">
      <c r="A5813" s="12"/>
      <c r="D5813" s="12"/>
      <c r="E5813" s="12"/>
      <c r="H5813" s="11" t="str">
        <f ca="1">IFERROR(__xludf.DUMMYFUNCTION("IFERROR(SUBSTITUTE(SUBSTITUTE(REGEXEXTRACT(A5813, ""[^-]+- [^-]+- [^-]+ - (.+?)\.jpg""), "".jpg"", """"), ""-"", "", ""), """")"),"")</f>
        <v/>
      </c>
      <c r="L5813" s="12"/>
      <c r="M5813" s="13"/>
      <c r="N5813" s="2"/>
      <c r="O5813" s="20"/>
      <c r="P5813" s="42"/>
      <c r="R5813" s="23"/>
    </row>
    <row r="5814" spans="1:18" ht="12.75">
      <c r="A5814" s="12"/>
      <c r="D5814" s="12"/>
      <c r="E5814" s="12"/>
      <c r="H5814" s="11" t="str">
        <f ca="1">IFERROR(__xludf.DUMMYFUNCTION("IFERROR(SUBSTITUTE(SUBSTITUTE(REGEXEXTRACT(A5814, ""[^-]+- [^-]+- [^-]+ - (.+?)\.jpg""), "".jpg"", """"), ""-"", "", ""), """")"),"")</f>
        <v/>
      </c>
      <c r="L5814" s="12"/>
      <c r="M5814" s="13"/>
      <c r="N5814" s="2"/>
      <c r="O5814" s="20"/>
      <c r="P5814" s="42"/>
      <c r="R5814" s="23"/>
    </row>
    <row r="5815" spans="1:18" ht="12.75">
      <c r="A5815" s="12"/>
      <c r="D5815" s="12"/>
      <c r="E5815" s="12"/>
      <c r="H5815" s="11" t="str">
        <f ca="1">IFERROR(__xludf.DUMMYFUNCTION("IFERROR(SUBSTITUTE(SUBSTITUTE(REGEXEXTRACT(A5815, ""[^-]+- [^-]+- [^-]+ - (.+?)\.jpg""), "".jpg"", """"), ""-"", "", ""), """")"),"")</f>
        <v/>
      </c>
      <c r="L5815" s="12"/>
      <c r="M5815" s="13"/>
      <c r="N5815" s="2"/>
      <c r="O5815" s="20"/>
      <c r="P5815" s="42"/>
      <c r="R5815" s="23"/>
    </row>
    <row r="5816" spans="1:18" ht="12.75">
      <c r="A5816" s="12"/>
      <c r="D5816" s="12"/>
      <c r="E5816" s="12"/>
      <c r="H5816" s="11" t="str">
        <f ca="1">IFERROR(__xludf.DUMMYFUNCTION("IFERROR(SUBSTITUTE(SUBSTITUTE(REGEXEXTRACT(A5816, ""[^-]+- [^-]+- [^-]+ - (.+?)\.jpg""), "".jpg"", """"), ""-"", "", ""), """")"),"")</f>
        <v/>
      </c>
      <c r="L5816" s="12"/>
      <c r="M5816" s="13"/>
      <c r="N5816" s="2"/>
      <c r="O5816" s="20"/>
      <c r="P5816" s="42"/>
      <c r="R5816" s="23"/>
    </row>
    <row r="5817" spans="1:18" ht="12.75">
      <c r="A5817" s="12"/>
      <c r="D5817" s="12"/>
      <c r="E5817" s="12"/>
      <c r="H5817" s="11" t="str">
        <f ca="1">IFERROR(__xludf.DUMMYFUNCTION("IFERROR(SUBSTITUTE(SUBSTITUTE(REGEXEXTRACT(A5817, ""[^-]+- [^-]+- [^-]+ - (.+?)\.jpg""), "".jpg"", """"), ""-"", "", ""), """")"),"")</f>
        <v/>
      </c>
      <c r="L5817" s="12"/>
      <c r="M5817" s="13"/>
      <c r="N5817" s="2"/>
      <c r="O5817" s="20"/>
      <c r="P5817" s="42"/>
      <c r="R5817" s="23"/>
    </row>
    <row r="5818" spans="1:18" ht="12.75">
      <c r="A5818" s="12"/>
      <c r="D5818" s="12"/>
      <c r="E5818" s="12"/>
      <c r="H5818" s="11" t="str">
        <f ca="1">IFERROR(__xludf.DUMMYFUNCTION("IFERROR(SUBSTITUTE(SUBSTITUTE(REGEXEXTRACT(A5818, ""[^-]+- [^-]+- [^-]+ - (.+?)\.jpg""), "".jpg"", """"), ""-"", "", ""), """")"),"")</f>
        <v/>
      </c>
      <c r="L5818" s="12"/>
      <c r="M5818" s="13"/>
      <c r="N5818" s="2"/>
      <c r="O5818" s="20"/>
      <c r="P5818" s="42"/>
      <c r="R5818" s="23"/>
    </row>
    <row r="5819" spans="1:18" ht="12.75">
      <c r="A5819" s="12"/>
      <c r="D5819" s="12"/>
      <c r="E5819" s="12"/>
      <c r="H5819" s="11" t="str">
        <f ca="1">IFERROR(__xludf.DUMMYFUNCTION("IFERROR(SUBSTITUTE(SUBSTITUTE(REGEXEXTRACT(A5819, ""[^-]+- [^-]+- [^-]+ - (.+?)\.jpg""), "".jpg"", """"), ""-"", "", ""), """")"),"")</f>
        <v/>
      </c>
      <c r="L5819" s="12"/>
      <c r="M5819" s="13"/>
      <c r="N5819" s="2"/>
      <c r="O5819" s="20"/>
      <c r="P5819" s="42"/>
      <c r="R5819" s="23"/>
    </row>
    <row r="5820" spans="1:18" ht="12.75">
      <c r="A5820" s="12"/>
      <c r="D5820" s="12"/>
      <c r="E5820" s="12"/>
      <c r="H5820" s="11" t="str">
        <f ca="1">IFERROR(__xludf.DUMMYFUNCTION("IFERROR(SUBSTITUTE(SUBSTITUTE(REGEXEXTRACT(A5820, ""[^-]+- [^-]+- [^-]+ - (.+?)\.jpg""), "".jpg"", """"), ""-"", "", ""), """")"),"")</f>
        <v/>
      </c>
      <c r="L5820" s="12"/>
      <c r="M5820" s="13"/>
      <c r="N5820" s="2"/>
      <c r="O5820" s="20"/>
      <c r="P5820" s="42"/>
      <c r="R5820" s="23"/>
    </row>
    <row r="5821" spans="1:18" ht="12.75">
      <c r="A5821" s="12"/>
      <c r="D5821" s="12"/>
      <c r="E5821" s="12"/>
      <c r="H5821" s="11" t="str">
        <f ca="1">IFERROR(__xludf.DUMMYFUNCTION("IFERROR(SUBSTITUTE(SUBSTITUTE(REGEXEXTRACT(A5821, ""[^-]+- [^-]+- [^-]+ - (.+?)\.jpg""), "".jpg"", """"), ""-"", "", ""), """")"),"")</f>
        <v/>
      </c>
      <c r="L5821" s="12"/>
      <c r="M5821" s="13"/>
      <c r="N5821" s="2"/>
      <c r="O5821" s="20"/>
      <c r="P5821" s="42"/>
      <c r="R5821" s="23"/>
    </row>
    <row r="5822" spans="1:18" ht="12.75">
      <c r="A5822" s="12"/>
      <c r="D5822" s="12"/>
      <c r="E5822" s="12"/>
      <c r="H5822" s="11" t="str">
        <f ca="1">IFERROR(__xludf.DUMMYFUNCTION("IFERROR(SUBSTITUTE(SUBSTITUTE(REGEXEXTRACT(A5822, ""[^-]+- [^-]+- [^-]+ - (.+?)\.jpg""), "".jpg"", """"), ""-"", "", ""), """")"),"")</f>
        <v/>
      </c>
      <c r="L5822" s="12"/>
      <c r="M5822" s="13"/>
      <c r="N5822" s="2"/>
      <c r="O5822" s="20"/>
      <c r="P5822" s="42"/>
      <c r="R5822" s="23"/>
    </row>
    <row r="5823" spans="1:18" ht="12.75">
      <c r="A5823" s="12"/>
      <c r="D5823" s="12"/>
      <c r="E5823" s="12"/>
      <c r="H5823" s="11" t="str">
        <f ca="1">IFERROR(__xludf.DUMMYFUNCTION("IFERROR(SUBSTITUTE(SUBSTITUTE(REGEXEXTRACT(A5823, ""[^-]+- [^-]+- [^-]+ - (.+?)\.jpg""), "".jpg"", """"), ""-"", "", ""), """")"),"")</f>
        <v/>
      </c>
      <c r="L5823" s="12"/>
      <c r="M5823" s="13"/>
      <c r="N5823" s="2"/>
      <c r="O5823" s="20"/>
      <c r="P5823" s="42"/>
      <c r="R5823" s="23"/>
    </row>
    <row r="5824" spans="1:18" ht="12.75">
      <c r="A5824" s="12"/>
      <c r="D5824" s="12"/>
      <c r="E5824" s="12"/>
      <c r="H5824" s="11" t="str">
        <f ca="1">IFERROR(__xludf.DUMMYFUNCTION("IFERROR(SUBSTITUTE(SUBSTITUTE(REGEXEXTRACT(A5824, ""[^-]+- [^-]+- [^-]+ - (.+?)\.jpg""), "".jpg"", """"), ""-"", "", ""), """")"),"")</f>
        <v/>
      </c>
      <c r="L5824" s="12"/>
      <c r="M5824" s="13"/>
      <c r="N5824" s="2"/>
      <c r="O5824" s="20"/>
      <c r="P5824" s="42"/>
      <c r="R5824" s="23"/>
    </row>
    <row r="5825" spans="1:18" ht="12.75">
      <c r="A5825" s="12"/>
      <c r="D5825" s="12"/>
      <c r="E5825" s="12"/>
      <c r="H5825" s="11" t="str">
        <f ca="1">IFERROR(__xludf.DUMMYFUNCTION("IFERROR(SUBSTITUTE(SUBSTITUTE(REGEXEXTRACT(A5825, ""[^-]+- [^-]+- [^-]+ - (.+?)\.jpg""), "".jpg"", """"), ""-"", "", ""), """")"),"")</f>
        <v/>
      </c>
      <c r="L5825" s="12"/>
      <c r="M5825" s="13"/>
      <c r="N5825" s="2"/>
      <c r="O5825" s="20"/>
      <c r="P5825" s="42"/>
      <c r="R5825" s="23"/>
    </row>
    <row r="5826" spans="1:18" ht="12.75">
      <c r="A5826" s="12"/>
      <c r="D5826" s="12"/>
      <c r="E5826" s="12"/>
      <c r="H5826" s="11" t="str">
        <f ca="1">IFERROR(__xludf.DUMMYFUNCTION("IFERROR(SUBSTITUTE(SUBSTITUTE(REGEXEXTRACT(A5826, ""[^-]+- [^-]+- [^-]+ - (.+?)\.jpg""), "".jpg"", """"), ""-"", "", ""), """")"),"")</f>
        <v/>
      </c>
      <c r="L5826" s="12"/>
      <c r="M5826" s="13"/>
      <c r="N5826" s="2"/>
      <c r="O5826" s="20"/>
      <c r="P5826" s="42"/>
      <c r="R5826" s="23"/>
    </row>
    <row r="5827" spans="1:18" ht="12.75">
      <c r="A5827" s="12"/>
      <c r="D5827" s="12"/>
      <c r="E5827" s="12"/>
      <c r="H5827" s="11" t="str">
        <f ca="1">IFERROR(__xludf.DUMMYFUNCTION("IFERROR(SUBSTITUTE(SUBSTITUTE(REGEXEXTRACT(A5827, ""[^-]+- [^-]+- [^-]+ - (.+?)\.jpg""), "".jpg"", """"), ""-"", "", ""), """")"),"")</f>
        <v/>
      </c>
      <c r="L5827" s="12"/>
      <c r="M5827" s="13"/>
      <c r="N5827" s="2"/>
      <c r="O5827" s="20"/>
      <c r="P5827" s="42"/>
      <c r="R5827" s="23"/>
    </row>
    <row r="5828" spans="1:18" ht="12.75">
      <c r="A5828" s="12"/>
      <c r="D5828" s="12"/>
      <c r="E5828" s="12"/>
      <c r="H5828" s="11" t="str">
        <f ca="1">IFERROR(__xludf.DUMMYFUNCTION("IFERROR(SUBSTITUTE(SUBSTITUTE(REGEXEXTRACT(A5828, ""[^-]+- [^-]+- [^-]+ - (.+?)\.jpg""), "".jpg"", """"), ""-"", "", ""), """")"),"")</f>
        <v/>
      </c>
      <c r="L5828" s="12"/>
      <c r="M5828" s="13"/>
      <c r="N5828" s="2"/>
      <c r="O5828" s="20"/>
      <c r="P5828" s="42"/>
      <c r="R5828" s="23"/>
    </row>
    <row r="5829" spans="1:18" ht="12.75">
      <c r="A5829" s="12"/>
      <c r="D5829" s="12"/>
      <c r="E5829" s="12"/>
      <c r="H5829" s="11" t="str">
        <f ca="1">IFERROR(__xludf.DUMMYFUNCTION("IFERROR(SUBSTITUTE(SUBSTITUTE(REGEXEXTRACT(A5829, ""[^-]+- [^-]+- [^-]+ - (.+?)\.jpg""), "".jpg"", """"), ""-"", "", ""), """")"),"")</f>
        <v/>
      </c>
      <c r="L5829" s="12"/>
      <c r="M5829" s="13"/>
      <c r="N5829" s="2"/>
      <c r="O5829" s="20"/>
      <c r="P5829" s="42"/>
      <c r="R5829" s="23"/>
    </row>
    <row r="5830" spans="1:18" ht="12.75">
      <c r="A5830" s="12"/>
      <c r="D5830" s="12"/>
      <c r="E5830" s="12"/>
      <c r="H5830" s="11" t="str">
        <f ca="1">IFERROR(__xludf.DUMMYFUNCTION("IFERROR(SUBSTITUTE(SUBSTITUTE(REGEXEXTRACT(A5830, ""[^-]+- [^-]+- [^-]+ - (.+?)\.jpg""), "".jpg"", """"), ""-"", "", ""), """")"),"")</f>
        <v/>
      </c>
      <c r="L5830" s="12"/>
      <c r="M5830" s="13"/>
      <c r="N5830" s="2"/>
      <c r="O5830" s="20"/>
      <c r="P5830" s="42"/>
      <c r="R5830" s="23"/>
    </row>
    <row r="5831" spans="1:18" ht="12.75">
      <c r="A5831" s="12"/>
      <c r="D5831" s="12"/>
      <c r="E5831" s="12"/>
      <c r="H5831" s="11" t="str">
        <f ca="1">IFERROR(__xludf.DUMMYFUNCTION("IFERROR(SUBSTITUTE(SUBSTITUTE(REGEXEXTRACT(A5831, ""[^-]+- [^-]+- [^-]+ - (.+?)\.jpg""), "".jpg"", """"), ""-"", "", ""), """")"),"")</f>
        <v/>
      </c>
      <c r="L5831" s="12"/>
      <c r="M5831" s="13"/>
      <c r="N5831" s="2"/>
      <c r="O5831" s="20"/>
      <c r="P5831" s="42"/>
      <c r="R5831" s="23"/>
    </row>
    <row r="5832" spans="1:18" ht="12.75">
      <c r="A5832" s="12"/>
      <c r="D5832" s="12"/>
      <c r="E5832" s="12"/>
      <c r="H5832" s="11" t="str">
        <f ca="1">IFERROR(__xludf.DUMMYFUNCTION("IFERROR(SUBSTITUTE(SUBSTITUTE(REGEXEXTRACT(A5832, ""[^-]+- [^-]+- [^-]+ - (.+?)\.jpg""), "".jpg"", """"), ""-"", "", ""), """")"),"")</f>
        <v/>
      </c>
      <c r="L5832" s="12"/>
      <c r="M5832" s="13"/>
      <c r="N5832" s="2"/>
      <c r="O5832" s="20"/>
      <c r="P5832" s="42"/>
      <c r="R5832" s="23"/>
    </row>
    <row r="5833" spans="1:18" ht="12.75">
      <c r="A5833" s="12"/>
      <c r="D5833" s="12"/>
      <c r="E5833" s="12"/>
      <c r="H5833" s="11" t="str">
        <f ca="1">IFERROR(__xludf.DUMMYFUNCTION("IFERROR(SUBSTITUTE(SUBSTITUTE(REGEXEXTRACT(A5833, ""[^-]+- [^-]+- [^-]+ - (.+?)\.jpg""), "".jpg"", """"), ""-"", "", ""), """")"),"")</f>
        <v/>
      </c>
      <c r="L5833" s="12"/>
      <c r="M5833" s="13"/>
      <c r="N5833" s="2"/>
      <c r="O5833" s="20"/>
      <c r="P5833" s="42"/>
      <c r="R5833" s="23"/>
    </row>
    <row r="5834" spans="1:18" ht="12.75">
      <c r="A5834" s="12"/>
      <c r="D5834" s="12"/>
      <c r="E5834" s="12"/>
      <c r="H5834" s="11" t="str">
        <f ca="1">IFERROR(__xludf.DUMMYFUNCTION("IFERROR(SUBSTITUTE(SUBSTITUTE(REGEXEXTRACT(A5834, ""[^-]+- [^-]+- [^-]+ - (.+?)\.jpg""), "".jpg"", """"), ""-"", "", ""), """")"),"")</f>
        <v/>
      </c>
      <c r="L5834" s="12"/>
      <c r="M5834" s="13"/>
      <c r="N5834" s="2"/>
      <c r="O5834" s="20"/>
      <c r="P5834" s="42"/>
      <c r="R5834" s="23"/>
    </row>
    <row r="5835" spans="1:18" ht="12.75">
      <c r="A5835" s="12"/>
      <c r="D5835" s="12"/>
      <c r="E5835" s="12"/>
      <c r="H5835" s="11" t="str">
        <f ca="1">IFERROR(__xludf.DUMMYFUNCTION("IFERROR(SUBSTITUTE(SUBSTITUTE(REGEXEXTRACT(A5835, ""[^-]+- [^-]+- [^-]+ - (.+?)\.jpg""), "".jpg"", """"), ""-"", "", ""), """")"),"")</f>
        <v/>
      </c>
      <c r="L5835" s="12"/>
      <c r="M5835" s="13"/>
      <c r="N5835" s="2"/>
      <c r="O5835" s="20"/>
      <c r="P5835" s="42"/>
      <c r="R5835" s="23"/>
    </row>
    <row r="5836" spans="1:18" ht="12.75">
      <c r="A5836" s="12"/>
      <c r="D5836" s="12"/>
      <c r="E5836" s="12"/>
      <c r="H5836" s="11" t="str">
        <f ca="1">IFERROR(__xludf.DUMMYFUNCTION("IFERROR(SUBSTITUTE(SUBSTITUTE(REGEXEXTRACT(A5836, ""[^-]+- [^-]+- [^-]+ - (.+?)\.jpg""), "".jpg"", """"), ""-"", "", ""), """")"),"")</f>
        <v/>
      </c>
      <c r="L5836" s="12"/>
      <c r="M5836" s="13"/>
      <c r="N5836" s="2"/>
      <c r="O5836" s="20"/>
      <c r="P5836" s="42"/>
      <c r="R5836" s="23"/>
    </row>
    <row r="5837" spans="1:18" ht="12.75">
      <c r="A5837" s="12"/>
      <c r="D5837" s="12"/>
      <c r="E5837" s="12"/>
      <c r="H5837" s="11" t="str">
        <f ca="1">IFERROR(__xludf.DUMMYFUNCTION("IFERROR(SUBSTITUTE(SUBSTITUTE(REGEXEXTRACT(A5837, ""[^-]+- [^-]+- [^-]+ - (.+?)\.jpg""), "".jpg"", """"), ""-"", "", ""), """")"),"")</f>
        <v/>
      </c>
      <c r="L5837" s="12"/>
      <c r="M5837" s="13"/>
      <c r="N5837" s="2"/>
      <c r="O5837" s="20"/>
      <c r="P5837" s="42"/>
      <c r="R5837" s="23"/>
    </row>
    <row r="5838" spans="1:18" ht="12.75">
      <c r="A5838" s="12"/>
      <c r="D5838" s="12"/>
      <c r="E5838" s="12"/>
      <c r="H5838" s="11" t="str">
        <f ca="1">IFERROR(__xludf.DUMMYFUNCTION("IFERROR(SUBSTITUTE(SUBSTITUTE(REGEXEXTRACT(A5838, ""[^-]+- [^-]+- [^-]+ - (.+?)\.jpg""), "".jpg"", """"), ""-"", "", ""), """")"),"")</f>
        <v/>
      </c>
      <c r="L5838" s="12"/>
      <c r="M5838" s="13"/>
      <c r="N5838" s="2"/>
      <c r="O5838" s="20"/>
      <c r="P5838" s="42"/>
      <c r="R5838" s="23"/>
    </row>
    <row r="5839" spans="1:18" ht="12.75">
      <c r="A5839" s="12"/>
      <c r="D5839" s="12"/>
      <c r="E5839" s="12"/>
      <c r="H5839" s="11" t="str">
        <f ca="1">IFERROR(__xludf.DUMMYFUNCTION("IFERROR(SUBSTITUTE(SUBSTITUTE(REGEXEXTRACT(A5839, ""[^-]+- [^-]+- [^-]+ - (.+?)\.jpg""), "".jpg"", """"), ""-"", "", ""), """")"),"")</f>
        <v/>
      </c>
      <c r="L5839" s="12"/>
      <c r="M5839" s="13"/>
      <c r="N5839" s="2"/>
      <c r="O5839" s="20"/>
      <c r="P5839" s="42"/>
      <c r="R5839" s="23"/>
    </row>
    <row r="5840" spans="1:18" ht="12.75">
      <c r="A5840" s="12"/>
      <c r="D5840" s="12"/>
      <c r="E5840" s="12"/>
      <c r="H5840" s="11" t="str">
        <f ca="1">IFERROR(__xludf.DUMMYFUNCTION("IFERROR(SUBSTITUTE(SUBSTITUTE(REGEXEXTRACT(A5840, ""[^-]+- [^-]+- [^-]+ - (.+?)\.jpg""), "".jpg"", """"), ""-"", "", ""), """")"),"")</f>
        <v/>
      </c>
      <c r="L5840" s="12"/>
      <c r="M5840" s="13"/>
      <c r="N5840" s="2"/>
      <c r="O5840" s="20"/>
      <c r="P5840" s="42"/>
      <c r="R5840" s="23"/>
    </row>
    <row r="5841" spans="1:18" ht="12.75">
      <c r="A5841" s="12"/>
      <c r="D5841" s="12"/>
      <c r="E5841" s="12"/>
      <c r="H5841" s="11" t="str">
        <f ca="1">IFERROR(__xludf.DUMMYFUNCTION("IFERROR(SUBSTITUTE(SUBSTITUTE(REGEXEXTRACT(A5841, ""[^-]+- [^-]+- [^-]+ - (.+?)\.jpg""), "".jpg"", """"), ""-"", "", ""), """")"),"")</f>
        <v/>
      </c>
      <c r="L5841" s="12"/>
      <c r="M5841" s="13"/>
      <c r="N5841" s="2"/>
      <c r="O5841" s="20"/>
      <c r="P5841" s="42"/>
      <c r="R5841" s="23"/>
    </row>
    <row r="5842" spans="1:18" ht="12.75">
      <c r="A5842" s="12"/>
      <c r="D5842" s="12"/>
      <c r="E5842" s="12"/>
      <c r="H5842" s="11" t="str">
        <f ca="1">IFERROR(__xludf.DUMMYFUNCTION("IFERROR(SUBSTITUTE(SUBSTITUTE(REGEXEXTRACT(A5842, ""[^-]+- [^-]+- [^-]+ - (.+?)\.jpg""), "".jpg"", """"), ""-"", "", ""), """")"),"")</f>
        <v/>
      </c>
      <c r="L5842" s="12"/>
      <c r="M5842" s="13"/>
      <c r="N5842" s="2"/>
      <c r="O5842" s="20"/>
      <c r="P5842" s="42"/>
      <c r="R5842" s="23"/>
    </row>
    <row r="5843" spans="1:18" ht="12.75">
      <c r="A5843" s="12"/>
      <c r="D5843" s="12"/>
      <c r="E5843" s="12"/>
      <c r="H5843" s="11" t="str">
        <f ca="1">IFERROR(__xludf.DUMMYFUNCTION("IFERROR(SUBSTITUTE(SUBSTITUTE(REGEXEXTRACT(A5843, ""[^-]+- [^-]+- [^-]+ - (.+?)\.jpg""), "".jpg"", """"), ""-"", "", ""), """")"),"")</f>
        <v/>
      </c>
      <c r="L5843" s="12"/>
      <c r="M5843" s="13"/>
      <c r="N5843" s="2"/>
      <c r="O5843" s="20"/>
      <c r="P5843" s="42"/>
      <c r="R5843" s="23"/>
    </row>
    <row r="5844" spans="1:18" ht="12.75">
      <c r="A5844" s="12"/>
      <c r="D5844" s="12"/>
      <c r="E5844" s="12"/>
      <c r="H5844" s="11" t="str">
        <f ca="1">IFERROR(__xludf.DUMMYFUNCTION("IFERROR(SUBSTITUTE(SUBSTITUTE(REGEXEXTRACT(A5844, ""[^-]+- [^-]+- [^-]+ - (.+?)\.jpg""), "".jpg"", """"), ""-"", "", ""), """")"),"")</f>
        <v/>
      </c>
      <c r="L5844" s="12"/>
      <c r="M5844" s="13"/>
      <c r="N5844" s="2"/>
      <c r="O5844" s="20"/>
      <c r="P5844" s="42"/>
      <c r="R5844" s="23"/>
    </row>
    <row r="5845" spans="1:18" ht="12.75">
      <c r="A5845" s="12"/>
      <c r="D5845" s="12"/>
      <c r="E5845" s="12"/>
      <c r="H5845" s="11" t="str">
        <f ca="1">IFERROR(__xludf.DUMMYFUNCTION("IFERROR(SUBSTITUTE(SUBSTITUTE(REGEXEXTRACT(A5845, ""[^-]+- [^-]+- [^-]+ - (.+?)\.jpg""), "".jpg"", """"), ""-"", "", ""), """")"),"")</f>
        <v/>
      </c>
      <c r="L5845" s="12"/>
      <c r="M5845" s="13"/>
      <c r="N5845" s="2"/>
      <c r="O5845" s="20"/>
      <c r="P5845" s="42"/>
      <c r="R5845" s="23"/>
    </row>
    <row r="5846" spans="1:18" ht="12.75">
      <c r="A5846" s="12"/>
      <c r="D5846" s="12"/>
      <c r="E5846" s="12"/>
      <c r="H5846" s="11" t="str">
        <f ca="1">IFERROR(__xludf.DUMMYFUNCTION("IFERROR(SUBSTITUTE(SUBSTITUTE(REGEXEXTRACT(A5846, ""[^-]+- [^-]+- [^-]+ - (.+?)\.jpg""), "".jpg"", """"), ""-"", "", ""), """")"),"")</f>
        <v/>
      </c>
      <c r="L5846" s="12"/>
      <c r="M5846" s="13"/>
      <c r="N5846" s="2"/>
      <c r="O5846" s="20"/>
      <c r="P5846" s="42"/>
      <c r="R5846" s="23"/>
    </row>
    <row r="5847" spans="1:18" ht="12.75">
      <c r="A5847" s="12"/>
      <c r="D5847" s="12"/>
      <c r="E5847" s="12"/>
      <c r="H5847" s="11" t="str">
        <f ca="1">IFERROR(__xludf.DUMMYFUNCTION("IFERROR(SUBSTITUTE(SUBSTITUTE(REGEXEXTRACT(A5847, ""[^-]+- [^-]+- [^-]+ - (.+?)\.jpg""), "".jpg"", """"), ""-"", "", ""), """")"),"")</f>
        <v/>
      </c>
      <c r="L5847" s="12"/>
      <c r="M5847" s="13"/>
      <c r="N5847" s="2"/>
      <c r="O5847" s="20"/>
      <c r="P5847" s="42"/>
      <c r="R5847" s="23"/>
    </row>
    <row r="5848" spans="1:18" ht="12.75">
      <c r="A5848" s="12"/>
      <c r="D5848" s="12"/>
      <c r="E5848" s="12"/>
      <c r="H5848" s="11" t="str">
        <f ca="1">IFERROR(__xludf.DUMMYFUNCTION("IFERROR(SUBSTITUTE(SUBSTITUTE(REGEXEXTRACT(A5848, ""[^-]+- [^-]+- [^-]+ - (.+?)\.jpg""), "".jpg"", """"), ""-"", "", ""), """")"),"")</f>
        <v/>
      </c>
      <c r="L5848" s="12"/>
      <c r="M5848" s="13"/>
      <c r="N5848" s="2"/>
      <c r="O5848" s="20"/>
      <c r="P5848" s="42"/>
      <c r="R5848" s="23"/>
    </row>
    <row r="5849" spans="1:18" ht="12.75">
      <c r="A5849" s="12"/>
      <c r="D5849" s="12"/>
      <c r="E5849" s="12"/>
      <c r="H5849" s="11" t="str">
        <f ca="1">IFERROR(__xludf.DUMMYFUNCTION("IFERROR(SUBSTITUTE(SUBSTITUTE(REGEXEXTRACT(A5849, ""[^-]+- [^-]+- [^-]+ - (.+?)\.jpg""), "".jpg"", """"), ""-"", "", ""), """")"),"")</f>
        <v/>
      </c>
      <c r="L5849" s="12"/>
      <c r="M5849" s="13"/>
      <c r="N5849" s="2"/>
      <c r="O5849" s="20"/>
      <c r="P5849" s="42"/>
      <c r="R5849" s="23"/>
    </row>
    <row r="5850" spans="1:18" ht="12.75">
      <c r="A5850" s="12"/>
      <c r="D5850" s="12"/>
      <c r="E5850" s="12"/>
      <c r="H5850" s="11" t="str">
        <f ca="1">IFERROR(__xludf.DUMMYFUNCTION("IFERROR(SUBSTITUTE(SUBSTITUTE(REGEXEXTRACT(A5850, ""[^-]+- [^-]+- [^-]+ - (.+?)\.jpg""), "".jpg"", """"), ""-"", "", ""), """")"),"")</f>
        <v/>
      </c>
      <c r="L5850" s="12"/>
      <c r="M5850" s="13"/>
      <c r="N5850" s="2"/>
      <c r="O5850" s="20"/>
      <c r="P5850" s="42"/>
      <c r="R5850" s="23"/>
    </row>
    <row r="5851" spans="1:18" ht="12.75">
      <c r="A5851" s="12"/>
      <c r="D5851" s="12"/>
      <c r="E5851" s="12"/>
      <c r="H5851" s="11" t="str">
        <f ca="1">IFERROR(__xludf.DUMMYFUNCTION("IFERROR(SUBSTITUTE(SUBSTITUTE(REGEXEXTRACT(A5851, ""[^-]+- [^-]+- [^-]+ - (.+?)\.jpg""), "".jpg"", """"), ""-"", "", ""), """")"),"")</f>
        <v/>
      </c>
      <c r="L5851" s="12"/>
      <c r="M5851" s="13"/>
      <c r="N5851" s="2"/>
      <c r="O5851" s="20"/>
      <c r="P5851" s="42"/>
      <c r="R5851" s="23"/>
    </row>
    <row r="5852" spans="1:18" ht="12.75">
      <c r="A5852" s="12"/>
      <c r="D5852" s="12"/>
      <c r="E5852" s="12"/>
      <c r="H5852" s="11" t="str">
        <f ca="1">IFERROR(__xludf.DUMMYFUNCTION("IFERROR(SUBSTITUTE(SUBSTITUTE(REGEXEXTRACT(A5852, ""[^-]+- [^-]+- [^-]+ - (.+?)\.jpg""), "".jpg"", """"), ""-"", "", ""), """")"),"")</f>
        <v/>
      </c>
      <c r="L5852" s="12"/>
      <c r="M5852" s="13"/>
      <c r="N5852" s="2"/>
      <c r="O5852" s="20"/>
      <c r="P5852" s="42"/>
      <c r="R5852" s="23"/>
    </row>
    <row r="5853" spans="1:18" ht="12.75">
      <c r="A5853" s="12"/>
      <c r="D5853" s="12"/>
      <c r="E5853" s="12"/>
      <c r="H5853" s="11" t="str">
        <f ca="1">IFERROR(__xludf.DUMMYFUNCTION("IFERROR(SUBSTITUTE(SUBSTITUTE(REGEXEXTRACT(A5853, ""[^-]+- [^-]+- [^-]+ - (.+?)\.jpg""), "".jpg"", """"), ""-"", "", ""), """")"),"")</f>
        <v/>
      </c>
      <c r="L5853" s="12"/>
      <c r="M5853" s="13"/>
      <c r="N5853" s="2"/>
      <c r="O5853" s="20"/>
      <c r="P5853" s="42"/>
      <c r="R5853" s="23"/>
    </row>
    <row r="5854" spans="1:18" ht="12.75">
      <c r="A5854" s="12"/>
      <c r="D5854" s="12"/>
      <c r="E5854" s="12"/>
      <c r="H5854" s="11" t="str">
        <f ca="1">IFERROR(__xludf.DUMMYFUNCTION("IFERROR(SUBSTITUTE(SUBSTITUTE(REGEXEXTRACT(A5854, ""[^-]+- [^-]+- [^-]+ - (.+?)\.jpg""), "".jpg"", """"), ""-"", "", ""), """")"),"")</f>
        <v/>
      </c>
      <c r="L5854" s="12"/>
      <c r="M5854" s="13"/>
      <c r="N5854" s="2"/>
      <c r="O5854" s="20"/>
      <c r="P5854" s="42"/>
      <c r="R5854" s="23"/>
    </row>
    <row r="5855" spans="1:18" ht="12.75">
      <c r="A5855" s="12"/>
      <c r="D5855" s="12"/>
      <c r="E5855" s="12"/>
      <c r="H5855" s="11" t="str">
        <f ca="1">IFERROR(__xludf.DUMMYFUNCTION("IFERROR(SUBSTITUTE(SUBSTITUTE(REGEXEXTRACT(A5855, ""[^-]+- [^-]+- [^-]+ - (.+?)\.jpg""), "".jpg"", """"), ""-"", "", ""), """")"),"")</f>
        <v/>
      </c>
      <c r="L5855" s="12"/>
      <c r="M5855" s="13"/>
      <c r="N5855" s="2"/>
      <c r="O5855" s="20"/>
      <c r="P5855" s="42"/>
      <c r="R5855" s="23"/>
    </row>
    <row r="5856" spans="1:18" ht="12.75">
      <c r="A5856" s="12"/>
      <c r="D5856" s="12"/>
      <c r="E5856" s="12"/>
      <c r="H5856" s="11" t="str">
        <f ca="1">IFERROR(__xludf.DUMMYFUNCTION("IFERROR(SUBSTITUTE(SUBSTITUTE(REGEXEXTRACT(A5856, ""[^-]+- [^-]+- [^-]+ - (.+?)\.jpg""), "".jpg"", """"), ""-"", "", ""), """")"),"")</f>
        <v/>
      </c>
      <c r="L5856" s="12"/>
      <c r="M5856" s="13"/>
      <c r="N5856" s="2"/>
      <c r="O5856" s="20"/>
      <c r="P5856" s="42"/>
      <c r="R5856" s="23"/>
    </row>
    <row r="5857" spans="1:18" ht="12.75">
      <c r="A5857" s="12"/>
      <c r="D5857" s="12"/>
      <c r="E5857" s="12"/>
      <c r="H5857" s="11" t="str">
        <f ca="1">IFERROR(__xludf.DUMMYFUNCTION("IFERROR(SUBSTITUTE(SUBSTITUTE(REGEXEXTRACT(A5857, ""[^-]+- [^-]+- [^-]+ - (.+?)\.jpg""), "".jpg"", """"), ""-"", "", ""), """")"),"")</f>
        <v/>
      </c>
      <c r="L5857" s="12"/>
      <c r="M5857" s="13"/>
      <c r="N5857" s="2"/>
      <c r="O5857" s="20"/>
      <c r="P5857" s="42"/>
      <c r="R5857" s="23"/>
    </row>
    <row r="5858" spans="1:18" ht="12.75">
      <c r="A5858" s="12"/>
      <c r="D5858" s="12"/>
      <c r="E5858" s="12"/>
      <c r="H5858" s="11" t="str">
        <f ca="1">IFERROR(__xludf.DUMMYFUNCTION("IFERROR(SUBSTITUTE(SUBSTITUTE(REGEXEXTRACT(A5858, ""[^-]+- [^-]+- [^-]+ - (.+?)\.jpg""), "".jpg"", """"), ""-"", "", ""), """")"),"")</f>
        <v/>
      </c>
      <c r="L5858" s="12"/>
      <c r="M5858" s="13"/>
      <c r="N5858" s="2"/>
      <c r="O5858" s="20"/>
      <c r="P5858" s="42"/>
      <c r="R5858" s="23"/>
    </row>
    <row r="5859" spans="1:18" ht="12.75">
      <c r="A5859" s="12"/>
      <c r="D5859" s="12"/>
      <c r="E5859" s="12"/>
      <c r="H5859" s="11" t="str">
        <f ca="1">IFERROR(__xludf.DUMMYFUNCTION("IFERROR(SUBSTITUTE(SUBSTITUTE(REGEXEXTRACT(A5859, ""[^-]+- [^-]+- [^-]+ - (.+?)\.jpg""), "".jpg"", """"), ""-"", "", ""), """")"),"")</f>
        <v/>
      </c>
      <c r="L5859" s="12"/>
      <c r="M5859" s="13"/>
      <c r="N5859" s="2"/>
      <c r="O5859" s="20"/>
      <c r="P5859" s="42"/>
      <c r="R5859" s="23"/>
    </row>
    <row r="5860" spans="1:18" ht="12.75">
      <c r="A5860" s="12"/>
      <c r="D5860" s="12"/>
      <c r="E5860" s="12"/>
      <c r="H5860" s="11" t="str">
        <f ca="1">IFERROR(__xludf.DUMMYFUNCTION("IFERROR(SUBSTITUTE(SUBSTITUTE(REGEXEXTRACT(A5860, ""[^-]+- [^-]+- [^-]+ - (.+?)\.jpg""), "".jpg"", """"), ""-"", "", ""), """")"),"")</f>
        <v/>
      </c>
      <c r="L5860" s="12"/>
      <c r="M5860" s="13"/>
      <c r="N5860" s="2"/>
      <c r="O5860" s="20"/>
      <c r="P5860" s="42"/>
      <c r="R5860" s="23"/>
    </row>
    <row r="5861" spans="1:18" ht="12.75">
      <c r="A5861" s="12"/>
      <c r="D5861" s="12"/>
      <c r="E5861" s="12"/>
      <c r="H5861" s="11" t="str">
        <f ca="1">IFERROR(__xludf.DUMMYFUNCTION("IFERROR(SUBSTITUTE(SUBSTITUTE(REGEXEXTRACT(A5861, ""[^-]+- [^-]+- [^-]+ - (.+?)\.jpg""), "".jpg"", """"), ""-"", "", ""), """")"),"")</f>
        <v/>
      </c>
      <c r="L5861" s="12"/>
      <c r="M5861" s="13"/>
      <c r="N5861" s="2"/>
      <c r="O5861" s="20"/>
      <c r="P5861" s="42"/>
      <c r="R5861" s="23"/>
    </row>
    <row r="5862" spans="1:18" ht="12.75">
      <c r="A5862" s="12"/>
      <c r="D5862" s="12"/>
      <c r="E5862" s="12"/>
      <c r="H5862" s="11" t="str">
        <f ca="1">IFERROR(__xludf.DUMMYFUNCTION("IFERROR(SUBSTITUTE(SUBSTITUTE(REGEXEXTRACT(A5862, ""[^-]+- [^-]+- [^-]+ - (.+?)\.jpg""), "".jpg"", """"), ""-"", "", ""), """")"),"")</f>
        <v/>
      </c>
      <c r="L5862" s="12"/>
      <c r="M5862" s="13"/>
      <c r="N5862" s="2"/>
      <c r="O5862" s="20"/>
      <c r="P5862" s="42"/>
      <c r="R5862" s="23"/>
    </row>
    <row r="5863" spans="1:18" ht="12.75">
      <c r="A5863" s="12"/>
      <c r="D5863" s="12"/>
      <c r="E5863" s="12"/>
      <c r="H5863" s="11" t="str">
        <f ca="1">IFERROR(__xludf.DUMMYFUNCTION("IFERROR(SUBSTITUTE(SUBSTITUTE(REGEXEXTRACT(A5863, ""[^-]+- [^-]+- [^-]+ - (.+?)\.jpg""), "".jpg"", """"), ""-"", "", ""), """")"),"")</f>
        <v/>
      </c>
      <c r="L5863" s="12"/>
      <c r="M5863" s="13"/>
      <c r="N5863" s="2"/>
      <c r="O5863" s="20"/>
      <c r="P5863" s="42"/>
      <c r="R5863" s="23"/>
    </row>
    <row r="5864" spans="1:18" ht="12.75">
      <c r="A5864" s="12"/>
      <c r="D5864" s="12"/>
      <c r="E5864" s="12"/>
      <c r="H5864" s="11" t="str">
        <f ca="1">IFERROR(__xludf.DUMMYFUNCTION("IFERROR(SUBSTITUTE(SUBSTITUTE(REGEXEXTRACT(A5864, ""[^-]+- [^-]+- [^-]+ - (.+?)\.jpg""), "".jpg"", """"), ""-"", "", ""), """")"),"")</f>
        <v/>
      </c>
      <c r="L5864" s="12"/>
      <c r="M5864" s="13"/>
      <c r="N5864" s="2"/>
      <c r="O5864" s="20"/>
      <c r="P5864" s="42"/>
      <c r="R5864" s="23"/>
    </row>
    <row r="5865" spans="1:18" ht="12.75">
      <c r="A5865" s="12"/>
      <c r="D5865" s="12"/>
      <c r="E5865" s="12"/>
      <c r="H5865" s="11" t="str">
        <f ca="1">IFERROR(__xludf.DUMMYFUNCTION("IFERROR(SUBSTITUTE(SUBSTITUTE(REGEXEXTRACT(A5865, ""[^-]+- [^-]+- [^-]+ - (.+?)\.jpg""), "".jpg"", """"), ""-"", "", ""), """")"),"")</f>
        <v/>
      </c>
      <c r="L5865" s="12"/>
      <c r="M5865" s="13"/>
      <c r="N5865" s="2"/>
      <c r="O5865" s="20"/>
      <c r="P5865" s="42"/>
      <c r="R5865" s="23"/>
    </row>
    <row r="5866" spans="1:18" ht="12.75">
      <c r="A5866" s="12"/>
      <c r="D5866" s="12"/>
      <c r="E5866" s="12"/>
      <c r="H5866" s="11" t="str">
        <f ca="1">IFERROR(__xludf.DUMMYFUNCTION("IFERROR(SUBSTITUTE(SUBSTITUTE(REGEXEXTRACT(A5866, ""[^-]+- [^-]+- [^-]+ - (.+?)\.jpg""), "".jpg"", """"), ""-"", "", ""), """")"),"")</f>
        <v/>
      </c>
      <c r="L5866" s="12"/>
      <c r="M5866" s="13"/>
      <c r="N5866" s="2"/>
      <c r="O5866" s="20"/>
      <c r="P5866" s="42"/>
      <c r="R5866" s="23"/>
    </row>
    <row r="5867" spans="1:18" ht="12.75">
      <c r="A5867" s="12"/>
      <c r="D5867" s="12"/>
      <c r="E5867" s="12"/>
      <c r="H5867" s="11" t="str">
        <f ca="1">IFERROR(__xludf.DUMMYFUNCTION("IFERROR(SUBSTITUTE(SUBSTITUTE(REGEXEXTRACT(A5867, ""[^-]+- [^-]+- [^-]+ - (.+?)\.jpg""), "".jpg"", """"), ""-"", "", ""), """")"),"")</f>
        <v/>
      </c>
      <c r="L5867" s="12"/>
      <c r="M5867" s="13"/>
      <c r="N5867" s="2"/>
      <c r="O5867" s="20"/>
      <c r="P5867" s="42"/>
      <c r="R5867" s="23"/>
    </row>
    <row r="5868" spans="1:18" ht="12.75">
      <c r="A5868" s="12"/>
      <c r="D5868" s="12"/>
      <c r="E5868" s="12"/>
      <c r="H5868" s="11" t="str">
        <f ca="1">IFERROR(__xludf.DUMMYFUNCTION("IFERROR(SUBSTITUTE(SUBSTITUTE(REGEXEXTRACT(A5868, ""[^-]+- [^-]+- [^-]+ - (.+?)\.jpg""), "".jpg"", """"), ""-"", "", ""), """")"),"")</f>
        <v/>
      </c>
      <c r="L5868" s="12"/>
      <c r="M5868" s="13"/>
      <c r="N5868" s="2"/>
      <c r="O5868" s="20"/>
      <c r="P5868" s="42"/>
      <c r="R5868" s="23"/>
    </row>
    <row r="5869" spans="1:18" ht="12.75">
      <c r="A5869" s="12"/>
      <c r="D5869" s="12"/>
      <c r="E5869" s="12"/>
      <c r="H5869" s="11" t="str">
        <f ca="1">IFERROR(__xludf.DUMMYFUNCTION("IFERROR(SUBSTITUTE(SUBSTITUTE(REGEXEXTRACT(A5869, ""[^-]+- [^-]+- [^-]+ - (.+?)\.jpg""), "".jpg"", """"), ""-"", "", ""), """")"),"")</f>
        <v/>
      </c>
      <c r="L5869" s="12"/>
      <c r="M5869" s="13"/>
      <c r="N5869" s="2"/>
      <c r="O5869" s="20"/>
      <c r="P5869" s="42"/>
      <c r="R5869" s="23"/>
    </row>
    <row r="5870" spans="1:18" ht="12.75">
      <c r="A5870" s="12"/>
      <c r="D5870" s="12"/>
      <c r="E5870" s="12"/>
      <c r="H5870" s="11" t="str">
        <f ca="1">IFERROR(__xludf.DUMMYFUNCTION("IFERROR(SUBSTITUTE(SUBSTITUTE(REGEXEXTRACT(A5870, ""[^-]+- [^-]+- [^-]+ - (.+?)\.jpg""), "".jpg"", """"), ""-"", "", ""), """")"),"")</f>
        <v/>
      </c>
      <c r="L5870" s="12"/>
      <c r="M5870" s="13"/>
      <c r="N5870" s="2"/>
      <c r="O5870" s="20"/>
      <c r="P5870" s="42"/>
      <c r="R5870" s="23"/>
    </row>
    <row r="5871" spans="1:18" ht="12.75">
      <c r="A5871" s="12"/>
      <c r="D5871" s="12"/>
      <c r="E5871" s="12"/>
      <c r="H5871" s="11" t="str">
        <f ca="1">IFERROR(__xludf.DUMMYFUNCTION("IFERROR(SUBSTITUTE(SUBSTITUTE(REGEXEXTRACT(A5871, ""[^-]+- [^-]+- [^-]+ - (.+?)\.jpg""), "".jpg"", """"), ""-"", "", ""), """")"),"")</f>
        <v/>
      </c>
      <c r="L5871" s="12"/>
      <c r="M5871" s="13"/>
      <c r="N5871" s="2"/>
      <c r="O5871" s="20"/>
      <c r="P5871" s="42"/>
      <c r="R5871" s="23"/>
    </row>
    <row r="5872" spans="1:18" ht="12.75">
      <c r="A5872" s="12"/>
      <c r="D5872" s="12"/>
      <c r="E5872" s="12"/>
      <c r="H5872" s="11" t="str">
        <f ca="1">IFERROR(__xludf.DUMMYFUNCTION("IFERROR(SUBSTITUTE(SUBSTITUTE(REGEXEXTRACT(A5872, ""[^-]+- [^-]+- [^-]+ - (.+?)\.jpg""), "".jpg"", """"), ""-"", "", ""), """")"),"")</f>
        <v/>
      </c>
      <c r="L5872" s="12"/>
      <c r="M5872" s="13"/>
      <c r="N5872" s="2"/>
      <c r="O5872" s="20"/>
      <c r="P5872" s="42"/>
      <c r="R5872" s="23"/>
    </row>
    <row r="5873" spans="1:18" ht="12.75">
      <c r="A5873" s="12"/>
      <c r="D5873" s="12"/>
      <c r="E5873" s="12"/>
      <c r="H5873" s="11" t="str">
        <f ca="1">IFERROR(__xludf.DUMMYFUNCTION("IFERROR(SUBSTITUTE(SUBSTITUTE(REGEXEXTRACT(A5873, ""[^-]+- [^-]+- [^-]+ - (.+?)\.jpg""), "".jpg"", """"), ""-"", "", ""), """")"),"")</f>
        <v/>
      </c>
      <c r="L5873" s="12"/>
      <c r="M5873" s="13"/>
      <c r="N5873" s="2"/>
      <c r="O5873" s="20"/>
      <c r="P5873" s="42"/>
      <c r="R5873" s="23"/>
    </row>
    <row r="5874" spans="1:18" ht="12.75">
      <c r="A5874" s="12"/>
      <c r="D5874" s="12"/>
      <c r="E5874" s="12"/>
      <c r="H5874" s="11" t="str">
        <f ca="1">IFERROR(__xludf.DUMMYFUNCTION("IFERROR(SUBSTITUTE(SUBSTITUTE(REGEXEXTRACT(A5874, ""[^-]+- [^-]+- [^-]+ - (.+?)\.jpg""), "".jpg"", """"), ""-"", "", ""), """")"),"")</f>
        <v/>
      </c>
      <c r="L5874" s="12"/>
      <c r="M5874" s="13"/>
      <c r="N5874" s="2"/>
      <c r="O5874" s="20"/>
      <c r="P5874" s="42"/>
      <c r="R5874" s="23"/>
    </row>
    <row r="5875" spans="1:18" ht="12.75">
      <c r="A5875" s="12"/>
      <c r="D5875" s="12"/>
      <c r="E5875" s="12"/>
      <c r="H5875" s="11" t="str">
        <f ca="1">IFERROR(__xludf.DUMMYFUNCTION("IFERROR(SUBSTITUTE(SUBSTITUTE(REGEXEXTRACT(A5875, ""[^-]+- [^-]+- [^-]+ - (.+?)\.jpg""), "".jpg"", """"), ""-"", "", ""), """")"),"")</f>
        <v/>
      </c>
      <c r="L5875" s="12"/>
      <c r="M5875" s="13"/>
      <c r="N5875" s="2"/>
      <c r="O5875" s="20"/>
      <c r="P5875" s="42"/>
      <c r="R5875" s="23"/>
    </row>
    <row r="5876" spans="1:18" ht="12.75">
      <c r="A5876" s="12"/>
      <c r="D5876" s="12"/>
      <c r="E5876" s="12"/>
      <c r="H5876" s="11" t="str">
        <f ca="1">IFERROR(__xludf.DUMMYFUNCTION("IFERROR(SUBSTITUTE(SUBSTITUTE(REGEXEXTRACT(A5876, ""[^-]+- [^-]+- [^-]+ - (.+?)\.jpg""), "".jpg"", """"), ""-"", "", ""), """")"),"")</f>
        <v/>
      </c>
      <c r="L5876" s="12"/>
      <c r="M5876" s="13"/>
      <c r="N5876" s="2"/>
      <c r="O5876" s="20"/>
      <c r="P5876" s="42"/>
      <c r="R5876" s="23"/>
    </row>
    <row r="5877" spans="1:18" ht="12.75">
      <c r="A5877" s="12"/>
      <c r="D5877" s="12"/>
      <c r="E5877" s="12"/>
      <c r="H5877" s="11" t="str">
        <f ca="1">IFERROR(__xludf.DUMMYFUNCTION("IFERROR(SUBSTITUTE(SUBSTITUTE(REGEXEXTRACT(A5877, ""[^-]+- [^-]+- [^-]+ - (.+?)\.jpg""), "".jpg"", """"), ""-"", "", ""), """")"),"")</f>
        <v/>
      </c>
      <c r="L5877" s="12"/>
      <c r="M5877" s="13"/>
      <c r="N5877" s="2"/>
      <c r="O5877" s="20"/>
      <c r="P5877" s="42"/>
      <c r="R5877" s="23"/>
    </row>
    <row r="5878" spans="1:18" ht="12.75">
      <c r="A5878" s="12"/>
      <c r="D5878" s="12"/>
      <c r="E5878" s="12"/>
      <c r="H5878" s="11" t="str">
        <f ca="1">IFERROR(__xludf.DUMMYFUNCTION("IFERROR(SUBSTITUTE(SUBSTITUTE(REGEXEXTRACT(A5878, ""[^-]+- [^-]+- [^-]+ - (.+?)\.jpg""), "".jpg"", """"), ""-"", "", ""), """")"),"")</f>
        <v/>
      </c>
      <c r="L5878" s="12"/>
      <c r="M5878" s="13"/>
      <c r="N5878" s="2"/>
      <c r="O5878" s="20"/>
      <c r="P5878" s="42"/>
      <c r="R5878" s="23"/>
    </row>
    <row r="5879" spans="1:18" ht="12.75">
      <c r="A5879" s="12"/>
      <c r="D5879" s="12"/>
      <c r="E5879" s="12"/>
      <c r="H5879" s="11" t="str">
        <f ca="1">IFERROR(__xludf.DUMMYFUNCTION("IFERROR(SUBSTITUTE(SUBSTITUTE(REGEXEXTRACT(A5879, ""[^-]+- [^-]+- [^-]+ - (.+?)\.jpg""), "".jpg"", """"), ""-"", "", ""), """")"),"")</f>
        <v/>
      </c>
      <c r="L5879" s="12"/>
      <c r="M5879" s="13"/>
      <c r="N5879" s="2"/>
      <c r="O5879" s="20"/>
      <c r="P5879" s="42"/>
      <c r="R5879" s="23"/>
    </row>
    <row r="5880" spans="1:18" ht="12.75">
      <c r="A5880" s="12"/>
      <c r="D5880" s="12"/>
      <c r="E5880" s="12"/>
      <c r="H5880" s="11" t="str">
        <f ca="1">IFERROR(__xludf.DUMMYFUNCTION("IFERROR(SUBSTITUTE(SUBSTITUTE(REGEXEXTRACT(A5880, ""[^-]+- [^-]+- [^-]+ - (.+?)\.jpg""), "".jpg"", """"), ""-"", "", ""), """")"),"")</f>
        <v/>
      </c>
      <c r="L5880" s="12"/>
      <c r="M5880" s="13"/>
      <c r="N5880" s="2"/>
      <c r="O5880" s="20"/>
      <c r="P5880" s="42"/>
      <c r="R5880" s="23"/>
    </row>
    <row r="5881" spans="1:18" ht="12.75">
      <c r="A5881" s="12"/>
      <c r="D5881" s="12"/>
      <c r="E5881" s="12"/>
      <c r="H5881" s="11" t="str">
        <f ca="1">IFERROR(__xludf.DUMMYFUNCTION("IFERROR(SUBSTITUTE(SUBSTITUTE(REGEXEXTRACT(A5881, ""[^-]+- [^-]+- [^-]+ - (.+?)\.jpg""), "".jpg"", """"), ""-"", "", ""), """")"),"")</f>
        <v/>
      </c>
      <c r="L5881" s="12"/>
      <c r="M5881" s="13"/>
      <c r="N5881" s="2"/>
      <c r="O5881" s="20"/>
      <c r="P5881" s="42"/>
      <c r="R5881" s="23"/>
    </row>
    <row r="5882" spans="1:18" ht="12.75">
      <c r="A5882" s="12"/>
      <c r="D5882" s="12"/>
      <c r="E5882" s="12"/>
      <c r="H5882" s="11" t="str">
        <f ca="1">IFERROR(__xludf.DUMMYFUNCTION("IFERROR(SUBSTITUTE(SUBSTITUTE(REGEXEXTRACT(A5882, ""[^-]+- [^-]+- [^-]+ - (.+?)\.jpg""), "".jpg"", """"), ""-"", "", ""), """")"),"")</f>
        <v/>
      </c>
      <c r="L5882" s="12"/>
      <c r="M5882" s="13"/>
      <c r="N5882" s="2"/>
      <c r="O5882" s="20"/>
      <c r="P5882" s="42"/>
      <c r="R5882" s="23"/>
    </row>
    <row r="5883" spans="1:18" ht="12.75">
      <c r="A5883" s="12"/>
      <c r="D5883" s="12"/>
      <c r="E5883" s="12"/>
      <c r="H5883" s="11" t="str">
        <f ca="1">IFERROR(__xludf.DUMMYFUNCTION("IFERROR(SUBSTITUTE(SUBSTITUTE(REGEXEXTRACT(A5883, ""[^-]+- [^-]+- [^-]+ - (.+?)\.jpg""), "".jpg"", """"), ""-"", "", ""), """")"),"")</f>
        <v/>
      </c>
      <c r="L5883" s="12"/>
      <c r="M5883" s="13"/>
      <c r="N5883" s="2"/>
      <c r="O5883" s="20"/>
      <c r="P5883" s="42"/>
      <c r="R5883" s="23"/>
    </row>
    <row r="5884" spans="1:18" ht="12.75">
      <c r="A5884" s="12"/>
      <c r="D5884" s="12"/>
      <c r="E5884" s="12"/>
      <c r="H5884" s="11" t="str">
        <f ca="1">IFERROR(__xludf.DUMMYFUNCTION("IFERROR(SUBSTITUTE(SUBSTITUTE(REGEXEXTRACT(A5884, ""[^-]+- [^-]+- [^-]+ - (.+?)\.jpg""), "".jpg"", """"), ""-"", "", ""), """")"),"")</f>
        <v/>
      </c>
      <c r="L5884" s="12"/>
      <c r="M5884" s="13"/>
      <c r="N5884" s="2"/>
      <c r="O5884" s="20"/>
      <c r="P5884" s="42"/>
      <c r="R5884" s="23"/>
    </row>
    <row r="5885" spans="1:18" ht="12.75">
      <c r="A5885" s="12"/>
      <c r="D5885" s="12"/>
      <c r="E5885" s="12"/>
      <c r="H5885" s="11" t="str">
        <f ca="1">IFERROR(__xludf.DUMMYFUNCTION("IFERROR(SUBSTITUTE(SUBSTITUTE(REGEXEXTRACT(A5885, ""[^-]+- [^-]+- [^-]+ - (.+?)\.jpg""), "".jpg"", """"), ""-"", "", ""), """")"),"")</f>
        <v/>
      </c>
      <c r="L5885" s="12"/>
      <c r="M5885" s="13"/>
      <c r="N5885" s="2"/>
      <c r="O5885" s="20"/>
      <c r="P5885" s="42"/>
      <c r="R5885" s="23"/>
    </row>
    <row r="5886" spans="1:18" ht="12.75">
      <c r="A5886" s="12"/>
      <c r="D5886" s="12"/>
      <c r="E5886" s="12"/>
      <c r="H5886" s="11" t="str">
        <f ca="1">IFERROR(__xludf.DUMMYFUNCTION("IFERROR(SUBSTITUTE(SUBSTITUTE(REGEXEXTRACT(A5886, ""[^-]+- [^-]+- [^-]+ - (.+?)\.jpg""), "".jpg"", """"), ""-"", "", ""), """")"),"")</f>
        <v/>
      </c>
      <c r="L5886" s="12"/>
      <c r="M5886" s="13"/>
      <c r="N5886" s="2"/>
      <c r="O5886" s="20"/>
      <c r="P5886" s="42"/>
      <c r="R5886" s="23"/>
    </row>
    <row r="5887" spans="1:18" ht="12.75">
      <c r="A5887" s="12"/>
      <c r="D5887" s="12"/>
      <c r="E5887" s="12"/>
      <c r="H5887" s="11" t="str">
        <f ca="1">IFERROR(__xludf.DUMMYFUNCTION("IFERROR(SUBSTITUTE(SUBSTITUTE(REGEXEXTRACT(A5887, ""[^-]+- [^-]+- [^-]+ - (.+?)\.jpg""), "".jpg"", """"), ""-"", "", ""), """")"),"")</f>
        <v/>
      </c>
      <c r="L5887" s="12"/>
      <c r="M5887" s="13"/>
      <c r="N5887" s="2"/>
      <c r="O5887" s="20"/>
      <c r="P5887" s="42"/>
      <c r="R5887" s="23"/>
    </row>
    <row r="5888" spans="1:18" ht="12.75">
      <c r="A5888" s="12"/>
      <c r="D5888" s="12"/>
      <c r="E5888" s="12"/>
      <c r="H5888" s="11" t="str">
        <f ca="1">IFERROR(__xludf.DUMMYFUNCTION("IFERROR(SUBSTITUTE(SUBSTITUTE(REGEXEXTRACT(A5888, ""[^-]+- [^-]+- [^-]+ - (.+?)\.jpg""), "".jpg"", """"), ""-"", "", ""), """")"),"")</f>
        <v/>
      </c>
      <c r="L5888" s="12"/>
      <c r="M5888" s="13"/>
      <c r="N5888" s="2"/>
      <c r="O5888" s="20"/>
      <c r="P5888" s="42"/>
      <c r="R5888" s="23"/>
    </row>
    <row r="5889" spans="1:18" ht="12.75">
      <c r="A5889" s="12"/>
      <c r="D5889" s="12"/>
      <c r="E5889" s="12"/>
      <c r="H5889" s="11" t="str">
        <f ca="1">IFERROR(__xludf.DUMMYFUNCTION("IFERROR(SUBSTITUTE(SUBSTITUTE(REGEXEXTRACT(A5889, ""[^-]+- [^-]+- [^-]+ - (.+?)\.jpg""), "".jpg"", """"), ""-"", "", ""), """")"),"")</f>
        <v/>
      </c>
      <c r="L5889" s="12"/>
      <c r="M5889" s="13"/>
      <c r="N5889" s="2"/>
      <c r="O5889" s="20"/>
      <c r="P5889" s="42"/>
      <c r="R5889" s="23"/>
    </row>
    <row r="5890" spans="1:18" ht="12.75">
      <c r="A5890" s="12"/>
      <c r="D5890" s="12"/>
      <c r="E5890" s="12"/>
      <c r="H5890" s="11" t="str">
        <f ca="1">IFERROR(__xludf.DUMMYFUNCTION("IFERROR(SUBSTITUTE(SUBSTITUTE(REGEXEXTRACT(A5890, ""[^-]+- [^-]+- [^-]+ - (.+?)\.jpg""), "".jpg"", """"), ""-"", "", ""), """")"),"")</f>
        <v/>
      </c>
      <c r="L5890" s="12"/>
      <c r="M5890" s="13"/>
      <c r="N5890" s="2"/>
      <c r="O5890" s="20"/>
      <c r="P5890" s="42"/>
      <c r="R5890" s="23"/>
    </row>
    <row r="5891" spans="1:18" ht="12.75">
      <c r="A5891" s="12"/>
      <c r="D5891" s="12"/>
      <c r="E5891" s="12"/>
      <c r="H5891" s="11" t="str">
        <f ca="1">IFERROR(__xludf.DUMMYFUNCTION("IFERROR(SUBSTITUTE(SUBSTITUTE(REGEXEXTRACT(A5891, ""[^-]+- [^-]+- [^-]+ - (.+?)\.jpg""), "".jpg"", """"), ""-"", "", ""), """")"),"")</f>
        <v/>
      </c>
      <c r="L5891" s="12"/>
      <c r="M5891" s="13"/>
      <c r="N5891" s="2"/>
      <c r="O5891" s="20"/>
      <c r="P5891" s="42"/>
      <c r="R5891" s="23"/>
    </row>
    <row r="5892" spans="1:18" ht="12.75">
      <c r="A5892" s="12"/>
      <c r="D5892" s="12"/>
      <c r="E5892" s="12"/>
      <c r="H5892" s="11" t="str">
        <f ca="1">IFERROR(__xludf.DUMMYFUNCTION("IFERROR(SUBSTITUTE(SUBSTITUTE(REGEXEXTRACT(A5892, ""[^-]+- [^-]+- [^-]+ - (.+?)\.jpg""), "".jpg"", """"), ""-"", "", ""), """")"),"")</f>
        <v/>
      </c>
      <c r="L5892" s="12"/>
      <c r="M5892" s="13"/>
      <c r="N5892" s="2"/>
      <c r="O5892" s="20"/>
      <c r="P5892" s="42"/>
      <c r="R5892" s="23"/>
    </row>
    <row r="5893" spans="1:18" ht="12.75">
      <c r="A5893" s="12"/>
      <c r="D5893" s="12"/>
      <c r="E5893" s="12"/>
      <c r="H5893" s="11" t="str">
        <f ca="1">IFERROR(__xludf.DUMMYFUNCTION("IFERROR(SUBSTITUTE(SUBSTITUTE(REGEXEXTRACT(A5893, ""[^-]+- [^-]+- [^-]+ - (.+?)\.jpg""), "".jpg"", """"), ""-"", "", ""), """")"),"")</f>
        <v/>
      </c>
      <c r="L5893" s="12"/>
      <c r="M5893" s="13"/>
      <c r="N5893" s="2"/>
      <c r="O5893" s="20"/>
      <c r="P5893" s="42"/>
      <c r="R5893" s="23"/>
    </row>
    <row r="5894" spans="1:18" ht="12.75">
      <c r="A5894" s="12"/>
      <c r="D5894" s="12"/>
      <c r="E5894" s="12"/>
      <c r="H5894" s="11" t="str">
        <f ca="1">IFERROR(__xludf.DUMMYFUNCTION("IFERROR(SUBSTITUTE(SUBSTITUTE(REGEXEXTRACT(A5894, ""[^-]+- [^-]+- [^-]+ - (.+?)\.jpg""), "".jpg"", """"), ""-"", "", ""), """")"),"")</f>
        <v/>
      </c>
      <c r="L5894" s="12"/>
      <c r="M5894" s="13"/>
      <c r="N5894" s="2"/>
      <c r="O5894" s="20"/>
      <c r="P5894" s="42"/>
      <c r="R5894" s="23"/>
    </row>
    <row r="5895" spans="1:18" ht="12.75">
      <c r="A5895" s="12"/>
      <c r="D5895" s="12"/>
      <c r="E5895" s="12"/>
      <c r="H5895" s="11" t="str">
        <f ca="1">IFERROR(__xludf.DUMMYFUNCTION("IFERROR(SUBSTITUTE(SUBSTITUTE(REGEXEXTRACT(A5895, ""[^-]+- [^-]+- [^-]+ - (.+?)\.jpg""), "".jpg"", """"), ""-"", "", ""), """")"),"")</f>
        <v/>
      </c>
      <c r="L5895" s="12"/>
      <c r="M5895" s="13"/>
      <c r="N5895" s="2"/>
      <c r="O5895" s="20"/>
      <c r="P5895" s="42"/>
      <c r="R5895" s="23"/>
    </row>
    <row r="5896" spans="1:18" ht="12.75">
      <c r="A5896" s="12"/>
      <c r="D5896" s="12"/>
      <c r="E5896" s="12"/>
      <c r="H5896" s="11" t="str">
        <f ca="1">IFERROR(__xludf.DUMMYFUNCTION("IFERROR(SUBSTITUTE(SUBSTITUTE(REGEXEXTRACT(A5896, ""[^-]+- [^-]+- [^-]+ - (.+?)\.jpg""), "".jpg"", """"), ""-"", "", ""), """")"),"")</f>
        <v/>
      </c>
      <c r="L5896" s="12"/>
      <c r="M5896" s="13"/>
      <c r="N5896" s="2"/>
      <c r="O5896" s="20"/>
      <c r="P5896" s="42"/>
      <c r="R5896" s="23"/>
    </row>
    <row r="5897" spans="1:18" ht="12.75">
      <c r="A5897" s="12"/>
      <c r="D5897" s="12"/>
      <c r="E5897" s="12"/>
      <c r="H5897" s="11" t="str">
        <f ca="1">IFERROR(__xludf.DUMMYFUNCTION("IFERROR(SUBSTITUTE(SUBSTITUTE(REGEXEXTRACT(A5897, ""[^-]+- [^-]+- [^-]+ - (.+?)\.jpg""), "".jpg"", """"), ""-"", "", ""), """")"),"")</f>
        <v/>
      </c>
      <c r="L5897" s="12"/>
      <c r="M5897" s="13"/>
      <c r="N5897" s="2"/>
      <c r="O5897" s="20"/>
      <c r="P5897" s="42"/>
      <c r="R5897" s="23"/>
    </row>
    <row r="5898" spans="1:18" ht="12.75">
      <c r="A5898" s="12"/>
      <c r="D5898" s="12"/>
      <c r="E5898" s="12"/>
      <c r="H5898" s="11" t="str">
        <f ca="1">IFERROR(__xludf.DUMMYFUNCTION("IFERROR(SUBSTITUTE(SUBSTITUTE(REGEXEXTRACT(A5898, ""[^-]+- [^-]+- [^-]+ - (.+?)\.jpg""), "".jpg"", """"), ""-"", "", ""), """")"),"")</f>
        <v/>
      </c>
      <c r="L5898" s="12"/>
      <c r="M5898" s="13"/>
      <c r="N5898" s="2"/>
      <c r="O5898" s="20"/>
      <c r="P5898" s="42"/>
      <c r="R5898" s="23"/>
    </row>
    <row r="5899" spans="1:18" ht="12.75">
      <c r="A5899" s="12"/>
      <c r="D5899" s="12"/>
      <c r="E5899" s="12"/>
      <c r="H5899" s="11" t="str">
        <f ca="1">IFERROR(__xludf.DUMMYFUNCTION("IFERROR(SUBSTITUTE(SUBSTITUTE(REGEXEXTRACT(A5899, ""[^-]+- [^-]+- [^-]+ - (.+?)\.jpg""), "".jpg"", """"), ""-"", "", ""), """")"),"")</f>
        <v/>
      </c>
      <c r="L5899" s="12"/>
      <c r="M5899" s="13"/>
      <c r="N5899" s="2"/>
      <c r="O5899" s="20"/>
      <c r="P5899" s="42"/>
      <c r="R5899" s="23"/>
    </row>
    <row r="5900" spans="1:18" ht="12.75">
      <c r="A5900" s="12"/>
      <c r="D5900" s="12"/>
      <c r="E5900" s="12"/>
      <c r="H5900" s="11" t="str">
        <f ca="1">IFERROR(__xludf.DUMMYFUNCTION("IFERROR(SUBSTITUTE(SUBSTITUTE(REGEXEXTRACT(A5900, ""[^-]+- [^-]+- [^-]+ - (.+?)\.jpg""), "".jpg"", """"), ""-"", "", ""), """")"),"")</f>
        <v/>
      </c>
      <c r="L5900" s="12"/>
      <c r="M5900" s="13"/>
      <c r="N5900" s="2"/>
      <c r="O5900" s="20"/>
      <c r="P5900" s="42"/>
      <c r="R5900" s="23"/>
    </row>
    <row r="5901" spans="1:18" ht="12.75">
      <c r="A5901" s="12"/>
      <c r="D5901" s="12"/>
      <c r="E5901" s="12"/>
      <c r="H5901" s="11" t="str">
        <f ca="1">IFERROR(__xludf.DUMMYFUNCTION("IFERROR(SUBSTITUTE(SUBSTITUTE(REGEXEXTRACT(A5901, ""[^-]+- [^-]+- [^-]+ - (.+?)\.jpg""), "".jpg"", """"), ""-"", "", ""), """")"),"")</f>
        <v/>
      </c>
      <c r="L5901" s="12"/>
      <c r="M5901" s="13"/>
      <c r="N5901" s="2"/>
      <c r="O5901" s="20"/>
      <c r="P5901" s="42"/>
      <c r="R5901" s="23"/>
    </row>
    <row r="5902" spans="1:18" ht="12.75">
      <c r="A5902" s="12"/>
      <c r="D5902" s="12"/>
      <c r="E5902" s="12"/>
      <c r="H5902" s="11" t="str">
        <f ca="1">IFERROR(__xludf.DUMMYFUNCTION("IFERROR(SUBSTITUTE(SUBSTITUTE(REGEXEXTRACT(A5902, ""[^-]+- [^-]+- [^-]+ - (.+?)\.jpg""), "".jpg"", """"), ""-"", "", ""), """")"),"")</f>
        <v/>
      </c>
      <c r="L5902" s="12"/>
      <c r="M5902" s="13"/>
      <c r="N5902" s="2"/>
      <c r="O5902" s="20"/>
      <c r="P5902" s="42"/>
      <c r="R5902" s="23"/>
    </row>
    <row r="5903" spans="1:18" ht="12.75">
      <c r="A5903" s="12"/>
      <c r="D5903" s="12"/>
      <c r="E5903" s="12"/>
      <c r="H5903" s="11" t="str">
        <f ca="1">IFERROR(__xludf.DUMMYFUNCTION("IFERROR(SUBSTITUTE(SUBSTITUTE(REGEXEXTRACT(A5903, ""[^-]+- [^-]+- [^-]+ - (.+?)\.jpg""), "".jpg"", """"), ""-"", "", ""), """")"),"")</f>
        <v/>
      </c>
      <c r="L5903" s="12"/>
      <c r="M5903" s="13"/>
      <c r="N5903" s="2"/>
      <c r="O5903" s="20"/>
      <c r="P5903" s="42"/>
      <c r="R5903" s="23"/>
    </row>
    <row r="5904" spans="1:18" ht="12.75">
      <c r="A5904" s="12"/>
      <c r="D5904" s="12"/>
      <c r="E5904" s="12"/>
      <c r="H5904" s="11" t="str">
        <f ca="1">IFERROR(__xludf.DUMMYFUNCTION("IFERROR(SUBSTITUTE(SUBSTITUTE(REGEXEXTRACT(A5904, ""[^-]+- [^-]+- [^-]+ - (.+?)\.jpg""), "".jpg"", """"), ""-"", "", ""), """")"),"")</f>
        <v/>
      </c>
      <c r="L5904" s="12"/>
      <c r="M5904" s="13"/>
      <c r="N5904" s="2"/>
      <c r="O5904" s="20"/>
      <c r="P5904" s="42"/>
      <c r="R5904" s="23"/>
    </row>
    <row r="5905" spans="1:18" ht="12.75">
      <c r="A5905" s="12"/>
      <c r="D5905" s="12"/>
      <c r="E5905" s="12"/>
      <c r="H5905" s="11" t="str">
        <f ca="1">IFERROR(__xludf.DUMMYFUNCTION("IFERROR(SUBSTITUTE(SUBSTITUTE(REGEXEXTRACT(A5905, ""[^-]+- [^-]+- [^-]+ - (.+?)\.jpg""), "".jpg"", """"), ""-"", "", ""), """")"),"")</f>
        <v/>
      </c>
      <c r="L5905" s="12"/>
      <c r="M5905" s="13"/>
      <c r="N5905" s="2"/>
      <c r="O5905" s="20"/>
      <c r="P5905" s="42"/>
      <c r="R5905" s="23"/>
    </row>
    <row r="5906" spans="1:18" ht="12.75">
      <c r="A5906" s="12"/>
      <c r="D5906" s="12"/>
      <c r="E5906" s="12"/>
      <c r="H5906" s="11" t="str">
        <f ca="1">IFERROR(__xludf.DUMMYFUNCTION("IFERROR(SUBSTITUTE(SUBSTITUTE(REGEXEXTRACT(A5906, ""[^-]+- [^-]+- [^-]+ - (.+?)\.jpg""), "".jpg"", """"), ""-"", "", ""), """")"),"")</f>
        <v/>
      </c>
      <c r="L5906" s="12"/>
      <c r="M5906" s="13"/>
      <c r="N5906" s="2"/>
      <c r="O5906" s="20"/>
      <c r="P5906" s="42"/>
      <c r="R5906" s="23"/>
    </row>
    <row r="5907" spans="1:18" ht="12.75">
      <c r="A5907" s="12"/>
      <c r="D5907" s="12"/>
      <c r="E5907" s="12"/>
      <c r="H5907" s="11" t="str">
        <f ca="1">IFERROR(__xludf.DUMMYFUNCTION("IFERROR(SUBSTITUTE(SUBSTITUTE(REGEXEXTRACT(A5907, ""[^-]+- [^-]+- [^-]+ - (.+?)\.jpg""), "".jpg"", """"), ""-"", "", ""), """")"),"")</f>
        <v/>
      </c>
      <c r="L5907" s="12"/>
      <c r="M5907" s="13"/>
      <c r="N5907" s="2"/>
      <c r="O5907" s="20"/>
      <c r="P5907" s="42"/>
      <c r="R5907" s="23"/>
    </row>
    <row r="5908" spans="1:18" ht="12.75">
      <c r="A5908" s="12"/>
      <c r="D5908" s="12"/>
      <c r="E5908" s="12"/>
      <c r="H5908" s="11" t="str">
        <f ca="1">IFERROR(__xludf.DUMMYFUNCTION("IFERROR(SUBSTITUTE(SUBSTITUTE(REGEXEXTRACT(A5908, ""[^-]+- [^-]+- [^-]+ - (.+?)\.jpg""), "".jpg"", """"), ""-"", "", ""), """")"),"")</f>
        <v/>
      </c>
      <c r="L5908" s="12"/>
      <c r="M5908" s="13"/>
      <c r="N5908" s="2"/>
      <c r="O5908" s="20"/>
      <c r="P5908" s="42"/>
      <c r="R5908" s="23"/>
    </row>
    <row r="5909" spans="1:18" ht="12.75">
      <c r="A5909" s="12"/>
      <c r="D5909" s="12"/>
      <c r="E5909" s="12"/>
      <c r="H5909" s="11" t="str">
        <f ca="1">IFERROR(__xludf.DUMMYFUNCTION("IFERROR(SUBSTITUTE(SUBSTITUTE(REGEXEXTRACT(A5909, ""[^-]+- [^-]+- [^-]+ - (.+?)\.jpg""), "".jpg"", """"), ""-"", "", ""), """")"),"")</f>
        <v/>
      </c>
      <c r="L5909" s="12"/>
      <c r="M5909" s="13"/>
      <c r="N5909" s="2"/>
      <c r="O5909" s="20"/>
      <c r="P5909" s="42"/>
      <c r="R5909" s="23"/>
    </row>
    <row r="5910" spans="1:18" ht="12.75">
      <c r="A5910" s="12"/>
      <c r="D5910" s="12"/>
      <c r="E5910" s="12"/>
      <c r="H5910" s="11" t="str">
        <f ca="1">IFERROR(__xludf.DUMMYFUNCTION("IFERROR(SUBSTITUTE(SUBSTITUTE(REGEXEXTRACT(A5910, ""[^-]+- [^-]+- [^-]+ - (.+?)\.jpg""), "".jpg"", """"), ""-"", "", ""), """")"),"")</f>
        <v/>
      </c>
      <c r="L5910" s="12"/>
      <c r="M5910" s="13"/>
      <c r="N5910" s="2"/>
      <c r="O5910" s="20"/>
      <c r="P5910" s="42"/>
      <c r="R5910" s="23"/>
    </row>
    <row r="5911" spans="1:18" ht="12.75">
      <c r="A5911" s="12"/>
      <c r="D5911" s="12"/>
      <c r="E5911" s="12"/>
      <c r="H5911" s="11" t="str">
        <f ca="1">IFERROR(__xludf.DUMMYFUNCTION("IFERROR(SUBSTITUTE(SUBSTITUTE(REGEXEXTRACT(A5911, ""[^-]+- [^-]+- [^-]+ - (.+?)\.jpg""), "".jpg"", """"), ""-"", "", ""), """")"),"")</f>
        <v/>
      </c>
      <c r="L5911" s="12"/>
      <c r="M5911" s="13"/>
      <c r="N5911" s="2"/>
      <c r="O5911" s="20"/>
      <c r="P5911" s="42"/>
      <c r="R5911" s="23"/>
    </row>
    <row r="5912" spans="1:18" ht="12.75">
      <c r="A5912" s="12"/>
      <c r="D5912" s="12"/>
      <c r="E5912" s="12"/>
      <c r="H5912" s="11" t="str">
        <f ca="1">IFERROR(__xludf.DUMMYFUNCTION("IFERROR(SUBSTITUTE(SUBSTITUTE(REGEXEXTRACT(A5912, ""[^-]+- [^-]+- [^-]+ - (.+?)\.jpg""), "".jpg"", """"), ""-"", "", ""), """")"),"")</f>
        <v/>
      </c>
      <c r="L5912" s="12"/>
      <c r="M5912" s="13"/>
      <c r="N5912" s="2"/>
      <c r="O5912" s="20"/>
      <c r="P5912" s="42"/>
      <c r="R5912" s="23"/>
    </row>
    <row r="5913" spans="1:18" ht="12.75">
      <c r="A5913" s="12"/>
      <c r="D5913" s="12"/>
      <c r="E5913" s="12"/>
      <c r="H5913" s="11" t="str">
        <f ca="1">IFERROR(__xludf.DUMMYFUNCTION("IFERROR(SUBSTITUTE(SUBSTITUTE(REGEXEXTRACT(A5913, ""[^-]+- [^-]+- [^-]+ - (.+?)\.jpg""), "".jpg"", """"), ""-"", "", ""), """")"),"")</f>
        <v/>
      </c>
      <c r="L5913" s="12"/>
      <c r="M5913" s="13"/>
      <c r="N5913" s="2"/>
      <c r="O5913" s="20"/>
      <c r="P5913" s="42"/>
      <c r="R5913" s="23"/>
    </row>
    <row r="5914" spans="1:18" ht="12.75">
      <c r="A5914" s="12"/>
      <c r="D5914" s="12"/>
      <c r="E5914" s="12"/>
      <c r="H5914" s="11" t="str">
        <f ca="1">IFERROR(__xludf.DUMMYFUNCTION("IFERROR(SUBSTITUTE(SUBSTITUTE(REGEXEXTRACT(A5914, ""[^-]+- [^-]+- [^-]+ - (.+?)\.jpg""), "".jpg"", """"), ""-"", "", ""), """")"),"")</f>
        <v/>
      </c>
      <c r="L5914" s="12"/>
      <c r="M5914" s="13"/>
      <c r="N5914" s="2"/>
      <c r="O5914" s="20"/>
      <c r="P5914" s="42"/>
      <c r="R5914" s="23"/>
    </row>
    <row r="5915" spans="1:18" ht="12.75">
      <c r="A5915" s="12"/>
      <c r="D5915" s="12"/>
      <c r="E5915" s="12"/>
      <c r="H5915" s="11" t="str">
        <f ca="1">IFERROR(__xludf.DUMMYFUNCTION("IFERROR(SUBSTITUTE(SUBSTITUTE(REGEXEXTRACT(A5915, ""[^-]+- [^-]+- [^-]+ - (.+?)\.jpg""), "".jpg"", """"), ""-"", "", ""), """")"),"")</f>
        <v/>
      </c>
      <c r="L5915" s="12"/>
      <c r="M5915" s="13"/>
      <c r="N5915" s="2"/>
      <c r="O5915" s="20"/>
      <c r="P5915" s="42"/>
      <c r="R5915" s="23"/>
    </row>
    <row r="5916" spans="1:18" ht="12.75">
      <c r="A5916" s="12"/>
      <c r="D5916" s="12"/>
      <c r="E5916" s="12"/>
      <c r="H5916" s="11" t="str">
        <f ca="1">IFERROR(__xludf.DUMMYFUNCTION("IFERROR(SUBSTITUTE(SUBSTITUTE(REGEXEXTRACT(A5916, ""[^-]+- [^-]+- [^-]+ - (.+?)\.jpg""), "".jpg"", """"), ""-"", "", ""), """")"),"")</f>
        <v/>
      </c>
      <c r="L5916" s="12"/>
      <c r="M5916" s="13"/>
      <c r="N5916" s="2"/>
      <c r="O5916" s="20"/>
      <c r="P5916" s="42"/>
      <c r="R5916" s="23"/>
    </row>
    <row r="5917" spans="1:18" ht="12.75">
      <c r="A5917" s="12"/>
      <c r="D5917" s="12"/>
      <c r="E5917" s="12"/>
      <c r="H5917" s="11" t="str">
        <f ca="1">IFERROR(__xludf.DUMMYFUNCTION("IFERROR(SUBSTITUTE(SUBSTITUTE(REGEXEXTRACT(A5917, ""[^-]+- [^-]+- [^-]+ - (.+?)\.jpg""), "".jpg"", """"), ""-"", "", ""), """")"),"")</f>
        <v/>
      </c>
      <c r="L5917" s="12"/>
      <c r="M5917" s="13"/>
      <c r="N5917" s="2"/>
      <c r="O5917" s="20"/>
      <c r="P5917" s="42"/>
      <c r="R5917" s="23"/>
    </row>
    <row r="5918" spans="1:18" ht="12.75">
      <c r="A5918" s="12"/>
      <c r="D5918" s="12"/>
      <c r="E5918" s="12"/>
      <c r="H5918" s="11" t="str">
        <f ca="1">IFERROR(__xludf.DUMMYFUNCTION("IFERROR(SUBSTITUTE(SUBSTITUTE(REGEXEXTRACT(A5918, ""[^-]+- [^-]+- [^-]+ - (.+?)\.jpg""), "".jpg"", """"), ""-"", "", ""), """")"),"")</f>
        <v/>
      </c>
      <c r="L5918" s="12"/>
      <c r="M5918" s="13"/>
      <c r="N5918" s="2"/>
      <c r="O5918" s="20"/>
      <c r="P5918" s="42"/>
      <c r="R5918" s="23"/>
    </row>
    <row r="5919" spans="1:18" ht="12.75">
      <c r="A5919" s="12"/>
      <c r="D5919" s="12"/>
      <c r="E5919" s="12"/>
      <c r="H5919" s="11" t="str">
        <f ca="1">IFERROR(__xludf.DUMMYFUNCTION("IFERROR(SUBSTITUTE(SUBSTITUTE(REGEXEXTRACT(A5919, ""[^-]+- [^-]+- [^-]+ - (.+?)\.jpg""), "".jpg"", """"), ""-"", "", ""), """")"),"")</f>
        <v/>
      </c>
      <c r="L5919" s="12"/>
      <c r="M5919" s="13"/>
      <c r="N5919" s="2"/>
      <c r="O5919" s="20"/>
      <c r="P5919" s="42"/>
      <c r="R5919" s="23"/>
    </row>
    <row r="5920" spans="1:18" ht="12.75">
      <c r="A5920" s="12"/>
      <c r="D5920" s="12"/>
      <c r="E5920" s="12"/>
      <c r="H5920" s="11" t="str">
        <f ca="1">IFERROR(__xludf.DUMMYFUNCTION("IFERROR(SUBSTITUTE(SUBSTITUTE(REGEXEXTRACT(A5920, ""[^-]+- [^-]+- [^-]+ - (.+?)\.jpg""), "".jpg"", """"), ""-"", "", ""), """")"),"")</f>
        <v/>
      </c>
      <c r="L5920" s="12"/>
      <c r="M5920" s="13"/>
      <c r="N5920" s="2"/>
      <c r="O5920" s="20"/>
      <c r="P5920" s="42"/>
      <c r="R5920" s="23"/>
    </row>
    <row r="5921" spans="1:18" ht="12.75">
      <c r="A5921" s="12"/>
      <c r="D5921" s="12"/>
      <c r="E5921" s="12"/>
      <c r="H5921" s="11" t="str">
        <f ca="1">IFERROR(__xludf.DUMMYFUNCTION("IFERROR(SUBSTITUTE(SUBSTITUTE(REGEXEXTRACT(A5921, ""[^-]+- [^-]+- [^-]+ - (.+?)\.jpg""), "".jpg"", """"), ""-"", "", ""), """")"),"")</f>
        <v/>
      </c>
      <c r="L5921" s="12"/>
      <c r="M5921" s="13"/>
      <c r="N5921" s="2"/>
      <c r="O5921" s="20"/>
      <c r="P5921" s="42"/>
      <c r="R5921" s="23"/>
    </row>
    <row r="5922" spans="1:18" ht="12.75">
      <c r="A5922" s="12"/>
      <c r="D5922" s="12"/>
      <c r="E5922" s="12"/>
      <c r="H5922" s="11" t="str">
        <f ca="1">IFERROR(__xludf.DUMMYFUNCTION("IFERROR(SUBSTITUTE(SUBSTITUTE(REGEXEXTRACT(A5922, ""[^-]+- [^-]+- [^-]+ - (.+?)\.jpg""), "".jpg"", """"), ""-"", "", ""), """")"),"")</f>
        <v/>
      </c>
      <c r="L5922" s="12"/>
      <c r="M5922" s="13"/>
      <c r="N5922" s="2"/>
      <c r="O5922" s="20"/>
      <c r="P5922" s="42"/>
      <c r="R5922" s="23"/>
    </row>
    <row r="5923" spans="1:18" ht="12.75">
      <c r="A5923" s="12"/>
      <c r="D5923" s="12"/>
      <c r="E5923" s="12"/>
      <c r="H5923" s="11" t="str">
        <f ca="1">IFERROR(__xludf.DUMMYFUNCTION("IFERROR(SUBSTITUTE(SUBSTITUTE(REGEXEXTRACT(A5923, ""[^-]+- [^-]+- [^-]+ - (.+?)\.jpg""), "".jpg"", """"), ""-"", "", ""), """")"),"")</f>
        <v/>
      </c>
      <c r="L5923" s="12"/>
      <c r="M5923" s="13"/>
      <c r="N5923" s="2"/>
      <c r="O5923" s="20"/>
      <c r="P5923" s="42"/>
      <c r="R5923" s="23"/>
    </row>
    <row r="5924" spans="1:18" ht="12.75">
      <c r="A5924" s="12"/>
      <c r="D5924" s="12"/>
      <c r="E5924" s="12"/>
      <c r="H5924" s="11" t="str">
        <f ca="1">IFERROR(__xludf.DUMMYFUNCTION("IFERROR(SUBSTITUTE(SUBSTITUTE(REGEXEXTRACT(A5924, ""[^-]+- [^-]+- [^-]+ - (.+?)\.jpg""), "".jpg"", """"), ""-"", "", ""), """")"),"")</f>
        <v/>
      </c>
      <c r="L5924" s="12"/>
      <c r="M5924" s="13"/>
      <c r="N5924" s="2"/>
      <c r="O5924" s="20"/>
      <c r="P5924" s="42"/>
      <c r="R5924" s="23"/>
    </row>
    <row r="5925" spans="1:18" ht="12.75">
      <c r="A5925" s="12"/>
      <c r="D5925" s="12"/>
      <c r="E5925" s="12"/>
      <c r="H5925" s="11" t="str">
        <f ca="1">IFERROR(__xludf.DUMMYFUNCTION("IFERROR(SUBSTITUTE(SUBSTITUTE(REGEXEXTRACT(A5925, ""[^-]+- [^-]+- [^-]+ - (.+?)\.jpg""), "".jpg"", """"), ""-"", "", ""), """")"),"")</f>
        <v/>
      </c>
      <c r="L5925" s="12"/>
      <c r="M5925" s="13"/>
      <c r="N5925" s="2"/>
      <c r="O5925" s="20"/>
      <c r="P5925" s="42"/>
      <c r="R5925" s="23"/>
    </row>
    <row r="5926" spans="1:18" ht="12.75">
      <c r="A5926" s="12"/>
      <c r="D5926" s="12"/>
      <c r="E5926" s="12"/>
      <c r="H5926" s="11" t="str">
        <f ca="1">IFERROR(__xludf.DUMMYFUNCTION("IFERROR(SUBSTITUTE(SUBSTITUTE(REGEXEXTRACT(A5926, ""[^-]+- [^-]+- [^-]+ - (.+?)\.jpg""), "".jpg"", """"), ""-"", "", ""), """")"),"")</f>
        <v/>
      </c>
      <c r="L5926" s="12"/>
      <c r="M5926" s="13"/>
      <c r="N5926" s="2"/>
      <c r="O5926" s="20"/>
      <c r="P5926" s="42"/>
      <c r="R5926" s="23"/>
    </row>
    <row r="5927" spans="1:18" ht="12.75">
      <c r="A5927" s="12"/>
      <c r="D5927" s="12"/>
      <c r="E5927" s="12"/>
      <c r="H5927" s="11" t="str">
        <f ca="1">IFERROR(__xludf.DUMMYFUNCTION("IFERROR(SUBSTITUTE(SUBSTITUTE(REGEXEXTRACT(A5927, ""[^-]+- [^-]+- [^-]+ - (.+?)\.jpg""), "".jpg"", """"), ""-"", "", ""), """")"),"")</f>
        <v/>
      </c>
      <c r="L5927" s="12"/>
      <c r="M5927" s="13"/>
      <c r="N5927" s="2"/>
      <c r="O5927" s="20"/>
      <c r="P5927" s="42"/>
      <c r="R5927" s="23"/>
    </row>
    <row r="5928" spans="1:18" ht="12.75">
      <c r="A5928" s="12"/>
      <c r="D5928" s="12"/>
      <c r="E5928" s="12"/>
      <c r="H5928" s="11" t="str">
        <f ca="1">IFERROR(__xludf.DUMMYFUNCTION("IFERROR(SUBSTITUTE(SUBSTITUTE(REGEXEXTRACT(A5928, ""[^-]+- [^-]+- [^-]+ - (.+?)\.jpg""), "".jpg"", """"), ""-"", "", ""), """")"),"")</f>
        <v/>
      </c>
      <c r="L5928" s="12"/>
      <c r="M5928" s="13"/>
      <c r="N5928" s="2"/>
      <c r="O5928" s="20"/>
      <c r="P5928" s="42"/>
      <c r="R5928" s="23"/>
    </row>
    <row r="5929" spans="1:18" ht="12.75">
      <c r="A5929" s="12"/>
      <c r="D5929" s="12"/>
      <c r="E5929" s="12"/>
      <c r="H5929" s="11" t="str">
        <f ca="1">IFERROR(__xludf.DUMMYFUNCTION("IFERROR(SUBSTITUTE(SUBSTITUTE(REGEXEXTRACT(A5929, ""[^-]+- [^-]+- [^-]+ - (.+?)\.jpg""), "".jpg"", """"), ""-"", "", ""), """")"),"")</f>
        <v/>
      </c>
      <c r="L5929" s="12"/>
      <c r="M5929" s="13"/>
      <c r="N5929" s="2"/>
      <c r="O5929" s="20"/>
      <c r="P5929" s="42"/>
      <c r="R5929" s="23"/>
    </row>
    <row r="5930" spans="1:18" ht="12.75">
      <c r="A5930" s="12"/>
      <c r="D5930" s="12"/>
      <c r="E5930" s="12"/>
      <c r="H5930" s="11" t="str">
        <f ca="1">IFERROR(__xludf.DUMMYFUNCTION("IFERROR(SUBSTITUTE(SUBSTITUTE(REGEXEXTRACT(A5930, ""[^-]+- [^-]+- [^-]+ - (.+?)\.jpg""), "".jpg"", """"), ""-"", "", ""), """")"),"")</f>
        <v/>
      </c>
      <c r="L5930" s="12"/>
      <c r="M5930" s="13"/>
      <c r="N5930" s="2"/>
      <c r="O5930" s="20"/>
      <c r="P5930" s="42"/>
      <c r="R5930" s="23"/>
    </row>
    <row r="5931" spans="1:18" ht="12.75">
      <c r="A5931" s="12"/>
      <c r="D5931" s="12"/>
      <c r="E5931" s="12"/>
      <c r="H5931" s="11" t="str">
        <f ca="1">IFERROR(__xludf.DUMMYFUNCTION("IFERROR(SUBSTITUTE(SUBSTITUTE(REGEXEXTRACT(A5931, ""[^-]+- [^-]+- [^-]+ - (.+?)\.jpg""), "".jpg"", """"), ""-"", "", ""), """")"),"")</f>
        <v/>
      </c>
      <c r="L5931" s="12"/>
      <c r="M5931" s="13"/>
      <c r="N5931" s="2"/>
      <c r="O5931" s="20"/>
      <c r="P5931" s="42"/>
      <c r="R5931" s="23"/>
    </row>
    <row r="5932" spans="1:18" ht="12.75">
      <c r="A5932" s="12"/>
      <c r="D5932" s="12"/>
      <c r="E5932" s="12"/>
      <c r="H5932" s="11" t="str">
        <f ca="1">IFERROR(__xludf.DUMMYFUNCTION("IFERROR(SUBSTITUTE(SUBSTITUTE(REGEXEXTRACT(A5932, ""[^-]+- [^-]+- [^-]+ - (.+?)\.jpg""), "".jpg"", """"), ""-"", "", ""), """")"),"")</f>
        <v/>
      </c>
      <c r="L5932" s="12"/>
      <c r="M5932" s="13"/>
      <c r="N5932" s="2"/>
      <c r="O5932" s="20"/>
      <c r="P5932" s="42"/>
      <c r="R5932" s="23"/>
    </row>
    <row r="5933" spans="1:18" ht="12.75">
      <c r="A5933" s="12"/>
      <c r="D5933" s="12"/>
      <c r="E5933" s="12"/>
      <c r="H5933" s="11" t="str">
        <f ca="1">IFERROR(__xludf.DUMMYFUNCTION("IFERROR(SUBSTITUTE(SUBSTITUTE(REGEXEXTRACT(A5933, ""[^-]+- [^-]+- [^-]+ - (.+?)\.jpg""), "".jpg"", """"), ""-"", "", ""), """")"),"")</f>
        <v/>
      </c>
      <c r="L5933" s="12"/>
      <c r="M5933" s="13"/>
      <c r="N5933" s="2"/>
      <c r="O5933" s="20"/>
      <c r="P5933" s="42"/>
      <c r="R5933" s="23"/>
    </row>
    <row r="5934" spans="1:18" ht="12.75">
      <c r="A5934" s="12"/>
      <c r="D5934" s="12"/>
      <c r="E5934" s="12"/>
      <c r="H5934" s="11" t="str">
        <f ca="1">IFERROR(__xludf.DUMMYFUNCTION("IFERROR(SUBSTITUTE(SUBSTITUTE(REGEXEXTRACT(A5934, ""[^-]+- [^-]+- [^-]+ - (.+?)\.jpg""), "".jpg"", """"), ""-"", "", ""), """")"),"")</f>
        <v/>
      </c>
      <c r="L5934" s="12"/>
      <c r="M5934" s="13"/>
      <c r="N5934" s="2"/>
      <c r="O5934" s="20"/>
      <c r="P5934" s="42"/>
      <c r="R5934" s="23"/>
    </row>
    <row r="5935" spans="1:18" ht="12.75">
      <c r="A5935" s="12"/>
      <c r="D5935" s="12"/>
      <c r="E5935" s="12"/>
      <c r="H5935" s="11" t="str">
        <f ca="1">IFERROR(__xludf.DUMMYFUNCTION("IFERROR(SUBSTITUTE(SUBSTITUTE(REGEXEXTRACT(A5935, ""[^-]+- [^-]+- [^-]+ - (.+?)\.jpg""), "".jpg"", """"), ""-"", "", ""), """")"),"")</f>
        <v/>
      </c>
      <c r="L5935" s="12"/>
      <c r="M5935" s="13"/>
      <c r="N5935" s="2"/>
      <c r="O5935" s="20"/>
      <c r="P5935" s="42"/>
      <c r="R5935" s="23"/>
    </row>
    <row r="5936" spans="1:18" ht="12.75">
      <c r="A5936" s="12"/>
      <c r="D5936" s="12"/>
      <c r="E5936" s="12"/>
      <c r="H5936" s="11" t="str">
        <f ca="1">IFERROR(__xludf.DUMMYFUNCTION("IFERROR(SUBSTITUTE(SUBSTITUTE(REGEXEXTRACT(A5936, ""[^-]+- [^-]+- [^-]+ - (.+?)\.jpg""), "".jpg"", """"), ""-"", "", ""), """")"),"")</f>
        <v/>
      </c>
      <c r="L5936" s="12"/>
      <c r="M5936" s="13"/>
      <c r="N5936" s="2"/>
      <c r="O5936" s="20"/>
      <c r="P5936" s="42"/>
      <c r="R5936" s="23"/>
    </row>
    <row r="5937" spans="1:18" ht="12.75">
      <c r="A5937" s="12"/>
      <c r="D5937" s="12"/>
      <c r="E5937" s="12"/>
      <c r="H5937" s="11" t="str">
        <f ca="1">IFERROR(__xludf.DUMMYFUNCTION("IFERROR(SUBSTITUTE(SUBSTITUTE(REGEXEXTRACT(A5937, ""[^-]+- [^-]+- [^-]+ - (.+?)\.jpg""), "".jpg"", """"), ""-"", "", ""), """")"),"")</f>
        <v/>
      </c>
      <c r="L5937" s="12"/>
      <c r="M5937" s="13"/>
      <c r="N5937" s="2"/>
      <c r="O5937" s="20"/>
      <c r="P5937" s="42"/>
      <c r="R5937" s="23"/>
    </row>
    <row r="5938" spans="1:18" ht="12.75">
      <c r="A5938" s="12"/>
      <c r="D5938" s="12"/>
      <c r="E5938" s="12"/>
      <c r="H5938" s="11" t="str">
        <f ca="1">IFERROR(__xludf.DUMMYFUNCTION("IFERROR(SUBSTITUTE(SUBSTITUTE(REGEXEXTRACT(A5938, ""[^-]+- [^-]+- [^-]+ - (.+?)\.jpg""), "".jpg"", """"), ""-"", "", ""), """")"),"")</f>
        <v/>
      </c>
      <c r="L5938" s="12"/>
      <c r="M5938" s="13"/>
      <c r="N5938" s="2"/>
      <c r="O5938" s="20"/>
      <c r="P5938" s="42"/>
      <c r="R5938" s="23"/>
    </row>
    <row r="5939" spans="1:18" ht="12.75">
      <c r="A5939" s="12"/>
      <c r="D5939" s="12"/>
      <c r="E5939" s="12"/>
      <c r="H5939" s="11" t="str">
        <f ca="1">IFERROR(__xludf.DUMMYFUNCTION("IFERROR(SUBSTITUTE(SUBSTITUTE(REGEXEXTRACT(A5939, ""[^-]+- [^-]+- [^-]+ - (.+?)\.jpg""), "".jpg"", """"), ""-"", "", ""), """")"),"")</f>
        <v/>
      </c>
      <c r="L5939" s="12"/>
      <c r="M5939" s="13"/>
      <c r="N5939" s="2"/>
      <c r="O5939" s="20"/>
      <c r="P5939" s="42"/>
      <c r="R5939" s="23"/>
    </row>
    <row r="5940" spans="1:18" ht="12.75">
      <c r="A5940" s="12"/>
      <c r="D5940" s="12"/>
      <c r="E5940" s="12"/>
      <c r="H5940" s="11" t="str">
        <f ca="1">IFERROR(__xludf.DUMMYFUNCTION("IFERROR(SUBSTITUTE(SUBSTITUTE(REGEXEXTRACT(A5940, ""[^-]+- [^-]+- [^-]+ - (.+?)\.jpg""), "".jpg"", """"), ""-"", "", ""), """")"),"")</f>
        <v/>
      </c>
      <c r="L5940" s="12"/>
      <c r="M5940" s="13"/>
      <c r="N5940" s="2"/>
      <c r="O5940" s="20"/>
      <c r="P5940" s="42"/>
      <c r="R5940" s="23"/>
    </row>
    <row r="5941" spans="1:18" ht="12.75">
      <c r="A5941" s="12"/>
      <c r="D5941" s="12"/>
      <c r="E5941" s="12"/>
      <c r="H5941" s="11" t="str">
        <f ca="1">IFERROR(__xludf.DUMMYFUNCTION("IFERROR(SUBSTITUTE(SUBSTITUTE(REGEXEXTRACT(A5941, ""[^-]+- [^-]+- [^-]+ - (.+?)\.jpg""), "".jpg"", """"), ""-"", "", ""), """")"),"")</f>
        <v/>
      </c>
      <c r="L5941" s="12"/>
      <c r="M5941" s="13"/>
      <c r="N5941" s="2"/>
      <c r="O5941" s="20"/>
      <c r="P5941" s="42"/>
      <c r="R5941" s="23"/>
    </row>
    <row r="5942" spans="1:18" ht="12.75">
      <c r="A5942" s="12"/>
      <c r="D5942" s="12"/>
      <c r="E5942" s="12"/>
      <c r="H5942" s="11" t="str">
        <f ca="1">IFERROR(__xludf.DUMMYFUNCTION("IFERROR(SUBSTITUTE(SUBSTITUTE(REGEXEXTRACT(A5942, ""[^-]+- [^-]+- [^-]+ - (.+?)\.jpg""), "".jpg"", """"), ""-"", "", ""), """")"),"")</f>
        <v/>
      </c>
      <c r="L5942" s="12"/>
      <c r="M5942" s="13"/>
      <c r="N5942" s="2"/>
      <c r="O5942" s="20"/>
      <c r="P5942" s="42"/>
      <c r="R5942" s="23"/>
    </row>
    <row r="5943" spans="1:18" ht="12.75">
      <c r="A5943" s="12"/>
      <c r="D5943" s="12"/>
      <c r="E5943" s="12"/>
      <c r="H5943" s="11" t="str">
        <f ca="1">IFERROR(__xludf.DUMMYFUNCTION("IFERROR(SUBSTITUTE(SUBSTITUTE(REGEXEXTRACT(A5943, ""[^-]+- [^-]+- [^-]+ - (.+?)\.jpg""), "".jpg"", """"), ""-"", "", ""), """")"),"")</f>
        <v/>
      </c>
      <c r="L5943" s="12"/>
      <c r="M5943" s="13"/>
      <c r="N5943" s="2"/>
      <c r="O5943" s="20"/>
      <c r="P5943" s="42"/>
      <c r="R5943" s="23"/>
    </row>
    <row r="5944" spans="1:18" ht="12.75">
      <c r="A5944" s="12"/>
      <c r="D5944" s="12"/>
      <c r="E5944" s="12"/>
      <c r="H5944" s="11" t="str">
        <f ca="1">IFERROR(__xludf.DUMMYFUNCTION("IFERROR(SUBSTITUTE(SUBSTITUTE(REGEXEXTRACT(A5944, ""[^-]+- [^-]+- [^-]+ - (.+?)\.jpg""), "".jpg"", """"), ""-"", "", ""), """")"),"")</f>
        <v/>
      </c>
      <c r="L5944" s="12"/>
      <c r="M5944" s="13"/>
      <c r="N5944" s="2"/>
      <c r="O5944" s="20"/>
      <c r="P5944" s="42"/>
      <c r="R5944" s="23"/>
    </row>
    <row r="5945" spans="1:18" ht="12.75">
      <c r="A5945" s="12"/>
      <c r="D5945" s="12"/>
      <c r="E5945" s="12"/>
      <c r="H5945" s="11" t="str">
        <f ca="1">IFERROR(__xludf.DUMMYFUNCTION("IFERROR(SUBSTITUTE(SUBSTITUTE(REGEXEXTRACT(A5945, ""[^-]+- [^-]+- [^-]+ - (.+?)\.jpg""), "".jpg"", """"), ""-"", "", ""), """")"),"")</f>
        <v/>
      </c>
      <c r="L5945" s="12"/>
      <c r="M5945" s="13"/>
      <c r="N5945" s="2"/>
      <c r="O5945" s="20"/>
      <c r="P5945" s="42"/>
      <c r="R5945" s="23"/>
    </row>
    <row r="5946" spans="1:18" ht="12.75">
      <c r="A5946" s="12"/>
      <c r="D5946" s="12"/>
      <c r="E5946" s="12"/>
      <c r="H5946" s="11" t="str">
        <f ca="1">IFERROR(__xludf.DUMMYFUNCTION("IFERROR(SUBSTITUTE(SUBSTITUTE(REGEXEXTRACT(A5946, ""[^-]+- [^-]+- [^-]+ - (.+?)\.jpg""), "".jpg"", """"), ""-"", "", ""), """")"),"")</f>
        <v/>
      </c>
      <c r="L5946" s="12"/>
      <c r="M5946" s="13"/>
      <c r="N5946" s="2"/>
      <c r="O5946" s="20"/>
      <c r="P5946" s="42"/>
      <c r="R5946" s="23"/>
    </row>
    <row r="5947" spans="1:18" ht="12.75">
      <c r="A5947" s="12"/>
      <c r="D5947" s="12"/>
      <c r="E5947" s="12"/>
      <c r="H5947" s="11" t="str">
        <f ca="1">IFERROR(__xludf.DUMMYFUNCTION("IFERROR(SUBSTITUTE(SUBSTITUTE(REGEXEXTRACT(A5947, ""[^-]+- [^-]+- [^-]+ - (.+?)\.jpg""), "".jpg"", """"), ""-"", "", ""), """")"),"")</f>
        <v/>
      </c>
      <c r="L5947" s="12"/>
      <c r="M5947" s="13"/>
      <c r="N5947" s="2"/>
      <c r="O5947" s="20"/>
      <c r="P5947" s="42"/>
      <c r="R5947" s="23"/>
    </row>
    <row r="5948" spans="1:18" ht="12.75">
      <c r="A5948" s="12"/>
      <c r="D5948" s="12"/>
      <c r="E5948" s="12"/>
      <c r="H5948" s="11" t="str">
        <f ca="1">IFERROR(__xludf.DUMMYFUNCTION("IFERROR(SUBSTITUTE(SUBSTITUTE(REGEXEXTRACT(A5948, ""[^-]+- [^-]+- [^-]+ - (.+?)\.jpg""), "".jpg"", """"), ""-"", "", ""), """")"),"")</f>
        <v/>
      </c>
      <c r="L5948" s="12"/>
      <c r="M5948" s="13"/>
      <c r="N5948" s="2"/>
      <c r="O5948" s="20"/>
      <c r="P5948" s="42"/>
      <c r="R5948" s="23"/>
    </row>
    <row r="5949" spans="1:18" ht="12.75">
      <c r="A5949" s="12"/>
      <c r="D5949" s="12"/>
      <c r="E5949" s="12"/>
      <c r="H5949" s="11" t="str">
        <f ca="1">IFERROR(__xludf.DUMMYFUNCTION("IFERROR(SUBSTITUTE(SUBSTITUTE(REGEXEXTRACT(A5949, ""[^-]+- [^-]+- [^-]+ - (.+?)\.jpg""), "".jpg"", """"), ""-"", "", ""), """")"),"")</f>
        <v/>
      </c>
      <c r="L5949" s="12"/>
      <c r="M5949" s="13"/>
      <c r="N5949" s="2"/>
      <c r="O5949" s="20"/>
      <c r="P5949" s="42"/>
      <c r="R5949" s="23"/>
    </row>
    <row r="5950" spans="1:18" ht="12.75">
      <c r="A5950" s="12"/>
      <c r="D5950" s="12"/>
      <c r="E5950" s="12"/>
      <c r="H5950" s="11" t="str">
        <f ca="1">IFERROR(__xludf.DUMMYFUNCTION("IFERROR(SUBSTITUTE(SUBSTITUTE(REGEXEXTRACT(A5950, ""[^-]+- [^-]+- [^-]+ - (.+?)\.jpg""), "".jpg"", """"), ""-"", "", ""), """")"),"")</f>
        <v/>
      </c>
      <c r="L5950" s="12"/>
      <c r="M5950" s="13"/>
      <c r="N5950" s="2"/>
      <c r="O5950" s="20"/>
      <c r="P5950" s="42"/>
      <c r="R5950" s="23"/>
    </row>
    <row r="5951" spans="1:18" ht="12.75">
      <c r="A5951" s="12"/>
      <c r="D5951" s="12"/>
      <c r="E5951" s="12"/>
      <c r="H5951" s="11" t="str">
        <f ca="1">IFERROR(__xludf.DUMMYFUNCTION("IFERROR(SUBSTITUTE(SUBSTITUTE(REGEXEXTRACT(A5951, ""[^-]+- [^-]+- [^-]+ - (.+?)\.jpg""), "".jpg"", """"), ""-"", "", ""), """")"),"")</f>
        <v/>
      </c>
      <c r="L5951" s="12"/>
      <c r="M5951" s="13"/>
      <c r="N5951" s="2"/>
      <c r="O5951" s="20"/>
      <c r="P5951" s="42"/>
      <c r="R5951" s="23"/>
    </row>
    <row r="5952" spans="1:18" ht="12.75">
      <c r="A5952" s="12"/>
      <c r="D5952" s="12"/>
      <c r="E5952" s="12"/>
      <c r="H5952" s="11" t="str">
        <f ca="1">IFERROR(__xludf.DUMMYFUNCTION("IFERROR(SUBSTITUTE(SUBSTITUTE(REGEXEXTRACT(A5952, ""[^-]+- [^-]+- [^-]+ - (.+?)\.jpg""), "".jpg"", """"), ""-"", "", ""), """")"),"")</f>
        <v/>
      </c>
      <c r="L5952" s="12"/>
      <c r="M5952" s="13"/>
      <c r="N5952" s="2"/>
      <c r="O5952" s="20"/>
      <c r="P5952" s="42"/>
      <c r="R5952" s="23"/>
    </row>
    <row r="5953" spans="1:18" ht="12.75">
      <c r="A5953" s="12"/>
      <c r="D5953" s="12"/>
      <c r="E5953" s="12"/>
      <c r="H5953" s="11" t="str">
        <f ca="1">IFERROR(__xludf.DUMMYFUNCTION("IFERROR(SUBSTITUTE(SUBSTITUTE(REGEXEXTRACT(A5953, ""[^-]+- [^-]+- [^-]+ - (.+?)\.jpg""), "".jpg"", """"), ""-"", "", ""), """")"),"")</f>
        <v/>
      </c>
      <c r="L5953" s="12"/>
      <c r="M5953" s="13"/>
      <c r="N5953" s="2"/>
      <c r="O5953" s="20"/>
      <c r="P5953" s="42"/>
      <c r="R5953" s="23"/>
    </row>
    <row r="5954" spans="1:18" ht="12.75">
      <c r="A5954" s="12"/>
      <c r="D5954" s="12"/>
      <c r="E5954" s="12"/>
      <c r="H5954" s="11" t="str">
        <f ca="1">IFERROR(__xludf.DUMMYFUNCTION("IFERROR(SUBSTITUTE(SUBSTITUTE(REGEXEXTRACT(A5954, ""[^-]+- [^-]+- [^-]+ - (.+?)\.jpg""), "".jpg"", """"), ""-"", "", ""), """")"),"")</f>
        <v/>
      </c>
      <c r="L5954" s="12"/>
      <c r="M5954" s="13"/>
      <c r="N5954" s="2"/>
      <c r="O5954" s="20"/>
      <c r="P5954" s="42"/>
      <c r="R5954" s="23"/>
    </row>
    <row r="5955" spans="1:18" ht="12.75">
      <c r="A5955" s="12"/>
      <c r="D5955" s="12"/>
      <c r="E5955" s="12"/>
      <c r="H5955" s="11" t="str">
        <f ca="1">IFERROR(__xludf.DUMMYFUNCTION("IFERROR(SUBSTITUTE(SUBSTITUTE(REGEXEXTRACT(A5955, ""[^-]+- [^-]+- [^-]+ - (.+?)\.jpg""), "".jpg"", """"), ""-"", "", ""), """")"),"")</f>
        <v/>
      </c>
      <c r="L5955" s="12"/>
      <c r="M5955" s="13"/>
      <c r="N5955" s="2"/>
      <c r="O5955" s="20"/>
      <c r="P5955" s="42"/>
      <c r="R5955" s="23"/>
    </row>
    <row r="5956" spans="1:18" ht="12.75">
      <c r="A5956" s="12"/>
      <c r="D5956" s="12"/>
      <c r="E5956" s="12"/>
      <c r="H5956" s="11" t="str">
        <f ca="1">IFERROR(__xludf.DUMMYFUNCTION("IFERROR(SUBSTITUTE(SUBSTITUTE(REGEXEXTRACT(A5956, ""[^-]+- [^-]+- [^-]+ - (.+?)\.jpg""), "".jpg"", """"), ""-"", "", ""), """")"),"")</f>
        <v/>
      </c>
      <c r="L5956" s="12"/>
      <c r="M5956" s="13"/>
      <c r="N5956" s="2"/>
      <c r="O5956" s="20"/>
      <c r="P5956" s="42"/>
      <c r="R5956" s="23"/>
    </row>
    <row r="5957" spans="1:18" ht="12.75">
      <c r="A5957" s="12"/>
      <c r="D5957" s="12"/>
      <c r="E5957" s="12"/>
      <c r="H5957" s="11" t="str">
        <f ca="1">IFERROR(__xludf.DUMMYFUNCTION("IFERROR(SUBSTITUTE(SUBSTITUTE(REGEXEXTRACT(A5957, ""[^-]+- [^-]+- [^-]+ - (.+?)\.jpg""), "".jpg"", """"), ""-"", "", ""), """")"),"")</f>
        <v/>
      </c>
      <c r="L5957" s="12"/>
      <c r="M5957" s="13"/>
      <c r="N5957" s="2"/>
      <c r="O5957" s="20"/>
      <c r="P5957" s="42"/>
      <c r="R5957" s="23"/>
    </row>
    <row r="5958" spans="1:18" ht="12.75">
      <c r="A5958" s="12"/>
      <c r="D5958" s="12"/>
      <c r="E5958" s="12"/>
      <c r="H5958" s="11" t="str">
        <f ca="1">IFERROR(__xludf.DUMMYFUNCTION("IFERROR(SUBSTITUTE(SUBSTITUTE(REGEXEXTRACT(A5958, ""[^-]+- [^-]+- [^-]+ - (.+?)\.jpg""), "".jpg"", """"), ""-"", "", ""), """")"),"")</f>
        <v/>
      </c>
      <c r="L5958" s="12"/>
      <c r="M5958" s="13"/>
      <c r="N5958" s="2"/>
      <c r="O5958" s="20"/>
      <c r="P5958" s="42"/>
      <c r="R5958" s="23"/>
    </row>
    <row r="5959" spans="1:18" ht="12.75">
      <c r="A5959" s="12"/>
      <c r="D5959" s="12"/>
      <c r="E5959" s="12"/>
      <c r="H5959" s="11" t="str">
        <f ca="1">IFERROR(__xludf.DUMMYFUNCTION("IFERROR(SUBSTITUTE(SUBSTITUTE(REGEXEXTRACT(A5959, ""[^-]+- [^-]+- [^-]+ - (.+?)\.jpg""), "".jpg"", """"), ""-"", "", ""), """")"),"")</f>
        <v/>
      </c>
      <c r="L5959" s="12"/>
      <c r="M5959" s="13"/>
      <c r="N5959" s="2"/>
      <c r="O5959" s="20"/>
      <c r="P5959" s="42"/>
      <c r="R5959" s="23"/>
    </row>
    <row r="5960" spans="1:18" ht="12.75">
      <c r="A5960" s="12"/>
      <c r="D5960" s="12"/>
      <c r="E5960" s="12"/>
      <c r="H5960" s="11" t="str">
        <f ca="1">IFERROR(__xludf.DUMMYFUNCTION("IFERROR(SUBSTITUTE(SUBSTITUTE(REGEXEXTRACT(A5960, ""[^-]+- [^-]+- [^-]+ - (.+?)\.jpg""), "".jpg"", """"), ""-"", "", ""), """")"),"")</f>
        <v/>
      </c>
      <c r="L5960" s="12"/>
      <c r="M5960" s="13"/>
      <c r="N5960" s="2"/>
      <c r="O5960" s="20"/>
      <c r="P5960" s="42"/>
      <c r="R5960" s="23"/>
    </row>
    <row r="5961" spans="1:18" ht="12.75">
      <c r="A5961" s="12"/>
      <c r="D5961" s="12"/>
      <c r="E5961" s="12"/>
      <c r="H5961" s="11" t="str">
        <f ca="1">IFERROR(__xludf.DUMMYFUNCTION("IFERROR(SUBSTITUTE(SUBSTITUTE(REGEXEXTRACT(A5961, ""[^-]+- [^-]+- [^-]+ - (.+?)\.jpg""), "".jpg"", """"), ""-"", "", ""), """")"),"")</f>
        <v/>
      </c>
      <c r="L5961" s="12"/>
      <c r="M5961" s="13"/>
      <c r="N5961" s="2"/>
      <c r="O5961" s="20"/>
      <c r="P5961" s="42"/>
      <c r="R5961" s="23"/>
    </row>
    <row r="5962" spans="1:18" ht="12.75">
      <c r="A5962" s="12"/>
      <c r="D5962" s="12"/>
      <c r="E5962" s="12"/>
      <c r="H5962" s="11" t="str">
        <f ca="1">IFERROR(__xludf.DUMMYFUNCTION("IFERROR(SUBSTITUTE(SUBSTITUTE(REGEXEXTRACT(A5962, ""[^-]+- [^-]+- [^-]+ - (.+?)\.jpg""), "".jpg"", """"), ""-"", "", ""), """")"),"")</f>
        <v/>
      </c>
      <c r="L5962" s="12"/>
      <c r="M5962" s="13"/>
      <c r="N5962" s="2"/>
      <c r="O5962" s="20"/>
      <c r="P5962" s="42"/>
      <c r="R5962" s="23"/>
    </row>
    <row r="5963" spans="1:18" ht="12.75">
      <c r="A5963" s="12"/>
      <c r="D5963" s="12"/>
      <c r="E5963" s="12"/>
      <c r="H5963" s="11" t="str">
        <f ca="1">IFERROR(__xludf.DUMMYFUNCTION("IFERROR(SUBSTITUTE(SUBSTITUTE(REGEXEXTRACT(A5963, ""[^-]+- [^-]+- [^-]+ - (.+?)\.jpg""), "".jpg"", """"), ""-"", "", ""), """")"),"")</f>
        <v/>
      </c>
      <c r="L5963" s="12"/>
      <c r="M5963" s="13"/>
      <c r="N5963" s="2"/>
      <c r="O5963" s="20"/>
      <c r="P5963" s="42"/>
      <c r="R5963" s="23"/>
    </row>
    <row r="5964" spans="1:18" ht="12.75">
      <c r="A5964" s="12"/>
      <c r="D5964" s="12"/>
      <c r="E5964" s="12"/>
      <c r="H5964" s="11" t="str">
        <f ca="1">IFERROR(__xludf.DUMMYFUNCTION("IFERROR(SUBSTITUTE(SUBSTITUTE(REGEXEXTRACT(A5964, ""[^-]+- [^-]+- [^-]+ - (.+?)\.jpg""), "".jpg"", """"), ""-"", "", ""), """")"),"")</f>
        <v/>
      </c>
      <c r="L5964" s="12"/>
      <c r="M5964" s="13"/>
      <c r="N5964" s="2"/>
      <c r="O5964" s="20"/>
      <c r="P5964" s="42"/>
      <c r="R5964" s="23"/>
    </row>
    <row r="5965" spans="1:18" ht="12.75">
      <c r="A5965" s="12"/>
      <c r="D5965" s="12"/>
      <c r="E5965" s="12"/>
      <c r="H5965" s="11" t="str">
        <f ca="1">IFERROR(__xludf.DUMMYFUNCTION("IFERROR(SUBSTITUTE(SUBSTITUTE(REGEXEXTRACT(A5965, ""[^-]+- [^-]+- [^-]+ - (.+?)\.jpg""), "".jpg"", """"), ""-"", "", ""), """")"),"")</f>
        <v/>
      </c>
      <c r="L5965" s="12"/>
      <c r="M5965" s="13"/>
      <c r="N5965" s="2"/>
      <c r="O5965" s="20"/>
      <c r="P5965" s="42"/>
      <c r="R5965" s="23"/>
    </row>
    <row r="5966" spans="1:18" ht="12.75">
      <c r="A5966" s="12"/>
      <c r="D5966" s="12"/>
      <c r="E5966" s="12"/>
      <c r="H5966" s="11" t="str">
        <f ca="1">IFERROR(__xludf.DUMMYFUNCTION("IFERROR(SUBSTITUTE(SUBSTITUTE(REGEXEXTRACT(A5966, ""[^-]+- [^-]+- [^-]+ - (.+?)\.jpg""), "".jpg"", """"), ""-"", "", ""), """")"),"")</f>
        <v/>
      </c>
      <c r="L5966" s="12"/>
      <c r="M5966" s="13"/>
      <c r="N5966" s="2"/>
      <c r="O5966" s="20"/>
      <c r="P5966" s="42"/>
      <c r="R5966" s="23"/>
    </row>
    <row r="5967" spans="1:18" ht="12.75">
      <c r="A5967" s="12"/>
      <c r="D5967" s="12"/>
      <c r="E5967" s="12"/>
      <c r="H5967" s="11" t="str">
        <f ca="1">IFERROR(__xludf.DUMMYFUNCTION("IFERROR(SUBSTITUTE(SUBSTITUTE(REGEXEXTRACT(A5967, ""[^-]+- [^-]+- [^-]+ - (.+?)\.jpg""), "".jpg"", """"), ""-"", "", ""), """")"),"")</f>
        <v/>
      </c>
      <c r="L5967" s="12"/>
      <c r="M5967" s="13"/>
      <c r="N5967" s="2"/>
      <c r="O5967" s="20"/>
      <c r="P5967" s="42"/>
      <c r="R5967" s="23"/>
    </row>
    <row r="5968" spans="1:18" ht="12.75">
      <c r="A5968" s="12"/>
      <c r="D5968" s="12"/>
      <c r="E5968" s="12"/>
      <c r="H5968" s="11" t="str">
        <f ca="1">IFERROR(__xludf.DUMMYFUNCTION("IFERROR(SUBSTITUTE(SUBSTITUTE(REGEXEXTRACT(A5968, ""[^-]+- [^-]+- [^-]+ - (.+?)\.jpg""), "".jpg"", """"), ""-"", "", ""), """")"),"")</f>
        <v/>
      </c>
      <c r="L5968" s="12"/>
      <c r="M5968" s="13"/>
      <c r="N5968" s="2"/>
      <c r="O5968" s="20"/>
      <c r="P5968" s="42"/>
      <c r="R5968" s="23"/>
    </row>
    <row r="5969" spans="1:18" ht="12.75">
      <c r="A5969" s="12"/>
      <c r="D5969" s="12"/>
      <c r="E5969" s="12"/>
      <c r="H5969" s="11" t="str">
        <f ca="1">IFERROR(__xludf.DUMMYFUNCTION("IFERROR(SUBSTITUTE(SUBSTITUTE(REGEXEXTRACT(A5969, ""[^-]+- [^-]+- [^-]+ - (.+?)\.jpg""), "".jpg"", """"), ""-"", "", ""), """")"),"")</f>
        <v/>
      </c>
      <c r="L5969" s="12"/>
      <c r="M5969" s="13"/>
      <c r="N5969" s="2"/>
      <c r="O5969" s="20"/>
      <c r="P5969" s="42"/>
      <c r="R5969" s="23"/>
    </row>
    <row r="5970" spans="1:18" ht="12.75">
      <c r="A5970" s="12"/>
      <c r="D5970" s="12"/>
      <c r="E5970" s="12"/>
      <c r="H5970" s="11" t="str">
        <f ca="1">IFERROR(__xludf.DUMMYFUNCTION("IFERROR(SUBSTITUTE(SUBSTITUTE(REGEXEXTRACT(A5970, ""[^-]+- [^-]+- [^-]+ - (.+?)\.jpg""), "".jpg"", """"), ""-"", "", ""), """")"),"")</f>
        <v/>
      </c>
      <c r="L5970" s="12"/>
      <c r="M5970" s="13"/>
      <c r="N5970" s="2"/>
      <c r="O5970" s="20"/>
      <c r="P5970" s="42"/>
      <c r="R5970" s="23"/>
    </row>
    <row r="5971" spans="1:18" ht="12.75">
      <c r="A5971" s="12"/>
      <c r="D5971" s="12"/>
      <c r="E5971" s="12"/>
      <c r="H5971" s="11" t="str">
        <f ca="1">IFERROR(__xludf.DUMMYFUNCTION("IFERROR(SUBSTITUTE(SUBSTITUTE(REGEXEXTRACT(A5971, ""[^-]+- [^-]+- [^-]+ - (.+?)\.jpg""), "".jpg"", """"), ""-"", "", ""), """")"),"")</f>
        <v/>
      </c>
      <c r="L5971" s="12"/>
      <c r="M5971" s="13"/>
      <c r="N5971" s="2"/>
      <c r="O5971" s="20"/>
      <c r="P5971" s="42"/>
      <c r="R5971" s="23"/>
    </row>
    <row r="5972" spans="1:18" ht="12.75">
      <c r="A5972" s="12"/>
      <c r="D5972" s="12"/>
      <c r="E5972" s="12"/>
      <c r="H5972" s="11" t="str">
        <f ca="1">IFERROR(__xludf.DUMMYFUNCTION("IFERROR(SUBSTITUTE(SUBSTITUTE(REGEXEXTRACT(A5972, ""[^-]+- [^-]+- [^-]+ - (.+?)\.jpg""), "".jpg"", """"), ""-"", "", ""), """")"),"")</f>
        <v/>
      </c>
      <c r="L5972" s="12"/>
      <c r="M5972" s="13"/>
      <c r="N5972" s="2"/>
      <c r="O5972" s="20"/>
      <c r="P5972" s="42"/>
      <c r="R5972" s="23"/>
    </row>
    <row r="5973" spans="1:18" ht="12.75">
      <c r="A5973" s="12"/>
      <c r="D5973" s="12"/>
      <c r="E5973" s="12"/>
      <c r="H5973" s="11" t="str">
        <f ca="1">IFERROR(__xludf.DUMMYFUNCTION("IFERROR(SUBSTITUTE(SUBSTITUTE(REGEXEXTRACT(A5973, ""[^-]+- [^-]+- [^-]+ - (.+?)\.jpg""), "".jpg"", """"), ""-"", "", ""), """")"),"")</f>
        <v/>
      </c>
      <c r="L5973" s="12"/>
      <c r="M5973" s="13"/>
      <c r="N5973" s="2"/>
      <c r="O5973" s="20"/>
      <c r="P5973" s="42"/>
      <c r="R5973" s="23"/>
    </row>
    <row r="5974" spans="1:18" ht="12.75">
      <c r="A5974" s="12"/>
      <c r="D5974" s="12"/>
      <c r="E5974" s="12"/>
      <c r="H5974" s="11" t="str">
        <f ca="1">IFERROR(__xludf.DUMMYFUNCTION("IFERROR(SUBSTITUTE(SUBSTITUTE(REGEXEXTRACT(A5974, ""[^-]+- [^-]+- [^-]+ - (.+?)\.jpg""), "".jpg"", """"), ""-"", "", ""), """")"),"")</f>
        <v/>
      </c>
      <c r="L5974" s="12"/>
      <c r="M5974" s="13"/>
      <c r="N5974" s="2"/>
      <c r="O5974" s="20"/>
      <c r="P5974" s="42"/>
      <c r="R5974" s="23"/>
    </row>
    <row r="5975" spans="1:18" ht="12.75">
      <c r="A5975" s="12"/>
      <c r="D5975" s="12"/>
      <c r="E5975" s="12"/>
      <c r="H5975" s="11" t="str">
        <f ca="1">IFERROR(__xludf.DUMMYFUNCTION("IFERROR(SUBSTITUTE(SUBSTITUTE(REGEXEXTRACT(A5975, ""[^-]+- [^-]+- [^-]+ - (.+?)\.jpg""), "".jpg"", """"), ""-"", "", ""), """")"),"")</f>
        <v/>
      </c>
      <c r="L5975" s="12"/>
      <c r="M5975" s="13"/>
      <c r="N5975" s="2"/>
      <c r="O5975" s="20"/>
      <c r="P5975" s="42"/>
      <c r="R5975" s="23"/>
    </row>
    <row r="5976" spans="1:18" ht="12.75">
      <c r="A5976" s="12"/>
      <c r="D5976" s="12"/>
      <c r="E5976" s="12"/>
      <c r="H5976" s="11" t="str">
        <f ca="1">IFERROR(__xludf.DUMMYFUNCTION("IFERROR(SUBSTITUTE(SUBSTITUTE(REGEXEXTRACT(A5976, ""[^-]+- [^-]+- [^-]+ - (.+?)\.jpg""), "".jpg"", """"), ""-"", "", ""), """")"),"")</f>
        <v/>
      </c>
      <c r="L5976" s="12"/>
      <c r="M5976" s="13"/>
      <c r="N5976" s="2"/>
      <c r="O5976" s="20"/>
      <c r="P5976" s="42"/>
      <c r="R5976" s="23"/>
    </row>
    <row r="5977" spans="1:18" ht="12.75">
      <c r="A5977" s="12"/>
      <c r="D5977" s="12"/>
      <c r="E5977" s="12"/>
      <c r="H5977" s="11" t="str">
        <f ca="1">IFERROR(__xludf.DUMMYFUNCTION("IFERROR(SUBSTITUTE(SUBSTITUTE(REGEXEXTRACT(A5977, ""[^-]+- [^-]+- [^-]+ - (.+?)\.jpg""), "".jpg"", """"), ""-"", "", ""), """")"),"")</f>
        <v/>
      </c>
      <c r="L5977" s="12"/>
      <c r="M5977" s="13"/>
      <c r="N5977" s="2"/>
      <c r="O5977" s="20"/>
      <c r="P5977" s="42"/>
      <c r="R5977" s="23"/>
    </row>
    <row r="5978" spans="1:18" ht="12.75">
      <c r="A5978" s="12"/>
      <c r="D5978" s="12"/>
      <c r="E5978" s="12"/>
      <c r="H5978" s="11" t="str">
        <f ca="1">IFERROR(__xludf.DUMMYFUNCTION("IFERROR(SUBSTITUTE(SUBSTITUTE(REGEXEXTRACT(A5978, ""[^-]+- [^-]+- [^-]+ - (.+?)\.jpg""), "".jpg"", """"), ""-"", "", ""), """")"),"")</f>
        <v/>
      </c>
      <c r="L5978" s="12"/>
      <c r="M5978" s="13"/>
      <c r="N5978" s="2"/>
      <c r="O5978" s="20"/>
      <c r="P5978" s="42"/>
      <c r="R5978" s="23"/>
    </row>
    <row r="5979" spans="1:18" ht="12.75">
      <c r="A5979" s="12"/>
      <c r="D5979" s="12"/>
      <c r="E5979" s="12"/>
      <c r="H5979" s="11" t="str">
        <f ca="1">IFERROR(__xludf.DUMMYFUNCTION("IFERROR(SUBSTITUTE(SUBSTITUTE(REGEXEXTRACT(A5979, ""[^-]+- [^-]+- [^-]+ - (.+?)\.jpg""), "".jpg"", """"), ""-"", "", ""), """")"),"")</f>
        <v/>
      </c>
      <c r="L5979" s="12"/>
      <c r="M5979" s="13"/>
      <c r="N5979" s="2"/>
      <c r="O5979" s="20"/>
      <c r="P5979" s="42"/>
      <c r="R5979" s="23"/>
    </row>
    <row r="5980" spans="1:18" ht="12.75">
      <c r="A5980" s="12"/>
      <c r="D5980" s="12"/>
      <c r="E5980" s="12"/>
      <c r="H5980" s="11" t="str">
        <f ca="1">IFERROR(__xludf.DUMMYFUNCTION("IFERROR(SUBSTITUTE(SUBSTITUTE(REGEXEXTRACT(A5980, ""[^-]+- [^-]+- [^-]+ - (.+?)\.jpg""), "".jpg"", """"), ""-"", "", ""), """")"),"")</f>
        <v/>
      </c>
      <c r="L5980" s="12"/>
      <c r="M5980" s="13"/>
      <c r="N5980" s="2"/>
      <c r="O5980" s="20"/>
      <c r="P5980" s="42"/>
      <c r="R5980" s="23"/>
    </row>
    <row r="5981" spans="1:18" ht="12.75">
      <c r="A5981" s="12"/>
      <c r="D5981" s="12"/>
      <c r="E5981" s="12"/>
      <c r="H5981" s="11" t="str">
        <f ca="1">IFERROR(__xludf.DUMMYFUNCTION("IFERROR(SUBSTITUTE(SUBSTITUTE(REGEXEXTRACT(A5981, ""[^-]+- [^-]+- [^-]+ - (.+?)\.jpg""), "".jpg"", """"), ""-"", "", ""), """")"),"")</f>
        <v/>
      </c>
      <c r="L5981" s="12"/>
      <c r="M5981" s="13"/>
      <c r="N5981" s="2"/>
      <c r="O5981" s="20"/>
      <c r="P5981" s="42"/>
      <c r="R5981" s="23"/>
    </row>
    <row r="5982" spans="1:18" ht="12.75">
      <c r="A5982" s="12"/>
      <c r="D5982" s="12"/>
      <c r="E5982" s="12"/>
      <c r="H5982" s="11" t="str">
        <f ca="1">IFERROR(__xludf.DUMMYFUNCTION("IFERROR(SUBSTITUTE(SUBSTITUTE(REGEXEXTRACT(A5982, ""[^-]+- [^-]+- [^-]+ - (.+?)\.jpg""), "".jpg"", """"), ""-"", "", ""), """")"),"")</f>
        <v/>
      </c>
      <c r="L5982" s="12"/>
      <c r="M5982" s="13"/>
      <c r="N5982" s="2"/>
      <c r="O5982" s="20"/>
      <c r="P5982" s="42"/>
      <c r="R5982" s="23"/>
    </row>
    <row r="5983" spans="1:18" ht="12.75">
      <c r="A5983" s="12"/>
      <c r="D5983" s="12"/>
      <c r="E5983" s="12"/>
      <c r="H5983" s="11" t="str">
        <f ca="1">IFERROR(__xludf.DUMMYFUNCTION("IFERROR(SUBSTITUTE(SUBSTITUTE(REGEXEXTRACT(A5983, ""[^-]+- [^-]+- [^-]+ - (.+?)\.jpg""), "".jpg"", """"), ""-"", "", ""), """")"),"")</f>
        <v/>
      </c>
      <c r="L5983" s="12"/>
      <c r="M5983" s="13"/>
      <c r="N5983" s="2"/>
      <c r="O5983" s="20"/>
      <c r="P5983" s="42"/>
      <c r="R5983" s="23"/>
    </row>
    <row r="5984" spans="1:18" ht="12.75">
      <c r="A5984" s="12"/>
      <c r="D5984" s="12"/>
      <c r="E5984" s="12"/>
      <c r="H5984" s="11" t="str">
        <f ca="1">IFERROR(__xludf.DUMMYFUNCTION("IFERROR(SUBSTITUTE(SUBSTITUTE(REGEXEXTRACT(A5984, ""[^-]+- [^-]+- [^-]+ - (.+?)\.jpg""), "".jpg"", """"), ""-"", "", ""), """")"),"")</f>
        <v/>
      </c>
      <c r="L5984" s="12"/>
      <c r="M5984" s="13"/>
      <c r="N5984" s="2"/>
      <c r="O5984" s="20"/>
      <c r="P5984" s="42"/>
      <c r="R5984" s="23"/>
    </row>
    <row r="5985" spans="1:18" ht="12.75">
      <c r="A5985" s="12"/>
      <c r="D5985" s="12"/>
      <c r="E5985" s="12"/>
      <c r="H5985" s="11" t="str">
        <f ca="1">IFERROR(__xludf.DUMMYFUNCTION("IFERROR(SUBSTITUTE(SUBSTITUTE(REGEXEXTRACT(A5985, ""[^-]+- [^-]+- [^-]+ - (.+?)\.jpg""), "".jpg"", """"), ""-"", "", ""), """")"),"")</f>
        <v/>
      </c>
      <c r="L5985" s="12"/>
      <c r="M5985" s="13"/>
      <c r="N5985" s="2"/>
      <c r="O5985" s="20"/>
      <c r="P5985" s="42"/>
      <c r="R5985" s="23"/>
    </row>
    <row r="5986" spans="1:18" ht="12.75">
      <c r="A5986" s="12"/>
      <c r="D5986" s="12"/>
      <c r="E5986" s="12"/>
      <c r="H5986" s="11" t="str">
        <f ca="1">IFERROR(__xludf.DUMMYFUNCTION("IFERROR(SUBSTITUTE(SUBSTITUTE(REGEXEXTRACT(A5986, ""[^-]+- [^-]+- [^-]+ - (.+?)\.jpg""), "".jpg"", """"), ""-"", "", ""), """")"),"")</f>
        <v/>
      </c>
      <c r="L5986" s="12"/>
      <c r="M5986" s="13"/>
      <c r="N5986" s="2"/>
      <c r="O5986" s="20"/>
      <c r="P5986" s="42"/>
      <c r="R5986" s="23"/>
    </row>
    <row r="5987" spans="1:18" ht="12.75">
      <c r="A5987" s="12"/>
      <c r="D5987" s="12"/>
      <c r="E5987" s="12"/>
      <c r="H5987" s="11" t="str">
        <f ca="1">IFERROR(__xludf.DUMMYFUNCTION("IFERROR(SUBSTITUTE(SUBSTITUTE(REGEXEXTRACT(A5987, ""[^-]+- [^-]+- [^-]+ - (.+?)\.jpg""), "".jpg"", """"), ""-"", "", ""), """")"),"")</f>
        <v/>
      </c>
      <c r="L5987" s="12"/>
      <c r="M5987" s="13"/>
      <c r="N5987" s="2"/>
      <c r="O5987" s="20"/>
      <c r="P5987" s="42"/>
      <c r="R5987" s="23"/>
    </row>
    <row r="5988" spans="1:18" ht="12.75">
      <c r="A5988" s="12"/>
      <c r="D5988" s="12"/>
      <c r="E5988" s="12"/>
      <c r="H5988" s="11" t="str">
        <f ca="1">IFERROR(__xludf.DUMMYFUNCTION("IFERROR(SUBSTITUTE(SUBSTITUTE(REGEXEXTRACT(A5988, ""[^-]+- [^-]+- [^-]+ - (.+?)\.jpg""), "".jpg"", """"), ""-"", "", ""), """")"),"")</f>
        <v/>
      </c>
      <c r="L5988" s="12"/>
      <c r="M5988" s="13"/>
      <c r="N5988" s="2"/>
      <c r="O5988" s="20"/>
      <c r="P5988" s="42"/>
      <c r="R5988" s="23"/>
    </row>
    <row r="5989" spans="1:18" ht="12.75">
      <c r="A5989" s="12"/>
      <c r="D5989" s="12"/>
      <c r="E5989" s="12"/>
      <c r="H5989" s="11" t="str">
        <f ca="1">IFERROR(__xludf.DUMMYFUNCTION("IFERROR(SUBSTITUTE(SUBSTITUTE(REGEXEXTRACT(A5989, ""[^-]+- [^-]+- [^-]+ - (.+?)\.jpg""), "".jpg"", """"), ""-"", "", ""), """")"),"")</f>
        <v/>
      </c>
      <c r="L5989" s="12"/>
      <c r="M5989" s="13"/>
      <c r="N5989" s="2"/>
      <c r="O5989" s="20"/>
      <c r="P5989" s="42"/>
      <c r="R5989" s="23"/>
    </row>
    <row r="5990" spans="1:18" ht="12.75">
      <c r="A5990" s="12"/>
      <c r="D5990" s="12"/>
      <c r="E5990" s="12"/>
      <c r="H5990" s="11" t="str">
        <f ca="1">IFERROR(__xludf.DUMMYFUNCTION("IFERROR(SUBSTITUTE(SUBSTITUTE(REGEXEXTRACT(A5990, ""[^-]+- [^-]+- [^-]+ - (.+?)\.jpg""), "".jpg"", """"), ""-"", "", ""), """")"),"")</f>
        <v/>
      </c>
      <c r="L5990" s="12"/>
      <c r="M5990" s="13"/>
      <c r="N5990" s="2"/>
      <c r="O5990" s="20"/>
      <c r="P5990" s="42"/>
      <c r="R5990" s="23"/>
    </row>
    <row r="5991" spans="1:18" ht="12.75">
      <c r="A5991" s="12"/>
      <c r="D5991" s="12"/>
      <c r="E5991" s="12"/>
      <c r="H5991" s="11" t="str">
        <f ca="1">IFERROR(__xludf.DUMMYFUNCTION("IFERROR(SUBSTITUTE(SUBSTITUTE(REGEXEXTRACT(A5991, ""[^-]+- [^-]+- [^-]+ - (.+?)\.jpg""), "".jpg"", """"), ""-"", "", ""), """")"),"")</f>
        <v/>
      </c>
      <c r="L5991" s="12"/>
      <c r="M5991" s="13"/>
      <c r="N5991" s="2"/>
      <c r="O5991" s="20"/>
      <c r="P5991" s="42"/>
      <c r="R5991" s="23"/>
    </row>
    <row r="5992" spans="1:18" ht="12.75">
      <c r="A5992" s="12"/>
      <c r="D5992" s="12"/>
      <c r="E5992" s="12"/>
      <c r="H5992" s="11" t="str">
        <f ca="1">IFERROR(__xludf.DUMMYFUNCTION("IFERROR(SUBSTITUTE(SUBSTITUTE(REGEXEXTRACT(A5992, ""[^-]+- [^-]+- [^-]+ - (.+?)\.jpg""), "".jpg"", """"), ""-"", "", ""), """")"),"")</f>
        <v/>
      </c>
      <c r="L5992" s="12"/>
      <c r="M5992" s="13"/>
      <c r="N5992" s="2"/>
      <c r="O5992" s="20"/>
      <c r="P5992" s="42"/>
      <c r="R5992" s="23"/>
    </row>
    <row r="5993" spans="1:18" ht="12.75">
      <c r="A5993" s="12"/>
      <c r="D5993" s="12"/>
      <c r="E5993" s="12"/>
      <c r="H5993" s="11" t="str">
        <f ca="1">IFERROR(__xludf.DUMMYFUNCTION("IFERROR(SUBSTITUTE(SUBSTITUTE(REGEXEXTRACT(A5993, ""[^-]+- [^-]+- [^-]+ - (.+?)\.jpg""), "".jpg"", """"), ""-"", "", ""), """")"),"")</f>
        <v/>
      </c>
      <c r="L5993" s="12"/>
      <c r="M5993" s="13"/>
      <c r="N5993" s="2"/>
      <c r="O5993" s="20"/>
      <c r="P5993" s="42"/>
      <c r="R5993" s="23"/>
    </row>
    <row r="5994" spans="1:18" ht="12.75">
      <c r="A5994" s="12"/>
      <c r="D5994" s="12"/>
      <c r="E5994" s="12"/>
      <c r="H5994" s="11" t="str">
        <f ca="1">IFERROR(__xludf.DUMMYFUNCTION("IFERROR(SUBSTITUTE(SUBSTITUTE(REGEXEXTRACT(A5994, ""[^-]+- [^-]+- [^-]+ - (.+?)\.jpg""), "".jpg"", """"), ""-"", "", ""), """")"),"")</f>
        <v/>
      </c>
      <c r="L5994" s="12"/>
      <c r="M5994" s="13"/>
      <c r="N5994" s="2"/>
      <c r="O5994" s="20"/>
      <c r="P5994" s="42"/>
      <c r="R5994" s="23"/>
    </row>
    <row r="5995" spans="1:18" ht="12.75">
      <c r="A5995" s="12"/>
      <c r="D5995" s="12"/>
      <c r="E5995" s="12"/>
      <c r="H5995" s="11" t="str">
        <f ca="1">IFERROR(__xludf.DUMMYFUNCTION("IFERROR(SUBSTITUTE(SUBSTITUTE(REGEXEXTRACT(A5995, ""[^-]+- [^-]+- [^-]+ - (.+?)\.jpg""), "".jpg"", """"), ""-"", "", ""), """")"),"")</f>
        <v/>
      </c>
      <c r="L5995" s="12"/>
      <c r="M5995" s="13"/>
      <c r="N5995" s="2"/>
      <c r="O5995" s="20"/>
      <c r="P5995" s="42"/>
      <c r="R5995" s="23"/>
    </row>
    <row r="5996" spans="1:18" ht="12.75">
      <c r="A5996" s="12"/>
      <c r="D5996" s="12"/>
      <c r="E5996" s="12"/>
      <c r="H5996" s="11" t="str">
        <f ca="1">IFERROR(__xludf.DUMMYFUNCTION("IFERROR(SUBSTITUTE(SUBSTITUTE(REGEXEXTRACT(A5996, ""[^-]+- [^-]+- [^-]+ - (.+?)\.jpg""), "".jpg"", """"), ""-"", "", ""), """")"),"")</f>
        <v/>
      </c>
      <c r="L5996" s="12"/>
      <c r="M5996" s="13"/>
      <c r="N5996" s="2"/>
      <c r="O5996" s="20"/>
      <c r="P5996" s="42"/>
      <c r="R5996" s="23"/>
    </row>
    <row r="5997" spans="1:18" ht="12.75">
      <c r="A5997" s="12"/>
      <c r="D5997" s="12"/>
      <c r="E5997" s="12"/>
      <c r="H5997" s="11" t="str">
        <f ca="1">IFERROR(__xludf.DUMMYFUNCTION("IFERROR(SUBSTITUTE(SUBSTITUTE(REGEXEXTRACT(A5997, ""[^-]+- [^-]+- [^-]+ - (.+?)\.jpg""), "".jpg"", """"), ""-"", "", ""), """")"),"")</f>
        <v/>
      </c>
      <c r="L5997" s="12"/>
      <c r="M5997" s="13"/>
      <c r="N5997" s="2"/>
      <c r="O5997" s="20"/>
      <c r="P5997" s="42"/>
      <c r="R5997" s="23"/>
    </row>
    <row r="5998" spans="1:18" ht="12.75">
      <c r="A5998" s="12"/>
      <c r="D5998" s="12"/>
      <c r="E5998" s="12"/>
      <c r="H5998" s="11" t="str">
        <f ca="1">IFERROR(__xludf.DUMMYFUNCTION("IFERROR(SUBSTITUTE(SUBSTITUTE(REGEXEXTRACT(A5998, ""[^-]+- [^-]+- [^-]+ - (.+?)\.jpg""), "".jpg"", """"), ""-"", "", ""), """")"),"")</f>
        <v/>
      </c>
      <c r="L5998" s="12"/>
      <c r="M5998" s="13"/>
      <c r="N5998" s="2"/>
      <c r="O5998" s="20"/>
      <c r="P5998" s="42"/>
      <c r="R5998" s="23"/>
    </row>
    <row r="5999" spans="1:18" ht="12.75">
      <c r="A5999" s="12"/>
      <c r="D5999" s="12"/>
      <c r="E5999" s="12"/>
      <c r="H5999" s="11" t="str">
        <f ca="1">IFERROR(__xludf.DUMMYFUNCTION("IFERROR(SUBSTITUTE(SUBSTITUTE(REGEXEXTRACT(A5999, ""[^-]+- [^-]+- [^-]+ - (.+?)\.jpg""), "".jpg"", """"), ""-"", "", ""), """")"),"")</f>
        <v/>
      </c>
      <c r="L5999" s="12"/>
      <c r="M5999" s="13"/>
      <c r="N5999" s="2"/>
      <c r="O5999" s="20"/>
      <c r="P5999" s="42"/>
      <c r="R5999" s="23"/>
    </row>
    <row r="6000" spans="1:18" ht="12.75">
      <c r="A6000" s="12"/>
      <c r="D6000" s="12"/>
      <c r="E6000" s="12"/>
      <c r="H6000" s="11" t="str">
        <f ca="1">IFERROR(__xludf.DUMMYFUNCTION("IFERROR(SUBSTITUTE(SUBSTITUTE(REGEXEXTRACT(A6000, ""[^-]+- [^-]+- [^-]+ - (.+?)\.jpg""), "".jpg"", """"), ""-"", "", ""), """")"),"")</f>
        <v/>
      </c>
      <c r="L6000" s="12"/>
      <c r="M6000" s="13"/>
      <c r="N6000" s="2"/>
      <c r="O6000" s="20"/>
      <c r="P6000" s="42"/>
      <c r="R6000" s="23"/>
    </row>
    <row r="6001" spans="1:18" ht="12.75">
      <c r="A6001" s="12"/>
      <c r="D6001" s="12"/>
      <c r="E6001" s="12"/>
      <c r="H6001" s="11" t="str">
        <f ca="1">IFERROR(__xludf.DUMMYFUNCTION("IFERROR(SUBSTITUTE(SUBSTITUTE(REGEXEXTRACT(A6001, ""[^-]+- [^-]+- [^-]+ - (.+?)\.jpg""), "".jpg"", """"), ""-"", "", ""), """")"),"")</f>
        <v/>
      </c>
      <c r="L6001" s="12"/>
      <c r="M6001" s="13"/>
      <c r="N6001" s="2"/>
      <c r="O6001" s="20"/>
      <c r="P6001" s="42"/>
      <c r="R6001" s="23"/>
    </row>
    <row r="6002" spans="1:18" ht="12.75">
      <c r="A6002" s="12"/>
      <c r="D6002" s="12"/>
      <c r="E6002" s="12"/>
      <c r="H6002" s="11" t="str">
        <f ca="1">IFERROR(__xludf.DUMMYFUNCTION("IFERROR(SUBSTITUTE(SUBSTITUTE(REGEXEXTRACT(A6002, ""[^-]+- [^-]+- [^-]+ - (.+?)\.jpg""), "".jpg"", """"), ""-"", "", ""), """")"),"")</f>
        <v/>
      </c>
      <c r="L6002" s="12"/>
      <c r="M6002" s="13"/>
      <c r="N6002" s="2"/>
      <c r="O6002" s="20"/>
      <c r="P6002" s="42"/>
      <c r="R6002" s="23"/>
    </row>
    <row r="6003" spans="1:18" ht="12.75">
      <c r="A6003" s="12"/>
      <c r="D6003" s="12"/>
      <c r="E6003" s="12"/>
      <c r="H6003" s="11" t="str">
        <f ca="1">IFERROR(__xludf.DUMMYFUNCTION("IFERROR(SUBSTITUTE(SUBSTITUTE(REGEXEXTRACT(A6003, ""[^-]+- [^-]+- [^-]+ - (.+?)\.jpg""), "".jpg"", """"), ""-"", "", ""), """")"),"")</f>
        <v/>
      </c>
      <c r="L6003" s="12"/>
      <c r="M6003" s="13"/>
      <c r="N6003" s="2"/>
      <c r="O6003" s="20"/>
      <c r="P6003" s="42"/>
      <c r="R6003" s="23"/>
    </row>
    <row r="6004" spans="1:18" ht="12.75">
      <c r="A6004" s="12"/>
      <c r="D6004" s="12"/>
      <c r="E6004" s="12"/>
      <c r="H6004" s="11" t="str">
        <f ca="1">IFERROR(__xludf.DUMMYFUNCTION("IFERROR(SUBSTITUTE(SUBSTITUTE(REGEXEXTRACT(A6004, ""[^-]+- [^-]+- [^-]+ - (.+?)\.jpg""), "".jpg"", """"), ""-"", "", ""), """")"),"")</f>
        <v/>
      </c>
      <c r="L6004" s="12"/>
      <c r="M6004" s="13"/>
      <c r="N6004" s="2"/>
      <c r="O6004" s="20"/>
      <c r="P6004" s="42"/>
      <c r="R6004" s="23"/>
    </row>
    <row r="6005" spans="1:18" ht="12.75">
      <c r="A6005" s="12"/>
      <c r="D6005" s="12"/>
      <c r="E6005" s="12"/>
      <c r="H6005" s="11" t="str">
        <f ca="1">IFERROR(__xludf.DUMMYFUNCTION("IFERROR(SUBSTITUTE(SUBSTITUTE(REGEXEXTRACT(A6005, ""[^-]+- [^-]+- [^-]+ - (.+?)\.jpg""), "".jpg"", """"), ""-"", "", ""), """")"),"")</f>
        <v/>
      </c>
      <c r="L6005" s="12"/>
      <c r="M6005" s="13"/>
      <c r="N6005" s="2"/>
      <c r="O6005" s="20"/>
      <c r="P6005" s="42"/>
      <c r="R6005" s="23"/>
    </row>
    <row r="6006" spans="1:18" ht="12.75">
      <c r="A6006" s="12"/>
      <c r="D6006" s="12"/>
      <c r="E6006" s="12"/>
      <c r="H6006" s="11" t="str">
        <f ca="1">IFERROR(__xludf.DUMMYFUNCTION("IFERROR(SUBSTITUTE(SUBSTITUTE(REGEXEXTRACT(A6006, ""[^-]+- [^-]+- [^-]+ - (.+?)\.jpg""), "".jpg"", """"), ""-"", "", ""), """")"),"")</f>
        <v/>
      </c>
      <c r="L6006" s="12"/>
      <c r="M6006" s="13"/>
      <c r="N6006" s="2"/>
      <c r="O6006" s="20"/>
      <c r="P6006" s="42"/>
      <c r="R6006" s="23"/>
    </row>
    <row r="6007" spans="1:18" ht="12.75">
      <c r="A6007" s="12"/>
      <c r="D6007" s="12"/>
      <c r="E6007" s="12"/>
      <c r="H6007" s="11" t="str">
        <f ca="1">IFERROR(__xludf.DUMMYFUNCTION("IFERROR(SUBSTITUTE(SUBSTITUTE(REGEXEXTRACT(A6007, ""[^-]+- [^-]+- [^-]+ - (.+?)\.jpg""), "".jpg"", """"), ""-"", "", ""), """")"),"")</f>
        <v/>
      </c>
      <c r="L6007" s="12"/>
      <c r="M6007" s="13"/>
      <c r="N6007" s="2"/>
      <c r="O6007" s="20"/>
      <c r="P6007" s="42"/>
      <c r="R6007" s="23"/>
    </row>
    <row r="6008" spans="1:18" ht="12.75">
      <c r="A6008" s="12"/>
      <c r="D6008" s="12"/>
      <c r="E6008" s="12"/>
      <c r="H6008" s="11" t="str">
        <f ca="1">IFERROR(__xludf.DUMMYFUNCTION("IFERROR(SUBSTITUTE(SUBSTITUTE(REGEXEXTRACT(A6008, ""[^-]+- [^-]+- [^-]+ - (.+?)\.jpg""), "".jpg"", """"), ""-"", "", ""), """")"),"")</f>
        <v/>
      </c>
      <c r="L6008" s="12"/>
      <c r="M6008" s="13"/>
      <c r="N6008" s="2"/>
      <c r="O6008" s="20"/>
      <c r="P6008" s="42"/>
      <c r="R6008" s="23"/>
    </row>
    <row r="6009" spans="1:18" ht="12.75">
      <c r="A6009" s="12"/>
      <c r="D6009" s="12"/>
      <c r="E6009" s="12"/>
      <c r="H6009" s="11" t="str">
        <f ca="1">IFERROR(__xludf.DUMMYFUNCTION("IFERROR(SUBSTITUTE(SUBSTITUTE(REGEXEXTRACT(A6009, ""[^-]+- [^-]+- [^-]+ - (.+?)\.jpg""), "".jpg"", """"), ""-"", "", ""), """")"),"")</f>
        <v/>
      </c>
      <c r="L6009" s="12"/>
      <c r="M6009" s="13"/>
      <c r="N6009" s="2"/>
      <c r="O6009" s="20"/>
      <c r="P6009" s="42"/>
      <c r="R6009" s="23"/>
    </row>
    <row r="6010" spans="1:18" ht="12.75">
      <c r="A6010" s="12"/>
      <c r="D6010" s="12"/>
      <c r="E6010" s="12"/>
      <c r="H6010" s="11" t="str">
        <f ca="1">IFERROR(__xludf.DUMMYFUNCTION("IFERROR(SUBSTITUTE(SUBSTITUTE(REGEXEXTRACT(A6010, ""[^-]+- [^-]+- [^-]+ - (.+?)\.jpg""), "".jpg"", """"), ""-"", "", ""), """")"),"")</f>
        <v/>
      </c>
      <c r="L6010" s="12"/>
      <c r="M6010" s="13"/>
      <c r="N6010" s="2"/>
      <c r="O6010" s="20"/>
      <c r="P6010" s="42"/>
      <c r="R6010" s="23"/>
    </row>
    <row r="6011" spans="1:18" ht="12.75">
      <c r="A6011" s="12"/>
      <c r="D6011" s="12"/>
      <c r="E6011" s="12"/>
      <c r="H6011" s="11" t="str">
        <f ca="1">IFERROR(__xludf.DUMMYFUNCTION("IFERROR(SUBSTITUTE(SUBSTITUTE(REGEXEXTRACT(A6011, ""[^-]+- [^-]+- [^-]+ - (.+?)\.jpg""), "".jpg"", """"), ""-"", "", ""), """")"),"")</f>
        <v/>
      </c>
      <c r="L6011" s="12"/>
      <c r="M6011" s="13"/>
      <c r="N6011" s="2"/>
      <c r="O6011" s="20"/>
      <c r="P6011" s="42"/>
      <c r="R6011" s="23"/>
    </row>
    <row r="6012" spans="1:18" ht="12.75">
      <c r="A6012" s="12"/>
      <c r="D6012" s="12"/>
      <c r="E6012" s="12"/>
      <c r="H6012" s="11" t="str">
        <f ca="1">IFERROR(__xludf.DUMMYFUNCTION("IFERROR(SUBSTITUTE(SUBSTITUTE(REGEXEXTRACT(A6012, ""[^-]+- [^-]+- [^-]+ - (.+?)\.jpg""), "".jpg"", """"), ""-"", "", ""), """")"),"")</f>
        <v/>
      </c>
      <c r="L6012" s="12"/>
      <c r="M6012" s="13"/>
      <c r="N6012" s="2"/>
      <c r="O6012" s="20"/>
      <c r="P6012" s="42"/>
      <c r="R6012" s="23"/>
    </row>
    <row r="6013" spans="1:18" ht="12.75">
      <c r="A6013" s="12"/>
      <c r="D6013" s="12"/>
      <c r="E6013" s="12"/>
      <c r="H6013" s="11" t="str">
        <f ca="1">IFERROR(__xludf.DUMMYFUNCTION("IFERROR(SUBSTITUTE(SUBSTITUTE(REGEXEXTRACT(A6013, ""[^-]+- [^-]+- [^-]+ - (.+?)\.jpg""), "".jpg"", """"), ""-"", "", ""), """")"),"")</f>
        <v/>
      </c>
      <c r="L6013" s="12"/>
      <c r="M6013" s="13"/>
      <c r="N6013" s="2"/>
      <c r="O6013" s="20"/>
      <c r="P6013" s="42"/>
      <c r="R6013" s="23"/>
    </row>
    <row r="6014" spans="1:18" ht="12.75">
      <c r="A6014" s="12"/>
      <c r="D6014" s="12"/>
      <c r="E6014" s="12"/>
      <c r="H6014" s="11" t="str">
        <f ca="1">IFERROR(__xludf.DUMMYFUNCTION("IFERROR(SUBSTITUTE(SUBSTITUTE(REGEXEXTRACT(A6014, ""[^-]+- [^-]+- [^-]+ - (.+?)\.jpg""), "".jpg"", """"), ""-"", "", ""), """")"),"")</f>
        <v/>
      </c>
      <c r="L6014" s="12"/>
      <c r="M6014" s="13"/>
      <c r="N6014" s="2"/>
      <c r="O6014" s="20"/>
      <c r="P6014" s="42"/>
      <c r="R6014" s="23"/>
    </row>
    <row r="6015" spans="1:18" ht="12.75">
      <c r="A6015" s="12"/>
      <c r="D6015" s="12"/>
      <c r="E6015" s="12"/>
      <c r="H6015" s="11" t="str">
        <f ca="1">IFERROR(__xludf.DUMMYFUNCTION("IFERROR(SUBSTITUTE(SUBSTITUTE(REGEXEXTRACT(A6015, ""[^-]+- [^-]+- [^-]+ - (.+?)\.jpg""), "".jpg"", """"), ""-"", "", ""), """")"),"")</f>
        <v/>
      </c>
      <c r="L6015" s="12"/>
      <c r="M6015" s="13"/>
      <c r="N6015" s="2"/>
      <c r="O6015" s="20"/>
      <c r="P6015" s="42"/>
      <c r="R6015" s="23"/>
    </row>
    <row r="6016" spans="1:18" ht="12.75">
      <c r="A6016" s="12"/>
      <c r="D6016" s="12"/>
      <c r="E6016" s="12"/>
      <c r="H6016" s="11" t="str">
        <f ca="1">IFERROR(__xludf.DUMMYFUNCTION("IFERROR(SUBSTITUTE(SUBSTITUTE(REGEXEXTRACT(A6016, ""[^-]+- [^-]+- [^-]+ - (.+?)\.jpg""), "".jpg"", """"), ""-"", "", ""), """")"),"")</f>
        <v/>
      </c>
      <c r="L6016" s="12"/>
      <c r="M6016" s="13"/>
      <c r="N6016" s="2"/>
      <c r="O6016" s="20"/>
      <c r="P6016" s="42"/>
      <c r="R6016" s="23"/>
    </row>
    <row r="6017" spans="1:18" ht="12.75">
      <c r="A6017" s="12"/>
      <c r="D6017" s="12"/>
      <c r="E6017" s="12"/>
      <c r="H6017" s="11" t="str">
        <f ca="1">IFERROR(__xludf.DUMMYFUNCTION("IFERROR(SUBSTITUTE(SUBSTITUTE(REGEXEXTRACT(A6017, ""[^-]+- [^-]+- [^-]+ - (.+?)\.jpg""), "".jpg"", """"), ""-"", "", ""), """")"),"")</f>
        <v/>
      </c>
      <c r="L6017" s="12"/>
      <c r="M6017" s="13"/>
      <c r="N6017" s="2"/>
      <c r="O6017" s="20"/>
      <c r="P6017" s="42"/>
      <c r="R6017" s="23"/>
    </row>
    <row r="6018" spans="1:18" ht="12.75">
      <c r="A6018" s="12"/>
      <c r="D6018" s="12"/>
      <c r="E6018" s="12"/>
      <c r="H6018" s="11" t="str">
        <f ca="1">IFERROR(__xludf.DUMMYFUNCTION("IFERROR(SUBSTITUTE(SUBSTITUTE(REGEXEXTRACT(A6018, ""[^-]+- [^-]+- [^-]+ - (.+?)\.jpg""), "".jpg"", """"), ""-"", "", ""), """")"),"")</f>
        <v/>
      </c>
      <c r="L6018" s="12"/>
      <c r="M6018" s="13"/>
      <c r="N6018" s="2"/>
      <c r="O6018" s="20"/>
      <c r="P6018" s="42"/>
      <c r="R6018" s="23"/>
    </row>
    <row r="6019" spans="1:18" ht="12.75">
      <c r="A6019" s="12"/>
      <c r="D6019" s="12"/>
      <c r="E6019" s="12"/>
      <c r="H6019" s="11" t="str">
        <f ca="1">IFERROR(__xludf.DUMMYFUNCTION("IFERROR(SUBSTITUTE(SUBSTITUTE(REGEXEXTRACT(A6019, ""[^-]+- [^-]+- [^-]+ - (.+?)\.jpg""), "".jpg"", """"), ""-"", "", ""), """")"),"")</f>
        <v/>
      </c>
      <c r="L6019" s="12"/>
      <c r="M6019" s="13"/>
      <c r="N6019" s="2"/>
      <c r="O6019" s="20"/>
      <c r="P6019" s="42"/>
      <c r="R6019" s="23"/>
    </row>
    <row r="6020" spans="1:18" ht="12.75">
      <c r="A6020" s="12"/>
      <c r="D6020" s="12"/>
      <c r="E6020" s="12"/>
      <c r="H6020" s="11" t="str">
        <f ca="1">IFERROR(__xludf.DUMMYFUNCTION("IFERROR(SUBSTITUTE(SUBSTITUTE(REGEXEXTRACT(A6020, ""[^-]+- [^-]+- [^-]+ - (.+?)\.jpg""), "".jpg"", """"), ""-"", "", ""), """")"),"")</f>
        <v/>
      </c>
      <c r="L6020" s="12"/>
      <c r="M6020" s="13"/>
      <c r="N6020" s="2"/>
      <c r="O6020" s="20"/>
      <c r="P6020" s="42"/>
      <c r="R6020" s="23"/>
    </row>
    <row r="6021" spans="1:18" ht="12.75">
      <c r="A6021" s="12"/>
      <c r="D6021" s="12"/>
      <c r="E6021" s="12"/>
      <c r="H6021" s="11" t="str">
        <f ca="1">IFERROR(__xludf.DUMMYFUNCTION("IFERROR(SUBSTITUTE(SUBSTITUTE(REGEXEXTRACT(A6021, ""[^-]+- [^-]+- [^-]+ - (.+?)\.jpg""), "".jpg"", """"), ""-"", "", ""), """")"),"")</f>
        <v/>
      </c>
      <c r="L6021" s="12"/>
      <c r="M6021" s="13"/>
      <c r="N6021" s="2"/>
      <c r="O6021" s="20"/>
      <c r="P6021" s="42"/>
      <c r="R6021" s="23"/>
    </row>
    <row r="6022" spans="1:18" ht="12.75">
      <c r="A6022" s="12"/>
      <c r="D6022" s="12"/>
      <c r="E6022" s="12"/>
      <c r="H6022" s="11" t="str">
        <f ca="1">IFERROR(__xludf.DUMMYFUNCTION("IFERROR(SUBSTITUTE(SUBSTITUTE(REGEXEXTRACT(A6022, ""[^-]+- [^-]+- [^-]+ - (.+?)\.jpg""), "".jpg"", """"), ""-"", "", ""), """")"),"")</f>
        <v/>
      </c>
      <c r="L6022" s="12"/>
      <c r="M6022" s="13"/>
      <c r="N6022" s="2"/>
      <c r="O6022" s="20"/>
      <c r="P6022" s="42"/>
      <c r="R6022" s="23"/>
    </row>
    <row r="6023" spans="1:18" ht="12.75">
      <c r="A6023" s="12"/>
      <c r="D6023" s="12"/>
      <c r="E6023" s="12"/>
      <c r="H6023" s="11" t="str">
        <f ca="1">IFERROR(__xludf.DUMMYFUNCTION("IFERROR(SUBSTITUTE(SUBSTITUTE(REGEXEXTRACT(A6023, ""[^-]+- [^-]+- [^-]+ - (.+?)\.jpg""), "".jpg"", """"), ""-"", "", ""), """")"),"")</f>
        <v/>
      </c>
      <c r="L6023" s="12"/>
      <c r="M6023" s="13"/>
      <c r="N6023" s="2"/>
      <c r="O6023" s="20"/>
      <c r="P6023" s="42"/>
      <c r="R6023" s="23"/>
    </row>
    <row r="6024" spans="1:18" ht="12.75">
      <c r="A6024" s="12"/>
      <c r="D6024" s="12"/>
      <c r="E6024" s="12"/>
      <c r="H6024" s="11" t="str">
        <f ca="1">IFERROR(__xludf.DUMMYFUNCTION("IFERROR(SUBSTITUTE(SUBSTITUTE(REGEXEXTRACT(A6024, ""[^-]+- [^-]+- [^-]+ - (.+?)\.jpg""), "".jpg"", """"), ""-"", "", ""), """")"),"")</f>
        <v/>
      </c>
      <c r="L6024" s="12"/>
      <c r="M6024" s="13"/>
      <c r="N6024" s="2"/>
      <c r="O6024" s="20"/>
      <c r="P6024" s="42"/>
      <c r="R6024" s="23"/>
    </row>
    <row r="6025" spans="1:18" ht="12.75">
      <c r="A6025" s="12"/>
      <c r="D6025" s="12"/>
      <c r="E6025" s="12"/>
      <c r="H6025" s="11" t="str">
        <f ca="1">IFERROR(__xludf.DUMMYFUNCTION("IFERROR(SUBSTITUTE(SUBSTITUTE(REGEXEXTRACT(A6025, ""[^-]+- [^-]+- [^-]+ - (.+?)\.jpg""), "".jpg"", """"), ""-"", "", ""), """")"),"")</f>
        <v/>
      </c>
      <c r="L6025" s="12"/>
      <c r="M6025" s="13"/>
      <c r="N6025" s="2"/>
      <c r="O6025" s="20"/>
      <c r="P6025" s="42"/>
      <c r="R6025" s="23"/>
    </row>
    <row r="6026" spans="1:18" ht="12.75">
      <c r="A6026" s="12"/>
      <c r="D6026" s="12"/>
      <c r="E6026" s="12"/>
      <c r="H6026" s="11" t="str">
        <f ca="1">IFERROR(__xludf.DUMMYFUNCTION("IFERROR(SUBSTITUTE(SUBSTITUTE(REGEXEXTRACT(A6026, ""[^-]+- [^-]+- [^-]+ - (.+?)\.jpg""), "".jpg"", """"), ""-"", "", ""), """")"),"")</f>
        <v/>
      </c>
      <c r="L6026" s="12"/>
      <c r="M6026" s="13"/>
      <c r="N6026" s="2"/>
      <c r="O6026" s="20"/>
      <c r="P6026" s="42"/>
      <c r="R6026" s="23"/>
    </row>
    <row r="6027" spans="1:18" ht="12.75">
      <c r="A6027" s="12"/>
      <c r="D6027" s="12"/>
      <c r="E6027" s="12"/>
      <c r="H6027" s="11" t="str">
        <f ca="1">IFERROR(__xludf.DUMMYFUNCTION("IFERROR(SUBSTITUTE(SUBSTITUTE(REGEXEXTRACT(A6027, ""[^-]+- [^-]+- [^-]+ - (.+?)\.jpg""), "".jpg"", """"), ""-"", "", ""), """")"),"")</f>
        <v/>
      </c>
      <c r="L6027" s="12"/>
      <c r="M6027" s="13"/>
      <c r="N6027" s="2"/>
      <c r="O6027" s="20"/>
      <c r="P6027" s="42"/>
      <c r="R6027" s="23"/>
    </row>
    <row r="6028" spans="1:18" ht="12.75">
      <c r="A6028" s="12"/>
      <c r="D6028" s="12"/>
      <c r="E6028" s="12"/>
      <c r="H6028" s="11" t="str">
        <f ca="1">IFERROR(__xludf.DUMMYFUNCTION("IFERROR(SUBSTITUTE(SUBSTITUTE(REGEXEXTRACT(A6028, ""[^-]+- [^-]+- [^-]+ - (.+?)\.jpg""), "".jpg"", """"), ""-"", "", ""), """")"),"")</f>
        <v/>
      </c>
      <c r="L6028" s="12"/>
      <c r="M6028" s="13"/>
      <c r="N6028" s="2"/>
      <c r="O6028" s="20"/>
      <c r="P6028" s="42"/>
      <c r="R6028" s="23"/>
    </row>
    <row r="6029" spans="1:18" ht="12.75">
      <c r="A6029" s="12"/>
      <c r="D6029" s="12"/>
      <c r="E6029" s="12"/>
      <c r="H6029" s="11" t="str">
        <f ca="1">IFERROR(__xludf.DUMMYFUNCTION("IFERROR(SUBSTITUTE(SUBSTITUTE(REGEXEXTRACT(A6029, ""[^-]+- [^-]+- [^-]+ - (.+?)\.jpg""), "".jpg"", """"), ""-"", "", ""), """")"),"")</f>
        <v/>
      </c>
      <c r="L6029" s="12"/>
      <c r="M6029" s="13"/>
      <c r="N6029" s="2"/>
      <c r="O6029" s="20"/>
      <c r="P6029" s="42"/>
      <c r="R6029" s="23"/>
    </row>
    <row r="6030" spans="1:18" ht="12.75">
      <c r="A6030" s="12"/>
      <c r="D6030" s="12"/>
      <c r="E6030" s="12"/>
      <c r="H6030" s="11" t="str">
        <f ca="1">IFERROR(__xludf.DUMMYFUNCTION("IFERROR(SUBSTITUTE(SUBSTITUTE(REGEXEXTRACT(A6030, ""[^-]+- [^-]+- [^-]+ - (.+?)\.jpg""), "".jpg"", """"), ""-"", "", ""), """")"),"")</f>
        <v/>
      </c>
      <c r="L6030" s="12"/>
      <c r="M6030" s="13"/>
      <c r="N6030" s="2"/>
      <c r="O6030" s="20"/>
      <c r="P6030" s="42"/>
      <c r="R6030" s="23"/>
    </row>
    <row r="6031" spans="1:18" ht="12.75">
      <c r="A6031" s="12"/>
      <c r="D6031" s="12"/>
      <c r="E6031" s="12"/>
      <c r="H6031" s="11" t="str">
        <f ca="1">IFERROR(__xludf.DUMMYFUNCTION("IFERROR(SUBSTITUTE(SUBSTITUTE(REGEXEXTRACT(A6031, ""[^-]+- [^-]+- [^-]+ - (.+?)\.jpg""), "".jpg"", """"), ""-"", "", ""), """")"),"")</f>
        <v/>
      </c>
      <c r="L6031" s="12"/>
      <c r="M6031" s="13"/>
      <c r="N6031" s="2"/>
      <c r="O6031" s="20"/>
      <c r="P6031" s="42"/>
      <c r="R6031" s="23"/>
    </row>
    <row r="6032" spans="1:18" ht="12.75">
      <c r="A6032" s="12"/>
      <c r="D6032" s="12"/>
      <c r="E6032" s="12"/>
      <c r="H6032" s="11" t="str">
        <f ca="1">IFERROR(__xludf.DUMMYFUNCTION("IFERROR(SUBSTITUTE(SUBSTITUTE(REGEXEXTRACT(A6032, ""[^-]+- [^-]+- [^-]+ - (.+?)\.jpg""), "".jpg"", """"), ""-"", "", ""), """")"),"")</f>
        <v/>
      </c>
      <c r="L6032" s="12"/>
      <c r="M6032" s="13"/>
      <c r="N6032" s="2"/>
      <c r="O6032" s="20"/>
      <c r="P6032" s="42"/>
      <c r="R6032" s="23"/>
    </row>
    <row r="6033" spans="1:18" ht="12.75">
      <c r="A6033" s="12"/>
      <c r="D6033" s="12"/>
      <c r="E6033" s="12"/>
      <c r="H6033" s="11" t="str">
        <f ca="1">IFERROR(__xludf.DUMMYFUNCTION("IFERROR(SUBSTITUTE(SUBSTITUTE(REGEXEXTRACT(A6033, ""[^-]+- [^-]+- [^-]+ - (.+?)\.jpg""), "".jpg"", """"), ""-"", "", ""), """")"),"")</f>
        <v/>
      </c>
      <c r="L6033" s="12"/>
      <c r="M6033" s="13"/>
      <c r="N6033" s="2"/>
      <c r="O6033" s="20"/>
      <c r="P6033" s="42"/>
      <c r="R6033" s="23"/>
    </row>
    <row r="6034" spans="1:18" ht="12.75">
      <c r="A6034" s="12"/>
      <c r="D6034" s="12"/>
      <c r="E6034" s="12"/>
      <c r="H6034" s="11" t="str">
        <f ca="1">IFERROR(__xludf.DUMMYFUNCTION("IFERROR(SUBSTITUTE(SUBSTITUTE(REGEXEXTRACT(A6034, ""[^-]+- [^-]+- [^-]+ - (.+?)\.jpg""), "".jpg"", """"), ""-"", "", ""), """")"),"")</f>
        <v/>
      </c>
      <c r="L6034" s="12"/>
      <c r="M6034" s="13"/>
      <c r="N6034" s="2"/>
      <c r="O6034" s="20"/>
      <c r="P6034" s="42"/>
      <c r="R6034" s="23"/>
    </row>
    <row r="6035" spans="1:18" ht="12.75">
      <c r="A6035" s="12"/>
      <c r="D6035" s="12"/>
      <c r="E6035" s="12"/>
      <c r="H6035" s="11" t="str">
        <f ca="1">IFERROR(__xludf.DUMMYFUNCTION("IFERROR(SUBSTITUTE(SUBSTITUTE(REGEXEXTRACT(A6035, ""[^-]+- [^-]+- [^-]+ - (.+?)\.jpg""), "".jpg"", """"), ""-"", "", ""), """")"),"")</f>
        <v/>
      </c>
      <c r="L6035" s="12"/>
      <c r="M6035" s="13"/>
      <c r="N6035" s="2"/>
      <c r="O6035" s="20"/>
      <c r="P6035" s="42"/>
      <c r="R6035" s="23"/>
    </row>
    <row r="6036" spans="1:18" ht="12.75">
      <c r="A6036" s="12"/>
      <c r="D6036" s="12"/>
      <c r="E6036" s="12"/>
      <c r="H6036" s="11" t="str">
        <f ca="1">IFERROR(__xludf.DUMMYFUNCTION("IFERROR(SUBSTITUTE(SUBSTITUTE(REGEXEXTRACT(A6036, ""[^-]+- [^-]+- [^-]+ - (.+?)\.jpg""), "".jpg"", """"), ""-"", "", ""), """")"),"")</f>
        <v/>
      </c>
      <c r="L6036" s="12"/>
      <c r="M6036" s="13"/>
      <c r="N6036" s="2"/>
      <c r="O6036" s="20"/>
      <c r="P6036" s="42"/>
      <c r="R6036" s="23"/>
    </row>
    <row r="6037" spans="1:18" ht="12.75">
      <c r="A6037" s="12"/>
      <c r="D6037" s="12"/>
      <c r="E6037" s="12"/>
      <c r="H6037" s="11" t="str">
        <f ca="1">IFERROR(__xludf.DUMMYFUNCTION("IFERROR(SUBSTITUTE(SUBSTITUTE(REGEXEXTRACT(A6037, ""[^-]+- [^-]+- [^-]+ - (.+?)\.jpg""), "".jpg"", """"), ""-"", "", ""), """")"),"")</f>
        <v/>
      </c>
      <c r="L6037" s="12"/>
      <c r="M6037" s="13"/>
      <c r="N6037" s="2"/>
      <c r="O6037" s="20"/>
      <c r="P6037" s="42"/>
      <c r="R6037" s="23"/>
    </row>
    <row r="6038" spans="1:18" ht="12.75">
      <c r="A6038" s="12"/>
      <c r="D6038" s="12"/>
      <c r="E6038" s="12"/>
      <c r="H6038" s="11" t="str">
        <f ca="1">IFERROR(__xludf.DUMMYFUNCTION("IFERROR(SUBSTITUTE(SUBSTITUTE(REGEXEXTRACT(A6038, ""[^-]+- [^-]+- [^-]+ - (.+?)\.jpg""), "".jpg"", """"), ""-"", "", ""), """")"),"")</f>
        <v/>
      </c>
      <c r="L6038" s="12"/>
      <c r="M6038" s="13"/>
      <c r="N6038" s="2"/>
      <c r="O6038" s="20"/>
      <c r="P6038" s="42"/>
      <c r="R6038" s="23"/>
    </row>
    <row r="6039" spans="1:18" ht="12.75">
      <c r="A6039" s="12"/>
      <c r="D6039" s="12"/>
      <c r="E6039" s="12"/>
      <c r="H6039" s="11" t="str">
        <f ca="1">IFERROR(__xludf.DUMMYFUNCTION("IFERROR(SUBSTITUTE(SUBSTITUTE(REGEXEXTRACT(A6039, ""[^-]+- [^-]+- [^-]+ - (.+?)\.jpg""), "".jpg"", """"), ""-"", "", ""), """")"),"")</f>
        <v/>
      </c>
      <c r="L6039" s="12"/>
      <c r="M6039" s="13"/>
      <c r="N6039" s="2"/>
      <c r="O6039" s="20"/>
      <c r="P6039" s="42"/>
      <c r="R6039" s="23"/>
    </row>
    <row r="6040" spans="1:18" ht="12.75">
      <c r="A6040" s="12"/>
      <c r="D6040" s="12"/>
      <c r="E6040" s="12"/>
      <c r="H6040" s="11" t="str">
        <f ca="1">IFERROR(__xludf.DUMMYFUNCTION("IFERROR(SUBSTITUTE(SUBSTITUTE(REGEXEXTRACT(A6040, ""[^-]+- [^-]+- [^-]+ - (.+?)\.jpg""), "".jpg"", """"), ""-"", "", ""), """")"),"")</f>
        <v/>
      </c>
      <c r="L6040" s="12"/>
      <c r="M6040" s="13"/>
      <c r="N6040" s="2"/>
      <c r="O6040" s="20"/>
      <c r="P6040" s="42"/>
      <c r="R6040" s="23"/>
    </row>
    <row r="6041" spans="1:18" ht="12.75">
      <c r="A6041" s="12"/>
      <c r="D6041" s="12"/>
      <c r="E6041" s="12"/>
      <c r="H6041" s="11" t="str">
        <f ca="1">IFERROR(__xludf.DUMMYFUNCTION("IFERROR(SUBSTITUTE(SUBSTITUTE(REGEXEXTRACT(A6041, ""[^-]+- [^-]+- [^-]+ - (.+?)\.jpg""), "".jpg"", """"), ""-"", "", ""), """")"),"")</f>
        <v/>
      </c>
      <c r="L6041" s="12"/>
      <c r="M6041" s="13"/>
      <c r="N6041" s="2"/>
      <c r="O6041" s="20"/>
      <c r="P6041" s="42"/>
      <c r="R6041" s="23"/>
    </row>
    <row r="6042" spans="1:18" ht="12.75">
      <c r="A6042" s="12"/>
      <c r="D6042" s="12"/>
      <c r="E6042" s="12"/>
      <c r="H6042" s="11" t="str">
        <f ca="1">IFERROR(__xludf.DUMMYFUNCTION("IFERROR(SUBSTITUTE(SUBSTITUTE(REGEXEXTRACT(A6042, ""[^-]+- [^-]+- [^-]+ - (.+?)\.jpg""), "".jpg"", """"), ""-"", "", ""), """")"),"")</f>
        <v/>
      </c>
      <c r="L6042" s="12"/>
      <c r="M6042" s="13"/>
      <c r="N6042" s="2"/>
      <c r="O6042" s="20"/>
      <c r="P6042" s="42"/>
      <c r="R6042" s="23"/>
    </row>
    <row r="6043" spans="1:18" ht="12.75">
      <c r="A6043" s="12"/>
      <c r="D6043" s="12"/>
      <c r="E6043" s="12"/>
      <c r="H6043" s="11" t="str">
        <f ca="1">IFERROR(__xludf.DUMMYFUNCTION("IFERROR(SUBSTITUTE(SUBSTITUTE(REGEXEXTRACT(A6043, ""[^-]+- [^-]+- [^-]+ - (.+?)\.jpg""), "".jpg"", """"), ""-"", "", ""), """")"),"")</f>
        <v/>
      </c>
      <c r="L6043" s="12"/>
      <c r="M6043" s="13"/>
      <c r="N6043" s="2"/>
      <c r="O6043" s="20"/>
      <c r="P6043" s="42"/>
      <c r="R6043" s="23"/>
    </row>
    <row r="6044" spans="1:18" ht="12.75">
      <c r="A6044" s="12"/>
      <c r="D6044" s="12"/>
      <c r="E6044" s="12"/>
      <c r="H6044" s="11" t="str">
        <f ca="1">IFERROR(__xludf.DUMMYFUNCTION("IFERROR(SUBSTITUTE(SUBSTITUTE(REGEXEXTRACT(A6044, ""[^-]+- [^-]+- [^-]+ - (.+?)\.jpg""), "".jpg"", """"), ""-"", "", ""), """")"),"")</f>
        <v/>
      </c>
      <c r="L6044" s="12"/>
      <c r="M6044" s="13"/>
      <c r="N6044" s="2"/>
      <c r="O6044" s="20"/>
      <c r="P6044" s="42"/>
      <c r="R6044" s="23"/>
    </row>
    <row r="6045" spans="1:18" ht="12.75">
      <c r="A6045" s="12"/>
      <c r="D6045" s="12"/>
      <c r="E6045" s="12"/>
      <c r="H6045" s="11" t="str">
        <f ca="1">IFERROR(__xludf.DUMMYFUNCTION("IFERROR(SUBSTITUTE(SUBSTITUTE(REGEXEXTRACT(A6045, ""[^-]+- [^-]+- [^-]+ - (.+?)\.jpg""), "".jpg"", """"), ""-"", "", ""), """")"),"")</f>
        <v/>
      </c>
      <c r="L6045" s="12"/>
      <c r="M6045" s="13"/>
      <c r="N6045" s="2"/>
      <c r="O6045" s="20"/>
      <c r="P6045" s="42"/>
      <c r="R6045" s="23"/>
    </row>
    <row r="6046" spans="1:18" ht="12.75">
      <c r="A6046" s="12"/>
      <c r="D6046" s="12"/>
      <c r="E6046" s="12"/>
      <c r="H6046" s="11" t="str">
        <f ca="1">IFERROR(__xludf.DUMMYFUNCTION("IFERROR(SUBSTITUTE(SUBSTITUTE(REGEXEXTRACT(A6046, ""[^-]+- [^-]+- [^-]+ - (.+?)\.jpg""), "".jpg"", """"), ""-"", "", ""), """")"),"")</f>
        <v/>
      </c>
      <c r="L6046" s="12"/>
      <c r="M6046" s="13"/>
      <c r="N6046" s="2"/>
      <c r="O6046" s="20"/>
      <c r="P6046" s="42"/>
      <c r="R6046" s="23"/>
    </row>
    <row r="6047" spans="1:18" ht="12.75">
      <c r="A6047" s="12"/>
      <c r="D6047" s="12"/>
      <c r="E6047" s="12"/>
      <c r="H6047" s="11" t="str">
        <f ca="1">IFERROR(__xludf.DUMMYFUNCTION("IFERROR(SUBSTITUTE(SUBSTITUTE(REGEXEXTRACT(A6047, ""[^-]+- [^-]+- [^-]+ - (.+?)\.jpg""), "".jpg"", """"), ""-"", "", ""), """")"),"")</f>
        <v/>
      </c>
      <c r="L6047" s="12"/>
      <c r="M6047" s="13"/>
      <c r="N6047" s="2"/>
      <c r="O6047" s="20"/>
      <c r="P6047" s="42"/>
      <c r="R6047" s="23"/>
    </row>
    <row r="6048" spans="1:18" ht="12.75">
      <c r="A6048" s="12"/>
      <c r="D6048" s="12"/>
      <c r="E6048" s="12"/>
      <c r="H6048" s="11" t="str">
        <f ca="1">IFERROR(__xludf.DUMMYFUNCTION("IFERROR(SUBSTITUTE(SUBSTITUTE(REGEXEXTRACT(A6048, ""[^-]+- [^-]+- [^-]+ - (.+?)\.jpg""), "".jpg"", """"), ""-"", "", ""), """")"),"")</f>
        <v/>
      </c>
      <c r="L6048" s="12"/>
      <c r="M6048" s="13"/>
      <c r="N6048" s="2"/>
      <c r="O6048" s="20"/>
      <c r="P6048" s="42"/>
      <c r="R6048" s="23"/>
    </row>
    <row r="6049" spans="1:18" ht="12.75">
      <c r="A6049" s="12"/>
      <c r="D6049" s="12"/>
      <c r="E6049" s="12"/>
      <c r="H6049" s="11" t="str">
        <f ca="1">IFERROR(__xludf.DUMMYFUNCTION("IFERROR(SUBSTITUTE(SUBSTITUTE(REGEXEXTRACT(A6049, ""[^-]+- [^-]+- [^-]+ - (.+?)\.jpg""), "".jpg"", """"), ""-"", "", ""), """")"),"")</f>
        <v/>
      </c>
      <c r="L6049" s="12"/>
      <c r="M6049" s="13"/>
      <c r="N6049" s="2"/>
      <c r="O6049" s="20"/>
      <c r="P6049" s="42"/>
      <c r="R6049" s="23"/>
    </row>
    <row r="6050" spans="1:18" ht="12.75">
      <c r="A6050" s="12"/>
      <c r="D6050" s="12"/>
      <c r="E6050" s="12"/>
      <c r="H6050" s="11" t="str">
        <f ca="1">IFERROR(__xludf.DUMMYFUNCTION("IFERROR(SUBSTITUTE(SUBSTITUTE(REGEXEXTRACT(A6050, ""[^-]+- [^-]+- [^-]+ - (.+?)\.jpg""), "".jpg"", """"), ""-"", "", ""), """")"),"")</f>
        <v/>
      </c>
      <c r="L6050" s="12"/>
      <c r="M6050" s="13"/>
      <c r="N6050" s="2"/>
      <c r="O6050" s="20"/>
      <c r="P6050" s="42"/>
      <c r="R6050" s="23"/>
    </row>
    <row r="6051" spans="1:18" ht="12.75">
      <c r="A6051" s="12"/>
      <c r="D6051" s="12"/>
      <c r="E6051" s="12"/>
      <c r="H6051" s="11" t="str">
        <f ca="1">IFERROR(__xludf.DUMMYFUNCTION("IFERROR(SUBSTITUTE(SUBSTITUTE(REGEXEXTRACT(A6051, ""[^-]+- [^-]+- [^-]+ - (.+?)\.jpg""), "".jpg"", """"), ""-"", "", ""), """")"),"")</f>
        <v/>
      </c>
      <c r="L6051" s="12"/>
      <c r="M6051" s="13"/>
      <c r="N6051" s="2"/>
      <c r="O6051" s="20"/>
      <c r="P6051" s="42"/>
      <c r="R6051" s="23"/>
    </row>
    <row r="6052" spans="1:18" ht="12.75">
      <c r="A6052" s="12"/>
      <c r="D6052" s="12"/>
      <c r="E6052" s="12"/>
      <c r="H6052" s="11" t="str">
        <f ca="1">IFERROR(__xludf.DUMMYFUNCTION("IFERROR(SUBSTITUTE(SUBSTITUTE(REGEXEXTRACT(A6052, ""[^-]+- [^-]+- [^-]+ - (.+?)\.jpg""), "".jpg"", """"), ""-"", "", ""), """")"),"")</f>
        <v/>
      </c>
      <c r="L6052" s="12"/>
      <c r="M6052" s="13"/>
      <c r="N6052" s="2"/>
      <c r="O6052" s="20"/>
      <c r="P6052" s="42"/>
      <c r="R6052" s="23"/>
    </row>
    <row r="6053" spans="1:18" ht="12.75">
      <c r="A6053" s="12"/>
      <c r="D6053" s="12"/>
      <c r="E6053" s="12"/>
      <c r="H6053" s="11" t="str">
        <f ca="1">IFERROR(__xludf.DUMMYFUNCTION("IFERROR(SUBSTITUTE(SUBSTITUTE(REGEXEXTRACT(A6053, ""[^-]+- [^-]+- [^-]+ - (.+?)\.jpg""), "".jpg"", """"), ""-"", "", ""), """")"),"")</f>
        <v/>
      </c>
      <c r="L6053" s="12"/>
      <c r="M6053" s="13"/>
      <c r="N6053" s="2"/>
      <c r="O6053" s="20"/>
      <c r="P6053" s="42"/>
      <c r="R6053" s="23"/>
    </row>
    <row r="6054" spans="1:18" ht="12.75">
      <c r="A6054" s="12"/>
      <c r="D6054" s="12"/>
      <c r="E6054" s="12"/>
      <c r="H6054" s="11" t="str">
        <f ca="1">IFERROR(__xludf.DUMMYFUNCTION("IFERROR(SUBSTITUTE(SUBSTITUTE(REGEXEXTRACT(A6054, ""[^-]+- [^-]+- [^-]+ - (.+?)\.jpg""), "".jpg"", """"), ""-"", "", ""), """")"),"")</f>
        <v/>
      </c>
      <c r="L6054" s="12"/>
      <c r="M6054" s="13"/>
      <c r="N6054" s="2"/>
      <c r="O6054" s="20"/>
      <c r="P6054" s="42"/>
      <c r="R6054" s="23"/>
    </row>
    <row r="6055" spans="1:18" ht="12.75">
      <c r="A6055" s="12"/>
      <c r="D6055" s="12"/>
      <c r="E6055" s="12"/>
      <c r="H6055" s="11" t="str">
        <f ca="1">IFERROR(__xludf.DUMMYFUNCTION("IFERROR(SUBSTITUTE(SUBSTITUTE(REGEXEXTRACT(A6055, ""[^-]+- [^-]+- [^-]+ - (.+?)\.jpg""), "".jpg"", """"), ""-"", "", ""), """")"),"")</f>
        <v/>
      </c>
      <c r="L6055" s="12"/>
      <c r="M6055" s="13"/>
      <c r="N6055" s="2"/>
      <c r="O6055" s="20"/>
      <c r="P6055" s="42"/>
      <c r="R6055" s="23"/>
    </row>
    <row r="6056" spans="1:18" ht="12.75">
      <c r="A6056" s="12"/>
      <c r="D6056" s="12"/>
      <c r="E6056" s="12"/>
      <c r="H6056" s="11" t="str">
        <f ca="1">IFERROR(__xludf.DUMMYFUNCTION("IFERROR(SUBSTITUTE(SUBSTITUTE(REGEXEXTRACT(A6056, ""[^-]+- [^-]+- [^-]+ - (.+?)\.jpg""), "".jpg"", """"), ""-"", "", ""), """")"),"")</f>
        <v/>
      </c>
      <c r="L6056" s="12"/>
      <c r="M6056" s="13"/>
      <c r="N6056" s="2"/>
      <c r="O6056" s="20"/>
      <c r="P6056" s="42"/>
      <c r="R6056" s="23"/>
    </row>
    <row r="6057" spans="1:18" ht="12.75">
      <c r="A6057" s="12"/>
      <c r="D6057" s="12"/>
      <c r="E6057" s="12"/>
      <c r="H6057" s="11" t="str">
        <f ca="1">IFERROR(__xludf.DUMMYFUNCTION("IFERROR(SUBSTITUTE(SUBSTITUTE(REGEXEXTRACT(A6057, ""[^-]+- [^-]+- [^-]+ - (.+?)\.jpg""), "".jpg"", """"), ""-"", "", ""), """")"),"")</f>
        <v/>
      </c>
      <c r="L6057" s="12"/>
      <c r="M6057" s="13"/>
      <c r="N6057" s="2"/>
      <c r="O6057" s="20"/>
      <c r="P6057" s="42"/>
      <c r="R6057" s="23"/>
    </row>
    <row r="6058" spans="1:18" ht="12.75">
      <c r="A6058" s="12"/>
      <c r="D6058" s="12"/>
      <c r="E6058" s="12"/>
      <c r="H6058" s="11" t="str">
        <f ca="1">IFERROR(__xludf.DUMMYFUNCTION("IFERROR(SUBSTITUTE(SUBSTITUTE(REGEXEXTRACT(A6058, ""[^-]+- [^-]+- [^-]+ - (.+?)\.jpg""), "".jpg"", """"), ""-"", "", ""), """")"),"")</f>
        <v/>
      </c>
      <c r="L6058" s="12"/>
      <c r="M6058" s="13"/>
      <c r="N6058" s="2"/>
      <c r="O6058" s="20"/>
      <c r="P6058" s="42"/>
      <c r="R6058" s="23"/>
    </row>
    <row r="6059" spans="1:18" ht="12.75">
      <c r="A6059" s="12"/>
      <c r="D6059" s="12"/>
      <c r="E6059" s="12"/>
      <c r="H6059" s="11" t="str">
        <f ca="1">IFERROR(__xludf.DUMMYFUNCTION("IFERROR(SUBSTITUTE(SUBSTITUTE(REGEXEXTRACT(A6059, ""[^-]+- [^-]+- [^-]+ - (.+?)\.jpg""), "".jpg"", """"), ""-"", "", ""), """")"),"")</f>
        <v/>
      </c>
      <c r="L6059" s="12"/>
      <c r="M6059" s="13"/>
      <c r="N6059" s="2"/>
      <c r="O6059" s="20"/>
      <c r="P6059" s="42"/>
      <c r="R6059" s="23"/>
    </row>
    <row r="6060" spans="1:18" ht="12.75">
      <c r="A6060" s="12"/>
      <c r="D6060" s="12"/>
      <c r="E6060" s="12"/>
      <c r="H6060" s="11" t="str">
        <f ca="1">IFERROR(__xludf.DUMMYFUNCTION("IFERROR(SUBSTITUTE(SUBSTITUTE(REGEXEXTRACT(A6060, ""[^-]+- [^-]+- [^-]+ - (.+?)\.jpg""), "".jpg"", """"), ""-"", "", ""), """")"),"")</f>
        <v/>
      </c>
      <c r="L6060" s="12"/>
      <c r="M6060" s="13"/>
      <c r="N6060" s="2"/>
      <c r="O6060" s="20"/>
      <c r="P6060" s="42"/>
      <c r="R6060" s="23"/>
    </row>
    <row r="6061" spans="1:18" ht="12.75">
      <c r="A6061" s="12"/>
      <c r="D6061" s="12"/>
      <c r="E6061" s="12"/>
      <c r="H6061" s="11" t="str">
        <f ca="1">IFERROR(__xludf.DUMMYFUNCTION("IFERROR(SUBSTITUTE(SUBSTITUTE(REGEXEXTRACT(A6061, ""[^-]+- [^-]+- [^-]+ - (.+?)\.jpg""), "".jpg"", """"), ""-"", "", ""), """")"),"")</f>
        <v/>
      </c>
      <c r="L6061" s="12"/>
      <c r="M6061" s="13"/>
      <c r="N6061" s="2"/>
      <c r="O6061" s="20"/>
      <c r="P6061" s="42"/>
      <c r="R6061" s="23"/>
    </row>
    <row r="6062" spans="1:18" ht="12.75">
      <c r="A6062" s="12"/>
      <c r="D6062" s="12"/>
      <c r="E6062" s="12"/>
      <c r="H6062" s="11" t="str">
        <f ca="1">IFERROR(__xludf.DUMMYFUNCTION("IFERROR(SUBSTITUTE(SUBSTITUTE(REGEXEXTRACT(A6062, ""[^-]+- [^-]+- [^-]+ - (.+?)\.jpg""), "".jpg"", """"), ""-"", "", ""), """")"),"")</f>
        <v/>
      </c>
      <c r="L6062" s="12"/>
      <c r="M6062" s="13"/>
      <c r="N6062" s="2"/>
      <c r="O6062" s="20"/>
      <c r="P6062" s="42"/>
      <c r="R6062" s="23"/>
    </row>
    <row r="6063" spans="1:18" ht="12.75">
      <c r="A6063" s="12"/>
      <c r="D6063" s="12"/>
      <c r="E6063" s="12"/>
      <c r="H6063" s="11" t="str">
        <f ca="1">IFERROR(__xludf.DUMMYFUNCTION("IFERROR(SUBSTITUTE(SUBSTITUTE(REGEXEXTRACT(A6063, ""[^-]+- [^-]+- [^-]+ - (.+?)\.jpg""), "".jpg"", """"), ""-"", "", ""), """")"),"")</f>
        <v/>
      </c>
      <c r="L6063" s="12"/>
      <c r="M6063" s="13"/>
      <c r="N6063" s="2"/>
      <c r="O6063" s="20"/>
      <c r="P6063" s="42"/>
      <c r="R6063" s="23"/>
    </row>
    <row r="6064" spans="1:18" ht="12.75">
      <c r="A6064" s="12"/>
      <c r="D6064" s="12"/>
      <c r="E6064" s="12"/>
      <c r="H6064" s="11" t="str">
        <f ca="1">IFERROR(__xludf.DUMMYFUNCTION("IFERROR(SUBSTITUTE(SUBSTITUTE(REGEXEXTRACT(A6064, ""[^-]+- [^-]+- [^-]+ - (.+?)\.jpg""), "".jpg"", """"), ""-"", "", ""), """")"),"")</f>
        <v/>
      </c>
      <c r="L6064" s="12"/>
      <c r="M6064" s="13"/>
      <c r="N6064" s="2"/>
      <c r="O6064" s="20"/>
      <c r="P6064" s="42"/>
      <c r="R6064" s="23"/>
    </row>
    <row r="6065" spans="1:18" ht="12.75">
      <c r="A6065" s="12"/>
      <c r="D6065" s="12"/>
      <c r="E6065" s="12"/>
      <c r="H6065" s="11" t="str">
        <f ca="1">IFERROR(__xludf.DUMMYFUNCTION("IFERROR(SUBSTITUTE(SUBSTITUTE(REGEXEXTRACT(A6065, ""[^-]+- [^-]+- [^-]+ - (.+?)\.jpg""), "".jpg"", """"), ""-"", "", ""), """")"),"")</f>
        <v/>
      </c>
      <c r="L6065" s="12"/>
      <c r="M6065" s="13"/>
      <c r="N6065" s="2"/>
      <c r="O6065" s="20"/>
      <c r="P6065" s="42"/>
      <c r="R6065" s="23"/>
    </row>
    <row r="6066" spans="1:18" ht="12.75">
      <c r="A6066" s="12"/>
      <c r="D6066" s="12"/>
      <c r="E6066" s="12"/>
      <c r="H6066" s="11" t="str">
        <f ca="1">IFERROR(__xludf.DUMMYFUNCTION("IFERROR(SUBSTITUTE(SUBSTITUTE(REGEXEXTRACT(A6066, ""[^-]+- [^-]+- [^-]+ - (.+?)\.jpg""), "".jpg"", """"), ""-"", "", ""), """")"),"")</f>
        <v/>
      </c>
      <c r="L6066" s="12"/>
      <c r="M6066" s="13"/>
      <c r="N6066" s="2"/>
      <c r="O6066" s="20"/>
      <c r="P6066" s="42"/>
      <c r="R6066" s="23"/>
    </row>
    <row r="6067" spans="1:18" ht="12.75">
      <c r="A6067" s="12"/>
      <c r="D6067" s="12"/>
      <c r="E6067" s="12"/>
      <c r="H6067" s="11" t="str">
        <f ca="1">IFERROR(__xludf.DUMMYFUNCTION("IFERROR(SUBSTITUTE(SUBSTITUTE(REGEXEXTRACT(A6067, ""[^-]+- [^-]+- [^-]+ - (.+?)\.jpg""), "".jpg"", """"), ""-"", "", ""), """")"),"")</f>
        <v/>
      </c>
      <c r="L6067" s="12"/>
      <c r="M6067" s="13"/>
      <c r="N6067" s="2"/>
      <c r="O6067" s="20"/>
      <c r="P6067" s="42"/>
      <c r="R6067" s="23"/>
    </row>
    <row r="6068" spans="1:18" ht="12.75">
      <c r="A6068" s="12"/>
      <c r="D6068" s="12"/>
      <c r="E6068" s="12"/>
      <c r="H6068" s="11" t="str">
        <f ca="1">IFERROR(__xludf.DUMMYFUNCTION("IFERROR(SUBSTITUTE(SUBSTITUTE(REGEXEXTRACT(A6068, ""[^-]+- [^-]+- [^-]+ - (.+?)\.jpg""), "".jpg"", """"), ""-"", "", ""), """")"),"")</f>
        <v/>
      </c>
      <c r="L6068" s="12"/>
      <c r="M6068" s="13"/>
      <c r="N6068" s="2"/>
      <c r="O6068" s="20"/>
      <c r="P6068" s="42"/>
      <c r="R6068" s="23"/>
    </row>
    <row r="6069" spans="1:18" ht="12.75">
      <c r="A6069" s="12"/>
      <c r="D6069" s="12"/>
      <c r="E6069" s="12"/>
      <c r="H6069" s="11" t="str">
        <f ca="1">IFERROR(__xludf.DUMMYFUNCTION("IFERROR(SUBSTITUTE(SUBSTITUTE(REGEXEXTRACT(A6069, ""[^-]+- [^-]+- [^-]+ - (.+?)\.jpg""), "".jpg"", """"), ""-"", "", ""), """")"),"")</f>
        <v/>
      </c>
      <c r="L6069" s="12"/>
      <c r="M6069" s="13"/>
      <c r="N6069" s="2"/>
      <c r="O6069" s="20"/>
      <c r="P6069" s="42"/>
      <c r="R6069" s="23"/>
    </row>
    <row r="6070" spans="1:18" ht="12.75">
      <c r="A6070" s="12"/>
      <c r="D6070" s="12"/>
      <c r="E6070" s="12"/>
      <c r="H6070" s="11" t="str">
        <f ca="1">IFERROR(__xludf.DUMMYFUNCTION("IFERROR(SUBSTITUTE(SUBSTITUTE(REGEXEXTRACT(A6070, ""[^-]+- [^-]+- [^-]+ - (.+?)\.jpg""), "".jpg"", """"), ""-"", "", ""), """")"),"")</f>
        <v/>
      </c>
      <c r="L6070" s="12"/>
      <c r="M6070" s="13"/>
      <c r="N6070" s="2"/>
      <c r="O6070" s="20"/>
      <c r="P6070" s="42"/>
      <c r="R6070" s="23"/>
    </row>
    <row r="6071" spans="1:18" ht="12.75">
      <c r="A6071" s="12"/>
      <c r="D6071" s="12"/>
      <c r="E6071" s="12"/>
      <c r="H6071" s="11" t="str">
        <f ca="1">IFERROR(__xludf.DUMMYFUNCTION("IFERROR(SUBSTITUTE(SUBSTITUTE(REGEXEXTRACT(A6071, ""[^-]+- [^-]+- [^-]+ - (.+?)\.jpg""), "".jpg"", """"), ""-"", "", ""), """")"),"")</f>
        <v/>
      </c>
      <c r="L6071" s="12"/>
      <c r="M6071" s="13"/>
      <c r="N6071" s="2"/>
      <c r="O6071" s="20"/>
      <c r="P6071" s="42"/>
      <c r="R6071" s="23"/>
    </row>
    <row r="6072" spans="1:18" ht="12.75">
      <c r="A6072" s="12"/>
      <c r="D6072" s="12"/>
      <c r="E6072" s="12"/>
      <c r="H6072" s="11" t="str">
        <f ca="1">IFERROR(__xludf.DUMMYFUNCTION("IFERROR(SUBSTITUTE(SUBSTITUTE(REGEXEXTRACT(A6072, ""[^-]+- [^-]+- [^-]+ - (.+?)\.jpg""), "".jpg"", """"), ""-"", "", ""), """")"),"")</f>
        <v/>
      </c>
      <c r="L6072" s="12"/>
      <c r="M6072" s="13"/>
      <c r="N6072" s="2"/>
      <c r="O6072" s="20"/>
      <c r="P6072" s="42"/>
      <c r="R6072" s="23"/>
    </row>
    <row r="6073" spans="1:18" ht="12.75">
      <c r="A6073" s="12"/>
      <c r="D6073" s="12"/>
      <c r="E6073" s="12"/>
      <c r="H6073" s="11" t="str">
        <f ca="1">IFERROR(__xludf.DUMMYFUNCTION("IFERROR(SUBSTITUTE(SUBSTITUTE(REGEXEXTRACT(A6073, ""[^-]+- [^-]+- [^-]+ - (.+?)\.jpg""), "".jpg"", """"), ""-"", "", ""), """")"),"")</f>
        <v/>
      </c>
      <c r="L6073" s="12"/>
      <c r="M6073" s="13"/>
      <c r="N6073" s="2"/>
      <c r="O6073" s="20"/>
      <c r="P6073" s="42"/>
      <c r="R6073" s="23"/>
    </row>
    <row r="6074" spans="1:18" ht="12.75">
      <c r="A6074" s="12"/>
      <c r="D6074" s="12"/>
      <c r="E6074" s="12"/>
      <c r="H6074" s="11" t="str">
        <f ca="1">IFERROR(__xludf.DUMMYFUNCTION("IFERROR(SUBSTITUTE(SUBSTITUTE(REGEXEXTRACT(A6074, ""[^-]+- [^-]+- [^-]+ - (.+?)\.jpg""), "".jpg"", """"), ""-"", "", ""), """")"),"")</f>
        <v/>
      </c>
      <c r="L6074" s="12"/>
      <c r="M6074" s="13"/>
      <c r="N6074" s="2"/>
      <c r="O6074" s="20"/>
      <c r="P6074" s="42"/>
      <c r="R6074" s="23"/>
    </row>
    <row r="6075" spans="1:18" ht="12.75">
      <c r="A6075" s="12"/>
      <c r="D6075" s="12"/>
      <c r="E6075" s="12"/>
      <c r="H6075" s="11" t="str">
        <f ca="1">IFERROR(__xludf.DUMMYFUNCTION("IFERROR(SUBSTITUTE(SUBSTITUTE(REGEXEXTRACT(A6075, ""[^-]+- [^-]+- [^-]+ - (.+?)\.jpg""), "".jpg"", """"), ""-"", "", ""), """")"),"")</f>
        <v/>
      </c>
      <c r="L6075" s="12"/>
      <c r="M6075" s="13"/>
      <c r="N6075" s="2"/>
      <c r="O6075" s="20"/>
      <c r="P6075" s="42"/>
      <c r="R6075" s="23"/>
    </row>
    <row r="6076" spans="1:18" ht="12.75">
      <c r="A6076" s="12"/>
      <c r="D6076" s="12"/>
      <c r="E6076" s="12"/>
      <c r="H6076" s="11" t="str">
        <f ca="1">IFERROR(__xludf.DUMMYFUNCTION("IFERROR(SUBSTITUTE(SUBSTITUTE(REGEXEXTRACT(A6076, ""[^-]+- [^-]+- [^-]+ - (.+?)\.jpg""), "".jpg"", """"), ""-"", "", ""), """")"),"")</f>
        <v/>
      </c>
      <c r="L6076" s="12"/>
      <c r="M6076" s="13"/>
      <c r="N6076" s="2"/>
      <c r="O6076" s="20"/>
      <c r="P6076" s="42"/>
      <c r="R6076" s="23"/>
    </row>
    <row r="6077" spans="1:18" ht="12.75">
      <c r="A6077" s="12"/>
      <c r="D6077" s="12"/>
      <c r="E6077" s="12"/>
      <c r="H6077" s="11" t="str">
        <f ca="1">IFERROR(__xludf.DUMMYFUNCTION("IFERROR(SUBSTITUTE(SUBSTITUTE(REGEXEXTRACT(A6077, ""[^-]+- [^-]+- [^-]+ - (.+?)\.jpg""), "".jpg"", """"), ""-"", "", ""), """")"),"")</f>
        <v/>
      </c>
      <c r="L6077" s="12"/>
      <c r="M6077" s="13"/>
      <c r="N6077" s="2"/>
      <c r="O6077" s="20"/>
      <c r="P6077" s="42"/>
      <c r="R6077" s="23"/>
    </row>
    <row r="6078" spans="1:18" ht="12.75">
      <c r="A6078" s="12"/>
      <c r="D6078" s="12"/>
      <c r="E6078" s="12"/>
      <c r="H6078" s="11" t="str">
        <f ca="1">IFERROR(__xludf.DUMMYFUNCTION("IFERROR(SUBSTITUTE(SUBSTITUTE(REGEXEXTRACT(A6078, ""[^-]+- [^-]+- [^-]+ - (.+?)\.jpg""), "".jpg"", """"), ""-"", "", ""), """")"),"")</f>
        <v/>
      </c>
      <c r="L6078" s="12"/>
      <c r="M6078" s="13"/>
      <c r="N6078" s="2"/>
      <c r="O6078" s="20"/>
      <c r="P6078" s="42"/>
      <c r="R6078" s="23"/>
    </row>
    <row r="6079" spans="1:18" ht="12.75">
      <c r="A6079" s="12"/>
      <c r="D6079" s="12"/>
      <c r="E6079" s="12"/>
      <c r="H6079" s="11" t="str">
        <f ca="1">IFERROR(__xludf.DUMMYFUNCTION("IFERROR(SUBSTITUTE(SUBSTITUTE(REGEXEXTRACT(A6079, ""[^-]+- [^-]+- [^-]+ - (.+?)\.jpg""), "".jpg"", """"), ""-"", "", ""), """")"),"")</f>
        <v/>
      </c>
      <c r="L6079" s="12"/>
      <c r="M6079" s="13"/>
      <c r="N6079" s="2"/>
      <c r="O6079" s="20"/>
      <c r="P6079" s="42"/>
      <c r="R6079" s="23"/>
    </row>
    <row r="6080" spans="1:18" ht="12.75">
      <c r="A6080" s="12"/>
      <c r="D6080" s="12"/>
      <c r="E6080" s="12"/>
      <c r="H6080" s="11" t="str">
        <f ca="1">IFERROR(__xludf.DUMMYFUNCTION("IFERROR(SUBSTITUTE(SUBSTITUTE(REGEXEXTRACT(A6080, ""[^-]+- [^-]+- [^-]+ - (.+?)\.jpg""), "".jpg"", """"), ""-"", "", ""), """")"),"")</f>
        <v/>
      </c>
      <c r="L6080" s="12"/>
      <c r="M6080" s="13"/>
      <c r="N6080" s="2"/>
      <c r="O6080" s="20"/>
      <c r="P6080" s="42"/>
      <c r="R6080" s="23"/>
    </row>
    <row r="6081" spans="1:18" ht="12.75">
      <c r="A6081" s="12"/>
      <c r="D6081" s="12"/>
      <c r="E6081" s="12"/>
      <c r="H6081" s="11" t="str">
        <f ca="1">IFERROR(__xludf.DUMMYFUNCTION("IFERROR(SUBSTITUTE(SUBSTITUTE(REGEXEXTRACT(A6081, ""[^-]+- [^-]+- [^-]+ - (.+?)\.jpg""), "".jpg"", """"), ""-"", "", ""), """")"),"")</f>
        <v/>
      </c>
      <c r="L6081" s="12"/>
      <c r="M6081" s="13"/>
      <c r="N6081" s="2"/>
      <c r="O6081" s="20"/>
      <c r="P6081" s="42"/>
      <c r="R6081" s="23"/>
    </row>
    <row r="6082" spans="1:18" ht="12.75">
      <c r="A6082" s="12"/>
      <c r="D6082" s="12"/>
      <c r="E6082" s="12"/>
      <c r="H6082" s="11" t="str">
        <f ca="1">IFERROR(__xludf.DUMMYFUNCTION("IFERROR(SUBSTITUTE(SUBSTITUTE(REGEXEXTRACT(A6082, ""[^-]+- [^-]+- [^-]+ - (.+?)\.jpg""), "".jpg"", """"), ""-"", "", ""), """")"),"")</f>
        <v/>
      </c>
      <c r="L6082" s="12"/>
      <c r="M6082" s="13"/>
      <c r="N6082" s="2"/>
      <c r="O6082" s="20"/>
      <c r="P6082" s="42"/>
      <c r="R6082" s="23"/>
    </row>
    <row r="6083" spans="1:18" ht="12.75">
      <c r="A6083" s="12"/>
      <c r="D6083" s="12"/>
      <c r="E6083" s="12"/>
      <c r="H6083" s="11" t="str">
        <f ca="1">IFERROR(__xludf.DUMMYFUNCTION("IFERROR(SUBSTITUTE(SUBSTITUTE(REGEXEXTRACT(A6083, ""[^-]+- [^-]+- [^-]+ - (.+?)\.jpg""), "".jpg"", """"), ""-"", "", ""), """")"),"")</f>
        <v/>
      </c>
      <c r="L6083" s="12"/>
      <c r="M6083" s="13"/>
      <c r="N6083" s="2"/>
      <c r="O6083" s="20"/>
      <c r="P6083" s="42"/>
      <c r="R6083" s="23"/>
    </row>
    <row r="6084" spans="1:18" ht="12.75">
      <c r="A6084" s="12"/>
      <c r="D6084" s="12"/>
      <c r="E6084" s="12"/>
      <c r="H6084" s="11" t="str">
        <f ca="1">IFERROR(__xludf.DUMMYFUNCTION("IFERROR(SUBSTITUTE(SUBSTITUTE(REGEXEXTRACT(A6084, ""[^-]+- [^-]+- [^-]+ - (.+?)\.jpg""), "".jpg"", """"), ""-"", "", ""), """")"),"")</f>
        <v/>
      </c>
      <c r="L6084" s="12"/>
      <c r="M6084" s="13"/>
      <c r="N6084" s="2"/>
      <c r="O6084" s="20"/>
      <c r="P6084" s="42"/>
      <c r="R6084" s="23"/>
    </row>
    <row r="6085" spans="1:18" ht="12.75">
      <c r="A6085" s="12"/>
      <c r="D6085" s="12"/>
      <c r="E6085" s="12"/>
      <c r="H6085" s="11" t="str">
        <f ca="1">IFERROR(__xludf.DUMMYFUNCTION("IFERROR(SUBSTITUTE(SUBSTITUTE(REGEXEXTRACT(A6085, ""[^-]+- [^-]+- [^-]+ - (.+?)\.jpg""), "".jpg"", """"), ""-"", "", ""), """")"),"")</f>
        <v/>
      </c>
      <c r="L6085" s="12"/>
      <c r="M6085" s="13"/>
      <c r="N6085" s="2"/>
      <c r="O6085" s="20"/>
      <c r="P6085" s="42"/>
      <c r="R6085" s="23"/>
    </row>
    <row r="6086" spans="1:18" ht="12.75">
      <c r="A6086" s="12"/>
      <c r="D6086" s="12"/>
      <c r="E6086" s="12"/>
      <c r="H6086" s="11" t="str">
        <f ca="1">IFERROR(__xludf.DUMMYFUNCTION("IFERROR(SUBSTITUTE(SUBSTITUTE(REGEXEXTRACT(A6086, ""[^-]+- [^-]+- [^-]+ - (.+?)\.jpg""), "".jpg"", """"), ""-"", "", ""), """")"),"")</f>
        <v/>
      </c>
      <c r="L6086" s="12"/>
      <c r="M6086" s="13"/>
      <c r="N6086" s="2"/>
      <c r="O6086" s="20"/>
      <c r="P6086" s="42"/>
      <c r="R6086" s="23"/>
    </row>
    <row r="6087" spans="1:18" ht="12.75">
      <c r="A6087" s="12"/>
      <c r="D6087" s="12"/>
      <c r="E6087" s="12"/>
      <c r="H6087" s="11" t="str">
        <f ca="1">IFERROR(__xludf.DUMMYFUNCTION("IFERROR(SUBSTITUTE(SUBSTITUTE(REGEXEXTRACT(A6087, ""[^-]+- [^-]+- [^-]+ - (.+?)\.jpg""), "".jpg"", """"), ""-"", "", ""), """")"),"")</f>
        <v/>
      </c>
      <c r="L6087" s="12"/>
      <c r="M6087" s="13"/>
      <c r="N6087" s="2"/>
      <c r="O6087" s="20"/>
      <c r="P6087" s="42"/>
      <c r="R6087" s="23"/>
    </row>
    <row r="6088" spans="1:18" ht="12.75">
      <c r="A6088" s="12"/>
      <c r="D6088" s="12"/>
      <c r="E6088" s="12"/>
      <c r="H6088" s="11" t="str">
        <f ca="1">IFERROR(__xludf.DUMMYFUNCTION("IFERROR(SUBSTITUTE(SUBSTITUTE(REGEXEXTRACT(A6088, ""[^-]+- [^-]+- [^-]+ - (.+?)\.jpg""), "".jpg"", """"), ""-"", "", ""), """")"),"")</f>
        <v/>
      </c>
      <c r="L6088" s="12"/>
      <c r="M6088" s="13"/>
      <c r="N6088" s="2"/>
      <c r="O6088" s="20"/>
      <c r="P6088" s="42"/>
      <c r="R6088" s="23"/>
    </row>
    <row r="6089" spans="1:18" ht="12.75">
      <c r="A6089" s="12"/>
      <c r="D6089" s="12"/>
      <c r="E6089" s="12"/>
      <c r="H6089" s="11" t="str">
        <f ca="1">IFERROR(__xludf.DUMMYFUNCTION("IFERROR(SUBSTITUTE(SUBSTITUTE(REGEXEXTRACT(A6089, ""[^-]+- [^-]+- [^-]+ - (.+?)\.jpg""), "".jpg"", """"), ""-"", "", ""), """")"),"")</f>
        <v/>
      </c>
      <c r="L6089" s="12"/>
      <c r="M6089" s="13"/>
      <c r="N6089" s="2"/>
      <c r="O6089" s="20"/>
      <c r="P6089" s="42"/>
      <c r="R6089" s="23"/>
    </row>
    <row r="6090" spans="1:18" ht="12.75">
      <c r="A6090" s="12"/>
      <c r="D6090" s="12"/>
      <c r="E6090" s="12"/>
      <c r="H6090" s="11" t="str">
        <f ca="1">IFERROR(__xludf.DUMMYFUNCTION("IFERROR(SUBSTITUTE(SUBSTITUTE(REGEXEXTRACT(A6090, ""[^-]+- [^-]+- [^-]+ - (.+?)\.jpg""), "".jpg"", """"), ""-"", "", ""), """")"),"")</f>
        <v/>
      </c>
      <c r="L6090" s="12"/>
      <c r="M6090" s="13"/>
      <c r="N6090" s="2"/>
      <c r="O6090" s="20"/>
      <c r="P6090" s="42"/>
      <c r="R6090" s="23"/>
    </row>
    <row r="6091" spans="1:18" ht="12.75">
      <c r="A6091" s="12"/>
      <c r="D6091" s="12"/>
      <c r="E6091" s="12"/>
      <c r="H6091" s="11" t="str">
        <f ca="1">IFERROR(__xludf.DUMMYFUNCTION("IFERROR(SUBSTITUTE(SUBSTITUTE(REGEXEXTRACT(A6091, ""[^-]+- [^-]+- [^-]+ - (.+?)\.jpg""), "".jpg"", """"), ""-"", "", ""), """")"),"")</f>
        <v/>
      </c>
      <c r="L6091" s="12"/>
      <c r="M6091" s="13"/>
      <c r="N6091" s="2"/>
      <c r="O6091" s="20"/>
      <c r="P6091" s="42"/>
      <c r="R6091" s="23"/>
    </row>
    <row r="6092" spans="1:18" ht="12.75">
      <c r="A6092" s="12"/>
      <c r="D6092" s="12"/>
      <c r="E6092" s="12"/>
      <c r="H6092" s="11" t="str">
        <f ca="1">IFERROR(__xludf.DUMMYFUNCTION("IFERROR(SUBSTITUTE(SUBSTITUTE(REGEXEXTRACT(A6092, ""[^-]+- [^-]+- [^-]+ - (.+?)\.jpg""), "".jpg"", """"), ""-"", "", ""), """")"),"")</f>
        <v/>
      </c>
      <c r="L6092" s="12"/>
      <c r="M6092" s="13"/>
      <c r="N6092" s="2"/>
      <c r="O6092" s="20"/>
      <c r="P6092" s="42"/>
      <c r="R6092" s="23"/>
    </row>
    <row r="6093" spans="1:18" ht="12.75">
      <c r="A6093" s="12"/>
      <c r="D6093" s="12"/>
      <c r="E6093" s="12"/>
      <c r="H6093" s="11" t="str">
        <f ca="1">IFERROR(__xludf.DUMMYFUNCTION("IFERROR(SUBSTITUTE(SUBSTITUTE(REGEXEXTRACT(A6093, ""[^-]+- [^-]+- [^-]+ - (.+?)\.jpg""), "".jpg"", """"), ""-"", "", ""), """")"),"")</f>
        <v/>
      </c>
      <c r="L6093" s="12"/>
      <c r="M6093" s="13"/>
      <c r="N6093" s="2"/>
      <c r="O6093" s="20"/>
      <c r="P6093" s="42"/>
      <c r="R6093" s="23"/>
    </row>
    <row r="6094" spans="1:18" ht="12.75">
      <c r="A6094" s="12"/>
      <c r="D6094" s="12"/>
      <c r="E6094" s="12"/>
      <c r="H6094" s="11" t="str">
        <f ca="1">IFERROR(__xludf.DUMMYFUNCTION("IFERROR(SUBSTITUTE(SUBSTITUTE(REGEXEXTRACT(A6094, ""[^-]+- [^-]+- [^-]+ - (.+?)\.jpg""), "".jpg"", """"), ""-"", "", ""), """")"),"")</f>
        <v/>
      </c>
      <c r="L6094" s="12"/>
      <c r="M6094" s="13"/>
      <c r="N6094" s="2"/>
      <c r="O6094" s="20"/>
      <c r="P6094" s="42"/>
      <c r="R6094" s="23"/>
    </row>
    <row r="6095" spans="1:18" ht="12.75">
      <c r="A6095" s="12"/>
      <c r="D6095" s="12"/>
      <c r="E6095" s="12"/>
      <c r="H6095" s="11" t="str">
        <f ca="1">IFERROR(__xludf.DUMMYFUNCTION("IFERROR(SUBSTITUTE(SUBSTITUTE(REGEXEXTRACT(A6095, ""[^-]+- [^-]+- [^-]+ - (.+?)\.jpg""), "".jpg"", """"), ""-"", "", ""), """")"),"")</f>
        <v/>
      </c>
      <c r="L6095" s="12"/>
      <c r="M6095" s="13"/>
      <c r="N6095" s="2"/>
      <c r="O6095" s="20"/>
      <c r="P6095" s="42"/>
      <c r="R6095" s="23"/>
    </row>
    <row r="6096" spans="1:18" ht="12.75">
      <c r="A6096" s="12"/>
      <c r="D6096" s="12"/>
      <c r="E6096" s="12"/>
      <c r="H6096" s="11" t="str">
        <f ca="1">IFERROR(__xludf.DUMMYFUNCTION("IFERROR(SUBSTITUTE(SUBSTITUTE(REGEXEXTRACT(A6096, ""[^-]+- [^-]+- [^-]+ - (.+?)\.jpg""), "".jpg"", """"), ""-"", "", ""), """")"),"")</f>
        <v/>
      </c>
      <c r="L6096" s="12"/>
      <c r="M6096" s="13"/>
      <c r="N6096" s="2"/>
      <c r="O6096" s="20"/>
      <c r="P6096" s="42"/>
      <c r="R6096" s="23"/>
    </row>
    <row r="6097" spans="1:18" ht="12.75">
      <c r="A6097" s="12"/>
      <c r="D6097" s="12"/>
      <c r="E6097" s="12"/>
      <c r="H6097" s="11" t="str">
        <f ca="1">IFERROR(__xludf.DUMMYFUNCTION("IFERROR(SUBSTITUTE(SUBSTITUTE(REGEXEXTRACT(A6097, ""[^-]+- [^-]+- [^-]+ - (.+?)\.jpg""), "".jpg"", """"), ""-"", "", ""), """")"),"")</f>
        <v/>
      </c>
      <c r="L6097" s="12"/>
      <c r="M6097" s="13"/>
      <c r="N6097" s="2"/>
      <c r="O6097" s="20"/>
      <c r="P6097" s="42"/>
      <c r="R6097" s="23"/>
    </row>
    <row r="6098" spans="1:18" ht="12.75">
      <c r="A6098" s="12"/>
      <c r="D6098" s="12"/>
      <c r="E6098" s="12"/>
      <c r="H6098" s="11" t="str">
        <f ca="1">IFERROR(__xludf.DUMMYFUNCTION("IFERROR(SUBSTITUTE(SUBSTITUTE(REGEXEXTRACT(A6098, ""[^-]+- [^-]+- [^-]+ - (.+?)\.jpg""), "".jpg"", """"), ""-"", "", ""), """")"),"")</f>
        <v/>
      </c>
      <c r="L6098" s="12"/>
      <c r="M6098" s="13"/>
      <c r="N6098" s="2"/>
      <c r="O6098" s="20"/>
      <c r="P6098" s="42"/>
      <c r="R6098" s="23"/>
    </row>
    <row r="6099" spans="1:18" ht="12.75">
      <c r="A6099" s="12"/>
      <c r="D6099" s="12"/>
      <c r="E6099" s="12"/>
      <c r="H6099" s="11" t="str">
        <f ca="1">IFERROR(__xludf.DUMMYFUNCTION("IFERROR(SUBSTITUTE(SUBSTITUTE(REGEXEXTRACT(A6099, ""[^-]+- [^-]+- [^-]+ - (.+?)\.jpg""), "".jpg"", """"), ""-"", "", ""), """")"),"")</f>
        <v/>
      </c>
      <c r="L6099" s="12"/>
      <c r="M6099" s="13"/>
      <c r="N6099" s="2"/>
      <c r="O6099" s="20"/>
      <c r="P6099" s="42"/>
      <c r="R6099" s="23"/>
    </row>
    <row r="6100" spans="1:18" ht="12.75">
      <c r="A6100" s="12"/>
      <c r="D6100" s="12"/>
      <c r="E6100" s="12"/>
      <c r="H6100" s="11" t="str">
        <f ca="1">IFERROR(__xludf.DUMMYFUNCTION("IFERROR(SUBSTITUTE(SUBSTITUTE(REGEXEXTRACT(A6100, ""[^-]+- [^-]+- [^-]+ - (.+?)\.jpg""), "".jpg"", """"), ""-"", "", ""), """")"),"")</f>
        <v/>
      </c>
      <c r="L6100" s="12"/>
      <c r="M6100" s="13"/>
      <c r="N6100" s="2"/>
      <c r="O6100" s="20"/>
      <c r="P6100" s="42"/>
      <c r="R6100" s="23"/>
    </row>
    <row r="6101" spans="1:18" ht="12.75">
      <c r="A6101" s="12"/>
      <c r="D6101" s="12"/>
      <c r="E6101" s="12"/>
      <c r="H6101" s="11" t="str">
        <f ca="1">IFERROR(__xludf.DUMMYFUNCTION("IFERROR(SUBSTITUTE(SUBSTITUTE(REGEXEXTRACT(A6101, ""[^-]+- [^-]+- [^-]+ - (.+?)\.jpg""), "".jpg"", """"), ""-"", "", ""), """")"),"")</f>
        <v/>
      </c>
      <c r="L6101" s="12"/>
      <c r="M6101" s="13"/>
      <c r="N6101" s="2"/>
      <c r="O6101" s="20"/>
      <c r="P6101" s="42"/>
      <c r="R6101" s="23"/>
    </row>
    <row r="6102" spans="1:18" ht="12.75">
      <c r="A6102" s="12"/>
      <c r="D6102" s="12"/>
      <c r="E6102" s="12"/>
      <c r="H6102" s="11" t="str">
        <f ca="1">IFERROR(__xludf.DUMMYFUNCTION("IFERROR(SUBSTITUTE(SUBSTITUTE(REGEXEXTRACT(A6102, ""[^-]+- [^-]+- [^-]+ - (.+?)\.jpg""), "".jpg"", """"), ""-"", "", ""), """")"),"")</f>
        <v/>
      </c>
      <c r="L6102" s="12"/>
      <c r="M6102" s="13"/>
      <c r="N6102" s="2"/>
      <c r="O6102" s="20"/>
      <c r="P6102" s="42"/>
      <c r="R6102" s="23"/>
    </row>
    <row r="6103" spans="1:18" ht="12.75">
      <c r="A6103" s="12"/>
      <c r="D6103" s="12"/>
      <c r="E6103" s="12"/>
      <c r="H6103" s="11" t="str">
        <f ca="1">IFERROR(__xludf.DUMMYFUNCTION("IFERROR(SUBSTITUTE(SUBSTITUTE(REGEXEXTRACT(A6103, ""[^-]+- [^-]+- [^-]+ - (.+?)\.jpg""), "".jpg"", """"), ""-"", "", ""), """")"),"")</f>
        <v/>
      </c>
      <c r="L6103" s="12"/>
      <c r="M6103" s="13"/>
      <c r="N6103" s="2"/>
      <c r="O6103" s="20"/>
      <c r="P6103" s="42"/>
      <c r="R6103" s="23"/>
    </row>
    <row r="6104" spans="1:18" ht="12.75">
      <c r="A6104" s="12"/>
      <c r="D6104" s="12"/>
      <c r="E6104" s="12"/>
      <c r="H6104" s="11" t="str">
        <f ca="1">IFERROR(__xludf.DUMMYFUNCTION("IFERROR(SUBSTITUTE(SUBSTITUTE(REGEXEXTRACT(A6104, ""[^-]+- [^-]+- [^-]+ - (.+?)\.jpg""), "".jpg"", """"), ""-"", "", ""), """")"),"")</f>
        <v/>
      </c>
      <c r="L6104" s="12"/>
      <c r="M6104" s="13"/>
      <c r="N6104" s="2"/>
      <c r="O6104" s="20"/>
      <c r="P6104" s="42"/>
      <c r="R6104" s="23"/>
    </row>
    <row r="6105" spans="1:18" ht="12.75">
      <c r="A6105" s="12"/>
      <c r="D6105" s="12"/>
      <c r="E6105" s="12"/>
      <c r="H6105" s="11" t="str">
        <f ca="1">IFERROR(__xludf.DUMMYFUNCTION("IFERROR(SUBSTITUTE(SUBSTITUTE(REGEXEXTRACT(A6105, ""[^-]+- [^-]+- [^-]+ - (.+?)\.jpg""), "".jpg"", """"), ""-"", "", ""), """")"),"")</f>
        <v/>
      </c>
      <c r="L6105" s="12"/>
      <c r="M6105" s="13"/>
      <c r="N6105" s="2"/>
      <c r="O6105" s="20"/>
      <c r="P6105" s="42"/>
      <c r="R6105" s="23"/>
    </row>
    <row r="6106" spans="1:18" ht="12.75">
      <c r="A6106" s="12"/>
      <c r="D6106" s="12"/>
      <c r="E6106" s="12"/>
      <c r="H6106" s="11" t="str">
        <f ca="1">IFERROR(__xludf.DUMMYFUNCTION("IFERROR(SUBSTITUTE(SUBSTITUTE(REGEXEXTRACT(A6106, ""[^-]+- [^-]+- [^-]+ - (.+?)\.jpg""), "".jpg"", """"), ""-"", "", ""), """")"),"")</f>
        <v/>
      </c>
      <c r="L6106" s="12"/>
      <c r="M6106" s="13"/>
      <c r="N6106" s="2"/>
      <c r="O6106" s="20"/>
      <c r="P6106" s="42"/>
      <c r="R6106" s="23"/>
    </row>
    <row r="6107" spans="1:18" ht="12.75">
      <c r="A6107" s="12"/>
      <c r="D6107" s="12"/>
      <c r="E6107" s="12"/>
      <c r="H6107" s="11" t="str">
        <f ca="1">IFERROR(__xludf.DUMMYFUNCTION("IFERROR(SUBSTITUTE(SUBSTITUTE(REGEXEXTRACT(A6107, ""[^-]+- [^-]+- [^-]+ - (.+?)\.jpg""), "".jpg"", """"), ""-"", "", ""), """")"),"")</f>
        <v/>
      </c>
      <c r="L6107" s="12"/>
      <c r="M6107" s="13"/>
      <c r="N6107" s="2"/>
      <c r="O6107" s="20"/>
      <c r="P6107" s="42"/>
      <c r="R6107" s="23"/>
    </row>
    <row r="6108" spans="1:18" ht="12.75">
      <c r="A6108" s="12"/>
      <c r="D6108" s="12"/>
      <c r="E6108" s="12"/>
      <c r="H6108" s="11" t="str">
        <f ca="1">IFERROR(__xludf.DUMMYFUNCTION("IFERROR(SUBSTITUTE(SUBSTITUTE(REGEXEXTRACT(A6108, ""[^-]+- [^-]+- [^-]+ - (.+?)\.jpg""), "".jpg"", """"), ""-"", "", ""), """")"),"")</f>
        <v/>
      </c>
      <c r="L6108" s="12"/>
      <c r="M6108" s="13"/>
      <c r="N6108" s="2"/>
      <c r="O6108" s="20"/>
      <c r="P6108" s="42"/>
      <c r="R6108" s="23"/>
    </row>
    <row r="6109" spans="1:18" ht="12.75">
      <c r="A6109" s="12"/>
      <c r="D6109" s="12"/>
      <c r="E6109" s="12"/>
      <c r="H6109" s="11" t="str">
        <f ca="1">IFERROR(__xludf.DUMMYFUNCTION("IFERROR(SUBSTITUTE(SUBSTITUTE(REGEXEXTRACT(A6109, ""[^-]+- [^-]+- [^-]+ - (.+?)\.jpg""), "".jpg"", """"), ""-"", "", ""), """")"),"")</f>
        <v/>
      </c>
      <c r="L6109" s="12"/>
      <c r="M6109" s="13"/>
      <c r="N6109" s="2"/>
      <c r="O6109" s="20"/>
      <c r="P6109" s="42"/>
      <c r="R6109" s="23"/>
    </row>
    <row r="6110" spans="1:18" ht="12.75">
      <c r="A6110" s="12"/>
      <c r="D6110" s="12"/>
      <c r="E6110" s="12"/>
      <c r="H6110" s="11" t="str">
        <f ca="1">IFERROR(__xludf.DUMMYFUNCTION("IFERROR(SUBSTITUTE(SUBSTITUTE(REGEXEXTRACT(A6110, ""[^-]+- [^-]+- [^-]+ - (.+?)\.jpg""), "".jpg"", """"), ""-"", "", ""), """")"),"")</f>
        <v/>
      </c>
      <c r="L6110" s="12"/>
      <c r="M6110" s="13"/>
      <c r="N6110" s="2"/>
      <c r="O6110" s="20"/>
      <c r="P6110" s="42"/>
      <c r="R6110" s="23"/>
    </row>
    <row r="6111" spans="1:18" ht="12.75">
      <c r="A6111" s="12"/>
      <c r="D6111" s="12"/>
      <c r="E6111" s="12"/>
      <c r="H6111" s="11" t="str">
        <f ca="1">IFERROR(__xludf.DUMMYFUNCTION("IFERROR(SUBSTITUTE(SUBSTITUTE(REGEXEXTRACT(A6111, ""[^-]+- [^-]+- [^-]+ - (.+?)\.jpg""), "".jpg"", """"), ""-"", "", ""), """")"),"")</f>
        <v/>
      </c>
      <c r="L6111" s="12"/>
      <c r="M6111" s="13"/>
      <c r="N6111" s="2"/>
      <c r="O6111" s="20"/>
      <c r="P6111" s="42"/>
      <c r="R6111" s="23"/>
    </row>
    <row r="6112" spans="1:18" ht="12.75">
      <c r="A6112" s="12"/>
      <c r="D6112" s="12"/>
      <c r="E6112" s="12"/>
      <c r="H6112" s="11" t="str">
        <f ca="1">IFERROR(__xludf.DUMMYFUNCTION("IFERROR(SUBSTITUTE(SUBSTITUTE(REGEXEXTRACT(A6112, ""[^-]+- [^-]+- [^-]+ - (.+?)\.jpg""), "".jpg"", """"), ""-"", "", ""), """")"),"")</f>
        <v/>
      </c>
      <c r="L6112" s="12"/>
      <c r="M6112" s="13"/>
      <c r="N6112" s="2"/>
      <c r="O6112" s="20"/>
      <c r="P6112" s="42"/>
      <c r="R6112" s="23"/>
    </row>
    <row r="6113" spans="1:18" ht="12.75">
      <c r="A6113" s="12"/>
      <c r="D6113" s="12"/>
      <c r="E6113" s="12"/>
      <c r="H6113" s="11" t="str">
        <f ca="1">IFERROR(__xludf.DUMMYFUNCTION("IFERROR(SUBSTITUTE(SUBSTITUTE(REGEXEXTRACT(A6113, ""[^-]+- [^-]+- [^-]+ - (.+?)\.jpg""), "".jpg"", """"), ""-"", "", ""), """")"),"")</f>
        <v/>
      </c>
      <c r="L6113" s="12"/>
      <c r="M6113" s="13"/>
      <c r="N6113" s="2"/>
      <c r="O6113" s="20"/>
      <c r="P6113" s="42"/>
      <c r="R6113" s="23"/>
    </row>
    <row r="6114" spans="1:18" ht="12.75">
      <c r="A6114" s="12"/>
      <c r="D6114" s="12"/>
      <c r="E6114" s="12"/>
      <c r="H6114" s="11" t="str">
        <f ca="1">IFERROR(__xludf.DUMMYFUNCTION("IFERROR(SUBSTITUTE(SUBSTITUTE(REGEXEXTRACT(A6114, ""[^-]+- [^-]+- [^-]+ - (.+?)\.jpg""), "".jpg"", """"), ""-"", "", ""), """")"),"")</f>
        <v/>
      </c>
      <c r="L6114" s="12"/>
      <c r="M6114" s="13"/>
      <c r="N6114" s="2"/>
      <c r="O6114" s="20"/>
      <c r="P6114" s="42"/>
      <c r="R6114" s="23"/>
    </row>
    <row r="6115" spans="1:18" ht="12.75">
      <c r="A6115" s="12"/>
      <c r="D6115" s="12"/>
      <c r="E6115" s="12"/>
      <c r="H6115" s="11" t="str">
        <f ca="1">IFERROR(__xludf.DUMMYFUNCTION("IFERROR(SUBSTITUTE(SUBSTITUTE(REGEXEXTRACT(A6115, ""[^-]+- [^-]+- [^-]+ - (.+?)\.jpg""), "".jpg"", """"), ""-"", "", ""), """")"),"")</f>
        <v/>
      </c>
      <c r="L6115" s="12"/>
      <c r="M6115" s="13"/>
      <c r="N6115" s="2"/>
      <c r="O6115" s="20"/>
      <c r="P6115" s="42"/>
      <c r="R6115" s="23"/>
    </row>
    <row r="6116" spans="1:18" ht="12.75">
      <c r="A6116" s="12"/>
      <c r="D6116" s="12"/>
      <c r="E6116" s="12"/>
      <c r="H6116" s="11" t="str">
        <f ca="1">IFERROR(__xludf.DUMMYFUNCTION("IFERROR(SUBSTITUTE(SUBSTITUTE(REGEXEXTRACT(A6116, ""[^-]+- [^-]+- [^-]+ - (.+?)\.jpg""), "".jpg"", """"), ""-"", "", ""), """")"),"")</f>
        <v/>
      </c>
      <c r="L6116" s="12"/>
      <c r="M6116" s="13"/>
      <c r="N6116" s="2"/>
      <c r="O6116" s="20"/>
      <c r="P6116" s="42"/>
      <c r="R6116" s="23"/>
    </row>
    <row r="6117" spans="1:18" ht="12.75">
      <c r="A6117" s="12"/>
      <c r="D6117" s="12"/>
      <c r="E6117" s="12"/>
      <c r="H6117" s="11" t="str">
        <f ca="1">IFERROR(__xludf.DUMMYFUNCTION("IFERROR(SUBSTITUTE(SUBSTITUTE(REGEXEXTRACT(A6117, ""[^-]+- [^-]+- [^-]+ - (.+?)\.jpg""), "".jpg"", """"), ""-"", "", ""), """")"),"")</f>
        <v/>
      </c>
      <c r="L6117" s="12"/>
      <c r="M6117" s="13"/>
      <c r="N6117" s="2"/>
      <c r="O6117" s="20"/>
      <c r="P6117" s="42"/>
      <c r="R6117" s="23"/>
    </row>
    <row r="6118" spans="1:18" ht="12.75">
      <c r="A6118" s="12"/>
      <c r="D6118" s="12"/>
      <c r="E6118" s="12"/>
      <c r="H6118" s="11" t="str">
        <f ca="1">IFERROR(__xludf.DUMMYFUNCTION("IFERROR(SUBSTITUTE(SUBSTITUTE(REGEXEXTRACT(A6118, ""[^-]+- [^-]+- [^-]+ - (.+?)\.jpg""), "".jpg"", """"), ""-"", "", ""), """")"),"")</f>
        <v/>
      </c>
      <c r="L6118" s="12"/>
      <c r="M6118" s="13"/>
      <c r="N6118" s="2"/>
      <c r="O6118" s="20"/>
      <c r="P6118" s="42"/>
      <c r="R6118" s="23"/>
    </row>
    <row r="6119" spans="1:18" ht="12.75">
      <c r="A6119" s="12"/>
      <c r="D6119" s="12"/>
      <c r="E6119" s="12"/>
      <c r="H6119" s="11" t="str">
        <f ca="1">IFERROR(__xludf.DUMMYFUNCTION("IFERROR(SUBSTITUTE(SUBSTITUTE(REGEXEXTRACT(A6119, ""[^-]+- [^-]+- [^-]+ - (.+?)\.jpg""), "".jpg"", """"), ""-"", "", ""), """")"),"")</f>
        <v/>
      </c>
      <c r="L6119" s="12"/>
      <c r="M6119" s="13"/>
      <c r="N6119" s="2"/>
      <c r="O6119" s="20"/>
      <c r="P6119" s="42"/>
      <c r="R6119" s="23"/>
    </row>
    <row r="6120" spans="1:18" ht="12.75">
      <c r="A6120" s="12"/>
      <c r="D6120" s="12"/>
      <c r="E6120" s="12"/>
      <c r="H6120" s="11" t="str">
        <f ca="1">IFERROR(__xludf.DUMMYFUNCTION("IFERROR(SUBSTITUTE(SUBSTITUTE(REGEXEXTRACT(A6120, ""[^-]+- [^-]+- [^-]+ - (.+?)\.jpg""), "".jpg"", """"), ""-"", "", ""), """")"),"")</f>
        <v/>
      </c>
      <c r="L6120" s="12"/>
      <c r="M6120" s="13"/>
      <c r="N6120" s="2"/>
      <c r="O6120" s="20"/>
      <c r="P6120" s="42"/>
      <c r="R6120" s="23"/>
    </row>
    <row r="6121" spans="1:18" ht="12.75">
      <c r="A6121" s="12"/>
      <c r="D6121" s="12"/>
      <c r="E6121" s="12"/>
      <c r="H6121" s="11" t="str">
        <f ca="1">IFERROR(__xludf.DUMMYFUNCTION("IFERROR(SUBSTITUTE(SUBSTITUTE(REGEXEXTRACT(A6121, ""[^-]+- [^-]+- [^-]+ - (.+?)\.jpg""), "".jpg"", """"), ""-"", "", ""), """")"),"")</f>
        <v/>
      </c>
      <c r="L6121" s="12"/>
      <c r="M6121" s="13"/>
      <c r="N6121" s="2"/>
      <c r="O6121" s="20"/>
      <c r="P6121" s="42"/>
      <c r="R6121" s="23"/>
    </row>
    <row r="6122" spans="1:18" ht="12.75">
      <c r="A6122" s="12"/>
      <c r="D6122" s="12"/>
      <c r="E6122" s="12"/>
      <c r="H6122" s="11" t="str">
        <f ca="1">IFERROR(__xludf.DUMMYFUNCTION("IFERROR(SUBSTITUTE(SUBSTITUTE(REGEXEXTRACT(A6122, ""[^-]+- [^-]+- [^-]+ - (.+?)\.jpg""), "".jpg"", """"), ""-"", "", ""), """")"),"")</f>
        <v/>
      </c>
      <c r="L6122" s="12"/>
      <c r="M6122" s="13"/>
      <c r="N6122" s="2"/>
      <c r="O6122" s="20"/>
      <c r="P6122" s="42"/>
      <c r="R6122" s="23"/>
    </row>
    <row r="6123" spans="1:18" ht="12.75">
      <c r="A6123" s="12"/>
      <c r="D6123" s="12"/>
      <c r="E6123" s="12"/>
      <c r="H6123" s="11" t="str">
        <f ca="1">IFERROR(__xludf.DUMMYFUNCTION("IFERROR(SUBSTITUTE(SUBSTITUTE(REGEXEXTRACT(A6123, ""[^-]+- [^-]+- [^-]+ - (.+?)\.jpg""), "".jpg"", """"), ""-"", "", ""), """")"),"")</f>
        <v/>
      </c>
      <c r="L6123" s="12"/>
      <c r="M6123" s="13"/>
      <c r="N6123" s="2"/>
      <c r="O6123" s="20"/>
      <c r="P6123" s="42"/>
      <c r="R6123" s="23"/>
    </row>
    <row r="6124" spans="1:18" ht="12.75">
      <c r="A6124" s="12"/>
      <c r="D6124" s="12"/>
      <c r="E6124" s="12"/>
      <c r="H6124" s="11" t="str">
        <f ca="1">IFERROR(__xludf.DUMMYFUNCTION("IFERROR(SUBSTITUTE(SUBSTITUTE(REGEXEXTRACT(A6124, ""[^-]+- [^-]+- [^-]+ - (.+?)\.jpg""), "".jpg"", """"), ""-"", "", ""), """")"),"")</f>
        <v/>
      </c>
      <c r="L6124" s="12"/>
      <c r="M6124" s="13"/>
      <c r="N6124" s="2"/>
      <c r="O6124" s="20"/>
      <c r="P6124" s="42"/>
      <c r="R6124" s="23"/>
    </row>
    <row r="6125" spans="1:18" ht="12.75">
      <c r="A6125" s="12"/>
      <c r="D6125" s="12"/>
      <c r="E6125" s="12"/>
      <c r="H6125" s="11" t="str">
        <f ca="1">IFERROR(__xludf.DUMMYFUNCTION("IFERROR(SUBSTITUTE(SUBSTITUTE(REGEXEXTRACT(A6125, ""[^-]+- [^-]+- [^-]+ - (.+?)\.jpg""), "".jpg"", """"), ""-"", "", ""), """")"),"")</f>
        <v/>
      </c>
      <c r="L6125" s="12"/>
      <c r="M6125" s="13"/>
      <c r="N6125" s="2"/>
      <c r="O6125" s="20"/>
      <c r="P6125" s="42"/>
      <c r="R6125" s="23"/>
    </row>
    <row r="6126" spans="1:18" ht="12.75">
      <c r="A6126" s="12"/>
      <c r="D6126" s="12"/>
      <c r="E6126" s="12"/>
      <c r="H6126" s="11" t="str">
        <f ca="1">IFERROR(__xludf.DUMMYFUNCTION("IFERROR(SUBSTITUTE(SUBSTITUTE(REGEXEXTRACT(A6126, ""[^-]+- [^-]+- [^-]+ - (.+?)\.jpg""), "".jpg"", """"), ""-"", "", ""), """")"),"")</f>
        <v/>
      </c>
      <c r="L6126" s="12"/>
      <c r="M6126" s="13"/>
      <c r="N6126" s="2"/>
      <c r="O6126" s="20"/>
      <c r="P6126" s="42"/>
      <c r="R6126" s="23"/>
    </row>
    <row r="6127" spans="1:18" ht="12.75">
      <c r="A6127" s="12"/>
      <c r="D6127" s="12"/>
      <c r="E6127" s="12"/>
      <c r="H6127" s="11" t="str">
        <f ca="1">IFERROR(__xludf.DUMMYFUNCTION("IFERROR(SUBSTITUTE(SUBSTITUTE(REGEXEXTRACT(A6127, ""[^-]+- [^-]+- [^-]+ - (.+?)\.jpg""), "".jpg"", """"), ""-"", "", ""), """")"),"")</f>
        <v/>
      </c>
      <c r="L6127" s="12"/>
      <c r="M6127" s="13"/>
      <c r="N6127" s="2"/>
      <c r="O6127" s="20"/>
      <c r="P6127" s="42"/>
      <c r="R6127" s="23"/>
    </row>
    <row r="6128" spans="1:18" ht="12.75">
      <c r="A6128" s="12"/>
      <c r="D6128" s="12"/>
      <c r="E6128" s="12"/>
      <c r="H6128" s="11" t="str">
        <f ca="1">IFERROR(__xludf.DUMMYFUNCTION("IFERROR(SUBSTITUTE(SUBSTITUTE(REGEXEXTRACT(A6128, ""[^-]+- [^-]+- [^-]+ - (.+?)\.jpg""), "".jpg"", """"), ""-"", "", ""), """")"),"")</f>
        <v/>
      </c>
      <c r="L6128" s="12"/>
      <c r="M6128" s="13"/>
      <c r="N6128" s="2"/>
      <c r="O6128" s="20"/>
      <c r="P6128" s="42"/>
      <c r="R6128" s="23"/>
    </row>
    <row r="6129" spans="1:18" ht="12.75">
      <c r="A6129" s="12"/>
      <c r="D6129" s="12"/>
      <c r="E6129" s="12"/>
      <c r="H6129" s="11" t="str">
        <f ca="1">IFERROR(__xludf.DUMMYFUNCTION("IFERROR(SUBSTITUTE(SUBSTITUTE(REGEXEXTRACT(A6129, ""[^-]+- [^-]+- [^-]+ - (.+?)\.jpg""), "".jpg"", """"), ""-"", "", ""), """")"),"")</f>
        <v/>
      </c>
      <c r="L6129" s="12"/>
      <c r="M6129" s="13"/>
      <c r="N6129" s="2"/>
      <c r="O6129" s="20"/>
      <c r="P6129" s="42"/>
      <c r="R6129" s="23"/>
    </row>
    <row r="6130" spans="1:18" ht="12.75">
      <c r="A6130" s="12"/>
      <c r="D6130" s="12"/>
      <c r="E6130" s="12"/>
      <c r="H6130" s="11" t="str">
        <f ca="1">IFERROR(__xludf.DUMMYFUNCTION("IFERROR(SUBSTITUTE(SUBSTITUTE(REGEXEXTRACT(A6130, ""[^-]+- [^-]+- [^-]+ - (.+?)\.jpg""), "".jpg"", """"), ""-"", "", ""), """")"),"")</f>
        <v/>
      </c>
      <c r="L6130" s="12"/>
      <c r="M6130" s="13"/>
      <c r="N6130" s="2"/>
      <c r="O6130" s="20"/>
      <c r="P6130" s="42"/>
      <c r="R6130" s="23"/>
    </row>
    <row r="6131" spans="1:18" ht="12.75">
      <c r="A6131" s="12"/>
      <c r="D6131" s="12"/>
      <c r="E6131" s="12"/>
      <c r="H6131" s="11" t="str">
        <f ca="1">IFERROR(__xludf.DUMMYFUNCTION("IFERROR(SUBSTITUTE(SUBSTITUTE(REGEXEXTRACT(A6131, ""[^-]+- [^-]+- [^-]+ - (.+?)\.jpg""), "".jpg"", """"), ""-"", "", ""), """")"),"")</f>
        <v/>
      </c>
      <c r="L6131" s="12"/>
      <c r="M6131" s="13"/>
      <c r="N6131" s="2"/>
      <c r="O6131" s="20"/>
      <c r="P6131" s="42"/>
      <c r="R6131" s="23"/>
    </row>
    <row r="6132" spans="1:18" ht="12.75">
      <c r="A6132" s="12"/>
      <c r="D6132" s="12"/>
      <c r="E6132" s="12"/>
      <c r="H6132" s="11" t="str">
        <f ca="1">IFERROR(__xludf.DUMMYFUNCTION("IFERROR(SUBSTITUTE(SUBSTITUTE(REGEXEXTRACT(A6132, ""[^-]+- [^-]+- [^-]+ - (.+?)\.jpg""), "".jpg"", """"), ""-"", "", ""), """")"),"")</f>
        <v/>
      </c>
      <c r="L6132" s="12"/>
      <c r="M6132" s="13"/>
      <c r="N6132" s="2"/>
      <c r="O6132" s="20"/>
      <c r="P6132" s="42"/>
      <c r="R6132" s="23"/>
    </row>
    <row r="6133" spans="1:18" ht="12.75">
      <c r="A6133" s="12"/>
      <c r="D6133" s="12"/>
      <c r="E6133" s="12"/>
      <c r="H6133" s="11" t="str">
        <f ca="1">IFERROR(__xludf.DUMMYFUNCTION("IFERROR(SUBSTITUTE(SUBSTITUTE(REGEXEXTRACT(A6133, ""[^-]+- [^-]+- [^-]+ - (.+?)\.jpg""), "".jpg"", """"), ""-"", "", ""), """")"),"")</f>
        <v/>
      </c>
      <c r="L6133" s="12"/>
      <c r="M6133" s="13"/>
      <c r="N6133" s="2"/>
      <c r="O6133" s="20"/>
      <c r="P6133" s="42"/>
      <c r="R6133" s="23"/>
    </row>
    <row r="6134" spans="1:18" ht="12.75">
      <c r="A6134" s="12"/>
      <c r="D6134" s="12"/>
      <c r="E6134" s="12"/>
      <c r="H6134" s="11" t="str">
        <f ca="1">IFERROR(__xludf.DUMMYFUNCTION("IFERROR(SUBSTITUTE(SUBSTITUTE(REGEXEXTRACT(A6134, ""[^-]+- [^-]+- [^-]+ - (.+?)\.jpg""), "".jpg"", """"), ""-"", "", ""), """")"),"")</f>
        <v/>
      </c>
      <c r="L6134" s="12"/>
      <c r="M6134" s="13"/>
      <c r="N6134" s="2"/>
      <c r="O6134" s="20"/>
      <c r="P6134" s="42"/>
      <c r="R6134" s="23"/>
    </row>
    <row r="6135" spans="1:18" ht="12.75">
      <c r="A6135" s="12"/>
      <c r="D6135" s="12"/>
      <c r="E6135" s="12"/>
      <c r="H6135" s="11" t="str">
        <f ca="1">IFERROR(__xludf.DUMMYFUNCTION("IFERROR(SUBSTITUTE(SUBSTITUTE(REGEXEXTRACT(A6135, ""[^-]+- [^-]+- [^-]+ - (.+?)\.jpg""), "".jpg"", """"), ""-"", "", ""), """")"),"")</f>
        <v/>
      </c>
      <c r="L6135" s="12"/>
      <c r="M6135" s="13"/>
      <c r="N6135" s="2"/>
      <c r="O6135" s="20"/>
      <c r="P6135" s="42"/>
      <c r="R6135" s="23"/>
    </row>
    <row r="6136" spans="1:18" ht="12.75">
      <c r="A6136" s="12"/>
      <c r="D6136" s="12"/>
      <c r="E6136" s="12"/>
      <c r="H6136" s="11" t="str">
        <f ca="1">IFERROR(__xludf.DUMMYFUNCTION("IFERROR(SUBSTITUTE(SUBSTITUTE(REGEXEXTRACT(A6136, ""[^-]+- [^-]+- [^-]+ - (.+?)\.jpg""), "".jpg"", """"), ""-"", "", ""), """")"),"")</f>
        <v/>
      </c>
      <c r="L6136" s="12"/>
      <c r="M6136" s="13"/>
      <c r="N6136" s="2"/>
      <c r="O6136" s="20"/>
      <c r="P6136" s="42"/>
      <c r="R6136" s="23"/>
    </row>
    <row r="6137" spans="1:18" ht="12.75">
      <c r="A6137" s="12"/>
      <c r="D6137" s="12"/>
      <c r="E6137" s="12"/>
      <c r="H6137" s="11" t="str">
        <f ca="1">IFERROR(__xludf.DUMMYFUNCTION("IFERROR(SUBSTITUTE(SUBSTITUTE(REGEXEXTRACT(A6137, ""[^-]+- [^-]+- [^-]+ - (.+?)\.jpg""), "".jpg"", """"), ""-"", "", ""), """")"),"")</f>
        <v/>
      </c>
      <c r="L6137" s="12"/>
      <c r="M6137" s="13"/>
      <c r="N6137" s="2"/>
      <c r="O6137" s="20"/>
      <c r="P6137" s="42"/>
      <c r="R6137" s="23"/>
    </row>
    <row r="6138" spans="1:18" ht="12.75">
      <c r="A6138" s="12"/>
      <c r="D6138" s="12"/>
      <c r="E6138" s="12"/>
      <c r="H6138" s="11" t="str">
        <f ca="1">IFERROR(__xludf.DUMMYFUNCTION("IFERROR(SUBSTITUTE(SUBSTITUTE(REGEXEXTRACT(A6138, ""[^-]+- [^-]+- [^-]+ - (.+?)\.jpg""), "".jpg"", """"), ""-"", "", ""), """")"),"")</f>
        <v/>
      </c>
      <c r="L6138" s="12"/>
      <c r="M6138" s="13"/>
      <c r="N6138" s="2"/>
      <c r="O6138" s="20"/>
      <c r="P6138" s="42"/>
      <c r="R6138" s="23"/>
    </row>
    <row r="6139" spans="1:18" ht="12.75">
      <c r="A6139" s="12"/>
      <c r="D6139" s="12"/>
      <c r="E6139" s="12"/>
      <c r="H6139" s="11" t="str">
        <f ca="1">IFERROR(__xludf.DUMMYFUNCTION("IFERROR(SUBSTITUTE(SUBSTITUTE(REGEXEXTRACT(A6139, ""[^-]+- [^-]+- [^-]+ - (.+?)\.jpg""), "".jpg"", """"), ""-"", "", ""), """")"),"")</f>
        <v/>
      </c>
      <c r="L6139" s="12"/>
      <c r="M6139" s="13"/>
      <c r="N6139" s="2"/>
      <c r="O6139" s="20"/>
      <c r="P6139" s="42"/>
      <c r="R6139" s="23"/>
    </row>
    <row r="6140" spans="1:18" ht="12.75">
      <c r="A6140" s="12"/>
      <c r="D6140" s="12"/>
      <c r="E6140" s="12"/>
      <c r="H6140" s="11" t="str">
        <f ca="1">IFERROR(__xludf.DUMMYFUNCTION("IFERROR(SUBSTITUTE(SUBSTITUTE(REGEXEXTRACT(A6140, ""[^-]+- [^-]+- [^-]+ - (.+?)\.jpg""), "".jpg"", """"), ""-"", "", ""), """")"),"")</f>
        <v/>
      </c>
      <c r="L6140" s="12"/>
      <c r="M6140" s="13"/>
      <c r="N6140" s="2"/>
      <c r="O6140" s="20"/>
      <c r="P6140" s="42"/>
      <c r="R6140" s="23"/>
    </row>
    <row r="6141" spans="1:18" ht="12.75">
      <c r="A6141" s="12"/>
      <c r="D6141" s="12"/>
      <c r="E6141" s="12"/>
      <c r="H6141" s="11" t="str">
        <f ca="1">IFERROR(__xludf.DUMMYFUNCTION("IFERROR(SUBSTITUTE(SUBSTITUTE(REGEXEXTRACT(A6141, ""[^-]+- [^-]+- [^-]+ - (.+?)\.jpg""), "".jpg"", """"), ""-"", "", ""), """")"),"")</f>
        <v/>
      </c>
      <c r="L6141" s="12"/>
      <c r="M6141" s="13"/>
      <c r="N6141" s="2"/>
      <c r="O6141" s="20"/>
      <c r="P6141" s="42"/>
      <c r="R6141" s="23"/>
    </row>
    <row r="6142" spans="1:18" ht="12.75">
      <c r="A6142" s="12"/>
      <c r="D6142" s="12"/>
      <c r="E6142" s="12"/>
      <c r="H6142" s="11" t="str">
        <f ca="1">IFERROR(__xludf.DUMMYFUNCTION("IFERROR(SUBSTITUTE(SUBSTITUTE(REGEXEXTRACT(A6142, ""[^-]+- [^-]+- [^-]+ - (.+?)\.jpg""), "".jpg"", """"), ""-"", "", ""), """")"),"")</f>
        <v/>
      </c>
      <c r="L6142" s="12"/>
      <c r="M6142" s="13"/>
      <c r="N6142" s="2"/>
      <c r="O6142" s="20"/>
      <c r="P6142" s="42"/>
      <c r="R6142" s="23"/>
    </row>
    <row r="6143" spans="1:18" ht="12.75">
      <c r="A6143" s="12"/>
      <c r="D6143" s="12"/>
      <c r="E6143" s="12"/>
      <c r="H6143" s="11" t="str">
        <f ca="1">IFERROR(__xludf.DUMMYFUNCTION("IFERROR(SUBSTITUTE(SUBSTITUTE(REGEXEXTRACT(A6143, ""[^-]+- [^-]+- [^-]+ - (.+?)\.jpg""), "".jpg"", """"), ""-"", "", ""), """")"),"")</f>
        <v/>
      </c>
      <c r="L6143" s="12"/>
      <c r="M6143" s="13"/>
      <c r="N6143" s="2"/>
      <c r="O6143" s="20"/>
      <c r="P6143" s="42"/>
      <c r="R6143" s="23"/>
    </row>
    <row r="6144" spans="1:18" ht="12.75">
      <c r="A6144" s="12"/>
      <c r="D6144" s="12"/>
      <c r="E6144" s="12"/>
      <c r="H6144" s="11" t="str">
        <f ca="1">IFERROR(__xludf.DUMMYFUNCTION("IFERROR(SUBSTITUTE(SUBSTITUTE(REGEXEXTRACT(A6144, ""[^-]+- [^-]+- [^-]+ - (.+?)\.jpg""), "".jpg"", """"), ""-"", "", ""), """")"),"")</f>
        <v/>
      </c>
      <c r="L6144" s="12"/>
      <c r="M6144" s="13"/>
      <c r="N6144" s="2"/>
      <c r="O6144" s="20"/>
      <c r="P6144" s="42"/>
      <c r="R6144" s="23"/>
    </row>
    <row r="6145" spans="1:18" ht="12.75">
      <c r="A6145" s="12"/>
      <c r="D6145" s="12"/>
      <c r="E6145" s="12"/>
      <c r="H6145" s="11" t="str">
        <f ca="1">IFERROR(__xludf.DUMMYFUNCTION("IFERROR(SUBSTITUTE(SUBSTITUTE(REGEXEXTRACT(A6145, ""[^-]+- [^-]+- [^-]+ - (.+?)\.jpg""), "".jpg"", """"), ""-"", "", ""), """")"),"")</f>
        <v/>
      </c>
      <c r="L6145" s="12"/>
      <c r="M6145" s="13"/>
      <c r="N6145" s="2"/>
      <c r="O6145" s="20"/>
      <c r="P6145" s="42"/>
      <c r="R6145" s="23"/>
    </row>
    <row r="6146" spans="1:18" ht="12.75">
      <c r="A6146" s="12"/>
      <c r="D6146" s="12"/>
      <c r="E6146" s="12"/>
      <c r="H6146" s="11" t="str">
        <f ca="1">IFERROR(__xludf.DUMMYFUNCTION("IFERROR(SUBSTITUTE(SUBSTITUTE(REGEXEXTRACT(A6146, ""[^-]+- [^-]+- [^-]+ - (.+?)\.jpg""), "".jpg"", """"), ""-"", "", ""), """")"),"")</f>
        <v/>
      </c>
      <c r="L6146" s="12"/>
      <c r="M6146" s="13"/>
      <c r="N6146" s="2"/>
      <c r="O6146" s="20"/>
      <c r="P6146" s="42"/>
      <c r="R6146" s="23"/>
    </row>
    <row r="6147" spans="1:18" ht="12.75">
      <c r="A6147" s="12"/>
      <c r="D6147" s="12"/>
      <c r="E6147" s="12"/>
      <c r="H6147" s="11" t="str">
        <f ca="1">IFERROR(__xludf.DUMMYFUNCTION("IFERROR(SUBSTITUTE(SUBSTITUTE(REGEXEXTRACT(A6147, ""[^-]+- [^-]+- [^-]+ - (.+?)\.jpg""), "".jpg"", """"), ""-"", "", ""), """")"),"")</f>
        <v/>
      </c>
      <c r="L6147" s="12"/>
      <c r="M6147" s="13"/>
      <c r="N6147" s="2"/>
      <c r="O6147" s="20"/>
      <c r="P6147" s="42"/>
      <c r="R6147" s="23"/>
    </row>
    <row r="6148" spans="1:18" ht="12.75">
      <c r="A6148" s="12"/>
      <c r="D6148" s="12"/>
      <c r="E6148" s="12"/>
      <c r="H6148" s="11" t="str">
        <f ca="1">IFERROR(__xludf.DUMMYFUNCTION("IFERROR(SUBSTITUTE(SUBSTITUTE(REGEXEXTRACT(A6148, ""[^-]+- [^-]+- [^-]+ - (.+?)\.jpg""), "".jpg"", """"), ""-"", "", ""), """")"),"")</f>
        <v/>
      </c>
      <c r="L6148" s="12"/>
      <c r="M6148" s="13"/>
      <c r="N6148" s="2"/>
      <c r="O6148" s="20"/>
      <c r="P6148" s="42"/>
      <c r="R6148" s="23"/>
    </row>
    <row r="6149" spans="1:18" ht="12.75">
      <c r="A6149" s="12"/>
      <c r="D6149" s="12"/>
      <c r="E6149" s="12"/>
      <c r="H6149" s="11" t="str">
        <f ca="1">IFERROR(__xludf.DUMMYFUNCTION("IFERROR(SUBSTITUTE(SUBSTITUTE(REGEXEXTRACT(A6149, ""[^-]+- [^-]+- [^-]+ - (.+?)\.jpg""), "".jpg"", """"), ""-"", "", ""), """")"),"")</f>
        <v/>
      </c>
      <c r="L6149" s="12"/>
      <c r="M6149" s="13"/>
      <c r="N6149" s="2"/>
      <c r="O6149" s="20"/>
      <c r="P6149" s="42"/>
      <c r="R6149" s="23"/>
    </row>
    <row r="6150" spans="1:18" ht="12.75">
      <c r="A6150" s="12"/>
      <c r="D6150" s="12"/>
      <c r="E6150" s="12"/>
      <c r="H6150" s="11" t="str">
        <f ca="1">IFERROR(__xludf.DUMMYFUNCTION("IFERROR(SUBSTITUTE(SUBSTITUTE(REGEXEXTRACT(A6150, ""[^-]+- [^-]+- [^-]+ - (.+?)\.jpg""), "".jpg"", """"), ""-"", "", ""), """")"),"")</f>
        <v/>
      </c>
      <c r="L6150" s="12"/>
      <c r="M6150" s="13"/>
      <c r="N6150" s="2"/>
      <c r="O6150" s="20"/>
      <c r="P6150" s="42"/>
      <c r="R6150" s="23"/>
    </row>
    <row r="6151" spans="1:18" ht="12.75">
      <c r="A6151" s="12"/>
      <c r="D6151" s="12"/>
      <c r="E6151" s="12"/>
      <c r="H6151" s="11" t="str">
        <f ca="1">IFERROR(__xludf.DUMMYFUNCTION("IFERROR(SUBSTITUTE(SUBSTITUTE(REGEXEXTRACT(A6151, ""[^-]+- [^-]+- [^-]+ - (.+?)\.jpg""), "".jpg"", """"), ""-"", "", ""), """")"),"")</f>
        <v/>
      </c>
      <c r="L6151" s="12"/>
      <c r="M6151" s="13"/>
      <c r="N6151" s="2"/>
      <c r="O6151" s="20"/>
      <c r="P6151" s="42"/>
      <c r="R6151" s="23"/>
    </row>
    <row r="6152" spans="1:18" ht="12.75">
      <c r="A6152" s="12"/>
      <c r="D6152" s="12"/>
      <c r="E6152" s="12"/>
      <c r="H6152" s="11" t="str">
        <f ca="1">IFERROR(__xludf.DUMMYFUNCTION("IFERROR(SUBSTITUTE(SUBSTITUTE(REGEXEXTRACT(A6152, ""[^-]+- [^-]+- [^-]+ - (.+?)\.jpg""), "".jpg"", """"), ""-"", "", ""), """")"),"")</f>
        <v/>
      </c>
      <c r="L6152" s="12"/>
      <c r="M6152" s="13"/>
      <c r="N6152" s="2"/>
      <c r="O6152" s="20"/>
      <c r="P6152" s="42"/>
      <c r="R6152" s="23"/>
    </row>
    <row r="6153" spans="1:18" ht="12.75">
      <c r="A6153" s="12"/>
      <c r="D6153" s="12"/>
      <c r="E6153" s="12"/>
      <c r="H6153" s="11" t="str">
        <f ca="1">IFERROR(__xludf.DUMMYFUNCTION("IFERROR(SUBSTITUTE(SUBSTITUTE(REGEXEXTRACT(A6153, ""[^-]+- [^-]+- [^-]+ - (.+?)\.jpg""), "".jpg"", """"), ""-"", "", ""), """")"),"")</f>
        <v/>
      </c>
      <c r="L6153" s="12"/>
      <c r="M6153" s="13"/>
      <c r="N6153" s="2"/>
      <c r="O6153" s="20"/>
      <c r="P6153" s="42"/>
      <c r="R6153" s="23"/>
    </row>
    <row r="6154" spans="1:18" ht="12.75">
      <c r="A6154" s="12"/>
      <c r="D6154" s="12"/>
      <c r="E6154" s="12"/>
      <c r="H6154" s="11" t="str">
        <f ca="1">IFERROR(__xludf.DUMMYFUNCTION("IFERROR(SUBSTITUTE(SUBSTITUTE(REGEXEXTRACT(A6154, ""[^-]+- [^-]+- [^-]+ - (.+?)\.jpg""), "".jpg"", """"), ""-"", "", ""), """")"),"")</f>
        <v/>
      </c>
      <c r="L6154" s="12"/>
      <c r="M6154" s="13"/>
      <c r="N6154" s="2"/>
      <c r="O6154" s="20"/>
      <c r="P6154" s="42"/>
      <c r="R6154" s="23"/>
    </row>
    <row r="6155" spans="1:18" ht="12.75">
      <c r="A6155" s="12"/>
      <c r="D6155" s="12"/>
      <c r="E6155" s="12"/>
      <c r="H6155" s="11" t="str">
        <f ca="1">IFERROR(__xludf.DUMMYFUNCTION("IFERROR(SUBSTITUTE(SUBSTITUTE(REGEXEXTRACT(A6155, ""[^-]+- [^-]+- [^-]+ - (.+?)\.jpg""), "".jpg"", """"), ""-"", "", ""), """")"),"")</f>
        <v/>
      </c>
      <c r="L6155" s="12"/>
      <c r="M6155" s="13"/>
      <c r="N6155" s="2"/>
      <c r="O6155" s="20"/>
      <c r="P6155" s="42"/>
      <c r="R6155" s="23"/>
    </row>
    <row r="6156" spans="1:18" ht="12.75">
      <c r="A6156" s="12"/>
      <c r="D6156" s="12"/>
      <c r="E6156" s="12"/>
      <c r="H6156" s="11" t="str">
        <f ca="1">IFERROR(__xludf.DUMMYFUNCTION("IFERROR(SUBSTITUTE(SUBSTITUTE(REGEXEXTRACT(A6156, ""[^-]+- [^-]+- [^-]+ - (.+?)\.jpg""), "".jpg"", """"), ""-"", "", ""), """")"),"")</f>
        <v/>
      </c>
      <c r="L6156" s="12"/>
      <c r="M6156" s="13"/>
      <c r="N6156" s="2"/>
      <c r="O6156" s="20"/>
      <c r="P6156" s="42"/>
      <c r="R6156" s="23"/>
    </row>
    <row r="6157" spans="1:18" ht="12.75">
      <c r="A6157" s="12"/>
      <c r="D6157" s="12"/>
      <c r="E6157" s="12"/>
      <c r="H6157" s="11" t="str">
        <f ca="1">IFERROR(__xludf.DUMMYFUNCTION("IFERROR(SUBSTITUTE(SUBSTITUTE(REGEXEXTRACT(A6157, ""[^-]+- [^-]+- [^-]+ - (.+?)\.jpg""), "".jpg"", """"), ""-"", "", ""), """")"),"")</f>
        <v/>
      </c>
      <c r="L6157" s="12"/>
      <c r="M6157" s="13"/>
      <c r="N6157" s="2"/>
      <c r="O6157" s="20"/>
      <c r="P6157" s="42"/>
      <c r="R6157" s="23"/>
    </row>
    <row r="6158" spans="1:18" ht="12.75">
      <c r="A6158" s="12"/>
      <c r="D6158" s="12"/>
      <c r="E6158" s="12"/>
      <c r="H6158" s="11" t="str">
        <f ca="1">IFERROR(__xludf.DUMMYFUNCTION("IFERROR(SUBSTITUTE(SUBSTITUTE(REGEXEXTRACT(A6158, ""[^-]+- [^-]+- [^-]+ - (.+?)\.jpg""), "".jpg"", """"), ""-"", "", ""), """")"),"")</f>
        <v/>
      </c>
      <c r="L6158" s="12"/>
      <c r="M6158" s="13"/>
      <c r="N6158" s="2"/>
      <c r="O6158" s="20"/>
      <c r="P6158" s="42"/>
      <c r="R6158" s="23"/>
    </row>
    <row r="6159" spans="1:18" ht="12.75">
      <c r="A6159" s="12"/>
      <c r="D6159" s="12"/>
      <c r="E6159" s="12"/>
      <c r="H6159" s="11" t="str">
        <f ca="1">IFERROR(__xludf.DUMMYFUNCTION("IFERROR(SUBSTITUTE(SUBSTITUTE(REGEXEXTRACT(A6159, ""[^-]+- [^-]+- [^-]+ - (.+?)\.jpg""), "".jpg"", """"), ""-"", "", ""), """")"),"")</f>
        <v/>
      </c>
      <c r="L6159" s="12"/>
      <c r="M6159" s="13"/>
      <c r="N6159" s="2"/>
      <c r="O6159" s="20"/>
      <c r="P6159" s="42"/>
      <c r="R6159" s="23"/>
    </row>
    <row r="6160" spans="1:18" ht="12.75">
      <c r="A6160" s="12"/>
      <c r="D6160" s="12"/>
      <c r="E6160" s="12"/>
      <c r="H6160" s="11" t="str">
        <f ca="1">IFERROR(__xludf.DUMMYFUNCTION("IFERROR(SUBSTITUTE(SUBSTITUTE(REGEXEXTRACT(A6160, ""[^-]+- [^-]+- [^-]+ - (.+?)\.jpg""), "".jpg"", """"), ""-"", "", ""), """")"),"")</f>
        <v/>
      </c>
      <c r="L6160" s="12"/>
      <c r="M6160" s="13"/>
      <c r="N6160" s="2"/>
      <c r="O6160" s="20"/>
      <c r="P6160" s="42"/>
      <c r="R6160" s="23"/>
    </row>
    <row r="6161" spans="1:18" ht="12.75">
      <c r="A6161" s="12"/>
      <c r="D6161" s="12"/>
      <c r="E6161" s="12"/>
      <c r="H6161" s="11" t="str">
        <f ca="1">IFERROR(__xludf.DUMMYFUNCTION("IFERROR(SUBSTITUTE(SUBSTITUTE(REGEXEXTRACT(A6161, ""[^-]+- [^-]+- [^-]+ - (.+?)\.jpg""), "".jpg"", """"), ""-"", "", ""), """")"),"")</f>
        <v/>
      </c>
      <c r="L6161" s="12"/>
      <c r="M6161" s="13"/>
      <c r="N6161" s="2"/>
      <c r="O6161" s="20"/>
      <c r="P6161" s="42"/>
      <c r="R6161" s="23"/>
    </row>
    <row r="6162" spans="1:18" ht="12.75">
      <c r="A6162" s="12"/>
      <c r="D6162" s="12"/>
      <c r="E6162" s="12"/>
      <c r="H6162" s="11" t="str">
        <f ca="1">IFERROR(__xludf.DUMMYFUNCTION("IFERROR(SUBSTITUTE(SUBSTITUTE(REGEXEXTRACT(A6162, ""[^-]+- [^-]+- [^-]+ - (.+?)\.jpg""), "".jpg"", """"), ""-"", "", ""), """")"),"")</f>
        <v/>
      </c>
      <c r="L6162" s="12"/>
      <c r="M6162" s="13"/>
      <c r="N6162" s="2"/>
      <c r="O6162" s="20"/>
      <c r="P6162" s="42"/>
      <c r="R6162" s="23"/>
    </row>
    <row r="6163" spans="1:18" ht="12.75">
      <c r="A6163" s="12"/>
      <c r="D6163" s="12"/>
      <c r="E6163" s="12"/>
      <c r="H6163" s="11" t="str">
        <f ca="1">IFERROR(__xludf.DUMMYFUNCTION("IFERROR(SUBSTITUTE(SUBSTITUTE(REGEXEXTRACT(A6163, ""[^-]+- [^-]+- [^-]+ - (.+?)\.jpg""), "".jpg"", """"), ""-"", "", ""), """")"),"")</f>
        <v/>
      </c>
      <c r="L6163" s="12"/>
      <c r="M6163" s="13"/>
      <c r="N6163" s="2"/>
      <c r="O6163" s="20"/>
      <c r="P6163" s="42"/>
      <c r="R6163" s="23"/>
    </row>
    <row r="6164" spans="1:18" ht="12.75">
      <c r="A6164" s="12"/>
      <c r="D6164" s="12"/>
      <c r="E6164" s="12"/>
      <c r="H6164" s="11" t="str">
        <f ca="1">IFERROR(__xludf.DUMMYFUNCTION("IFERROR(SUBSTITUTE(SUBSTITUTE(REGEXEXTRACT(A6164, ""[^-]+- [^-]+- [^-]+ - (.+?)\.jpg""), "".jpg"", """"), ""-"", "", ""), """")"),"")</f>
        <v/>
      </c>
      <c r="L6164" s="12"/>
      <c r="M6164" s="13"/>
      <c r="N6164" s="2"/>
      <c r="O6164" s="20"/>
      <c r="P6164" s="42"/>
      <c r="R6164" s="23"/>
    </row>
    <row r="6165" spans="1:18" ht="12.75">
      <c r="A6165" s="12"/>
      <c r="D6165" s="12"/>
      <c r="E6165" s="12"/>
      <c r="H6165" s="11" t="str">
        <f ca="1">IFERROR(__xludf.DUMMYFUNCTION("IFERROR(SUBSTITUTE(SUBSTITUTE(REGEXEXTRACT(A6165, ""[^-]+- [^-]+- [^-]+ - (.+?)\.jpg""), "".jpg"", """"), ""-"", "", ""), """")"),"")</f>
        <v/>
      </c>
      <c r="L6165" s="12"/>
      <c r="M6165" s="13"/>
      <c r="N6165" s="2"/>
      <c r="O6165" s="20"/>
      <c r="P6165" s="42"/>
      <c r="R6165" s="23"/>
    </row>
    <row r="6166" spans="1:18" ht="12.75">
      <c r="A6166" s="12"/>
      <c r="D6166" s="12"/>
      <c r="E6166" s="12"/>
      <c r="H6166" s="11" t="str">
        <f ca="1">IFERROR(__xludf.DUMMYFUNCTION("IFERROR(SUBSTITUTE(SUBSTITUTE(REGEXEXTRACT(A6166, ""[^-]+- [^-]+- [^-]+ - (.+?)\.jpg""), "".jpg"", """"), ""-"", "", ""), """")"),"")</f>
        <v/>
      </c>
      <c r="L6166" s="12"/>
      <c r="M6166" s="13"/>
      <c r="N6166" s="2"/>
      <c r="O6166" s="20"/>
      <c r="P6166" s="42"/>
      <c r="R6166" s="23"/>
    </row>
    <row r="6167" spans="1:18" ht="12.75">
      <c r="A6167" s="12"/>
      <c r="D6167" s="12"/>
      <c r="E6167" s="12"/>
      <c r="H6167" s="11" t="str">
        <f ca="1">IFERROR(__xludf.DUMMYFUNCTION("IFERROR(SUBSTITUTE(SUBSTITUTE(REGEXEXTRACT(A6167, ""[^-]+- [^-]+- [^-]+ - (.+?)\.jpg""), "".jpg"", """"), ""-"", "", ""), """")"),"")</f>
        <v/>
      </c>
      <c r="L6167" s="12"/>
      <c r="M6167" s="13"/>
      <c r="N6167" s="2"/>
      <c r="O6167" s="20"/>
      <c r="P6167" s="42"/>
      <c r="R6167" s="23"/>
    </row>
    <row r="6168" spans="1:18" ht="12.75">
      <c r="A6168" s="12"/>
      <c r="D6168" s="12"/>
      <c r="E6168" s="12"/>
      <c r="H6168" s="11" t="str">
        <f ca="1">IFERROR(__xludf.DUMMYFUNCTION("IFERROR(SUBSTITUTE(SUBSTITUTE(REGEXEXTRACT(A6168, ""[^-]+- [^-]+- [^-]+ - (.+?)\.jpg""), "".jpg"", """"), ""-"", "", ""), """")"),"")</f>
        <v/>
      </c>
      <c r="L6168" s="12"/>
      <c r="M6168" s="13"/>
      <c r="N6168" s="2"/>
      <c r="O6168" s="20"/>
      <c r="P6168" s="42"/>
      <c r="R6168" s="23"/>
    </row>
    <row r="6169" spans="1:18" ht="12.75">
      <c r="A6169" s="12"/>
      <c r="D6169" s="12"/>
      <c r="E6169" s="12"/>
      <c r="H6169" s="11" t="str">
        <f ca="1">IFERROR(__xludf.DUMMYFUNCTION("IFERROR(SUBSTITUTE(SUBSTITUTE(REGEXEXTRACT(A6169, ""[^-]+- [^-]+- [^-]+ - (.+?)\.jpg""), "".jpg"", """"), ""-"", "", ""), """")"),"")</f>
        <v/>
      </c>
      <c r="L6169" s="12"/>
      <c r="M6169" s="13"/>
      <c r="N6169" s="2"/>
      <c r="O6169" s="20"/>
      <c r="P6169" s="42"/>
      <c r="R6169" s="23"/>
    </row>
    <row r="6170" spans="1:18" ht="12.75">
      <c r="A6170" s="12"/>
      <c r="D6170" s="12"/>
      <c r="E6170" s="12"/>
      <c r="H6170" s="11" t="str">
        <f ca="1">IFERROR(__xludf.DUMMYFUNCTION("IFERROR(SUBSTITUTE(SUBSTITUTE(REGEXEXTRACT(A6170, ""[^-]+- [^-]+- [^-]+ - (.+?)\.jpg""), "".jpg"", """"), ""-"", "", ""), """")"),"")</f>
        <v/>
      </c>
      <c r="L6170" s="12"/>
      <c r="M6170" s="13"/>
      <c r="N6170" s="2"/>
      <c r="O6170" s="20"/>
      <c r="P6170" s="42"/>
      <c r="R6170" s="23"/>
    </row>
    <row r="6171" spans="1:18" ht="12.75">
      <c r="A6171" s="12"/>
      <c r="D6171" s="12"/>
      <c r="E6171" s="12"/>
      <c r="H6171" s="11" t="str">
        <f ca="1">IFERROR(__xludf.DUMMYFUNCTION("IFERROR(SUBSTITUTE(SUBSTITUTE(REGEXEXTRACT(A6171, ""[^-]+- [^-]+- [^-]+ - (.+?)\.jpg""), "".jpg"", """"), ""-"", "", ""), """")"),"")</f>
        <v/>
      </c>
      <c r="L6171" s="12"/>
      <c r="M6171" s="13"/>
      <c r="N6171" s="2"/>
      <c r="O6171" s="20"/>
      <c r="P6171" s="42"/>
      <c r="R6171" s="23"/>
    </row>
    <row r="6172" spans="1:18" ht="12.75">
      <c r="A6172" s="12"/>
      <c r="D6172" s="12"/>
      <c r="E6172" s="12"/>
      <c r="H6172" s="11" t="str">
        <f ca="1">IFERROR(__xludf.DUMMYFUNCTION("IFERROR(SUBSTITUTE(SUBSTITUTE(REGEXEXTRACT(A6172, ""[^-]+- [^-]+- [^-]+ - (.+?)\.jpg""), "".jpg"", """"), ""-"", "", ""), """")"),"")</f>
        <v/>
      </c>
      <c r="L6172" s="12"/>
      <c r="M6172" s="13"/>
      <c r="N6172" s="2"/>
      <c r="O6172" s="20"/>
      <c r="P6172" s="42"/>
      <c r="R6172" s="23"/>
    </row>
    <row r="6173" spans="1:18" ht="12.75">
      <c r="A6173" s="12"/>
      <c r="D6173" s="12"/>
      <c r="E6173" s="12"/>
      <c r="H6173" s="11" t="str">
        <f ca="1">IFERROR(__xludf.DUMMYFUNCTION("IFERROR(SUBSTITUTE(SUBSTITUTE(REGEXEXTRACT(A6173, ""[^-]+- [^-]+- [^-]+ - (.+?)\.jpg""), "".jpg"", """"), ""-"", "", ""), """")"),"")</f>
        <v/>
      </c>
      <c r="L6173" s="12"/>
      <c r="M6173" s="13"/>
      <c r="N6173" s="2"/>
      <c r="O6173" s="20"/>
      <c r="P6173" s="42"/>
      <c r="R6173" s="23"/>
    </row>
    <row r="6174" spans="1:18" ht="12.75">
      <c r="A6174" s="12"/>
      <c r="D6174" s="12"/>
      <c r="E6174" s="12"/>
      <c r="H6174" s="11" t="str">
        <f ca="1">IFERROR(__xludf.DUMMYFUNCTION("IFERROR(SUBSTITUTE(SUBSTITUTE(REGEXEXTRACT(A6174, ""[^-]+- [^-]+- [^-]+ - (.+?)\.jpg""), "".jpg"", """"), ""-"", "", ""), """")"),"")</f>
        <v/>
      </c>
      <c r="L6174" s="12"/>
      <c r="M6174" s="13"/>
      <c r="N6174" s="2"/>
      <c r="O6174" s="20"/>
      <c r="P6174" s="42"/>
      <c r="R6174" s="23"/>
    </row>
    <row r="6175" spans="1:18" ht="12.75">
      <c r="A6175" s="12"/>
      <c r="D6175" s="12"/>
      <c r="E6175" s="12"/>
      <c r="H6175" s="11" t="str">
        <f ca="1">IFERROR(__xludf.DUMMYFUNCTION("IFERROR(SUBSTITUTE(SUBSTITUTE(REGEXEXTRACT(A6175, ""[^-]+- [^-]+- [^-]+ - (.+?)\.jpg""), "".jpg"", """"), ""-"", "", ""), """")"),"")</f>
        <v/>
      </c>
      <c r="L6175" s="12"/>
      <c r="M6175" s="13"/>
      <c r="N6175" s="2"/>
      <c r="O6175" s="20"/>
      <c r="P6175" s="42"/>
      <c r="R6175" s="23"/>
    </row>
    <row r="6176" spans="1:18" ht="12.75">
      <c r="A6176" s="12"/>
      <c r="D6176" s="12"/>
      <c r="E6176" s="12"/>
      <c r="H6176" s="11" t="str">
        <f ca="1">IFERROR(__xludf.DUMMYFUNCTION("IFERROR(SUBSTITUTE(SUBSTITUTE(REGEXEXTRACT(A6176, ""[^-]+- [^-]+- [^-]+ - (.+?)\.jpg""), "".jpg"", """"), ""-"", "", ""), """")"),"")</f>
        <v/>
      </c>
      <c r="L6176" s="12"/>
      <c r="M6176" s="13"/>
      <c r="N6176" s="2"/>
      <c r="O6176" s="20"/>
      <c r="P6176" s="42"/>
      <c r="R6176" s="23"/>
    </row>
    <row r="6177" spans="1:18" ht="12.75">
      <c r="A6177" s="12"/>
      <c r="D6177" s="12"/>
      <c r="E6177" s="12"/>
      <c r="H6177" s="11" t="str">
        <f ca="1">IFERROR(__xludf.DUMMYFUNCTION("IFERROR(SUBSTITUTE(SUBSTITUTE(REGEXEXTRACT(A6177, ""[^-]+- [^-]+- [^-]+ - (.+?)\.jpg""), "".jpg"", """"), ""-"", "", ""), """")"),"")</f>
        <v/>
      </c>
      <c r="L6177" s="12"/>
      <c r="M6177" s="13"/>
      <c r="N6177" s="2"/>
      <c r="O6177" s="20"/>
      <c r="P6177" s="42"/>
      <c r="R6177" s="23"/>
    </row>
    <row r="6178" spans="1:18" ht="12.75">
      <c r="A6178" s="12"/>
      <c r="D6178" s="12"/>
      <c r="E6178" s="12"/>
      <c r="H6178" s="11" t="str">
        <f ca="1">IFERROR(__xludf.DUMMYFUNCTION("IFERROR(SUBSTITUTE(SUBSTITUTE(REGEXEXTRACT(A6178, ""[^-]+- [^-]+- [^-]+ - (.+?)\.jpg""), "".jpg"", """"), ""-"", "", ""), """")"),"")</f>
        <v/>
      </c>
      <c r="L6178" s="12"/>
      <c r="M6178" s="13"/>
      <c r="N6178" s="2"/>
      <c r="O6178" s="20"/>
      <c r="P6178" s="42"/>
      <c r="R6178" s="23"/>
    </row>
    <row r="6179" spans="1:18" ht="12.75">
      <c r="A6179" s="12"/>
      <c r="D6179" s="12"/>
      <c r="E6179" s="12"/>
      <c r="H6179" s="11" t="str">
        <f ca="1">IFERROR(__xludf.DUMMYFUNCTION("IFERROR(SUBSTITUTE(SUBSTITUTE(REGEXEXTRACT(A6179, ""[^-]+- [^-]+- [^-]+ - (.+?)\.jpg""), "".jpg"", """"), ""-"", "", ""), """")"),"")</f>
        <v/>
      </c>
      <c r="L6179" s="12"/>
      <c r="M6179" s="13"/>
      <c r="N6179" s="2"/>
      <c r="O6179" s="20"/>
      <c r="P6179" s="42"/>
      <c r="R6179" s="23"/>
    </row>
    <row r="6180" spans="1:18" ht="12.75">
      <c r="A6180" s="12"/>
      <c r="D6180" s="12"/>
      <c r="E6180" s="12"/>
      <c r="H6180" s="11" t="str">
        <f ca="1">IFERROR(__xludf.DUMMYFUNCTION("IFERROR(SUBSTITUTE(SUBSTITUTE(REGEXEXTRACT(A6180, ""[^-]+- [^-]+- [^-]+ - (.+?)\.jpg""), "".jpg"", """"), ""-"", "", ""), """")"),"")</f>
        <v/>
      </c>
      <c r="L6180" s="12"/>
      <c r="M6180" s="13"/>
      <c r="N6180" s="2"/>
      <c r="O6180" s="20"/>
      <c r="P6180" s="42"/>
      <c r="R6180" s="23"/>
    </row>
    <row r="6181" spans="1:18" ht="12.75">
      <c r="A6181" s="12"/>
      <c r="D6181" s="12"/>
      <c r="E6181" s="12"/>
      <c r="H6181" s="11" t="str">
        <f ca="1">IFERROR(__xludf.DUMMYFUNCTION("IFERROR(SUBSTITUTE(SUBSTITUTE(REGEXEXTRACT(A6181, ""[^-]+- [^-]+- [^-]+ - (.+?)\.jpg""), "".jpg"", """"), ""-"", "", ""), """")"),"")</f>
        <v/>
      </c>
      <c r="L6181" s="12"/>
      <c r="M6181" s="13"/>
      <c r="N6181" s="2"/>
      <c r="O6181" s="20"/>
      <c r="P6181" s="42"/>
      <c r="R6181" s="23"/>
    </row>
    <row r="6182" spans="1:18" ht="12.75">
      <c r="A6182" s="12"/>
      <c r="D6182" s="12"/>
      <c r="E6182" s="12"/>
      <c r="H6182" s="11" t="str">
        <f ca="1">IFERROR(__xludf.DUMMYFUNCTION("IFERROR(SUBSTITUTE(SUBSTITUTE(REGEXEXTRACT(A6182, ""[^-]+- [^-]+- [^-]+ - (.+?)\.jpg""), "".jpg"", """"), ""-"", "", ""), """")"),"")</f>
        <v/>
      </c>
      <c r="L6182" s="12"/>
      <c r="M6182" s="13"/>
      <c r="N6182" s="2"/>
      <c r="O6182" s="20"/>
      <c r="P6182" s="42"/>
      <c r="R6182" s="23"/>
    </row>
    <row r="6183" spans="1:18" ht="12.75">
      <c r="A6183" s="12"/>
      <c r="D6183" s="12"/>
      <c r="E6183" s="12"/>
      <c r="H6183" s="11" t="str">
        <f ca="1">IFERROR(__xludf.DUMMYFUNCTION("IFERROR(SUBSTITUTE(SUBSTITUTE(REGEXEXTRACT(A6183, ""[^-]+- [^-]+- [^-]+ - (.+?)\.jpg""), "".jpg"", """"), ""-"", "", ""), """")"),"")</f>
        <v/>
      </c>
      <c r="L6183" s="12"/>
      <c r="M6183" s="13"/>
      <c r="N6183" s="2"/>
      <c r="O6183" s="20"/>
      <c r="P6183" s="42"/>
      <c r="R6183" s="23"/>
    </row>
    <row r="6184" spans="1:18" ht="12.75">
      <c r="A6184" s="12"/>
      <c r="D6184" s="12"/>
      <c r="E6184" s="12"/>
      <c r="H6184" s="11" t="str">
        <f ca="1">IFERROR(__xludf.DUMMYFUNCTION("IFERROR(SUBSTITUTE(SUBSTITUTE(REGEXEXTRACT(A6184, ""[^-]+- [^-]+- [^-]+ - (.+?)\.jpg""), "".jpg"", """"), ""-"", "", ""), """")"),"")</f>
        <v/>
      </c>
      <c r="L6184" s="12"/>
      <c r="M6184" s="13"/>
      <c r="N6184" s="2"/>
      <c r="O6184" s="20"/>
      <c r="P6184" s="42"/>
      <c r="R6184" s="23"/>
    </row>
    <row r="6185" spans="1:18" ht="12.75">
      <c r="A6185" s="12"/>
      <c r="D6185" s="12"/>
      <c r="E6185" s="12"/>
      <c r="H6185" s="11" t="str">
        <f ca="1">IFERROR(__xludf.DUMMYFUNCTION("IFERROR(SUBSTITUTE(SUBSTITUTE(REGEXEXTRACT(A6185, ""[^-]+- [^-]+- [^-]+ - (.+?)\.jpg""), "".jpg"", """"), ""-"", "", ""), """")"),"")</f>
        <v/>
      </c>
      <c r="L6185" s="12"/>
      <c r="M6185" s="13"/>
      <c r="N6185" s="2"/>
      <c r="O6185" s="20"/>
      <c r="P6185" s="42"/>
      <c r="R6185" s="23"/>
    </row>
    <row r="6186" spans="1:18" ht="12.75">
      <c r="A6186" s="12"/>
      <c r="D6186" s="12"/>
      <c r="E6186" s="12"/>
      <c r="H6186" s="11" t="str">
        <f ca="1">IFERROR(__xludf.DUMMYFUNCTION("IFERROR(SUBSTITUTE(SUBSTITUTE(REGEXEXTRACT(A6186, ""[^-]+- [^-]+- [^-]+ - (.+?)\.jpg""), "".jpg"", """"), ""-"", "", ""), """")"),"")</f>
        <v/>
      </c>
      <c r="L6186" s="12"/>
      <c r="M6186" s="13"/>
      <c r="N6186" s="2"/>
      <c r="O6186" s="20"/>
      <c r="P6186" s="42"/>
      <c r="R6186" s="23"/>
    </row>
    <row r="6187" spans="1:18" ht="12.75">
      <c r="A6187" s="12"/>
      <c r="D6187" s="12"/>
      <c r="E6187" s="12"/>
      <c r="H6187" s="11" t="str">
        <f ca="1">IFERROR(__xludf.DUMMYFUNCTION("IFERROR(SUBSTITUTE(SUBSTITUTE(REGEXEXTRACT(A6187, ""[^-]+- [^-]+- [^-]+ - (.+?)\.jpg""), "".jpg"", """"), ""-"", "", ""), """")"),"")</f>
        <v/>
      </c>
      <c r="L6187" s="12"/>
      <c r="M6187" s="13"/>
      <c r="N6187" s="2"/>
      <c r="O6187" s="20"/>
      <c r="P6187" s="42"/>
      <c r="R6187" s="23"/>
    </row>
    <row r="6188" spans="1:18" ht="12.75">
      <c r="A6188" s="12"/>
      <c r="D6188" s="12"/>
      <c r="E6188" s="12"/>
      <c r="H6188" s="11" t="str">
        <f ca="1">IFERROR(__xludf.DUMMYFUNCTION("IFERROR(SUBSTITUTE(SUBSTITUTE(REGEXEXTRACT(A6188, ""[^-]+- [^-]+- [^-]+ - (.+?)\.jpg""), "".jpg"", """"), ""-"", "", ""), """")"),"")</f>
        <v/>
      </c>
      <c r="L6188" s="12"/>
      <c r="M6188" s="13"/>
      <c r="N6188" s="2"/>
      <c r="O6188" s="20"/>
      <c r="P6188" s="42"/>
      <c r="R6188" s="23"/>
    </row>
    <row r="6189" spans="1:18" ht="12.75">
      <c r="A6189" s="12"/>
      <c r="D6189" s="12"/>
      <c r="E6189" s="12"/>
      <c r="H6189" s="11" t="str">
        <f ca="1">IFERROR(__xludf.DUMMYFUNCTION("IFERROR(SUBSTITUTE(SUBSTITUTE(REGEXEXTRACT(A6189, ""[^-]+- [^-]+- [^-]+ - (.+?)\.jpg""), "".jpg"", """"), ""-"", "", ""), """")"),"")</f>
        <v/>
      </c>
      <c r="L6189" s="12"/>
      <c r="M6189" s="13"/>
      <c r="N6189" s="2"/>
      <c r="O6189" s="20"/>
      <c r="P6189" s="42"/>
      <c r="R6189" s="23"/>
    </row>
    <row r="6190" spans="1:18" ht="12.75">
      <c r="A6190" s="12"/>
      <c r="D6190" s="12"/>
      <c r="E6190" s="12"/>
      <c r="H6190" s="11" t="str">
        <f ca="1">IFERROR(__xludf.DUMMYFUNCTION("IFERROR(SUBSTITUTE(SUBSTITUTE(REGEXEXTRACT(A6190, ""[^-]+- [^-]+- [^-]+ - (.+?)\.jpg""), "".jpg"", """"), ""-"", "", ""), """")"),"")</f>
        <v/>
      </c>
      <c r="L6190" s="12"/>
      <c r="M6190" s="13"/>
      <c r="N6190" s="2"/>
      <c r="O6190" s="20"/>
      <c r="P6190" s="42"/>
      <c r="R6190" s="23"/>
    </row>
    <row r="6191" spans="1:18" ht="12.75">
      <c r="A6191" s="12"/>
      <c r="D6191" s="12"/>
      <c r="E6191" s="12"/>
      <c r="H6191" s="11" t="str">
        <f ca="1">IFERROR(__xludf.DUMMYFUNCTION("IFERROR(SUBSTITUTE(SUBSTITUTE(REGEXEXTRACT(A6191, ""[^-]+- [^-]+- [^-]+ - (.+?)\.jpg""), "".jpg"", """"), ""-"", "", ""), """")"),"")</f>
        <v/>
      </c>
      <c r="L6191" s="12"/>
      <c r="M6191" s="13"/>
      <c r="N6191" s="2"/>
      <c r="O6191" s="20"/>
      <c r="P6191" s="42"/>
      <c r="R6191" s="23"/>
    </row>
    <row r="6192" spans="1:18" ht="12.75">
      <c r="A6192" s="12"/>
      <c r="D6192" s="12"/>
      <c r="E6192" s="12"/>
      <c r="H6192" s="11" t="str">
        <f ca="1">IFERROR(__xludf.DUMMYFUNCTION("IFERROR(SUBSTITUTE(SUBSTITUTE(REGEXEXTRACT(A6192, ""[^-]+- [^-]+- [^-]+ - (.+?)\.jpg""), "".jpg"", """"), ""-"", "", ""), """")"),"")</f>
        <v/>
      </c>
      <c r="L6192" s="12"/>
      <c r="M6192" s="13"/>
      <c r="N6192" s="2"/>
      <c r="O6192" s="20"/>
      <c r="P6192" s="42"/>
      <c r="R6192" s="23"/>
    </row>
    <row r="6193" spans="1:18" ht="12.75">
      <c r="A6193" s="12"/>
      <c r="D6193" s="12"/>
      <c r="E6193" s="12"/>
      <c r="H6193" s="11" t="str">
        <f ca="1">IFERROR(__xludf.DUMMYFUNCTION("IFERROR(SUBSTITUTE(SUBSTITUTE(REGEXEXTRACT(A6193, ""[^-]+- [^-]+- [^-]+ - (.+?)\.jpg""), "".jpg"", """"), ""-"", "", ""), """")"),"")</f>
        <v/>
      </c>
      <c r="L6193" s="12"/>
      <c r="M6193" s="13"/>
      <c r="N6193" s="2"/>
      <c r="O6193" s="20"/>
      <c r="P6193" s="42"/>
      <c r="R6193" s="23"/>
    </row>
    <row r="6194" spans="1:18" ht="12.75">
      <c r="A6194" s="12"/>
      <c r="D6194" s="12"/>
      <c r="E6194" s="12"/>
      <c r="H6194" s="11" t="str">
        <f ca="1">IFERROR(__xludf.DUMMYFUNCTION("IFERROR(SUBSTITUTE(SUBSTITUTE(REGEXEXTRACT(A6194, ""[^-]+- [^-]+- [^-]+ - (.+?)\.jpg""), "".jpg"", """"), ""-"", "", ""), """")"),"")</f>
        <v/>
      </c>
      <c r="L6194" s="12"/>
      <c r="M6194" s="13"/>
      <c r="N6194" s="2"/>
      <c r="O6194" s="20"/>
      <c r="P6194" s="42"/>
      <c r="R6194" s="23"/>
    </row>
    <row r="6195" spans="1:18" ht="12.75">
      <c r="A6195" s="12"/>
      <c r="D6195" s="12"/>
      <c r="E6195" s="12"/>
      <c r="H6195" s="11" t="str">
        <f ca="1">IFERROR(__xludf.DUMMYFUNCTION("IFERROR(SUBSTITUTE(SUBSTITUTE(REGEXEXTRACT(A6195, ""[^-]+- [^-]+- [^-]+ - (.+?)\.jpg""), "".jpg"", """"), ""-"", "", ""), """")"),"")</f>
        <v/>
      </c>
      <c r="L6195" s="12"/>
      <c r="M6195" s="13"/>
      <c r="N6195" s="2"/>
      <c r="O6195" s="20"/>
      <c r="P6195" s="42"/>
      <c r="R6195" s="23"/>
    </row>
    <row r="6196" spans="1:18" ht="12.75">
      <c r="A6196" s="12"/>
      <c r="D6196" s="12"/>
      <c r="E6196" s="12"/>
      <c r="H6196" s="11" t="str">
        <f ca="1">IFERROR(__xludf.DUMMYFUNCTION("IFERROR(SUBSTITUTE(SUBSTITUTE(REGEXEXTRACT(A6196, ""[^-]+- [^-]+- [^-]+ - (.+?)\.jpg""), "".jpg"", """"), ""-"", "", ""), """")"),"")</f>
        <v/>
      </c>
      <c r="L6196" s="12"/>
      <c r="M6196" s="13"/>
      <c r="N6196" s="2"/>
      <c r="O6196" s="20"/>
      <c r="P6196" s="42"/>
      <c r="R6196" s="23"/>
    </row>
    <row r="6197" spans="1:18" ht="12.75">
      <c r="A6197" s="12"/>
      <c r="D6197" s="12"/>
      <c r="E6197" s="12"/>
      <c r="H6197" s="11" t="str">
        <f ca="1">IFERROR(__xludf.DUMMYFUNCTION("IFERROR(SUBSTITUTE(SUBSTITUTE(REGEXEXTRACT(A6197, ""[^-]+- [^-]+- [^-]+ - (.+?)\.jpg""), "".jpg"", """"), ""-"", "", ""), """")"),"")</f>
        <v/>
      </c>
      <c r="L6197" s="12"/>
      <c r="M6197" s="13"/>
      <c r="N6197" s="2"/>
      <c r="O6197" s="20"/>
      <c r="P6197" s="42"/>
      <c r="R6197" s="23"/>
    </row>
    <row r="6198" spans="1:18" ht="12.75">
      <c r="A6198" s="12"/>
      <c r="D6198" s="12"/>
      <c r="E6198" s="12"/>
      <c r="H6198" s="11" t="str">
        <f ca="1">IFERROR(__xludf.DUMMYFUNCTION("IFERROR(SUBSTITUTE(SUBSTITUTE(REGEXEXTRACT(A6198, ""[^-]+- [^-]+- [^-]+ - (.+?)\.jpg""), "".jpg"", """"), ""-"", "", ""), """")"),"")</f>
        <v/>
      </c>
      <c r="L6198" s="12"/>
      <c r="M6198" s="13"/>
      <c r="N6198" s="2"/>
      <c r="O6198" s="20"/>
      <c r="P6198" s="42"/>
      <c r="R6198" s="23"/>
    </row>
    <row r="6199" spans="1:18" ht="12.75">
      <c r="A6199" s="12"/>
      <c r="D6199" s="12"/>
      <c r="E6199" s="12"/>
      <c r="H6199" s="11" t="str">
        <f ca="1">IFERROR(__xludf.DUMMYFUNCTION("IFERROR(SUBSTITUTE(SUBSTITUTE(REGEXEXTRACT(A6199, ""[^-]+- [^-]+- [^-]+ - (.+?)\.jpg""), "".jpg"", """"), ""-"", "", ""), """")"),"")</f>
        <v/>
      </c>
      <c r="L6199" s="12"/>
      <c r="M6199" s="13"/>
      <c r="N6199" s="2"/>
      <c r="O6199" s="20"/>
      <c r="P6199" s="42"/>
      <c r="R6199" s="23"/>
    </row>
    <row r="6200" spans="1:18" ht="12.75">
      <c r="A6200" s="12"/>
      <c r="D6200" s="12"/>
      <c r="E6200" s="12"/>
      <c r="H6200" s="11" t="str">
        <f ca="1">IFERROR(__xludf.DUMMYFUNCTION("IFERROR(SUBSTITUTE(SUBSTITUTE(REGEXEXTRACT(A6200, ""[^-]+- [^-]+- [^-]+ - (.+?)\.jpg""), "".jpg"", """"), ""-"", "", ""), """")"),"")</f>
        <v/>
      </c>
      <c r="L6200" s="12"/>
      <c r="M6200" s="13"/>
      <c r="N6200" s="2"/>
      <c r="O6200" s="20"/>
      <c r="P6200" s="42"/>
      <c r="R6200" s="23"/>
    </row>
    <row r="6201" spans="1:18" ht="12.75">
      <c r="A6201" s="12"/>
      <c r="D6201" s="12"/>
      <c r="E6201" s="12"/>
      <c r="H6201" s="11" t="str">
        <f ca="1">IFERROR(__xludf.DUMMYFUNCTION("IFERROR(SUBSTITUTE(SUBSTITUTE(REGEXEXTRACT(A6201, ""[^-]+- [^-]+- [^-]+ - (.+?)\.jpg""), "".jpg"", """"), ""-"", "", ""), """")"),"")</f>
        <v/>
      </c>
      <c r="L6201" s="12"/>
      <c r="M6201" s="13"/>
      <c r="N6201" s="2"/>
      <c r="O6201" s="20"/>
      <c r="P6201" s="42"/>
      <c r="R6201" s="23"/>
    </row>
    <row r="6202" spans="1:18" ht="12.75">
      <c r="A6202" s="12"/>
      <c r="D6202" s="12"/>
      <c r="E6202" s="12"/>
      <c r="H6202" s="11" t="str">
        <f ca="1">IFERROR(__xludf.DUMMYFUNCTION("IFERROR(SUBSTITUTE(SUBSTITUTE(REGEXEXTRACT(A6202, ""[^-]+- [^-]+- [^-]+ - (.+?)\.jpg""), "".jpg"", """"), ""-"", "", ""), """")"),"")</f>
        <v/>
      </c>
      <c r="L6202" s="12"/>
      <c r="M6202" s="13"/>
      <c r="N6202" s="2"/>
      <c r="O6202" s="20"/>
      <c r="P6202" s="42"/>
      <c r="R6202" s="23"/>
    </row>
    <row r="6203" spans="1:18" ht="12.75">
      <c r="A6203" s="12"/>
      <c r="D6203" s="12"/>
      <c r="E6203" s="12"/>
      <c r="H6203" s="11" t="str">
        <f ca="1">IFERROR(__xludf.DUMMYFUNCTION("IFERROR(SUBSTITUTE(SUBSTITUTE(REGEXEXTRACT(A6203, ""[^-]+- [^-]+- [^-]+ - (.+?)\.jpg""), "".jpg"", """"), ""-"", "", ""), """")"),"")</f>
        <v/>
      </c>
      <c r="L6203" s="12"/>
      <c r="M6203" s="13"/>
      <c r="N6203" s="2"/>
      <c r="O6203" s="20"/>
      <c r="P6203" s="42"/>
      <c r="R6203" s="23"/>
    </row>
    <row r="6204" spans="1:18" ht="12.75">
      <c r="A6204" s="12"/>
      <c r="D6204" s="12"/>
      <c r="E6204" s="12"/>
      <c r="H6204" s="11" t="str">
        <f ca="1">IFERROR(__xludf.DUMMYFUNCTION("IFERROR(SUBSTITUTE(SUBSTITUTE(REGEXEXTRACT(A6204, ""[^-]+- [^-]+- [^-]+ - (.+?)\.jpg""), "".jpg"", """"), ""-"", "", ""), """")"),"")</f>
        <v/>
      </c>
      <c r="L6204" s="12"/>
      <c r="M6204" s="13"/>
      <c r="N6204" s="2"/>
      <c r="O6204" s="20"/>
      <c r="P6204" s="42"/>
      <c r="R6204" s="23"/>
    </row>
    <row r="6205" spans="1:18" ht="12.75">
      <c r="A6205" s="12"/>
      <c r="D6205" s="12"/>
      <c r="E6205" s="12"/>
      <c r="H6205" s="11" t="str">
        <f ca="1">IFERROR(__xludf.DUMMYFUNCTION("IFERROR(SUBSTITUTE(SUBSTITUTE(REGEXEXTRACT(A6205, ""[^-]+- [^-]+- [^-]+ - (.+?)\.jpg""), "".jpg"", """"), ""-"", "", ""), """")"),"")</f>
        <v/>
      </c>
      <c r="L6205" s="12"/>
      <c r="M6205" s="13"/>
      <c r="N6205" s="2"/>
      <c r="O6205" s="20"/>
      <c r="P6205" s="42"/>
      <c r="R6205" s="23"/>
    </row>
    <row r="6206" spans="1:18" ht="12.75">
      <c r="A6206" s="12"/>
      <c r="D6206" s="12"/>
      <c r="E6206" s="12"/>
      <c r="H6206" s="11" t="str">
        <f ca="1">IFERROR(__xludf.DUMMYFUNCTION("IFERROR(SUBSTITUTE(SUBSTITUTE(REGEXEXTRACT(A6206, ""[^-]+- [^-]+- [^-]+ - (.+?)\.jpg""), "".jpg"", """"), ""-"", "", ""), """")"),"")</f>
        <v/>
      </c>
      <c r="L6206" s="12"/>
      <c r="M6206" s="13"/>
      <c r="N6206" s="2"/>
      <c r="O6206" s="20"/>
      <c r="P6206" s="42"/>
      <c r="R6206" s="23"/>
    </row>
    <row r="6207" spans="1:18" ht="12.75">
      <c r="A6207" s="12"/>
      <c r="D6207" s="12"/>
      <c r="E6207" s="12"/>
      <c r="H6207" s="11" t="str">
        <f ca="1">IFERROR(__xludf.DUMMYFUNCTION("IFERROR(SUBSTITUTE(SUBSTITUTE(REGEXEXTRACT(A6207, ""[^-]+- [^-]+- [^-]+ - (.+?)\.jpg""), "".jpg"", """"), ""-"", "", ""), """")"),"")</f>
        <v/>
      </c>
      <c r="L6207" s="12"/>
      <c r="M6207" s="13"/>
      <c r="N6207" s="2"/>
      <c r="O6207" s="20"/>
      <c r="P6207" s="42"/>
      <c r="R6207" s="23"/>
    </row>
    <row r="6208" spans="1:18" ht="12.75">
      <c r="A6208" s="12"/>
      <c r="D6208" s="12"/>
      <c r="E6208" s="12"/>
      <c r="H6208" s="11" t="str">
        <f ca="1">IFERROR(__xludf.DUMMYFUNCTION("IFERROR(SUBSTITUTE(SUBSTITUTE(REGEXEXTRACT(A6208, ""[^-]+- [^-]+- [^-]+ - (.+?)\.jpg""), "".jpg"", """"), ""-"", "", ""), """")"),"")</f>
        <v/>
      </c>
      <c r="L6208" s="12"/>
      <c r="M6208" s="13"/>
      <c r="N6208" s="2"/>
      <c r="O6208" s="20"/>
      <c r="P6208" s="42"/>
      <c r="R6208" s="23"/>
    </row>
    <row r="6209" spans="1:18" ht="12.75">
      <c r="A6209" s="12"/>
      <c r="D6209" s="12"/>
      <c r="E6209" s="12"/>
      <c r="H6209" s="11" t="str">
        <f ca="1">IFERROR(__xludf.DUMMYFUNCTION("IFERROR(SUBSTITUTE(SUBSTITUTE(REGEXEXTRACT(A6209, ""[^-]+- [^-]+- [^-]+ - (.+?)\.jpg""), "".jpg"", """"), ""-"", "", ""), """")"),"")</f>
        <v/>
      </c>
      <c r="L6209" s="12"/>
      <c r="M6209" s="13"/>
      <c r="N6209" s="2"/>
      <c r="O6209" s="20"/>
      <c r="P6209" s="42"/>
      <c r="R6209" s="23"/>
    </row>
    <row r="6210" spans="1:18" ht="12.75">
      <c r="A6210" s="12"/>
      <c r="D6210" s="12"/>
      <c r="E6210" s="12"/>
      <c r="H6210" s="11" t="str">
        <f ca="1">IFERROR(__xludf.DUMMYFUNCTION("IFERROR(SUBSTITUTE(SUBSTITUTE(REGEXEXTRACT(A6210, ""[^-]+- [^-]+- [^-]+ - (.+?)\.jpg""), "".jpg"", """"), ""-"", "", ""), """")"),"")</f>
        <v/>
      </c>
      <c r="L6210" s="12"/>
      <c r="M6210" s="13"/>
      <c r="N6210" s="2"/>
      <c r="O6210" s="20"/>
      <c r="P6210" s="42"/>
      <c r="R6210" s="23"/>
    </row>
    <row r="6211" spans="1:18" ht="12.75">
      <c r="A6211" s="12"/>
      <c r="D6211" s="12"/>
      <c r="E6211" s="12"/>
      <c r="H6211" s="11" t="str">
        <f ca="1">IFERROR(__xludf.DUMMYFUNCTION("IFERROR(SUBSTITUTE(SUBSTITUTE(REGEXEXTRACT(A6211, ""[^-]+- [^-]+- [^-]+ - (.+?)\.jpg""), "".jpg"", """"), ""-"", "", ""), """")"),"")</f>
        <v/>
      </c>
      <c r="L6211" s="12"/>
      <c r="M6211" s="13"/>
      <c r="N6211" s="2"/>
      <c r="O6211" s="20"/>
      <c r="P6211" s="42"/>
      <c r="R6211" s="23"/>
    </row>
    <row r="6212" spans="1:18" ht="12.75">
      <c r="A6212" s="12"/>
      <c r="D6212" s="12"/>
      <c r="E6212" s="12"/>
      <c r="H6212" s="11" t="str">
        <f ca="1">IFERROR(__xludf.DUMMYFUNCTION("IFERROR(SUBSTITUTE(SUBSTITUTE(REGEXEXTRACT(A6212, ""[^-]+- [^-]+- [^-]+ - (.+?)\.jpg""), "".jpg"", """"), ""-"", "", ""), """")"),"")</f>
        <v/>
      </c>
      <c r="L6212" s="12"/>
      <c r="M6212" s="13"/>
      <c r="N6212" s="2"/>
      <c r="O6212" s="20"/>
      <c r="P6212" s="42"/>
      <c r="R6212" s="23"/>
    </row>
    <row r="6213" spans="1:18" ht="12.75">
      <c r="A6213" s="12"/>
      <c r="D6213" s="12"/>
      <c r="E6213" s="12"/>
      <c r="H6213" s="11" t="str">
        <f ca="1">IFERROR(__xludf.DUMMYFUNCTION("IFERROR(SUBSTITUTE(SUBSTITUTE(REGEXEXTRACT(A6213, ""[^-]+- [^-]+- [^-]+ - (.+?)\.jpg""), "".jpg"", """"), ""-"", "", ""), """")"),"")</f>
        <v/>
      </c>
      <c r="L6213" s="12"/>
      <c r="M6213" s="13"/>
      <c r="N6213" s="2"/>
      <c r="O6213" s="20"/>
      <c r="P6213" s="42"/>
      <c r="R6213" s="23"/>
    </row>
    <row r="6214" spans="1:18" ht="12.75">
      <c r="A6214" s="12"/>
      <c r="D6214" s="12"/>
      <c r="E6214" s="12"/>
      <c r="H6214" s="11" t="str">
        <f ca="1">IFERROR(__xludf.DUMMYFUNCTION("IFERROR(SUBSTITUTE(SUBSTITUTE(REGEXEXTRACT(A6214, ""[^-]+- [^-]+- [^-]+ - (.+?)\.jpg""), "".jpg"", """"), ""-"", "", ""), """")"),"")</f>
        <v/>
      </c>
      <c r="L6214" s="12"/>
      <c r="M6214" s="13"/>
      <c r="N6214" s="2"/>
      <c r="O6214" s="20"/>
      <c r="P6214" s="42"/>
      <c r="R6214" s="23"/>
    </row>
    <row r="6215" spans="1:18" ht="12.75">
      <c r="A6215" s="12"/>
      <c r="D6215" s="12"/>
      <c r="E6215" s="12"/>
      <c r="H6215" s="11" t="str">
        <f ca="1">IFERROR(__xludf.DUMMYFUNCTION("IFERROR(SUBSTITUTE(SUBSTITUTE(REGEXEXTRACT(A6215, ""[^-]+- [^-]+- [^-]+ - (.+?)\.jpg""), "".jpg"", """"), ""-"", "", ""), """")"),"")</f>
        <v/>
      </c>
      <c r="L6215" s="12"/>
      <c r="M6215" s="13"/>
      <c r="N6215" s="2"/>
      <c r="O6215" s="20"/>
      <c r="P6215" s="42"/>
      <c r="R6215" s="23"/>
    </row>
    <row r="6216" spans="1:18" ht="12.75">
      <c r="A6216" s="12"/>
      <c r="D6216" s="12"/>
      <c r="E6216" s="12"/>
      <c r="H6216" s="11" t="str">
        <f ca="1">IFERROR(__xludf.DUMMYFUNCTION("IFERROR(SUBSTITUTE(SUBSTITUTE(REGEXEXTRACT(A6216, ""[^-]+- [^-]+- [^-]+ - (.+?)\.jpg""), "".jpg"", """"), ""-"", "", ""), """")"),"")</f>
        <v/>
      </c>
      <c r="L6216" s="12"/>
      <c r="M6216" s="13"/>
      <c r="N6216" s="2"/>
      <c r="O6216" s="20"/>
      <c r="P6216" s="42"/>
      <c r="R6216" s="23"/>
    </row>
    <row r="6217" spans="1:18" ht="12.75">
      <c r="A6217" s="12"/>
      <c r="D6217" s="12"/>
      <c r="E6217" s="12"/>
      <c r="H6217" s="11" t="str">
        <f ca="1">IFERROR(__xludf.DUMMYFUNCTION("IFERROR(SUBSTITUTE(SUBSTITUTE(REGEXEXTRACT(A6217, ""[^-]+- [^-]+- [^-]+ - (.+?)\.jpg""), "".jpg"", """"), ""-"", "", ""), """")"),"")</f>
        <v/>
      </c>
      <c r="L6217" s="12"/>
      <c r="M6217" s="13"/>
      <c r="N6217" s="2"/>
      <c r="O6217" s="20"/>
      <c r="P6217" s="42"/>
      <c r="R6217" s="23"/>
    </row>
    <row r="6218" spans="1:18" ht="12.75">
      <c r="A6218" s="12"/>
      <c r="D6218" s="12"/>
      <c r="E6218" s="12"/>
      <c r="H6218" s="11" t="str">
        <f ca="1">IFERROR(__xludf.DUMMYFUNCTION("IFERROR(SUBSTITUTE(SUBSTITUTE(REGEXEXTRACT(A6218, ""[^-]+- [^-]+- [^-]+ - (.+?)\.jpg""), "".jpg"", """"), ""-"", "", ""), """")"),"")</f>
        <v/>
      </c>
      <c r="L6218" s="12"/>
      <c r="M6218" s="13"/>
      <c r="N6218" s="2"/>
      <c r="O6218" s="20"/>
      <c r="P6218" s="42"/>
      <c r="R6218" s="23"/>
    </row>
    <row r="6219" spans="1:18" ht="12.75">
      <c r="A6219" s="12"/>
      <c r="D6219" s="12"/>
      <c r="E6219" s="12"/>
      <c r="H6219" s="11" t="str">
        <f ca="1">IFERROR(__xludf.DUMMYFUNCTION("IFERROR(SUBSTITUTE(SUBSTITUTE(REGEXEXTRACT(A6219, ""[^-]+- [^-]+- [^-]+ - (.+?)\.jpg""), "".jpg"", """"), ""-"", "", ""), """")"),"")</f>
        <v/>
      </c>
      <c r="L6219" s="12"/>
      <c r="M6219" s="13"/>
      <c r="N6219" s="2"/>
      <c r="O6219" s="20"/>
      <c r="P6219" s="42"/>
      <c r="R6219" s="23"/>
    </row>
    <row r="6220" spans="1:18" ht="12.75">
      <c r="A6220" s="12"/>
      <c r="D6220" s="12"/>
      <c r="E6220" s="12"/>
      <c r="H6220" s="11" t="str">
        <f ca="1">IFERROR(__xludf.DUMMYFUNCTION("IFERROR(SUBSTITUTE(SUBSTITUTE(REGEXEXTRACT(A6220, ""[^-]+- [^-]+- [^-]+ - (.+?)\.jpg""), "".jpg"", """"), ""-"", "", ""), """")"),"")</f>
        <v/>
      </c>
      <c r="L6220" s="12"/>
      <c r="M6220" s="13"/>
      <c r="N6220" s="2"/>
      <c r="O6220" s="20"/>
      <c r="P6220" s="42"/>
      <c r="R6220" s="23"/>
    </row>
    <row r="6221" spans="1:18" ht="12.75">
      <c r="A6221" s="12"/>
      <c r="D6221" s="12"/>
      <c r="E6221" s="12"/>
      <c r="H6221" s="11" t="str">
        <f ca="1">IFERROR(__xludf.DUMMYFUNCTION("IFERROR(SUBSTITUTE(SUBSTITUTE(REGEXEXTRACT(A6221, ""[^-]+- [^-]+- [^-]+ - (.+?)\.jpg""), "".jpg"", """"), ""-"", "", ""), """")"),"")</f>
        <v/>
      </c>
      <c r="L6221" s="12"/>
      <c r="M6221" s="13"/>
      <c r="N6221" s="2"/>
      <c r="O6221" s="20"/>
      <c r="P6221" s="42"/>
      <c r="R6221" s="23"/>
    </row>
    <row r="6222" spans="1:18" ht="12.75">
      <c r="A6222" s="12"/>
      <c r="D6222" s="12"/>
      <c r="E6222" s="12"/>
      <c r="H6222" s="11" t="str">
        <f ca="1">IFERROR(__xludf.DUMMYFUNCTION("IFERROR(SUBSTITUTE(SUBSTITUTE(REGEXEXTRACT(A6222, ""[^-]+- [^-]+- [^-]+ - (.+?)\.jpg""), "".jpg"", """"), ""-"", "", ""), """")"),"")</f>
        <v/>
      </c>
      <c r="L6222" s="12"/>
      <c r="M6222" s="13"/>
      <c r="N6222" s="2"/>
      <c r="O6222" s="20"/>
      <c r="P6222" s="42"/>
      <c r="R6222" s="23"/>
    </row>
    <row r="6223" spans="1:18" ht="12.75">
      <c r="A6223" s="12"/>
      <c r="D6223" s="12"/>
      <c r="E6223" s="12"/>
      <c r="H6223" s="11" t="str">
        <f ca="1">IFERROR(__xludf.DUMMYFUNCTION("IFERROR(SUBSTITUTE(SUBSTITUTE(REGEXEXTRACT(A6223, ""[^-]+- [^-]+- [^-]+ - (.+?)\.jpg""), "".jpg"", """"), ""-"", "", ""), """")"),"")</f>
        <v/>
      </c>
      <c r="L6223" s="12"/>
      <c r="M6223" s="13"/>
      <c r="N6223" s="2"/>
      <c r="O6223" s="20"/>
      <c r="P6223" s="42"/>
      <c r="R6223" s="23"/>
    </row>
    <row r="6224" spans="1:18" ht="12.75">
      <c r="A6224" s="12"/>
      <c r="D6224" s="12"/>
      <c r="E6224" s="12"/>
      <c r="H6224" s="11" t="str">
        <f ca="1">IFERROR(__xludf.DUMMYFUNCTION("IFERROR(SUBSTITUTE(SUBSTITUTE(REGEXEXTRACT(A6224, ""[^-]+- [^-]+- [^-]+ - (.+?)\.jpg""), "".jpg"", """"), ""-"", "", ""), """")"),"")</f>
        <v/>
      </c>
      <c r="L6224" s="12"/>
      <c r="M6224" s="13"/>
      <c r="N6224" s="2"/>
      <c r="O6224" s="20"/>
      <c r="P6224" s="42"/>
      <c r="R6224" s="23"/>
    </row>
    <row r="6225" spans="1:18" ht="12.75">
      <c r="A6225" s="12"/>
      <c r="D6225" s="12"/>
      <c r="E6225" s="12"/>
      <c r="H6225" s="11" t="str">
        <f ca="1">IFERROR(__xludf.DUMMYFUNCTION("IFERROR(SUBSTITUTE(SUBSTITUTE(REGEXEXTRACT(A6225, ""[^-]+- [^-]+- [^-]+ - (.+?)\.jpg""), "".jpg"", """"), ""-"", "", ""), """")"),"")</f>
        <v/>
      </c>
      <c r="L6225" s="12"/>
      <c r="M6225" s="13"/>
      <c r="N6225" s="2"/>
      <c r="O6225" s="20"/>
      <c r="P6225" s="42"/>
      <c r="R6225" s="23"/>
    </row>
    <row r="6226" spans="1:18" ht="12.75">
      <c r="A6226" s="12"/>
      <c r="D6226" s="12"/>
      <c r="E6226" s="12"/>
      <c r="H6226" s="11" t="str">
        <f ca="1">IFERROR(__xludf.DUMMYFUNCTION("IFERROR(SUBSTITUTE(SUBSTITUTE(REGEXEXTRACT(A6226, ""[^-]+- [^-]+- [^-]+ - (.+?)\.jpg""), "".jpg"", """"), ""-"", "", ""), """")"),"")</f>
        <v/>
      </c>
      <c r="L6226" s="12"/>
      <c r="M6226" s="13"/>
      <c r="N6226" s="2"/>
      <c r="O6226" s="20"/>
      <c r="P6226" s="42"/>
      <c r="R6226" s="23"/>
    </row>
    <row r="6227" spans="1:18" ht="12.75">
      <c r="A6227" s="12"/>
      <c r="D6227" s="12"/>
      <c r="E6227" s="12"/>
      <c r="H6227" s="11" t="str">
        <f ca="1">IFERROR(__xludf.DUMMYFUNCTION("IFERROR(SUBSTITUTE(SUBSTITUTE(REGEXEXTRACT(A6227, ""[^-]+- [^-]+- [^-]+ - (.+?)\.jpg""), "".jpg"", """"), ""-"", "", ""), """")"),"")</f>
        <v/>
      </c>
      <c r="L6227" s="12"/>
      <c r="M6227" s="13"/>
      <c r="N6227" s="2"/>
      <c r="O6227" s="20"/>
      <c r="P6227" s="42"/>
      <c r="R6227" s="23"/>
    </row>
    <row r="6228" spans="1:18" ht="12.75">
      <c r="A6228" s="12"/>
      <c r="D6228" s="12"/>
      <c r="E6228" s="12"/>
      <c r="H6228" s="11" t="str">
        <f ca="1">IFERROR(__xludf.DUMMYFUNCTION("IFERROR(SUBSTITUTE(SUBSTITUTE(REGEXEXTRACT(A6228, ""[^-]+- [^-]+- [^-]+ - (.+?)\.jpg""), "".jpg"", """"), ""-"", "", ""), """")"),"")</f>
        <v/>
      </c>
      <c r="L6228" s="12"/>
      <c r="M6228" s="13"/>
      <c r="N6228" s="2"/>
      <c r="O6228" s="20"/>
      <c r="P6228" s="42"/>
      <c r="R6228" s="23"/>
    </row>
    <row r="6229" spans="1:18" ht="12.75">
      <c r="A6229" s="12"/>
      <c r="D6229" s="12"/>
      <c r="E6229" s="12"/>
      <c r="H6229" s="11" t="str">
        <f ca="1">IFERROR(__xludf.DUMMYFUNCTION("IFERROR(SUBSTITUTE(SUBSTITUTE(REGEXEXTRACT(A6229, ""[^-]+- [^-]+- [^-]+ - (.+?)\.jpg""), "".jpg"", """"), ""-"", "", ""), """")"),"")</f>
        <v/>
      </c>
      <c r="L6229" s="12"/>
      <c r="M6229" s="13"/>
      <c r="N6229" s="2"/>
      <c r="O6229" s="20"/>
      <c r="P6229" s="42"/>
      <c r="R6229" s="23"/>
    </row>
    <row r="6230" spans="1:18" ht="12.75">
      <c r="A6230" s="12"/>
      <c r="D6230" s="12"/>
      <c r="E6230" s="12"/>
      <c r="H6230" s="11" t="str">
        <f ca="1">IFERROR(__xludf.DUMMYFUNCTION("IFERROR(SUBSTITUTE(SUBSTITUTE(REGEXEXTRACT(A6230, ""[^-]+- [^-]+- [^-]+ - (.+?)\.jpg""), "".jpg"", """"), ""-"", "", ""), """")"),"")</f>
        <v/>
      </c>
      <c r="L6230" s="12"/>
      <c r="M6230" s="13"/>
      <c r="N6230" s="2"/>
      <c r="O6230" s="20"/>
      <c r="P6230" s="42"/>
      <c r="R6230" s="23"/>
    </row>
    <row r="6231" spans="1:18" ht="12.75">
      <c r="A6231" s="12"/>
      <c r="D6231" s="12"/>
      <c r="E6231" s="12"/>
      <c r="H6231" s="11" t="str">
        <f ca="1">IFERROR(__xludf.DUMMYFUNCTION("IFERROR(SUBSTITUTE(SUBSTITUTE(REGEXEXTRACT(A6231, ""[^-]+- [^-]+- [^-]+ - (.+?)\.jpg""), "".jpg"", """"), ""-"", "", ""), """")"),"")</f>
        <v/>
      </c>
      <c r="L6231" s="12"/>
      <c r="M6231" s="13"/>
      <c r="N6231" s="2"/>
      <c r="O6231" s="20"/>
      <c r="P6231" s="42"/>
      <c r="R6231" s="23"/>
    </row>
    <row r="6232" spans="1:18" ht="12.75">
      <c r="A6232" s="12"/>
      <c r="D6232" s="12"/>
      <c r="E6232" s="12"/>
      <c r="H6232" s="11" t="str">
        <f ca="1">IFERROR(__xludf.DUMMYFUNCTION("IFERROR(SUBSTITUTE(SUBSTITUTE(REGEXEXTRACT(A6232, ""[^-]+- [^-]+- [^-]+ - (.+?)\.jpg""), "".jpg"", """"), ""-"", "", ""), """")"),"")</f>
        <v/>
      </c>
      <c r="L6232" s="12"/>
      <c r="M6232" s="13"/>
      <c r="N6232" s="2"/>
      <c r="O6232" s="20"/>
      <c r="P6232" s="42"/>
      <c r="R6232" s="23"/>
    </row>
    <row r="6233" spans="1:18" ht="12.75">
      <c r="A6233" s="12"/>
      <c r="D6233" s="12"/>
      <c r="E6233" s="12"/>
      <c r="H6233" s="11" t="str">
        <f ca="1">IFERROR(__xludf.DUMMYFUNCTION("IFERROR(SUBSTITUTE(SUBSTITUTE(REGEXEXTRACT(A6233, ""[^-]+- [^-]+- [^-]+ - (.+?)\.jpg""), "".jpg"", """"), ""-"", "", ""), """")"),"")</f>
        <v/>
      </c>
      <c r="L6233" s="12"/>
      <c r="M6233" s="13"/>
      <c r="N6233" s="2"/>
      <c r="O6233" s="20"/>
      <c r="P6233" s="42"/>
      <c r="R6233" s="23"/>
    </row>
    <row r="6234" spans="1:18" ht="12.75">
      <c r="A6234" s="12"/>
      <c r="D6234" s="12"/>
      <c r="E6234" s="12"/>
      <c r="H6234" s="11" t="str">
        <f ca="1">IFERROR(__xludf.DUMMYFUNCTION("IFERROR(SUBSTITUTE(SUBSTITUTE(REGEXEXTRACT(A6234, ""[^-]+- [^-]+- [^-]+ - (.+?)\.jpg""), "".jpg"", """"), ""-"", "", ""), """")"),"")</f>
        <v/>
      </c>
      <c r="L6234" s="12"/>
      <c r="M6234" s="13"/>
      <c r="N6234" s="2"/>
      <c r="O6234" s="20"/>
      <c r="P6234" s="42"/>
      <c r="R6234" s="23"/>
    </row>
    <row r="6235" spans="1:18" ht="12.75">
      <c r="A6235" s="12"/>
      <c r="D6235" s="12"/>
      <c r="E6235" s="12"/>
      <c r="H6235" s="11" t="str">
        <f ca="1">IFERROR(__xludf.DUMMYFUNCTION("IFERROR(SUBSTITUTE(SUBSTITUTE(REGEXEXTRACT(A6235, ""[^-]+- [^-]+- [^-]+ - (.+?)\.jpg""), "".jpg"", """"), ""-"", "", ""), """")"),"")</f>
        <v/>
      </c>
      <c r="L6235" s="12"/>
      <c r="M6235" s="13"/>
      <c r="N6235" s="2"/>
      <c r="O6235" s="20"/>
      <c r="P6235" s="42"/>
      <c r="R6235" s="23"/>
    </row>
    <row r="6236" spans="1:18" ht="12.75">
      <c r="A6236" s="12"/>
      <c r="D6236" s="12"/>
      <c r="E6236" s="12"/>
      <c r="H6236" s="11" t="str">
        <f ca="1">IFERROR(__xludf.DUMMYFUNCTION("IFERROR(SUBSTITUTE(SUBSTITUTE(REGEXEXTRACT(A6236, ""[^-]+- [^-]+- [^-]+ - (.+?)\.jpg""), "".jpg"", """"), ""-"", "", ""), """")"),"")</f>
        <v/>
      </c>
      <c r="L6236" s="12"/>
      <c r="M6236" s="13"/>
      <c r="N6236" s="2"/>
      <c r="O6236" s="20"/>
      <c r="P6236" s="42"/>
      <c r="R6236" s="23"/>
    </row>
    <row r="6237" spans="1:18" ht="12.75">
      <c r="A6237" s="12"/>
      <c r="D6237" s="12"/>
      <c r="E6237" s="12"/>
      <c r="H6237" s="11" t="str">
        <f ca="1">IFERROR(__xludf.DUMMYFUNCTION("IFERROR(SUBSTITUTE(SUBSTITUTE(REGEXEXTRACT(A6237, ""[^-]+- [^-]+- [^-]+ - (.+?)\.jpg""), "".jpg"", """"), ""-"", "", ""), """")"),"")</f>
        <v/>
      </c>
      <c r="L6237" s="12"/>
      <c r="M6237" s="13"/>
      <c r="N6237" s="2"/>
      <c r="O6237" s="20"/>
      <c r="P6237" s="42"/>
      <c r="R6237" s="23"/>
    </row>
    <row r="6238" spans="1:18" ht="12.75">
      <c r="A6238" s="12"/>
      <c r="D6238" s="12"/>
      <c r="E6238" s="12"/>
      <c r="H6238" s="11" t="str">
        <f ca="1">IFERROR(__xludf.DUMMYFUNCTION("IFERROR(SUBSTITUTE(SUBSTITUTE(REGEXEXTRACT(A6238, ""[^-]+- [^-]+- [^-]+ - (.+?)\.jpg""), "".jpg"", """"), ""-"", "", ""), """")"),"")</f>
        <v/>
      </c>
      <c r="L6238" s="12"/>
      <c r="M6238" s="13"/>
      <c r="N6238" s="2"/>
      <c r="O6238" s="20"/>
      <c r="P6238" s="42"/>
      <c r="R6238" s="23"/>
    </row>
    <row r="6239" spans="1:18" ht="12.75">
      <c r="A6239" s="12"/>
      <c r="D6239" s="12"/>
      <c r="E6239" s="12"/>
      <c r="H6239" s="11" t="str">
        <f ca="1">IFERROR(__xludf.DUMMYFUNCTION("IFERROR(SUBSTITUTE(SUBSTITUTE(REGEXEXTRACT(A6239, ""[^-]+- [^-]+- [^-]+ - (.+?)\.jpg""), "".jpg"", """"), ""-"", "", ""), """")"),"")</f>
        <v/>
      </c>
      <c r="L6239" s="12"/>
      <c r="M6239" s="13"/>
      <c r="N6239" s="2"/>
      <c r="O6239" s="20"/>
      <c r="P6239" s="42"/>
      <c r="R6239" s="23"/>
    </row>
    <row r="6240" spans="1:18" ht="12.75">
      <c r="A6240" s="12"/>
      <c r="D6240" s="12"/>
      <c r="E6240" s="12"/>
      <c r="H6240" s="11" t="str">
        <f ca="1">IFERROR(__xludf.DUMMYFUNCTION("IFERROR(SUBSTITUTE(SUBSTITUTE(REGEXEXTRACT(A6240, ""[^-]+- [^-]+- [^-]+ - (.+?)\.jpg""), "".jpg"", """"), ""-"", "", ""), """")"),"")</f>
        <v/>
      </c>
      <c r="L6240" s="12"/>
      <c r="M6240" s="13"/>
      <c r="N6240" s="2"/>
      <c r="O6240" s="20"/>
      <c r="P6240" s="42"/>
      <c r="R6240" s="23"/>
    </row>
    <row r="6241" spans="1:18" ht="12.75">
      <c r="A6241" s="12"/>
      <c r="D6241" s="12"/>
      <c r="E6241" s="12"/>
      <c r="H6241" s="11" t="str">
        <f ca="1">IFERROR(__xludf.DUMMYFUNCTION("IFERROR(SUBSTITUTE(SUBSTITUTE(REGEXEXTRACT(A6241, ""[^-]+- [^-]+- [^-]+ - (.+?)\.jpg""), "".jpg"", """"), ""-"", "", ""), """")"),"")</f>
        <v/>
      </c>
      <c r="L6241" s="12"/>
      <c r="M6241" s="13"/>
      <c r="N6241" s="2"/>
      <c r="O6241" s="20"/>
      <c r="P6241" s="42"/>
      <c r="R6241" s="23"/>
    </row>
    <row r="6242" spans="1:18" ht="12.75">
      <c r="A6242" s="12"/>
      <c r="D6242" s="12"/>
      <c r="E6242" s="12"/>
      <c r="H6242" s="11" t="str">
        <f ca="1">IFERROR(__xludf.DUMMYFUNCTION("IFERROR(SUBSTITUTE(SUBSTITUTE(REGEXEXTRACT(A6242, ""[^-]+- [^-]+- [^-]+ - (.+?)\.jpg""), "".jpg"", """"), ""-"", "", ""), """")"),"")</f>
        <v/>
      </c>
      <c r="L6242" s="12"/>
      <c r="M6242" s="13"/>
      <c r="N6242" s="2"/>
      <c r="O6242" s="20"/>
      <c r="P6242" s="42"/>
      <c r="R6242" s="23"/>
    </row>
    <row r="6243" spans="1:18" ht="12.75">
      <c r="A6243" s="12"/>
      <c r="D6243" s="12"/>
      <c r="E6243" s="12"/>
      <c r="H6243" s="11" t="str">
        <f ca="1">IFERROR(__xludf.DUMMYFUNCTION("IFERROR(SUBSTITUTE(SUBSTITUTE(REGEXEXTRACT(A6243, ""[^-]+- [^-]+- [^-]+ - (.+?)\.jpg""), "".jpg"", """"), ""-"", "", ""), """")"),"")</f>
        <v/>
      </c>
      <c r="L6243" s="12"/>
      <c r="M6243" s="13"/>
      <c r="N6243" s="2"/>
      <c r="O6243" s="20"/>
      <c r="P6243" s="42"/>
      <c r="R6243" s="23"/>
    </row>
    <row r="6244" spans="1:18" ht="12.75">
      <c r="A6244" s="12"/>
      <c r="D6244" s="12"/>
      <c r="E6244" s="12"/>
      <c r="H6244" s="11" t="str">
        <f ca="1">IFERROR(__xludf.DUMMYFUNCTION("IFERROR(SUBSTITUTE(SUBSTITUTE(REGEXEXTRACT(A6244, ""[^-]+- [^-]+- [^-]+ - (.+?)\.jpg""), "".jpg"", """"), ""-"", "", ""), """")"),"")</f>
        <v/>
      </c>
      <c r="L6244" s="12"/>
      <c r="M6244" s="13"/>
      <c r="N6244" s="2"/>
      <c r="O6244" s="20"/>
      <c r="P6244" s="42"/>
      <c r="R6244" s="23"/>
    </row>
    <row r="6245" spans="1:18" ht="12.75">
      <c r="A6245" s="12"/>
      <c r="D6245" s="12"/>
      <c r="E6245" s="12"/>
      <c r="H6245" s="11" t="str">
        <f ca="1">IFERROR(__xludf.DUMMYFUNCTION("IFERROR(SUBSTITUTE(SUBSTITUTE(REGEXEXTRACT(A6245, ""[^-]+- [^-]+- [^-]+ - (.+?)\.jpg""), "".jpg"", """"), ""-"", "", ""), """")"),"")</f>
        <v/>
      </c>
      <c r="L6245" s="12"/>
      <c r="M6245" s="13"/>
      <c r="N6245" s="2"/>
      <c r="O6245" s="20"/>
      <c r="P6245" s="42"/>
      <c r="R6245" s="23"/>
    </row>
    <row r="6246" spans="1:18" ht="12.75">
      <c r="A6246" s="12"/>
      <c r="D6246" s="12"/>
      <c r="E6246" s="12"/>
      <c r="H6246" s="11" t="str">
        <f ca="1">IFERROR(__xludf.DUMMYFUNCTION("IFERROR(SUBSTITUTE(SUBSTITUTE(REGEXEXTRACT(A6246, ""[^-]+- [^-]+- [^-]+ - (.+?)\.jpg""), "".jpg"", """"), ""-"", "", ""), """")"),"")</f>
        <v/>
      </c>
      <c r="L6246" s="12"/>
      <c r="M6246" s="13"/>
      <c r="N6246" s="2"/>
      <c r="O6246" s="20"/>
      <c r="P6246" s="42"/>
      <c r="R6246" s="23"/>
    </row>
    <row r="6247" spans="1:18" ht="12.75">
      <c r="A6247" s="12"/>
      <c r="D6247" s="12"/>
      <c r="E6247" s="12"/>
      <c r="H6247" s="11" t="str">
        <f ca="1">IFERROR(__xludf.DUMMYFUNCTION("IFERROR(SUBSTITUTE(SUBSTITUTE(REGEXEXTRACT(A6247, ""[^-]+- [^-]+- [^-]+ - (.+?)\.jpg""), "".jpg"", """"), ""-"", "", ""), """")"),"")</f>
        <v/>
      </c>
      <c r="L6247" s="12"/>
      <c r="M6247" s="13"/>
      <c r="N6247" s="2"/>
      <c r="O6247" s="20"/>
      <c r="P6247" s="42"/>
      <c r="R6247" s="23"/>
    </row>
    <row r="6248" spans="1:18" ht="12.75">
      <c r="A6248" s="12"/>
      <c r="D6248" s="12"/>
      <c r="E6248" s="12"/>
      <c r="H6248" s="11" t="str">
        <f ca="1">IFERROR(__xludf.DUMMYFUNCTION("IFERROR(SUBSTITUTE(SUBSTITUTE(REGEXEXTRACT(A6248, ""[^-]+- [^-]+- [^-]+ - (.+?)\.jpg""), "".jpg"", """"), ""-"", "", ""), """")"),"")</f>
        <v/>
      </c>
      <c r="L6248" s="12"/>
      <c r="M6248" s="13"/>
      <c r="N6248" s="2"/>
      <c r="O6248" s="20"/>
      <c r="P6248" s="42"/>
      <c r="R6248" s="23"/>
    </row>
    <row r="6249" spans="1:18" ht="12.75">
      <c r="A6249" s="12"/>
      <c r="D6249" s="12"/>
      <c r="E6249" s="12"/>
      <c r="H6249" s="11" t="str">
        <f ca="1">IFERROR(__xludf.DUMMYFUNCTION("IFERROR(SUBSTITUTE(SUBSTITUTE(REGEXEXTRACT(A6249, ""[^-]+- [^-]+- [^-]+ - (.+?)\.jpg""), "".jpg"", """"), ""-"", "", ""), """")"),"")</f>
        <v/>
      </c>
      <c r="L6249" s="12"/>
      <c r="M6249" s="13"/>
      <c r="N6249" s="2"/>
      <c r="O6249" s="20"/>
      <c r="P6249" s="42"/>
      <c r="R6249" s="23"/>
    </row>
    <row r="6250" spans="1:18" ht="12.75">
      <c r="A6250" s="12"/>
      <c r="D6250" s="12"/>
      <c r="E6250" s="12"/>
      <c r="H6250" s="11" t="str">
        <f ca="1">IFERROR(__xludf.DUMMYFUNCTION("IFERROR(SUBSTITUTE(SUBSTITUTE(REGEXEXTRACT(A6250, ""[^-]+- [^-]+- [^-]+ - (.+?)\.jpg""), "".jpg"", """"), ""-"", "", ""), """")"),"")</f>
        <v/>
      </c>
      <c r="L6250" s="12"/>
      <c r="M6250" s="13"/>
      <c r="N6250" s="2"/>
      <c r="O6250" s="20"/>
      <c r="P6250" s="42"/>
      <c r="R6250" s="23"/>
    </row>
    <row r="6251" spans="1:18" ht="12.75">
      <c r="A6251" s="12"/>
      <c r="D6251" s="12"/>
      <c r="E6251" s="12"/>
      <c r="H6251" s="11" t="str">
        <f ca="1">IFERROR(__xludf.DUMMYFUNCTION("IFERROR(SUBSTITUTE(SUBSTITUTE(REGEXEXTRACT(A6251, ""[^-]+- [^-]+- [^-]+ - (.+?)\.jpg""), "".jpg"", """"), ""-"", "", ""), """")"),"")</f>
        <v/>
      </c>
      <c r="L6251" s="12"/>
      <c r="M6251" s="13"/>
      <c r="N6251" s="2"/>
      <c r="O6251" s="20"/>
      <c r="P6251" s="42"/>
      <c r="R6251" s="23"/>
    </row>
    <row r="6252" spans="1:18" ht="12.75">
      <c r="A6252" s="12"/>
      <c r="D6252" s="12"/>
      <c r="E6252" s="12"/>
      <c r="H6252" s="11" t="str">
        <f ca="1">IFERROR(__xludf.DUMMYFUNCTION("IFERROR(SUBSTITUTE(SUBSTITUTE(REGEXEXTRACT(A6252, ""[^-]+- [^-]+- [^-]+ - (.+?)\.jpg""), "".jpg"", """"), ""-"", "", ""), """")"),"")</f>
        <v/>
      </c>
      <c r="L6252" s="12"/>
      <c r="M6252" s="13"/>
      <c r="N6252" s="2"/>
      <c r="O6252" s="20"/>
      <c r="P6252" s="42"/>
      <c r="R6252" s="23"/>
    </row>
    <row r="6253" spans="1:18" ht="12.75">
      <c r="A6253" s="12"/>
      <c r="D6253" s="12"/>
      <c r="E6253" s="12"/>
      <c r="H6253" s="11" t="str">
        <f ca="1">IFERROR(__xludf.DUMMYFUNCTION("IFERROR(SUBSTITUTE(SUBSTITUTE(REGEXEXTRACT(A6253, ""[^-]+- [^-]+- [^-]+ - (.+?)\.jpg""), "".jpg"", """"), ""-"", "", ""), """")"),"")</f>
        <v/>
      </c>
      <c r="L6253" s="12"/>
      <c r="M6253" s="13"/>
      <c r="N6253" s="2"/>
      <c r="O6253" s="20"/>
      <c r="P6253" s="42"/>
      <c r="R6253" s="23"/>
    </row>
    <row r="6254" spans="1:18" ht="12.75">
      <c r="A6254" s="12"/>
      <c r="D6254" s="12"/>
      <c r="E6254" s="12"/>
      <c r="H6254" s="11" t="str">
        <f ca="1">IFERROR(__xludf.DUMMYFUNCTION("IFERROR(SUBSTITUTE(SUBSTITUTE(REGEXEXTRACT(A6254, ""[^-]+- [^-]+- [^-]+ - (.+?)\.jpg""), "".jpg"", """"), ""-"", "", ""), """")"),"")</f>
        <v/>
      </c>
      <c r="L6254" s="12"/>
      <c r="M6254" s="13"/>
      <c r="N6254" s="2"/>
      <c r="O6254" s="20"/>
      <c r="P6254" s="42"/>
      <c r="R6254" s="23"/>
    </row>
    <row r="6255" spans="1:18" ht="12.75">
      <c r="A6255" s="12"/>
      <c r="D6255" s="12"/>
      <c r="E6255" s="12"/>
      <c r="H6255" s="11" t="str">
        <f ca="1">IFERROR(__xludf.DUMMYFUNCTION("IFERROR(SUBSTITUTE(SUBSTITUTE(REGEXEXTRACT(A6255, ""[^-]+- [^-]+- [^-]+ - (.+?)\.jpg""), "".jpg"", """"), ""-"", "", ""), """")"),"")</f>
        <v/>
      </c>
      <c r="L6255" s="12"/>
      <c r="M6255" s="13"/>
      <c r="N6255" s="2"/>
      <c r="O6255" s="20"/>
      <c r="P6255" s="42"/>
      <c r="R6255" s="23"/>
    </row>
    <row r="6256" spans="1:18" ht="12.75">
      <c r="A6256" s="12"/>
      <c r="D6256" s="12"/>
      <c r="E6256" s="12"/>
      <c r="H6256" s="11" t="str">
        <f ca="1">IFERROR(__xludf.DUMMYFUNCTION("IFERROR(SUBSTITUTE(SUBSTITUTE(REGEXEXTRACT(A6256, ""[^-]+- [^-]+- [^-]+ - (.+?)\.jpg""), "".jpg"", """"), ""-"", "", ""), """")"),"")</f>
        <v/>
      </c>
      <c r="L6256" s="12"/>
      <c r="M6256" s="13"/>
      <c r="N6256" s="2"/>
      <c r="O6256" s="20"/>
      <c r="P6256" s="42"/>
      <c r="R6256" s="23"/>
    </row>
    <row r="6257" spans="1:18" ht="12.75">
      <c r="A6257" s="12"/>
      <c r="D6257" s="12"/>
      <c r="E6257" s="12"/>
      <c r="H6257" s="11" t="str">
        <f ca="1">IFERROR(__xludf.DUMMYFUNCTION("IFERROR(SUBSTITUTE(SUBSTITUTE(REGEXEXTRACT(A6257, ""[^-]+- [^-]+- [^-]+ - (.+?)\.jpg""), "".jpg"", """"), ""-"", "", ""), """")"),"")</f>
        <v/>
      </c>
      <c r="L6257" s="12"/>
      <c r="M6257" s="13"/>
      <c r="N6257" s="2"/>
      <c r="O6257" s="20"/>
      <c r="P6257" s="42"/>
      <c r="R6257" s="23"/>
    </row>
    <row r="6258" spans="1:18" ht="12.75">
      <c r="A6258" s="12"/>
      <c r="D6258" s="12"/>
      <c r="E6258" s="12"/>
      <c r="H6258" s="11" t="str">
        <f ca="1">IFERROR(__xludf.DUMMYFUNCTION("IFERROR(SUBSTITUTE(SUBSTITUTE(REGEXEXTRACT(A6258, ""[^-]+- [^-]+- [^-]+ - (.+?)\.jpg""), "".jpg"", """"), ""-"", "", ""), """")"),"")</f>
        <v/>
      </c>
      <c r="L6258" s="12"/>
      <c r="M6258" s="13"/>
      <c r="N6258" s="2"/>
      <c r="O6258" s="20"/>
      <c r="P6258" s="42"/>
      <c r="R6258" s="23"/>
    </row>
    <row r="6259" spans="1:18" ht="12.75">
      <c r="A6259" s="12"/>
      <c r="D6259" s="12"/>
      <c r="E6259" s="12"/>
      <c r="H6259" s="11" t="str">
        <f ca="1">IFERROR(__xludf.DUMMYFUNCTION("IFERROR(SUBSTITUTE(SUBSTITUTE(REGEXEXTRACT(A6259, ""[^-]+- [^-]+- [^-]+ - (.+?)\.jpg""), "".jpg"", """"), ""-"", "", ""), """")"),"")</f>
        <v/>
      </c>
      <c r="L6259" s="12"/>
      <c r="M6259" s="13"/>
      <c r="N6259" s="2"/>
      <c r="O6259" s="20"/>
      <c r="P6259" s="42"/>
      <c r="R6259" s="23"/>
    </row>
    <row r="6260" spans="1:18" ht="12.75">
      <c r="A6260" s="12"/>
      <c r="D6260" s="12"/>
      <c r="E6260" s="12"/>
      <c r="H6260" s="11" t="str">
        <f ca="1">IFERROR(__xludf.DUMMYFUNCTION("IFERROR(SUBSTITUTE(SUBSTITUTE(REGEXEXTRACT(A6260, ""[^-]+- [^-]+- [^-]+ - (.+?)\.jpg""), "".jpg"", """"), ""-"", "", ""), """")"),"")</f>
        <v/>
      </c>
      <c r="L6260" s="12"/>
      <c r="M6260" s="13"/>
      <c r="N6260" s="2"/>
      <c r="O6260" s="20"/>
      <c r="P6260" s="42"/>
      <c r="R6260" s="23"/>
    </row>
    <row r="6261" spans="1:18" ht="12.75">
      <c r="A6261" s="12"/>
      <c r="D6261" s="12"/>
      <c r="E6261" s="12"/>
      <c r="H6261" s="11" t="str">
        <f ca="1">IFERROR(__xludf.DUMMYFUNCTION("IFERROR(SUBSTITUTE(SUBSTITUTE(REGEXEXTRACT(A6261, ""[^-]+- [^-]+- [^-]+ - (.+?)\.jpg""), "".jpg"", """"), ""-"", "", ""), """")"),"")</f>
        <v/>
      </c>
      <c r="L6261" s="12"/>
      <c r="M6261" s="13"/>
      <c r="N6261" s="2"/>
      <c r="O6261" s="20"/>
      <c r="P6261" s="42"/>
      <c r="R6261" s="23"/>
    </row>
    <row r="6262" spans="1:18" ht="12.75">
      <c r="A6262" s="12"/>
      <c r="D6262" s="12"/>
      <c r="E6262" s="12"/>
      <c r="H6262" s="11" t="str">
        <f ca="1">IFERROR(__xludf.DUMMYFUNCTION("IFERROR(SUBSTITUTE(SUBSTITUTE(REGEXEXTRACT(A6262, ""[^-]+- [^-]+- [^-]+ - (.+?)\.jpg""), "".jpg"", """"), ""-"", "", ""), """")"),"")</f>
        <v/>
      </c>
      <c r="L6262" s="12"/>
      <c r="M6262" s="13"/>
      <c r="N6262" s="2"/>
      <c r="O6262" s="20"/>
      <c r="P6262" s="42"/>
      <c r="R6262" s="23"/>
    </row>
    <row r="6263" spans="1:18" ht="12.75">
      <c r="A6263" s="12"/>
      <c r="D6263" s="12"/>
      <c r="E6263" s="12"/>
      <c r="H6263" s="11" t="str">
        <f ca="1">IFERROR(__xludf.DUMMYFUNCTION("IFERROR(SUBSTITUTE(SUBSTITUTE(REGEXEXTRACT(A6263, ""[^-]+- [^-]+- [^-]+ - (.+?)\.jpg""), "".jpg"", """"), ""-"", "", ""), """")"),"")</f>
        <v/>
      </c>
      <c r="L6263" s="12"/>
      <c r="M6263" s="13"/>
      <c r="N6263" s="2"/>
      <c r="O6263" s="20"/>
      <c r="P6263" s="42"/>
      <c r="R6263" s="23"/>
    </row>
    <row r="6264" spans="1:18" ht="12.75">
      <c r="A6264" s="12"/>
      <c r="D6264" s="12"/>
      <c r="E6264" s="12"/>
      <c r="H6264" s="11" t="str">
        <f ca="1">IFERROR(__xludf.DUMMYFUNCTION("IFERROR(SUBSTITUTE(SUBSTITUTE(REGEXEXTRACT(A6264, ""[^-]+- [^-]+- [^-]+ - (.+?)\.jpg""), "".jpg"", """"), ""-"", "", ""), """")"),"")</f>
        <v/>
      </c>
      <c r="L6264" s="12"/>
      <c r="M6264" s="13"/>
      <c r="N6264" s="2"/>
      <c r="O6264" s="20"/>
      <c r="P6264" s="42"/>
      <c r="R6264" s="23"/>
    </row>
    <row r="6265" spans="1:18" ht="12.75">
      <c r="A6265" s="12"/>
      <c r="D6265" s="12"/>
      <c r="E6265" s="12"/>
      <c r="H6265" s="11" t="str">
        <f ca="1">IFERROR(__xludf.DUMMYFUNCTION("IFERROR(SUBSTITUTE(SUBSTITUTE(REGEXEXTRACT(A6265, ""[^-]+- [^-]+- [^-]+ - (.+?)\.jpg""), "".jpg"", """"), ""-"", "", ""), """")"),"")</f>
        <v/>
      </c>
      <c r="L6265" s="12"/>
      <c r="M6265" s="13"/>
      <c r="N6265" s="2"/>
      <c r="O6265" s="20"/>
      <c r="P6265" s="42"/>
      <c r="R6265" s="23"/>
    </row>
    <row r="6266" spans="1:18" ht="12.75">
      <c r="A6266" s="12"/>
      <c r="D6266" s="12"/>
      <c r="E6266" s="12"/>
      <c r="H6266" s="11" t="str">
        <f ca="1">IFERROR(__xludf.DUMMYFUNCTION("IFERROR(SUBSTITUTE(SUBSTITUTE(REGEXEXTRACT(A6266, ""[^-]+- [^-]+- [^-]+ - (.+?)\.jpg""), "".jpg"", """"), ""-"", "", ""), """")"),"")</f>
        <v/>
      </c>
      <c r="L6266" s="12"/>
      <c r="M6266" s="13"/>
      <c r="N6266" s="2"/>
      <c r="O6266" s="20"/>
      <c r="P6266" s="42"/>
      <c r="R6266" s="23"/>
    </row>
    <row r="6267" spans="1:18" ht="12.75">
      <c r="A6267" s="12"/>
      <c r="D6267" s="12"/>
      <c r="E6267" s="12"/>
      <c r="H6267" s="11" t="str">
        <f ca="1">IFERROR(__xludf.DUMMYFUNCTION("IFERROR(SUBSTITUTE(SUBSTITUTE(REGEXEXTRACT(A6267, ""[^-]+- [^-]+- [^-]+ - (.+?)\.jpg""), "".jpg"", """"), ""-"", "", ""), """")"),"")</f>
        <v/>
      </c>
      <c r="L6267" s="12"/>
      <c r="M6267" s="13"/>
      <c r="N6267" s="2"/>
      <c r="O6267" s="20"/>
      <c r="P6267" s="42"/>
      <c r="R6267" s="23"/>
    </row>
    <row r="6268" spans="1:18" ht="12.75">
      <c r="A6268" s="12"/>
      <c r="D6268" s="12"/>
      <c r="E6268" s="12"/>
      <c r="H6268" s="11" t="str">
        <f ca="1">IFERROR(__xludf.DUMMYFUNCTION("IFERROR(SUBSTITUTE(SUBSTITUTE(REGEXEXTRACT(A6268, ""[^-]+- [^-]+- [^-]+ - (.+?)\.jpg""), "".jpg"", """"), ""-"", "", ""), """")"),"")</f>
        <v/>
      </c>
      <c r="L6268" s="12"/>
      <c r="M6268" s="13"/>
      <c r="N6268" s="2"/>
      <c r="O6268" s="20"/>
      <c r="P6268" s="42"/>
      <c r="R6268" s="23"/>
    </row>
    <row r="6269" spans="1:18" ht="12.75">
      <c r="A6269" s="12"/>
      <c r="D6269" s="12"/>
      <c r="E6269" s="12"/>
      <c r="H6269" s="11" t="str">
        <f ca="1">IFERROR(__xludf.DUMMYFUNCTION("IFERROR(SUBSTITUTE(SUBSTITUTE(REGEXEXTRACT(A6269, ""[^-]+- [^-]+- [^-]+ - (.+?)\.jpg""), "".jpg"", """"), ""-"", "", ""), """")"),"")</f>
        <v/>
      </c>
      <c r="L6269" s="12"/>
      <c r="M6269" s="13"/>
      <c r="N6269" s="2"/>
      <c r="O6269" s="20"/>
      <c r="P6269" s="42"/>
      <c r="R6269" s="23"/>
    </row>
    <row r="6270" spans="1:18" ht="12.75">
      <c r="A6270" s="12"/>
      <c r="D6270" s="12"/>
      <c r="E6270" s="12"/>
      <c r="H6270" s="11" t="str">
        <f ca="1">IFERROR(__xludf.DUMMYFUNCTION("IFERROR(SUBSTITUTE(SUBSTITUTE(REGEXEXTRACT(A6270, ""[^-]+- [^-]+- [^-]+ - (.+?)\.jpg""), "".jpg"", """"), ""-"", "", ""), """")"),"")</f>
        <v/>
      </c>
      <c r="L6270" s="12"/>
      <c r="M6270" s="13"/>
      <c r="N6270" s="2"/>
      <c r="O6270" s="20"/>
      <c r="P6270" s="42"/>
      <c r="R6270" s="23"/>
    </row>
    <row r="6271" spans="1:18" ht="12.75">
      <c r="A6271" s="12"/>
      <c r="D6271" s="12"/>
      <c r="E6271" s="12"/>
      <c r="H6271" s="11" t="str">
        <f ca="1">IFERROR(__xludf.DUMMYFUNCTION("IFERROR(SUBSTITUTE(SUBSTITUTE(REGEXEXTRACT(A6271, ""[^-]+- [^-]+- [^-]+ - (.+?)\.jpg""), "".jpg"", """"), ""-"", "", ""), """")"),"")</f>
        <v/>
      </c>
      <c r="L6271" s="12"/>
      <c r="M6271" s="13"/>
      <c r="N6271" s="2"/>
      <c r="O6271" s="20"/>
      <c r="P6271" s="42"/>
      <c r="R6271" s="23"/>
    </row>
    <row r="6272" spans="1:18" ht="12.75">
      <c r="A6272" s="12"/>
      <c r="D6272" s="12"/>
      <c r="E6272" s="12"/>
      <c r="H6272" s="11" t="str">
        <f ca="1">IFERROR(__xludf.DUMMYFUNCTION("IFERROR(SUBSTITUTE(SUBSTITUTE(REGEXEXTRACT(A6272, ""[^-]+- [^-]+- [^-]+ - (.+?)\.jpg""), "".jpg"", """"), ""-"", "", ""), """")"),"")</f>
        <v/>
      </c>
      <c r="L6272" s="12"/>
      <c r="M6272" s="13"/>
      <c r="N6272" s="2"/>
      <c r="O6272" s="20"/>
      <c r="P6272" s="42"/>
      <c r="R6272" s="23"/>
    </row>
    <row r="6273" spans="1:18" ht="12.75">
      <c r="A6273" s="12"/>
      <c r="D6273" s="12"/>
      <c r="E6273" s="12"/>
      <c r="H6273" s="11" t="str">
        <f ca="1">IFERROR(__xludf.DUMMYFUNCTION("IFERROR(SUBSTITUTE(SUBSTITUTE(REGEXEXTRACT(A6273, ""[^-]+- [^-]+- [^-]+ - (.+?)\.jpg""), "".jpg"", """"), ""-"", "", ""), """")"),"")</f>
        <v/>
      </c>
      <c r="L6273" s="12"/>
      <c r="M6273" s="13"/>
      <c r="N6273" s="2"/>
      <c r="O6273" s="20"/>
      <c r="P6273" s="42"/>
      <c r="R6273" s="23"/>
    </row>
    <row r="6274" spans="1:18" ht="12.75">
      <c r="A6274" s="12"/>
      <c r="D6274" s="12"/>
      <c r="E6274" s="12"/>
      <c r="H6274" s="11" t="str">
        <f ca="1">IFERROR(__xludf.DUMMYFUNCTION("IFERROR(SUBSTITUTE(SUBSTITUTE(REGEXEXTRACT(A6274, ""[^-]+- [^-]+- [^-]+ - (.+?)\.jpg""), "".jpg"", """"), ""-"", "", ""), """")"),"")</f>
        <v/>
      </c>
      <c r="L6274" s="12"/>
      <c r="M6274" s="13"/>
      <c r="N6274" s="2"/>
      <c r="O6274" s="20"/>
      <c r="P6274" s="42"/>
      <c r="R6274" s="23"/>
    </row>
    <row r="6275" spans="1:18" ht="12.75">
      <c r="A6275" s="12"/>
      <c r="D6275" s="12"/>
      <c r="E6275" s="12"/>
      <c r="H6275" s="11" t="str">
        <f ca="1">IFERROR(__xludf.DUMMYFUNCTION("IFERROR(SUBSTITUTE(SUBSTITUTE(REGEXEXTRACT(A6275, ""[^-]+- [^-]+- [^-]+ - (.+?)\.jpg""), "".jpg"", """"), ""-"", "", ""), """")"),"")</f>
        <v/>
      </c>
      <c r="L6275" s="12"/>
      <c r="M6275" s="13"/>
      <c r="N6275" s="2"/>
      <c r="O6275" s="20"/>
      <c r="P6275" s="42"/>
      <c r="R6275" s="23"/>
    </row>
    <row r="6276" spans="1:18" ht="12.75">
      <c r="A6276" s="12"/>
      <c r="D6276" s="12"/>
      <c r="E6276" s="12"/>
      <c r="H6276" s="11" t="str">
        <f ca="1">IFERROR(__xludf.DUMMYFUNCTION("IFERROR(SUBSTITUTE(SUBSTITUTE(REGEXEXTRACT(A6276, ""[^-]+- [^-]+- [^-]+ - (.+?)\.jpg""), "".jpg"", """"), ""-"", "", ""), """")"),"")</f>
        <v/>
      </c>
      <c r="L6276" s="12"/>
      <c r="M6276" s="13"/>
      <c r="N6276" s="2"/>
      <c r="O6276" s="20"/>
      <c r="P6276" s="42"/>
      <c r="R6276" s="23"/>
    </row>
    <row r="6277" spans="1:18" ht="12.75">
      <c r="A6277" s="12"/>
      <c r="D6277" s="12"/>
      <c r="E6277" s="12"/>
      <c r="H6277" s="11" t="str">
        <f ca="1">IFERROR(__xludf.DUMMYFUNCTION("IFERROR(SUBSTITUTE(SUBSTITUTE(REGEXEXTRACT(A6277, ""[^-]+- [^-]+- [^-]+ - (.+?)\.jpg""), "".jpg"", """"), ""-"", "", ""), """")"),"")</f>
        <v/>
      </c>
      <c r="L6277" s="12"/>
      <c r="M6277" s="13"/>
      <c r="N6277" s="2"/>
      <c r="O6277" s="20"/>
      <c r="P6277" s="42"/>
      <c r="R6277" s="23"/>
    </row>
    <row r="6278" spans="1:18" ht="12.75">
      <c r="A6278" s="12"/>
      <c r="D6278" s="12"/>
      <c r="E6278" s="12"/>
      <c r="H6278" s="11" t="str">
        <f ca="1">IFERROR(__xludf.DUMMYFUNCTION("IFERROR(SUBSTITUTE(SUBSTITUTE(REGEXEXTRACT(A6278, ""[^-]+- [^-]+- [^-]+ - (.+?)\.jpg""), "".jpg"", """"), ""-"", "", ""), """")"),"")</f>
        <v/>
      </c>
      <c r="L6278" s="12"/>
      <c r="M6278" s="13"/>
      <c r="N6278" s="2"/>
      <c r="O6278" s="20"/>
      <c r="P6278" s="42"/>
      <c r="R6278" s="23"/>
    </row>
    <row r="6279" spans="1:18" ht="12.75">
      <c r="A6279" s="12"/>
      <c r="D6279" s="12"/>
      <c r="E6279" s="12"/>
      <c r="H6279" s="11" t="str">
        <f ca="1">IFERROR(__xludf.DUMMYFUNCTION("IFERROR(SUBSTITUTE(SUBSTITUTE(REGEXEXTRACT(A6279, ""[^-]+- [^-]+- [^-]+ - (.+?)\.jpg""), "".jpg"", """"), ""-"", "", ""), """")"),"")</f>
        <v/>
      </c>
      <c r="L6279" s="12"/>
      <c r="M6279" s="13"/>
      <c r="N6279" s="2"/>
      <c r="O6279" s="20"/>
      <c r="P6279" s="42"/>
      <c r="R6279" s="23"/>
    </row>
    <row r="6280" spans="1:18" ht="12.75">
      <c r="A6280" s="12"/>
      <c r="D6280" s="12"/>
      <c r="E6280" s="12"/>
      <c r="H6280" s="11" t="str">
        <f ca="1">IFERROR(__xludf.DUMMYFUNCTION("IFERROR(SUBSTITUTE(SUBSTITUTE(REGEXEXTRACT(A6280, ""[^-]+- [^-]+- [^-]+ - (.+?)\.jpg""), "".jpg"", """"), ""-"", "", ""), """")"),"")</f>
        <v/>
      </c>
      <c r="L6280" s="12"/>
      <c r="M6280" s="13"/>
      <c r="N6280" s="2"/>
      <c r="O6280" s="20"/>
      <c r="P6280" s="42"/>
      <c r="R6280" s="23"/>
    </row>
    <row r="6281" spans="1:18" ht="12.75">
      <c r="A6281" s="12"/>
      <c r="D6281" s="12"/>
      <c r="E6281" s="12"/>
      <c r="H6281" s="11" t="str">
        <f ca="1">IFERROR(__xludf.DUMMYFUNCTION("IFERROR(SUBSTITUTE(SUBSTITUTE(REGEXEXTRACT(A6281, ""[^-]+- [^-]+- [^-]+ - (.+?)\.jpg""), "".jpg"", """"), ""-"", "", ""), """")"),"")</f>
        <v/>
      </c>
      <c r="L6281" s="12"/>
      <c r="M6281" s="13"/>
      <c r="N6281" s="2"/>
      <c r="O6281" s="20"/>
      <c r="P6281" s="42"/>
      <c r="R6281" s="23"/>
    </row>
    <row r="6282" spans="1:18" ht="12.75">
      <c r="A6282" s="12"/>
      <c r="D6282" s="12"/>
      <c r="E6282" s="12"/>
      <c r="H6282" s="11" t="str">
        <f ca="1">IFERROR(__xludf.DUMMYFUNCTION("IFERROR(SUBSTITUTE(SUBSTITUTE(REGEXEXTRACT(A6282, ""[^-]+- [^-]+- [^-]+ - (.+?)\.jpg""), "".jpg"", """"), ""-"", "", ""), """")"),"")</f>
        <v/>
      </c>
      <c r="L6282" s="12"/>
      <c r="M6282" s="13"/>
      <c r="N6282" s="2"/>
      <c r="O6282" s="20"/>
      <c r="P6282" s="42"/>
      <c r="R6282" s="23"/>
    </row>
    <row r="6283" spans="1:18" ht="12.75">
      <c r="A6283" s="12"/>
      <c r="D6283" s="12"/>
      <c r="E6283" s="12"/>
      <c r="H6283" s="11" t="str">
        <f ca="1">IFERROR(__xludf.DUMMYFUNCTION("IFERROR(SUBSTITUTE(SUBSTITUTE(REGEXEXTRACT(A6283, ""[^-]+- [^-]+- [^-]+ - (.+?)\.jpg""), "".jpg"", """"), ""-"", "", ""), """")"),"")</f>
        <v/>
      </c>
      <c r="L6283" s="12"/>
      <c r="M6283" s="13"/>
      <c r="N6283" s="2"/>
      <c r="O6283" s="20"/>
      <c r="P6283" s="42"/>
      <c r="R6283" s="23"/>
    </row>
    <row r="6284" spans="1:18" ht="12.75">
      <c r="A6284" s="12"/>
      <c r="D6284" s="12"/>
      <c r="E6284" s="12"/>
      <c r="H6284" s="11" t="str">
        <f ca="1">IFERROR(__xludf.DUMMYFUNCTION("IFERROR(SUBSTITUTE(SUBSTITUTE(REGEXEXTRACT(A6284, ""[^-]+- [^-]+- [^-]+ - (.+?)\.jpg""), "".jpg"", """"), ""-"", "", ""), """")"),"")</f>
        <v/>
      </c>
      <c r="L6284" s="12"/>
      <c r="M6284" s="13"/>
      <c r="N6284" s="2"/>
      <c r="O6284" s="20"/>
      <c r="P6284" s="42"/>
      <c r="R6284" s="23"/>
    </row>
    <row r="6285" spans="1:18" ht="12.75">
      <c r="A6285" s="12"/>
      <c r="D6285" s="12"/>
      <c r="E6285" s="12"/>
      <c r="H6285" s="11" t="str">
        <f ca="1">IFERROR(__xludf.DUMMYFUNCTION("IFERROR(SUBSTITUTE(SUBSTITUTE(REGEXEXTRACT(A6285, ""[^-]+- [^-]+- [^-]+ - (.+?)\.jpg""), "".jpg"", """"), ""-"", "", ""), """")"),"")</f>
        <v/>
      </c>
      <c r="L6285" s="12"/>
      <c r="M6285" s="13"/>
      <c r="N6285" s="2"/>
      <c r="O6285" s="20"/>
      <c r="P6285" s="42"/>
      <c r="R6285" s="23"/>
    </row>
    <row r="6286" spans="1:18" ht="12.75">
      <c r="A6286" s="12"/>
      <c r="D6286" s="12"/>
      <c r="E6286" s="12"/>
      <c r="H6286" s="11" t="str">
        <f ca="1">IFERROR(__xludf.DUMMYFUNCTION("IFERROR(SUBSTITUTE(SUBSTITUTE(REGEXEXTRACT(A6286, ""[^-]+- [^-]+- [^-]+ - (.+?)\.jpg""), "".jpg"", """"), ""-"", "", ""), """")"),"")</f>
        <v/>
      </c>
      <c r="L6286" s="12"/>
      <c r="M6286" s="13"/>
      <c r="N6286" s="2"/>
      <c r="O6286" s="20"/>
      <c r="P6286" s="42"/>
      <c r="R6286" s="23"/>
    </row>
    <row r="6287" spans="1:18" ht="12.75">
      <c r="A6287" s="12"/>
      <c r="D6287" s="12"/>
      <c r="E6287" s="12"/>
      <c r="H6287" s="11" t="str">
        <f ca="1">IFERROR(__xludf.DUMMYFUNCTION("IFERROR(SUBSTITUTE(SUBSTITUTE(REGEXEXTRACT(A6287, ""[^-]+- [^-]+- [^-]+ - (.+?)\.jpg""), "".jpg"", """"), ""-"", "", ""), """")"),"")</f>
        <v/>
      </c>
      <c r="L6287" s="12"/>
      <c r="M6287" s="13"/>
      <c r="N6287" s="2"/>
      <c r="O6287" s="20"/>
      <c r="P6287" s="42"/>
      <c r="R6287" s="23"/>
    </row>
    <row r="6288" spans="1:18" ht="12.75">
      <c r="A6288" s="12"/>
      <c r="D6288" s="12"/>
      <c r="E6288" s="12"/>
      <c r="H6288" s="11" t="str">
        <f ca="1">IFERROR(__xludf.DUMMYFUNCTION("IFERROR(SUBSTITUTE(SUBSTITUTE(REGEXEXTRACT(A6288, ""[^-]+- [^-]+- [^-]+ - (.+?)\.jpg""), "".jpg"", """"), ""-"", "", ""), """")"),"")</f>
        <v/>
      </c>
      <c r="L6288" s="12"/>
      <c r="M6288" s="13"/>
      <c r="N6288" s="2"/>
      <c r="O6288" s="20"/>
      <c r="P6288" s="42"/>
      <c r="R6288" s="23"/>
    </row>
    <row r="6289" spans="1:18" ht="12.75">
      <c r="A6289" s="12"/>
      <c r="D6289" s="12"/>
      <c r="E6289" s="12"/>
      <c r="H6289" s="11" t="str">
        <f ca="1">IFERROR(__xludf.DUMMYFUNCTION("IFERROR(SUBSTITUTE(SUBSTITUTE(REGEXEXTRACT(A6289, ""[^-]+- [^-]+- [^-]+ - (.+?)\.jpg""), "".jpg"", """"), ""-"", "", ""), """")"),"")</f>
        <v/>
      </c>
      <c r="L6289" s="12"/>
      <c r="M6289" s="13"/>
      <c r="N6289" s="2"/>
      <c r="O6289" s="20"/>
      <c r="P6289" s="42"/>
      <c r="R6289" s="23"/>
    </row>
    <row r="6290" spans="1:18" ht="12.75">
      <c r="A6290" s="12"/>
      <c r="D6290" s="12"/>
      <c r="E6290" s="12"/>
      <c r="H6290" s="11" t="str">
        <f ca="1">IFERROR(__xludf.DUMMYFUNCTION("IFERROR(SUBSTITUTE(SUBSTITUTE(REGEXEXTRACT(A6290, ""[^-]+- [^-]+- [^-]+ - (.+?)\.jpg""), "".jpg"", """"), ""-"", "", ""), """")"),"")</f>
        <v/>
      </c>
      <c r="L6290" s="12"/>
      <c r="M6290" s="13"/>
      <c r="N6290" s="2"/>
      <c r="O6290" s="20"/>
      <c r="P6290" s="42"/>
      <c r="R6290" s="23"/>
    </row>
    <row r="6291" spans="1:18" ht="12.75">
      <c r="A6291" s="12"/>
      <c r="D6291" s="12"/>
      <c r="E6291" s="12"/>
      <c r="H6291" s="11" t="str">
        <f ca="1">IFERROR(__xludf.DUMMYFUNCTION("IFERROR(SUBSTITUTE(SUBSTITUTE(REGEXEXTRACT(A6291, ""[^-]+- [^-]+- [^-]+ - (.+?)\.jpg""), "".jpg"", """"), ""-"", "", ""), """")"),"")</f>
        <v/>
      </c>
      <c r="L6291" s="12"/>
      <c r="M6291" s="13"/>
      <c r="N6291" s="2"/>
      <c r="O6291" s="20"/>
      <c r="P6291" s="42"/>
      <c r="R6291" s="23"/>
    </row>
    <row r="6292" spans="1:18" ht="12.75">
      <c r="A6292" s="12"/>
      <c r="D6292" s="12"/>
      <c r="E6292" s="12"/>
      <c r="H6292" s="11" t="str">
        <f ca="1">IFERROR(__xludf.DUMMYFUNCTION("IFERROR(SUBSTITUTE(SUBSTITUTE(REGEXEXTRACT(A6292, ""[^-]+- [^-]+- [^-]+ - (.+?)\.jpg""), "".jpg"", """"), ""-"", "", ""), """")"),"")</f>
        <v/>
      </c>
      <c r="L6292" s="12"/>
      <c r="M6292" s="13"/>
      <c r="N6292" s="2"/>
      <c r="O6292" s="20"/>
      <c r="P6292" s="42"/>
      <c r="R6292" s="23"/>
    </row>
    <row r="6293" spans="1:18" ht="12.75">
      <c r="A6293" s="12"/>
      <c r="D6293" s="12"/>
      <c r="E6293" s="12"/>
      <c r="H6293" s="11" t="str">
        <f ca="1">IFERROR(__xludf.DUMMYFUNCTION("IFERROR(SUBSTITUTE(SUBSTITUTE(REGEXEXTRACT(A6293, ""[^-]+- [^-]+- [^-]+ - (.+?)\.jpg""), "".jpg"", """"), ""-"", "", ""), """")"),"")</f>
        <v/>
      </c>
      <c r="L6293" s="12"/>
      <c r="M6293" s="13"/>
      <c r="N6293" s="2"/>
      <c r="O6293" s="20"/>
      <c r="P6293" s="42"/>
      <c r="R6293" s="23"/>
    </row>
    <row r="6294" spans="1:18" ht="12.75">
      <c r="A6294" s="12"/>
      <c r="D6294" s="12"/>
      <c r="E6294" s="12"/>
      <c r="H6294" s="11" t="str">
        <f ca="1">IFERROR(__xludf.DUMMYFUNCTION("IFERROR(SUBSTITUTE(SUBSTITUTE(REGEXEXTRACT(A6294, ""[^-]+- [^-]+- [^-]+ - (.+?)\.jpg""), "".jpg"", """"), ""-"", "", ""), """")"),"")</f>
        <v/>
      </c>
      <c r="L6294" s="12"/>
      <c r="M6294" s="13"/>
      <c r="N6294" s="2"/>
      <c r="O6294" s="20"/>
      <c r="P6294" s="42"/>
      <c r="R6294" s="23"/>
    </row>
    <row r="6295" spans="1:18" ht="12.75">
      <c r="A6295" s="12"/>
      <c r="D6295" s="12"/>
      <c r="E6295" s="12"/>
      <c r="H6295" s="11" t="str">
        <f ca="1">IFERROR(__xludf.DUMMYFUNCTION("IFERROR(SUBSTITUTE(SUBSTITUTE(REGEXEXTRACT(A6295, ""[^-]+- [^-]+- [^-]+ - (.+?)\.jpg""), "".jpg"", """"), ""-"", "", ""), """")"),"")</f>
        <v/>
      </c>
      <c r="L6295" s="12"/>
      <c r="M6295" s="13"/>
      <c r="N6295" s="2"/>
      <c r="O6295" s="20"/>
      <c r="P6295" s="42"/>
      <c r="R6295" s="23"/>
    </row>
    <row r="6296" spans="1:18" ht="12.75">
      <c r="A6296" s="12"/>
      <c r="D6296" s="12"/>
      <c r="E6296" s="12"/>
      <c r="H6296" s="11" t="str">
        <f ca="1">IFERROR(__xludf.DUMMYFUNCTION("IFERROR(SUBSTITUTE(SUBSTITUTE(REGEXEXTRACT(A6296, ""[^-]+- [^-]+- [^-]+ - (.+?)\.jpg""), "".jpg"", """"), ""-"", "", ""), """")"),"")</f>
        <v/>
      </c>
      <c r="L6296" s="12"/>
      <c r="M6296" s="13"/>
      <c r="N6296" s="2"/>
      <c r="O6296" s="20"/>
      <c r="P6296" s="42"/>
      <c r="R6296" s="23"/>
    </row>
    <row r="6297" spans="1:18" ht="12.75">
      <c r="A6297" s="12"/>
      <c r="D6297" s="12"/>
      <c r="E6297" s="12"/>
      <c r="H6297" s="11" t="str">
        <f ca="1">IFERROR(__xludf.DUMMYFUNCTION("IFERROR(SUBSTITUTE(SUBSTITUTE(REGEXEXTRACT(A6297, ""[^-]+- [^-]+- [^-]+ - (.+?)\.jpg""), "".jpg"", """"), ""-"", "", ""), """")"),"")</f>
        <v/>
      </c>
      <c r="L6297" s="12"/>
      <c r="M6297" s="13"/>
      <c r="N6297" s="2"/>
      <c r="O6297" s="20"/>
      <c r="P6297" s="42"/>
      <c r="R6297" s="23"/>
    </row>
    <row r="6298" spans="1:18" ht="12.75">
      <c r="A6298" s="12"/>
      <c r="D6298" s="12"/>
      <c r="E6298" s="12"/>
      <c r="H6298" s="11" t="str">
        <f ca="1">IFERROR(__xludf.DUMMYFUNCTION("IFERROR(SUBSTITUTE(SUBSTITUTE(REGEXEXTRACT(A6298, ""[^-]+- [^-]+- [^-]+ - (.+?)\.jpg""), "".jpg"", """"), ""-"", "", ""), """")"),"")</f>
        <v/>
      </c>
      <c r="L6298" s="12"/>
      <c r="M6298" s="13"/>
      <c r="N6298" s="2"/>
      <c r="O6298" s="20"/>
      <c r="P6298" s="42"/>
      <c r="R6298" s="23"/>
    </row>
    <row r="6299" spans="1:18" ht="12.75">
      <c r="A6299" s="12"/>
      <c r="D6299" s="12"/>
      <c r="E6299" s="12"/>
      <c r="H6299" s="11" t="str">
        <f ca="1">IFERROR(__xludf.DUMMYFUNCTION("IFERROR(SUBSTITUTE(SUBSTITUTE(REGEXEXTRACT(A6299, ""[^-]+- [^-]+- [^-]+ - (.+?)\.jpg""), "".jpg"", """"), ""-"", "", ""), """")"),"")</f>
        <v/>
      </c>
      <c r="L6299" s="12"/>
      <c r="M6299" s="13"/>
      <c r="N6299" s="2"/>
      <c r="O6299" s="20"/>
      <c r="P6299" s="42"/>
      <c r="R6299" s="23"/>
    </row>
    <row r="6300" spans="1:18" ht="12.75">
      <c r="A6300" s="12"/>
      <c r="D6300" s="12"/>
      <c r="E6300" s="12"/>
      <c r="H6300" s="11" t="str">
        <f ca="1">IFERROR(__xludf.DUMMYFUNCTION("IFERROR(SUBSTITUTE(SUBSTITUTE(REGEXEXTRACT(A6300, ""[^-]+- [^-]+- [^-]+ - (.+?)\.jpg""), "".jpg"", """"), ""-"", "", ""), """")"),"")</f>
        <v/>
      </c>
      <c r="L6300" s="12"/>
      <c r="M6300" s="13"/>
      <c r="N6300" s="2"/>
      <c r="O6300" s="20"/>
      <c r="P6300" s="42"/>
      <c r="R6300" s="23"/>
    </row>
    <row r="6301" spans="1:18" ht="12.75">
      <c r="A6301" s="12"/>
      <c r="D6301" s="12"/>
      <c r="E6301" s="12"/>
      <c r="H6301" s="11" t="str">
        <f ca="1">IFERROR(__xludf.DUMMYFUNCTION("IFERROR(SUBSTITUTE(SUBSTITUTE(REGEXEXTRACT(A6301, ""[^-]+- [^-]+- [^-]+ - (.+?)\.jpg""), "".jpg"", """"), ""-"", "", ""), """")"),"")</f>
        <v/>
      </c>
      <c r="L6301" s="12"/>
      <c r="M6301" s="13"/>
      <c r="N6301" s="2"/>
      <c r="O6301" s="20"/>
      <c r="P6301" s="42"/>
      <c r="R6301" s="23"/>
    </row>
    <row r="6302" spans="1:18" ht="12.75">
      <c r="A6302" s="12"/>
      <c r="D6302" s="12"/>
      <c r="E6302" s="12"/>
      <c r="H6302" s="11" t="str">
        <f ca="1">IFERROR(__xludf.DUMMYFUNCTION("IFERROR(SUBSTITUTE(SUBSTITUTE(REGEXEXTRACT(A6302, ""[^-]+- [^-]+- [^-]+ - (.+?)\.jpg""), "".jpg"", """"), ""-"", "", ""), """")"),"")</f>
        <v/>
      </c>
      <c r="L6302" s="12"/>
      <c r="M6302" s="13"/>
      <c r="N6302" s="2"/>
      <c r="O6302" s="20"/>
      <c r="P6302" s="42"/>
      <c r="R6302" s="23"/>
    </row>
    <row r="6303" spans="1:18" ht="12.75">
      <c r="A6303" s="12"/>
      <c r="D6303" s="12"/>
      <c r="E6303" s="12"/>
      <c r="H6303" s="11" t="str">
        <f ca="1">IFERROR(__xludf.DUMMYFUNCTION("IFERROR(SUBSTITUTE(SUBSTITUTE(REGEXEXTRACT(A6303, ""[^-]+- [^-]+- [^-]+ - (.+?)\.jpg""), "".jpg"", """"), ""-"", "", ""), """")"),"")</f>
        <v/>
      </c>
      <c r="L6303" s="12"/>
      <c r="M6303" s="13"/>
      <c r="N6303" s="2"/>
      <c r="O6303" s="20"/>
      <c r="P6303" s="42"/>
      <c r="R6303" s="23"/>
    </row>
    <row r="6304" spans="1:18" ht="12.75">
      <c r="A6304" s="12"/>
      <c r="D6304" s="12"/>
      <c r="E6304" s="12"/>
      <c r="H6304" s="11" t="str">
        <f ca="1">IFERROR(__xludf.DUMMYFUNCTION("IFERROR(SUBSTITUTE(SUBSTITUTE(REGEXEXTRACT(A6304, ""[^-]+- [^-]+- [^-]+ - (.+?)\.jpg""), "".jpg"", """"), ""-"", "", ""), """")"),"")</f>
        <v/>
      </c>
      <c r="L6304" s="12"/>
      <c r="M6304" s="13"/>
      <c r="N6304" s="2"/>
      <c r="O6304" s="20"/>
      <c r="P6304" s="42"/>
      <c r="R6304" s="23"/>
    </row>
    <row r="6305" spans="1:18" ht="12.75">
      <c r="A6305" s="12"/>
      <c r="D6305" s="12"/>
      <c r="E6305" s="12"/>
      <c r="H6305" s="11" t="str">
        <f ca="1">IFERROR(__xludf.DUMMYFUNCTION("IFERROR(SUBSTITUTE(SUBSTITUTE(REGEXEXTRACT(A6305, ""[^-]+- [^-]+- [^-]+ - (.+?)\.jpg""), "".jpg"", """"), ""-"", "", ""), """")"),"")</f>
        <v/>
      </c>
      <c r="L6305" s="12"/>
      <c r="M6305" s="13"/>
      <c r="N6305" s="2"/>
      <c r="O6305" s="20"/>
      <c r="P6305" s="42"/>
      <c r="R6305" s="23"/>
    </row>
    <row r="6306" spans="1:18" ht="12.75">
      <c r="A6306" s="12"/>
      <c r="D6306" s="12"/>
      <c r="E6306" s="12"/>
      <c r="H6306" s="11" t="str">
        <f ca="1">IFERROR(__xludf.DUMMYFUNCTION("IFERROR(SUBSTITUTE(SUBSTITUTE(REGEXEXTRACT(A6306, ""[^-]+- [^-]+- [^-]+ - (.+?)\.jpg""), "".jpg"", """"), ""-"", "", ""), """")"),"")</f>
        <v/>
      </c>
      <c r="L6306" s="12"/>
      <c r="M6306" s="13"/>
      <c r="N6306" s="2"/>
      <c r="O6306" s="20"/>
      <c r="P6306" s="42"/>
      <c r="R6306" s="23"/>
    </row>
    <row r="6307" spans="1:18" ht="12.75">
      <c r="A6307" s="12"/>
      <c r="D6307" s="12"/>
      <c r="E6307" s="12"/>
      <c r="H6307" s="11" t="str">
        <f ca="1">IFERROR(__xludf.DUMMYFUNCTION("IFERROR(SUBSTITUTE(SUBSTITUTE(REGEXEXTRACT(A6307, ""[^-]+- [^-]+- [^-]+ - (.+?)\.jpg""), "".jpg"", """"), ""-"", "", ""), """")"),"")</f>
        <v/>
      </c>
      <c r="L6307" s="12"/>
      <c r="M6307" s="13"/>
      <c r="N6307" s="2"/>
      <c r="O6307" s="20"/>
      <c r="P6307" s="42"/>
      <c r="R6307" s="23"/>
    </row>
    <row r="6308" spans="1:18" ht="12.75">
      <c r="A6308" s="12"/>
      <c r="D6308" s="12"/>
      <c r="E6308" s="12"/>
      <c r="H6308" s="11" t="str">
        <f ca="1">IFERROR(__xludf.DUMMYFUNCTION("IFERROR(SUBSTITUTE(SUBSTITUTE(REGEXEXTRACT(A6308, ""[^-]+- [^-]+- [^-]+ - (.+?)\.jpg""), "".jpg"", """"), ""-"", "", ""), """")"),"")</f>
        <v/>
      </c>
      <c r="L6308" s="12"/>
      <c r="M6308" s="13"/>
      <c r="N6308" s="2"/>
      <c r="O6308" s="20"/>
      <c r="P6308" s="42"/>
      <c r="R6308" s="23"/>
    </row>
    <row r="6309" spans="1:18" ht="12.75">
      <c r="A6309" s="12"/>
      <c r="D6309" s="12"/>
      <c r="E6309" s="12"/>
      <c r="H6309" s="11" t="str">
        <f ca="1">IFERROR(__xludf.DUMMYFUNCTION("IFERROR(SUBSTITUTE(SUBSTITUTE(REGEXEXTRACT(A6309, ""[^-]+- [^-]+- [^-]+ - (.+?)\.jpg""), "".jpg"", """"), ""-"", "", ""), """")"),"")</f>
        <v/>
      </c>
      <c r="L6309" s="12"/>
      <c r="M6309" s="13"/>
      <c r="N6309" s="2"/>
      <c r="O6309" s="20"/>
      <c r="P6309" s="42"/>
      <c r="R6309" s="23"/>
    </row>
    <row r="6310" spans="1:18" ht="12.75">
      <c r="A6310" s="12"/>
      <c r="D6310" s="12"/>
      <c r="E6310" s="12"/>
      <c r="H6310" s="11" t="str">
        <f ca="1">IFERROR(__xludf.DUMMYFUNCTION("IFERROR(SUBSTITUTE(SUBSTITUTE(REGEXEXTRACT(A6310, ""[^-]+- [^-]+- [^-]+ - (.+?)\.jpg""), "".jpg"", """"), ""-"", "", ""), """")"),"")</f>
        <v/>
      </c>
      <c r="L6310" s="12"/>
      <c r="M6310" s="13"/>
      <c r="N6310" s="2"/>
      <c r="O6310" s="20"/>
      <c r="P6310" s="42"/>
      <c r="R6310" s="23"/>
    </row>
    <row r="6311" spans="1:18" ht="12.75">
      <c r="A6311" s="12"/>
      <c r="D6311" s="12"/>
      <c r="E6311" s="12"/>
      <c r="H6311" s="11" t="str">
        <f ca="1">IFERROR(__xludf.DUMMYFUNCTION("IFERROR(SUBSTITUTE(SUBSTITUTE(REGEXEXTRACT(A6311, ""[^-]+- [^-]+- [^-]+ - (.+?)\.jpg""), "".jpg"", """"), ""-"", "", ""), """")"),"")</f>
        <v/>
      </c>
      <c r="L6311" s="12"/>
      <c r="M6311" s="13"/>
      <c r="N6311" s="2"/>
      <c r="O6311" s="20"/>
      <c r="P6311" s="42"/>
      <c r="R6311" s="23"/>
    </row>
    <row r="6312" spans="1:18" ht="12.75">
      <c r="A6312" s="12"/>
      <c r="D6312" s="12"/>
      <c r="E6312" s="12"/>
      <c r="H6312" s="11" t="str">
        <f ca="1">IFERROR(__xludf.DUMMYFUNCTION("IFERROR(SUBSTITUTE(SUBSTITUTE(REGEXEXTRACT(A6312, ""[^-]+- [^-]+- [^-]+ - (.+?)\.jpg""), "".jpg"", """"), ""-"", "", ""), """")"),"")</f>
        <v/>
      </c>
      <c r="L6312" s="12"/>
      <c r="M6312" s="13"/>
      <c r="N6312" s="2"/>
      <c r="O6312" s="20"/>
      <c r="P6312" s="42"/>
      <c r="R6312" s="23"/>
    </row>
    <row r="6313" spans="1:18" ht="12.75">
      <c r="A6313" s="12"/>
      <c r="D6313" s="12"/>
      <c r="E6313" s="12"/>
      <c r="H6313" s="11" t="str">
        <f ca="1">IFERROR(__xludf.DUMMYFUNCTION("IFERROR(SUBSTITUTE(SUBSTITUTE(REGEXEXTRACT(A6313, ""[^-]+- [^-]+- [^-]+ - (.+?)\.jpg""), "".jpg"", """"), ""-"", "", ""), """")"),"")</f>
        <v/>
      </c>
      <c r="L6313" s="12"/>
      <c r="M6313" s="13"/>
      <c r="N6313" s="2"/>
      <c r="O6313" s="20"/>
      <c r="P6313" s="42"/>
      <c r="R6313" s="23"/>
    </row>
    <row r="6314" spans="1:18" ht="12.75">
      <c r="A6314" s="12"/>
      <c r="D6314" s="12"/>
      <c r="E6314" s="12"/>
      <c r="H6314" s="11" t="str">
        <f ca="1">IFERROR(__xludf.DUMMYFUNCTION("IFERROR(SUBSTITUTE(SUBSTITUTE(REGEXEXTRACT(A6314, ""[^-]+- [^-]+- [^-]+ - (.+?)\.jpg""), "".jpg"", """"), ""-"", "", ""), """")"),"")</f>
        <v/>
      </c>
      <c r="L6314" s="12"/>
      <c r="M6314" s="13"/>
      <c r="N6314" s="2"/>
      <c r="O6314" s="20"/>
      <c r="P6314" s="42"/>
      <c r="R6314" s="23"/>
    </row>
    <row r="6315" spans="1:18" ht="12.75">
      <c r="A6315" s="12"/>
      <c r="D6315" s="12"/>
      <c r="E6315" s="12"/>
      <c r="H6315" s="11" t="str">
        <f ca="1">IFERROR(__xludf.DUMMYFUNCTION("IFERROR(SUBSTITUTE(SUBSTITUTE(REGEXEXTRACT(A6315, ""[^-]+- [^-]+- [^-]+ - (.+?)\.jpg""), "".jpg"", """"), ""-"", "", ""), """")"),"")</f>
        <v/>
      </c>
      <c r="L6315" s="12"/>
      <c r="M6315" s="13"/>
      <c r="N6315" s="2"/>
      <c r="O6315" s="20"/>
      <c r="P6315" s="42"/>
      <c r="R6315" s="23"/>
    </row>
    <row r="6316" spans="1:18" ht="12.75">
      <c r="A6316" s="12"/>
      <c r="D6316" s="12"/>
      <c r="E6316" s="12"/>
      <c r="H6316" s="11" t="str">
        <f ca="1">IFERROR(__xludf.DUMMYFUNCTION("IFERROR(SUBSTITUTE(SUBSTITUTE(REGEXEXTRACT(A6316, ""[^-]+- [^-]+- [^-]+ - (.+?)\.jpg""), "".jpg"", """"), ""-"", "", ""), """")"),"")</f>
        <v/>
      </c>
      <c r="L6316" s="12"/>
      <c r="M6316" s="13"/>
      <c r="N6316" s="2"/>
      <c r="O6316" s="20"/>
      <c r="P6316" s="42"/>
      <c r="R6316" s="23"/>
    </row>
    <row r="6317" spans="1:18" ht="12.75">
      <c r="A6317" s="12"/>
      <c r="D6317" s="12"/>
      <c r="E6317" s="12"/>
      <c r="H6317" s="11" t="str">
        <f ca="1">IFERROR(__xludf.DUMMYFUNCTION("IFERROR(SUBSTITUTE(SUBSTITUTE(REGEXEXTRACT(A6317, ""[^-]+- [^-]+- [^-]+ - (.+?)\.jpg""), "".jpg"", """"), ""-"", "", ""), """")"),"")</f>
        <v/>
      </c>
      <c r="L6317" s="12"/>
      <c r="M6317" s="13"/>
      <c r="N6317" s="2"/>
      <c r="O6317" s="20"/>
      <c r="P6317" s="42"/>
      <c r="R6317" s="23"/>
    </row>
    <row r="6318" spans="1:18" ht="12.75">
      <c r="A6318" s="12"/>
      <c r="D6318" s="12"/>
      <c r="E6318" s="12"/>
      <c r="H6318" s="11" t="str">
        <f ca="1">IFERROR(__xludf.DUMMYFUNCTION("IFERROR(SUBSTITUTE(SUBSTITUTE(REGEXEXTRACT(A6318, ""[^-]+- [^-]+- [^-]+ - (.+?)\.jpg""), "".jpg"", """"), ""-"", "", ""), """")"),"")</f>
        <v/>
      </c>
      <c r="L6318" s="12"/>
      <c r="M6318" s="13"/>
      <c r="N6318" s="2"/>
      <c r="O6318" s="20"/>
      <c r="P6318" s="42"/>
      <c r="R6318" s="23"/>
    </row>
    <row r="6319" spans="1:18" ht="12.75">
      <c r="A6319" s="12"/>
      <c r="D6319" s="12"/>
      <c r="E6319" s="12"/>
      <c r="H6319" s="11" t="str">
        <f ca="1">IFERROR(__xludf.DUMMYFUNCTION("IFERROR(SUBSTITUTE(SUBSTITUTE(REGEXEXTRACT(A6319, ""[^-]+- [^-]+- [^-]+ - (.+?)\.jpg""), "".jpg"", """"), ""-"", "", ""), """")"),"")</f>
        <v/>
      </c>
      <c r="L6319" s="12"/>
      <c r="M6319" s="13"/>
      <c r="N6319" s="2"/>
      <c r="O6319" s="20"/>
      <c r="P6319" s="42"/>
      <c r="R6319" s="23"/>
    </row>
    <row r="6320" spans="1:18" ht="12.75">
      <c r="A6320" s="12"/>
      <c r="D6320" s="12"/>
      <c r="E6320" s="12"/>
      <c r="H6320" s="11" t="str">
        <f ca="1">IFERROR(__xludf.DUMMYFUNCTION("IFERROR(SUBSTITUTE(SUBSTITUTE(REGEXEXTRACT(A6320, ""[^-]+- [^-]+- [^-]+ - (.+?)\.jpg""), "".jpg"", """"), ""-"", "", ""), """")"),"")</f>
        <v/>
      </c>
      <c r="L6320" s="12"/>
      <c r="M6320" s="13"/>
      <c r="N6320" s="2"/>
      <c r="O6320" s="20"/>
      <c r="P6320" s="42"/>
      <c r="R6320" s="23"/>
    </row>
    <row r="6321" spans="1:18" ht="12.75">
      <c r="A6321" s="12"/>
      <c r="D6321" s="12"/>
      <c r="E6321" s="12"/>
      <c r="H6321" s="11" t="str">
        <f ca="1">IFERROR(__xludf.DUMMYFUNCTION("IFERROR(SUBSTITUTE(SUBSTITUTE(REGEXEXTRACT(A6321, ""[^-]+- [^-]+- [^-]+ - (.+?)\.jpg""), "".jpg"", """"), ""-"", "", ""), """")"),"")</f>
        <v/>
      </c>
      <c r="L6321" s="12"/>
      <c r="M6321" s="13"/>
      <c r="N6321" s="2"/>
      <c r="O6321" s="20"/>
      <c r="P6321" s="42"/>
      <c r="R6321" s="23"/>
    </row>
    <row r="6322" spans="1:18" ht="12.75">
      <c r="A6322" s="12"/>
      <c r="D6322" s="12"/>
      <c r="E6322" s="12"/>
      <c r="H6322" s="11" t="str">
        <f ca="1">IFERROR(__xludf.DUMMYFUNCTION("IFERROR(SUBSTITUTE(SUBSTITUTE(REGEXEXTRACT(A6322, ""[^-]+- [^-]+- [^-]+ - (.+?)\.jpg""), "".jpg"", """"), ""-"", "", ""), """")"),"")</f>
        <v/>
      </c>
      <c r="L6322" s="12"/>
      <c r="M6322" s="13"/>
      <c r="N6322" s="2"/>
      <c r="O6322" s="20"/>
      <c r="P6322" s="42"/>
      <c r="R6322" s="23"/>
    </row>
    <row r="6323" spans="1:18" ht="12.75">
      <c r="A6323" s="12"/>
      <c r="D6323" s="12"/>
      <c r="E6323" s="12"/>
      <c r="H6323" s="11" t="str">
        <f ca="1">IFERROR(__xludf.DUMMYFUNCTION("IFERROR(SUBSTITUTE(SUBSTITUTE(REGEXEXTRACT(A6323, ""[^-]+- [^-]+- [^-]+ - (.+?)\.jpg""), "".jpg"", """"), ""-"", "", ""), """")"),"")</f>
        <v/>
      </c>
      <c r="L6323" s="12"/>
      <c r="M6323" s="13"/>
      <c r="N6323" s="2"/>
      <c r="O6323" s="20"/>
      <c r="P6323" s="42"/>
      <c r="R6323" s="23"/>
    </row>
    <row r="6324" spans="1:18" ht="12.75">
      <c r="A6324" s="12"/>
      <c r="D6324" s="12"/>
      <c r="E6324" s="12"/>
      <c r="H6324" s="11" t="str">
        <f ca="1">IFERROR(__xludf.DUMMYFUNCTION("IFERROR(SUBSTITUTE(SUBSTITUTE(REGEXEXTRACT(A6324, ""[^-]+- [^-]+- [^-]+ - (.+?)\.jpg""), "".jpg"", """"), ""-"", "", ""), """")"),"")</f>
        <v/>
      </c>
      <c r="L6324" s="12"/>
      <c r="M6324" s="13"/>
      <c r="N6324" s="2"/>
      <c r="O6324" s="20"/>
      <c r="P6324" s="42"/>
      <c r="R6324" s="23"/>
    </row>
    <row r="6325" spans="1:18" ht="12.75">
      <c r="A6325" s="12"/>
      <c r="D6325" s="12"/>
      <c r="E6325" s="12"/>
      <c r="H6325" s="11" t="str">
        <f ca="1">IFERROR(__xludf.DUMMYFUNCTION("IFERROR(SUBSTITUTE(SUBSTITUTE(REGEXEXTRACT(A6325, ""[^-]+- [^-]+- [^-]+ - (.+?)\.jpg""), "".jpg"", """"), ""-"", "", ""), """")"),"")</f>
        <v/>
      </c>
      <c r="L6325" s="12"/>
      <c r="M6325" s="13"/>
      <c r="N6325" s="2"/>
      <c r="O6325" s="20"/>
      <c r="P6325" s="42"/>
      <c r="R6325" s="23"/>
    </row>
    <row r="6326" spans="1:18" ht="12.75">
      <c r="A6326" s="12"/>
      <c r="D6326" s="12"/>
      <c r="E6326" s="12"/>
      <c r="H6326" s="11" t="str">
        <f ca="1">IFERROR(__xludf.DUMMYFUNCTION("IFERROR(SUBSTITUTE(SUBSTITUTE(REGEXEXTRACT(A6326, ""[^-]+- [^-]+- [^-]+ - (.+?)\.jpg""), "".jpg"", """"), ""-"", "", ""), """")"),"")</f>
        <v/>
      </c>
      <c r="L6326" s="12"/>
      <c r="M6326" s="13"/>
      <c r="N6326" s="2"/>
      <c r="O6326" s="20"/>
      <c r="P6326" s="42"/>
      <c r="R6326" s="23"/>
    </row>
    <row r="6327" spans="1:18" ht="12.75">
      <c r="A6327" s="12"/>
      <c r="D6327" s="12"/>
      <c r="E6327" s="12"/>
      <c r="H6327" s="11" t="str">
        <f ca="1">IFERROR(__xludf.DUMMYFUNCTION("IFERROR(SUBSTITUTE(SUBSTITUTE(REGEXEXTRACT(A6327, ""[^-]+- [^-]+- [^-]+ - (.+?)\.jpg""), "".jpg"", """"), ""-"", "", ""), """")"),"")</f>
        <v/>
      </c>
      <c r="L6327" s="12"/>
      <c r="M6327" s="13"/>
      <c r="N6327" s="2"/>
      <c r="O6327" s="20"/>
      <c r="P6327" s="42"/>
      <c r="R6327" s="23"/>
    </row>
    <row r="6328" spans="1:18" ht="12.75">
      <c r="A6328" s="12"/>
      <c r="D6328" s="12"/>
      <c r="E6328" s="12"/>
      <c r="H6328" s="11" t="str">
        <f ca="1">IFERROR(__xludf.DUMMYFUNCTION("IFERROR(SUBSTITUTE(SUBSTITUTE(REGEXEXTRACT(A6328, ""[^-]+- [^-]+- [^-]+ - (.+?)\.jpg""), "".jpg"", """"), ""-"", "", ""), """")"),"")</f>
        <v/>
      </c>
      <c r="L6328" s="12"/>
      <c r="M6328" s="13"/>
      <c r="N6328" s="2"/>
      <c r="O6328" s="20"/>
      <c r="P6328" s="42"/>
      <c r="R6328" s="23"/>
    </row>
    <row r="6329" spans="1:18" ht="12.75">
      <c r="A6329" s="12"/>
      <c r="D6329" s="12"/>
      <c r="E6329" s="12"/>
      <c r="H6329" s="11" t="str">
        <f ca="1">IFERROR(__xludf.DUMMYFUNCTION("IFERROR(SUBSTITUTE(SUBSTITUTE(REGEXEXTRACT(A6329, ""[^-]+- [^-]+- [^-]+ - (.+?)\.jpg""), "".jpg"", """"), ""-"", "", ""), """")"),"")</f>
        <v/>
      </c>
      <c r="L6329" s="12"/>
      <c r="M6329" s="13"/>
      <c r="N6329" s="2"/>
      <c r="O6329" s="20"/>
      <c r="P6329" s="42"/>
      <c r="R6329" s="23"/>
    </row>
    <row r="6330" spans="1:18" ht="12.75">
      <c r="A6330" s="12"/>
      <c r="D6330" s="12"/>
      <c r="E6330" s="12"/>
      <c r="H6330" s="11" t="str">
        <f ca="1">IFERROR(__xludf.DUMMYFUNCTION("IFERROR(SUBSTITUTE(SUBSTITUTE(REGEXEXTRACT(A6330, ""[^-]+- [^-]+- [^-]+ - (.+?)\.jpg""), "".jpg"", """"), ""-"", "", ""), """")"),"")</f>
        <v/>
      </c>
      <c r="L6330" s="12"/>
      <c r="M6330" s="13"/>
      <c r="N6330" s="2"/>
      <c r="O6330" s="20"/>
      <c r="P6330" s="42"/>
      <c r="R6330" s="23"/>
    </row>
    <row r="6331" spans="1:18" ht="12.75">
      <c r="A6331" s="12"/>
      <c r="D6331" s="12"/>
      <c r="E6331" s="12"/>
      <c r="H6331" s="11" t="str">
        <f ca="1">IFERROR(__xludf.DUMMYFUNCTION("IFERROR(SUBSTITUTE(SUBSTITUTE(REGEXEXTRACT(A6331, ""[^-]+- [^-]+- [^-]+ - (.+?)\.jpg""), "".jpg"", """"), ""-"", "", ""), """")"),"")</f>
        <v/>
      </c>
      <c r="L6331" s="12"/>
      <c r="M6331" s="13"/>
      <c r="N6331" s="2"/>
      <c r="O6331" s="20"/>
      <c r="P6331" s="42"/>
      <c r="R6331" s="23"/>
    </row>
    <row r="6332" spans="1:18" ht="12.75">
      <c r="A6332" s="12"/>
      <c r="D6332" s="12"/>
      <c r="E6332" s="12"/>
      <c r="H6332" s="11" t="str">
        <f ca="1">IFERROR(__xludf.DUMMYFUNCTION("IFERROR(SUBSTITUTE(SUBSTITUTE(REGEXEXTRACT(A6332, ""[^-]+- [^-]+- [^-]+ - (.+?)\.jpg""), "".jpg"", """"), ""-"", "", ""), """")"),"")</f>
        <v/>
      </c>
      <c r="L6332" s="12"/>
      <c r="M6332" s="13"/>
      <c r="N6332" s="2"/>
      <c r="O6332" s="20"/>
      <c r="P6332" s="42"/>
      <c r="R6332" s="23"/>
    </row>
    <row r="6333" spans="1:18" ht="12.75">
      <c r="A6333" s="12"/>
      <c r="D6333" s="12"/>
      <c r="E6333" s="12"/>
      <c r="H6333" s="11" t="str">
        <f ca="1">IFERROR(__xludf.DUMMYFUNCTION("IFERROR(SUBSTITUTE(SUBSTITUTE(REGEXEXTRACT(A6333, ""[^-]+- [^-]+- [^-]+ - (.+?)\.jpg""), "".jpg"", """"), ""-"", "", ""), """")"),"")</f>
        <v/>
      </c>
      <c r="L6333" s="12"/>
      <c r="M6333" s="13"/>
      <c r="N6333" s="2"/>
      <c r="O6333" s="20"/>
      <c r="P6333" s="42"/>
      <c r="R6333" s="23"/>
    </row>
    <row r="6334" spans="1:18" ht="12.75">
      <c r="A6334" s="12"/>
      <c r="D6334" s="12"/>
      <c r="E6334" s="12"/>
      <c r="H6334" s="11" t="str">
        <f ca="1">IFERROR(__xludf.DUMMYFUNCTION("IFERROR(SUBSTITUTE(SUBSTITUTE(REGEXEXTRACT(A6334, ""[^-]+- [^-]+- [^-]+ - (.+?)\.jpg""), "".jpg"", """"), ""-"", "", ""), """")"),"")</f>
        <v/>
      </c>
      <c r="L6334" s="12"/>
      <c r="M6334" s="13"/>
      <c r="N6334" s="2"/>
      <c r="O6334" s="20"/>
      <c r="P6334" s="42"/>
      <c r="R6334" s="23"/>
    </row>
    <row r="6335" spans="1:18" ht="12.75">
      <c r="A6335" s="12"/>
      <c r="D6335" s="12"/>
      <c r="E6335" s="12"/>
      <c r="H6335" s="11" t="str">
        <f ca="1">IFERROR(__xludf.DUMMYFUNCTION("IFERROR(SUBSTITUTE(SUBSTITUTE(REGEXEXTRACT(A6335, ""[^-]+- [^-]+- [^-]+ - (.+?)\.jpg""), "".jpg"", """"), ""-"", "", ""), """")"),"")</f>
        <v/>
      </c>
      <c r="L6335" s="12"/>
      <c r="M6335" s="13"/>
      <c r="N6335" s="2"/>
      <c r="O6335" s="20"/>
      <c r="P6335" s="42"/>
      <c r="R6335" s="23"/>
    </row>
    <row r="6336" spans="1:18" ht="12.75">
      <c r="A6336" s="12"/>
      <c r="D6336" s="12"/>
      <c r="E6336" s="12"/>
      <c r="H6336" s="11" t="str">
        <f ca="1">IFERROR(__xludf.DUMMYFUNCTION("IFERROR(SUBSTITUTE(SUBSTITUTE(REGEXEXTRACT(A6336, ""[^-]+- [^-]+- [^-]+ - (.+?)\.jpg""), "".jpg"", """"), ""-"", "", ""), """")"),"")</f>
        <v/>
      </c>
      <c r="L6336" s="12"/>
      <c r="M6336" s="13"/>
      <c r="N6336" s="2"/>
      <c r="O6336" s="20"/>
      <c r="P6336" s="42"/>
      <c r="R6336" s="23"/>
    </row>
    <row r="6337" spans="1:18" ht="12.75">
      <c r="A6337" s="12"/>
      <c r="D6337" s="12"/>
      <c r="E6337" s="12"/>
      <c r="H6337" s="11" t="str">
        <f ca="1">IFERROR(__xludf.DUMMYFUNCTION("IFERROR(SUBSTITUTE(SUBSTITUTE(REGEXEXTRACT(A6337, ""[^-]+- [^-]+- [^-]+ - (.+?)\.jpg""), "".jpg"", """"), ""-"", "", ""), """")"),"")</f>
        <v/>
      </c>
      <c r="L6337" s="12"/>
      <c r="M6337" s="13"/>
      <c r="N6337" s="2"/>
      <c r="O6337" s="20"/>
      <c r="P6337" s="42"/>
      <c r="R6337" s="23"/>
    </row>
    <row r="6338" spans="1:18" ht="12.75">
      <c r="A6338" s="12"/>
      <c r="D6338" s="12"/>
      <c r="E6338" s="12"/>
      <c r="H6338" s="11" t="str">
        <f ca="1">IFERROR(__xludf.DUMMYFUNCTION("IFERROR(SUBSTITUTE(SUBSTITUTE(REGEXEXTRACT(A6338, ""[^-]+- [^-]+- [^-]+ - (.+?)\.jpg""), "".jpg"", """"), ""-"", "", ""), """")"),"")</f>
        <v/>
      </c>
      <c r="L6338" s="12"/>
      <c r="M6338" s="13"/>
      <c r="N6338" s="2"/>
      <c r="O6338" s="20"/>
      <c r="P6338" s="42"/>
      <c r="R6338" s="23"/>
    </row>
    <row r="6339" spans="1:18" ht="12.75">
      <c r="A6339" s="12"/>
      <c r="D6339" s="12"/>
      <c r="E6339" s="12"/>
      <c r="H6339" s="11" t="str">
        <f ca="1">IFERROR(__xludf.DUMMYFUNCTION("IFERROR(SUBSTITUTE(SUBSTITUTE(REGEXEXTRACT(A6339, ""[^-]+- [^-]+- [^-]+ - (.+?)\.jpg""), "".jpg"", """"), ""-"", "", ""), """")"),"")</f>
        <v/>
      </c>
      <c r="L6339" s="12"/>
      <c r="M6339" s="13"/>
      <c r="N6339" s="2"/>
      <c r="O6339" s="20"/>
      <c r="P6339" s="42"/>
      <c r="R6339" s="23"/>
    </row>
    <row r="6340" spans="1:18" ht="12.75">
      <c r="A6340" s="12"/>
      <c r="D6340" s="12"/>
      <c r="E6340" s="12"/>
      <c r="H6340" s="11" t="str">
        <f ca="1">IFERROR(__xludf.DUMMYFUNCTION("IFERROR(SUBSTITUTE(SUBSTITUTE(REGEXEXTRACT(A6340, ""[^-]+- [^-]+- [^-]+ - (.+?)\.jpg""), "".jpg"", """"), ""-"", "", ""), """")"),"")</f>
        <v/>
      </c>
      <c r="L6340" s="12"/>
      <c r="M6340" s="13"/>
      <c r="N6340" s="2"/>
      <c r="O6340" s="20"/>
      <c r="P6340" s="42"/>
      <c r="R6340" s="23"/>
    </row>
    <row r="6341" spans="1:18" ht="12.75">
      <c r="A6341" s="12"/>
      <c r="D6341" s="12"/>
      <c r="E6341" s="12"/>
      <c r="H6341" s="11" t="str">
        <f ca="1">IFERROR(__xludf.DUMMYFUNCTION("IFERROR(SUBSTITUTE(SUBSTITUTE(REGEXEXTRACT(A6341, ""[^-]+- [^-]+- [^-]+ - (.+?)\.jpg""), "".jpg"", """"), ""-"", "", ""), """")"),"")</f>
        <v/>
      </c>
      <c r="L6341" s="12"/>
      <c r="M6341" s="13"/>
      <c r="N6341" s="2"/>
      <c r="O6341" s="20"/>
      <c r="P6341" s="42"/>
      <c r="R6341" s="23"/>
    </row>
    <row r="6342" spans="1:18" ht="12.75">
      <c r="A6342" s="12"/>
      <c r="D6342" s="12"/>
      <c r="E6342" s="12"/>
      <c r="H6342" s="11" t="str">
        <f ca="1">IFERROR(__xludf.DUMMYFUNCTION("IFERROR(SUBSTITUTE(SUBSTITUTE(REGEXEXTRACT(A6342, ""[^-]+- [^-]+- [^-]+ - (.+?)\.jpg""), "".jpg"", """"), ""-"", "", ""), """")"),"")</f>
        <v/>
      </c>
      <c r="L6342" s="12"/>
      <c r="M6342" s="13"/>
      <c r="N6342" s="2"/>
      <c r="O6342" s="20"/>
      <c r="P6342" s="42"/>
      <c r="R6342" s="23"/>
    </row>
    <row r="6343" spans="1:18" ht="12.75">
      <c r="A6343" s="12"/>
      <c r="D6343" s="12"/>
      <c r="E6343" s="12"/>
      <c r="H6343" s="11" t="str">
        <f ca="1">IFERROR(__xludf.DUMMYFUNCTION("IFERROR(SUBSTITUTE(SUBSTITUTE(REGEXEXTRACT(A6343, ""[^-]+- [^-]+- [^-]+ - (.+?)\.jpg""), "".jpg"", """"), ""-"", "", ""), """")"),"")</f>
        <v/>
      </c>
      <c r="L6343" s="12"/>
      <c r="M6343" s="13"/>
      <c r="N6343" s="2"/>
      <c r="O6343" s="20"/>
      <c r="P6343" s="42"/>
      <c r="R6343" s="23"/>
    </row>
    <row r="6344" spans="1:18" ht="12.75">
      <c r="A6344" s="12"/>
      <c r="D6344" s="12"/>
      <c r="E6344" s="12"/>
      <c r="H6344" s="11" t="str">
        <f ca="1">IFERROR(__xludf.DUMMYFUNCTION("IFERROR(SUBSTITUTE(SUBSTITUTE(REGEXEXTRACT(A6344, ""[^-]+- [^-]+- [^-]+ - (.+?)\.jpg""), "".jpg"", """"), ""-"", "", ""), """")"),"")</f>
        <v/>
      </c>
      <c r="L6344" s="12"/>
      <c r="M6344" s="13"/>
      <c r="N6344" s="2"/>
      <c r="O6344" s="20"/>
      <c r="P6344" s="42"/>
      <c r="R6344" s="23"/>
    </row>
    <row r="6345" spans="1:18" ht="12.75">
      <c r="A6345" s="12"/>
      <c r="D6345" s="12"/>
      <c r="E6345" s="12"/>
      <c r="H6345" s="11" t="str">
        <f ca="1">IFERROR(__xludf.DUMMYFUNCTION("IFERROR(SUBSTITUTE(SUBSTITUTE(REGEXEXTRACT(A6345, ""[^-]+- [^-]+- [^-]+ - (.+?)\.jpg""), "".jpg"", """"), ""-"", "", ""), """")"),"")</f>
        <v/>
      </c>
      <c r="L6345" s="12"/>
      <c r="M6345" s="13"/>
      <c r="N6345" s="2"/>
      <c r="O6345" s="20"/>
      <c r="P6345" s="42"/>
      <c r="R6345" s="23"/>
    </row>
    <row r="6346" spans="1:18" ht="12.75">
      <c r="A6346" s="12"/>
      <c r="D6346" s="12"/>
      <c r="E6346" s="12"/>
      <c r="H6346" s="11" t="str">
        <f ca="1">IFERROR(__xludf.DUMMYFUNCTION("IFERROR(SUBSTITUTE(SUBSTITUTE(REGEXEXTRACT(A6346, ""[^-]+- [^-]+- [^-]+ - (.+?)\.jpg""), "".jpg"", """"), ""-"", "", ""), """")"),"")</f>
        <v/>
      </c>
      <c r="L6346" s="12"/>
      <c r="M6346" s="13"/>
      <c r="N6346" s="2"/>
      <c r="O6346" s="20"/>
      <c r="P6346" s="42"/>
      <c r="R6346" s="23"/>
    </row>
    <row r="6347" spans="1:18" ht="12.75">
      <c r="A6347" s="12"/>
      <c r="D6347" s="12"/>
      <c r="E6347" s="12"/>
      <c r="H6347" s="11" t="str">
        <f ca="1">IFERROR(__xludf.DUMMYFUNCTION("IFERROR(SUBSTITUTE(SUBSTITUTE(REGEXEXTRACT(A6347, ""[^-]+- [^-]+- [^-]+ - (.+?)\.jpg""), "".jpg"", """"), ""-"", "", ""), """")"),"")</f>
        <v/>
      </c>
      <c r="L6347" s="12"/>
      <c r="M6347" s="13"/>
      <c r="N6347" s="2"/>
      <c r="O6347" s="20"/>
      <c r="P6347" s="42"/>
      <c r="R6347" s="23"/>
    </row>
    <row r="6348" spans="1:18" ht="12.75">
      <c r="A6348" s="12"/>
      <c r="D6348" s="12"/>
      <c r="E6348" s="12"/>
      <c r="H6348" s="11" t="str">
        <f ca="1">IFERROR(__xludf.DUMMYFUNCTION("IFERROR(SUBSTITUTE(SUBSTITUTE(REGEXEXTRACT(A6348, ""[^-]+- [^-]+- [^-]+ - (.+?)\.jpg""), "".jpg"", """"), ""-"", "", ""), """")"),"")</f>
        <v/>
      </c>
      <c r="L6348" s="12"/>
      <c r="M6348" s="13"/>
      <c r="N6348" s="2"/>
      <c r="O6348" s="20"/>
      <c r="P6348" s="42"/>
      <c r="R6348" s="23"/>
    </row>
    <row r="6349" spans="1:18" ht="12.75">
      <c r="A6349" s="12"/>
      <c r="D6349" s="12"/>
      <c r="E6349" s="12"/>
      <c r="H6349" s="11" t="str">
        <f ca="1">IFERROR(__xludf.DUMMYFUNCTION("IFERROR(SUBSTITUTE(SUBSTITUTE(REGEXEXTRACT(A6349, ""[^-]+- [^-]+- [^-]+ - (.+?)\.jpg""), "".jpg"", """"), ""-"", "", ""), """")"),"")</f>
        <v/>
      </c>
      <c r="L6349" s="12"/>
      <c r="M6349" s="13"/>
      <c r="N6349" s="2"/>
      <c r="O6349" s="20"/>
      <c r="P6349" s="42"/>
      <c r="R6349" s="23"/>
    </row>
    <row r="6350" spans="1:18" ht="12.75">
      <c r="A6350" s="12"/>
      <c r="D6350" s="12"/>
      <c r="E6350" s="12"/>
      <c r="H6350" s="11" t="str">
        <f ca="1">IFERROR(__xludf.DUMMYFUNCTION("IFERROR(SUBSTITUTE(SUBSTITUTE(REGEXEXTRACT(A6350, ""[^-]+- [^-]+- [^-]+ - (.+?)\.jpg""), "".jpg"", """"), ""-"", "", ""), """")"),"")</f>
        <v/>
      </c>
      <c r="L6350" s="12"/>
      <c r="M6350" s="13"/>
      <c r="N6350" s="2"/>
      <c r="O6350" s="20"/>
      <c r="P6350" s="42"/>
      <c r="R6350" s="23"/>
    </row>
    <row r="6351" spans="1:18" ht="12.75">
      <c r="A6351" s="12"/>
      <c r="D6351" s="12"/>
      <c r="E6351" s="12"/>
      <c r="H6351" s="11" t="str">
        <f ca="1">IFERROR(__xludf.DUMMYFUNCTION("IFERROR(SUBSTITUTE(SUBSTITUTE(REGEXEXTRACT(A6351, ""[^-]+- [^-]+- [^-]+ - (.+?)\.jpg""), "".jpg"", """"), ""-"", "", ""), """")"),"")</f>
        <v/>
      </c>
      <c r="L6351" s="12"/>
      <c r="M6351" s="13"/>
      <c r="N6351" s="2"/>
      <c r="O6351" s="20"/>
      <c r="P6351" s="42"/>
      <c r="R6351" s="23"/>
    </row>
    <row r="6352" spans="1:18" ht="12.75">
      <c r="A6352" s="12"/>
      <c r="D6352" s="12"/>
      <c r="E6352" s="12"/>
      <c r="H6352" s="11" t="str">
        <f ca="1">IFERROR(__xludf.DUMMYFUNCTION("IFERROR(SUBSTITUTE(SUBSTITUTE(REGEXEXTRACT(A6352, ""[^-]+- [^-]+- [^-]+ - (.+?)\.jpg""), "".jpg"", """"), ""-"", "", ""), """")"),"")</f>
        <v/>
      </c>
      <c r="L6352" s="12"/>
      <c r="M6352" s="13"/>
      <c r="N6352" s="2"/>
      <c r="O6352" s="20"/>
      <c r="P6352" s="42"/>
      <c r="R6352" s="23"/>
    </row>
    <row r="6353" spans="1:18" ht="12.75">
      <c r="A6353" s="12"/>
      <c r="D6353" s="12"/>
      <c r="E6353" s="12"/>
      <c r="H6353" s="11" t="str">
        <f ca="1">IFERROR(__xludf.DUMMYFUNCTION("IFERROR(SUBSTITUTE(SUBSTITUTE(REGEXEXTRACT(A6353, ""[^-]+- [^-]+- [^-]+ - (.+?)\.jpg""), "".jpg"", """"), ""-"", "", ""), """")"),"")</f>
        <v/>
      </c>
      <c r="L6353" s="12"/>
      <c r="M6353" s="13"/>
      <c r="N6353" s="2"/>
      <c r="O6353" s="20"/>
      <c r="P6353" s="42"/>
      <c r="R6353" s="23"/>
    </row>
    <row r="6354" spans="1:18" ht="12.75">
      <c r="A6354" s="12"/>
      <c r="D6354" s="12"/>
      <c r="E6354" s="12"/>
      <c r="H6354" s="11" t="str">
        <f ca="1">IFERROR(__xludf.DUMMYFUNCTION("IFERROR(SUBSTITUTE(SUBSTITUTE(REGEXEXTRACT(A6354, ""[^-]+- [^-]+- [^-]+ - (.+?)\.jpg""), "".jpg"", """"), ""-"", "", ""), """")"),"")</f>
        <v/>
      </c>
      <c r="L6354" s="12"/>
      <c r="M6354" s="13"/>
      <c r="N6354" s="2"/>
      <c r="O6354" s="20"/>
      <c r="P6354" s="42"/>
      <c r="R6354" s="23"/>
    </row>
    <row r="6355" spans="1:18" ht="12.75">
      <c r="A6355" s="12"/>
      <c r="D6355" s="12"/>
      <c r="E6355" s="12"/>
      <c r="H6355" s="11" t="str">
        <f ca="1">IFERROR(__xludf.DUMMYFUNCTION("IFERROR(SUBSTITUTE(SUBSTITUTE(REGEXEXTRACT(A6355, ""[^-]+- [^-]+- [^-]+ - (.+?)\.jpg""), "".jpg"", """"), ""-"", "", ""), """")"),"")</f>
        <v/>
      </c>
      <c r="L6355" s="12"/>
      <c r="M6355" s="13"/>
      <c r="N6355" s="2"/>
      <c r="O6355" s="20"/>
      <c r="P6355" s="42"/>
      <c r="R6355" s="23"/>
    </row>
    <row r="6356" spans="1:18" ht="12.75">
      <c r="A6356" s="12"/>
      <c r="D6356" s="12"/>
      <c r="E6356" s="12"/>
      <c r="H6356" s="11" t="str">
        <f ca="1">IFERROR(__xludf.DUMMYFUNCTION("IFERROR(SUBSTITUTE(SUBSTITUTE(REGEXEXTRACT(A6356, ""[^-]+- [^-]+- [^-]+ - (.+?)\.jpg""), "".jpg"", """"), ""-"", "", ""), """")"),"")</f>
        <v/>
      </c>
      <c r="L6356" s="12"/>
      <c r="M6356" s="13"/>
      <c r="N6356" s="2"/>
      <c r="O6356" s="20"/>
      <c r="P6356" s="42"/>
      <c r="R6356" s="23"/>
    </row>
    <row r="6357" spans="1:18" ht="12.75">
      <c r="A6357" s="12"/>
      <c r="D6357" s="12"/>
      <c r="E6357" s="12"/>
      <c r="H6357" s="11" t="str">
        <f ca="1">IFERROR(__xludf.DUMMYFUNCTION("IFERROR(SUBSTITUTE(SUBSTITUTE(REGEXEXTRACT(A6357, ""[^-]+- [^-]+- [^-]+ - (.+?)\.jpg""), "".jpg"", """"), ""-"", "", ""), """")"),"")</f>
        <v/>
      </c>
      <c r="L6357" s="12"/>
      <c r="M6357" s="13"/>
      <c r="N6357" s="2"/>
      <c r="O6357" s="20"/>
      <c r="P6357" s="42"/>
      <c r="R6357" s="23"/>
    </row>
    <row r="6358" spans="1:18" ht="12.75">
      <c r="A6358" s="12"/>
      <c r="D6358" s="12"/>
      <c r="E6358" s="12"/>
      <c r="H6358" s="11" t="str">
        <f ca="1">IFERROR(__xludf.DUMMYFUNCTION("IFERROR(SUBSTITUTE(SUBSTITUTE(REGEXEXTRACT(A6358, ""[^-]+- [^-]+- [^-]+ - (.+?)\.jpg""), "".jpg"", """"), ""-"", "", ""), """")"),"")</f>
        <v/>
      </c>
      <c r="L6358" s="12"/>
      <c r="M6358" s="13"/>
      <c r="N6358" s="2"/>
      <c r="O6358" s="20"/>
      <c r="P6358" s="42"/>
      <c r="R6358" s="23"/>
    </row>
    <row r="6359" spans="1:18" ht="12.75">
      <c r="A6359" s="12"/>
      <c r="D6359" s="12"/>
      <c r="E6359" s="12"/>
      <c r="H6359" s="11" t="str">
        <f ca="1">IFERROR(__xludf.DUMMYFUNCTION("IFERROR(SUBSTITUTE(SUBSTITUTE(REGEXEXTRACT(A6359, ""[^-]+- [^-]+- [^-]+ - (.+?)\.jpg""), "".jpg"", """"), ""-"", "", ""), """")"),"")</f>
        <v/>
      </c>
      <c r="L6359" s="12"/>
      <c r="M6359" s="13"/>
      <c r="N6359" s="2"/>
      <c r="O6359" s="20"/>
      <c r="P6359" s="42"/>
      <c r="R6359" s="23"/>
    </row>
    <row r="6360" spans="1:18" ht="12.75">
      <c r="A6360" s="12"/>
      <c r="D6360" s="12"/>
      <c r="E6360" s="12"/>
      <c r="H6360" s="11" t="str">
        <f ca="1">IFERROR(__xludf.DUMMYFUNCTION("IFERROR(SUBSTITUTE(SUBSTITUTE(REGEXEXTRACT(A6360, ""[^-]+- [^-]+- [^-]+ - (.+?)\.jpg""), "".jpg"", """"), ""-"", "", ""), """")"),"")</f>
        <v/>
      </c>
      <c r="L6360" s="12"/>
      <c r="M6360" s="13"/>
      <c r="N6360" s="2"/>
      <c r="O6360" s="20"/>
      <c r="P6360" s="42"/>
      <c r="R6360" s="23"/>
    </row>
    <row r="6361" spans="1:18" ht="12.75">
      <c r="A6361" s="12"/>
      <c r="D6361" s="12"/>
      <c r="E6361" s="12"/>
      <c r="H6361" s="11" t="str">
        <f ca="1">IFERROR(__xludf.DUMMYFUNCTION("IFERROR(SUBSTITUTE(SUBSTITUTE(REGEXEXTRACT(A6361, ""[^-]+- [^-]+- [^-]+ - (.+?)\.jpg""), "".jpg"", """"), ""-"", "", ""), """")"),"")</f>
        <v/>
      </c>
      <c r="L6361" s="12"/>
      <c r="M6361" s="13"/>
      <c r="N6361" s="2"/>
      <c r="O6361" s="20"/>
      <c r="P6361" s="42"/>
      <c r="R6361" s="23"/>
    </row>
    <row r="6362" spans="1:18" ht="12.75">
      <c r="A6362" s="12"/>
      <c r="D6362" s="12"/>
      <c r="E6362" s="12"/>
      <c r="H6362" s="11" t="str">
        <f ca="1">IFERROR(__xludf.DUMMYFUNCTION("IFERROR(SUBSTITUTE(SUBSTITUTE(REGEXEXTRACT(A6362, ""[^-]+- [^-]+- [^-]+ - (.+?)\.jpg""), "".jpg"", """"), ""-"", "", ""), """")"),"")</f>
        <v/>
      </c>
      <c r="L6362" s="12"/>
      <c r="M6362" s="13"/>
      <c r="N6362" s="2"/>
      <c r="O6362" s="20"/>
      <c r="P6362" s="42"/>
      <c r="R6362" s="23"/>
    </row>
    <row r="6363" spans="1:18" ht="12.75">
      <c r="A6363" s="12"/>
      <c r="D6363" s="12"/>
      <c r="E6363" s="12"/>
      <c r="H6363" s="11" t="str">
        <f ca="1">IFERROR(__xludf.DUMMYFUNCTION("IFERROR(SUBSTITUTE(SUBSTITUTE(REGEXEXTRACT(A6363, ""[^-]+- [^-]+- [^-]+ - (.+?)\.jpg""), "".jpg"", """"), ""-"", "", ""), """")"),"")</f>
        <v/>
      </c>
      <c r="L6363" s="12"/>
      <c r="M6363" s="13"/>
      <c r="N6363" s="2"/>
      <c r="O6363" s="20"/>
      <c r="P6363" s="42"/>
      <c r="R6363" s="23"/>
    </row>
    <row r="6364" spans="1:18" ht="12.75">
      <c r="A6364" s="12"/>
      <c r="D6364" s="12"/>
      <c r="E6364" s="12"/>
      <c r="H6364" s="11" t="str">
        <f ca="1">IFERROR(__xludf.DUMMYFUNCTION("IFERROR(SUBSTITUTE(SUBSTITUTE(REGEXEXTRACT(A6364, ""[^-]+- [^-]+- [^-]+ - (.+?)\.jpg""), "".jpg"", """"), ""-"", "", ""), """")"),"")</f>
        <v/>
      </c>
      <c r="L6364" s="12"/>
      <c r="M6364" s="13"/>
      <c r="N6364" s="2"/>
      <c r="O6364" s="20"/>
      <c r="P6364" s="42"/>
      <c r="R6364" s="23"/>
    </row>
    <row r="6365" spans="1:18" ht="12.75">
      <c r="A6365" s="12"/>
      <c r="D6365" s="12"/>
      <c r="E6365" s="12"/>
      <c r="H6365" s="11" t="str">
        <f ca="1">IFERROR(__xludf.DUMMYFUNCTION("IFERROR(SUBSTITUTE(SUBSTITUTE(REGEXEXTRACT(A6365, ""[^-]+- [^-]+- [^-]+ - (.+?)\.jpg""), "".jpg"", """"), ""-"", "", ""), """")"),"")</f>
        <v/>
      </c>
      <c r="L6365" s="12"/>
      <c r="M6365" s="13"/>
      <c r="N6365" s="2"/>
      <c r="O6365" s="20"/>
      <c r="P6365" s="42"/>
      <c r="R6365" s="23"/>
    </row>
    <row r="6366" spans="1:18" ht="12.75">
      <c r="A6366" s="12"/>
      <c r="D6366" s="12"/>
      <c r="E6366" s="12"/>
      <c r="H6366" s="11" t="str">
        <f ca="1">IFERROR(__xludf.DUMMYFUNCTION("IFERROR(SUBSTITUTE(SUBSTITUTE(REGEXEXTRACT(A6366, ""[^-]+- [^-]+- [^-]+ - (.+?)\.jpg""), "".jpg"", """"), ""-"", "", ""), """")"),"")</f>
        <v/>
      </c>
      <c r="L6366" s="12"/>
      <c r="M6366" s="13"/>
      <c r="N6366" s="2"/>
      <c r="O6366" s="20"/>
      <c r="P6366" s="42"/>
      <c r="R6366" s="23"/>
    </row>
    <row r="6367" spans="1:18" ht="12.75">
      <c r="A6367" s="12"/>
      <c r="D6367" s="12"/>
      <c r="E6367" s="12"/>
      <c r="H6367" s="11" t="str">
        <f ca="1">IFERROR(__xludf.DUMMYFUNCTION("IFERROR(SUBSTITUTE(SUBSTITUTE(REGEXEXTRACT(A6367, ""[^-]+- [^-]+- [^-]+ - (.+?)\.jpg""), "".jpg"", """"), ""-"", "", ""), """")"),"")</f>
        <v/>
      </c>
      <c r="L6367" s="12"/>
      <c r="M6367" s="13"/>
      <c r="N6367" s="2"/>
      <c r="O6367" s="20"/>
      <c r="P6367" s="42"/>
      <c r="R6367" s="23"/>
    </row>
    <row r="6368" spans="1:18" ht="12.75">
      <c r="A6368" s="12"/>
      <c r="D6368" s="12"/>
      <c r="E6368" s="12"/>
      <c r="H6368" s="11" t="str">
        <f ca="1">IFERROR(__xludf.DUMMYFUNCTION("IFERROR(SUBSTITUTE(SUBSTITUTE(REGEXEXTRACT(A6368, ""[^-]+- [^-]+- [^-]+ - (.+?)\.jpg""), "".jpg"", """"), ""-"", "", ""), """")"),"")</f>
        <v/>
      </c>
      <c r="L6368" s="12"/>
      <c r="M6368" s="13"/>
      <c r="N6368" s="2"/>
      <c r="O6368" s="20"/>
      <c r="P6368" s="42"/>
      <c r="R6368" s="23"/>
    </row>
    <row r="6369" spans="1:18" ht="12.75">
      <c r="A6369" s="12"/>
      <c r="D6369" s="12"/>
      <c r="E6369" s="12"/>
      <c r="H6369" s="11" t="str">
        <f ca="1">IFERROR(__xludf.DUMMYFUNCTION("IFERROR(SUBSTITUTE(SUBSTITUTE(REGEXEXTRACT(A6369, ""[^-]+- [^-]+- [^-]+ - (.+?)\.jpg""), "".jpg"", """"), ""-"", "", ""), """")"),"")</f>
        <v/>
      </c>
      <c r="L6369" s="12"/>
      <c r="M6369" s="13"/>
      <c r="N6369" s="2"/>
      <c r="O6369" s="20"/>
      <c r="P6369" s="42"/>
      <c r="R6369" s="23"/>
    </row>
    <row r="6370" spans="1:18" ht="12.75">
      <c r="A6370" s="12"/>
      <c r="D6370" s="12"/>
      <c r="E6370" s="12"/>
      <c r="H6370" s="11" t="str">
        <f ca="1">IFERROR(__xludf.DUMMYFUNCTION("IFERROR(SUBSTITUTE(SUBSTITUTE(REGEXEXTRACT(A6370, ""[^-]+- [^-]+- [^-]+ - (.+?)\.jpg""), "".jpg"", """"), ""-"", "", ""), """")"),"")</f>
        <v/>
      </c>
      <c r="L6370" s="12"/>
      <c r="M6370" s="13"/>
      <c r="N6370" s="2"/>
      <c r="O6370" s="20"/>
      <c r="P6370" s="42"/>
      <c r="R6370" s="23"/>
    </row>
    <row r="6371" spans="1:18" ht="12.75">
      <c r="A6371" s="12"/>
      <c r="D6371" s="12"/>
      <c r="E6371" s="12"/>
      <c r="H6371" s="11" t="str">
        <f ca="1">IFERROR(__xludf.DUMMYFUNCTION("IFERROR(SUBSTITUTE(SUBSTITUTE(REGEXEXTRACT(A6371, ""[^-]+- [^-]+- [^-]+ - (.+?)\.jpg""), "".jpg"", """"), ""-"", "", ""), """")"),"")</f>
        <v/>
      </c>
      <c r="L6371" s="12"/>
      <c r="M6371" s="13"/>
      <c r="N6371" s="2"/>
      <c r="O6371" s="20"/>
      <c r="P6371" s="42"/>
      <c r="R6371" s="23"/>
    </row>
    <row r="6372" spans="1:18" ht="12.75">
      <c r="A6372" s="12"/>
      <c r="D6372" s="12"/>
      <c r="E6372" s="12"/>
      <c r="H6372" s="11" t="str">
        <f ca="1">IFERROR(__xludf.DUMMYFUNCTION("IFERROR(SUBSTITUTE(SUBSTITUTE(REGEXEXTRACT(A6372, ""[^-]+- [^-]+- [^-]+ - (.+?)\.jpg""), "".jpg"", """"), ""-"", "", ""), """")"),"")</f>
        <v/>
      </c>
      <c r="L6372" s="12"/>
      <c r="M6372" s="13"/>
      <c r="N6372" s="2"/>
      <c r="O6372" s="20"/>
      <c r="P6372" s="42"/>
      <c r="R6372" s="23"/>
    </row>
    <row r="6373" spans="1:18" ht="12.75">
      <c r="A6373" s="12"/>
      <c r="D6373" s="12"/>
      <c r="E6373" s="12"/>
      <c r="H6373" s="11" t="str">
        <f ca="1">IFERROR(__xludf.DUMMYFUNCTION("IFERROR(SUBSTITUTE(SUBSTITUTE(REGEXEXTRACT(A6373, ""[^-]+- [^-]+- [^-]+ - (.+?)\.jpg""), "".jpg"", """"), ""-"", "", ""), """")"),"")</f>
        <v/>
      </c>
      <c r="L6373" s="12"/>
      <c r="M6373" s="13"/>
      <c r="N6373" s="2"/>
      <c r="O6373" s="20"/>
      <c r="P6373" s="42"/>
      <c r="R6373" s="23"/>
    </row>
    <row r="6374" spans="1:18" ht="12.75">
      <c r="A6374" s="12"/>
      <c r="D6374" s="12"/>
      <c r="E6374" s="12"/>
      <c r="H6374" s="11" t="str">
        <f ca="1">IFERROR(__xludf.DUMMYFUNCTION("IFERROR(SUBSTITUTE(SUBSTITUTE(REGEXEXTRACT(A6374, ""[^-]+- [^-]+- [^-]+ - (.+?)\.jpg""), "".jpg"", """"), ""-"", "", ""), """")"),"")</f>
        <v/>
      </c>
      <c r="L6374" s="12"/>
      <c r="M6374" s="13"/>
      <c r="N6374" s="2"/>
      <c r="O6374" s="20"/>
      <c r="P6374" s="42"/>
      <c r="R6374" s="23"/>
    </row>
    <row r="6375" spans="1:18" ht="12.75">
      <c r="A6375" s="12"/>
      <c r="D6375" s="12"/>
      <c r="E6375" s="12"/>
      <c r="H6375" s="11" t="str">
        <f ca="1">IFERROR(__xludf.DUMMYFUNCTION("IFERROR(SUBSTITUTE(SUBSTITUTE(REGEXEXTRACT(A6375, ""[^-]+- [^-]+- [^-]+ - (.+?)\.jpg""), "".jpg"", """"), ""-"", "", ""), """")"),"")</f>
        <v/>
      </c>
      <c r="L6375" s="12"/>
      <c r="M6375" s="13"/>
      <c r="N6375" s="2"/>
      <c r="O6375" s="20"/>
      <c r="P6375" s="42"/>
      <c r="R6375" s="23"/>
    </row>
    <row r="6376" spans="1:18" ht="12.75">
      <c r="A6376" s="12"/>
      <c r="D6376" s="12"/>
      <c r="E6376" s="12"/>
      <c r="H6376" s="11" t="str">
        <f ca="1">IFERROR(__xludf.DUMMYFUNCTION("IFERROR(SUBSTITUTE(SUBSTITUTE(REGEXEXTRACT(A6376, ""[^-]+- [^-]+- [^-]+ - (.+?)\.jpg""), "".jpg"", """"), ""-"", "", ""), """")"),"")</f>
        <v/>
      </c>
      <c r="L6376" s="12"/>
      <c r="M6376" s="13"/>
      <c r="N6376" s="2"/>
      <c r="O6376" s="20"/>
      <c r="P6376" s="42"/>
      <c r="R6376" s="23"/>
    </row>
    <row r="6377" spans="1:18" ht="12.75">
      <c r="A6377" s="12"/>
      <c r="D6377" s="12"/>
      <c r="E6377" s="12"/>
      <c r="H6377" s="11" t="str">
        <f ca="1">IFERROR(__xludf.DUMMYFUNCTION("IFERROR(SUBSTITUTE(SUBSTITUTE(REGEXEXTRACT(A6377, ""[^-]+- [^-]+- [^-]+ - (.+?)\.jpg""), "".jpg"", """"), ""-"", "", ""), """")"),"")</f>
        <v/>
      </c>
      <c r="L6377" s="12"/>
      <c r="M6377" s="13"/>
      <c r="N6377" s="2"/>
      <c r="O6377" s="20"/>
      <c r="P6377" s="42"/>
      <c r="R6377" s="23"/>
    </row>
    <row r="6378" spans="1:18" ht="12.75">
      <c r="A6378" s="12"/>
      <c r="D6378" s="12"/>
      <c r="E6378" s="12"/>
      <c r="H6378" s="11" t="str">
        <f ca="1">IFERROR(__xludf.DUMMYFUNCTION("IFERROR(SUBSTITUTE(SUBSTITUTE(REGEXEXTRACT(A6378, ""[^-]+- [^-]+- [^-]+ - (.+?)\.jpg""), "".jpg"", """"), ""-"", "", ""), """")"),"")</f>
        <v/>
      </c>
      <c r="L6378" s="12"/>
      <c r="M6378" s="13"/>
      <c r="N6378" s="2"/>
      <c r="O6378" s="20"/>
      <c r="P6378" s="42"/>
      <c r="R6378" s="23"/>
    </row>
    <row r="6379" spans="1:18" ht="12.75">
      <c r="A6379" s="12"/>
      <c r="D6379" s="12"/>
      <c r="E6379" s="12"/>
      <c r="H6379" s="11" t="str">
        <f ca="1">IFERROR(__xludf.DUMMYFUNCTION("IFERROR(SUBSTITUTE(SUBSTITUTE(REGEXEXTRACT(A6379, ""[^-]+- [^-]+- [^-]+ - (.+?)\.jpg""), "".jpg"", """"), ""-"", "", ""), """")"),"")</f>
        <v/>
      </c>
      <c r="L6379" s="12"/>
      <c r="M6379" s="13"/>
      <c r="N6379" s="2"/>
      <c r="O6379" s="20"/>
      <c r="P6379" s="42"/>
      <c r="R6379" s="23"/>
    </row>
    <row r="6380" spans="1:18" ht="12.75">
      <c r="A6380" s="12"/>
      <c r="D6380" s="12"/>
      <c r="E6380" s="12"/>
      <c r="H6380" s="11" t="str">
        <f ca="1">IFERROR(__xludf.DUMMYFUNCTION("IFERROR(SUBSTITUTE(SUBSTITUTE(REGEXEXTRACT(A6380, ""[^-]+- [^-]+- [^-]+ - (.+?)\.jpg""), "".jpg"", """"), ""-"", "", ""), """")"),"")</f>
        <v/>
      </c>
      <c r="L6380" s="12"/>
      <c r="M6380" s="13"/>
      <c r="N6380" s="2"/>
      <c r="O6380" s="20"/>
      <c r="P6380" s="42"/>
      <c r="R6380" s="23"/>
    </row>
    <row r="6381" spans="1:18" ht="12.75">
      <c r="A6381" s="12"/>
      <c r="D6381" s="12"/>
      <c r="E6381" s="12"/>
      <c r="H6381" s="11" t="str">
        <f ca="1">IFERROR(__xludf.DUMMYFUNCTION("IFERROR(SUBSTITUTE(SUBSTITUTE(REGEXEXTRACT(A6381, ""[^-]+- [^-]+- [^-]+ - (.+?)\.jpg""), "".jpg"", """"), ""-"", "", ""), """")"),"")</f>
        <v/>
      </c>
      <c r="L6381" s="12"/>
      <c r="M6381" s="13"/>
      <c r="N6381" s="2"/>
      <c r="O6381" s="20"/>
      <c r="P6381" s="42"/>
      <c r="R6381" s="23"/>
    </row>
    <row r="6382" spans="1:18" ht="12.75">
      <c r="A6382" s="12"/>
      <c r="D6382" s="12"/>
      <c r="E6382" s="12"/>
      <c r="H6382" s="11" t="str">
        <f ca="1">IFERROR(__xludf.DUMMYFUNCTION("IFERROR(SUBSTITUTE(SUBSTITUTE(REGEXEXTRACT(A6382, ""[^-]+- [^-]+- [^-]+ - (.+?)\.jpg""), "".jpg"", """"), ""-"", "", ""), """")"),"")</f>
        <v/>
      </c>
      <c r="L6382" s="12"/>
      <c r="M6382" s="13"/>
      <c r="N6382" s="2"/>
      <c r="O6382" s="20"/>
      <c r="P6382" s="42"/>
      <c r="R6382" s="23"/>
    </row>
    <row r="6383" spans="1:18" ht="12.75">
      <c r="A6383" s="12"/>
      <c r="D6383" s="12"/>
      <c r="E6383" s="12"/>
      <c r="H6383" s="11" t="str">
        <f ca="1">IFERROR(__xludf.DUMMYFUNCTION("IFERROR(SUBSTITUTE(SUBSTITUTE(REGEXEXTRACT(A6383, ""[^-]+- [^-]+- [^-]+ - (.+?)\.jpg""), "".jpg"", """"), ""-"", "", ""), """")"),"")</f>
        <v/>
      </c>
      <c r="L6383" s="12"/>
      <c r="M6383" s="13"/>
      <c r="N6383" s="2"/>
      <c r="O6383" s="20"/>
      <c r="P6383" s="42"/>
      <c r="R6383" s="23"/>
    </row>
    <row r="6384" spans="1:18" ht="12.75">
      <c r="A6384" s="12"/>
      <c r="D6384" s="12"/>
      <c r="E6384" s="12"/>
      <c r="H6384" s="11" t="str">
        <f ca="1">IFERROR(__xludf.DUMMYFUNCTION("IFERROR(SUBSTITUTE(SUBSTITUTE(REGEXEXTRACT(A6384, ""[^-]+- [^-]+- [^-]+ - (.+?)\.jpg""), "".jpg"", """"), ""-"", "", ""), """")"),"")</f>
        <v/>
      </c>
      <c r="L6384" s="12"/>
      <c r="M6384" s="13"/>
      <c r="N6384" s="2"/>
      <c r="O6384" s="20"/>
      <c r="P6384" s="42"/>
      <c r="R6384" s="23"/>
    </row>
    <row r="6385" spans="1:18" ht="12.75">
      <c r="A6385" s="12"/>
      <c r="D6385" s="12"/>
      <c r="E6385" s="12"/>
      <c r="H6385" s="11" t="str">
        <f ca="1">IFERROR(__xludf.DUMMYFUNCTION("IFERROR(SUBSTITUTE(SUBSTITUTE(REGEXEXTRACT(A6385, ""[^-]+- [^-]+- [^-]+ - (.+?)\.jpg""), "".jpg"", """"), ""-"", "", ""), """")"),"")</f>
        <v/>
      </c>
      <c r="L6385" s="12"/>
      <c r="M6385" s="13"/>
      <c r="N6385" s="2"/>
      <c r="O6385" s="20"/>
      <c r="P6385" s="42"/>
      <c r="R6385" s="23"/>
    </row>
    <row r="6386" spans="1:18" ht="12.75">
      <c r="A6386" s="12"/>
      <c r="D6386" s="12"/>
      <c r="E6386" s="12"/>
      <c r="H6386" s="11" t="str">
        <f ca="1">IFERROR(__xludf.DUMMYFUNCTION("IFERROR(SUBSTITUTE(SUBSTITUTE(REGEXEXTRACT(A6386, ""[^-]+- [^-]+- [^-]+ - (.+?)\.jpg""), "".jpg"", """"), ""-"", "", ""), """")"),"")</f>
        <v/>
      </c>
      <c r="L6386" s="12"/>
      <c r="M6386" s="13"/>
      <c r="N6386" s="2"/>
      <c r="O6386" s="20"/>
      <c r="P6386" s="42"/>
      <c r="R6386" s="23"/>
    </row>
    <row r="6387" spans="1:18" ht="12.75">
      <c r="A6387" s="12"/>
      <c r="D6387" s="12"/>
      <c r="E6387" s="12"/>
      <c r="H6387" s="11" t="str">
        <f ca="1">IFERROR(__xludf.DUMMYFUNCTION("IFERROR(SUBSTITUTE(SUBSTITUTE(REGEXEXTRACT(A6387, ""[^-]+- [^-]+- [^-]+ - (.+?)\.jpg""), "".jpg"", """"), ""-"", "", ""), """")"),"")</f>
        <v/>
      </c>
      <c r="L6387" s="12"/>
      <c r="M6387" s="13"/>
      <c r="N6387" s="2"/>
      <c r="O6387" s="20"/>
      <c r="P6387" s="42"/>
      <c r="R6387" s="23"/>
    </row>
    <row r="6388" spans="1:18" ht="12.75">
      <c r="A6388" s="12"/>
      <c r="D6388" s="12"/>
      <c r="E6388" s="12"/>
      <c r="H6388" s="11" t="str">
        <f ca="1">IFERROR(__xludf.DUMMYFUNCTION("IFERROR(SUBSTITUTE(SUBSTITUTE(REGEXEXTRACT(A6388, ""[^-]+- [^-]+- [^-]+ - (.+?)\.jpg""), "".jpg"", """"), ""-"", "", ""), """")"),"")</f>
        <v/>
      </c>
      <c r="L6388" s="12"/>
      <c r="M6388" s="13"/>
      <c r="N6388" s="2"/>
      <c r="O6388" s="20"/>
      <c r="P6388" s="42"/>
      <c r="R6388" s="23"/>
    </row>
    <row r="6389" spans="1:18" ht="12.75">
      <c r="A6389" s="12"/>
      <c r="D6389" s="12"/>
      <c r="E6389" s="12"/>
      <c r="H6389" s="11" t="str">
        <f ca="1">IFERROR(__xludf.DUMMYFUNCTION("IFERROR(SUBSTITUTE(SUBSTITUTE(REGEXEXTRACT(A6389, ""[^-]+- [^-]+- [^-]+ - (.+?)\.jpg""), "".jpg"", """"), ""-"", "", ""), """")"),"")</f>
        <v/>
      </c>
      <c r="L6389" s="12"/>
      <c r="M6389" s="13"/>
      <c r="N6389" s="2"/>
      <c r="O6389" s="20"/>
      <c r="P6389" s="42"/>
      <c r="R6389" s="23"/>
    </row>
    <row r="6390" spans="1:18" ht="12.75">
      <c r="A6390" s="12"/>
      <c r="D6390" s="12"/>
      <c r="E6390" s="12"/>
      <c r="H6390" s="11" t="str">
        <f ca="1">IFERROR(__xludf.DUMMYFUNCTION("IFERROR(SUBSTITUTE(SUBSTITUTE(REGEXEXTRACT(A6390, ""[^-]+- [^-]+- [^-]+ - (.+?)\.jpg""), "".jpg"", """"), ""-"", "", ""), """")"),"")</f>
        <v/>
      </c>
      <c r="L6390" s="12"/>
      <c r="M6390" s="13"/>
      <c r="N6390" s="2"/>
      <c r="O6390" s="20"/>
      <c r="P6390" s="42"/>
      <c r="R6390" s="23"/>
    </row>
    <row r="6391" spans="1:18" ht="12.75">
      <c r="A6391" s="12"/>
      <c r="D6391" s="12"/>
      <c r="E6391" s="12"/>
      <c r="H6391" s="11" t="str">
        <f ca="1">IFERROR(__xludf.DUMMYFUNCTION("IFERROR(SUBSTITUTE(SUBSTITUTE(REGEXEXTRACT(A6391, ""[^-]+- [^-]+- [^-]+ - (.+?)\.jpg""), "".jpg"", """"), ""-"", "", ""), """")"),"")</f>
        <v/>
      </c>
      <c r="L6391" s="12"/>
      <c r="M6391" s="13"/>
      <c r="N6391" s="2"/>
      <c r="O6391" s="20"/>
      <c r="P6391" s="42"/>
      <c r="R6391" s="23"/>
    </row>
    <row r="6392" spans="1:18" ht="12.75">
      <c r="A6392" s="12"/>
      <c r="D6392" s="12"/>
      <c r="E6392" s="12"/>
      <c r="H6392" s="11" t="str">
        <f ca="1">IFERROR(__xludf.DUMMYFUNCTION("IFERROR(SUBSTITUTE(SUBSTITUTE(REGEXEXTRACT(A6392, ""[^-]+- [^-]+- [^-]+ - (.+?)\.jpg""), "".jpg"", """"), ""-"", "", ""), """")"),"")</f>
        <v/>
      </c>
      <c r="L6392" s="12"/>
      <c r="M6392" s="13"/>
      <c r="N6392" s="2"/>
      <c r="O6392" s="20"/>
      <c r="P6392" s="42"/>
      <c r="R6392" s="23"/>
    </row>
    <row r="6393" spans="1:18" ht="12.75">
      <c r="A6393" s="12"/>
      <c r="D6393" s="12"/>
      <c r="E6393" s="12"/>
      <c r="H6393" s="11" t="str">
        <f ca="1">IFERROR(__xludf.DUMMYFUNCTION("IFERROR(SUBSTITUTE(SUBSTITUTE(REGEXEXTRACT(A6393, ""[^-]+- [^-]+- [^-]+ - (.+?)\.jpg""), "".jpg"", """"), ""-"", "", ""), """")"),"")</f>
        <v/>
      </c>
      <c r="L6393" s="12"/>
      <c r="M6393" s="13"/>
      <c r="N6393" s="2"/>
      <c r="O6393" s="20"/>
      <c r="P6393" s="42"/>
      <c r="R6393" s="23"/>
    </row>
    <row r="6394" spans="1:18" ht="12.75">
      <c r="A6394" s="12"/>
      <c r="D6394" s="12"/>
      <c r="E6394" s="12"/>
      <c r="H6394" s="11" t="str">
        <f ca="1">IFERROR(__xludf.DUMMYFUNCTION("IFERROR(SUBSTITUTE(SUBSTITUTE(REGEXEXTRACT(A6394, ""[^-]+- [^-]+- [^-]+ - (.+?)\.jpg""), "".jpg"", """"), ""-"", "", ""), """")"),"")</f>
        <v/>
      </c>
      <c r="L6394" s="12"/>
      <c r="M6394" s="13"/>
      <c r="N6394" s="2"/>
      <c r="O6394" s="20"/>
      <c r="P6394" s="42"/>
      <c r="R6394" s="23"/>
    </row>
    <row r="6395" spans="1:18" ht="12.75">
      <c r="A6395" s="12"/>
      <c r="D6395" s="12"/>
      <c r="E6395" s="12"/>
      <c r="H6395" s="11" t="str">
        <f ca="1">IFERROR(__xludf.DUMMYFUNCTION("IFERROR(SUBSTITUTE(SUBSTITUTE(REGEXEXTRACT(A6395, ""[^-]+- [^-]+- [^-]+ - (.+?)\.jpg""), "".jpg"", """"), ""-"", "", ""), """")"),"")</f>
        <v/>
      </c>
      <c r="L6395" s="12"/>
      <c r="M6395" s="13"/>
      <c r="N6395" s="2"/>
      <c r="O6395" s="20"/>
      <c r="P6395" s="42"/>
      <c r="R6395" s="23"/>
    </row>
    <row r="6396" spans="1:18" ht="12.75">
      <c r="A6396" s="12"/>
      <c r="D6396" s="12"/>
      <c r="E6396" s="12"/>
      <c r="H6396" s="11" t="str">
        <f ca="1">IFERROR(__xludf.DUMMYFUNCTION("IFERROR(SUBSTITUTE(SUBSTITUTE(REGEXEXTRACT(A6396, ""[^-]+- [^-]+- [^-]+ - (.+?)\.jpg""), "".jpg"", """"), ""-"", "", ""), """")"),"")</f>
        <v/>
      </c>
      <c r="L6396" s="12"/>
      <c r="M6396" s="13"/>
      <c r="N6396" s="2"/>
      <c r="O6396" s="20"/>
      <c r="P6396" s="42"/>
      <c r="R6396" s="23"/>
    </row>
    <row r="6397" spans="1:18" ht="12.75">
      <c r="A6397" s="12"/>
      <c r="D6397" s="12"/>
      <c r="E6397" s="12"/>
      <c r="H6397" s="11" t="str">
        <f ca="1">IFERROR(__xludf.DUMMYFUNCTION("IFERROR(SUBSTITUTE(SUBSTITUTE(REGEXEXTRACT(A6397, ""[^-]+- [^-]+- [^-]+ - (.+?)\.jpg""), "".jpg"", """"), ""-"", "", ""), """")"),"")</f>
        <v/>
      </c>
      <c r="L6397" s="12"/>
      <c r="M6397" s="13"/>
      <c r="N6397" s="2"/>
      <c r="O6397" s="20"/>
      <c r="P6397" s="42"/>
      <c r="R6397" s="23"/>
    </row>
    <row r="6398" spans="1:18" ht="12.75">
      <c r="A6398" s="12"/>
      <c r="D6398" s="12"/>
      <c r="E6398" s="12"/>
      <c r="H6398" s="11" t="str">
        <f ca="1">IFERROR(__xludf.DUMMYFUNCTION("IFERROR(SUBSTITUTE(SUBSTITUTE(REGEXEXTRACT(A6398, ""[^-]+- [^-]+- [^-]+ - (.+?)\.jpg""), "".jpg"", """"), ""-"", "", ""), """")"),"")</f>
        <v/>
      </c>
      <c r="L6398" s="12"/>
      <c r="M6398" s="13"/>
      <c r="N6398" s="2"/>
      <c r="O6398" s="20"/>
      <c r="P6398" s="42"/>
      <c r="R6398" s="23"/>
    </row>
    <row r="6399" spans="1:18" ht="12.75">
      <c r="A6399" s="12"/>
      <c r="D6399" s="12"/>
      <c r="E6399" s="12"/>
      <c r="H6399" s="11" t="str">
        <f ca="1">IFERROR(__xludf.DUMMYFUNCTION("IFERROR(SUBSTITUTE(SUBSTITUTE(REGEXEXTRACT(A6399, ""[^-]+- [^-]+- [^-]+ - (.+?)\.jpg""), "".jpg"", """"), ""-"", "", ""), """")"),"")</f>
        <v/>
      </c>
      <c r="L6399" s="12"/>
      <c r="M6399" s="13"/>
      <c r="N6399" s="2"/>
      <c r="O6399" s="20"/>
      <c r="P6399" s="42"/>
      <c r="R6399" s="23"/>
    </row>
    <row r="6400" spans="1:18" ht="12.75">
      <c r="A6400" s="12"/>
      <c r="D6400" s="12"/>
      <c r="E6400" s="12"/>
      <c r="H6400" s="11" t="str">
        <f ca="1">IFERROR(__xludf.DUMMYFUNCTION("IFERROR(SUBSTITUTE(SUBSTITUTE(REGEXEXTRACT(A6400, ""[^-]+- [^-]+- [^-]+ - (.+?)\.jpg""), "".jpg"", """"), ""-"", "", ""), """")"),"")</f>
        <v/>
      </c>
      <c r="L6400" s="12"/>
      <c r="M6400" s="13"/>
      <c r="N6400" s="2"/>
      <c r="O6400" s="20"/>
      <c r="P6400" s="42"/>
      <c r="R6400" s="23"/>
    </row>
    <row r="6401" spans="1:18" ht="12.75">
      <c r="A6401" s="12"/>
      <c r="D6401" s="12"/>
      <c r="E6401" s="12"/>
      <c r="H6401" s="11" t="str">
        <f ca="1">IFERROR(__xludf.DUMMYFUNCTION("IFERROR(SUBSTITUTE(SUBSTITUTE(REGEXEXTRACT(A6401, ""[^-]+- [^-]+- [^-]+ - (.+?)\.jpg""), "".jpg"", """"), ""-"", "", ""), """")"),"")</f>
        <v/>
      </c>
      <c r="L6401" s="12"/>
      <c r="M6401" s="13"/>
      <c r="N6401" s="2"/>
      <c r="O6401" s="20"/>
      <c r="P6401" s="42"/>
      <c r="R6401" s="23"/>
    </row>
    <row r="6402" spans="1:18" ht="12.75">
      <c r="A6402" s="12"/>
      <c r="D6402" s="12"/>
      <c r="E6402" s="12"/>
      <c r="H6402" s="11" t="str">
        <f ca="1">IFERROR(__xludf.DUMMYFUNCTION("IFERROR(SUBSTITUTE(SUBSTITUTE(REGEXEXTRACT(A6402, ""[^-]+- [^-]+- [^-]+ - (.+?)\.jpg""), "".jpg"", """"), ""-"", "", ""), """")"),"")</f>
        <v/>
      </c>
      <c r="L6402" s="12"/>
      <c r="M6402" s="13"/>
      <c r="N6402" s="2"/>
      <c r="O6402" s="20"/>
      <c r="P6402" s="42"/>
      <c r="R6402" s="23"/>
    </row>
    <row r="6403" spans="1:18" ht="12.75">
      <c r="A6403" s="12"/>
      <c r="D6403" s="12"/>
      <c r="E6403" s="12"/>
      <c r="H6403" s="11" t="str">
        <f ca="1">IFERROR(__xludf.DUMMYFUNCTION("IFERROR(SUBSTITUTE(SUBSTITUTE(REGEXEXTRACT(A6403, ""[^-]+- [^-]+- [^-]+ - (.+?)\.jpg""), "".jpg"", """"), ""-"", "", ""), """")"),"")</f>
        <v/>
      </c>
      <c r="L6403" s="12"/>
      <c r="M6403" s="13"/>
      <c r="N6403" s="2"/>
      <c r="O6403" s="20"/>
      <c r="P6403" s="42"/>
      <c r="R6403" s="23"/>
    </row>
    <row r="6404" spans="1:18" ht="12.75">
      <c r="A6404" s="12"/>
      <c r="D6404" s="12"/>
      <c r="E6404" s="12"/>
      <c r="H6404" s="11" t="str">
        <f ca="1">IFERROR(__xludf.DUMMYFUNCTION("IFERROR(SUBSTITUTE(SUBSTITUTE(REGEXEXTRACT(A6404, ""[^-]+- [^-]+- [^-]+ - (.+?)\.jpg""), "".jpg"", """"), ""-"", "", ""), """")"),"")</f>
        <v/>
      </c>
      <c r="L6404" s="12"/>
      <c r="M6404" s="13"/>
      <c r="N6404" s="2"/>
      <c r="O6404" s="20"/>
      <c r="P6404" s="42"/>
      <c r="R6404" s="23"/>
    </row>
    <row r="6405" spans="1:18" ht="12.75">
      <c r="A6405" s="12"/>
      <c r="D6405" s="12"/>
      <c r="E6405" s="12"/>
      <c r="H6405" s="11" t="str">
        <f ca="1">IFERROR(__xludf.DUMMYFUNCTION("IFERROR(SUBSTITUTE(SUBSTITUTE(REGEXEXTRACT(A6405, ""[^-]+- [^-]+- [^-]+ - (.+?)\.jpg""), "".jpg"", """"), ""-"", "", ""), """")"),"")</f>
        <v/>
      </c>
      <c r="L6405" s="12"/>
      <c r="M6405" s="13"/>
      <c r="N6405" s="2"/>
      <c r="O6405" s="20"/>
      <c r="P6405" s="42"/>
      <c r="R6405" s="23"/>
    </row>
    <row r="6406" spans="1:18" ht="12.75">
      <c r="A6406" s="12"/>
      <c r="D6406" s="12"/>
      <c r="E6406" s="12"/>
      <c r="H6406" s="11" t="str">
        <f ca="1">IFERROR(__xludf.DUMMYFUNCTION("IFERROR(SUBSTITUTE(SUBSTITUTE(REGEXEXTRACT(A6406, ""[^-]+- [^-]+- [^-]+ - (.+?)\.jpg""), "".jpg"", """"), ""-"", "", ""), """")"),"")</f>
        <v/>
      </c>
      <c r="L6406" s="12"/>
      <c r="M6406" s="13"/>
      <c r="N6406" s="2"/>
      <c r="O6406" s="20"/>
      <c r="P6406" s="42"/>
      <c r="R6406" s="23"/>
    </row>
    <row r="6407" spans="1:18" ht="12.75">
      <c r="A6407" s="12"/>
      <c r="D6407" s="12"/>
      <c r="E6407" s="12"/>
      <c r="H6407" s="11" t="str">
        <f ca="1">IFERROR(__xludf.DUMMYFUNCTION("IFERROR(SUBSTITUTE(SUBSTITUTE(REGEXEXTRACT(A6407, ""[^-]+- [^-]+- [^-]+ - (.+?)\.jpg""), "".jpg"", """"), ""-"", "", ""), """")"),"")</f>
        <v/>
      </c>
      <c r="L6407" s="12"/>
      <c r="M6407" s="13"/>
      <c r="N6407" s="2"/>
      <c r="O6407" s="20"/>
      <c r="P6407" s="42"/>
      <c r="R6407" s="23"/>
    </row>
    <row r="6408" spans="1:18" ht="12.75">
      <c r="A6408" s="12"/>
      <c r="D6408" s="12"/>
      <c r="E6408" s="12"/>
      <c r="H6408" s="11" t="str">
        <f ca="1">IFERROR(__xludf.DUMMYFUNCTION("IFERROR(SUBSTITUTE(SUBSTITUTE(REGEXEXTRACT(A6408, ""[^-]+- [^-]+- [^-]+ - (.+?)\.jpg""), "".jpg"", """"), ""-"", "", ""), """")"),"")</f>
        <v/>
      </c>
      <c r="L6408" s="12"/>
      <c r="M6408" s="13"/>
      <c r="N6408" s="2"/>
      <c r="O6408" s="20"/>
      <c r="P6408" s="42"/>
      <c r="R6408" s="23"/>
    </row>
    <row r="6409" spans="1:18" ht="12.75">
      <c r="A6409" s="12"/>
      <c r="D6409" s="12"/>
      <c r="E6409" s="12"/>
      <c r="H6409" s="11" t="str">
        <f ca="1">IFERROR(__xludf.DUMMYFUNCTION("IFERROR(SUBSTITUTE(SUBSTITUTE(REGEXEXTRACT(A6409, ""[^-]+- [^-]+- [^-]+ - (.+?)\.jpg""), "".jpg"", """"), ""-"", "", ""), """")"),"")</f>
        <v/>
      </c>
      <c r="L6409" s="12"/>
      <c r="M6409" s="13"/>
      <c r="N6409" s="2"/>
      <c r="O6409" s="20"/>
      <c r="P6409" s="42"/>
      <c r="R6409" s="23"/>
    </row>
    <row r="6410" spans="1:18" ht="12.75">
      <c r="A6410" s="12"/>
      <c r="D6410" s="12"/>
      <c r="E6410" s="12"/>
      <c r="H6410" s="11" t="str">
        <f ca="1">IFERROR(__xludf.DUMMYFUNCTION("IFERROR(SUBSTITUTE(SUBSTITUTE(REGEXEXTRACT(A6410, ""[^-]+- [^-]+- [^-]+ - (.+?)\.jpg""), "".jpg"", """"), ""-"", "", ""), """")"),"")</f>
        <v/>
      </c>
      <c r="L6410" s="12"/>
      <c r="M6410" s="13"/>
      <c r="N6410" s="2"/>
      <c r="O6410" s="20"/>
      <c r="P6410" s="42"/>
      <c r="R6410" s="23"/>
    </row>
    <row r="6411" spans="1:18" ht="12.75">
      <c r="A6411" s="12"/>
      <c r="D6411" s="12"/>
      <c r="E6411" s="12"/>
      <c r="H6411" s="11" t="str">
        <f ca="1">IFERROR(__xludf.DUMMYFUNCTION("IFERROR(SUBSTITUTE(SUBSTITUTE(REGEXEXTRACT(A6411, ""[^-]+- [^-]+- [^-]+ - (.+?)\.jpg""), "".jpg"", """"), ""-"", "", ""), """")"),"")</f>
        <v/>
      </c>
      <c r="L6411" s="12"/>
      <c r="M6411" s="13"/>
      <c r="N6411" s="2"/>
      <c r="O6411" s="20"/>
      <c r="P6411" s="42"/>
      <c r="R6411" s="23"/>
    </row>
    <row r="6412" spans="1:18" ht="12.75">
      <c r="A6412" s="12"/>
      <c r="D6412" s="12"/>
      <c r="E6412" s="12"/>
      <c r="H6412" s="11" t="str">
        <f ca="1">IFERROR(__xludf.DUMMYFUNCTION("IFERROR(SUBSTITUTE(SUBSTITUTE(REGEXEXTRACT(A6412, ""[^-]+- [^-]+- [^-]+ - (.+?)\.jpg""), "".jpg"", """"), ""-"", "", ""), """")"),"")</f>
        <v/>
      </c>
      <c r="L6412" s="12"/>
      <c r="M6412" s="13"/>
      <c r="N6412" s="2"/>
      <c r="O6412" s="20"/>
      <c r="P6412" s="42"/>
      <c r="R6412" s="23"/>
    </row>
    <row r="6413" spans="1:18" ht="12.75">
      <c r="A6413" s="12"/>
      <c r="D6413" s="12"/>
      <c r="E6413" s="12"/>
      <c r="H6413" s="11" t="str">
        <f ca="1">IFERROR(__xludf.DUMMYFUNCTION("IFERROR(SUBSTITUTE(SUBSTITUTE(REGEXEXTRACT(A6413, ""[^-]+- [^-]+- [^-]+ - (.+?)\.jpg""), "".jpg"", """"), ""-"", "", ""), """")"),"")</f>
        <v/>
      </c>
      <c r="L6413" s="12"/>
      <c r="M6413" s="13"/>
      <c r="N6413" s="2"/>
      <c r="O6413" s="20"/>
      <c r="P6413" s="42"/>
      <c r="R6413" s="23"/>
    </row>
    <row r="6414" spans="1:18" ht="12.75">
      <c r="A6414" s="12"/>
      <c r="D6414" s="12"/>
      <c r="E6414" s="12"/>
      <c r="H6414" s="11" t="str">
        <f ca="1">IFERROR(__xludf.DUMMYFUNCTION("IFERROR(SUBSTITUTE(SUBSTITUTE(REGEXEXTRACT(A6414, ""[^-]+- [^-]+- [^-]+ - (.+?)\.jpg""), "".jpg"", """"), ""-"", "", ""), """")"),"")</f>
        <v/>
      </c>
      <c r="L6414" s="12"/>
      <c r="M6414" s="13"/>
      <c r="N6414" s="2"/>
      <c r="O6414" s="20"/>
      <c r="P6414" s="42"/>
      <c r="R6414" s="23"/>
    </row>
    <row r="6415" spans="1:18" ht="12.75">
      <c r="A6415" s="12"/>
      <c r="D6415" s="12"/>
      <c r="E6415" s="12"/>
      <c r="H6415" s="11" t="str">
        <f ca="1">IFERROR(__xludf.DUMMYFUNCTION("IFERROR(SUBSTITUTE(SUBSTITUTE(REGEXEXTRACT(A6415, ""[^-]+- [^-]+- [^-]+ - (.+?)\.jpg""), "".jpg"", """"), ""-"", "", ""), """")"),"")</f>
        <v/>
      </c>
      <c r="L6415" s="12"/>
      <c r="M6415" s="13"/>
      <c r="N6415" s="2"/>
      <c r="O6415" s="20"/>
      <c r="P6415" s="42"/>
      <c r="R6415" s="23"/>
    </row>
    <row r="6416" spans="1:18" ht="12.75">
      <c r="A6416" s="12"/>
      <c r="D6416" s="12"/>
      <c r="E6416" s="12"/>
      <c r="H6416" s="11" t="str">
        <f ca="1">IFERROR(__xludf.DUMMYFUNCTION("IFERROR(SUBSTITUTE(SUBSTITUTE(REGEXEXTRACT(A6416, ""[^-]+- [^-]+- [^-]+ - (.+?)\.jpg""), "".jpg"", """"), ""-"", "", ""), """")"),"")</f>
        <v/>
      </c>
      <c r="L6416" s="12"/>
      <c r="M6416" s="13"/>
      <c r="N6416" s="2"/>
      <c r="O6416" s="20"/>
      <c r="P6416" s="42"/>
      <c r="R6416" s="23"/>
    </row>
    <row r="6417" spans="1:18" ht="12.75">
      <c r="A6417" s="12"/>
      <c r="D6417" s="12"/>
      <c r="E6417" s="12"/>
      <c r="H6417" s="11" t="str">
        <f ca="1">IFERROR(__xludf.DUMMYFUNCTION("IFERROR(SUBSTITUTE(SUBSTITUTE(REGEXEXTRACT(A6417, ""[^-]+- [^-]+- [^-]+ - (.+?)\.jpg""), "".jpg"", """"), ""-"", "", ""), """")"),"")</f>
        <v/>
      </c>
      <c r="L6417" s="12"/>
      <c r="M6417" s="13"/>
      <c r="N6417" s="2"/>
      <c r="O6417" s="20"/>
      <c r="P6417" s="42"/>
      <c r="R6417" s="23"/>
    </row>
    <row r="6418" spans="1:18" ht="12.75">
      <c r="A6418" s="12"/>
      <c r="D6418" s="12"/>
      <c r="E6418" s="12"/>
      <c r="H6418" s="11" t="str">
        <f ca="1">IFERROR(__xludf.DUMMYFUNCTION("IFERROR(SUBSTITUTE(SUBSTITUTE(REGEXEXTRACT(A6418, ""[^-]+- [^-]+- [^-]+ - (.+?)\.jpg""), "".jpg"", """"), ""-"", "", ""), """")"),"")</f>
        <v/>
      </c>
      <c r="L6418" s="12"/>
      <c r="M6418" s="13"/>
      <c r="N6418" s="2"/>
      <c r="O6418" s="20"/>
      <c r="P6418" s="42"/>
      <c r="R6418" s="23"/>
    </row>
    <row r="6419" spans="1:18" ht="12.75">
      <c r="A6419" s="12"/>
      <c r="D6419" s="12"/>
      <c r="E6419" s="12"/>
      <c r="H6419" s="11" t="str">
        <f ca="1">IFERROR(__xludf.DUMMYFUNCTION("IFERROR(SUBSTITUTE(SUBSTITUTE(REGEXEXTRACT(A6419, ""[^-]+- [^-]+- [^-]+ - (.+?)\.jpg""), "".jpg"", """"), ""-"", "", ""), """")"),"")</f>
        <v/>
      </c>
      <c r="L6419" s="12"/>
      <c r="M6419" s="13"/>
      <c r="N6419" s="2"/>
      <c r="O6419" s="20"/>
      <c r="P6419" s="42"/>
      <c r="R6419" s="23"/>
    </row>
    <row r="6420" spans="1:18" ht="12.75">
      <c r="A6420" s="12"/>
      <c r="D6420" s="12"/>
      <c r="E6420" s="12"/>
      <c r="H6420" s="11" t="str">
        <f ca="1">IFERROR(__xludf.DUMMYFUNCTION("IFERROR(SUBSTITUTE(SUBSTITUTE(REGEXEXTRACT(A6420, ""[^-]+- [^-]+- [^-]+ - (.+?)\.jpg""), "".jpg"", """"), ""-"", "", ""), """")"),"")</f>
        <v/>
      </c>
      <c r="L6420" s="12"/>
      <c r="M6420" s="13"/>
      <c r="N6420" s="2"/>
      <c r="O6420" s="20"/>
      <c r="P6420" s="42"/>
      <c r="R6420" s="23"/>
    </row>
    <row r="6421" spans="1:18" ht="12.75">
      <c r="A6421" s="12"/>
      <c r="D6421" s="12"/>
      <c r="E6421" s="12"/>
      <c r="H6421" s="11" t="str">
        <f ca="1">IFERROR(__xludf.DUMMYFUNCTION("IFERROR(SUBSTITUTE(SUBSTITUTE(REGEXEXTRACT(A6421, ""[^-]+- [^-]+- [^-]+ - (.+?)\.jpg""), "".jpg"", """"), ""-"", "", ""), """")"),"")</f>
        <v/>
      </c>
      <c r="L6421" s="12"/>
      <c r="M6421" s="13"/>
      <c r="N6421" s="2"/>
      <c r="O6421" s="20"/>
      <c r="P6421" s="42"/>
      <c r="R6421" s="23"/>
    </row>
    <row r="6422" spans="1:18" ht="12.75">
      <c r="A6422" s="12"/>
      <c r="D6422" s="12"/>
      <c r="E6422" s="12"/>
      <c r="H6422" s="11" t="str">
        <f ca="1">IFERROR(__xludf.DUMMYFUNCTION("IFERROR(SUBSTITUTE(SUBSTITUTE(REGEXEXTRACT(A6422, ""[^-]+- [^-]+- [^-]+ - (.+?)\.jpg""), "".jpg"", """"), ""-"", "", ""), """")"),"")</f>
        <v/>
      </c>
      <c r="L6422" s="12"/>
      <c r="M6422" s="13"/>
      <c r="N6422" s="2"/>
      <c r="O6422" s="20"/>
      <c r="P6422" s="42"/>
      <c r="R6422" s="23"/>
    </row>
    <row r="6423" spans="1:18" ht="12.75">
      <c r="A6423" s="12"/>
      <c r="D6423" s="12"/>
      <c r="E6423" s="12"/>
      <c r="H6423" s="11" t="str">
        <f ca="1">IFERROR(__xludf.DUMMYFUNCTION("IFERROR(SUBSTITUTE(SUBSTITUTE(REGEXEXTRACT(A6423, ""[^-]+- [^-]+- [^-]+ - (.+?)\.jpg""), "".jpg"", """"), ""-"", "", ""), """")"),"")</f>
        <v/>
      </c>
      <c r="L6423" s="12"/>
      <c r="M6423" s="13"/>
      <c r="N6423" s="2"/>
      <c r="O6423" s="20"/>
      <c r="P6423" s="42"/>
      <c r="R6423" s="23"/>
    </row>
    <row r="6424" spans="1:18" ht="12.75">
      <c r="A6424" s="12"/>
      <c r="D6424" s="12"/>
      <c r="E6424" s="12"/>
      <c r="H6424" s="11" t="str">
        <f ca="1">IFERROR(__xludf.DUMMYFUNCTION("IFERROR(SUBSTITUTE(SUBSTITUTE(REGEXEXTRACT(A6424, ""[^-]+- [^-]+- [^-]+ - (.+?)\.jpg""), "".jpg"", """"), ""-"", "", ""), """")"),"")</f>
        <v/>
      </c>
      <c r="L6424" s="12"/>
      <c r="M6424" s="13"/>
      <c r="N6424" s="2"/>
      <c r="O6424" s="20"/>
      <c r="P6424" s="42"/>
      <c r="R6424" s="23"/>
    </row>
    <row r="6425" spans="1:18" ht="12.75">
      <c r="A6425" s="12"/>
      <c r="D6425" s="12"/>
      <c r="E6425" s="12"/>
      <c r="H6425" s="11" t="str">
        <f ca="1">IFERROR(__xludf.DUMMYFUNCTION("IFERROR(SUBSTITUTE(SUBSTITUTE(REGEXEXTRACT(A6425, ""[^-]+- [^-]+- [^-]+ - (.+?)\.jpg""), "".jpg"", """"), ""-"", "", ""), """")"),"")</f>
        <v/>
      </c>
      <c r="L6425" s="12"/>
      <c r="M6425" s="13"/>
      <c r="N6425" s="2"/>
      <c r="O6425" s="20"/>
      <c r="P6425" s="42"/>
      <c r="R6425" s="23"/>
    </row>
    <row r="6426" spans="1:18" ht="12.75">
      <c r="A6426" s="12"/>
      <c r="D6426" s="12"/>
      <c r="E6426" s="12"/>
      <c r="H6426" s="11" t="str">
        <f ca="1">IFERROR(__xludf.DUMMYFUNCTION("IFERROR(SUBSTITUTE(SUBSTITUTE(REGEXEXTRACT(A6426, ""[^-]+- [^-]+- [^-]+ - (.+?)\.jpg""), "".jpg"", """"), ""-"", "", ""), """")"),"")</f>
        <v/>
      </c>
      <c r="L6426" s="12"/>
      <c r="M6426" s="13"/>
      <c r="N6426" s="2"/>
      <c r="O6426" s="20"/>
      <c r="P6426" s="42"/>
      <c r="R6426" s="23"/>
    </row>
    <row r="6427" spans="1:18" ht="12.75">
      <c r="A6427" s="12"/>
      <c r="D6427" s="12"/>
      <c r="E6427" s="12"/>
      <c r="H6427" s="11" t="str">
        <f ca="1">IFERROR(__xludf.DUMMYFUNCTION("IFERROR(SUBSTITUTE(SUBSTITUTE(REGEXEXTRACT(A6427, ""[^-]+- [^-]+- [^-]+ - (.+?)\.jpg""), "".jpg"", """"), ""-"", "", ""), """")"),"")</f>
        <v/>
      </c>
      <c r="L6427" s="12"/>
      <c r="M6427" s="13"/>
      <c r="N6427" s="2"/>
      <c r="O6427" s="20"/>
      <c r="P6427" s="42"/>
      <c r="R6427" s="23"/>
    </row>
    <row r="6428" spans="1:18" ht="12.75">
      <c r="A6428" s="12"/>
      <c r="D6428" s="12"/>
      <c r="E6428" s="12"/>
      <c r="H6428" s="11" t="str">
        <f ca="1">IFERROR(__xludf.DUMMYFUNCTION("IFERROR(SUBSTITUTE(SUBSTITUTE(REGEXEXTRACT(A6428, ""[^-]+- [^-]+- [^-]+ - (.+?)\.jpg""), "".jpg"", """"), ""-"", "", ""), """")"),"")</f>
        <v/>
      </c>
      <c r="L6428" s="12"/>
      <c r="M6428" s="13"/>
      <c r="N6428" s="2"/>
      <c r="O6428" s="20"/>
      <c r="P6428" s="42"/>
      <c r="R6428" s="23"/>
    </row>
    <row r="6429" spans="1:18" ht="12.75">
      <c r="A6429" s="12"/>
      <c r="D6429" s="12"/>
      <c r="E6429" s="12"/>
      <c r="H6429" s="11" t="str">
        <f ca="1">IFERROR(__xludf.DUMMYFUNCTION("IFERROR(SUBSTITUTE(SUBSTITUTE(REGEXEXTRACT(A6429, ""[^-]+- [^-]+- [^-]+ - (.+?)\.jpg""), "".jpg"", """"), ""-"", "", ""), """")"),"")</f>
        <v/>
      </c>
      <c r="L6429" s="12"/>
      <c r="M6429" s="13"/>
      <c r="N6429" s="2"/>
      <c r="O6429" s="20"/>
      <c r="P6429" s="42"/>
      <c r="R6429" s="23"/>
    </row>
    <row r="6430" spans="1:18" ht="12.75">
      <c r="A6430" s="12"/>
      <c r="D6430" s="12"/>
      <c r="E6430" s="12"/>
      <c r="H6430" s="11" t="str">
        <f ca="1">IFERROR(__xludf.DUMMYFUNCTION("IFERROR(SUBSTITUTE(SUBSTITUTE(REGEXEXTRACT(A6430, ""[^-]+- [^-]+- [^-]+ - (.+?)\.jpg""), "".jpg"", """"), ""-"", "", ""), """")"),"")</f>
        <v/>
      </c>
      <c r="L6430" s="12"/>
      <c r="M6430" s="13"/>
      <c r="N6430" s="2"/>
      <c r="O6430" s="20"/>
      <c r="P6430" s="42"/>
      <c r="R6430" s="23"/>
    </row>
    <row r="6431" spans="1:18" ht="12.75">
      <c r="A6431" s="12"/>
      <c r="D6431" s="12"/>
      <c r="E6431" s="12"/>
      <c r="H6431" s="11" t="str">
        <f ca="1">IFERROR(__xludf.DUMMYFUNCTION("IFERROR(SUBSTITUTE(SUBSTITUTE(REGEXEXTRACT(A6431, ""[^-]+- [^-]+- [^-]+ - (.+?)\.jpg""), "".jpg"", """"), ""-"", "", ""), """")"),"")</f>
        <v/>
      </c>
      <c r="L6431" s="12"/>
      <c r="M6431" s="13"/>
      <c r="N6431" s="2"/>
      <c r="O6431" s="20"/>
      <c r="P6431" s="42"/>
      <c r="R6431" s="23"/>
    </row>
    <row r="6432" spans="1:18" ht="12.75">
      <c r="A6432" s="12"/>
      <c r="D6432" s="12"/>
      <c r="E6432" s="12"/>
      <c r="H6432" s="11" t="str">
        <f ca="1">IFERROR(__xludf.DUMMYFUNCTION("IFERROR(SUBSTITUTE(SUBSTITUTE(REGEXEXTRACT(A6432, ""[^-]+- [^-]+- [^-]+ - (.+?)\.jpg""), "".jpg"", """"), ""-"", "", ""), """")"),"")</f>
        <v/>
      </c>
      <c r="L6432" s="12"/>
      <c r="M6432" s="13"/>
      <c r="N6432" s="2"/>
      <c r="O6432" s="20"/>
      <c r="P6432" s="42"/>
      <c r="R6432" s="23"/>
    </row>
    <row r="6433" spans="1:18" ht="12.75">
      <c r="A6433" s="12"/>
      <c r="D6433" s="12"/>
      <c r="E6433" s="12"/>
      <c r="H6433" s="11" t="str">
        <f ca="1">IFERROR(__xludf.DUMMYFUNCTION("IFERROR(SUBSTITUTE(SUBSTITUTE(REGEXEXTRACT(A6433, ""[^-]+- [^-]+- [^-]+ - (.+?)\.jpg""), "".jpg"", """"), ""-"", "", ""), """")"),"")</f>
        <v/>
      </c>
      <c r="L6433" s="12"/>
      <c r="M6433" s="13"/>
      <c r="N6433" s="2"/>
      <c r="O6433" s="20"/>
      <c r="P6433" s="42"/>
      <c r="R6433" s="23"/>
    </row>
    <row r="6434" spans="1:18" ht="12.75">
      <c r="A6434" s="12"/>
      <c r="D6434" s="12"/>
      <c r="E6434" s="12"/>
      <c r="H6434" s="11" t="str">
        <f ca="1">IFERROR(__xludf.DUMMYFUNCTION("IFERROR(SUBSTITUTE(SUBSTITUTE(REGEXEXTRACT(A6434, ""[^-]+- [^-]+- [^-]+ - (.+?)\.jpg""), "".jpg"", """"), ""-"", "", ""), """")"),"")</f>
        <v/>
      </c>
      <c r="L6434" s="12"/>
      <c r="M6434" s="13"/>
      <c r="N6434" s="2"/>
      <c r="O6434" s="20"/>
      <c r="P6434" s="42"/>
      <c r="R6434" s="23"/>
    </row>
    <row r="6435" spans="1:18" ht="12.75">
      <c r="A6435" s="12"/>
      <c r="D6435" s="12"/>
      <c r="E6435" s="12"/>
      <c r="H6435" s="11" t="str">
        <f ca="1">IFERROR(__xludf.DUMMYFUNCTION("IFERROR(SUBSTITUTE(SUBSTITUTE(REGEXEXTRACT(A6435, ""[^-]+- [^-]+- [^-]+ - (.+?)\.jpg""), "".jpg"", """"), ""-"", "", ""), """")"),"")</f>
        <v/>
      </c>
      <c r="L6435" s="12"/>
      <c r="M6435" s="13"/>
      <c r="N6435" s="2"/>
      <c r="O6435" s="20"/>
      <c r="P6435" s="42"/>
      <c r="R6435" s="23"/>
    </row>
    <row r="6436" spans="1:18" ht="12.75">
      <c r="A6436" s="12"/>
      <c r="D6436" s="12"/>
      <c r="E6436" s="12"/>
      <c r="H6436" s="11" t="str">
        <f ca="1">IFERROR(__xludf.DUMMYFUNCTION("IFERROR(SUBSTITUTE(SUBSTITUTE(REGEXEXTRACT(A6436, ""[^-]+- [^-]+- [^-]+ - (.+?)\.jpg""), "".jpg"", """"), ""-"", "", ""), """")"),"")</f>
        <v/>
      </c>
      <c r="L6436" s="12"/>
      <c r="M6436" s="13"/>
      <c r="N6436" s="2"/>
      <c r="O6436" s="20"/>
      <c r="P6436" s="42"/>
      <c r="R6436" s="23"/>
    </row>
    <row r="6437" spans="1:18" ht="12.75">
      <c r="A6437" s="12"/>
      <c r="D6437" s="12"/>
      <c r="E6437" s="12"/>
      <c r="H6437" s="11" t="str">
        <f ca="1">IFERROR(__xludf.DUMMYFUNCTION("IFERROR(SUBSTITUTE(SUBSTITUTE(REGEXEXTRACT(A6437, ""[^-]+- [^-]+- [^-]+ - (.+?)\.jpg""), "".jpg"", """"), ""-"", "", ""), """")"),"")</f>
        <v/>
      </c>
      <c r="L6437" s="12"/>
      <c r="M6437" s="13"/>
      <c r="N6437" s="2"/>
      <c r="O6437" s="20"/>
      <c r="P6437" s="42"/>
      <c r="R6437" s="23"/>
    </row>
    <row r="6438" spans="1:18" ht="12.75">
      <c r="A6438" s="12"/>
      <c r="D6438" s="12"/>
      <c r="E6438" s="12"/>
      <c r="H6438" s="11" t="str">
        <f ca="1">IFERROR(__xludf.DUMMYFUNCTION("IFERROR(SUBSTITUTE(SUBSTITUTE(REGEXEXTRACT(A6438, ""[^-]+- [^-]+- [^-]+ - (.+?)\.jpg""), "".jpg"", """"), ""-"", "", ""), """")"),"")</f>
        <v/>
      </c>
      <c r="L6438" s="12"/>
      <c r="M6438" s="13"/>
      <c r="N6438" s="2"/>
      <c r="O6438" s="20"/>
      <c r="P6438" s="42"/>
      <c r="R6438" s="23"/>
    </row>
    <row r="6439" spans="1:18" ht="12.75">
      <c r="A6439" s="12"/>
      <c r="D6439" s="12"/>
      <c r="E6439" s="12"/>
      <c r="H6439" s="11" t="str">
        <f ca="1">IFERROR(__xludf.DUMMYFUNCTION("IFERROR(SUBSTITUTE(SUBSTITUTE(REGEXEXTRACT(A6439, ""[^-]+- [^-]+- [^-]+ - (.+?)\.jpg""), "".jpg"", """"), ""-"", "", ""), """")"),"")</f>
        <v/>
      </c>
      <c r="L6439" s="12"/>
      <c r="M6439" s="13"/>
      <c r="N6439" s="2"/>
      <c r="O6439" s="20"/>
      <c r="P6439" s="42"/>
      <c r="R6439" s="23"/>
    </row>
    <row r="6440" spans="1:18" ht="12.75">
      <c r="A6440" s="12"/>
      <c r="D6440" s="12"/>
      <c r="E6440" s="12"/>
      <c r="H6440" s="11" t="str">
        <f ca="1">IFERROR(__xludf.DUMMYFUNCTION("IFERROR(SUBSTITUTE(SUBSTITUTE(REGEXEXTRACT(A6440, ""[^-]+- [^-]+- [^-]+ - (.+?)\.jpg""), "".jpg"", """"), ""-"", "", ""), """")"),"")</f>
        <v/>
      </c>
      <c r="L6440" s="12"/>
      <c r="M6440" s="13"/>
      <c r="N6440" s="2"/>
      <c r="O6440" s="20"/>
      <c r="P6440" s="42"/>
      <c r="R6440" s="23"/>
    </row>
    <row r="6441" spans="1:18" ht="12.75">
      <c r="A6441" s="12"/>
      <c r="D6441" s="12"/>
      <c r="E6441" s="12"/>
      <c r="H6441" s="11" t="str">
        <f ca="1">IFERROR(__xludf.DUMMYFUNCTION("IFERROR(SUBSTITUTE(SUBSTITUTE(REGEXEXTRACT(A6441, ""[^-]+- [^-]+- [^-]+ - (.+?)\.jpg""), "".jpg"", """"), ""-"", "", ""), """")"),"")</f>
        <v/>
      </c>
      <c r="L6441" s="12"/>
      <c r="M6441" s="13"/>
      <c r="N6441" s="2"/>
      <c r="O6441" s="20"/>
      <c r="P6441" s="42"/>
      <c r="R6441" s="23"/>
    </row>
    <row r="6442" spans="1:18" ht="12.75">
      <c r="A6442" s="12"/>
      <c r="D6442" s="12"/>
      <c r="E6442" s="12"/>
      <c r="H6442" s="11" t="str">
        <f ca="1">IFERROR(__xludf.DUMMYFUNCTION("IFERROR(SUBSTITUTE(SUBSTITUTE(REGEXEXTRACT(A6442, ""[^-]+- [^-]+- [^-]+ - (.+?)\.jpg""), "".jpg"", """"), ""-"", "", ""), """")"),"")</f>
        <v/>
      </c>
      <c r="L6442" s="12"/>
      <c r="M6442" s="13"/>
      <c r="N6442" s="2"/>
      <c r="O6442" s="20"/>
      <c r="P6442" s="42"/>
      <c r="R6442" s="23"/>
    </row>
    <row r="6443" spans="1:18" ht="12.75">
      <c r="A6443" s="12"/>
      <c r="D6443" s="12"/>
      <c r="E6443" s="12"/>
      <c r="H6443" s="11" t="str">
        <f ca="1">IFERROR(__xludf.DUMMYFUNCTION("IFERROR(SUBSTITUTE(SUBSTITUTE(REGEXEXTRACT(A6443, ""[^-]+- [^-]+- [^-]+ - (.+?)\.jpg""), "".jpg"", """"), ""-"", "", ""), """")"),"")</f>
        <v/>
      </c>
      <c r="L6443" s="12"/>
      <c r="M6443" s="13"/>
      <c r="N6443" s="2"/>
      <c r="O6443" s="20"/>
      <c r="P6443" s="42"/>
      <c r="R6443" s="23"/>
    </row>
    <row r="6444" spans="1:18" ht="12.75">
      <c r="A6444" s="12"/>
      <c r="D6444" s="12"/>
      <c r="E6444" s="12"/>
      <c r="H6444" s="11" t="str">
        <f ca="1">IFERROR(__xludf.DUMMYFUNCTION("IFERROR(SUBSTITUTE(SUBSTITUTE(REGEXEXTRACT(A6444, ""[^-]+- [^-]+- [^-]+ - (.+?)\.jpg""), "".jpg"", """"), ""-"", "", ""), """")"),"")</f>
        <v/>
      </c>
      <c r="L6444" s="12"/>
      <c r="M6444" s="13"/>
      <c r="N6444" s="2"/>
      <c r="O6444" s="20"/>
      <c r="P6444" s="42"/>
      <c r="R6444" s="23"/>
    </row>
    <row r="6445" spans="1:18" ht="12.75">
      <c r="A6445" s="12"/>
      <c r="D6445" s="12"/>
      <c r="E6445" s="12"/>
      <c r="H6445" s="11" t="str">
        <f ca="1">IFERROR(__xludf.DUMMYFUNCTION("IFERROR(SUBSTITUTE(SUBSTITUTE(REGEXEXTRACT(A6445, ""[^-]+- [^-]+- [^-]+ - (.+?)\.jpg""), "".jpg"", """"), ""-"", "", ""), """")"),"")</f>
        <v/>
      </c>
      <c r="L6445" s="12"/>
      <c r="M6445" s="13"/>
      <c r="N6445" s="2"/>
      <c r="O6445" s="20"/>
      <c r="P6445" s="42"/>
      <c r="R6445" s="23"/>
    </row>
    <row r="6446" spans="1:18" ht="12.75">
      <c r="A6446" s="12"/>
      <c r="D6446" s="12"/>
      <c r="E6446" s="12"/>
      <c r="H6446" s="11" t="str">
        <f ca="1">IFERROR(__xludf.DUMMYFUNCTION("IFERROR(SUBSTITUTE(SUBSTITUTE(REGEXEXTRACT(A6446, ""[^-]+- [^-]+- [^-]+ - (.+?)\.jpg""), "".jpg"", """"), ""-"", "", ""), """")"),"")</f>
        <v/>
      </c>
      <c r="L6446" s="12"/>
      <c r="M6446" s="13"/>
      <c r="N6446" s="2"/>
      <c r="O6446" s="20"/>
      <c r="P6446" s="42"/>
      <c r="R6446" s="23"/>
    </row>
    <row r="6447" spans="1:18" ht="12.75">
      <c r="A6447" s="12"/>
      <c r="D6447" s="12"/>
      <c r="E6447" s="12"/>
      <c r="H6447" s="11" t="str">
        <f ca="1">IFERROR(__xludf.DUMMYFUNCTION("IFERROR(SUBSTITUTE(SUBSTITUTE(REGEXEXTRACT(A6447, ""[^-]+- [^-]+- [^-]+ - (.+?)\.jpg""), "".jpg"", """"), ""-"", "", ""), """")"),"")</f>
        <v/>
      </c>
      <c r="L6447" s="12"/>
      <c r="M6447" s="13"/>
      <c r="N6447" s="2"/>
      <c r="O6447" s="20"/>
      <c r="P6447" s="42"/>
      <c r="R6447" s="23"/>
    </row>
    <row r="6448" spans="1:18" ht="12.75">
      <c r="A6448" s="12"/>
      <c r="D6448" s="12"/>
      <c r="E6448" s="12"/>
      <c r="H6448" s="11" t="str">
        <f ca="1">IFERROR(__xludf.DUMMYFUNCTION("IFERROR(SUBSTITUTE(SUBSTITUTE(REGEXEXTRACT(A6448, ""[^-]+- [^-]+- [^-]+ - (.+?)\.jpg""), "".jpg"", """"), ""-"", "", ""), """")"),"")</f>
        <v/>
      </c>
      <c r="L6448" s="12"/>
      <c r="M6448" s="13"/>
      <c r="N6448" s="2"/>
      <c r="O6448" s="20"/>
      <c r="P6448" s="42"/>
      <c r="R6448" s="23"/>
    </row>
    <row r="6449" spans="1:18" ht="12.75">
      <c r="A6449" s="12"/>
      <c r="D6449" s="12"/>
      <c r="E6449" s="12"/>
      <c r="H6449" s="11" t="str">
        <f ca="1">IFERROR(__xludf.DUMMYFUNCTION("IFERROR(SUBSTITUTE(SUBSTITUTE(REGEXEXTRACT(A6449, ""[^-]+- [^-]+- [^-]+ - (.+?)\.jpg""), "".jpg"", """"), ""-"", "", ""), """")"),"")</f>
        <v/>
      </c>
      <c r="L6449" s="12"/>
      <c r="M6449" s="13"/>
      <c r="N6449" s="2"/>
      <c r="O6449" s="20"/>
      <c r="P6449" s="42"/>
      <c r="R6449" s="23"/>
    </row>
    <row r="6450" spans="1:18" ht="12.75">
      <c r="A6450" s="12"/>
      <c r="D6450" s="12"/>
      <c r="E6450" s="12"/>
      <c r="H6450" s="11" t="str">
        <f ca="1">IFERROR(__xludf.DUMMYFUNCTION("IFERROR(SUBSTITUTE(SUBSTITUTE(REGEXEXTRACT(A6450, ""[^-]+- [^-]+- [^-]+ - (.+?)\.jpg""), "".jpg"", """"), ""-"", "", ""), """")"),"")</f>
        <v/>
      </c>
      <c r="L6450" s="12"/>
      <c r="M6450" s="13"/>
      <c r="N6450" s="2"/>
      <c r="O6450" s="20"/>
      <c r="P6450" s="42"/>
      <c r="R6450" s="23"/>
    </row>
    <row r="6451" spans="1:18" ht="12.75">
      <c r="A6451" s="12"/>
      <c r="D6451" s="12"/>
      <c r="E6451" s="12"/>
      <c r="H6451" s="11" t="str">
        <f ca="1">IFERROR(__xludf.DUMMYFUNCTION("IFERROR(SUBSTITUTE(SUBSTITUTE(REGEXEXTRACT(A6451, ""[^-]+- [^-]+- [^-]+ - (.+?)\.jpg""), "".jpg"", """"), ""-"", "", ""), """")"),"")</f>
        <v/>
      </c>
      <c r="L6451" s="12"/>
      <c r="M6451" s="13"/>
      <c r="N6451" s="2"/>
      <c r="O6451" s="20"/>
      <c r="P6451" s="42"/>
      <c r="R6451" s="23"/>
    </row>
    <row r="6452" spans="1:18" ht="12.75">
      <c r="A6452" s="12"/>
      <c r="D6452" s="12"/>
      <c r="E6452" s="12"/>
      <c r="H6452" s="11" t="str">
        <f ca="1">IFERROR(__xludf.DUMMYFUNCTION("IFERROR(SUBSTITUTE(SUBSTITUTE(REGEXEXTRACT(A6452, ""[^-]+- [^-]+- [^-]+ - (.+?)\.jpg""), "".jpg"", """"), ""-"", "", ""), """")"),"")</f>
        <v/>
      </c>
      <c r="L6452" s="12"/>
      <c r="M6452" s="13"/>
      <c r="N6452" s="2"/>
      <c r="O6452" s="20"/>
      <c r="P6452" s="42"/>
      <c r="R6452" s="23"/>
    </row>
    <row r="6453" spans="1:18" ht="12.75">
      <c r="A6453" s="12"/>
      <c r="D6453" s="12"/>
      <c r="E6453" s="12"/>
      <c r="H6453" s="11" t="str">
        <f ca="1">IFERROR(__xludf.DUMMYFUNCTION("IFERROR(SUBSTITUTE(SUBSTITUTE(REGEXEXTRACT(A6453, ""[^-]+- [^-]+- [^-]+ - (.+?)\.jpg""), "".jpg"", """"), ""-"", "", ""), """")"),"")</f>
        <v/>
      </c>
      <c r="L6453" s="12"/>
      <c r="M6453" s="13"/>
      <c r="N6453" s="2"/>
      <c r="O6453" s="20"/>
      <c r="P6453" s="42"/>
      <c r="R6453" s="23"/>
    </row>
    <row r="6454" spans="1:18" ht="12.75">
      <c r="A6454" s="12"/>
      <c r="D6454" s="12"/>
      <c r="E6454" s="12"/>
      <c r="H6454" s="11" t="str">
        <f ca="1">IFERROR(__xludf.DUMMYFUNCTION("IFERROR(SUBSTITUTE(SUBSTITUTE(REGEXEXTRACT(A6454, ""[^-]+- [^-]+- [^-]+ - (.+?)\.jpg""), "".jpg"", """"), ""-"", "", ""), """")"),"")</f>
        <v/>
      </c>
      <c r="L6454" s="12"/>
      <c r="M6454" s="13"/>
      <c r="N6454" s="2"/>
      <c r="O6454" s="20"/>
      <c r="P6454" s="42"/>
      <c r="R6454" s="23"/>
    </row>
    <row r="6455" spans="1:18" ht="12.75">
      <c r="A6455" s="12"/>
      <c r="D6455" s="12"/>
      <c r="E6455" s="12"/>
      <c r="H6455" s="11" t="str">
        <f ca="1">IFERROR(__xludf.DUMMYFUNCTION("IFERROR(SUBSTITUTE(SUBSTITUTE(REGEXEXTRACT(A6455, ""[^-]+- [^-]+- [^-]+ - (.+?)\.jpg""), "".jpg"", """"), ""-"", "", ""), """")"),"")</f>
        <v/>
      </c>
      <c r="L6455" s="12"/>
      <c r="M6455" s="13"/>
      <c r="N6455" s="2"/>
      <c r="O6455" s="20"/>
      <c r="P6455" s="42"/>
      <c r="R6455" s="23"/>
    </row>
    <row r="6456" spans="1:18" ht="12.75">
      <c r="A6456" s="12"/>
      <c r="D6456" s="12"/>
      <c r="E6456" s="12"/>
      <c r="H6456" s="11" t="str">
        <f ca="1">IFERROR(__xludf.DUMMYFUNCTION("IFERROR(SUBSTITUTE(SUBSTITUTE(REGEXEXTRACT(A6456, ""[^-]+- [^-]+- [^-]+ - (.+?)\.jpg""), "".jpg"", """"), ""-"", "", ""), """")"),"")</f>
        <v/>
      </c>
      <c r="L6456" s="12"/>
      <c r="M6456" s="13"/>
      <c r="N6456" s="2"/>
      <c r="O6456" s="20"/>
      <c r="P6456" s="42"/>
      <c r="R6456" s="23"/>
    </row>
    <row r="6457" spans="1:18" ht="12.75">
      <c r="A6457" s="12"/>
      <c r="D6457" s="12"/>
      <c r="E6457" s="12"/>
      <c r="H6457" s="11" t="str">
        <f ca="1">IFERROR(__xludf.DUMMYFUNCTION("IFERROR(SUBSTITUTE(SUBSTITUTE(REGEXEXTRACT(A6457, ""[^-]+- [^-]+- [^-]+ - (.+?)\.jpg""), "".jpg"", """"), ""-"", "", ""), """")"),"")</f>
        <v/>
      </c>
      <c r="L6457" s="12"/>
      <c r="M6457" s="13"/>
      <c r="N6457" s="2"/>
      <c r="O6457" s="20"/>
      <c r="P6457" s="42"/>
      <c r="R6457" s="23"/>
    </row>
    <row r="6458" spans="1:18" ht="12.75">
      <c r="A6458" s="12"/>
      <c r="D6458" s="12"/>
      <c r="E6458" s="12"/>
      <c r="H6458" s="11" t="str">
        <f ca="1">IFERROR(__xludf.DUMMYFUNCTION("IFERROR(SUBSTITUTE(SUBSTITUTE(REGEXEXTRACT(A6458, ""[^-]+- [^-]+- [^-]+ - (.+?)\.jpg""), "".jpg"", """"), ""-"", "", ""), """")"),"")</f>
        <v/>
      </c>
      <c r="L6458" s="12"/>
      <c r="M6458" s="13"/>
      <c r="N6458" s="2"/>
      <c r="O6458" s="20"/>
      <c r="P6458" s="42"/>
      <c r="R6458" s="23"/>
    </row>
    <row r="6459" spans="1:18" ht="12.75">
      <c r="A6459" s="12"/>
      <c r="D6459" s="12"/>
      <c r="E6459" s="12"/>
      <c r="H6459" s="11" t="str">
        <f ca="1">IFERROR(__xludf.DUMMYFUNCTION("IFERROR(SUBSTITUTE(SUBSTITUTE(REGEXEXTRACT(A6459, ""[^-]+- [^-]+- [^-]+ - (.+?)\.jpg""), "".jpg"", """"), ""-"", "", ""), """")"),"")</f>
        <v/>
      </c>
      <c r="L6459" s="12"/>
      <c r="M6459" s="13"/>
      <c r="N6459" s="2"/>
      <c r="O6459" s="20"/>
      <c r="P6459" s="42"/>
      <c r="R6459" s="23"/>
    </row>
    <row r="6460" spans="1:18" ht="12.75">
      <c r="A6460" s="12"/>
      <c r="D6460" s="12"/>
      <c r="E6460" s="12"/>
      <c r="H6460" s="11" t="str">
        <f ca="1">IFERROR(__xludf.DUMMYFUNCTION("IFERROR(SUBSTITUTE(SUBSTITUTE(REGEXEXTRACT(A6460, ""[^-]+- [^-]+- [^-]+ - (.+?)\.jpg""), "".jpg"", """"), ""-"", "", ""), """")"),"")</f>
        <v/>
      </c>
      <c r="L6460" s="12"/>
      <c r="M6460" s="13"/>
      <c r="N6460" s="2"/>
      <c r="O6460" s="20"/>
      <c r="P6460" s="42"/>
      <c r="R6460" s="23"/>
    </row>
    <row r="6461" spans="1:18" ht="12.75">
      <c r="A6461" s="12"/>
      <c r="D6461" s="12"/>
      <c r="E6461" s="12"/>
      <c r="H6461" s="11" t="str">
        <f ca="1">IFERROR(__xludf.DUMMYFUNCTION("IFERROR(SUBSTITUTE(SUBSTITUTE(REGEXEXTRACT(A6461, ""[^-]+- [^-]+- [^-]+ - (.+?)\.jpg""), "".jpg"", """"), ""-"", "", ""), """")"),"")</f>
        <v/>
      </c>
      <c r="L6461" s="12"/>
      <c r="M6461" s="13"/>
      <c r="N6461" s="2"/>
      <c r="O6461" s="20"/>
      <c r="P6461" s="42"/>
      <c r="R6461" s="23"/>
    </row>
    <row r="6462" spans="1:18" ht="12.75">
      <c r="A6462" s="12"/>
      <c r="D6462" s="12"/>
      <c r="E6462" s="12"/>
      <c r="H6462" s="11" t="str">
        <f ca="1">IFERROR(__xludf.DUMMYFUNCTION("IFERROR(SUBSTITUTE(SUBSTITUTE(REGEXEXTRACT(A6462, ""[^-]+- [^-]+- [^-]+ - (.+?)\.jpg""), "".jpg"", """"), ""-"", "", ""), """")"),"")</f>
        <v/>
      </c>
      <c r="L6462" s="12"/>
      <c r="M6462" s="13"/>
      <c r="N6462" s="2"/>
      <c r="O6462" s="20"/>
      <c r="P6462" s="42"/>
      <c r="R6462" s="23"/>
    </row>
    <row r="6463" spans="1:18" ht="12.75">
      <c r="A6463" s="12"/>
      <c r="D6463" s="12"/>
      <c r="E6463" s="12"/>
      <c r="H6463" s="11" t="str">
        <f ca="1">IFERROR(__xludf.DUMMYFUNCTION("IFERROR(SUBSTITUTE(SUBSTITUTE(REGEXEXTRACT(A6463, ""[^-]+- [^-]+- [^-]+ - (.+?)\.jpg""), "".jpg"", """"), ""-"", "", ""), """")"),"")</f>
        <v/>
      </c>
      <c r="L6463" s="12"/>
      <c r="M6463" s="13"/>
      <c r="N6463" s="2"/>
      <c r="O6463" s="20"/>
      <c r="P6463" s="42"/>
      <c r="R6463" s="23"/>
    </row>
    <row r="6464" spans="1:18" ht="12.75">
      <c r="A6464" s="12"/>
      <c r="D6464" s="12"/>
      <c r="E6464" s="12"/>
      <c r="H6464" s="11" t="str">
        <f ca="1">IFERROR(__xludf.DUMMYFUNCTION("IFERROR(SUBSTITUTE(SUBSTITUTE(REGEXEXTRACT(A6464, ""[^-]+- [^-]+- [^-]+ - (.+?)\.jpg""), "".jpg"", """"), ""-"", "", ""), """")"),"")</f>
        <v/>
      </c>
      <c r="L6464" s="12"/>
      <c r="M6464" s="13"/>
      <c r="N6464" s="2"/>
      <c r="O6464" s="20"/>
      <c r="P6464" s="42"/>
      <c r="R6464" s="23"/>
    </row>
    <row r="6465" spans="1:18" ht="12.75">
      <c r="A6465" s="12"/>
      <c r="D6465" s="12"/>
      <c r="E6465" s="12"/>
      <c r="H6465" s="11" t="str">
        <f ca="1">IFERROR(__xludf.DUMMYFUNCTION("IFERROR(SUBSTITUTE(SUBSTITUTE(REGEXEXTRACT(A6465, ""[^-]+- [^-]+- [^-]+ - (.+?)\.jpg""), "".jpg"", """"), ""-"", "", ""), """")"),"")</f>
        <v/>
      </c>
      <c r="L6465" s="12"/>
      <c r="M6465" s="13"/>
      <c r="N6465" s="2"/>
      <c r="O6465" s="20"/>
      <c r="P6465" s="42"/>
      <c r="R6465" s="23"/>
    </row>
    <row r="6466" spans="1:18" ht="12.75">
      <c r="A6466" s="12"/>
      <c r="D6466" s="12"/>
      <c r="E6466" s="12"/>
      <c r="H6466" s="11" t="str">
        <f ca="1">IFERROR(__xludf.DUMMYFUNCTION("IFERROR(SUBSTITUTE(SUBSTITUTE(REGEXEXTRACT(A6466, ""[^-]+- [^-]+- [^-]+ - (.+?)\.jpg""), "".jpg"", """"), ""-"", "", ""), """")"),"")</f>
        <v/>
      </c>
      <c r="L6466" s="12"/>
      <c r="M6466" s="13"/>
      <c r="N6466" s="2"/>
      <c r="O6466" s="20"/>
      <c r="P6466" s="42"/>
      <c r="R6466" s="23"/>
    </row>
    <row r="6467" spans="1:18" ht="12.75">
      <c r="A6467" s="12"/>
      <c r="D6467" s="12"/>
      <c r="E6467" s="12"/>
      <c r="H6467" s="11" t="str">
        <f ca="1">IFERROR(__xludf.DUMMYFUNCTION("IFERROR(SUBSTITUTE(SUBSTITUTE(REGEXEXTRACT(A6467, ""[^-]+- [^-]+- [^-]+ - (.+?)\.jpg""), "".jpg"", """"), ""-"", "", ""), """")"),"")</f>
        <v/>
      </c>
      <c r="L6467" s="12"/>
      <c r="M6467" s="13"/>
      <c r="N6467" s="2"/>
      <c r="O6467" s="20"/>
      <c r="P6467" s="42"/>
      <c r="R6467" s="23"/>
    </row>
    <row r="6468" spans="1:18" ht="12.75">
      <c r="A6468" s="12"/>
      <c r="D6468" s="12"/>
      <c r="E6468" s="12"/>
      <c r="H6468" s="11" t="str">
        <f ca="1">IFERROR(__xludf.DUMMYFUNCTION("IFERROR(SUBSTITUTE(SUBSTITUTE(REGEXEXTRACT(A6468, ""[^-]+- [^-]+- [^-]+ - (.+?)\.jpg""), "".jpg"", """"), ""-"", "", ""), """")"),"")</f>
        <v/>
      </c>
      <c r="L6468" s="12"/>
      <c r="M6468" s="13"/>
      <c r="N6468" s="2"/>
      <c r="O6468" s="20"/>
      <c r="P6468" s="42"/>
      <c r="R6468" s="23"/>
    </row>
    <row r="6469" spans="1:18" ht="12.75">
      <c r="A6469" s="12"/>
      <c r="D6469" s="12"/>
      <c r="E6469" s="12"/>
      <c r="H6469" s="11" t="str">
        <f ca="1">IFERROR(__xludf.DUMMYFUNCTION("IFERROR(SUBSTITUTE(SUBSTITUTE(REGEXEXTRACT(A6469, ""[^-]+- [^-]+- [^-]+ - (.+?)\.jpg""), "".jpg"", """"), ""-"", "", ""), """")"),"")</f>
        <v/>
      </c>
      <c r="L6469" s="12"/>
      <c r="M6469" s="13"/>
      <c r="N6469" s="2"/>
      <c r="O6469" s="20"/>
      <c r="P6469" s="42"/>
      <c r="R6469" s="23"/>
    </row>
    <row r="6470" spans="1:18" ht="12.75">
      <c r="A6470" s="12"/>
      <c r="D6470" s="12"/>
      <c r="E6470" s="12"/>
      <c r="H6470" s="11" t="str">
        <f ca="1">IFERROR(__xludf.DUMMYFUNCTION("IFERROR(SUBSTITUTE(SUBSTITUTE(REGEXEXTRACT(A6470, ""[^-]+- [^-]+- [^-]+ - (.+?)\.jpg""), "".jpg"", """"), ""-"", "", ""), """")"),"")</f>
        <v/>
      </c>
      <c r="L6470" s="12"/>
      <c r="M6470" s="13"/>
      <c r="N6470" s="2"/>
      <c r="O6470" s="20"/>
      <c r="P6470" s="42"/>
      <c r="R6470" s="23"/>
    </row>
    <row r="6471" spans="1:18" ht="12.75">
      <c r="A6471" s="12"/>
      <c r="D6471" s="12"/>
      <c r="E6471" s="12"/>
      <c r="H6471" s="11" t="str">
        <f ca="1">IFERROR(__xludf.DUMMYFUNCTION("IFERROR(SUBSTITUTE(SUBSTITUTE(REGEXEXTRACT(A6471, ""[^-]+- [^-]+- [^-]+ - (.+?)\.jpg""), "".jpg"", """"), ""-"", "", ""), """")"),"")</f>
        <v/>
      </c>
      <c r="L6471" s="12"/>
      <c r="M6471" s="13"/>
      <c r="N6471" s="2"/>
      <c r="O6471" s="20"/>
      <c r="P6471" s="42"/>
      <c r="R6471" s="23"/>
    </row>
    <row r="6472" spans="1:18" ht="12.75">
      <c r="A6472" s="12"/>
      <c r="D6472" s="12"/>
      <c r="E6472" s="12"/>
      <c r="H6472" s="11" t="str">
        <f ca="1">IFERROR(__xludf.DUMMYFUNCTION("IFERROR(SUBSTITUTE(SUBSTITUTE(REGEXEXTRACT(A6472, ""[^-]+- [^-]+- [^-]+ - (.+?)\.jpg""), "".jpg"", """"), ""-"", "", ""), """")"),"")</f>
        <v/>
      </c>
      <c r="L6472" s="12"/>
      <c r="M6472" s="13"/>
      <c r="N6472" s="2"/>
      <c r="O6472" s="20"/>
      <c r="P6472" s="42"/>
      <c r="R6472" s="23"/>
    </row>
    <row r="6473" spans="1:18" ht="12.75">
      <c r="A6473" s="12"/>
      <c r="D6473" s="12"/>
      <c r="E6473" s="12"/>
      <c r="H6473" s="11" t="str">
        <f ca="1">IFERROR(__xludf.DUMMYFUNCTION("IFERROR(SUBSTITUTE(SUBSTITUTE(REGEXEXTRACT(A6473, ""[^-]+- [^-]+- [^-]+ - (.+?)\.jpg""), "".jpg"", """"), ""-"", "", ""), """")"),"")</f>
        <v/>
      </c>
      <c r="L6473" s="12"/>
      <c r="M6473" s="13"/>
      <c r="N6473" s="2"/>
      <c r="O6473" s="20"/>
      <c r="P6473" s="42"/>
      <c r="R6473" s="23"/>
    </row>
    <row r="6474" spans="1:18" ht="12.75">
      <c r="A6474" s="12"/>
      <c r="D6474" s="12"/>
      <c r="E6474" s="12"/>
      <c r="H6474" s="11" t="str">
        <f ca="1">IFERROR(__xludf.DUMMYFUNCTION("IFERROR(SUBSTITUTE(SUBSTITUTE(REGEXEXTRACT(A6474, ""[^-]+- [^-]+- [^-]+ - (.+?)\.jpg""), "".jpg"", """"), ""-"", "", ""), """")"),"")</f>
        <v/>
      </c>
      <c r="L6474" s="12"/>
      <c r="M6474" s="13"/>
      <c r="N6474" s="2"/>
      <c r="O6474" s="20"/>
      <c r="P6474" s="42"/>
      <c r="R6474" s="23"/>
    </row>
    <row r="6475" spans="1:18" ht="12.75">
      <c r="A6475" s="12"/>
      <c r="D6475" s="12"/>
      <c r="E6475" s="12"/>
      <c r="H6475" s="11" t="str">
        <f ca="1">IFERROR(__xludf.DUMMYFUNCTION("IFERROR(SUBSTITUTE(SUBSTITUTE(REGEXEXTRACT(A6475, ""[^-]+- [^-]+- [^-]+ - (.+?)\.jpg""), "".jpg"", """"), ""-"", "", ""), """")"),"")</f>
        <v/>
      </c>
      <c r="L6475" s="12"/>
      <c r="M6475" s="13"/>
      <c r="N6475" s="2"/>
      <c r="O6475" s="20"/>
      <c r="P6475" s="42"/>
      <c r="R6475" s="23"/>
    </row>
    <row r="6476" spans="1:18" ht="12.75">
      <c r="A6476" s="12"/>
      <c r="D6476" s="12"/>
      <c r="E6476" s="12"/>
      <c r="H6476" s="11" t="str">
        <f ca="1">IFERROR(__xludf.DUMMYFUNCTION("IFERROR(SUBSTITUTE(SUBSTITUTE(REGEXEXTRACT(A6476, ""[^-]+- [^-]+- [^-]+ - (.+?)\.jpg""), "".jpg"", """"), ""-"", "", ""), """")"),"")</f>
        <v/>
      </c>
      <c r="L6476" s="12"/>
      <c r="M6476" s="13"/>
      <c r="N6476" s="2"/>
      <c r="O6476" s="20"/>
      <c r="P6476" s="42"/>
      <c r="R6476" s="23"/>
    </row>
    <row r="6477" spans="1:18" ht="12.75">
      <c r="A6477" s="12"/>
      <c r="D6477" s="12"/>
      <c r="E6477" s="12"/>
      <c r="H6477" s="11" t="str">
        <f ca="1">IFERROR(__xludf.DUMMYFUNCTION("IFERROR(SUBSTITUTE(SUBSTITUTE(REGEXEXTRACT(A6477, ""[^-]+- [^-]+- [^-]+ - (.+?)\.jpg""), "".jpg"", """"), ""-"", "", ""), """")"),"")</f>
        <v/>
      </c>
      <c r="L6477" s="12"/>
      <c r="M6477" s="13"/>
      <c r="N6477" s="2"/>
      <c r="O6477" s="20"/>
      <c r="P6477" s="42"/>
      <c r="R6477" s="23"/>
    </row>
    <row r="6478" spans="1:18" ht="12.75">
      <c r="A6478" s="12"/>
      <c r="D6478" s="12"/>
      <c r="E6478" s="12"/>
      <c r="H6478" s="11" t="str">
        <f ca="1">IFERROR(__xludf.DUMMYFUNCTION("IFERROR(SUBSTITUTE(SUBSTITUTE(REGEXEXTRACT(A6478, ""[^-]+- [^-]+- [^-]+ - (.+?)\.jpg""), "".jpg"", """"), ""-"", "", ""), """")"),"")</f>
        <v/>
      </c>
      <c r="L6478" s="12"/>
      <c r="M6478" s="13"/>
      <c r="N6478" s="2"/>
      <c r="O6478" s="20"/>
      <c r="P6478" s="42"/>
      <c r="R6478" s="23"/>
    </row>
    <row r="6479" spans="1:18" ht="12.75">
      <c r="A6479" s="12"/>
      <c r="D6479" s="12"/>
      <c r="E6479" s="12"/>
      <c r="H6479" s="11" t="str">
        <f ca="1">IFERROR(__xludf.DUMMYFUNCTION("IFERROR(SUBSTITUTE(SUBSTITUTE(REGEXEXTRACT(A6479, ""[^-]+- [^-]+- [^-]+ - (.+?)\.jpg""), "".jpg"", """"), ""-"", "", ""), """")"),"")</f>
        <v/>
      </c>
      <c r="L6479" s="12"/>
      <c r="M6479" s="13"/>
      <c r="N6479" s="2"/>
      <c r="O6479" s="20"/>
      <c r="P6479" s="42"/>
      <c r="R6479" s="23"/>
    </row>
    <row r="6480" spans="1:18" ht="12.75">
      <c r="A6480" s="12"/>
      <c r="D6480" s="12"/>
      <c r="E6480" s="12"/>
      <c r="H6480" s="11" t="str">
        <f ca="1">IFERROR(__xludf.DUMMYFUNCTION("IFERROR(SUBSTITUTE(SUBSTITUTE(REGEXEXTRACT(A6480, ""[^-]+- [^-]+- [^-]+ - (.+?)\.jpg""), "".jpg"", """"), ""-"", "", ""), """")"),"")</f>
        <v/>
      </c>
      <c r="L6480" s="12"/>
      <c r="M6480" s="13"/>
      <c r="N6480" s="2"/>
      <c r="O6480" s="20"/>
      <c r="P6480" s="42"/>
      <c r="R6480" s="23"/>
    </row>
    <row r="6481" spans="1:18" ht="12.75">
      <c r="A6481" s="12"/>
      <c r="D6481" s="12"/>
      <c r="E6481" s="12"/>
      <c r="H6481" s="11" t="str">
        <f ca="1">IFERROR(__xludf.DUMMYFUNCTION("IFERROR(SUBSTITUTE(SUBSTITUTE(REGEXEXTRACT(A6481, ""[^-]+- [^-]+- [^-]+ - (.+?)\.jpg""), "".jpg"", """"), ""-"", "", ""), """")"),"")</f>
        <v/>
      </c>
      <c r="L6481" s="12"/>
      <c r="M6481" s="13"/>
      <c r="N6481" s="2"/>
      <c r="O6481" s="20"/>
      <c r="P6481" s="42"/>
      <c r="R6481" s="23"/>
    </row>
    <row r="6482" spans="1:18" ht="12.75">
      <c r="A6482" s="12"/>
      <c r="D6482" s="12"/>
      <c r="E6482" s="12"/>
      <c r="H6482" s="11" t="str">
        <f ca="1">IFERROR(__xludf.DUMMYFUNCTION("IFERROR(SUBSTITUTE(SUBSTITUTE(REGEXEXTRACT(A6482, ""[^-]+- [^-]+- [^-]+ - (.+?)\.jpg""), "".jpg"", """"), ""-"", "", ""), """")"),"")</f>
        <v/>
      </c>
      <c r="L6482" s="12"/>
      <c r="M6482" s="13"/>
      <c r="N6482" s="2"/>
      <c r="O6482" s="20"/>
      <c r="P6482" s="42"/>
      <c r="R6482" s="23"/>
    </row>
    <row r="6483" spans="1:18" ht="12.75">
      <c r="A6483" s="12"/>
      <c r="D6483" s="12"/>
      <c r="E6483" s="12"/>
      <c r="H6483" s="11" t="str">
        <f ca="1">IFERROR(__xludf.DUMMYFUNCTION("IFERROR(SUBSTITUTE(SUBSTITUTE(REGEXEXTRACT(A6483, ""[^-]+- [^-]+- [^-]+ - (.+?)\.jpg""), "".jpg"", """"), ""-"", "", ""), """")"),"")</f>
        <v/>
      </c>
      <c r="L6483" s="12"/>
      <c r="M6483" s="13"/>
      <c r="N6483" s="2"/>
      <c r="O6483" s="20"/>
      <c r="P6483" s="42"/>
      <c r="R6483" s="23"/>
    </row>
    <row r="6484" spans="1:18" ht="12.75">
      <c r="A6484" s="12"/>
      <c r="D6484" s="12"/>
      <c r="E6484" s="12"/>
      <c r="H6484" s="11" t="str">
        <f ca="1">IFERROR(__xludf.DUMMYFUNCTION("IFERROR(SUBSTITUTE(SUBSTITUTE(REGEXEXTRACT(A6484, ""[^-]+- [^-]+- [^-]+ - (.+?)\.jpg""), "".jpg"", """"), ""-"", "", ""), """")"),"")</f>
        <v/>
      </c>
      <c r="L6484" s="12"/>
      <c r="M6484" s="13"/>
      <c r="N6484" s="2"/>
      <c r="O6484" s="20"/>
      <c r="P6484" s="42"/>
      <c r="R6484" s="23"/>
    </row>
    <row r="6485" spans="1:18" ht="12.75">
      <c r="A6485" s="12"/>
      <c r="D6485" s="12"/>
      <c r="E6485" s="12"/>
      <c r="H6485" s="11" t="str">
        <f ca="1">IFERROR(__xludf.DUMMYFUNCTION("IFERROR(SUBSTITUTE(SUBSTITUTE(REGEXEXTRACT(A6485, ""[^-]+- [^-]+- [^-]+ - (.+?)\.jpg""), "".jpg"", """"), ""-"", "", ""), """")"),"")</f>
        <v/>
      </c>
      <c r="L6485" s="12"/>
      <c r="M6485" s="13"/>
      <c r="N6485" s="2"/>
      <c r="O6485" s="20"/>
      <c r="P6485" s="42"/>
      <c r="R6485" s="23"/>
    </row>
    <row r="6486" spans="1:18" ht="12.75">
      <c r="A6486" s="12"/>
      <c r="D6486" s="12"/>
      <c r="E6486" s="12"/>
      <c r="H6486" s="11" t="str">
        <f ca="1">IFERROR(__xludf.DUMMYFUNCTION("IFERROR(SUBSTITUTE(SUBSTITUTE(REGEXEXTRACT(A6486, ""[^-]+- [^-]+- [^-]+ - (.+?)\.jpg""), "".jpg"", """"), ""-"", "", ""), """")"),"")</f>
        <v/>
      </c>
      <c r="L6486" s="12"/>
      <c r="M6486" s="13"/>
      <c r="N6486" s="2"/>
      <c r="O6486" s="20"/>
      <c r="P6486" s="42"/>
      <c r="R6486" s="23"/>
    </row>
    <row r="6487" spans="1:18" ht="12.75">
      <c r="A6487" s="12"/>
      <c r="D6487" s="12"/>
      <c r="E6487" s="12"/>
      <c r="H6487" s="11" t="str">
        <f ca="1">IFERROR(__xludf.DUMMYFUNCTION("IFERROR(SUBSTITUTE(SUBSTITUTE(REGEXEXTRACT(A6487, ""[^-]+- [^-]+- [^-]+ - (.+?)\.jpg""), "".jpg"", """"), ""-"", "", ""), """")"),"")</f>
        <v/>
      </c>
      <c r="L6487" s="12"/>
      <c r="M6487" s="13"/>
      <c r="N6487" s="2"/>
      <c r="O6487" s="20"/>
      <c r="P6487" s="42"/>
      <c r="R6487" s="23"/>
    </row>
    <row r="6488" spans="1:18" ht="12.75">
      <c r="A6488" s="12"/>
      <c r="D6488" s="12"/>
      <c r="E6488" s="12"/>
      <c r="H6488" s="11" t="str">
        <f ca="1">IFERROR(__xludf.DUMMYFUNCTION("IFERROR(SUBSTITUTE(SUBSTITUTE(REGEXEXTRACT(A6488, ""[^-]+- [^-]+- [^-]+ - (.+?)\.jpg""), "".jpg"", """"), ""-"", "", ""), """")"),"")</f>
        <v/>
      </c>
      <c r="L6488" s="12"/>
      <c r="M6488" s="13"/>
      <c r="N6488" s="2"/>
      <c r="O6488" s="20"/>
      <c r="P6488" s="42"/>
      <c r="R6488" s="23"/>
    </row>
    <row r="6489" spans="1:18" ht="12.75">
      <c r="A6489" s="12"/>
      <c r="D6489" s="12"/>
      <c r="E6489" s="12"/>
      <c r="H6489" s="11" t="str">
        <f ca="1">IFERROR(__xludf.DUMMYFUNCTION("IFERROR(SUBSTITUTE(SUBSTITUTE(REGEXEXTRACT(A6489, ""[^-]+- [^-]+- [^-]+ - (.+?)\.jpg""), "".jpg"", """"), ""-"", "", ""), """")"),"")</f>
        <v/>
      </c>
      <c r="L6489" s="12"/>
      <c r="M6489" s="13"/>
      <c r="N6489" s="2"/>
      <c r="O6489" s="20"/>
      <c r="P6489" s="42"/>
      <c r="R6489" s="23"/>
    </row>
    <row r="6490" spans="1:18" ht="12.75">
      <c r="A6490" s="12"/>
      <c r="D6490" s="12"/>
      <c r="E6490" s="12"/>
      <c r="H6490" s="11" t="str">
        <f ca="1">IFERROR(__xludf.DUMMYFUNCTION("IFERROR(SUBSTITUTE(SUBSTITUTE(REGEXEXTRACT(A6490, ""[^-]+- [^-]+- [^-]+ - (.+?)\.jpg""), "".jpg"", """"), ""-"", "", ""), """")"),"")</f>
        <v/>
      </c>
      <c r="L6490" s="12"/>
      <c r="M6490" s="13"/>
      <c r="N6490" s="2"/>
      <c r="O6490" s="20"/>
      <c r="P6490" s="42"/>
      <c r="R6490" s="23"/>
    </row>
    <row r="6491" spans="1:18" ht="12.75">
      <c r="A6491" s="12"/>
      <c r="D6491" s="12"/>
      <c r="E6491" s="12"/>
      <c r="H6491" s="11" t="str">
        <f ca="1">IFERROR(__xludf.DUMMYFUNCTION("IFERROR(SUBSTITUTE(SUBSTITUTE(REGEXEXTRACT(A6491, ""[^-]+- [^-]+- [^-]+ - (.+?)\.jpg""), "".jpg"", """"), ""-"", "", ""), """")"),"")</f>
        <v/>
      </c>
      <c r="L6491" s="12"/>
      <c r="M6491" s="13"/>
      <c r="N6491" s="2"/>
      <c r="O6491" s="20"/>
      <c r="P6491" s="42"/>
      <c r="R6491" s="23"/>
    </row>
    <row r="6492" spans="1:18" ht="12.75">
      <c r="A6492" s="12"/>
      <c r="D6492" s="12"/>
      <c r="E6492" s="12"/>
      <c r="H6492" s="11" t="str">
        <f ca="1">IFERROR(__xludf.DUMMYFUNCTION("IFERROR(SUBSTITUTE(SUBSTITUTE(REGEXEXTRACT(A6492, ""[^-]+- [^-]+- [^-]+ - (.+?)\.jpg""), "".jpg"", """"), ""-"", "", ""), """")"),"")</f>
        <v/>
      </c>
      <c r="L6492" s="12"/>
      <c r="M6492" s="13"/>
      <c r="N6492" s="2"/>
      <c r="O6492" s="20"/>
      <c r="P6492" s="42"/>
      <c r="R6492" s="23"/>
    </row>
    <row r="6493" spans="1:18" ht="12.75">
      <c r="A6493" s="12"/>
      <c r="D6493" s="12"/>
      <c r="E6493" s="12"/>
      <c r="H6493" s="11" t="str">
        <f ca="1">IFERROR(__xludf.DUMMYFUNCTION("IFERROR(SUBSTITUTE(SUBSTITUTE(REGEXEXTRACT(A6493, ""[^-]+- [^-]+- [^-]+ - (.+?)\.jpg""), "".jpg"", """"), ""-"", "", ""), """")"),"")</f>
        <v/>
      </c>
      <c r="L6493" s="12"/>
      <c r="M6493" s="13"/>
      <c r="N6493" s="2"/>
      <c r="O6493" s="20"/>
      <c r="P6493" s="42"/>
      <c r="R6493" s="23"/>
    </row>
    <row r="6494" spans="1:18" ht="12.75">
      <c r="A6494" s="12"/>
      <c r="D6494" s="12"/>
      <c r="E6494" s="12"/>
      <c r="H6494" s="11" t="str">
        <f ca="1">IFERROR(__xludf.DUMMYFUNCTION("IFERROR(SUBSTITUTE(SUBSTITUTE(REGEXEXTRACT(A6494, ""[^-]+- [^-]+- [^-]+ - (.+?)\.jpg""), "".jpg"", """"), ""-"", "", ""), """")"),"")</f>
        <v/>
      </c>
      <c r="L6494" s="12"/>
      <c r="M6494" s="13"/>
      <c r="N6494" s="2"/>
      <c r="O6494" s="20"/>
      <c r="P6494" s="42"/>
      <c r="R6494" s="23"/>
    </row>
    <row r="6495" spans="1:18" ht="12.75">
      <c r="A6495" s="12"/>
      <c r="D6495" s="12"/>
      <c r="E6495" s="12"/>
      <c r="H6495" s="11" t="str">
        <f ca="1">IFERROR(__xludf.DUMMYFUNCTION("IFERROR(SUBSTITUTE(SUBSTITUTE(REGEXEXTRACT(A6495, ""[^-]+- [^-]+- [^-]+ - (.+?)\.jpg""), "".jpg"", """"), ""-"", "", ""), """")"),"")</f>
        <v/>
      </c>
      <c r="L6495" s="12"/>
      <c r="M6495" s="13"/>
      <c r="N6495" s="2"/>
      <c r="O6495" s="20"/>
      <c r="P6495" s="42"/>
      <c r="R6495" s="23"/>
    </row>
    <row r="6496" spans="1:18" ht="12.75">
      <c r="A6496" s="12"/>
      <c r="D6496" s="12"/>
      <c r="E6496" s="12"/>
      <c r="H6496" s="11" t="str">
        <f ca="1">IFERROR(__xludf.DUMMYFUNCTION("IFERROR(SUBSTITUTE(SUBSTITUTE(REGEXEXTRACT(A6496, ""[^-]+- [^-]+- [^-]+ - (.+?)\.jpg""), "".jpg"", """"), ""-"", "", ""), """")"),"")</f>
        <v/>
      </c>
      <c r="L6496" s="12"/>
      <c r="M6496" s="13"/>
      <c r="N6496" s="2"/>
      <c r="O6496" s="20"/>
      <c r="P6496" s="42"/>
      <c r="R6496" s="23"/>
    </row>
    <row r="6497" spans="1:18" ht="12.75">
      <c r="A6497" s="12"/>
      <c r="D6497" s="12"/>
      <c r="E6497" s="12"/>
      <c r="H6497" s="11" t="str">
        <f ca="1">IFERROR(__xludf.DUMMYFUNCTION("IFERROR(SUBSTITUTE(SUBSTITUTE(REGEXEXTRACT(A6497, ""[^-]+- [^-]+- [^-]+ - (.+?)\.jpg""), "".jpg"", """"), ""-"", "", ""), """")"),"")</f>
        <v/>
      </c>
      <c r="L6497" s="12"/>
      <c r="M6497" s="13"/>
      <c r="N6497" s="2"/>
      <c r="O6497" s="20"/>
      <c r="P6497" s="42"/>
      <c r="R6497" s="23"/>
    </row>
    <row r="6498" spans="1:18" ht="12.75">
      <c r="A6498" s="12"/>
      <c r="D6498" s="12"/>
      <c r="E6498" s="12"/>
      <c r="H6498" s="11" t="str">
        <f ca="1">IFERROR(__xludf.DUMMYFUNCTION("IFERROR(SUBSTITUTE(SUBSTITUTE(REGEXEXTRACT(A6498, ""[^-]+- [^-]+- [^-]+ - (.+?)\.jpg""), "".jpg"", """"), ""-"", "", ""), """")"),"")</f>
        <v/>
      </c>
      <c r="L6498" s="12"/>
      <c r="M6498" s="13"/>
      <c r="N6498" s="2"/>
      <c r="O6498" s="20"/>
      <c r="P6498" s="42"/>
      <c r="R6498" s="23"/>
    </row>
    <row r="6499" spans="1:18" ht="12.75">
      <c r="A6499" s="12"/>
      <c r="D6499" s="12"/>
      <c r="E6499" s="12"/>
      <c r="H6499" s="11" t="str">
        <f ca="1">IFERROR(__xludf.DUMMYFUNCTION("IFERROR(SUBSTITUTE(SUBSTITUTE(REGEXEXTRACT(A6499, ""[^-]+- [^-]+- [^-]+ - (.+?)\.jpg""), "".jpg"", """"), ""-"", "", ""), """")"),"")</f>
        <v/>
      </c>
      <c r="L6499" s="12"/>
      <c r="M6499" s="13"/>
      <c r="N6499" s="2"/>
      <c r="O6499" s="20"/>
      <c r="P6499" s="42"/>
      <c r="R6499" s="23"/>
    </row>
    <row r="6500" spans="1:18" ht="12.75">
      <c r="A6500" s="12"/>
      <c r="D6500" s="12"/>
      <c r="E6500" s="12"/>
      <c r="H6500" s="11" t="str">
        <f ca="1">IFERROR(__xludf.DUMMYFUNCTION("IFERROR(SUBSTITUTE(SUBSTITUTE(REGEXEXTRACT(A6500, ""[^-]+- [^-]+- [^-]+ - (.+?)\.jpg""), "".jpg"", """"), ""-"", "", ""), """")"),"")</f>
        <v/>
      </c>
      <c r="L6500" s="12"/>
      <c r="M6500" s="13"/>
      <c r="N6500" s="2"/>
      <c r="O6500" s="20"/>
      <c r="P6500" s="42"/>
      <c r="R6500" s="23"/>
    </row>
    <row r="6501" spans="1:18" ht="12.75">
      <c r="A6501" s="12"/>
      <c r="D6501" s="12"/>
      <c r="E6501" s="12"/>
      <c r="H6501" s="11" t="str">
        <f ca="1">IFERROR(__xludf.DUMMYFUNCTION("IFERROR(SUBSTITUTE(SUBSTITUTE(REGEXEXTRACT(A6501, ""[^-]+- [^-]+- [^-]+ - (.+?)\.jpg""), "".jpg"", """"), ""-"", "", ""), """")"),"")</f>
        <v/>
      </c>
      <c r="L6501" s="12"/>
      <c r="M6501" s="13"/>
      <c r="N6501" s="2"/>
      <c r="O6501" s="20"/>
      <c r="P6501" s="42"/>
      <c r="R6501" s="23"/>
    </row>
    <row r="6502" spans="1:18" ht="12.75">
      <c r="A6502" s="12"/>
      <c r="D6502" s="12"/>
      <c r="E6502" s="12"/>
      <c r="H6502" s="11" t="str">
        <f ca="1">IFERROR(__xludf.DUMMYFUNCTION("IFERROR(SUBSTITUTE(SUBSTITUTE(REGEXEXTRACT(A6502, ""[^-]+- [^-]+- [^-]+ - (.+?)\.jpg""), "".jpg"", """"), ""-"", "", ""), """")"),"")</f>
        <v/>
      </c>
      <c r="L6502" s="12"/>
      <c r="M6502" s="13"/>
      <c r="N6502" s="2"/>
      <c r="O6502" s="20"/>
      <c r="P6502" s="42"/>
      <c r="R6502" s="23"/>
    </row>
    <row r="6503" spans="1:18" ht="12.75">
      <c r="A6503" s="12"/>
      <c r="D6503" s="12"/>
      <c r="E6503" s="12"/>
      <c r="H6503" s="11" t="str">
        <f ca="1">IFERROR(__xludf.DUMMYFUNCTION("IFERROR(SUBSTITUTE(SUBSTITUTE(REGEXEXTRACT(A6503, ""[^-]+- [^-]+- [^-]+ - (.+?)\.jpg""), "".jpg"", """"), ""-"", "", ""), """")"),"")</f>
        <v/>
      </c>
      <c r="L6503" s="12"/>
      <c r="M6503" s="13"/>
      <c r="N6503" s="2"/>
      <c r="O6503" s="20"/>
      <c r="P6503" s="42"/>
      <c r="R6503" s="23"/>
    </row>
    <row r="6504" spans="1:18" ht="12.75">
      <c r="A6504" s="12"/>
      <c r="D6504" s="12"/>
      <c r="E6504" s="12"/>
      <c r="H6504" s="11" t="str">
        <f ca="1">IFERROR(__xludf.DUMMYFUNCTION("IFERROR(SUBSTITUTE(SUBSTITUTE(REGEXEXTRACT(A6504, ""[^-]+- [^-]+- [^-]+ - (.+?)\.jpg""), "".jpg"", """"), ""-"", "", ""), """")"),"")</f>
        <v/>
      </c>
      <c r="L6504" s="12"/>
      <c r="M6504" s="13"/>
      <c r="N6504" s="2"/>
      <c r="O6504" s="20"/>
      <c r="P6504" s="42"/>
      <c r="R6504" s="23"/>
    </row>
    <row r="6505" spans="1:18" ht="12.75">
      <c r="A6505" s="12"/>
      <c r="D6505" s="12"/>
      <c r="E6505" s="12"/>
      <c r="H6505" s="11" t="str">
        <f ca="1">IFERROR(__xludf.DUMMYFUNCTION("IFERROR(SUBSTITUTE(SUBSTITUTE(REGEXEXTRACT(A6505, ""[^-]+- [^-]+- [^-]+ - (.+?)\.jpg""), "".jpg"", """"), ""-"", "", ""), """")"),"")</f>
        <v/>
      </c>
      <c r="L6505" s="12"/>
      <c r="M6505" s="13"/>
      <c r="N6505" s="2"/>
      <c r="O6505" s="20"/>
      <c r="P6505" s="42"/>
      <c r="R6505" s="23"/>
    </row>
    <row r="6506" spans="1:18" ht="12.75">
      <c r="A6506" s="12"/>
      <c r="D6506" s="12"/>
      <c r="E6506" s="12"/>
      <c r="H6506" s="11" t="str">
        <f ca="1">IFERROR(__xludf.DUMMYFUNCTION("IFERROR(SUBSTITUTE(SUBSTITUTE(REGEXEXTRACT(A6506, ""[^-]+- [^-]+- [^-]+ - (.+?)\.jpg""), "".jpg"", """"), ""-"", "", ""), """")"),"")</f>
        <v/>
      </c>
      <c r="L6506" s="12"/>
      <c r="M6506" s="13"/>
      <c r="N6506" s="2"/>
      <c r="O6506" s="20"/>
      <c r="P6506" s="42"/>
      <c r="R6506" s="23"/>
    </row>
    <row r="6507" spans="1:18" ht="12.75">
      <c r="A6507" s="12"/>
      <c r="D6507" s="12"/>
      <c r="E6507" s="12"/>
      <c r="H6507" s="11" t="str">
        <f ca="1">IFERROR(__xludf.DUMMYFUNCTION("IFERROR(SUBSTITUTE(SUBSTITUTE(REGEXEXTRACT(A6507, ""[^-]+- [^-]+- [^-]+ - (.+?)\.jpg""), "".jpg"", """"), ""-"", "", ""), """")"),"")</f>
        <v/>
      </c>
      <c r="L6507" s="12"/>
      <c r="M6507" s="13"/>
      <c r="N6507" s="2"/>
      <c r="O6507" s="20"/>
      <c r="P6507" s="42"/>
      <c r="R6507" s="23"/>
    </row>
    <row r="6508" spans="1:18" ht="12.75">
      <c r="A6508" s="12"/>
      <c r="D6508" s="12"/>
      <c r="E6508" s="12"/>
      <c r="H6508" s="11" t="str">
        <f ca="1">IFERROR(__xludf.DUMMYFUNCTION("IFERROR(SUBSTITUTE(SUBSTITUTE(REGEXEXTRACT(A6508, ""[^-]+- [^-]+- [^-]+ - (.+?)\.jpg""), "".jpg"", """"), ""-"", "", ""), """")"),"")</f>
        <v/>
      </c>
      <c r="L6508" s="12"/>
      <c r="M6508" s="13"/>
      <c r="N6508" s="2"/>
      <c r="O6508" s="20"/>
      <c r="P6508" s="42"/>
      <c r="R6508" s="23"/>
    </row>
    <row r="6509" spans="1:18" ht="12.75">
      <c r="A6509" s="12"/>
      <c r="D6509" s="12"/>
      <c r="E6509" s="12"/>
      <c r="H6509" s="11" t="str">
        <f ca="1">IFERROR(__xludf.DUMMYFUNCTION("IFERROR(SUBSTITUTE(SUBSTITUTE(REGEXEXTRACT(A6509, ""[^-]+- [^-]+- [^-]+ - (.+?)\.jpg""), "".jpg"", """"), ""-"", "", ""), """")"),"")</f>
        <v/>
      </c>
      <c r="L6509" s="12"/>
      <c r="M6509" s="13"/>
      <c r="N6509" s="2"/>
      <c r="O6509" s="20"/>
      <c r="P6509" s="42"/>
      <c r="R6509" s="23"/>
    </row>
    <row r="6510" spans="1:18" ht="12.75">
      <c r="A6510" s="12"/>
      <c r="D6510" s="12"/>
      <c r="E6510" s="12"/>
      <c r="H6510" s="11" t="str">
        <f ca="1">IFERROR(__xludf.DUMMYFUNCTION("IFERROR(SUBSTITUTE(SUBSTITUTE(REGEXEXTRACT(A6510, ""[^-]+- [^-]+- [^-]+ - (.+?)\.jpg""), "".jpg"", """"), ""-"", "", ""), """")"),"")</f>
        <v/>
      </c>
      <c r="L6510" s="12"/>
      <c r="M6510" s="13"/>
      <c r="N6510" s="2"/>
      <c r="O6510" s="20"/>
      <c r="P6510" s="42"/>
      <c r="R6510" s="23"/>
    </row>
    <row r="6511" spans="1:18" ht="12.75">
      <c r="A6511" s="12"/>
      <c r="D6511" s="12"/>
      <c r="E6511" s="12"/>
      <c r="H6511" s="11" t="str">
        <f ca="1">IFERROR(__xludf.DUMMYFUNCTION("IFERROR(SUBSTITUTE(SUBSTITUTE(REGEXEXTRACT(A6511, ""[^-]+- [^-]+- [^-]+ - (.+?)\.jpg""), "".jpg"", """"), ""-"", "", ""), """")"),"")</f>
        <v/>
      </c>
      <c r="L6511" s="12"/>
      <c r="M6511" s="13"/>
      <c r="N6511" s="2"/>
      <c r="O6511" s="20"/>
      <c r="P6511" s="42"/>
      <c r="R6511" s="23"/>
    </row>
    <row r="6512" spans="1:18" ht="12.75">
      <c r="A6512" s="12"/>
      <c r="D6512" s="12"/>
      <c r="E6512" s="12"/>
      <c r="H6512" s="11" t="str">
        <f ca="1">IFERROR(__xludf.DUMMYFUNCTION("IFERROR(SUBSTITUTE(SUBSTITUTE(REGEXEXTRACT(A6512, ""[^-]+- [^-]+- [^-]+ - (.+?)\.jpg""), "".jpg"", """"), ""-"", "", ""), """")"),"")</f>
        <v/>
      </c>
      <c r="L6512" s="12"/>
      <c r="M6512" s="13"/>
      <c r="N6512" s="2"/>
      <c r="O6512" s="20"/>
      <c r="P6512" s="42"/>
      <c r="R6512" s="23"/>
    </row>
    <row r="6513" spans="1:18" ht="12.75">
      <c r="A6513" s="12"/>
      <c r="D6513" s="12"/>
      <c r="E6513" s="12"/>
      <c r="H6513" s="11" t="str">
        <f ca="1">IFERROR(__xludf.DUMMYFUNCTION("IFERROR(SUBSTITUTE(SUBSTITUTE(REGEXEXTRACT(A6513, ""[^-]+- [^-]+- [^-]+ - (.+?)\.jpg""), "".jpg"", """"), ""-"", "", ""), """")"),"")</f>
        <v/>
      </c>
      <c r="L6513" s="12"/>
      <c r="M6513" s="13"/>
      <c r="N6513" s="2"/>
      <c r="O6513" s="20"/>
      <c r="P6513" s="42"/>
      <c r="R6513" s="23"/>
    </row>
    <row r="6514" spans="1:18" ht="12.75">
      <c r="A6514" s="12"/>
      <c r="D6514" s="12"/>
      <c r="E6514" s="12"/>
      <c r="H6514" s="11" t="str">
        <f ca="1">IFERROR(__xludf.DUMMYFUNCTION("IFERROR(SUBSTITUTE(SUBSTITUTE(REGEXEXTRACT(A6514, ""[^-]+- [^-]+- [^-]+ - (.+?)\.jpg""), "".jpg"", """"), ""-"", "", ""), """")"),"")</f>
        <v/>
      </c>
      <c r="L6514" s="12"/>
      <c r="M6514" s="13"/>
      <c r="N6514" s="2"/>
      <c r="O6514" s="20"/>
      <c r="P6514" s="42"/>
      <c r="R6514" s="23"/>
    </row>
    <row r="6515" spans="1:18" ht="12.75">
      <c r="A6515" s="12"/>
      <c r="D6515" s="12"/>
      <c r="E6515" s="12"/>
      <c r="H6515" s="11" t="str">
        <f ca="1">IFERROR(__xludf.DUMMYFUNCTION("IFERROR(SUBSTITUTE(SUBSTITUTE(REGEXEXTRACT(A6515, ""[^-]+- [^-]+- [^-]+ - (.+?)\.jpg""), "".jpg"", """"), ""-"", "", ""), """")"),"")</f>
        <v/>
      </c>
      <c r="L6515" s="12"/>
      <c r="M6515" s="13"/>
      <c r="N6515" s="2"/>
      <c r="O6515" s="20"/>
      <c r="P6515" s="42"/>
      <c r="R6515" s="23"/>
    </row>
    <row r="6516" spans="1:18" ht="12.75">
      <c r="A6516" s="12"/>
      <c r="D6516" s="12"/>
      <c r="E6516" s="12"/>
      <c r="H6516" s="11" t="str">
        <f ca="1">IFERROR(__xludf.DUMMYFUNCTION("IFERROR(SUBSTITUTE(SUBSTITUTE(REGEXEXTRACT(A6516, ""[^-]+- [^-]+- [^-]+ - (.+?)\.jpg""), "".jpg"", """"), ""-"", "", ""), """")"),"")</f>
        <v/>
      </c>
      <c r="L6516" s="12"/>
      <c r="M6516" s="13"/>
      <c r="N6516" s="2"/>
      <c r="O6516" s="20"/>
      <c r="P6516" s="42"/>
      <c r="R6516" s="23"/>
    </row>
    <row r="6517" spans="1:18" ht="12.75">
      <c r="A6517" s="12"/>
      <c r="D6517" s="12"/>
      <c r="E6517" s="12"/>
      <c r="H6517" s="11" t="str">
        <f ca="1">IFERROR(__xludf.DUMMYFUNCTION("IFERROR(SUBSTITUTE(SUBSTITUTE(REGEXEXTRACT(A6517, ""[^-]+- [^-]+- [^-]+ - (.+?)\.jpg""), "".jpg"", """"), ""-"", "", ""), """")"),"")</f>
        <v/>
      </c>
      <c r="L6517" s="12"/>
      <c r="M6517" s="13"/>
      <c r="N6517" s="2"/>
      <c r="O6517" s="20"/>
      <c r="P6517" s="42"/>
      <c r="R6517" s="23"/>
    </row>
    <row r="6518" spans="1:18" ht="12.75">
      <c r="A6518" s="12"/>
      <c r="D6518" s="12"/>
      <c r="E6518" s="12"/>
      <c r="H6518" s="11" t="str">
        <f ca="1">IFERROR(__xludf.DUMMYFUNCTION("IFERROR(SUBSTITUTE(SUBSTITUTE(REGEXEXTRACT(A6518, ""[^-]+- [^-]+- [^-]+ - (.+?)\.jpg""), "".jpg"", """"), ""-"", "", ""), """")"),"")</f>
        <v/>
      </c>
      <c r="L6518" s="12"/>
      <c r="M6518" s="13"/>
      <c r="N6518" s="2"/>
      <c r="O6518" s="20"/>
      <c r="P6518" s="42"/>
      <c r="R6518" s="23"/>
    </row>
    <row r="6519" spans="1:18" ht="12.75">
      <c r="A6519" s="12"/>
      <c r="D6519" s="12"/>
      <c r="E6519" s="12"/>
      <c r="H6519" s="11" t="str">
        <f ca="1">IFERROR(__xludf.DUMMYFUNCTION("IFERROR(SUBSTITUTE(SUBSTITUTE(REGEXEXTRACT(A6519, ""[^-]+- [^-]+- [^-]+ - (.+?)\.jpg""), "".jpg"", """"), ""-"", "", ""), """")"),"")</f>
        <v/>
      </c>
      <c r="L6519" s="12"/>
      <c r="M6519" s="13"/>
      <c r="N6519" s="2"/>
      <c r="O6519" s="20"/>
      <c r="P6519" s="42"/>
      <c r="R6519" s="23"/>
    </row>
    <row r="6520" spans="1:18" ht="12.75">
      <c r="A6520" s="12"/>
      <c r="D6520" s="12"/>
      <c r="E6520" s="12"/>
      <c r="H6520" s="11" t="str">
        <f ca="1">IFERROR(__xludf.DUMMYFUNCTION("IFERROR(SUBSTITUTE(SUBSTITUTE(REGEXEXTRACT(A6520, ""[^-]+- [^-]+- [^-]+ - (.+?)\.jpg""), "".jpg"", """"), ""-"", "", ""), """")"),"")</f>
        <v/>
      </c>
      <c r="L6520" s="12"/>
      <c r="M6520" s="13"/>
      <c r="N6520" s="2"/>
      <c r="O6520" s="20"/>
      <c r="P6520" s="42"/>
      <c r="R6520" s="23"/>
    </row>
    <row r="6521" spans="1:18" ht="12.75">
      <c r="A6521" s="12"/>
      <c r="D6521" s="12"/>
      <c r="E6521" s="12"/>
      <c r="H6521" s="11" t="str">
        <f ca="1">IFERROR(__xludf.DUMMYFUNCTION("IFERROR(SUBSTITUTE(SUBSTITUTE(REGEXEXTRACT(A6521, ""[^-]+- [^-]+- [^-]+ - (.+?)\.jpg""), "".jpg"", """"), ""-"", "", ""), """")"),"")</f>
        <v/>
      </c>
      <c r="L6521" s="12"/>
      <c r="M6521" s="13"/>
      <c r="N6521" s="2"/>
      <c r="O6521" s="20"/>
      <c r="P6521" s="42"/>
      <c r="R6521" s="23"/>
    </row>
    <row r="6522" spans="1:18" ht="12.75">
      <c r="A6522" s="12"/>
      <c r="D6522" s="12"/>
      <c r="E6522" s="12"/>
      <c r="H6522" s="11" t="str">
        <f ca="1">IFERROR(__xludf.DUMMYFUNCTION("IFERROR(SUBSTITUTE(SUBSTITUTE(REGEXEXTRACT(A6522, ""[^-]+- [^-]+- [^-]+ - (.+?)\.jpg""), "".jpg"", """"), ""-"", "", ""), """")"),"")</f>
        <v/>
      </c>
      <c r="L6522" s="12"/>
      <c r="M6522" s="13"/>
      <c r="N6522" s="2"/>
      <c r="O6522" s="20"/>
      <c r="P6522" s="42"/>
      <c r="R6522" s="23"/>
    </row>
    <row r="6523" spans="1:18" ht="12.75">
      <c r="A6523" s="12"/>
      <c r="D6523" s="12"/>
      <c r="E6523" s="12"/>
      <c r="H6523" s="11" t="str">
        <f ca="1">IFERROR(__xludf.DUMMYFUNCTION("IFERROR(SUBSTITUTE(SUBSTITUTE(REGEXEXTRACT(A6523, ""[^-]+- [^-]+- [^-]+ - (.+?)\.jpg""), "".jpg"", """"), ""-"", "", ""), """")"),"")</f>
        <v/>
      </c>
      <c r="L6523" s="12"/>
      <c r="M6523" s="13"/>
      <c r="N6523" s="2"/>
      <c r="O6523" s="20"/>
      <c r="P6523" s="42"/>
      <c r="R6523" s="23"/>
    </row>
    <row r="6524" spans="1:18" ht="12.75">
      <c r="A6524" s="12"/>
      <c r="D6524" s="12"/>
      <c r="E6524" s="12"/>
      <c r="H6524" s="11" t="str">
        <f ca="1">IFERROR(__xludf.DUMMYFUNCTION("IFERROR(SUBSTITUTE(SUBSTITUTE(REGEXEXTRACT(A6524, ""[^-]+- [^-]+- [^-]+ - (.+?)\.jpg""), "".jpg"", """"), ""-"", "", ""), """")"),"")</f>
        <v/>
      </c>
      <c r="L6524" s="12"/>
      <c r="M6524" s="13"/>
      <c r="N6524" s="2"/>
      <c r="O6524" s="20"/>
      <c r="P6524" s="42"/>
      <c r="R6524" s="23"/>
    </row>
    <row r="6525" spans="1:18" ht="12.75">
      <c r="A6525" s="12"/>
      <c r="D6525" s="12"/>
      <c r="E6525" s="12"/>
      <c r="H6525" s="11" t="str">
        <f ca="1">IFERROR(__xludf.DUMMYFUNCTION("IFERROR(SUBSTITUTE(SUBSTITUTE(REGEXEXTRACT(A6525, ""[^-]+- [^-]+- [^-]+ - (.+?)\.jpg""), "".jpg"", """"), ""-"", "", ""), """")"),"")</f>
        <v/>
      </c>
      <c r="L6525" s="12"/>
      <c r="M6525" s="13"/>
      <c r="N6525" s="2"/>
      <c r="O6525" s="20"/>
      <c r="P6525" s="42"/>
      <c r="R6525" s="23"/>
    </row>
    <row r="6526" spans="1:18" ht="12.75">
      <c r="A6526" s="12"/>
      <c r="D6526" s="12"/>
      <c r="E6526" s="12"/>
      <c r="H6526" s="11" t="str">
        <f ca="1">IFERROR(__xludf.DUMMYFUNCTION("IFERROR(SUBSTITUTE(SUBSTITUTE(REGEXEXTRACT(A6526, ""[^-]+- [^-]+- [^-]+ - (.+?)\.jpg""), "".jpg"", """"), ""-"", "", ""), """")"),"")</f>
        <v/>
      </c>
      <c r="L6526" s="12"/>
      <c r="M6526" s="13"/>
      <c r="N6526" s="2"/>
      <c r="O6526" s="20"/>
      <c r="P6526" s="42"/>
      <c r="R6526" s="23"/>
    </row>
    <row r="6527" spans="1:18" ht="12.75">
      <c r="A6527" s="12"/>
      <c r="D6527" s="12"/>
      <c r="E6527" s="12"/>
      <c r="H6527" s="11" t="str">
        <f ca="1">IFERROR(__xludf.DUMMYFUNCTION("IFERROR(SUBSTITUTE(SUBSTITUTE(REGEXEXTRACT(A6527, ""[^-]+- [^-]+- [^-]+ - (.+?)\.jpg""), "".jpg"", """"), ""-"", "", ""), """")"),"")</f>
        <v/>
      </c>
      <c r="L6527" s="12"/>
      <c r="M6527" s="13"/>
      <c r="N6527" s="2"/>
      <c r="O6527" s="20"/>
      <c r="P6527" s="42"/>
      <c r="R6527" s="23"/>
    </row>
    <row r="6528" spans="1:18" ht="12.75">
      <c r="A6528" s="12"/>
      <c r="D6528" s="12"/>
      <c r="E6528" s="12"/>
      <c r="H6528" s="11" t="str">
        <f ca="1">IFERROR(__xludf.DUMMYFUNCTION("IFERROR(SUBSTITUTE(SUBSTITUTE(REGEXEXTRACT(A6528, ""[^-]+- [^-]+- [^-]+ - (.+?)\.jpg""), "".jpg"", """"), ""-"", "", ""), """")"),"")</f>
        <v/>
      </c>
      <c r="L6528" s="12"/>
      <c r="M6528" s="13"/>
      <c r="N6528" s="2"/>
      <c r="O6528" s="20"/>
      <c r="P6528" s="42"/>
      <c r="R6528" s="23"/>
    </row>
    <row r="6529" spans="1:18" ht="12.75">
      <c r="A6529" s="12"/>
      <c r="D6529" s="12"/>
      <c r="E6529" s="12"/>
      <c r="H6529" s="11" t="str">
        <f ca="1">IFERROR(__xludf.DUMMYFUNCTION("IFERROR(SUBSTITUTE(SUBSTITUTE(REGEXEXTRACT(A6529, ""[^-]+- [^-]+- [^-]+ - (.+?)\.jpg""), "".jpg"", """"), ""-"", "", ""), """")"),"")</f>
        <v/>
      </c>
      <c r="L6529" s="12"/>
      <c r="M6529" s="13"/>
      <c r="N6529" s="2"/>
      <c r="O6529" s="20"/>
      <c r="P6529" s="42"/>
      <c r="R6529" s="23"/>
    </row>
    <row r="6530" spans="1:18" ht="12.75">
      <c r="A6530" s="12"/>
      <c r="D6530" s="12"/>
      <c r="E6530" s="12"/>
      <c r="H6530" s="11" t="str">
        <f ca="1">IFERROR(__xludf.DUMMYFUNCTION("IFERROR(SUBSTITUTE(SUBSTITUTE(REGEXEXTRACT(A6530, ""[^-]+- [^-]+- [^-]+ - (.+?)\.jpg""), "".jpg"", """"), ""-"", "", ""), """")"),"")</f>
        <v/>
      </c>
      <c r="L6530" s="12"/>
      <c r="M6530" s="13"/>
      <c r="N6530" s="2"/>
      <c r="O6530" s="20"/>
      <c r="P6530" s="42"/>
      <c r="R6530" s="23"/>
    </row>
    <row r="6531" spans="1:18" ht="12.75">
      <c r="A6531" s="12"/>
      <c r="D6531" s="12"/>
      <c r="E6531" s="12"/>
      <c r="H6531" s="11" t="str">
        <f ca="1">IFERROR(__xludf.DUMMYFUNCTION("IFERROR(SUBSTITUTE(SUBSTITUTE(REGEXEXTRACT(A6531, ""[^-]+- [^-]+- [^-]+ - (.+?)\.jpg""), "".jpg"", """"), ""-"", "", ""), """")"),"")</f>
        <v/>
      </c>
      <c r="L6531" s="12"/>
      <c r="M6531" s="13"/>
      <c r="N6531" s="2"/>
      <c r="O6531" s="20"/>
      <c r="P6531" s="42"/>
      <c r="R6531" s="23"/>
    </row>
    <row r="6532" spans="1:18" ht="12.75">
      <c r="A6532" s="12"/>
      <c r="D6532" s="12"/>
      <c r="E6532" s="12"/>
      <c r="H6532" s="11" t="str">
        <f ca="1">IFERROR(__xludf.DUMMYFUNCTION("IFERROR(SUBSTITUTE(SUBSTITUTE(REGEXEXTRACT(A6532, ""[^-]+- [^-]+- [^-]+ - (.+?)\.jpg""), "".jpg"", """"), ""-"", "", ""), """")"),"")</f>
        <v/>
      </c>
      <c r="L6532" s="12"/>
      <c r="M6532" s="13"/>
      <c r="N6532" s="2"/>
      <c r="O6532" s="20"/>
      <c r="P6532" s="42"/>
      <c r="R6532" s="23"/>
    </row>
    <row r="6533" spans="1:18" ht="12.75">
      <c r="A6533" s="12"/>
      <c r="D6533" s="12"/>
      <c r="E6533" s="12"/>
      <c r="H6533" s="11" t="str">
        <f ca="1">IFERROR(__xludf.DUMMYFUNCTION("IFERROR(SUBSTITUTE(SUBSTITUTE(REGEXEXTRACT(A6533, ""[^-]+- [^-]+- [^-]+ - (.+?)\.jpg""), "".jpg"", """"), ""-"", "", ""), """")"),"")</f>
        <v/>
      </c>
      <c r="L6533" s="12"/>
      <c r="M6533" s="13"/>
      <c r="N6533" s="2"/>
      <c r="O6533" s="20"/>
      <c r="P6533" s="42"/>
      <c r="R6533" s="23"/>
    </row>
    <row r="6534" spans="1:18" ht="12.75">
      <c r="A6534" s="12"/>
      <c r="D6534" s="12"/>
      <c r="E6534" s="12"/>
      <c r="H6534" s="11" t="str">
        <f ca="1">IFERROR(__xludf.DUMMYFUNCTION("IFERROR(SUBSTITUTE(SUBSTITUTE(REGEXEXTRACT(A6534, ""[^-]+- [^-]+- [^-]+ - (.+?)\.jpg""), "".jpg"", """"), ""-"", "", ""), """")"),"")</f>
        <v/>
      </c>
      <c r="L6534" s="12"/>
      <c r="M6534" s="13"/>
      <c r="N6534" s="2"/>
      <c r="O6534" s="20"/>
      <c r="P6534" s="42"/>
      <c r="R6534" s="23"/>
    </row>
    <row r="6535" spans="1:18" ht="12.75">
      <c r="A6535" s="12"/>
      <c r="D6535" s="12"/>
      <c r="E6535" s="12"/>
      <c r="H6535" s="11" t="str">
        <f ca="1">IFERROR(__xludf.DUMMYFUNCTION("IFERROR(SUBSTITUTE(SUBSTITUTE(REGEXEXTRACT(A6535, ""[^-]+- [^-]+- [^-]+ - (.+?)\.jpg""), "".jpg"", """"), ""-"", "", ""), """")"),"")</f>
        <v/>
      </c>
      <c r="L6535" s="12"/>
      <c r="M6535" s="13"/>
      <c r="N6535" s="2"/>
      <c r="O6535" s="20"/>
      <c r="P6535" s="42"/>
      <c r="R6535" s="23"/>
    </row>
    <row r="6536" spans="1:18" ht="12.75">
      <c r="A6536" s="12"/>
      <c r="D6536" s="12"/>
      <c r="E6536" s="12"/>
      <c r="H6536" s="11" t="str">
        <f ca="1">IFERROR(__xludf.DUMMYFUNCTION("IFERROR(SUBSTITUTE(SUBSTITUTE(REGEXEXTRACT(A6536, ""[^-]+- [^-]+- [^-]+ - (.+?)\.jpg""), "".jpg"", """"), ""-"", "", ""), """")"),"")</f>
        <v/>
      </c>
      <c r="L6536" s="12"/>
      <c r="M6536" s="13"/>
      <c r="N6536" s="2"/>
      <c r="O6536" s="20"/>
      <c r="P6536" s="42"/>
      <c r="R6536" s="23"/>
    </row>
    <row r="6537" spans="1:18" ht="12.75">
      <c r="A6537" s="12"/>
      <c r="D6537" s="12"/>
      <c r="E6537" s="12"/>
      <c r="H6537" s="11" t="str">
        <f ca="1">IFERROR(__xludf.DUMMYFUNCTION("IFERROR(SUBSTITUTE(SUBSTITUTE(REGEXEXTRACT(A6537, ""[^-]+- [^-]+- [^-]+ - (.+?)\.jpg""), "".jpg"", """"), ""-"", "", ""), """")"),"")</f>
        <v/>
      </c>
      <c r="L6537" s="12"/>
      <c r="M6537" s="13"/>
      <c r="N6537" s="2"/>
      <c r="O6537" s="20"/>
      <c r="P6537" s="42"/>
      <c r="R6537" s="23"/>
    </row>
    <row r="6538" spans="1:18" ht="12.75">
      <c r="A6538" s="12"/>
      <c r="D6538" s="12"/>
      <c r="E6538" s="12"/>
      <c r="H6538" s="11" t="str">
        <f ca="1">IFERROR(__xludf.DUMMYFUNCTION("IFERROR(SUBSTITUTE(SUBSTITUTE(REGEXEXTRACT(A6538, ""[^-]+- [^-]+- [^-]+ - (.+?)\.jpg""), "".jpg"", """"), ""-"", "", ""), """")"),"")</f>
        <v/>
      </c>
      <c r="L6538" s="12"/>
      <c r="M6538" s="13"/>
      <c r="N6538" s="2"/>
      <c r="O6538" s="20"/>
      <c r="P6538" s="42"/>
      <c r="R6538" s="23"/>
    </row>
    <row r="6539" spans="1:18" ht="12.75">
      <c r="A6539" s="12"/>
      <c r="D6539" s="12"/>
      <c r="E6539" s="12"/>
      <c r="H6539" s="11" t="str">
        <f ca="1">IFERROR(__xludf.DUMMYFUNCTION("IFERROR(SUBSTITUTE(SUBSTITUTE(REGEXEXTRACT(A6539, ""[^-]+- [^-]+- [^-]+ - (.+?)\.jpg""), "".jpg"", """"), ""-"", "", ""), """")"),"")</f>
        <v/>
      </c>
      <c r="L6539" s="12"/>
      <c r="M6539" s="13"/>
      <c r="N6539" s="2"/>
      <c r="O6539" s="20"/>
      <c r="P6539" s="42"/>
      <c r="R6539" s="23"/>
    </row>
    <row r="6540" spans="1:18" ht="12.75">
      <c r="A6540" s="12"/>
      <c r="D6540" s="12"/>
      <c r="E6540" s="12"/>
      <c r="H6540" s="11" t="str">
        <f ca="1">IFERROR(__xludf.DUMMYFUNCTION("IFERROR(SUBSTITUTE(SUBSTITUTE(REGEXEXTRACT(A6540, ""[^-]+- [^-]+- [^-]+ - (.+?)\.jpg""), "".jpg"", """"), ""-"", "", ""), """")"),"")</f>
        <v/>
      </c>
      <c r="L6540" s="12"/>
      <c r="M6540" s="13"/>
      <c r="N6540" s="2"/>
      <c r="O6540" s="20"/>
      <c r="P6540" s="42"/>
      <c r="R6540" s="23"/>
    </row>
    <row r="6541" spans="1:18" ht="12.75">
      <c r="A6541" s="12"/>
      <c r="D6541" s="12"/>
      <c r="E6541" s="12"/>
      <c r="H6541" s="11" t="str">
        <f ca="1">IFERROR(__xludf.DUMMYFUNCTION("IFERROR(SUBSTITUTE(SUBSTITUTE(REGEXEXTRACT(A6541, ""[^-]+- [^-]+- [^-]+ - (.+?)\.jpg""), "".jpg"", """"), ""-"", "", ""), """")"),"")</f>
        <v/>
      </c>
      <c r="L6541" s="12"/>
      <c r="M6541" s="13"/>
      <c r="N6541" s="2"/>
      <c r="O6541" s="20"/>
      <c r="P6541" s="42"/>
      <c r="R6541" s="23"/>
    </row>
    <row r="6542" spans="1:18" ht="12.75">
      <c r="A6542" s="12"/>
      <c r="D6542" s="12"/>
      <c r="E6542" s="12"/>
      <c r="H6542" s="11" t="str">
        <f ca="1">IFERROR(__xludf.DUMMYFUNCTION("IFERROR(SUBSTITUTE(SUBSTITUTE(REGEXEXTRACT(A6542, ""[^-]+- [^-]+- [^-]+ - (.+?)\.jpg""), "".jpg"", """"), ""-"", "", ""), """")"),"")</f>
        <v/>
      </c>
      <c r="L6542" s="12"/>
      <c r="M6542" s="13"/>
      <c r="N6542" s="2"/>
      <c r="O6542" s="20"/>
      <c r="P6542" s="42"/>
      <c r="R6542" s="23"/>
    </row>
    <row r="6543" spans="1:18" ht="12.75">
      <c r="A6543" s="12"/>
      <c r="D6543" s="12"/>
      <c r="E6543" s="12"/>
      <c r="H6543" s="11" t="str">
        <f ca="1">IFERROR(__xludf.DUMMYFUNCTION("IFERROR(SUBSTITUTE(SUBSTITUTE(REGEXEXTRACT(A6543, ""[^-]+- [^-]+- [^-]+ - (.+?)\.jpg""), "".jpg"", """"), ""-"", "", ""), """")"),"")</f>
        <v/>
      </c>
      <c r="L6543" s="12"/>
      <c r="M6543" s="13"/>
      <c r="N6543" s="2"/>
      <c r="O6543" s="20"/>
      <c r="P6543" s="42"/>
      <c r="R6543" s="23"/>
    </row>
    <row r="6544" spans="1:18" ht="12.75">
      <c r="A6544" s="12"/>
      <c r="D6544" s="12"/>
      <c r="E6544" s="12"/>
      <c r="H6544" s="11" t="str">
        <f ca="1">IFERROR(__xludf.DUMMYFUNCTION("IFERROR(SUBSTITUTE(SUBSTITUTE(REGEXEXTRACT(A6544, ""[^-]+- [^-]+- [^-]+ - (.+?)\.jpg""), "".jpg"", """"), ""-"", "", ""), """")"),"")</f>
        <v/>
      </c>
      <c r="L6544" s="12"/>
      <c r="M6544" s="13"/>
      <c r="N6544" s="2"/>
      <c r="O6544" s="20"/>
      <c r="P6544" s="42"/>
      <c r="R6544" s="23"/>
    </row>
    <row r="6545" spans="1:18" ht="12.75">
      <c r="A6545" s="12"/>
      <c r="D6545" s="12"/>
      <c r="E6545" s="12"/>
      <c r="H6545" s="11" t="str">
        <f ca="1">IFERROR(__xludf.DUMMYFUNCTION("IFERROR(SUBSTITUTE(SUBSTITUTE(REGEXEXTRACT(A6545, ""[^-]+- [^-]+- [^-]+ - (.+?)\.jpg""), "".jpg"", """"), ""-"", "", ""), """")"),"")</f>
        <v/>
      </c>
      <c r="L6545" s="12"/>
      <c r="M6545" s="13"/>
      <c r="N6545" s="2"/>
      <c r="O6545" s="20"/>
      <c r="P6545" s="42"/>
      <c r="R6545" s="23"/>
    </row>
    <row r="6546" spans="1:18" ht="12.75">
      <c r="A6546" s="12"/>
      <c r="D6546" s="12"/>
      <c r="E6546" s="12"/>
      <c r="H6546" s="11" t="str">
        <f ca="1">IFERROR(__xludf.DUMMYFUNCTION("IFERROR(SUBSTITUTE(SUBSTITUTE(REGEXEXTRACT(A6546, ""[^-]+- [^-]+- [^-]+ - (.+?)\.jpg""), "".jpg"", """"), ""-"", "", ""), """")"),"")</f>
        <v/>
      </c>
      <c r="L6546" s="12"/>
      <c r="M6546" s="13"/>
      <c r="N6546" s="2"/>
      <c r="O6546" s="20"/>
      <c r="P6546" s="42"/>
      <c r="R6546" s="23"/>
    </row>
    <row r="6547" spans="1:18" ht="12.75">
      <c r="A6547" s="12"/>
      <c r="D6547" s="12"/>
      <c r="E6547" s="12"/>
      <c r="H6547" s="11" t="str">
        <f ca="1">IFERROR(__xludf.DUMMYFUNCTION("IFERROR(SUBSTITUTE(SUBSTITUTE(REGEXEXTRACT(A6547, ""[^-]+- [^-]+- [^-]+ - (.+?)\.jpg""), "".jpg"", """"), ""-"", "", ""), """")"),"")</f>
        <v/>
      </c>
      <c r="L6547" s="12"/>
      <c r="M6547" s="13"/>
      <c r="N6547" s="2"/>
      <c r="O6547" s="20"/>
      <c r="P6547" s="42"/>
      <c r="R6547" s="23"/>
    </row>
    <row r="6548" spans="1:18" ht="12.75">
      <c r="A6548" s="12"/>
      <c r="D6548" s="12"/>
      <c r="E6548" s="12"/>
      <c r="H6548" s="11" t="str">
        <f ca="1">IFERROR(__xludf.DUMMYFUNCTION("IFERROR(SUBSTITUTE(SUBSTITUTE(REGEXEXTRACT(A6548, ""[^-]+- [^-]+- [^-]+ - (.+?)\.jpg""), "".jpg"", """"), ""-"", "", ""), """")"),"")</f>
        <v/>
      </c>
      <c r="L6548" s="12"/>
      <c r="M6548" s="13"/>
      <c r="N6548" s="2"/>
      <c r="O6548" s="20"/>
      <c r="P6548" s="42"/>
      <c r="R6548" s="23"/>
    </row>
    <row r="6549" spans="1:18" ht="12.75">
      <c r="A6549" s="12"/>
      <c r="D6549" s="12"/>
      <c r="E6549" s="12"/>
      <c r="H6549" s="11" t="str">
        <f ca="1">IFERROR(__xludf.DUMMYFUNCTION("IFERROR(SUBSTITUTE(SUBSTITUTE(REGEXEXTRACT(A6549, ""[^-]+- [^-]+- [^-]+ - (.+?)\.jpg""), "".jpg"", """"), ""-"", "", ""), """")"),"")</f>
        <v/>
      </c>
      <c r="L6549" s="12"/>
      <c r="M6549" s="13"/>
      <c r="N6549" s="2"/>
      <c r="O6549" s="20"/>
      <c r="P6549" s="42"/>
      <c r="R6549" s="23"/>
    </row>
    <row r="6550" spans="1:18" ht="12.75">
      <c r="A6550" s="12"/>
      <c r="D6550" s="12"/>
      <c r="E6550" s="12"/>
      <c r="H6550" s="11" t="str">
        <f ca="1">IFERROR(__xludf.DUMMYFUNCTION("IFERROR(SUBSTITUTE(SUBSTITUTE(REGEXEXTRACT(A6550, ""[^-]+- [^-]+- [^-]+ - (.+?)\.jpg""), "".jpg"", """"), ""-"", "", ""), """")"),"")</f>
        <v/>
      </c>
      <c r="L6550" s="12"/>
      <c r="M6550" s="13"/>
      <c r="N6550" s="2"/>
      <c r="O6550" s="20"/>
      <c r="P6550" s="42"/>
      <c r="R6550" s="23"/>
    </row>
    <row r="6551" spans="1:18" ht="12.75">
      <c r="A6551" s="12"/>
      <c r="D6551" s="12"/>
      <c r="E6551" s="12"/>
      <c r="H6551" s="11" t="str">
        <f ca="1">IFERROR(__xludf.DUMMYFUNCTION("IFERROR(SUBSTITUTE(SUBSTITUTE(REGEXEXTRACT(A6551, ""[^-]+- [^-]+- [^-]+ - (.+?)\.jpg""), "".jpg"", """"), ""-"", "", ""), """")"),"")</f>
        <v/>
      </c>
      <c r="L6551" s="12"/>
      <c r="M6551" s="13"/>
      <c r="N6551" s="2"/>
      <c r="O6551" s="20"/>
      <c r="P6551" s="42"/>
      <c r="R6551" s="23"/>
    </row>
    <row r="6552" spans="1:18" ht="12.75">
      <c r="A6552" s="12"/>
      <c r="D6552" s="12"/>
      <c r="E6552" s="12"/>
      <c r="H6552" s="11" t="str">
        <f ca="1">IFERROR(__xludf.DUMMYFUNCTION("IFERROR(SUBSTITUTE(SUBSTITUTE(REGEXEXTRACT(A6552, ""[^-]+- [^-]+- [^-]+ - (.+?)\.jpg""), "".jpg"", """"), ""-"", "", ""), """")"),"")</f>
        <v/>
      </c>
      <c r="L6552" s="12"/>
      <c r="M6552" s="13"/>
      <c r="N6552" s="2"/>
      <c r="O6552" s="20"/>
      <c r="P6552" s="42"/>
      <c r="R6552" s="23"/>
    </row>
    <row r="6553" spans="1:18" ht="12.75">
      <c r="A6553" s="12"/>
      <c r="D6553" s="12"/>
      <c r="E6553" s="12"/>
      <c r="H6553" s="11" t="str">
        <f ca="1">IFERROR(__xludf.DUMMYFUNCTION("IFERROR(SUBSTITUTE(SUBSTITUTE(REGEXEXTRACT(A6553, ""[^-]+- [^-]+- [^-]+ - (.+?)\.jpg""), "".jpg"", """"), ""-"", "", ""), """")"),"")</f>
        <v/>
      </c>
      <c r="L6553" s="12"/>
      <c r="M6553" s="13"/>
      <c r="N6553" s="2"/>
      <c r="O6553" s="20"/>
      <c r="P6553" s="42"/>
      <c r="R6553" s="23"/>
    </row>
    <row r="6554" spans="1:18" ht="12.75">
      <c r="A6554" s="12"/>
      <c r="D6554" s="12"/>
      <c r="E6554" s="12"/>
      <c r="H6554" s="11" t="str">
        <f ca="1">IFERROR(__xludf.DUMMYFUNCTION("IFERROR(SUBSTITUTE(SUBSTITUTE(REGEXEXTRACT(A6554, ""[^-]+- [^-]+- [^-]+ - (.+?)\.jpg""), "".jpg"", """"), ""-"", "", ""), """")"),"")</f>
        <v/>
      </c>
      <c r="L6554" s="12"/>
      <c r="M6554" s="13"/>
      <c r="N6554" s="2"/>
      <c r="O6554" s="20"/>
      <c r="P6554" s="42"/>
      <c r="R6554" s="23"/>
    </row>
    <row r="6555" spans="1:18" ht="12.75">
      <c r="A6555" s="12"/>
      <c r="D6555" s="12"/>
      <c r="E6555" s="12"/>
      <c r="H6555" s="11" t="str">
        <f ca="1">IFERROR(__xludf.DUMMYFUNCTION("IFERROR(SUBSTITUTE(SUBSTITUTE(REGEXEXTRACT(A6555, ""[^-]+- [^-]+- [^-]+ - (.+?)\.jpg""), "".jpg"", """"), ""-"", "", ""), """")"),"")</f>
        <v/>
      </c>
      <c r="L6555" s="12"/>
      <c r="M6555" s="13"/>
      <c r="N6555" s="2"/>
      <c r="O6555" s="20"/>
      <c r="P6555" s="42"/>
      <c r="R6555" s="23"/>
    </row>
    <row r="6556" spans="1:18" ht="12.75">
      <c r="A6556" s="12"/>
      <c r="D6556" s="12"/>
      <c r="E6556" s="12"/>
      <c r="H6556" s="11" t="str">
        <f ca="1">IFERROR(__xludf.DUMMYFUNCTION("IFERROR(SUBSTITUTE(SUBSTITUTE(REGEXEXTRACT(A6556, ""[^-]+- [^-]+- [^-]+ - (.+?)\.jpg""), "".jpg"", """"), ""-"", "", ""), """")"),"")</f>
        <v/>
      </c>
      <c r="L6556" s="12"/>
      <c r="M6556" s="13"/>
      <c r="N6556" s="2"/>
      <c r="O6556" s="20"/>
      <c r="P6556" s="42"/>
      <c r="R6556" s="23"/>
    </row>
    <row r="6557" spans="1:18" ht="12.75">
      <c r="A6557" s="12"/>
      <c r="D6557" s="12"/>
      <c r="E6557" s="12"/>
      <c r="H6557" s="11" t="str">
        <f ca="1">IFERROR(__xludf.DUMMYFUNCTION("IFERROR(SUBSTITUTE(SUBSTITUTE(REGEXEXTRACT(A6557, ""[^-]+- [^-]+- [^-]+ - (.+?)\.jpg""), "".jpg"", """"), ""-"", "", ""), """")"),"")</f>
        <v/>
      </c>
      <c r="L6557" s="12"/>
      <c r="M6557" s="13"/>
      <c r="N6557" s="2"/>
      <c r="O6557" s="20"/>
      <c r="P6557" s="42"/>
      <c r="R6557" s="23"/>
    </row>
    <row r="6558" spans="1:18" ht="12.75">
      <c r="A6558" s="12"/>
      <c r="D6558" s="12"/>
      <c r="E6558" s="12"/>
      <c r="H6558" s="11" t="str">
        <f ca="1">IFERROR(__xludf.DUMMYFUNCTION("IFERROR(SUBSTITUTE(SUBSTITUTE(REGEXEXTRACT(A6558, ""[^-]+- [^-]+- [^-]+ - (.+?)\.jpg""), "".jpg"", """"), ""-"", "", ""), """")"),"")</f>
        <v/>
      </c>
      <c r="L6558" s="12"/>
      <c r="M6558" s="13"/>
      <c r="N6558" s="2"/>
      <c r="O6558" s="20"/>
      <c r="P6558" s="42"/>
      <c r="R6558" s="23"/>
    </row>
    <row r="6559" spans="1:18" ht="12.75">
      <c r="A6559" s="12"/>
      <c r="D6559" s="12"/>
      <c r="E6559" s="12"/>
      <c r="H6559" s="11" t="str">
        <f ca="1">IFERROR(__xludf.DUMMYFUNCTION("IFERROR(SUBSTITUTE(SUBSTITUTE(REGEXEXTRACT(A6559, ""[^-]+- [^-]+- [^-]+ - (.+?)\.jpg""), "".jpg"", """"), ""-"", "", ""), """")"),"")</f>
        <v/>
      </c>
      <c r="L6559" s="12"/>
      <c r="M6559" s="13"/>
      <c r="N6559" s="2"/>
      <c r="O6559" s="20"/>
      <c r="P6559" s="42"/>
      <c r="R6559" s="23"/>
    </row>
    <row r="6560" spans="1:18" ht="12.75">
      <c r="A6560" s="12"/>
      <c r="D6560" s="12"/>
      <c r="E6560" s="12"/>
      <c r="H6560" s="11" t="str">
        <f ca="1">IFERROR(__xludf.DUMMYFUNCTION("IFERROR(SUBSTITUTE(SUBSTITUTE(REGEXEXTRACT(A6560, ""[^-]+- [^-]+- [^-]+ - (.+?)\.jpg""), "".jpg"", """"), ""-"", "", ""), """")"),"")</f>
        <v/>
      </c>
      <c r="L6560" s="12"/>
      <c r="M6560" s="13"/>
      <c r="N6560" s="2"/>
      <c r="O6560" s="20"/>
      <c r="P6560" s="42"/>
      <c r="R6560" s="23"/>
    </row>
    <row r="6561" spans="1:18" ht="12.75">
      <c r="A6561" s="12"/>
      <c r="D6561" s="12"/>
      <c r="E6561" s="12"/>
      <c r="H6561" s="11" t="str">
        <f ca="1">IFERROR(__xludf.DUMMYFUNCTION("IFERROR(SUBSTITUTE(SUBSTITUTE(REGEXEXTRACT(A6561, ""[^-]+- [^-]+- [^-]+ - (.+?)\.jpg""), "".jpg"", """"), ""-"", "", ""), """")"),"")</f>
        <v/>
      </c>
      <c r="L6561" s="12"/>
      <c r="M6561" s="13"/>
      <c r="N6561" s="2"/>
      <c r="O6561" s="20"/>
      <c r="P6561" s="42"/>
      <c r="R6561" s="23"/>
    </row>
    <row r="6562" spans="1:18" ht="12.75">
      <c r="A6562" s="12"/>
      <c r="D6562" s="12"/>
      <c r="E6562" s="12"/>
      <c r="H6562" s="11" t="str">
        <f ca="1">IFERROR(__xludf.DUMMYFUNCTION("IFERROR(SUBSTITUTE(SUBSTITUTE(REGEXEXTRACT(A6562, ""[^-]+- [^-]+- [^-]+ - (.+?)\.jpg""), "".jpg"", """"), ""-"", "", ""), """")"),"")</f>
        <v/>
      </c>
      <c r="L6562" s="12"/>
      <c r="M6562" s="13"/>
      <c r="N6562" s="2"/>
      <c r="O6562" s="20"/>
      <c r="P6562" s="42"/>
      <c r="R6562" s="23"/>
    </row>
    <row r="6563" spans="1:18" ht="12.75">
      <c r="A6563" s="12"/>
      <c r="D6563" s="12"/>
      <c r="E6563" s="12"/>
      <c r="H6563" s="11" t="str">
        <f ca="1">IFERROR(__xludf.DUMMYFUNCTION("IFERROR(SUBSTITUTE(SUBSTITUTE(REGEXEXTRACT(A6563, ""[^-]+- [^-]+- [^-]+ - (.+?)\.jpg""), "".jpg"", """"), ""-"", "", ""), """")"),"")</f>
        <v/>
      </c>
      <c r="L6563" s="12"/>
      <c r="M6563" s="13"/>
      <c r="N6563" s="2"/>
      <c r="O6563" s="20"/>
      <c r="P6563" s="42"/>
      <c r="R6563" s="23"/>
    </row>
    <row r="6564" spans="1:18" ht="12.75">
      <c r="A6564" s="12"/>
      <c r="D6564" s="12"/>
      <c r="E6564" s="12"/>
      <c r="H6564" s="11" t="str">
        <f ca="1">IFERROR(__xludf.DUMMYFUNCTION("IFERROR(SUBSTITUTE(SUBSTITUTE(REGEXEXTRACT(A6564, ""[^-]+- [^-]+- [^-]+ - (.+?)\.jpg""), "".jpg"", """"), ""-"", "", ""), """")"),"")</f>
        <v/>
      </c>
      <c r="L6564" s="12"/>
      <c r="M6564" s="13"/>
      <c r="N6564" s="2"/>
      <c r="O6564" s="20"/>
      <c r="P6564" s="42"/>
      <c r="R6564" s="23"/>
    </row>
    <row r="6565" spans="1:18" ht="12.75">
      <c r="A6565" s="12"/>
      <c r="D6565" s="12"/>
      <c r="E6565" s="12"/>
      <c r="H6565" s="11" t="str">
        <f ca="1">IFERROR(__xludf.DUMMYFUNCTION("IFERROR(SUBSTITUTE(SUBSTITUTE(REGEXEXTRACT(A6565, ""[^-]+- [^-]+- [^-]+ - (.+?)\.jpg""), "".jpg"", """"), ""-"", "", ""), """")"),"")</f>
        <v/>
      </c>
      <c r="L6565" s="12"/>
      <c r="M6565" s="13"/>
      <c r="N6565" s="2"/>
      <c r="O6565" s="20"/>
      <c r="P6565" s="42"/>
      <c r="R6565" s="23"/>
    </row>
    <row r="6566" spans="1:18" ht="12.75">
      <c r="A6566" s="12"/>
      <c r="D6566" s="12"/>
      <c r="E6566" s="12"/>
      <c r="H6566" s="11" t="str">
        <f ca="1">IFERROR(__xludf.DUMMYFUNCTION("IFERROR(SUBSTITUTE(SUBSTITUTE(REGEXEXTRACT(A6566, ""[^-]+- [^-]+- [^-]+ - (.+?)\.jpg""), "".jpg"", """"), ""-"", "", ""), """")"),"")</f>
        <v/>
      </c>
      <c r="L6566" s="12"/>
      <c r="M6566" s="13"/>
      <c r="N6566" s="2"/>
      <c r="O6566" s="20"/>
      <c r="P6566" s="42"/>
      <c r="R6566" s="23"/>
    </row>
    <row r="6567" spans="1:18" ht="12.75">
      <c r="A6567" s="12"/>
      <c r="D6567" s="12"/>
      <c r="E6567" s="12"/>
      <c r="H6567" s="11" t="str">
        <f ca="1">IFERROR(__xludf.DUMMYFUNCTION("IFERROR(SUBSTITUTE(SUBSTITUTE(REGEXEXTRACT(A6567, ""[^-]+- [^-]+- [^-]+ - (.+?)\.jpg""), "".jpg"", """"), ""-"", "", ""), """")"),"")</f>
        <v/>
      </c>
      <c r="L6567" s="12"/>
      <c r="M6567" s="13"/>
      <c r="N6567" s="2"/>
      <c r="O6567" s="20"/>
      <c r="P6567" s="42"/>
      <c r="R6567" s="23"/>
    </row>
    <row r="6568" spans="1:18" ht="12.75">
      <c r="A6568" s="12"/>
      <c r="D6568" s="12"/>
      <c r="E6568" s="12"/>
      <c r="H6568" s="11" t="str">
        <f ca="1">IFERROR(__xludf.DUMMYFUNCTION("IFERROR(SUBSTITUTE(SUBSTITUTE(REGEXEXTRACT(A6568, ""[^-]+- [^-]+- [^-]+ - (.+?)\.jpg""), "".jpg"", """"), ""-"", "", ""), """")"),"")</f>
        <v/>
      </c>
      <c r="L6568" s="12"/>
      <c r="M6568" s="13"/>
      <c r="N6568" s="2"/>
      <c r="O6568" s="20"/>
      <c r="P6568" s="42"/>
      <c r="R6568" s="23"/>
    </row>
    <row r="6569" spans="1:18" ht="12.75">
      <c r="A6569" s="12"/>
      <c r="D6569" s="12"/>
      <c r="E6569" s="12"/>
      <c r="H6569" s="11" t="str">
        <f ca="1">IFERROR(__xludf.DUMMYFUNCTION("IFERROR(SUBSTITUTE(SUBSTITUTE(REGEXEXTRACT(A6569, ""[^-]+- [^-]+- [^-]+ - (.+?)\.jpg""), "".jpg"", """"), ""-"", "", ""), """")"),"")</f>
        <v/>
      </c>
      <c r="L6569" s="12"/>
      <c r="M6569" s="13"/>
      <c r="N6569" s="2"/>
      <c r="O6569" s="20"/>
      <c r="P6569" s="42"/>
      <c r="R6569" s="23"/>
    </row>
    <row r="6570" spans="1:18" ht="12.75">
      <c r="A6570" s="12"/>
      <c r="D6570" s="12"/>
      <c r="E6570" s="12"/>
      <c r="H6570" s="11" t="str">
        <f ca="1">IFERROR(__xludf.DUMMYFUNCTION("IFERROR(SUBSTITUTE(SUBSTITUTE(REGEXEXTRACT(A6570, ""[^-]+- [^-]+- [^-]+ - (.+?)\.jpg""), "".jpg"", """"), ""-"", "", ""), """")"),"")</f>
        <v/>
      </c>
      <c r="L6570" s="12"/>
      <c r="M6570" s="13"/>
      <c r="N6570" s="2"/>
      <c r="O6570" s="20"/>
      <c r="P6570" s="42"/>
      <c r="R6570" s="23"/>
    </row>
    <row r="6571" spans="1:18" ht="12.75">
      <c r="A6571" s="12"/>
      <c r="D6571" s="12"/>
      <c r="E6571" s="12"/>
      <c r="H6571" s="11" t="str">
        <f ca="1">IFERROR(__xludf.DUMMYFUNCTION("IFERROR(SUBSTITUTE(SUBSTITUTE(REGEXEXTRACT(A6571, ""[^-]+- [^-]+- [^-]+ - (.+?)\.jpg""), "".jpg"", """"), ""-"", "", ""), """")"),"")</f>
        <v/>
      </c>
      <c r="L6571" s="12"/>
      <c r="M6571" s="13"/>
      <c r="N6571" s="2"/>
      <c r="O6571" s="20"/>
      <c r="P6571" s="42"/>
      <c r="R6571" s="23"/>
    </row>
    <row r="6572" spans="1:18" ht="12.75">
      <c r="A6572" s="12"/>
      <c r="D6572" s="12"/>
      <c r="E6572" s="12"/>
      <c r="H6572" s="11" t="str">
        <f ca="1">IFERROR(__xludf.DUMMYFUNCTION("IFERROR(SUBSTITUTE(SUBSTITUTE(REGEXEXTRACT(A6572, ""[^-]+- [^-]+- [^-]+ - (.+?)\.jpg""), "".jpg"", """"), ""-"", "", ""), """")"),"")</f>
        <v/>
      </c>
      <c r="L6572" s="12"/>
      <c r="M6572" s="13"/>
      <c r="N6572" s="2"/>
      <c r="O6572" s="20"/>
      <c r="P6572" s="42"/>
      <c r="R6572" s="23"/>
    </row>
    <row r="6573" spans="1:18" ht="12.75">
      <c r="A6573" s="12"/>
      <c r="D6573" s="12"/>
      <c r="E6573" s="12"/>
      <c r="H6573" s="11" t="str">
        <f ca="1">IFERROR(__xludf.DUMMYFUNCTION("IFERROR(SUBSTITUTE(SUBSTITUTE(REGEXEXTRACT(A6573, ""[^-]+- [^-]+- [^-]+ - (.+?)\.jpg""), "".jpg"", """"), ""-"", "", ""), """")"),"")</f>
        <v/>
      </c>
      <c r="L6573" s="12"/>
      <c r="M6573" s="13"/>
      <c r="N6573" s="2"/>
      <c r="O6573" s="20"/>
      <c r="P6573" s="42"/>
      <c r="R6573" s="23"/>
    </row>
    <row r="6574" spans="1:18" ht="12.75">
      <c r="A6574" s="12"/>
      <c r="D6574" s="12"/>
      <c r="E6574" s="12"/>
      <c r="H6574" s="11" t="str">
        <f ca="1">IFERROR(__xludf.DUMMYFUNCTION("IFERROR(SUBSTITUTE(SUBSTITUTE(REGEXEXTRACT(A6574, ""[^-]+- [^-]+- [^-]+ - (.+?)\.jpg""), "".jpg"", """"), ""-"", "", ""), """")"),"")</f>
        <v/>
      </c>
      <c r="L6574" s="12"/>
      <c r="M6574" s="13"/>
      <c r="N6574" s="2"/>
      <c r="O6574" s="20"/>
      <c r="P6574" s="42"/>
      <c r="R6574" s="23"/>
    </row>
    <row r="6575" spans="1:18" ht="12.75">
      <c r="A6575" s="12"/>
      <c r="D6575" s="12"/>
      <c r="E6575" s="12"/>
      <c r="H6575" s="11" t="str">
        <f ca="1">IFERROR(__xludf.DUMMYFUNCTION("IFERROR(SUBSTITUTE(SUBSTITUTE(REGEXEXTRACT(A6575, ""[^-]+- [^-]+- [^-]+ - (.+?)\.jpg""), "".jpg"", """"), ""-"", "", ""), """")"),"")</f>
        <v/>
      </c>
      <c r="L6575" s="12"/>
      <c r="M6575" s="13"/>
      <c r="N6575" s="2"/>
      <c r="O6575" s="20"/>
      <c r="P6575" s="42"/>
      <c r="R6575" s="23"/>
    </row>
    <row r="6576" spans="1:18" ht="12.75">
      <c r="A6576" s="12"/>
      <c r="D6576" s="12"/>
      <c r="E6576" s="12"/>
      <c r="H6576" s="11" t="str">
        <f ca="1">IFERROR(__xludf.DUMMYFUNCTION("IFERROR(SUBSTITUTE(SUBSTITUTE(REGEXEXTRACT(A6576, ""[^-]+- [^-]+- [^-]+ - (.+?)\.jpg""), "".jpg"", """"), ""-"", "", ""), """")"),"")</f>
        <v/>
      </c>
      <c r="L6576" s="12"/>
      <c r="M6576" s="13"/>
      <c r="N6576" s="2"/>
      <c r="O6576" s="20"/>
      <c r="P6576" s="42"/>
      <c r="R6576" s="23"/>
    </row>
    <row r="6577" spans="1:18" ht="12.75">
      <c r="A6577" s="12"/>
      <c r="D6577" s="12"/>
      <c r="E6577" s="12"/>
      <c r="H6577" s="11" t="str">
        <f ca="1">IFERROR(__xludf.DUMMYFUNCTION("IFERROR(SUBSTITUTE(SUBSTITUTE(REGEXEXTRACT(A6577, ""[^-]+- [^-]+- [^-]+ - (.+?)\.jpg""), "".jpg"", """"), ""-"", "", ""), """")"),"")</f>
        <v/>
      </c>
      <c r="L6577" s="12"/>
      <c r="M6577" s="13"/>
      <c r="N6577" s="2"/>
      <c r="O6577" s="20"/>
      <c r="P6577" s="42"/>
      <c r="R6577" s="23"/>
    </row>
    <row r="6578" spans="1:18" ht="12.75">
      <c r="A6578" s="12"/>
      <c r="D6578" s="12"/>
      <c r="E6578" s="12"/>
      <c r="H6578" s="11" t="str">
        <f ca="1">IFERROR(__xludf.DUMMYFUNCTION("IFERROR(SUBSTITUTE(SUBSTITUTE(REGEXEXTRACT(A6578, ""[^-]+- [^-]+- [^-]+ - (.+?)\.jpg""), "".jpg"", """"), ""-"", "", ""), """")"),"")</f>
        <v/>
      </c>
      <c r="L6578" s="12"/>
      <c r="M6578" s="13"/>
      <c r="N6578" s="2"/>
      <c r="O6578" s="20"/>
      <c r="P6578" s="42"/>
      <c r="R6578" s="23"/>
    </row>
    <row r="6579" spans="1:18" ht="12.75">
      <c r="A6579" s="12"/>
      <c r="D6579" s="12"/>
      <c r="E6579" s="12"/>
      <c r="H6579" s="11" t="str">
        <f ca="1">IFERROR(__xludf.DUMMYFUNCTION("IFERROR(SUBSTITUTE(SUBSTITUTE(REGEXEXTRACT(A6579, ""[^-]+- [^-]+- [^-]+ - (.+?)\.jpg""), "".jpg"", """"), ""-"", "", ""), """")"),"")</f>
        <v/>
      </c>
      <c r="L6579" s="12"/>
      <c r="M6579" s="13"/>
      <c r="N6579" s="2"/>
      <c r="O6579" s="20"/>
      <c r="P6579" s="42"/>
      <c r="R6579" s="23"/>
    </row>
    <row r="6580" spans="1:18" ht="12.75">
      <c r="A6580" s="12"/>
      <c r="D6580" s="12"/>
      <c r="E6580" s="12"/>
      <c r="H6580" s="11" t="str">
        <f ca="1">IFERROR(__xludf.DUMMYFUNCTION("IFERROR(SUBSTITUTE(SUBSTITUTE(REGEXEXTRACT(A6580, ""[^-]+- [^-]+- [^-]+ - (.+?)\.jpg""), "".jpg"", """"), ""-"", "", ""), """")"),"")</f>
        <v/>
      </c>
      <c r="L6580" s="12"/>
      <c r="M6580" s="13"/>
      <c r="N6580" s="2"/>
      <c r="O6580" s="20"/>
      <c r="P6580" s="42"/>
      <c r="R6580" s="23"/>
    </row>
    <row r="6581" spans="1:18" ht="12.75">
      <c r="A6581" s="12"/>
      <c r="D6581" s="12"/>
      <c r="E6581" s="12"/>
      <c r="H6581" s="11" t="str">
        <f ca="1">IFERROR(__xludf.DUMMYFUNCTION("IFERROR(SUBSTITUTE(SUBSTITUTE(REGEXEXTRACT(A6581, ""[^-]+- [^-]+- [^-]+ - (.+?)\.jpg""), "".jpg"", """"), ""-"", "", ""), """")"),"")</f>
        <v/>
      </c>
      <c r="L6581" s="12"/>
      <c r="M6581" s="13"/>
      <c r="N6581" s="2"/>
      <c r="O6581" s="20"/>
      <c r="P6581" s="42"/>
      <c r="R6581" s="23"/>
    </row>
    <row r="6582" spans="1:18" ht="12.75">
      <c r="A6582" s="12"/>
      <c r="D6582" s="12"/>
      <c r="E6582" s="12"/>
      <c r="H6582" s="11" t="str">
        <f ca="1">IFERROR(__xludf.DUMMYFUNCTION("IFERROR(SUBSTITUTE(SUBSTITUTE(REGEXEXTRACT(A6582, ""[^-]+- [^-]+- [^-]+ - (.+?)\.jpg""), "".jpg"", """"), ""-"", "", ""), """")"),"")</f>
        <v/>
      </c>
      <c r="L6582" s="12"/>
      <c r="M6582" s="13"/>
      <c r="N6582" s="2"/>
      <c r="O6582" s="20"/>
      <c r="P6582" s="42"/>
      <c r="R6582" s="23"/>
    </row>
    <row r="6583" spans="1:18" ht="12.75">
      <c r="A6583" s="12"/>
      <c r="D6583" s="12"/>
      <c r="E6583" s="12"/>
      <c r="H6583" s="11" t="str">
        <f ca="1">IFERROR(__xludf.DUMMYFUNCTION("IFERROR(SUBSTITUTE(SUBSTITUTE(REGEXEXTRACT(A6583, ""[^-]+- [^-]+- [^-]+ - (.+?)\.jpg""), "".jpg"", """"), ""-"", "", ""), """")"),"")</f>
        <v/>
      </c>
      <c r="L6583" s="12"/>
      <c r="M6583" s="13"/>
      <c r="N6583" s="2"/>
      <c r="O6583" s="20"/>
      <c r="P6583" s="42"/>
      <c r="R6583" s="23"/>
    </row>
    <row r="6584" spans="1:18" ht="12.75">
      <c r="A6584" s="12"/>
      <c r="D6584" s="12"/>
      <c r="E6584" s="12"/>
      <c r="H6584" s="11" t="str">
        <f ca="1">IFERROR(__xludf.DUMMYFUNCTION("IFERROR(SUBSTITUTE(SUBSTITUTE(REGEXEXTRACT(A6584, ""[^-]+- [^-]+- [^-]+ - (.+?)\.jpg""), "".jpg"", """"), ""-"", "", ""), """")"),"")</f>
        <v/>
      </c>
      <c r="L6584" s="12"/>
      <c r="M6584" s="13"/>
      <c r="N6584" s="2"/>
      <c r="O6584" s="20"/>
      <c r="P6584" s="42"/>
      <c r="R6584" s="23"/>
    </row>
    <row r="6585" spans="1:18" ht="12.75">
      <c r="A6585" s="12"/>
      <c r="D6585" s="12"/>
      <c r="E6585" s="12"/>
      <c r="H6585" s="11" t="str">
        <f ca="1">IFERROR(__xludf.DUMMYFUNCTION("IFERROR(SUBSTITUTE(SUBSTITUTE(REGEXEXTRACT(A6585, ""[^-]+- [^-]+- [^-]+ - (.+?)\.jpg""), "".jpg"", """"), ""-"", "", ""), """")"),"")</f>
        <v/>
      </c>
      <c r="L6585" s="12"/>
      <c r="M6585" s="13"/>
      <c r="N6585" s="2"/>
      <c r="O6585" s="20"/>
      <c r="P6585" s="42"/>
      <c r="R6585" s="23"/>
    </row>
    <row r="6586" spans="1:18" ht="12.75">
      <c r="A6586" s="12"/>
      <c r="D6586" s="12"/>
      <c r="E6586" s="12"/>
      <c r="H6586" s="11" t="str">
        <f ca="1">IFERROR(__xludf.DUMMYFUNCTION("IFERROR(SUBSTITUTE(SUBSTITUTE(REGEXEXTRACT(A6586, ""[^-]+- [^-]+- [^-]+ - (.+?)\.jpg""), "".jpg"", """"), ""-"", "", ""), """")"),"")</f>
        <v/>
      </c>
      <c r="L6586" s="12"/>
      <c r="M6586" s="13"/>
      <c r="N6586" s="2"/>
      <c r="O6586" s="20"/>
      <c r="P6586" s="42"/>
      <c r="R6586" s="23"/>
    </row>
    <row r="6587" spans="1:18" ht="12.75">
      <c r="A6587" s="12"/>
      <c r="D6587" s="12"/>
      <c r="E6587" s="12"/>
      <c r="H6587" s="11" t="str">
        <f ca="1">IFERROR(__xludf.DUMMYFUNCTION("IFERROR(SUBSTITUTE(SUBSTITUTE(REGEXEXTRACT(A6587, ""[^-]+- [^-]+- [^-]+ - (.+?)\.jpg""), "".jpg"", """"), ""-"", "", ""), """")"),"")</f>
        <v/>
      </c>
      <c r="L6587" s="12"/>
      <c r="M6587" s="13"/>
      <c r="N6587" s="2"/>
      <c r="O6587" s="20"/>
      <c r="P6587" s="42"/>
      <c r="R6587" s="23"/>
    </row>
    <row r="6588" spans="1:18" ht="12.75">
      <c r="A6588" s="12"/>
      <c r="D6588" s="12"/>
      <c r="E6588" s="12"/>
      <c r="H6588" s="11" t="str">
        <f ca="1">IFERROR(__xludf.DUMMYFUNCTION("IFERROR(SUBSTITUTE(SUBSTITUTE(REGEXEXTRACT(A6588, ""[^-]+- [^-]+- [^-]+ - (.+?)\.jpg""), "".jpg"", """"), ""-"", "", ""), """")"),"")</f>
        <v/>
      </c>
      <c r="L6588" s="12"/>
      <c r="M6588" s="13"/>
      <c r="N6588" s="2"/>
      <c r="O6588" s="20"/>
      <c r="P6588" s="42"/>
      <c r="R6588" s="23"/>
    </row>
    <row r="6589" spans="1:18" ht="12.75">
      <c r="A6589" s="12"/>
      <c r="D6589" s="12"/>
      <c r="E6589" s="12"/>
      <c r="H6589" s="11" t="str">
        <f ca="1">IFERROR(__xludf.DUMMYFUNCTION("IFERROR(SUBSTITUTE(SUBSTITUTE(REGEXEXTRACT(A6589, ""[^-]+- [^-]+- [^-]+ - (.+?)\.jpg""), "".jpg"", """"), ""-"", "", ""), """")"),"")</f>
        <v/>
      </c>
      <c r="L6589" s="12"/>
      <c r="M6589" s="13"/>
      <c r="N6589" s="2"/>
      <c r="O6589" s="20"/>
      <c r="P6589" s="42"/>
      <c r="R6589" s="23"/>
    </row>
    <row r="6590" spans="1:18" ht="12.75">
      <c r="A6590" s="12"/>
      <c r="D6590" s="12"/>
      <c r="E6590" s="12"/>
      <c r="H6590" s="11" t="str">
        <f ca="1">IFERROR(__xludf.DUMMYFUNCTION("IFERROR(SUBSTITUTE(SUBSTITUTE(REGEXEXTRACT(A6590, ""[^-]+- [^-]+- [^-]+ - (.+?)\.jpg""), "".jpg"", """"), ""-"", "", ""), """")"),"")</f>
        <v/>
      </c>
      <c r="L6590" s="12"/>
      <c r="M6590" s="13"/>
      <c r="N6590" s="2"/>
      <c r="O6590" s="20"/>
      <c r="P6590" s="42"/>
      <c r="R6590" s="23"/>
    </row>
    <row r="6591" spans="1:18" ht="12.75">
      <c r="A6591" s="12"/>
      <c r="D6591" s="12"/>
      <c r="E6591" s="12"/>
      <c r="H6591" s="11" t="str">
        <f ca="1">IFERROR(__xludf.DUMMYFUNCTION("IFERROR(SUBSTITUTE(SUBSTITUTE(REGEXEXTRACT(A6591, ""[^-]+- [^-]+- [^-]+ - (.+?)\.jpg""), "".jpg"", """"), ""-"", "", ""), """")"),"")</f>
        <v/>
      </c>
      <c r="L6591" s="12"/>
      <c r="M6591" s="13"/>
      <c r="N6591" s="2"/>
      <c r="O6591" s="20"/>
      <c r="P6591" s="42"/>
      <c r="R6591" s="23"/>
    </row>
    <row r="6592" spans="1:18" ht="12.75">
      <c r="A6592" s="12"/>
      <c r="D6592" s="12"/>
      <c r="E6592" s="12"/>
      <c r="H6592" s="11" t="str">
        <f ca="1">IFERROR(__xludf.DUMMYFUNCTION("IFERROR(SUBSTITUTE(SUBSTITUTE(REGEXEXTRACT(A6592, ""[^-]+- [^-]+- [^-]+ - (.+?)\.jpg""), "".jpg"", """"), ""-"", "", ""), """")"),"")</f>
        <v/>
      </c>
      <c r="L6592" s="12"/>
      <c r="M6592" s="13"/>
      <c r="N6592" s="2"/>
      <c r="O6592" s="20"/>
      <c r="P6592" s="42"/>
      <c r="R6592" s="23"/>
    </row>
    <row r="6593" spans="1:18" ht="12.75">
      <c r="A6593" s="12"/>
      <c r="D6593" s="12"/>
      <c r="E6593" s="12"/>
      <c r="H6593" s="11" t="str">
        <f ca="1">IFERROR(__xludf.DUMMYFUNCTION("IFERROR(SUBSTITUTE(SUBSTITUTE(REGEXEXTRACT(A6593, ""[^-]+- [^-]+- [^-]+ - (.+?)\.jpg""), "".jpg"", """"), ""-"", "", ""), """")"),"")</f>
        <v/>
      </c>
      <c r="L6593" s="12"/>
      <c r="M6593" s="13"/>
      <c r="N6593" s="2"/>
      <c r="O6593" s="20"/>
      <c r="P6593" s="42"/>
      <c r="R6593" s="23"/>
    </row>
    <row r="6594" spans="1:18" ht="12.75">
      <c r="A6594" s="12"/>
      <c r="D6594" s="12"/>
      <c r="E6594" s="12"/>
      <c r="H6594" s="11" t="str">
        <f ca="1">IFERROR(__xludf.DUMMYFUNCTION("IFERROR(SUBSTITUTE(SUBSTITUTE(REGEXEXTRACT(A6594, ""[^-]+- [^-]+- [^-]+ - (.+?)\.jpg""), "".jpg"", """"), ""-"", "", ""), """")"),"")</f>
        <v/>
      </c>
      <c r="L6594" s="12"/>
      <c r="M6594" s="13"/>
      <c r="N6594" s="2"/>
      <c r="O6594" s="20"/>
      <c r="P6594" s="42"/>
      <c r="R6594" s="23"/>
    </row>
    <row r="6595" spans="1:18" ht="12.75">
      <c r="A6595" s="12"/>
      <c r="D6595" s="12"/>
      <c r="E6595" s="12"/>
      <c r="H6595" s="11" t="str">
        <f ca="1">IFERROR(__xludf.DUMMYFUNCTION("IFERROR(SUBSTITUTE(SUBSTITUTE(REGEXEXTRACT(A6595, ""[^-]+- [^-]+- [^-]+ - (.+?)\.jpg""), "".jpg"", """"), ""-"", "", ""), """")"),"")</f>
        <v/>
      </c>
      <c r="L6595" s="12"/>
      <c r="M6595" s="13"/>
      <c r="N6595" s="2"/>
      <c r="O6595" s="20"/>
      <c r="P6595" s="42"/>
      <c r="R6595" s="23"/>
    </row>
    <row r="6596" spans="1:18" ht="12.75">
      <c r="A6596" s="12"/>
      <c r="D6596" s="12"/>
      <c r="E6596" s="12"/>
      <c r="H6596" s="11" t="str">
        <f ca="1">IFERROR(__xludf.DUMMYFUNCTION("IFERROR(SUBSTITUTE(SUBSTITUTE(REGEXEXTRACT(A6596, ""[^-]+- [^-]+- [^-]+ - (.+?)\.jpg""), "".jpg"", """"), ""-"", "", ""), """")"),"")</f>
        <v/>
      </c>
      <c r="L6596" s="12"/>
      <c r="M6596" s="13"/>
      <c r="N6596" s="2"/>
      <c r="O6596" s="20"/>
      <c r="P6596" s="42"/>
      <c r="R6596" s="23"/>
    </row>
    <row r="6597" spans="1:18" ht="12.75">
      <c r="A6597" s="12"/>
      <c r="D6597" s="12"/>
      <c r="E6597" s="12"/>
      <c r="H6597" s="11" t="str">
        <f ca="1">IFERROR(__xludf.DUMMYFUNCTION("IFERROR(SUBSTITUTE(SUBSTITUTE(REGEXEXTRACT(A6597, ""[^-]+- [^-]+- [^-]+ - (.+?)\.jpg""), "".jpg"", """"), ""-"", "", ""), """")"),"")</f>
        <v/>
      </c>
      <c r="L6597" s="12"/>
      <c r="M6597" s="13"/>
      <c r="N6597" s="2"/>
      <c r="O6597" s="20"/>
      <c r="P6597" s="42"/>
      <c r="R6597" s="23"/>
    </row>
    <row r="6598" spans="1:18" ht="12.75">
      <c r="A6598" s="12"/>
      <c r="D6598" s="12"/>
      <c r="E6598" s="12"/>
      <c r="H6598" s="11" t="str">
        <f ca="1">IFERROR(__xludf.DUMMYFUNCTION("IFERROR(SUBSTITUTE(SUBSTITUTE(REGEXEXTRACT(A6598, ""[^-]+- [^-]+- [^-]+ - (.+?)\.jpg""), "".jpg"", """"), ""-"", "", ""), """")"),"")</f>
        <v/>
      </c>
      <c r="L6598" s="12"/>
      <c r="M6598" s="13"/>
      <c r="N6598" s="2"/>
      <c r="O6598" s="20"/>
      <c r="P6598" s="42"/>
      <c r="R6598" s="23"/>
    </row>
    <row r="6599" spans="1:18" ht="12.75">
      <c r="A6599" s="12"/>
      <c r="D6599" s="12"/>
      <c r="E6599" s="12"/>
      <c r="H6599" s="11" t="str">
        <f ca="1">IFERROR(__xludf.DUMMYFUNCTION("IFERROR(SUBSTITUTE(SUBSTITUTE(REGEXEXTRACT(A6599, ""[^-]+- [^-]+- [^-]+ - (.+?)\.jpg""), "".jpg"", """"), ""-"", "", ""), """")"),"")</f>
        <v/>
      </c>
      <c r="L6599" s="12"/>
      <c r="M6599" s="13"/>
      <c r="N6599" s="2"/>
      <c r="O6599" s="20"/>
      <c r="P6599" s="42"/>
      <c r="R6599" s="23"/>
    </row>
    <row r="6600" spans="1:18" ht="12.75">
      <c r="A6600" s="12"/>
      <c r="D6600" s="12"/>
      <c r="E6600" s="12"/>
      <c r="H6600" s="11" t="str">
        <f ca="1">IFERROR(__xludf.DUMMYFUNCTION("IFERROR(SUBSTITUTE(SUBSTITUTE(REGEXEXTRACT(A6600, ""[^-]+- [^-]+- [^-]+ - (.+?)\.jpg""), "".jpg"", """"), ""-"", "", ""), """")"),"")</f>
        <v/>
      </c>
      <c r="L6600" s="12"/>
      <c r="M6600" s="13"/>
      <c r="N6600" s="2"/>
      <c r="O6600" s="20"/>
      <c r="P6600" s="42"/>
      <c r="R6600" s="23"/>
    </row>
    <row r="6601" spans="1:18" ht="12.75">
      <c r="A6601" s="12"/>
      <c r="D6601" s="12"/>
      <c r="E6601" s="12"/>
      <c r="H6601" s="11" t="str">
        <f ca="1">IFERROR(__xludf.DUMMYFUNCTION("IFERROR(SUBSTITUTE(SUBSTITUTE(REGEXEXTRACT(A6601, ""[^-]+- [^-]+- [^-]+ - (.+?)\.jpg""), "".jpg"", """"), ""-"", "", ""), """")"),"")</f>
        <v/>
      </c>
      <c r="L6601" s="12"/>
      <c r="M6601" s="13"/>
      <c r="N6601" s="2"/>
      <c r="O6601" s="20"/>
      <c r="P6601" s="42"/>
      <c r="R6601" s="23"/>
    </row>
    <row r="6602" spans="1:18" ht="12.75">
      <c r="A6602" s="12"/>
      <c r="D6602" s="12"/>
      <c r="E6602" s="12"/>
      <c r="H6602" s="11" t="str">
        <f ca="1">IFERROR(__xludf.DUMMYFUNCTION("IFERROR(SUBSTITUTE(SUBSTITUTE(REGEXEXTRACT(A6602, ""[^-]+- [^-]+- [^-]+ - (.+?)\.jpg""), "".jpg"", """"), ""-"", "", ""), """")"),"")</f>
        <v/>
      </c>
      <c r="L6602" s="12"/>
      <c r="M6602" s="13"/>
      <c r="N6602" s="2"/>
      <c r="O6602" s="20"/>
      <c r="P6602" s="42"/>
      <c r="R6602" s="23"/>
    </row>
    <row r="6603" spans="1:18" ht="12.75">
      <c r="A6603" s="12"/>
      <c r="D6603" s="12"/>
      <c r="E6603" s="12"/>
      <c r="H6603" s="11" t="str">
        <f ca="1">IFERROR(__xludf.DUMMYFUNCTION("IFERROR(SUBSTITUTE(SUBSTITUTE(REGEXEXTRACT(A6603, ""[^-]+- [^-]+- [^-]+ - (.+?)\.jpg""), "".jpg"", """"), ""-"", "", ""), """")"),"")</f>
        <v/>
      </c>
      <c r="L6603" s="12"/>
      <c r="M6603" s="13"/>
      <c r="N6603" s="2"/>
      <c r="O6603" s="20"/>
      <c r="P6603" s="42"/>
      <c r="R6603" s="23"/>
    </row>
    <row r="6604" spans="1:18" ht="12.75">
      <c r="A6604" s="12"/>
      <c r="D6604" s="12"/>
      <c r="E6604" s="12"/>
      <c r="H6604" s="11" t="str">
        <f ca="1">IFERROR(__xludf.DUMMYFUNCTION("IFERROR(SUBSTITUTE(SUBSTITUTE(REGEXEXTRACT(A6604, ""[^-]+- [^-]+- [^-]+ - (.+?)\.jpg""), "".jpg"", """"), ""-"", "", ""), """")"),"")</f>
        <v/>
      </c>
      <c r="L6604" s="12"/>
      <c r="M6604" s="13"/>
      <c r="N6604" s="2"/>
      <c r="O6604" s="20"/>
      <c r="P6604" s="42"/>
      <c r="R6604" s="23"/>
    </row>
    <row r="6605" spans="1:18" ht="12.75">
      <c r="A6605" s="12"/>
      <c r="D6605" s="12"/>
      <c r="E6605" s="12"/>
      <c r="H6605" s="11" t="str">
        <f ca="1">IFERROR(__xludf.DUMMYFUNCTION("IFERROR(SUBSTITUTE(SUBSTITUTE(REGEXEXTRACT(A6605, ""[^-]+- [^-]+- [^-]+ - (.+?)\.jpg""), "".jpg"", """"), ""-"", "", ""), """")"),"")</f>
        <v/>
      </c>
      <c r="L6605" s="12"/>
      <c r="M6605" s="13"/>
      <c r="N6605" s="2"/>
      <c r="O6605" s="20"/>
      <c r="P6605" s="42"/>
      <c r="R6605" s="23"/>
    </row>
    <row r="6606" spans="1:18" ht="12.75">
      <c r="A6606" s="12"/>
      <c r="D6606" s="12"/>
      <c r="E6606" s="12"/>
      <c r="H6606" s="11" t="str">
        <f ca="1">IFERROR(__xludf.DUMMYFUNCTION("IFERROR(SUBSTITUTE(SUBSTITUTE(REGEXEXTRACT(A6606, ""[^-]+- [^-]+- [^-]+ - (.+?)\.jpg""), "".jpg"", """"), ""-"", "", ""), """")"),"")</f>
        <v/>
      </c>
      <c r="L6606" s="12"/>
      <c r="M6606" s="13"/>
      <c r="N6606" s="2"/>
      <c r="O6606" s="20"/>
      <c r="P6606" s="42"/>
      <c r="R6606" s="23"/>
    </row>
    <row r="6607" spans="1:18" ht="12.75">
      <c r="A6607" s="12"/>
      <c r="D6607" s="12"/>
      <c r="E6607" s="12"/>
      <c r="H6607" s="11" t="str">
        <f ca="1">IFERROR(__xludf.DUMMYFUNCTION("IFERROR(SUBSTITUTE(SUBSTITUTE(REGEXEXTRACT(A6607, ""[^-]+- [^-]+- [^-]+ - (.+?)\.jpg""), "".jpg"", """"), ""-"", "", ""), """")"),"")</f>
        <v/>
      </c>
      <c r="L6607" s="12"/>
      <c r="M6607" s="13"/>
      <c r="N6607" s="2"/>
      <c r="O6607" s="20"/>
      <c r="P6607" s="42"/>
      <c r="R6607" s="23"/>
    </row>
    <row r="6608" spans="1:18" ht="12.75">
      <c r="A6608" s="12"/>
      <c r="D6608" s="12"/>
      <c r="E6608" s="12"/>
      <c r="H6608" s="11" t="str">
        <f ca="1">IFERROR(__xludf.DUMMYFUNCTION("IFERROR(SUBSTITUTE(SUBSTITUTE(REGEXEXTRACT(A6608, ""[^-]+- [^-]+- [^-]+ - (.+?)\.jpg""), "".jpg"", """"), ""-"", "", ""), """")"),"")</f>
        <v/>
      </c>
      <c r="L6608" s="12"/>
      <c r="M6608" s="13"/>
      <c r="N6608" s="2"/>
      <c r="O6608" s="20"/>
      <c r="P6608" s="42"/>
      <c r="R6608" s="23"/>
    </row>
    <row r="6609" spans="1:18" ht="12.75">
      <c r="A6609" s="12"/>
      <c r="D6609" s="12"/>
      <c r="E6609" s="12"/>
      <c r="H6609" s="11" t="str">
        <f ca="1">IFERROR(__xludf.DUMMYFUNCTION("IFERROR(SUBSTITUTE(SUBSTITUTE(REGEXEXTRACT(A6609, ""[^-]+- [^-]+- [^-]+ - (.+?)\.jpg""), "".jpg"", """"), ""-"", "", ""), """")"),"")</f>
        <v/>
      </c>
      <c r="L6609" s="12"/>
      <c r="M6609" s="13"/>
      <c r="N6609" s="2"/>
      <c r="O6609" s="20"/>
      <c r="P6609" s="42"/>
      <c r="R6609" s="23"/>
    </row>
    <row r="6610" spans="1:18" ht="12.75">
      <c r="A6610" s="12"/>
      <c r="D6610" s="12"/>
      <c r="E6610" s="12"/>
      <c r="H6610" s="11" t="str">
        <f ca="1">IFERROR(__xludf.DUMMYFUNCTION("IFERROR(SUBSTITUTE(SUBSTITUTE(REGEXEXTRACT(A6610, ""[^-]+- [^-]+- [^-]+ - (.+?)\.jpg""), "".jpg"", """"), ""-"", "", ""), """")"),"")</f>
        <v/>
      </c>
      <c r="L6610" s="12"/>
      <c r="M6610" s="13"/>
      <c r="N6610" s="2"/>
      <c r="O6610" s="20"/>
      <c r="P6610" s="42"/>
      <c r="R6610" s="23"/>
    </row>
    <row r="6611" spans="1:18" ht="12.75">
      <c r="A6611" s="12"/>
      <c r="D6611" s="12"/>
      <c r="E6611" s="12"/>
      <c r="H6611" s="11" t="str">
        <f ca="1">IFERROR(__xludf.DUMMYFUNCTION("IFERROR(SUBSTITUTE(SUBSTITUTE(REGEXEXTRACT(A6611, ""[^-]+- [^-]+- [^-]+ - (.+?)\.jpg""), "".jpg"", """"), ""-"", "", ""), """")"),"")</f>
        <v/>
      </c>
      <c r="L6611" s="12"/>
      <c r="M6611" s="13"/>
      <c r="N6611" s="2"/>
      <c r="O6611" s="20"/>
      <c r="P6611" s="42"/>
      <c r="R6611" s="23"/>
    </row>
    <row r="6612" spans="1:18" ht="12.75">
      <c r="A6612" s="12"/>
      <c r="D6612" s="12"/>
      <c r="E6612" s="12"/>
      <c r="H6612" s="11" t="str">
        <f ca="1">IFERROR(__xludf.DUMMYFUNCTION("IFERROR(SUBSTITUTE(SUBSTITUTE(REGEXEXTRACT(A6612, ""[^-]+- [^-]+- [^-]+ - (.+?)\.jpg""), "".jpg"", """"), ""-"", "", ""), """")"),"")</f>
        <v/>
      </c>
      <c r="L6612" s="12"/>
      <c r="M6612" s="13"/>
      <c r="N6612" s="2"/>
      <c r="O6612" s="20"/>
      <c r="P6612" s="42"/>
      <c r="R6612" s="23"/>
    </row>
    <row r="6613" spans="1:18" ht="12.75">
      <c r="A6613" s="12"/>
      <c r="D6613" s="12"/>
      <c r="E6613" s="12"/>
      <c r="H6613" s="11" t="str">
        <f ca="1">IFERROR(__xludf.DUMMYFUNCTION("IFERROR(SUBSTITUTE(SUBSTITUTE(REGEXEXTRACT(A6613, ""[^-]+- [^-]+- [^-]+ - (.+?)\.jpg""), "".jpg"", """"), ""-"", "", ""), """")"),"")</f>
        <v/>
      </c>
      <c r="L6613" s="12"/>
      <c r="M6613" s="13"/>
      <c r="N6613" s="2"/>
      <c r="O6613" s="20"/>
      <c r="P6613" s="42"/>
      <c r="R6613" s="23"/>
    </row>
    <row r="6614" spans="1:18" ht="12.75">
      <c r="A6614" s="12"/>
      <c r="D6614" s="12"/>
      <c r="E6614" s="12"/>
      <c r="H6614" s="11" t="str">
        <f ca="1">IFERROR(__xludf.DUMMYFUNCTION("IFERROR(SUBSTITUTE(SUBSTITUTE(REGEXEXTRACT(A6614, ""[^-]+- [^-]+- [^-]+ - (.+?)\.jpg""), "".jpg"", """"), ""-"", "", ""), """")"),"")</f>
        <v/>
      </c>
      <c r="L6614" s="12"/>
      <c r="M6614" s="13"/>
      <c r="N6614" s="2"/>
      <c r="O6614" s="20"/>
      <c r="P6614" s="42"/>
      <c r="R6614" s="23"/>
    </row>
    <row r="6615" spans="1:18" ht="12.75">
      <c r="A6615" s="12"/>
      <c r="D6615" s="12"/>
      <c r="E6615" s="12"/>
      <c r="H6615" s="11" t="str">
        <f ca="1">IFERROR(__xludf.DUMMYFUNCTION("IFERROR(SUBSTITUTE(SUBSTITUTE(REGEXEXTRACT(A6615, ""[^-]+- [^-]+- [^-]+ - (.+?)\.jpg""), "".jpg"", """"), ""-"", "", ""), """")"),"")</f>
        <v/>
      </c>
      <c r="L6615" s="12"/>
      <c r="M6615" s="13"/>
      <c r="N6615" s="2"/>
      <c r="O6615" s="20"/>
      <c r="P6615" s="42"/>
      <c r="R6615" s="23"/>
    </row>
    <row r="6616" spans="1:18" ht="12.75">
      <c r="A6616" s="12"/>
      <c r="D6616" s="12"/>
      <c r="E6616" s="12"/>
      <c r="H6616" s="11" t="str">
        <f ca="1">IFERROR(__xludf.DUMMYFUNCTION("IFERROR(SUBSTITUTE(SUBSTITUTE(REGEXEXTRACT(A6616, ""[^-]+- [^-]+- [^-]+ - (.+?)\.jpg""), "".jpg"", """"), ""-"", "", ""), """")"),"")</f>
        <v/>
      </c>
      <c r="L6616" s="12"/>
      <c r="M6616" s="13"/>
      <c r="N6616" s="2"/>
      <c r="O6616" s="20"/>
      <c r="P6616" s="42"/>
      <c r="R6616" s="23"/>
    </row>
    <row r="6617" spans="1:18" ht="12.75">
      <c r="A6617" s="12"/>
      <c r="D6617" s="12"/>
      <c r="E6617" s="12"/>
      <c r="H6617" s="11" t="str">
        <f ca="1">IFERROR(__xludf.DUMMYFUNCTION("IFERROR(SUBSTITUTE(SUBSTITUTE(REGEXEXTRACT(A6617, ""[^-]+- [^-]+- [^-]+ - (.+?)\.jpg""), "".jpg"", """"), ""-"", "", ""), """")"),"")</f>
        <v/>
      </c>
      <c r="L6617" s="12"/>
      <c r="M6617" s="13"/>
      <c r="N6617" s="2"/>
      <c r="O6617" s="20"/>
      <c r="P6617" s="42"/>
      <c r="R6617" s="23"/>
    </row>
    <row r="6618" spans="1:18" ht="12.75">
      <c r="A6618" s="12"/>
      <c r="D6618" s="12"/>
      <c r="E6618" s="12"/>
      <c r="H6618" s="11" t="str">
        <f ca="1">IFERROR(__xludf.DUMMYFUNCTION("IFERROR(SUBSTITUTE(SUBSTITUTE(REGEXEXTRACT(A6618, ""[^-]+- [^-]+- [^-]+ - (.+?)\.jpg""), "".jpg"", """"), ""-"", "", ""), """")"),"")</f>
        <v/>
      </c>
      <c r="L6618" s="12"/>
      <c r="M6618" s="13"/>
      <c r="N6618" s="2"/>
      <c r="O6618" s="20"/>
      <c r="P6618" s="42"/>
      <c r="R6618" s="23"/>
    </row>
    <row r="6619" spans="1:18" ht="12.75">
      <c r="A6619" s="12"/>
      <c r="D6619" s="12"/>
      <c r="E6619" s="12"/>
      <c r="H6619" s="11" t="str">
        <f ca="1">IFERROR(__xludf.DUMMYFUNCTION("IFERROR(SUBSTITUTE(SUBSTITUTE(REGEXEXTRACT(A6619, ""[^-]+- [^-]+- [^-]+ - (.+?)\.jpg""), "".jpg"", """"), ""-"", "", ""), """")"),"")</f>
        <v/>
      </c>
      <c r="L6619" s="12"/>
      <c r="M6619" s="13"/>
      <c r="N6619" s="2"/>
      <c r="O6619" s="20"/>
      <c r="P6619" s="42"/>
      <c r="R6619" s="23"/>
    </row>
    <row r="6620" spans="1:18" ht="12.75">
      <c r="A6620" s="12"/>
      <c r="D6620" s="12"/>
      <c r="E6620" s="12"/>
      <c r="H6620" s="11" t="str">
        <f ca="1">IFERROR(__xludf.DUMMYFUNCTION("IFERROR(SUBSTITUTE(SUBSTITUTE(REGEXEXTRACT(A6620, ""[^-]+- [^-]+- [^-]+ - (.+?)\.jpg""), "".jpg"", """"), ""-"", "", ""), """")"),"")</f>
        <v/>
      </c>
      <c r="L6620" s="12"/>
      <c r="M6620" s="13"/>
      <c r="N6620" s="2"/>
      <c r="O6620" s="20"/>
      <c r="P6620" s="42"/>
      <c r="R6620" s="23"/>
    </row>
    <row r="6621" spans="1:18" ht="12.75">
      <c r="A6621" s="12"/>
      <c r="D6621" s="12"/>
      <c r="E6621" s="12"/>
      <c r="H6621" s="11" t="str">
        <f ca="1">IFERROR(__xludf.DUMMYFUNCTION("IFERROR(SUBSTITUTE(SUBSTITUTE(REGEXEXTRACT(A6621, ""[^-]+- [^-]+- [^-]+ - (.+?)\.jpg""), "".jpg"", """"), ""-"", "", ""), """")"),"")</f>
        <v/>
      </c>
      <c r="L6621" s="12"/>
      <c r="M6621" s="13"/>
      <c r="N6621" s="2"/>
      <c r="O6621" s="20"/>
      <c r="P6621" s="42"/>
      <c r="R6621" s="23"/>
    </row>
    <row r="6622" spans="1:18" ht="12.75">
      <c r="A6622" s="12"/>
      <c r="D6622" s="12"/>
      <c r="E6622" s="12"/>
      <c r="H6622" s="11" t="str">
        <f ca="1">IFERROR(__xludf.DUMMYFUNCTION("IFERROR(SUBSTITUTE(SUBSTITUTE(REGEXEXTRACT(A6622, ""[^-]+- [^-]+- [^-]+ - (.+?)\.jpg""), "".jpg"", """"), ""-"", "", ""), """")"),"")</f>
        <v/>
      </c>
      <c r="L6622" s="12"/>
      <c r="M6622" s="13"/>
      <c r="N6622" s="2"/>
      <c r="O6622" s="20"/>
      <c r="P6622" s="42"/>
      <c r="R6622" s="23"/>
    </row>
    <row r="6623" spans="1:18" ht="12.75">
      <c r="A6623" s="12"/>
      <c r="D6623" s="12"/>
      <c r="E6623" s="12"/>
      <c r="H6623" s="11" t="str">
        <f ca="1">IFERROR(__xludf.DUMMYFUNCTION("IFERROR(SUBSTITUTE(SUBSTITUTE(REGEXEXTRACT(A6623, ""[^-]+- [^-]+- [^-]+ - (.+?)\.jpg""), "".jpg"", """"), ""-"", "", ""), """")"),"")</f>
        <v/>
      </c>
      <c r="L6623" s="12"/>
      <c r="M6623" s="13"/>
      <c r="N6623" s="2"/>
      <c r="O6623" s="20"/>
      <c r="P6623" s="42"/>
      <c r="R6623" s="23"/>
    </row>
    <row r="6624" spans="1:18" ht="12.75">
      <c r="A6624" s="12"/>
      <c r="D6624" s="12"/>
      <c r="E6624" s="12"/>
      <c r="H6624" s="11" t="str">
        <f ca="1">IFERROR(__xludf.DUMMYFUNCTION("IFERROR(SUBSTITUTE(SUBSTITUTE(REGEXEXTRACT(A6624, ""[^-]+- [^-]+- [^-]+ - (.+?)\.jpg""), "".jpg"", """"), ""-"", "", ""), """")"),"")</f>
        <v/>
      </c>
      <c r="L6624" s="12"/>
      <c r="M6624" s="13"/>
      <c r="N6624" s="2"/>
      <c r="O6624" s="20"/>
      <c r="P6624" s="42"/>
      <c r="R6624" s="23"/>
    </row>
    <row r="6625" spans="1:18" ht="12.75">
      <c r="A6625" s="12"/>
      <c r="D6625" s="12"/>
      <c r="E6625" s="12"/>
      <c r="H6625" s="11" t="str">
        <f ca="1">IFERROR(__xludf.DUMMYFUNCTION("IFERROR(SUBSTITUTE(SUBSTITUTE(REGEXEXTRACT(A6625, ""[^-]+- [^-]+- [^-]+ - (.+?)\.jpg""), "".jpg"", """"), ""-"", "", ""), """")"),"")</f>
        <v/>
      </c>
      <c r="L6625" s="12"/>
      <c r="M6625" s="13"/>
      <c r="N6625" s="2"/>
      <c r="O6625" s="20"/>
      <c r="P6625" s="42"/>
      <c r="R6625" s="23"/>
    </row>
    <row r="6626" spans="1:18" ht="12.75">
      <c r="A6626" s="12"/>
      <c r="D6626" s="12"/>
      <c r="E6626" s="12"/>
      <c r="H6626" s="11" t="str">
        <f ca="1">IFERROR(__xludf.DUMMYFUNCTION("IFERROR(SUBSTITUTE(SUBSTITUTE(REGEXEXTRACT(A6626, ""[^-]+- [^-]+- [^-]+ - (.+?)\.jpg""), "".jpg"", """"), ""-"", "", ""), """")"),"")</f>
        <v/>
      </c>
      <c r="L6626" s="12"/>
      <c r="M6626" s="13"/>
      <c r="N6626" s="2"/>
      <c r="O6626" s="20"/>
      <c r="P6626" s="42"/>
      <c r="R6626" s="23"/>
    </row>
    <row r="6627" spans="1:18" ht="12.75">
      <c r="A6627" s="12"/>
      <c r="D6627" s="12"/>
      <c r="E6627" s="12"/>
      <c r="H6627" s="11" t="str">
        <f ca="1">IFERROR(__xludf.DUMMYFUNCTION("IFERROR(SUBSTITUTE(SUBSTITUTE(REGEXEXTRACT(A6627, ""[^-]+- [^-]+- [^-]+ - (.+?)\.jpg""), "".jpg"", """"), ""-"", "", ""), """")"),"")</f>
        <v/>
      </c>
      <c r="L6627" s="12"/>
      <c r="M6627" s="13"/>
      <c r="N6627" s="2"/>
      <c r="O6627" s="20"/>
      <c r="P6627" s="42"/>
      <c r="R6627" s="23"/>
    </row>
    <row r="6628" spans="1:18" ht="12.75">
      <c r="A6628" s="12"/>
      <c r="D6628" s="12"/>
      <c r="E6628" s="12"/>
      <c r="H6628" s="11" t="str">
        <f ca="1">IFERROR(__xludf.DUMMYFUNCTION("IFERROR(SUBSTITUTE(SUBSTITUTE(REGEXEXTRACT(A6628, ""[^-]+- [^-]+- [^-]+ - (.+?)\.jpg""), "".jpg"", """"), ""-"", "", ""), """")"),"")</f>
        <v/>
      </c>
      <c r="L6628" s="12"/>
      <c r="M6628" s="13"/>
      <c r="N6628" s="2"/>
      <c r="O6628" s="20"/>
      <c r="P6628" s="42"/>
      <c r="R6628" s="23"/>
    </row>
    <row r="6629" spans="1:18" ht="12.75">
      <c r="A6629" s="12"/>
      <c r="D6629" s="12"/>
      <c r="E6629" s="12"/>
      <c r="H6629" s="11" t="str">
        <f ca="1">IFERROR(__xludf.DUMMYFUNCTION("IFERROR(SUBSTITUTE(SUBSTITUTE(REGEXEXTRACT(A6629, ""[^-]+- [^-]+- [^-]+ - (.+?)\.jpg""), "".jpg"", """"), ""-"", "", ""), """")"),"")</f>
        <v/>
      </c>
      <c r="L6629" s="12"/>
      <c r="M6629" s="13"/>
      <c r="N6629" s="2"/>
      <c r="O6629" s="20"/>
      <c r="P6629" s="42"/>
      <c r="R6629" s="23"/>
    </row>
    <row r="6630" spans="1:18" ht="12.75">
      <c r="A6630" s="12"/>
      <c r="D6630" s="12"/>
      <c r="E6630" s="12"/>
      <c r="H6630" s="11" t="str">
        <f ca="1">IFERROR(__xludf.DUMMYFUNCTION("IFERROR(SUBSTITUTE(SUBSTITUTE(REGEXEXTRACT(A6630, ""[^-]+- [^-]+- [^-]+ - (.+?)\.jpg""), "".jpg"", """"), ""-"", "", ""), """")"),"")</f>
        <v/>
      </c>
      <c r="L6630" s="12"/>
      <c r="M6630" s="13"/>
      <c r="N6630" s="2"/>
      <c r="O6630" s="20"/>
      <c r="P6630" s="42"/>
      <c r="R6630" s="23"/>
    </row>
    <row r="6631" spans="1:18" ht="12.75">
      <c r="A6631" s="12"/>
      <c r="D6631" s="12"/>
      <c r="E6631" s="12"/>
      <c r="H6631" s="11" t="str">
        <f ca="1">IFERROR(__xludf.DUMMYFUNCTION("IFERROR(SUBSTITUTE(SUBSTITUTE(REGEXEXTRACT(A6631, ""[^-]+- [^-]+- [^-]+ - (.+?)\.jpg""), "".jpg"", """"), ""-"", "", ""), """")"),"")</f>
        <v/>
      </c>
      <c r="L6631" s="12"/>
      <c r="M6631" s="13"/>
      <c r="N6631" s="2"/>
      <c r="O6631" s="20"/>
      <c r="P6631" s="42"/>
      <c r="R6631" s="23"/>
    </row>
    <row r="6632" spans="1:18" ht="12.75">
      <c r="A6632" s="12"/>
      <c r="D6632" s="12"/>
      <c r="E6632" s="12"/>
      <c r="H6632" s="11" t="str">
        <f ca="1">IFERROR(__xludf.DUMMYFUNCTION("IFERROR(SUBSTITUTE(SUBSTITUTE(REGEXEXTRACT(A6632, ""[^-]+- [^-]+- [^-]+ - (.+?)\.jpg""), "".jpg"", """"), ""-"", "", ""), """")"),"")</f>
        <v/>
      </c>
      <c r="L6632" s="12"/>
      <c r="M6632" s="13"/>
      <c r="N6632" s="2"/>
      <c r="O6632" s="20"/>
      <c r="P6632" s="42"/>
      <c r="R6632" s="23"/>
    </row>
    <row r="6633" spans="1:18" ht="12.75">
      <c r="A6633" s="12"/>
      <c r="D6633" s="12"/>
      <c r="E6633" s="12"/>
      <c r="H6633" s="11" t="str">
        <f ca="1">IFERROR(__xludf.DUMMYFUNCTION("IFERROR(SUBSTITUTE(SUBSTITUTE(REGEXEXTRACT(A6633, ""[^-]+- [^-]+- [^-]+ - (.+?)\.jpg""), "".jpg"", """"), ""-"", "", ""), """")"),"")</f>
        <v/>
      </c>
      <c r="L6633" s="12"/>
      <c r="M6633" s="13"/>
      <c r="N6633" s="2"/>
      <c r="O6633" s="20"/>
      <c r="P6633" s="42"/>
      <c r="R6633" s="23"/>
    </row>
    <row r="6634" spans="1:18" ht="12.75">
      <c r="A6634" s="12"/>
      <c r="D6634" s="12"/>
      <c r="E6634" s="12"/>
      <c r="H6634" s="11" t="str">
        <f ca="1">IFERROR(__xludf.DUMMYFUNCTION("IFERROR(SUBSTITUTE(SUBSTITUTE(REGEXEXTRACT(A6634, ""[^-]+- [^-]+- [^-]+ - (.+?)\.jpg""), "".jpg"", """"), ""-"", "", ""), """")"),"")</f>
        <v/>
      </c>
      <c r="L6634" s="12"/>
      <c r="M6634" s="13"/>
      <c r="N6634" s="2"/>
      <c r="O6634" s="20"/>
      <c r="P6634" s="42"/>
      <c r="R6634" s="23"/>
    </row>
    <row r="6635" spans="1:18" ht="12.75">
      <c r="A6635" s="12"/>
      <c r="D6635" s="12"/>
      <c r="E6635" s="12"/>
      <c r="H6635" s="11" t="str">
        <f ca="1">IFERROR(__xludf.DUMMYFUNCTION("IFERROR(SUBSTITUTE(SUBSTITUTE(REGEXEXTRACT(A6635, ""[^-]+- [^-]+- [^-]+ - (.+?)\.jpg""), "".jpg"", """"), ""-"", "", ""), """")"),"")</f>
        <v/>
      </c>
      <c r="L6635" s="12"/>
      <c r="M6635" s="13"/>
      <c r="N6635" s="2"/>
      <c r="O6635" s="20"/>
      <c r="P6635" s="42"/>
      <c r="R6635" s="23"/>
    </row>
    <row r="6636" spans="1:18" ht="12.75">
      <c r="A6636" s="12"/>
      <c r="D6636" s="12"/>
      <c r="E6636" s="12"/>
      <c r="H6636" s="11" t="str">
        <f ca="1">IFERROR(__xludf.DUMMYFUNCTION("IFERROR(SUBSTITUTE(SUBSTITUTE(REGEXEXTRACT(A6636, ""[^-]+- [^-]+- [^-]+ - (.+?)\.jpg""), "".jpg"", """"), ""-"", "", ""), """")"),"")</f>
        <v/>
      </c>
      <c r="L6636" s="12"/>
      <c r="M6636" s="13"/>
      <c r="N6636" s="2"/>
      <c r="O6636" s="20"/>
      <c r="P6636" s="42"/>
      <c r="R6636" s="23"/>
    </row>
    <row r="6637" spans="1:18" ht="12.75">
      <c r="A6637" s="12"/>
      <c r="D6637" s="12"/>
      <c r="E6637" s="12"/>
      <c r="H6637" s="11" t="str">
        <f ca="1">IFERROR(__xludf.DUMMYFUNCTION("IFERROR(SUBSTITUTE(SUBSTITUTE(REGEXEXTRACT(A6637, ""[^-]+- [^-]+- [^-]+ - (.+?)\.jpg""), "".jpg"", """"), ""-"", "", ""), """")"),"")</f>
        <v/>
      </c>
      <c r="L6637" s="12"/>
      <c r="M6637" s="13"/>
      <c r="N6637" s="2"/>
      <c r="O6637" s="20"/>
      <c r="P6637" s="42"/>
      <c r="R6637" s="23"/>
    </row>
    <row r="6638" spans="1:18" ht="12.75">
      <c r="A6638" s="12"/>
      <c r="D6638" s="12"/>
      <c r="E6638" s="12"/>
      <c r="H6638" s="11" t="str">
        <f ca="1">IFERROR(__xludf.DUMMYFUNCTION("IFERROR(SUBSTITUTE(SUBSTITUTE(REGEXEXTRACT(A6638, ""[^-]+- [^-]+- [^-]+ - (.+?)\.jpg""), "".jpg"", """"), ""-"", "", ""), """")"),"")</f>
        <v/>
      </c>
      <c r="L6638" s="12"/>
      <c r="M6638" s="13"/>
      <c r="N6638" s="2"/>
      <c r="O6638" s="20"/>
      <c r="P6638" s="42"/>
      <c r="R6638" s="23"/>
    </row>
    <row r="6639" spans="1:18" ht="12.75">
      <c r="A6639" s="12"/>
      <c r="D6639" s="12"/>
      <c r="E6639" s="12"/>
      <c r="H6639" s="11" t="str">
        <f ca="1">IFERROR(__xludf.DUMMYFUNCTION("IFERROR(SUBSTITUTE(SUBSTITUTE(REGEXEXTRACT(A6639, ""[^-]+- [^-]+- [^-]+ - (.+?)\.jpg""), "".jpg"", """"), ""-"", "", ""), """")"),"")</f>
        <v/>
      </c>
      <c r="L6639" s="12"/>
      <c r="M6639" s="13"/>
      <c r="N6639" s="2"/>
      <c r="O6639" s="20"/>
      <c r="P6639" s="42"/>
      <c r="R6639" s="23"/>
    </row>
    <row r="6640" spans="1:18" ht="12.75">
      <c r="A6640" s="12"/>
      <c r="D6640" s="12"/>
      <c r="E6640" s="12"/>
      <c r="H6640" s="11" t="str">
        <f ca="1">IFERROR(__xludf.DUMMYFUNCTION("IFERROR(SUBSTITUTE(SUBSTITUTE(REGEXEXTRACT(A6640, ""[^-]+- [^-]+- [^-]+ - (.+?)\.jpg""), "".jpg"", """"), ""-"", "", ""), """")"),"")</f>
        <v/>
      </c>
      <c r="L6640" s="12"/>
      <c r="M6640" s="13"/>
      <c r="N6640" s="2"/>
      <c r="O6640" s="20"/>
      <c r="P6640" s="42"/>
      <c r="R6640" s="23"/>
    </row>
    <row r="6641" spans="1:18" ht="12.75">
      <c r="A6641" s="12"/>
      <c r="D6641" s="12"/>
      <c r="E6641" s="12"/>
      <c r="H6641" s="11" t="str">
        <f ca="1">IFERROR(__xludf.DUMMYFUNCTION("IFERROR(SUBSTITUTE(SUBSTITUTE(REGEXEXTRACT(A6641, ""[^-]+- [^-]+- [^-]+ - (.+?)\.jpg""), "".jpg"", """"), ""-"", "", ""), """")"),"")</f>
        <v/>
      </c>
      <c r="L6641" s="12"/>
      <c r="M6641" s="13"/>
      <c r="N6641" s="2"/>
      <c r="O6641" s="20"/>
      <c r="P6641" s="42"/>
      <c r="R6641" s="23"/>
    </row>
    <row r="6642" spans="1:18" ht="12.75">
      <c r="A6642" s="12"/>
      <c r="D6642" s="12"/>
      <c r="E6642" s="12"/>
      <c r="H6642" s="11" t="str">
        <f ca="1">IFERROR(__xludf.DUMMYFUNCTION("IFERROR(SUBSTITUTE(SUBSTITUTE(REGEXEXTRACT(A6642, ""[^-]+- [^-]+- [^-]+ - (.+?)\.jpg""), "".jpg"", """"), ""-"", "", ""), """")"),"")</f>
        <v/>
      </c>
      <c r="L6642" s="12"/>
      <c r="M6642" s="13"/>
      <c r="N6642" s="2"/>
      <c r="O6642" s="20"/>
      <c r="P6642" s="42"/>
      <c r="R6642" s="23"/>
    </row>
    <row r="6643" spans="1:18" ht="12.75">
      <c r="A6643" s="12"/>
      <c r="D6643" s="12"/>
      <c r="E6643" s="12"/>
      <c r="H6643" s="11" t="str">
        <f ca="1">IFERROR(__xludf.DUMMYFUNCTION("IFERROR(SUBSTITUTE(SUBSTITUTE(REGEXEXTRACT(A6643, ""[^-]+- [^-]+- [^-]+ - (.+?)\.jpg""), "".jpg"", """"), ""-"", "", ""), """")"),"")</f>
        <v/>
      </c>
      <c r="L6643" s="12"/>
      <c r="M6643" s="13"/>
      <c r="N6643" s="2"/>
      <c r="O6643" s="20"/>
      <c r="P6643" s="42"/>
      <c r="R6643" s="23"/>
    </row>
    <row r="6644" spans="1:18" ht="12.75">
      <c r="A6644" s="12"/>
      <c r="D6644" s="12"/>
      <c r="E6644" s="12"/>
      <c r="H6644" s="11" t="str">
        <f ca="1">IFERROR(__xludf.DUMMYFUNCTION("IFERROR(SUBSTITUTE(SUBSTITUTE(REGEXEXTRACT(A6644, ""[^-]+- [^-]+- [^-]+ - (.+?)\.jpg""), "".jpg"", """"), ""-"", "", ""), """")"),"")</f>
        <v/>
      </c>
      <c r="L6644" s="12"/>
      <c r="M6644" s="13"/>
      <c r="N6644" s="2"/>
      <c r="O6644" s="20"/>
      <c r="P6644" s="42"/>
      <c r="R6644" s="23"/>
    </row>
    <row r="6645" spans="1:18" ht="12.75">
      <c r="A6645" s="12"/>
      <c r="D6645" s="12"/>
      <c r="E6645" s="12"/>
      <c r="H6645" s="11" t="str">
        <f ca="1">IFERROR(__xludf.DUMMYFUNCTION("IFERROR(SUBSTITUTE(SUBSTITUTE(REGEXEXTRACT(A6645, ""[^-]+- [^-]+- [^-]+ - (.+?)\.jpg""), "".jpg"", """"), ""-"", "", ""), """")"),"")</f>
        <v/>
      </c>
      <c r="L6645" s="12"/>
      <c r="M6645" s="13"/>
      <c r="N6645" s="2"/>
      <c r="O6645" s="20"/>
      <c r="P6645" s="42"/>
      <c r="R6645" s="23"/>
    </row>
    <row r="6646" spans="1:18" ht="12.75">
      <c r="A6646" s="12"/>
      <c r="D6646" s="12"/>
      <c r="E6646" s="12"/>
      <c r="H6646" s="11" t="str">
        <f ca="1">IFERROR(__xludf.DUMMYFUNCTION("IFERROR(SUBSTITUTE(SUBSTITUTE(REGEXEXTRACT(A6646, ""[^-]+- [^-]+- [^-]+ - (.+?)\.jpg""), "".jpg"", """"), ""-"", "", ""), """")"),"")</f>
        <v/>
      </c>
      <c r="L6646" s="12"/>
      <c r="M6646" s="13"/>
      <c r="N6646" s="2"/>
      <c r="O6646" s="20"/>
      <c r="P6646" s="42"/>
      <c r="R6646" s="23"/>
    </row>
    <row r="6647" spans="1:18" ht="12.75">
      <c r="A6647" s="12"/>
      <c r="D6647" s="12"/>
      <c r="E6647" s="12"/>
      <c r="H6647" s="11" t="str">
        <f ca="1">IFERROR(__xludf.DUMMYFUNCTION("IFERROR(SUBSTITUTE(SUBSTITUTE(REGEXEXTRACT(A6647, ""[^-]+- [^-]+- [^-]+ - (.+?)\.jpg""), "".jpg"", """"), ""-"", "", ""), """")"),"")</f>
        <v/>
      </c>
      <c r="L6647" s="12"/>
      <c r="M6647" s="13"/>
      <c r="N6647" s="2"/>
      <c r="O6647" s="20"/>
      <c r="P6647" s="42"/>
      <c r="R6647" s="23"/>
    </row>
    <row r="6648" spans="1:18" ht="12.75">
      <c r="A6648" s="12"/>
      <c r="D6648" s="12"/>
      <c r="E6648" s="12"/>
      <c r="H6648" s="11" t="str">
        <f ca="1">IFERROR(__xludf.DUMMYFUNCTION("IFERROR(SUBSTITUTE(SUBSTITUTE(REGEXEXTRACT(A6648, ""[^-]+- [^-]+- [^-]+ - (.+?)\.jpg""), "".jpg"", """"), ""-"", "", ""), """")"),"")</f>
        <v/>
      </c>
      <c r="L6648" s="12"/>
      <c r="M6648" s="13"/>
      <c r="N6648" s="2"/>
      <c r="O6648" s="20"/>
      <c r="P6648" s="42"/>
      <c r="R6648" s="23"/>
    </row>
    <row r="6649" spans="1:18" ht="12.75">
      <c r="A6649" s="12"/>
      <c r="D6649" s="12"/>
      <c r="E6649" s="12"/>
      <c r="H6649" s="11" t="str">
        <f ca="1">IFERROR(__xludf.DUMMYFUNCTION("IFERROR(SUBSTITUTE(SUBSTITUTE(REGEXEXTRACT(A6649, ""[^-]+- [^-]+- [^-]+ - (.+?)\.jpg""), "".jpg"", """"), ""-"", "", ""), """")"),"")</f>
        <v/>
      </c>
      <c r="L6649" s="12"/>
      <c r="M6649" s="13"/>
      <c r="N6649" s="2"/>
      <c r="O6649" s="20"/>
      <c r="P6649" s="42"/>
      <c r="R6649" s="23"/>
    </row>
    <row r="6650" spans="1:18" ht="12.75">
      <c r="A6650" s="12"/>
      <c r="D6650" s="12"/>
      <c r="E6650" s="12"/>
      <c r="H6650" s="11" t="str">
        <f ca="1">IFERROR(__xludf.DUMMYFUNCTION("IFERROR(SUBSTITUTE(SUBSTITUTE(REGEXEXTRACT(A6650, ""[^-]+- [^-]+- [^-]+ - (.+?)\.jpg""), "".jpg"", """"), ""-"", "", ""), """")"),"")</f>
        <v/>
      </c>
      <c r="L6650" s="12"/>
      <c r="M6650" s="13"/>
      <c r="N6650" s="2"/>
      <c r="O6650" s="20"/>
      <c r="P6650" s="42"/>
      <c r="R6650" s="23"/>
    </row>
    <row r="6651" spans="1:18" ht="12.75">
      <c r="A6651" s="12"/>
      <c r="D6651" s="12"/>
      <c r="E6651" s="12"/>
      <c r="H6651" s="11" t="str">
        <f ca="1">IFERROR(__xludf.DUMMYFUNCTION("IFERROR(SUBSTITUTE(SUBSTITUTE(REGEXEXTRACT(A6651, ""[^-]+- [^-]+- [^-]+ - (.+?)\.jpg""), "".jpg"", """"), ""-"", "", ""), """")"),"")</f>
        <v/>
      </c>
      <c r="L6651" s="12"/>
      <c r="M6651" s="13"/>
      <c r="N6651" s="2"/>
      <c r="O6651" s="20"/>
      <c r="P6651" s="42"/>
      <c r="R6651" s="23"/>
    </row>
    <row r="6652" spans="1:18" ht="12.75">
      <c r="A6652" s="12"/>
      <c r="D6652" s="12"/>
      <c r="E6652" s="12"/>
      <c r="H6652" s="11" t="str">
        <f ca="1">IFERROR(__xludf.DUMMYFUNCTION("IFERROR(SUBSTITUTE(SUBSTITUTE(REGEXEXTRACT(A6652, ""[^-]+- [^-]+- [^-]+ - (.+?)\.jpg""), "".jpg"", """"), ""-"", "", ""), """")"),"")</f>
        <v/>
      </c>
      <c r="L6652" s="12"/>
      <c r="M6652" s="13"/>
      <c r="N6652" s="2"/>
      <c r="O6652" s="20"/>
      <c r="P6652" s="42"/>
      <c r="R6652" s="23"/>
    </row>
    <row r="6653" spans="1:18" ht="12.75">
      <c r="A6653" s="12"/>
      <c r="D6653" s="12"/>
      <c r="E6653" s="12"/>
      <c r="H6653" s="11" t="str">
        <f ca="1">IFERROR(__xludf.DUMMYFUNCTION("IFERROR(SUBSTITUTE(SUBSTITUTE(REGEXEXTRACT(A6653, ""[^-]+- [^-]+- [^-]+ - (.+?)\.jpg""), "".jpg"", """"), ""-"", "", ""), """")"),"")</f>
        <v/>
      </c>
      <c r="L6653" s="12"/>
      <c r="M6653" s="13"/>
      <c r="N6653" s="2"/>
      <c r="O6653" s="20"/>
      <c r="P6653" s="42"/>
      <c r="R6653" s="23"/>
    </row>
    <row r="6654" spans="1:18" ht="12.75">
      <c r="A6654" s="12"/>
      <c r="D6654" s="12"/>
      <c r="E6654" s="12"/>
      <c r="H6654" s="11" t="str">
        <f ca="1">IFERROR(__xludf.DUMMYFUNCTION("IFERROR(SUBSTITUTE(SUBSTITUTE(REGEXEXTRACT(A6654, ""[^-]+- [^-]+- [^-]+ - (.+?)\.jpg""), "".jpg"", """"), ""-"", "", ""), """")"),"")</f>
        <v/>
      </c>
      <c r="L6654" s="12"/>
      <c r="M6654" s="13"/>
      <c r="N6654" s="2"/>
      <c r="O6654" s="20"/>
      <c r="P6654" s="42"/>
      <c r="R6654" s="23"/>
    </row>
    <row r="6655" spans="1:18" ht="12.75">
      <c r="A6655" s="12"/>
      <c r="D6655" s="12"/>
      <c r="E6655" s="12"/>
      <c r="H6655" s="11" t="str">
        <f ca="1">IFERROR(__xludf.DUMMYFUNCTION("IFERROR(SUBSTITUTE(SUBSTITUTE(REGEXEXTRACT(A6655, ""[^-]+- [^-]+- [^-]+ - (.+?)\.jpg""), "".jpg"", """"), ""-"", "", ""), """")"),"")</f>
        <v/>
      </c>
      <c r="L6655" s="12"/>
      <c r="M6655" s="13"/>
      <c r="N6655" s="2"/>
      <c r="O6655" s="20"/>
      <c r="P6655" s="42"/>
      <c r="R6655" s="23"/>
    </row>
    <row r="6656" spans="1:18" ht="12.75">
      <c r="A6656" s="12"/>
      <c r="D6656" s="12"/>
      <c r="E6656" s="12"/>
      <c r="H6656" s="11" t="str">
        <f ca="1">IFERROR(__xludf.DUMMYFUNCTION("IFERROR(SUBSTITUTE(SUBSTITUTE(REGEXEXTRACT(A6656, ""[^-]+- [^-]+- [^-]+ - (.+?)\.jpg""), "".jpg"", """"), ""-"", "", ""), """")"),"")</f>
        <v/>
      </c>
      <c r="L6656" s="12"/>
      <c r="M6656" s="13"/>
      <c r="N6656" s="2"/>
      <c r="O6656" s="20"/>
      <c r="P6656" s="42"/>
      <c r="R6656" s="23"/>
    </row>
    <row r="6657" spans="1:18" ht="12.75">
      <c r="A6657" s="12"/>
      <c r="D6657" s="12"/>
      <c r="E6657" s="12"/>
      <c r="H6657" s="11" t="str">
        <f ca="1">IFERROR(__xludf.DUMMYFUNCTION("IFERROR(SUBSTITUTE(SUBSTITUTE(REGEXEXTRACT(A6657, ""[^-]+- [^-]+- [^-]+ - (.+?)\.jpg""), "".jpg"", """"), ""-"", "", ""), """")"),"")</f>
        <v/>
      </c>
      <c r="L6657" s="12"/>
      <c r="M6657" s="13"/>
      <c r="N6657" s="2"/>
      <c r="O6657" s="20"/>
      <c r="P6657" s="42"/>
      <c r="R6657" s="23"/>
    </row>
    <row r="6658" spans="1:18" ht="12.75">
      <c r="A6658" s="12"/>
      <c r="D6658" s="12"/>
      <c r="E6658" s="12"/>
      <c r="H6658" s="11" t="str">
        <f ca="1">IFERROR(__xludf.DUMMYFUNCTION("IFERROR(SUBSTITUTE(SUBSTITUTE(REGEXEXTRACT(A6658, ""[^-]+- [^-]+- [^-]+ - (.+?)\.jpg""), "".jpg"", """"), ""-"", "", ""), """")"),"")</f>
        <v/>
      </c>
      <c r="L6658" s="12"/>
      <c r="M6658" s="13"/>
      <c r="N6658" s="2"/>
      <c r="O6658" s="20"/>
      <c r="P6658" s="42"/>
      <c r="R6658" s="23"/>
    </row>
    <row r="6659" spans="1:18" ht="12.75">
      <c r="A6659" s="12"/>
      <c r="D6659" s="12"/>
      <c r="E6659" s="12"/>
      <c r="H6659" s="11" t="str">
        <f ca="1">IFERROR(__xludf.DUMMYFUNCTION("IFERROR(SUBSTITUTE(SUBSTITUTE(REGEXEXTRACT(A6659, ""[^-]+- [^-]+- [^-]+ - (.+?)\.jpg""), "".jpg"", """"), ""-"", "", ""), """")"),"")</f>
        <v/>
      </c>
      <c r="L6659" s="12"/>
      <c r="M6659" s="13"/>
      <c r="N6659" s="2"/>
      <c r="O6659" s="20"/>
      <c r="P6659" s="42"/>
      <c r="R6659" s="23"/>
    </row>
    <row r="6660" spans="1:18" ht="12.75">
      <c r="A6660" s="12"/>
      <c r="D6660" s="12"/>
      <c r="E6660" s="12"/>
      <c r="H6660" s="11" t="str">
        <f ca="1">IFERROR(__xludf.DUMMYFUNCTION("IFERROR(SUBSTITUTE(SUBSTITUTE(REGEXEXTRACT(A6660, ""[^-]+- [^-]+- [^-]+ - (.+?)\.jpg""), "".jpg"", """"), ""-"", "", ""), """")"),"")</f>
        <v/>
      </c>
      <c r="L6660" s="12"/>
      <c r="M6660" s="13"/>
      <c r="N6660" s="2"/>
      <c r="O6660" s="20"/>
      <c r="P6660" s="42"/>
      <c r="R6660" s="23"/>
    </row>
    <row r="6661" spans="1:18" ht="12.75">
      <c r="A6661" s="12"/>
      <c r="D6661" s="12"/>
      <c r="E6661" s="12"/>
      <c r="H6661" s="11" t="str">
        <f ca="1">IFERROR(__xludf.DUMMYFUNCTION("IFERROR(SUBSTITUTE(SUBSTITUTE(REGEXEXTRACT(A6661, ""[^-]+- [^-]+- [^-]+ - (.+?)\.jpg""), "".jpg"", """"), ""-"", "", ""), """")"),"")</f>
        <v/>
      </c>
      <c r="L6661" s="12"/>
      <c r="M6661" s="13"/>
      <c r="N6661" s="2"/>
      <c r="O6661" s="20"/>
      <c r="P6661" s="42"/>
      <c r="R6661" s="23"/>
    </row>
    <row r="6662" spans="1:18" ht="12.75">
      <c r="A6662" s="12"/>
      <c r="D6662" s="12"/>
      <c r="E6662" s="12"/>
      <c r="H6662" s="11" t="str">
        <f ca="1">IFERROR(__xludf.DUMMYFUNCTION("IFERROR(SUBSTITUTE(SUBSTITUTE(REGEXEXTRACT(A6662, ""[^-]+- [^-]+- [^-]+ - (.+?)\.jpg""), "".jpg"", """"), ""-"", "", ""), """")"),"")</f>
        <v/>
      </c>
      <c r="L6662" s="12"/>
      <c r="M6662" s="13"/>
      <c r="N6662" s="2"/>
      <c r="O6662" s="20"/>
      <c r="P6662" s="42"/>
      <c r="R6662" s="23"/>
    </row>
    <row r="6663" spans="1:18" ht="12.75">
      <c r="A6663" s="12"/>
      <c r="D6663" s="12"/>
      <c r="E6663" s="12"/>
      <c r="H6663" s="11" t="str">
        <f ca="1">IFERROR(__xludf.DUMMYFUNCTION("IFERROR(SUBSTITUTE(SUBSTITUTE(REGEXEXTRACT(A6663, ""[^-]+- [^-]+- [^-]+ - (.+?)\.jpg""), "".jpg"", """"), ""-"", "", ""), """")"),"")</f>
        <v/>
      </c>
      <c r="L6663" s="12"/>
      <c r="M6663" s="13"/>
      <c r="N6663" s="2"/>
      <c r="O6663" s="20"/>
      <c r="P6663" s="42"/>
      <c r="R6663" s="23"/>
    </row>
    <row r="6664" spans="1:18" ht="12.75">
      <c r="A6664" s="12"/>
      <c r="D6664" s="12"/>
      <c r="E6664" s="12"/>
      <c r="H6664" s="11" t="str">
        <f ca="1">IFERROR(__xludf.DUMMYFUNCTION("IFERROR(SUBSTITUTE(SUBSTITUTE(REGEXEXTRACT(A6664, ""[^-]+- [^-]+- [^-]+ - (.+?)\.jpg""), "".jpg"", """"), ""-"", "", ""), """")"),"")</f>
        <v/>
      </c>
      <c r="L6664" s="12"/>
      <c r="M6664" s="13"/>
      <c r="N6664" s="2"/>
      <c r="O6664" s="20"/>
      <c r="P6664" s="42"/>
      <c r="R6664" s="23"/>
    </row>
    <row r="6665" spans="1:18" ht="12.75">
      <c r="A6665" s="12"/>
      <c r="D6665" s="12"/>
      <c r="E6665" s="12"/>
      <c r="H6665" s="11" t="str">
        <f ca="1">IFERROR(__xludf.DUMMYFUNCTION("IFERROR(SUBSTITUTE(SUBSTITUTE(REGEXEXTRACT(A6665, ""[^-]+- [^-]+- [^-]+ - (.+?)\.jpg""), "".jpg"", """"), ""-"", "", ""), """")"),"")</f>
        <v/>
      </c>
      <c r="L6665" s="12"/>
      <c r="M6665" s="13"/>
      <c r="N6665" s="2"/>
      <c r="O6665" s="20"/>
      <c r="P6665" s="42"/>
      <c r="R6665" s="23"/>
    </row>
    <row r="6666" spans="1:18" ht="12.75">
      <c r="A6666" s="12"/>
      <c r="D6666" s="12"/>
      <c r="E6666" s="12"/>
      <c r="H6666" s="11" t="str">
        <f ca="1">IFERROR(__xludf.DUMMYFUNCTION("IFERROR(SUBSTITUTE(SUBSTITUTE(REGEXEXTRACT(A6666, ""[^-]+- [^-]+- [^-]+ - (.+?)\.jpg""), "".jpg"", """"), ""-"", "", ""), """")"),"")</f>
        <v/>
      </c>
      <c r="L6666" s="12"/>
      <c r="M6666" s="13"/>
      <c r="N6666" s="2"/>
      <c r="O6666" s="20"/>
      <c r="P6666" s="42"/>
      <c r="R6666" s="23"/>
    </row>
    <row r="6667" spans="1:18" ht="12.75">
      <c r="A6667" s="12"/>
      <c r="D6667" s="12"/>
      <c r="E6667" s="12"/>
      <c r="H6667" s="11" t="str">
        <f ca="1">IFERROR(__xludf.DUMMYFUNCTION("IFERROR(SUBSTITUTE(SUBSTITUTE(REGEXEXTRACT(A6667, ""[^-]+- [^-]+- [^-]+ - (.+?)\.jpg""), "".jpg"", """"), ""-"", "", ""), """")"),"")</f>
        <v/>
      </c>
      <c r="L6667" s="12"/>
      <c r="M6667" s="13"/>
      <c r="N6667" s="2"/>
      <c r="O6667" s="20"/>
      <c r="P6667" s="42"/>
      <c r="R6667" s="23"/>
    </row>
    <row r="6668" spans="1:18" ht="12.75">
      <c r="A6668" s="12"/>
      <c r="D6668" s="12"/>
      <c r="E6668" s="12"/>
      <c r="H6668" s="11" t="str">
        <f ca="1">IFERROR(__xludf.DUMMYFUNCTION("IFERROR(SUBSTITUTE(SUBSTITUTE(REGEXEXTRACT(A6668, ""[^-]+- [^-]+- [^-]+ - (.+?)\.jpg""), "".jpg"", """"), ""-"", "", ""), """")"),"")</f>
        <v/>
      </c>
      <c r="L6668" s="12"/>
      <c r="M6668" s="13"/>
      <c r="N6668" s="2"/>
      <c r="O6668" s="20"/>
      <c r="P6668" s="42"/>
      <c r="R6668" s="23"/>
    </row>
    <row r="6669" spans="1:18" ht="12.75">
      <c r="A6669" s="12"/>
      <c r="D6669" s="12"/>
      <c r="E6669" s="12"/>
      <c r="H6669" s="11" t="str">
        <f ca="1">IFERROR(__xludf.DUMMYFUNCTION("IFERROR(SUBSTITUTE(SUBSTITUTE(REGEXEXTRACT(A6669, ""[^-]+- [^-]+- [^-]+ - (.+?)\.jpg""), "".jpg"", """"), ""-"", "", ""), """")"),"")</f>
        <v/>
      </c>
      <c r="L6669" s="12"/>
      <c r="M6669" s="13"/>
      <c r="N6669" s="2"/>
      <c r="O6669" s="20"/>
      <c r="P6669" s="42"/>
      <c r="R6669" s="23"/>
    </row>
    <row r="6670" spans="1:18" ht="12.75">
      <c r="A6670" s="12"/>
      <c r="D6670" s="12"/>
      <c r="E6670" s="12"/>
      <c r="H6670" s="11" t="str">
        <f ca="1">IFERROR(__xludf.DUMMYFUNCTION("IFERROR(SUBSTITUTE(SUBSTITUTE(REGEXEXTRACT(A6670, ""[^-]+- [^-]+- [^-]+ - (.+?)\.jpg""), "".jpg"", """"), ""-"", "", ""), """")"),"")</f>
        <v/>
      </c>
      <c r="L6670" s="12"/>
      <c r="M6670" s="13"/>
      <c r="N6670" s="2"/>
      <c r="O6670" s="20"/>
      <c r="P6670" s="42"/>
      <c r="R6670" s="23"/>
    </row>
    <row r="6671" spans="1:18" ht="12.75">
      <c r="A6671" s="12"/>
      <c r="D6671" s="12"/>
      <c r="E6671" s="12"/>
      <c r="H6671" s="11" t="str">
        <f ca="1">IFERROR(__xludf.DUMMYFUNCTION("IFERROR(SUBSTITUTE(SUBSTITUTE(REGEXEXTRACT(A6671, ""[^-]+- [^-]+- [^-]+ - (.+?)\.jpg""), "".jpg"", """"), ""-"", "", ""), """")"),"")</f>
        <v/>
      </c>
      <c r="L6671" s="12"/>
      <c r="M6671" s="13"/>
      <c r="N6671" s="2"/>
      <c r="O6671" s="20"/>
      <c r="P6671" s="42"/>
      <c r="R6671" s="23"/>
    </row>
    <row r="6672" spans="1:18" ht="12.75">
      <c r="A6672" s="12"/>
      <c r="D6672" s="12"/>
      <c r="E6672" s="12"/>
      <c r="H6672" s="11" t="str">
        <f ca="1">IFERROR(__xludf.DUMMYFUNCTION("IFERROR(SUBSTITUTE(SUBSTITUTE(REGEXEXTRACT(A6672, ""[^-]+- [^-]+- [^-]+ - (.+?)\.jpg""), "".jpg"", """"), ""-"", "", ""), """")"),"")</f>
        <v/>
      </c>
      <c r="L6672" s="12"/>
      <c r="M6672" s="13"/>
      <c r="N6672" s="2"/>
      <c r="O6672" s="20"/>
      <c r="P6672" s="42"/>
      <c r="R6672" s="23"/>
    </row>
    <row r="6673" spans="1:18" ht="12.75">
      <c r="A6673" s="12"/>
      <c r="D6673" s="12"/>
      <c r="E6673" s="12"/>
      <c r="H6673" s="11" t="str">
        <f ca="1">IFERROR(__xludf.DUMMYFUNCTION("IFERROR(SUBSTITUTE(SUBSTITUTE(REGEXEXTRACT(A6673, ""[^-]+- [^-]+- [^-]+ - (.+?)\.jpg""), "".jpg"", """"), ""-"", "", ""), """")"),"")</f>
        <v/>
      </c>
      <c r="L6673" s="12"/>
      <c r="M6673" s="13"/>
      <c r="N6673" s="2"/>
      <c r="O6673" s="20"/>
      <c r="P6673" s="42"/>
      <c r="R6673" s="23"/>
    </row>
    <row r="6674" spans="1:18" ht="12.75">
      <c r="A6674" s="12"/>
      <c r="D6674" s="12"/>
      <c r="E6674" s="12"/>
      <c r="H6674" s="11" t="str">
        <f ca="1">IFERROR(__xludf.DUMMYFUNCTION("IFERROR(SUBSTITUTE(SUBSTITUTE(REGEXEXTRACT(A6674, ""[^-]+- [^-]+- [^-]+ - (.+?)\.jpg""), "".jpg"", """"), ""-"", "", ""), """")"),"")</f>
        <v/>
      </c>
      <c r="L6674" s="12"/>
      <c r="M6674" s="13"/>
      <c r="N6674" s="2"/>
      <c r="O6674" s="20"/>
      <c r="P6674" s="42"/>
      <c r="R6674" s="23"/>
    </row>
    <row r="6675" spans="1:18" ht="12.75">
      <c r="A6675" s="12"/>
      <c r="D6675" s="12"/>
      <c r="E6675" s="12"/>
      <c r="H6675" s="11" t="str">
        <f ca="1">IFERROR(__xludf.DUMMYFUNCTION("IFERROR(SUBSTITUTE(SUBSTITUTE(REGEXEXTRACT(A6675, ""[^-]+- [^-]+- [^-]+ - (.+?)\.jpg""), "".jpg"", """"), ""-"", "", ""), """")"),"")</f>
        <v/>
      </c>
      <c r="L6675" s="12"/>
      <c r="M6675" s="13"/>
      <c r="N6675" s="2"/>
      <c r="O6675" s="20"/>
      <c r="P6675" s="42"/>
      <c r="R6675" s="23"/>
    </row>
    <row r="6676" spans="1:18" ht="12.75">
      <c r="A6676" s="12"/>
      <c r="D6676" s="12"/>
      <c r="E6676" s="12"/>
      <c r="H6676" s="11" t="str">
        <f ca="1">IFERROR(__xludf.DUMMYFUNCTION("IFERROR(SUBSTITUTE(SUBSTITUTE(REGEXEXTRACT(A6676, ""[^-]+- [^-]+- [^-]+ - (.+?)\.jpg""), "".jpg"", """"), ""-"", "", ""), """")"),"")</f>
        <v/>
      </c>
      <c r="L6676" s="12"/>
      <c r="M6676" s="13"/>
      <c r="N6676" s="2"/>
      <c r="O6676" s="20"/>
      <c r="P6676" s="42"/>
      <c r="R6676" s="23"/>
    </row>
    <row r="6677" spans="1:18" ht="12.75">
      <c r="A6677" s="12"/>
      <c r="D6677" s="12"/>
      <c r="E6677" s="12"/>
      <c r="H6677" s="11" t="str">
        <f ca="1">IFERROR(__xludf.DUMMYFUNCTION("IFERROR(SUBSTITUTE(SUBSTITUTE(REGEXEXTRACT(A6677, ""[^-]+- [^-]+- [^-]+ - (.+?)\.jpg""), "".jpg"", """"), ""-"", "", ""), """")"),"")</f>
        <v/>
      </c>
      <c r="L6677" s="12"/>
      <c r="M6677" s="13"/>
      <c r="N6677" s="2"/>
      <c r="O6677" s="20"/>
      <c r="P6677" s="42"/>
      <c r="R6677" s="23"/>
    </row>
    <row r="6678" spans="1:18" ht="12.75">
      <c r="A6678" s="12"/>
      <c r="D6678" s="12"/>
      <c r="E6678" s="12"/>
      <c r="H6678" s="11" t="str">
        <f ca="1">IFERROR(__xludf.DUMMYFUNCTION("IFERROR(SUBSTITUTE(SUBSTITUTE(REGEXEXTRACT(A6678, ""[^-]+- [^-]+- [^-]+ - (.+?)\.jpg""), "".jpg"", """"), ""-"", "", ""), """")"),"")</f>
        <v/>
      </c>
      <c r="L6678" s="12"/>
      <c r="M6678" s="13"/>
      <c r="N6678" s="2"/>
      <c r="O6678" s="20"/>
      <c r="P6678" s="42"/>
      <c r="R6678" s="23"/>
    </row>
    <row r="6679" spans="1:18" ht="12.75">
      <c r="A6679" s="12"/>
      <c r="D6679" s="12"/>
      <c r="E6679" s="12"/>
      <c r="H6679" s="11" t="str">
        <f ca="1">IFERROR(__xludf.DUMMYFUNCTION("IFERROR(SUBSTITUTE(SUBSTITUTE(REGEXEXTRACT(A6679, ""[^-]+- [^-]+- [^-]+ - (.+?)\.jpg""), "".jpg"", """"), ""-"", "", ""), """")"),"")</f>
        <v/>
      </c>
      <c r="L6679" s="12"/>
      <c r="M6679" s="13"/>
      <c r="N6679" s="2"/>
      <c r="O6679" s="20"/>
      <c r="P6679" s="42"/>
      <c r="R6679" s="23"/>
    </row>
    <row r="6680" spans="1:18" ht="12.75">
      <c r="A6680" s="12"/>
      <c r="D6680" s="12"/>
      <c r="E6680" s="12"/>
      <c r="H6680" s="11" t="str">
        <f ca="1">IFERROR(__xludf.DUMMYFUNCTION("IFERROR(SUBSTITUTE(SUBSTITUTE(REGEXEXTRACT(A6680, ""[^-]+- [^-]+- [^-]+ - (.+?)\.jpg""), "".jpg"", """"), ""-"", "", ""), """")"),"")</f>
        <v/>
      </c>
      <c r="L6680" s="12"/>
      <c r="M6680" s="13"/>
      <c r="N6680" s="2"/>
      <c r="O6680" s="20"/>
      <c r="P6680" s="42"/>
      <c r="R6680" s="23"/>
    </row>
    <row r="6681" spans="1:18" ht="12.75">
      <c r="A6681" s="12"/>
      <c r="D6681" s="12"/>
      <c r="E6681" s="12"/>
      <c r="H6681" s="11" t="str">
        <f ca="1">IFERROR(__xludf.DUMMYFUNCTION("IFERROR(SUBSTITUTE(SUBSTITUTE(REGEXEXTRACT(A6681, ""[^-]+- [^-]+- [^-]+ - (.+?)\.jpg""), "".jpg"", """"), ""-"", "", ""), """")"),"")</f>
        <v/>
      </c>
      <c r="L6681" s="12"/>
      <c r="M6681" s="13"/>
      <c r="N6681" s="2"/>
      <c r="O6681" s="20"/>
      <c r="P6681" s="42"/>
      <c r="R6681" s="23"/>
    </row>
    <row r="6682" spans="1:18" ht="12.75">
      <c r="A6682" s="12"/>
      <c r="D6682" s="12"/>
      <c r="E6682" s="12"/>
      <c r="H6682" s="11" t="str">
        <f ca="1">IFERROR(__xludf.DUMMYFUNCTION("IFERROR(SUBSTITUTE(SUBSTITUTE(REGEXEXTRACT(A6682, ""[^-]+- [^-]+- [^-]+ - (.+?)\.jpg""), "".jpg"", """"), ""-"", "", ""), """")"),"")</f>
        <v/>
      </c>
      <c r="L6682" s="12"/>
      <c r="M6682" s="13"/>
      <c r="N6682" s="2"/>
      <c r="O6682" s="20"/>
      <c r="P6682" s="42"/>
      <c r="R6682" s="23"/>
    </row>
    <row r="6683" spans="1:18" ht="12.75">
      <c r="A6683" s="12"/>
      <c r="D6683" s="12"/>
      <c r="E6683" s="12"/>
      <c r="H6683" s="11" t="str">
        <f ca="1">IFERROR(__xludf.DUMMYFUNCTION("IFERROR(SUBSTITUTE(SUBSTITUTE(REGEXEXTRACT(A6683, ""[^-]+- [^-]+- [^-]+ - (.+?)\.jpg""), "".jpg"", """"), ""-"", "", ""), """")"),"")</f>
        <v/>
      </c>
      <c r="L6683" s="12"/>
      <c r="M6683" s="13"/>
      <c r="N6683" s="2"/>
      <c r="O6683" s="20"/>
      <c r="P6683" s="42"/>
      <c r="R6683" s="23"/>
    </row>
    <row r="6684" spans="1:18" ht="12.75">
      <c r="A6684" s="12"/>
      <c r="D6684" s="12"/>
      <c r="E6684" s="12"/>
      <c r="H6684" s="11" t="str">
        <f ca="1">IFERROR(__xludf.DUMMYFUNCTION("IFERROR(SUBSTITUTE(SUBSTITUTE(REGEXEXTRACT(A6684, ""[^-]+- [^-]+- [^-]+ - (.+?)\.jpg""), "".jpg"", """"), ""-"", "", ""), """")"),"")</f>
        <v/>
      </c>
      <c r="L6684" s="12"/>
      <c r="M6684" s="13"/>
      <c r="N6684" s="2"/>
      <c r="O6684" s="20"/>
      <c r="P6684" s="42"/>
      <c r="R6684" s="23"/>
    </row>
    <row r="6685" spans="1:18" ht="12.75">
      <c r="A6685" s="12"/>
      <c r="D6685" s="12"/>
      <c r="E6685" s="12"/>
      <c r="H6685" s="11" t="str">
        <f ca="1">IFERROR(__xludf.DUMMYFUNCTION("IFERROR(SUBSTITUTE(SUBSTITUTE(REGEXEXTRACT(A6685, ""[^-]+- [^-]+- [^-]+ - (.+?)\.jpg""), "".jpg"", """"), ""-"", "", ""), """")"),"")</f>
        <v/>
      </c>
      <c r="L6685" s="12"/>
      <c r="M6685" s="13"/>
      <c r="N6685" s="2"/>
      <c r="O6685" s="20"/>
      <c r="P6685" s="42"/>
      <c r="R6685" s="23"/>
    </row>
    <row r="6686" spans="1:18" ht="12.75">
      <c r="A6686" s="12"/>
      <c r="D6686" s="12"/>
      <c r="E6686" s="12"/>
      <c r="H6686" s="11" t="str">
        <f ca="1">IFERROR(__xludf.DUMMYFUNCTION("IFERROR(SUBSTITUTE(SUBSTITUTE(REGEXEXTRACT(A6686, ""[^-]+- [^-]+- [^-]+ - (.+?)\.jpg""), "".jpg"", """"), ""-"", "", ""), """")"),"")</f>
        <v/>
      </c>
      <c r="L6686" s="12"/>
      <c r="M6686" s="13"/>
      <c r="N6686" s="2"/>
      <c r="O6686" s="20"/>
      <c r="P6686" s="42"/>
      <c r="R6686" s="23"/>
    </row>
    <row r="6687" spans="1:18" ht="12.75">
      <c r="A6687" s="12"/>
      <c r="D6687" s="12"/>
      <c r="E6687" s="12"/>
      <c r="H6687" s="11" t="str">
        <f ca="1">IFERROR(__xludf.DUMMYFUNCTION("IFERROR(SUBSTITUTE(SUBSTITUTE(REGEXEXTRACT(A6687, ""[^-]+- [^-]+- [^-]+ - (.+?)\.jpg""), "".jpg"", """"), ""-"", "", ""), """")"),"")</f>
        <v/>
      </c>
      <c r="L6687" s="12"/>
      <c r="M6687" s="13"/>
      <c r="N6687" s="2"/>
      <c r="O6687" s="20"/>
      <c r="P6687" s="42"/>
      <c r="R6687" s="23"/>
    </row>
    <row r="6688" spans="1:18" ht="12.75">
      <c r="A6688" s="12"/>
      <c r="D6688" s="12"/>
      <c r="E6688" s="12"/>
      <c r="H6688" s="11" t="str">
        <f ca="1">IFERROR(__xludf.DUMMYFUNCTION("IFERROR(SUBSTITUTE(SUBSTITUTE(REGEXEXTRACT(A6688, ""[^-]+- [^-]+- [^-]+ - (.+?)\.jpg""), "".jpg"", """"), ""-"", "", ""), """")"),"")</f>
        <v/>
      </c>
      <c r="L6688" s="12"/>
      <c r="M6688" s="13"/>
      <c r="N6688" s="2"/>
      <c r="O6688" s="20"/>
      <c r="P6688" s="42"/>
      <c r="R6688" s="23"/>
    </row>
    <row r="6689" spans="1:18" ht="12.75">
      <c r="A6689" s="12"/>
      <c r="D6689" s="12"/>
      <c r="E6689" s="12"/>
      <c r="H6689" s="11" t="str">
        <f ca="1">IFERROR(__xludf.DUMMYFUNCTION("IFERROR(SUBSTITUTE(SUBSTITUTE(REGEXEXTRACT(A6689, ""[^-]+- [^-]+- [^-]+ - (.+?)\.jpg""), "".jpg"", """"), ""-"", "", ""), """")"),"")</f>
        <v/>
      </c>
      <c r="L6689" s="12"/>
      <c r="M6689" s="13"/>
      <c r="N6689" s="2"/>
      <c r="O6689" s="20"/>
      <c r="P6689" s="42"/>
      <c r="R6689" s="23"/>
    </row>
    <row r="6690" spans="1:18" ht="12.75">
      <c r="A6690" s="12"/>
      <c r="D6690" s="12"/>
      <c r="E6690" s="12"/>
      <c r="H6690" s="11" t="str">
        <f ca="1">IFERROR(__xludf.DUMMYFUNCTION("IFERROR(SUBSTITUTE(SUBSTITUTE(REGEXEXTRACT(A6690, ""[^-]+- [^-]+- [^-]+ - (.+?)\.jpg""), "".jpg"", """"), ""-"", "", ""), """")"),"")</f>
        <v/>
      </c>
      <c r="L6690" s="12"/>
      <c r="M6690" s="13"/>
      <c r="N6690" s="2"/>
      <c r="O6690" s="20"/>
      <c r="P6690" s="42"/>
      <c r="R6690" s="23"/>
    </row>
    <row r="6691" spans="1:18" ht="12.75">
      <c r="A6691" s="12"/>
      <c r="D6691" s="12"/>
      <c r="E6691" s="12"/>
      <c r="H6691" s="11" t="str">
        <f ca="1">IFERROR(__xludf.DUMMYFUNCTION("IFERROR(SUBSTITUTE(SUBSTITUTE(REGEXEXTRACT(A6691, ""[^-]+- [^-]+- [^-]+ - (.+?)\.jpg""), "".jpg"", """"), ""-"", "", ""), """")"),"")</f>
        <v/>
      </c>
      <c r="L6691" s="12"/>
      <c r="M6691" s="13"/>
      <c r="N6691" s="2"/>
      <c r="O6691" s="20"/>
      <c r="P6691" s="42"/>
      <c r="R6691" s="23"/>
    </row>
    <row r="6692" spans="1:18" ht="12.75">
      <c r="A6692" s="12"/>
      <c r="D6692" s="12"/>
      <c r="E6692" s="12"/>
      <c r="H6692" s="11" t="str">
        <f ca="1">IFERROR(__xludf.DUMMYFUNCTION("IFERROR(SUBSTITUTE(SUBSTITUTE(REGEXEXTRACT(A6692, ""[^-]+- [^-]+- [^-]+ - (.+?)\.jpg""), "".jpg"", """"), ""-"", "", ""), """")"),"")</f>
        <v/>
      </c>
      <c r="L6692" s="12"/>
      <c r="M6692" s="13"/>
      <c r="N6692" s="2"/>
      <c r="O6692" s="20"/>
      <c r="P6692" s="42"/>
      <c r="R6692" s="23"/>
    </row>
    <row r="6693" spans="1:18" ht="12.75">
      <c r="A6693" s="12"/>
      <c r="D6693" s="12"/>
      <c r="E6693" s="12"/>
      <c r="H6693" s="11" t="str">
        <f ca="1">IFERROR(__xludf.DUMMYFUNCTION("IFERROR(SUBSTITUTE(SUBSTITUTE(REGEXEXTRACT(A6693, ""[^-]+- [^-]+- [^-]+ - (.+?)\.jpg""), "".jpg"", """"), ""-"", "", ""), """")"),"")</f>
        <v/>
      </c>
      <c r="L6693" s="12"/>
      <c r="M6693" s="13"/>
      <c r="N6693" s="2"/>
      <c r="O6693" s="20"/>
      <c r="P6693" s="42"/>
      <c r="R6693" s="23"/>
    </row>
    <row r="6694" spans="1:18" ht="12.75">
      <c r="A6694" s="12"/>
      <c r="D6694" s="12"/>
      <c r="E6694" s="12"/>
      <c r="H6694" s="11" t="str">
        <f ca="1">IFERROR(__xludf.DUMMYFUNCTION("IFERROR(SUBSTITUTE(SUBSTITUTE(REGEXEXTRACT(A6694, ""[^-]+- [^-]+- [^-]+ - (.+?)\.jpg""), "".jpg"", """"), ""-"", "", ""), """")"),"")</f>
        <v/>
      </c>
      <c r="L6694" s="12"/>
      <c r="M6694" s="13"/>
      <c r="N6694" s="2"/>
      <c r="O6694" s="20"/>
      <c r="P6694" s="42"/>
      <c r="R6694" s="23"/>
    </row>
    <row r="6695" spans="1:18" ht="12.75">
      <c r="A6695" s="12"/>
      <c r="D6695" s="12"/>
      <c r="E6695" s="12"/>
      <c r="H6695" s="11" t="str">
        <f ca="1">IFERROR(__xludf.DUMMYFUNCTION("IFERROR(SUBSTITUTE(SUBSTITUTE(REGEXEXTRACT(A6695, ""[^-]+- [^-]+- [^-]+ - (.+?)\.jpg""), "".jpg"", """"), ""-"", "", ""), """")"),"")</f>
        <v/>
      </c>
      <c r="L6695" s="12"/>
      <c r="M6695" s="13"/>
      <c r="N6695" s="2"/>
      <c r="O6695" s="20"/>
      <c r="P6695" s="42"/>
      <c r="R6695" s="23"/>
    </row>
    <row r="6696" spans="1:18" ht="12.75">
      <c r="A6696" s="12"/>
      <c r="D6696" s="12"/>
      <c r="E6696" s="12"/>
      <c r="H6696" s="11" t="str">
        <f ca="1">IFERROR(__xludf.DUMMYFUNCTION("IFERROR(SUBSTITUTE(SUBSTITUTE(REGEXEXTRACT(A6696, ""[^-]+- [^-]+- [^-]+ - (.+?)\.jpg""), "".jpg"", """"), ""-"", "", ""), """")"),"")</f>
        <v/>
      </c>
      <c r="L6696" s="12"/>
      <c r="M6696" s="13"/>
      <c r="N6696" s="2"/>
      <c r="O6696" s="20"/>
      <c r="P6696" s="42"/>
      <c r="R6696" s="23"/>
    </row>
    <row r="6697" spans="1:18" ht="12.75">
      <c r="A6697" s="12"/>
      <c r="D6697" s="12"/>
      <c r="E6697" s="12"/>
      <c r="H6697" s="11" t="str">
        <f ca="1">IFERROR(__xludf.DUMMYFUNCTION("IFERROR(SUBSTITUTE(SUBSTITUTE(REGEXEXTRACT(A6697, ""[^-]+- [^-]+- [^-]+ - (.+?)\.jpg""), "".jpg"", """"), ""-"", "", ""), """")"),"")</f>
        <v/>
      </c>
      <c r="L6697" s="12"/>
      <c r="M6697" s="13"/>
      <c r="N6697" s="2"/>
      <c r="O6697" s="20"/>
      <c r="P6697" s="42"/>
      <c r="R6697" s="23"/>
    </row>
    <row r="6698" spans="1:18" ht="12.75">
      <c r="A6698" s="12"/>
      <c r="D6698" s="12"/>
      <c r="E6698" s="12"/>
      <c r="H6698" s="11" t="str">
        <f ca="1">IFERROR(__xludf.DUMMYFUNCTION("IFERROR(SUBSTITUTE(SUBSTITUTE(REGEXEXTRACT(A6698, ""[^-]+- [^-]+- [^-]+ - (.+?)\.jpg""), "".jpg"", """"), ""-"", "", ""), """")"),"")</f>
        <v/>
      </c>
      <c r="L6698" s="12"/>
      <c r="M6698" s="13"/>
      <c r="N6698" s="2"/>
      <c r="O6698" s="20"/>
      <c r="P6698" s="42"/>
      <c r="R6698" s="23"/>
    </row>
    <row r="6699" spans="1:18" ht="12.75">
      <c r="A6699" s="12"/>
      <c r="D6699" s="12"/>
      <c r="E6699" s="12"/>
      <c r="H6699" s="11" t="str">
        <f ca="1">IFERROR(__xludf.DUMMYFUNCTION("IFERROR(SUBSTITUTE(SUBSTITUTE(REGEXEXTRACT(A6699, ""[^-]+- [^-]+- [^-]+ - (.+?)\.jpg""), "".jpg"", """"), ""-"", "", ""), """")"),"")</f>
        <v/>
      </c>
      <c r="L6699" s="12"/>
      <c r="M6699" s="13"/>
      <c r="N6699" s="2"/>
      <c r="O6699" s="20"/>
      <c r="P6699" s="42"/>
      <c r="R6699" s="23"/>
    </row>
    <row r="6700" spans="1:18" ht="12.75">
      <c r="A6700" s="12"/>
      <c r="D6700" s="12"/>
      <c r="E6700" s="12"/>
      <c r="H6700" s="11" t="str">
        <f ca="1">IFERROR(__xludf.DUMMYFUNCTION("IFERROR(SUBSTITUTE(SUBSTITUTE(REGEXEXTRACT(A6700, ""[^-]+- [^-]+- [^-]+ - (.+?)\.jpg""), "".jpg"", """"), ""-"", "", ""), """")"),"")</f>
        <v/>
      </c>
      <c r="L6700" s="12"/>
      <c r="M6700" s="13"/>
      <c r="N6700" s="2"/>
      <c r="O6700" s="20"/>
      <c r="P6700" s="42"/>
      <c r="R6700" s="23"/>
    </row>
    <row r="6701" spans="1:18" ht="12.75">
      <c r="A6701" s="12"/>
      <c r="D6701" s="12"/>
      <c r="E6701" s="12"/>
      <c r="H6701" s="11" t="str">
        <f ca="1">IFERROR(__xludf.DUMMYFUNCTION("IFERROR(SUBSTITUTE(SUBSTITUTE(REGEXEXTRACT(A6701, ""[^-]+- [^-]+- [^-]+ - (.+?)\.jpg""), "".jpg"", """"), ""-"", "", ""), """")"),"")</f>
        <v/>
      </c>
      <c r="L6701" s="12"/>
      <c r="M6701" s="13"/>
      <c r="N6701" s="2"/>
      <c r="O6701" s="20"/>
      <c r="P6701" s="42"/>
      <c r="R6701" s="23"/>
    </row>
    <row r="6702" spans="1:18" ht="12.75">
      <c r="A6702" s="12"/>
      <c r="D6702" s="12"/>
      <c r="E6702" s="12"/>
      <c r="H6702" s="11" t="str">
        <f ca="1">IFERROR(__xludf.DUMMYFUNCTION("IFERROR(SUBSTITUTE(SUBSTITUTE(REGEXEXTRACT(A6702, ""[^-]+- [^-]+- [^-]+ - (.+?)\.jpg""), "".jpg"", """"), ""-"", "", ""), """")"),"")</f>
        <v/>
      </c>
      <c r="L6702" s="12"/>
      <c r="M6702" s="13"/>
      <c r="N6702" s="2"/>
      <c r="O6702" s="20"/>
      <c r="P6702" s="42"/>
      <c r="R6702" s="23"/>
    </row>
    <row r="6703" spans="1:18" ht="12.75">
      <c r="A6703" s="12"/>
      <c r="D6703" s="12"/>
      <c r="E6703" s="12"/>
      <c r="H6703" s="11" t="str">
        <f ca="1">IFERROR(__xludf.DUMMYFUNCTION("IFERROR(SUBSTITUTE(SUBSTITUTE(REGEXEXTRACT(A6703, ""[^-]+- [^-]+- [^-]+ - (.+?)\.jpg""), "".jpg"", """"), ""-"", "", ""), """")"),"")</f>
        <v/>
      </c>
      <c r="L6703" s="12"/>
      <c r="M6703" s="13"/>
      <c r="N6703" s="2"/>
      <c r="O6703" s="20"/>
      <c r="P6703" s="42"/>
      <c r="R6703" s="23"/>
    </row>
    <row r="6704" spans="1:18" ht="12.75">
      <c r="A6704" s="12"/>
      <c r="D6704" s="12"/>
      <c r="E6704" s="12"/>
      <c r="H6704" s="11" t="str">
        <f ca="1">IFERROR(__xludf.DUMMYFUNCTION("IFERROR(SUBSTITUTE(SUBSTITUTE(REGEXEXTRACT(A6704, ""[^-]+- [^-]+- [^-]+ - (.+?)\.jpg""), "".jpg"", """"), ""-"", "", ""), """")"),"")</f>
        <v/>
      </c>
      <c r="L6704" s="12"/>
      <c r="M6704" s="13"/>
      <c r="N6704" s="2"/>
      <c r="O6704" s="20"/>
      <c r="P6704" s="42"/>
      <c r="R6704" s="23"/>
    </row>
    <row r="6705" spans="1:18" ht="12.75">
      <c r="A6705" s="12"/>
      <c r="D6705" s="12"/>
      <c r="E6705" s="12"/>
      <c r="H6705" s="11" t="str">
        <f ca="1">IFERROR(__xludf.DUMMYFUNCTION("IFERROR(SUBSTITUTE(SUBSTITUTE(REGEXEXTRACT(A6705, ""[^-]+- [^-]+- [^-]+ - (.+?)\.jpg""), "".jpg"", """"), ""-"", "", ""), """")"),"")</f>
        <v/>
      </c>
      <c r="L6705" s="12"/>
      <c r="M6705" s="13"/>
      <c r="N6705" s="2"/>
      <c r="O6705" s="20"/>
      <c r="P6705" s="42"/>
      <c r="R6705" s="23"/>
    </row>
    <row r="6706" spans="1:18" ht="12.75">
      <c r="A6706" s="12"/>
      <c r="D6706" s="12"/>
      <c r="E6706" s="12"/>
      <c r="H6706" s="11" t="str">
        <f ca="1">IFERROR(__xludf.DUMMYFUNCTION("IFERROR(SUBSTITUTE(SUBSTITUTE(REGEXEXTRACT(A6706, ""[^-]+- [^-]+- [^-]+ - (.+?)\.jpg""), "".jpg"", """"), ""-"", "", ""), """")"),"")</f>
        <v/>
      </c>
      <c r="L6706" s="12"/>
      <c r="M6706" s="13"/>
      <c r="N6706" s="2"/>
      <c r="O6706" s="20"/>
      <c r="P6706" s="42"/>
      <c r="R6706" s="23"/>
    </row>
    <row r="6707" spans="1:18" ht="12.75">
      <c r="A6707" s="12"/>
      <c r="D6707" s="12"/>
      <c r="E6707" s="12"/>
      <c r="H6707" s="11" t="str">
        <f ca="1">IFERROR(__xludf.DUMMYFUNCTION("IFERROR(SUBSTITUTE(SUBSTITUTE(REGEXEXTRACT(A6707, ""[^-]+- [^-]+- [^-]+ - (.+?)\.jpg""), "".jpg"", """"), ""-"", "", ""), """")"),"")</f>
        <v/>
      </c>
      <c r="L6707" s="12"/>
      <c r="M6707" s="13"/>
      <c r="N6707" s="2"/>
      <c r="O6707" s="20"/>
      <c r="P6707" s="42"/>
      <c r="R6707" s="23"/>
    </row>
    <row r="6708" spans="1:18" ht="12.75">
      <c r="A6708" s="12"/>
      <c r="D6708" s="12"/>
      <c r="E6708" s="12"/>
      <c r="H6708" s="11" t="str">
        <f ca="1">IFERROR(__xludf.DUMMYFUNCTION("IFERROR(SUBSTITUTE(SUBSTITUTE(REGEXEXTRACT(A6708, ""[^-]+- [^-]+- [^-]+ - (.+?)\.jpg""), "".jpg"", """"), ""-"", "", ""), """")"),"")</f>
        <v/>
      </c>
      <c r="L6708" s="12"/>
      <c r="M6708" s="13"/>
      <c r="N6708" s="2"/>
      <c r="O6708" s="20"/>
      <c r="P6708" s="42"/>
      <c r="R6708" s="23"/>
    </row>
    <row r="6709" spans="1:18" ht="12.75">
      <c r="A6709" s="12"/>
      <c r="D6709" s="12"/>
      <c r="E6709" s="12"/>
      <c r="H6709" s="11" t="str">
        <f ca="1">IFERROR(__xludf.DUMMYFUNCTION("IFERROR(SUBSTITUTE(SUBSTITUTE(REGEXEXTRACT(A6709, ""[^-]+- [^-]+- [^-]+ - (.+?)\.jpg""), "".jpg"", """"), ""-"", "", ""), """")"),"")</f>
        <v/>
      </c>
      <c r="L6709" s="12"/>
      <c r="M6709" s="13"/>
      <c r="N6709" s="2"/>
      <c r="O6709" s="20"/>
      <c r="P6709" s="42"/>
      <c r="R6709" s="23"/>
    </row>
    <row r="6710" spans="1:18" ht="12.75">
      <c r="A6710" s="12"/>
      <c r="D6710" s="12"/>
      <c r="E6710" s="12"/>
      <c r="H6710" s="11" t="str">
        <f ca="1">IFERROR(__xludf.DUMMYFUNCTION("IFERROR(SUBSTITUTE(SUBSTITUTE(REGEXEXTRACT(A6710, ""[^-]+- [^-]+- [^-]+ - (.+?)\.jpg""), "".jpg"", """"), ""-"", "", ""), """")"),"")</f>
        <v/>
      </c>
      <c r="L6710" s="12"/>
      <c r="M6710" s="13"/>
      <c r="N6710" s="2"/>
      <c r="O6710" s="20"/>
      <c r="P6710" s="42"/>
      <c r="R6710" s="23"/>
    </row>
    <row r="6711" spans="1:18" ht="12.75">
      <c r="A6711" s="12"/>
      <c r="D6711" s="12"/>
      <c r="E6711" s="12"/>
      <c r="H6711" s="11" t="str">
        <f ca="1">IFERROR(__xludf.DUMMYFUNCTION("IFERROR(SUBSTITUTE(SUBSTITUTE(REGEXEXTRACT(A6711, ""[^-]+- [^-]+- [^-]+ - (.+?)\.jpg""), "".jpg"", """"), ""-"", "", ""), """")"),"")</f>
        <v/>
      </c>
      <c r="L6711" s="12"/>
      <c r="M6711" s="13"/>
      <c r="N6711" s="2"/>
      <c r="O6711" s="20"/>
      <c r="P6711" s="42"/>
      <c r="R6711" s="23"/>
    </row>
    <row r="6712" spans="1:18" ht="12.75">
      <c r="A6712" s="12"/>
      <c r="D6712" s="12"/>
      <c r="E6712" s="12"/>
      <c r="H6712" s="11" t="str">
        <f ca="1">IFERROR(__xludf.DUMMYFUNCTION("IFERROR(SUBSTITUTE(SUBSTITUTE(REGEXEXTRACT(A6712, ""[^-]+- [^-]+- [^-]+ - (.+?)\.jpg""), "".jpg"", """"), ""-"", "", ""), """")"),"")</f>
        <v/>
      </c>
      <c r="L6712" s="12"/>
      <c r="M6712" s="13"/>
      <c r="N6712" s="2"/>
      <c r="O6712" s="20"/>
      <c r="P6712" s="42"/>
      <c r="R6712" s="23"/>
    </row>
    <row r="6713" spans="1:18" ht="12.75">
      <c r="A6713" s="12"/>
      <c r="D6713" s="12"/>
      <c r="E6713" s="12"/>
      <c r="H6713" s="11" t="str">
        <f ca="1">IFERROR(__xludf.DUMMYFUNCTION("IFERROR(SUBSTITUTE(SUBSTITUTE(REGEXEXTRACT(A6713, ""[^-]+- [^-]+- [^-]+ - (.+?)\.jpg""), "".jpg"", """"), ""-"", "", ""), """")"),"")</f>
        <v/>
      </c>
      <c r="L6713" s="12"/>
      <c r="M6713" s="13"/>
      <c r="N6713" s="2"/>
      <c r="O6713" s="20"/>
      <c r="P6713" s="42"/>
      <c r="R6713" s="23"/>
    </row>
    <row r="6714" spans="1:18" ht="12.75">
      <c r="A6714" s="12"/>
      <c r="D6714" s="12"/>
      <c r="E6714" s="12"/>
      <c r="H6714" s="11" t="str">
        <f ca="1">IFERROR(__xludf.DUMMYFUNCTION("IFERROR(SUBSTITUTE(SUBSTITUTE(REGEXEXTRACT(A6714, ""[^-]+- [^-]+- [^-]+ - (.+?)\.jpg""), "".jpg"", """"), ""-"", "", ""), """")"),"")</f>
        <v/>
      </c>
      <c r="L6714" s="12"/>
      <c r="M6714" s="13"/>
      <c r="N6714" s="2"/>
      <c r="O6714" s="20"/>
      <c r="P6714" s="42"/>
      <c r="R6714" s="23"/>
    </row>
    <row r="6715" spans="1:18" ht="12.75">
      <c r="A6715" s="12"/>
      <c r="D6715" s="12"/>
      <c r="E6715" s="12"/>
      <c r="H6715" s="11" t="str">
        <f ca="1">IFERROR(__xludf.DUMMYFUNCTION("IFERROR(SUBSTITUTE(SUBSTITUTE(REGEXEXTRACT(A6715, ""[^-]+- [^-]+- [^-]+ - (.+?)\.jpg""), "".jpg"", """"), ""-"", "", ""), """")"),"")</f>
        <v/>
      </c>
      <c r="L6715" s="12"/>
      <c r="M6715" s="13"/>
      <c r="N6715" s="2"/>
      <c r="O6715" s="20"/>
      <c r="P6715" s="42"/>
      <c r="R6715" s="23"/>
    </row>
    <row r="6716" spans="1:18" ht="12.75">
      <c r="A6716" s="12"/>
      <c r="D6716" s="12"/>
      <c r="E6716" s="12"/>
      <c r="H6716" s="11" t="str">
        <f ca="1">IFERROR(__xludf.DUMMYFUNCTION("IFERROR(SUBSTITUTE(SUBSTITUTE(REGEXEXTRACT(A6716, ""[^-]+- [^-]+- [^-]+ - (.+?)\.jpg""), "".jpg"", """"), ""-"", "", ""), """")"),"")</f>
        <v/>
      </c>
      <c r="L6716" s="12"/>
      <c r="M6716" s="13"/>
      <c r="N6716" s="2"/>
      <c r="O6716" s="20"/>
      <c r="P6716" s="42"/>
      <c r="R6716" s="23"/>
    </row>
    <row r="6717" spans="1:18" ht="12.75">
      <c r="A6717" s="12"/>
      <c r="D6717" s="12"/>
      <c r="E6717" s="12"/>
      <c r="H6717" s="11" t="str">
        <f ca="1">IFERROR(__xludf.DUMMYFUNCTION("IFERROR(SUBSTITUTE(SUBSTITUTE(REGEXEXTRACT(A6717, ""[^-]+- [^-]+- [^-]+ - (.+?)\.jpg""), "".jpg"", """"), ""-"", "", ""), """")"),"")</f>
        <v/>
      </c>
      <c r="L6717" s="12"/>
      <c r="M6717" s="13"/>
      <c r="N6717" s="2"/>
      <c r="O6717" s="20"/>
      <c r="P6717" s="42"/>
      <c r="R6717" s="23"/>
    </row>
    <row r="6718" spans="1:18" ht="12.75">
      <c r="A6718" s="12"/>
      <c r="D6718" s="12"/>
      <c r="E6718" s="12"/>
      <c r="H6718" s="11" t="str">
        <f ca="1">IFERROR(__xludf.DUMMYFUNCTION("IFERROR(SUBSTITUTE(SUBSTITUTE(REGEXEXTRACT(A6718, ""[^-]+- [^-]+- [^-]+ - (.+?)\.jpg""), "".jpg"", """"), ""-"", "", ""), """")"),"")</f>
        <v/>
      </c>
      <c r="L6718" s="12"/>
      <c r="M6718" s="13"/>
      <c r="N6718" s="2"/>
      <c r="O6718" s="20"/>
      <c r="P6718" s="42"/>
      <c r="R6718" s="23"/>
    </row>
    <row r="6719" spans="1:18" ht="12.75">
      <c r="A6719" s="12"/>
      <c r="D6719" s="12"/>
      <c r="E6719" s="12"/>
      <c r="H6719" s="11" t="str">
        <f ca="1">IFERROR(__xludf.DUMMYFUNCTION("IFERROR(SUBSTITUTE(SUBSTITUTE(REGEXEXTRACT(A6719, ""[^-]+- [^-]+- [^-]+ - (.+?)\.jpg""), "".jpg"", """"), ""-"", "", ""), """")"),"")</f>
        <v/>
      </c>
      <c r="L6719" s="12"/>
      <c r="M6719" s="13"/>
      <c r="N6719" s="2"/>
      <c r="O6719" s="20"/>
      <c r="P6719" s="42"/>
      <c r="R6719" s="23"/>
    </row>
    <row r="6720" spans="1:18" ht="12.75">
      <c r="A6720" s="12"/>
      <c r="D6720" s="12"/>
      <c r="E6720" s="12"/>
      <c r="H6720" s="11" t="str">
        <f ca="1">IFERROR(__xludf.DUMMYFUNCTION("IFERROR(SUBSTITUTE(SUBSTITUTE(REGEXEXTRACT(A6720, ""[^-]+- [^-]+- [^-]+ - (.+?)\.jpg""), "".jpg"", """"), ""-"", "", ""), """")"),"")</f>
        <v/>
      </c>
      <c r="L6720" s="12"/>
      <c r="M6720" s="13"/>
      <c r="N6720" s="2"/>
      <c r="O6720" s="20"/>
      <c r="P6720" s="42"/>
      <c r="R6720" s="23"/>
    </row>
    <row r="6721" spans="1:18" ht="12.75">
      <c r="A6721" s="12"/>
      <c r="D6721" s="12"/>
      <c r="E6721" s="12"/>
      <c r="H6721" s="11" t="str">
        <f ca="1">IFERROR(__xludf.DUMMYFUNCTION("IFERROR(SUBSTITUTE(SUBSTITUTE(REGEXEXTRACT(A6721, ""[^-]+- [^-]+- [^-]+ - (.+?)\.jpg""), "".jpg"", """"), ""-"", "", ""), """")"),"")</f>
        <v/>
      </c>
      <c r="L6721" s="12"/>
      <c r="M6721" s="13"/>
      <c r="N6721" s="2"/>
      <c r="O6721" s="20"/>
      <c r="P6721" s="42"/>
      <c r="R6721" s="23"/>
    </row>
    <row r="6722" spans="1:18" ht="12.75">
      <c r="A6722" s="12"/>
      <c r="D6722" s="12"/>
      <c r="E6722" s="12"/>
      <c r="H6722" s="11" t="str">
        <f ca="1">IFERROR(__xludf.DUMMYFUNCTION("IFERROR(SUBSTITUTE(SUBSTITUTE(REGEXEXTRACT(A6722, ""[^-]+- [^-]+- [^-]+ - (.+?)\.jpg""), "".jpg"", """"), ""-"", "", ""), """")"),"")</f>
        <v/>
      </c>
      <c r="L6722" s="12"/>
      <c r="M6722" s="13"/>
      <c r="N6722" s="2"/>
      <c r="O6722" s="20"/>
      <c r="P6722" s="42"/>
      <c r="R6722" s="23"/>
    </row>
    <row r="6723" spans="1:18" ht="12.75">
      <c r="A6723" s="12"/>
      <c r="D6723" s="12"/>
      <c r="E6723" s="12"/>
      <c r="H6723" s="11" t="str">
        <f ca="1">IFERROR(__xludf.DUMMYFUNCTION("IFERROR(SUBSTITUTE(SUBSTITUTE(REGEXEXTRACT(A6723, ""[^-]+- [^-]+- [^-]+ - (.+?)\.jpg""), "".jpg"", """"), ""-"", "", ""), """")"),"")</f>
        <v/>
      </c>
      <c r="L6723" s="12"/>
      <c r="M6723" s="13"/>
      <c r="N6723" s="2"/>
      <c r="O6723" s="20"/>
      <c r="P6723" s="42"/>
      <c r="R6723" s="23"/>
    </row>
    <row r="6724" spans="1:18" ht="12.75">
      <c r="A6724" s="12"/>
      <c r="D6724" s="12"/>
      <c r="E6724" s="12"/>
      <c r="H6724" s="11" t="str">
        <f ca="1">IFERROR(__xludf.DUMMYFUNCTION("IFERROR(SUBSTITUTE(SUBSTITUTE(REGEXEXTRACT(A6724, ""[^-]+- [^-]+- [^-]+ - (.+?)\.jpg""), "".jpg"", """"), ""-"", "", ""), """")"),"")</f>
        <v/>
      </c>
      <c r="L6724" s="12"/>
      <c r="M6724" s="13"/>
      <c r="N6724" s="2"/>
      <c r="O6724" s="20"/>
      <c r="P6724" s="42"/>
      <c r="R6724" s="23"/>
    </row>
    <row r="6725" spans="1:18" ht="12.75">
      <c r="A6725" s="12"/>
      <c r="D6725" s="12"/>
      <c r="E6725" s="12"/>
      <c r="H6725" s="11" t="str">
        <f ca="1">IFERROR(__xludf.DUMMYFUNCTION("IFERROR(SUBSTITUTE(SUBSTITUTE(REGEXEXTRACT(A6725, ""[^-]+- [^-]+- [^-]+ - (.+?)\.jpg""), "".jpg"", """"), ""-"", "", ""), """")"),"")</f>
        <v/>
      </c>
      <c r="L6725" s="12"/>
      <c r="M6725" s="13"/>
      <c r="N6725" s="2"/>
      <c r="O6725" s="20"/>
      <c r="P6725" s="42"/>
      <c r="R6725" s="23"/>
    </row>
    <row r="6726" spans="1:18" ht="12.75">
      <c r="A6726" s="12"/>
      <c r="D6726" s="12"/>
      <c r="E6726" s="12"/>
      <c r="H6726" s="11" t="str">
        <f ca="1">IFERROR(__xludf.DUMMYFUNCTION("IFERROR(SUBSTITUTE(SUBSTITUTE(REGEXEXTRACT(A6726, ""[^-]+- [^-]+- [^-]+ - (.+?)\.jpg""), "".jpg"", """"), ""-"", "", ""), """")"),"")</f>
        <v/>
      </c>
      <c r="L6726" s="12"/>
      <c r="M6726" s="13"/>
      <c r="N6726" s="2"/>
      <c r="O6726" s="20"/>
      <c r="P6726" s="42"/>
      <c r="R6726" s="23"/>
    </row>
    <row r="6727" spans="1:18" ht="12.75">
      <c r="A6727" s="12"/>
      <c r="D6727" s="12"/>
      <c r="E6727" s="12"/>
      <c r="H6727" s="11" t="str">
        <f ca="1">IFERROR(__xludf.DUMMYFUNCTION("IFERROR(SUBSTITUTE(SUBSTITUTE(REGEXEXTRACT(A6727, ""[^-]+- [^-]+- [^-]+ - (.+?)\.jpg""), "".jpg"", """"), ""-"", "", ""), """")"),"")</f>
        <v/>
      </c>
      <c r="L6727" s="12"/>
      <c r="M6727" s="13"/>
      <c r="N6727" s="2"/>
      <c r="O6727" s="20"/>
      <c r="P6727" s="42"/>
      <c r="R6727" s="23"/>
    </row>
    <row r="6728" spans="1:18" ht="12.75">
      <c r="A6728" s="12"/>
      <c r="D6728" s="12"/>
      <c r="E6728" s="12"/>
      <c r="H6728" s="11" t="str">
        <f ca="1">IFERROR(__xludf.DUMMYFUNCTION("IFERROR(SUBSTITUTE(SUBSTITUTE(REGEXEXTRACT(A6728, ""[^-]+- [^-]+- [^-]+ - (.+?)\.jpg""), "".jpg"", """"), ""-"", "", ""), """")"),"")</f>
        <v/>
      </c>
      <c r="L6728" s="12"/>
      <c r="M6728" s="13"/>
      <c r="N6728" s="2"/>
      <c r="O6728" s="20"/>
      <c r="P6728" s="42"/>
      <c r="R6728" s="23"/>
    </row>
    <row r="6729" spans="1:18" ht="12.75">
      <c r="A6729" s="12"/>
      <c r="D6729" s="12"/>
      <c r="E6729" s="12"/>
      <c r="H6729" s="11" t="str">
        <f ca="1">IFERROR(__xludf.DUMMYFUNCTION("IFERROR(SUBSTITUTE(SUBSTITUTE(REGEXEXTRACT(A6729, ""[^-]+- [^-]+- [^-]+ - (.+?)\.jpg""), "".jpg"", """"), ""-"", "", ""), """")"),"")</f>
        <v/>
      </c>
      <c r="L6729" s="12"/>
      <c r="M6729" s="13"/>
      <c r="N6729" s="2"/>
      <c r="O6729" s="20"/>
      <c r="P6729" s="42"/>
      <c r="R6729" s="23"/>
    </row>
    <row r="6730" spans="1:18" ht="12.75">
      <c r="A6730" s="12"/>
      <c r="D6730" s="12"/>
      <c r="E6730" s="12"/>
      <c r="H6730" s="11" t="str">
        <f ca="1">IFERROR(__xludf.DUMMYFUNCTION("IFERROR(SUBSTITUTE(SUBSTITUTE(REGEXEXTRACT(A6730, ""[^-]+- [^-]+- [^-]+ - (.+?)\.jpg""), "".jpg"", """"), ""-"", "", ""), """")"),"")</f>
        <v/>
      </c>
      <c r="L6730" s="12"/>
      <c r="M6730" s="13"/>
      <c r="N6730" s="2"/>
      <c r="O6730" s="20"/>
      <c r="P6730" s="42"/>
      <c r="R6730" s="23"/>
    </row>
    <row r="6731" spans="1:18" ht="12.75">
      <c r="A6731" s="12"/>
      <c r="D6731" s="12"/>
      <c r="E6731" s="12"/>
      <c r="H6731" s="11" t="str">
        <f ca="1">IFERROR(__xludf.DUMMYFUNCTION("IFERROR(SUBSTITUTE(SUBSTITUTE(REGEXEXTRACT(A6731, ""[^-]+- [^-]+- [^-]+ - (.+?)\.jpg""), "".jpg"", """"), ""-"", "", ""), """")"),"")</f>
        <v/>
      </c>
      <c r="L6731" s="12"/>
      <c r="M6731" s="13"/>
      <c r="N6731" s="2"/>
      <c r="O6731" s="20"/>
      <c r="P6731" s="42"/>
      <c r="R6731" s="23"/>
    </row>
    <row r="6732" spans="1:18" ht="12.75">
      <c r="A6732" s="12"/>
      <c r="D6732" s="12"/>
      <c r="E6732" s="12"/>
      <c r="H6732" s="11" t="str">
        <f ca="1">IFERROR(__xludf.DUMMYFUNCTION("IFERROR(SUBSTITUTE(SUBSTITUTE(REGEXEXTRACT(A6732, ""[^-]+- [^-]+- [^-]+ - (.+?)\.jpg""), "".jpg"", """"), ""-"", "", ""), """")"),"")</f>
        <v/>
      </c>
      <c r="L6732" s="12"/>
      <c r="M6732" s="13"/>
      <c r="N6732" s="2"/>
      <c r="O6732" s="20"/>
      <c r="P6732" s="42"/>
      <c r="R6732" s="23"/>
    </row>
    <row r="6733" spans="1:18" ht="12.75">
      <c r="A6733" s="12"/>
      <c r="D6733" s="12"/>
      <c r="E6733" s="12"/>
      <c r="H6733" s="11" t="str">
        <f ca="1">IFERROR(__xludf.DUMMYFUNCTION("IFERROR(SUBSTITUTE(SUBSTITUTE(REGEXEXTRACT(A6733, ""[^-]+- [^-]+- [^-]+ - (.+?)\.jpg""), "".jpg"", """"), ""-"", "", ""), """")"),"")</f>
        <v/>
      </c>
      <c r="L6733" s="12"/>
      <c r="M6733" s="13"/>
      <c r="N6733" s="2"/>
      <c r="O6733" s="20"/>
      <c r="P6733" s="42"/>
      <c r="R6733" s="23"/>
    </row>
    <row r="6734" spans="1:18" ht="12.75">
      <c r="A6734" s="12"/>
      <c r="D6734" s="12"/>
      <c r="E6734" s="12"/>
      <c r="H6734" s="11" t="str">
        <f ca="1">IFERROR(__xludf.DUMMYFUNCTION("IFERROR(SUBSTITUTE(SUBSTITUTE(REGEXEXTRACT(A6734, ""[^-]+- [^-]+- [^-]+ - (.+?)\.jpg""), "".jpg"", """"), ""-"", "", ""), """")"),"")</f>
        <v/>
      </c>
      <c r="L6734" s="12"/>
      <c r="M6734" s="13"/>
      <c r="N6734" s="2"/>
      <c r="O6734" s="20"/>
      <c r="P6734" s="42"/>
      <c r="R6734" s="23"/>
    </row>
    <row r="6735" spans="1:18" ht="12.75">
      <c r="A6735" s="12"/>
      <c r="D6735" s="12"/>
      <c r="E6735" s="12"/>
      <c r="H6735" s="11" t="str">
        <f ca="1">IFERROR(__xludf.DUMMYFUNCTION("IFERROR(SUBSTITUTE(SUBSTITUTE(REGEXEXTRACT(A6735, ""[^-]+- [^-]+- [^-]+ - (.+?)\.jpg""), "".jpg"", """"), ""-"", "", ""), """")"),"")</f>
        <v/>
      </c>
      <c r="L6735" s="12"/>
      <c r="M6735" s="13"/>
      <c r="N6735" s="2"/>
      <c r="O6735" s="20"/>
      <c r="P6735" s="42"/>
      <c r="R6735" s="23"/>
    </row>
    <row r="6736" spans="1:18" ht="12.75">
      <c r="A6736" s="12"/>
      <c r="D6736" s="12"/>
      <c r="E6736" s="12"/>
      <c r="H6736" s="11" t="str">
        <f ca="1">IFERROR(__xludf.DUMMYFUNCTION("IFERROR(SUBSTITUTE(SUBSTITUTE(REGEXEXTRACT(A6736, ""[^-]+- [^-]+- [^-]+ - (.+?)\.jpg""), "".jpg"", """"), ""-"", "", ""), """")"),"")</f>
        <v/>
      </c>
      <c r="L6736" s="12"/>
      <c r="M6736" s="13"/>
      <c r="N6736" s="2"/>
      <c r="O6736" s="20"/>
      <c r="P6736" s="42"/>
      <c r="R6736" s="23"/>
    </row>
    <row r="6737" spans="1:18" ht="12.75">
      <c r="A6737" s="12"/>
      <c r="D6737" s="12"/>
      <c r="E6737" s="12"/>
      <c r="H6737" s="11" t="str">
        <f ca="1">IFERROR(__xludf.DUMMYFUNCTION("IFERROR(SUBSTITUTE(SUBSTITUTE(REGEXEXTRACT(A6737, ""[^-]+- [^-]+- [^-]+ - (.+?)\.jpg""), "".jpg"", """"), ""-"", "", ""), """")"),"")</f>
        <v/>
      </c>
      <c r="L6737" s="12"/>
      <c r="M6737" s="13"/>
      <c r="N6737" s="2"/>
      <c r="O6737" s="20"/>
      <c r="P6737" s="42"/>
      <c r="R6737" s="23"/>
    </row>
    <row r="6738" spans="1:18" ht="12.75">
      <c r="A6738" s="12"/>
      <c r="D6738" s="12"/>
      <c r="E6738" s="12"/>
      <c r="H6738" s="11" t="str">
        <f ca="1">IFERROR(__xludf.DUMMYFUNCTION("IFERROR(SUBSTITUTE(SUBSTITUTE(REGEXEXTRACT(A6738, ""[^-]+- [^-]+- [^-]+ - (.+?)\.jpg""), "".jpg"", """"), ""-"", "", ""), """")"),"")</f>
        <v/>
      </c>
      <c r="L6738" s="12"/>
      <c r="M6738" s="13"/>
      <c r="N6738" s="2"/>
      <c r="O6738" s="20"/>
      <c r="P6738" s="42"/>
      <c r="R6738" s="23"/>
    </row>
    <row r="6739" spans="1:18" ht="12.75">
      <c r="A6739" s="12"/>
      <c r="D6739" s="12"/>
      <c r="E6739" s="12"/>
      <c r="H6739" s="11" t="str">
        <f ca="1">IFERROR(__xludf.DUMMYFUNCTION("IFERROR(SUBSTITUTE(SUBSTITUTE(REGEXEXTRACT(A6739, ""[^-]+- [^-]+- [^-]+ - (.+?)\.jpg""), "".jpg"", """"), ""-"", "", ""), """")"),"")</f>
        <v/>
      </c>
      <c r="L6739" s="12"/>
      <c r="M6739" s="13"/>
      <c r="N6739" s="2"/>
      <c r="O6739" s="20"/>
      <c r="P6739" s="42"/>
      <c r="R6739" s="23"/>
    </row>
    <row r="6740" spans="1:18" ht="12.75">
      <c r="A6740" s="12"/>
      <c r="D6740" s="12"/>
      <c r="E6740" s="12"/>
      <c r="H6740" s="11" t="str">
        <f ca="1">IFERROR(__xludf.DUMMYFUNCTION("IFERROR(SUBSTITUTE(SUBSTITUTE(REGEXEXTRACT(A6740, ""[^-]+- [^-]+- [^-]+ - (.+?)\.jpg""), "".jpg"", """"), ""-"", "", ""), """")"),"")</f>
        <v/>
      </c>
      <c r="L6740" s="12"/>
      <c r="M6740" s="13"/>
      <c r="N6740" s="2"/>
      <c r="O6740" s="20"/>
      <c r="P6740" s="42"/>
      <c r="R6740" s="23"/>
    </row>
    <row r="6741" spans="1:18" ht="12.75">
      <c r="A6741" s="12"/>
      <c r="D6741" s="12"/>
      <c r="E6741" s="12"/>
      <c r="H6741" s="11" t="str">
        <f ca="1">IFERROR(__xludf.DUMMYFUNCTION("IFERROR(SUBSTITUTE(SUBSTITUTE(REGEXEXTRACT(A6741, ""[^-]+- [^-]+- [^-]+ - (.+?)\.jpg""), "".jpg"", """"), ""-"", "", ""), """")"),"")</f>
        <v/>
      </c>
      <c r="L6741" s="12"/>
      <c r="M6741" s="13"/>
      <c r="N6741" s="2"/>
      <c r="O6741" s="20"/>
      <c r="P6741" s="42"/>
      <c r="R6741" s="23"/>
    </row>
    <row r="6742" spans="1:18" ht="12.75">
      <c r="A6742" s="12"/>
      <c r="D6742" s="12"/>
      <c r="E6742" s="12"/>
      <c r="H6742" s="11" t="str">
        <f ca="1">IFERROR(__xludf.DUMMYFUNCTION("IFERROR(SUBSTITUTE(SUBSTITUTE(REGEXEXTRACT(A6742, ""[^-]+- [^-]+- [^-]+ - (.+?)\.jpg""), "".jpg"", """"), ""-"", "", ""), """")"),"")</f>
        <v/>
      </c>
      <c r="L6742" s="12"/>
      <c r="M6742" s="13"/>
      <c r="N6742" s="2"/>
      <c r="O6742" s="20"/>
      <c r="P6742" s="42"/>
      <c r="R6742" s="23"/>
    </row>
    <row r="6743" spans="1:18" ht="12.75">
      <c r="A6743" s="12"/>
      <c r="D6743" s="12"/>
      <c r="E6743" s="12"/>
      <c r="H6743" s="11" t="str">
        <f ca="1">IFERROR(__xludf.DUMMYFUNCTION("IFERROR(SUBSTITUTE(SUBSTITUTE(REGEXEXTRACT(A6743, ""[^-]+- [^-]+- [^-]+ - (.+?)\.jpg""), "".jpg"", """"), ""-"", "", ""), """")"),"")</f>
        <v/>
      </c>
      <c r="L6743" s="12"/>
      <c r="M6743" s="13"/>
      <c r="N6743" s="2"/>
      <c r="O6743" s="20"/>
      <c r="P6743" s="42"/>
      <c r="R6743" s="23"/>
    </row>
    <row r="6744" spans="1:18" ht="12.75">
      <c r="A6744" s="12"/>
      <c r="D6744" s="12"/>
      <c r="E6744" s="12"/>
      <c r="H6744" s="11" t="str">
        <f ca="1">IFERROR(__xludf.DUMMYFUNCTION("IFERROR(SUBSTITUTE(SUBSTITUTE(REGEXEXTRACT(A6744, ""[^-]+- [^-]+- [^-]+ - (.+?)\.jpg""), "".jpg"", """"), ""-"", "", ""), """")"),"")</f>
        <v/>
      </c>
      <c r="L6744" s="12"/>
      <c r="M6744" s="13"/>
      <c r="N6744" s="2"/>
      <c r="O6744" s="20"/>
      <c r="P6744" s="42"/>
      <c r="R6744" s="23"/>
    </row>
    <row r="6745" spans="1:18" ht="12.75">
      <c r="A6745" s="12"/>
      <c r="D6745" s="12"/>
      <c r="E6745" s="12"/>
      <c r="H6745" s="11" t="str">
        <f ca="1">IFERROR(__xludf.DUMMYFUNCTION("IFERROR(SUBSTITUTE(SUBSTITUTE(REGEXEXTRACT(A6745, ""[^-]+- [^-]+- [^-]+ - (.+?)\.jpg""), "".jpg"", """"), ""-"", "", ""), """")"),"")</f>
        <v/>
      </c>
      <c r="L6745" s="12"/>
      <c r="M6745" s="13"/>
      <c r="N6745" s="2"/>
      <c r="O6745" s="20"/>
      <c r="P6745" s="42"/>
      <c r="R6745" s="23"/>
    </row>
    <row r="6746" spans="1:18" ht="12.75">
      <c r="A6746" s="12"/>
      <c r="D6746" s="12"/>
      <c r="E6746" s="12"/>
      <c r="H6746" s="11" t="str">
        <f ca="1">IFERROR(__xludf.DUMMYFUNCTION("IFERROR(SUBSTITUTE(SUBSTITUTE(REGEXEXTRACT(A6746, ""[^-]+- [^-]+- [^-]+ - (.+?)\.jpg""), "".jpg"", """"), ""-"", "", ""), """")"),"")</f>
        <v/>
      </c>
      <c r="L6746" s="12"/>
      <c r="M6746" s="13"/>
      <c r="N6746" s="2"/>
      <c r="O6746" s="20"/>
      <c r="P6746" s="42"/>
      <c r="R6746" s="23"/>
    </row>
    <row r="6747" spans="1:18" ht="12.75">
      <c r="A6747" s="12"/>
      <c r="D6747" s="12"/>
      <c r="E6747" s="12"/>
      <c r="H6747" s="11" t="str">
        <f ca="1">IFERROR(__xludf.DUMMYFUNCTION("IFERROR(SUBSTITUTE(SUBSTITUTE(REGEXEXTRACT(A6747, ""[^-]+- [^-]+- [^-]+ - (.+?)\.jpg""), "".jpg"", """"), ""-"", "", ""), """")"),"")</f>
        <v/>
      </c>
      <c r="L6747" s="12"/>
      <c r="M6747" s="13"/>
      <c r="N6747" s="2"/>
      <c r="O6747" s="20"/>
      <c r="P6747" s="42"/>
      <c r="R6747" s="23"/>
    </row>
    <row r="6748" spans="1:18" ht="12.75">
      <c r="A6748" s="12"/>
      <c r="D6748" s="12"/>
      <c r="E6748" s="12"/>
      <c r="H6748" s="11" t="str">
        <f ca="1">IFERROR(__xludf.DUMMYFUNCTION("IFERROR(SUBSTITUTE(SUBSTITUTE(REGEXEXTRACT(A6748, ""[^-]+- [^-]+- [^-]+ - (.+?)\.jpg""), "".jpg"", """"), ""-"", "", ""), """")"),"")</f>
        <v/>
      </c>
      <c r="L6748" s="12"/>
      <c r="M6748" s="13"/>
      <c r="N6748" s="2"/>
      <c r="O6748" s="20"/>
      <c r="P6748" s="42"/>
      <c r="R6748" s="23"/>
    </row>
    <row r="6749" spans="1:18" ht="12.75">
      <c r="A6749" s="12"/>
      <c r="D6749" s="12"/>
      <c r="E6749" s="12"/>
      <c r="H6749" s="11" t="str">
        <f ca="1">IFERROR(__xludf.DUMMYFUNCTION("IFERROR(SUBSTITUTE(SUBSTITUTE(REGEXEXTRACT(A6749, ""[^-]+- [^-]+- [^-]+ - (.+?)\.jpg""), "".jpg"", """"), ""-"", "", ""), """")"),"")</f>
        <v/>
      </c>
      <c r="L6749" s="12"/>
      <c r="M6749" s="13"/>
      <c r="N6749" s="2"/>
      <c r="O6749" s="20"/>
      <c r="P6749" s="42"/>
      <c r="R6749" s="23"/>
    </row>
    <row r="6750" spans="1:18" ht="12.75">
      <c r="A6750" s="12"/>
      <c r="D6750" s="12"/>
      <c r="E6750" s="12"/>
      <c r="H6750" s="11" t="str">
        <f ca="1">IFERROR(__xludf.DUMMYFUNCTION("IFERROR(SUBSTITUTE(SUBSTITUTE(REGEXEXTRACT(A6750, ""[^-]+- [^-]+- [^-]+ - (.+?)\.jpg""), "".jpg"", """"), ""-"", "", ""), """")"),"")</f>
        <v/>
      </c>
      <c r="L6750" s="12"/>
      <c r="M6750" s="13"/>
      <c r="N6750" s="2"/>
      <c r="O6750" s="20"/>
      <c r="P6750" s="42"/>
      <c r="R6750" s="23"/>
    </row>
    <row r="6751" spans="1:18" ht="12.75">
      <c r="A6751" s="12"/>
      <c r="D6751" s="12"/>
      <c r="E6751" s="12"/>
      <c r="H6751" s="11" t="str">
        <f ca="1">IFERROR(__xludf.DUMMYFUNCTION("IFERROR(SUBSTITUTE(SUBSTITUTE(REGEXEXTRACT(A6751, ""[^-]+- [^-]+- [^-]+ - (.+?)\.jpg""), "".jpg"", """"), ""-"", "", ""), """")"),"")</f>
        <v/>
      </c>
      <c r="L6751" s="12"/>
      <c r="M6751" s="13"/>
      <c r="N6751" s="2"/>
      <c r="O6751" s="20"/>
      <c r="P6751" s="42"/>
      <c r="R6751" s="23"/>
    </row>
    <row r="6752" spans="1:18" ht="12.75">
      <c r="A6752" s="12"/>
      <c r="D6752" s="12"/>
      <c r="E6752" s="12"/>
      <c r="H6752" s="11" t="str">
        <f ca="1">IFERROR(__xludf.DUMMYFUNCTION("IFERROR(SUBSTITUTE(SUBSTITUTE(REGEXEXTRACT(A6752, ""[^-]+- [^-]+- [^-]+ - (.+?)\.jpg""), "".jpg"", """"), ""-"", "", ""), """")"),"")</f>
        <v/>
      </c>
      <c r="L6752" s="12"/>
      <c r="M6752" s="13"/>
      <c r="N6752" s="2"/>
      <c r="O6752" s="20"/>
      <c r="P6752" s="42"/>
      <c r="R6752" s="23"/>
    </row>
    <row r="6753" spans="1:18" ht="12.75">
      <c r="A6753" s="12"/>
      <c r="D6753" s="12"/>
      <c r="E6753" s="12"/>
      <c r="H6753" s="11" t="str">
        <f ca="1">IFERROR(__xludf.DUMMYFUNCTION("IFERROR(SUBSTITUTE(SUBSTITUTE(REGEXEXTRACT(A6753, ""[^-]+- [^-]+- [^-]+ - (.+?)\.jpg""), "".jpg"", """"), ""-"", "", ""), """")"),"")</f>
        <v/>
      </c>
      <c r="L6753" s="12"/>
      <c r="M6753" s="13"/>
      <c r="N6753" s="2"/>
      <c r="O6753" s="20"/>
      <c r="P6753" s="42"/>
      <c r="R6753" s="23"/>
    </row>
    <row r="6754" spans="1:18" ht="12.75">
      <c r="A6754" s="12"/>
      <c r="D6754" s="12"/>
      <c r="E6754" s="12"/>
      <c r="H6754" s="11" t="str">
        <f ca="1">IFERROR(__xludf.DUMMYFUNCTION("IFERROR(SUBSTITUTE(SUBSTITUTE(REGEXEXTRACT(A6754, ""[^-]+- [^-]+- [^-]+ - (.+?)\.jpg""), "".jpg"", """"), ""-"", "", ""), """")"),"")</f>
        <v/>
      </c>
      <c r="L6754" s="12"/>
      <c r="M6754" s="13"/>
      <c r="N6754" s="2"/>
      <c r="O6754" s="20"/>
      <c r="P6754" s="42"/>
      <c r="R6754" s="23"/>
    </row>
    <row r="6755" spans="1:18" ht="12.75">
      <c r="A6755" s="12"/>
      <c r="D6755" s="12"/>
      <c r="E6755" s="12"/>
      <c r="H6755" s="11" t="str">
        <f ca="1">IFERROR(__xludf.DUMMYFUNCTION("IFERROR(SUBSTITUTE(SUBSTITUTE(REGEXEXTRACT(A6755, ""[^-]+- [^-]+- [^-]+ - (.+?)\.jpg""), "".jpg"", """"), ""-"", "", ""), """")"),"")</f>
        <v/>
      </c>
      <c r="L6755" s="12"/>
      <c r="M6755" s="13"/>
      <c r="N6755" s="2"/>
      <c r="O6755" s="20"/>
      <c r="P6755" s="42"/>
      <c r="R6755" s="23"/>
    </row>
    <row r="6756" spans="1:18" ht="12.75">
      <c r="A6756" s="12"/>
      <c r="D6756" s="12"/>
      <c r="E6756" s="12"/>
      <c r="H6756" s="11" t="str">
        <f ca="1">IFERROR(__xludf.DUMMYFUNCTION("IFERROR(SUBSTITUTE(SUBSTITUTE(REGEXEXTRACT(A6756, ""[^-]+- [^-]+- [^-]+ - (.+?)\.jpg""), "".jpg"", """"), ""-"", "", ""), """")"),"")</f>
        <v/>
      </c>
      <c r="L6756" s="12"/>
      <c r="M6756" s="13"/>
      <c r="N6756" s="2"/>
      <c r="O6756" s="20"/>
      <c r="P6756" s="42"/>
      <c r="R6756" s="23"/>
    </row>
    <row r="6757" spans="1:18" ht="12.75">
      <c r="A6757" s="12"/>
      <c r="D6757" s="12"/>
      <c r="E6757" s="12"/>
      <c r="H6757" s="11" t="str">
        <f ca="1">IFERROR(__xludf.DUMMYFUNCTION("IFERROR(SUBSTITUTE(SUBSTITUTE(REGEXEXTRACT(A6757, ""[^-]+- [^-]+- [^-]+ - (.+?)\.jpg""), "".jpg"", """"), ""-"", "", ""), """")"),"")</f>
        <v/>
      </c>
      <c r="L6757" s="12"/>
      <c r="M6757" s="13"/>
      <c r="N6757" s="2"/>
      <c r="O6757" s="20"/>
      <c r="P6757" s="42"/>
      <c r="R6757" s="23"/>
    </row>
    <row r="6758" spans="1:18" ht="12.75">
      <c r="A6758" s="12"/>
      <c r="D6758" s="12"/>
      <c r="E6758" s="12"/>
      <c r="H6758" s="11" t="str">
        <f ca="1">IFERROR(__xludf.DUMMYFUNCTION("IFERROR(SUBSTITUTE(SUBSTITUTE(REGEXEXTRACT(A6758, ""[^-]+- [^-]+- [^-]+ - (.+?)\.jpg""), "".jpg"", """"), ""-"", "", ""), """")"),"")</f>
        <v/>
      </c>
      <c r="L6758" s="12"/>
      <c r="M6758" s="13"/>
      <c r="N6758" s="2"/>
      <c r="O6758" s="20"/>
      <c r="P6758" s="42"/>
      <c r="R6758" s="23"/>
    </row>
    <row r="6759" spans="1:18" ht="12.75">
      <c r="A6759" s="12"/>
      <c r="D6759" s="12"/>
      <c r="E6759" s="12"/>
      <c r="H6759" s="11" t="str">
        <f ca="1">IFERROR(__xludf.DUMMYFUNCTION("IFERROR(SUBSTITUTE(SUBSTITUTE(REGEXEXTRACT(A6759, ""[^-]+- [^-]+- [^-]+ - (.+?)\.jpg""), "".jpg"", """"), ""-"", "", ""), """")"),"")</f>
        <v/>
      </c>
      <c r="L6759" s="12"/>
      <c r="M6759" s="13"/>
      <c r="N6759" s="2"/>
      <c r="O6759" s="20"/>
      <c r="P6759" s="42"/>
      <c r="R6759" s="23"/>
    </row>
    <row r="6760" spans="1:18" ht="12.75">
      <c r="A6760" s="12"/>
      <c r="D6760" s="12"/>
      <c r="E6760" s="12"/>
      <c r="H6760" s="11" t="str">
        <f ca="1">IFERROR(__xludf.DUMMYFUNCTION("IFERROR(SUBSTITUTE(SUBSTITUTE(REGEXEXTRACT(A6760, ""[^-]+- [^-]+- [^-]+ - (.+?)\.jpg""), "".jpg"", """"), ""-"", "", ""), """")"),"")</f>
        <v/>
      </c>
      <c r="L6760" s="12"/>
      <c r="M6760" s="13"/>
      <c r="N6760" s="2"/>
      <c r="O6760" s="20"/>
      <c r="P6760" s="42"/>
      <c r="R6760" s="23"/>
    </row>
    <row r="6761" spans="1:18" ht="12.75">
      <c r="A6761" s="12"/>
      <c r="D6761" s="12"/>
      <c r="E6761" s="12"/>
      <c r="H6761" s="11" t="str">
        <f ca="1">IFERROR(__xludf.DUMMYFUNCTION("IFERROR(SUBSTITUTE(SUBSTITUTE(REGEXEXTRACT(A6761, ""[^-]+- [^-]+- [^-]+ - (.+?)\.jpg""), "".jpg"", """"), ""-"", "", ""), """")"),"")</f>
        <v/>
      </c>
      <c r="L6761" s="12"/>
      <c r="M6761" s="13"/>
      <c r="N6761" s="2"/>
      <c r="O6761" s="20"/>
      <c r="P6761" s="42"/>
      <c r="R6761" s="23"/>
    </row>
    <row r="6762" spans="1:18" ht="12.75">
      <c r="A6762" s="12"/>
      <c r="D6762" s="12"/>
      <c r="E6762" s="12"/>
      <c r="H6762" s="11" t="str">
        <f ca="1">IFERROR(__xludf.DUMMYFUNCTION("IFERROR(SUBSTITUTE(SUBSTITUTE(REGEXEXTRACT(A6762, ""[^-]+- [^-]+- [^-]+ - (.+?)\.jpg""), "".jpg"", """"), ""-"", "", ""), """")"),"")</f>
        <v/>
      </c>
      <c r="L6762" s="12"/>
      <c r="M6762" s="13"/>
      <c r="N6762" s="2"/>
      <c r="O6762" s="20"/>
      <c r="P6762" s="42"/>
      <c r="R6762" s="23"/>
    </row>
    <row r="6763" spans="1:18" ht="12.75">
      <c r="A6763" s="12"/>
      <c r="D6763" s="12"/>
      <c r="E6763" s="12"/>
      <c r="H6763" s="11" t="str">
        <f ca="1">IFERROR(__xludf.DUMMYFUNCTION("IFERROR(SUBSTITUTE(SUBSTITUTE(REGEXEXTRACT(A6763, ""[^-]+- [^-]+- [^-]+ - (.+?)\.jpg""), "".jpg"", """"), ""-"", "", ""), """")"),"")</f>
        <v/>
      </c>
      <c r="L6763" s="12"/>
      <c r="M6763" s="13"/>
      <c r="N6763" s="2"/>
      <c r="O6763" s="20"/>
      <c r="P6763" s="42"/>
      <c r="R6763" s="23"/>
    </row>
    <row r="6764" spans="1:18" ht="12.75">
      <c r="A6764" s="12"/>
      <c r="D6764" s="12"/>
      <c r="E6764" s="12"/>
      <c r="H6764" s="11" t="str">
        <f ca="1">IFERROR(__xludf.DUMMYFUNCTION("IFERROR(SUBSTITUTE(SUBSTITUTE(REGEXEXTRACT(A6764, ""[^-]+- [^-]+- [^-]+ - (.+?)\.jpg""), "".jpg"", """"), ""-"", "", ""), """")"),"")</f>
        <v/>
      </c>
      <c r="L6764" s="12"/>
      <c r="M6764" s="13"/>
      <c r="N6764" s="2"/>
      <c r="O6764" s="20"/>
      <c r="P6764" s="42"/>
      <c r="R6764" s="23"/>
    </row>
    <row r="6765" spans="1:18" ht="12.75">
      <c r="A6765" s="12"/>
      <c r="D6765" s="12"/>
      <c r="E6765" s="12"/>
      <c r="H6765" s="11" t="str">
        <f ca="1">IFERROR(__xludf.DUMMYFUNCTION("IFERROR(SUBSTITUTE(SUBSTITUTE(REGEXEXTRACT(A6765, ""[^-]+- [^-]+- [^-]+ - (.+?)\.jpg""), "".jpg"", """"), ""-"", "", ""), """")"),"")</f>
        <v/>
      </c>
      <c r="L6765" s="12"/>
      <c r="M6765" s="13"/>
      <c r="N6765" s="2"/>
      <c r="O6765" s="20"/>
      <c r="P6765" s="42"/>
      <c r="R6765" s="23"/>
    </row>
    <row r="6766" spans="1:18" ht="12.75">
      <c r="A6766" s="12"/>
      <c r="D6766" s="12"/>
      <c r="E6766" s="12"/>
      <c r="H6766" s="11" t="str">
        <f ca="1">IFERROR(__xludf.DUMMYFUNCTION("IFERROR(SUBSTITUTE(SUBSTITUTE(REGEXEXTRACT(A6766, ""[^-]+- [^-]+- [^-]+ - (.+?)\.jpg""), "".jpg"", """"), ""-"", "", ""), """")"),"")</f>
        <v/>
      </c>
      <c r="L6766" s="12"/>
      <c r="M6766" s="13"/>
      <c r="N6766" s="2"/>
      <c r="O6766" s="20"/>
      <c r="P6766" s="42"/>
      <c r="R6766" s="23"/>
    </row>
    <row r="6767" spans="1:18" ht="12.75">
      <c r="A6767" s="12"/>
      <c r="D6767" s="12"/>
      <c r="E6767" s="12"/>
      <c r="H6767" s="11" t="str">
        <f ca="1">IFERROR(__xludf.DUMMYFUNCTION("IFERROR(SUBSTITUTE(SUBSTITUTE(REGEXEXTRACT(A6767, ""[^-]+- [^-]+- [^-]+ - (.+?)\.jpg""), "".jpg"", """"), ""-"", "", ""), """")"),"")</f>
        <v/>
      </c>
      <c r="L6767" s="12"/>
      <c r="M6767" s="13"/>
      <c r="N6767" s="2"/>
      <c r="O6767" s="20"/>
      <c r="P6767" s="42"/>
      <c r="R6767" s="23"/>
    </row>
    <row r="6768" spans="1:18" ht="12.75">
      <c r="A6768" s="12"/>
      <c r="D6768" s="12"/>
      <c r="E6768" s="12"/>
      <c r="H6768" s="11" t="str">
        <f ca="1">IFERROR(__xludf.DUMMYFUNCTION("IFERROR(SUBSTITUTE(SUBSTITUTE(REGEXEXTRACT(A6768, ""[^-]+- [^-]+- [^-]+ - (.+?)\.jpg""), "".jpg"", """"), ""-"", "", ""), """")"),"")</f>
        <v/>
      </c>
      <c r="L6768" s="12"/>
      <c r="M6768" s="13"/>
      <c r="N6768" s="2"/>
      <c r="O6768" s="20"/>
      <c r="P6768" s="42"/>
      <c r="R6768" s="23"/>
    </row>
    <row r="6769" spans="1:18" ht="12.75">
      <c r="A6769" s="12"/>
      <c r="D6769" s="12"/>
      <c r="E6769" s="12"/>
      <c r="H6769" s="11" t="str">
        <f ca="1">IFERROR(__xludf.DUMMYFUNCTION("IFERROR(SUBSTITUTE(SUBSTITUTE(REGEXEXTRACT(A6769, ""[^-]+- [^-]+- [^-]+ - (.+?)\.jpg""), "".jpg"", """"), ""-"", "", ""), """")"),"")</f>
        <v/>
      </c>
      <c r="L6769" s="12"/>
      <c r="M6769" s="13"/>
      <c r="N6769" s="2"/>
      <c r="O6769" s="20"/>
      <c r="P6769" s="42"/>
      <c r="R6769" s="23"/>
    </row>
    <row r="6770" spans="1:18" ht="12.75">
      <c r="A6770" s="12"/>
      <c r="D6770" s="12"/>
      <c r="E6770" s="12"/>
      <c r="H6770" s="11" t="str">
        <f ca="1">IFERROR(__xludf.DUMMYFUNCTION("IFERROR(SUBSTITUTE(SUBSTITUTE(REGEXEXTRACT(A6770, ""[^-]+- [^-]+- [^-]+ - (.+?)\.jpg""), "".jpg"", """"), ""-"", "", ""), """")"),"")</f>
        <v/>
      </c>
      <c r="L6770" s="12"/>
      <c r="M6770" s="13"/>
      <c r="N6770" s="2"/>
      <c r="O6770" s="20"/>
      <c r="P6770" s="42"/>
      <c r="R6770" s="23"/>
    </row>
    <row r="6771" spans="1:18" ht="12.75">
      <c r="A6771" s="12"/>
      <c r="D6771" s="12"/>
      <c r="E6771" s="12"/>
      <c r="H6771" s="11" t="str">
        <f ca="1">IFERROR(__xludf.DUMMYFUNCTION("IFERROR(SUBSTITUTE(SUBSTITUTE(REGEXEXTRACT(A6771, ""[^-]+- [^-]+- [^-]+ - (.+?)\.jpg""), "".jpg"", """"), ""-"", "", ""), """")"),"")</f>
        <v/>
      </c>
      <c r="L6771" s="12"/>
      <c r="M6771" s="13"/>
      <c r="N6771" s="2"/>
      <c r="O6771" s="20"/>
      <c r="P6771" s="42"/>
      <c r="R6771" s="23"/>
    </row>
    <row r="6772" spans="1:18" ht="12.75">
      <c r="A6772" s="12"/>
      <c r="D6772" s="12"/>
      <c r="E6772" s="12"/>
      <c r="H6772" s="11" t="str">
        <f ca="1">IFERROR(__xludf.DUMMYFUNCTION("IFERROR(SUBSTITUTE(SUBSTITUTE(REGEXEXTRACT(A6772, ""[^-]+- [^-]+- [^-]+ - (.+?)\.jpg""), "".jpg"", """"), ""-"", "", ""), """")"),"")</f>
        <v/>
      </c>
      <c r="L6772" s="12"/>
      <c r="M6772" s="13"/>
      <c r="N6772" s="2"/>
      <c r="O6772" s="20"/>
      <c r="P6772" s="42"/>
      <c r="R6772" s="23"/>
    </row>
    <row r="6773" spans="1:18" ht="12.75">
      <c r="A6773" s="12"/>
      <c r="D6773" s="12"/>
      <c r="E6773" s="12"/>
      <c r="H6773" s="11" t="str">
        <f ca="1">IFERROR(__xludf.DUMMYFUNCTION("IFERROR(SUBSTITUTE(SUBSTITUTE(REGEXEXTRACT(A6773, ""[^-]+- [^-]+- [^-]+ - (.+?)\.jpg""), "".jpg"", """"), ""-"", "", ""), """")"),"")</f>
        <v/>
      </c>
      <c r="L6773" s="12"/>
      <c r="M6773" s="13"/>
      <c r="N6773" s="2"/>
      <c r="O6773" s="20"/>
      <c r="P6773" s="42"/>
      <c r="R6773" s="23"/>
    </row>
    <row r="6774" spans="1:18" ht="12.75">
      <c r="A6774" s="12"/>
      <c r="D6774" s="12"/>
      <c r="E6774" s="12"/>
      <c r="H6774" s="11" t="str">
        <f ca="1">IFERROR(__xludf.DUMMYFUNCTION("IFERROR(SUBSTITUTE(SUBSTITUTE(REGEXEXTRACT(A6774, ""[^-]+- [^-]+- [^-]+ - (.+?)\.jpg""), "".jpg"", """"), ""-"", "", ""), """")"),"")</f>
        <v/>
      </c>
      <c r="L6774" s="12"/>
      <c r="M6774" s="13"/>
      <c r="N6774" s="2"/>
      <c r="O6774" s="20"/>
      <c r="P6774" s="42"/>
      <c r="R6774" s="23"/>
    </row>
    <row r="6775" spans="1:18" ht="12.75">
      <c r="A6775" s="12"/>
      <c r="D6775" s="12"/>
      <c r="E6775" s="12"/>
      <c r="H6775" s="11" t="str">
        <f ca="1">IFERROR(__xludf.DUMMYFUNCTION("IFERROR(SUBSTITUTE(SUBSTITUTE(REGEXEXTRACT(A6775, ""[^-]+- [^-]+- [^-]+ - (.+?)\.jpg""), "".jpg"", """"), ""-"", "", ""), """")"),"")</f>
        <v/>
      </c>
      <c r="L6775" s="12"/>
      <c r="M6775" s="13"/>
      <c r="N6775" s="2"/>
      <c r="O6775" s="20"/>
      <c r="P6775" s="42"/>
      <c r="R6775" s="23"/>
    </row>
    <row r="6776" spans="1:18" ht="12.75">
      <c r="A6776" s="12"/>
      <c r="D6776" s="12"/>
      <c r="E6776" s="12"/>
      <c r="H6776" s="11" t="str">
        <f ca="1">IFERROR(__xludf.DUMMYFUNCTION("IFERROR(SUBSTITUTE(SUBSTITUTE(REGEXEXTRACT(A6776, ""[^-]+- [^-]+- [^-]+ - (.+?)\.jpg""), "".jpg"", """"), ""-"", "", ""), """")"),"")</f>
        <v/>
      </c>
      <c r="L6776" s="12"/>
      <c r="M6776" s="13"/>
      <c r="N6776" s="2"/>
      <c r="O6776" s="20"/>
      <c r="P6776" s="42"/>
      <c r="R6776" s="23"/>
    </row>
    <row r="6777" spans="1:18" ht="12.75">
      <c r="A6777" s="12"/>
      <c r="D6777" s="12"/>
      <c r="E6777" s="12"/>
      <c r="H6777" s="11" t="str">
        <f ca="1">IFERROR(__xludf.DUMMYFUNCTION("IFERROR(SUBSTITUTE(SUBSTITUTE(REGEXEXTRACT(A6777, ""[^-]+- [^-]+- [^-]+ - (.+?)\.jpg""), "".jpg"", """"), ""-"", "", ""), """")"),"")</f>
        <v/>
      </c>
      <c r="L6777" s="12"/>
      <c r="M6777" s="13"/>
      <c r="N6777" s="2"/>
      <c r="O6777" s="20"/>
      <c r="P6777" s="42"/>
      <c r="R6777" s="23"/>
    </row>
    <row r="6778" spans="1:18" ht="12.75">
      <c r="A6778" s="12"/>
      <c r="D6778" s="12"/>
      <c r="E6778" s="12"/>
      <c r="H6778" s="11" t="str">
        <f ca="1">IFERROR(__xludf.DUMMYFUNCTION("IFERROR(SUBSTITUTE(SUBSTITUTE(REGEXEXTRACT(A6778, ""[^-]+- [^-]+- [^-]+ - (.+?)\.jpg""), "".jpg"", """"), ""-"", "", ""), """")"),"")</f>
        <v/>
      </c>
      <c r="L6778" s="12"/>
      <c r="M6778" s="13"/>
      <c r="N6778" s="2"/>
      <c r="O6778" s="20"/>
      <c r="P6778" s="42"/>
      <c r="R6778" s="23"/>
    </row>
    <row r="6779" spans="1:18" ht="12.75">
      <c r="A6779" s="12"/>
      <c r="D6779" s="12"/>
      <c r="E6779" s="12"/>
      <c r="H6779" s="11" t="str">
        <f ca="1">IFERROR(__xludf.DUMMYFUNCTION("IFERROR(SUBSTITUTE(SUBSTITUTE(REGEXEXTRACT(A6779, ""[^-]+- [^-]+- [^-]+ - (.+?)\.jpg""), "".jpg"", """"), ""-"", "", ""), """")"),"")</f>
        <v/>
      </c>
      <c r="L6779" s="12"/>
      <c r="M6779" s="13"/>
      <c r="N6779" s="2"/>
      <c r="O6779" s="20"/>
      <c r="P6779" s="42"/>
      <c r="R6779" s="23"/>
    </row>
    <row r="6780" spans="1:18" ht="12.75">
      <c r="A6780" s="12"/>
      <c r="D6780" s="12"/>
      <c r="E6780" s="12"/>
      <c r="H6780" s="11" t="str">
        <f ca="1">IFERROR(__xludf.DUMMYFUNCTION("IFERROR(SUBSTITUTE(SUBSTITUTE(REGEXEXTRACT(A6780, ""[^-]+- [^-]+- [^-]+ - (.+?)\.jpg""), "".jpg"", """"), ""-"", "", ""), """")"),"")</f>
        <v/>
      </c>
      <c r="L6780" s="12"/>
      <c r="M6780" s="13"/>
      <c r="N6780" s="2"/>
      <c r="O6780" s="20"/>
      <c r="P6780" s="42"/>
      <c r="R6780" s="23"/>
    </row>
    <row r="6781" spans="1:18" ht="12.75">
      <c r="A6781" s="12"/>
      <c r="D6781" s="12"/>
      <c r="E6781" s="12"/>
      <c r="H6781" s="11" t="str">
        <f ca="1">IFERROR(__xludf.DUMMYFUNCTION("IFERROR(SUBSTITUTE(SUBSTITUTE(REGEXEXTRACT(A6781, ""[^-]+- [^-]+- [^-]+ - (.+?)\.jpg""), "".jpg"", """"), ""-"", "", ""), """")"),"")</f>
        <v/>
      </c>
      <c r="L6781" s="12"/>
      <c r="M6781" s="13"/>
      <c r="N6781" s="2"/>
      <c r="O6781" s="20"/>
      <c r="P6781" s="42"/>
      <c r="R6781" s="23"/>
    </row>
    <row r="6782" spans="1:18" ht="12.75">
      <c r="A6782" s="12"/>
      <c r="D6782" s="12"/>
      <c r="E6782" s="12"/>
      <c r="H6782" s="11" t="str">
        <f ca="1">IFERROR(__xludf.DUMMYFUNCTION("IFERROR(SUBSTITUTE(SUBSTITUTE(REGEXEXTRACT(A6782, ""[^-]+- [^-]+- [^-]+ - (.+?)\.jpg""), "".jpg"", """"), ""-"", "", ""), """")"),"")</f>
        <v/>
      </c>
      <c r="L6782" s="12"/>
      <c r="M6782" s="13"/>
      <c r="N6782" s="2"/>
      <c r="O6782" s="20"/>
      <c r="P6782" s="42"/>
      <c r="R6782" s="23"/>
    </row>
    <row r="6783" spans="1:18" ht="12.75">
      <c r="A6783" s="12"/>
      <c r="D6783" s="12"/>
      <c r="E6783" s="12"/>
      <c r="H6783" s="11" t="str">
        <f ca="1">IFERROR(__xludf.DUMMYFUNCTION("IFERROR(SUBSTITUTE(SUBSTITUTE(REGEXEXTRACT(A6783, ""[^-]+- [^-]+- [^-]+ - (.+?)\.jpg""), "".jpg"", """"), ""-"", "", ""), """")"),"")</f>
        <v/>
      </c>
      <c r="L6783" s="12"/>
      <c r="M6783" s="13"/>
      <c r="N6783" s="2"/>
      <c r="O6783" s="20"/>
      <c r="P6783" s="42"/>
      <c r="R6783" s="23"/>
    </row>
    <row r="6784" spans="1:18" ht="12.75">
      <c r="A6784" s="12"/>
      <c r="D6784" s="12"/>
      <c r="E6784" s="12"/>
      <c r="H6784" s="11" t="str">
        <f ca="1">IFERROR(__xludf.DUMMYFUNCTION("IFERROR(SUBSTITUTE(SUBSTITUTE(REGEXEXTRACT(A6784, ""[^-]+- [^-]+- [^-]+ - (.+?)\.jpg""), "".jpg"", """"), ""-"", "", ""), """")"),"")</f>
        <v/>
      </c>
      <c r="L6784" s="12"/>
      <c r="M6784" s="13"/>
      <c r="N6784" s="2"/>
      <c r="O6784" s="20"/>
      <c r="P6784" s="42"/>
      <c r="R6784" s="23"/>
    </row>
    <row r="6785" spans="1:18" ht="12.75">
      <c r="A6785" s="12"/>
      <c r="D6785" s="12"/>
      <c r="E6785" s="12"/>
      <c r="H6785" s="11" t="str">
        <f ca="1">IFERROR(__xludf.DUMMYFUNCTION("IFERROR(SUBSTITUTE(SUBSTITUTE(REGEXEXTRACT(A6785, ""[^-]+- [^-]+- [^-]+ - (.+?)\.jpg""), "".jpg"", """"), ""-"", "", ""), """")"),"")</f>
        <v/>
      </c>
      <c r="L6785" s="12"/>
      <c r="M6785" s="13"/>
      <c r="N6785" s="2"/>
      <c r="O6785" s="20"/>
      <c r="P6785" s="42"/>
      <c r="R6785" s="23"/>
    </row>
    <row r="6786" spans="1:18" ht="12.75">
      <c r="A6786" s="12"/>
      <c r="D6786" s="12"/>
      <c r="E6786" s="12"/>
      <c r="H6786" s="11" t="str">
        <f ca="1">IFERROR(__xludf.DUMMYFUNCTION("IFERROR(SUBSTITUTE(SUBSTITUTE(REGEXEXTRACT(A6786, ""[^-]+- [^-]+- [^-]+ - (.+?)\.jpg""), "".jpg"", """"), ""-"", "", ""), """")"),"")</f>
        <v/>
      </c>
      <c r="L6786" s="12"/>
      <c r="M6786" s="13"/>
      <c r="N6786" s="2"/>
      <c r="O6786" s="20"/>
      <c r="P6786" s="42"/>
      <c r="R6786" s="23"/>
    </row>
    <row r="6787" spans="1:18" ht="12.75">
      <c r="A6787" s="12"/>
      <c r="D6787" s="12"/>
      <c r="E6787" s="12"/>
      <c r="H6787" s="11" t="str">
        <f ca="1">IFERROR(__xludf.DUMMYFUNCTION("IFERROR(SUBSTITUTE(SUBSTITUTE(REGEXEXTRACT(A6787, ""[^-]+- [^-]+- [^-]+ - (.+?)\.jpg""), "".jpg"", """"), ""-"", "", ""), """")"),"")</f>
        <v/>
      </c>
      <c r="L6787" s="12"/>
      <c r="M6787" s="13"/>
      <c r="N6787" s="2"/>
      <c r="O6787" s="20"/>
      <c r="P6787" s="42"/>
      <c r="R6787" s="23"/>
    </row>
    <row r="6788" spans="1:18" ht="12.75">
      <c r="A6788" s="12"/>
      <c r="D6788" s="12"/>
      <c r="E6788" s="12"/>
      <c r="H6788" s="11" t="str">
        <f ca="1">IFERROR(__xludf.DUMMYFUNCTION("IFERROR(SUBSTITUTE(SUBSTITUTE(REGEXEXTRACT(A6788, ""[^-]+- [^-]+- [^-]+ - (.+?)\.jpg""), "".jpg"", """"), ""-"", "", ""), """")"),"")</f>
        <v/>
      </c>
      <c r="L6788" s="12"/>
      <c r="M6788" s="13"/>
      <c r="N6788" s="2"/>
      <c r="O6788" s="20"/>
      <c r="P6788" s="42"/>
      <c r="R6788" s="23"/>
    </row>
    <row r="6789" spans="1:18" ht="12.75">
      <c r="A6789" s="12"/>
      <c r="D6789" s="12"/>
      <c r="E6789" s="12"/>
      <c r="H6789" s="11" t="str">
        <f ca="1">IFERROR(__xludf.DUMMYFUNCTION("IFERROR(SUBSTITUTE(SUBSTITUTE(REGEXEXTRACT(A6789, ""[^-]+- [^-]+- [^-]+ - (.+?)\.jpg""), "".jpg"", """"), ""-"", "", ""), """")"),"")</f>
        <v/>
      </c>
      <c r="L6789" s="12"/>
      <c r="M6789" s="13"/>
      <c r="N6789" s="2"/>
      <c r="O6789" s="20"/>
      <c r="P6789" s="42"/>
      <c r="R6789" s="23"/>
    </row>
    <row r="6790" spans="1:18" ht="12.75">
      <c r="A6790" s="12"/>
      <c r="D6790" s="12"/>
      <c r="E6790" s="12"/>
      <c r="H6790" s="11" t="str">
        <f ca="1">IFERROR(__xludf.DUMMYFUNCTION("IFERROR(SUBSTITUTE(SUBSTITUTE(REGEXEXTRACT(A6790, ""[^-]+- [^-]+- [^-]+ - (.+?)\.jpg""), "".jpg"", """"), ""-"", "", ""), """")"),"")</f>
        <v/>
      </c>
      <c r="L6790" s="12"/>
      <c r="M6790" s="13"/>
      <c r="N6790" s="2"/>
      <c r="O6790" s="20"/>
      <c r="P6790" s="42"/>
      <c r="R6790" s="23"/>
    </row>
    <row r="6791" spans="1:18" ht="12.75">
      <c r="A6791" s="12"/>
      <c r="D6791" s="12"/>
      <c r="E6791" s="12"/>
      <c r="H6791" s="11" t="str">
        <f ca="1">IFERROR(__xludf.DUMMYFUNCTION("IFERROR(SUBSTITUTE(SUBSTITUTE(REGEXEXTRACT(A6791, ""[^-]+- [^-]+- [^-]+ - (.+?)\.jpg""), "".jpg"", """"), ""-"", "", ""), """")"),"")</f>
        <v/>
      </c>
      <c r="L6791" s="12"/>
      <c r="M6791" s="13"/>
      <c r="N6791" s="2"/>
      <c r="O6791" s="20"/>
      <c r="P6791" s="42"/>
      <c r="R6791" s="23"/>
    </row>
    <row r="6792" spans="1:18" ht="12.75">
      <c r="A6792" s="12"/>
      <c r="D6792" s="12"/>
      <c r="E6792" s="12"/>
      <c r="H6792" s="11" t="str">
        <f ca="1">IFERROR(__xludf.DUMMYFUNCTION("IFERROR(SUBSTITUTE(SUBSTITUTE(REGEXEXTRACT(A6792, ""[^-]+- [^-]+- [^-]+ - (.+?)\.jpg""), "".jpg"", """"), ""-"", "", ""), """")"),"")</f>
        <v/>
      </c>
      <c r="L6792" s="12"/>
      <c r="M6792" s="13"/>
      <c r="N6792" s="2"/>
      <c r="O6792" s="20"/>
      <c r="P6792" s="42"/>
      <c r="R6792" s="23"/>
    </row>
    <row r="6793" spans="1:18" ht="12.75">
      <c r="A6793" s="12"/>
      <c r="D6793" s="12"/>
      <c r="E6793" s="12"/>
      <c r="H6793" s="11" t="str">
        <f ca="1">IFERROR(__xludf.DUMMYFUNCTION("IFERROR(SUBSTITUTE(SUBSTITUTE(REGEXEXTRACT(A6793, ""[^-]+- [^-]+- [^-]+ - (.+?)\.jpg""), "".jpg"", """"), ""-"", "", ""), """")"),"")</f>
        <v/>
      </c>
      <c r="L6793" s="12"/>
      <c r="M6793" s="13"/>
      <c r="N6793" s="2"/>
      <c r="O6793" s="20"/>
      <c r="P6793" s="42"/>
      <c r="R6793" s="23"/>
    </row>
    <row r="6794" spans="1:18" ht="12.75">
      <c r="A6794" s="12"/>
      <c r="D6794" s="12"/>
      <c r="E6794" s="12"/>
      <c r="H6794" s="11" t="str">
        <f ca="1">IFERROR(__xludf.DUMMYFUNCTION("IFERROR(SUBSTITUTE(SUBSTITUTE(REGEXEXTRACT(A6794, ""[^-]+- [^-]+- [^-]+ - (.+?)\.jpg""), "".jpg"", """"), ""-"", "", ""), """")"),"")</f>
        <v/>
      </c>
      <c r="L6794" s="12"/>
      <c r="M6794" s="13"/>
      <c r="N6794" s="2"/>
      <c r="O6794" s="20"/>
      <c r="P6794" s="42"/>
      <c r="R6794" s="23"/>
    </row>
    <row r="6795" spans="1:18" ht="12.75">
      <c r="A6795" s="12"/>
      <c r="D6795" s="12"/>
      <c r="E6795" s="12"/>
      <c r="H6795" s="11" t="str">
        <f ca="1">IFERROR(__xludf.DUMMYFUNCTION("IFERROR(SUBSTITUTE(SUBSTITUTE(REGEXEXTRACT(A6795, ""[^-]+- [^-]+- [^-]+ - (.+?)\.jpg""), "".jpg"", """"), ""-"", "", ""), """")"),"")</f>
        <v/>
      </c>
      <c r="L6795" s="12"/>
      <c r="M6795" s="13"/>
      <c r="N6795" s="2"/>
      <c r="O6795" s="20"/>
      <c r="P6795" s="42"/>
      <c r="R6795" s="23"/>
    </row>
    <row r="6796" spans="1:18" ht="12.75">
      <c r="A6796" s="12"/>
      <c r="D6796" s="12"/>
      <c r="E6796" s="12"/>
      <c r="H6796" s="11" t="str">
        <f ca="1">IFERROR(__xludf.DUMMYFUNCTION("IFERROR(SUBSTITUTE(SUBSTITUTE(REGEXEXTRACT(A6796, ""[^-]+- [^-]+- [^-]+ - (.+?)\.jpg""), "".jpg"", """"), ""-"", "", ""), """")"),"")</f>
        <v/>
      </c>
      <c r="L6796" s="12"/>
      <c r="M6796" s="13"/>
      <c r="N6796" s="2"/>
      <c r="O6796" s="20"/>
      <c r="P6796" s="42"/>
      <c r="R6796" s="23"/>
    </row>
    <row r="6797" spans="1:18" ht="12.75">
      <c r="A6797" s="12"/>
      <c r="D6797" s="12"/>
      <c r="E6797" s="12"/>
      <c r="H6797" s="11" t="str">
        <f ca="1">IFERROR(__xludf.DUMMYFUNCTION("IFERROR(SUBSTITUTE(SUBSTITUTE(REGEXEXTRACT(A6797, ""[^-]+- [^-]+- [^-]+ - (.+?)\.jpg""), "".jpg"", """"), ""-"", "", ""), """")"),"")</f>
        <v/>
      </c>
      <c r="L6797" s="12"/>
      <c r="M6797" s="13"/>
      <c r="N6797" s="2"/>
      <c r="O6797" s="20"/>
      <c r="P6797" s="42"/>
      <c r="R6797" s="23"/>
    </row>
    <row r="6798" spans="1:18" ht="12.75">
      <c r="A6798" s="12"/>
      <c r="D6798" s="12"/>
      <c r="E6798" s="12"/>
      <c r="H6798" s="11" t="str">
        <f ca="1">IFERROR(__xludf.DUMMYFUNCTION("IFERROR(SUBSTITUTE(SUBSTITUTE(REGEXEXTRACT(A6798, ""[^-]+- [^-]+- [^-]+ - (.+?)\.jpg""), "".jpg"", """"), ""-"", "", ""), """")"),"")</f>
        <v/>
      </c>
      <c r="L6798" s="12"/>
      <c r="M6798" s="13"/>
      <c r="N6798" s="2"/>
      <c r="O6798" s="20"/>
      <c r="P6798" s="42"/>
      <c r="R6798" s="23"/>
    </row>
    <row r="6799" spans="1:18" ht="12.75">
      <c r="A6799" s="12"/>
      <c r="D6799" s="12"/>
      <c r="E6799" s="12"/>
      <c r="H6799" s="11" t="str">
        <f ca="1">IFERROR(__xludf.DUMMYFUNCTION("IFERROR(SUBSTITUTE(SUBSTITUTE(REGEXEXTRACT(A6799, ""[^-]+- [^-]+- [^-]+ - (.+?)\.jpg""), "".jpg"", """"), ""-"", "", ""), """")"),"")</f>
        <v/>
      </c>
      <c r="L6799" s="12"/>
      <c r="M6799" s="13"/>
      <c r="N6799" s="2"/>
      <c r="O6799" s="20"/>
      <c r="P6799" s="42"/>
      <c r="R6799" s="23"/>
    </row>
    <row r="6800" spans="1:18" ht="12.75">
      <c r="A6800" s="12"/>
      <c r="D6800" s="12"/>
      <c r="E6800" s="12"/>
      <c r="H6800" s="11" t="str">
        <f ca="1">IFERROR(__xludf.DUMMYFUNCTION("IFERROR(SUBSTITUTE(SUBSTITUTE(REGEXEXTRACT(A6800, ""[^-]+- [^-]+- [^-]+ - (.+?)\.jpg""), "".jpg"", """"), ""-"", "", ""), """")"),"")</f>
        <v/>
      </c>
      <c r="L6800" s="12"/>
      <c r="M6800" s="13"/>
      <c r="N6800" s="2"/>
      <c r="O6800" s="20"/>
      <c r="P6800" s="42"/>
      <c r="R6800" s="23"/>
    </row>
    <row r="6801" spans="1:18" ht="12.75">
      <c r="A6801" s="12"/>
      <c r="D6801" s="12"/>
      <c r="E6801" s="12"/>
      <c r="H6801" s="11" t="str">
        <f ca="1">IFERROR(__xludf.DUMMYFUNCTION("IFERROR(SUBSTITUTE(SUBSTITUTE(REGEXEXTRACT(A6801, ""[^-]+- [^-]+- [^-]+ - (.+?)\.jpg""), "".jpg"", """"), ""-"", "", ""), """")"),"")</f>
        <v/>
      </c>
      <c r="L6801" s="12"/>
      <c r="M6801" s="13"/>
      <c r="N6801" s="2"/>
      <c r="O6801" s="20"/>
      <c r="P6801" s="42"/>
      <c r="R6801" s="23"/>
    </row>
    <row r="6802" spans="1:18" ht="12.75">
      <c r="A6802" s="12"/>
      <c r="D6802" s="12"/>
      <c r="E6802" s="12"/>
      <c r="H6802" s="11" t="str">
        <f ca="1">IFERROR(__xludf.DUMMYFUNCTION("IFERROR(SUBSTITUTE(SUBSTITUTE(REGEXEXTRACT(A6802, ""[^-]+- [^-]+- [^-]+ - (.+?)\.jpg""), "".jpg"", """"), ""-"", "", ""), """")"),"")</f>
        <v/>
      </c>
      <c r="L6802" s="12"/>
      <c r="M6802" s="13"/>
      <c r="N6802" s="2"/>
      <c r="O6802" s="20"/>
      <c r="P6802" s="42"/>
      <c r="R6802" s="23"/>
    </row>
    <row r="6803" spans="1:18" ht="12.75">
      <c r="A6803" s="12"/>
      <c r="D6803" s="12"/>
      <c r="E6803" s="12"/>
      <c r="H6803" s="11" t="str">
        <f ca="1">IFERROR(__xludf.DUMMYFUNCTION("IFERROR(SUBSTITUTE(SUBSTITUTE(REGEXEXTRACT(A6803, ""[^-]+- [^-]+- [^-]+ - (.+?)\.jpg""), "".jpg"", """"), ""-"", "", ""), """")"),"")</f>
        <v/>
      </c>
      <c r="L6803" s="12"/>
      <c r="M6803" s="13"/>
      <c r="N6803" s="2"/>
      <c r="O6803" s="20"/>
      <c r="P6803" s="42"/>
      <c r="R6803" s="23"/>
    </row>
    <row r="6804" spans="1:18" ht="12.75">
      <c r="A6804" s="12"/>
      <c r="D6804" s="12"/>
      <c r="E6804" s="12"/>
      <c r="H6804" s="11" t="str">
        <f ca="1">IFERROR(__xludf.DUMMYFUNCTION("IFERROR(SUBSTITUTE(SUBSTITUTE(REGEXEXTRACT(A6804, ""[^-]+- [^-]+- [^-]+ - (.+?)\.jpg""), "".jpg"", """"), ""-"", "", ""), """")"),"")</f>
        <v/>
      </c>
      <c r="L6804" s="12"/>
      <c r="M6804" s="13"/>
      <c r="N6804" s="2"/>
      <c r="O6804" s="20"/>
      <c r="P6804" s="42"/>
      <c r="R6804" s="23"/>
    </row>
    <row r="6805" spans="1:18" ht="12.75">
      <c r="A6805" s="12"/>
      <c r="D6805" s="12"/>
      <c r="E6805" s="12"/>
      <c r="H6805" s="11" t="str">
        <f ca="1">IFERROR(__xludf.DUMMYFUNCTION("IFERROR(SUBSTITUTE(SUBSTITUTE(REGEXEXTRACT(A6805, ""[^-]+- [^-]+- [^-]+ - (.+?)\.jpg""), "".jpg"", """"), ""-"", "", ""), """")"),"")</f>
        <v/>
      </c>
      <c r="L6805" s="12"/>
      <c r="M6805" s="13"/>
      <c r="N6805" s="2"/>
      <c r="O6805" s="20"/>
      <c r="P6805" s="42"/>
      <c r="R6805" s="23"/>
    </row>
    <row r="6806" spans="1:18" ht="12.75">
      <c r="A6806" s="12"/>
      <c r="D6806" s="12"/>
      <c r="E6806" s="12"/>
      <c r="H6806" s="11" t="str">
        <f ca="1">IFERROR(__xludf.DUMMYFUNCTION("IFERROR(SUBSTITUTE(SUBSTITUTE(REGEXEXTRACT(A6806, ""[^-]+- [^-]+- [^-]+ - (.+?)\.jpg""), "".jpg"", """"), ""-"", "", ""), """")"),"")</f>
        <v/>
      </c>
      <c r="L6806" s="12"/>
      <c r="M6806" s="13"/>
      <c r="N6806" s="2"/>
      <c r="O6806" s="20"/>
      <c r="P6806" s="42"/>
      <c r="R6806" s="23"/>
    </row>
    <row r="6807" spans="1:18" ht="12.75">
      <c r="A6807" s="12"/>
      <c r="D6807" s="12"/>
      <c r="E6807" s="12"/>
      <c r="H6807" s="11" t="str">
        <f ca="1">IFERROR(__xludf.DUMMYFUNCTION("IFERROR(SUBSTITUTE(SUBSTITUTE(REGEXEXTRACT(A6807, ""[^-]+- [^-]+- [^-]+ - (.+?)\.jpg""), "".jpg"", """"), ""-"", "", ""), """")"),"")</f>
        <v/>
      </c>
      <c r="L6807" s="12"/>
      <c r="M6807" s="13"/>
      <c r="N6807" s="2"/>
      <c r="O6807" s="20"/>
      <c r="P6807" s="42"/>
      <c r="R6807" s="23"/>
    </row>
    <row r="6808" spans="1:18" ht="12.75">
      <c r="A6808" s="12"/>
      <c r="D6808" s="12"/>
      <c r="E6808" s="12"/>
      <c r="H6808" s="11" t="str">
        <f ca="1">IFERROR(__xludf.DUMMYFUNCTION("IFERROR(SUBSTITUTE(SUBSTITUTE(REGEXEXTRACT(A6808, ""[^-]+- [^-]+- [^-]+ - (.+?)\.jpg""), "".jpg"", """"), ""-"", "", ""), """")"),"")</f>
        <v/>
      </c>
      <c r="L6808" s="12"/>
      <c r="M6808" s="13"/>
      <c r="N6808" s="2"/>
      <c r="O6808" s="20"/>
      <c r="P6808" s="42"/>
      <c r="R6808" s="23"/>
    </row>
    <row r="6809" spans="1:18" ht="12.75">
      <c r="A6809" s="12"/>
      <c r="D6809" s="12"/>
      <c r="E6809" s="12"/>
      <c r="H6809" s="11" t="str">
        <f ca="1">IFERROR(__xludf.DUMMYFUNCTION("IFERROR(SUBSTITUTE(SUBSTITUTE(REGEXEXTRACT(A6809, ""[^-]+- [^-]+- [^-]+ - (.+?)\.jpg""), "".jpg"", """"), ""-"", "", ""), """")"),"")</f>
        <v/>
      </c>
      <c r="L6809" s="12"/>
      <c r="M6809" s="13"/>
      <c r="N6809" s="2"/>
      <c r="O6809" s="20"/>
      <c r="P6809" s="42"/>
      <c r="R6809" s="23"/>
    </row>
    <row r="6810" spans="1:18" ht="12.75">
      <c r="A6810" s="12"/>
      <c r="D6810" s="12"/>
      <c r="E6810" s="12"/>
      <c r="H6810" s="11" t="str">
        <f ca="1">IFERROR(__xludf.DUMMYFUNCTION("IFERROR(SUBSTITUTE(SUBSTITUTE(REGEXEXTRACT(A6810, ""[^-]+- [^-]+- [^-]+ - (.+?)\.jpg""), "".jpg"", """"), ""-"", "", ""), """")"),"")</f>
        <v/>
      </c>
      <c r="L6810" s="12"/>
      <c r="M6810" s="13"/>
      <c r="N6810" s="2"/>
      <c r="O6810" s="20"/>
      <c r="P6810" s="42"/>
      <c r="R6810" s="23"/>
    </row>
    <row r="6811" spans="1:18" ht="12.75">
      <c r="A6811" s="12"/>
      <c r="D6811" s="12"/>
      <c r="E6811" s="12"/>
      <c r="H6811" s="11" t="str">
        <f ca="1">IFERROR(__xludf.DUMMYFUNCTION("IFERROR(SUBSTITUTE(SUBSTITUTE(REGEXEXTRACT(A6811, ""[^-]+- [^-]+- [^-]+ - (.+?)\.jpg""), "".jpg"", """"), ""-"", "", ""), """")"),"")</f>
        <v/>
      </c>
      <c r="L6811" s="12"/>
      <c r="M6811" s="13"/>
      <c r="N6811" s="2"/>
      <c r="O6811" s="20"/>
      <c r="P6811" s="42"/>
      <c r="R6811" s="23"/>
    </row>
    <row r="6812" spans="1:18" ht="12.75">
      <c r="A6812" s="12"/>
      <c r="D6812" s="12"/>
      <c r="E6812" s="12"/>
      <c r="H6812" s="11" t="str">
        <f ca="1">IFERROR(__xludf.DUMMYFUNCTION("IFERROR(SUBSTITUTE(SUBSTITUTE(REGEXEXTRACT(A6812, ""[^-]+- [^-]+- [^-]+ - (.+?)\.jpg""), "".jpg"", """"), ""-"", "", ""), """")"),"")</f>
        <v/>
      </c>
      <c r="L6812" s="12"/>
      <c r="M6812" s="13"/>
      <c r="N6812" s="2"/>
      <c r="O6812" s="20"/>
      <c r="P6812" s="42"/>
      <c r="R6812" s="23"/>
    </row>
    <row r="6813" spans="1:18" ht="12.75">
      <c r="A6813" s="12"/>
      <c r="D6813" s="12"/>
      <c r="E6813" s="12"/>
      <c r="H6813" s="11" t="str">
        <f ca="1">IFERROR(__xludf.DUMMYFUNCTION("IFERROR(SUBSTITUTE(SUBSTITUTE(REGEXEXTRACT(A6813, ""[^-]+- [^-]+- [^-]+ - (.+?)\.jpg""), "".jpg"", """"), ""-"", "", ""), """")"),"")</f>
        <v/>
      </c>
      <c r="L6813" s="12"/>
      <c r="M6813" s="13"/>
      <c r="N6813" s="2"/>
      <c r="O6813" s="20"/>
      <c r="P6813" s="42"/>
      <c r="R6813" s="23"/>
    </row>
    <row r="6814" spans="1:18" ht="12.75">
      <c r="A6814" s="12"/>
      <c r="D6814" s="12"/>
      <c r="E6814" s="12"/>
      <c r="H6814" s="11" t="str">
        <f ca="1">IFERROR(__xludf.DUMMYFUNCTION("IFERROR(SUBSTITUTE(SUBSTITUTE(REGEXEXTRACT(A6814, ""[^-]+- [^-]+- [^-]+ - (.+?)\.jpg""), "".jpg"", """"), ""-"", "", ""), """")"),"")</f>
        <v/>
      </c>
      <c r="L6814" s="12"/>
      <c r="M6814" s="13"/>
      <c r="N6814" s="2"/>
      <c r="O6814" s="20"/>
      <c r="P6814" s="42"/>
      <c r="R6814" s="23"/>
    </row>
    <row r="6815" spans="1:18" ht="12.75">
      <c r="A6815" s="12"/>
      <c r="D6815" s="12"/>
      <c r="E6815" s="12"/>
      <c r="H6815" s="11" t="str">
        <f ca="1">IFERROR(__xludf.DUMMYFUNCTION("IFERROR(SUBSTITUTE(SUBSTITUTE(REGEXEXTRACT(A6815, ""[^-]+- [^-]+- [^-]+ - (.+?)\.jpg""), "".jpg"", """"), ""-"", "", ""), """")"),"")</f>
        <v/>
      </c>
      <c r="L6815" s="12"/>
      <c r="M6815" s="13"/>
      <c r="N6815" s="2"/>
      <c r="O6815" s="20"/>
      <c r="P6815" s="42"/>
      <c r="R6815" s="23"/>
    </row>
    <row r="6816" spans="1:18" ht="12.75">
      <c r="A6816" s="12"/>
      <c r="D6816" s="12"/>
      <c r="E6816" s="12"/>
      <c r="H6816" s="11" t="str">
        <f ca="1">IFERROR(__xludf.DUMMYFUNCTION("IFERROR(SUBSTITUTE(SUBSTITUTE(REGEXEXTRACT(A6816, ""[^-]+- [^-]+- [^-]+ - (.+?)\.jpg""), "".jpg"", """"), ""-"", "", ""), """")"),"")</f>
        <v/>
      </c>
      <c r="L6816" s="12"/>
      <c r="M6816" s="13"/>
      <c r="N6816" s="2"/>
      <c r="O6816" s="20"/>
      <c r="P6816" s="42"/>
      <c r="R6816" s="23"/>
    </row>
    <row r="6817" spans="1:18" ht="12.75">
      <c r="A6817" s="12"/>
      <c r="D6817" s="12"/>
      <c r="E6817" s="12"/>
      <c r="H6817" s="11" t="str">
        <f ca="1">IFERROR(__xludf.DUMMYFUNCTION("IFERROR(SUBSTITUTE(SUBSTITUTE(REGEXEXTRACT(A6817, ""[^-]+- [^-]+- [^-]+ - (.+?)\.jpg""), "".jpg"", """"), ""-"", "", ""), """")"),"")</f>
        <v/>
      </c>
      <c r="L6817" s="12"/>
      <c r="M6817" s="13"/>
      <c r="N6817" s="2"/>
      <c r="O6817" s="20"/>
      <c r="P6817" s="42"/>
      <c r="R6817" s="23"/>
    </row>
    <row r="6818" spans="1:18" ht="12.75">
      <c r="A6818" s="12"/>
      <c r="D6818" s="12"/>
      <c r="E6818" s="12"/>
      <c r="H6818" s="11" t="str">
        <f ca="1">IFERROR(__xludf.DUMMYFUNCTION("IFERROR(SUBSTITUTE(SUBSTITUTE(REGEXEXTRACT(A6818, ""[^-]+- [^-]+- [^-]+ - (.+?)\.jpg""), "".jpg"", """"), ""-"", "", ""), """")"),"")</f>
        <v/>
      </c>
      <c r="L6818" s="12"/>
      <c r="M6818" s="13"/>
      <c r="N6818" s="2"/>
      <c r="O6818" s="20"/>
      <c r="P6818" s="42"/>
      <c r="R6818" s="23"/>
    </row>
    <row r="6819" spans="1:18" ht="12.75">
      <c r="A6819" s="12"/>
      <c r="D6819" s="12"/>
      <c r="E6819" s="12"/>
      <c r="H6819" s="11" t="str">
        <f ca="1">IFERROR(__xludf.DUMMYFUNCTION("IFERROR(SUBSTITUTE(SUBSTITUTE(REGEXEXTRACT(A6819, ""[^-]+- [^-]+- [^-]+ - (.+?)\.jpg""), "".jpg"", """"), ""-"", "", ""), """")"),"")</f>
        <v/>
      </c>
      <c r="L6819" s="12"/>
      <c r="M6819" s="13"/>
      <c r="N6819" s="2"/>
      <c r="O6819" s="20"/>
      <c r="P6819" s="42"/>
      <c r="R6819" s="23"/>
    </row>
    <row r="6820" spans="1:18" ht="12.75">
      <c r="A6820" s="12"/>
      <c r="D6820" s="12"/>
      <c r="E6820" s="12"/>
      <c r="H6820" s="11" t="str">
        <f ca="1">IFERROR(__xludf.DUMMYFUNCTION("IFERROR(SUBSTITUTE(SUBSTITUTE(REGEXEXTRACT(A6820, ""[^-]+- [^-]+- [^-]+ - (.+?)\.jpg""), "".jpg"", """"), ""-"", "", ""), """")"),"")</f>
        <v/>
      </c>
      <c r="L6820" s="12"/>
      <c r="M6820" s="13"/>
      <c r="N6820" s="2"/>
      <c r="O6820" s="20"/>
      <c r="P6820" s="42"/>
      <c r="R6820" s="23"/>
    </row>
    <row r="6821" spans="1:18" ht="12.75">
      <c r="A6821" s="12"/>
      <c r="D6821" s="12"/>
      <c r="E6821" s="12"/>
      <c r="H6821" s="11" t="str">
        <f ca="1">IFERROR(__xludf.DUMMYFUNCTION("IFERROR(SUBSTITUTE(SUBSTITUTE(REGEXEXTRACT(A6821, ""[^-]+- [^-]+- [^-]+ - (.+?)\.jpg""), "".jpg"", """"), ""-"", "", ""), """")"),"")</f>
        <v/>
      </c>
      <c r="L6821" s="12"/>
      <c r="M6821" s="13"/>
      <c r="N6821" s="2"/>
      <c r="O6821" s="20"/>
      <c r="P6821" s="42"/>
      <c r="R6821" s="23"/>
    </row>
    <row r="6822" spans="1:18" ht="12.75">
      <c r="A6822" s="12"/>
      <c r="D6822" s="12"/>
      <c r="E6822" s="12"/>
      <c r="H6822" s="11" t="str">
        <f ca="1">IFERROR(__xludf.DUMMYFUNCTION("IFERROR(SUBSTITUTE(SUBSTITUTE(REGEXEXTRACT(A6822, ""[^-]+- [^-]+- [^-]+ - (.+?)\.jpg""), "".jpg"", """"), ""-"", "", ""), """")"),"")</f>
        <v/>
      </c>
      <c r="L6822" s="12"/>
      <c r="M6822" s="13"/>
      <c r="N6822" s="2"/>
      <c r="O6822" s="20"/>
      <c r="P6822" s="42"/>
      <c r="R6822" s="23"/>
    </row>
    <row r="6823" spans="1:18" ht="12.75">
      <c r="A6823" s="12"/>
      <c r="D6823" s="12"/>
      <c r="E6823" s="12"/>
      <c r="H6823" s="11" t="str">
        <f ca="1">IFERROR(__xludf.DUMMYFUNCTION("IFERROR(SUBSTITUTE(SUBSTITUTE(REGEXEXTRACT(A6823, ""[^-]+- [^-]+- [^-]+ - (.+?)\.jpg""), "".jpg"", """"), ""-"", "", ""), """")"),"")</f>
        <v/>
      </c>
      <c r="L6823" s="12"/>
      <c r="M6823" s="13"/>
      <c r="N6823" s="2"/>
      <c r="O6823" s="20"/>
      <c r="P6823" s="42"/>
      <c r="R6823" s="23"/>
    </row>
    <row r="6824" spans="1:18" ht="12.75">
      <c r="A6824" s="12"/>
      <c r="D6824" s="12"/>
      <c r="E6824" s="12"/>
      <c r="H6824" s="11" t="str">
        <f ca="1">IFERROR(__xludf.DUMMYFUNCTION("IFERROR(SUBSTITUTE(SUBSTITUTE(REGEXEXTRACT(A6824, ""[^-]+- [^-]+- [^-]+ - (.+?)\.jpg""), "".jpg"", """"), ""-"", "", ""), """")"),"")</f>
        <v/>
      </c>
      <c r="L6824" s="12"/>
      <c r="M6824" s="13"/>
      <c r="N6824" s="2"/>
      <c r="O6824" s="20"/>
      <c r="P6824" s="42"/>
      <c r="R6824" s="23"/>
    </row>
    <row r="6825" spans="1:18" ht="12.75">
      <c r="A6825" s="12"/>
      <c r="D6825" s="12"/>
      <c r="E6825" s="12"/>
      <c r="H6825" s="11" t="str">
        <f ca="1">IFERROR(__xludf.DUMMYFUNCTION("IFERROR(SUBSTITUTE(SUBSTITUTE(REGEXEXTRACT(A6825, ""[^-]+- [^-]+- [^-]+ - (.+?)\.jpg""), "".jpg"", """"), ""-"", "", ""), """")"),"")</f>
        <v/>
      </c>
      <c r="L6825" s="12"/>
      <c r="M6825" s="13"/>
      <c r="N6825" s="2"/>
      <c r="O6825" s="20"/>
      <c r="P6825" s="42"/>
      <c r="R6825" s="23"/>
    </row>
    <row r="6826" spans="1:18" ht="12.75">
      <c r="A6826" s="12"/>
      <c r="D6826" s="12"/>
      <c r="E6826" s="12"/>
      <c r="H6826" s="11" t="str">
        <f ca="1">IFERROR(__xludf.DUMMYFUNCTION("IFERROR(SUBSTITUTE(SUBSTITUTE(REGEXEXTRACT(A6826, ""[^-]+- [^-]+- [^-]+ - (.+?)\.jpg""), "".jpg"", """"), ""-"", "", ""), """")"),"")</f>
        <v/>
      </c>
      <c r="L6826" s="12"/>
      <c r="M6826" s="13"/>
      <c r="N6826" s="2"/>
      <c r="O6826" s="20"/>
      <c r="P6826" s="42"/>
      <c r="R6826" s="23"/>
    </row>
    <row r="6827" spans="1:18" ht="12.75">
      <c r="A6827" s="12"/>
      <c r="D6827" s="12"/>
      <c r="E6827" s="12"/>
      <c r="H6827" s="11" t="str">
        <f ca="1">IFERROR(__xludf.DUMMYFUNCTION("IFERROR(SUBSTITUTE(SUBSTITUTE(REGEXEXTRACT(A6827, ""[^-]+- [^-]+- [^-]+ - (.+?)\.jpg""), "".jpg"", """"), ""-"", "", ""), """")"),"")</f>
        <v/>
      </c>
      <c r="L6827" s="12"/>
      <c r="M6827" s="13"/>
      <c r="N6827" s="2"/>
      <c r="O6827" s="20"/>
      <c r="P6827" s="42"/>
      <c r="R6827" s="23"/>
    </row>
    <row r="6828" spans="1:18" ht="12.75">
      <c r="A6828" s="12"/>
      <c r="D6828" s="12"/>
      <c r="E6828" s="12"/>
      <c r="H6828" s="11" t="str">
        <f ca="1">IFERROR(__xludf.DUMMYFUNCTION("IFERROR(SUBSTITUTE(SUBSTITUTE(REGEXEXTRACT(A6828, ""[^-]+- [^-]+- [^-]+ - (.+?)\.jpg""), "".jpg"", """"), ""-"", "", ""), """")"),"")</f>
        <v/>
      </c>
      <c r="L6828" s="12"/>
      <c r="M6828" s="13"/>
      <c r="N6828" s="2"/>
      <c r="O6828" s="20"/>
      <c r="P6828" s="42"/>
      <c r="R6828" s="23"/>
    </row>
    <row r="6829" spans="1:18" ht="12.75">
      <c r="A6829" s="12"/>
      <c r="D6829" s="12"/>
      <c r="E6829" s="12"/>
      <c r="H6829" s="11" t="str">
        <f ca="1">IFERROR(__xludf.DUMMYFUNCTION("IFERROR(SUBSTITUTE(SUBSTITUTE(REGEXEXTRACT(A6829, ""[^-]+- [^-]+- [^-]+ - (.+?)\.jpg""), "".jpg"", """"), ""-"", "", ""), """")"),"")</f>
        <v/>
      </c>
      <c r="L6829" s="12"/>
      <c r="M6829" s="13"/>
      <c r="N6829" s="2"/>
      <c r="O6829" s="20"/>
      <c r="P6829" s="42"/>
      <c r="R6829" s="23"/>
    </row>
    <row r="6830" spans="1:18" ht="12.75">
      <c r="A6830" s="12"/>
      <c r="D6830" s="12"/>
      <c r="E6830" s="12"/>
      <c r="H6830" s="11" t="str">
        <f ca="1">IFERROR(__xludf.DUMMYFUNCTION("IFERROR(SUBSTITUTE(SUBSTITUTE(REGEXEXTRACT(A6830, ""[^-]+- [^-]+- [^-]+ - (.+?)\.jpg""), "".jpg"", """"), ""-"", "", ""), """")"),"")</f>
        <v/>
      </c>
      <c r="L6830" s="12"/>
      <c r="M6830" s="13"/>
      <c r="N6830" s="2"/>
      <c r="O6830" s="20"/>
      <c r="P6830" s="42"/>
      <c r="R6830" s="23"/>
    </row>
    <row r="6831" spans="1:18" ht="12.75">
      <c r="A6831" s="12"/>
      <c r="D6831" s="12"/>
      <c r="E6831" s="12"/>
      <c r="H6831" s="11" t="str">
        <f ca="1">IFERROR(__xludf.DUMMYFUNCTION("IFERROR(SUBSTITUTE(SUBSTITUTE(REGEXEXTRACT(A6831, ""[^-]+- [^-]+- [^-]+ - (.+?)\.jpg""), "".jpg"", """"), ""-"", "", ""), """")"),"")</f>
        <v/>
      </c>
      <c r="L6831" s="12"/>
      <c r="M6831" s="13"/>
      <c r="N6831" s="2"/>
      <c r="O6831" s="20"/>
      <c r="P6831" s="42"/>
      <c r="R6831" s="23"/>
    </row>
    <row r="6832" spans="1:18" ht="12.75">
      <c r="A6832" s="12"/>
      <c r="D6832" s="12"/>
      <c r="E6832" s="12"/>
      <c r="H6832" s="11" t="str">
        <f ca="1">IFERROR(__xludf.DUMMYFUNCTION("IFERROR(SUBSTITUTE(SUBSTITUTE(REGEXEXTRACT(A6832, ""[^-]+- [^-]+- [^-]+ - (.+?)\.jpg""), "".jpg"", """"), ""-"", "", ""), """")"),"")</f>
        <v/>
      </c>
      <c r="L6832" s="12"/>
      <c r="M6832" s="13"/>
      <c r="N6832" s="2"/>
      <c r="O6832" s="20"/>
      <c r="P6832" s="42"/>
      <c r="R6832" s="23"/>
    </row>
    <row r="6833" spans="1:18" ht="12.75">
      <c r="A6833" s="12"/>
      <c r="D6833" s="12"/>
      <c r="E6833" s="12"/>
      <c r="H6833" s="11" t="str">
        <f ca="1">IFERROR(__xludf.DUMMYFUNCTION("IFERROR(SUBSTITUTE(SUBSTITUTE(REGEXEXTRACT(A6833, ""[^-]+- [^-]+- [^-]+ - (.+?)\.jpg""), "".jpg"", """"), ""-"", "", ""), """")"),"")</f>
        <v/>
      </c>
      <c r="L6833" s="12"/>
      <c r="M6833" s="13"/>
      <c r="N6833" s="2"/>
      <c r="O6833" s="20"/>
      <c r="P6833" s="42"/>
      <c r="R6833" s="23"/>
    </row>
    <row r="6834" spans="1:18" ht="12.75">
      <c r="A6834" s="12"/>
      <c r="D6834" s="12"/>
      <c r="E6834" s="12"/>
      <c r="H6834" s="11" t="str">
        <f ca="1">IFERROR(__xludf.DUMMYFUNCTION("IFERROR(SUBSTITUTE(SUBSTITUTE(REGEXEXTRACT(A6834, ""[^-]+- [^-]+- [^-]+ - (.+?)\.jpg""), "".jpg"", """"), ""-"", "", ""), """")"),"")</f>
        <v/>
      </c>
      <c r="L6834" s="12"/>
      <c r="M6834" s="13"/>
      <c r="N6834" s="2"/>
      <c r="O6834" s="20"/>
      <c r="P6834" s="42"/>
      <c r="R6834" s="23"/>
    </row>
    <row r="6835" spans="1:18" ht="12.75">
      <c r="A6835" s="12"/>
      <c r="D6835" s="12"/>
      <c r="E6835" s="12"/>
      <c r="H6835" s="11" t="str">
        <f ca="1">IFERROR(__xludf.DUMMYFUNCTION("IFERROR(SUBSTITUTE(SUBSTITUTE(REGEXEXTRACT(A6835, ""[^-]+- [^-]+- [^-]+ - (.+?)\.jpg""), "".jpg"", """"), ""-"", "", ""), """")"),"")</f>
        <v/>
      </c>
      <c r="L6835" s="12"/>
      <c r="M6835" s="13"/>
      <c r="N6835" s="2"/>
      <c r="O6835" s="20"/>
      <c r="P6835" s="42"/>
      <c r="R6835" s="23"/>
    </row>
    <row r="6836" spans="1:18" ht="12.75">
      <c r="A6836" s="12"/>
      <c r="D6836" s="12"/>
      <c r="E6836" s="12"/>
      <c r="H6836" s="11" t="str">
        <f ca="1">IFERROR(__xludf.DUMMYFUNCTION("IFERROR(SUBSTITUTE(SUBSTITUTE(REGEXEXTRACT(A6836, ""[^-]+- [^-]+- [^-]+ - (.+?)\.jpg""), "".jpg"", """"), ""-"", "", ""), """")"),"")</f>
        <v/>
      </c>
      <c r="L6836" s="12"/>
      <c r="M6836" s="13"/>
      <c r="N6836" s="2"/>
      <c r="O6836" s="20"/>
      <c r="P6836" s="42"/>
      <c r="R6836" s="23"/>
    </row>
    <row r="6837" spans="1:18" ht="12.75">
      <c r="A6837" s="12"/>
      <c r="D6837" s="12"/>
      <c r="E6837" s="12"/>
      <c r="H6837" s="11" t="str">
        <f ca="1">IFERROR(__xludf.DUMMYFUNCTION("IFERROR(SUBSTITUTE(SUBSTITUTE(REGEXEXTRACT(A6837, ""[^-]+- [^-]+- [^-]+ - (.+?)\.jpg""), "".jpg"", """"), ""-"", "", ""), """")"),"")</f>
        <v/>
      </c>
      <c r="L6837" s="12"/>
      <c r="M6837" s="13"/>
      <c r="N6837" s="2"/>
      <c r="O6837" s="20"/>
      <c r="P6837" s="42"/>
      <c r="R6837" s="23"/>
    </row>
    <row r="6838" spans="1:18" ht="12.75">
      <c r="A6838" s="12"/>
      <c r="D6838" s="12"/>
      <c r="E6838" s="12"/>
      <c r="H6838" s="11" t="str">
        <f ca="1">IFERROR(__xludf.DUMMYFUNCTION("IFERROR(SUBSTITUTE(SUBSTITUTE(REGEXEXTRACT(A6838, ""[^-]+- [^-]+- [^-]+ - (.+?)\.jpg""), "".jpg"", """"), ""-"", "", ""), """")"),"")</f>
        <v/>
      </c>
      <c r="L6838" s="12"/>
      <c r="M6838" s="13"/>
      <c r="N6838" s="2"/>
      <c r="O6838" s="20"/>
      <c r="P6838" s="42"/>
      <c r="R6838" s="23"/>
    </row>
    <row r="6839" spans="1:18" ht="12.75">
      <c r="A6839" s="12"/>
      <c r="D6839" s="12"/>
      <c r="E6839" s="12"/>
      <c r="H6839" s="11" t="str">
        <f ca="1">IFERROR(__xludf.DUMMYFUNCTION("IFERROR(SUBSTITUTE(SUBSTITUTE(REGEXEXTRACT(A6839, ""[^-]+- [^-]+- [^-]+ - (.+?)\.jpg""), "".jpg"", """"), ""-"", "", ""), """")"),"")</f>
        <v/>
      </c>
      <c r="L6839" s="12"/>
      <c r="M6839" s="13"/>
      <c r="N6839" s="2"/>
      <c r="O6839" s="20"/>
      <c r="P6839" s="42"/>
      <c r="R6839" s="23"/>
    </row>
    <row r="6840" spans="1:18" ht="12.75">
      <c r="A6840" s="12"/>
      <c r="D6840" s="12"/>
      <c r="E6840" s="12"/>
      <c r="H6840" s="11" t="str">
        <f ca="1">IFERROR(__xludf.DUMMYFUNCTION("IFERROR(SUBSTITUTE(SUBSTITUTE(REGEXEXTRACT(A6840, ""[^-]+- [^-]+- [^-]+ - (.+?)\.jpg""), "".jpg"", """"), ""-"", "", ""), """")"),"")</f>
        <v/>
      </c>
      <c r="L6840" s="12"/>
      <c r="M6840" s="13"/>
      <c r="N6840" s="2"/>
      <c r="O6840" s="20"/>
      <c r="P6840" s="42"/>
      <c r="R6840" s="23"/>
    </row>
    <row r="6841" spans="1:18" ht="12.75">
      <c r="A6841" s="12"/>
      <c r="D6841" s="12"/>
      <c r="E6841" s="12"/>
      <c r="H6841" s="11" t="str">
        <f ca="1">IFERROR(__xludf.DUMMYFUNCTION("IFERROR(SUBSTITUTE(SUBSTITUTE(REGEXEXTRACT(A6841, ""[^-]+- [^-]+- [^-]+ - (.+?)\.jpg""), "".jpg"", """"), ""-"", "", ""), """")"),"")</f>
        <v/>
      </c>
      <c r="L6841" s="12"/>
      <c r="M6841" s="13"/>
      <c r="N6841" s="2"/>
      <c r="O6841" s="20"/>
      <c r="P6841" s="42"/>
      <c r="R6841" s="23"/>
    </row>
    <row r="6842" spans="1:18" ht="12.75">
      <c r="A6842" s="12"/>
      <c r="D6842" s="12"/>
      <c r="E6842" s="12"/>
      <c r="H6842" s="11" t="str">
        <f ca="1">IFERROR(__xludf.DUMMYFUNCTION("IFERROR(SUBSTITUTE(SUBSTITUTE(REGEXEXTRACT(A6842, ""[^-]+- [^-]+- [^-]+ - (.+?)\.jpg""), "".jpg"", """"), ""-"", "", ""), """")"),"")</f>
        <v/>
      </c>
      <c r="L6842" s="12"/>
      <c r="M6842" s="13"/>
      <c r="N6842" s="2"/>
      <c r="O6842" s="20"/>
      <c r="P6842" s="42"/>
      <c r="R6842" s="23"/>
    </row>
    <row r="6843" spans="1:18" ht="12.75">
      <c r="A6843" s="12"/>
      <c r="D6843" s="12"/>
      <c r="E6843" s="12"/>
      <c r="H6843" s="11" t="str">
        <f ca="1">IFERROR(__xludf.DUMMYFUNCTION("IFERROR(SUBSTITUTE(SUBSTITUTE(REGEXEXTRACT(A6843, ""[^-]+- [^-]+- [^-]+ - (.+?)\.jpg""), "".jpg"", """"), ""-"", "", ""), """")"),"")</f>
        <v/>
      </c>
      <c r="L6843" s="12"/>
      <c r="M6843" s="13"/>
      <c r="N6843" s="2"/>
      <c r="O6843" s="20"/>
      <c r="P6843" s="42"/>
      <c r="R6843" s="23"/>
    </row>
    <row r="6844" spans="1:18" ht="12.75">
      <c r="A6844" s="12"/>
      <c r="D6844" s="12"/>
      <c r="E6844" s="12"/>
      <c r="H6844" s="11" t="str">
        <f ca="1">IFERROR(__xludf.DUMMYFUNCTION("IFERROR(SUBSTITUTE(SUBSTITUTE(REGEXEXTRACT(A6844, ""[^-]+- [^-]+- [^-]+ - (.+?)\.jpg""), "".jpg"", """"), ""-"", "", ""), """")"),"")</f>
        <v/>
      </c>
      <c r="L6844" s="12"/>
      <c r="M6844" s="13"/>
      <c r="N6844" s="2"/>
      <c r="O6844" s="20"/>
      <c r="P6844" s="42"/>
      <c r="R6844" s="23"/>
    </row>
    <row r="6845" spans="1:18" ht="12.75">
      <c r="A6845" s="12"/>
      <c r="D6845" s="12"/>
      <c r="E6845" s="12"/>
      <c r="H6845" s="11" t="str">
        <f ca="1">IFERROR(__xludf.DUMMYFUNCTION("IFERROR(SUBSTITUTE(SUBSTITUTE(REGEXEXTRACT(A6845, ""[^-]+- [^-]+- [^-]+ - (.+?)\.jpg""), "".jpg"", """"), ""-"", "", ""), """")"),"")</f>
        <v/>
      </c>
      <c r="L6845" s="12"/>
      <c r="M6845" s="13"/>
      <c r="N6845" s="2"/>
      <c r="O6845" s="20"/>
      <c r="P6845" s="42"/>
      <c r="R6845" s="23"/>
    </row>
    <row r="6846" spans="1:18" ht="12.75">
      <c r="A6846" s="12"/>
      <c r="D6846" s="12"/>
      <c r="E6846" s="12"/>
      <c r="H6846" s="11" t="str">
        <f ca="1">IFERROR(__xludf.DUMMYFUNCTION("IFERROR(SUBSTITUTE(SUBSTITUTE(REGEXEXTRACT(A6846, ""[^-]+- [^-]+- [^-]+ - (.+?)\.jpg""), "".jpg"", """"), ""-"", "", ""), """")"),"")</f>
        <v/>
      </c>
      <c r="L6846" s="12"/>
      <c r="M6846" s="13"/>
      <c r="N6846" s="2"/>
      <c r="O6846" s="20"/>
      <c r="P6846" s="42"/>
      <c r="R6846" s="23"/>
    </row>
    <row r="6847" spans="1:18" ht="12.75">
      <c r="A6847" s="12"/>
      <c r="D6847" s="12"/>
      <c r="E6847" s="12"/>
      <c r="H6847" s="11" t="str">
        <f ca="1">IFERROR(__xludf.DUMMYFUNCTION("IFERROR(SUBSTITUTE(SUBSTITUTE(REGEXEXTRACT(A6847, ""[^-]+- [^-]+- [^-]+ - (.+?)\.jpg""), "".jpg"", """"), ""-"", "", ""), """")"),"")</f>
        <v/>
      </c>
      <c r="L6847" s="12"/>
      <c r="M6847" s="13"/>
      <c r="N6847" s="2"/>
      <c r="O6847" s="20"/>
      <c r="P6847" s="42"/>
      <c r="R6847" s="23"/>
    </row>
    <row r="6848" spans="1:18" ht="12.75">
      <c r="A6848" s="12"/>
      <c r="D6848" s="12"/>
      <c r="E6848" s="12"/>
      <c r="H6848" s="11" t="str">
        <f ca="1">IFERROR(__xludf.DUMMYFUNCTION("IFERROR(SUBSTITUTE(SUBSTITUTE(REGEXEXTRACT(A6848, ""[^-]+- [^-]+- [^-]+ - (.+?)\.jpg""), "".jpg"", """"), ""-"", "", ""), """")"),"")</f>
        <v/>
      </c>
      <c r="L6848" s="12"/>
      <c r="M6848" s="13"/>
      <c r="N6848" s="2"/>
      <c r="O6848" s="20"/>
      <c r="P6848" s="42"/>
      <c r="R6848" s="23"/>
    </row>
    <row r="6849" spans="1:18" ht="12.75">
      <c r="A6849" s="12"/>
      <c r="D6849" s="12"/>
      <c r="E6849" s="12"/>
      <c r="H6849" s="11" t="str">
        <f ca="1">IFERROR(__xludf.DUMMYFUNCTION("IFERROR(SUBSTITUTE(SUBSTITUTE(REGEXEXTRACT(A6849, ""[^-]+- [^-]+- [^-]+ - (.+?)\.jpg""), "".jpg"", """"), ""-"", "", ""), """")"),"")</f>
        <v/>
      </c>
      <c r="L6849" s="12"/>
      <c r="M6849" s="13"/>
      <c r="N6849" s="2"/>
      <c r="O6849" s="20"/>
      <c r="P6849" s="42"/>
      <c r="R6849" s="23"/>
    </row>
    <row r="6850" spans="1:18" ht="12.75">
      <c r="A6850" s="12"/>
      <c r="D6850" s="12"/>
      <c r="E6850" s="12"/>
      <c r="H6850" s="11" t="str">
        <f ca="1">IFERROR(__xludf.DUMMYFUNCTION("IFERROR(SUBSTITUTE(SUBSTITUTE(REGEXEXTRACT(A6850, ""[^-]+- [^-]+- [^-]+ - (.+?)\.jpg""), "".jpg"", """"), ""-"", "", ""), """")"),"")</f>
        <v/>
      </c>
      <c r="L6850" s="12"/>
      <c r="M6850" s="13"/>
      <c r="N6850" s="2"/>
      <c r="O6850" s="20"/>
      <c r="P6850" s="42"/>
      <c r="R6850" s="23"/>
    </row>
    <row r="6851" spans="1:18" ht="12.75">
      <c r="A6851" s="12"/>
      <c r="D6851" s="12"/>
      <c r="E6851" s="12"/>
      <c r="H6851" s="11" t="str">
        <f ca="1">IFERROR(__xludf.DUMMYFUNCTION("IFERROR(SUBSTITUTE(SUBSTITUTE(REGEXEXTRACT(A6851, ""[^-]+- [^-]+- [^-]+ - (.+?)\.jpg""), "".jpg"", """"), ""-"", "", ""), """")"),"")</f>
        <v/>
      </c>
      <c r="L6851" s="12"/>
      <c r="M6851" s="13"/>
      <c r="N6851" s="2"/>
      <c r="O6851" s="20"/>
      <c r="P6851" s="42"/>
      <c r="R6851" s="23"/>
    </row>
    <row r="6852" spans="1:18" ht="12.75">
      <c r="A6852" s="12"/>
      <c r="D6852" s="12"/>
      <c r="E6852" s="12"/>
      <c r="H6852" s="11" t="str">
        <f ca="1">IFERROR(__xludf.DUMMYFUNCTION("IFERROR(SUBSTITUTE(SUBSTITUTE(REGEXEXTRACT(A6852, ""[^-]+- [^-]+- [^-]+ - (.+?)\.jpg""), "".jpg"", """"), ""-"", "", ""), """")"),"")</f>
        <v/>
      </c>
      <c r="L6852" s="12"/>
      <c r="M6852" s="13"/>
      <c r="N6852" s="2"/>
      <c r="O6852" s="20"/>
      <c r="P6852" s="42"/>
      <c r="R6852" s="23"/>
    </row>
    <row r="6853" spans="1:18" ht="12.75">
      <c r="A6853" s="12"/>
      <c r="D6853" s="12"/>
      <c r="E6853" s="12"/>
      <c r="H6853" s="11" t="str">
        <f ca="1">IFERROR(__xludf.DUMMYFUNCTION("IFERROR(SUBSTITUTE(SUBSTITUTE(REGEXEXTRACT(A6853, ""[^-]+- [^-]+- [^-]+ - (.+?)\.jpg""), "".jpg"", """"), ""-"", "", ""), """")"),"")</f>
        <v/>
      </c>
      <c r="L6853" s="12"/>
      <c r="M6853" s="13"/>
      <c r="N6853" s="2"/>
      <c r="O6853" s="20"/>
      <c r="P6853" s="42"/>
      <c r="R6853" s="23"/>
    </row>
    <row r="6854" spans="1:18" ht="12.75">
      <c r="A6854" s="12"/>
      <c r="D6854" s="12"/>
      <c r="E6854" s="12"/>
      <c r="H6854" s="11" t="str">
        <f ca="1">IFERROR(__xludf.DUMMYFUNCTION("IFERROR(SUBSTITUTE(SUBSTITUTE(REGEXEXTRACT(A6854, ""[^-]+- [^-]+- [^-]+ - (.+?)\.jpg""), "".jpg"", """"), ""-"", "", ""), """")"),"")</f>
        <v/>
      </c>
      <c r="L6854" s="12"/>
      <c r="M6854" s="13"/>
      <c r="N6854" s="2"/>
      <c r="O6854" s="20"/>
      <c r="P6854" s="42"/>
      <c r="R6854" s="23"/>
    </row>
    <row r="6855" spans="1:18" ht="12.75">
      <c r="A6855" s="12"/>
      <c r="D6855" s="12"/>
      <c r="E6855" s="12"/>
      <c r="H6855" s="11" t="str">
        <f ca="1">IFERROR(__xludf.DUMMYFUNCTION("IFERROR(SUBSTITUTE(SUBSTITUTE(REGEXEXTRACT(A6855, ""[^-]+- [^-]+- [^-]+ - (.+?)\.jpg""), "".jpg"", """"), ""-"", "", ""), """")"),"")</f>
        <v/>
      </c>
      <c r="L6855" s="12"/>
      <c r="M6855" s="13"/>
      <c r="N6855" s="2"/>
      <c r="O6855" s="20"/>
      <c r="P6855" s="42"/>
      <c r="R6855" s="23"/>
    </row>
    <row r="6856" spans="1:18" ht="12.75">
      <c r="A6856" s="12"/>
      <c r="D6856" s="12"/>
      <c r="E6856" s="12"/>
      <c r="H6856" s="11" t="str">
        <f ca="1">IFERROR(__xludf.DUMMYFUNCTION("IFERROR(SUBSTITUTE(SUBSTITUTE(REGEXEXTRACT(A6856, ""[^-]+- [^-]+- [^-]+ - (.+?)\.jpg""), "".jpg"", """"), ""-"", "", ""), """")"),"")</f>
        <v/>
      </c>
      <c r="L6856" s="12"/>
      <c r="M6856" s="13"/>
      <c r="N6856" s="2"/>
      <c r="O6856" s="20"/>
      <c r="P6856" s="42"/>
      <c r="R6856" s="23"/>
    </row>
    <row r="6857" spans="1:18" ht="12.75">
      <c r="A6857" s="12"/>
      <c r="D6857" s="12"/>
      <c r="E6857" s="12"/>
      <c r="H6857" s="11" t="str">
        <f ca="1">IFERROR(__xludf.DUMMYFUNCTION("IFERROR(SUBSTITUTE(SUBSTITUTE(REGEXEXTRACT(A6857, ""[^-]+- [^-]+- [^-]+ - (.+?)\.jpg""), "".jpg"", """"), ""-"", "", ""), """")"),"")</f>
        <v/>
      </c>
      <c r="L6857" s="12"/>
      <c r="M6857" s="13"/>
      <c r="N6857" s="2"/>
      <c r="O6857" s="20"/>
      <c r="P6857" s="42"/>
      <c r="R6857" s="23"/>
    </row>
    <row r="6858" spans="1:18" ht="12.75">
      <c r="A6858" s="12"/>
      <c r="D6858" s="12"/>
      <c r="E6858" s="12"/>
      <c r="H6858" s="11" t="str">
        <f ca="1">IFERROR(__xludf.DUMMYFUNCTION("IFERROR(SUBSTITUTE(SUBSTITUTE(REGEXEXTRACT(A6858, ""[^-]+- [^-]+- [^-]+ - (.+?)\.jpg""), "".jpg"", """"), ""-"", "", ""), """")"),"")</f>
        <v/>
      </c>
      <c r="L6858" s="12"/>
      <c r="M6858" s="13"/>
      <c r="N6858" s="2"/>
      <c r="O6858" s="20"/>
      <c r="P6858" s="42"/>
      <c r="R6858" s="23"/>
    </row>
    <row r="6859" spans="1:18" ht="12.75">
      <c r="A6859" s="12"/>
      <c r="D6859" s="12"/>
      <c r="E6859" s="12"/>
      <c r="H6859" s="11" t="str">
        <f ca="1">IFERROR(__xludf.DUMMYFUNCTION("IFERROR(SUBSTITUTE(SUBSTITUTE(REGEXEXTRACT(A6859, ""[^-]+- [^-]+- [^-]+ - (.+?)\.jpg""), "".jpg"", """"), ""-"", "", ""), """")"),"")</f>
        <v/>
      </c>
      <c r="L6859" s="12"/>
      <c r="M6859" s="13"/>
      <c r="N6859" s="2"/>
      <c r="O6859" s="20"/>
      <c r="P6859" s="42"/>
      <c r="R6859" s="23"/>
    </row>
    <row r="6860" spans="1:18" ht="12.75">
      <c r="A6860" s="12"/>
      <c r="D6860" s="12"/>
      <c r="E6860" s="12"/>
      <c r="H6860" s="11" t="str">
        <f ca="1">IFERROR(__xludf.DUMMYFUNCTION("IFERROR(SUBSTITUTE(SUBSTITUTE(REGEXEXTRACT(A6860, ""[^-]+- [^-]+- [^-]+ - (.+?)\.jpg""), "".jpg"", """"), ""-"", "", ""), """")"),"")</f>
        <v/>
      </c>
      <c r="L6860" s="12"/>
      <c r="M6860" s="13"/>
      <c r="N6860" s="2"/>
      <c r="O6860" s="20"/>
      <c r="P6860" s="42"/>
      <c r="R6860" s="23"/>
    </row>
    <row r="6861" spans="1:18" ht="12.75">
      <c r="A6861" s="12"/>
      <c r="D6861" s="12"/>
      <c r="E6861" s="12"/>
      <c r="H6861" s="11" t="str">
        <f ca="1">IFERROR(__xludf.DUMMYFUNCTION("IFERROR(SUBSTITUTE(SUBSTITUTE(REGEXEXTRACT(A6861, ""[^-]+- [^-]+- [^-]+ - (.+?)\.jpg""), "".jpg"", """"), ""-"", "", ""), """")"),"")</f>
        <v/>
      </c>
      <c r="L6861" s="12"/>
      <c r="M6861" s="13"/>
      <c r="N6861" s="2"/>
      <c r="O6861" s="20"/>
      <c r="P6861" s="42"/>
      <c r="R6861" s="23"/>
    </row>
    <row r="6862" spans="1:18" ht="12.75">
      <c r="A6862" s="12"/>
      <c r="D6862" s="12"/>
      <c r="E6862" s="12"/>
      <c r="H6862" s="11" t="str">
        <f ca="1">IFERROR(__xludf.DUMMYFUNCTION("IFERROR(SUBSTITUTE(SUBSTITUTE(REGEXEXTRACT(A6862, ""[^-]+- [^-]+- [^-]+ - (.+?)\.jpg""), "".jpg"", """"), ""-"", "", ""), """")"),"")</f>
        <v/>
      </c>
      <c r="L6862" s="12"/>
      <c r="M6862" s="13"/>
      <c r="N6862" s="2"/>
      <c r="O6862" s="20"/>
      <c r="P6862" s="42"/>
      <c r="R6862" s="23"/>
    </row>
    <row r="6863" spans="1:18" ht="12.75">
      <c r="A6863" s="12"/>
      <c r="D6863" s="12"/>
      <c r="E6863" s="12"/>
      <c r="H6863" s="11" t="str">
        <f ca="1">IFERROR(__xludf.DUMMYFUNCTION("IFERROR(SUBSTITUTE(SUBSTITUTE(REGEXEXTRACT(A6863, ""[^-]+- [^-]+- [^-]+ - (.+?)\.jpg""), "".jpg"", """"), ""-"", "", ""), """")"),"")</f>
        <v/>
      </c>
      <c r="L6863" s="12"/>
      <c r="M6863" s="13"/>
      <c r="N6863" s="2"/>
      <c r="O6863" s="20"/>
      <c r="P6863" s="42"/>
      <c r="R6863" s="23"/>
    </row>
    <row r="6864" spans="1:18" ht="12.75">
      <c r="A6864" s="12"/>
      <c r="D6864" s="12"/>
      <c r="E6864" s="12"/>
      <c r="H6864" s="11" t="str">
        <f ca="1">IFERROR(__xludf.DUMMYFUNCTION("IFERROR(SUBSTITUTE(SUBSTITUTE(REGEXEXTRACT(A6864, ""[^-]+- [^-]+- [^-]+ - (.+?)\.jpg""), "".jpg"", """"), ""-"", "", ""), """")"),"")</f>
        <v/>
      </c>
      <c r="L6864" s="12"/>
      <c r="M6864" s="13"/>
      <c r="N6864" s="2"/>
      <c r="O6864" s="20"/>
      <c r="P6864" s="42"/>
      <c r="R6864" s="23"/>
    </row>
    <row r="6865" spans="1:18" ht="12.75">
      <c r="A6865" s="12"/>
      <c r="D6865" s="12"/>
      <c r="E6865" s="12"/>
      <c r="H6865" s="11" t="str">
        <f ca="1">IFERROR(__xludf.DUMMYFUNCTION("IFERROR(SUBSTITUTE(SUBSTITUTE(REGEXEXTRACT(A6865, ""[^-]+- [^-]+- [^-]+ - (.+?)\.jpg""), "".jpg"", """"), ""-"", "", ""), """")"),"")</f>
        <v/>
      </c>
      <c r="L6865" s="12"/>
      <c r="M6865" s="13"/>
      <c r="N6865" s="2"/>
      <c r="O6865" s="20"/>
      <c r="P6865" s="42"/>
      <c r="R6865" s="23"/>
    </row>
    <row r="6866" spans="1:18" ht="12.75">
      <c r="A6866" s="12"/>
      <c r="D6866" s="12"/>
      <c r="E6866" s="12"/>
      <c r="H6866" s="11" t="str">
        <f ca="1">IFERROR(__xludf.DUMMYFUNCTION("IFERROR(SUBSTITUTE(SUBSTITUTE(REGEXEXTRACT(A6866, ""[^-]+- [^-]+- [^-]+ - (.+?)\.jpg""), "".jpg"", """"), ""-"", "", ""), """")"),"")</f>
        <v/>
      </c>
      <c r="L6866" s="12"/>
      <c r="M6866" s="13"/>
      <c r="N6866" s="2"/>
      <c r="O6866" s="20"/>
      <c r="P6866" s="42"/>
      <c r="R6866" s="23"/>
    </row>
    <row r="6867" spans="1:18" ht="12.75">
      <c r="A6867" s="12"/>
      <c r="D6867" s="12"/>
      <c r="E6867" s="12"/>
      <c r="H6867" s="11" t="str">
        <f ca="1">IFERROR(__xludf.DUMMYFUNCTION("IFERROR(SUBSTITUTE(SUBSTITUTE(REGEXEXTRACT(A6867, ""[^-]+- [^-]+- [^-]+ - (.+?)\.jpg""), "".jpg"", """"), ""-"", "", ""), """")"),"")</f>
        <v/>
      </c>
      <c r="L6867" s="12"/>
      <c r="M6867" s="13"/>
      <c r="N6867" s="2"/>
      <c r="O6867" s="20"/>
      <c r="P6867" s="42"/>
      <c r="R6867" s="23"/>
    </row>
    <row r="6868" spans="1:18" ht="12.75">
      <c r="A6868" s="12"/>
      <c r="D6868" s="12"/>
      <c r="E6868" s="12"/>
      <c r="H6868" s="11" t="str">
        <f ca="1">IFERROR(__xludf.DUMMYFUNCTION("IFERROR(SUBSTITUTE(SUBSTITUTE(REGEXEXTRACT(A6868, ""[^-]+- [^-]+- [^-]+ - (.+?)\.jpg""), "".jpg"", """"), ""-"", "", ""), """")"),"")</f>
        <v/>
      </c>
      <c r="L6868" s="12"/>
      <c r="M6868" s="13"/>
      <c r="N6868" s="2"/>
      <c r="O6868" s="20"/>
      <c r="P6868" s="42"/>
      <c r="R6868" s="23"/>
    </row>
    <row r="6869" spans="1:18" ht="12.75">
      <c r="A6869" s="12"/>
      <c r="D6869" s="12"/>
      <c r="E6869" s="12"/>
      <c r="H6869" s="11" t="str">
        <f ca="1">IFERROR(__xludf.DUMMYFUNCTION("IFERROR(SUBSTITUTE(SUBSTITUTE(REGEXEXTRACT(A6869, ""[^-]+- [^-]+- [^-]+ - (.+?)\.jpg""), "".jpg"", """"), ""-"", "", ""), """")"),"")</f>
        <v/>
      </c>
      <c r="L6869" s="12"/>
      <c r="M6869" s="13"/>
      <c r="N6869" s="2"/>
      <c r="O6869" s="20"/>
      <c r="P6869" s="42"/>
      <c r="R6869" s="23"/>
    </row>
    <row r="6870" spans="1:18" ht="12.75">
      <c r="A6870" s="12"/>
      <c r="D6870" s="12"/>
      <c r="E6870" s="12"/>
      <c r="H6870" s="11" t="str">
        <f ca="1">IFERROR(__xludf.DUMMYFUNCTION("IFERROR(SUBSTITUTE(SUBSTITUTE(REGEXEXTRACT(A6870, ""[^-]+- [^-]+- [^-]+ - (.+?)\.jpg""), "".jpg"", """"), ""-"", "", ""), """")"),"")</f>
        <v/>
      </c>
      <c r="L6870" s="12"/>
      <c r="M6870" s="13"/>
      <c r="N6870" s="2"/>
      <c r="O6870" s="20"/>
      <c r="P6870" s="42"/>
      <c r="R6870" s="23"/>
    </row>
    <row r="6871" spans="1:18" ht="12.75">
      <c r="A6871" s="12"/>
      <c r="D6871" s="12"/>
      <c r="E6871" s="12"/>
      <c r="H6871" s="11" t="str">
        <f ca="1">IFERROR(__xludf.DUMMYFUNCTION("IFERROR(SUBSTITUTE(SUBSTITUTE(REGEXEXTRACT(A6871, ""[^-]+- [^-]+- [^-]+ - (.+?)\.jpg""), "".jpg"", """"), ""-"", "", ""), """")"),"")</f>
        <v/>
      </c>
      <c r="L6871" s="12"/>
      <c r="M6871" s="13"/>
      <c r="N6871" s="2"/>
      <c r="O6871" s="20"/>
      <c r="P6871" s="42"/>
      <c r="R6871" s="23"/>
    </row>
    <row r="6872" spans="1:18" ht="12.75">
      <c r="A6872" s="12"/>
      <c r="D6872" s="12"/>
      <c r="E6872" s="12"/>
      <c r="H6872" s="11" t="str">
        <f ca="1">IFERROR(__xludf.DUMMYFUNCTION("IFERROR(SUBSTITUTE(SUBSTITUTE(REGEXEXTRACT(A6872, ""[^-]+- [^-]+- [^-]+ - (.+?)\.jpg""), "".jpg"", """"), ""-"", "", ""), """")"),"")</f>
        <v/>
      </c>
      <c r="L6872" s="12"/>
      <c r="M6872" s="13"/>
      <c r="N6872" s="2"/>
      <c r="O6872" s="20"/>
      <c r="P6872" s="42"/>
      <c r="R6872" s="23"/>
    </row>
    <row r="6873" spans="1:18" ht="12.75">
      <c r="A6873" s="12"/>
      <c r="D6873" s="12"/>
      <c r="E6873" s="12"/>
      <c r="H6873" s="11" t="str">
        <f ca="1">IFERROR(__xludf.DUMMYFUNCTION("IFERROR(SUBSTITUTE(SUBSTITUTE(REGEXEXTRACT(A6873, ""[^-]+- [^-]+- [^-]+ - (.+?)\.jpg""), "".jpg"", """"), ""-"", "", ""), """")"),"")</f>
        <v/>
      </c>
      <c r="L6873" s="12"/>
      <c r="M6873" s="13"/>
      <c r="N6873" s="2"/>
      <c r="O6873" s="20"/>
      <c r="P6873" s="42"/>
      <c r="R6873" s="23"/>
    </row>
    <row r="6874" spans="1:18" ht="12.75">
      <c r="A6874" s="12"/>
      <c r="D6874" s="12"/>
      <c r="E6874" s="12"/>
      <c r="H6874" s="11" t="str">
        <f ca="1">IFERROR(__xludf.DUMMYFUNCTION("IFERROR(SUBSTITUTE(SUBSTITUTE(REGEXEXTRACT(A6874, ""[^-]+- [^-]+- [^-]+ - (.+?)\.jpg""), "".jpg"", """"), ""-"", "", ""), """")"),"")</f>
        <v/>
      </c>
      <c r="L6874" s="12"/>
      <c r="M6874" s="13"/>
      <c r="N6874" s="2"/>
      <c r="O6874" s="20"/>
      <c r="P6874" s="42"/>
      <c r="R6874" s="23"/>
    </row>
    <row r="6875" spans="1:18" ht="12.75">
      <c r="A6875" s="12"/>
      <c r="D6875" s="12"/>
      <c r="E6875" s="12"/>
      <c r="H6875" s="11" t="str">
        <f ca="1">IFERROR(__xludf.DUMMYFUNCTION("IFERROR(SUBSTITUTE(SUBSTITUTE(REGEXEXTRACT(A6875, ""[^-]+- [^-]+- [^-]+ - (.+?)\.jpg""), "".jpg"", """"), ""-"", "", ""), """")"),"")</f>
        <v/>
      </c>
      <c r="L6875" s="12"/>
      <c r="M6875" s="13"/>
      <c r="N6875" s="2"/>
      <c r="O6875" s="20"/>
      <c r="P6875" s="42"/>
      <c r="R6875" s="23"/>
    </row>
    <row r="6876" spans="1:18" ht="12.75">
      <c r="A6876" s="12"/>
      <c r="D6876" s="12"/>
      <c r="E6876" s="12"/>
      <c r="H6876" s="11" t="str">
        <f ca="1">IFERROR(__xludf.DUMMYFUNCTION("IFERROR(SUBSTITUTE(SUBSTITUTE(REGEXEXTRACT(A6876, ""[^-]+- [^-]+- [^-]+ - (.+?)\.jpg""), "".jpg"", """"), ""-"", "", ""), """")"),"")</f>
        <v/>
      </c>
      <c r="L6876" s="12"/>
      <c r="M6876" s="13"/>
      <c r="N6876" s="2"/>
      <c r="O6876" s="20"/>
      <c r="P6876" s="42"/>
      <c r="R6876" s="23"/>
    </row>
    <row r="6877" spans="1:18" ht="12.75">
      <c r="A6877" s="12"/>
      <c r="D6877" s="12"/>
      <c r="E6877" s="12"/>
      <c r="H6877" s="11" t="str">
        <f ca="1">IFERROR(__xludf.DUMMYFUNCTION("IFERROR(SUBSTITUTE(SUBSTITUTE(REGEXEXTRACT(A6877, ""[^-]+- [^-]+- [^-]+ - (.+?)\.jpg""), "".jpg"", """"), ""-"", "", ""), """")"),"")</f>
        <v/>
      </c>
      <c r="L6877" s="12"/>
      <c r="M6877" s="13"/>
      <c r="N6877" s="2"/>
      <c r="O6877" s="20"/>
      <c r="P6877" s="42"/>
      <c r="R6877" s="23"/>
    </row>
    <row r="6878" spans="1:18" ht="12.75">
      <c r="A6878" s="12"/>
      <c r="D6878" s="12"/>
      <c r="E6878" s="12"/>
      <c r="H6878" s="11" t="str">
        <f ca="1">IFERROR(__xludf.DUMMYFUNCTION("IFERROR(SUBSTITUTE(SUBSTITUTE(REGEXEXTRACT(A6878, ""[^-]+- [^-]+- [^-]+ - (.+?)\.jpg""), "".jpg"", """"), ""-"", "", ""), """")"),"")</f>
        <v/>
      </c>
      <c r="L6878" s="12"/>
      <c r="M6878" s="13"/>
      <c r="N6878" s="2"/>
      <c r="O6878" s="20"/>
      <c r="P6878" s="42"/>
      <c r="R6878" s="23"/>
    </row>
    <row r="6879" spans="1:18" ht="12.75">
      <c r="A6879" s="12"/>
      <c r="D6879" s="12"/>
      <c r="E6879" s="12"/>
      <c r="H6879" s="11" t="str">
        <f ca="1">IFERROR(__xludf.DUMMYFUNCTION("IFERROR(SUBSTITUTE(SUBSTITUTE(REGEXEXTRACT(A6879, ""[^-]+- [^-]+- [^-]+ - (.+?)\.jpg""), "".jpg"", """"), ""-"", "", ""), """")"),"")</f>
        <v/>
      </c>
      <c r="L6879" s="12"/>
      <c r="M6879" s="13"/>
      <c r="N6879" s="2"/>
      <c r="O6879" s="20"/>
      <c r="P6879" s="42"/>
      <c r="R6879" s="23"/>
    </row>
    <row r="6880" spans="1:18" ht="12.75">
      <c r="A6880" s="12"/>
      <c r="D6880" s="12"/>
      <c r="E6880" s="12"/>
      <c r="H6880" s="11" t="str">
        <f ca="1">IFERROR(__xludf.DUMMYFUNCTION("IFERROR(SUBSTITUTE(SUBSTITUTE(REGEXEXTRACT(A6880, ""[^-]+- [^-]+- [^-]+ - (.+?)\.jpg""), "".jpg"", """"), ""-"", "", ""), """")"),"")</f>
        <v/>
      </c>
      <c r="L6880" s="12"/>
      <c r="M6880" s="13"/>
      <c r="N6880" s="2"/>
      <c r="O6880" s="20"/>
      <c r="P6880" s="42"/>
      <c r="R6880" s="23"/>
    </row>
    <row r="6881" spans="1:18" ht="12.75">
      <c r="A6881" s="12"/>
      <c r="D6881" s="12"/>
      <c r="E6881" s="12"/>
      <c r="H6881" s="11" t="str">
        <f ca="1">IFERROR(__xludf.DUMMYFUNCTION("IFERROR(SUBSTITUTE(SUBSTITUTE(REGEXEXTRACT(A6881, ""[^-]+- [^-]+- [^-]+ - (.+?)\.jpg""), "".jpg"", """"), ""-"", "", ""), """")"),"")</f>
        <v/>
      </c>
      <c r="L6881" s="12"/>
      <c r="M6881" s="13"/>
      <c r="N6881" s="2"/>
      <c r="O6881" s="20"/>
      <c r="P6881" s="42"/>
      <c r="R6881" s="23"/>
    </row>
    <row r="6882" spans="1:18" ht="12.75">
      <c r="A6882" s="12"/>
      <c r="D6882" s="12"/>
      <c r="E6882" s="12"/>
      <c r="H6882" s="11" t="str">
        <f ca="1">IFERROR(__xludf.DUMMYFUNCTION("IFERROR(SUBSTITUTE(SUBSTITUTE(REGEXEXTRACT(A6882, ""[^-]+- [^-]+- [^-]+ - (.+?)\.jpg""), "".jpg"", """"), ""-"", "", ""), """")"),"")</f>
        <v/>
      </c>
      <c r="L6882" s="12"/>
      <c r="M6882" s="13"/>
      <c r="N6882" s="2"/>
      <c r="O6882" s="20"/>
      <c r="P6882" s="42"/>
      <c r="R6882" s="23"/>
    </row>
    <row r="6883" spans="1:18" ht="12.75">
      <c r="A6883" s="12"/>
      <c r="D6883" s="12"/>
      <c r="E6883" s="12"/>
      <c r="H6883" s="11" t="str">
        <f ca="1">IFERROR(__xludf.DUMMYFUNCTION("IFERROR(SUBSTITUTE(SUBSTITUTE(REGEXEXTRACT(A6883, ""[^-]+- [^-]+- [^-]+ - (.+?)\.jpg""), "".jpg"", """"), ""-"", "", ""), """")"),"")</f>
        <v/>
      </c>
      <c r="L6883" s="12"/>
      <c r="M6883" s="13"/>
      <c r="N6883" s="2"/>
      <c r="O6883" s="20"/>
      <c r="P6883" s="42"/>
      <c r="R6883" s="23"/>
    </row>
    <row r="6884" spans="1:18" ht="12.75">
      <c r="A6884" s="12"/>
      <c r="D6884" s="12"/>
      <c r="E6884" s="12"/>
      <c r="H6884" s="11" t="str">
        <f ca="1">IFERROR(__xludf.DUMMYFUNCTION("IFERROR(SUBSTITUTE(SUBSTITUTE(REGEXEXTRACT(A6884, ""[^-]+- [^-]+- [^-]+ - (.+?)\.jpg""), "".jpg"", """"), ""-"", "", ""), """")"),"")</f>
        <v/>
      </c>
      <c r="L6884" s="12"/>
      <c r="M6884" s="13"/>
      <c r="N6884" s="2"/>
      <c r="O6884" s="20"/>
      <c r="P6884" s="42"/>
      <c r="R6884" s="23"/>
    </row>
    <row r="6885" spans="1:18" ht="12.75">
      <c r="A6885" s="12"/>
      <c r="D6885" s="12"/>
      <c r="E6885" s="12"/>
      <c r="H6885" s="11" t="str">
        <f ca="1">IFERROR(__xludf.DUMMYFUNCTION("IFERROR(SUBSTITUTE(SUBSTITUTE(REGEXEXTRACT(A6885, ""[^-]+- [^-]+- [^-]+ - (.+?)\.jpg""), "".jpg"", """"), ""-"", "", ""), """")"),"")</f>
        <v/>
      </c>
      <c r="L6885" s="12"/>
      <c r="M6885" s="13"/>
      <c r="N6885" s="2"/>
      <c r="O6885" s="20"/>
      <c r="P6885" s="42"/>
      <c r="R6885" s="23"/>
    </row>
    <row r="6886" spans="1:18" ht="12.75">
      <c r="A6886" s="12"/>
      <c r="D6886" s="12"/>
      <c r="E6886" s="12"/>
      <c r="H6886" s="11" t="str">
        <f ca="1">IFERROR(__xludf.DUMMYFUNCTION("IFERROR(SUBSTITUTE(SUBSTITUTE(REGEXEXTRACT(A6886, ""[^-]+- [^-]+- [^-]+ - (.+?)\.jpg""), "".jpg"", """"), ""-"", "", ""), """")"),"")</f>
        <v/>
      </c>
      <c r="L6886" s="12"/>
      <c r="M6886" s="13"/>
      <c r="N6886" s="2"/>
      <c r="O6886" s="20"/>
      <c r="P6886" s="42"/>
      <c r="R6886" s="23"/>
    </row>
    <row r="6887" spans="1:18" ht="12.75">
      <c r="A6887" s="12"/>
      <c r="D6887" s="12"/>
      <c r="E6887" s="12"/>
      <c r="H6887" s="11" t="str">
        <f ca="1">IFERROR(__xludf.DUMMYFUNCTION("IFERROR(SUBSTITUTE(SUBSTITUTE(REGEXEXTRACT(A6887, ""[^-]+- [^-]+- [^-]+ - (.+?)\.jpg""), "".jpg"", """"), ""-"", "", ""), """")"),"")</f>
        <v/>
      </c>
      <c r="L6887" s="12"/>
      <c r="M6887" s="13"/>
      <c r="N6887" s="2"/>
      <c r="O6887" s="20"/>
      <c r="P6887" s="42"/>
      <c r="R6887" s="23"/>
    </row>
    <row r="6888" spans="1:18" ht="12.75">
      <c r="A6888" s="12"/>
      <c r="D6888" s="12"/>
      <c r="E6888" s="12"/>
      <c r="H6888" s="11" t="str">
        <f ca="1">IFERROR(__xludf.DUMMYFUNCTION("IFERROR(SUBSTITUTE(SUBSTITUTE(REGEXEXTRACT(A6888, ""[^-]+- [^-]+- [^-]+ - (.+?)\.jpg""), "".jpg"", """"), ""-"", "", ""), """")"),"")</f>
        <v/>
      </c>
      <c r="L6888" s="12"/>
      <c r="M6888" s="13"/>
      <c r="N6888" s="2"/>
      <c r="O6888" s="20"/>
      <c r="P6888" s="42"/>
      <c r="R6888" s="23"/>
    </row>
    <row r="6889" spans="1:18" ht="12.75">
      <c r="A6889" s="12"/>
      <c r="D6889" s="12"/>
      <c r="E6889" s="12"/>
      <c r="H6889" s="11" t="str">
        <f ca="1">IFERROR(__xludf.DUMMYFUNCTION("IFERROR(SUBSTITUTE(SUBSTITUTE(REGEXEXTRACT(A6889, ""[^-]+- [^-]+- [^-]+ - (.+?)\.jpg""), "".jpg"", """"), ""-"", "", ""), """")"),"")</f>
        <v/>
      </c>
      <c r="L6889" s="12"/>
      <c r="M6889" s="13"/>
      <c r="N6889" s="2"/>
      <c r="O6889" s="20"/>
      <c r="P6889" s="42"/>
      <c r="R6889" s="23"/>
    </row>
    <row r="6890" spans="1:18" ht="12.75">
      <c r="A6890" s="12"/>
      <c r="D6890" s="12"/>
      <c r="E6890" s="12"/>
      <c r="H6890" s="11" t="str">
        <f ca="1">IFERROR(__xludf.DUMMYFUNCTION("IFERROR(SUBSTITUTE(SUBSTITUTE(REGEXEXTRACT(A6890, ""[^-]+- [^-]+- [^-]+ - (.+?)\.jpg""), "".jpg"", """"), ""-"", "", ""), """")"),"")</f>
        <v/>
      </c>
      <c r="L6890" s="12"/>
      <c r="M6890" s="13"/>
      <c r="N6890" s="2"/>
      <c r="O6890" s="20"/>
      <c r="P6890" s="42"/>
      <c r="R6890" s="23"/>
    </row>
    <row r="6891" spans="1:18" ht="12.75">
      <c r="A6891" s="12"/>
      <c r="D6891" s="12"/>
      <c r="E6891" s="12"/>
      <c r="H6891" s="11" t="str">
        <f ca="1">IFERROR(__xludf.DUMMYFUNCTION("IFERROR(SUBSTITUTE(SUBSTITUTE(REGEXEXTRACT(A6891, ""[^-]+- [^-]+- [^-]+ - (.+?)\.jpg""), "".jpg"", """"), ""-"", "", ""), """")"),"")</f>
        <v/>
      </c>
      <c r="L6891" s="12"/>
      <c r="M6891" s="13"/>
      <c r="N6891" s="2"/>
      <c r="O6891" s="20"/>
      <c r="P6891" s="42"/>
      <c r="R6891" s="23"/>
    </row>
    <row r="6892" spans="1:18" ht="12.75">
      <c r="A6892" s="12"/>
      <c r="D6892" s="12"/>
      <c r="E6892" s="12"/>
      <c r="H6892" s="11" t="str">
        <f ca="1">IFERROR(__xludf.DUMMYFUNCTION("IFERROR(SUBSTITUTE(SUBSTITUTE(REGEXEXTRACT(A6892, ""[^-]+- [^-]+- [^-]+ - (.+?)\.jpg""), "".jpg"", """"), ""-"", "", ""), """")"),"")</f>
        <v/>
      </c>
      <c r="L6892" s="12"/>
      <c r="M6892" s="13"/>
      <c r="N6892" s="2"/>
      <c r="O6892" s="20"/>
      <c r="P6892" s="42"/>
      <c r="R6892" s="23"/>
    </row>
    <row r="6893" spans="1:18" ht="12.75">
      <c r="A6893" s="12"/>
      <c r="D6893" s="12"/>
      <c r="E6893" s="12"/>
      <c r="H6893" s="11" t="str">
        <f ca="1">IFERROR(__xludf.DUMMYFUNCTION("IFERROR(SUBSTITUTE(SUBSTITUTE(REGEXEXTRACT(A6893, ""[^-]+- [^-]+- [^-]+ - (.+?)\.jpg""), "".jpg"", """"), ""-"", "", ""), """")"),"")</f>
        <v/>
      </c>
      <c r="L6893" s="12"/>
      <c r="M6893" s="13"/>
      <c r="N6893" s="2"/>
      <c r="O6893" s="20"/>
      <c r="P6893" s="42"/>
      <c r="R6893" s="23"/>
    </row>
    <row r="6894" spans="1:18" ht="12.75">
      <c r="A6894" s="12"/>
      <c r="D6894" s="12"/>
      <c r="E6894" s="12"/>
      <c r="H6894" s="11" t="str">
        <f ca="1">IFERROR(__xludf.DUMMYFUNCTION("IFERROR(SUBSTITUTE(SUBSTITUTE(REGEXEXTRACT(A6894, ""[^-]+- [^-]+- [^-]+ - (.+?)\.jpg""), "".jpg"", """"), ""-"", "", ""), """")"),"")</f>
        <v/>
      </c>
      <c r="L6894" s="12"/>
      <c r="M6894" s="13"/>
      <c r="N6894" s="2"/>
      <c r="O6894" s="20"/>
      <c r="P6894" s="42"/>
      <c r="R6894" s="23"/>
    </row>
    <row r="6895" spans="1:18" ht="12.75">
      <c r="A6895" s="12"/>
      <c r="D6895" s="12"/>
      <c r="E6895" s="12"/>
      <c r="H6895" s="11" t="str">
        <f ca="1">IFERROR(__xludf.DUMMYFUNCTION("IFERROR(SUBSTITUTE(SUBSTITUTE(REGEXEXTRACT(A6895, ""[^-]+- [^-]+- [^-]+ - (.+?)\.jpg""), "".jpg"", """"), ""-"", "", ""), """")"),"")</f>
        <v/>
      </c>
      <c r="L6895" s="12"/>
      <c r="M6895" s="13"/>
      <c r="N6895" s="2"/>
      <c r="O6895" s="20"/>
      <c r="P6895" s="42"/>
      <c r="R6895" s="23"/>
    </row>
    <row r="6896" spans="1:18" ht="12.75">
      <c r="A6896" s="12"/>
      <c r="D6896" s="12"/>
      <c r="E6896" s="12"/>
      <c r="H6896" s="11" t="str">
        <f ca="1">IFERROR(__xludf.DUMMYFUNCTION("IFERROR(SUBSTITUTE(SUBSTITUTE(REGEXEXTRACT(A6896, ""[^-]+- [^-]+- [^-]+ - (.+?)\.jpg""), "".jpg"", """"), ""-"", "", ""), """")"),"")</f>
        <v/>
      </c>
      <c r="L6896" s="12"/>
      <c r="M6896" s="13"/>
      <c r="N6896" s="2"/>
      <c r="O6896" s="20"/>
      <c r="P6896" s="42"/>
      <c r="R6896" s="23"/>
    </row>
    <row r="6897" spans="1:18" ht="12.75">
      <c r="A6897" s="12"/>
      <c r="D6897" s="12"/>
      <c r="E6897" s="12"/>
      <c r="H6897" s="11" t="str">
        <f ca="1">IFERROR(__xludf.DUMMYFUNCTION("IFERROR(SUBSTITUTE(SUBSTITUTE(REGEXEXTRACT(A6897, ""[^-]+- [^-]+- [^-]+ - (.+?)\.jpg""), "".jpg"", """"), ""-"", "", ""), """")"),"")</f>
        <v/>
      </c>
      <c r="L6897" s="12"/>
      <c r="M6897" s="13"/>
      <c r="N6897" s="2"/>
      <c r="O6897" s="20"/>
      <c r="P6897" s="42"/>
      <c r="R6897" s="23"/>
    </row>
    <row r="6898" spans="1:18" ht="12.75">
      <c r="A6898" s="12"/>
      <c r="D6898" s="12"/>
      <c r="E6898" s="12"/>
      <c r="H6898" s="11" t="str">
        <f ca="1">IFERROR(__xludf.DUMMYFUNCTION("IFERROR(SUBSTITUTE(SUBSTITUTE(REGEXEXTRACT(A6898, ""[^-]+- [^-]+- [^-]+ - (.+?)\.jpg""), "".jpg"", """"), ""-"", "", ""), """")"),"")</f>
        <v/>
      </c>
      <c r="L6898" s="12"/>
      <c r="M6898" s="13"/>
      <c r="N6898" s="2"/>
      <c r="O6898" s="20"/>
      <c r="P6898" s="42"/>
      <c r="R6898" s="23"/>
    </row>
    <row r="6899" spans="1:18" ht="12.75">
      <c r="A6899" s="12"/>
      <c r="D6899" s="12"/>
      <c r="E6899" s="12"/>
      <c r="H6899" s="11" t="str">
        <f ca="1">IFERROR(__xludf.DUMMYFUNCTION("IFERROR(SUBSTITUTE(SUBSTITUTE(REGEXEXTRACT(A6899, ""[^-]+- [^-]+- [^-]+ - (.+?)\.jpg""), "".jpg"", """"), ""-"", "", ""), """")"),"")</f>
        <v/>
      </c>
      <c r="L6899" s="12"/>
      <c r="M6899" s="13"/>
      <c r="N6899" s="2"/>
      <c r="O6899" s="20"/>
      <c r="P6899" s="42"/>
      <c r="R6899" s="23"/>
    </row>
    <row r="6900" spans="1:18" ht="12.75">
      <c r="A6900" s="12"/>
      <c r="D6900" s="12"/>
      <c r="E6900" s="12"/>
      <c r="H6900" s="11" t="str">
        <f ca="1">IFERROR(__xludf.DUMMYFUNCTION("IFERROR(SUBSTITUTE(SUBSTITUTE(REGEXEXTRACT(A6900, ""[^-]+- [^-]+- [^-]+ - (.+?)\.jpg""), "".jpg"", """"), ""-"", "", ""), """")"),"")</f>
        <v/>
      </c>
      <c r="L6900" s="12"/>
      <c r="M6900" s="13"/>
      <c r="N6900" s="2"/>
      <c r="O6900" s="20"/>
      <c r="P6900" s="42"/>
      <c r="R6900" s="23"/>
    </row>
    <row r="6901" spans="1:18" ht="12.75">
      <c r="A6901" s="12"/>
      <c r="D6901" s="12"/>
      <c r="E6901" s="12"/>
      <c r="H6901" s="11" t="str">
        <f ca="1">IFERROR(__xludf.DUMMYFUNCTION("IFERROR(SUBSTITUTE(SUBSTITUTE(REGEXEXTRACT(A6901, ""[^-]+- [^-]+- [^-]+ - (.+?)\.jpg""), "".jpg"", """"), ""-"", "", ""), """")"),"")</f>
        <v/>
      </c>
      <c r="L6901" s="12"/>
      <c r="M6901" s="13"/>
      <c r="N6901" s="2"/>
      <c r="O6901" s="20"/>
      <c r="P6901" s="42"/>
      <c r="R6901" s="23"/>
    </row>
    <row r="6902" spans="1:18" ht="12.75">
      <c r="A6902" s="12"/>
      <c r="D6902" s="12"/>
      <c r="E6902" s="12"/>
      <c r="H6902" s="11" t="str">
        <f ca="1">IFERROR(__xludf.DUMMYFUNCTION("IFERROR(SUBSTITUTE(SUBSTITUTE(REGEXEXTRACT(A6902, ""[^-]+- [^-]+- [^-]+ - (.+?)\.jpg""), "".jpg"", """"), ""-"", "", ""), """")"),"")</f>
        <v/>
      </c>
      <c r="L6902" s="12"/>
      <c r="M6902" s="13"/>
      <c r="N6902" s="2"/>
      <c r="O6902" s="20"/>
      <c r="P6902" s="42"/>
      <c r="R6902" s="23"/>
    </row>
    <row r="6903" spans="1:18" ht="12.75">
      <c r="A6903" s="12"/>
      <c r="D6903" s="12"/>
      <c r="E6903" s="12"/>
      <c r="H6903" s="11" t="str">
        <f ca="1">IFERROR(__xludf.DUMMYFUNCTION("IFERROR(SUBSTITUTE(SUBSTITUTE(REGEXEXTRACT(A6903, ""[^-]+- [^-]+- [^-]+ - (.+?)\.jpg""), "".jpg"", """"), ""-"", "", ""), """")"),"")</f>
        <v/>
      </c>
      <c r="L6903" s="12"/>
      <c r="M6903" s="13"/>
      <c r="N6903" s="2"/>
      <c r="O6903" s="20"/>
      <c r="P6903" s="42"/>
      <c r="R6903" s="23"/>
    </row>
    <row r="6904" spans="1:18" ht="12.75">
      <c r="A6904" s="12"/>
      <c r="D6904" s="12"/>
      <c r="E6904" s="12"/>
      <c r="H6904" s="11" t="str">
        <f ca="1">IFERROR(__xludf.DUMMYFUNCTION("IFERROR(SUBSTITUTE(SUBSTITUTE(REGEXEXTRACT(A6904, ""[^-]+- [^-]+- [^-]+ - (.+?)\.jpg""), "".jpg"", """"), ""-"", "", ""), """")"),"")</f>
        <v/>
      </c>
      <c r="L6904" s="12"/>
      <c r="M6904" s="13"/>
      <c r="N6904" s="2"/>
      <c r="O6904" s="20"/>
      <c r="P6904" s="42"/>
      <c r="R6904" s="23"/>
    </row>
    <row r="6905" spans="1:18" ht="12.75">
      <c r="A6905" s="12"/>
      <c r="D6905" s="12"/>
      <c r="E6905" s="12"/>
      <c r="H6905" s="11" t="str">
        <f ca="1">IFERROR(__xludf.DUMMYFUNCTION("IFERROR(SUBSTITUTE(SUBSTITUTE(REGEXEXTRACT(A6905, ""[^-]+- [^-]+- [^-]+ - (.+?)\.jpg""), "".jpg"", """"), ""-"", "", ""), """")"),"")</f>
        <v/>
      </c>
      <c r="L6905" s="12"/>
      <c r="M6905" s="13"/>
      <c r="N6905" s="2"/>
      <c r="O6905" s="20"/>
      <c r="P6905" s="42"/>
      <c r="R6905" s="23"/>
    </row>
    <row r="6906" spans="1:18" ht="12.75">
      <c r="A6906" s="12"/>
      <c r="D6906" s="12"/>
      <c r="E6906" s="12"/>
      <c r="H6906" s="11" t="str">
        <f ca="1">IFERROR(__xludf.DUMMYFUNCTION("IFERROR(SUBSTITUTE(SUBSTITUTE(REGEXEXTRACT(A6906, ""[^-]+- [^-]+- [^-]+ - (.+?)\.jpg""), "".jpg"", """"), ""-"", "", ""), """")"),"")</f>
        <v/>
      </c>
      <c r="L6906" s="12"/>
      <c r="M6906" s="13"/>
      <c r="N6906" s="2"/>
      <c r="O6906" s="20"/>
      <c r="P6906" s="42"/>
      <c r="R6906" s="23"/>
    </row>
    <row r="6907" spans="1:18" ht="12.75">
      <c r="A6907" s="12"/>
      <c r="D6907" s="12"/>
      <c r="E6907" s="12"/>
      <c r="H6907" s="11" t="str">
        <f ca="1">IFERROR(__xludf.DUMMYFUNCTION("IFERROR(SUBSTITUTE(SUBSTITUTE(REGEXEXTRACT(A6907, ""[^-]+- [^-]+- [^-]+ - (.+?)\.jpg""), "".jpg"", """"), ""-"", "", ""), """")"),"")</f>
        <v/>
      </c>
      <c r="L6907" s="12"/>
      <c r="M6907" s="13"/>
      <c r="N6907" s="2"/>
      <c r="O6907" s="20"/>
      <c r="P6907" s="42"/>
      <c r="R6907" s="23"/>
    </row>
    <row r="6908" spans="1:18" ht="12.75">
      <c r="A6908" s="12"/>
      <c r="D6908" s="12"/>
      <c r="E6908" s="12"/>
      <c r="H6908" s="11" t="str">
        <f ca="1">IFERROR(__xludf.DUMMYFUNCTION("IFERROR(SUBSTITUTE(SUBSTITUTE(REGEXEXTRACT(A6908, ""[^-]+- [^-]+- [^-]+ - (.+?)\.jpg""), "".jpg"", """"), ""-"", "", ""), """")"),"")</f>
        <v/>
      </c>
      <c r="L6908" s="12"/>
      <c r="M6908" s="13"/>
      <c r="N6908" s="2"/>
      <c r="O6908" s="20"/>
      <c r="P6908" s="42"/>
      <c r="R6908" s="23"/>
    </row>
    <row r="6909" spans="1:18" ht="12.75">
      <c r="A6909" s="12"/>
      <c r="D6909" s="12"/>
      <c r="E6909" s="12"/>
      <c r="H6909" s="11" t="str">
        <f ca="1">IFERROR(__xludf.DUMMYFUNCTION("IFERROR(SUBSTITUTE(SUBSTITUTE(REGEXEXTRACT(A6909, ""[^-]+- [^-]+- [^-]+ - (.+?)\.jpg""), "".jpg"", """"), ""-"", "", ""), """")"),"")</f>
        <v/>
      </c>
      <c r="L6909" s="12"/>
      <c r="M6909" s="13"/>
      <c r="N6909" s="2"/>
      <c r="O6909" s="20"/>
      <c r="P6909" s="42"/>
      <c r="R6909" s="23"/>
    </row>
    <row r="6910" spans="1:18" ht="12.75">
      <c r="A6910" s="12"/>
      <c r="D6910" s="12"/>
      <c r="E6910" s="12"/>
      <c r="H6910" s="11" t="str">
        <f ca="1">IFERROR(__xludf.DUMMYFUNCTION("IFERROR(SUBSTITUTE(SUBSTITUTE(REGEXEXTRACT(A6910, ""[^-]+- [^-]+- [^-]+ - (.+?)\.jpg""), "".jpg"", """"), ""-"", "", ""), """")"),"")</f>
        <v/>
      </c>
      <c r="L6910" s="12"/>
      <c r="M6910" s="13"/>
      <c r="N6910" s="2"/>
      <c r="O6910" s="20"/>
      <c r="P6910" s="42"/>
      <c r="R6910" s="23"/>
    </row>
    <row r="6911" spans="1:18" ht="12.75">
      <c r="A6911" s="12"/>
      <c r="D6911" s="12"/>
      <c r="E6911" s="12"/>
      <c r="H6911" s="11" t="str">
        <f ca="1">IFERROR(__xludf.DUMMYFUNCTION("IFERROR(SUBSTITUTE(SUBSTITUTE(REGEXEXTRACT(A6911, ""[^-]+- [^-]+- [^-]+ - (.+?)\.jpg""), "".jpg"", """"), ""-"", "", ""), """")"),"")</f>
        <v/>
      </c>
      <c r="L6911" s="12"/>
      <c r="M6911" s="13"/>
      <c r="N6911" s="2"/>
      <c r="O6911" s="20"/>
      <c r="P6911" s="42"/>
      <c r="R6911" s="23"/>
    </row>
    <row r="6912" spans="1:18" ht="12.75">
      <c r="A6912" s="12"/>
      <c r="D6912" s="12"/>
      <c r="E6912" s="12"/>
      <c r="H6912" s="11" t="str">
        <f ca="1">IFERROR(__xludf.DUMMYFUNCTION("IFERROR(SUBSTITUTE(SUBSTITUTE(REGEXEXTRACT(A6912, ""[^-]+- [^-]+- [^-]+ - (.+?)\.jpg""), "".jpg"", """"), ""-"", "", ""), """")"),"")</f>
        <v/>
      </c>
      <c r="L6912" s="12"/>
      <c r="M6912" s="13"/>
      <c r="N6912" s="2"/>
      <c r="O6912" s="20"/>
      <c r="P6912" s="42"/>
      <c r="R6912" s="23"/>
    </row>
    <row r="6913" spans="1:18" ht="12.75">
      <c r="A6913" s="12"/>
      <c r="D6913" s="12"/>
      <c r="E6913" s="12"/>
      <c r="H6913" s="11" t="str">
        <f ca="1">IFERROR(__xludf.DUMMYFUNCTION("IFERROR(SUBSTITUTE(SUBSTITUTE(REGEXEXTRACT(A6913, ""[^-]+- [^-]+- [^-]+ - (.+?)\.jpg""), "".jpg"", """"), ""-"", "", ""), """")"),"")</f>
        <v/>
      </c>
      <c r="L6913" s="12"/>
      <c r="M6913" s="13"/>
      <c r="N6913" s="2"/>
      <c r="O6913" s="20"/>
      <c r="P6913" s="42"/>
      <c r="R6913" s="23"/>
    </row>
    <row r="6914" spans="1:18" ht="12.75">
      <c r="A6914" s="12"/>
      <c r="D6914" s="12"/>
      <c r="E6914" s="12"/>
      <c r="H6914" s="11" t="str">
        <f ca="1">IFERROR(__xludf.DUMMYFUNCTION("IFERROR(SUBSTITUTE(SUBSTITUTE(REGEXEXTRACT(A6914, ""[^-]+- [^-]+- [^-]+ - (.+?)\.jpg""), "".jpg"", """"), ""-"", "", ""), """")"),"")</f>
        <v/>
      </c>
      <c r="L6914" s="12"/>
      <c r="M6914" s="13"/>
      <c r="N6914" s="2"/>
      <c r="O6914" s="20"/>
      <c r="P6914" s="42"/>
      <c r="R6914" s="23"/>
    </row>
    <row r="6915" spans="1:18" ht="12.75">
      <c r="A6915" s="12"/>
      <c r="D6915" s="12"/>
      <c r="E6915" s="12"/>
      <c r="H6915" s="11" t="str">
        <f ca="1">IFERROR(__xludf.DUMMYFUNCTION("IFERROR(SUBSTITUTE(SUBSTITUTE(REGEXEXTRACT(A6915, ""[^-]+- [^-]+- [^-]+ - (.+?)\.jpg""), "".jpg"", """"), ""-"", "", ""), """")"),"")</f>
        <v/>
      </c>
      <c r="L6915" s="12"/>
      <c r="M6915" s="13"/>
      <c r="N6915" s="2"/>
      <c r="O6915" s="20"/>
      <c r="P6915" s="42"/>
      <c r="R6915" s="23"/>
    </row>
    <row r="6916" spans="1:18" ht="12.75">
      <c r="A6916" s="12"/>
      <c r="D6916" s="12"/>
      <c r="E6916" s="12"/>
      <c r="H6916" s="11" t="str">
        <f ca="1">IFERROR(__xludf.DUMMYFUNCTION("IFERROR(SUBSTITUTE(SUBSTITUTE(REGEXEXTRACT(A6916, ""[^-]+- [^-]+- [^-]+ - (.+?)\.jpg""), "".jpg"", """"), ""-"", "", ""), """")"),"")</f>
        <v/>
      </c>
      <c r="L6916" s="12"/>
      <c r="M6916" s="13"/>
      <c r="N6916" s="2"/>
      <c r="O6916" s="20"/>
      <c r="P6916" s="42"/>
      <c r="R6916" s="23"/>
    </row>
    <row r="6917" spans="1:18" ht="12.75">
      <c r="A6917" s="12"/>
      <c r="D6917" s="12"/>
      <c r="E6917" s="12"/>
      <c r="H6917" s="11" t="str">
        <f ca="1">IFERROR(__xludf.DUMMYFUNCTION("IFERROR(SUBSTITUTE(SUBSTITUTE(REGEXEXTRACT(A6917, ""[^-]+- [^-]+- [^-]+ - (.+?)\.jpg""), "".jpg"", """"), ""-"", "", ""), """")"),"")</f>
        <v/>
      </c>
      <c r="L6917" s="12"/>
      <c r="M6917" s="13"/>
      <c r="N6917" s="2"/>
      <c r="O6917" s="20"/>
      <c r="P6917" s="42"/>
      <c r="R6917" s="23"/>
    </row>
    <row r="6918" spans="1:18" ht="12.75">
      <c r="A6918" s="12"/>
      <c r="D6918" s="12"/>
      <c r="E6918" s="12"/>
      <c r="H6918" s="11" t="str">
        <f ca="1">IFERROR(__xludf.DUMMYFUNCTION("IFERROR(SUBSTITUTE(SUBSTITUTE(REGEXEXTRACT(A6918, ""[^-]+- [^-]+- [^-]+ - (.+?)\.jpg""), "".jpg"", """"), ""-"", "", ""), """")"),"")</f>
        <v/>
      </c>
      <c r="L6918" s="12"/>
      <c r="M6918" s="13"/>
      <c r="N6918" s="2"/>
      <c r="O6918" s="20"/>
      <c r="P6918" s="42"/>
      <c r="R6918" s="23"/>
    </row>
    <row r="6919" spans="1:18" ht="12.75">
      <c r="A6919" s="12"/>
      <c r="D6919" s="12"/>
      <c r="E6919" s="12"/>
      <c r="H6919" s="11" t="str">
        <f ca="1">IFERROR(__xludf.DUMMYFUNCTION("IFERROR(SUBSTITUTE(SUBSTITUTE(REGEXEXTRACT(A6919, ""[^-]+- [^-]+- [^-]+ - (.+?)\.jpg""), "".jpg"", """"), ""-"", "", ""), """")"),"")</f>
        <v/>
      </c>
      <c r="L6919" s="12"/>
      <c r="M6919" s="13"/>
      <c r="N6919" s="2"/>
      <c r="O6919" s="20"/>
      <c r="P6919" s="42"/>
      <c r="R6919" s="23"/>
    </row>
    <row r="6920" spans="1:18" ht="12.75">
      <c r="A6920" s="12"/>
      <c r="D6920" s="12"/>
      <c r="E6920" s="12"/>
      <c r="H6920" s="11" t="str">
        <f ca="1">IFERROR(__xludf.DUMMYFUNCTION("IFERROR(SUBSTITUTE(SUBSTITUTE(REGEXEXTRACT(A6920, ""[^-]+- [^-]+- [^-]+ - (.+?)\.jpg""), "".jpg"", """"), ""-"", "", ""), """")"),"")</f>
        <v/>
      </c>
      <c r="L6920" s="12"/>
      <c r="M6920" s="13"/>
      <c r="N6920" s="2"/>
      <c r="O6920" s="20"/>
      <c r="P6920" s="42"/>
      <c r="R6920" s="23"/>
    </row>
    <row r="6921" spans="1:18" ht="12.75">
      <c r="A6921" s="12"/>
      <c r="D6921" s="12"/>
      <c r="E6921" s="12"/>
      <c r="H6921" s="11" t="str">
        <f ca="1">IFERROR(__xludf.DUMMYFUNCTION("IFERROR(SUBSTITUTE(SUBSTITUTE(REGEXEXTRACT(A6921, ""[^-]+- [^-]+- [^-]+ - (.+?)\.jpg""), "".jpg"", """"), ""-"", "", ""), """")"),"")</f>
        <v/>
      </c>
      <c r="L6921" s="12"/>
      <c r="M6921" s="13"/>
      <c r="N6921" s="2"/>
      <c r="O6921" s="20"/>
      <c r="P6921" s="42"/>
      <c r="R6921" s="23"/>
    </row>
    <row r="6922" spans="1:18" ht="12.75">
      <c r="A6922" s="12"/>
      <c r="D6922" s="12"/>
      <c r="E6922" s="12"/>
      <c r="H6922" s="11" t="str">
        <f ca="1">IFERROR(__xludf.DUMMYFUNCTION("IFERROR(SUBSTITUTE(SUBSTITUTE(REGEXEXTRACT(A6922, ""[^-]+- [^-]+- [^-]+ - (.+?)\.jpg""), "".jpg"", """"), ""-"", "", ""), """")"),"")</f>
        <v/>
      </c>
      <c r="L6922" s="12"/>
      <c r="M6922" s="13"/>
      <c r="N6922" s="2"/>
      <c r="O6922" s="20"/>
      <c r="P6922" s="42"/>
      <c r="R6922" s="23"/>
    </row>
    <row r="6923" spans="1:18" ht="12.75">
      <c r="A6923" s="12"/>
      <c r="D6923" s="12"/>
      <c r="E6923" s="12"/>
      <c r="H6923" s="11" t="str">
        <f ca="1">IFERROR(__xludf.DUMMYFUNCTION("IFERROR(SUBSTITUTE(SUBSTITUTE(REGEXEXTRACT(A6923, ""[^-]+- [^-]+- [^-]+ - (.+?)\.jpg""), "".jpg"", """"), ""-"", "", ""), """")"),"")</f>
        <v/>
      </c>
      <c r="L6923" s="12"/>
      <c r="M6923" s="13"/>
      <c r="N6923" s="2"/>
      <c r="O6923" s="20"/>
      <c r="P6923" s="42"/>
      <c r="R6923" s="23"/>
    </row>
    <row r="6924" spans="1:18" ht="12.75">
      <c r="A6924" s="12"/>
      <c r="D6924" s="12"/>
      <c r="E6924" s="12"/>
      <c r="H6924" s="11" t="str">
        <f ca="1">IFERROR(__xludf.DUMMYFUNCTION("IFERROR(SUBSTITUTE(SUBSTITUTE(REGEXEXTRACT(A6924, ""[^-]+- [^-]+- [^-]+ - (.+?)\.jpg""), "".jpg"", """"), ""-"", "", ""), """")"),"")</f>
        <v/>
      </c>
      <c r="L6924" s="12"/>
      <c r="M6924" s="13"/>
      <c r="N6924" s="2"/>
      <c r="O6924" s="20"/>
      <c r="P6924" s="42"/>
      <c r="R6924" s="23"/>
    </row>
    <row r="6925" spans="1:18" ht="12.75">
      <c r="A6925" s="12"/>
      <c r="D6925" s="12"/>
      <c r="E6925" s="12"/>
      <c r="H6925" s="11" t="str">
        <f ca="1">IFERROR(__xludf.DUMMYFUNCTION("IFERROR(SUBSTITUTE(SUBSTITUTE(REGEXEXTRACT(A6925, ""[^-]+- [^-]+- [^-]+ - (.+?)\.jpg""), "".jpg"", """"), ""-"", "", ""), """")"),"")</f>
        <v/>
      </c>
      <c r="L6925" s="12"/>
      <c r="M6925" s="13"/>
      <c r="N6925" s="2"/>
      <c r="O6925" s="20"/>
      <c r="P6925" s="42"/>
      <c r="R6925" s="23"/>
    </row>
    <row r="6926" spans="1:18" ht="12.75">
      <c r="A6926" s="12"/>
      <c r="D6926" s="12"/>
      <c r="E6926" s="12"/>
      <c r="H6926" s="11" t="str">
        <f ca="1">IFERROR(__xludf.DUMMYFUNCTION("IFERROR(SUBSTITUTE(SUBSTITUTE(REGEXEXTRACT(A6926, ""[^-]+- [^-]+- [^-]+ - (.+?)\.jpg""), "".jpg"", """"), ""-"", "", ""), """")"),"")</f>
        <v/>
      </c>
      <c r="L6926" s="12"/>
      <c r="M6926" s="13"/>
      <c r="N6926" s="2"/>
      <c r="O6926" s="20"/>
      <c r="P6926" s="42"/>
      <c r="R6926" s="23"/>
    </row>
    <row r="6927" spans="1:18" ht="12.75">
      <c r="A6927" s="12"/>
      <c r="D6927" s="12"/>
      <c r="E6927" s="12"/>
      <c r="H6927" s="11" t="str">
        <f ca="1">IFERROR(__xludf.DUMMYFUNCTION("IFERROR(SUBSTITUTE(SUBSTITUTE(REGEXEXTRACT(A6927, ""[^-]+- [^-]+- [^-]+ - (.+?)\.jpg""), "".jpg"", """"), ""-"", "", ""), """")"),"")</f>
        <v/>
      </c>
      <c r="L6927" s="12"/>
      <c r="M6927" s="13"/>
      <c r="N6927" s="2"/>
      <c r="O6927" s="20"/>
      <c r="P6927" s="42"/>
      <c r="R6927" s="23"/>
    </row>
    <row r="6928" spans="1:18" ht="12.75">
      <c r="A6928" s="12"/>
      <c r="D6928" s="12"/>
      <c r="E6928" s="12"/>
      <c r="H6928" s="11" t="str">
        <f ca="1">IFERROR(__xludf.DUMMYFUNCTION("IFERROR(SUBSTITUTE(SUBSTITUTE(REGEXEXTRACT(A6928, ""[^-]+- [^-]+- [^-]+ - (.+?)\.jpg""), "".jpg"", """"), ""-"", "", ""), """")"),"")</f>
        <v/>
      </c>
      <c r="L6928" s="12"/>
      <c r="M6928" s="13"/>
      <c r="N6928" s="2"/>
      <c r="O6928" s="20"/>
      <c r="P6928" s="42"/>
      <c r="R6928" s="23"/>
    </row>
    <row r="6929" spans="1:18" ht="12.75">
      <c r="A6929" s="12"/>
      <c r="D6929" s="12"/>
      <c r="E6929" s="12"/>
      <c r="H6929" s="11" t="str">
        <f ca="1">IFERROR(__xludf.DUMMYFUNCTION("IFERROR(SUBSTITUTE(SUBSTITUTE(REGEXEXTRACT(A6929, ""[^-]+- [^-]+- [^-]+ - (.+?)\.jpg""), "".jpg"", """"), ""-"", "", ""), """")"),"")</f>
        <v/>
      </c>
      <c r="L6929" s="12"/>
      <c r="M6929" s="13"/>
      <c r="N6929" s="2"/>
      <c r="O6929" s="20"/>
      <c r="P6929" s="42"/>
      <c r="R6929" s="23"/>
    </row>
    <row r="6930" spans="1:18" ht="12.75">
      <c r="A6930" s="12"/>
      <c r="D6930" s="12"/>
      <c r="E6930" s="12"/>
      <c r="H6930" s="11" t="str">
        <f ca="1">IFERROR(__xludf.DUMMYFUNCTION("IFERROR(SUBSTITUTE(SUBSTITUTE(REGEXEXTRACT(A6930, ""[^-]+- [^-]+- [^-]+ - (.+?)\.jpg""), "".jpg"", """"), ""-"", "", ""), """")"),"")</f>
        <v/>
      </c>
      <c r="L6930" s="12"/>
      <c r="M6930" s="13"/>
      <c r="N6930" s="2"/>
      <c r="O6930" s="20"/>
      <c r="P6930" s="42"/>
      <c r="R6930" s="23"/>
    </row>
    <row r="6931" spans="1:18" ht="12.75">
      <c r="A6931" s="12"/>
      <c r="D6931" s="12"/>
      <c r="E6931" s="12"/>
      <c r="H6931" s="11" t="str">
        <f ca="1">IFERROR(__xludf.DUMMYFUNCTION("IFERROR(SUBSTITUTE(SUBSTITUTE(REGEXEXTRACT(A6931, ""[^-]+- [^-]+- [^-]+ - (.+?)\.jpg""), "".jpg"", """"), ""-"", "", ""), """")"),"")</f>
        <v/>
      </c>
      <c r="L6931" s="12"/>
      <c r="M6931" s="13"/>
      <c r="N6931" s="2"/>
      <c r="O6931" s="20"/>
      <c r="P6931" s="42"/>
      <c r="R6931" s="23"/>
    </row>
    <row r="6932" spans="1:18" ht="12.75">
      <c r="A6932" s="12"/>
      <c r="D6932" s="12"/>
      <c r="E6932" s="12"/>
      <c r="H6932" s="11" t="str">
        <f ca="1">IFERROR(__xludf.DUMMYFUNCTION("IFERROR(SUBSTITUTE(SUBSTITUTE(REGEXEXTRACT(A6932, ""[^-]+- [^-]+- [^-]+ - (.+?)\.jpg""), "".jpg"", """"), ""-"", "", ""), """")"),"")</f>
        <v/>
      </c>
      <c r="L6932" s="12"/>
      <c r="M6932" s="13"/>
      <c r="N6932" s="2"/>
      <c r="O6932" s="20"/>
      <c r="P6932" s="42"/>
      <c r="R6932" s="23"/>
    </row>
    <row r="6933" spans="1:18" ht="12.75">
      <c r="A6933" s="12"/>
      <c r="D6933" s="12"/>
      <c r="E6933" s="12"/>
      <c r="H6933" s="11" t="str">
        <f ca="1">IFERROR(__xludf.DUMMYFUNCTION("IFERROR(SUBSTITUTE(SUBSTITUTE(REGEXEXTRACT(A6933, ""[^-]+- [^-]+- [^-]+ - (.+?)\.jpg""), "".jpg"", """"), ""-"", "", ""), """")"),"")</f>
        <v/>
      </c>
      <c r="L6933" s="12"/>
      <c r="M6933" s="13"/>
      <c r="N6933" s="2"/>
      <c r="O6933" s="20"/>
      <c r="P6933" s="42"/>
      <c r="R6933" s="23"/>
    </row>
    <row r="6934" spans="1:18" ht="12.75">
      <c r="A6934" s="12"/>
      <c r="D6934" s="12"/>
      <c r="E6934" s="12"/>
      <c r="H6934" s="11" t="str">
        <f ca="1">IFERROR(__xludf.DUMMYFUNCTION("IFERROR(SUBSTITUTE(SUBSTITUTE(REGEXEXTRACT(A6934, ""[^-]+- [^-]+- [^-]+ - (.+?)\.jpg""), "".jpg"", """"), ""-"", "", ""), """")"),"")</f>
        <v/>
      </c>
      <c r="L6934" s="12"/>
      <c r="M6934" s="13"/>
      <c r="N6934" s="2"/>
      <c r="O6934" s="20"/>
      <c r="P6934" s="42"/>
      <c r="R6934" s="23"/>
    </row>
    <row r="6935" spans="1:18" ht="12.75">
      <c r="A6935" s="12"/>
      <c r="D6935" s="12"/>
      <c r="E6935" s="12"/>
      <c r="H6935" s="11" t="str">
        <f ca="1">IFERROR(__xludf.DUMMYFUNCTION("IFERROR(SUBSTITUTE(SUBSTITUTE(REGEXEXTRACT(A6935, ""[^-]+- [^-]+- [^-]+ - (.+?)\.jpg""), "".jpg"", """"), ""-"", "", ""), """")"),"")</f>
        <v/>
      </c>
      <c r="L6935" s="12"/>
      <c r="M6935" s="13"/>
      <c r="N6935" s="2"/>
      <c r="O6935" s="20"/>
      <c r="P6935" s="42"/>
      <c r="R6935" s="23"/>
    </row>
    <row r="6936" spans="1:18" ht="12.75">
      <c r="A6936" s="12"/>
      <c r="D6936" s="12"/>
      <c r="E6936" s="12"/>
      <c r="H6936" s="11" t="str">
        <f ca="1">IFERROR(__xludf.DUMMYFUNCTION("IFERROR(SUBSTITUTE(SUBSTITUTE(REGEXEXTRACT(A6936, ""[^-]+- [^-]+- [^-]+ - (.+?)\.jpg""), "".jpg"", """"), ""-"", "", ""), """")"),"")</f>
        <v/>
      </c>
      <c r="L6936" s="12"/>
      <c r="M6936" s="13"/>
      <c r="N6936" s="2"/>
      <c r="O6936" s="20"/>
      <c r="P6936" s="42"/>
      <c r="R6936" s="23"/>
    </row>
    <row r="6937" spans="1:18" ht="12.75">
      <c r="A6937" s="12"/>
      <c r="D6937" s="12"/>
      <c r="E6937" s="12"/>
      <c r="H6937" s="11" t="str">
        <f ca="1">IFERROR(__xludf.DUMMYFUNCTION("IFERROR(SUBSTITUTE(SUBSTITUTE(REGEXEXTRACT(A6937, ""[^-]+- [^-]+- [^-]+ - (.+?)\.jpg""), "".jpg"", """"), ""-"", "", ""), """")"),"")</f>
        <v/>
      </c>
      <c r="L6937" s="12"/>
      <c r="M6937" s="13"/>
      <c r="N6937" s="2"/>
      <c r="O6937" s="20"/>
      <c r="P6937" s="42"/>
      <c r="R6937" s="23"/>
    </row>
    <row r="6938" spans="1:18" ht="12.75">
      <c r="A6938" s="12"/>
      <c r="D6938" s="12"/>
      <c r="E6938" s="12"/>
      <c r="H6938" s="11" t="str">
        <f ca="1">IFERROR(__xludf.DUMMYFUNCTION("IFERROR(SUBSTITUTE(SUBSTITUTE(REGEXEXTRACT(A6938, ""[^-]+- [^-]+- [^-]+ - (.+?)\.jpg""), "".jpg"", """"), ""-"", "", ""), """")"),"")</f>
        <v/>
      </c>
      <c r="L6938" s="12"/>
      <c r="M6938" s="13"/>
      <c r="N6938" s="2"/>
      <c r="O6938" s="20"/>
      <c r="P6938" s="42"/>
      <c r="R6938" s="23"/>
    </row>
    <row r="6939" spans="1:18" ht="12.75">
      <c r="A6939" s="12"/>
      <c r="D6939" s="12"/>
      <c r="E6939" s="12"/>
      <c r="H6939" s="11" t="str">
        <f ca="1">IFERROR(__xludf.DUMMYFUNCTION("IFERROR(SUBSTITUTE(SUBSTITUTE(REGEXEXTRACT(A6939, ""[^-]+- [^-]+- [^-]+ - (.+?)\.jpg""), "".jpg"", """"), ""-"", "", ""), """")"),"")</f>
        <v/>
      </c>
      <c r="L6939" s="12"/>
      <c r="M6939" s="13"/>
      <c r="N6939" s="2"/>
      <c r="O6939" s="20"/>
      <c r="P6939" s="42"/>
      <c r="R6939" s="23"/>
    </row>
    <row r="6940" spans="1:18" ht="12.75">
      <c r="A6940" s="12"/>
      <c r="D6940" s="12"/>
      <c r="E6940" s="12"/>
      <c r="H6940" s="11" t="str">
        <f ca="1">IFERROR(__xludf.DUMMYFUNCTION("IFERROR(SUBSTITUTE(SUBSTITUTE(REGEXEXTRACT(A6940, ""[^-]+- [^-]+- [^-]+ - (.+?)\.jpg""), "".jpg"", """"), ""-"", "", ""), """")"),"")</f>
        <v/>
      </c>
      <c r="L6940" s="12"/>
      <c r="M6940" s="13"/>
      <c r="N6940" s="2"/>
      <c r="O6940" s="20"/>
      <c r="P6940" s="42"/>
      <c r="R6940" s="23"/>
    </row>
    <row r="6941" spans="1:18" ht="12.75">
      <c r="A6941" s="12"/>
      <c r="D6941" s="12"/>
      <c r="E6941" s="12"/>
      <c r="H6941" s="11" t="str">
        <f ca="1">IFERROR(__xludf.DUMMYFUNCTION("IFERROR(SUBSTITUTE(SUBSTITUTE(REGEXEXTRACT(A6941, ""[^-]+- [^-]+- [^-]+ - (.+?)\.jpg""), "".jpg"", """"), ""-"", "", ""), """")"),"")</f>
        <v/>
      </c>
      <c r="L6941" s="12"/>
      <c r="M6941" s="13"/>
      <c r="N6941" s="2"/>
      <c r="O6941" s="20"/>
      <c r="P6941" s="42"/>
      <c r="R6941" s="23"/>
    </row>
    <row r="6942" spans="1:18" ht="12.75">
      <c r="A6942" s="12"/>
      <c r="D6942" s="12"/>
      <c r="E6942" s="12"/>
      <c r="H6942" s="11" t="str">
        <f ca="1">IFERROR(__xludf.DUMMYFUNCTION("IFERROR(SUBSTITUTE(SUBSTITUTE(REGEXEXTRACT(A6942, ""[^-]+- [^-]+- [^-]+ - (.+?)\.jpg""), "".jpg"", """"), ""-"", "", ""), """")"),"")</f>
        <v/>
      </c>
      <c r="L6942" s="12"/>
      <c r="M6942" s="13"/>
      <c r="N6942" s="2"/>
      <c r="O6942" s="20"/>
      <c r="P6942" s="42"/>
      <c r="R6942" s="23"/>
    </row>
    <row r="6943" spans="1:18" ht="12.75">
      <c r="A6943" s="12"/>
      <c r="D6943" s="12"/>
      <c r="E6943" s="12"/>
      <c r="H6943" s="11" t="str">
        <f ca="1">IFERROR(__xludf.DUMMYFUNCTION("IFERROR(SUBSTITUTE(SUBSTITUTE(REGEXEXTRACT(A6943, ""[^-]+- [^-]+- [^-]+ - (.+?)\.jpg""), "".jpg"", """"), ""-"", "", ""), """")"),"")</f>
        <v/>
      </c>
      <c r="L6943" s="12"/>
      <c r="M6943" s="13"/>
      <c r="N6943" s="2"/>
      <c r="O6943" s="20"/>
      <c r="P6943" s="42"/>
      <c r="R6943" s="23"/>
    </row>
    <row r="6944" spans="1:18" ht="12.75">
      <c r="A6944" s="12"/>
      <c r="D6944" s="12"/>
      <c r="E6944" s="12"/>
      <c r="H6944" s="11" t="str">
        <f ca="1">IFERROR(__xludf.DUMMYFUNCTION("IFERROR(SUBSTITUTE(SUBSTITUTE(REGEXEXTRACT(A6944, ""[^-]+- [^-]+- [^-]+ - (.+?)\.jpg""), "".jpg"", """"), ""-"", "", ""), """")"),"")</f>
        <v/>
      </c>
      <c r="L6944" s="12"/>
      <c r="M6944" s="13"/>
      <c r="N6944" s="2"/>
      <c r="O6944" s="20"/>
      <c r="P6944" s="42"/>
      <c r="R6944" s="23"/>
    </row>
    <row r="6945" spans="1:18" ht="12.75">
      <c r="A6945" s="12"/>
      <c r="D6945" s="12"/>
      <c r="E6945" s="12"/>
      <c r="H6945" s="11" t="str">
        <f ca="1">IFERROR(__xludf.DUMMYFUNCTION("IFERROR(SUBSTITUTE(SUBSTITUTE(REGEXEXTRACT(A6945, ""[^-]+- [^-]+- [^-]+ - (.+?)\.jpg""), "".jpg"", """"), ""-"", "", ""), """")"),"")</f>
        <v/>
      </c>
      <c r="L6945" s="12"/>
      <c r="M6945" s="13"/>
      <c r="N6945" s="2"/>
      <c r="O6945" s="20"/>
      <c r="P6945" s="42"/>
      <c r="R6945" s="23"/>
    </row>
    <row r="6946" spans="1:18" ht="12.75">
      <c r="A6946" s="12"/>
      <c r="D6946" s="12"/>
      <c r="E6946" s="12"/>
      <c r="H6946" s="11" t="str">
        <f ca="1">IFERROR(__xludf.DUMMYFUNCTION("IFERROR(SUBSTITUTE(SUBSTITUTE(REGEXEXTRACT(A6946, ""[^-]+- [^-]+- [^-]+ - (.+?)\.jpg""), "".jpg"", """"), ""-"", "", ""), """")"),"")</f>
        <v/>
      </c>
      <c r="L6946" s="12"/>
      <c r="M6946" s="13"/>
      <c r="N6946" s="2"/>
      <c r="O6946" s="20"/>
      <c r="P6946" s="42"/>
      <c r="R6946" s="23"/>
    </row>
    <row r="6947" spans="1:18" ht="12.75">
      <c r="A6947" s="12"/>
      <c r="D6947" s="12"/>
      <c r="E6947" s="12"/>
      <c r="H6947" s="11" t="str">
        <f ca="1">IFERROR(__xludf.DUMMYFUNCTION("IFERROR(SUBSTITUTE(SUBSTITUTE(REGEXEXTRACT(A6947, ""[^-]+- [^-]+- [^-]+ - (.+?)\.jpg""), "".jpg"", """"), ""-"", "", ""), """")"),"")</f>
        <v/>
      </c>
      <c r="L6947" s="12"/>
      <c r="M6947" s="13"/>
      <c r="N6947" s="2"/>
      <c r="O6947" s="20"/>
      <c r="P6947" s="42"/>
      <c r="R6947" s="23"/>
    </row>
    <row r="6948" spans="1:18" ht="12.75">
      <c r="A6948" s="12"/>
      <c r="D6948" s="12"/>
      <c r="E6948" s="12"/>
      <c r="H6948" s="11" t="str">
        <f ca="1">IFERROR(__xludf.DUMMYFUNCTION("IFERROR(SUBSTITUTE(SUBSTITUTE(REGEXEXTRACT(A6948, ""[^-]+- [^-]+- [^-]+ - (.+?)\.jpg""), "".jpg"", """"), ""-"", "", ""), """")"),"")</f>
        <v/>
      </c>
      <c r="L6948" s="12"/>
      <c r="M6948" s="13"/>
      <c r="N6948" s="2"/>
      <c r="O6948" s="20"/>
      <c r="P6948" s="42"/>
      <c r="R6948" s="23"/>
    </row>
    <row r="6949" spans="1:18" ht="12.75">
      <c r="A6949" s="12"/>
      <c r="D6949" s="12"/>
      <c r="E6949" s="12"/>
      <c r="H6949" s="11" t="str">
        <f ca="1">IFERROR(__xludf.DUMMYFUNCTION("IFERROR(SUBSTITUTE(SUBSTITUTE(REGEXEXTRACT(A6949, ""[^-]+- [^-]+- [^-]+ - (.+?)\.jpg""), "".jpg"", """"), ""-"", "", ""), """")"),"")</f>
        <v/>
      </c>
      <c r="L6949" s="12"/>
      <c r="M6949" s="13"/>
      <c r="N6949" s="2"/>
      <c r="O6949" s="20"/>
      <c r="P6949" s="42"/>
      <c r="R6949" s="23"/>
    </row>
    <row r="6950" spans="1:18" ht="12.75">
      <c r="A6950" s="12"/>
      <c r="D6950" s="12"/>
      <c r="E6950" s="12"/>
      <c r="H6950" s="11" t="str">
        <f ca="1">IFERROR(__xludf.DUMMYFUNCTION("IFERROR(SUBSTITUTE(SUBSTITUTE(REGEXEXTRACT(A6950, ""[^-]+- [^-]+- [^-]+ - (.+?)\.jpg""), "".jpg"", """"), ""-"", "", ""), """")"),"")</f>
        <v/>
      </c>
      <c r="L6950" s="12"/>
      <c r="M6950" s="13"/>
      <c r="N6950" s="2"/>
      <c r="O6950" s="20"/>
      <c r="P6950" s="42"/>
      <c r="R6950" s="23"/>
    </row>
    <row r="6951" spans="1:18" ht="12.75">
      <c r="A6951" s="12"/>
      <c r="D6951" s="12"/>
      <c r="E6951" s="12"/>
      <c r="H6951" s="11" t="str">
        <f ca="1">IFERROR(__xludf.DUMMYFUNCTION("IFERROR(SUBSTITUTE(SUBSTITUTE(REGEXEXTRACT(A6951, ""[^-]+- [^-]+- [^-]+ - (.+?)\.jpg""), "".jpg"", """"), ""-"", "", ""), """")"),"")</f>
        <v/>
      </c>
      <c r="L6951" s="12"/>
      <c r="M6951" s="13"/>
      <c r="N6951" s="2"/>
      <c r="O6951" s="20"/>
      <c r="P6951" s="42"/>
      <c r="R6951" s="23"/>
    </row>
    <row r="6952" spans="1:18" ht="12.75">
      <c r="A6952" s="12"/>
      <c r="D6952" s="12"/>
      <c r="E6952" s="12"/>
      <c r="H6952" s="11" t="str">
        <f ca="1">IFERROR(__xludf.DUMMYFUNCTION("IFERROR(SUBSTITUTE(SUBSTITUTE(REGEXEXTRACT(A6952, ""[^-]+- [^-]+- [^-]+ - (.+?)\.jpg""), "".jpg"", """"), ""-"", "", ""), """")"),"")</f>
        <v/>
      </c>
      <c r="L6952" s="12"/>
      <c r="M6952" s="13"/>
      <c r="N6952" s="2"/>
      <c r="O6952" s="20"/>
      <c r="P6952" s="42"/>
      <c r="R6952" s="23"/>
    </row>
    <row r="6953" spans="1:18" ht="12.75">
      <c r="A6953" s="12"/>
      <c r="D6953" s="12"/>
      <c r="E6953" s="12"/>
      <c r="H6953" s="11" t="str">
        <f ca="1">IFERROR(__xludf.DUMMYFUNCTION("IFERROR(SUBSTITUTE(SUBSTITUTE(REGEXEXTRACT(A6953, ""[^-]+- [^-]+- [^-]+ - (.+?)\.jpg""), "".jpg"", """"), ""-"", "", ""), """")"),"")</f>
        <v/>
      </c>
      <c r="L6953" s="12"/>
      <c r="M6953" s="13"/>
      <c r="N6953" s="2"/>
      <c r="O6953" s="20"/>
      <c r="P6953" s="42"/>
      <c r="R6953" s="23"/>
    </row>
    <row r="6954" spans="1:18" ht="12.75">
      <c r="A6954" s="12"/>
      <c r="D6954" s="12"/>
      <c r="E6954" s="12"/>
      <c r="H6954" s="11" t="str">
        <f ca="1">IFERROR(__xludf.DUMMYFUNCTION("IFERROR(SUBSTITUTE(SUBSTITUTE(REGEXEXTRACT(A6954, ""[^-]+- [^-]+- [^-]+ - (.+?)\.jpg""), "".jpg"", """"), ""-"", "", ""), """")"),"")</f>
        <v/>
      </c>
      <c r="L6954" s="12"/>
      <c r="M6954" s="13"/>
      <c r="N6954" s="2"/>
      <c r="O6954" s="20"/>
      <c r="P6954" s="42"/>
      <c r="R6954" s="23"/>
    </row>
    <row r="6955" spans="1:18" ht="12.75">
      <c r="A6955" s="12"/>
      <c r="D6955" s="12"/>
      <c r="E6955" s="12"/>
      <c r="H6955" s="11" t="str">
        <f ca="1">IFERROR(__xludf.DUMMYFUNCTION("IFERROR(SUBSTITUTE(SUBSTITUTE(REGEXEXTRACT(A6955, ""[^-]+- [^-]+- [^-]+ - (.+?)\.jpg""), "".jpg"", """"), ""-"", "", ""), """")"),"")</f>
        <v/>
      </c>
      <c r="L6955" s="12"/>
      <c r="M6955" s="13"/>
      <c r="N6955" s="2"/>
      <c r="O6955" s="20"/>
      <c r="P6955" s="42"/>
      <c r="R6955" s="23"/>
    </row>
    <row r="6956" spans="1:18" ht="12.75">
      <c r="A6956" s="12"/>
      <c r="D6956" s="12"/>
      <c r="E6956" s="12"/>
      <c r="H6956" s="11" t="str">
        <f ca="1">IFERROR(__xludf.DUMMYFUNCTION("IFERROR(SUBSTITUTE(SUBSTITUTE(REGEXEXTRACT(A6956, ""[^-]+- [^-]+- [^-]+ - (.+?)\.jpg""), "".jpg"", """"), ""-"", "", ""), """")"),"")</f>
        <v/>
      </c>
      <c r="L6956" s="12"/>
      <c r="M6956" s="13"/>
      <c r="N6956" s="2"/>
      <c r="O6956" s="20"/>
      <c r="P6956" s="42"/>
      <c r="R6956" s="23"/>
    </row>
    <row r="6957" spans="1:18" ht="12.75">
      <c r="A6957" s="12"/>
      <c r="D6957" s="12"/>
      <c r="E6957" s="12"/>
      <c r="H6957" s="11" t="str">
        <f ca="1">IFERROR(__xludf.DUMMYFUNCTION("IFERROR(SUBSTITUTE(SUBSTITUTE(REGEXEXTRACT(A6957, ""[^-]+- [^-]+- [^-]+ - (.+?)\.jpg""), "".jpg"", """"), ""-"", "", ""), """")"),"")</f>
        <v/>
      </c>
      <c r="L6957" s="12"/>
      <c r="M6957" s="13"/>
      <c r="N6957" s="2"/>
      <c r="O6957" s="20"/>
      <c r="P6957" s="42"/>
      <c r="R6957" s="23"/>
    </row>
    <row r="6958" spans="1:18" ht="12.75">
      <c r="A6958" s="12"/>
      <c r="D6958" s="12"/>
      <c r="E6958" s="12"/>
      <c r="H6958" s="11" t="str">
        <f ca="1">IFERROR(__xludf.DUMMYFUNCTION("IFERROR(SUBSTITUTE(SUBSTITUTE(REGEXEXTRACT(A6958, ""[^-]+- [^-]+- [^-]+ - (.+?)\.jpg""), "".jpg"", """"), ""-"", "", ""), """")"),"")</f>
        <v/>
      </c>
      <c r="L6958" s="12"/>
      <c r="M6958" s="13"/>
      <c r="N6958" s="2"/>
      <c r="O6958" s="20"/>
      <c r="P6958" s="42"/>
      <c r="R6958" s="23"/>
    </row>
    <row r="6959" spans="1:18" ht="12.75">
      <c r="A6959" s="12"/>
      <c r="D6959" s="12"/>
      <c r="E6959" s="12"/>
      <c r="H6959" s="11" t="str">
        <f ca="1">IFERROR(__xludf.DUMMYFUNCTION("IFERROR(SUBSTITUTE(SUBSTITUTE(REGEXEXTRACT(A6959, ""[^-]+- [^-]+- [^-]+ - (.+?)\.jpg""), "".jpg"", """"), ""-"", "", ""), """")"),"")</f>
        <v/>
      </c>
      <c r="L6959" s="12"/>
      <c r="M6959" s="13"/>
      <c r="N6959" s="2"/>
      <c r="O6959" s="20"/>
      <c r="P6959" s="42"/>
      <c r="R6959" s="23"/>
    </row>
    <row r="6960" spans="1:18" ht="12.75">
      <c r="A6960" s="12"/>
      <c r="D6960" s="12"/>
      <c r="E6960" s="12"/>
      <c r="H6960" s="11" t="str">
        <f ca="1">IFERROR(__xludf.DUMMYFUNCTION("IFERROR(SUBSTITUTE(SUBSTITUTE(REGEXEXTRACT(A6960, ""[^-]+- [^-]+- [^-]+ - (.+?)\.jpg""), "".jpg"", """"), ""-"", "", ""), """")"),"")</f>
        <v/>
      </c>
      <c r="L6960" s="12"/>
      <c r="M6960" s="13"/>
      <c r="N6960" s="2"/>
      <c r="O6960" s="20"/>
      <c r="P6960" s="42"/>
      <c r="R6960" s="23"/>
    </row>
    <row r="6961" spans="1:18" ht="12.75">
      <c r="A6961" s="12"/>
      <c r="D6961" s="12"/>
      <c r="E6961" s="12"/>
      <c r="H6961" s="11" t="str">
        <f ca="1">IFERROR(__xludf.DUMMYFUNCTION("IFERROR(SUBSTITUTE(SUBSTITUTE(REGEXEXTRACT(A6961, ""[^-]+- [^-]+- [^-]+ - (.+?)\.jpg""), "".jpg"", """"), ""-"", "", ""), """")"),"")</f>
        <v/>
      </c>
      <c r="L6961" s="12"/>
      <c r="M6961" s="13"/>
      <c r="N6961" s="2"/>
      <c r="O6961" s="20"/>
      <c r="P6961" s="42"/>
      <c r="R6961" s="23"/>
    </row>
    <row r="6962" spans="1:18" ht="12.75">
      <c r="A6962" s="12"/>
      <c r="D6962" s="12"/>
      <c r="E6962" s="12"/>
      <c r="H6962" s="11" t="str">
        <f ca="1">IFERROR(__xludf.DUMMYFUNCTION("IFERROR(SUBSTITUTE(SUBSTITUTE(REGEXEXTRACT(A6962, ""[^-]+- [^-]+- [^-]+ - (.+?)\.jpg""), "".jpg"", """"), ""-"", "", ""), """")"),"")</f>
        <v/>
      </c>
      <c r="L6962" s="12"/>
      <c r="M6962" s="13"/>
      <c r="N6962" s="2"/>
      <c r="O6962" s="20"/>
      <c r="P6962" s="42"/>
      <c r="R6962" s="23"/>
    </row>
    <row r="6963" spans="1:18" ht="12.75">
      <c r="A6963" s="12"/>
      <c r="D6963" s="12"/>
      <c r="E6963" s="12"/>
      <c r="H6963" s="11" t="str">
        <f ca="1">IFERROR(__xludf.DUMMYFUNCTION("IFERROR(SUBSTITUTE(SUBSTITUTE(REGEXEXTRACT(A6963, ""[^-]+- [^-]+- [^-]+ - (.+?)\.jpg""), "".jpg"", """"), ""-"", "", ""), """")"),"")</f>
        <v/>
      </c>
      <c r="L6963" s="12"/>
      <c r="M6963" s="13"/>
      <c r="N6963" s="2"/>
      <c r="O6963" s="20"/>
      <c r="P6963" s="42"/>
      <c r="R6963" s="23"/>
    </row>
    <row r="6964" spans="1:18" ht="12.75">
      <c r="A6964" s="12"/>
      <c r="D6964" s="12"/>
      <c r="E6964" s="12"/>
      <c r="H6964" s="11" t="str">
        <f ca="1">IFERROR(__xludf.DUMMYFUNCTION("IFERROR(SUBSTITUTE(SUBSTITUTE(REGEXEXTRACT(A6964, ""[^-]+- [^-]+- [^-]+ - (.+?)\.jpg""), "".jpg"", """"), ""-"", "", ""), """")"),"")</f>
        <v/>
      </c>
      <c r="L6964" s="12"/>
      <c r="M6964" s="13"/>
      <c r="N6964" s="2"/>
      <c r="O6964" s="20"/>
      <c r="P6964" s="42"/>
      <c r="R6964" s="23"/>
    </row>
    <row r="6965" spans="1:18" ht="12.75">
      <c r="A6965" s="12"/>
      <c r="D6965" s="12"/>
      <c r="E6965" s="12"/>
      <c r="H6965" s="11" t="str">
        <f ca="1">IFERROR(__xludf.DUMMYFUNCTION("IFERROR(SUBSTITUTE(SUBSTITUTE(REGEXEXTRACT(A6965, ""[^-]+- [^-]+- [^-]+ - (.+?)\.jpg""), "".jpg"", """"), ""-"", "", ""), """")"),"")</f>
        <v/>
      </c>
      <c r="L6965" s="12"/>
      <c r="M6965" s="13"/>
      <c r="N6965" s="2"/>
      <c r="O6965" s="20"/>
      <c r="P6965" s="42"/>
      <c r="R6965" s="23"/>
    </row>
    <row r="6966" spans="1:18" ht="12.75">
      <c r="A6966" s="12"/>
      <c r="D6966" s="12"/>
      <c r="E6966" s="12"/>
      <c r="H6966" s="11" t="str">
        <f ca="1">IFERROR(__xludf.DUMMYFUNCTION("IFERROR(SUBSTITUTE(SUBSTITUTE(REGEXEXTRACT(A6966, ""[^-]+- [^-]+- [^-]+ - (.+?)\.jpg""), "".jpg"", """"), ""-"", "", ""), """")"),"")</f>
        <v/>
      </c>
      <c r="L6966" s="12"/>
      <c r="M6966" s="13"/>
      <c r="N6966" s="2"/>
      <c r="O6966" s="20"/>
      <c r="P6966" s="42"/>
      <c r="R6966" s="23"/>
    </row>
    <row r="6967" spans="1:18" ht="12.75">
      <c r="A6967" s="12"/>
      <c r="D6967" s="12"/>
      <c r="E6967" s="12"/>
      <c r="H6967" s="11" t="str">
        <f ca="1">IFERROR(__xludf.DUMMYFUNCTION("IFERROR(SUBSTITUTE(SUBSTITUTE(REGEXEXTRACT(A6967, ""[^-]+- [^-]+- [^-]+ - (.+?)\.jpg""), "".jpg"", """"), ""-"", "", ""), """")"),"")</f>
        <v/>
      </c>
      <c r="L6967" s="12"/>
      <c r="M6967" s="13"/>
      <c r="N6967" s="2"/>
      <c r="O6967" s="20"/>
      <c r="P6967" s="42"/>
      <c r="R6967" s="23"/>
    </row>
    <row r="6968" spans="1:18" ht="12.75">
      <c r="A6968" s="12"/>
      <c r="D6968" s="12"/>
      <c r="E6968" s="12"/>
      <c r="H6968" s="11" t="str">
        <f ca="1">IFERROR(__xludf.DUMMYFUNCTION("IFERROR(SUBSTITUTE(SUBSTITUTE(REGEXEXTRACT(A6968, ""[^-]+- [^-]+- [^-]+ - (.+?)\.jpg""), "".jpg"", """"), ""-"", "", ""), """")"),"")</f>
        <v/>
      </c>
      <c r="L6968" s="12"/>
      <c r="M6968" s="13"/>
      <c r="N6968" s="2"/>
      <c r="O6968" s="20"/>
      <c r="P6968" s="42"/>
      <c r="R6968" s="23"/>
    </row>
    <row r="6969" spans="1:18" ht="12.75">
      <c r="A6969" s="12"/>
      <c r="D6969" s="12"/>
      <c r="E6969" s="12"/>
      <c r="H6969" s="11" t="str">
        <f ca="1">IFERROR(__xludf.DUMMYFUNCTION("IFERROR(SUBSTITUTE(SUBSTITUTE(REGEXEXTRACT(A6969, ""[^-]+- [^-]+- [^-]+ - (.+?)\.jpg""), "".jpg"", """"), ""-"", "", ""), """")"),"")</f>
        <v/>
      </c>
      <c r="L6969" s="12"/>
      <c r="M6969" s="13"/>
      <c r="N6969" s="2"/>
      <c r="O6969" s="20"/>
      <c r="P6969" s="42"/>
      <c r="R6969" s="23"/>
    </row>
    <row r="6970" spans="1:18" ht="12.75">
      <c r="A6970" s="12"/>
      <c r="D6970" s="12"/>
      <c r="E6970" s="12"/>
      <c r="H6970" s="11" t="str">
        <f ca="1">IFERROR(__xludf.DUMMYFUNCTION("IFERROR(SUBSTITUTE(SUBSTITUTE(REGEXEXTRACT(A6970, ""[^-]+- [^-]+- [^-]+ - (.+?)\.jpg""), "".jpg"", """"), ""-"", "", ""), """")"),"")</f>
        <v/>
      </c>
      <c r="L6970" s="12"/>
      <c r="M6970" s="13"/>
      <c r="N6970" s="2"/>
      <c r="O6970" s="20"/>
      <c r="P6970" s="42"/>
      <c r="R6970" s="23"/>
    </row>
    <row r="6971" spans="1:18" ht="12.75">
      <c r="A6971" s="12"/>
      <c r="D6971" s="12"/>
      <c r="E6971" s="12"/>
      <c r="H6971" s="11" t="str">
        <f ca="1">IFERROR(__xludf.DUMMYFUNCTION("IFERROR(SUBSTITUTE(SUBSTITUTE(REGEXEXTRACT(A6971, ""[^-]+- [^-]+- [^-]+ - (.+?)\.jpg""), "".jpg"", """"), ""-"", "", ""), """")"),"")</f>
        <v/>
      </c>
      <c r="L6971" s="12"/>
      <c r="M6971" s="13"/>
      <c r="N6971" s="2"/>
      <c r="O6971" s="20"/>
      <c r="P6971" s="42"/>
      <c r="R6971" s="23"/>
    </row>
    <row r="6972" spans="1:18" ht="12.75">
      <c r="A6972" s="12"/>
      <c r="D6972" s="12"/>
      <c r="E6972" s="12"/>
      <c r="H6972" s="11" t="str">
        <f ca="1">IFERROR(__xludf.DUMMYFUNCTION("IFERROR(SUBSTITUTE(SUBSTITUTE(REGEXEXTRACT(A6972, ""[^-]+- [^-]+- [^-]+ - (.+?)\.jpg""), "".jpg"", """"), ""-"", "", ""), """")"),"")</f>
        <v/>
      </c>
      <c r="L6972" s="12"/>
      <c r="M6972" s="13"/>
      <c r="N6972" s="2"/>
      <c r="O6972" s="20"/>
      <c r="P6972" s="42"/>
      <c r="R6972" s="23"/>
    </row>
    <row r="6973" spans="1:18" ht="12.75">
      <c r="A6973" s="12"/>
      <c r="D6973" s="12"/>
      <c r="E6973" s="12"/>
      <c r="H6973" s="11" t="str">
        <f ca="1">IFERROR(__xludf.DUMMYFUNCTION("IFERROR(SUBSTITUTE(SUBSTITUTE(REGEXEXTRACT(A6973, ""[^-]+- [^-]+- [^-]+ - (.+?)\.jpg""), "".jpg"", """"), ""-"", "", ""), """")"),"")</f>
        <v/>
      </c>
      <c r="L6973" s="12"/>
      <c r="M6973" s="13"/>
      <c r="N6973" s="2"/>
      <c r="O6973" s="20"/>
      <c r="P6973" s="42"/>
      <c r="R6973" s="23"/>
    </row>
    <row r="6974" spans="1:18" ht="12.75">
      <c r="A6974" s="12"/>
      <c r="D6974" s="12"/>
      <c r="E6974" s="12"/>
      <c r="H6974" s="11" t="str">
        <f ca="1">IFERROR(__xludf.DUMMYFUNCTION("IFERROR(SUBSTITUTE(SUBSTITUTE(REGEXEXTRACT(A6974, ""[^-]+- [^-]+- [^-]+ - (.+?)\.jpg""), "".jpg"", """"), ""-"", "", ""), """")"),"")</f>
        <v/>
      </c>
      <c r="L6974" s="12"/>
      <c r="M6974" s="13"/>
      <c r="N6974" s="2"/>
      <c r="O6974" s="20"/>
      <c r="P6974" s="42"/>
      <c r="R6974" s="23"/>
    </row>
    <row r="6975" spans="1:18" ht="12.75">
      <c r="A6975" s="12"/>
      <c r="D6975" s="12"/>
      <c r="E6975" s="12"/>
      <c r="H6975" s="11" t="str">
        <f ca="1">IFERROR(__xludf.DUMMYFUNCTION("IFERROR(SUBSTITUTE(SUBSTITUTE(REGEXEXTRACT(A6975, ""[^-]+- [^-]+- [^-]+ - (.+?)\.jpg""), "".jpg"", """"), ""-"", "", ""), """")"),"")</f>
        <v/>
      </c>
      <c r="L6975" s="12"/>
      <c r="M6975" s="13"/>
      <c r="N6975" s="2"/>
      <c r="O6975" s="20"/>
      <c r="P6975" s="42"/>
      <c r="R6975" s="23"/>
    </row>
    <row r="6976" spans="1:18" ht="12.75">
      <c r="A6976" s="12"/>
      <c r="D6976" s="12"/>
      <c r="E6976" s="12"/>
      <c r="H6976" s="11" t="str">
        <f ca="1">IFERROR(__xludf.DUMMYFUNCTION("IFERROR(SUBSTITUTE(SUBSTITUTE(REGEXEXTRACT(A6976, ""[^-]+- [^-]+- [^-]+ - (.+?)\.jpg""), "".jpg"", """"), ""-"", "", ""), """")"),"")</f>
        <v/>
      </c>
      <c r="L6976" s="12"/>
      <c r="M6976" s="13"/>
      <c r="N6976" s="2"/>
      <c r="O6976" s="20"/>
      <c r="P6976" s="42"/>
      <c r="R6976" s="23"/>
    </row>
    <row r="6977" spans="1:18" ht="12.75">
      <c r="A6977" s="12"/>
      <c r="D6977" s="12"/>
      <c r="E6977" s="12"/>
      <c r="H6977" s="11" t="str">
        <f ca="1">IFERROR(__xludf.DUMMYFUNCTION("IFERROR(SUBSTITUTE(SUBSTITUTE(REGEXEXTRACT(A6977, ""[^-]+- [^-]+- [^-]+ - (.+?)\.jpg""), "".jpg"", """"), ""-"", "", ""), """")"),"")</f>
        <v/>
      </c>
      <c r="L6977" s="12"/>
      <c r="M6977" s="13"/>
      <c r="N6977" s="2"/>
      <c r="O6977" s="20"/>
      <c r="P6977" s="42"/>
      <c r="R6977" s="23"/>
    </row>
    <row r="6978" spans="1:18" ht="12.75">
      <c r="A6978" s="12"/>
      <c r="D6978" s="12"/>
      <c r="E6978" s="12"/>
      <c r="H6978" s="11" t="str">
        <f ca="1">IFERROR(__xludf.DUMMYFUNCTION("IFERROR(SUBSTITUTE(SUBSTITUTE(REGEXEXTRACT(A6978, ""[^-]+- [^-]+- [^-]+ - (.+?)\.jpg""), "".jpg"", """"), ""-"", "", ""), """")"),"")</f>
        <v/>
      </c>
      <c r="L6978" s="12"/>
      <c r="M6978" s="13"/>
      <c r="N6978" s="2"/>
      <c r="O6978" s="20"/>
      <c r="P6978" s="42"/>
      <c r="R6978" s="23"/>
    </row>
    <row r="6979" spans="1:18" ht="12.75">
      <c r="A6979" s="12"/>
      <c r="D6979" s="12"/>
      <c r="E6979" s="12"/>
      <c r="H6979" s="11" t="str">
        <f ca="1">IFERROR(__xludf.DUMMYFUNCTION("IFERROR(SUBSTITUTE(SUBSTITUTE(REGEXEXTRACT(A6979, ""[^-]+- [^-]+- [^-]+ - (.+?)\.jpg""), "".jpg"", """"), ""-"", "", ""), """")"),"")</f>
        <v/>
      </c>
      <c r="L6979" s="12"/>
      <c r="M6979" s="13"/>
      <c r="N6979" s="2"/>
      <c r="O6979" s="20"/>
      <c r="P6979" s="42"/>
      <c r="R6979" s="23"/>
    </row>
    <row r="6980" spans="1:18" ht="12.75">
      <c r="A6980" s="12"/>
      <c r="D6980" s="12"/>
      <c r="E6980" s="12"/>
      <c r="H6980" s="11" t="str">
        <f ca="1">IFERROR(__xludf.DUMMYFUNCTION("IFERROR(SUBSTITUTE(SUBSTITUTE(REGEXEXTRACT(A6980, ""[^-]+- [^-]+- [^-]+ - (.+?)\.jpg""), "".jpg"", """"), ""-"", "", ""), """")"),"")</f>
        <v/>
      </c>
      <c r="L6980" s="12"/>
      <c r="M6980" s="13"/>
      <c r="N6980" s="2"/>
      <c r="O6980" s="20"/>
      <c r="P6980" s="42"/>
      <c r="R6980" s="23"/>
    </row>
    <row r="6981" spans="1:18" ht="12.75">
      <c r="A6981" s="12"/>
      <c r="D6981" s="12"/>
      <c r="E6981" s="12"/>
      <c r="H6981" s="11" t="str">
        <f ca="1">IFERROR(__xludf.DUMMYFUNCTION("IFERROR(SUBSTITUTE(SUBSTITUTE(REGEXEXTRACT(A6981, ""[^-]+- [^-]+- [^-]+ - (.+?)\.jpg""), "".jpg"", """"), ""-"", "", ""), """")"),"")</f>
        <v/>
      </c>
      <c r="L6981" s="12"/>
      <c r="M6981" s="13"/>
      <c r="N6981" s="2"/>
      <c r="O6981" s="20"/>
      <c r="P6981" s="42"/>
      <c r="R6981" s="23"/>
    </row>
    <row r="6982" spans="1:18" ht="12.75">
      <c r="A6982" s="12"/>
      <c r="D6982" s="12"/>
      <c r="E6982" s="12"/>
      <c r="H6982" s="11" t="str">
        <f ca="1">IFERROR(__xludf.DUMMYFUNCTION("IFERROR(SUBSTITUTE(SUBSTITUTE(REGEXEXTRACT(A6982, ""[^-]+- [^-]+- [^-]+ - (.+?)\.jpg""), "".jpg"", """"), ""-"", "", ""), """")"),"")</f>
        <v/>
      </c>
      <c r="L6982" s="12"/>
      <c r="M6982" s="13"/>
      <c r="N6982" s="2"/>
      <c r="O6982" s="20"/>
      <c r="P6982" s="42"/>
      <c r="R6982" s="23"/>
    </row>
    <row r="6983" spans="1:18" ht="12.75">
      <c r="A6983" s="12"/>
      <c r="D6983" s="12"/>
      <c r="E6983" s="12"/>
      <c r="H6983" s="11" t="str">
        <f ca="1">IFERROR(__xludf.DUMMYFUNCTION("IFERROR(SUBSTITUTE(SUBSTITUTE(REGEXEXTRACT(A6983, ""[^-]+- [^-]+- [^-]+ - (.+?)\.jpg""), "".jpg"", """"), ""-"", "", ""), """")"),"")</f>
        <v/>
      </c>
      <c r="L6983" s="12"/>
      <c r="M6983" s="13"/>
      <c r="N6983" s="2"/>
      <c r="O6983" s="20"/>
      <c r="P6983" s="42"/>
      <c r="R6983" s="23"/>
    </row>
    <row r="6984" spans="1:18" ht="12.75">
      <c r="A6984" s="12"/>
      <c r="D6984" s="12"/>
      <c r="E6984" s="12"/>
      <c r="H6984" s="11" t="str">
        <f ca="1">IFERROR(__xludf.DUMMYFUNCTION("IFERROR(SUBSTITUTE(SUBSTITUTE(REGEXEXTRACT(A6984, ""[^-]+- [^-]+- [^-]+ - (.+?)\.jpg""), "".jpg"", """"), ""-"", "", ""), """")"),"")</f>
        <v/>
      </c>
      <c r="L6984" s="12"/>
      <c r="M6984" s="13"/>
      <c r="N6984" s="2"/>
      <c r="O6984" s="20"/>
      <c r="P6984" s="42"/>
      <c r="R6984" s="23"/>
    </row>
    <row r="6985" spans="1:18" ht="12.75">
      <c r="A6985" s="12"/>
      <c r="D6985" s="12"/>
      <c r="E6985" s="12"/>
      <c r="H6985" s="11" t="str">
        <f ca="1">IFERROR(__xludf.DUMMYFUNCTION("IFERROR(SUBSTITUTE(SUBSTITUTE(REGEXEXTRACT(A6985, ""[^-]+- [^-]+- [^-]+ - (.+?)\.jpg""), "".jpg"", """"), ""-"", "", ""), """")"),"")</f>
        <v/>
      </c>
      <c r="L6985" s="12"/>
      <c r="M6985" s="13"/>
      <c r="N6985" s="2"/>
      <c r="O6985" s="20"/>
      <c r="P6985" s="42"/>
      <c r="R6985" s="23"/>
    </row>
    <row r="6986" spans="1:18" ht="12.75">
      <c r="A6986" s="12"/>
      <c r="D6986" s="12"/>
      <c r="E6986" s="12"/>
      <c r="H6986" s="11" t="str">
        <f ca="1">IFERROR(__xludf.DUMMYFUNCTION("IFERROR(SUBSTITUTE(SUBSTITUTE(REGEXEXTRACT(A6986, ""[^-]+- [^-]+- [^-]+ - (.+?)\.jpg""), "".jpg"", """"), ""-"", "", ""), """")"),"")</f>
        <v/>
      </c>
      <c r="L6986" s="12"/>
      <c r="M6986" s="13"/>
      <c r="N6986" s="2"/>
      <c r="O6986" s="20"/>
      <c r="P6986" s="42"/>
      <c r="R6986" s="23"/>
    </row>
    <row r="6987" spans="1:18" ht="12.75">
      <c r="A6987" s="12"/>
      <c r="D6987" s="12"/>
      <c r="E6987" s="12"/>
      <c r="H6987" s="11" t="str">
        <f ca="1">IFERROR(__xludf.DUMMYFUNCTION("IFERROR(SUBSTITUTE(SUBSTITUTE(REGEXEXTRACT(A6987, ""[^-]+- [^-]+- [^-]+ - (.+?)\.jpg""), "".jpg"", """"), ""-"", "", ""), """")"),"")</f>
        <v/>
      </c>
      <c r="L6987" s="12"/>
      <c r="M6987" s="13"/>
      <c r="N6987" s="2"/>
      <c r="O6987" s="20"/>
      <c r="P6987" s="42"/>
      <c r="R6987" s="23"/>
    </row>
    <row r="6988" spans="1:18" ht="12.75">
      <c r="A6988" s="12"/>
      <c r="D6988" s="12"/>
      <c r="E6988" s="12"/>
      <c r="H6988" s="11" t="str">
        <f ca="1">IFERROR(__xludf.DUMMYFUNCTION("IFERROR(SUBSTITUTE(SUBSTITUTE(REGEXEXTRACT(A6988, ""[^-]+- [^-]+- [^-]+ - (.+?)\.jpg""), "".jpg"", """"), ""-"", "", ""), """")"),"")</f>
        <v/>
      </c>
      <c r="L6988" s="12"/>
      <c r="M6988" s="13"/>
      <c r="N6988" s="2"/>
      <c r="O6988" s="20"/>
      <c r="P6988" s="42"/>
      <c r="R6988" s="23"/>
    </row>
    <row r="6989" spans="1:18" ht="12.75">
      <c r="A6989" s="12"/>
      <c r="D6989" s="12"/>
      <c r="E6989" s="12"/>
      <c r="H6989" s="11" t="str">
        <f ca="1">IFERROR(__xludf.DUMMYFUNCTION("IFERROR(SUBSTITUTE(SUBSTITUTE(REGEXEXTRACT(A6989, ""[^-]+- [^-]+- [^-]+ - (.+?)\.jpg""), "".jpg"", """"), ""-"", "", ""), """")"),"")</f>
        <v/>
      </c>
      <c r="L6989" s="12"/>
      <c r="M6989" s="13"/>
      <c r="N6989" s="2"/>
      <c r="O6989" s="20"/>
      <c r="P6989" s="42"/>
      <c r="R6989" s="23"/>
    </row>
    <row r="6990" spans="1:18" ht="12.75">
      <c r="A6990" s="12"/>
      <c r="D6990" s="12"/>
      <c r="E6990" s="12"/>
      <c r="H6990" s="11" t="str">
        <f ca="1">IFERROR(__xludf.DUMMYFUNCTION("IFERROR(SUBSTITUTE(SUBSTITUTE(REGEXEXTRACT(A6990, ""[^-]+- [^-]+- [^-]+ - (.+?)\.jpg""), "".jpg"", """"), ""-"", "", ""), """")"),"")</f>
        <v/>
      </c>
      <c r="L6990" s="12"/>
      <c r="M6990" s="13"/>
      <c r="N6990" s="2"/>
      <c r="O6990" s="20"/>
      <c r="P6990" s="42"/>
      <c r="R6990" s="23"/>
    </row>
    <row r="6991" spans="1:18" ht="12.75">
      <c r="A6991" s="12"/>
      <c r="D6991" s="12"/>
      <c r="E6991" s="12"/>
      <c r="H6991" s="11" t="str">
        <f ca="1">IFERROR(__xludf.DUMMYFUNCTION("IFERROR(SUBSTITUTE(SUBSTITUTE(REGEXEXTRACT(A6991, ""[^-]+- [^-]+- [^-]+ - (.+?)\.jpg""), "".jpg"", """"), ""-"", "", ""), """")"),"")</f>
        <v/>
      </c>
      <c r="L6991" s="12"/>
      <c r="M6991" s="13"/>
      <c r="N6991" s="2"/>
      <c r="O6991" s="20"/>
      <c r="P6991" s="42"/>
      <c r="R6991" s="23"/>
    </row>
    <row r="6992" spans="1:18" ht="12.75">
      <c r="A6992" s="12"/>
      <c r="D6992" s="12"/>
      <c r="E6992" s="12"/>
      <c r="H6992" s="11" t="str">
        <f ca="1">IFERROR(__xludf.DUMMYFUNCTION("IFERROR(SUBSTITUTE(SUBSTITUTE(REGEXEXTRACT(A6992, ""[^-]+- [^-]+- [^-]+ - (.+?)\.jpg""), "".jpg"", """"), ""-"", "", ""), """")"),"")</f>
        <v/>
      </c>
      <c r="L6992" s="12"/>
      <c r="M6992" s="13"/>
      <c r="N6992" s="2"/>
      <c r="O6992" s="20"/>
      <c r="P6992" s="42"/>
      <c r="R6992" s="23"/>
    </row>
    <row r="6993" spans="1:18" ht="12.75">
      <c r="A6993" s="12"/>
      <c r="D6993" s="12"/>
      <c r="E6993" s="12"/>
      <c r="H6993" s="11" t="str">
        <f ca="1">IFERROR(__xludf.DUMMYFUNCTION("IFERROR(SUBSTITUTE(SUBSTITUTE(REGEXEXTRACT(A6993, ""[^-]+- [^-]+- [^-]+ - (.+?)\.jpg""), "".jpg"", """"), ""-"", "", ""), """")"),"")</f>
        <v/>
      </c>
      <c r="L6993" s="12"/>
      <c r="M6993" s="13"/>
      <c r="N6993" s="2"/>
      <c r="O6993" s="20"/>
      <c r="P6993" s="42"/>
      <c r="R6993" s="23"/>
    </row>
    <row r="6994" spans="1:18" ht="12.75">
      <c r="A6994" s="12"/>
      <c r="D6994" s="12"/>
      <c r="E6994" s="12"/>
      <c r="H6994" s="11" t="str">
        <f ca="1">IFERROR(__xludf.DUMMYFUNCTION("IFERROR(SUBSTITUTE(SUBSTITUTE(REGEXEXTRACT(A6994, ""[^-]+- [^-]+- [^-]+ - (.+?)\.jpg""), "".jpg"", """"), ""-"", "", ""), """")"),"")</f>
        <v/>
      </c>
      <c r="L6994" s="12"/>
      <c r="M6994" s="13"/>
      <c r="N6994" s="2"/>
      <c r="O6994" s="20"/>
      <c r="P6994" s="42"/>
      <c r="R6994" s="23"/>
    </row>
    <row r="6995" spans="1:18" ht="12.75">
      <c r="A6995" s="12"/>
      <c r="D6995" s="12"/>
      <c r="E6995" s="12"/>
      <c r="H6995" s="11" t="str">
        <f ca="1">IFERROR(__xludf.DUMMYFUNCTION("IFERROR(SUBSTITUTE(SUBSTITUTE(REGEXEXTRACT(A6995, ""[^-]+- [^-]+- [^-]+ - (.+?)\.jpg""), "".jpg"", """"), ""-"", "", ""), """")"),"")</f>
        <v/>
      </c>
      <c r="L6995" s="12"/>
      <c r="M6995" s="13"/>
      <c r="N6995" s="2"/>
      <c r="O6995" s="20"/>
      <c r="P6995" s="42"/>
      <c r="R6995" s="23"/>
    </row>
    <row r="6996" spans="1:18" ht="12.75">
      <c r="A6996" s="12"/>
      <c r="D6996" s="12"/>
      <c r="E6996" s="12"/>
      <c r="H6996" s="11" t="str">
        <f ca="1">IFERROR(__xludf.DUMMYFUNCTION("IFERROR(SUBSTITUTE(SUBSTITUTE(REGEXEXTRACT(A6996, ""[^-]+- [^-]+- [^-]+ - (.+?)\.jpg""), "".jpg"", """"), ""-"", "", ""), """")"),"")</f>
        <v/>
      </c>
      <c r="L6996" s="12"/>
      <c r="M6996" s="13"/>
      <c r="N6996" s="2"/>
      <c r="O6996" s="20"/>
      <c r="P6996" s="42"/>
      <c r="R6996" s="23"/>
    </row>
    <row r="6997" spans="1:18" ht="12.75">
      <c r="A6997" s="12"/>
      <c r="D6997" s="12"/>
      <c r="E6997" s="12"/>
      <c r="H6997" s="11" t="str">
        <f ca="1">IFERROR(__xludf.DUMMYFUNCTION("IFERROR(SUBSTITUTE(SUBSTITUTE(REGEXEXTRACT(A6997, ""[^-]+- [^-]+- [^-]+ - (.+?)\.jpg""), "".jpg"", """"), ""-"", "", ""), """")"),"")</f>
        <v/>
      </c>
      <c r="L6997" s="12"/>
      <c r="M6997" s="13"/>
      <c r="N6997" s="2"/>
      <c r="O6997" s="20"/>
      <c r="P6997" s="42"/>
      <c r="R6997" s="23"/>
    </row>
    <row r="6998" spans="1:18" ht="12.75">
      <c r="A6998" s="12"/>
      <c r="D6998" s="12"/>
      <c r="E6998" s="12"/>
      <c r="H6998" s="11" t="str">
        <f ca="1">IFERROR(__xludf.DUMMYFUNCTION("IFERROR(SUBSTITUTE(SUBSTITUTE(REGEXEXTRACT(A6998, ""[^-]+- [^-]+- [^-]+ - (.+?)\.jpg""), "".jpg"", """"), ""-"", "", ""), """")"),"")</f>
        <v/>
      </c>
      <c r="L6998" s="12"/>
      <c r="M6998" s="13"/>
      <c r="N6998" s="2"/>
      <c r="O6998" s="20"/>
      <c r="P6998" s="42"/>
      <c r="R6998" s="23"/>
    </row>
    <row r="6999" spans="1:18" ht="12.75">
      <c r="A6999" s="12"/>
      <c r="D6999" s="12"/>
      <c r="E6999" s="12"/>
      <c r="H6999" s="11" t="str">
        <f ca="1">IFERROR(__xludf.DUMMYFUNCTION("IFERROR(SUBSTITUTE(SUBSTITUTE(REGEXEXTRACT(A6999, ""[^-]+- [^-]+- [^-]+ - (.+?)\.jpg""), "".jpg"", """"), ""-"", "", ""), """")"),"")</f>
        <v/>
      </c>
      <c r="L6999" s="12"/>
      <c r="M6999" s="13"/>
      <c r="N6999" s="2"/>
      <c r="O6999" s="20"/>
      <c r="P6999" s="42"/>
      <c r="R6999" s="23"/>
    </row>
    <row r="7000" spans="1:18" ht="12.75">
      <c r="A7000" s="12"/>
      <c r="D7000" s="12"/>
      <c r="E7000" s="12"/>
      <c r="H7000" s="11" t="str">
        <f ca="1">IFERROR(__xludf.DUMMYFUNCTION("IFERROR(SUBSTITUTE(SUBSTITUTE(REGEXEXTRACT(A7000, ""[^-]+- [^-]+- [^-]+ - (.+?)\.jpg""), "".jpg"", """"), ""-"", "", ""), """")"),"")</f>
        <v/>
      </c>
      <c r="L7000" s="12"/>
      <c r="M7000" s="13"/>
      <c r="N7000" s="2"/>
      <c r="O7000" s="20"/>
      <c r="P7000" s="42"/>
      <c r="R7000" s="23"/>
    </row>
    <row r="7001" spans="1:18" ht="12.75">
      <c r="A7001" s="12"/>
      <c r="D7001" s="12"/>
      <c r="E7001" s="12"/>
      <c r="H7001" s="11" t="str">
        <f ca="1">IFERROR(__xludf.DUMMYFUNCTION("IFERROR(SUBSTITUTE(SUBSTITUTE(REGEXEXTRACT(A7001, ""[^-]+- [^-]+- [^-]+ - (.+?)\.jpg""), "".jpg"", """"), ""-"", "", ""), """")"),"")</f>
        <v/>
      </c>
      <c r="L7001" s="12"/>
      <c r="M7001" s="13"/>
      <c r="N7001" s="2"/>
      <c r="O7001" s="20"/>
      <c r="P7001" s="42"/>
      <c r="R7001" s="23"/>
    </row>
    <row r="7002" spans="1:18" ht="12.75">
      <c r="A7002" s="12"/>
      <c r="D7002" s="12"/>
      <c r="E7002" s="12"/>
      <c r="H7002" s="11" t="str">
        <f ca="1">IFERROR(__xludf.DUMMYFUNCTION("IFERROR(SUBSTITUTE(SUBSTITUTE(REGEXEXTRACT(A7002, ""[^-]+- [^-]+- [^-]+ - (.+?)\.jpg""), "".jpg"", """"), ""-"", "", ""), """")"),"")</f>
        <v/>
      </c>
      <c r="L7002" s="12"/>
      <c r="M7002" s="13"/>
      <c r="N7002" s="2"/>
      <c r="O7002" s="20"/>
      <c r="P7002" s="42"/>
      <c r="R7002" s="23"/>
    </row>
    <row r="7003" spans="1:18" ht="12.75">
      <c r="A7003" s="12"/>
      <c r="D7003" s="12"/>
      <c r="E7003" s="12"/>
      <c r="H7003" s="11" t="str">
        <f ca="1">IFERROR(__xludf.DUMMYFUNCTION("IFERROR(SUBSTITUTE(SUBSTITUTE(REGEXEXTRACT(A7003, ""[^-]+- [^-]+- [^-]+ - (.+?)\.jpg""), "".jpg"", """"), ""-"", "", ""), """")"),"")</f>
        <v/>
      </c>
      <c r="L7003" s="12"/>
      <c r="M7003" s="13"/>
      <c r="N7003" s="2"/>
      <c r="O7003" s="20"/>
      <c r="P7003" s="42"/>
      <c r="R7003" s="23"/>
    </row>
    <row r="7004" spans="1:18" ht="12.75">
      <c r="A7004" s="12"/>
      <c r="D7004" s="12"/>
      <c r="E7004" s="12"/>
      <c r="H7004" s="11" t="str">
        <f ca="1">IFERROR(__xludf.DUMMYFUNCTION("IFERROR(SUBSTITUTE(SUBSTITUTE(REGEXEXTRACT(A7004, ""[^-]+- [^-]+- [^-]+ - (.+?)\.jpg""), "".jpg"", """"), ""-"", "", ""), """")"),"")</f>
        <v/>
      </c>
      <c r="L7004" s="12"/>
      <c r="M7004" s="13"/>
      <c r="N7004" s="2"/>
      <c r="O7004" s="20"/>
      <c r="P7004" s="42"/>
      <c r="R7004" s="23"/>
    </row>
    <row r="7005" spans="1:18" ht="12.75">
      <c r="A7005" s="12"/>
      <c r="D7005" s="12"/>
      <c r="E7005" s="12"/>
      <c r="H7005" s="11" t="str">
        <f ca="1">IFERROR(__xludf.DUMMYFUNCTION("IFERROR(SUBSTITUTE(SUBSTITUTE(REGEXEXTRACT(A7005, ""[^-]+- [^-]+- [^-]+ - (.+?)\.jpg""), "".jpg"", """"), ""-"", "", ""), """")"),"")</f>
        <v/>
      </c>
      <c r="L7005" s="12"/>
      <c r="M7005" s="13"/>
      <c r="N7005" s="2"/>
      <c r="O7005" s="20"/>
      <c r="P7005" s="42"/>
      <c r="R7005" s="23"/>
    </row>
    <row r="7006" spans="1:18" ht="12.75">
      <c r="A7006" s="12"/>
      <c r="D7006" s="12"/>
      <c r="E7006" s="12"/>
      <c r="H7006" s="11" t="str">
        <f ca="1">IFERROR(__xludf.DUMMYFUNCTION("IFERROR(SUBSTITUTE(SUBSTITUTE(REGEXEXTRACT(A7006, ""[^-]+- [^-]+- [^-]+ - (.+?)\.jpg""), "".jpg"", """"), ""-"", "", ""), """")"),"")</f>
        <v/>
      </c>
      <c r="L7006" s="12"/>
      <c r="M7006" s="13"/>
      <c r="N7006" s="2"/>
      <c r="O7006" s="20"/>
      <c r="P7006" s="42"/>
      <c r="R7006" s="23"/>
    </row>
    <row r="7007" spans="1:18" ht="12.75">
      <c r="A7007" s="12"/>
      <c r="D7007" s="12"/>
      <c r="E7007" s="12"/>
      <c r="H7007" s="11" t="str">
        <f ca="1">IFERROR(__xludf.DUMMYFUNCTION("IFERROR(SUBSTITUTE(SUBSTITUTE(REGEXEXTRACT(A7007, ""[^-]+- [^-]+- [^-]+ - (.+?)\.jpg""), "".jpg"", """"), ""-"", "", ""), """")"),"")</f>
        <v/>
      </c>
      <c r="L7007" s="12"/>
      <c r="M7007" s="13"/>
      <c r="N7007" s="2"/>
      <c r="O7007" s="20"/>
      <c r="P7007" s="42"/>
      <c r="R7007" s="23"/>
    </row>
    <row r="7008" spans="1:18" ht="12.75">
      <c r="A7008" s="12"/>
      <c r="D7008" s="12"/>
      <c r="E7008" s="12"/>
      <c r="H7008" s="11" t="str">
        <f ca="1">IFERROR(__xludf.DUMMYFUNCTION("IFERROR(SUBSTITUTE(SUBSTITUTE(REGEXEXTRACT(A7008, ""[^-]+- [^-]+- [^-]+ - (.+?)\.jpg""), "".jpg"", """"), ""-"", "", ""), """")"),"")</f>
        <v/>
      </c>
      <c r="L7008" s="12"/>
      <c r="M7008" s="13"/>
      <c r="N7008" s="2"/>
      <c r="O7008" s="20"/>
      <c r="P7008" s="42"/>
      <c r="R7008" s="23"/>
    </row>
    <row r="7009" spans="1:18" ht="12.75">
      <c r="A7009" s="12"/>
      <c r="D7009" s="12"/>
      <c r="E7009" s="12"/>
      <c r="H7009" s="11" t="str">
        <f ca="1">IFERROR(__xludf.DUMMYFUNCTION("IFERROR(SUBSTITUTE(SUBSTITUTE(REGEXEXTRACT(A7009, ""[^-]+- [^-]+- [^-]+ - (.+?)\.jpg""), "".jpg"", """"), ""-"", "", ""), """")"),"")</f>
        <v/>
      </c>
      <c r="L7009" s="12"/>
      <c r="M7009" s="13"/>
      <c r="N7009" s="2"/>
      <c r="O7009" s="20"/>
      <c r="P7009" s="42"/>
      <c r="R7009" s="23"/>
    </row>
    <row r="7010" spans="1:18" ht="12.75">
      <c r="A7010" s="12"/>
      <c r="D7010" s="12"/>
      <c r="E7010" s="12"/>
      <c r="H7010" s="11" t="str">
        <f ca="1">IFERROR(__xludf.DUMMYFUNCTION("IFERROR(SUBSTITUTE(SUBSTITUTE(REGEXEXTRACT(A7010, ""[^-]+- [^-]+- [^-]+ - (.+?)\.jpg""), "".jpg"", """"), ""-"", "", ""), """")"),"")</f>
        <v/>
      </c>
      <c r="L7010" s="12"/>
      <c r="M7010" s="13"/>
      <c r="N7010" s="2"/>
      <c r="O7010" s="20"/>
      <c r="P7010" s="42"/>
      <c r="R7010" s="23"/>
    </row>
    <row r="7011" spans="1:18" ht="12.75">
      <c r="A7011" s="12"/>
      <c r="D7011" s="12"/>
      <c r="E7011" s="12"/>
      <c r="H7011" s="11" t="str">
        <f ca="1">IFERROR(__xludf.DUMMYFUNCTION("IFERROR(SUBSTITUTE(SUBSTITUTE(REGEXEXTRACT(A7011, ""[^-]+- [^-]+- [^-]+ - (.+?)\.jpg""), "".jpg"", """"), ""-"", "", ""), """")"),"")</f>
        <v/>
      </c>
      <c r="L7011" s="12"/>
      <c r="M7011" s="13"/>
      <c r="N7011" s="2"/>
      <c r="O7011" s="20"/>
      <c r="P7011" s="42"/>
      <c r="R7011" s="23"/>
    </row>
    <row r="7012" spans="1:18" ht="12.75">
      <c r="A7012" s="12"/>
      <c r="D7012" s="12"/>
      <c r="E7012" s="12"/>
      <c r="H7012" s="11" t="str">
        <f ca="1">IFERROR(__xludf.DUMMYFUNCTION("IFERROR(SUBSTITUTE(SUBSTITUTE(REGEXEXTRACT(A7012, ""[^-]+- [^-]+- [^-]+ - (.+?)\.jpg""), "".jpg"", """"), ""-"", "", ""), """")"),"")</f>
        <v/>
      </c>
      <c r="L7012" s="12"/>
      <c r="M7012" s="13"/>
      <c r="N7012" s="2"/>
      <c r="O7012" s="20"/>
      <c r="P7012" s="42"/>
      <c r="R7012" s="23"/>
    </row>
    <row r="7013" spans="1:18" ht="12.75">
      <c r="A7013" s="12"/>
      <c r="D7013" s="12"/>
      <c r="E7013" s="12"/>
      <c r="H7013" s="11" t="str">
        <f ca="1">IFERROR(__xludf.DUMMYFUNCTION("IFERROR(SUBSTITUTE(SUBSTITUTE(REGEXEXTRACT(A7013, ""[^-]+- [^-]+- [^-]+ - (.+?)\.jpg""), "".jpg"", """"), ""-"", "", ""), """")"),"")</f>
        <v/>
      </c>
      <c r="L7013" s="12"/>
      <c r="M7013" s="13"/>
      <c r="N7013" s="2"/>
      <c r="O7013" s="20"/>
      <c r="P7013" s="42"/>
      <c r="R7013" s="23"/>
    </row>
    <row r="7014" spans="1:18" ht="12.75">
      <c r="A7014" s="12"/>
      <c r="D7014" s="12"/>
      <c r="E7014" s="12"/>
      <c r="H7014" s="11" t="str">
        <f ca="1">IFERROR(__xludf.DUMMYFUNCTION("IFERROR(SUBSTITUTE(SUBSTITUTE(REGEXEXTRACT(A7014, ""[^-]+- [^-]+- [^-]+ - (.+?)\.jpg""), "".jpg"", """"), ""-"", "", ""), """")"),"")</f>
        <v/>
      </c>
      <c r="L7014" s="12"/>
      <c r="M7014" s="13"/>
      <c r="N7014" s="2"/>
      <c r="O7014" s="20"/>
      <c r="P7014" s="42"/>
      <c r="R7014" s="23"/>
    </row>
    <row r="7015" spans="1:18" ht="12.75">
      <c r="A7015" s="12"/>
      <c r="D7015" s="12"/>
      <c r="E7015" s="12"/>
      <c r="H7015" s="11" t="str">
        <f ca="1">IFERROR(__xludf.DUMMYFUNCTION("IFERROR(SUBSTITUTE(SUBSTITUTE(REGEXEXTRACT(A7015, ""[^-]+- [^-]+- [^-]+ - (.+?)\.jpg""), "".jpg"", """"), ""-"", "", ""), """")"),"")</f>
        <v/>
      </c>
      <c r="L7015" s="12"/>
      <c r="M7015" s="13"/>
      <c r="N7015" s="2"/>
      <c r="O7015" s="20"/>
      <c r="P7015" s="42"/>
      <c r="R7015" s="23"/>
    </row>
    <row r="7016" spans="1:18" ht="12.75">
      <c r="A7016" s="12"/>
      <c r="D7016" s="12"/>
      <c r="E7016" s="12"/>
      <c r="H7016" s="11" t="str">
        <f ca="1">IFERROR(__xludf.DUMMYFUNCTION("IFERROR(SUBSTITUTE(SUBSTITUTE(REGEXEXTRACT(A7016, ""[^-]+- [^-]+- [^-]+ - (.+?)\.jpg""), "".jpg"", """"), ""-"", "", ""), """")"),"")</f>
        <v/>
      </c>
      <c r="L7016" s="12"/>
      <c r="M7016" s="13"/>
      <c r="N7016" s="2"/>
      <c r="O7016" s="20"/>
      <c r="P7016" s="42"/>
      <c r="R7016" s="23"/>
    </row>
    <row r="7017" spans="1:18" ht="12.75">
      <c r="A7017" s="12"/>
      <c r="D7017" s="12"/>
      <c r="E7017" s="12"/>
      <c r="H7017" s="11" t="str">
        <f ca="1">IFERROR(__xludf.DUMMYFUNCTION("IFERROR(SUBSTITUTE(SUBSTITUTE(REGEXEXTRACT(A7017, ""[^-]+- [^-]+- [^-]+ - (.+?)\.jpg""), "".jpg"", """"), ""-"", "", ""), """")"),"")</f>
        <v/>
      </c>
      <c r="L7017" s="12"/>
      <c r="M7017" s="13"/>
      <c r="N7017" s="2"/>
      <c r="O7017" s="20"/>
      <c r="P7017" s="42"/>
      <c r="R7017" s="23"/>
    </row>
    <row r="7018" spans="1:18" ht="12.75">
      <c r="A7018" s="12"/>
      <c r="D7018" s="12"/>
      <c r="E7018" s="12"/>
      <c r="H7018" s="11" t="str">
        <f ca="1">IFERROR(__xludf.DUMMYFUNCTION("IFERROR(SUBSTITUTE(SUBSTITUTE(REGEXEXTRACT(A7018, ""[^-]+- [^-]+- [^-]+ - (.+?)\.jpg""), "".jpg"", """"), ""-"", "", ""), """")"),"")</f>
        <v/>
      </c>
      <c r="L7018" s="12"/>
      <c r="M7018" s="13"/>
      <c r="N7018" s="2"/>
      <c r="O7018" s="20"/>
      <c r="P7018" s="42"/>
      <c r="R7018" s="23"/>
    </row>
    <row r="7019" spans="1:18" ht="12.75">
      <c r="A7019" s="12"/>
      <c r="D7019" s="12"/>
      <c r="E7019" s="12"/>
      <c r="H7019" s="11" t="str">
        <f ca="1">IFERROR(__xludf.DUMMYFUNCTION("IFERROR(SUBSTITUTE(SUBSTITUTE(REGEXEXTRACT(A7019, ""[^-]+- [^-]+- [^-]+ - (.+?)\.jpg""), "".jpg"", """"), ""-"", "", ""), """")"),"")</f>
        <v/>
      </c>
      <c r="L7019" s="12"/>
      <c r="M7019" s="13"/>
      <c r="N7019" s="2"/>
      <c r="O7019" s="20"/>
      <c r="P7019" s="42"/>
      <c r="R7019" s="23"/>
    </row>
    <row r="7020" spans="1:18" ht="12.75">
      <c r="A7020" s="12"/>
      <c r="D7020" s="12"/>
      <c r="E7020" s="12"/>
      <c r="H7020" s="11" t="str">
        <f ca="1">IFERROR(__xludf.DUMMYFUNCTION("IFERROR(SUBSTITUTE(SUBSTITUTE(REGEXEXTRACT(A7020, ""[^-]+- [^-]+- [^-]+ - (.+?)\.jpg""), "".jpg"", """"), ""-"", "", ""), """")"),"")</f>
        <v/>
      </c>
      <c r="L7020" s="12"/>
      <c r="M7020" s="13"/>
      <c r="N7020" s="2"/>
      <c r="O7020" s="20"/>
      <c r="P7020" s="42"/>
      <c r="R7020" s="23"/>
    </row>
    <row r="7021" spans="1:18" ht="12.75">
      <c r="A7021" s="12"/>
      <c r="D7021" s="12"/>
      <c r="E7021" s="12"/>
      <c r="H7021" s="11" t="str">
        <f ca="1">IFERROR(__xludf.DUMMYFUNCTION("IFERROR(SUBSTITUTE(SUBSTITUTE(REGEXEXTRACT(A7021, ""[^-]+- [^-]+- [^-]+ - (.+?)\.jpg""), "".jpg"", """"), ""-"", "", ""), """")"),"")</f>
        <v/>
      </c>
      <c r="L7021" s="12"/>
      <c r="M7021" s="13"/>
      <c r="N7021" s="2"/>
      <c r="O7021" s="20"/>
      <c r="P7021" s="42"/>
      <c r="R7021" s="23"/>
    </row>
    <row r="7022" spans="1:18" ht="12.75">
      <c r="A7022" s="12"/>
      <c r="D7022" s="12"/>
      <c r="E7022" s="12"/>
      <c r="H7022" s="11" t="str">
        <f ca="1">IFERROR(__xludf.DUMMYFUNCTION("IFERROR(SUBSTITUTE(SUBSTITUTE(REGEXEXTRACT(A7022, ""[^-]+- [^-]+- [^-]+ - (.+?)\.jpg""), "".jpg"", """"), ""-"", "", ""), """")"),"")</f>
        <v/>
      </c>
      <c r="L7022" s="12"/>
      <c r="M7022" s="13"/>
      <c r="N7022" s="2"/>
      <c r="O7022" s="20"/>
      <c r="P7022" s="42"/>
      <c r="R7022" s="23"/>
    </row>
    <row r="7023" spans="1:18" ht="12.75">
      <c r="A7023" s="12"/>
      <c r="D7023" s="12"/>
      <c r="E7023" s="12"/>
      <c r="H7023" s="11" t="str">
        <f ca="1">IFERROR(__xludf.DUMMYFUNCTION("IFERROR(SUBSTITUTE(SUBSTITUTE(REGEXEXTRACT(A7023, ""[^-]+- [^-]+- [^-]+ - (.+?)\.jpg""), "".jpg"", """"), ""-"", "", ""), """")"),"")</f>
        <v/>
      </c>
      <c r="L7023" s="12"/>
      <c r="M7023" s="13"/>
      <c r="N7023" s="2"/>
      <c r="O7023" s="20"/>
      <c r="P7023" s="42"/>
      <c r="R7023" s="23"/>
    </row>
    <row r="7024" spans="1:18" ht="12.75">
      <c r="A7024" s="12"/>
      <c r="D7024" s="12"/>
      <c r="E7024" s="12"/>
      <c r="H7024" s="11" t="str">
        <f ca="1">IFERROR(__xludf.DUMMYFUNCTION("IFERROR(SUBSTITUTE(SUBSTITUTE(REGEXEXTRACT(A7024, ""[^-]+- [^-]+- [^-]+ - (.+?)\.jpg""), "".jpg"", """"), ""-"", "", ""), """")"),"")</f>
        <v/>
      </c>
      <c r="L7024" s="12"/>
      <c r="M7024" s="13"/>
      <c r="N7024" s="2"/>
      <c r="O7024" s="20"/>
      <c r="P7024" s="42"/>
      <c r="R7024" s="23"/>
    </row>
    <row r="7025" spans="1:18" ht="12.75">
      <c r="A7025" s="12"/>
      <c r="D7025" s="12"/>
      <c r="E7025" s="12"/>
      <c r="H7025" s="11" t="str">
        <f ca="1">IFERROR(__xludf.DUMMYFUNCTION("IFERROR(SUBSTITUTE(SUBSTITUTE(REGEXEXTRACT(A7025, ""[^-]+- [^-]+- [^-]+ - (.+?)\.jpg""), "".jpg"", """"), ""-"", "", ""), """")"),"")</f>
        <v/>
      </c>
      <c r="L7025" s="12"/>
      <c r="M7025" s="13"/>
      <c r="N7025" s="2"/>
      <c r="O7025" s="20"/>
      <c r="P7025" s="42"/>
      <c r="R7025" s="23"/>
    </row>
    <row r="7026" spans="1:18" ht="12.75">
      <c r="A7026" s="12"/>
      <c r="D7026" s="12"/>
      <c r="E7026" s="12"/>
      <c r="H7026" s="11" t="str">
        <f ca="1">IFERROR(__xludf.DUMMYFUNCTION("IFERROR(SUBSTITUTE(SUBSTITUTE(REGEXEXTRACT(A7026, ""[^-]+- [^-]+- [^-]+ - (.+?)\.jpg""), "".jpg"", """"), ""-"", "", ""), """")"),"")</f>
        <v/>
      </c>
      <c r="L7026" s="12"/>
      <c r="M7026" s="13"/>
      <c r="N7026" s="2"/>
      <c r="O7026" s="20"/>
      <c r="P7026" s="42"/>
      <c r="R7026" s="23"/>
    </row>
    <row r="7027" spans="1:18" ht="12.75">
      <c r="A7027" s="12"/>
      <c r="D7027" s="12"/>
      <c r="E7027" s="12"/>
      <c r="H7027" s="11" t="str">
        <f ca="1">IFERROR(__xludf.DUMMYFUNCTION("IFERROR(SUBSTITUTE(SUBSTITUTE(REGEXEXTRACT(A7027, ""[^-]+- [^-]+- [^-]+ - (.+?)\.jpg""), "".jpg"", """"), ""-"", "", ""), """")"),"")</f>
        <v/>
      </c>
      <c r="L7027" s="12"/>
      <c r="M7027" s="13"/>
      <c r="N7027" s="2"/>
      <c r="O7027" s="20"/>
      <c r="P7027" s="42"/>
      <c r="R7027" s="23"/>
    </row>
    <row r="7028" spans="1:18" ht="12.75">
      <c r="A7028" s="12"/>
      <c r="D7028" s="12"/>
      <c r="E7028" s="12"/>
      <c r="H7028" s="11" t="str">
        <f ca="1">IFERROR(__xludf.DUMMYFUNCTION("IFERROR(SUBSTITUTE(SUBSTITUTE(REGEXEXTRACT(A7028, ""[^-]+- [^-]+- [^-]+ - (.+?)\.jpg""), "".jpg"", """"), ""-"", "", ""), """")"),"")</f>
        <v/>
      </c>
      <c r="L7028" s="12"/>
      <c r="M7028" s="13"/>
      <c r="N7028" s="2"/>
      <c r="O7028" s="20"/>
      <c r="P7028" s="42"/>
      <c r="R7028" s="23"/>
    </row>
    <row r="7029" spans="1:18" ht="12.75">
      <c r="A7029" s="12"/>
      <c r="D7029" s="12"/>
      <c r="E7029" s="12"/>
      <c r="H7029" s="11" t="str">
        <f ca="1">IFERROR(__xludf.DUMMYFUNCTION("IFERROR(SUBSTITUTE(SUBSTITUTE(REGEXEXTRACT(A7029, ""[^-]+- [^-]+- [^-]+ - (.+?)\.jpg""), "".jpg"", """"), ""-"", "", ""), """")"),"")</f>
        <v/>
      </c>
      <c r="L7029" s="12"/>
      <c r="M7029" s="13"/>
      <c r="N7029" s="2"/>
      <c r="O7029" s="20"/>
      <c r="P7029" s="42"/>
      <c r="R7029" s="23"/>
    </row>
    <row r="7030" spans="1:18" ht="12.75">
      <c r="A7030" s="12"/>
      <c r="D7030" s="12"/>
      <c r="E7030" s="12"/>
      <c r="H7030" s="11" t="str">
        <f ca="1">IFERROR(__xludf.DUMMYFUNCTION("IFERROR(SUBSTITUTE(SUBSTITUTE(REGEXEXTRACT(A7030, ""[^-]+- [^-]+- [^-]+ - (.+?)\.jpg""), "".jpg"", """"), ""-"", "", ""), """")"),"")</f>
        <v/>
      </c>
      <c r="L7030" s="12"/>
      <c r="M7030" s="13"/>
      <c r="N7030" s="2"/>
      <c r="O7030" s="20"/>
      <c r="P7030" s="42"/>
      <c r="R7030" s="23"/>
    </row>
    <row r="7031" spans="1:18" ht="12.75">
      <c r="A7031" s="12"/>
      <c r="D7031" s="12"/>
      <c r="E7031" s="12"/>
      <c r="H7031" s="11" t="str">
        <f ca="1">IFERROR(__xludf.DUMMYFUNCTION("IFERROR(SUBSTITUTE(SUBSTITUTE(REGEXEXTRACT(A7031, ""[^-]+- [^-]+- [^-]+ - (.+?)\.jpg""), "".jpg"", """"), ""-"", "", ""), """")"),"")</f>
        <v/>
      </c>
      <c r="L7031" s="12"/>
      <c r="M7031" s="13"/>
      <c r="N7031" s="2"/>
      <c r="O7031" s="20"/>
      <c r="P7031" s="42"/>
      <c r="R7031" s="23"/>
    </row>
    <row r="7032" spans="1:18" ht="12.75">
      <c r="A7032" s="12"/>
      <c r="D7032" s="12"/>
      <c r="E7032" s="12"/>
      <c r="H7032" s="11" t="str">
        <f ca="1">IFERROR(__xludf.DUMMYFUNCTION("IFERROR(SUBSTITUTE(SUBSTITUTE(REGEXEXTRACT(A7032, ""[^-]+- [^-]+- [^-]+ - (.+?)\.jpg""), "".jpg"", """"), ""-"", "", ""), """")"),"")</f>
        <v/>
      </c>
      <c r="L7032" s="12"/>
      <c r="M7032" s="13"/>
      <c r="N7032" s="2"/>
      <c r="O7032" s="20"/>
      <c r="P7032" s="42"/>
      <c r="R7032" s="23"/>
    </row>
    <row r="7033" spans="1:18" ht="12.75">
      <c r="A7033" s="12"/>
      <c r="D7033" s="12"/>
      <c r="E7033" s="12"/>
      <c r="H7033" s="11" t="str">
        <f ca="1">IFERROR(__xludf.DUMMYFUNCTION("IFERROR(SUBSTITUTE(SUBSTITUTE(REGEXEXTRACT(A7033, ""[^-]+- [^-]+- [^-]+ - (.+?)\.jpg""), "".jpg"", """"), ""-"", "", ""), """")"),"")</f>
        <v/>
      </c>
      <c r="L7033" s="12"/>
      <c r="M7033" s="13"/>
      <c r="N7033" s="2"/>
      <c r="O7033" s="20"/>
      <c r="P7033" s="42"/>
      <c r="R7033" s="23"/>
    </row>
    <row r="7034" spans="1:18" ht="12.75">
      <c r="A7034" s="12"/>
      <c r="D7034" s="12"/>
      <c r="E7034" s="12"/>
      <c r="H7034" s="11" t="str">
        <f ca="1">IFERROR(__xludf.DUMMYFUNCTION("IFERROR(SUBSTITUTE(SUBSTITUTE(REGEXEXTRACT(A7034, ""[^-]+- [^-]+- [^-]+ - (.+?)\.jpg""), "".jpg"", """"), ""-"", "", ""), """")"),"")</f>
        <v/>
      </c>
      <c r="L7034" s="12"/>
      <c r="M7034" s="13"/>
      <c r="N7034" s="2"/>
      <c r="O7034" s="20"/>
      <c r="P7034" s="42"/>
      <c r="R7034" s="23"/>
    </row>
    <row r="7035" spans="1:18" ht="12.75">
      <c r="A7035" s="12"/>
      <c r="D7035" s="12"/>
      <c r="E7035" s="12"/>
      <c r="H7035" s="11" t="str">
        <f ca="1">IFERROR(__xludf.DUMMYFUNCTION("IFERROR(SUBSTITUTE(SUBSTITUTE(REGEXEXTRACT(A7035, ""[^-]+- [^-]+- [^-]+ - (.+?)\.jpg""), "".jpg"", """"), ""-"", "", ""), """")"),"")</f>
        <v/>
      </c>
      <c r="L7035" s="12"/>
      <c r="M7035" s="13"/>
      <c r="N7035" s="2"/>
      <c r="O7035" s="20"/>
      <c r="P7035" s="42"/>
      <c r="R7035" s="23"/>
    </row>
    <row r="7036" spans="1:18" ht="12.75">
      <c r="A7036" s="12"/>
      <c r="D7036" s="12"/>
      <c r="E7036" s="12"/>
      <c r="H7036" s="11" t="str">
        <f ca="1">IFERROR(__xludf.DUMMYFUNCTION("IFERROR(SUBSTITUTE(SUBSTITUTE(REGEXEXTRACT(A7036, ""[^-]+- [^-]+- [^-]+ - (.+?)\.jpg""), "".jpg"", """"), ""-"", "", ""), """")"),"")</f>
        <v/>
      </c>
      <c r="L7036" s="12"/>
      <c r="M7036" s="13"/>
      <c r="N7036" s="2"/>
      <c r="O7036" s="20"/>
      <c r="P7036" s="42"/>
      <c r="R7036" s="23"/>
    </row>
    <row r="7037" spans="1:18" ht="12.75">
      <c r="A7037" s="12"/>
      <c r="D7037" s="12"/>
      <c r="E7037" s="12"/>
      <c r="H7037" s="11" t="str">
        <f ca="1">IFERROR(__xludf.DUMMYFUNCTION("IFERROR(SUBSTITUTE(SUBSTITUTE(REGEXEXTRACT(A7037, ""[^-]+- [^-]+- [^-]+ - (.+?)\.jpg""), "".jpg"", """"), ""-"", "", ""), """")"),"")</f>
        <v/>
      </c>
      <c r="L7037" s="12"/>
      <c r="M7037" s="13"/>
      <c r="N7037" s="2"/>
      <c r="O7037" s="20"/>
      <c r="P7037" s="42"/>
      <c r="R7037" s="23"/>
    </row>
    <row r="7038" spans="1:18" ht="12.75">
      <c r="A7038" s="12"/>
      <c r="D7038" s="12"/>
      <c r="E7038" s="12"/>
      <c r="H7038" s="11" t="str">
        <f ca="1">IFERROR(__xludf.DUMMYFUNCTION("IFERROR(SUBSTITUTE(SUBSTITUTE(REGEXEXTRACT(A7038, ""[^-]+- [^-]+- [^-]+ - (.+?)\.jpg""), "".jpg"", """"), ""-"", "", ""), """")"),"")</f>
        <v/>
      </c>
      <c r="L7038" s="12"/>
      <c r="M7038" s="13"/>
      <c r="N7038" s="2"/>
      <c r="O7038" s="20"/>
      <c r="P7038" s="42"/>
      <c r="R7038" s="23"/>
    </row>
    <row r="7039" spans="1:18" ht="12.75">
      <c r="A7039" s="12"/>
      <c r="D7039" s="12"/>
      <c r="E7039" s="12"/>
      <c r="H7039" s="11" t="str">
        <f ca="1">IFERROR(__xludf.DUMMYFUNCTION("IFERROR(SUBSTITUTE(SUBSTITUTE(REGEXEXTRACT(A7039, ""[^-]+- [^-]+- [^-]+ - (.+?)\.jpg""), "".jpg"", """"), ""-"", "", ""), """")"),"")</f>
        <v/>
      </c>
      <c r="L7039" s="12"/>
      <c r="M7039" s="13"/>
      <c r="N7039" s="2"/>
      <c r="O7039" s="20"/>
      <c r="P7039" s="42"/>
      <c r="R7039" s="23"/>
    </row>
    <row r="7040" spans="1:18" ht="12.75">
      <c r="A7040" s="12"/>
      <c r="D7040" s="12"/>
      <c r="E7040" s="12"/>
      <c r="H7040" s="11" t="str">
        <f ca="1">IFERROR(__xludf.DUMMYFUNCTION("IFERROR(SUBSTITUTE(SUBSTITUTE(REGEXEXTRACT(A7040, ""[^-]+- [^-]+- [^-]+ - (.+?)\.jpg""), "".jpg"", """"), ""-"", "", ""), """")"),"")</f>
        <v/>
      </c>
      <c r="L7040" s="12"/>
      <c r="M7040" s="13"/>
      <c r="N7040" s="2"/>
      <c r="O7040" s="20"/>
      <c r="P7040" s="42"/>
      <c r="R7040" s="23"/>
    </row>
    <row r="7041" spans="1:18" ht="12.75">
      <c r="A7041" s="12"/>
      <c r="D7041" s="12"/>
      <c r="E7041" s="12"/>
      <c r="H7041" s="11" t="str">
        <f ca="1">IFERROR(__xludf.DUMMYFUNCTION("IFERROR(SUBSTITUTE(SUBSTITUTE(REGEXEXTRACT(A7041, ""[^-]+- [^-]+- [^-]+ - (.+?)\.jpg""), "".jpg"", """"), ""-"", "", ""), """")"),"")</f>
        <v/>
      </c>
      <c r="L7041" s="12"/>
      <c r="M7041" s="13"/>
      <c r="N7041" s="2"/>
      <c r="O7041" s="20"/>
      <c r="P7041" s="42"/>
      <c r="R7041" s="23"/>
    </row>
    <row r="7042" spans="1:18" ht="12.75">
      <c r="A7042" s="12"/>
      <c r="D7042" s="12"/>
      <c r="E7042" s="12"/>
      <c r="H7042" s="11" t="str">
        <f ca="1">IFERROR(__xludf.DUMMYFUNCTION("IFERROR(SUBSTITUTE(SUBSTITUTE(REGEXEXTRACT(A7042, ""[^-]+- [^-]+- [^-]+ - (.+?)\.jpg""), "".jpg"", """"), ""-"", "", ""), """")"),"")</f>
        <v/>
      </c>
      <c r="L7042" s="12"/>
      <c r="M7042" s="13"/>
      <c r="N7042" s="2"/>
      <c r="O7042" s="20"/>
      <c r="P7042" s="42"/>
      <c r="R7042" s="23"/>
    </row>
    <row r="7043" spans="1:18" ht="12.75">
      <c r="A7043" s="12"/>
      <c r="D7043" s="12"/>
      <c r="E7043" s="12"/>
      <c r="H7043" s="11" t="str">
        <f ca="1">IFERROR(__xludf.DUMMYFUNCTION("IFERROR(SUBSTITUTE(SUBSTITUTE(REGEXEXTRACT(A7043, ""[^-]+- [^-]+- [^-]+ - (.+?)\.jpg""), "".jpg"", """"), ""-"", "", ""), """")"),"")</f>
        <v/>
      </c>
      <c r="L7043" s="12"/>
      <c r="M7043" s="13"/>
      <c r="N7043" s="2"/>
      <c r="O7043" s="20"/>
      <c r="P7043" s="42"/>
      <c r="R7043" s="23"/>
    </row>
    <row r="7044" spans="1:18" ht="12.75">
      <c r="A7044" s="12"/>
      <c r="D7044" s="12"/>
      <c r="E7044" s="12"/>
      <c r="H7044" s="11" t="str">
        <f ca="1">IFERROR(__xludf.DUMMYFUNCTION("IFERROR(SUBSTITUTE(SUBSTITUTE(REGEXEXTRACT(A7044, ""[^-]+- [^-]+- [^-]+ - (.+?)\.jpg""), "".jpg"", """"), ""-"", "", ""), """")"),"")</f>
        <v/>
      </c>
      <c r="L7044" s="12"/>
      <c r="M7044" s="13"/>
      <c r="N7044" s="2"/>
      <c r="O7044" s="20"/>
      <c r="P7044" s="42"/>
      <c r="R7044" s="23"/>
    </row>
    <row r="7045" spans="1:18" ht="12.75">
      <c r="A7045" s="12"/>
      <c r="D7045" s="12"/>
      <c r="E7045" s="12"/>
      <c r="H7045" s="11" t="str">
        <f ca="1">IFERROR(__xludf.DUMMYFUNCTION("IFERROR(SUBSTITUTE(SUBSTITUTE(REGEXEXTRACT(A7045, ""[^-]+- [^-]+- [^-]+ - (.+?)\.jpg""), "".jpg"", """"), ""-"", "", ""), """")"),"")</f>
        <v/>
      </c>
      <c r="L7045" s="12"/>
      <c r="M7045" s="13"/>
      <c r="N7045" s="2"/>
      <c r="O7045" s="20"/>
      <c r="P7045" s="42"/>
      <c r="R7045" s="23"/>
    </row>
    <row r="7046" spans="1:18" ht="12.75">
      <c r="A7046" s="12"/>
      <c r="D7046" s="12"/>
      <c r="E7046" s="12"/>
      <c r="H7046" s="11" t="str">
        <f ca="1">IFERROR(__xludf.DUMMYFUNCTION("IFERROR(SUBSTITUTE(SUBSTITUTE(REGEXEXTRACT(A7046, ""[^-]+- [^-]+- [^-]+ - (.+?)\.jpg""), "".jpg"", """"), ""-"", "", ""), """")"),"")</f>
        <v/>
      </c>
      <c r="L7046" s="12"/>
      <c r="M7046" s="13"/>
      <c r="N7046" s="2"/>
      <c r="O7046" s="20"/>
      <c r="P7046" s="42"/>
      <c r="R7046" s="23"/>
    </row>
    <row r="7047" spans="1:18" ht="12.75">
      <c r="A7047" s="12"/>
      <c r="D7047" s="12"/>
      <c r="E7047" s="12"/>
      <c r="H7047" s="11" t="str">
        <f ca="1">IFERROR(__xludf.DUMMYFUNCTION("IFERROR(SUBSTITUTE(SUBSTITUTE(REGEXEXTRACT(A7047, ""[^-]+- [^-]+- [^-]+ - (.+?)\.jpg""), "".jpg"", """"), ""-"", "", ""), """")"),"")</f>
        <v/>
      </c>
      <c r="L7047" s="12"/>
      <c r="M7047" s="13"/>
      <c r="N7047" s="2"/>
      <c r="O7047" s="20"/>
      <c r="P7047" s="42"/>
      <c r="R7047" s="23"/>
    </row>
    <row r="7048" spans="1:18" ht="12.75">
      <c r="A7048" s="12"/>
      <c r="D7048" s="12"/>
      <c r="E7048" s="12"/>
      <c r="H7048" s="11" t="str">
        <f ca="1">IFERROR(__xludf.DUMMYFUNCTION("IFERROR(SUBSTITUTE(SUBSTITUTE(REGEXEXTRACT(A7048, ""[^-]+- [^-]+- [^-]+ - (.+?)\.jpg""), "".jpg"", """"), ""-"", "", ""), """")"),"")</f>
        <v/>
      </c>
      <c r="L7048" s="12"/>
      <c r="M7048" s="13"/>
      <c r="N7048" s="2"/>
      <c r="O7048" s="20"/>
      <c r="P7048" s="42"/>
      <c r="R7048" s="23"/>
    </row>
    <row r="7049" spans="1:18" ht="12.75">
      <c r="A7049" s="12"/>
      <c r="D7049" s="12"/>
      <c r="E7049" s="12"/>
      <c r="H7049" s="11" t="str">
        <f ca="1">IFERROR(__xludf.DUMMYFUNCTION("IFERROR(SUBSTITUTE(SUBSTITUTE(REGEXEXTRACT(A7049, ""[^-]+- [^-]+- [^-]+ - (.+?)\.jpg""), "".jpg"", """"), ""-"", "", ""), """")"),"")</f>
        <v/>
      </c>
      <c r="L7049" s="12"/>
      <c r="M7049" s="13"/>
      <c r="N7049" s="2"/>
      <c r="O7049" s="20"/>
      <c r="P7049" s="42"/>
      <c r="R7049" s="23"/>
    </row>
    <row r="7050" spans="1:18" ht="12.75">
      <c r="A7050" s="12"/>
      <c r="D7050" s="12"/>
      <c r="E7050" s="12"/>
      <c r="H7050" s="11" t="str">
        <f ca="1">IFERROR(__xludf.DUMMYFUNCTION("IFERROR(SUBSTITUTE(SUBSTITUTE(REGEXEXTRACT(A7050, ""[^-]+- [^-]+- [^-]+ - (.+?)\.jpg""), "".jpg"", """"), ""-"", "", ""), """")"),"")</f>
        <v/>
      </c>
      <c r="L7050" s="12"/>
      <c r="M7050" s="13"/>
      <c r="N7050" s="2"/>
      <c r="O7050" s="20"/>
      <c r="P7050" s="42"/>
      <c r="R7050" s="23"/>
    </row>
    <row r="7051" spans="1:18" ht="12.75">
      <c r="A7051" s="12"/>
      <c r="D7051" s="12"/>
      <c r="E7051" s="12"/>
      <c r="H7051" s="11" t="str">
        <f ca="1">IFERROR(__xludf.DUMMYFUNCTION("IFERROR(SUBSTITUTE(SUBSTITUTE(REGEXEXTRACT(A7051, ""[^-]+- [^-]+- [^-]+ - (.+?)\.jpg""), "".jpg"", """"), ""-"", "", ""), """")"),"")</f>
        <v/>
      </c>
      <c r="L7051" s="12"/>
      <c r="M7051" s="13"/>
      <c r="N7051" s="2"/>
      <c r="O7051" s="20"/>
      <c r="P7051" s="42"/>
      <c r="R7051" s="23"/>
    </row>
    <row r="7052" spans="1:18" ht="12.75">
      <c r="A7052" s="12"/>
      <c r="D7052" s="12"/>
      <c r="E7052" s="12"/>
      <c r="H7052" s="11" t="str">
        <f ca="1">IFERROR(__xludf.DUMMYFUNCTION("IFERROR(SUBSTITUTE(SUBSTITUTE(REGEXEXTRACT(A7052, ""[^-]+- [^-]+- [^-]+ - (.+?)\.jpg""), "".jpg"", """"), ""-"", "", ""), """")"),"")</f>
        <v/>
      </c>
      <c r="L7052" s="12"/>
      <c r="M7052" s="13"/>
      <c r="N7052" s="2"/>
      <c r="O7052" s="20"/>
      <c r="P7052" s="42"/>
      <c r="R7052" s="23"/>
    </row>
    <row r="7053" spans="1:18" ht="12.75">
      <c r="A7053" s="12"/>
      <c r="D7053" s="12"/>
      <c r="E7053" s="12"/>
      <c r="H7053" s="11" t="str">
        <f ca="1">IFERROR(__xludf.DUMMYFUNCTION("IFERROR(SUBSTITUTE(SUBSTITUTE(REGEXEXTRACT(A7053, ""[^-]+- [^-]+- [^-]+ - (.+?)\.jpg""), "".jpg"", """"), ""-"", "", ""), """")"),"")</f>
        <v/>
      </c>
      <c r="L7053" s="12"/>
      <c r="M7053" s="13"/>
      <c r="N7053" s="2"/>
      <c r="O7053" s="20"/>
      <c r="P7053" s="42"/>
      <c r="R7053" s="23"/>
    </row>
    <row r="7054" spans="1:18" ht="12.75">
      <c r="A7054" s="12"/>
      <c r="D7054" s="12"/>
      <c r="E7054" s="12"/>
      <c r="H7054" s="11" t="str">
        <f ca="1">IFERROR(__xludf.DUMMYFUNCTION("IFERROR(SUBSTITUTE(SUBSTITUTE(REGEXEXTRACT(A7054, ""[^-]+- [^-]+- [^-]+ - (.+?)\.jpg""), "".jpg"", """"), ""-"", "", ""), """")"),"")</f>
        <v/>
      </c>
      <c r="L7054" s="12"/>
      <c r="M7054" s="13"/>
      <c r="N7054" s="2"/>
      <c r="O7054" s="20"/>
      <c r="P7054" s="42"/>
      <c r="R7054" s="23"/>
    </row>
    <row r="7055" spans="1:18" ht="12.75">
      <c r="A7055" s="12"/>
      <c r="D7055" s="12"/>
      <c r="E7055" s="12"/>
      <c r="H7055" s="11" t="str">
        <f ca="1">IFERROR(__xludf.DUMMYFUNCTION("IFERROR(SUBSTITUTE(SUBSTITUTE(REGEXEXTRACT(A7055, ""[^-]+- [^-]+- [^-]+ - (.+?)\.jpg""), "".jpg"", """"), ""-"", "", ""), """")"),"")</f>
        <v/>
      </c>
      <c r="L7055" s="12"/>
      <c r="M7055" s="13"/>
      <c r="N7055" s="2"/>
      <c r="O7055" s="20"/>
      <c r="P7055" s="42"/>
      <c r="R7055" s="23"/>
    </row>
    <row r="7056" spans="1:18" ht="12.75">
      <c r="A7056" s="12"/>
      <c r="D7056" s="12"/>
      <c r="E7056" s="12"/>
      <c r="H7056" s="11" t="str">
        <f ca="1">IFERROR(__xludf.DUMMYFUNCTION("IFERROR(SUBSTITUTE(SUBSTITUTE(REGEXEXTRACT(A7056, ""[^-]+- [^-]+- [^-]+ - (.+?)\.jpg""), "".jpg"", """"), ""-"", "", ""), """")"),"")</f>
        <v/>
      </c>
      <c r="L7056" s="12"/>
      <c r="M7056" s="13"/>
      <c r="N7056" s="2"/>
      <c r="O7056" s="20"/>
      <c r="P7056" s="42"/>
      <c r="R7056" s="23"/>
    </row>
    <row r="7057" spans="1:18" ht="12.75">
      <c r="A7057" s="12"/>
      <c r="D7057" s="12"/>
      <c r="E7057" s="12"/>
      <c r="H7057" s="11" t="str">
        <f ca="1">IFERROR(__xludf.DUMMYFUNCTION("IFERROR(SUBSTITUTE(SUBSTITUTE(REGEXEXTRACT(A7057, ""[^-]+- [^-]+- [^-]+ - (.+?)\.jpg""), "".jpg"", """"), ""-"", "", ""), """")"),"")</f>
        <v/>
      </c>
      <c r="L7057" s="12"/>
      <c r="M7057" s="13"/>
      <c r="N7057" s="2"/>
      <c r="O7057" s="20"/>
      <c r="P7057" s="42"/>
      <c r="R7057" s="23"/>
    </row>
    <row r="7058" spans="1:18" ht="12.75">
      <c r="A7058" s="12"/>
      <c r="D7058" s="12"/>
      <c r="E7058" s="12"/>
      <c r="H7058" s="11" t="str">
        <f ca="1">IFERROR(__xludf.DUMMYFUNCTION("IFERROR(SUBSTITUTE(SUBSTITUTE(REGEXEXTRACT(A7058, ""[^-]+- [^-]+- [^-]+ - (.+?)\.jpg""), "".jpg"", """"), ""-"", "", ""), """")"),"")</f>
        <v/>
      </c>
      <c r="L7058" s="12"/>
      <c r="M7058" s="13"/>
      <c r="N7058" s="2"/>
      <c r="O7058" s="20"/>
      <c r="P7058" s="42"/>
      <c r="R7058" s="23"/>
    </row>
    <row r="7059" spans="1:18" ht="12.75">
      <c r="A7059" s="12"/>
      <c r="D7059" s="12"/>
      <c r="E7059" s="12"/>
      <c r="H7059" s="11" t="str">
        <f ca="1">IFERROR(__xludf.DUMMYFUNCTION("IFERROR(SUBSTITUTE(SUBSTITUTE(REGEXEXTRACT(A7059, ""[^-]+- [^-]+- [^-]+ - (.+?)\.jpg""), "".jpg"", """"), ""-"", "", ""), """")"),"")</f>
        <v/>
      </c>
      <c r="L7059" s="12"/>
      <c r="M7059" s="13"/>
      <c r="N7059" s="2"/>
      <c r="O7059" s="20"/>
      <c r="P7059" s="42"/>
      <c r="R7059" s="23"/>
    </row>
    <row r="7060" spans="1:18" ht="12.75">
      <c r="A7060" s="12"/>
      <c r="D7060" s="12"/>
      <c r="E7060" s="12"/>
      <c r="H7060" s="11" t="str">
        <f ca="1">IFERROR(__xludf.DUMMYFUNCTION("IFERROR(SUBSTITUTE(SUBSTITUTE(REGEXEXTRACT(A7060, ""[^-]+- [^-]+- [^-]+ - (.+?)\.jpg""), "".jpg"", """"), ""-"", "", ""), """")"),"")</f>
        <v/>
      </c>
      <c r="L7060" s="12"/>
      <c r="M7060" s="13"/>
      <c r="N7060" s="2"/>
      <c r="O7060" s="20"/>
      <c r="P7060" s="42"/>
      <c r="R7060" s="23"/>
    </row>
    <row r="7061" spans="1:18" ht="12.75">
      <c r="A7061" s="12"/>
      <c r="D7061" s="12"/>
      <c r="E7061" s="12"/>
      <c r="H7061" s="11" t="str">
        <f ca="1">IFERROR(__xludf.DUMMYFUNCTION("IFERROR(SUBSTITUTE(SUBSTITUTE(REGEXEXTRACT(A7061, ""[^-]+- [^-]+- [^-]+ - (.+?)\.jpg""), "".jpg"", """"), ""-"", "", ""), """")"),"")</f>
        <v/>
      </c>
      <c r="L7061" s="12"/>
      <c r="M7061" s="13"/>
      <c r="N7061" s="2"/>
      <c r="O7061" s="20"/>
      <c r="P7061" s="42"/>
      <c r="R7061" s="23"/>
    </row>
    <row r="7062" spans="1:18" ht="12.75">
      <c r="A7062" s="12"/>
      <c r="D7062" s="12"/>
      <c r="E7062" s="12"/>
      <c r="H7062" s="11" t="str">
        <f ca="1">IFERROR(__xludf.DUMMYFUNCTION("IFERROR(SUBSTITUTE(SUBSTITUTE(REGEXEXTRACT(A7062, ""[^-]+- [^-]+- [^-]+ - (.+?)\.jpg""), "".jpg"", """"), ""-"", "", ""), """")"),"")</f>
        <v/>
      </c>
      <c r="L7062" s="12"/>
      <c r="M7062" s="13"/>
      <c r="N7062" s="2"/>
      <c r="O7062" s="20"/>
      <c r="P7062" s="42"/>
      <c r="R7062" s="23"/>
    </row>
    <row r="7063" spans="1:18" ht="12.75">
      <c r="A7063" s="12"/>
      <c r="D7063" s="12"/>
      <c r="E7063" s="12"/>
      <c r="H7063" s="11" t="str">
        <f ca="1">IFERROR(__xludf.DUMMYFUNCTION("IFERROR(SUBSTITUTE(SUBSTITUTE(REGEXEXTRACT(A7063, ""[^-]+- [^-]+- [^-]+ - (.+?)\.jpg""), "".jpg"", """"), ""-"", "", ""), """")"),"")</f>
        <v/>
      </c>
      <c r="L7063" s="12"/>
      <c r="M7063" s="13"/>
      <c r="N7063" s="2"/>
      <c r="O7063" s="20"/>
      <c r="P7063" s="42"/>
      <c r="R7063" s="23"/>
    </row>
    <row r="7064" spans="1:18" ht="12.75">
      <c r="A7064" s="12"/>
      <c r="D7064" s="12"/>
      <c r="E7064" s="12"/>
      <c r="H7064" s="11" t="str">
        <f ca="1">IFERROR(__xludf.DUMMYFUNCTION("IFERROR(SUBSTITUTE(SUBSTITUTE(REGEXEXTRACT(A7064, ""[^-]+- [^-]+- [^-]+ - (.+?)\.jpg""), "".jpg"", """"), ""-"", "", ""), """")"),"")</f>
        <v/>
      </c>
      <c r="L7064" s="12"/>
      <c r="M7064" s="13"/>
      <c r="N7064" s="2"/>
      <c r="O7064" s="20"/>
      <c r="P7064" s="42"/>
      <c r="R7064" s="23"/>
    </row>
    <row r="7065" spans="1:18" ht="12.75">
      <c r="A7065" s="12"/>
      <c r="D7065" s="12"/>
      <c r="E7065" s="12"/>
      <c r="H7065" s="11" t="str">
        <f ca="1">IFERROR(__xludf.DUMMYFUNCTION("IFERROR(SUBSTITUTE(SUBSTITUTE(REGEXEXTRACT(A7065, ""[^-]+- [^-]+- [^-]+ - (.+?)\.jpg""), "".jpg"", """"), ""-"", "", ""), """")"),"")</f>
        <v/>
      </c>
      <c r="L7065" s="12"/>
      <c r="M7065" s="13"/>
      <c r="N7065" s="2"/>
      <c r="O7065" s="20"/>
      <c r="P7065" s="42"/>
      <c r="R7065" s="23"/>
    </row>
    <row r="7066" spans="1:18" ht="12.75">
      <c r="A7066" s="12"/>
      <c r="D7066" s="12"/>
      <c r="E7066" s="12"/>
      <c r="H7066" s="11" t="str">
        <f ca="1">IFERROR(__xludf.DUMMYFUNCTION("IFERROR(SUBSTITUTE(SUBSTITUTE(REGEXEXTRACT(A7066, ""[^-]+- [^-]+- [^-]+ - (.+?)\.jpg""), "".jpg"", """"), ""-"", "", ""), """")"),"")</f>
        <v/>
      </c>
      <c r="L7066" s="12"/>
      <c r="M7066" s="13"/>
      <c r="N7066" s="2"/>
      <c r="O7066" s="20"/>
      <c r="P7066" s="42"/>
      <c r="R7066" s="23"/>
    </row>
    <row r="7067" spans="1:18" ht="12.75">
      <c r="A7067" s="12"/>
      <c r="D7067" s="12"/>
      <c r="E7067" s="12"/>
      <c r="H7067" s="11" t="str">
        <f ca="1">IFERROR(__xludf.DUMMYFUNCTION("IFERROR(SUBSTITUTE(SUBSTITUTE(REGEXEXTRACT(A7067, ""[^-]+- [^-]+- [^-]+ - (.+?)\.jpg""), "".jpg"", """"), ""-"", "", ""), """")"),"")</f>
        <v/>
      </c>
      <c r="L7067" s="12"/>
      <c r="M7067" s="13"/>
      <c r="N7067" s="2"/>
      <c r="O7067" s="20"/>
      <c r="P7067" s="42"/>
      <c r="R7067" s="23"/>
    </row>
    <row r="7068" spans="1:18" ht="12.75">
      <c r="A7068" s="12"/>
      <c r="D7068" s="12"/>
      <c r="E7068" s="12"/>
      <c r="H7068" s="11" t="str">
        <f ca="1">IFERROR(__xludf.DUMMYFUNCTION("IFERROR(SUBSTITUTE(SUBSTITUTE(REGEXEXTRACT(A7068, ""[^-]+- [^-]+- [^-]+ - (.+?)\.jpg""), "".jpg"", """"), ""-"", "", ""), """")"),"")</f>
        <v/>
      </c>
      <c r="L7068" s="12"/>
      <c r="M7068" s="13"/>
      <c r="N7068" s="2"/>
      <c r="O7068" s="20"/>
      <c r="P7068" s="42"/>
      <c r="R7068" s="23"/>
    </row>
    <row r="7069" spans="1:18" ht="12.75">
      <c r="A7069" s="12"/>
      <c r="D7069" s="12"/>
      <c r="E7069" s="12"/>
      <c r="H7069" s="11" t="str">
        <f ca="1">IFERROR(__xludf.DUMMYFUNCTION("IFERROR(SUBSTITUTE(SUBSTITUTE(REGEXEXTRACT(A7069, ""[^-]+- [^-]+- [^-]+ - (.+?)\.jpg""), "".jpg"", """"), ""-"", "", ""), """")"),"")</f>
        <v/>
      </c>
      <c r="L7069" s="12"/>
      <c r="M7069" s="13"/>
      <c r="N7069" s="2"/>
      <c r="O7069" s="20"/>
      <c r="P7069" s="42"/>
      <c r="R7069" s="23"/>
    </row>
    <row r="7070" spans="1:18" ht="12.75">
      <c r="A7070" s="12"/>
      <c r="D7070" s="12"/>
      <c r="E7070" s="12"/>
      <c r="H7070" s="11" t="str">
        <f ca="1">IFERROR(__xludf.DUMMYFUNCTION("IFERROR(SUBSTITUTE(SUBSTITUTE(REGEXEXTRACT(A7070, ""[^-]+- [^-]+- [^-]+ - (.+?)\.jpg""), "".jpg"", """"), ""-"", "", ""), """")"),"")</f>
        <v/>
      </c>
      <c r="L7070" s="12"/>
      <c r="M7070" s="13"/>
      <c r="N7070" s="2"/>
      <c r="O7070" s="20"/>
      <c r="P7070" s="42"/>
      <c r="R7070" s="23"/>
    </row>
    <row r="7071" spans="1:18" ht="12.75">
      <c r="A7071" s="12"/>
      <c r="D7071" s="12"/>
      <c r="E7071" s="12"/>
      <c r="H7071" s="11" t="str">
        <f ca="1">IFERROR(__xludf.DUMMYFUNCTION("IFERROR(SUBSTITUTE(SUBSTITUTE(REGEXEXTRACT(A7071, ""[^-]+- [^-]+- [^-]+ - (.+?)\.jpg""), "".jpg"", """"), ""-"", "", ""), """")"),"")</f>
        <v/>
      </c>
      <c r="L7071" s="12"/>
      <c r="M7071" s="13"/>
      <c r="N7071" s="2"/>
      <c r="O7071" s="20"/>
      <c r="P7071" s="42"/>
      <c r="R7071" s="23"/>
    </row>
    <row r="7072" spans="1:18" ht="12.75">
      <c r="A7072" s="12"/>
      <c r="D7072" s="12"/>
      <c r="E7072" s="12"/>
      <c r="H7072" s="11" t="str">
        <f ca="1">IFERROR(__xludf.DUMMYFUNCTION("IFERROR(SUBSTITUTE(SUBSTITUTE(REGEXEXTRACT(A7072, ""[^-]+- [^-]+- [^-]+ - (.+?)\.jpg""), "".jpg"", """"), ""-"", "", ""), """")"),"")</f>
        <v/>
      </c>
      <c r="L7072" s="12"/>
      <c r="M7072" s="13"/>
      <c r="N7072" s="2"/>
      <c r="O7072" s="20"/>
      <c r="P7072" s="42"/>
      <c r="R7072" s="23"/>
    </row>
    <row r="7073" spans="1:18" ht="12.75">
      <c r="A7073" s="12"/>
      <c r="D7073" s="12"/>
      <c r="E7073" s="12"/>
      <c r="H7073" s="11" t="str">
        <f ca="1">IFERROR(__xludf.DUMMYFUNCTION("IFERROR(SUBSTITUTE(SUBSTITUTE(REGEXEXTRACT(A7073, ""[^-]+- [^-]+- [^-]+ - (.+?)\.jpg""), "".jpg"", """"), ""-"", "", ""), """")"),"")</f>
        <v/>
      </c>
      <c r="L7073" s="12"/>
      <c r="M7073" s="13"/>
      <c r="N7073" s="2"/>
      <c r="O7073" s="20"/>
      <c r="P7073" s="42"/>
      <c r="R7073" s="23"/>
    </row>
    <row r="7074" spans="1:18" ht="12.75">
      <c r="A7074" s="12"/>
      <c r="D7074" s="12"/>
      <c r="E7074" s="12"/>
      <c r="H7074" s="11" t="str">
        <f ca="1">IFERROR(__xludf.DUMMYFUNCTION("IFERROR(SUBSTITUTE(SUBSTITUTE(REGEXEXTRACT(A7074, ""[^-]+- [^-]+- [^-]+ - (.+?)\.jpg""), "".jpg"", """"), ""-"", "", ""), """")"),"")</f>
        <v/>
      </c>
      <c r="L7074" s="12"/>
      <c r="M7074" s="13"/>
      <c r="N7074" s="2"/>
      <c r="O7074" s="20"/>
      <c r="P7074" s="42"/>
      <c r="R7074" s="23"/>
    </row>
    <row r="7075" spans="1:18" ht="12.75">
      <c r="A7075" s="12"/>
      <c r="D7075" s="12"/>
      <c r="E7075" s="12"/>
      <c r="H7075" s="11" t="str">
        <f ca="1">IFERROR(__xludf.DUMMYFUNCTION("IFERROR(SUBSTITUTE(SUBSTITUTE(REGEXEXTRACT(A7075, ""[^-]+- [^-]+- [^-]+ - (.+?)\.jpg""), "".jpg"", """"), ""-"", "", ""), """")"),"")</f>
        <v/>
      </c>
      <c r="L7075" s="12"/>
      <c r="M7075" s="13"/>
      <c r="N7075" s="2"/>
      <c r="O7075" s="20"/>
      <c r="P7075" s="42"/>
      <c r="R7075" s="23"/>
    </row>
    <row r="7076" spans="1:18" ht="12.75">
      <c r="A7076" s="12"/>
      <c r="D7076" s="12"/>
      <c r="E7076" s="12"/>
      <c r="H7076" s="11" t="str">
        <f ca="1">IFERROR(__xludf.DUMMYFUNCTION("IFERROR(SUBSTITUTE(SUBSTITUTE(REGEXEXTRACT(A7076, ""[^-]+- [^-]+- [^-]+ - (.+?)\.jpg""), "".jpg"", """"), ""-"", "", ""), """")"),"")</f>
        <v/>
      </c>
      <c r="L7076" s="12"/>
      <c r="M7076" s="13"/>
      <c r="N7076" s="2"/>
      <c r="O7076" s="20"/>
      <c r="P7076" s="42"/>
      <c r="R7076" s="23"/>
    </row>
    <row r="7077" spans="1:18" ht="12.75">
      <c r="A7077" s="12"/>
      <c r="D7077" s="12"/>
      <c r="E7077" s="12"/>
      <c r="H7077" s="11" t="str">
        <f ca="1">IFERROR(__xludf.DUMMYFUNCTION("IFERROR(SUBSTITUTE(SUBSTITUTE(REGEXEXTRACT(A7077, ""[^-]+- [^-]+- [^-]+ - (.+?)\.jpg""), "".jpg"", """"), ""-"", "", ""), """")"),"")</f>
        <v/>
      </c>
      <c r="L7077" s="12"/>
      <c r="M7077" s="13"/>
      <c r="N7077" s="2"/>
      <c r="O7077" s="20"/>
      <c r="P7077" s="42"/>
      <c r="R7077" s="23"/>
    </row>
    <row r="7078" spans="1:18" ht="12.75">
      <c r="A7078" s="12"/>
      <c r="D7078" s="12"/>
      <c r="E7078" s="12"/>
      <c r="H7078" s="11" t="str">
        <f ca="1">IFERROR(__xludf.DUMMYFUNCTION("IFERROR(SUBSTITUTE(SUBSTITUTE(REGEXEXTRACT(A7078, ""[^-]+- [^-]+- [^-]+ - (.+?)\.jpg""), "".jpg"", """"), ""-"", "", ""), """")"),"")</f>
        <v/>
      </c>
      <c r="L7078" s="12"/>
      <c r="M7078" s="13"/>
      <c r="N7078" s="2"/>
      <c r="O7078" s="20"/>
      <c r="P7078" s="42"/>
      <c r="R7078" s="23"/>
    </row>
    <row r="7079" spans="1:18" ht="12.75">
      <c r="A7079" s="12"/>
      <c r="D7079" s="12"/>
      <c r="E7079" s="12"/>
      <c r="H7079" s="11" t="str">
        <f ca="1">IFERROR(__xludf.DUMMYFUNCTION("IFERROR(SUBSTITUTE(SUBSTITUTE(REGEXEXTRACT(A7079, ""[^-]+- [^-]+- [^-]+ - (.+?)\.jpg""), "".jpg"", """"), ""-"", "", ""), """")"),"")</f>
        <v/>
      </c>
      <c r="L7079" s="12"/>
      <c r="M7079" s="13"/>
      <c r="N7079" s="2"/>
      <c r="O7079" s="20"/>
      <c r="P7079" s="42"/>
      <c r="R7079" s="23"/>
    </row>
    <row r="7080" spans="1:18" ht="12.75">
      <c r="A7080" s="12"/>
      <c r="D7080" s="12"/>
      <c r="E7080" s="12"/>
      <c r="H7080" s="11" t="str">
        <f ca="1">IFERROR(__xludf.DUMMYFUNCTION("IFERROR(SUBSTITUTE(SUBSTITUTE(REGEXEXTRACT(A7080, ""[^-]+- [^-]+- [^-]+ - (.+?)\.jpg""), "".jpg"", """"), ""-"", "", ""), """")"),"")</f>
        <v/>
      </c>
      <c r="L7080" s="12"/>
      <c r="M7080" s="13"/>
      <c r="N7080" s="2"/>
      <c r="O7080" s="20"/>
      <c r="P7080" s="42"/>
      <c r="R7080" s="23"/>
    </row>
    <row r="7081" spans="1:18" ht="12.75">
      <c r="A7081" s="12"/>
      <c r="D7081" s="12"/>
      <c r="E7081" s="12"/>
      <c r="H7081" s="11" t="str">
        <f ca="1">IFERROR(__xludf.DUMMYFUNCTION("IFERROR(SUBSTITUTE(SUBSTITUTE(REGEXEXTRACT(A7081, ""[^-]+- [^-]+- [^-]+ - (.+?)\.jpg""), "".jpg"", """"), ""-"", "", ""), """")"),"")</f>
        <v/>
      </c>
      <c r="L7081" s="12"/>
      <c r="M7081" s="13"/>
      <c r="N7081" s="2"/>
      <c r="O7081" s="20"/>
      <c r="P7081" s="42"/>
      <c r="R7081" s="23"/>
    </row>
    <row r="7082" spans="1:18" ht="12.75">
      <c r="A7082" s="12"/>
      <c r="D7082" s="12"/>
      <c r="E7082" s="12"/>
      <c r="H7082" s="11" t="str">
        <f ca="1">IFERROR(__xludf.DUMMYFUNCTION("IFERROR(SUBSTITUTE(SUBSTITUTE(REGEXEXTRACT(A7082, ""[^-]+- [^-]+- [^-]+ - (.+?)\.jpg""), "".jpg"", """"), ""-"", "", ""), """")"),"")</f>
        <v/>
      </c>
      <c r="L7082" s="12"/>
      <c r="M7082" s="13"/>
      <c r="N7082" s="2"/>
      <c r="O7082" s="20"/>
      <c r="P7082" s="42"/>
      <c r="R7082" s="23"/>
    </row>
    <row r="7083" spans="1:18" ht="12.75">
      <c r="A7083" s="12"/>
      <c r="D7083" s="12"/>
      <c r="E7083" s="12"/>
      <c r="H7083" s="11" t="str">
        <f ca="1">IFERROR(__xludf.DUMMYFUNCTION("IFERROR(SUBSTITUTE(SUBSTITUTE(REGEXEXTRACT(A7083, ""[^-]+- [^-]+- [^-]+ - (.+?)\.jpg""), "".jpg"", """"), ""-"", "", ""), """")"),"")</f>
        <v/>
      </c>
      <c r="L7083" s="12"/>
      <c r="M7083" s="13"/>
      <c r="N7083" s="2"/>
      <c r="O7083" s="20"/>
      <c r="P7083" s="42"/>
      <c r="R7083" s="23"/>
    </row>
    <row r="7084" spans="1:18" ht="12.75">
      <c r="A7084" s="12"/>
      <c r="D7084" s="12"/>
      <c r="E7084" s="12"/>
      <c r="H7084" s="11" t="str">
        <f ca="1">IFERROR(__xludf.DUMMYFUNCTION("IFERROR(SUBSTITUTE(SUBSTITUTE(REGEXEXTRACT(A7084, ""[^-]+- [^-]+- [^-]+ - (.+?)\.jpg""), "".jpg"", """"), ""-"", "", ""), """")"),"")</f>
        <v/>
      </c>
      <c r="L7084" s="12"/>
      <c r="M7084" s="13"/>
      <c r="N7084" s="2"/>
      <c r="O7084" s="20"/>
      <c r="P7084" s="42"/>
      <c r="R7084" s="23"/>
    </row>
    <row r="7085" spans="1:18" ht="12.75">
      <c r="A7085" s="12"/>
      <c r="D7085" s="12"/>
      <c r="E7085" s="12"/>
      <c r="H7085" s="11" t="str">
        <f ca="1">IFERROR(__xludf.DUMMYFUNCTION("IFERROR(SUBSTITUTE(SUBSTITUTE(REGEXEXTRACT(A7085, ""[^-]+- [^-]+- [^-]+ - (.+?)\.jpg""), "".jpg"", """"), ""-"", "", ""), """")"),"")</f>
        <v/>
      </c>
      <c r="L7085" s="12"/>
      <c r="M7085" s="13"/>
      <c r="N7085" s="2"/>
      <c r="O7085" s="20"/>
      <c r="P7085" s="42"/>
      <c r="R7085" s="23"/>
    </row>
    <row r="7086" spans="1:18" ht="12.75">
      <c r="A7086" s="12"/>
      <c r="D7086" s="12"/>
      <c r="E7086" s="12"/>
      <c r="H7086" s="11" t="str">
        <f ca="1">IFERROR(__xludf.DUMMYFUNCTION("IFERROR(SUBSTITUTE(SUBSTITUTE(REGEXEXTRACT(A7086, ""[^-]+- [^-]+- [^-]+ - (.+?)\.jpg""), "".jpg"", """"), ""-"", "", ""), """")"),"")</f>
        <v/>
      </c>
      <c r="L7086" s="12"/>
      <c r="M7086" s="13"/>
      <c r="N7086" s="2"/>
      <c r="O7086" s="20"/>
      <c r="P7086" s="42"/>
      <c r="R7086" s="23"/>
    </row>
    <row r="7087" spans="1:18" ht="12.75">
      <c r="A7087" s="12"/>
      <c r="D7087" s="12"/>
      <c r="E7087" s="12"/>
      <c r="H7087" s="11" t="str">
        <f ca="1">IFERROR(__xludf.DUMMYFUNCTION("IFERROR(SUBSTITUTE(SUBSTITUTE(REGEXEXTRACT(A7087, ""[^-]+- [^-]+- [^-]+ - (.+?)\.jpg""), "".jpg"", """"), ""-"", "", ""), """")"),"")</f>
        <v/>
      </c>
      <c r="L7087" s="12"/>
      <c r="M7087" s="13"/>
      <c r="N7087" s="2"/>
      <c r="O7087" s="20"/>
      <c r="P7087" s="42"/>
      <c r="R7087" s="23"/>
    </row>
    <row r="7088" spans="1:18" ht="12.75">
      <c r="A7088" s="12"/>
      <c r="D7088" s="12"/>
      <c r="E7088" s="12"/>
      <c r="H7088" s="11" t="str">
        <f ca="1">IFERROR(__xludf.DUMMYFUNCTION("IFERROR(SUBSTITUTE(SUBSTITUTE(REGEXEXTRACT(A7088, ""[^-]+- [^-]+- [^-]+ - (.+?)\.jpg""), "".jpg"", """"), ""-"", "", ""), """")"),"")</f>
        <v/>
      </c>
      <c r="L7088" s="12"/>
      <c r="M7088" s="13"/>
      <c r="N7088" s="2"/>
      <c r="O7088" s="20"/>
      <c r="P7088" s="42"/>
      <c r="R7088" s="23"/>
    </row>
    <row r="7089" spans="1:18" ht="12.75">
      <c r="A7089" s="12"/>
      <c r="D7089" s="12"/>
      <c r="E7089" s="12"/>
      <c r="H7089" s="11" t="str">
        <f ca="1">IFERROR(__xludf.DUMMYFUNCTION("IFERROR(SUBSTITUTE(SUBSTITUTE(REGEXEXTRACT(A7089, ""[^-]+- [^-]+- [^-]+ - (.+?)\.jpg""), "".jpg"", """"), ""-"", "", ""), """")"),"")</f>
        <v/>
      </c>
      <c r="L7089" s="12"/>
      <c r="M7089" s="13"/>
      <c r="N7089" s="2"/>
      <c r="O7089" s="20"/>
      <c r="P7089" s="42"/>
      <c r="R7089" s="23"/>
    </row>
    <row r="7090" spans="1:18" ht="12.75">
      <c r="A7090" s="12"/>
      <c r="D7090" s="12"/>
      <c r="E7090" s="12"/>
      <c r="H7090" s="11" t="str">
        <f ca="1">IFERROR(__xludf.DUMMYFUNCTION("IFERROR(SUBSTITUTE(SUBSTITUTE(REGEXEXTRACT(A7090, ""[^-]+- [^-]+- [^-]+ - (.+?)\.jpg""), "".jpg"", """"), ""-"", "", ""), """")"),"")</f>
        <v/>
      </c>
      <c r="L7090" s="12"/>
      <c r="M7090" s="13"/>
      <c r="N7090" s="2"/>
      <c r="O7090" s="20"/>
      <c r="P7090" s="42"/>
      <c r="R7090" s="23"/>
    </row>
    <row r="7091" spans="1:18" ht="12.75">
      <c r="A7091" s="12"/>
      <c r="D7091" s="12"/>
      <c r="E7091" s="12"/>
      <c r="H7091" s="11" t="str">
        <f ca="1">IFERROR(__xludf.DUMMYFUNCTION("IFERROR(SUBSTITUTE(SUBSTITUTE(REGEXEXTRACT(A7091, ""[^-]+- [^-]+- [^-]+ - (.+?)\.jpg""), "".jpg"", """"), ""-"", "", ""), """")"),"")</f>
        <v/>
      </c>
      <c r="L7091" s="12"/>
      <c r="M7091" s="13"/>
      <c r="N7091" s="2"/>
      <c r="O7091" s="20"/>
      <c r="P7091" s="42"/>
      <c r="R7091" s="23"/>
    </row>
    <row r="7092" spans="1:18" ht="12.75">
      <c r="A7092" s="12"/>
      <c r="D7092" s="12"/>
      <c r="E7092" s="12"/>
      <c r="H7092" s="11" t="str">
        <f ca="1">IFERROR(__xludf.DUMMYFUNCTION("IFERROR(SUBSTITUTE(SUBSTITUTE(REGEXEXTRACT(A7092, ""[^-]+- [^-]+- [^-]+ - (.+?)\.jpg""), "".jpg"", """"), ""-"", "", ""), """")"),"")</f>
        <v/>
      </c>
      <c r="L7092" s="12"/>
      <c r="M7092" s="13"/>
      <c r="N7092" s="2"/>
      <c r="O7092" s="20"/>
      <c r="P7092" s="42"/>
      <c r="R7092" s="23"/>
    </row>
    <row r="7093" spans="1:18" ht="12.75">
      <c r="A7093" s="12"/>
      <c r="D7093" s="12"/>
      <c r="E7093" s="12"/>
      <c r="H7093" s="11" t="str">
        <f ca="1">IFERROR(__xludf.DUMMYFUNCTION("IFERROR(SUBSTITUTE(SUBSTITUTE(REGEXEXTRACT(A7093, ""[^-]+- [^-]+- [^-]+ - (.+?)\.jpg""), "".jpg"", """"), ""-"", "", ""), """")"),"")</f>
        <v/>
      </c>
      <c r="L7093" s="12"/>
      <c r="M7093" s="13"/>
      <c r="N7093" s="2"/>
      <c r="O7093" s="20"/>
      <c r="P7093" s="42"/>
      <c r="R7093" s="23"/>
    </row>
    <row r="7094" spans="1:18" ht="12.75">
      <c r="A7094" s="12"/>
      <c r="D7094" s="12"/>
      <c r="E7094" s="12"/>
      <c r="H7094" s="11" t="str">
        <f ca="1">IFERROR(__xludf.DUMMYFUNCTION("IFERROR(SUBSTITUTE(SUBSTITUTE(REGEXEXTRACT(A7094, ""[^-]+- [^-]+- [^-]+ - (.+?)\.jpg""), "".jpg"", """"), ""-"", "", ""), """")"),"")</f>
        <v/>
      </c>
      <c r="L7094" s="12"/>
      <c r="M7094" s="13"/>
      <c r="N7094" s="2"/>
      <c r="O7094" s="20"/>
      <c r="P7094" s="42"/>
      <c r="R7094" s="23"/>
    </row>
    <row r="7095" spans="1:18" ht="12.75">
      <c r="A7095" s="12"/>
      <c r="D7095" s="12"/>
      <c r="E7095" s="12"/>
      <c r="H7095" s="11" t="str">
        <f ca="1">IFERROR(__xludf.DUMMYFUNCTION("IFERROR(SUBSTITUTE(SUBSTITUTE(REGEXEXTRACT(A7095, ""[^-]+- [^-]+- [^-]+ - (.+?)\.jpg""), "".jpg"", """"), ""-"", "", ""), """")"),"")</f>
        <v/>
      </c>
      <c r="L7095" s="12"/>
      <c r="M7095" s="13"/>
      <c r="N7095" s="2"/>
      <c r="O7095" s="20"/>
      <c r="P7095" s="42"/>
      <c r="R7095" s="23"/>
    </row>
    <row r="7096" spans="1:18" ht="12.75">
      <c r="A7096" s="12"/>
      <c r="D7096" s="12"/>
      <c r="E7096" s="12"/>
      <c r="H7096" s="11" t="str">
        <f ca="1">IFERROR(__xludf.DUMMYFUNCTION("IFERROR(SUBSTITUTE(SUBSTITUTE(REGEXEXTRACT(A7096, ""[^-]+- [^-]+- [^-]+ - (.+?)\.jpg""), "".jpg"", """"), ""-"", "", ""), """")"),"")</f>
        <v/>
      </c>
      <c r="L7096" s="12"/>
      <c r="M7096" s="13"/>
      <c r="N7096" s="2"/>
      <c r="O7096" s="20"/>
      <c r="P7096" s="42"/>
      <c r="R7096" s="23"/>
    </row>
    <row r="7097" spans="1:18" ht="12.75">
      <c r="A7097" s="12"/>
      <c r="D7097" s="12"/>
      <c r="E7097" s="12"/>
      <c r="H7097" s="11" t="str">
        <f ca="1">IFERROR(__xludf.DUMMYFUNCTION("IFERROR(SUBSTITUTE(SUBSTITUTE(REGEXEXTRACT(A7097, ""[^-]+- [^-]+- [^-]+ - (.+?)\.jpg""), "".jpg"", """"), ""-"", "", ""), """")"),"")</f>
        <v/>
      </c>
      <c r="L7097" s="12"/>
      <c r="M7097" s="13"/>
      <c r="N7097" s="2"/>
      <c r="O7097" s="20"/>
      <c r="P7097" s="42"/>
      <c r="R7097" s="23"/>
    </row>
    <row r="7098" spans="1:18" ht="12.75">
      <c r="A7098" s="12"/>
      <c r="D7098" s="12"/>
      <c r="E7098" s="12"/>
      <c r="H7098" s="11" t="str">
        <f ca="1">IFERROR(__xludf.DUMMYFUNCTION("IFERROR(SUBSTITUTE(SUBSTITUTE(REGEXEXTRACT(A7098, ""[^-]+- [^-]+- [^-]+ - (.+?)\.jpg""), "".jpg"", """"), ""-"", "", ""), """")"),"")</f>
        <v/>
      </c>
      <c r="L7098" s="12"/>
      <c r="M7098" s="13"/>
      <c r="N7098" s="2"/>
      <c r="O7098" s="20"/>
      <c r="P7098" s="42"/>
      <c r="R7098" s="23"/>
    </row>
    <row r="7099" spans="1:18" ht="12.75">
      <c r="A7099" s="12"/>
      <c r="D7099" s="12"/>
      <c r="E7099" s="12"/>
      <c r="H7099" s="11" t="str">
        <f ca="1">IFERROR(__xludf.DUMMYFUNCTION("IFERROR(SUBSTITUTE(SUBSTITUTE(REGEXEXTRACT(A7099, ""[^-]+- [^-]+- [^-]+ - (.+?)\.jpg""), "".jpg"", """"), ""-"", "", ""), """")"),"")</f>
        <v/>
      </c>
      <c r="L7099" s="12"/>
      <c r="M7099" s="13"/>
      <c r="N7099" s="2"/>
      <c r="O7099" s="20"/>
      <c r="P7099" s="42"/>
      <c r="R7099" s="23"/>
    </row>
    <row r="7100" spans="1:18" ht="12.75">
      <c r="A7100" s="12"/>
      <c r="D7100" s="12"/>
      <c r="E7100" s="12"/>
      <c r="H7100" s="11" t="str">
        <f ca="1">IFERROR(__xludf.DUMMYFUNCTION("IFERROR(SUBSTITUTE(SUBSTITUTE(REGEXEXTRACT(A7100, ""[^-]+- [^-]+- [^-]+ - (.+?)\.jpg""), "".jpg"", """"), ""-"", "", ""), """")"),"")</f>
        <v/>
      </c>
      <c r="L7100" s="12"/>
      <c r="M7100" s="13"/>
      <c r="N7100" s="2"/>
      <c r="O7100" s="20"/>
      <c r="P7100" s="42"/>
      <c r="R7100" s="23"/>
    </row>
    <row r="7101" spans="1:18" ht="12.75">
      <c r="A7101" s="12"/>
      <c r="D7101" s="12"/>
      <c r="E7101" s="12"/>
      <c r="H7101" s="11" t="str">
        <f ca="1">IFERROR(__xludf.DUMMYFUNCTION("IFERROR(SUBSTITUTE(SUBSTITUTE(REGEXEXTRACT(A7101, ""[^-]+- [^-]+- [^-]+ - (.+?)\.jpg""), "".jpg"", """"), ""-"", "", ""), """")"),"")</f>
        <v/>
      </c>
      <c r="L7101" s="12"/>
      <c r="M7101" s="13"/>
      <c r="N7101" s="2"/>
      <c r="O7101" s="20"/>
      <c r="P7101" s="42"/>
      <c r="R7101" s="23"/>
    </row>
    <row r="7102" spans="1:18" ht="12.75">
      <c r="A7102" s="12"/>
      <c r="D7102" s="12"/>
      <c r="E7102" s="12"/>
      <c r="H7102" s="11" t="str">
        <f ca="1">IFERROR(__xludf.DUMMYFUNCTION("IFERROR(SUBSTITUTE(SUBSTITUTE(REGEXEXTRACT(A7102, ""[^-]+- [^-]+- [^-]+ - (.+?)\.jpg""), "".jpg"", """"), ""-"", "", ""), """")"),"")</f>
        <v/>
      </c>
      <c r="L7102" s="12"/>
      <c r="M7102" s="13"/>
      <c r="N7102" s="2"/>
      <c r="O7102" s="20"/>
      <c r="P7102" s="42"/>
      <c r="R7102" s="23"/>
    </row>
    <row r="7103" spans="1:18" ht="12.75">
      <c r="A7103" s="12"/>
      <c r="D7103" s="12"/>
      <c r="E7103" s="12"/>
      <c r="H7103" s="11" t="str">
        <f ca="1">IFERROR(__xludf.DUMMYFUNCTION("IFERROR(SUBSTITUTE(SUBSTITUTE(REGEXEXTRACT(A7103, ""[^-]+- [^-]+- [^-]+ - (.+?)\.jpg""), "".jpg"", """"), ""-"", "", ""), """")"),"")</f>
        <v/>
      </c>
      <c r="L7103" s="12"/>
      <c r="M7103" s="13"/>
      <c r="N7103" s="2"/>
      <c r="O7103" s="20"/>
      <c r="P7103" s="42"/>
      <c r="R7103" s="23"/>
    </row>
    <row r="7104" spans="1:18" ht="12.75">
      <c r="A7104" s="12"/>
      <c r="D7104" s="12"/>
      <c r="E7104" s="12"/>
      <c r="H7104" s="11" t="str">
        <f ca="1">IFERROR(__xludf.DUMMYFUNCTION("IFERROR(SUBSTITUTE(SUBSTITUTE(REGEXEXTRACT(A7104, ""[^-]+- [^-]+- [^-]+ - (.+?)\.jpg""), "".jpg"", """"), ""-"", "", ""), """")"),"")</f>
        <v/>
      </c>
      <c r="L7104" s="12"/>
      <c r="M7104" s="13"/>
      <c r="N7104" s="2"/>
      <c r="O7104" s="20"/>
      <c r="P7104" s="42"/>
      <c r="R7104" s="23"/>
    </row>
    <row r="7105" spans="1:18" ht="12.75">
      <c r="A7105" s="12"/>
      <c r="D7105" s="12"/>
      <c r="E7105" s="12"/>
      <c r="H7105" s="11" t="str">
        <f ca="1">IFERROR(__xludf.DUMMYFUNCTION("IFERROR(SUBSTITUTE(SUBSTITUTE(REGEXEXTRACT(A7105, ""[^-]+- [^-]+- [^-]+ - (.+?)\.jpg""), "".jpg"", """"), ""-"", "", ""), """")"),"")</f>
        <v/>
      </c>
      <c r="L7105" s="12"/>
      <c r="M7105" s="13"/>
      <c r="N7105" s="2"/>
      <c r="O7105" s="20"/>
      <c r="P7105" s="42"/>
      <c r="R7105" s="23"/>
    </row>
    <row r="7106" spans="1:18" ht="12.75">
      <c r="A7106" s="12"/>
      <c r="D7106" s="12"/>
      <c r="E7106" s="12"/>
      <c r="H7106" s="11" t="str">
        <f ca="1">IFERROR(__xludf.DUMMYFUNCTION("IFERROR(SUBSTITUTE(SUBSTITUTE(REGEXEXTRACT(A7106, ""[^-]+- [^-]+- [^-]+ - (.+?)\.jpg""), "".jpg"", """"), ""-"", "", ""), """")"),"")</f>
        <v/>
      </c>
      <c r="L7106" s="12"/>
      <c r="M7106" s="13"/>
      <c r="N7106" s="2"/>
      <c r="O7106" s="20"/>
      <c r="P7106" s="42"/>
      <c r="R7106" s="23"/>
    </row>
    <row r="7107" spans="1:18" ht="12.75">
      <c r="A7107" s="12"/>
      <c r="D7107" s="12"/>
      <c r="E7107" s="12"/>
      <c r="H7107" s="11" t="str">
        <f ca="1">IFERROR(__xludf.DUMMYFUNCTION("IFERROR(SUBSTITUTE(SUBSTITUTE(REGEXEXTRACT(A7107, ""[^-]+- [^-]+- [^-]+ - (.+?)\.jpg""), "".jpg"", """"), ""-"", "", ""), """")"),"")</f>
        <v/>
      </c>
      <c r="L7107" s="12"/>
      <c r="M7107" s="13"/>
      <c r="N7107" s="2"/>
      <c r="O7107" s="20"/>
      <c r="P7107" s="42"/>
      <c r="R7107" s="23"/>
    </row>
    <row r="7108" spans="1:18" ht="12.75">
      <c r="A7108" s="12"/>
      <c r="D7108" s="12"/>
      <c r="E7108" s="12"/>
      <c r="H7108" s="11" t="str">
        <f ca="1">IFERROR(__xludf.DUMMYFUNCTION("IFERROR(SUBSTITUTE(SUBSTITUTE(REGEXEXTRACT(A7108, ""[^-]+- [^-]+- [^-]+ - (.+?)\.jpg""), "".jpg"", """"), ""-"", "", ""), """")"),"")</f>
        <v/>
      </c>
      <c r="L7108" s="12"/>
      <c r="M7108" s="13"/>
      <c r="N7108" s="2"/>
      <c r="O7108" s="20"/>
      <c r="P7108" s="42"/>
      <c r="R7108" s="23"/>
    </row>
    <row r="7109" spans="1:18" ht="12.75">
      <c r="A7109" s="12"/>
      <c r="D7109" s="12"/>
      <c r="E7109" s="12"/>
      <c r="H7109" s="11" t="str">
        <f ca="1">IFERROR(__xludf.DUMMYFUNCTION("IFERROR(SUBSTITUTE(SUBSTITUTE(REGEXEXTRACT(A7109, ""[^-]+- [^-]+- [^-]+ - (.+?)\.jpg""), "".jpg"", """"), ""-"", "", ""), """")"),"")</f>
        <v/>
      </c>
      <c r="L7109" s="12"/>
      <c r="M7109" s="13"/>
      <c r="N7109" s="2"/>
      <c r="O7109" s="20"/>
      <c r="P7109" s="42"/>
      <c r="R7109" s="23"/>
    </row>
    <row r="7110" spans="1:18" ht="12.75">
      <c r="A7110" s="12"/>
      <c r="D7110" s="12"/>
      <c r="E7110" s="12"/>
      <c r="H7110" s="11" t="str">
        <f ca="1">IFERROR(__xludf.DUMMYFUNCTION("IFERROR(SUBSTITUTE(SUBSTITUTE(REGEXEXTRACT(A7110, ""[^-]+- [^-]+- [^-]+ - (.+?)\.jpg""), "".jpg"", """"), ""-"", "", ""), """")"),"")</f>
        <v/>
      </c>
      <c r="L7110" s="12"/>
      <c r="M7110" s="13"/>
      <c r="N7110" s="2"/>
      <c r="O7110" s="20"/>
      <c r="P7110" s="42"/>
      <c r="R7110" s="23"/>
    </row>
    <row r="7111" spans="1:18" ht="12.75">
      <c r="A7111" s="12"/>
      <c r="D7111" s="12"/>
      <c r="E7111" s="12"/>
      <c r="H7111" s="11" t="str">
        <f ca="1">IFERROR(__xludf.DUMMYFUNCTION("IFERROR(SUBSTITUTE(SUBSTITUTE(REGEXEXTRACT(A7111, ""[^-]+- [^-]+- [^-]+ - (.+?)\.jpg""), "".jpg"", """"), ""-"", "", ""), """")"),"")</f>
        <v/>
      </c>
      <c r="L7111" s="12"/>
      <c r="M7111" s="13"/>
      <c r="N7111" s="2"/>
      <c r="O7111" s="20"/>
      <c r="P7111" s="42"/>
      <c r="R7111" s="23"/>
    </row>
    <row r="7112" spans="1:18" ht="12.75">
      <c r="A7112" s="12"/>
      <c r="D7112" s="12"/>
      <c r="E7112" s="12"/>
      <c r="H7112" s="11" t="str">
        <f ca="1">IFERROR(__xludf.DUMMYFUNCTION("IFERROR(SUBSTITUTE(SUBSTITUTE(REGEXEXTRACT(A7112, ""[^-]+- [^-]+- [^-]+ - (.+?)\.jpg""), "".jpg"", """"), ""-"", "", ""), """")"),"")</f>
        <v/>
      </c>
      <c r="L7112" s="12"/>
      <c r="M7112" s="13"/>
      <c r="N7112" s="2"/>
      <c r="O7112" s="20"/>
      <c r="P7112" s="42"/>
      <c r="R7112" s="23"/>
    </row>
    <row r="7113" spans="1:18" ht="12.75">
      <c r="A7113" s="12"/>
      <c r="D7113" s="12"/>
      <c r="E7113" s="12"/>
      <c r="H7113" s="11" t="str">
        <f ca="1">IFERROR(__xludf.DUMMYFUNCTION("IFERROR(SUBSTITUTE(SUBSTITUTE(REGEXEXTRACT(A7113, ""[^-]+- [^-]+- [^-]+ - (.+?)\.jpg""), "".jpg"", """"), ""-"", "", ""), """")"),"")</f>
        <v/>
      </c>
      <c r="L7113" s="12"/>
      <c r="M7113" s="13"/>
      <c r="N7113" s="2"/>
      <c r="O7113" s="20"/>
      <c r="P7113" s="42"/>
      <c r="R7113" s="23"/>
    </row>
    <row r="7114" spans="1:18" ht="12.75">
      <c r="A7114" s="12"/>
      <c r="D7114" s="12"/>
      <c r="E7114" s="12"/>
      <c r="H7114" s="11" t="str">
        <f ca="1">IFERROR(__xludf.DUMMYFUNCTION("IFERROR(SUBSTITUTE(SUBSTITUTE(REGEXEXTRACT(A7114, ""[^-]+- [^-]+- [^-]+ - (.+?)\.jpg""), "".jpg"", """"), ""-"", "", ""), """")"),"")</f>
        <v/>
      </c>
      <c r="L7114" s="12"/>
      <c r="M7114" s="13"/>
      <c r="N7114" s="2"/>
      <c r="O7114" s="20"/>
      <c r="P7114" s="42"/>
      <c r="R7114" s="23"/>
    </row>
    <row r="7115" spans="1:18" ht="12.75">
      <c r="A7115" s="12"/>
      <c r="D7115" s="12"/>
      <c r="E7115" s="12"/>
      <c r="H7115" s="11" t="str">
        <f ca="1">IFERROR(__xludf.DUMMYFUNCTION("IFERROR(SUBSTITUTE(SUBSTITUTE(REGEXEXTRACT(A7115, ""[^-]+- [^-]+- [^-]+ - (.+?)\.jpg""), "".jpg"", """"), ""-"", "", ""), """")"),"")</f>
        <v/>
      </c>
      <c r="L7115" s="12"/>
      <c r="M7115" s="13"/>
      <c r="N7115" s="2"/>
      <c r="O7115" s="20"/>
      <c r="P7115" s="42"/>
      <c r="R7115" s="23"/>
    </row>
    <row r="7116" spans="1:18" ht="12.75">
      <c r="A7116" s="12"/>
      <c r="D7116" s="12"/>
      <c r="E7116" s="12"/>
      <c r="H7116" s="11" t="str">
        <f ca="1">IFERROR(__xludf.DUMMYFUNCTION("IFERROR(SUBSTITUTE(SUBSTITUTE(REGEXEXTRACT(A7116, ""[^-]+- [^-]+- [^-]+ - (.+?)\.jpg""), "".jpg"", """"), ""-"", "", ""), """")"),"")</f>
        <v/>
      </c>
      <c r="L7116" s="12"/>
      <c r="M7116" s="13"/>
      <c r="N7116" s="2"/>
      <c r="O7116" s="20"/>
      <c r="P7116" s="42"/>
      <c r="R7116" s="23"/>
    </row>
    <row r="7117" spans="1:18" ht="12.75">
      <c r="A7117" s="12"/>
      <c r="D7117" s="12"/>
      <c r="E7117" s="12"/>
      <c r="H7117" s="11" t="str">
        <f ca="1">IFERROR(__xludf.DUMMYFUNCTION("IFERROR(SUBSTITUTE(SUBSTITUTE(REGEXEXTRACT(A7117, ""[^-]+- [^-]+- [^-]+ - (.+?)\.jpg""), "".jpg"", """"), ""-"", "", ""), """")"),"")</f>
        <v/>
      </c>
      <c r="L7117" s="12"/>
      <c r="M7117" s="13"/>
      <c r="N7117" s="2"/>
      <c r="O7117" s="20"/>
      <c r="P7117" s="42"/>
      <c r="R7117" s="23"/>
    </row>
    <row r="7118" spans="1:18" ht="12.75">
      <c r="A7118" s="12"/>
      <c r="D7118" s="12"/>
      <c r="E7118" s="12"/>
      <c r="H7118" s="11" t="str">
        <f ca="1">IFERROR(__xludf.DUMMYFUNCTION("IFERROR(SUBSTITUTE(SUBSTITUTE(REGEXEXTRACT(A7118, ""[^-]+- [^-]+- [^-]+ - (.+?)\.jpg""), "".jpg"", """"), ""-"", "", ""), """")"),"")</f>
        <v/>
      </c>
      <c r="L7118" s="12"/>
      <c r="M7118" s="13"/>
      <c r="N7118" s="2"/>
      <c r="O7118" s="20"/>
      <c r="P7118" s="42"/>
      <c r="R7118" s="23"/>
    </row>
    <row r="7119" spans="1:18" ht="12.75">
      <c r="A7119" s="12"/>
      <c r="D7119" s="12"/>
      <c r="E7119" s="12"/>
      <c r="H7119" s="11" t="str">
        <f ca="1">IFERROR(__xludf.DUMMYFUNCTION("IFERROR(SUBSTITUTE(SUBSTITUTE(REGEXEXTRACT(A7119, ""[^-]+- [^-]+- [^-]+ - (.+?)\.jpg""), "".jpg"", """"), ""-"", "", ""), """")"),"")</f>
        <v/>
      </c>
      <c r="L7119" s="12"/>
      <c r="M7119" s="13"/>
      <c r="N7119" s="2"/>
      <c r="O7119" s="20"/>
      <c r="P7119" s="42"/>
      <c r="R7119" s="23"/>
    </row>
    <row r="7120" spans="1:18" ht="12.75">
      <c r="A7120" s="12"/>
      <c r="D7120" s="12"/>
      <c r="E7120" s="12"/>
      <c r="H7120" s="11" t="str">
        <f ca="1">IFERROR(__xludf.DUMMYFUNCTION("IFERROR(SUBSTITUTE(SUBSTITUTE(REGEXEXTRACT(A7120, ""[^-]+- [^-]+- [^-]+ - (.+?)\.jpg""), "".jpg"", """"), ""-"", "", ""), """")"),"")</f>
        <v/>
      </c>
      <c r="L7120" s="12"/>
      <c r="M7120" s="13"/>
      <c r="N7120" s="2"/>
      <c r="O7120" s="20"/>
      <c r="P7120" s="42"/>
      <c r="R7120" s="23"/>
    </row>
    <row r="7121" spans="1:18" ht="12.75">
      <c r="A7121" s="12"/>
      <c r="D7121" s="12"/>
      <c r="E7121" s="12"/>
      <c r="H7121" s="11" t="str">
        <f ca="1">IFERROR(__xludf.DUMMYFUNCTION("IFERROR(SUBSTITUTE(SUBSTITUTE(REGEXEXTRACT(A7121, ""[^-]+- [^-]+- [^-]+ - (.+?)\.jpg""), "".jpg"", """"), ""-"", "", ""), """")"),"")</f>
        <v/>
      </c>
      <c r="L7121" s="12"/>
      <c r="M7121" s="13"/>
      <c r="N7121" s="2"/>
      <c r="O7121" s="20"/>
      <c r="P7121" s="42"/>
      <c r="R7121" s="23"/>
    </row>
    <row r="7122" spans="1:18" ht="12.75">
      <c r="A7122" s="12"/>
      <c r="D7122" s="12"/>
      <c r="E7122" s="12"/>
      <c r="H7122" s="11" t="str">
        <f ca="1">IFERROR(__xludf.DUMMYFUNCTION("IFERROR(SUBSTITUTE(SUBSTITUTE(REGEXEXTRACT(A7122, ""[^-]+- [^-]+- [^-]+ - (.+?)\.jpg""), "".jpg"", """"), ""-"", "", ""), """")"),"")</f>
        <v/>
      </c>
      <c r="L7122" s="12"/>
      <c r="M7122" s="13"/>
      <c r="N7122" s="2"/>
      <c r="O7122" s="20"/>
      <c r="P7122" s="42"/>
      <c r="R7122" s="23"/>
    </row>
    <row r="7123" spans="1:18" ht="12.75">
      <c r="A7123" s="12"/>
      <c r="D7123" s="12"/>
      <c r="E7123" s="12"/>
      <c r="H7123" s="11" t="str">
        <f ca="1">IFERROR(__xludf.DUMMYFUNCTION("IFERROR(SUBSTITUTE(SUBSTITUTE(REGEXEXTRACT(A7123, ""[^-]+- [^-]+- [^-]+ - (.+?)\.jpg""), "".jpg"", """"), ""-"", "", ""), """")"),"")</f>
        <v/>
      </c>
      <c r="L7123" s="12"/>
      <c r="M7123" s="13"/>
      <c r="N7123" s="2"/>
      <c r="O7123" s="20"/>
      <c r="P7123" s="42"/>
      <c r="R7123" s="23"/>
    </row>
    <row r="7124" spans="1:18" ht="12.75">
      <c r="A7124" s="12"/>
      <c r="D7124" s="12"/>
      <c r="E7124" s="12"/>
      <c r="H7124" s="11" t="str">
        <f ca="1">IFERROR(__xludf.DUMMYFUNCTION("IFERROR(SUBSTITUTE(SUBSTITUTE(REGEXEXTRACT(A7124, ""[^-]+- [^-]+- [^-]+ - (.+?)\.jpg""), "".jpg"", """"), ""-"", "", ""), """")"),"")</f>
        <v/>
      </c>
      <c r="L7124" s="12"/>
      <c r="M7124" s="13"/>
      <c r="N7124" s="2"/>
      <c r="O7124" s="20"/>
      <c r="P7124" s="42"/>
      <c r="R7124" s="23"/>
    </row>
    <row r="7125" spans="1:18" ht="12.75">
      <c r="A7125" s="12"/>
      <c r="D7125" s="12"/>
      <c r="E7125" s="12"/>
      <c r="H7125" s="11" t="str">
        <f ca="1">IFERROR(__xludf.DUMMYFUNCTION("IFERROR(SUBSTITUTE(SUBSTITUTE(REGEXEXTRACT(A7125, ""[^-]+- [^-]+- [^-]+ - (.+?)\.jpg""), "".jpg"", """"), ""-"", "", ""), """")"),"")</f>
        <v/>
      </c>
      <c r="L7125" s="12"/>
      <c r="M7125" s="13"/>
      <c r="N7125" s="2"/>
      <c r="O7125" s="20"/>
      <c r="P7125" s="42"/>
      <c r="R7125" s="23"/>
    </row>
    <row r="7126" spans="1:18" ht="12.75">
      <c r="A7126" s="12"/>
      <c r="D7126" s="12"/>
      <c r="E7126" s="12"/>
      <c r="H7126" s="11" t="str">
        <f ca="1">IFERROR(__xludf.DUMMYFUNCTION("IFERROR(SUBSTITUTE(SUBSTITUTE(REGEXEXTRACT(A7126, ""[^-]+- [^-]+- [^-]+ - (.+?)\.jpg""), "".jpg"", """"), ""-"", "", ""), """")"),"")</f>
        <v/>
      </c>
      <c r="L7126" s="12"/>
      <c r="M7126" s="13"/>
      <c r="N7126" s="2"/>
      <c r="O7126" s="20"/>
      <c r="P7126" s="42"/>
      <c r="R7126" s="23"/>
    </row>
    <row r="7127" spans="1:18" ht="12.75">
      <c r="A7127" s="12"/>
      <c r="D7127" s="12"/>
      <c r="E7127" s="12"/>
      <c r="H7127" s="11" t="str">
        <f ca="1">IFERROR(__xludf.DUMMYFUNCTION("IFERROR(SUBSTITUTE(SUBSTITUTE(REGEXEXTRACT(A7127, ""[^-]+- [^-]+- [^-]+ - (.+?)\.jpg""), "".jpg"", """"), ""-"", "", ""), """")"),"")</f>
        <v/>
      </c>
      <c r="L7127" s="12"/>
      <c r="M7127" s="13"/>
      <c r="N7127" s="2"/>
      <c r="O7127" s="20"/>
      <c r="P7127" s="42"/>
      <c r="R7127" s="23"/>
    </row>
    <row r="7128" spans="1:18" ht="12.75">
      <c r="A7128" s="12"/>
      <c r="D7128" s="12"/>
      <c r="E7128" s="12"/>
      <c r="H7128" s="11" t="str">
        <f ca="1">IFERROR(__xludf.DUMMYFUNCTION("IFERROR(SUBSTITUTE(SUBSTITUTE(REGEXEXTRACT(A7128, ""[^-]+- [^-]+- [^-]+ - (.+?)\.jpg""), "".jpg"", """"), ""-"", "", ""), """")"),"")</f>
        <v/>
      </c>
      <c r="L7128" s="12"/>
      <c r="M7128" s="13"/>
      <c r="N7128" s="2"/>
      <c r="O7128" s="20"/>
      <c r="P7128" s="42"/>
      <c r="R7128" s="23"/>
    </row>
    <row r="7129" spans="1:18" ht="12.75">
      <c r="A7129" s="12"/>
      <c r="D7129" s="12"/>
      <c r="E7129" s="12"/>
      <c r="H7129" s="11" t="str">
        <f ca="1">IFERROR(__xludf.DUMMYFUNCTION("IFERROR(SUBSTITUTE(SUBSTITUTE(REGEXEXTRACT(A7129, ""[^-]+- [^-]+- [^-]+ - (.+?)\.jpg""), "".jpg"", """"), ""-"", "", ""), """")"),"")</f>
        <v/>
      </c>
      <c r="L7129" s="12"/>
      <c r="M7129" s="13"/>
      <c r="N7129" s="2"/>
      <c r="O7129" s="20"/>
      <c r="P7129" s="42"/>
      <c r="R7129" s="23"/>
    </row>
    <row r="7130" spans="1:18" ht="12.75">
      <c r="A7130" s="12"/>
      <c r="D7130" s="12"/>
      <c r="E7130" s="12"/>
      <c r="H7130" s="11" t="str">
        <f ca="1">IFERROR(__xludf.DUMMYFUNCTION("IFERROR(SUBSTITUTE(SUBSTITUTE(REGEXEXTRACT(A7130, ""[^-]+- [^-]+- [^-]+ - (.+?)\.jpg""), "".jpg"", """"), ""-"", "", ""), """")"),"")</f>
        <v/>
      </c>
      <c r="L7130" s="12"/>
      <c r="M7130" s="13"/>
      <c r="N7130" s="2"/>
      <c r="O7130" s="20"/>
      <c r="P7130" s="42"/>
      <c r="R7130" s="23"/>
    </row>
    <row r="7131" spans="1:18" ht="12.75">
      <c r="A7131" s="12"/>
      <c r="D7131" s="12"/>
      <c r="E7131" s="12"/>
      <c r="H7131" s="11" t="str">
        <f ca="1">IFERROR(__xludf.DUMMYFUNCTION("IFERROR(SUBSTITUTE(SUBSTITUTE(REGEXEXTRACT(A7131, ""[^-]+- [^-]+- [^-]+ - (.+?)\.jpg""), "".jpg"", """"), ""-"", "", ""), """")"),"")</f>
        <v/>
      </c>
      <c r="L7131" s="12"/>
      <c r="M7131" s="13"/>
      <c r="N7131" s="2"/>
      <c r="O7131" s="20"/>
      <c r="P7131" s="42"/>
      <c r="R7131" s="23"/>
    </row>
    <row r="7132" spans="1:18" ht="12.75">
      <c r="A7132" s="12"/>
      <c r="D7132" s="12"/>
      <c r="E7132" s="12"/>
      <c r="H7132" s="11" t="str">
        <f ca="1">IFERROR(__xludf.DUMMYFUNCTION("IFERROR(SUBSTITUTE(SUBSTITUTE(REGEXEXTRACT(A7132, ""[^-]+- [^-]+- [^-]+ - (.+?)\.jpg""), "".jpg"", """"), ""-"", "", ""), """")"),"")</f>
        <v/>
      </c>
      <c r="L7132" s="12"/>
      <c r="M7132" s="13"/>
      <c r="N7132" s="2"/>
      <c r="O7132" s="20"/>
      <c r="P7132" s="42"/>
      <c r="R7132" s="23"/>
    </row>
    <row r="7133" spans="1:18" ht="12.75">
      <c r="A7133" s="12"/>
      <c r="D7133" s="12"/>
      <c r="E7133" s="12"/>
      <c r="H7133" s="11" t="str">
        <f ca="1">IFERROR(__xludf.DUMMYFUNCTION("IFERROR(SUBSTITUTE(SUBSTITUTE(REGEXEXTRACT(A7133, ""[^-]+- [^-]+- [^-]+ - (.+?)\.jpg""), "".jpg"", """"), ""-"", "", ""), """")"),"")</f>
        <v/>
      </c>
      <c r="L7133" s="12"/>
      <c r="M7133" s="13"/>
      <c r="N7133" s="2"/>
      <c r="O7133" s="20"/>
      <c r="P7133" s="42"/>
      <c r="R7133" s="23"/>
    </row>
    <row r="7134" spans="1:18" ht="12.75">
      <c r="A7134" s="12"/>
      <c r="D7134" s="12"/>
      <c r="E7134" s="12"/>
      <c r="H7134" s="11" t="str">
        <f ca="1">IFERROR(__xludf.DUMMYFUNCTION("IFERROR(SUBSTITUTE(SUBSTITUTE(REGEXEXTRACT(A7134, ""[^-]+- [^-]+- [^-]+ - (.+?)\.jpg""), "".jpg"", """"), ""-"", "", ""), """")"),"")</f>
        <v/>
      </c>
      <c r="L7134" s="12"/>
      <c r="M7134" s="13"/>
      <c r="N7134" s="2"/>
      <c r="O7134" s="20"/>
      <c r="P7134" s="42"/>
      <c r="R7134" s="23"/>
    </row>
    <row r="7135" spans="1:18" ht="12.75">
      <c r="A7135" s="12"/>
      <c r="D7135" s="12"/>
      <c r="E7135" s="12"/>
      <c r="H7135" s="11" t="str">
        <f ca="1">IFERROR(__xludf.DUMMYFUNCTION("IFERROR(SUBSTITUTE(SUBSTITUTE(REGEXEXTRACT(A7135, ""[^-]+- [^-]+- [^-]+ - (.+?)\.jpg""), "".jpg"", """"), ""-"", "", ""), """")"),"")</f>
        <v/>
      </c>
      <c r="L7135" s="12"/>
      <c r="M7135" s="13"/>
      <c r="N7135" s="2"/>
      <c r="O7135" s="20"/>
      <c r="P7135" s="42"/>
      <c r="R7135" s="23"/>
    </row>
    <row r="7136" spans="1:18" ht="12.75">
      <c r="A7136" s="12"/>
      <c r="D7136" s="12"/>
      <c r="E7136" s="12"/>
      <c r="H7136" s="11" t="str">
        <f ca="1">IFERROR(__xludf.DUMMYFUNCTION("IFERROR(SUBSTITUTE(SUBSTITUTE(REGEXEXTRACT(A7136, ""[^-]+- [^-]+- [^-]+ - (.+?)\.jpg""), "".jpg"", """"), ""-"", "", ""), """")"),"")</f>
        <v/>
      </c>
      <c r="L7136" s="12"/>
      <c r="M7136" s="13"/>
      <c r="N7136" s="2"/>
      <c r="O7136" s="20"/>
      <c r="P7136" s="42"/>
      <c r="R7136" s="23"/>
    </row>
    <row r="7137" spans="1:18" ht="12.75">
      <c r="A7137" s="12"/>
      <c r="D7137" s="12"/>
      <c r="E7137" s="12"/>
      <c r="H7137" s="11" t="str">
        <f ca="1">IFERROR(__xludf.DUMMYFUNCTION("IFERROR(SUBSTITUTE(SUBSTITUTE(REGEXEXTRACT(A7137, ""[^-]+- [^-]+- [^-]+ - (.+?)\.jpg""), "".jpg"", """"), ""-"", "", ""), """")"),"")</f>
        <v/>
      </c>
      <c r="L7137" s="12"/>
      <c r="M7137" s="13"/>
      <c r="N7137" s="2"/>
      <c r="O7137" s="20"/>
      <c r="P7137" s="42"/>
      <c r="R7137" s="23"/>
    </row>
    <row r="7138" spans="1:18" ht="12.75">
      <c r="A7138" s="12"/>
      <c r="D7138" s="12"/>
      <c r="E7138" s="12"/>
      <c r="H7138" s="11" t="str">
        <f ca="1">IFERROR(__xludf.DUMMYFUNCTION("IFERROR(SUBSTITUTE(SUBSTITUTE(REGEXEXTRACT(A7138, ""[^-]+- [^-]+- [^-]+ - (.+?)\.jpg""), "".jpg"", """"), ""-"", "", ""), """")"),"")</f>
        <v/>
      </c>
      <c r="L7138" s="12"/>
      <c r="M7138" s="13"/>
      <c r="N7138" s="2"/>
      <c r="O7138" s="20"/>
      <c r="P7138" s="42"/>
      <c r="R7138" s="23"/>
    </row>
    <row r="7139" spans="1:18" ht="12.75">
      <c r="A7139" s="12"/>
      <c r="D7139" s="12"/>
      <c r="E7139" s="12"/>
      <c r="H7139" s="11" t="str">
        <f ca="1">IFERROR(__xludf.DUMMYFUNCTION("IFERROR(SUBSTITUTE(SUBSTITUTE(REGEXEXTRACT(A7139, ""[^-]+- [^-]+- [^-]+ - (.+?)\.jpg""), "".jpg"", """"), ""-"", "", ""), """")"),"")</f>
        <v/>
      </c>
      <c r="L7139" s="12"/>
      <c r="M7139" s="13"/>
      <c r="N7139" s="2"/>
      <c r="O7139" s="20"/>
      <c r="P7139" s="42"/>
      <c r="R7139" s="23"/>
    </row>
    <row r="7140" spans="1:18" ht="12.75">
      <c r="A7140" s="12"/>
      <c r="D7140" s="12"/>
      <c r="E7140" s="12"/>
      <c r="H7140" s="11" t="str">
        <f ca="1">IFERROR(__xludf.DUMMYFUNCTION("IFERROR(SUBSTITUTE(SUBSTITUTE(REGEXEXTRACT(A7140, ""[^-]+- [^-]+- [^-]+ - (.+?)\.jpg""), "".jpg"", """"), ""-"", "", ""), """")"),"")</f>
        <v/>
      </c>
      <c r="L7140" s="12"/>
      <c r="M7140" s="13"/>
      <c r="N7140" s="2"/>
      <c r="O7140" s="20"/>
      <c r="P7140" s="42"/>
      <c r="R7140" s="23"/>
    </row>
    <row r="7141" spans="1:18" ht="12.75">
      <c r="A7141" s="12"/>
      <c r="D7141" s="12"/>
      <c r="E7141" s="12"/>
      <c r="H7141" s="11" t="str">
        <f ca="1">IFERROR(__xludf.DUMMYFUNCTION("IFERROR(SUBSTITUTE(SUBSTITUTE(REGEXEXTRACT(A7141, ""[^-]+- [^-]+- [^-]+ - (.+?)\.jpg""), "".jpg"", """"), ""-"", "", ""), """")"),"")</f>
        <v/>
      </c>
      <c r="L7141" s="12"/>
      <c r="M7141" s="13"/>
      <c r="N7141" s="2"/>
      <c r="O7141" s="20"/>
      <c r="P7141" s="42"/>
      <c r="R7141" s="23"/>
    </row>
    <row r="7142" spans="1:18" ht="12.75">
      <c r="A7142" s="12"/>
      <c r="D7142" s="12"/>
      <c r="E7142" s="12"/>
      <c r="H7142" s="11" t="str">
        <f ca="1">IFERROR(__xludf.DUMMYFUNCTION("IFERROR(SUBSTITUTE(SUBSTITUTE(REGEXEXTRACT(A7142, ""[^-]+- [^-]+- [^-]+ - (.+?)\.jpg""), "".jpg"", """"), ""-"", "", ""), """")"),"")</f>
        <v/>
      </c>
      <c r="L7142" s="12"/>
      <c r="M7142" s="13"/>
      <c r="N7142" s="2"/>
      <c r="O7142" s="20"/>
      <c r="P7142" s="42"/>
      <c r="R7142" s="23"/>
    </row>
    <row r="7143" spans="1:18" ht="12.75">
      <c r="A7143" s="12"/>
      <c r="D7143" s="12"/>
      <c r="E7143" s="12"/>
      <c r="H7143" s="11" t="str">
        <f ca="1">IFERROR(__xludf.DUMMYFUNCTION("IFERROR(SUBSTITUTE(SUBSTITUTE(REGEXEXTRACT(A7143, ""[^-]+- [^-]+- [^-]+ - (.+?)\.jpg""), "".jpg"", """"), ""-"", "", ""), """")"),"")</f>
        <v/>
      </c>
      <c r="L7143" s="12"/>
      <c r="M7143" s="13"/>
      <c r="N7143" s="2"/>
      <c r="O7143" s="20"/>
      <c r="P7143" s="42"/>
      <c r="R7143" s="23"/>
    </row>
    <row r="7144" spans="1:18" ht="12.75">
      <c r="A7144" s="12"/>
      <c r="D7144" s="12"/>
      <c r="E7144" s="12"/>
      <c r="H7144" s="11" t="str">
        <f ca="1">IFERROR(__xludf.DUMMYFUNCTION("IFERROR(SUBSTITUTE(SUBSTITUTE(REGEXEXTRACT(A7144, ""[^-]+- [^-]+- [^-]+ - (.+?)\.jpg""), "".jpg"", """"), ""-"", "", ""), """")"),"")</f>
        <v/>
      </c>
      <c r="L7144" s="12"/>
      <c r="M7144" s="13"/>
      <c r="N7144" s="2"/>
      <c r="O7144" s="20"/>
      <c r="P7144" s="42"/>
      <c r="R7144" s="23"/>
    </row>
    <row r="7145" spans="1:18" ht="12.75">
      <c r="A7145" s="12"/>
      <c r="D7145" s="12"/>
      <c r="E7145" s="12"/>
      <c r="H7145" s="11" t="str">
        <f ca="1">IFERROR(__xludf.DUMMYFUNCTION("IFERROR(SUBSTITUTE(SUBSTITUTE(REGEXEXTRACT(A7145, ""[^-]+- [^-]+- [^-]+ - (.+?)\.jpg""), "".jpg"", """"), ""-"", "", ""), """")"),"")</f>
        <v/>
      </c>
      <c r="L7145" s="12"/>
      <c r="M7145" s="13"/>
      <c r="N7145" s="2"/>
      <c r="O7145" s="20"/>
      <c r="P7145" s="42"/>
      <c r="R7145" s="23"/>
    </row>
    <row r="7146" spans="1:18" ht="12.75">
      <c r="A7146" s="12"/>
      <c r="D7146" s="12"/>
      <c r="E7146" s="12"/>
      <c r="H7146" s="11" t="str">
        <f ca="1">IFERROR(__xludf.DUMMYFUNCTION("IFERROR(SUBSTITUTE(SUBSTITUTE(REGEXEXTRACT(A7146, ""[^-]+- [^-]+- [^-]+ - (.+?)\.jpg""), "".jpg"", """"), ""-"", "", ""), """")"),"")</f>
        <v/>
      </c>
      <c r="L7146" s="12"/>
      <c r="M7146" s="13"/>
      <c r="N7146" s="2"/>
      <c r="O7146" s="20"/>
      <c r="P7146" s="42"/>
      <c r="R7146" s="23"/>
    </row>
    <row r="7147" spans="1:18" ht="12.75">
      <c r="A7147" s="12"/>
      <c r="D7147" s="12"/>
      <c r="E7147" s="12"/>
      <c r="H7147" s="11" t="str">
        <f ca="1">IFERROR(__xludf.DUMMYFUNCTION("IFERROR(SUBSTITUTE(SUBSTITUTE(REGEXEXTRACT(A7147, ""[^-]+- [^-]+- [^-]+ - (.+?)\.jpg""), "".jpg"", """"), ""-"", "", ""), """")"),"")</f>
        <v/>
      </c>
      <c r="L7147" s="12"/>
      <c r="M7147" s="13"/>
      <c r="N7147" s="2"/>
      <c r="O7147" s="20"/>
      <c r="P7147" s="42"/>
      <c r="R7147" s="23"/>
    </row>
    <row r="7148" spans="1:18" ht="12.75">
      <c r="A7148" s="12"/>
      <c r="D7148" s="12"/>
      <c r="E7148" s="12"/>
      <c r="H7148" s="11" t="str">
        <f ca="1">IFERROR(__xludf.DUMMYFUNCTION("IFERROR(SUBSTITUTE(SUBSTITUTE(REGEXEXTRACT(A7148, ""[^-]+- [^-]+- [^-]+ - (.+?)\.jpg""), "".jpg"", """"), ""-"", "", ""), """")"),"")</f>
        <v/>
      </c>
      <c r="L7148" s="12"/>
      <c r="M7148" s="13"/>
      <c r="N7148" s="2"/>
      <c r="O7148" s="20"/>
      <c r="P7148" s="42"/>
      <c r="R7148" s="23"/>
    </row>
    <row r="7149" spans="1:18" ht="12.75">
      <c r="A7149" s="12"/>
      <c r="D7149" s="12"/>
      <c r="E7149" s="12"/>
      <c r="H7149" s="11" t="str">
        <f ca="1">IFERROR(__xludf.DUMMYFUNCTION("IFERROR(SUBSTITUTE(SUBSTITUTE(REGEXEXTRACT(A7149, ""[^-]+- [^-]+- [^-]+ - (.+?)\.jpg""), "".jpg"", """"), ""-"", "", ""), """")"),"")</f>
        <v/>
      </c>
      <c r="L7149" s="12"/>
      <c r="M7149" s="13"/>
      <c r="N7149" s="2"/>
      <c r="O7149" s="20"/>
      <c r="P7149" s="42"/>
      <c r="R7149" s="23"/>
    </row>
    <row r="7150" spans="1:18" ht="12.75">
      <c r="A7150" s="12"/>
      <c r="D7150" s="12"/>
      <c r="E7150" s="12"/>
      <c r="H7150" s="11" t="str">
        <f ca="1">IFERROR(__xludf.DUMMYFUNCTION("IFERROR(SUBSTITUTE(SUBSTITUTE(REGEXEXTRACT(A7150, ""[^-]+- [^-]+- [^-]+ - (.+?)\.jpg""), "".jpg"", """"), ""-"", "", ""), """")"),"")</f>
        <v/>
      </c>
      <c r="L7150" s="12"/>
      <c r="M7150" s="13"/>
      <c r="N7150" s="2"/>
      <c r="O7150" s="20"/>
      <c r="P7150" s="42"/>
      <c r="R7150" s="23"/>
    </row>
    <row r="7151" spans="1:18" ht="12.75">
      <c r="A7151" s="12"/>
      <c r="D7151" s="12"/>
      <c r="E7151" s="12"/>
      <c r="H7151" s="11" t="str">
        <f ca="1">IFERROR(__xludf.DUMMYFUNCTION("IFERROR(SUBSTITUTE(SUBSTITUTE(REGEXEXTRACT(A7151, ""[^-]+- [^-]+- [^-]+ - (.+?)\.jpg""), "".jpg"", """"), ""-"", "", ""), """")"),"")</f>
        <v/>
      </c>
      <c r="L7151" s="12"/>
      <c r="M7151" s="13"/>
      <c r="N7151" s="2"/>
      <c r="O7151" s="20"/>
      <c r="P7151" s="42"/>
      <c r="R7151" s="23"/>
    </row>
    <row r="7152" spans="1:18" ht="12.75">
      <c r="A7152" s="12"/>
      <c r="D7152" s="12"/>
      <c r="E7152" s="12"/>
      <c r="H7152" s="11" t="str">
        <f ca="1">IFERROR(__xludf.DUMMYFUNCTION("IFERROR(SUBSTITUTE(SUBSTITUTE(REGEXEXTRACT(A7152, ""[^-]+- [^-]+- [^-]+ - (.+?)\.jpg""), "".jpg"", """"), ""-"", "", ""), """")"),"")</f>
        <v/>
      </c>
      <c r="L7152" s="12"/>
      <c r="M7152" s="13"/>
      <c r="N7152" s="2"/>
      <c r="O7152" s="20"/>
      <c r="P7152" s="42"/>
      <c r="R7152" s="23"/>
    </row>
    <row r="7153" spans="1:18" ht="12.75">
      <c r="A7153" s="12"/>
      <c r="D7153" s="12"/>
      <c r="E7153" s="12"/>
      <c r="H7153" s="11" t="str">
        <f ca="1">IFERROR(__xludf.DUMMYFUNCTION("IFERROR(SUBSTITUTE(SUBSTITUTE(REGEXEXTRACT(A7153, ""[^-]+- [^-]+- [^-]+ - (.+?)\.jpg""), "".jpg"", """"), ""-"", "", ""), """")"),"")</f>
        <v/>
      </c>
      <c r="L7153" s="12"/>
      <c r="M7153" s="13"/>
      <c r="N7153" s="2"/>
      <c r="O7153" s="20"/>
      <c r="P7153" s="42"/>
      <c r="R7153" s="23"/>
    </row>
    <row r="7154" spans="1:18" ht="12.75">
      <c r="A7154" s="12"/>
      <c r="D7154" s="12"/>
      <c r="E7154" s="12"/>
      <c r="H7154" s="11" t="str">
        <f ca="1">IFERROR(__xludf.DUMMYFUNCTION("IFERROR(SUBSTITUTE(SUBSTITUTE(REGEXEXTRACT(A7154, ""[^-]+- [^-]+- [^-]+ - (.+?)\.jpg""), "".jpg"", """"), ""-"", "", ""), """")"),"")</f>
        <v/>
      </c>
      <c r="L7154" s="12"/>
      <c r="M7154" s="13"/>
      <c r="N7154" s="2"/>
      <c r="O7154" s="20"/>
      <c r="P7154" s="42"/>
      <c r="R7154" s="23"/>
    </row>
    <row r="7155" spans="1:18" ht="12.75">
      <c r="A7155" s="12"/>
      <c r="D7155" s="12"/>
      <c r="E7155" s="12"/>
      <c r="H7155" s="11" t="str">
        <f ca="1">IFERROR(__xludf.DUMMYFUNCTION("IFERROR(SUBSTITUTE(SUBSTITUTE(REGEXEXTRACT(A7155, ""[^-]+- [^-]+- [^-]+ - (.+?)\.jpg""), "".jpg"", """"), ""-"", "", ""), """")"),"")</f>
        <v/>
      </c>
      <c r="L7155" s="12"/>
      <c r="M7155" s="13"/>
      <c r="N7155" s="2"/>
      <c r="O7155" s="20"/>
      <c r="P7155" s="42"/>
      <c r="R7155" s="23"/>
    </row>
    <row r="7156" spans="1:18" ht="12.75">
      <c r="A7156" s="12"/>
      <c r="D7156" s="12"/>
      <c r="E7156" s="12"/>
      <c r="H7156" s="11" t="str">
        <f ca="1">IFERROR(__xludf.DUMMYFUNCTION("IFERROR(SUBSTITUTE(SUBSTITUTE(REGEXEXTRACT(A7156, ""[^-]+- [^-]+- [^-]+ - (.+?)\.jpg""), "".jpg"", """"), ""-"", "", ""), """")"),"")</f>
        <v/>
      </c>
      <c r="L7156" s="12"/>
      <c r="M7156" s="13"/>
      <c r="N7156" s="2"/>
      <c r="O7156" s="20"/>
      <c r="P7156" s="42"/>
      <c r="R7156" s="23"/>
    </row>
    <row r="7157" spans="1:18" ht="12.75">
      <c r="A7157" s="12"/>
      <c r="D7157" s="12"/>
      <c r="E7157" s="12"/>
      <c r="H7157" s="11" t="str">
        <f ca="1">IFERROR(__xludf.DUMMYFUNCTION("IFERROR(SUBSTITUTE(SUBSTITUTE(REGEXEXTRACT(A7157, ""[^-]+- [^-]+- [^-]+ - (.+?)\.jpg""), "".jpg"", """"), ""-"", "", ""), """")"),"")</f>
        <v/>
      </c>
      <c r="L7157" s="12"/>
      <c r="M7157" s="13"/>
      <c r="N7157" s="2"/>
      <c r="O7157" s="20"/>
      <c r="P7157" s="42"/>
      <c r="R7157" s="23"/>
    </row>
    <row r="7158" spans="1:18" ht="12.75">
      <c r="A7158" s="12"/>
      <c r="D7158" s="12"/>
      <c r="E7158" s="12"/>
      <c r="H7158" s="11" t="str">
        <f ca="1">IFERROR(__xludf.DUMMYFUNCTION("IFERROR(SUBSTITUTE(SUBSTITUTE(REGEXEXTRACT(A7158, ""[^-]+- [^-]+- [^-]+ - (.+?)\.jpg""), "".jpg"", """"), ""-"", "", ""), """")"),"")</f>
        <v/>
      </c>
      <c r="L7158" s="12"/>
      <c r="M7158" s="13"/>
      <c r="N7158" s="2"/>
      <c r="O7158" s="20"/>
      <c r="P7158" s="42"/>
      <c r="R7158" s="23"/>
    </row>
    <row r="7159" spans="1:18" ht="12.75">
      <c r="A7159" s="12"/>
      <c r="D7159" s="12"/>
      <c r="E7159" s="12"/>
      <c r="H7159" s="11" t="str">
        <f ca="1">IFERROR(__xludf.DUMMYFUNCTION("IFERROR(SUBSTITUTE(SUBSTITUTE(REGEXEXTRACT(A7159, ""[^-]+- [^-]+- [^-]+ - (.+?)\.jpg""), "".jpg"", """"), ""-"", "", ""), """")"),"")</f>
        <v/>
      </c>
      <c r="L7159" s="12"/>
      <c r="M7159" s="13"/>
      <c r="N7159" s="2"/>
      <c r="O7159" s="20"/>
      <c r="P7159" s="42"/>
      <c r="R7159" s="23"/>
    </row>
    <row r="7160" spans="1:18" ht="12.75">
      <c r="A7160" s="12"/>
      <c r="D7160" s="12"/>
      <c r="E7160" s="12"/>
      <c r="H7160" s="11" t="str">
        <f ca="1">IFERROR(__xludf.DUMMYFUNCTION("IFERROR(SUBSTITUTE(SUBSTITUTE(REGEXEXTRACT(A7160, ""[^-]+- [^-]+- [^-]+ - (.+?)\.jpg""), "".jpg"", """"), ""-"", "", ""), """")"),"")</f>
        <v/>
      </c>
      <c r="L7160" s="12"/>
      <c r="M7160" s="13"/>
      <c r="N7160" s="2"/>
      <c r="O7160" s="20"/>
      <c r="P7160" s="42"/>
      <c r="R7160" s="23"/>
    </row>
    <row r="7161" spans="1:18" ht="12.75">
      <c r="A7161" s="12"/>
      <c r="D7161" s="12"/>
      <c r="E7161" s="12"/>
      <c r="H7161" s="11" t="str">
        <f ca="1">IFERROR(__xludf.DUMMYFUNCTION("IFERROR(SUBSTITUTE(SUBSTITUTE(REGEXEXTRACT(A7161, ""[^-]+- [^-]+- [^-]+ - (.+?)\.jpg""), "".jpg"", """"), ""-"", "", ""), """")"),"")</f>
        <v/>
      </c>
      <c r="L7161" s="12"/>
      <c r="M7161" s="13"/>
      <c r="N7161" s="2"/>
      <c r="O7161" s="20"/>
      <c r="P7161" s="42"/>
      <c r="R7161" s="23"/>
    </row>
    <row r="7162" spans="1:18" ht="12.75">
      <c r="A7162" s="12"/>
      <c r="D7162" s="12"/>
      <c r="E7162" s="12"/>
      <c r="H7162" s="11" t="str">
        <f ca="1">IFERROR(__xludf.DUMMYFUNCTION("IFERROR(SUBSTITUTE(SUBSTITUTE(REGEXEXTRACT(A7162, ""[^-]+- [^-]+- [^-]+ - (.+?)\.jpg""), "".jpg"", """"), ""-"", "", ""), """")"),"")</f>
        <v/>
      </c>
      <c r="L7162" s="12"/>
      <c r="M7162" s="13"/>
      <c r="N7162" s="2"/>
      <c r="O7162" s="20"/>
      <c r="P7162" s="42"/>
      <c r="R7162" s="23"/>
    </row>
    <row r="7163" spans="1:18" ht="12.75">
      <c r="A7163" s="12"/>
      <c r="D7163" s="12"/>
      <c r="E7163" s="12"/>
      <c r="H7163" s="11" t="str">
        <f ca="1">IFERROR(__xludf.DUMMYFUNCTION("IFERROR(SUBSTITUTE(SUBSTITUTE(REGEXEXTRACT(A7163, ""[^-]+- [^-]+- [^-]+ - (.+?)\.jpg""), "".jpg"", """"), ""-"", "", ""), """")"),"")</f>
        <v/>
      </c>
      <c r="L7163" s="12"/>
      <c r="M7163" s="13"/>
      <c r="N7163" s="2"/>
      <c r="O7163" s="20"/>
      <c r="P7163" s="42"/>
      <c r="R7163" s="23"/>
    </row>
    <row r="7164" spans="1:18" ht="12.75">
      <c r="A7164" s="12"/>
      <c r="D7164" s="12"/>
      <c r="E7164" s="12"/>
      <c r="H7164" s="11" t="str">
        <f ca="1">IFERROR(__xludf.DUMMYFUNCTION("IFERROR(SUBSTITUTE(SUBSTITUTE(REGEXEXTRACT(A7164, ""[^-]+- [^-]+- [^-]+ - (.+?)\.jpg""), "".jpg"", """"), ""-"", "", ""), """")"),"")</f>
        <v/>
      </c>
      <c r="L7164" s="12"/>
      <c r="M7164" s="13"/>
      <c r="N7164" s="2"/>
      <c r="O7164" s="20"/>
      <c r="P7164" s="42"/>
      <c r="R7164" s="23"/>
    </row>
    <row r="7165" spans="1:18" ht="12.75">
      <c r="A7165" s="12"/>
      <c r="D7165" s="12"/>
      <c r="E7165" s="12"/>
      <c r="H7165" s="11" t="str">
        <f ca="1">IFERROR(__xludf.DUMMYFUNCTION("IFERROR(SUBSTITUTE(SUBSTITUTE(REGEXEXTRACT(A7165, ""[^-]+- [^-]+- [^-]+ - (.+?)\.jpg""), "".jpg"", """"), ""-"", "", ""), """")"),"")</f>
        <v/>
      </c>
      <c r="L7165" s="12"/>
      <c r="M7165" s="13"/>
      <c r="N7165" s="2"/>
      <c r="O7165" s="20"/>
      <c r="P7165" s="42"/>
      <c r="R7165" s="23"/>
    </row>
    <row r="7166" spans="1:18" ht="12.75">
      <c r="A7166" s="12"/>
      <c r="D7166" s="12"/>
      <c r="E7166" s="12"/>
      <c r="H7166" s="11" t="str">
        <f ca="1">IFERROR(__xludf.DUMMYFUNCTION("IFERROR(SUBSTITUTE(SUBSTITUTE(REGEXEXTRACT(A7166, ""[^-]+- [^-]+- [^-]+ - (.+?)\.jpg""), "".jpg"", """"), ""-"", "", ""), """")"),"")</f>
        <v/>
      </c>
      <c r="L7166" s="12"/>
      <c r="M7166" s="13"/>
      <c r="N7166" s="2"/>
      <c r="O7166" s="20"/>
      <c r="P7166" s="42"/>
      <c r="R7166" s="23"/>
    </row>
    <row r="7167" spans="1:18" ht="12.75">
      <c r="A7167" s="12"/>
      <c r="D7167" s="12"/>
      <c r="E7167" s="12"/>
      <c r="H7167" s="11" t="str">
        <f ca="1">IFERROR(__xludf.DUMMYFUNCTION("IFERROR(SUBSTITUTE(SUBSTITUTE(REGEXEXTRACT(A7167, ""[^-]+- [^-]+- [^-]+ - (.+?)\.jpg""), "".jpg"", """"), ""-"", "", ""), """")"),"")</f>
        <v/>
      </c>
      <c r="L7167" s="12"/>
      <c r="M7167" s="13"/>
      <c r="N7167" s="2"/>
      <c r="O7167" s="20"/>
      <c r="P7167" s="42"/>
      <c r="R7167" s="23"/>
    </row>
    <row r="7168" spans="1:18" ht="12.75">
      <c r="A7168" s="12"/>
      <c r="D7168" s="12"/>
      <c r="E7168" s="12"/>
      <c r="H7168" s="11" t="str">
        <f ca="1">IFERROR(__xludf.DUMMYFUNCTION("IFERROR(SUBSTITUTE(SUBSTITUTE(REGEXEXTRACT(A7168, ""[^-]+- [^-]+- [^-]+ - (.+?)\.jpg""), "".jpg"", """"), ""-"", "", ""), """")"),"")</f>
        <v/>
      </c>
      <c r="L7168" s="12"/>
      <c r="M7168" s="13"/>
      <c r="N7168" s="2"/>
      <c r="O7168" s="20"/>
      <c r="P7168" s="42"/>
      <c r="R7168" s="23"/>
    </row>
    <row r="7169" spans="1:18" ht="12.75">
      <c r="A7169" s="12"/>
      <c r="D7169" s="12"/>
      <c r="E7169" s="12"/>
      <c r="H7169" s="11" t="str">
        <f ca="1">IFERROR(__xludf.DUMMYFUNCTION("IFERROR(SUBSTITUTE(SUBSTITUTE(REGEXEXTRACT(A7169, ""[^-]+- [^-]+- [^-]+ - (.+?)\.jpg""), "".jpg"", """"), ""-"", "", ""), """")"),"")</f>
        <v/>
      </c>
      <c r="L7169" s="12"/>
      <c r="M7169" s="13"/>
      <c r="N7169" s="2"/>
      <c r="O7169" s="20"/>
      <c r="P7169" s="42"/>
      <c r="R7169" s="23"/>
    </row>
    <row r="7170" spans="1:18" ht="12.75">
      <c r="A7170" s="12"/>
      <c r="D7170" s="12"/>
      <c r="E7170" s="12"/>
      <c r="H7170" s="11" t="str">
        <f ca="1">IFERROR(__xludf.DUMMYFUNCTION("IFERROR(SUBSTITUTE(SUBSTITUTE(REGEXEXTRACT(A7170, ""[^-]+- [^-]+- [^-]+ - (.+?)\.jpg""), "".jpg"", """"), ""-"", "", ""), """")"),"")</f>
        <v/>
      </c>
      <c r="L7170" s="12"/>
      <c r="M7170" s="13"/>
      <c r="N7170" s="2"/>
      <c r="O7170" s="20"/>
      <c r="P7170" s="42"/>
      <c r="R7170" s="23"/>
    </row>
    <row r="7171" spans="1:18" ht="12.75">
      <c r="A7171" s="12"/>
      <c r="D7171" s="12"/>
      <c r="E7171" s="12"/>
      <c r="H7171" s="11" t="str">
        <f ca="1">IFERROR(__xludf.DUMMYFUNCTION("IFERROR(SUBSTITUTE(SUBSTITUTE(REGEXEXTRACT(A7171, ""[^-]+- [^-]+- [^-]+ - (.+?)\.jpg""), "".jpg"", """"), ""-"", "", ""), """")"),"")</f>
        <v/>
      </c>
      <c r="L7171" s="12"/>
      <c r="M7171" s="13"/>
      <c r="N7171" s="2"/>
      <c r="O7171" s="20"/>
      <c r="P7171" s="42"/>
      <c r="R7171" s="23"/>
    </row>
    <row r="7172" spans="1:18" ht="12.75">
      <c r="A7172" s="12"/>
      <c r="D7172" s="12"/>
      <c r="E7172" s="12"/>
      <c r="H7172" s="11" t="str">
        <f ca="1">IFERROR(__xludf.DUMMYFUNCTION("IFERROR(SUBSTITUTE(SUBSTITUTE(REGEXEXTRACT(A7172, ""[^-]+- [^-]+- [^-]+ - (.+?)\.jpg""), "".jpg"", """"), ""-"", "", ""), """")"),"")</f>
        <v/>
      </c>
      <c r="L7172" s="12"/>
      <c r="M7172" s="13"/>
      <c r="N7172" s="2"/>
      <c r="O7172" s="20"/>
      <c r="P7172" s="42"/>
      <c r="R7172" s="23"/>
    </row>
    <row r="7173" spans="1:18" ht="12.75">
      <c r="A7173" s="12"/>
      <c r="D7173" s="12"/>
      <c r="E7173" s="12"/>
      <c r="H7173" s="11" t="str">
        <f ca="1">IFERROR(__xludf.DUMMYFUNCTION("IFERROR(SUBSTITUTE(SUBSTITUTE(REGEXEXTRACT(A7173, ""[^-]+- [^-]+- [^-]+ - (.+?)\.jpg""), "".jpg"", """"), ""-"", "", ""), """")"),"")</f>
        <v/>
      </c>
      <c r="L7173" s="12"/>
      <c r="M7173" s="13"/>
      <c r="N7173" s="2"/>
      <c r="O7173" s="20"/>
      <c r="P7173" s="42"/>
      <c r="R7173" s="23"/>
    </row>
    <row r="7174" spans="1:18" ht="12.75">
      <c r="A7174" s="12"/>
      <c r="D7174" s="12"/>
      <c r="E7174" s="12"/>
      <c r="H7174" s="11" t="str">
        <f ca="1">IFERROR(__xludf.DUMMYFUNCTION("IFERROR(SUBSTITUTE(SUBSTITUTE(REGEXEXTRACT(A7174, ""[^-]+- [^-]+- [^-]+ - (.+?)\.jpg""), "".jpg"", """"), ""-"", "", ""), """")"),"")</f>
        <v/>
      </c>
      <c r="L7174" s="12"/>
      <c r="M7174" s="13"/>
      <c r="N7174" s="2"/>
      <c r="O7174" s="20"/>
      <c r="P7174" s="42"/>
      <c r="R7174" s="23"/>
    </row>
    <row r="7175" spans="1:18" ht="12.75">
      <c r="A7175" s="12"/>
      <c r="D7175" s="12"/>
      <c r="E7175" s="12"/>
      <c r="H7175" s="11" t="str">
        <f ca="1">IFERROR(__xludf.DUMMYFUNCTION("IFERROR(SUBSTITUTE(SUBSTITUTE(REGEXEXTRACT(A7175, ""[^-]+- [^-]+- [^-]+ - (.+?)\.jpg""), "".jpg"", """"), ""-"", "", ""), """")"),"")</f>
        <v/>
      </c>
      <c r="L7175" s="12"/>
      <c r="M7175" s="13"/>
      <c r="N7175" s="2"/>
      <c r="O7175" s="20"/>
      <c r="P7175" s="42"/>
      <c r="R7175" s="23"/>
    </row>
    <row r="7176" spans="1:18" ht="12.75">
      <c r="A7176" s="12"/>
      <c r="D7176" s="12"/>
      <c r="E7176" s="12"/>
      <c r="H7176" s="11" t="str">
        <f ca="1">IFERROR(__xludf.DUMMYFUNCTION("IFERROR(SUBSTITUTE(SUBSTITUTE(REGEXEXTRACT(A7176, ""[^-]+- [^-]+- [^-]+ - (.+?)\.jpg""), "".jpg"", """"), ""-"", "", ""), """")"),"")</f>
        <v/>
      </c>
      <c r="L7176" s="12"/>
      <c r="M7176" s="13"/>
      <c r="N7176" s="2"/>
      <c r="O7176" s="20"/>
      <c r="P7176" s="42"/>
      <c r="R7176" s="23"/>
    </row>
    <row r="7177" spans="1:18" ht="12.75">
      <c r="A7177" s="12"/>
      <c r="D7177" s="12"/>
      <c r="E7177" s="12"/>
      <c r="H7177" s="11" t="str">
        <f ca="1">IFERROR(__xludf.DUMMYFUNCTION("IFERROR(SUBSTITUTE(SUBSTITUTE(REGEXEXTRACT(A7177, ""[^-]+- [^-]+- [^-]+ - (.+?)\.jpg""), "".jpg"", """"), ""-"", "", ""), """")"),"")</f>
        <v/>
      </c>
      <c r="L7177" s="12"/>
      <c r="M7177" s="13"/>
      <c r="N7177" s="2"/>
      <c r="O7177" s="20"/>
      <c r="P7177" s="42"/>
      <c r="R7177" s="23"/>
    </row>
    <row r="7178" spans="1:18" ht="12.75">
      <c r="A7178" s="12"/>
      <c r="D7178" s="12"/>
      <c r="E7178" s="12"/>
      <c r="H7178" s="11" t="str">
        <f ca="1">IFERROR(__xludf.DUMMYFUNCTION("IFERROR(SUBSTITUTE(SUBSTITUTE(REGEXEXTRACT(A7178, ""[^-]+- [^-]+- [^-]+ - (.+?)\.jpg""), "".jpg"", """"), ""-"", "", ""), """")"),"")</f>
        <v/>
      </c>
      <c r="L7178" s="12"/>
      <c r="M7178" s="13"/>
      <c r="N7178" s="2"/>
      <c r="O7178" s="20"/>
      <c r="P7178" s="42"/>
      <c r="R7178" s="23"/>
    </row>
    <row r="7179" spans="1:18" ht="12.75">
      <c r="A7179" s="12"/>
      <c r="D7179" s="12"/>
      <c r="E7179" s="12"/>
      <c r="H7179" s="11" t="str">
        <f ca="1">IFERROR(__xludf.DUMMYFUNCTION("IFERROR(SUBSTITUTE(SUBSTITUTE(REGEXEXTRACT(A7179, ""[^-]+- [^-]+- [^-]+ - (.+?)\.jpg""), "".jpg"", """"), ""-"", "", ""), """")"),"")</f>
        <v/>
      </c>
      <c r="L7179" s="12"/>
      <c r="M7179" s="13"/>
      <c r="N7179" s="2"/>
      <c r="O7179" s="20"/>
      <c r="P7179" s="42"/>
      <c r="R7179" s="23"/>
    </row>
    <row r="7180" spans="1:18" ht="12.75">
      <c r="A7180" s="12"/>
      <c r="D7180" s="12"/>
      <c r="E7180" s="12"/>
      <c r="H7180" s="11" t="str">
        <f ca="1">IFERROR(__xludf.DUMMYFUNCTION("IFERROR(SUBSTITUTE(SUBSTITUTE(REGEXEXTRACT(A7180, ""[^-]+- [^-]+- [^-]+ - (.+?)\.jpg""), "".jpg"", """"), ""-"", "", ""), """")"),"")</f>
        <v/>
      </c>
      <c r="L7180" s="12"/>
      <c r="M7180" s="13"/>
      <c r="N7180" s="2"/>
      <c r="O7180" s="20"/>
      <c r="P7180" s="42"/>
      <c r="R7180" s="23"/>
    </row>
    <row r="7181" spans="1:18" ht="12.75">
      <c r="A7181" s="12"/>
      <c r="D7181" s="12"/>
      <c r="E7181" s="12"/>
      <c r="H7181" s="11" t="str">
        <f ca="1">IFERROR(__xludf.DUMMYFUNCTION("IFERROR(SUBSTITUTE(SUBSTITUTE(REGEXEXTRACT(A7181, ""[^-]+- [^-]+- [^-]+ - (.+?)\.jpg""), "".jpg"", """"), ""-"", "", ""), """")"),"")</f>
        <v/>
      </c>
      <c r="L7181" s="12"/>
      <c r="M7181" s="13"/>
      <c r="N7181" s="2"/>
      <c r="O7181" s="20"/>
      <c r="P7181" s="42"/>
      <c r="R7181" s="23"/>
    </row>
    <row r="7182" spans="1:18" ht="12.75">
      <c r="A7182" s="12"/>
      <c r="D7182" s="12"/>
      <c r="E7182" s="12"/>
      <c r="H7182" s="11" t="str">
        <f ca="1">IFERROR(__xludf.DUMMYFUNCTION("IFERROR(SUBSTITUTE(SUBSTITUTE(REGEXEXTRACT(A7182, ""[^-]+- [^-]+- [^-]+ - (.+?)\.jpg""), "".jpg"", """"), ""-"", "", ""), """")"),"")</f>
        <v/>
      </c>
      <c r="L7182" s="12"/>
      <c r="M7182" s="13"/>
      <c r="N7182" s="2"/>
      <c r="O7182" s="20"/>
      <c r="P7182" s="42"/>
      <c r="R7182" s="23"/>
    </row>
    <row r="7183" spans="1:18" ht="12.75">
      <c r="A7183" s="12"/>
      <c r="D7183" s="12"/>
      <c r="E7183" s="12"/>
      <c r="H7183" s="11" t="str">
        <f ca="1">IFERROR(__xludf.DUMMYFUNCTION("IFERROR(SUBSTITUTE(SUBSTITUTE(REGEXEXTRACT(A7183, ""[^-]+- [^-]+- [^-]+ - (.+?)\.jpg""), "".jpg"", """"), ""-"", "", ""), """")"),"")</f>
        <v/>
      </c>
      <c r="L7183" s="12"/>
      <c r="M7183" s="13"/>
      <c r="N7183" s="2"/>
      <c r="O7183" s="20"/>
      <c r="P7183" s="42"/>
      <c r="R7183" s="23"/>
    </row>
    <row r="7184" spans="1:18" ht="12.75">
      <c r="A7184" s="12"/>
      <c r="D7184" s="12"/>
      <c r="E7184" s="12"/>
      <c r="H7184" s="11" t="str">
        <f ca="1">IFERROR(__xludf.DUMMYFUNCTION("IFERROR(SUBSTITUTE(SUBSTITUTE(REGEXEXTRACT(A7184, ""[^-]+- [^-]+- [^-]+ - (.+?)\.jpg""), "".jpg"", """"), ""-"", "", ""), """")"),"")</f>
        <v/>
      </c>
      <c r="L7184" s="12"/>
      <c r="M7184" s="13"/>
      <c r="N7184" s="2"/>
      <c r="O7184" s="20"/>
      <c r="P7184" s="42"/>
      <c r="R7184" s="23"/>
    </row>
    <row r="7185" spans="1:18" ht="12.75">
      <c r="A7185" s="12"/>
      <c r="D7185" s="12"/>
      <c r="E7185" s="12"/>
      <c r="H7185" s="11" t="str">
        <f ca="1">IFERROR(__xludf.DUMMYFUNCTION("IFERROR(SUBSTITUTE(SUBSTITUTE(REGEXEXTRACT(A7185, ""[^-]+- [^-]+- [^-]+ - (.+?)\.jpg""), "".jpg"", """"), ""-"", "", ""), """")"),"")</f>
        <v/>
      </c>
      <c r="L7185" s="12"/>
      <c r="M7185" s="13"/>
      <c r="N7185" s="2"/>
      <c r="O7185" s="20"/>
      <c r="P7185" s="42"/>
      <c r="R7185" s="23"/>
    </row>
    <row r="7186" spans="1:18" ht="12.75">
      <c r="A7186" s="12"/>
      <c r="D7186" s="12"/>
      <c r="E7186" s="12"/>
      <c r="H7186" s="11" t="str">
        <f ca="1">IFERROR(__xludf.DUMMYFUNCTION("IFERROR(SUBSTITUTE(SUBSTITUTE(REGEXEXTRACT(A7186, ""[^-]+- [^-]+- [^-]+ - (.+?)\.jpg""), "".jpg"", """"), ""-"", "", ""), """")"),"")</f>
        <v/>
      </c>
      <c r="L7186" s="12"/>
      <c r="M7186" s="13"/>
      <c r="N7186" s="2"/>
      <c r="O7186" s="20"/>
      <c r="P7186" s="42"/>
      <c r="R7186" s="23"/>
    </row>
    <row r="7187" spans="1:18" ht="12.75">
      <c r="A7187" s="12"/>
      <c r="D7187" s="12"/>
      <c r="E7187" s="12"/>
      <c r="H7187" s="11" t="str">
        <f ca="1">IFERROR(__xludf.DUMMYFUNCTION("IFERROR(SUBSTITUTE(SUBSTITUTE(REGEXEXTRACT(A7187, ""[^-]+- [^-]+- [^-]+ - (.+?)\.jpg""), "".jpg"", """"), ""-"", "", ""), """")"),"")</f>
        <v/>
      </c>
      <c r="L7187" s="12"/>
      <c r="M7187" s="13"/>
      <c r="N7187" s="2"/>
      <c r="O7187" s="20"/>
      <c r="P7187" s="42"/>
      <c r="R7187" s="23"/>
    </row>
    <row r="7188" spans="1:18" ht="12.75">
      <c r="A7188" s="12"/>
      <c r="D7188" s="12"/>
      <c r="E7188" s="12"/>
      <c r="H7188" s="11" t="str">
        <f ca="1">IFERROR(__xludf.DUMMYFUNCTION("IFERROR(SUBSTITUTE(SUBSTITUTE(REGEXEXTRACT(A7188, ""[^-]+- [^-]+- [^-]+ - (.+?)\.jpg""), "".jpg"", """"), ""-"", "", ""), """")"),"")</f>
        <v/>
      </c>
      <c r="L7188" s="12"/>
      <c r="M7188" s="13"/>
      <c r="N7188" s="2"/>
      <c r="O7188" s="20"/>
      <c r="P7188" s="42"/>
      <c r="R7188" s="23"/>
    </row>
    <row r="7189" spans="1:18" ht="12.75">
      <c r="A7189" s="12"/>
      <c r="D7189" s="12"/>
      <c r="E7189" s="12"/>
      <c r="H7189" s="11" t="str">
        <f ca="1">IFERROR(__xludf.DUMMYFUNCTION("IFERROR(SUBSTITUTE(SUBSTITUTE(REGEXEXTRACT(A7189, ""[^-]+- [^-]+- [^-]+ - (.+?)\.jpg""), "".jpg"", """"), ""-"", "", ""), """")"),"")</f>
        <v/>
      </c>
      <c r="L7189" s="12"/>
      <c r="M7189" s="13"/>
      <c r="N7189" s="2"/>
      <c r="O7189" s="20"/>
      <c r="P7189" s="42"/>
      <c r="R7189" s="23"/>
    </row>
    <row r="7190" spans="1:18" ht="12.75">
      <c r="A7190" s="12"/>
      <c r="D7190" s="12"/>
      <c r="E7190" s="12"/>
      <c r="H7190" s="11" t="str">
        <f ca="1">IFERROR(__xludf.DUMMYFUNCTION("IFERROR(SUBSTITUTE(SUBSTITUTE(REGEXEXTRACT(A7190, ""[^-]+- [^-]+- [^-]+ - (.+?)\.jpg""), "".jpg"", """"), ""-"", "", ""), """")"),"")</f>
        <v/>
      </c>
      <c r="L7190" s="12"/>
      <c r="M7190" s="13"/>
      <c r="N7190" s="2"/>
      <c r="O7190" s="20"/>
      <c r="P7190" s="42"/>
      <c r="R7190" s="23"/>
    </row>
    <row r="7191" spans="1:18" ht="12.75">
      <c r="A7191" s="12"/>
      <c r="D7191" s="12"/>
      <c r="E7191" s="12"/>
      <c r="H7191" s="11" t="str">
        <f ca="1">IFERROR(__xludf.DUMMYFUNCTION("IFERROR(SUBSTITUTE(SUBSTITUTE(REGEXEXTRACT(A7191, ""[^-]+- [^-]+- [^-]+ - (.+?)\.jpg""), "".jpg"", """"), ""-"", "", ""), """")"),"")</f>
        <v/>
      </c>
      <c r="L7191" s="12"/>
      <c r="M7191" s="13"/>
      <c r="N7191" s="2"/>
      <c r="O7191" s="20"/>
      <c r="P7191" s="42"/>
      <c r="R7191" s="23"/>
    </row>
    <row r="7192" spans="1:18" ht="12.75">
      <c r="A7192" s="12"/>
      <c r="D7192" s="12"/>
      <c r="E7192" s="12"/>
      <c r="H7192" s="11" t="str">
        <f ca="1">IFERROR(__xludf.DUMMYFUNCTION("IFERROR(SUBSTITUTE(SUBSTITUTE(REGEXEXTRACT(A7192, ""[^-]+- [^-]+- [^-]+ - (.+?)\.jpg""), "".jpg"", """"), ""-"", "", ""), """")"),"")</f>
        <v/>
      </c>
      <c r="L7192" s="12"/>
      <c r="M7192" s="13"/>
      <c r="N7192" s="2"/>
      <c r="O7192" s="20"/>
      <c r="P7192" s="42"/>
      <c r="R7192" s="23"/>
    </row>
    <row r="7193" spans="1:18" ht="12.75">
      <c r="A7193" s="12"/>
      <c r="D7193" s="12"/>
      <c r="E7193" s="12"/>
      <c r="H7193" s="11" t="str">
        <f ca="1">IFERROR(__xludf.DUMMYFUNCTION("IFERROR(SUBSTITUTE(SUBSTITUTE(REGEXEXTRACT(A7193, ""[^-]+- [^-]+- [^-]+ - (.+?)\.jpg""), "".jpg"", """"), ""-"", "", ""), """")"),"")</f>
        <v/>
      </c>
      <c r="L7193" s="12"/>
      <c r="M7193" s="13"/>
      <c r="N7193" s="2"/>
      <c r="O7193" s="20"/>
      <c r="P7193" s="42"/>
      <c r="R7193" s="23"/>
    </row>
    <row r="7194" spans="1:18" ht="12.75">
      <c r="A7194" s="12"/>
      <c r="D7194" s="12"/>
      <c r="E7194" s="12"/>
      <c r="H7194" s="11" t="str">
        <f ca="1">IFERROR(__xludf.DUMMYFUNCTION("IFERROR(SUBSTITUTE(SUBSTITUTE(REGEXEXTRACT(A7194, ""[^-]+- [^-]+- [^-]+ - (.+?)\.jpg""), "".jpg"", """"), ""-"", "", ""), """")"),"")</f>
        <v/>
      </c>
      <c r="L7194" s="12"/>
      <c r="M7194" s="13"/>
      <c r="N7194" s="2"/>
      <c r="O7194" s="20"/>
      <c r="P7194" s="42"/>
      <c r="R7194" s="23"/>
    </row>
    <row r="7195" spans="1:18" ht="12.75">
      <c r="A7195" s="12"/>
      <c r="D7195" s="12"/>
      <c r="E7195" s="12"/>
      <c r="H7195" s="11" t="str">
        <f ca="1">IFERROR(__xludf.DUMMYFUNCTION("IFERROR(SUBSTITUTE(SUBSTITUTE(REGEXEXTRACT(A7195, ""[^-]+- [^-]+- [^-]+ - (.+?)\.jpg""), "".jpg"", """"), ""-"", "", ""), """")"),"")</f>
        <v/>
      </c>
      <c r="L7195" s="12"/>
      <c r="M7195" s="13"/>
      <c r="N7195" s="2"/>
      <c r="O7195" s="20"/>
      <c r="P7195" s="42"/>
      <c r="R7195" s="23"/>
    </row>
    <row r="7196" spans="1:18" ht="12.75">
      <c r="A7196" s="12"/>
      <c r="D7196" s="12"/>
      <c r="E7196" s="12"/>
      <c r="H7196" s="11" t="str">
        <f ca="1">IFERROR(__xludf.DUMMYFUNCTION("IFERROR(SUBSTITUTE(SUBSTITUTE(REGEXEXTRACT(A7196, ""[^-]+- [^-]+- [^-]+ - (.+?)\.jpg""), "".jpg"", """"), ""-"", "", ""), """")"),"")</f>
        <v/>
      </c>
      <c r="L7196" s="12"/>
      <c r="M7196" s="13"/>
      <c r="N7196" s="2"/>
      <c r="O7196" s="20"/>
      <c r="P7196" s="42"/>
      <c r="R7196" s="23"/>
    </row>
    <row r="7197" spans="1:18" ht="12.75">
      <c r="A7197" s="12"/>
      <c r="D7197" s="12"/>
      <c r="E7197" s="12"/>
      <c r="H7197" s="11" t="str">
        <f ca="1">IFERROR(__xludf.DUMMYFUNCTION("IFERROR(SUBSTITUTE(SUBSTITUTE(REGEXEXTRACT(A7197, ""[^-]+- [^-]+- [^-]+ - (.+?)\.jpg""), "".jpg"", """"), ""-"", "", ""), """")"),"")</f>
        <v/>
      </c>
      <c r="L7197" s="12"/>
      <c r="M7197" s="13"/>
      <c r="N7197" s="2"/>
      <c r="O7197" s="20"/>
      <c r="P7197" s="42"/>
      <c r="R7197" s="23"/>
    </row>
    <row r="7198" spans="1:18" ht="12.75">
      <c r="A7198" s="12"/>
      <c r="D7198" s="12"/>
      <c r="E7198" s="12"/>
      <c r="H7198" s="11" t="str">
        <f ca="1">IFERROR(__xludf.DUMMYFUNCTION("IFERROR(SUBSTITUTE(SUBSTITUTE(REGEXEXTRACT(A7198, ""[^-]+- [^-]+- [^-]+ - (.+?)\.jpg""), "".jpg"", """"), ""-"", "", ""), """")"),"")</f>
        <v/>
      </c>
      <c r="L7198" s="12"/>
      <c r="M7198" s="13"/>
      <c r="N7198" s="2"/>
      <c r="O7198" s="20"/>
      <c r="P7198" s="42"/>
      <c r="R7198" s="23"/>
    </row>
    <row r="7199" spans="1:18" ht="12.75">
      <c r="A7199" s="12"/>
      <c r="D7199" s="12"/>
      <c r="E7199" s="12"/>
      <c r="H7199" s="11" t="str">
        <f ca="1">IFERROR(__xludf.DUMMYFUNCTION("IFERROR(SUBSTITUTE(SUBSTITUTE(REGEXEXTRACT(A7199, ""[^-]+- [^-]+- [^-]+ - (.+?)\.jpg""), "".jpg"", """"), ""-"", "", ""), """")"),"")</f>
        <v/>
      </c>
      <c r="L7199" s="12"/>
      <c r="M7199" s="13"/>
      <c r="N7199" s="2"/>
      <c r="O7199" s="20"/>
      <c r="P7199" s="42"/>
      <c r="R7199" s="23"/>
    </row>
    <row r="7200" spans="1:18" ht="12.75">
      <c r="A7200" s="12"/>
      <c r="D7200" s="12"/>
      <c r="E7200" s="12"/>
      <c r="H7200" s="11" t="str">
        <f ca="1">IFERROR(__xludf.DUMMYFUNCTION("IFERROR(SUBSTITUTE(SUBSTITUTE(REGEXEXTRACT(A7200, ""[^-]+- [^-]+- [^-]+ - (.+?)\.jpg""), "".jpg"", """"), ""-"", "", ""), """")"),"")</f>
        <v/>
      </c>
      <c r="L7200" s="12"/>
      <c r="M7200" s="13"/>
      <c r="N7200" s="2"/>
      <c r="O7200" s="20"/>
      <c r="P7200" s="42"/>
      <c r="R7200" s="23"/>
    </row>
    <row r="7201" spans="1:18" ht="12.75">
      <c r="A7201" s="12"/>
      <c r="D7201" s="12"/>
      <c r="E7201" s="12"/>
      <c r="H7201" s="11" t="str">
        <f ca="1">IFERROR(__xludf.DUMMYFUNCTION("IFERROR(SUBSTITUTE(SUBSTITUTE(REGEXEXTRACT(A7201, ""[^-]+- [^-]+- [^-]+ - (.+?)\.jpg""), "".jpg"", """"), ""-"", "", ""), """")"),"")</f>
        <v/>
      </c>
      <c r="L7201" s="12"/>
      <c r="M7201" s="13"/>
      <c r="N7201" s="2"/>
      <c r="O7201" s="20"/>
      <c r="P7201" s="42"/>
      <c r="R7201" s="23"/>
    </row>
    <row r="7202" spans="1:18" ht="12.75">
      <c r="A7202" s="12"/>
      <c r="D7202" s="12"/>
      <c r="E7202" s="12"/>
      <c r="H7202" s="11" t="str">
        <f ca="1">IFERROR(__xludf.DUMMYFUNCTION("IFERROR(SUBSTITUTE(SUBSTITUTE(REGEXEXTRACT(A7202, ""[^-]+- [^-]+- [^-]+ - (.+?)\.jpg""), "".jpg"", """"), ""-"", "", ""), """")"),"")</f>
        <v/>
      </c>
      <c r="L7202" s="12"/>
      <c r="M7202" s="13"/>
      <c r="N7202" s="2"/>
      <c r="O7202" s="20"/>
      <c r="P7202" s="42"/>
      <c r="R7202" s="23"/>
    </row>
    <row r="7203" spans="1:18" ht="12.75">
      <c r="A7203" s="12"/>
      <c r="D7203" s="12"/>
      <c r="E7203" s="12"/>
      <c r="H7203" s="11" t="str">
        <f ca="1">IFERROR(__xludf.DUMMYFUNCTION("IFERROR(SUBSTITUTE(SUBSTITUTE(REGEXEXTRACT(A7203, ""[^-]+- [^-]+- [^-]+ - (.+?)\.jpg""), "".jpg"", """"), ""-"", "", ""), """")"),"")</f>
        <v/>
      </c>
      <c r="L7203" s="12"/>
      <c r="M7203" s="13"/>
      <c r="N7203" s="2"/>
      <c r="O7203" s="20"/>
      <c r="P7203" s="42"/>
      <c r="R7203" s="23"/>
    </row>
    <row r="7204" spans="1:18" ht="12.75">
      <c r="A7204" s="12"/>
      <c r="D7204" s="12"/>
      <c r="E7204" s="12"/>
      <c r="H7204" s="11" t="str">
        <f ca="1">IFERROR(__xludf.DUMMYFUNCTION("IFERROR(SUBSTITUTE(SUBSTITUTE(REGEXEXTRACT(A7204, ""[^-]+- [^-]+- [^-]+ - (.+?)\.jpg""), "".jpg"", """"), ""-"", "", ""), """")"),"")</f>
        <v/>
      </c>
      <c r="L7204" s="12"/>
      <c r="M7204" s="13"/>
      <c r="N7204" s="2"/>
      <c r="O7204" s="20"/>
      <c r="P7204" s="42"/>
      <c r="R7204" s="23"/>
    </row>
    <row r="7205" spans="1:18" ht="12.75">
      <c r="A7205" s="12"/>
      <c r="D7205" s="12"/>
      <c r="E7205" s="12"/>
      <c r="H7205" s="11" t="str">
        <f ca="1">IFERROR(__xludf.DUMMYFUNCTION("IFERROR(SUBSTITUTE(SUBSTITUTE(REGEXEXTRACT(A7205, ""[^-]+- [^-]+- [^-]+ - (.+?)\.jpg""), "".jpg"", """"), ""-"", "", ""), """")"),"")</f>
        <v/>
      </c>
      <c r="L7205" s="12"/>
      <c r="M7205" s="13"/>
      <c r="N7205" s="2"/>
      <c r="O7205" s="20"/>
      <c r="P7205" s="42"/>
      <c r="R7205" s="23"/>
    </row>
    <row r="7206" spans="1:18" ht="12.75">
      <c r="A7206" s="12"/>
      <c r="D7206" s="12"/>
      <c r="E7206" s="12"/>
      <c r="H7206" s="11" t="str">
        <f ca="1">IFERROR(__xludf.DUMMYFUNCTION("IFERROR(SUBSTITUTE(SUBSTITUTE(REGEXEXTRACT(A7206, ""[^-]+- [^-]+- [^-]+ - (.+?)\.jpg""), "".jpg"", """"), ""-"", "", ""), """")"),"")</f>
        <v/>
      </c>
      <c r="L7206" s="12"/>
      <c r="M7206" s="13"/>
      <c r="N7206" s="2"/>
      <c r="O7206" s="20"/>
      <c r="P7206" s="42"/>
      <c r="R7206" s="23"/>
    </row>
    <row r="7207" spans="1:18" ht="12.75">
      <c r="A7207" s="12"/>
      <c r="D7207" s="12"/>
      <c r="E7207" s="12"/>
      <c r="H7207" s="11" t="str">
        <f ca="1">IFERROR(__xludf.DUMMYFUNCTION("IFERROR(SUBSTITUTE(SUBSTITUTE(REGEXEXTRACT(A7207, ""[^-]+- [^-]+- [^-]+ - (.+?)\.jpg""), "".jpg"", """"), ""-"", "", ""), """")"),"")</f>
        <v/>
      </c>
      <c r="L7207" s="12"/>
      <c r="M7207" s="13"/>
      <c r="N7207" s="2"/>
      <c r="O7207" s="20"/>
      <c r="P7207" s="42"/>
      <c r="R7207" s="23"/>
    </row>
    <row r="7208" spans="1:18" ht="12.75">
      <c r="A7208" s="12"/>
      <c r="D7208" s="12"/>
      <c r="E7208" s="12"/>
      <c r="H7208" s="11" t="str">
        <f ca="1">IFERROR(__xludf.DUMMYFUNCTION("IFERROR(SUBSTITUTE(SUBSTITUTE(REGEXEXTRACT(A7208, ""[^-]+- [^-]+- [^-]+ - (.+?)\.jpg""), "".jpg"", """"), ""-"", "", ""), """")"),"")</f>
        <v/>
      </c>
      <c r="L7208" s="12"/>
      <c r="M7208" s="13"/>
      <c r="N7208" s="2"/>
      <c r="O7208" s="20"/>
      <c r="P7208" s="42"/>
      <c r="R7208" s="23"/>
    </row>
    <row r="7209" spans="1:18" ht="12.75">
      <c r="A7209" s="12"/>
      <c r="D7209" s="12"/>
      <c r="E7209" s="12"/>
      <c r="H7209" s="11" t="str">
        <f ca="1">IFERROR(__xludf.DUMMYFUNCTION("IFERROR(SUBSTITUTE(SUBSTITUTE(REGEXEXTRACT(A7209, ""[^-]+- [^-]+- [^-]+ - (.+?)\.jpg""), "".jpg"", """"), ""-"", "", ""), """")"),"")</f>
        <v/>
      </c>
      <c r="L7209" s="12"/>
      <c r="M7209" s="13"/>
      <c r="N7209" s="2"/>
      <c r="O7209" s="20"/>
      <c r="P7209" s="42"/>
      <c r="R7209" s="23"/>
    </row>
    <row r="7210" spans="1:18" ht="12.75">
      <c r="A7210" s="12"/>
      <c r="D7210" s="12"/>
      <c r="E7210" s="12"/>
      <c r="H7210" s="11" t="str">
        <f ca="1">IFERROR(__xludf.DUMMYFUNCTION("IFERROR(SUBSTITUTE(SUBSTITUTE(REGEXEXTRACT(A7210, ""[^-]+- [^-]+- [^-]+ - (.+?)\.jpg""), "".jpg"", """"), ""-"", "", ""), """")"),"")</f>
        <v/>
      </c>
      <c r="L7210" s="12"/>
      <c r="M7210" s="13"/>
      <c r="N7210" s="2"/>
      <c r="O7210" s="20"/>
      <c r="P7210" s="42"/>
      <c r="R7210" s="23"/>
    </row>
    <row r="7211" spans="1:18" ht="12.75">
      <c r="A7211" s="12"/>
      <c r="D7211" s="12"/>
      <c r="E7211" s="12"/>
      <c r="H7211" s="11" t="str">
        <f ca="1">IFERROR(__xludf.DUMMYFUNCTION("IFERROR(SUBSTITUTE(SUBSTITUTE(REGEXEXTRACT(A7211, ""[^-]+- [^-]+- [^-]+ - (.+?)\.jpg""), "".jpg"", """"), ""-"", "", ""), """")"),"")</f>
        <v/>
      </c>
      <c r="L7211" s="12"/>
      <c r="M7211" s="13"/>
      <c r="N7211" s="2"/>
      <c r="O7211" s="20"/>
      <c r="P7211" s="42"/>
      <c r="R7211" s="23"/>
    </row>
    <row r="7212" spans="1:18" ht="12.75">
      <c r="A7212" s="12"/>
      <c r="D7212" s="12"/>
      <c r="E7212" s="12"/>
      <c r="H7212" s="11" t="str">
        <f ca="1">IFERROR(__xludf.DUMMYFUNCTION("IFERROR(SUBSTITUTE(SUBSTITUTE(REGEXEXTRACT(A7212, ""[^-]+- [^-]+- [^-]+ - (.+?)\.jpg""), "".jpg"", """"), ""-"", "", ""), """")"),"")</f>
        <v/>
      </c>
      <c r="L7212" s="12"/>
      <c r="M7212" s="13"/>
      <c r="N7212" s="2"/>
      <c r="O7212" s="20"/>
      <c r="P7212" s="42"/>
      <c r="R7212" s="23"/>
    </row>
    <row r="7213" spans="1:18" ht="12.75">
      <c r="A7213" s="12"/>
      <c r="D7213" s="12"/>
      <c r="E7213" s="12"/>
      <c r="H7213" s="11" t="str">
        <f ca="1">IFERROR(__xludf.DUMMYFUNCTION("IFERROR(SUBSTITUTE(SUBSTITUTE(REGEXEXTRACT(A7213, ""[^-]+- [^-]+- [^-]+ - (.+?)\.jpg""), "".jpg"", """"), ""-"", "", ""), """")"),"")</f>
        <v/>
      </c>
      <c r="L7213" s="12"/>
      <c r="M7213" s="13"/>
      <c r="N7213" s="2"/>
      <c r="O7213" s="20"/>
      <c r="P7213" s="42"/>
      <c r="R7213" s="23"/>
    </row>
    <row r="7214" spans="1:18" ht="12.75">
      <c r="A7214" s="12"/>
      <c r="D7214" s="12"/>
      <c r="E7214" s="12"/>
      <c r="H7214" s="11" t="str">
        <f ca="1">IFERROR(__xludf.DUMMYFUNCTION("IFERROR(SUBSTITUTE(SUBSTITUTE(REGEXEXTRACT(A7214, ""[^-]+- [^-]+- [^-]+ - (.+?)\.jpg""), "".jpg"", """"), ""-"", "", ""), """")"),"")</f>
        <v/>
      </c>
      <c r="L7214" s="12"/>
      <c r="M7214" s="13"/>
      <c r="N7214" s="2"/>
      <c r="O7214" s="20"/>
      <c r="P7214" s="42"/>
      <c r="R7214" s="23"/>
    </row>
    <row r="7215" spans="1:18" ht="12.75">
      <c r="A7215" s="12"/>
      <c r="D7215" s="12"/>
      <c r="E7215" s="12"/>
      <c r="H7215" s="11" t="str">
        <f ca="1">IFERROR(__xludf.DUMMYFUNCTION("IFERROR(SUBSTITUTE(SUBSTITUTE(REGEXEXTRACT(A7215, ""[^-]+- [^-]+- [^-]+ - (.+?)\.jpg""), "".jpg"", """"), ""-"", "", ""), """")"),"")</f>
        <v/>
      </c>
      <c r="L7215" s="12"/>
      <c r="M7215" s="13"/>
      <c r="N7215" s="2"/>
      <c r="O7215" s="20"/>
      <c r="P7215" s="42"/>
      <c r="R7215" s="23"/>
    </row>
    <row r="7216" spans="1:18" ht="12.75">
      <c r="A7216" s="12"/>
      <c r="D7216" s="12"/>
      <c r="E7216" s="12"/>
      <c r="H7216" s="11" t="str">
        <f ca="1">IFERROR(__xludf.DUMMYFUNCTION("IFERROR(SUBSTITUTE(SUBSTITUTE(REGEXEXTRACT(A7216, ""[^-]+- [^-]+- [^-]+ - (.+?)\.jpg""), "".jpg"", """"), ""-"", "", ""), """")"),"")</f>
        <v/>
      </c>
      <c r="L7216" s="12"/>
      <c r="M7216" s="13"/>
      <c r="N7216" s="2"/>
      <c r="O7216" s="20"/>
      <c r="P7216" s="42"/>
      <c r="R7216" s="23"/>
    </row>
    <row r="7217" spans="1:18" ht="12.75">
      <c r="A7217" s="12"/>
      <c r="D7217" s="12"/>
      <c r="E7217" s="12"/>
      <c r="H7217" s="11" t="str">
        <f ca="1">IFERROR(__xludf.DUMMYFUNCTION("IFERROR(SUBSTITUTE(SUBSTITUTE(REGEXEXTRACT(A7217, ""[^-]+- [^-]+- [^-]+ - (.+?)\.jpg""), "".jpg"", """"), ""-"", "", ""), """")"),"")</f>
        <v/>
      </c>
      <c r="L7217" s="12"/>
      <c r="M7217" s="13"/>
      <c r="N7217" s="2"/>
      <c r="O7217" s="20"/>
      <c r="P7217" s="42"/>
      <c r="R7217" s="23"/>
    </row>
    <row r="7218" spans="1:18" ht="12.75">
      <c r="A7218" s="12"/>
      <c r="D7218" s="12"/>
      <c r="E7218" s="12"/>
      <c r="H7218" s="11" t="str">
        <f ca="1">IFERROR(__xludf.DUMMYFUNCTION("IFERROR(SUBSTITUTE(SUBSTITUTE(REGEXEXTRACT(A7218, ""[^-]+- [^-]+- [^-]+ - (.+?)\.jpg""), "".jpg"", """"), ""-"", "", ""), """")"),"")</f>
        <v/>
      </c>
      <c r="L7218" s="12"/>
      <c r="M7218" s="13"/>
      <c r="N7218" s="2"/>
      <c r="O7218" s="20"/>
      <c r="P7218" s="42"/>
      <c r="R7218" s="23"/>
    </row>
    <row r="7219" spans="1:18" ht="12.75">
      <c r="A7219" s="12"/>
      <c r="D7219" s="12"/>
      <c r="E7219" s="12"/>
      <c r="H7219" s="11" t="str">
        <f ca="1">IFERROR(__xludf.DUMMYFUNCTION("IFERROR(SUBSTITUTE(SUBSTITUTE(REGEXEXTRACT(A7219, ""[^-]+- [^-]+- [^-]+ - (.+?)\.jpg""), "".jpg"", """"), ""-"", "", ""), """")"),"")</f>
        <v/>
      </c>
      <c r="L7219" s="12"/>
      <c r="M7219" s="13"/>
      <c r="N7219" s="2"/>
      <c r="O7219" s="20"/>
      <c r="P7219" s="42"/>
      <c r="R7219" s="23"/>
    </row>
    <row r="7220" spans="1:18" ht="12.75">
      <c r="A7220" s="12"/>
      <c r="D7220" s="12"/>
      <c r="E7220" s="12"/>
      <c r="H7220" s="11" t="str">
        <f ca="1">IFERROR(__xludf.DUMMYFUNCTION("IFERROR(SUBSTITUTE(SUBSTITUTE(REGEXEXTRACT(A7220, ""[^-]+- [^-]+- [^-]+ - (.+?)\.jpg""), "".jpg"", """"), ""-"", "", ""), """")"),"")</f>
        <v/>
      </c>
      <c r="L7220" s="12"/>
      <c r="M7220" s="13"/>
      <c r="N7220" s="2"/>
      <c r="O7220" s="20"/>
      <c r="P7220" s="42"/>
      <c r="R7220" s="23"/>
    </row>
    <row r="7221" spans="1:18" ht="12.75">
      <c r="A7221" s="12"/>
      <c r="D7221" s="12"/>
      <c r="E7221" s="12"/>
      <c r="H7221" s="11" t="str">
        <f ca="1">IFERROR(__xludf.DUMMYFUNCTION("IFERROR(SUBSTITUTE(SUBSTITUTE(REGEXEXTRACT(A7221, ""[^-]+- [^-]+- [^-]+ - (.+?)\.jpg""), "".jpg"", """"), ""-"", "", ""), """")"),"")</f>
        <v/>
      </c>
      <c r="L7221" s="12"/>
      <c r="M7221" s="13"/>
      <c r="N7221" s="2"/>
      <c r="O7221" s="20"/>
      <c r="P7221" s="42"/>
      <c r="R7221" s="23"/>
    </row>
    <row r="7222" spans="1:18" ht="12.75">
      <c r="A7222" s="12"/>
      <c r="D7222" s="12"/>
      <c r="E7222" s="12"/>
      <c r="H7222" s="11" t="str">
        <f ca="1">IFERROR(__xludf.DUMMYFUNCTION("IFERROR(SUBSTITUTE(SUBSTITUTE(REGEXEXTRACT(A7222, ""[^-]+- [^-]+- [^-]+ - (.+?)\.jpg""), "".jpg"", """"), ""-"", "", ""), """")"),"")</f>
        <v/>
      </c>
      <c r="L7222" s="12"/>
      <c r="M7222" s="13"/>
      <c r="N7222" s="2"/>
      <c r="O7222" s="20"/>
      <c r="P7222" s="42"/>
      <c r="R7222" s="23"/>
    </row>
    <row r="7223" spans="1:18" ht="12.75">
      <c r="A7223" s="12"/>
      <c r="D7223" s="12"/>
      <c r="E7223" s="12"/>
      <c r="H7223" s="11" t="str">
        <f ca="1">IFERROR(__xludf.DUMMYFUNCTION("IFERROR(SUBSTITUTE(SUBSTITUTE(REGEXEXTRACT(A7223, ""[^-]+- [^-]+- [^-]+ - (.+?)\.jpg""), "".jpg"", """"), ""-"", "", ""), """")"),"")</f>
        <v/>
      </c>
      <c r="L7223" s="12"/>
      <c r="M7223" s="13"/>
      <c r="N7223" s="2"/>
      <c r="O7223" s="20"/>
      <c r="P7223" s="42"/>
      <c r="R7223" s="23"/>
    </row>
    <row r="7224" spans="1:18" ht="12.75">
      <c r="A7224" s="12"/>
      <c r="D7224" s="12"/>
      <c r="E7224" s="12"/>
      <c r="H7224" s="11" t="str">
        <f ca="1">IFERROR(__xludf.DUMMYFUNCTION("IFERROR(SUBSTITUTE(SUBSTITUTE(REGEXEXTRACT(A7224, ""[^-]+- [^-]+- [^-]+ - (.+?)\.jpg""), "".jpg"", """"), ""-"", "", ""), """")"),"")</f>
        <v/>
      </c>
      <c r="L7224" s="12"/>
      <c r="M7224" s="13"/>
      <c r="N7224" s="2"/>
      <c r="O7224" s="20"/>
      <c r="P7224" s="42"/>
      <c r="R7224" s="23"/>
    </row>
    <row r="7225" spans="1:18" ht="12.75">
      <c r="A7225" s="12"/>
      <c r="D7225" s="12"/>
      <c r="E7225" s="12"/>
      <c r="H7225" s="11" t="str">
        <f ca="1">IFERROR(__xludf.DUMMYFUNCTION("IFERROR(SUBSTITUTE(SUBSTITUTE(REGEXEXTRACT(A7225, ""[^-]+- [^-]+- [^-]+ - (.+?)\.jpg""), "".jpg"", """"), ""-"", "", ""), """")"),"")</f>
        <v/>
      </c>
      <c r="L7225" s="12"/>
      <c r="M7225" s="13"/>
      <c r="N7225" s="2"/>
      <c r="O7225" s="20"/>
      <c r="P7225" s="42"/>
      <c r="R7225" s="23"/>
    </row>
    <row r="7226" spans="1:18" ht="12.75">
      <c r="A7226" s="12"/>
      <c r="D7226" s="12"/>
      <c r="E7226" s="12"/>
      <c r="H7226" s="11" t="str">
        <f ca="1">IFERROR(__xludf.DUMMYFUNCTION("IFERROR(SUBSTITUTE(SUBSTITUTE(REGEXEXTRACT(A7226, ""[^-]+- [^-]+- [^-]+ - (.+?)\.jpg""), "".jpg"", """"), ""-"", "", ""), """")"),"")</f>
        <v/>
      </c>
      <c r="L7226" s="12"/>
      <c r="M7226" s="13"/>
      <c r="N7226" s="2"/>
      <c r="O7226" s="20"/>
      <c r="P7226" s="42"/>
      <c r="R7226" s="23"/>
    </row>
    <row r="7227" spans="1:18" ht="12.75">
      <c r="A7227" s="12"/>
      <c r="D7227" s="12"/>
      <c r="E7227" s="12"/>
      <c r="H7227" s="11" t="str">
        <f ca="1">IFERROR(__xludf.DUMMYFUNCTION("IFERROR(SUBSTITUTE(SUBSTITUTE(REGEXEXTRACT(A7227, ""[^-]+- [^-]+- [^-]+ - (.+?)\.jpg""), "".jpg"", """"), ""-"", "", ""), """")"),"")</f>
        <v/>
      </c>
      <c r="L7227" s="12"/>
      <c r="M7227" s="13"/>
      <c r="N7227" s="2"/>
      <c r="O7227" s="20"/>
      <c r="P7227" s="42"/>
      <c r="R7227" s="23"/>
    </row>
    <row r="7228" spans="1:18" ht="12.75">
      <c r="A7228" s="12"/>
      <c r="D7228" s="12"/>
      <c r="E7228" s="12"/>
      <c r="H7228" s="11" t="str">
        <f ca="1">IFERROR(__xludf.DUMMYFUNCTION("IFERROR(SUBSTITUTE(SUBSTITUTE(REGEXEXTRACT(A7228, ""[^-]+- [^-]+- [^-]+ - (.+?)\.jpg""), "".jpg"", """"), ""-"", "", ""), """")"),"")</f>
        <v/>
      </c>
      <c r="L7228" s="12"/>
      <c r="M7228" s="13"/>
      <c r="N7228" s="2"/>
      <c r="O7228" s="20"/>
      <c r="P7228" s="42"/>
      <c r="R7228" s="23"/>
    </row>
    <row r="7229" spans="1:18" ht="12.75">
      <c r="A7229" s="12"/>
      <c r="D7229" s="12"/>
      <c r="E7229" s="12"/>
      <c r="H7229" s="11" t="str">
        <f ca="1">IFERROR(__xludf.DUMMYFUNCTION("IFERROR(SUBSTITUTE(SUBSTITUTE(REGEXEXTRACT(A7229, ""[^-]+- [^-]+- [^-]+ - (.+?)\.jpg""), "".jpg"", """"), ""-"", "", ""), """")"),"")</f>
        <v/>
      </c>
      <c r="L7229" s="12"/>
      <c r="M7229" s="13"/>
      <c r="N7229" s="2"/>
      <c r="O7229" s="20"/>
      <c r="P7229" s="42"/>
      <c r="R7229" s="23"/>
    </row>
    <row r="7230" spans="1:18" ht="12.75">
      <c r="A7230" s="12"/>
      <c r="D7230" s="12"/>
      <c r="E7230" s="12"/>
      <c r="H7230" s="11" t="str">
        <f ca="1">IFERROR(__xludf.DUMMYFUNCTION("IFERROR(SUBSTITUTE(SUBSTITUTE(REGEXEXTRACT(A7230, ""[^-]+- [^-]+- [^-]+ - (.+?)\.jpg""), "".jpg"", """"), ""-"", "", ""), """")"),"")</f>
        <v/>
      </c>
      <c r="L7230" s="12"/>
      <c r="M7230" s="13"/>
      <c r="N7230" s="2"/>
      <c r="O7230" s="20"/>
      <c r="P7230" s="42"/>
      <c r="R7230" s="23"/>
    </row>
    <row r="7231" spans="1:18" ht="12.75">
      <c r="A7231" s="12"/>
      <c r="D7231" s="12"/>
      <c r="E7231" s="12"/>
      <c r="H7231" s="11" t="str">
        <f ca="1">IFERROR(__xludf.DUMMYFUNCTION("IFERROR(SUBSTITUTE(SUBSTITUTE(REGEXEXTRACT(A7231, ""[^-]+- [^-]+- [^-]+ - (.+?)\.jpg""), "".jpg"", """"), ""-"", "", ""), """")"),"")</f>
        <v/>
      </c>
      <c r="L7231" s="12"/>
      <c r="M7231" s="13"/>
      <c r="N7231" s="2"/>
      <c r="O7231" s="20"/>
      <c r="P7231" s="42"/>
      <c r="R7231" s="23"/>
    </row>
    <row r="7232" spans="1:18" ht="12.75">
      <c r="A7232" s="12"/>
      <c r="D7232" s="12"/>
      <c r="E7232" s="12"/>
      <c r="H7232" s="11" t="str">
        <f ca="1">IFERROR(__xludf.DUMMYFUNCTION("IFERROR(SUBSTITUTE(SUBSTITUTE(REGEXEXTRACT(A7232, ""[^-]+- [^-]+- [^-]+ - (.+?)\.jpg""), "".jpg"", """"), ""-"", "", ""), """")"),"")</f>
        <v/>
      </c>
      <c r="L7232" s="12"/>
      <c r="M7232" s="13"/>
      <c r="N7232" s="2"/>
      <c r="O7232" s="20"/>
      <c r="P7232" s="42"/>
      <c r="R7232" s="23"/>
    </row>
    <row r="7233" spans="1:18" ht="12.75">
      <c r="A7233" s="12"/>
      <c r="D7233" s="12"/>
      <c r="E7233" s="12"/>
      <c r="H7233" s="11" t="str">
        <f ca="1">IFERROR(__xludf.DUMMYFUNCTION("IFERROR(SUBSTITUTE(SUBSTITUTE(REGEXEXTRACT(A7233, ""[^-]+- [^-]+- [^-]+ - (.+?)\.jpg""), "".jpg"", """"), ""-"", "", ""), """")"),"")</f>
        <v/>
      </c>
      <c r="L7233" s="12"/>
      <c r="M7233" s="13"/>
      <c r="N7233" s="2"/>
      <c r="O7233" s="20"/>
      <c r="P7233" s="42"/>
      <c r="R7233" s="23"/>
    </row>
    <row r="7234" spans="1:18" ht="12.75">
      <c r="A7234" s="12"/>
      <c r="D7234" s="12"/>
      <c r="E7234" s="12"/>
      <c r="H7234" s="11" t="str">
        <f ca="1">IFERROR(__xludf.DUMMYFUNCTION("IFERROR(SUBSTITUTE(SUBSTITUTE(REGEXEXTRACT(A7234, ""[^-]+- [^-]+- [^-]+ - (.+?)\.jpg""), "".jpg"", """"), ""-"", "", ""), """")"),"")</f>
        <v/>
      </c>
      <c r="L7234" s="12"/>
      <c r="M7234" s="13"/>
      <c r="N7234" s="2"/>
      <c r="O7234" s="20"/>
      <c r="P7234" s="42"/>
      <c r="R7234" s="23"/>
    </row>
    <row r="7235" spans="1:18" ht="12.75">
      <c r="A7235" s="12"/>
      <c r="D7235" s="12"/>
      <c r="E7235" s="12"/>
      <c r="H7235" s="11" t="str">
        <f ca="1">IFERROR(__xludf.DUMMYFUNCTION("IFERROR(SUBSTITUTE(SUBSTITUTE(REGEXEXTRACT(A7235, ""[^-]+- [^-]+- [^-]+ - (.+?)\.jpg""), "".jpg"", """"), ""-"", "", ""), """")"),"")</f>
        <v/>
      </c>
      <c r="L7235" s="12"/>
      <c r="M7235" s="13"/>
      <c r="N7235" s="2"/>
      <c r="O7235" s="20"/>
      <c r="P7235" s="42"/>
      <c r="R7235" s="23"/>
    </row>
    <row r="7236" spans="1:18" ht="12.75">
      <c r="A7236" s="12"/>
      <c r="D7236" s="12"/>
      <c r="E7236" s="12"/>
      <c r="H7236" s="11" t="str">
        <f ca="1">IFERROR(__xludf.DUMMYFUNCTION("IFERROR(SUBSTITUTE(SUBSTITUTE(REGEXEXTRACT(A7236, ""[^-]+- [^-]+- [^-]+ - (.+?)\.jpg""), "".jpg"", """"), ""-"", "", ""), """")"),"")</f>
        <v/>
      </c>
      <c r="L7236" s="12"/>
      <c r="M7236" s="13"/>
      <c r="N7236" s="2"/>
      <c r="O7236" s="20"/>
      <c r="P7236" s="42"/>
      <c r="R7236" s="23"/>
    </row>
    <row r="7237" spans="1:18" ht="12.75">
      <c r="A7237" s="12"/>
      <c r="D7237" s="12"/>
      <c r="E7237" s="12"/>
      <c r="H7237" s="11" t="str">
        <f ca="1">IFERROR(__xludf.DUMMYFUNCTION("IFERROR(SUBSTITUTE(SUBSTITUTE(REGEXEXTRACT(A7237, ""[^-]+- [^-]+- [^-]+ - (.+?)\.jpg""), "".jpg"", """"), ""-"", "", ""), """")"),"")</f>
        <v/>
      </c>
      <c r="L7237" s="12"/>
      <c r="M7237" s="13"/>
      <c r="N7237" s="2"/>
      <c r="O7237" s="20"/>
      <c r="P7237" s="42"/>
      <c r="R7237" s="23"/>
    </row>
    <row r="7238" spans="1:18" ht="12.75">
      <c r="A7238" s="12"/>
      <c r="D7238" s="12"/>
      <c r="E7238" s="12"/>
      <c r="H7238" s="11" t="str">
        <f ca="1">IFERROR(__xludf.DUMMYFUNCTION("IFERROR(SUBSTITUTE(SUBSTITUTE(REGEXEXTRACT(A7238, ""[^-]+- [^-]+- [^-]+ - (.+?)\.jpg""), "".jpg"", """"), ""-"", "", ""), """")"),"")</f>
        <v/>
      </c>
      <c r="L7238" s="12"/>
      <c r="M7238" s="13"/>
      <c r="N7238" s="2"/>
      <c r="O7238" s="20"/>
      <c r="P7238" s="42"/>
      <c r="R7238" s="23"/>
    </row>
    <row r="7239" spans="1:18" ht="12.75">
      <c r="A7239" s="12"/>
      <c r="D7239" s="12"/>
      <c r="E7239" s="12"/>
      <c r="H7239" s="11" t="str">
        <f ca="1">IFERROR(__xludf.DUMMYFUNCTION("IFERROR(SUBSTITUTE(SUBSTITUTE(REGEXEXTRACT(A7239, ""[^-]+- [^-]+- [^-]+ - (.+?)\.jpg""), "".jpg"", """"), ""-"", "", ""), """")"),"")</f>
        <v/>
      </c>
      <c r="L7239" s="12"/>
      <c r="M7239" s="13"/>
      <c r="N7239" s="2"/>
      <c r="O7239" s="20"/>
      <c r="P7239" s="42"/>
      <c r="R7239" s="23"/>
    </row>
    <row r="7240" spans="1:18" ht="12.75">
      <c r="A7240" s="12"/>
      <c r="D7240" s="12"/>
      <c r="E7240" s="12"/>
      <c r="H7240" s="11" t="str">
        <f ca="1">IFERROR(__xludf.DUMMYFUNCTION("IFERROR(SUBSTITUTE(SUBSTITUTE(REGEXEXTRACT(A7240, ""[^-]+- [^-]+- [^-]+ - (.+?)\.jpg""), "".jpg"", """"), ""-"", "", ""), """")"),"")</f>
        <v/>
      </c>
      <c r="L7240" s="12"/>
      <c r="M7240" s="13"/>
      <c r="N7240" s="2"/>
      <c r="O7240" s="20"/>
      <c r="P7240" s="42"/>
      <c r="R7240" s="23"/>
    </row>
    <row r="7241" spans="1:18" ht="12.75">
      <c r="A7241" s="12"/>
      <c r="D7241" s="12"/>
      <c r="E7241" s="12"/>
      <c r="H7241" s="11" t="str">
        <f ca="1">IFERROR(__xludf.DUMMYFUNCTION("IFERROR(SUBSTITUTE(SUBSTITUTE(REGEXEXTRACT(A7241, ""[^-]+- [^-]+- [^-]+ - (.+?)\.jpg""), "".jpg"", """"), ""-"", "", ""), """")"),"")</f>
        <v/>
      </c>
      <c r="L7241" s="12"/>
      <c r="M7241" s="13"/>
      <c r="N7241" s="2"/>
      <c r="O7241" s="20"/>
      <c r="P7241" s="42"/>
      <c r="R7241" s="23"/>
    </row>
    <row r="7242" spans="1:18" ht="12.75">
      <c r="A7242" s="12"/>
      <c r="D7242" s="12"/>
      <c r="E7242" s="12"/>
      <c r="H7242" s="11" t="str">
        <f ca="1">IFERROR(__xludf.DUMMYFUNCTION("IFERROR(SUBSTITUTE(SUBSTITUTE(REGEXEXTRACT(A7242, ""[^-]+- [^-]+- [^-]+ - (.+?)\.jpg""), "".jpg"", """"), ""-"", "", ""), """")"),"")</f>
        <v/>
      </c>
      <c r="L7242" s="12"/>
      <c r="M7242" s="13"/>
      <c r="N7242" s="2"/>
      <c r="O7242" s="20"/>
      <c r="P7242" s="42"/>
      <c r="R7242" s="23"/>
    </row>
    <row r="7243" spans="1:18" ht="12.75">
      <c r="A7243" s="12"/>
      <c r="D7243" s="12"/>
      <c r="E7243" s="12"/>
      <c r="H7243" s="11" t="str">
        <f ca="1">IFERROR(__xludf.DUMMYFUNCTION("IFERROR(SUBSTITUTE(SUBSTITUTE(REGEXEXTRACT(A7243, ""[^-]+- [^-]+- [^-]+ - (.+?)\.jpg""), "".jpg"", """"), ""-"", "", ""), """")"),"")</f>
        <v/>
      </c>
      <c r="L7243" s="12"/>
      <c r="M7243" s="13"/>
      <c r="N7243" s="2"/>
      <c r="O7243" s="20"/>
      <c r="P7243" s="42"/>
      <c r="R7243" s="23"/>
    </row>
    <row r="7244" spans="1:18" ht="12.75">
      <c r="A7244" s="12"/>
      <c r="D7244" s="12"/>
      <c r="E7244" s="12"/>
      <c r="H7244" s="11" t="str">
        <f ca="1">IFERROR(__xludf.DUMMYFUNCTION("IFERROR(SUBSTITUTE(SUBSTITUTE(REGEXEXTRACT(A7244, ""[^-]+- [^-]+- [^-]+ - (.+?)\.jpg""), "".jpg"", """"), ""-"", "", ""), """")"),"")</f>
        <v/>
      </c>
      <c r="L7244" s="12"/>
      <c r="M7244" s="13"/>
      <c r="N7244" s="2"/>
      <c r="O7244" s="20"/>
      <c r="P7244" s="42"/>
      <c r="R7244" s="23"/>
    </row>
    <row r="7245" spans="1:18" ht="12.75">
      <c r="A7245" s="12"/>
      <c r="D7245" s="12"/>
      <c r="E7245" s="12"/>
      <c r="H7245" s="11" t="str">
        <f ca="1">IFERROR(__xludf.DUMMYFUNCTION("IFERROR(SUBSTITUTE(SUBSTITUTE(REGEXEXTRACT(A7245, ""[^-]+- [^-]+- [^-]+ - (.+?)\.jpg""), "".jpg"", """"), ""-"", "", ""), """")"),"")</f>
        <v/>
      </c>
      <c r="L7245" s="12"/>
      <c r="M7245" s="13"/>
      <c r="N7245" s="2"/>
      <c r="O7245" s="20"/>
      <c r="P7245" s="42"/>
      <c r="R7245" s="23"/>
    </row>
    <row r="7246" spans="1:18" ht="12.75">
      <c r="A7246" s="12"/>
      <c r="D7246" s="12"/>
      <c r="E7246" s="12"/>
      <c r="H7246" s="11" t="str">
        <f ca="1">IFERROR(__xludf.DUMMYFUNCTION("IFERROR(SUBSTITUTE(SUBSTITUTE(REGEXEXTRACT(A7246, ""[^-]+- [^-]+- [^-]+ - (.+?)\.jpg""), "".jpg"", """"), ""-"", "", ""), """")"),"")</f>
        <v/>
      </c>
      <c r="L7246" s="12"/>
      <c r="M7246" s="13"/>
      <c r="N7246" s="2"/>
      <c r="O7246" s="20"/>
      <c r="P7246" s="42"/>
      <c r="R7246" s="23"/>
    </row>
    <row r="7247" spans="1:18" ht="12.75">
      <c r="A7247" s="12"/>
      <c r="D7247" s="12"/>
      <c r="E7247" s="12"/>
      <c r="H7247" s="11" t="str">
        <f ca="1">IFERROR(__xludf.DUMMYFUNCTION("IFERROR(SUBSTITUTE(SUBSTITUTE(REGEXEXTRACT(A7247, ""[^-]+- [^-]+- [^-]+ - (.+?)\.jpg""), "".jpg"", """"), ""-"", "", ""), """")"),"")</f>
        <v/>
      </c>
      <c r="L7247" s="12"/>
      <c r="M7247" s="13"/>
      <c r="N7247" s="2"/>
      <c r="O7247" s="20"/>
      <c r="P7247" s="42"/>
      <c r="R7247" s="23"/>
    </row>
    <row r="7248" spans="1:18" ht="12.75">
      <c r="A7248" s="12"/>
      <c r="D7248" s="12"/>
      <c r="E7248" s="12"/>
      <c r="H7248" s="11" t="str">
        <f ca="1">IFERROR(__xludf.DUMMYFUNCTION("IFERROR(SUBSTITUTE(SUBSTITUTE(REGEXEXTRACT(A7248, ""[^-]+- [^-]+- [^-]+ - (.+?)\.jpg""), "".jpg"", """"), ""-"", "", ""), """")"),"")</f>
        <v/>
      </c>
      <c r="L7248" s="12"/>
      <c r="M7248" s="13"/>
      <c r="N7248" s="2"/>
      <c r="O7248" s="20"/>
      <c r="P7248" s="42"/>
      <c r="R7248" s="23"/>
    </row>
    <row r="7249" spans="1:18" ht="12.75">
      <c r="A7249" s="12"/>
      <c r="D7249" s="12"/>
      <c r="E7249" s="12"/>
      <c r="H7249" s="11" t="str">
        <f ca="1">IFERROR(__xludf.DUMMYFUNCTION("IFERROR(SUBSTITUTE(SUBSTITUTE(REGEXEXTRACT(A7249, ""[^-]+- [^-]+- [^-]+ - (.+?)\.jpg""), "".jpg"", """"), ""-"", "", ""), """")"),"")</f>
        <v/>
      </c>
      <c r="L7249" s="12"/>
      <c r="M7249" s="13"/>
      <c r="N7249" s="2"/>
      <c r="O7249" s="20"/>
      <c r="P7249" s="42"/>
      <c r="R7249" s="23"/>
    </row>
    <row r="7250" spans="1:18" ht="12.75">
      <c r="A7250" s="12"/>
      <c r="D7250" s="12"/>
      <c r="E7250" s="12"/>
      <c r="H7250" s="11" t="str">
        <f ca="1">IFERROR(__xludf.DUMMYFUNCTION("IFERROR(SUBSTITUTE(SUBSTITUTE(REGEXEXTRACT(A7250, ""[^-]+- [^-]+- [^-]+ - (.+?)\.jpg""), "".jpg"", """"), ""-"", "", ""), """")"),"")</f>
        <v/>
      </c>
      <c r="L7250" s="12"/>
      <c r="M7250" s="13"/>
      <c r="N7250" s="2"/>
      <c r="O7250" s="20"/>
      <c r="P7250" s="42"/>
      <c r="R7250" s="23"/>
    </row>
    <row r="7251" spans="1:18" ht="12.75">
      <c r="A7251" s="12"/>
      <c r="D7251" s="12"/>
      <c r="E7251" s="12"/>
      <c r="H7251" s="11" t="str">
        <f ca="1">IFERROR(__xludf.DUMMYFUNCTION("IFERROR(SUBSTITUTE(SUBSTITUTE(REGEXEXTRACT(A7251, ""[^-]+- [^-]+- [^-]+ - (.+?)\.jpg""), "".jpg"", """"), ""-"", "", ""), """")"),"")</f>
        <v/>
      </c>
      <c r="L7251" s="12"/>
      <c r="M7251" s="13"/>
      <c r="N7251" s="2"/>
      <c r="O7251" s="20"/>
      <c r="P7251" s="42"/>
      <c r="R7251" s="23"/>
    </row>
    <row r="7252" spans="1:18" ht="12.75">
      <c r="A7252" s="12"/>
      <c r="D7252" s="12"/>
      <c r="E7252" s="12"/>
      <c r="H7252" s="11" t="str">
        <f ca="1">IFERROR(__xludf.DUMMYFUNCTION("IFERROR(SUBSTITUTE(SUBSTITUTE(REGEXEXTRACT(A7252, ""[^-]+- [^-]+- [^-]+ - (.+?)\.jpg""), "".jpg"", """"), ""-"", "", ""), """")"),"")</f>
        <v/>
      </c>
      <c r="L7252" s="12"/>
      <c r="M7252" s="13"/>
      <c r="N7252" s="2"/>
      <c r="O7252" s="20"/>
      <c r="P7252" s="42"/>
      <c r="R7252" s="23"/>
    </row>
    <row r="7253" spans="1:18" ht="12.75">
      <c r="A7253" s="12"/>
      <c r="D7253" s="12"/>
      <c r="E7253" s="12"/>
      <c r="H7253" s="11" t="str">
        <f ca="1">IFERROR(__xludf.DUMMYFUNCTION("IFERROR(SUBSTITUTE(SUBSTITUTE(REGEXEXTRACT(A7253, ""[^-]+- [^-]+- [^-]+ - (.+?)\.jpg""), "".jpg"", """"), ""-"", "", ""), """")"),"")</f>
        <v/>
      </c>
      <c r="L7253" s="12"/>
      <c r="M7253" s="13"/>
      <c r="N7253" s="2"/>
      <c r="O7253" s="20"/>
      <c r="P7253" s="42"/>
      <c r="R7253" s="23"/>
    </row>
    <row r="7254" spans="1:18" ht="12.75">
      <c r="A7254" s="12"/>
      <c r="D7254" s="12"/>
      <c r="E7254" s="12"/>
      <c r="H7254" s="11" t="str">
        <f ca="1">IFERROR(__xludf.DUMMYFUNCTION("IFERROR(SUBSTITUTE(SUBSTITUTE(REGEXEXTRACT(A7254, ""[^-]+- [^-]+- [^-]+ - (.+?)\.jpg""), "".jpg"", """"), ""-"", "", ""), """")"),"")</f>
        <v/>
      </c>
      <c r="L7254" s="12"/>
      <c r="M7254" s="13"/>
      <c r="N7254" s="2"/>
      <c r="O7254" s="20"/>
      <c r="P7254" s="42"/>
      <c r="R7254" s="23"/>
    </row>
    <row r="7255" spans="1:18" ht="12.75">
      <c r="A7255" s="12"/>
      <c r="D7255" s="12"/>
      <c r="E7255" s="12"/>
      <c r="H7255" s="11" t="str">
        <f ca="1">IFERROR(__xludf.DUMMYFUNCTION("IFERROR(SUBSTITUTE(SUBSTITUTE(REGEXEXTRACT(A7255, ""[^-]+- [^-]+- [^-]+ - (.+?)\.jpg""), "".jpg"", """"), ""-"", "", ""), """")"),"")</f>
        <v/>
      </c>
      <c r="L7255" s="12"/>
      <c r="M7255" s="13"/>
      <c r="N7255" s="2"/>
      <c r="O7255" s="20"/>
      <c r="P7255" s="42"/>
      <c r="R7255" s="23"/>
    </row>
    <row r="7256" spans="1:18" ht="12.75">
      <c r="A7256" s="12"/>
      <c r="D7256" s="12"/>
      <c r="E7256" s="12"/>
      <c r="H7256" s="11" t="str">
        <f ca="1">IFERROR(__xludf.DUMMYFUNCTION("IFERROR(SUBSTITUTE(SUBSTITUTE(REGEXEXTRACT(A7256, ""[^-]+- [^-]+- [^-]+ - (.+?)\.jpg""), "".jpg"", """"), ""-"", "", ""), """")"),"")</f>
        <v/>
      </c>
      <c r="L7256" s="12"/>
      <c r="M7256" s="13"/>
      <c r="N7256" s="2"/>
      <c r="O7256" s="20"/>
      <c r="P7256" s="42"/>
      <c r="R7256" s="23"/>
    </row>
    <row r="7257" spans="1:18" ht="12.75">
      <c r="A7257" s="12"/>
      <c r="D7257" s="12"/>
      <c r="E7257" s="12"/>
      <c r="H7257" s="11" t="str">
        <f ca="1">IFERROR(__xludf.DUMMYFUNCTION("IFERROR(SUBSTITUTE(SUBSTITUTE(REGEXEXTRACT(A7257, ""[^-]+- [^-]+- [^-]+ - (.+?)\.jpg""), "".jpg"", """"), ""-"", "", ""), """")"),"")</f>
        <v/>
      </c>
      <c r="L7257" s="12"/>
      <c r="M7257" s="13"/>
      <c r="N7257" s="2"/>
      <c r="O7257" s="20"/>
      <c r="P7257" s="42"/>
      <c r="R7257" s="23"/>
    </row>
    <row r="7258" spans="1:18" ht="12.75">
      <c r="A7258" s="12"/>
      <c r="D7258" s="12"/>
      <c r="E7258" s="12"/>
      <c r="H7258" s="11" t="str">
        <f ca="1">IFERROR(__xludf.DUMMYFUNCTION("IFERROR(SUBSTITUTE(SUBSTITUTE(REGEXEXTRACT(A7258, ""[^-]+- [^-]+- [^-]+ - (.+?)\.jpg""), "".jpg"", """"), ""-"", "", ""), """")"),"")</f>
        <v/>
      </c>
      <c r="L7258" s="12"/>
      <c r="M7258" s="13"/>
      <c r="N7258" s="2"/>
      <c r="O7258" s="20"/>
      <c r="P7258" s="42"/>
      <c r="R7258" s="23"/>
    </row>
    <row r="7259" spans="1:18" ht="12.75">
      <c r="A7259" s="12"/>
      <c r="D7259" s="12"/>
      <c r="E7259" s="12"/>
      <c r="H7259" s="11" t="str">
        <f ca="1">IFERROR(__xludf.DUMMYFUNCTION("IFERROR(SUBSTITUTE(SUBSTITUTE(REGEXEXTRACT(A7259, ""[^-]+- [^-]+- [^-]+ - (.+?)\.jpg""), "".jpg"", """"), ""-"", "", ""), """")"),"")</f>
        <v/>
      </c>
      <c r="L7259" s="12"/>
      <c r="M7259" s="13"/>
      <c r="N7259" s="2"/>
      <c r="O7259" s="20"/>
      <c r="P7259" s="42"/>
      <c r="R7259" s="23"/>
    </row>
    <row r="7260" spans="1:18" ht="12.75">
      <c r="A7260" s="12"/>
      <c r="D7260" s="12"/>
      <c r="E7260" s="12"/>
      <c r="H7260" s="11" t="str">
        <f ca="1">IFERROR(__xludf.DUMMYFUNCTION("IFERROR(SUBSTITUTE(SUBSTITUTE(REGEXEXTRACT(A7260, ""[^-]+- [^-]+- [^-]+ - (.+?)\.jpg""), "".jpg"", """"), ""-"", "", ""), """")"),"")</f>
        <v/>
      </c>
      <c r="L7260" s="12"/>
      <c r="M7260" s="13"/>
      <c r="N7260" s="2"/>
      <c r="O7260" s="20"/>
      <c r="P7260" s="42"/>
      <c r="R7260" s="23"/>
    </row>
    <row r="7261" spans="1:18" ht="12.75">
      <c r="A7261" s="12"/>
      <c r="D7261" s="12"/>
      <c r="E7261" s="12"/>
      <c r="H7261" s="11" t="str">
        <f ca="1">IFERROR(__xludf.DUMMYFUNCTION("IFERROR(SUBSTITUTE(SUBSTITUTE(REGEXEXTRACT(A7261, ""[^-]+- [^-]+- [^-]+ - (.+?)\.jpg""), "".jpg"", """"), ""-"", "", ""), """")"),"")</f>
        <v/>
      </c>
      <c r="L7261" s="12"/>
      <c r="M7261" s="13"/>
      <c r="N7261" s="2"/>
      <c r="O7261" s="20"/>
      <c r="P7261" s="42"/>
      <c r="R7261" s="23"/>
    </row>
    <row r="7262" spans="1:18" ht="12.75">
      <c r="A7262" s="12"/>
      <c r="D7262" s="12"/>
      <c r="E7262" s="12"/>
      <c r="H7262" s="11" t="str">
        <f ca="1">IFERROR(__xludf.DUMMYFUNCTION("IFERROR(SUBSTITUTE(SUBSTITUTE(REGEXEXTRACT(A7262, ""[^-]+- [^-]+- [^-]+ - (.+?)\.jpg""), "".jpg"", """"), ""-"", "", ""), """")"),"")</f>
        <v/>
      </c>
      <c r="L7262" s="12"/>
      <c r="M7262" s="13"/>
      <c r="N7262" s="2"/>
      <c r="O7262" s="20"/>
      <c r="P7262" s="42"/>
      <c r="R7262" s="23"/>
    </row>
    <row r="7263" spans="1:18" ht="12.75">
      <c r="A7263" s="12"/>
      <c r="D7263" s="12"/>
      <c r="E7263" s="12"/>
      <c r="H7263" s="11" t="str">
        <f ca="1">IFERROR(__xludf.DUMMYFUNCTION("IFERROR(SUBSTITUTE(SUBSTITUTE(REGEXEXTRACT(A7263, ""[^-]+- [^-]+- [^-]+ - (.+?)\.jpg""), "".jpg"", """"), ""-"", "", ""), """")"),"")</f>
        <v/>
      </c>
      <c r="L7263" s="12"/>
      <c r="M7263" s="13"/>
      <c r="N7263" s="2"/>
      <c r="O7263" s="20"/>
      <c r="P7263" s="42"/>
      <c r="R7263" s="23"/>
    </row>
    <row r="7264" spans="1:18" ht="12.75">
      <c r="A7264" s="12"/>
      <c r="D7264" s="12"/>
      <c r="E7264" s="12"/>
      <c r="H7264" s="11" t="str">
        <f ca="1">IFERROR(__xludf.DUMMYFUNCTION("IFERROR(SUBSTITUTE(SUBSTITUTE(REGEXEXTRACT(A7264, ""[^-]+- [^-]+- [^-]+ - (.+?)\.jpg""), "".jpg"", """"), ""-"", "", ""), """")"),"")</f>
        <v/>
      </c>
      <c r="L7264" s="12"/>
      <c r="M7264" s="13"/>
      <c r="N7264" s="2"/>
      <c r="O7264" s="20"/>
      <c r="P7264" s="42"/>
      <c r="R7264" s="23"/>
    </row>
    <row r="7265" spans="1:18" ht="12.75">
      <c r="A7265" s="12"/>
      <c r="D7265" s="12"/>
      <c r="E7265" s="12"/>
      <c r="H7265" s="11" t="str">
        <f ca="1">IFERROR(__xludf.DUMMYFUNCTION("IFERROR(SUBSTITUTE(SUBSTITUTE(REGEXEXTRACT(A7265, ""[^-]+- [^-]+- [^-]+ - (.+?)\.jpg""), "".jpg"", """"), ""-"", "", ""), """")"),"")</f>
        <v/>
      </c>
      <c r="L7265" s="12"/>
      <c r="M7265" s="13"/>
      <c r="N7265" s="2"/>
      <c r="O7265" s="20"/>
      <c r="P7265" s="42"/>
      <c r="R7265" s="23"/>
    </row>
    <row r="7266" spans="1:18" ht="12.75">
      <c r="A7266" s="12"/>
      <c r="D7266" s="12"/>
      <c r="E7266" s="12"/>
      <c r="H7266" s="11" t="str">
        <f ca="1">IFERROR(__xludf.DUMMYFUNCTION("IFERROR(SUBSTITUTE(SUBSTITUTE(REGEXEXTRACT(A7266, ""[^-]+- [^-]+- [^-]+ - (.+?)\.jpg""), "".jpg"", """"), ""-"", "", ""), """")"),"")</f>
        <v/>
      </c>
      <c r="L7266" s="12"/>
      <c r="M7266" s="13"/>
      <c r="N7266" s="2"/>
      <c r="O7266" s="20"/>
      <c r="P7266" s="42"/>
      <c r="R7266" s="23"/>
    </row>
    <row r="7267" spans="1:18" ht="12.75">
      <c r="A7267" s="12"/>
      <c r="D7267" s="12"/>
      <c r="E7267" s="12"/>
      <c r="H7267" s="11" t="str">
        <f ca="1">IFERROR(__xludf.DUMMYFUNCTION("IFERROR(SUBSTITUTE(SUBSTITUTE(REGEXEXTRACT(A7267, ""[^-]+- [^-]+- [^-]+ - (.+?)\.jpg""), "".jpg"", """"), ""-"", "", ""), """")"),"")</f>
        <v/>
      </c>
      <c r="L7267" s="12"/>
      <c r="M7267" s="13"/>
      <c r="N7267" s="2"/>
      <c r="O7267" s="20"/>
      <c r="P7267" s="42"/>
      <c r="R7267" s="23"/>
    </row>
    <row r="7268" spans="1:18" ht="12.75">
      <c r="A7268" s="12"/>
      <c r="D7268" s="12"/>
      <c r="E7268" s="12"/>
      <c r="H7268" s="11" t="str">
        <f ca="1">IFERROR(__xludf.DUMMYFUNCTION("IFERROR(SUBSTITUTE(SUBSTITUTE(REGEXEXTRACT(A7268, ""[^-]+- [^-]+- [^-]+ - (.+?)\.jpg""), "".jpg"", """"), ""-"", "", ""), """")"),"")</f>
        <v/>
      </c>
      <c r="L7268" s="12"/>
      <c r="M7268" s="13"/>
      <c r="N7268" s="2"/>
      <c r="O7268" s="20"/>
      <c r="P7268" s="42"/>
      <c r="R7268" s="23"/>
    </row>
    <row r="7269" spans="1:18" ht="12.75">
      <c r="A7269" s="12"/>
      <c r="D7269" s="12"/>
      <c r="E7269" s="12"/>
      <c r="H7269" s="11" t="str">
        <f ca="1">IFERROR(__xludf.DUMMYFUNCTION("IFERROR(SUBSTITUTE(SUBSTITUTE(REGEXEXTRACT(A7269, ""[^-]+- [^-]+- [^-]+ - (.+?)\.jpg""), "".jpg"", """"), ""-"", "", ""), """")"),"")</f>
        <v/>
      </c>
      <c r="L7269" s="12"/>
      <c r="M7269" s="13"/>
      <c r="N7269" s="2"/>
      <c r="O7269" s="20"/>
      <c r="P7269" s="42"/>
      <c r="R7269" s="23"/>
    </row>
    <row r="7270" spans="1:18" ht="12.75">
      <c r="A7270" s="12"/>
      <c r="D7270" s="12"/>
      <c r="E7270" s="12"/>
      <c r="H7270" s="11" t="str">
        <f ca="1">IFERROR(__xludf.DUMMYFUNCTION("IFERROR(SUBSTITUTE(SUBSTITUTE(REGEXEXTRACT(A7270, ""[^-]+- [^-]+- [^-]+ - (.+?)\.jpg""), "".jpg"", """"), ""-"", "", ""), """")"),"")</f>
        <v/>
      </c>
      <c r="L7270" s="12"/>
      <c r="M7270" s="13"/>
      <c r="N7270" s="2"/>
      <c r="O7270" s="20"/>
      <c r="P7270" s="42"/>
      <c r="R7270" s="23"/>
    </row>
    <row r="7271" spans="1:18" ht="12.75">
      <c r="A7271" s="12"/>
      <c r="D7271" s="12"/>
      <c r="E7271" s="12"/>
      <c r="H7271" s="11" t="str">
        <f ca="1">IFERROR(__xludf.DUMMYFUNCTION("IFERROR(SUBSTITUTE(SUBSTITUTE(REGEXEXTRACT(A7271, ""[^-]+- [^-]+- [^-]+ - (.+?)\.jpg""), "".jpg"", """"), ""-"", "", ""), """")"),"")</f>
        <v/>
      </c>
      <c r="L7271" s="12"/>
      <c r="M7271" s="13"/>
      <c r="N7271" s="2"/>
      <c r="O7271" s="20"/>
      <c r="P7271" s="42"/>
      <c r="R7271" s="23"/>
    </row>
    <row r="7272" spans="1:18" ht="12.75">
      <c r="A7272" s="12"/>
      <c r="D7272" s="12"/>
      <c r="E7272" s="12"/>
      <c r="H7272" s="11" t="str">
        <f ca="1">IFERROR(__xludf.DUMMYFUNCTION("IFERROR(SUBSTITUTE(SUBSTITUTE(REGEXEXTRACT(A7272, ""[^-]+- [^-]+- [^-]+ - (.+?)\.jpg""), "".jpg"", """"), ""-"", "", ""), """")"),"")</f>
        <v/>
      </c>
      <c r="L7272" s="12"/>
      <c r="M7272" s="13"/>
      <c r="N7272" s="2"/>
      <c r="O7272" s="20"/>
      <c r="P7272" s="42"/>
      <c r="R7272" s="23"/>
    </row>
    <row r="7273" spans="1:18" ht="12.75">
      <c r="A7273" s="12"/>
      <c r="D7273" s="12"/>
      <c r="E7273" s="12"/>
      <c r="H7273" s="11" t="str">
        <f ca="1">IFERROR(__xludf.DUMMYFUNCTION("IFERROR(SUBSTITUTE(SUBSTITUTE(REGEXEXTRACT(A7273, ""[^-]+- [^-]+- [^-]+ - (.+?)\.jpg""), "".jpg"", """"), ""-"", "", ""), """")"),"")</f>
        <v/>
      </c>
      <c r="L7273" s="12"/>
      <c r="M7273" s="13"/>
      <c r="N7273" s="2"/>
      <c r="O7273" s="20"/>
      <c r="P7273" s="42"/>
      <c r="R7273" s="23"/>
    </row>
    <row r="7274" spans="1:18" ht="12.75">
      <c r="A7274" s="12"/>
      <c r="D7274" s="12"/>
      <c r="E7274" s="12"/>
      <c r="H7274" s="11" t="str">
        <f ca="1">IFERROR(__xludf.DUMMYFUNCTION("IFERROR(SUBSTITUTE(SUBSTITUTE(REGEXEXTRACT(A7274, ""[^-]+- [^-]+- [^-]+ - (.+?)\.jpg""), "".jpg"", """"), ""-"", "", ""), """")"),"")</f>
        <v/>
      </c>
      <c r="L7274" s="12"/>
      <c r="M7274" s="13"/>
      <c r="N7274" s="2"/>
      <c r="O7274" s="20"/>
      <c r="P7274" s="42"/>
      <c r="R7274" s="23"/>
    </row>
    <row r="7275" spans="1:18" ht="12.75">
      <c r="A7275" s="12"/>
      <c r="D7275" s="12"/>
      <c r="E7275" s="12"/>
      <c r="H7275" s="11" t="str">
        <f ca="1">IFERROR(__xludf.DUMMYFUNCTION("IFERROR(SUBSTITUTE(SUBSTITUTE(REGEXEXTRACT(A7275, ""[^-]+- [^-]+- [^-]+ - (.+?)\.jpg""), "".jpg"", """"), ""-"", "", ""), """")"),"")</f>
        <v/>
      </c>
      <c r="L7275" s="12"/>
      <c r="M7275" s="13"/>
      <c r="N7275" s="2"/>
      <c r="O7275" s="20"/>
      <c r="P7275" s="42"/>
      <c r="R7275" s="23"/>
    </row>
    <row r="7276" spans="1:18" ht="12.75">
      <c r="A7276" s="12"/>
      <c r="D7276" s="12"/>
      <c r="E7276" s="12"/>
      <c r="H7276" s="11" t="str">
        <f ca="1">IFERROR(__xludf.DUMMYFUNCTION("IFERROR(SUBSTITUTE(SUBSTITUTE(REGEXEXTRACT(A7276, ""[^-]+- [^-]+- [^-]+ - (.+?)\.jpg""), "".jpg"", """"), ""-"", "", ""), """")"),"")</f>
        <v/>
      </c>
      <c r="L7276" s="12"/>
      <c r="M7276" s="13"/>
      <c r="N7276" s="2"/>
      <c r="O7276" s="20"/>
      <c r="P7276" s="42"/>
      <c r="R7276" s="23"/>
    </row>
    <row r="7277" spans="1:18" ht="12.75">
      <c r="A7277" s="12"/>
      <c r="D7277" s="12"/>
      <c r="E7277" s="12"/>
      <c r="H7277" s="11" t="str">
        <f ca="1">IFERROR(__xludf.DUMMYFUNCTION("IFERROR(SUBSTITUTE(SUBSTITUTE(REGEXEXTRACT(A7277, ""[^-]+- [^-]+- [^-]+ - (.+?)\.jpg""), "".jpg"", """"), ""-"", "", ""), """")"),"")</f>
        <v/>
      </c>
      <c r="L7277" s="12"/>
      <c r="M7277" s="13"/>
      <c r="N7277" s="2"/>
      <c r="O7277" s="20"/>
      <c r="P7277" s="42"/>
      <c r="R7277" s="23"/>
    </row>
    <row r="7278" spans="1:18" ht="12.75">
      <c r="A7278" s="12"/>
      <c r="D7278" s="12"/>
      <c r="E7278" s="12"/>
      <c r="H7278" s="11" t="str">
        <f ca="1">IFERROR(__xludf.DUMMYFUNCTION("IFERROR(SUBSTITUTE(SUBSTITUTE(REGEXEXTRACT(A7278, ""[^-]+- [^-]+- [^-]+ - (.+?)\.jpg""), "".jpg"", """"), ""-"", "", ""), """")"),"")</f>
        <v/>
      </c>
      <c r="L7278" s="12"/>
      <c r="M7278" s="13"/>
      <c r="N7278" s="2"/>
      <c r="O7278" s="20"/>
      <c r="P7278" s="42"/>
      <c r="R7278" s="23"/>
    </row>
    <row r="7279" spans="1:18" ht="12.75">
      <c r="A7279" s="12"/>
      <c r="D7279" s="12"/>
      <c r="E7279" s="12"/>
      <c r="H7279" s="11" t="str">
        <f ca="1">IFERROR(__xludf.DUMMYFUNCTION("IFERROR(SUBSTITUTE(SUBSTITUTE(REGEXEXTRACT(A7279, ""[^-]+- [^-]+- [^-]+ - (.+?)\.jpg""), "".jpg"", """"), ""-"", "", ""), """")"),"")</f>
        <v/>
      </c>
      <c r="L7279" s="12"/>
      <c r="M7279" s="13"/>
      <c r="N7279" s="2"/>
      <c r="O7279" s="20"/>
      <c r="P7279" s="42"/>
      <c r="R7279" s="23"/>
    </row>
    <row r="7280" spans="1:18" ht="12.75">
      <c r="A7280" s="12"/>
      <c r="D7280" s="12"/>
      <c r="E7280" s="12"/>
      <c r="H7280" s="11" t="str">
        <f ca="1">IFERROR(__xludf.DUMMYFUNCTION("IFERROR(SUBSTITUTE(SUBSTITUTE(REGEXEXTRACT(A7280, ""[^-]+- [^-]+- [^-]+ - (.+?)\.jpg""), "".jpg"", """"), ""-"", "", ""), """")"),"")</f>
        <v/>
      </c>
      <c r="L7280" s="12"/>
      <c r="M7280" s="13"/>
      <c r="N7280" s="2"/>
      <c r="O7280" s="20"/>
      <c r="P7280" s="42"/>
      <c r="R7280" s="23"/>
    </row>
    <row r="7281" spans="1:18" ht="12.75">
      <c r="A7281" s="12"/>
      <c r="D7281" s="12"/>
      <c r="E7281" s="12"/>
      <c r="H7281" s="11" t="str">
        <f ca="1">IFERROR(__xludf.DUMMYFUNCTION("IFERROR(SUBSTITUTE(SUBSTITUTE(REGEXEXTRACT(A7281, ""[^-]+- [^-]+- [^-]+ - (.+?)\.jpg""), "".jpg"", """"), ""-"", "", ""), """")"),"")</f>
        <v/>
      </c>
      <c r="L7281" s="12"/>
      <c r="M7281" s="13"/>
      <c r="N7281" s="2"/>
      <c r="O7281" s="20"/>
      <c r="P7281" s="42"/>
      <c r="R7281" s="23"/>
    </row>
    <row r="7282" spans="1:18" ht="12.75">
      <c r="A7282" s="12"/>
      <c r="D7282" s="12"/>
      <c r="E7282" s="12"/>
      <c r="H7282" s="11" t="str">
        <f ca="1">IFERROR(__xludf.DUMMYFUNCTION("IFERROR(SUBSTITUTE(SUBSTITUTE(REGEXEXTRACT(A7282, ""[^-]+- [^-]+- [^-]+ - (.+?)\.jpg""), "".jpg"", """"), ""-"", "", ""), """")"),"")</f>
        <v/>
      </c>
      <c r="L7282" s="12"/>
      <c r="M7282" s="13"/>
      <c r="N7282" s="2"/>
      <c r="O7282" s="20"/>
      <c r="P7282" s="42"/>
      <c r="R7282" s="23"/>
    </row>
    <row r="7283" spans="1:18" ht="12.75">
      <c r="A7283" s="12"/>
      <c r="D7283" s="12"/>
      <c r="E7283" s="12"/>
      <c r="H7283" s="11" t="str">
        <f ca="1">IFERROR(__xludf.DUMMYFUNCTION("IFERROR(SUBSTITUTE(SUBSTITUTE(REGEXEXTRACT(A7283, ""[^-]+- [^-]+- [^-]+ - (.+?)\.jpg""), "".jpg"", """"), ""-"", "", ""), """")"),"")</f>
        <v/>
      </c>
      <c r="L7283" s="12"/>
      <c r="M7283" s="13"/>
      <c r="N7283" s="2"/>
      <c r="O7283" s="20"/>
      <c r="P7283" s="42"/>
      <c r="R7283" s="23"/>
    </row>
    <row r="7284" spans="1:18" ht="12.75">
      <c r="A7284" s="12"/>
      <c r="D7284" s="12"/>
      <c r="E7284" s="12"/>
      <c r="H7284" s="11" t="str">
        <f ca="1">IFERROR(__xludf.DUMMYFUNCTION("IFERROR(SUBSTITUTE(SUBSTITUTE(REGEXEXTRACT(A7284, ""[^-]+- [^-]+- [^-]+ - (.+?)\.jpg""), "".jpg"", """"), ""-"", "", ""), """")"),"")</f>
        <v/>
      </c>
      <c r="L7284" s="12"/>
      <c r="M7284" s="13"/>
      <c r="N7284" s="2"/>
      <c r="O7284" s="20"/>
      <c r="P7284" s="42"/>
      <c r="R7284" s="23"/>
    </row>
    <row r="7285" spans="1:18" ht="12.75">
      <c r="A7285" s="12"/>
      <c r="D7285" s="12"/>
      <c r="E7285" s="12"/>
      <c r="H7285" s="11" t="str">
        <f ca="1">IFERROR(__xludf.DUMMYFUNCTION("IFERROR(SUBSTITUTE(SUBSTITUTE(REGEXEXTRACT(A7285, ""[^-]+- [^-]+- [^-]+ - (.+?)\.jpg""), "".jpg"", """"), ""-"", "", ""), """")"),"")</f>
        <v/>
      </c>
      <c r="L7285" s="12"/>
      <c r="M7285" s="13"/>
      <c r="N7285" s="2"/>
      <c r="O7285" s="20"/>
      <c r="P7285" s="42"/>
      <c r="R7285" s="23"/>
    </row>
    <row r="7286" spans="1:18" ht="12.75">
      <c r="A7286" s="12"/>
      <c r="D7286" s="12"/>
      <c r="E7286" s="12"/>
      <c r="H7286" s="11" t="str">
        <f ca="1">IFERROR(__xludf.DUMMYFUNCTION("IFERROR(SUBSTITUTE(SUBSTITUTE(REGEXEXTRACT(A7286, ""[^-]+- [^-]+- [^-]+ - (.+?)\.jpg""), "".jpg"", """"), ""-"", "", ""), """")"),"")</f>
        <v/>
      </c>
      <c r="L7286" s="12"/>
      <c r="M7286" s="13"/>
      <c r="N7286" s="2"/>
      <c r="O7286" s="20"/>
      <c r="P7286" s="42"/>
      <c r="R7286" s="23"/>
    </row>
    <row r="7287" spans="1:18" ht="12.75">
      <c r="A7287" s="12"/>
      <c r="D7287" s="12"/>
      <c r="E7287" s="12"/>
      <c r="H7287" s="11" t="str">
        <f ca="1">IFERROR(__xludf.DUMMYFUNCTION("IFERROR(SUBSTITUTE(SUBSTITUTE(REGEXEXTRACT(A7287, ""[^-]+- [^-]+- [^-]+ - (.+?)\.jpg""), "".jpg"", """"), ""-"", "", ""), """")"),"")</f>
        <v/>
      </c>
      <c r="L7287" s="12"/>
      <c r="M7287" s="13"/>
      <c r="N7287" s="2"/>
      <c r="O7287" s="20"/>
      <c r="P7287" s="42"/>
      <c r="R7287" s="23"/>
    </row>
    <row r="7288" spans="1:18" ht="12.75">
      <c r="A7288" s="12"/>
      <c r="D7288" s="12"/>
      <c r="E7288" s="12"/>
      <c r="H7288" s="11" t="str">
        <f ca="1">IFERROR(__xludf.DUMMYFUNCTION("IFERROR(SUBSTITUTE(SUBSTITUTE(REGEXEXTRACT(A7288, ""[^-]+- [^-]+- [^-]+ - (.+?)\.jpg""), "".jpg"", """"), ""-"", "", ""), """")"),"")</f>
        <v/>
      </c>
      <c r="L7288" s="12"/>
      <c r="M7288" s="13"/>
      <c r="N7288" s="2"/>
      <c r="O7288" s="20"/>
      <c r="P7288" s="42"/>
      <c r="R7288" s="23"/>
    </row>
    <row r="7289" spans="1:18" ht="12.75">
      <c r="A7289" s="12"/>
      <c r="D7289" s="12"/>
      <c r="E7289" s="12"/>
      <c r="H7289" s="11" t="str">
        <f ca="1">IFERROR(__xludf.DUMMYFUNCTION("IFERROR(SUBSTITUTE(SUBSTITUTE(REGEXEXTRACT(A7289, ""[^-]+- [^-]+- [^-]+ - (.+?)\.jpg""), "".jpg"", """"), ""-"", "", ""), """")"),"")</f>
        <v/>
      </c>
      <c r="L7289" s="12"/>
      <c r="M7289" s="13"/>
      <c r="N7289" s="2"/>
      <c r="O7289" s="20"/>
      <c r="P7289" s="42"/>
      <c r="R7289" s="23"/>
    </row>
    <row r="7290" spans="1:18" ht="12.75">
      <c r="A7290" s="12"/>
      <c r="D7290" s="12"/>
      <c r="E7290" s="12"/>
      <c r="H7290" s="11" t="str">
        <f ca="1">IFERROR(__xludf.DUMMYFUNCTION("IFERROR(SUBSTITUTE(SUBSTITUTE(REGEXEXTRACT(A7290, ""[^-]+- [^-]+- [^-]+ - (.+?)\.jpg""), "".jpg"", """"), ""-"", "", ""), """")"),"")</f>
        <v/>
      </c>
      <c r="L7290" s="12"/>
      <c r="M7290" s="13"/>
      <c r="N7290" s="2"/>
      <c r="O7290" s="20"/>
      <c r="P7290" s="42"/>
      <c r="R7290" s="23"/>
    </row>
    <row r="7291" spans="1:18" ht="12.75">
      <c r="A7291" s="12"/>
      <c r="D7291" s="12"/>
      <c r="E7291" s="12"/>
      <c r="H7291" s="11" t="str">
        <f ca="1">IFERROR(__xludf.DUMMYFUNCTION("IFERROR(SUBSTITUTE(SUBSTITUTE(REGEXEXTRACT(A7291, ""[^-]+- [^-]+- [^-]+ - (.+?)\.jpg""), "".jpg"", """"), ""-"", "", ""), """")"),"")</f>
        <v/>
      </c>
      <c r="L7291" s="12"/>
      <c r="M7291" s="13"/>
      <c r="N7291" s="2"/>
      <c r="O7291" s="20"/>
      <c r="P7291" s="42"/>
      <c r="R7291" s="23"/>
    </row>
    <row r="7292" spans="1:18" ht="12.75">
      <c r="A7292" s="12"/>
      <c r="D7292" s="12"/>
      <c r="E7292" s="12"/>
      <c r="H7292" s="11" t="str">
        <f ca="1">IFERROR(__xludf.DUMMYFUNCTION("IFERROR(SUBSTITUTE(SUBSTITUTE(REGEXEXTRACT(A7292, ""[^-]+- [^-]+- [^-]+ - (.+?)\.jpg""), "".jpg"", """"), ""-"", "", ""), """")"),"")</f>
        <v/>
      </c>
      <c r="L7292" s="12"/>
      <c r="M7292" s="13"/>
      <c r="N7292" s="2"/>
      <c r="O7292" s="20"/>
      <c r="P7292" s="42"/>
      <c r="R7292" s="23"/>
    </row>
    <row r="7293" spans="1:18" ht="12.75">
      <c r="A7293" s="12"/>
      <c r="D7293" s="12"/>
      <c r="E7293" s="12"/>
      <c r="H7293" s="11" t="str">
        <f ca="1">IFERROR(__xludf.DUMMYFUNCTION("IFERROR(SUBSTITUTE(SUBSTITUTE(REGEXEXTRACT(A7293, ""[^-]+- [^-]+- [^-]+ - (.+?)\.jpg""), "".jpg"", """"), ""-"", "", ""), """")"),"")</f>
        <v/>
      </c>
      <c r="L7293" s="12"/>
      <c r="M7293" s="13"/>
      <c r="N7293" s="2"/>
      <c r="O7293" s="20"/>
      <c r="P7293" s="42"/>
      <c r="R7293" s="23"/>
    </row>
    <row r="7294" spans="1:18" ht="12.75">
      <c r="A7294" s="12"/>
      <c r="D7294" s="12"/>
      <c r="E7294" s="12"/>
      <c r="H7294" s="11" t="str">
        <f ca="1">IFERROR(__xludf.DUMMYFUNCTION("IFERROR(SUBSTITUTE(SUBSTITUTE(REGEXEXTRACT(A7294, ""[^-]+- [^-]+- [^-]+ - (.+?)\.jpg""), "".jpg"", """"), ""-"", "", ""), """")"),"")</f>
        <v/>
      </c>
      <c r="L7294" s="12"/>
      <c r="M7294" s="13"/>
      <c r="N7294" s="2"/>
      <c r="O7294" s="20"/>
      <c r="P7294" s="42"/>
      <c r="R7294" s="23"/>
    </row>
    <row r="7295" spans="1:18" ht="12.75">
      <c r="A7295" s="12"/>
      <c r="D7295" s="12"/>
      <c r="E7295" s="12"/>
      <c r="H7295" s="11" t="str">
        <f ca="1">IFERROR(__xludf.DUMMYFUNCTION("IFERROR(SUBSTITUTE(SUBSTITUTE(REGEXEXTRACT(A7295, ""[^-]+- [^-]+- [^-]+ - (.+?)\.jpg""), "".jpg"", """"), ""-"", "", ""), """")"),"")</f>
        <v/>
      </c>
      <c r="L7295" s="12"/>
      <c r="M7295" s="13"/>
      <c r="N7295" s="2"/>
      <c r="O7295" s="20"/>
      <c r="P7295" s="42"/>
      <c r="R7295" s="23"/>
    </row>
    <row r="7296" spans="1:18" ht="12.75">
      <c r="A7296" s="12"/>
      <c r="D7296" s="12"/>
      <c r="E7296" s="12"/>
      <c r="H7296" s="11" t="str">
        <f ca="1">IFERROR(__xludf.DUMMYFUNCTION("IFERROR(SUBSTITUTE(SUBSTITUTE(REGEXEXTRACT(A7296, ""[^-]+- [^-]+- [^-]+ - (.+?)\.jpg""), "".jpg"", """"), ""-"", "", ""), """")"),"")</f>
        <v/>
      </c>
      <c r="L7296" s="12"/>
      <c r="M7296" s="13"/>
      <c r="N7296" s="2"/>
      <c r="O7296" s="20"/>
      <c r="P7296" s="42"/>
      <c r="R7296" s="23"/>
    </row>
    <row r="7297" spans="1:18" ht="12.75">
      <c r="A7297" s="12"/>
      <c r="D7297" s="12"/>
      <c r="E7297" s="12"/>
      <c r="H7297" s="11" t="str">
        <f ca="1">IFERROR(__xludf.DUMMYFUNCTION("IFERROR(SUBSTITUTE(SUBSTITUTE(REGEXEXTRACT(A7297, ""[^-]+- [^-]+- [^-]+ - (.+?)\.jpg""), "".jpg"", """"), ""-"", "", ""), """")"),"")</f>
        <v/>
      </c>
      <c r="L7297" s="12"/>
      <c r="M7297" s="13"/>
      <c r="N7297" s="2"/>
      <c r="O7297" s="20"/>
      <c r="P7297" s="42"/>
      <c r="R7297" s="23"/>
    </row>
    <row r="7298" spans="1:18" ht="12.75">
      <c r="A7298" s="12"/>
      <c r="D7298" s="12"/>
      <c r="E7298" s="12"/>
      <c r="H7298" s="11" t="str">
        <f ca="1">IFERROR(__xludf.DUMMYFUNCTION("IFERROR(SUBSTITUTE(SUBSTITUTE(REGEXEXTRACT(A7298, ""[^-]+- [^-]+- [^-]+ - (.+?)\.jpg""), "".jpg"", """"), ""-"", "", ""), """")"),"")</f>
        <v/>
      </c>
      <c r="L7298" s="12"/>
      <c r="M7298" s="13"/>
      <c r="N7298" s="2"/>
      <c r="O7298" s="20"/>
      <c r="P7298" s="42"/>
      <c r="R7298" s="23"/>
    </row>
    <row r="7299" spans="1:18" ht="12.75">
      <c r="A7299" s="12"/>
      <c r="D7299" s="12"/>
      <c r="E7299" s="12"/>
      <c r="H7299" s="11" t="str">
        <f ca="1">IFERROR(__xludf.DUMMYFUNCTION("IFERROR(SUBSTITUTE(SUBSTITUTE(REGEXEXTRACT(A7299, ""[^-]+- [^-]+- [^-]+ - (.+?)\.jpg""), "".jpg"", """"), ""-"", "", ""), """")"),"")</f>
        <v/>
      </c>
      <c r="L7299" s="12"/>
      <c r="M7299" s="13"/>
      <c r="N7299" s="2"/>
      <c r="O7299" s="20"/>
      <c r="P7299" s="42"/>
      <c r="R7299" s="23"/>
    </row>
    <row r="7300" spans="1:18" ht="12.75">
      <c r="A7300" s="12"/>
      <c r="D7300" s="12"/>
      <c r="E7300" s="12"/>
      <c r="H7300" s="11" t="str">
        <f ca="1">IFERROR(__xludf.DUMMYFUNCTION("IFERROR(SUBSTITUTE(SUBSTITUTE(REGEXEXTRACT(A7300, ""[^-]+- [^-]+- [^-]+ - (.+?)\.jpg""), "".jpg"", """"), ""-"", "", ""), """")"),"")</f>
        <v/>
      </c>
      <c r="L7300" s="12"/>
      <c r="M7300" s="13"/>
      <c r="N7300" s="2"/>
      <c r="O7300" s="20"/>
      <c r="P7300" s="42"/>
      <c r="R7300" s="23"/>
    </row>
    <row r="7301" spans="1:18" ht="12.75">
      <c r="A7301" s="12"/>
      <c r="D7301" s="12"/>
      <c r="E7301" s="12"/>
      <c r="H7301" s="11" t="str">
        <f ca="1">IFERROR(__xludf.DUMMYFUNCTION("IFERROR(SUBSTITUTE(SUBSTITUTE(REGEXEXTRACT(A7301, ""[^-]+- [^-]+- [^-]+ - (.+?)\.jpg""), "".jpg"", """"), ""-"", "", ""), """")"),"")</f>
        <v/>
      </c>
      <c r="L7301" s="12"/>
      <c r="M7301" s="13"/>
      <c r="N7301" s="2"/>
      <c r="O7301" s="20"/>
      <c r="P7301" s="42"/>
      <c r="R7301" s="23"/>
    </row>
    <row r="7302" spans="1:18" ht="12.75">
      <c r="A7302" s="12"/>
      <c r="D7302" s="12"/>
      <c r="E7302" s="12"/>
      <c r="H7302" s="11" t="str">
        <f ca="1">IFERROR(__xludf.DUMMYFUNCTION("IFERROR(SUBSTITUTE(SUBSTITUTE(REGEXEXTRACT(A7302, ""[^-]+- [^-]+- [^-]+ - (.+?)\.jpg""), "".jpg"", """"), ""-"", "", ""), """")"),"")</f>
        <v/>
      </c>
      <c r="L7302" s="12"/>
      <c r="M7302" s="13"/>
      <c r="N7302" s="2"/>
      <c r="O7302" s="20"/>
      <c r="P7302" s="42"/>
      <c r="R7302" s="23"/>
    </row>
    <row r="7303" spans="1:18" ht="12.75">
      <c r="A7303" s="12"/>
      <c r="D7303" s="12"/>
      <c r="E7303" s="12"/>
      <c r="H7303" s="11" t="str">
        <f ca="1">IFERROR(__xludf.DUMMYFUNCTION("IFERROR(SUBSTITUTE(SUBSTITUTE(REGEXEXTRACT(A7303, ""[^-]+- [^-]+- [^-]+ - (.+?)\.jpg""), "".jpg"", """"), ""-"", "", ""), """")"),"")</f>
        <v/>
      </c>
      <c r="L7303" s="12"/>
      <c r="M7303" s="13"/>
      <c r="N7303" s="2"/>
      <c r="O7303" s="20"/>
      <c r="P7303" s="42"/>
      <c r="R7303" s="23"/>
    </row>
    <row r="7304" spans="1:18" ht="12.75">
      <c r="A7304" s="12"/>
      <c r="D7304" s="12"/>
      <c r="E7304" s="12"/>
      <c r="H7304" s="11" t="str">
        <f ca="1">IFERROR(__xludf.DUMMYFUNCTION("IFERROR(SUBSTITUTE(SUBSTITUTE(REGEXEXTRACT(A7304, ""[^-]+- [^-]+- [^-]+ - (.+?)\.jpg""), "".jpg"", """"), ""-"", "", ""), """")"),"")</f>
        <v/>
      </c>
      <c r="L7304" s="12"/>
      <c r="M7304" s="13"/>
      <c r="N7304" s="2"/>
      <c r="O7304" s="20"/>
      <c r="P7304" s="42"/>
      <c r="R7304" s="23"/>
    </row>
    <row r="7305" spans="1:18" ht="12.75">
      <c r="A7305" s="12"/>
      <c r="D7305" s="12"/>
      <c r="E7305" s="12"/>
      <c r="H7305" s="11" t="str">
        <f ca="1">IFERROR(__xludf.DUMMYFUNCTION("IFERROR(SUBSTITUTE(SUBSTITUTE(REGEXEXTRACT(A7305, ""[^-]+- [^-]+- [^-]+ - (.+?)\.jpg""), "".jpg"", """"), ""-"", "", ""), """")"),"")</f>
        <v/>
      </c>
      <c r="L7305" s="12"/>
      <c r="M7305" s="13"/>
      <c r="N7305" s="2"/>
      <c r="O7305" s="20"/>
      <c r="P7305" s="42"/>
      <c r="R7305" s="23"/>
    </row>
    <row r="7306" spans="1:18" ht="12.75">
      <c r="A7306" s="12"/>
      <c r="D7306" s="12"/>
      <c r="E7306" s="12"/>
      <c r="H7306" s="11" t="str">
        <f ca="1">IFERROR(__xludf.DUMMYFUNCTION("IFERROR(SUBSTITUTE(SUBSTITUTE(REGEXEXTRACT(A7306, ""[^-]+- [^-]+- [^-]+ - (.+?)\.jpg""), "".jpg"", """"), ""-"", "", ""), """")"),"")</f>
        <v/>
      </c>
      <c r="L7306" s="12"/>
      <c r="M7306" s="13"/>
      <c r="N7306" s="2"/>
      <c r="O7306" s="20"/>
      <c r="P7306" s="42"/>
      <c r="R7306" s="23"/>
    </row>
    <row r="7307" spans="1:18" ht="12.75">
      <c r="A7307" s="12"/>
      <c r="D7307" s="12"/>
      <c r="E7307" s="12"/>
      <c r="H7307" s="11" t="str">
        <f ca="1">IFERROR(__xludf.DUMMYFUNCTION("IFERROR(SUBSTITUTE(SUBSTITUTE(REGEXEXTRACT(A7307, ""[^-]+- [^-]+- [^-]+ - (.+?)\.jpg""), "".jpg"", """"), ""-"", "", ""), """")"),"")</f>
        <v/>
      </c>
      <c r="L7307" s="12"/>
      <c r="M7307" s="13"/>
      <c r="N7307" s="2"/>
      <c r="O7307" s="20"/>
      <c r="P7307" s="42"/>
      <c r="R7307" s="23"/>
    </row>
    <row r="7308" spans="1:18" ht="12.75">
      <c r="A7308" s="12"/>
      <c r="D7308" s="12"/>
      <c r="E7308" s="12"/>
      <c r="H7308" s="11" t="str">
        <f ca="1">IFERROR(__xludf.DUMMYFUNCTION("IFERROR(SUBSTITUTE(SUBSTITUTE(REGEXEXTRACT(A7308, ""[^-]+- [^-]+- [^-]+ - (.+?)\.jpg""), "".jpg"", """"), ""-"", "", ""), """")"),"")</f>
        <v/>
      </c>
      <c r="L7308" s="12"/>
      <c r="M7308" s="13"/>
      <c r="N7308" s="2"/>
      <c r="O7308" s="20"/>
      <c r="P7308" s="42"/>
      <c r="R7308" s="23"/>
    </row>
    <row r="7309" spans="1:18" ht="12.75">
      <c r="A7309" s="12"/>
      <c r="D7309" s="12"/>
      <c r="E7309" s="12"/>
      <c r="H7309" s="11" t="str">
        <f ca="1">IFERROR(__xludf.DUMMYFUNCTION("IFERROR(SUBSTITUTE(SUBSTITUTE(REGEXEXTRACT(A7309, ""[^-]+- [^-]+- [^-]+ - (.+?)\.jpg""), "".jpg"", """"), ""-"", "", ""), """")"),"")</f>
        <v/>
      </c>
      <c r="L7309" s="12"/>
      <c r="M7309" s="13"/>
      <c r="N7309" s="2"/>
      <c r="O7309" s="20"/>
      <c r="P7309" s="42"/>
      <c r="R7309" s="23"/>
    </row>
    <row r="7310" spans="1:18" ht="12.75">
      <c r="A7310" s="12"/>
      <c r="D7310" s="12"/>
      <c r="E7310" s="12"/>
      <c r="H7310" s="11" t="str">
        <f ca="1">IFERROR(__xludf.DUMMYFUNCTION("IFERROR(SUBSTITUTE(SUBSTITUTE(REGEXEXTRACT(A7310, ""[^-]+- [^-]+- [^-]+ - (.+?)\.jpg""), "".jpg"", """"), ""-"", "", ""), """")"),"")</f>
        <v/>
      </c>
      <c r="L7310" s="12"/>
      <c r="M7310" s="13"/>
      <c r="N7310" s="2"/>
      <c r="O7310" s="20"/>
      <c r="P7310" s="42"/>
      <c r="R7310" s="23"/>
    </row>
    <row r="7311" spans="1:18" ht="12.75">
      <c r="A7311" s="12"/>
      <c r="D7311" s="12"/>
      <c r="E7311" s="12"/>
      <c r="H7311" s="11" t="str">
        <f ca="1">IFERROR(__xludf.DUMMYFUNCTION("IFERROR(SUBSTITUTE(SUBSTITUTE(REGEXEXTRACT(A7311, ""[^-]+- [^-]+- [^-]+ - (.+?)\.jpg""), "".jpg"", """"), ""-"", "", ""), """")"),"")</f>
        <v/>
      </c>
      <c r="L7311" s="12"/>
      <c r="M7311" s="13"/>
      <c r="N7311" s="2"/>
      <c r="O7311" s="20"/>
      <c r="P7311" s="42"/>
      <c r="R7311" s="23"/>
    </row>
    <row r="7312" spans="1:18" ht="12.75">
      <c r="A7312" s="12"/>
      <c r="D7312" s="12"/>
      <c r="E7312" s="12"/>
      <c r="H7312" s="11" t="str">
        <f ca="1">IFERROR(__xludf.DUMMYFUNCTION("IFERROR(SUBSTITUTE(SUBSTITUTE(REGEXEXTRACT(A7312, ""[^-]+- [^-]+- [^-]+ - (.+?)\.jpg""), "".jpg"", """"), ""-"", "", ""), """")"),"")</f>
        <v/>
      </c>
      <c r="L7312" s="12"/>
      <c r="M7312" s="13"/>
      <c r="N7312" s="2"/>
      <c r="O7312" s="20"/>
      <c r="P7312" s="42"/>
      <c r="R7312" s="23"/>
    </row>
    <row r="7313" spans="1:18" ht="12.75">
      <c r="A7313" s="12"/>
      <c r="D7313" s="12"/>
      <c r="E7313" s="12"/>
      <c r="H7313" s="11" t="str">
        <f ca="1">IFERROR(__xludf.DUMMYFUNCTION("IFERROR(SUBSTITUTE(SUBSTITUTE(REGEXEXTRACT(A7313, ""[^-]+- [^-]+- [^-]+ - (.+?)\.jpg""), "".jpg"", """"), ""-"", "", ""), """")"),"")</f>
        <v/>
      </c>
      <c r="L7313" s="12"/>
      <c r="M7313" s="13"/>
      <c r="N7313" s="2"/>
      <c r="O7313" s="20"/>
      <c r="P7313" s="42"/>
      <c r="R7313" s="23"/>
    </row>
    <row r="7314" spans="1:18" ht="12.75">
      <c r="A7314" s="12"/>
      <c r="D7314" s="12"/>
      <c r="E7314" s="12"/>
      <c r="H7314" s="11" t="str">
        <f ca="1">IFERROR(__xludf.DUMMYFUNCTION("IFERROR(SUBSTITUTE(SUBSTITUTE(REGEXEXTRACT(A7314, ""[^-]+- [^-]+- [^-]+ - (.+?)\.jpg""), "".jpg"", """"), ""-"", "", ""), """")"),"")</f>
        <v/>
      </c>
      <c r="L7314" s="12"/>
      <c r="M7314" s="13"/>
      <c r="N7314" s="2"/>
      <c r="O7314" s="20"/>
      <c r="P7314" s="42"/>
      <c r="R7314" s="23"/>
    </row>
    <row r="7315" spans="1:18" ht="12.75">
      <c r="A7315" s="12"/>
      <c r="D7315" s="12"/>
      <c r="E7315" s="12"/>
      <c r="H7315" s="11" t="str">
        <f ca="1">IFERROR(__xludf.DUMMYFUNCTION("IFERROR(SUBSTITUTE(SUBSTITUTE(REGEXEXTRACT(A7315, ""[^-]+- [^-]+- [^-]+ - (.+?)\.jpg""), "".jpg"", """"), ""-"", "", ""), """")"),"")</f>
        <v/>
      </c>
      <c r="L7315" s="12"/>
      <c r="M7315" s="13"/>
      <c r="N7315" s="2"/>
      <c r="O7315" s="20"/>
      <c r="P7315" s="42"/>
      <c r="R7315" s="23"/>
    </row>
    <row r="7316" spans="1:18" ht="12.75">
      <c r="A7316" s="12"/>
      <c r="D7316" s="12"/>
      <c r="E7316" s="12"/>
      <c r="H7316" s="11" t="str">
        <f ca="1">IFERROR(__xludf.DUMMYFUNCTION("IFERROR(SUBSTITUTE(SUBSTITUTE(REGEXEXTRACT(A7316, ""[^-]+- [^-]+- [^-]+ - (.+?)\.jpg""), "".jpg"", """"), ""-"", "", ""), """")"),"")</f>
        <v/>
      </c>
      <c r="L7316" s="12"/>
      <c r="M7316" s="13"/>
      <c r="N7316" s="2"/>
      <c r="O7316" s="20"/>
      <c r="P7316" s="42"/>
      <c r="R7316" s="23"/>
    </row>
    <row r="7317" spans="1:18" ht="12.75">
      <c r="A7317" s="12"/>
      <c r="D7317" s="12"/>
      <c r="E7317" s="12"/>
      <c r="H7317" s="11" t="str">
        <f ca="1">IFERROR(__xludf.DUMMYFUNCTION("IFERROR(SUBSTITUTE(SUBSTITUTE(REGEXEXTRACT(A7317, ""[^-]+- [^-]+- [^-]+ - (.+?)\.jpg""), "".jpg"", """"), ""-"", "", ""), """")"),"")</f>
        <v/>
      </c>
      <c r="L7317" s="12"/>
      <c r="M7317" s="13"/>
      <c r="N7317" s="2"/>
      <c r="O7317" s="20"/>
      <c r="P7317" s="42"/>
      <c r="R7317" s="23"/>
    </row>
    <row r="7318" spans="1:18" ht="12.75">
      <c r="A7318" s="12"/>
      <c r="D7318" s="12"/>
      <c r="E7318" s="12"/>
      <c r="H7318" s="11" t="str">
        <f ca="1">IFERROR(__xludf.DUMMYFUNCTION("IFERROR(SUBSTITUTE(SUBSTITUTE(REGEXEXTRACT(A7318, ""[^-]+- [^-]+- [^-]+ - (.+?)\.jpg""), "".jpg"", """"), ""-"", "", ""), """")"),"")</f>
        <v/>
      </c>
      <c r="L7318" s="12"/>
      <c r="M7318" s="13"/>
      <c r="N7318" s="2"/>
      <c r="O7318" s="20"/>
      <c r="P7318" s="42"/>
      <c r="R7318" s="23"/>
    </row>
    <row r="7319" spans="1:18" ht="12.75">
      <c r="A7319" s="12"/>
      <c r="D7319" s="12"/>
      <c r="E7319" s="12"/>
      <c r="H7319" s="11" t="str">
        <f ca="1">IFERROR(__xludf.DUMMYFUNCTION("IFERROR(SUBSTITUTE(SUBSTITUTE(REGEXEXTRACT(A7319, ""[^-]+- [^-]+- [^-]+ - (.+?)\.jpg""), "".jpg"", """"), ""-"", "", ""), """")"),"")</f>
        <v/>
      </c>
      <c r="L7319" s="12"/>
      <c r="M7319" s="13"/>
      <c r="N7319" s="2"/>
      <c r="O7319" s="20"/>
      <c r="P7319" s="42"/>
      <c r="R7319" s="23"/>
    </row>
    <row r="7320" spans="1:18" ht="12.75">
      <c r="A7320" s="12"/>
      <c r="D7320" s="12"/>
      <c r="E7320" s="12"/>
      <c r="H7320" s="11" t="str">
        <f ca="1">IFERROR(__xludf.DUMMYFUNCTION("IFERROR(SUBSTITUTE(SUBSTITUTE(REGEXEXTRACT(A7320, ""[^-]+- [^-]+- [^-]+ - (.+?)\.jpg""), "".jpg"", """"), ""-"", "", ""), """")"),"")</f>
        <v/>
      </c>
      <c r="L7320" s="12"/>
      <c r="M7320" s="13"/>
      <c r="N7320" s="2"/>
      <c r="O7320" s="20"/>
      <c r="P7320" s="42"/>
      <c r="R7320" s="23"/>
    </row>
    <row r="7321" spans="1:18" ht="12.75">
      <c r="A7321" s="12"/>
      <c r="D7321" s="12"/>
      <c r="E7321" s="12"/>
      <c r="H7321" s="11" t="str">
        <f ca="1">IFERROR(__xludf.DUMMYFUNCTION("IFERROR(SUBSTITUTE(SUBSTITUTE(REGEXEXTRACT(A7321, ""[^-]+- [^-]+- [^-]+ - (.+?)\.jpg""), "".jpg"", """"), ""-"", "", ""), """")"),"")</f>
        <v/>
      </c>
      <c r="L7321" s="12"/>
      <c r="M7321" s="13"/>
      <c r="N7321" s="2"/>
      <c r="O7321" s="20"/>
      <c r="P7321" s="42"/>
      <c r="R7321" s="23"/>
    </row>
    <row r="7322" spans="1:18" ht="12.75">
      <c r="A7322" s="12"/>
      <c r="D7322" s="12"/>
      <c r="E7322" s="12"/>
      <c r="H7322" s="11" t="str">
        <f ca="1">IFERROR(__xludf.DUMMYFUNCTION("IFERROR(SUBSTITUTE(SUBSTITUTE(REGEXEXTRACT(A7322, ""[^-]+- [^-]+- [^-]+ - (.+?)\.jpg""), "".jpg"", """"), ""-"", "", ""), """")"),"")</f>
        <v/>
      </c>
      <c r="L7322" s="12"/>
      <c r="M7322" s="13"/>
      <c r="N7322" s="2"/>
      <c r="O7322" s="20"/>
      <c r="P7322" s="42"/>
      <c r="R7322" s="23"/>
    </row>
    <row r="7323" spans="1:18" ht="12.75">
      <c r="A7323" s="12"/>
      <c r="D7323" s="12"/>
      <c r="E7323" s="12"/>
      <c r="H7323" s="11" t="str">
        <f ca="1">IFERROR(__xludf.DUMMYFUNCTION("IFERROR(SUBSTITUTE(SUBSTITUTE(REGEXEXTRACT(A7323, ""[^-]+- [^-]+- [^-]+ - (.+?)\.jpg""), "".jpg"", """"), ""-"", "", ""), """")"),"")</f>
        <v/>
      </c>
      <c r="L7323" s="12"/>
      <c r="M7323" s="13"/>
      <c r="N7323" s="2"/>
      <c r="O7323" s="20"/>
      <c r="P7323" s="42"/>
      <c r="R7323" s="23"/>
    </row>
    <row r="7324" spans="1:18" ht="12.75">
      <c r="A7324" s="12"/>
      <c r="D7324" s="12"/>
      <c r="E7324" s="12"/>
      <c r="H7324" s="11" t="str">
        <f ca="1">IFERROR(__xludf.DUMMYFUNCTION("IFERROR(SUBSTITUTE(SUBSTITUTE(REGEXEXTRACT(A7324, ""[^-]+- [^-]+- [^-]+ - (.+?)\.jpg""), "".jpg"", """"), ""-"", "", ""), """")"),"")</f>
        <v/>
      </c>
      <c r="L7324" s="12"/>
      <c r="M7324" s="13"/>
      <c r="N7324" s="2"/>
      <c r="O7324" s="20"/>
      <c r="P7324" s="42"/>
      <c r="R7324" s="23"/>
    </row>
    <row r="7325" spans="1:18" ht="12.75">
      <c r="A7325" s="12"/>
      <c r="D7325" s="12"/>
      <c r="E7325" s="12"/>
      <c r="H7325" s="11" t="str">
        <f ca="1">IFERROR(__xludf.DUMMYFUNCTION("IFERROR(SUBSTITUTE(SUBSTITUTE(REGEXEXTRACT(A7325, ""[^-]+- [^-]+- [^-]+ - (.+?)\.jpg""), "".jpg"", """"), ""-"", "", ""), """")"),"")</f>
        <v/>
      </c>
      <c r="L7325" s="12"/>
      <c r="M7325" s="13"/>
      <c r="N7325" s="2"/>
      <c r="O7325" s="20"/>
      <c r="P7325" s="42"/>
      <c r="R7325" s="23"/>
    </row>
    <row r="7326" spans="1:18" ht="12.75">
      <c r="A7326" s="12"/>
      <c r="D7326" s="12"/>
      <c r="E7326" s="12"/>
      <c r="H7326" s="11" t="str">
        <f ca="1">IFERROR(__xludf.DUMMYFUNCTION("IFERROR(SUBSTITUTE(SUBSTITUTE(REGEXEXTRACT(A7326, ""[^-]+- [^-]+- [^-]+ - (.+?)\.jpg""), "".jpg"", """"), ""-"", "", ""), """")"),"")</f>
        <v/>
      </c>
      <c r="L7326" s="12"/>
      <c r="M7326" s="13"/>
      <c r="N7326" s="2"/>
      <c r="O7326" s="20"/>
      <c r="P7326" s="42"/>
      <c r="R7326" s="23"/>
    </row>
    <row r="7327" spans="1:18" ht="12.75">
      <c r="A7327" s="12"/>
      <c r="D7327" s="12"/>
      <c r="E7327" s="12"/>
      <c r="H7327" s="11" t="str">
        <f ca="1">IFERROR(__xludf.DUMMYFUNCTION("IFERROR(SUBSTITUTE(SUBSTITUTE(REGEXEXTRACT(A7327, ""[^-]+- [^-]+- [^-]+ - (.+?)\.jpg""), "".jpg"", """"), ""-"", "", ""), """")"),"")</f>
        <v/>
      </c>
      <c r="L7327" s="12"/>
      <c r="M7327" s="13"/>
      <c r="N7327" s="2"/>
      <c r="O7327" s="20"/>
      <c r="P7327" s="42"/>
      <c r="R7327" s="23"/>
    </row>
    <row r="7328" spans="1:18" ht="12.75">
      <c r="A7328" s="12"/>
      <c r="D7328" s="12"/>
      <c r="E7328" s="12"/>
      <c r="H7328" s="11" t="str">
        <f ca="1">IFERROR(__xludf.DUMMYFUNCTION("IFERROR(SUBSTITUTE(SUBSTITUTE(REGEXEXTRACT(A7328, ""[^-]+- [^-]+- [^-]+ - (.+?)\.jpg""), "".jpg"", """"), ""-"", "", ""), """")"),"")</f>
        <v/>
      </c>
      <c r="L7328" s="12"/>
      <c r="M7328" s="13"/>
      <c r="N7328" s="2"/>
      <c r="O7328" s="20"/>
      <c r="P7328" s="42"/>
      <c r="R7328" s="23"/>
    </row>
    <row r="7329" spans="1:18" ht="12.75">
      <c r="A7329" s="12"/>
      <c r="D7329" s="12"/>
      <c r="E7329" s="12"/>
      <c r="H7329" s="11" t="str">
        <f ca="1">IFERROR(__xludf.DUMMYFUNCTION("IFERROR(SUBSTITUTE(SUBSTITUTE(REGEXEXTRACT(A7329, ""[^-]+- [^-]+- [^-]+ - (.+?)\.jpg""), "".jpg"", """"), ""-"", "", ""), """")"),"")</f>
        <v/>
      </c>
      <c r="L7329" s="12"/>
      <c r="M7329" s="13"/>
      <c r="N7329" s="2"/>
      <c r="O7329" s="20"/>
      <c r="P7329" s="42"/>
      <c r="R7329" s="23"/>
    </row>
    <row r="7330" spans="1:18" ht="12.75">
      <c r="A7330" s="12"/>
      <c r="D7330" s="12"/>
      <c r="E7330" s="12"/>
      <c r="H7330" s="11" t="str">
        <f ca="1">IFERROR(__xludf.DUMMYFUNCTION("IFERROR(SUBSTITUTE(SUBSTITUTE(REGEXEXTRACT(A7330, ""[^-]+- [^-]+- [^-]+ - (.+?)\.jpg""), "".jpg"", """"), ""-"", "", ""), """")"),"")</f>
        <v/>
      </c>
      <c r="L7330" s="12"/>
      <c r="M7330" s="13"/>
      <c r="N7330" s="2"/>
      <c r="O7330" s="20"/>
      <c r="P7330" s="42"/>
      <c r="R7330" s="23"/>
    </row>
    <row r="7331" spans="1:18" ht="12.75">
      <c r="A7331" s="12"/>
      <c r="D7331" s="12"/>
      <c r="E7331" s="12"/>
      <c r="H7331" s="11" t="str">
        <f ca="1">IFERROR(__xludf.DUMMYFUNCTION("IFERROR(SUBSTITUTE(SUBSTITUTE(REGEXEXTRACT(A7331, ""[^-]+- [^-]+- [^-]+ - (.+?)\.jpg""), "".jpg"", """"), ""-"", "", ""), """")"),"")</f>
        <v/>
      </c>
      <c r="L7331" s="12"/>
      <c r="M7331" s="13"/>
      <c r="N7331" s="2"/>
      <c r="O7331" s="20"/>
      <c r="P7331" s="42"/>
      <c r="R7331" s="23"/>
    </row>
    <row r="7332" spans="1:18" ht="12.75">
      <c r="A7332" s="12"/>
      <c r="D7332" s="12"/>
      <c r="E7332" s="12"/>
      <c r="H7332" s="11" t="str">
        <f ca="1">IFERROR(__xludf.DUMMYFUNCTION("IFERROR(SUBSTITUTE(SUBSTITUTE(REGEXEXTRACT(A7332, ""[^-]+- [^-]+- [^-]+ - (.+?)\.jpg""), "".jpg"", """"), ""-"", "", ""), """")"),"")</f>
        <v/>
      </c>
      <c r="L7332" s="12"/>
      <c r="M7332" s="13"/>
      <c r="N7332" s="2"/>
      <c r="O7332" s="20"/>
      <c r="P7332" s="42"/>
      <c r="R7332" s="23"/>
    </row>
    <row r="7333" spans="1:18" ht="12.75">
      <c r="A7333" s="12"/>
      <c r="D7333" s="12"/>
      <c r="E7333" s="12"/>
      <c r="H7333" s="11" t="str">
        <f ca="1">IFERROR(__xludf.DUMMYFUNCTION("IFERROR(SUBSTITUTE(SUBSTITUTE(REGEXEXTRACT(A7333, ""[^-]+- [^-]+- [^-]+ - (.+?)\.jpg""), "".jpg"", """"), ""-"", "", ""), """")"),"")</f>
        <v/>
      </c>
      <c r="L7333" s="12"/>
      <c r="M7333" s="13"/>
      <c r="N7333" s="2"/>
      <c r="O7333" s="20"/>
      <c r="P7333" s="42"/>
      <c r="R7333" s="23"/>
    </row>
    <row r="7334" spans="1:18" ht="12.75">
      <c r="A7334" s="12"/>
      <c r="D7334" s="12"/>
      <c r="E7334" s="12"/>
      <c r="H7334" s="11" t="str">
        <f ca="1">IFERROR(__xludf.DUMMYFUNCTION("IFERROR(SUBSTITUTE(SUBSTITUTE(REGEXEXTRACT(A7334, ""[^-]+- [^-]+- [^-]+ - (.+?)\.jpg""), "".jpg"", """"), ""-"", "", ""), """")"),"")</f>
        <v/>
      </c>
      <c r="L7334" s="12"/>
      <c r="M7334" s="13"/>
      <c r="N7334" s="2"/>
      <c r="O7334" s="20"/>
      <c r="P7334" s="42"/>
      <c r="R7334" s="23"/>
    </row>
    <row r="7335" spans="1:18" ht="12.75">
      <c r="A7335" s="12"/>
      <c r="D7335" s="12"/>
      <c r="E7335" s="12"/>
      <c r="H7335" s="11" t="str">
        <f ca="1">IFERROR(__xludf.DUMMYFUNCTION("IFERROR(SUBSTITUTE(SUBSTITUTE(REGEXEXTRACT(A7335, ""[^-]+- [^-]+- [^-]+ - (.+?)\.jpg""), "".jpg"", """"), ""-"", "", ""), """")"),"")</f>
        <v/>
      </c>
      <c r="L7335" s="12"/>
      <c r="M7335" s="13"/>
      <c r="N7335" s="2"/>
      <c r="O7335" s="20"/>
      <c r="P7335" s="42"/>
      <c r="R7335" s="23"/>
    </row>
    <row r="7336" spans="1:18" ht="12.75">
      <c r="A7336" s="12"/>
      <c r="D7336" s="12"/>
      <c r="E7336" s="12"/>
      <c r="H7336" s="11" t="str">
        <f ca="1">IFERROR(__xludf.DUMMYFUNCTION("IFERROR(SUBSTITUTE(SUBSTITUTE(REGEXEXTRACT(A7336, ""[^-]+- [^-]+- [^-]+ - (.+?)\.jpg""), "".jpg"", """"), ""-"", "", ""), """")"),"")</f>
        <v/>
      </c>
      <c r="L7336" s="12"/>
      <c r="M7336" s="13"/>
      <c r="N7336" s="2"/>
      <c r="O7336" s="20"/>
      <c r="P7336" s="42"/>
      <c r="R7336" s="23"/>
    </row>
    <row r="7337" spans="1:18" ht="12.75">
      <c r="A7337" s="12"/>
      <c r="D7337" s="12"/>
      <c r="E7337" s="12"/>
      <c r="H7337" s="11" t="str">
        <f ca="1">IFERROR(__xludf.DUMMYFUNCTION("IFERROR(SUBSTITUTE(SUBSTITUTE(REGEXEXTRACT(A7337, ""[^-]+- [^-]+- [^-]+ - (.+?)\.jpg""), "".jpg"", """"), ""-"", "", ""), """")"),"")</f>
        <v/>
      </c>
      <c r="L7337" s="12"/>
      <c r="M7337" s="13"/>
      <c r="N7337" s="2"/>
      <c r="O7337" s="20"/>
      <c r="P7337" s="42"/>
      <c r="R7337" s="23"/>
    </row>
    <row r="7338" spans="1:18" ht="12.75">
      <c r="A7338" s="12"/>
      <c r="D7338" s="12"/>
      <c r="E7338" s="12"/>
      <c r="H7338" s="11" t="str">
        <f ca="1">IFERROR(__xludf.DUMMYFUNCTION("IFERROR(SUBSTITUTE(SUBSTITUTE(REGEXEXTRACT(A7338, ""[^-]+- [^-]+- [^-]+ - (.+?)\.jpg""), "".jpg"", """"), ""-"", "", ""), """")"),"")</f>
        <v/>
      </c>
      <c r="L7338" s="12"/>
      <c r="M7338" s="13"/>
      <c r="N7338" s="2"/>
      <c r="O7338" s="20"/>
      <c r="P7338" s="42"/>
      <c r="R7338" s="23"/>
    </row>
    <row r="7339" spans="1:18" ht="12.75">
      <c r="A7339" s="12"/>
      <c r="D7339" s="12"/>
      <c r="E7339" s="12"/>
      <c r="H7339" s="11" t="str">
        <f ca="1">IFERROR(__xludf.DUMMYFUNCTION("IFERROR(SUBSTITUTE(SUBSTITUTE(REGEXEXTRACT(A7339, ""[^-]+- [^-]+- [^-]+ - (.+?)\.jpg""), "".jpg"", """"), ""-"", "", ""), """")"),"")</f>
        <v/>
      </c>
      <c r="L7339" s="12"/>
      <c r="M7339" s="13"/>
      <c r="N7339" s="2"/>
      <c r="O7339" s="20"/>
      <c r="P7339" s="42"/>
      <c r="R7339" s="23"/>
    </row>
    <row r="7340" spans="1:18" ht="12.75">
      <c r="A7340" s="12"/>
      <c r="D7340" s="12"/>
      <c r="E7340" s="12"/>
      <c r="H7340" s="11" t="str">
        <f ca="1">IFERROR(__xludf.DUMMYFUNCTION("IFERROR(SUBSTITUTE(SUBSTITUTE(REGEXEXTRACT(A7340, ""[^-]+- [^-]+- [^-]+ - (.+?)\.jpg""), "".jpg"", """"), ""-"", "", ""), """")"),"")</f>
        <v/>
      </c>
      <c r="L7340" s="12"/>
      <c r="M7340" s="13"/>
      <c r="N7340" s="2"/>
      <c r="O7340" s="20"/>
      <c r="P7340" s="42"/>
      <c r="R7340" s="23"/>
    </row>
    <row r="7341" spans="1:18" ht="12.75">
      <c r="A7341" s="12"/>
      <c r="D7341" s="12"/>
      <c r="E7341" s="12"/>
      <c r="H7341" s="11" t="str">
        <f ca="1">IFERROR(__xludf.DUMMYFUNCTION("IFERROR(SUBSTITUTE(SUBSTITUTE(REGEXEXTRACT(A7341, ""[^-]+- [^-]+- [^-]+ - (.+?)\.jpg""), "".jpg"", """"), ""-"", "", ""), """")"),"")</f>
        <v/>
      </c>
      <c r="L7341" s="12"/>
      <c r="M7341" s="13"/>
      <c r="N7341" s="2"/>
      <c r="O7341" s="20"/>
      <c r="P7341" s="42"/>
      <c r="R7341" s="23"/>
    </row>
    <row r="7342" spans="1:18" ht="12.75">
      <c r="A7342" s="12"/>
      <c r="D7342" s="12"/>
      <c r="E7342" s="12"/>
      <c r="H7342" s="11" t="str">
        <f ca="1">IFERROR(__xludf.DUMMYFUNCTION("IFERROR(SUBSTITUTE(SUBSTITUTE(REGEXEXTRACT(A7342, ""[^-]+- [^-]+- [^-]+ - (.+?)\.jpg""), "".jpg"", """"), ""-"", "", ""), """")"),"")</f>
        <v/>
      </c>
      <c r="L7342" s="12"/>
      <c r="M7342" s="13"/>
      <c r="N7342" s="2"/>
      <c r="O7342" s="20"/>
      <c r="P7342" s="42"/>
      <c r="R7342" s="23"/>
    </row>
    <row r="7343" spans="1:18" ht="12.75">
      <c r="A7343" s="12"/>
      <c r="D7343" s="12"/>
      <c r="E7343" s="12"/>
      <c r="H7343" s="11" t="str">
        <f ca="1">IFERROR(__xludf.DUMMYFUNCTION("IFERROR(SUBSTITUTE(SUBSTITUTE(REGEXEXTRACT(A7343, ""[^-]+- [^-]+- [^-]+ - (.+?)\.jpg""), "".jpg"", """"), ""-"", "", ""), """")"),"")</f>
        <v/>
      </c>
      <c r="L7343" s="12"/>
      <c r="M7343" s="13"/>
      <c r="N7343" s="2"/>
      <c r="O7343" s="20"/>
      <c r="P7343" s="42"/>
      <c r="R7343" s="23"/>
    </row>
    <row r="7344" spans="1:18" ht="12.75">
      <c r="A7344" s="12"/>
      <c r="D7344" s="12"/>
      <c r="E7344" s="12"/>
      <c r="H7344" s="11" t="str">
        <f ca="1">IFERROR(__xludf.DUMMYFUNCTION("IFERROR(SUBSTITUTE(SUBSTITUTE(REGEXEXTRACT(A7344, ""[^-]+- [^-]+- [^-]+ - (.+?)\.jpg""), "".jpg"", """"), ""-"", "", ""), """")"),"")</f>
        <v/>
      </c>
      <c r="L7344" s="12"/>
      <c r="M7344" s="13"/>
      <c r="N7344" s="2"/>
      <c r="O7344" s="20"/>
      <c r="P7344" s="42"/>
      <c r="R7344" s="23"/>
    </row>
    <row r="7345" spans="1:18" ht="12.75">
      <c r="A7345" s="12"/>
      <c r="D7345" s="12"/>
      <c r="E7345" s="12"/>
      <c r="H7345" s="11" t="str">
        <f ca="1">IFERROR(__xludf.DUMMYFUNCTION("IFERROR(SUBSTITUTE(SUBSTITUTE(REGEXEXTRACT(A7345, ""[^-]+- [^-]+- [^-]+ - (.+?)\.jpg""), "".jpg"", """"), ""-"", "", ""), """")"),"")</f>
        <v/>
      </c>
      <c r="L7345" s="12"/>
      <c r="M7345" s="13"/>
      <c r="N7345" s="2"/>
      <c r="O7345" s="20"/>
      <c r="P7345" s="42"/>
      <c r="R7345" s="23"/>
    </row>
    <row r="7346" spans="1:18" ht="12.75">
      <c r="A7346" s="12"/>
      <c r="D7346" s="12"/>
      <c r="E7346" s="12"/>
      <c r="H7346" s="11" t="str">
        <f ca="1">IFERROR(__xludf.DUMMYFUNCTION("IFERROR(SUBSTITUTE(SUBSTITUTE(REGEXEXTRACT(A7346, ""[^-]+- [^-]+- [^-]+ - (.+?)\.jpg""), "".jpg"", """"), ""-"", "", ""), """")"),"")</f>
        <v/>
      </c>
      <c r="L7346" s="12"/>
      <c r="M7346" s="13"/>
      <c r="N7346" s="2"/>
      <c r="O7346" s="20"/>
      <c r="P7346" s="42"/>
      <c r="R7346" s="23"/>
    </row>
    <row r="7347" spans="1:18" ht="12.75">
      <c r="A7347" s="12"/>
      <c r="D7347" s="12"/>
      <c r="E7347" s="12"/>
      <c r="H7347" s="11" t="str">
        <f ca="1">IFERROR(__xludf.DUMMYFUNCTION("IFERROR(SUBSTITUTE(SUBSTITUTE(REGEXEXTRACT(A7347, ""[^-]+- [^-]+- [^-]+ - (.+?)\.jpg""), "".jpg"", """"), ""-"", "", ""), """")"),"")</f>
        <v/>
      </c>
      <c r="L7347" s="12"/>
      <c r="M7347" s="13"/>
      <c r="N7347" s="2"/>
      <c r="O7347" s="20"/>
      <c r="P7347" s="42"/>
      <c r="R7347" s="23"/>
    </row>
    <row r="7348" spans="1:18" ht="12.75">
      <c r="A7348" s="12"/>
      <c r="D7348" s="12"/>
      <c r="E7348" s="12"/>
      <c r="H7348" s="11" t="str">
        <f ca="1">IFERROR(__xludf.DUMMYFUNCTION("IFERROR(SUBSTITUTE(SUBSTITUTE(REGEXEXTRACT(A7348, ""[^-]+- [^-]+- [^-]+ - (.+?)\.jpg""), "".jpg"", """"), ""-"", "", ""), """")"),"")</f>
        <v/>
      </c>
      <c r="L7348" s="12"/>
      <c r="M7348" s="13"/>
      <c r="N7348" s="2"/>
      <c r="O7348" s="20"/>
      <c r="P7348" s="42"/>
      <c r="R7348" s="23"/>
    </row>
    <row r="7349" spans="1:18" ht="12.75">
      <c r="A7349" s="12"/>
      <c r="D7349" s="12"/>
      <c r="E7349" s="12"/>
      <c r="H7349" s="11" t="str">
        <f ca="1">IFERROR(__xludf.DUMMYFUNCTION("IFERROR(SUBSTITUTE(SUBSTITUTE(REGEXEXTRACT(A7349, ""[^-]+- [^-]+- [^-]+ - (.+?)\.jpg""), "".jpg"", """"), ""-"", "", ""), """")"),"")</f>
        <v/>
      </c>
      <c r="L7349" s="12"/>
      <c r="M7349" s="13"/>
      <c r="N7349" s="2"/>
      <c r="O7349" s="20"/>
      <c r="P7349" s="42"/>
      <c r="R7349" s="23"/>
    </row>
    <row r="7350" spans="1:18" ht="12.75">
      <c r="A7350" s="12"/>
      <c r="D7350" s="12"/>
      <c r="E7350" s="12"/>
      <c r="H7350" s="11" t="str">
        <f ca="1">IFERROR(__xludf.DUMMYFUNCTION("IFERROR(SUBSTITUTE(SUBSTITUTE(REGEXEXTRACT(A7350, ""[^-]+- [^-]+- [^-]+ - (.+?)\.jpg""), "".jpg"", """"), ""-"", "", ""), """")"),"")</f>
        <v/>
      </c>
      <c r="L7350" s="12"/>
      <c r="M7350" s="13"/>
      <c r="N7350" s="2"/>
      <c r="O7350" s="20"/>
      <c r="P7350" s="42"/>
      <c r="R7350" s="23"/>
    </row>
    <row r="7351" spans="1:18" ht="12.75">
      <c r="A7351" s="12"/>
      <c r="D7351" s="12"/>
      <c r="E7351" s="12"/>
      <c r="H7351" s="11" t="str">
        <f ca="1">IFERROR(__xludf.DUMMYFUNCTION("IFERROR(SUBSTITUTE(SUBSTITUTE(REGEXEXTRACT(A7351, ""[^-]+- [^-]+- [^-]+ - (.+?)\.jpg""), "".jpg"", """"), ""-"", "", ""), """")"),"")</f>
        <v/>
      </c>
      <c r="L7351" s="12"/>
      <c r="M7351" s="13"/>
      <c r="N7351" s="2"/>
      <c r="O7351" s="20"/>
      <c r="P7351" s="42"/>
      <c r="R7351" s="23"/>
    </row>
    <row r="7352" spans="1:18" ht="12.75">
      <c r="A7352" s="12"/>
      <c r="D7352" s="12"/>
      <c r="E7352" s="12"/>
      <c r="H7352" s="11" t="str">
        <f ca="1">IFERROR(__xludf.DUMMYFUNCTION("IFERROR(SUBSTITUTE(SUBSTITUTE(REGEXEXTRACT(A7352, ""[^-]+- [^-]+- [^-]+ - (.+?)\.jpg""), "".jpg"", """"), ""-"", "", ""), """")"),"")</f>
        <v/>
      </c>
      <c r="L7352" s="12"/>
      <c r="M7352" s="13"/>
      <c r="N7352" s="2"/>
      <c r="O7352" s="20"/>
      <c r="P7352" s="42"/>
      <c r="R7352" s="23"/>
    </row>
    <row r="7353" spans="1:18" ht="12.75">
      <c r="A7353" s="12"/>
      <c r="D7353" s="12"/>
      <c r="E7353" s="12"/>
      <c r="H7353" s="11" t="str">
        <f ca="1">IFERROR(__xludf.DUMMYFUNCTION("IFERROR(SUBSTITUTE(SUBSTITUTE(REGEXEXTRACT(A7353, ""[^-]+- [^-]+- [^-]+ - (.+?)\.jpg""), "".jpg"", """"), ""-"", "", ""), """")"),"")</f>
        <v/>
      </c>
      <c r="L7353" s="12"/>
      <c r="M7353" s="13"/>
      <c r="N7353" s="2"/>
      <c r="O7353" s="20"/>
      <c r="P7353" s="42"/>
      <c r="R7353" s="23"/>
    </row>
    <row r="7354" spans="1:18" ht="12.75">
      <c r="A7354" s="12"/>
      <c r="D7354" s="12"/>
      <c r="E7354" s="12"/>
      <c r="H7354" s="11" t="str">
        <f ca="1">IFERROR(__xludf.DUMMYFUNCTION("IFERROR(SUBSTITUTE(SUBSTITUTE(REGEXEXTRACT(A7354, ""[^-]+- [^-]+- [^-]+ - (.+?)\.jpg""), "".jpg"", """"), ""-"", "", ""), """")"),"")</f>
        <v/>
      </c>
      <c r="L7354" s="12"/>
      <c r="M7354" s="13"/>
      <c r="N7354" s="2"/>
      <c r="O7354" s="20"/>
      <c r="P7354" s="42"/>
      <c r="R7354" s="23"/>
    </row>
    <row r="7355" spans="1:18" ht="12.75">
      <c r="A7355" s="12"/>
      <c r="D7355" s="12"/>
      <c r="E7355" s="12"/>
      <c r="H7355" s="11" t="str">
        <f ca="1">IFERROR(__xludf.DUMMYFUNCTION("IFERROR(SUBSTITUTE(SUBSTITUTE(REGEXEXTRACT(A7355, ""[^-]+- [^-]+- [^-]+ - (.+?)\.jpg""), "".jpg"", """"), ""-"", "", ""), """")"),"")</f>
        <v/>
      </c>
      <c r="L7355" s="12"/>
      <c r="M7355" s="13"/>
      <c r="N7355" s="2"/>
      <c r="O7355" s="20"/>
      <c r="P7355" s="42"/>
      <c r="R7355" s="23"/>
    </row>
    <row r="7356" spans="1:18" ht="12.75">
      <c r="A7356" s="12"/>
      <c r="D7356" s="12"/>
      <c r="E7356" s="12"/>
      <c r="H7356" s="11" t="str">
        <f ca="1">IFERROR(__xludf.DUMMYFUNCTION("IFERROR(SUBSTITUTE(SUBSTITUTE(REGEXEXTRACT(A7356, ""[^-]+- [^-]+- [^-]+ - (.+?)\.jpg""), "".jpg"", """"), ""-"", "", ""), """")"),"")</f>
        <v/>
      </c>
      <c r="L7356" s="12"/>
      <c r="M7356" s="13"/>
      <c r="N7356" s="2"/>
      <c r="O7356" s="20"/>
      <c r="P7356" s="42"/>
      <c r="R7356" s="23"/>
    </row>
    <row r="7357" spans="1:18" ht="12.75">
      <c r="A7357" s="12"/>
      <c r="D7357" s="12"/>
      <c r="E7357" s="12"/>
      <c r="H7357" s="11" t="str">
        <f ca="1">IFERROR(__xludf.DUMMYFUNCTION("IFERROR(SUBSTITUTE(SUBSTITUTE(REGEXEXTRACT(A7357, ""[^-]+- [^-]+- [^-]+ - (.+?)\.jpg""), "".jpg"", """"), ""-"", "", ""), """")"),"")</f>
        <v/>
      </c>
      <c r="L7357" s="12"/>
      <c r="M7357" s="13"/>
      <c r="N7357" s="2"/>
      <c r="O7357" s="20"/>
      <c r="P7357" s="42"/>
      <c r="R7357" s="23"/>
    </row>
    <row r="7358" spans="1:18" ht="12.75">
      <c r="A7358" s="12"/>
      <c r="D7358" s="12"/>
      <c r="E7358" s="12"/>
      <c r="H7358" s="11" t="str">
        <f ca="1">IFERROR(__xludf.DUMMYFUNCTION("IFERROR(SUBSTITUTE(SUBSTITUTE(REGEXEXTRACT(A7358, ""[^-]+- [^-]+- [^-]+ - (.+?)\.jpg""), "".jpg"", """"), ""-"", "", ""), """")"),"")</f>
        <v/>
      </c>
      <c r="L7358" s="12"/>
      <c r="M7358" s="13"/>
      <c r="N7358" s="2"/>
      <c r="O7358" s="20"/>
      <c r="P7358" s="42"/>
      <c r="R7358" s="23"/>
    </row>
    <row r="7359" spans="1:18" ht="12.75">
      <c r="A7359" s="12"/>
      <c r="D7359" s="12"/>
      <c r="E7359" s="12"/>
      <c r="H7359" s="11" t="str">
        <f ca="1">IFERROR(__xludf.DUMMYFUNCTION("IFERROR(SUBSTITUTE(SUBSTITUTE(REGEXEXTRACT(A7359, ""[^-]+- [^-]+- [^-]+ - (.+?)\.jpg""), "".jpg"", """"), ""-"", "", ""), """")"),"")</f>
        <v/>
      </c>
      <c r="L7359" s="12"/>
      <c r="M7359" s="13"/>
      <c r="N7359" s="2"/>
      <c r="O7359" s="20"/>
      <c r="P7359" s="42"/>
      <c r="R7359" s="23"/>
    </row>
    <row r="7360" spans="1:18" ht="12.75">
      <c r="A7360" s="12"/>
      <c r="D7360" s="12"/>
      <c r="E7360" s="12"/>
      <c r="H7360" s="11" t="str">
        <f ca="1">IFERROR(__xludf.DUMMYFUNCTION("IFERROR(SUBSTITUTE(SUBSTITUTE(REGEXEXTRACT(A7360, ""[^-]+- [^-]+- [^-]+ - (.+?)\.jpg""), "".jpg"", """"), ""-"", "", ""), """")"),"")</f>
        <v/>
      </c>
      <c r="L7360" s="12"/>
      <c r="M7360" s="13"/>
      <c r="N7360" s="2"/>
      <c r="O7360" s="20"/>
      <c r="P7360" s="42"/>
      <c r="R7360" s="23"/>
    </row>
    <row r="7361" spans="1:18" ht="12.75">
      <c r="A7361" s="12"/>
      <c r="D7361" s="12"/>
      <c r="E7361" s="12"/>
      <c r="H7361" s="11" t="str">
        <f ca="1">IFERROR(__xludf.DUMMYFUNCTION("IFERROR(SUBSTITUTE(SUBSTITUTE(REGEXEXTRACT(A7361, ""[^-]+- [^-]+- [^-]+ - (.+?)\.jpg""), "".jpg"", """"), ""-"", "", ""), """")"),"")</f>
        <v/>
      </c>
      <c r="L7361" s="12"/>
      <c r="M7361" s="13"/>
      <c r="N7361" s="2"/>
      <c r="O7361" s="20"/>
      <c r="P7361" s="42"/>
      <c r="R7361" s="23"/>
    </row>
    <row r="7362" spans="1:18" ht="12.75">
      <c r="A7362" s="12"/>
      <c r="D7362" s="12"/>
      <c r="E7362" s="12"/>
      <c r="H7362" s="11" t="str">
        <f ca="1">IFERROR(__xludf.DUMMYFUNCTION("IFERROR(SUBSTITUTE(SUBSTITUTE(REGEXEXTRACT(A7362, ""[^-]+- [^-]+- [^-]+ - (.+?)\.jpg""), "".jpg"", """"), ""-"", "", ""), """")"),"")</f>
        <v/>
      </c>
      <c r="L7362" s="12"/>
      <c r="M7362" s="13"/>
      <c r="N7362" s="2"/>
      <c r="O7362" s="20"/>
      <c r="P7362" s="42"/>
      <c r="R7362" s="23"/>
    </row>
    <row r="7363" spans="1:18" ht="12.75">
      <c r="A7363" s="12"/>
      <c r="D7363" s="12"/>
      <c r="E7363" s="12"/>
      <c r="H7363" s="11" t="str">
        <f ca="1">IFERROR(__xludf.DUMMYFUNCTION("IFERROR(SUBSTITUTE(SUBSTITUTE(REGEXEXTRACT(A7363, ""[^-]+- [^-]+- [^-]+ - (.+?)\.jpg""), "".jpg"", """"), ""-"", "", ""), """")"),"")</f>
        <v/>
      </c>
      <c r="L7363" s="12"/>
      <c r="M7363" s="13"/>
      <c r="N7363" s="2"/>
      <c r="O7363" s="20"/>
      <c r="P7363" s="42"/>
      <c r="R7363" s="23"/>
    </row>
    <row r="7364" spans="1:18" ht="12.75">
      <c r="A7364" s="12"/>
      <c r="D7364" s="12"/>
      <c r="E7364" s="12"/>
      <c r="H7364" s="11" t="str">
        <f ca="1">IFERROR(__xludf.DUMMYFUNCTION("IFERROR(SUBSTITUTE(SUBSTITUTE(REGEXEXTRACT(A7364, ""[^-]+- [^-]+- [^-]+ - (.+?)\.jpg""), "".jpg"", """"), ""-"", "", ""), """")"),"")</f>
        <v/>
      </c>
      <c r="L7364" s="12"/>
      <c r="M7364" s="13"/>
      <c r="N7364" s="2"/>
      <c r="O7364" s="20"/>
      <c r="P7364" s="42"/>
      <c r="R7364" s="23"/>
    </row>
    <row r="7365" spans="1:18" ht="12.75">
      <c r="A7365" s="12"/>
      <c r="D7365" s="12"/>
      <c r="E7365" s="12"/>
      <c r="H7365" s="11" t="str">
        <f ca="1">IFERROR(__xludf.DUMMYFUNCTION("IFERROR(SUBSTITUTE(SUBSTITUTE(REGEXEXTRACT(A7365, ""[^-]+- [^-]+- [^-]+ - (.+?)\.jpg""), "".jpg"", """"), ""-"", "", ""), """")"),"")</f>
        <v/>
      </c>
      <c r="L7365" s="12"/>
      <c r="M7365" s="13"/>
      <c r="N7365" s="2"/>
      <c r="O7365" s="20"/>
      <c r="P7365" s="42"/>
      <c r="R7365" s="23"/>
    </row>
    <row r="7366" spans="1:18" ht="12.75">
      <c r="A7366" s="12"/>
      <c r="D7366" s="12"/>
      <c r="E7366" s="12"/>
      <c r="H7366" s="11" t="str">
        <f ca="1">IFERROR(__xludf.DUMMYFUNCTION("IFERROR(SUBSTITUTE(SUBSTITUTE(REGEXEXTRACT(A7366, ""[^-]+- [^-]+- [^-]+ - (.+?)\.jpg""), "".jpg"", """"), ""-"", "", ""), """")"),"")</f>
        <v/>
      </c>
      <c r="L7366" s="12"/>
      <c r="M7366" s="13"/>
      <c r="N7366" s="2"/>
      <c r="O7366" s="20"/>
      <c r="P7366" s="42"/>
      <c r="R7366" s="23"/>
    </row>
    <row r="7367" spans="1:18" ht="12.75">
      <c r="A7367" s="12"/>
      <c r="D7367" s="12"/>
      <c r="E7367" s="12"/>
      <c r="H7367" s="11" t="str">
        <f ca="1">IFERROR(__xludf.DUMMYFUNCTION("IFERROR(SUBSTITUTE(SUBSTITUTE(REGEXEXTRACT(A7367, ""[^-]+- [^-]+- [^-]+ - (.+?)\.jpg""), "".jpg"", """"), ""-"", "", ""), """")"),"")</f>
        <v/>
      </c>
      <c r="L7367" s="12"/>
      <c r="M7367" s="13"/>
      <c r="N7367" s="2"/>
      <c r="O7367" s="20"/>
      <c r="P7367" s="42"/>
      <c r="R7367" s="23"/>
    </row>
    <row r="7368" spans="1:18" ht="12.75">
      <c r="A7368" s="12"/>
      <c r="D7368" s="12"/>
      <c r="E7368" s="12"/>
      <c r="H7368" s="11" t="str">
        <f ca="1">IFERROR(__xludf.DUMMYFUNCTION("IFERROR(SUBSTITUTE(SUBSTITUTE(REGEXEXTRACT(A7368, ""[^-]+- [^-]+- [^-]+ - (.+?)\.jpg""), "".jpg"", """"), ""-"", "", ""), """")"),"")</f>
        <v/>
      </c>
      <c r="L7368" s="12"/>
      <c r="M7368" s="13"/>
      <c r="N7368" s="2"/>
      <c r="O7368" s="20"/>
      <c r="P7368" s="42"/>
      <c r="R7368" s="23"/>
    </row>
    <row r="7369" spans="1:18" ht="12.75">
      <c r="A7369" s="12"/>
      <c r="D7369" s="12"/>
      <c r="E7369" s="12"/>
      <c r="H7369" s="11" t="str">
        <f ca="1">IFERROR(__xludf.DUMMYFUNCTION("IFERROR(SUBSTITUTE(SUBSTITUTE(REGEXEXTRACT(A7369, ""[^-]+- [^-]+- [^-]+ - (.+?)\.jpg""), "".jpg"", """"), ""-"", "", ""), """")"),"")</f>
        <v/>
      </c>
      <c r="L7369" s="12"/>
      <c r="M7369" s="13"/>
      <c r="N7369" s="2"/>
      <c r="O7369" s="20"/>
      <c r="P7369" s="42"/>
      <c r="R7369" s="23"/>
    </row>
    <row r="7370" spans="1:18" ht="12.75">
      <c r="A7370" s="12"/>
      <c r="D7370" s="12"/>
      <c r="E7370" s="12"/>
      <c r="H7370" s="11" t="str">
        <f ca="1">IFERROR(__xludf.DUMMYFUNCTION("IFERROR(SUBSTITUTE(SUBSTITUTE(REGEXEXTRACT(A7370, ""[^-]+- [^-]+- [^-]+ - (.+?)\.jpg""), "".jpg"", """"), ""-"", "", ""), """")"),"")</f>
        <v/>
      </c>
      <c r="L7370" s="12"/>
      <c r="M7370" s="13"/>
      <c r="N7370" s="2"/>
      <c r="O7370" s="20"/>
      <c r="P7370" s="42"/>
      <c r="R7370" s="23"/>
    </row>
    <row r="7371" spans="1:18" ht="12.75">
      <c r="A7371" s="12"/>
      <c r="D7371" s="12"/>
      <c r="E7371" s="12"/>
      <c r="H7371" s="11" t="str">
        <f ca="1">IFERROR(__xludf.DUMMYFUNCTION("IFERROR(SUBSTITUTE(SUBSTITUTE(REGEXEXTRACT(A7371, ""[^-]+- [^-]+- [^-]+ - (.+?)\.jpg""), "".jpg"", """"), ""-"", "", ""), """")"),"")</f>
        <v/>
      </c>
      <c r="L7371" s="12"/>
      <c r="M7371" s="13"/>
      <c r="N7371" s="2"/>
      <c r="O7371" s="20"/>
      <c r="P7371" s="42"/>
      <c r="R7371" s="23"/>
    </row>
    <row r="7372" spans="1:18" ht="12.75">
      <c r="A7372" s="12"/>
      <c r="D7372" s="12"/>
      <c r="E7372" s="12"/>
      <c r="H7372" s="11" t="str">
        <f ca="1">IFERROR(__xludf.DUMMYFUNCTION("IFERROR(SUBSTITUTE(SUBSTITUTE(REGEXEXTRACT(A7372, ""[^-]+- [^-]+- [^-]+ - (.+?)\.jpg""), "".jpg"", """"), ""-"", "", ""), """")"),"")</f>
        <v/>
      </c>
      <c r="L7372" s="12"/>
      <c r="M7372" s="13"/>
      <c r="N7372" s="2"/>
      <c r="O7372" s="20"/>
      <c r="P7372" s="42"/>
      <c r="R7372" s="23"/>
    </row>
    <row r="7373" spans="1:18" ht="12.75">
      <c r="A7373" s="12"/>
      <c r="D7373" s="12"/>
      <c r="E7373" s="12"/>
      <c r="H7373" s="11" t="str">
        <f ca="1">IFERROR(__xludf.DUMMYFUNCTION("IFERROR(SUBSTITUTE(SUBSTITUTE(REGEXEXTRACT(A7373, ""[^-]+- [^-]+- [^-]+ - (.+?)\.jpg""), "".jpg"", """"), ""-"", "", ""), """")"),"")</f>
        <v/>
      </c>
      <c r="L7373" s="12"/>
      <c r="M7373" s="13"/>
      <c r="N7373" s="2"/>
      <c r="O7373" s="20"/>
      <c r="P7373" s="42"/>
      <c r="R7373" s="23"/>
    </row>
    <row r="7374" spans="1:18" ht="12.75">
      <c r="A7374" s="12"/>
      <c r="D7374" s="12"/>
      <c r="E7374" s="12"/>
      <c r="H7374" s="11" t="str">
        <f ca="1">IFERROR(__xludf.DUMMYFUNCTION("IFERROR(SUBSTITUTE(SUBSTITUTE(REGEXEXTRACT(A7374, ""[^-]+- [^-]+- [^-]+ - (.+?)\.jpg""), "".jpg"", """"), ""-"", "", ""), """")"),"")</f>
        <v/>
      </c>
      <c r="L7374" s="12"/>
      <c r="M7374" s="13"/>
      <c r="N7374" s="2"/>
      <c r="O7374" s="20"/>
      <c r="P7374" s="42"/>
      <c r="R7374" s="23"/>
    </row>
    <row r="7375" spans="1:18" ht="12.75">
      <c r="A7375" s="12"/>
      <c r="D7375" s="12"/>
      <c r="E7375" s="12"/>
      <c r="H7375" s="11" t="str">
        <f ca="1">IFERROR(__xludf.DUMMYFUNCTION("IFERROR(SUBSTITUTE(SUBSTITUTE(REGEXEXTRACT(A7375, ""[^-]+- [^-]+- [^-]+ - (.+?)\.jpg""), "".jpg"", """"), ""-"", "", ""), """")"),"")</f>
        <v/>
      </c>
      <c r="L7375" s="12"/>
      <c r="M7375" s="13"/>
      <c r="N7375" s="2"/>
      <c r="O7375" s="20"/>
      <c r="P7375" s="42"/>
      <c r="R7375" s="23"/>
    </row>
    <row r="7376" spans="1:18" ht="12.75">
      <c r="A7376" s="12"/>
      <c r="D7376" s="12"/>
      <c r="E7376" s="12"/>
      <c r="H7376" s="11" t="str">
        <f ca="1">IFERROR(__xludf.DUMMYFUNCTION("IFERROR(SUBSTITUTE(SUBSTITUTE(REGEXEXTRACT(A7376, ""[^-]+- [^-]+- [^-]+ - (.+?)\.jpg""), "".jpg"", """"), ""-"", "", ""), """")"),"")</f>
        <v/>
      </c>
      <c r="L7376" s="12"/>
      <c r="M7376" s="13"/>
      <c r="N7376" s="2"/>
      <c r="O7376" s="20"/>
      <c r="P7376" s="42"/>
      <c r="R7376" s="23"/>
    </row>
    <row r="7377" spans="1:18" ht="12.75">
      <c r="A7377" s="12"/>
      <c r="D7377" s="12"/>
      <c r="E7377" s="12"/>
      <c r="H7377" s="11" t="str">
        <f ca="1">IFERROR(__xludf.DUMMYFUNCTION("IFERROR(SUBSTITUTE(SUBSTITUTE(REGEXEXTRACT(A7377, ""[^-]+- [^-]+- [^-]+ - (.+?)\.jpg""), "".jpg"", """"), ""-"", "", ""), """")"),"")</f>
        <v/>
      </c>
      <c r="L7377" s="12"/>
      <c r="M7377" s="13"/>
      <c r="N7377" s="2"/>
      <c r="O7377" s="20"/>
      <c r="P7377" s="42"/>
      <c r="R7377" s="23"/>
    </row>
    <row r="7378" spans="1:18" ht="12.75">
      <c r="A7378" s="12"/>
      <c r="D7378" s="12"/>
      <c r="E7378" s="12"/>
      <c r="H7378" s="11" t="str">
        <f ca="1">IFERROR(__xludf.DUMMYFUNCTION("IFERROR(SUBSTITUTE(SUBSTITUTE(REGEXEXTRACT(A7378, ""[^-]+- [^-]+- [^-]+ - (.+?)\.jpg""), "".jpg"", """"), ""-"", "", ""), """")"),"")</f>
        <v/>
      </c>
      <c r="L7378" s="12"/>
      <c r="M7378" s="13"/>
      <c r="N7378" s="2"/>
      <c r="O7378" s="20"/>
      <c r="P7378" s="42"/>
      <c r="R7378" s="23"/>
    </row>
    <row r="7379" spans="1:18" ht="12.75">
      <c r="A7379" s="12"/>
      <c r="D7379" s="12"/>
      <c r="E7379" s="12"/>
      <c r="H7379" s="11" t="str">
        <f ca="1">IFERROR(__xludf.DUMMYFUNCTION("IFERROR(SUBSTITUTE(SUBSTITUTE(REGEXEXTRACT(A7379, ""[^-]+- [^-]+- [^-]+ - (.+?)\.jpg""), "".jpg"", """"), ""-"", "", ""), """")"),"")</f>
        <v/>
      </c>
      <c r="L7379" s="12"/>
      <c r="M7379" s="13"/>
      <c r="N7379" s="2"/>
      <c r="O7379" s="20"/>
      <c r="P7379" s="42"/>
      <c r="R7379" s="23"/>
    </row>
    <row r="7380" spans="1:18" ht="12.75">
      <c r="A7380" s="12"/>
      <c r="D7380" s="12"/>
      <c r="E7380" s="12"/>
      <c r="H7380" s="11" t="str">
        <f ca="1">IFERROR(__xludf.DUMMYFUNCTION("IFERROR(SUBSTITUTE(SUBSTITUTE(REGEXEXTRACT(A7380, ""[^-]+- [^-]+- [^-]+ - (.+?)\.jpg""), "".jpg"", """"), ""-"", "", ""), """")"),"")</f>
        <v/>
      </c>
      <c r="L7380" s="12"/>
      <c r="M7380" s="13"/>
      <c r="N7380" s="2"/>
      <c r="O7380" s="20"/>
      <c r="P7380" s="42"/>
      <c r="R7380" s="23"/>
    </row>
    <row r="7381" spans="1:18" ht="12.75">
      <c r="A7381" s="12"/>
      <c r="D7381" s="12"/>
      <c r="E7381" s="12"/>
      <c r="H7381" s="11" t="str">
        <f ca="1">IFERROR(__xludf.DUMMYFUNCTION("IFERROR(SUBSTITUTE(SUBSTITUTE(REGEXEXTRACT(A7381, ""[^-]+- [^-]+- [^-]+ - (.+?)\.jpg""), "".jpg"", """"), ""-"", "", ""), """")"),"")</f>
        <v/>
      </c>
      <c r="L7381" s="12"/>
      <c r="M7381" s="13"/>
      <c r="N7381" s="2"/>
      <c r="O7381" s="20"/>
      <c r="P7381" s="42"/>
      <c r="R7381" s="23"/>
    </row>
    <row r="7382" spans="1:18" ht="12.75">
      <c r="A7382" s="12"/>
      <c r="D7382" s="12"/>
      <c r="E7382" s="12"/>
      <c r="H7382" s="11" t="str">
        <f ca="1">IFERROR(__xludf.DUMMYFUNCTION("IFERROR(SUBSTITUTE(SUBSTITUTE(REGEXEXTRACT(A7382, ""[^-]+- [^-]+- [^-]+ - (.+?)\.jpg""), "".jpg"", """"), ""-"", "", ""), """")"),"")</f>
        <v/>
      </c>
      <c r="L7382" s="12"/>
      <c r="M7382" s="13"/>
      <c r="N7382" s="2"/>
      <c r="O7382" s="20"/>
      <c r="P7382" s="42"/>
      <c r="R7382" s="23"/>
    </row>
    <row r="7383" spans="1:18" ht="12.75">
      <c r="A7383" s="12"/>
      <c r="D7383" s="12"/>
      <c r="E7383" s="12"/>
      <c r="H7383" s="11" t="str">
        <f ca="1">IFERROR(__xludf.DUMMYFUNCTION("IFERROR(SUBSTITUTE(SUBSTITUTE(REGEXEXTRACT(A7383, ""[^-]+- [^-]+- [^-]+ - (.+?)\.jpg""), "".jpg"", """"), ""-"", "", ""), """")"),"")</f>
        <v/>
      </c>
      <c r="L7383" s="12"/>
      <c r="M7383" s="13"/>
      <c r="N7383" s="2"/>
      <c r="O7383" s="20"/>
      <c r="P7383" s="42"/>
      <c r="R7383" s="23"/>
    </row>
    <row r="7384" spans="1:18" ht="12.75">
      <c r="A7384" s="12"/>
      <c r="D7384" s="12"/>
      <c r="E7384" s="12"/>
      <c r="H7384" s="11" t="str">
        <f ca="1">IFERROR(__xludf.DUMMYFUNCTION("IFERROR(SUBSTITUTE(SUBSTITUTE(REGEXEXTRACT(A7384, ""[^-]+- [^-]+- [^-]+ - (.+?)\.jpg""), "".jpg"", """"), ""-"", "", ""), """")"),"")</f>
        <v/>
      </c>
      <c r="L7384" s="12"/>
      <c r="M7384" s="13"/>
      <c r="N7384" s="2"/>
      <c r="O7384" s="20"/>
      <c r="P7384" s="42"/>
      <c r="R7384" s="23"/>
    </row>
    <row r="7385" spans="1:18" ht="12.75">
      <c r="A7385" s="12"/>
      <c r="D7385" s="12"/>
      <c r="E7385" s="12"/>
      <c r="H7385" s="11" t="str">
        <f ca="1">IFERROR(__xludf.DUMMYFUNCTION("IFERROR(SUBSTITUTE(SUBSTITUTE(REGEXEXTRACT(A7385, ""[^-]+- [^-]+- [^-]+ - (.+?)\.jpg""), "".jpg"", """"), ""-"", "", ""), """")"),"")</f>
        <v/>
      </c>
      <c r="L7385" s="12"/>
      <c r="M7385" s="13"/>
      <c r="N7385" s="2"/>
      <c r="O7385" s="20"/>
      <c r="P7385" s="42"/>
      <c r="R7385" s="23"/>
    </row>
    <row r="7386" spans="1:18" ht="12.75">
      <c r="A7386" s="12"/>
      <c r="D7386" s="12"/>
      <c r="E7386" s="12"/>
      <c r="H7386" s="11" t="str">
        <f ca="1">IFERROR(__xludf.DUMMYFUNCTION("IFERROR(SUBSTITUTE(SUBSTITUTE(REGEXEXTRACT(A7386, ""[^-]+- [^-]+- [^-]+ - (.+?)\.jpg""), "".jpg"", """"), ""-"", "", ""), """")"),"")</f>
        <v/>
      </c>
      <c r="L7386" s="12"/>
      <c r="M7386" s="13"/>
      <c r="N7386" s="2"/>
      <c r="O7386" s="20"/>
      <c r="P7386" s="42"/>
      <c r="R7386" s="23"/>
    </row>
    <row r="7387" spans="1:18" ht="12.75">
      <c r="A7387" s="12"/>
      <c r="D7387" s="12"/>
      <c r="E7387" s="12"/>
      <c r="H7387" s="11" t="str">
        <f ca="1">IFERROR(__xludf.DUMMYFUNCTION("IFERROR(SUBSTITUTE(SUBSTITUTE(REGEXEXTRACT(A7387, ""[^-]+- [^-]+- [^-]+ - (.+?)\.jpg""), "".jpg"", """"), ""-"", "", ""), """")"),"")</f>
        <v/>
      </c>
      <c r="L7387" s="12"/>
      <c r="M7387" s="13"/>
      <c r="N7387" s="2"/>
      <c r="O7387" s="20"/>
      <c r="P7387" s="42"/>
      <c r="R7387" s="23"/>
    </row>
    <row r="7388" spans="1:18" ht="12.75">
      <c r="A7388" s="12"/>
      <c r="D7388" s="12"/>
      <c r="E7388" s="12"/>
      <c r="H7388" s="11" t="str">
        <f ca="1">IFERROR(__xludf.DUMMYFUNCTION("IFERROR(SUBSTITUTE(SUBSTITUTE(REGEXEXTRACT(A7388, ""[^-]+- [^-]+- [^-]+ - (.+?)\.jpg""), "".jpg"", """"), ""-"", "", ""), """")"),"")</f>
        <v/>
      </c>
      <c r="L7388" s="12"/>
      <c r="M7388" s="13"/>
      <c r="N7388" s="2"/>
      <c r="O7388" s="20"/>
      <c r="P7388" s="42"/>
      <c r="R7388" s="23"/>
    </row>
    <row r="7389" spans="1:18" ht="12.75">
      <c r="A7389" s="12"/>
      <c r="D7389" s="12"/>
      <c r="E7389" s="12"/>
      <c r="H7389" s="11" t="str">
        <f ca="1">IFERROR(__xludf.DUMMYFUNCTION("IFERROR(SUBSTITUTE(SUBSTITUTE(REGEXEXTRACT(A7389, ""[^-]+- [^-]+- [^-]+ - (.+?)\.jpg""), "".jpg"", """"), ""-"", "", ""), """")"),"")</f>
        <v/>
      </c>
      <c r="L7389" s="12"/>
      <c r="M7389" s="13"/>
      <c r="N7389" s="2"/>
      <c r="O7389" s="20"/>
      <c r="P7389" s="42"/>
      <c r="R7389" s="23"/>
    </row>
    <row r="7390" spans="1:18" ht="12.75">
      <c r="A7390" s="12"/>
      <c r="D7390" s="12"/>
      <c r="E7390" s="12"/>
      <c r="H7390" s="11" t="str">
        <f ca="1">IFERROR(__xludf.DUMMYFUNCTION("IFERROR(SUBSTITUTE(SUBSTITUTE(REGEXEXTRACT(A7390, ""[^-]+- [^-]+- [^-]+ - (.+?)\.jpg""), "".jpg"", """"), ""-"", "", ""), """")"),"")</f>
        <v/>
      </c>
      <c r="L7390" s="12"/>
      <c r="M7390" s="13"/>
      <c r="N7390" s="2"/>
      <c r="O7390" s="20"/>
      <c r="P7390" s="42"/>
      <c r="R7390" s="23"/>
    </row>
    <row r="7391" spans="1:18" ht="12.75">
      <c r="A7391" s="12"/>
      <c r="D7391" s="12"/>
      <c r="E7391" s="12"/>
      <c r="H7391" s="11" t="str">
        <f ca="1">IFERROR(__xludf.DUMMYFUNCTION("IFERROR(SUBSTITUTE(SUBSTITUTE(REGEXEXTRACT(A7391, ""[^-]+- [^-]+- [^-]+ - (.+?)\.jpg""), "".jpg"", """"), ""-"", "", ""), """")"),"")</f>
        <v/>
      </c>
      <c r="L7391" s="12"/>
      <c r="M7391" s="13"/>
      <c r="N7391" s="2"/>
      <c r="O7391" s="20"/>
      <c r="P7391" s="42"/>
      <c r="R7391" s="23"/>
    </row>
    <row r="7392" spans="1:18" ht="12.75">
      <c r="A7392" s="12"/>
      <c r="D7392" s="12"/>
      <c r="E7392" s="12"/>
      <c r="H7392" s="11" t="str">
        <f ca="1">IFERROR(__xludf.DUMMYFUNCTION("IFERROR(SUBSTITUTE(SUBSTITUTE(REGEXEXTRACT(A7392, ""[^-]+- [^-]+- [^-]+ - (.+?)\.jpg""), "".jpg"", """"), ""-"", "", ""), """")"),"")</f>
        <v/>
      </c>
      <c r="L7392" s="12"/>
      <c r="M7392" s="13"/>
      <c r="N7392" s="2"/>
      <c r="O7392" s="20"/>
      <c r="P7392" s="42"/>
      <c r="R7392" s="23"/>
    </row>
    <row r="7393" spans="1:18" ht="12.75">
      <c r="A7393" s="12"/>
      <c r="D7393" s="12"/>
      <c r="E7393" s="12"/>
      <c r="H7393" s="11" t="str">
        <f ca="1">IFERROR(__xludf.DUMMYFUNCTION("IFERROR(SUBSTITUTE(SUBSTITUTE(REGEXEXTRACT(A7393, ""[^-]+- [^-]+- [^-]+ - (.+?)\.jpg""), "".jpg"", """"), ""-"", "", ""), """")"),"")</f>
        <v/>
      </c>
      <c r="L7393" s="12"/>
      <c r="M7393" s="13"/>
      <c r="N7393" s="2"/>
      <c r="O7393" s="20"/>
      <c r="P7393" s="42"/>
      <c r="R7393" s="23"/>
    </row>
    <row r="7394" spans="1:18" ht="12.75">
      <c r="A7394" s="12"/>
      <c r="D7394" s="12"/>
      <c r="E7394" s="12"/>
      <c r="H7394" s="11" t="str">
        <f ca="1">IFERROR(__xludf.DUMMYFUNCTION("IFERROR(SUBSTITUTE(SUBSTITUTE(REGEXEXTRACT(A7394, ""[^-]+- [^-]+- [^-]+ - (.+?)\.jpg""), "".jpg"", """"), ""-"", "", ""), """")"),"")</f>
        <v/>
      </c>
      <c r="L7394" s="12"/>
      <c r="M7394" s="13"/>
      <c r="N7394" s="2"/>
      <c r="O7394" s="20"/>
      <c r="P7394" s="42"/>
      <c r="R7394" s="23"/>
    </row>
    <row r="7395" spans="1:18" ht="12.75">
      <c r="A7395" s="12"/>
      <c r="D7395" s="12"/>
      <c r="E7395" s="12"/>
      <c r="H7395" s="11" t="str">
        <f ca="1">IFERROR(__xludf.DUMMYFUNCTION("IFERROR(SUBSTITUTE(SUBSTITUTE(REGEXEXTRACT(A7395, ""[^-]+- [^-]+- [^-]+ - (.+?)\.jpg""), "".jpg"", """"), ""-"", "", ""), """")"),"")</f>
        <v/>
      </c>
      <c r="L7395" s="12"/>
      <c r="M7395" s="13"/>
      <c r="N7395" s="2"/>
      <c r="O7395" s="20"/>
      <c r="P7395" s="42"/>
      <c r="R7395" s="23"/>
    </row>
    <row r="7396" spans="1:18" ht="12.75">
      <c r="A7396" s="12"/>
      <c r="D7396" s="12"/>
      <c r="E7396" s="12"/>
      <c r="H7396" s="11" t="str">
        <f ca="1">IFERROR(__xludf.DUMMYFUNCTION("IFERROR(SUBSTITUTE(SUBSTITUTE(REGEXEXTRACT(A7396, ""[^-]+- [^-]+- [^-]+ - (.+?)\.jpg""), "".jpg"", """"), ""-"", "", ""), """")"),"")</f>
        <v/>
      </c>
      <c r="L7396" s="12"/>
      <c r="M7396" s="13"/>
      <c r="N7396" s="2"/>
      <c r="O7396" s="20"/>
      <c r="P7396" s="42"/>
      <c r="R7396" s="23"/>
    </row>
    <row r="7397" spans="1:18" ht="12.75">
      <c r="A7397" s="12"/>
      <c r="D7397" s="12"/>
      <c r="E7397" s="12"/>
      <c r="H7397" s="11" t="str">
        <f ca="1">IFERROR(__xludf.DUMMYFUNCTION("IFERROR(SUBSTITUTE(SUBSTITUTE(REGEXEXTRACT(A7397, ""[^-]+- [^-]+- [^-]+ - (.+?)\.jpg""), "".jpg"", """"), ""-"", "", ""), """")"),"")</f>
        <v/>
      </c>
      <c r="L7397" s="12"/>
      <c r="M7397" s="13"/>
      <c r="N7397" s="2"/>
      <c r="O7397" s="20"/>
      <c r="P7397" s="42"/>
      <c r="R7397" s="23"/>
    </row>
    <row r="7398" spans="1:18" ht="12.75">
      <c r="A7398" s="12"/>
      <c r="D7398" s="12"/>
      <c r="E7398" s="12"/>
      <c r="H7398" s="11" t="str">
        <f ca="1">IFERROR(__xludf.DUMMYFUNCTION("IFERROR(SUBSTITUTE(SUBSTITUTE(REGEXEXTRACT(A7398, ""[^-]+- [^-]+- [^-]+ - (.+?)\.jpg""), "".jpg"", """"), ""-"", "", ""), """")"),"")</f>
        <v/>
      </c>
      <c r="L7398" s="12"/>
      <c r="M7398" s="13"/>
      <c r="N7398" s="2"/>
      <c r="O7398" s="20"/>
      <c r="P7398" s="42"/>
      <c r="R7398" s="23"/>
    </row>
    <row r="7399" spans="1:18" ht="12.75">
      <c r="A7399" s="12"/>
      <c r="D7399" s="12"/>
      <c r="E7399" s="12"/>
      <c r="H7399" s="11" t="str">
        <f ca="1">IFERROR(__xludf.DUMMYFUNCTION("IFERROR(SUBSTITUTE(SUBSTITUTE(REGEXEXTRACT(A7399, ""[^-]+- [^-]+- [^-]+ - (.+?)\.jpg""), "".jpg"", """"), ""-"", "", ""), """")"),"")</f>
        <v/>
      </c>
      <c r="L7399" s="12"/>
      <c r="M7399" s="13"/>
      <c r="N7399" s="2"/>
      <c r="O7399" s="20"/>
      <c r="P7399" s="42"/>
      <c r="R7399" s="23"/>
    </row>
    <row r="7400" spans="1:18" ht="12.75">
      <c r="A7400" s="12"/>
      <c r="D7400" s="12"/>
      <c r="E7400" s="12"/>
      <c r="H7400" s="11" t="str">
        <f ca="1">IFERROR(__xludf.DUMMYFUNCTION("IFERROR(SUBSTITUTE(SUBSTITUTE(REGEXEXTRACT(A7400, ""[^-]+- [^-]+- [^-]+ - (.+?)\.jpg""), "".jpg"", """"), ""-"", "", ""), """")"),"")</f>
        <v/>
      </c>
      <c r="L7400" s="12"/>
      <c r="M7400" s="13"/>
      <c r="N7400" s="2"/>
      <c r="O7400" s="20"/>
      <c r="P7400" s="42"/>
      <c r="R7400" s="23"/>
    </row>
    <row r="7401" spans="1:18" ht="12.75">
      <c r="A7401" s="12"/>
      <c r="D7401" s="12"/>
      <c r="E7401" s="12"/>
      <c r="H7401" s="11" t="str">
        <f ca="1">IFERROR(__xludf.DUMMYFUNCTION("IFERROR(SUBSTITUTE(SUBSTITUTE(REGEXEXTRACT(A7401, ""[^-]+- [^-]+- [^-]+ - (.+?)\.jpg""), "".jpg"", """"), ""-"", "", ""), """")"),"")</f>
        <v/>
      </c>
      <c r="L7401" s="12"/>
      <c r="M7401" s="13"/>
      <c r="N7401" s="2"/>
      <c r="O7401" s="20"/>
      <c r="P7401" s="42"/>
      <c r="R7401" s="23"/>
    </row>
    <row r="7402" spans="1:18" ht="12.75">
      <c r="A7402" s="12"/>
      <c r="D7402" s="12"/>
      <c r="E7402" s="12"/>
      <c r="H7402" s="11" t="str">
        <f ca="1">IFERROR(__xludf.DUMMYFUNCTION("IFERROR(SUBSTITUTE(SUBSTITUTE(REGEXEXTRACT(A7402, ""[^-]+- [^-]+- [^-]+ - (.+?)\.jpg""), "".jpg"", """"), ""-"", "", ""), """")"),"")</f>
        <v/>
      </c>
      <c r="L7402" s="12"/>
      <c r="M7402" s="13"/>
      <c r="N7402" s="2"/>
      <c r="O7402" s="20"/>
      <c r="P7402" s="42"/>
      <c r="R7402" s="23"/>
    </row>
    <row r="7403" spans="1:18" ht="12.75">
      <c r="A7403" s="12"/>
      <c r="D7403" s="12"/>
      <c r="E7403" s="12"/>
      <c r="H7403" s="11" t="str">
        <f ca="1">IFERROR(__xludf.DUMMYFUNCTION("IFERROR(SUBSTITUTE(SUBSTITUTE(REGEXEXTRACT(A7403, ""[^-]+- [^-]+- [^-]+ - (.+?)\.jpg""), "".jpg"", """"), ""-"", "", ""), """")"),"")</f>
        <v/>
      </c>
      <c r="L7403" s="12"/>
      <c r="M7403" s="13"/>
      <c r="N7403" s="2"/>
      <c r="O7403" s="20"/>
      <c r="P7403" s="42"/>
      <c r="R7403" s="23"/>
    </row>
    <row r="7404" spans="1:18" ht="12.75">
      <c r="A7404" s="12"/>
      <c r="D7404" s="12"/>
      <c r="E7404" s="12"/>
      <c r="H7404" s="11" t="str">
        <f ca="1">IFERROR(__xludf.DUMMYFUNCTION("IFERROR(SUBSTITUTE(SUBSTITUTE(REGEXEXTRACT(A7404, ""[^-]+- [^-]+- [^-]+ - (.+?)\.jpg""), "".jpg"", """"), ""-"", "", ""), """")"),"")</f>
        <v/>
      </c>
      <c r="L7404" s="12"/>
      <c r="M7404" s="13"/>
      <c r="N7404" s="2"/>
      <c r="O7404" s="20"/>
      <c r="P7404" s="42"/>
      <c r="R7404" s="23"/>
    </row>
    <row r="7405" spans="1:18" ht="12.75">
      <c r="A7405" s="12"/>
      <c r="D7405" s="12"/>
      <c r="E7405" s="12"/>
      <c r="H7405" s="11" t="str">
        <f ca="1">IFERROR(__xludf.DUMMYFUNCTION("IFERROR(SUBSTITUTE(SUBSTITUTE(REGEXEXTRACT(A7405, ""[^-]+- [^-]+- [^-]+ - (.+?)\.jpg""), "".jpg"", """"), ""-"", "", ""), """")"),"")</f>
        <v/>
      </c>
      <c r="L7405" s="12"/>
      <c r="M7405" s="13"/>
      <c r="N7405" s="2"/>
      <c r="O7405" s="20"/>
      <c r="P7405" s="42"/>
      <c r="R7405" s="23"/>
    </row>
    <row r="7406" spans="1:18" ht="12.75">
      <c r="A7406" s="12"/>
      <c r="D7406" s="12"/>
      <c r="E7406" s="12"/>
      <c r="H7406" s="11" t="str">
        <f ca="1">IFERROR(__xludf.DUMMYFUNCTION("IFERROR(SUBSTITUTE(SUBSTITUTE(REGEXEXTRACT(A7406, ""[^-]+- [^-]+- [^-]+ - (.+?)\.jpg""), "".jpg"", """"), ""-"", "", ""), """")"),"")</f>
        <v/>
      </c>
      <c r="L7406" s="12"/>
      <c r="M7406" s="13"/>
      <c r="N7406" s="2"/>
      <c r="O7406" s="20"/>
      <c r="P7406" s="42"/>
      <c r="R7406" s="23"/>
    </row>
    <row r="7407" spans="1:18" ht="12.75">
      <c r="A7407" s="12"/>
      <c r="D7407" s="12"/>
      <c r="E7407" s="12"/>
      <c r="H7407" s="11" t="str">
        <f ca="1">IFERROR(__xludf.DUMMYFUNCTION("IFERROR(SUBSTITUTE(SUBSTITUTE(REGEXEXTRACT(A7407, ""[^-]+- [^-]+- [^-]+ - (.+?)\.jpg""), "".jpg"", """"), ""-"", "", ""), """")"),"")</f>
        <v/>
      </c>
      <c r="L7407" s="12"/>
      <c r="M7407" s="13"/>
      <c r="N7407" s="2"/>
      <c r="O7407" s="20"/>
      <c r="P7407" s="42"/>
      <c r="R7407" s="23"/>
    </row>
    <row r="7408" spans="1:18" ht="12.75">
      <c r="A7408" s="12"/>
      <c r="D7408" s="12"/>
      <c r="E7408" s="12"/>
      <c r="H7408" s="11" t="str">
        <f ca="1">IFERROR(__xludf.DUMMYFUNCTION("IFERROR(SUBSTITUTE(SUBSTITUTE(REGEXEXTRACT(A7408, ""[^-]+- [^-]+- [^-]+ - (.+?)\.jpg""), "".jpg"", """"), ""-"", "", ""), """")"),"")</f>
        <v/>
      </c>
      <c r="L7408" s="12"/>
      <c r="M7408" s="13"/>
      <c r="N7408" s="2"/>
      <c r="O7408" s="20"/>
      <c r="P7408" s="42"/>
      <c r="R7408" s="23"/>
    </row>
    <row r="7409" spans="1:18" ht="12.75">
      <c r="A7409" s="12"/>
      <c r="D7409" s="12"/>
      <c r="E7409" s="12"/>
      <c r="H7409" s="11" t="str">
        <f ca="1">IFERROR(__xludf.DUMMYFUNCTION("IFERROR(SUBSTITUTE(SUBSTITUTE(REGEXEXTRACT(A7409, ""[^-]+- [^-]+- [^-]+ - (.+?)\.jpg""), "".jpg"", """"), ""-"", "", ""), """")"),"")</f>
        <v/>
      </c>
      <c r="L7409" s="12"/>
      <c r="M7409" s="13"/>
      <c r="N7409" s="2"/>
      <c r="O7409" s="20"/>
      <c r="P7409" s="42"/>
      <c r="R7409" s="23"/>
    </row>
    <row r="7410" spans="1:18" ht="12.75">
      <c r="A7410" s="12"/>
      <c r="D7410" s="12"/>
      <c r="E7410" s="12"/>
      <c r="H7410" s="11" t="str">
        <f ca="1">IFERROR(__xludf.DUMMYFUNCTION("IFERROR(SUBSTITUTE(SUBSTITUTE(REGEXEXTRACT(A7410, ""[^-]+- [^-]+- [^-]+ - (.+?)\.jpg""), "".jpg"", """"), ""-"", "", ""), """")"),"")</f>
        <v/>
      </c>
      <c r="L7410" s="12"/>
      <c r="M7410" s="13"/>
      <c r="N7410" s="2"/>
      <c r="O7410" s="20"/>
      <c r="P7410" s="42"/>
      <c r="R7410" s="23"/>
    </row>
    <row r="7411" spans="1:18" ht="12.75">
      <c r="A7411" s="12"/>
      <c r="D7411" s="12"/>
      <c r="E7411" s="12"/>
      <c r="H7411" s="11" t="str">
        <f ca="1">IFERROR(__xludf.DUMMYFUNCTION("IFERROR(SUBSTITUTE(SUBSTITUTE(REGEXEXTRACT(A7411, ""[^-]+- [^-]+- [^-]+ - (.+?)\.jpg""), "".jpg"", """"), ""-"", "", ""), """")"),"")</f>
        <v/>
      </c>
      <c r="L7411" s="12"/>
      <c r="M7411" s="13"/>
      <c r="N7411" s="2"/>
      <c r="O7411" s="20"/>
      <c r="P7411" s="42"/>
      <c r="R7411" s="23"/>
    </row>
    <row r="7412" spans="1:18" ht="12.75">
      <c r="A7412" s="12"/>
      <c r="D7412" s="12"/>
      <c r="E7412" s="12"/>
      <c r="H7412" s="11" t="str">
        <f ca="1">IFERROR(__xludf.DUMMYFUNCTION("IFERROR(SUBSTITUTE(SUBSTITUTE(REGEXEXTRACT(A7412, ""[^-]+- [^-]+- [^-]+ - (.+?)\.jpg""), "".jpg"", """"), ""-"", "", ""), """")"),"")</f>
        <v/>
      </c>
      <c r="L7412" s="12"/>
      <c r="M7412" s="13"/>
      <c r="N7412" s="2"/>
      <c r="O7412" s="20"/>
      <c r="P7412" s="42"/>
      <c r="R7412" s="23"/>
    </row>
    <row r="7413" spans="1:18" ht="12.75">
      <c r="A7413" s="12"/>
      <c r="D7413" s="12"/>
      <c r="E7413" s="12"/>
      <c r="H7413" s="11" t="str">
        <f ca="1">IFERROR(__xludf.DUMMYFUNCTION("IFERROR(SUBSTITUTE(SUBSTITUTE(REGEXEXTRACT(A7413, ""[^-]+- [^-]+- [^-]+ - (.+?)\.jpg""), "".jpg"", """"), ""-"", "", ""), """")"),"")</f>
        <v/>
      </c>
      <c r="L7413" s="12"/>
      <c r="M7413" s="13"/>
      <c r="N7413" s="2"/>
      <c r="O7413" s="20"/>
      <c r="P7413" s="42"/>
      <c r="R7413" s="23"/>
    </row>
    <row r="7414" spans="1:18" ht="12.75">
      <c r="A7414" s="12"/>
      <c r="D7414" s="12"/>
      <c r="E7414" s="12"/>
      <c r="H7414" s="11" t="str">
        <f ca="1">IFERROR(__xludf.DUMMYFUNCTION("IFERROR(SUBSTITUTE(SUBSTITUTE(REGEXEXTRACT(A7414, ""[^-]+- [^-]+- [^-]+ - (.+?)\.jpg""), "".jpg"", """"), ""-"", "", ""), """")"),"")</f>
        <v/>
      </c>
      <c r="L7414" s="12"/>
      <c r="M7414" s="13"/>
      <c r="N7414" s="2"/>
      <c r="O7414" s="20"/>
      <c r="P7414" s="42"/>
      <c r="R7414" s="23"/>
    </row>
    <row r="7415" spans="1:18" ht="12.75">
      <c r="A7415" s="12"/>
      <c r="D7415" s="12"/>
      <c r="E7415" s="12"/>
      <c r="H7415" s="11" t="str">
        <f ca="1">IFERROR(__xludf.DUMMYFUNCTION("IFERROR(SUBSTITUTE(SUBSTITUTE(REGEXEXTRACT(A7415, ""[^-]+- [^-]+- [^-]+ - (.+?)\.jpg""), "".jpg"", """"), ""-"", "", ""), """")"),"")</f>
        <v/>
      </c>
      <c r="L7415" s="12"/>
      <c r="M7415" s="13"/>
      <c r="N7415" s="2"/>
      <c r="O7415" s="20"/>
      <c r="P7415" s="42"/>
      <c r="R7415" s="23"/>
    </row>
    <row r="7416" spans="1:18" ht="12.75">
      <c r="A7416" s="12"/>
      <c r="D7416" s="12"/>
      <c r="E7416" s="12"/>
      <c r="H7416" s="11" t="str">
        <f ca="1">IFERROR(__xludf.DUMMYFUNCTION("IFERROR(SUBSTITUTE(SUBSTITUTE(REGEXEXTRACT(A7416, ""[^-]+- [^-]+- [^-]+ - (.+?)\.jpg""), "".jpg"", """"), ""-"", "", ""), """")"),"")</f>
        <v/>
      </c>
      <c r="L7416" s="12"/>
      <c r="M7416" s="13"/>
      <c r="N7416" s="2"/>
      <c r="O7416" s="20"/>
      <c r="P7416" s="42"/>
      <c r="R7416" s="23"/>
    </row>
    <row r="7417" spans="1:18" ht="12.75">
      <c r="A7417" s="12"/>
      <c r="D7417" s="12"/>
      <c r="E7417" s="12"/>
      <c r="H7417" s="11" t="str">
        <f ca="1">IFERROR(__xludf.DUMMYFUNCTION("IFERROR(SUBSTITUTE(SUBSTITUTE(REGEXEXTRACT(A7417, ""[^-]+- [^-]+- [^-]+ - (.+?)\.jpg""), "".jpg"", """"), ""-"", "", ""), """")"),"")</f>
        <v/>
      </c>
      <c r="L7417" s="12"/>
      <c r="M7417" s="13"/>
      <c r="N7417" s="2"/>
      <c r="O7417" s="20"/>
      <c r="P7417" s="42"/>
      <c r="R7417" s="23"/>
    </row>
    <row r="7418" spans="1:18" ht="12.75">
      <c r="A7418" s="12"/>
      <c r="D7418" s="12"/>
      <c r="E7418" s="12"/>
      <c r="H7418" s="11" t="str">
        <f ca="1">IFERROR(__xludf.DUMMYFUNCTION("IFERROR(SUBSTITUTE(SUBSTITUTE(REGEXEXTRACT(A7418, ""[^-]+- [^-]+- [^-]+ - (.+?)\.jpg""), "".jpg"", """"), ""-"", "", ""), """")"),"")</f>
        <v/>
      </c>
      <c r="L7418" s="12"/>
      <c r="M7418" s="13"/>
      <c r="N7418" s="2"/>
      <c r="O7418" s="20"/>
      <c r="P7418" s="42"/>
      <c r="R7418" s="23"/>
    </row>
    <row r="7419" spans="1:18" ht="12.75">
      <c r="A7419" s="12"/>
      <c r="D7419" s="12"/>
      <c r="E7419" s="12"/>
      <c r="H7419" s="11" t="str">
        <f ca="1">IFERROR(__xludf.DUMMYFUNCTION("IFERROR(SUBSTITUTE(SUBSTITUTE(REGEXEXTRACT(A7419, ""[^-]+- [^-]+- [^-]+ - (.+?)\.jpg""), "".jpg"", """"), ""-"", "", ""), """")"),"")</f>
        <v/>
      </c>
      <c r="L7419" s="12"/>
      <c r="M7419" s="13"/>
      <c r="N7419" s="2"/>
      <c r="O7419" s="20"/>
      <c r="P7419" s="42"/>
      <c r="R7419" s="23"/>
    </row>
    <row r="7420" spans="1:18" ht="12.75">
      <c r="A7420" s="12"/>
      <c r="D7420" s="12"/>
      <c r="E7420" s="12"/>
      <c r="H7420" s="11" t="str">
        <f ca="1">IFERROR(__xludf.DUMMYFUNCTION("IFERROR(SUBSTITUTE(SUBSTITUTE(REGEXEXTRACT(A7420, ""[^-]+- [^-]+- [^-]+ - (.+?)\.jpg""), "".jpg"", """"), ""-"", "", ""), """")"),"")</f>
        <v/>
      </c>
      <c r="L7420" s="12"/>
      <c r="M7420" s="13"/>
      <c r="N7420" s="2"/>
      <c r="O7420" s="20"/>
      <c r="P7420" s="42"/>
      <c r="R7420" s="23"/>
    </row>
    <row r="7421" spans="1:18" ht="12.75">
      <c r="A7421" s="12"/>
      <c r="D7421" s="12"/>
      <c r="E7421" s="12"/>
      <c r="H7421" s="11" t="str">
        <f ca="1">IFERROR(__xludf.DUMMYFUNCTION("IFERROR(SUBSTITUTE(SUBSTITUTE(REGEXEXTRACT(A7421, ""[^-]+- [^-]+- [^-]+ - (.+?)\.jpg""), "".jpg"", """"), ""-"", "", ""), """")"),"")</f>
        <v/>
      </c>
      <c r="L7421" s="12"/>
      <c r="M7421" s="13"/>
      <c r="N7421" s="2"/>
      <c r="O7421" s="20"/>
      <c r="P7421" s="42"/>
      <c r="R7421" s="23"/>
    </row>
    <row r="7422" spans="1:18" ht="12.75">
      <c r="A7422" s="12"/>
      <c r="D7422" s="12"/>
      <c r="E7422" s="12"/>
      <c r="H7422" s="11" t="str">
        <f ca="1">IFERROR(__xludf.DUMMYFUNCTION("IFERROR(SUBSTITUTE(SUBSTITUTE(REGEXEXTRACT(A7422, ""[^-]+- [^-]+- [^-]+ - (.+?)\.jpg""), "".jpg"", """"), ""-"", "", ""), """")"),"")</f>
        <v/>
      </c>
      <c r="L7422" s="12"/>
      <c r="M7422" s="13"/>
      <c r="N7422" s="2"/>
      <c r="O7422" s="20"/>
      <c r="P7422" s="42"/>
      <c r="R7422" s="23"/>
    </row>
    <row r="7423" spans="1:18" ht="12.75">
      <c r="A7423" s="12"/>
      <c r="D7423" s="12"/>
      <c r="E7423" s="12"/>
      <c r="H7423" s="11" t="str">
        <f ca="1">IFERROR(__xludf.DUMMYFUNCTION("IFERROR(SUBSTITUTE(SUBSTITUTE(REGEXEXTRACT(A7423, ""[^-]+- [^-]+- [^-]+ - (.+?)\.jpg""), "".jpg"", """"), ""-"", "", ""), """")"),"")</f>
        <v/>
      </c>
      <c r="L7423" s="12"/>
      <c r="M7423" s="13"/>
      <c r="N7423" s="2"/>
      <c r="O7423" s="20"/>
      <c r="P7423" s="42"/>
      <c r="R7423" s="23"/>
    </row>
    <row r="7424" spans="1:18" ht="12.75">
      <c r="A7424" s="12"/>
      <c r="D7424" s="12"/>
      <c r="E7424" s="12"/>
      <c r="H7424" s="11" t="str">
        <f ca="1">IFERROR(__xludf.DUMMYFUNCTION("IFERROR(SUBSTITUTE(SUBSTITUTE(REGEXEXTRACT(A7424, ""[^-]+- [^-]+- [^-]+ - (.+?)\.jpg""), "".jpg"", """"), ""-"", "", ""), """")"),"")</f>
        <v/>
      </c>
      <c r="L7424" s="12"/>
      <c r="M7424" s="13"/>
      <c r="N7424" s="2"/>
      <c r="O7424" s="20"/>
      <c r="P7424" s="42"/>
      <c r="R7424" s="23"/>
    </row>
    <row r="7425" spans="1:18" ht="12.75">
      <c r="A7425" s="12"/>
      <c r="D7425" s="12"/>
      <c r="E7425" s="12"/>
      <c r="H7425" s="11" t="str">
        <f ca="1">IFERROR(__xludf.DUMMYFUNCTION("IFERROR(SUBSTITUTE(SUBSTITUTE(REGEXEXTRACT(A7425, ""[^-]+- [^-]+- [^-]+ - (.+?)\.jpg""), "".jpg"", """"), ""-"", "", ""), """")"),"")</f>
        <v/>
      </c>
      <c r="L7425" s="12"/>
      <c r="M7425" s="13"/>
      <c r="N7425" s="2"/>
      <c r="O7425" s="20"/>
      <c r="P7425" s="42"/>
      <c r="R7425" s="23"/>
    </row>
    <row r="7426" spans="1:18" ht="12.75">
      <c r="A7426" s="12"/>
      <c r="D7426" s="12"/>
      <c r="E7426" s="12"/>
      <c r="H7426" s="11" t="str">
        <f ca="1">IFERROR(__xludf.DUMMYFUNCTION("IFERROR(SUBSTITUTE(SUBSTITUTE(REGEXEXTRACT(A7426, ""[^-]+- [^-]+- [^-]+ - (.+?)\.jpg""), "".jpg"", """"), ""-"", "", ""), """")"),"")</f>
        <v/>
      </c>
      <c r="L7426" s="12"/>
      <c r="M7426" s="13"/>
      <c r="N7426" s="2"/>
      <c r="O7426" s="20"/>
      <c r="P7426" s="42"/>
      <c r="R7426" s="23"/>
    </row>
    <row r="7427" spans="1:18" ht="12.75">
      <c r="A7427" s="12"/>
      <c r="D7427" s="12"/>
      <c r="E7427" s="12"/>
      <c r="H7427" s="11" t="str">
        <f ca="1">IFERROR(__xludf.DUMMYFUNCTION("IFERROR(SUBSTITUTE(SUBSTITUTE(REGEXEXTRACT(A7427, ""[^-]+- [^-]+- [^-]+ - (.+?)\.jpg""), "".jpg"", """"), ""-"", "", ""), """")"),"")</f>
        <v/>
      </c>
      <c r="L7427" s="12"/>
      <c r="M7427" s="13"/>
      <c r="N7427" s="2"/>
      <c r="O7427" s="20"/>
      <c r="P7427" s="42"/>
      <c r="R7427" s="23"/>
    </row>
    <row r="7428" spans="1:18" ht="12.75">
      <c r="A7428" s="12"/>
      <c r="D7428" s="12"/>
      <c r="E7428" s="12"/>
      <c r="H7428" s="11" t="str">
        <f ca="1">IFERROR(__xludf.DUMMYFUNCTION("IFERROR(SUBSTITUTE(SUBSTITUTE(REGEXEXTRACT(A7428, ""[^-]+- [^-]+- [^-]+ - (.+?)\.jpg""), "".jpg"", """"), ""-"", "", ""), """")"),"")</f>
        <v/>
      </c>
      <c r="L7428" s="12"/>
      <c r="M7428" s="13"/>
      <c r="N7428" s="2"/>
      <c r="O7428" s="20"/>
      <c r="P7428" s="42"/>
      <c r="R7428" s="23"/>
    </row>
    <row r="7429" spans="1:18" ht="12.75">
      <c r="A7429" s="12"/>
      <c r="D7429" s="12"/>
      <c r="E7429" s="12"/>
      <c r="H7429" s="11" t="str">
        <f ca="1">IFERROR(__xludf.DUMMYFUNCTION("IFERROR(SUBSTITUTE(SUBSTITUTE(REGEXEXTRACT(A7429, ""[^-]+- [^-]+- [^-]+ - (.+?)\.jpg""), "".jpg"", """"), ""-"", "", ""), """")"),"")</f>
        <v/>
      </c>
      <c r="L7429" s="12"/>
      <c r="M7429" s="13"/>
      <c r="N7429" s="2"/>
      <c r="O7429" s="20"/>
      <c r="P7429" s="42"/>
      <c r="R7429" s="23"/>
    </row>
    <row r="7430" spans="1:18" ht="12.75">
      <c r="A7430" s="12"/>
      <c r="D7430" s="12"/>
      <c r="E7430" s="12"/>
      <c r="H7430" s="11" t="str">
        <f ca="1">IFERROR(__xludf.DUMMYFUNCTION("IFERROR(SUBSTITUTE(SUBSTITUTE(REGEXEXTRACT(A7430, ""[^-]+- [^-]+- [^-]+ - (.+?)\.jpg""), "".jpg"", """"), ""-"", "", ""), """")"),"")</f>
        <v/>
      </c>
      <c r="L7430" s="12"/>
      <c r="M7430" s="13"/>
      <c r="N7430" s="2"/>
      <c r="O7430" s="20"/>
      <c r="P7430" s="42"/>
      <c r="R7430" s="23"/>
    </row>
    <row r="7431" spans="1:18" ht="12.75">
      <c r="A7431" s="12"/>
      <c r="D7431" s="12"/>
      <c r="E7431" s="12"/>
      <c r="H7431" s="11" t="str">
        <f ca="1">IFERROR(__xludf.DUMMYFUNCTION("IFERROR(SUBSTITUTE(SUBSTITUTE(REGEXEXTRACT(A7431, ""[^-]+- [^-]+- [^-]+ - (.+?)\.jpg""), "".jpg"", """"), ""-"", "", ""), """")"),"")</f>
        <v/>
      </c>
      <c r="L7431" s="12"/>
      <c r="M7431" s="13"/>
      <c r="N7431" s="2"/>
      <c r="O7431" s="20"/>
      <c r="P7431" s="42"/>
      <c r="R7431" s="23"/>
    </row>
    <row r="7432" spans="1:18" ht="12.75">
      <c r="A7432" s="12"/>
      <c r="D7432" s="12"/>
      <c r="E7432" s="12"/>
      <c r="H7432" s="11" t="str">
        <f ca="1">IFERROR(__xludf.DUMMYFUNCTION("IFERROR(SUBSTITUTE(SUBSTITUTE(REGEXEXTRACT(A7432, ""[^-]+- [^-]+- [^-]+ - (.+?)\.jpg""), "".jpg"", """"), ""-"", "", ""), """")"),"")</f>
        <v/>
      </c>
      <c r="L7432" s="12"/>
      <c r="M7432" s="13"/>
      <c r="N7432" s="2"/>
      <c r="O7432" s="20"/>
      <c r="P7432" s="42"/>
      <c r="R7432" s="23"/>
    </row>
    <row r="7433" spans="1:18" ht="12.75">
      <c r="A7433" s="12"/>
      <c r="D7433" s="12"/>
      <c r="E7433" s="12"/>
      <c r="H7433" s="11" t="str">
        <f ca="1">IFERROR(__xludf.DUMMYFUNCTION("IFERROR(SUBSTITUTE(SUBSTITUTE(REGEXEXTRACT(A7433, ""[^-]+- [^-]+- [^-]+ - (.+?)\.jpg""), "".jpg"", """"), ""-"", "", ""), """")"),"")</f>
        <v/>
      </c>
      <c r="L7433" s="12"/>
      <c r="M7433" s="13"/>
      <c r="N7433" s="2"/>
      <c r="O7433" s="20"/>
      <c r="P7433" s="42"/>
      <c r="R7433" s="23"/>
    </row>
    <row r="7434" spans="1:18" ht="12.75">
      <c r="A7434" s="12"/>
      <c r="D7434" s="12"/>
      <c r="E7434" s="12"/>
      <c r="H7434" s="11" t="str">
        <f ca="1">IFERROR(__xludf.DUMMYFUNCTION("IFERROR(SUBSTITUTE(SUBSTITUTE(REGEXEXTRACT(A7434, ""[^-]+- [^-]+- [^-]+ - (.+?)\.jpg""), "".jpg"", """"), ""-"", "", ""), """")"),"")</f>
        <v/>
      </c>
      <c r="L7434" s="12"/>
      <c r="M7434" s="13"/>
      <c r="N7434" s="2"/>
      <c r="O7434" s="20"/>
      <c r="P7434" s="42"/>
      <c r="R7434" s="23"/>
    </row>
    <row r="7435" spans="1:18" ht="12.75">
      <c r="A7435" s="12"/>
      <c r="D7435" s="12"/>
      <c r="E7435" s="12"/>
      <c r="H7435" s="11" t="str">
        <f ca="1">IFERROR(__xludf.DUMMYFUNCTION("IFERROR(SUBSTITUTE(SUBSTITUTE(REGEXEXTRACT(A7435, ""[^-]+- [^-]+- [^-]+ - (.+?)\.jpg""), "".jpg"", """"), ""-"", "", ""), """")"),"")</f>
        <v/>
      </c>
      <c r="L7435" s="12"/>
      <c r="M7435" s="13"/>
      <c r="N7435" s="2"/>
      <c r="O7435" s="20"/>
      <c r="P7435" s="42"/>
      <c r="R7435" s="23"/>
    </row>
    <row r="7436" spans="1:18" ht="12.75">
      <c r="A7436" s="12"/>
      <c r="D7436" s="12"/>
      <c r="E7436" s="12"/>
      <c r="H7436" s="11" t="str">
        <f ca="1">IFERROR(__xludf.DUMMYFUNCTION("IFERROR(SUBSTITUTE(SUBSTITUTE(REGEXEXTRACT(A7436, ""[^-]+- [^-]+- [^-]+ - (.+?)\.jpg""), "".jpg"", """"), ""-"", "", ""), """")"),"")</f>
        <v/>
      </c>
      <c r="L7436" s="12"/>
      <c r="M7436" s="13"/>
      <c r="N7436" s="2"/>
      <c r="O7436" s="20"/>
      <c r="P7436" s="42"/>
      <c r="R7436" s="23"/>
    </row>
    <row r="7437" spans="1:18" ht="12.75">
      <c r="A7437" s="12"/>
      <c r="D7437" s="12"/>
      <c r="E7437" s="12"/>
      <c r="H7437" s="11" t="str">
        <f ca="1">IFERROR(__xludf.DUMMYFUNCTION("IFERROR(SUBSTITUTE(SUBSTITUTE(REGEXEXTRACT(A7437, ""[^-]+- [^-]+- [^-]+ - (.+?)\.jpg""), "".jpg"", """"), ""-"", "", ""), """")"),"")</f>
        <v/>
      </c>
      <c r="L7437" s="12"/>
      <c r="M7437" s="13"/>
      <c r="N7437" s="2"/>
      <c r="O7437" s="20"/>
      <c r="P7437" s="42"/>
      <c r="R7437" s="23"/>
    </row>
    <row r="7438" spans="1:18" ht="12.75">
      <c r="A7438" s="12"/>
      <c r="D7438" s="12"/>
      <c r="E7438" s="12"/>
      <c r="H7438" s="11" t="str">
        <f ca="1">IFERROR(__xludf.DUMMYFUNCTION("IFERROR(SUBSTITUTE(SUBSTITUTE(REGEXEXTRACT(A7438, ""[^-]+- [^-]+- [^-]+ - (.+?)\.jpg""), "".jpg"", """"), ""-"", "", ""), """")"),"")</f>
        <v/>
      </c>
      <c r="L7438" s="12"/>
      <c r="M7438" s="13"/>
      <c r="N7438" s="2"/>
      <c r="O7438" s="20"/>
      <c r="P7438" s="42"/>
      <c r="R7438" s="23"/>
    </row>
    <row r="7439" spans="1:18" ht="12.75">
      <c r="A7439" s="12"/>
      <c r="D7439" s="12"/>
      <c r="E7439" s="12"/>
      <c r="H7439" s="11" t="str">
        <f ca="1">IFERROR(__xludf.DUMMYFUNCTION("IFERROR(SUBSTITUTE(SUBSTITUTE(REGEXEXTRACT(A7439, ""[^-]+- [^-]+- [^-]+ - (.+?)\.jpg""), "".jpg"", """"), ""-"", "", ""), """")"),"")</f>
        <v/>
      </c>
      <c r="L7439" s="12"/>
      <c r="M7439" s="13"/>
      <c r="N7439" s="2"/>
      <c r="O7439" s="20"/>
      <c r="P7439" s="42"/>
      <c r="R7439" s="23"/>
    </row>
    <row r="7440" spans="1:18" ht="12.75">
      <c r="A7440" s="12"/>
      <c r="D7440" s="12"/>
      <c r="E7440" s="12"/>
      <c r="H7440" s="11" t="str">
        <f ca="1">IFERROR(__xludf.DUMMYFUNCTION("IFERROR(SUBSTITUTE(SUBSTITUTE(REGEXEXTRACT(A7440, ""[^-]+- [^-]+- [^-]+ - (.+?)\.jpg""), "".jpg"", """"), ""-"", "", ""), """")"),"")</f>
        <v/>
      </c>
      <c r="L7440" s="12"/>
      <c r="M7440" s="13"/>
      <c r="N7440" s="2"/>
      <c r="O7440" s="20"/>
      <c r="P7440" s="42"/>
      <c r="R7440" s="23"/>
    </row>
    <row r="7441" spans="1:18" ht="12.75">
      <c r="A7441" s="12"/>
      <c r="D7441" s="12"/>
      <c r="E7441" s="12"/>
      <c r="H7441" s="11" t="str">
        <f ca="1">IFERROR(__xludf.DUMMYFUNCTION("IFERROR(SUBSTITUTE(SUBSTITUTE(REGEXEXTRACT(A7441, ""[^-]+- [^-]+- [^-]+ - (.+?)\.jpg""), "".jpg"", """"), ""-"", "", ""), """")"),"")</f>
        <v/>
      </c>
      <c r="L7441" s="12"/>
      <c r="M7441" s="13"/>
      <c r="N7441" s="2"/>
      <c r="O7441" s="20"/>
      <c r="P7441" s="42"/>
      <c r="R7441" s="23"/>
    </row>
    <row r="7442" spans="1:18" ht="12.75">
      <c r="A7442" s="12"/>
      <c r="D7442" s="12"/>
      <c r="E7442" s="12"/>
      <c r="H7442" s="11" t="str">
        <f ca="1">IFERROR(__xludf.DUMMYFUNCTION("IFERROR(SUBSTITUTE(SUBSTITUTE(REGEXEXTRACT(A7442, ""[^-]+- [^-]+- [^-]+ - (.+?)\.jpg""), "".jpg"", """"), ""-"", "", ""), """")"),"")</f>
        <v/>
      </c>
      <c r="L7442" s="12"/>
      <c r="M7442" s="13"/>
      <c r="N7442" s="2"/>
      <c r="O7442" s="20"/>
      <c r="P7442" s="42"/>
      <c r="R7442" s="23"/>
    </row>
    <row r="7443" spans="1:18" ht="12.75">
      <c r="A7443" s="12"/>
      <c r="D7443" s="12"/>
      <c r="E7443" s="12"/>
      <c r="H7443" s="11" t="str">
        <f ca="1">IFERROR(__xludf.DUMMYFUNCTION("IFERROR(SUBSTITUTE(SUBSTITUTE(REGEXEXTRACT(A7443, ""[^-]+- [^-]+- [^-]+ - (.+?)\.jpg""), "".jpg"", """"), ""-"", "", ""), """")"),"")</f>
        <v/>
      </c>
      <c r="L7443" s="12"/>
      <c r="M7443" s="13"/>
      <c r="N7443" s="2"/>
      <c r="O7443" s="20"/>
      <c r="P7443" s="42"/>
      <c r="R7443" s="23"/>
    </row>
    <row r="7444" spans="1:18" ht="12.75">
      <c r="A7444" s="12"/>
      <c r="D7444" s="12"/>
      <c r="E7444" s="12"/>
      <c r="H7444" s="11" t="str">
        <f ca="1">IFERROR(__xludf.DUMMYFUNCTION("IFERROR(SUBSTITUTE(SUBSTITUTE(REGEXEXTRACT(A7444, ""[^-]+- [^-]+- [^-]+ - (.+?)\.jpg""), "".jpg"", """"), ""-"", "", ""), """")"),"")</f>
        <v/>
      </c>
      <c r="L7444" s="12"/>
      <c r="M7444" s="13"/>
      <c r="N7444" s="2"/>
      <c r="O7444" s="20"/>
      <c r="P7444" s="42"/>
      <c r="R7444" s="23"/>
    </row>
    <row r="7445" spans="1:18" ht="12.75">
      <c r="A7445" s="12"/>
      <c r="D7445" s="12"/>
      <c r="E7445" s="12"/>
      <c r="H7445" s="11" t="str">
        <f ca="1">IFERROR(__xludf.DUMMYFUNCTION("IFERROR(SUBSTITUTE(SUBSTITUTE(REGEXEXTRACT(A7445, ""[^-]+- [^-]+- [^-]+ - (.+?)\.jpg""), "".jpg"", """"), ""-"", "", ""), """")"),"")</f>
        <v/>
      </c>
      <c r="L7445" s="12"/>
      <c r="M7445" s="13"/>
      <c r="N7445" s="2"/>
      <c r="O7445" s="20"/>
      <c r="P7445" s="42"/>
      <c r="R7445" s="23"/>
    </row>
    <row r="7446" spans="1:18" ht="12.75">
      <c r="A7446" s="12"/>
      <c r="D7446" s="12"/>
      <c r="E7446" s="12"/>
      <c r="H7446" s="11" t="str">
        <f ca="1">IFERROR(__xludf.DUMMYFUNCTION("IFERROR(SUBSTITUTE(SUBSTITUTE(REGEXEXTRACT(A7446, ""[^-]+- [^-]+- [^-]+ - (.+?)\.jpg""), "".jpg"", """"), ""-"", "", ""), """")"),"")</f>
        <v/>
      </c>
      <c r="L7446" s="12"/>
      <c r="M7446" s="13"/>
      <c r="N7446" s="2"/>
      <c r="O7446" s="20"/>
      <c r="P7446" s="42"/>
      <c r="R7446" s="23"/>
    </row>
    <row r="7447" spans="1:18" ht="12.75">
      <c r="A7447" s="12"/>
      <c r="D7447" s="12"/>
      <c r="E7447" s="12"/>
      <c r="H7447" s="11" t="str">
        <f ca="1">IFERROR(__xludf.DUMMYFUNCTION("IFERROR(SUBSTITUTE(SUBSTITUTE(REGEXEXTRACT(A7447, ""[^-]+- [^-]+- [^-]+ - (.+?)\.jpg""), "".jpg"", """"), ""-"", "", ""), """")"),"")</f>
        <v/>
      </c>
      <c r="L7447" s="12"/>
      <c r="M7447" s="13"/>
      <c r="N7447" s="2"/>
      <c r="O7447" s="20"/>
      <c r="P7447" s="42"/>
      <c r="R7447" s="23"/>
    </row>
    <row r="7448" spans="1:18" ht="12.75">
      <c r="A7448" s="12"/>
      <c r="D7448" s="12"/>
      <c r="E7448" s="12"/>
      <c r="H7448" s="11" t="str">
        <f ca="1">IFERROR(__xludf.DUMMYFUNCTION("IFERROR(SUBSTITUTE(SUBSTITUTE(REGEXEXTRACT(A7448, ""[^-]+- [^-]+- [^-]+ - (.+?)\.jpg""), "".jpg"", """"), ""-"", "", ""), """")"),"")</f>
        <v/>
      </c>
      <c r="L7448" s="12"/>
      <c r="M7448" s="13"/>
      <c r="N7448" s="2"/>
      <c r="O7448" s="20"/>
      <c r="P7448" s="42"/>
      <c r="R7448" s="23"/>
    </row>
    <row r="7449" spans="1:18" ht="12.75">
      <c r="A7449" s="12"/>
      <c r="D7449" s="12"/>
      <c r="E7449" s="12"/>
      <c r="H7449" s="11" t="str">
        <f ca="1">IFERROR(__xludf.DUMMYFUNCTION("IFERROR(SUBSTITUTE(SUBSTITUTE(REGEXEXTRACT(A7449, ""[^-]+- [^-]+- [^-]+ - (.+?)\.jpg""), "".jpg"", """"), ""-"", "", ""), """")"),"")</f>
        <v/>
      </c>
      <c r="L7449" s="12"/>
      <c r="M7449" s="13"/>
      <c r="N7449" s="2"/>
      <c r="O7449" s="20"/>
      <c r="P7449" s="42"/>
      <c r="R7449" s="23"/>
    </row>
    <row r="7450" spans="1:18" ht="12.75">
      <c r="A7450" s="12"/>
      <c r="D7450" s="12"/>
      <c r="E7450" s="12"/>
      <c r="H7450" s="11" t="str">
        <f ca="1">IFERROR(__xludf.DUMMYFUNCTION("IFERROR(SUBSTITUTE(SUBSTITUTE(REGEXEXTRACT(A7450, ""[^-]+- [^-]+- [^-]+ - (.+?)\.jpg""), "".jpg"", """"), ""-"", "", ""), """")"),"")</f>
        <v/>
      </c>
      <c r="L7450" s="12"/>
      <c r="M7450" s="13"/>
      <c r="N7450" s="2"/>
      <c r="O7450" s="20"/>
      <c r="P7450" s="42"/>
      <c r="R7450" s="23"/>
    </row>
    <row r="7451" spans="1:18" ht="12.75">
      <c r="A7451" s="12"/>
      <c r="D7451" s="12"/>
      <c r="E7451" s="12"/>
      <c r="H7451" s="11" t="str">
        <f ca="1">IFERROR(__xludf.DUMMYFUNCTION("IFERROR(SUBSTITUTE(SUBSTITUTE(REGEXEXTRACT(A7451, ""[^-]+- [^-]+- [^-]+ - (.+?)\.jpg""), "".jpg"", """"), ""-"", "", ""), """")"),"")</f>
        <v/>
      </c>
      <c r="L7451" s="12"/>
      <c r="M7451" s="13"/>
      <c r="N7451" s="2"/>
      <c r="O7451" s="20"/>
      <c r="P7451" s="42"/>
      <c r="R7451" s="23"/>
    </row>
    <row r="7452" spans="1:18" ht="12.75">
      <c r="A7452" s="12"/>
      <c r="D7452" s="12"/>
      <c r="E7452" s="12"/>
      <c r="H7452" s="11" t="str">
        <f ca="1">IFERROR(__xludf.DUMMYFUNCTION("IFERROR(SUBSTITUTE(SUBSTITUTE(REGEXEXTRACT(A7452, ""[^-]+- [^-]+- [^-]+ - (.+?)\.jpg""), "".jpg"", """"), ""-"", "", ""), """")"),"")</f>
        <v/>
      </c>
      <c r="L7452" s="12"/>
      <c r="M7452" s="13"/>
      <c r="N7452" s="2"/>
      <c r="O7452" s="20"/>
      <c r="P7452" s="42"/>
      <c r="R7452" s="23"/>
    </row>
    <row r="7453" spans="1:18" ht="12.75">
      <c r="A7453" s="12"/>
      <c r="D7453" s="12"/>
      <c r="E7453" s="12"/>
      <c r="H7453" s="11" t="str">
        <f ca="1">IFERROR(__xludf.DUMMYFUNCTION("IFERROR(SUBSTITUTE(SUBSTITUTE(REGEXEXTRACT(A7453, ""[^-]+- [^-]+- [^-]+ - (.+?)\.jpg""), "".jpg"", """"), ""-"", "", ""), """")"),"")</f>
        <v/>
      </c>
      <c r="L7453" s="12"/>
      <c r="M7453" s="13"/>
      <c r="N7453" s="2"/>
      <c r="O7453" s="20"/>
      <c r="P7453" s="42"/>
      <c r="R7453" s="23"/>
    </row>
    <row r="7454" spans="1:18" ht="12.75">
      <c r="A7454" s="12"/>
      <c r="D7454" s="12"/>
      <c r="E7454" s="12"/>
      <c r="H7454" s="11" t="str">
        <f ca="1">IFERROR(__xludf.DUMMYFUNCTION("IFERROR(SUBSTITUTE(SUBSTITUTE(REGEXEXTRACT(A7454, ""[^-]+- [^-]+- [^-]+ - (.+?)\.jpg""), "".jpg"", """"), ""-"", "", ""), """")"),"")</f>
        <v/>
      </c>
      <c r="L7454" s="12"/>
      <c r="M7454" s="13"/>
      <c r="N7454" s="2"/>
      <c r="O7454" s="20"/>
      <c r="P7454" s="42"/>
      <c r="R7454" s="23"/>
    </row>
    <row r="7455" spans="1:18" ht="12.75">
      <c r="A7455" s="12"/>
      <c r="D7455" s="12"/>
      <c r="E7455" s="12"/>
      <c r="H7455" s="11" t="str">
        <f ca="1">IFERROR(__xludf.DUMMYFUNCTION("IFERROR(SUBSTITUTE(SUBSTITUTE(REGEXEXTRACT(A7455, ""[^-]+- [^-]+- [^-]+ - (.+?)\.jpg""), "".jpg"", """"), ""-"", "", ""), """")"),"")</f>
        <v/>
      </c>
      <c r="L7455" s="12"/>
      <c r="M7455" s="13"/>
      <c r="N7455" s="2"/>
      <c r="O7455" s="20"/>
      <c r="P7455" s="42"/>
      <c r="R7455" s="23"/>
    </row>
    <row r="7456" spans="1:18" ht="12.75">
      <c r="A7456" s="12"/>
      <c r="D7456" s="12"/>
      <c r="E7456" s="12"/>
      <c r="H7456" s="11" t="str">
        <f ca="1">IFERROR(__xludf.DUMMYFUNCTION("IFERROR(SUBSTITUTE(SUBSTITUTE(REGEXEXTRACT(A7456, ""[^-]+- [^-]+- [^-]+ - (.+?)\.jpg""), "".jpg"", """"), ""-"", "", ""), """")"),"")</f>
        <v/>
      </c>
      <c r="L7456" s="12"/>
      <c r="M7456" s="13"/>
      <c r="N7456" s="2"/>
      <c r="O7456" s="20"/>
      <c r="P7456" s="42"/>
      <c r="R7456" s="23"/>
    </row>
    <row r="7457" spans="1:18" ht="12.75">
      <c r="A7457" s="12"/>
      <c r="D7457" s="12"/>
      <c r="E7457" s="12"/>
      <c r="H7457" s="11" t="str">
        <f ca="1">IFERROR(__xludf.DUMMYFUNCTION("IFERROR(SUBSTITUTE(SUBSTITUTE(REGEXEXTRACT(A7457, ""[^-]+- [^-]+- [^-]+ - (.+?)\.jpg""), "".jpg"", """"), ""-"", "", ""), """")"),"")</f>
        <v/>
      </c>
      <c r="L7457" s="12"/>
      <c r="M7457" s="13"/>
      <c r="N7457" s="2"/>
      <c r="O7457" s="20"/>
      <c r="P7457" s="42"/>
      <c r="R7457" s="23"/>
    </row>
    <row r="7458" spans="1:18" ht="12.75">
      <c r="A7458" s="12"/>
      <c r="D7458" s="12"/>
      <c r="E7458" s="12"/>
      <c r="H7458" s="11" t="str">
        <f ca="1">IFERROR(__xludf.DUMMYFUNCTION("IFERROR(SUBSTITUTE(SUBSTITUTE(REGEXEXTRACT(A7458, ""[^-]+- [^-]+- [^-]+ - (.+?)\.jpg""), "".jpg"", """"), ""-"", "", ""), """")"),"")</f>
        <v/>
      </c>
      <c r="L7458" s="12"/>
      <c r="M7458" s="13"/>
      <c r="N7458" s="2"/>
      <c r="O7458" s="20"/>
      <c r="P7458" s="42"/>
      <c r="R7458" s="23"/>
    </row>
    <row r="7459" spans="1:18" ht="12.75">
      <c r="A7459" s="12"/>
      <c r="D7459" s="12"/>
      <c r="E7459" s="12"/>
      <c r="H7459" s="11" t="str">
        <f ca="1">IFERROR(__xludf.DUMMYFUNCTION("IFERROR(SUBSTITUTE(SUBSTITUTE(REGEXEXTRACT(A7459, ""[^-]+- [^-]+- [^-]+ - (.+?)\.jpg""), "".jpg"", """"), ""-"", "", ""), """")"),"")</f>
        <v/>
      </c>
      <c r="L7459" s="12"/>
      <c r="M7459" s="13"/>
      <c r="N7459" s="2"/>
      <c r="O7459" s="20"/>
      <c r="P7459" s="42"/>
      <c r="R7459" s="23"/>
    </row>
    <row r="7460" spans="1:18" ht="12.75">
      <c r="A7460" s="12"/>
      <c r="D7460" s="12"/>
      <c r="E7460" s="12"/>
      <c r="H7460" s="11" t="str">
        <f ca="1">IFERROR(__xludf.DUMMYFUNCTION("IFERROR(SUBSTITUTE(SUBSTITUTE(REGEXEXTRACT(A7460, ""[^-]+- [^-]+- [^-]+ - (.+?)\.jpg""), "".jpg"", """"), ""-"", "", ""), """")"),"")</f>
        <v/>
      </c>
      <c r="L7460" s="12"/>
      <c r="M7460" s="13"/>
      <c r="N7460" s="2"/>
      <c r="O7460" s="20"/>
      <c r="P7460" s="42"/>
      <c r="R7460" s="23"/>
    </row>
    <row r="7461" spans="1:18" ht="12.75">
      <c r="A7461" s="12"/>
      <c r="D7461" s="12"/>
      <c r="E7461" s="12"/>
      <c r="H7461" s="11" t="str">
        <f ca="1">IFERROR(__xludf.DUMMYFUNCTION("IFERROR(SUBSTITUTE(SUBSTITUTE(REGEXEXTRACT(A7461, ""[^-]+- [^-]+- [^-]+ - (.+?)\.jpg""), "".jpg"", """"), ""-"", "", ""), """")"),"")</f>
        <v/>
      </c>
      <c r="L7461" s="12"/>
      <c r="M7461" s="13"/>
      <c r="N7461" s="2"/>
      <c r="O7461" s="20"/>
      <c r="P7461" s="42"/>
      <c r="R7461" s="23"/>
    </row>
    <row r="7462" spans="1:18" ht="12.75">
      <c r="A7462" s="12"/>
      <c r="D7462" s="12"/>
      <c r="E7462" s="12"/>
      <c r="H7462" s="11" t="str">
        <f ca="1">IFERROR(__xludf.DUMMYFUNCTION("IFERROR(SUBSTITUTE(SUBSTITUTE(REGEXEXTRACT(A7462, ""[^-]+- [^-]+- [^-]+ - (.+?)\.jpg""), "".jpg"", """"), ""-"", "", ""), """")"),"")</f>
        <v/>
      </c>
      <c r="L7462" s="12"/>
      <c r="M7462" s="13"/>
      <c r="N7462" s="2"/>
      <c r="O7462" s="20"/>
      <c r="P7462" s="42"/>
      <c r="R7462" s="23"/>
    </row>
    <row r="7463" spans="1:18" ht="12.75">
      <c r="A7463" s="12"/>
      <c r="D7463" s="12"/>
      <c r="E7463" s="12"/>
      <c r="H7463" s="11" t="str">
        <f ca="1">IFERROR(__xludf.DUMMYFUNCTION("IFERROR(SUBSTITUTE(SUBSTITUTE(REGEXEXTRACT(A7463, ""[^-]+- [^-]+- [^-]+ - (.+?)\.jpg""), "".jpg"", """"), ""-"", "", ""), """")"),"")</f>
        <v/>
      </c>
      <c r="L7463" s="12"/>
      <c r="M7463" s="13"/>
      <c r="N7463" s="2"/>
      <c r="O7463" s="20"/>
      <c r="P7463" s="42"/>
      <c r="R7463" s="23"/>
    </row>
    <row r="7464" spans="1:18" ht="12.75">
      <c r="A7464" s="12"/>
      <c r="D7464" s="12"/>
      <c r="E7464" s="12"/>
      <c r="H7464" s="11" t="str">
        <f ca="1">IFERROR(__xludf.DUMMYFUNCTION("IFERROR(SUBSTITUTE(SUBSTITUTE(REGEXEXTRACT(A7464, ""[^-]+- [^-]+- [^-]+ - (.+?)\.jpg""), "".jpg"", """"), ""-"", "", ""), """")"),"")</f>
        <v/>
      </c>
      <c r="L7464" s="12"/>
      <c r="M7464" s="13"/>
      <c r="N7464" s="2"/>
      <c r="O7464" s="20"/>
      <c r="P7464" s="42"/>
      <c r="R7464" s="23"/>
    </row>
    <row r="7465" spans="1:18" ht="12.75">
      <c r="A7465" s="12"/>
      <c r="D7465" s="12"/>
      <c r="E7465" s="12"/>
      <c r="H7465" s="11" t="str">
        <f ca="1">IFERROR(__xludf.DUMMYFUNCTION("IFERROR(SUBSTITUTE(SUBSTITUTE(REGEXEXTRACT(A7465, ""[^-]+- [^-]+- [^-]+ - (.+?)\.jpg""), "".jpg"", """"), ""-"", "", ""), """")"),"")</f>
        <v/>
      </c>
      <c r="L7465" s="12"/>
      <c r="M7465" s="13"/>
      <c r="N7465" s="2"/>
      <c r="O7465" s="20"/>
      <c r="P7465" s="42"/>
      <c r="R7465" s="23"/>
    </row>
    <row r="7466" spans="1:18" ht="12.75">
      <c r="A7466" s="12"/>
      <c r="D7466" s="12"/>
      <c r="E7466" s="12"/>
      <c r="H7466" s="11" t="str">
        <f ca="1">IFERROR(__xludf.DUMMYFUNCTION("IFERROR(SUBSTITUTE(SUBSTITUTE(REGEXEXTRACT(A7466, ""[^-]+- [^-]+- [^-]+ - (.+?)\.jpg""), "".jpg"", """"), ""-"", "", ""), """")"),"")</f>
        <v/>
      </c>
      <c r="L7466" s="12"/>
      <c r="M7466" s="13"/>
      <c r="N7466" s="2"/>
      <c r="O7466" s="20"/>
      <c r="P7466" s="42"/>
      <c r="R7466" s="23"/>
    </row>
    <row r="7467" spans="1:18" ht="12.75">
      <c r="A7467" s="12"/>
      <c r="D7467" s="12"/>
      <c r="E7467" s="12"/>
      <c r="H7467" s="11" t="str">
        <f ca="1">IFERROR(__xludf.DUMMYFUNCTION("IFERROR(SUBSTITUTE(SUBSTITUTE(REGEXEXTRACT(A7467, ""[^-]+- [^-]+- [^-]+ - (.+?)\.jpg""), "".jpg"", """"), ""-"", "", ""), """")"),"")</f>
        <v/>
      </c>
      <c r="L7467" s="12"/>
      <c r="M7467" s="13"/>
      <c r="N7467" s="2"/>
      <c r="O7467" s="20"/>
      <c r="P7467" s="42"/>
      <c r="R7467" s="23"/>
    </row>
    <row r="7468" spans="1:18" ht="12.75">
      <c r="A7468" s="12"/>
      <c r="D7468" s="12"/>
      <c r="E7468" s="12"/>
      <c r="H7468" s="11" t="str">
        <f ca="1">IFERROR(__xludf.DUMMYFUNCTION("IFERROR(SUBSTITUTE(SUBSTITUTE(REGEXEXTRACT(A7468, ""[^-]+- [^-]+- [^-]+ - (.+?)\.jpg""), "".jpg"", """"), ""-"", "", ""), """")"),"")</f>
        <v/>
      </c>
      <c r="L7468" s="12"/>
      <c r="M7468" s="13"/>
      <c r="N7468" s="2"/>
      <c r="O7468" s="20"/>
      <c r="P7468" s="42"/>
      <c r="R7468" s="23"/>
    </row>
    <row r="7469" spans="1:18" ht="12.75">
      <c r="A7469" s="12"/>
      <c r="D7469" s="12"/>
      <c r="E7469" s="12"/>
      <c r="H7469" s="11" t="str">
        <f ca="1">IFERROR(__xludf.DUMMYFUNCTION("IFERROR(SUBSTITUTE(SUBSTITUTE(REGEXEXTRACT(A7469, ""[^-]+- [^-]+- [^-]+ - (.+?)\.jpg""), "".jpg"", """"), ""-"", "", ""), """")"),"")</f>
        <v/>
      </c>
      <c r="L7469" s="12"/>
      <c r="M7469" s="13"/>
      <c r="N7469" s="2"/>
      <c r="O7469" s="20"/>
      <c r="P7469" s="42"/>
      <c r="R7469" s="23"/>
    </row>
    <row r="7470" spans="1:18" ht="12.75">
      <c r="A7470" s="12"/>
      <c r="D7470" s="12"/>
      <c r="E7470" s="12"/>
      <c r="H7470" s="11" t="str">
        <f ca="1">IFERROR(__xludf.DUMMYFUNCTION("IFERROR(SUBSTITUTE(SUBSTITUTE(REGEXEXTRACT(A7470, ""[^-]+- [^-]+- [^-]+ - (.+?)\.jpg""), "".jpg"", """"), ""-"", "", ""), """")"),"")</f>
        <v/>
      </c>
      <c r="L7470" s="12"/>
      <c r="M7470" s="13"/>
      <c r="N7470" s="2"/>
      <c r="O7470" s="20"/>
      <c r="P7470" s="42"/>
      <c r="R7470" s="23"/>
    </row>
    <row r="7471" spans="1:18" ht="12.75">
      <c r="A7471" s="12"/>
      <c r="D7471" s="12"/>
      <c r="E7471" s="12"/>
      <c r="H7471" s="11" t="str">
        <f ca="1">IFERROR(__xludf.DUMMYFUNCTION("IFERROR(SUBSTITUTE(SUBSTITUTE(REGEXEXTRACT(A7471, ""[^-]+- [^-]+- [^-]+ - (.+?)\.jpg""), "".jpg"", """"), ""-"", "", ""), """")"),"")</f>
        <v/>
      </c>
      <c r="L7471" s="12"/>
      <c r="M7471" s="13"/>
      <c r="N7471" s="2"/>
      <c r="O7471" s="20"/>
      <c r="P7471" s="42"/>
      <c r="R7471" s="23"/>
    </row>
    <row r="7472" spans="1:18" ht="12.75">
      <c r="A7472" s="12"/>
      <c r="D7472" s="12"/>
      <c r="E7472" s="12"/>
      <c r="H7472" s="11" t="str">
        <f ca="1">IFERROR(__xludf.DUMMYFUNCTION("IFERROR(SUBSTITUTE(SUBSTITUTE(REGEXEXTRACT(A7472, ""[^-]+- [^-]+- [^-]+ - (.+?)\.jpg""), "".jpg"", """"), ""-"", "", ""), """")"),"")</f>
        <v/>
      </c>
      <c r="L7472" s="12"/>
      <c r="M7472" s="13"/>
      <c r="N7472" s="2"/>
      <c r="O7472" s="20"/>
      <c r="P7472" s="42"/>
      <c r="R7472" s="23"/>
    </row>
    <row r="7473" spans="1:18" ht="12.75">
      <c r="A7473" s="12"/>
      <c r="D7473" s="12"/>
      <c r="E7473" s="12"/>
      <c r="H7473" s="11" t="str">
        <f ca="1">IFERROR(__xludf.DUMMYFUNCTION("IFERROR(SUBSTITUTE(SUBSTITUTE(REGEXEXTRACT(A7473, ""[^-]+- [^-]+- [^-]+ - (.+?)\.jpg""), "".jpg"", """"), ""-"", "", ""), """")"),"")</f>
        <v/>
      </c>
      <c r="L7473" s="12"/>
      <c r="M7473" s="13"/>
      <c r="N7473" s="2"/>
      <c r="O7473" s="20"/>
      <c r="P7473" s="42"/>
      <c r="R7473" s="23"/>
    </row>
    <row r="7474" spans="1:18" ht="12.75">
      <c r="A7474" s="12"/>
      <c r="D7474" s="12"/>
      <c r="E7474" s="12"/>
      <c r="H7474" s="11" t="str">
        <f ca="1">IFERROR(__xludf.DUMMYFUNCTION("IFERROR(SUBSTITUTE(SUBSTITUTE(REGEXEXTRACT(A7474, ""[^-]+- [^-]+- [^-]+ - (.+?)\.jpg""), "".jpg"", """"), ""-"", "", ""), """")"),"")</f>
        <v/>
      </c>
      <c r="L7474" s="12"/>
      <c r="M7474" s="13"/>
      <c r="N7474" s="2"/>
      <c r="O7474" s="20"/>
      <c r="P7474" s="42"/>
      <c r="R7474" s="23"/>
    </row>
    <row r="7475" spans="1:18" ht="12.75">
      <c r="A7475" s="12"/>
      <c r="D7475" s="12"/>
      <c r="E7475" s="12"/>
      <c r="H7475" s="11" t="str">
        <f ca="1">IFERROR(__xludf.DUMMYFUNCTION("IFERROR(SUBSTITUTE(SUBSTITUTE(REGEXEXTRACT(A7475, ""[^-]+- [^-]+- [^-]+ - (.+?)\.jpg""), "".jpg"", """"), ""-"", "", ""), """")"),"")</f>
        <v/>
      </c>
      <c r="L7475" s="12"/>
      <c r="M7475" s="13"/>
      <c r="N7475" s="2"/>
      <c r="O7475" s="20"/>
      <c r="P7475" s="42"/>
      <c r="R7475" s="23"/>
    </row>
    <row r="7476" spans="1:18" ht="12.75">
      <c r="A7476" s="12"/>
      <c r="D7476" s="12"/>
      <c r="E7476" s="12"/>
      <c r="H7476" s="11" t="str">
        <f ca="1">IFERROR(__xludf.DUMMYFUNCTION("IFERROR(SUBSTITUTE(SUBSTITUTE(REGEXEXTRACT(A7476, ""[^-]+- [^-]+- [^-]+ - (.+?)\.jpg""), "".jpg"", """"), ""-"", "", ""), """")"),"")</f>
        <v/>
      </c>
      <c r="L7476" s="12"/>
      <c r="M7476" s="13"/>
      <c r="N7476" s="2"/>
      <c r="O7476" s="20"/>
      <c r="P7476" s="42"/>
      <c r="R7476" s="23"/>
    </row>
    <row r="7477" spans="1:18" ht="12.75">
      <c r="A7477" s="12"/>
      <c r="D7477" s="12"/>
      <c r="E7477" s="12"/>
      <c r="H7477" s="11" t="str">
        <f ca="1">IFERROR(__xludf.DUMMYFUNCTION("IFERROR(SUBSTITUTE(SUBSTITUTE(REGEXEXTRACT(A7477, ""[^-]+- [^-]+- [^-]+ - (.+?)\.jpg""), "".jpg"", """"), ""-"", "", ""), """")"),"")</f>
        <v/>
      </c>
      <c r="L7477" s="12"/>
      <c r="M7477" s="13"/>
      <c r="N7477" s="2"/>
      <c r="O7477" s="20"/>
      <c r="P7477" s="42"/>
      <c r="R7477" s="23"/>
    </row>
    <row r="7478" spans="1:18" ht="12.75">
      <c r="A7478" s="12"/>
      <c r="D7478" s="12"/>
      <c r="E7478" s="12"/>
      <c r="H7478" s="11" t="str">
        <f ca="1">IFERROR(__xludf.DUMMYFUNCTION("IFERROR(SUBSTITUTE(SUBSTITUTE(REGEXEXTRACT(A7478, ""[^-]+- [^-]+- [^-]+ - (.+?)\.jpg""), "".jpg"", """"), ""-"", "", ""), """")"),"")</f>
        <v/>
      </c>
      <c r="L7478" s="12"/>
      <c r="M7478" s="13"/>
      <c r="N7478" s="2"/>
      <c r="O7478" s="20"/>
      <c r="P7478" s="42"/>
      <c r="R7478" s="23"/>
    </row>
    <row r="7479" spans="1:18" ht="12.75">
      <c r="A7479" s="12"/>
      <c r="D7479" s="12"/>
      <c r="E7479" s="12"/>
      <c r="H7479" s="11" t="str">
        <f ca="1">IFERROR(__xludf.DUMMYFUNCTION("IFERROR(SUBSTITUTE(SUBSTITUTE(REGEXEXTRACT(A7479, ""[^-]+- [^-]+- [^-]+ - (.+?)\.jpg""), "".jpg"", """"), ""-"", "", ""), """")"),"")</f>
        <v/>
      </c>
      <c r="L7479" s="12"/>
      <c r="M7479" s="13"/>
      <c r="N7479" s="2"/>
      <c r="O7479" s="20"/>
      <c r="P7479" s="42"/>
      <c r="R7479" s="23"/>
    </row>
    <row r="7480" spans="1:18" ht="12.75">
      <c r="A7480" s="12"/>
      <c r="D7480" s="12"/>
      <c r="E7480" s="12"/>
      <c r="H7480" s="11" t="str">
        <f ca="1">IFERROR(__xludf.DUMMYFUNCTION("IFERROR(SUBSTITUTE(SUBSTITUTE(REGEXEXTRACT(A7480, ""[^-]+- [^-]+- [^-]+ - (.+?)\.jpg""), "".jpg"", """"), ""-"", "", ""), """")"),"")</f>
        <v/>
      </c>
      <c r="L7480" s="12"/>
      <c r="M7480" s="13"/>
      <c r="N7480" s="2"/>
      <c r="O7480" s="20"/>
      <c r="P7480" s="42"/>
      <c r="R7480" s="23"/>
    </row>
    <row r="7481" spans="1:18" ht="12.75">
      <c r="A7481" s="12"/>
      <c r="D7481" s="12"/>
      <c r="E7481" s="12"/>
      <c r="H7481" s="11" t="str">
        <f ca="1">IFERROR(__xludf.DUMMYFUNCTION("IFERROR(SUBSTITUTE(SUBSTITUTE(REGEXEXTRACT(A7481, ""[^-]+- [^-]+- [^-]+ - (.+?)\.jpg""), "".jpg"", """"), ""-"", "", ""), """")"),"")</f>
        <v/>
      </c>
      <c r="L7481" s="12"/>
      <c r="M7481" s="13"/>
      <c r="N7481" s="2"/>
      <c r="O7481" s="20"/>
      <c r="P7481" s="42"/>
      <c r="R7481" s="23"/>
    </row>
    <row r="7482" spans="1:18" ht="12.75">
      <c r="A7482" s="12"/>
      <c r="D7482" s="12"/>
      <c r="E7482" s="12"/>
      <c r="H7482" s="11" t="str">
        <f ca="1">IFERROR(__xludf.DUMMYFUNCTION("IFERROR(SUBSTITUTE(SUBSTITUTE(REGEXEXTRACT(A7482, ""[^-]+- [^-]+- [^-]+ - (.+?)\.jpg""), "".jpg"", """"), ""-"", "", ""), """")"),"")</f>
        <v/>
      </c>
      <c r="L7482" s="12"/>
      <c r="M7482" s="13"/>
      <c r="N7482" s="2"/>
      <c r="O7482" s="20"/>
      <c r="P7482" s="42"/>
      <c r="R7482" s="23"/>
    </row>
    <row r="7483" spans="1:18" ht="12.75">
      <c r="A7483" s="12"/>
      <c r="D7483" s="12"/>
      <c r="E7483" s="12"/>
      <c r="H7483" s="11" t="str">
        <f ca="1">IFERROR(__xludf.DUMMYFUNCTION("IFERROR(SUBSTITUTE(SUBSTITUTE(REGEXEXTRACT(A7483, ""[^-]+- [^-]+- [^-]+ - (.+?)\.jpg""), "".jpg"", """"), ""-"", "", ""), """")"),"")</f>
        <v/>
      </c>
      <c r="L7483" s="12"/>
      <c r="M7483" s="13"/>
      <c r="N7483" s="2"/>
      <c r="O7483" s="20"/>
      <c r="P7483" s="42"/>
      <c r="R7483" s="23"/>
    </row>
    <row r="7484" spans="1:18" ht="12.75">
      <c r="A7484" s="12"/>
      <c r="D7484" s="12"/>
      <c r="E7484" s="12"/>
      <c r="H7484" s="11" t="str">
        <f ca="1">IFERROR(__xludf.DUMMYFUNCTION("IFERROR(SUBSTITUTE(SUBSTITUTE(REGEXEXTRACT(A7484, ""[^-]+- [^-]+- [^-]+ - (.+?)\.jpg""), "".jpg"", """"), ""-"", "", ""), """")"),"")</f>
        <v/>
      </c>
      <c r="L7484" s="12"/>
      <c r="M7484" s="13"/>
      <c r="N7484" s="2"/>
      <c r="O7484" s="20"/>
      <c r="P7484" s="42"/>
      <c r="R7484" s="23"/>
    </row>
    <row r="7485" spans="1:18" ht="12.75">
      <c r="A7485" s="12"/>
      <c r="D7485" s="12"/>
      <c r="E7485" s="12"/>
      <c r="H7485" s="11" t="str">
        <f ca="1">IFERROR(__xludf.DUMMYFUNCTION("IFERROR(SUBSTITUTE(SUBSTITUTE(REGEXEXTRACT(A7485, ""[^-]+- [^-]+- [^-]+ - (.+?)\.jpg""), "".jpg"", """"), ""-"", "", ""), """")"),"")</f>
        <v/>
      </c>
      <c r="L7485" s="12"/>
      <c r="M7485" s="13"/>
      <c r="N7485" s="2"/>
      <c r="O7485" s="20"/>
      <c r="P7485" s="42"/>
      <c r="R7485" s="23"/>
    </row>
    <row r="7486" spans="1:18" ht="12.75">
      <c r="A7486" s="12"/>
      <c r="D7486" s="12"/>
      <c r="E7486" s="12"/>
      <c r="H7486" s="11" t="str">
        <f ca="1">IFERROR(__xludf.DUMMYFUNCTION("IFERROR(SUBSTITUTE(SUBSTITUTE(REGEXEXTRACT(A7486, ""[^-]+- [^-]+- [^-]+ - (.+?)\.jpg""), "".jpg"", """"), ""-"", "", ""), """")"),"")</f>
        <v/>
      </c>
      <c r="L7486" s="12"/>
      <c r="M7486" s="13"/>
      <c r="N7486" s="2"/>
      <c r="O7486" s="20"/>
      <c r="P7486" s="42"/>
      <c r="R7486" s="23"/>
    </row>
    <row r="7487" spans="1:18" ht="12.75">
      <c r="A7487" s="12"/>
      <c r="D7487" s="12"/>
      <c r="E7487" s="12"/>
      <c r="H7487" s="11" t="str">
        <f ca="1">IFERROR(__xludf.DUMMYFUNCTION("IFERROR(SUBSTITUTE(SUBSTITUTE(REGEXEXTRACT(A7487, ""[^-]+- [^-]+- [^-]+ - (.+?)\.jpg""), "".jpg"", """"), ""-"", "", ""), """")"),"")</f>
        <v/>
      </c>
      <c r="L7487" s="12"/>
      <c r="M7487" s="13"/>
      <c r="N7487" s="2"/>
      <c r="O7487" s="20"/>
      <c r="P7487" s="42"/>
      <c r="R7487" s="23"/>
    </row>
    <row r="7488" spans="1:18" ht="12.75">
      <c r="A7488" s="12"/>
      <c r="D7488" s="12"/>
      <c r="E7488" s="12"/>
      <c r="H7488" s="11" t="str">
        <f ca="1">IFERROR(__xludf.DUMMYFUNCTION("IFERROR(SUBSTITUTE(SUBSTITUTE(REGEXEXTRACT(A7488, ""[^-]+- [^-]+- [^-]+ - (.+?)\.jpg""), "".jpg"", """"), ""-"", "", ""), """")"),"")</f>
        <v/>
      </c>
      <c r="L7488" s="12"/>
      <c r="M7488" s="13"/>
      <c r="N7488" s="2"/>
      <c r="O7488" s="20"/>
      <c r="P7488" s="42"/>
      <c r="R7488" s="23"/>
    </row>
    <row r="7489" spans="1:18" ht="12.75">
      <c r="A7489" s="12"/>
      <c r="D7489" s="12"/>
      <c r="E7489" s="12"/>
      <c r="H7489" s="11" t="str">
        <f ca="1">IFERROR(__xludf.DUMMYFUNCTION("IFERROR(SUBSTITUTE(SUBSTITUTE(REGEXEXTRACT(A7489, ""[^-]+- [^-]+- [^-]+ - (.+?)\.jpg""), "".jpg"", """"), ""-"", "", ""), """")"),"")</f>
        <v/>
      </c>
      <c r="L7489" s="12"/>
      <c r="M7489" s="13"/>
      <c r="N7489" s="2"/>
      <c r="O7489" s="20"/>
      <c r="P7489" s="42"/>
      <c r="R7489" s="23"/>
    </row>
    <row r="7490" spans="1:18" ht="12.75">
      <c r="A7490" s="12"/>
      <c r="D7490" s="12"/>
      <c r="E7490" s="12"/>
      <c r="H7490" s="11" t="str">
        <f ca="1">IFERROR(__xludf.DUMMYFUNCTION("IFERROR(SUBSTITUTE(SUBSTITUTE(REGEXEXTRACT(A7490, ""[^-]+- [^-]+- [^-]+ - (.+?)\.jpg""), "".jpg"", """"), ""-"", "", ""), """")"),"")</f>
        <v/>
      </c>
      <c r="L7490" s="12"/>
      <c r="M7490" s="13"/>
      <c r="N7490" s="2"/>
      <c r="O7490" s="20"/>
      <c r="P7490" s="42"/>
      <c r="R7490" s="23"/>
    </row>
    <row r="7491" spans="1:18" ht="12.75">
      <c r="A7491" s="12"/>
      <c r="D7491" s="12"/>
      <c r="E7491" s="12"/>
      <c r="H7491" s="11" t="str">
        <f ca="1">IFERROR(__xludf.DUMMYFUNCTION("IFERROR(SUBSTITUTE(SUBSTITUTE(REGEXEXTRACT(A7491, ""[^-]+- [^-]+- [^-]+ - (.+?)\.jpg""), "".jpg"", """"), ""-"", "", ""), """")"),"")</f>
        <v/>
      </c>
      <c r="L7491" s="12"/>
      <c r="M7491" s="13"/>
      <c r="N7491" s="2"/>
      <c r="O7491" s="20"/>
      <c r="P7491" s="42"/>
      <c r="R7491" s="23"/>
    </row>
    <row r="7492" spans="1:18" ht="12.75">
      <c r="A7492" s="12"/>
      <c r="D7492" s="12"/>
      <c r="E7492" s="12"/>
      <c r="H7492" s="11" t="str">
        <f ca="1">IFERROR(__xludf.DUMMYFUNCTION("IFERROR(SUBSTITUTE(SUBSTITUTE(REGEXEXTRACT(A7492, ""[^-]+- [^-]+- [^-]+ - (.+?)\.jpg""), "".jpg"", """"), ""-"", "", ""), """")"),"")</f>
        <v/>
      </c>
      <c r="L7492" s="12"/>
      <c r="M7492" s="13"/>
      <c r="N7492" s="2"/>
      <c r="O7492" s="20"/>
      <c r="P7492" s="42"/>
      <c r="R7492" s="23"/>
    </row>
    <row r="7493" spans="1:18" ht="12.75">
      <c r="A7493" s="12"/>
      <c r="D7493" s="12"/>
      <c r="E7493" s="12"/>
      <c r="H7493" s="11" t="str">
        <f ca="1">IFERROR(__xludf.DUMMYFUNCTION("IFERROR(SUBSTITUTE(SUBSTITUTE(REGEXEXTRACT(A7493, ""[^-]+- [^-]+- [^-]+ - (.+?)\.jpg""), "".jpg"", """"), ""-"", "", ""), """")"),"")</f>
        <v/>
      </c>
      <c r="L7493" s="12"/>
      <c r="M7493" s="13"/>
      <c r="N7493" s="2"/>
      <c r="O7493" s="20"/>
      <c r="P7493" s="42"/>
      <c r="R7493" s="23"/>
    </row>
    <row r="7494" spans="1:18" ht="12.75">
      <c r="A7494" s="12"/>
      <c r="D7494" s="12"/>
      <c r="E7494" s="12"/>
      <c r="H7494" s="11" t="str">
        <f ca="1">IFERROR(__xludf.DUMMYFUNCTION("IFERROR(SUBSTITUTE(SUBSTITUTE(REGEXEXTRACT(A7494, ""[^-]+- [^-]+- [^-]+ - (.+?)\.jpg""), "".jpg"", """"), ""-"", "", ""), """")"),"")</f>
        <v/>
      </c>
      <c r="L7494" s="12"/>
      <c r="M7494" s="13"/>
      <c r="N7494" s="2"/>
      <c r="O7494" s="20"/>
      <c r="P7494" s="42"/>
      <c r="R7494" s="23"/>
    </row>
    <row r="7495" spans="1:18" ht="12.75">
      <c r="A7495" s="12"/>
      <c r="D7495" s="12"/>
      <c r="E7495" s="12"/>
      <c r="H7495" s="11" t="str">
        <f ca="1">IFERROR(__xludf.DUMMYFUNCTION("IFERROR(SUBSTITUTE(SUBSTITUTE(REGEXEXTRACT(A7495, ""[^-]+- [^-]+- [^-]+ - (.+?)\.jpg""), "".jpg"", """"), ""-"", "", ""), """")"),"")</f>
        <v/>
      </c>
      <c r="L7495" s="12"/>
      <c r="M7495" s="13"/>
      <c r="N7495" s="2"/>
      <c r="O7495" s="20"/>
      <c r="P7495" s="42"/>
      <c r="R7495" s="23"/>
    </row>
    <row r="7496" spans="1:18" ht="12.75">
      <c r="A7496" s="12"/>
      <c r="D7496" s="12"/>
      <c r="E7496" s="12"/>
      <c r="H7496" s="11" t="str">
        <f ca="1">IFERROR(__xludf.DUMMYFUNCTION("IFERROR(SUBSTITUTE(SUBSTITUTE(REGEXEXTRACT(A7496, ""[^-]+- [^-]+- [^-]+ - (.+?)\.jpg""), "".jpg"", """"), ""-"", "", ""), """")"),"")</f>
        <v/>
      </c>
      <c r="L7496" s="12"/>
      <c r="M7496" s="13"/>
      <c r="N7496" s="2"/>
      <c r="O7496" s="20"/>
      <c r="P7496" s="42"/>
      <c r="R7496" s="23"/>
    </row>
    <row r="7497" spans="1:18" ht="12.75">
      <c r="A7497" s="12"/>
      <c r="D7497" s="12"/>
      <c r="E7497" s="12"/>
      <c r="H7497" s="11" t="str">
        <f ca="1">IFERROR(__xludf.DUMMYFUNCTION("IFERROR(SUBSTITUTE(SUBSTITUTE(REGEXEXTRACT(A7497, ""[^-]+- [^-]+- [^-]+ - (.+?)\.jpg""), "".jpg"", """"), ""-"", "", ""), """")"),"")</f>
        <v/>
      </c>
      <c r="L7497" s="12"/>
      <c r="M7497" s="13"/>
      <c r="N7497" s="2"/>
      <c r="O7497" s="20"/>
      <c r="P7497" s="42"/>
      <c r="R7497" s="23"/>
    </row>
    <row r="7498" spans="1:18" ht="12.75">
      <c r="A7498" s="12"/>
      <c r="D7498" s="12"/>
      <c r="E7498" s="12"/>
      <c r="H7498" s="11" t="str">
        <f ca="1">IFERROR(__xludf.DUMMYFUNCTION("IFERROR(SUBSTITUTE(SUBSTITUTE(REGEXEXTRACT(A7498, ""[^-]+- [^-]+- [^-]+ - (.+?)\.jpg""), "".jpg"", """"), ""-"", "", ""), """")"),"")</f>
        <v/>
      </c>
      <c r="L7498" s="12"/>
      <c r="M7498" s="13"/>
      <c r="N7498" s="2"/>
      <c r="O7498" s="20"/>
      <c r="P7498" s="42"/>
      <c r="R7498" s="23"/>
    </row>
    <row r="7499" spans="1:18" ht="12.75">
      <c r="A7499" s="12"/>
      <c r="D7499" s="12"/>
      <c r="E7499" s="12"/>
      <c r="H7499" s="11" t="str">
        <f ca="1">IFERROR(__xludf.DUMMYFUNCTION("IFERROR(SUBSTITUTE(SUBSTITUTE(REGEXEXTRACT(A7499, ""[^-]+- [^-]+- [^-]+ - (.+?)\.jpg""), "".jpg"", """"), ""-"", "", ""), """")"),"")</f>
        <v/>
      </c>
      <c r="L7499" s="12"/>
      <c r="M7499" s="13"/>
      <c r="N7499" s="2"/>
      <c r="O7499" s="20"/>
      <c r="P7499" s="42"/>
      <c r="R7499" s="23"/>
    </row>
    <row r="7500" spans="1:18" ht="12.75">
      <c r="A7500" s="12"/>
      <c r="D7500" s="12"/>
      <c r="E7500" s="12"/>
      <c r="H7500" s="11" t="str">
        <f ca="1">IFERROR(__xludf.DUMMYFUNCTION("IFERROR(SUBSTITUTE(SUBSTITUTE(REGEXEXTRACT(A7500, ""[^-]+- [^-]+- [^-]+ - (.+?)\.jpg""), "".jpg"", """"), ""-"", "", ""), """")"),"")</f>
        <v/>
      </c>
      <c r="L7500" s="12"/>
      <c r="M7500" s="13"/>
      <c r="N7500" s="2"/>
      <c r="O7500" s="20"/>
      <c r="P7500" s="42"/>
      <c r="R7500" s="23"/>
    </row>
    <row r="7501" spans="1:18" ht="12.75">
      <c r="A7501" s="12"/>
      <c r="D7501" s="12"/>
      <c r="E7501" s="12"/>
      <c r="H7501" s="11" t="str">
        <f ca="1">IFERROR(__xludf.DUMMYFUNCTION("IFERROR(SUBSTITUTE(SUBSTITUTE(REGEXEXTRACT(A7501, ""[^-]+- [^-]+- [^-]+ - (.+?)\.jpg""), "".jpg"", """"), ""-"", "", ""), """")"),"")</f>
        <v/>
      </c>
      <c r="L7501" s="12"/>
      <c r="M7501" s="13"/>
      <c r="N7501" s="2"/>
      <c r="O7501" s="20"/>
      <c r="P7501" s="42"/>
      <c r="R7501" s="23"/>
    </row>
    <row r="7502" spans="1:18" ht="12.75">
      <c r="A7502" s="12"/>
      <c r="D7502" s="12"/>
      <c r="E7502" s="12"/>
      <c r="H7502" s="11" t="str">
        <f ca="1">IFERROR(__xludf.DUMMYFUNCTION("IFERROR(SUBSTITUTE(SUBSTITUTE(REGEXEXTRACT(A7502, ""[^-]+- [^-]+- [^-]+ - (.+?)\.jpg""), "".jpg"", """"), ""-"", "", ""), """")"),"")</f>
        <v/>
      </c>
      <c r="L7502" s="12"/>
      <c r="M7502" s="13"/>
      <c r="N7502" s="2"/>
      <c r="O7502" s="20"/>
      <c r="P7502" s="42"/>
      <c r="R7502" s="23"/>
    </row>
    <row r="7503" spans="1:18" ht="12.75">
      <c r="A7503" s="12"/>
      <c r="D7503" s="12"/>
      <c r="E7503" s="12"/>
      <c r="H7503" s="11" t="str">
        <f ca="1">IFERROR(__xludf.DUMMYFUNCTION("IFERROR(SUBSTITUTE(SUBSTITUTE(REGEXEXTRACT(A7503, ""[^-]+- [^-]+- [^-]+ - (.+?)\.jpg""), "".jpg"", """"), ""-"", "", ""), """")"),"")</f>
        <v/>
      </c>
      <c r="L7503" s="12"/>
      <c r="M7503" s="13"/>
      <c r="N7503" s="2"/>
      <c r="O7503" s="20"/>
      <c r="P7503" s="42"/>
      <c r="R7503" s="23"/>
    </row>
    <row r="7504" spans="1:18" ht="12.75">
      <c r="A7504" s="12"/>
      <c r="D7504" s="12"/>
      <c r="E7504" s="12"/>
      <c r="H7504" s="11" t="str">
        <f ca="1">IFERROR(__xludf.DUMMYFUNCTION("IFERROR(SUBSTITUTE(SUBSTITUTE(REGEXEXTRACT(A7504, ""[^-]+- [^-]+- [^-]+ - (.+?)\.jpg""), "".jpg"", """"), ""-"", "", ""), """")"),"")</f>
        <v/>
      </c>
      <c r="L7504" s="12"/>
      <c r="M7504" s="13"/>
      <c r="N7504" s="2"/>
      <c r="O7504" s="20"/>
      <c r="P7504" s="42"/>
      <c r="R7504" s="23"/>
    </row>
    <row r="7505" spans="1:18" ht="12.75">
      <c r="A7505" s="12"/>
      <c r="D7505" s="12"/>
      <c r="E7505" s="12"/>
      <c r="H7505" s="11" t="str">
        <f ca="1">IFERROR(__xludf.DUMMYFUNCTION("IFERROR(SUBSTITUTE(SUBSTITUTE(REGEXEXTRACT(A7505, ""[^-]+- [^-]+- [^-]+ - (.+?)\.jpg""), "".jpg"", """"), ""-"", "", ""), """")"),"")</f>
        <v/>
      </c>
      <c r="L7505" s="12"/>
      <c r="M7505" s="13"/>
      <c r="N7505" s="2"/>
      <c r="O7505" s="20"/>
      <c r="P7505" s="42"/>
      <c r="R7505" s="23"/>
    </row>
    <row r="7506" spans="1:18" ht="12.75">
      <c r="A7506" s="12"/>
      <c r="D7506" s="12"/>
      <c r="E7506" s="12"/>
      <c r="H7506" s="11" t="str">
        <f ca="1">IFERROR(__xludf.DUMMYFUNCTION("IFERROR(SUBSTITUTE(SUBSTITUTE(REGEXEXTRACT(A7506, ""[^-]+- [^-]+- [^-]+ - (.+?)\.jpg""), "".jpg"", """"), ""-"", "", ""), """")"),"")</f>
        <v/>
      </c>
      <c r="L7506" s="12"/>
      <c r="M7506" s="13"/>
      <c r="N7506" s="2"/>
      <c r="O7506" s="20"/>
      <c r="P7506" s="42"/>
      <c r="R7506" s="23"/>
    </row>
    <row r="7507" spans="1:18" ht="12.75">
      <c r="A7507" s="12"/>
      <c r="D7507" s="12"/>
      <c r="E7507" s="12"/>
      <c r="H7507" s="11" t="str">
        <f ca="1">IFERROR(__xludf.DUMMYFUNCTION("IFERROR(SUBSTITUTE(SUBSTITUTE(REGEXEXTRACT(A7507, ""[^-]+- [^-]+- [^-]+ - (.+?)\.jpg""), "".jpg"", """"), ""-"", "", ""), """")"),"")</f>
        <v/>
      </c>
      <c r="L7507" s="12"/>
      <c r="M7507" s="13"/>
      <c r="N7507" s="2"/>
      <c r="O7507" s="20"/>
      <c r="P7507" s="42"/>
      <c r="R7507" s="23"/>
    </row>
    <row r="7508" spans="1:18" ht="12.75">
      <c r="A7508" s="12"/>
      <c r="D7508" s="12"/>
      <c r="E7508" s="12"/>
      <c r="H7508" s="11" t="str">
        <f ca="1">IFERROR(__xludf.DUMMYFUNCTION("IFERROR(SUBSTITUTE(SUBSTITUTE(REGEXEXTRACT(A7508, ""[^-]+- [^-]+- [^-]+ - (.+?)\.jpg""), "".jpg"", """"), ""-"", "", ""), """")"),"")</f>
        <v/>
      </c>
      <c r="L7508" s="12"/>
      <c r="M7508" s="13"/>
      <c r="N7508" s="2"/>
      <c r="O7508" s="20"/>
      <c r="P7508" s="42"/>
      <c r="R7508" s="23"/>
    </row>
    <row r="7509" spans="1:18" ht="12.75">
      <c r="A7509" s="12"/>
      <c r="D7509" s="12"/>
      <c r="E7509" s="12"/>
      <c r="H7509" s="11" t="str">
        <f ca="1">IFERROR(__xludf.DUMMYFUNCTION("IFERROR(SUBSTITUTE(SUBSTITUTE(REGEXEXTRACT(A7509, ""[^-]+- [^-]+- [^-]+ - (.+?)\.jpg""), "".jpg"", """"), ""-"", "", ""), """")"),"")</f>
        <v/>
      </c>
      <c r="L7509" s="12"/>
      <c r="M7509" s="13"/>
      <c r="N7509" s="2"/>
      <c r="O7509" s="20"/>
      <c r="P7509" s="42"/>
      <c r="R7509" s="23"/>
    </row>
    <row r="7510" spans="1:18" ht="12.75">
      <c r="A7510" s="12"/>
      <c r="D7510" s="12"/>
      <c r="E7510" s="12"/>
      <c r="H7510" s="11" t="str">
        <f ca="1">IFERROR(__xludf.DUMMYFUNCTION("IFERROR(SUBSTITUTE(SUBSTITUTE(REGEXEXTRACT(A7510, ""[^-]+- [^-]+- [^-]+ - (.+?)\.jpg""), "".jpg"", """"), ""-"", "", ""), """")"),"")</f>
        <v/>
      </c>
      <c r="L7510" s="12"/>
      <c r="M7510" s="13"/>
      <c r="N7510" s="2"/>
      <c r="O7510" s="20"/>
      <c r="P7510" s="42"/>
      <c r="R7510" s="23"/>
    </row>
    <row r="7511" spans="1:18" ht="12.75">
      <c r="A7511" s="12"/>
      <c r="D7511" s="12"/>
      <c r="E7511" s="12"/>
      <c r="H7511" s="11" t="str">
        <f ca="1">IFERROR(__xludf.DUMMYFUNCTION("IFERROR(SUBSTITUTE(SUBSTITUTE(REGEXEXTRACT(A7511, ""[^-]+- [^-]+- [^-]+ - (.+?)\.jpg""), "".jpg"", """"), ""-"", "", ""), """")"),"")</f>
        <v/>
      </c>
      <c r="L7511" s="12"/>
      <c r="M7511" s="13"/>
      <c r="N7511" s="2"/>
      <c r="O7511" s="20"/>
      <c r="P7511" s="42"/>
      <c r="R7511" s="23"/>
    </row>
    <row r="7512" spans="1:18" ht="12.75">
      <c r="A7512" s="12"/>
      <c r="D7512" s="12"/>
      <c r="E7512" s="12"/>
      <c r="H7512" s="11" t="str">
        <f ca="1">IFERROR(__xludf.DUMMYFUNCTION("IFERROR(SUBSTITUTE(SUBSTITUTE(REGEXEXTRACT(A7512, ""[^-]+- [^-]+- [^-]+ - (.+?)\.jpg""), "".jpg"", """"), ""-"", "", ""), """")"),"")</f>
        <v/>
      </c>
      <c r="L7512" s="12"/>
      <c r="M7512" s="13"/>
      <c r="N7512" s="2"/>
      <c r="O7512" s="20"/>
      <c r="P7512" s="42"/>
      <c r="R7512" s="23"/>
    </row>
    <row r="7513" spans="1:18" ht="12.75">
      <c r="A7513" s="12"/>
      <c r="D7513" s="12"/>
      <c r="E7513" s="12"/>
      <c r="H7513" s="11" t="str">
        <f ca="1">IFERROR(__xludf.DUMMYFUNCTION("IFERROR(SUBSTITUTE(SUBSTITUTE(REGEXEXTRACT(A7513, ""[^-]+- [^-]+- [^-]+ - (.+?)\.jpg""), "".jpg"", """"), ""-"", "", ""), """")"),"")</f>
        <v/>
      </c>
      <c r="L7513" s="12"/>
      <c r="M7513" s="13"/>
      <c r="N7513" s="2"/>
      <c r="O7513" s="20"/>
      <c r="P7513" s="42"/>
      <c r="R7513" s="23"/>
    </row>
    <row r="7514" spans="1:18" ht="12.75">
      <c r="A7514" s="12"/>
      <c r="D7514" s="12"/>
      <c r="E7514" s="12"/>
      <c r="H7514" s="11" t="str">
        <f ca="1">IFERROR(__xludf.DUMMYFUNCTION("IFERROR(SUBSTITUTE(SUBSTITUTE(REGEXEXTRACT(A7514, ""[^-]+- [^-]+- [^-]+ - (.+?)\.jpg""), "".jpg"", """"), ""-"", "", ""), """")"),"")</f>
        <v/>
      </c>
      <c r="L7514" s="12"/>
      <c r="M7514" s="13"/>
      <c r="N7514" s="2"/>
      <c r="O7514" s="20"/>
      <c r="P7514" s="42"/>
      <c r="R7514" s="23"/>
    </row>
    <row r="7515" spans="1:18" ht="12.75">
      <c r="A7515" s="12"/>
      <c r="D7515" s="12"/>
      <c r="E7515" s="12"/>
      <c r="H7515" s="11" t="str">
        <f ca="1">IFERROR(__xludf.DUMMYFUNCTION("IFERROR(SUBSTITUTE(SUBSTITUTE(REGEXEXTRACT(A7515, ""[^-]+- [^-]+- [^-]+ - (.+?)\.jpg""), "".jpg"", """"), ""-"", "", ""), """")"),"")</f>
        <v/>
      </c>
      <c r="L7515" s="12"/>
      <c r="M7515" s="13"/>
      <c r="N7515" s="2"/>
      <c r="O7515" s="20"/>
      <c r="P7515" s="42"/>
      <c r="R7515" s="23"/>
    </row>
    <row r="7516" spans="1:18" ht="12.75">
      <c r="A7516" s="12"/>
      <c r="D7516" s="12"/>
      <c r="E7516" s="12"/>
      <c r="H7516" s="11" t="str">
        <f ca="1">IFERROR(__xludf.DUMMYFUNCTION("IFERROR(SUBSTITUTE(SUBSTITUTE(REGEXEXTRACT(A7516, ""[^-]+- [^-]+- [^-]+ - (.+?)\.jpg""), "".jpg"", """"), ""-"", "", ""), """")"),"")</f>
        <v/>
      </c>
      <c r="L7516" s="12"/>
      <c r="M7516" s="13"/>
      <c r="N7516" s="2"/>
      <c r="O7516" s="20"/>
      <c r="P7516" s="42"/>
      <c r="R7516" s="23"/>
    </row>
    <row r="7517" spans="1:18" ht="12.75">
      <c r="A7517" s="12"/>
      <c r="D7517" s="12"/>
      <c r="E7517" s="12"/>
      <c r="H7517" s="11" t="str">
        <f ca="1">IFERROR(__xludf.DUMMYFUNCTION("IFERROR(SUBSTITUTE(SUBSTITUTE(REGEXEXTRACT(A7517, ""[^-]+- [^-]+- [^-]+ - (.+?)\.jpg""), "".jpg"", """"), ""-"", "", ""), """")"),"")</f>
        <v/>
      </c>
      <c r="L7517" s="12"/>
      <c r="M7517" s="13"/>
      <c r="N7517" s="2"/>
      <c r="O7517" s="20"/>
      <c r="P7517" s="42"/>
      <c r="R7517" s="23"/>
    </row>
    <row r="7518" spans="1:18" ht="12.75">
      <c r="A7518" s="12"/>
      <c r="D7518" s="12"/>
      <c r="E7518" s="12"/>
      <c r="H7518" s="11" t="str">
        <f ca="1">IFERROR(__xludf.DUMMYFUNCTION("IFERROR(SUBSTITUTE(SUBSTITUTE(REGEXEXTRACT(A7518, ""[^-]+- [^-]+- [^-]+ - (.+?)\.jpg""), "".jpg"", """"), ""-"", "", ""), """")"),"")</f>
        <v/>
      </c>
      <c r="L7518" s="12"/>
      <c r="M7518" s="13"/>
      <c r="N7518" s="2"/>
      <c r="O7518" s="20"/>
      <c r="P7518" s="42"/>
      <c r="R7518" s="23"/>
    </row>
    <row r="7519" spans="1:18" ht="12.75">
      <c r="A7519" s="12"/>
      <c r="D7519" s="12"/>
      <c r="E7519" s="12"/>
      <c r="H7519" s="11" t="str">
        <f ca="1">IFERROR(__xludf.DUMMYFUNCTION("IFERROR(SUBSTITUTE(SUBSTITUTE(REGEXEXTRACT(A7519, ""[^-]+- [^-]+- [^-]+ - (.+?)\.jpg""), "".jpg"", """"), ""-"", "", ""), """")"),"")</f>
        <v/>
      </c>
      <c r="L7519" s="12"/>
      <c r="M7519" s="13"/>
      <c r="N7519" s="2"/>
      <c r="O7519" s="20"/>
      <c r="P7519" s="42"/>
      <c r="R7519" s="23"/>
    </row>
    <row r="7520" spans="1:18" ht="12.75">
      <c r="A7520" s="12"/>
      <c r="D7520" s="12"/>
      <c r="E7520" s="12"/>
      <c r="H7520" s="11" t="str">
        <f ca="1">IFERROR(__xludf.DUMMYFUNCTION("IFERROR(SUBSTITUTE(SUBSTITUTE(REGEXEXTRACT(A7520, ""[^-]+- [^-]+- [^-]+ - (.+?)\.jpg""), "".jpg"", """"), ""-"", "", ""), """")"),"")</f>
        <v/>
      </c>
      <c r="L7520" s="12"/>
      <c r="M7520" s="13"/>
      <c r="N7520" s="2"/>
      <c r="O7520" s="20"/>
      <c r="P7520" s="42"/>
      <c r="R7520" s="23"/>
    </row>
    <row r="7521" spans="1:18" ht="12.75">
      <c r="A7521" s="12"/>
      <c r="D7521" s="12"/>
      <c r="E7521" s="12"/>
      <c r="H7521" s="11" t="str">
        <f ca="1">IFERROR(__xludf.DUMMYFUNCTION("IFERROR(SUBSTITUTE(SUBSTITUTE(REGEXEXTRACT(A7521, ""[^-]+- [^-]+- [^-]+ - (.+?)\.jpg""), "".jpg"", """"), ""-"", "", ""), """")"),"")</f>
        <v/>
      </c>
      <c r="L7521" s="12"/>
      <c r="M7521" s="13"/>
      <c r="N7521" s="2"/>
      <c r="O7521" s="20"/>
      <c r="P7521" s="42"/>
      <c r="R7521" s="23"/>
    </row>
    <row r="7522" spans="1:18" ht="12.75">
      <c r="A7522" s="12"/>
      <c r="D7522" s="12"/>
      <c r="E7522" s="12"/>
      <c r="H7522" s="11" t="str">
        <f ca="1">IFERROR(__xludf.DUMMYFUNCTION("IFERROR(SUBSTITUTE(SUBSTITUTE(REGEXEXTRACT(A7522, ""[^-]+- [^-]+- [^-]+ - (.+?)\.jpg""), "".jpg"", """"), ""-"", "", ""), """")"),"")</f>
        <v/>
      </c>
      <c r="L7522" s="12"/>
      <c r="M7522" s="13"/>
      <c r="N7522" s="2"/>
      <c r="O7522" s="20"/>
      <c r="P7522" s="42"/>
      <c r="R7522" s="23"/>
    </row>
    <row r="7523" spans="1:18" ht="12.75">
      <c r="A7523" s="12"/>
      <c r="D7523" s="12"/>
      <c r="E7523" s="12"/>
      <c r="H7523" s="11" t="str">
        <f ca="1">IFERROR(__xludf.DUMMYFUNCTION("IFERROR(SUBSTITUTE(SUBSTITUTE(REGEXEXTRACT(A7523, ""[^-]+- [^-]+- [^-]+ - (.+?)\.jpg""), "".jpg"", """"), ""-"", "", ""), """")"),"")</f>
        <v/>
      </c>
      <c r="L7523" s="12"/>
      <c r="M7523" s="13"/>
      <c r="N7523" s="2"/>
      <c r="O7523" s="20"/>
      <c r="P7523" s="42"/>
      <c r="R7523" s="23"/>
    </row>
    <row r="7524" spans="1:18" ht="12.75">
      <c r="A7524" s="12"/>
      <c r="D7524" s="12"/>
      <c r="E7524" s="12"/>
      <c r="H7524" s="11" t="str">
        <f ca="1">IFERROR(__xludf.DUMMYFUNCTION("IFERROR(SUBSTITUTE(SUBSTITUTE(REGEXEXTRACT(A7524, ""[^-]+- [^-]+- [^-]+ - (.+?)\.jpg""), "".jpg"", """"), ""-"", "", ""), """")"),"")</f>
        <v/>
      </c>
      <c r="L7524" s="12"/>
      <c r="M7524" s="13"/>
      <c r="N7524" s="2"/>
      <c r="O7524" s="20"/>
      <c r="P7524" s="42"/>
      <c r="R7524" s="23"/>
    </row>
    <row r="7525" spans="1:18" ht="12.75">
      <c r="A7525" s="12"/>
      <c r="D7525" s="12"/>
      <c r="E7525" s="12"/>
      <c r="H7525" s="11" t="str">
        <f ca="1">IFERROR(__xludf.DUMMYFUNCTION("IFERROR(SUBSTITUTE(SUBSTITUTE(REGEXEXTRACT(A7525, ""[^-]+- [^-]+- [^-]+ - (.+?)\.jpg""), "".jpg"", """"), ""-"", "", ""), """")"),"")</f>
        <v/>
      </c>
      <c r="L7525" s="12"/>
      <c r="M7525" s="13"/>
      <c r="N7525" s="2"/>
      <c r="O7525" s="20"/>
      <c r="P7525" s="42"/>
      <c r="R7525" s="23"/>
    </row>
    <row r="7526" spans="1:18" ht="12.75">
      <c r="A7526" s="12"/>
      <c r="D7526" s="12"/>
      <c r="E7526" s="12"/>
      <c r="H7526" s="11" t="str">
        <f ca="1">IFERROR(__xludf.DUMMYFUNCTION("IFERROR(SUBSTITUTE(SUBSTITUTE(REGEXEXTRACT(A7526, ""[^-]+- [^-]+- [^-]+ - (.+?)\.jpg""), "".jpg"", """"), ""-"", "", ""), """")"),"")</f>
        <v/>
      </c>
      <c r="L7526" s="12"/>
      <c r="M7526" s="13"/>
      <c r="N7526" s="2"/>
      <c r="O7526" s="20"/>
      <c r="P7526" s="42"/>
      <c r="R7526" s="23"/>
    </row>
    <row r="7527" spans="1:18" ht="12.75">
      <c r="A7527" s="12"/>
      <c r="D7527" s="12"/>
      <c r="E7527" s="12"/>
      <c r="H7527" s="11" t="str">
        <f ca="1">IFERROR(__xludf.DUMMYFUNCTION("IFERROR(SUBSTITUTE(SUBSTITUTE(REGEXEXTRACT(A7527, ""[^-]+- [^-]+- [^-]+ - (.+?)\.jpg""), "".jpg"", """"), ""-"", "", ""), """")"),"")</f>
        <v/>
      </c>
      <c r="L7527" s="12"/>
      <c r="M7527" s="13"/>
      <c r="N7527" s="2"/>
      <c r="O7527" s="20"/>
      <c r="P7527" s="42"/>
      <c r="R7527" s="23"/>
    </row>
    <row r="7528" spans="1:18" ht="12.75">
      <c r="A7528" s="12"/>
      <c r="D7528" s="12"/>
      <c r="E7528" s="12"/>
      <c r="H7528" s="11" t="str">
        <f ca="1">IFERROR(__xludf.DUMMYFUNCTION("IFERROR(SUBSTITUTE(SUBSTITUTE(REGEXEXTRACT(A7528, ""[^-]+- [^-]+- [^-]+ - (.+?)\.jpg""), "".jpg"", """"), ""-"", "", ""), """")"),"")</f>
        <v/>
      </c>
      <c r="L7528" s="12"/>
      <c r="M7528" s="13"/>
      <c r="N7528" s="2"/>
      <c r="O7528" s="20"/>
      <c r="P7528" s="42"/>
      <c r="R7528" s="23"/>
    </row>
    <row r="7529" spans="1:18" ht="12.75">
      <c r="A7529" s="12"/>
      <c r="D7529" s="12"/>
      <c r="E7529" s="12"/>
      <c r="H7529" s="11" t="str">
        <f ca="1">IFERROR(__xludf.DUMMYFUNCTION("IFERROR(SUBSTITUTE(SUBSTITUTE(REGEXEXTRACT(A7529, ""[^-]+- [^-]+- [^-]+ - (.+?)\.jpg""), "".jpg"", """"), ""-"", "", ""), """")"),"")</f>
        <v/>
      </c>
      <c r="L7529" s="12"/>
      <c r="M7529" s="13"/>
      <c r="N7529" s="2"/>
      <c r="O7529" s="20"/>
      <c r="P7529" s="42"/>
      <c r="R7529" s="23"/>
    </row>
    <row r="7530" spans="1:18" ht="12.75">
      <c r="A7530" s="12"/>
      <c r="D7530" s="12"/>
      <c r="E7530" s="12"/>
      <c r="H7530" s="11" t="str">
        <f ca="1">IFERROR(__xludf.DUMMYFUNCTION("IFERROR(SUBSTITUTE(SUBSTITUTE(REGEXEXTRACT(A7530, ""[^-]+- [^-]+- [^-]+ - (.+?)\.jpg""), "".jpg"", """"), ""-"", "", ""), """")"),"")</f>
        <v/>
      </c>
      <c r="L7530" s="12"/>
      <c r="M7530" s="13"/>
      <c r="N7530" s="2"/>
      <c r="O7530" s="20"/>
      <c r="P7530" s="42"/>
      <c r="R7530" s="23"/>
    </row>
    <row r="7531" spans="1:18" ht="12.75">
      <c r="A7531" s="12"/>
      <c r="D7531" s="12"/>
      <c r="E7531" s="12"/>
      <c r="H7531" s="11" t="str">
        <f ca="1">IFERROR(__xludf.DUMMYFUNCTION("IFERROR(SUBSTITUTE(SUBSTITUTE(REGEXEXTRACT(A7531, ""[^-]+- [^-]+- [^-]+ - (.+?)\.jpg""), "".jpg"", """"), ""-"", "", ""), """")"),"")</f>
        <v/>
      </c>
      <c r="L7531" s="12"/>
      <c r="M7531" s="13"/>
      <c r="N7531" s="2"/>
      <c r="O7531" s="20"/>
      <c r="P7531" s="42"/>
      <c r="R7531" s="23"/>
    </row>
    <row r="7532" spans="1:18" ht="12.75">
      <c r="A7532" s="12"/>
      <c r="D7532" s="12"/>
      <c r="E7532" s="12"/>
      <c r="H7532" s="11" t="str">
        <f ca="1">IFERROR(__xludf.DUMMYFUNCTION("IFERROR(SUBSTITUTE(SUBSTITUTE(REGEXEXTRACT(A7532, ""[^-]+- [^-]+- [^-]+ - (.+?)\.jpg""), "".jpg"", """"), ""-"", "", ""), """")"),"")</f>
        <v/>
      </c>
      <c r="L7532" s="12"/>
      <c r="M7532" s="13"/>
      <c r="N7532" s="2"/>
      <c r="O7532" s="20"/>
      <c r="P7532" s="42"/>
      <c r="R7532" s="23"/>
    </row>
    <row r="7533" spans="1:18" ht="12.75">
      <c r="A7533" s="12"/>
      <c r="D7533" s="12"/>
      <c r="E7533" s="12"/>
      <c r="H7533" s="11" t="str">
        <f ca="1">IFERROR(__xludf.DUMMYFUNCTION("IFERROR(SUBSTITUTE(SUBSTITUTE(REGEXEXTRACT(A7533, ""[^-]+- [^-]+- [^-]+ - (.+?)\.jpg""), "".jpg"", """"), ""-"", "", ""), """")"),"")</f>
        <v/>
      </c>
      <c r="L7533" s="12"/>
      <c r="M7533" s="13"/>
      <c r="N7533" s="2"/>
      <c r="O7533" s="20"/>
      <c r="P7533" s="42"/>
      <c r="R7533" s="23"/>
    </row>
    <row r="7534" spans="1:18" ht="12.75">
      <c r="A7534" s="12"/>
      <c r="D7534" s="12"/>
      <c r="E7534" s="12"/>
      <c r="H7534" s="11" t="str">
        <f ca="1">IFERROR(__xludf.DUMMYFUNCTION("IFERROR(SUBSTITUTE(SUBSTITUTE(REGEXEXTRACT(A7534, ""[^-]+- [^-]+- [^-]+ - (.+?)\.jpg""), "".jpg"", """"), ""-"", "", ""), """")"),"")</f>
        <v/>
      </c>
      <c r="L7534" s="12"/>
      <c r="M7534" s="13"/>
      <c r="N7534" s="2"/>
      <c r="O7534" s="20"/>
      <c r="P7534" s="42"/>
      <c r="R7534" s="23"/>
    </row>
    <row r="7535" spans="1:18" ht="12.75">
      <c r="A7535" s="12"/>
      <c r="D7535" s="12"/>
      <c r="E7535" s="12"/>
      <c r="H7535" s="11" t="str">
        <f ca="1">IFERROR(__xludf.DUMMYFUNCTION("IFERROR(SUBSTITUTE(SUBSTITUTE(REGEXEXTRACT(A7535, ""[^-]+- [^-]+- [^-]+ - (.+?)\.jpg""), "".jpg"", """"), ""-"", "", ""), """")"),"")</f>
        <v/>
      </c>
      <c r="L7535" s="12"/>
      <c r="M7535" s="13"/>
      <c r="N7535" s="2"/>
      <c r="O7535" s="20"/>
      <c r="P7535" s="42"/>
      <c r="R7535" s="23"/>
    </row>
    <row r="7536" spans="1:18" ht="12.75">
      <c r="A7536" s="12"/>
      <c r="D7536" s="12"/>
      <c r="E7536" s="12"/>
      <c r="H7536" s="11" t="str">
        <f ca="1">IFERROR(__xludf.DUMMYFUNCTION("IFERROR(SUBSTITUTE(SUBSTITUTE(REGEXEXTRACT(A7536, ""[^-]+- [^-]+- [^-]+ - (.+?)\.jpg""), "".jpg"", """"), ""-"", "", ""), """")"),"")</f>
        <v/>
      </c>
      <c r="L7536" s="12"/>
      <c r="M7536" s="13"/>
      <c r="N7536" s="2"/>
      <c r="O7536" s="20"/>
      <c r="P7536" s="42"/>
      <c r="R7536" s="23"/>
    </row>
    <row r="7537" spans="1:18" ht="12.75">
      <c r="A7537" s="12"/>
      <c r="D7537" s="12"/>
      <c r="E7537" s="12"/>
      <c r="H7537" s="11" t="str">
        <f ca="1">IFERROR(__xludf.DUMMYFUNCTION("IFERROR(SUBSTITUTE(SUBSTITUTE(REGEXEXTRACT(A7537, ""[^-]+- [^-]+- [^-]+ - (.+?)\.jpg""), "".jpg"", """"), ""-"", "", ""), """")"),"")</f>
        <v/>
      </c>
      <c r="L7537" s="12"/>
      <c r="M7537" s="13"/>
      <c r="N7537" s="2"/>
      <c r="O7537" s="20"/>
      <c r="P7537" s="42"/>
      <c r="R7537" s="23"/>
    </row>
    <row r="7538" spans="1:18" ht="12.75">
      <c r="A7538" s="12"/>
      <c r="D7538" s="12"/>
      <c r="E7538" s="12"/>
      <c r="H7538" s="11" t="str">
        <f ca="1">IFERROR(__xludf.DUMMYFUNCTION("IFERROR(SUBSTITUTE(SUBSTITUTE(REGEXEXTRACT(A7538, ""[^-]+- [^-]+- [^-]+ - (.+?)\.jpg""), "".jpg"", """"), ""-"", "", ""), """")"),"")</f>
        <v/>
      </c>
      <c r="L7538" s="12"/>
      <c r="M7538" s="13"/>
      <c r="N7538" s="2"/>
      <c r="O7538" s="20"/>
      <c r="P7538" s="42"/>
      <c r="R7538" s="23"/>
    </row>
    <row r="7539" spans="1:18" ht="12.75">
      <c r="A7539" s="12"/>
      <c r="D7539" s="12"/>
      <c r="E7539" s="12"/>
      <c r="H7539" s="11" t="str">
        <f ca="1">IFERROR(__xludf.DUMMYFUNCTION("IFERROR(SUBSTITUTE(SUBSTITUTE(REGEXEXTRACT(A7539, ""[^-]+- [^-]+- [^-]+ - (.+?)\.jpg""), "".jpg"", """"), ""-"", "", ""), """")"),"")</f>
        <v/>
      </c>
      <c r="L7539" s="12"/>
      <c r="M7539" s="13"/>
      <c r="N7539" s="2"/>
      <c r="O7539" s="20"/>
      <c r="P7539" s="42"/>
      <c r="R7539" s="23"/>
    </row>
    <row r="7540" spans="1:18" ht="12.75">
      <c r="A7540" s="12"/>
      <c r="D7540" s="12"/>
      <c r="E7540" s="12"/>
      <c r="H7540" s="11" t="str">
        <f ca="1">IFERROR(__xludf.DUMMYFUNCTION("IFERROR(SUBSTITUTE(SUBSTITUTE(REGEXEXTRACT(A7540, ""[^-]+- [^-]+- [^-]+ - (.+?)\.jpg""), "".jpg"", """"), ""-"", "", ""), """")"),"")</f>
        <v/>
      </c>
      <c r="L7540" s="12"/>
      <c r="M7540" s="13"/>
      <c r="N7540" s="2"/>
      <c r="O7540" s="20"/>
      <c r="P7540" s="42"/>
      <c r="R7540" s="23"/>
    </row>
    <row r="7541" spans="1:18" ht="12.75">
      <c r="A7541" s="12"/>
      <c r="D7541" s="12"/>
      <c r="E7541" s="12"/>
      <c r="H7541" s="11" t="str">
        <f ca="1">IFERROR(__xludf.DUMMYFUNCTION("IFERROR(SUBSTITUTE(SUBSTITUTE(REGEXEXTRACT(A7541, ""[^-]+- [^-]+- [^-]+ - (.+?)\.jpg""), "".jpg"", """"), ""-"", "", ""), """")"),"")</f>
        <v/>
      </c>
      <c r="L7541" s="12"/>
      <c r="M7541" s="13"/>
      <c r="N7541" s="2"/>
      <c r="O7541" s="20"/>
      <c r="P7541" s="42"/>
      <c r="R7541" s="23"/>
    </row>
    <row r="7542" spans="1:18" ht="12.75">
      <c r="A7542" s="12"/>
      <c r="D7542" s="12"/>
      <c r="E7542" s="12"/>
      <c r="H7542" s="11" t="str">
        <f ca="1">IFERROR(__xludf.DUMMYFUNCTION("IFERROR(SUBSTITUTE(SUBSTITUTE(REGEXEXTRACT(A7542, ""[^-]+- [^-]+- [^-]+ - (.+?)\.jpg""), "".jpg"", """"), ""-"", "", ""), """")"),"")</f>
        <v/>
      </c>
      <c r="L7542" s="12"/>
      <c r="M7542" s="13"/>
      <c r="N7542" s="2"/>
      <c r="O7542" s="20"/>
      <c r="P7542" s="42"/>
      <c r="R7542" s="23"/>
    </row>
    <row r="7543" spans="1:18" ht="12.75">
      <c r="A7543" s="12"/>
      <c r="D7543" s="12"/>
      <c r="E7543" s="12"/>
      <c r="H7543" s="11" t="str">
        <f ca="1">IFERROR(__xludf.DUMMYFUNCTION("IFERROR(SUBSTITUTE(SUBSTITUTE(REGEXEXTRACT(A7543, ""[^-]+- [^-]+- [^-]+ - (.+?)\.jpg""), "".jpg"", """"), ""-"", "", ""), """")"),"")</f>
        <v/>
      </c>
      <c r="L7543" s="12"/>
      <c r="M7543" s="13"/>
      <c r="N7543" s="2"/>
      <c r="O7543" s="20"/>
      <c r="P7543" s="42"/>
      <c r="R7543" s="23"/>
    </row>
    <row r="7544" spans="1:18" ht="12.75">
      <c r="A7544" s="12"/>
      <c r="D7544" s="12"/>
      <c r="E7544" s="12"/>
      <c r="H7544" s="11" t="str">
        <f ca="1">IFERROR(__xludf.DUMMYFUNCTION("IFERROR(SUBSTITUTE(SUBSTITUTE(REGEXEXTRACT(A7544, ""[^-]+- [^-]+- [^-]+ - (.+?)\.jpg""), "".jpg"", """"), ""-"", "", ""), """")"),"")</f>
        <v/>
      </c>
      <c r="L7544" s="12"/>
      <c r="M7544" s="13"/>
      <c r="N7544" s="2"/>
      <c r="O7544" s="20"/>
      <c r="P7544" s="42"/>
      <c r="R7544" s="23"/>
    </row>
    <row r="7545" spans="1:18" ht="12.75">
      <c r="A7545" s="12"/>
      <c r="D7545" s="12"/>
      <c r="E7545" s="12"/>
      <c r="H7545" s="11" t="str">
        <f ca="1">IFERROR(__xludf.DUMMYFUNCTION("IFERROR(SUBSTITUTE(SUBSTITUTE(REGEXEXTRACT(A7545, ""[^-]+- [^-]+- [^-]+ - (.+?)\.jpg""), "".jpg"", """"), ""-"", "", ""), """")"),"")</f>
        <v/>
      </c>
      <c r="L7545" s="12"/>
      <c r="M7545" s="13"/>
      <c r="N7545" s="2"/>
      <c r="O7545" s="20"/>
      <c r="P7545" s="42"/>
      <c r="R7545" s="23"/>
    </row>
    <row r="7546" spans="1:18" ht="12.75">
      <c r="A7546" s="12"/>
      <c r="D7546" s="12"/>
      <c r="E7546" s="12"/>
      <c r="H7546" s="11" t="str">
        <f ca="1">IFERROR(__xludf.DUMMYFUNCTION("IFERROR(SUBSTITUTE(SUBSTITUTE(REGEXEXTRACT(A7546, ""[^-]+- [^-]+- [^-]+ - (.+?)\.jpg""), "".jpg"", """"), ""-"", "", ""), """")"),"")</f>
        <v/>
      </c>
      <c r="L7546" s="12"/>
      <c r="M7546" s="13"/>
      <c r="N7546" s="2"/>
      <c r="O7546" s="20"/>
      <c r="P7546" s="42"/>
      <c r="R7546" s="23"/>
    </row>
    <row r="7547" spans="1:18" ht="12.75">
      <c r="A7547" s="12"/>
      <c r="D7547" s="12"/>
      <c r="E7547" s="12"/>
      <c r="H7547" s="11" t="str">
        <f ca="1">IFERROR(__xludf.DUMMYFUNCTION("IFERROR(SUBSTITUTE(SUBSTITUTE(REGEXEXTRACT(A7547, ""[^-]+- [^-]+- [^-]+ - (.+?)\.jpg""), "".jpg"", """"), ""-"", "", ""), """")"),"")</f>
        <v/>
      </c>
      <c r="L7547" s="12"/>
      <c r="M7547" s="13"/>
      <c r="N7547" s="2"/>
      <c r="O7547" s="20"/>
      <c r="P7547" s="42"/>
      <c r="R7547" s="23"/>
    </row>
    <row r="7548" spans="1:18" ht="12.75">
      <c r="A7548" s="12"/>
      <c r="D7548" s="12"/>
      <c r="E7548" s="12"/>
      <c r="H7548" s="11" t="str">
        <f ca="1">IFERROR(__xludf.DUMMYFUNCTION("IFERROR(SUBSTITUTE(SUBSTITUTE(REGEXEXTRACT(A7548, ""[^-]+- [^-]+- [^-]+ - (.+?)\.jpg""), "".jpg"", """"), ""-"", "", ""), """")"),"")</f>
        <v/>
      </c>
      <c r="L7548" s="12"/>
      <c r="M7548" s="13"/>
      <c r="N7548" s="2"/>
      <c r="O7548" s="20"/>
      <c r="P7548" s="42"/>
      <c r="R7548" s="23"/>
    </row>
    <row r="7549" spans="1:18" ht="12.75">
      <c r="A7549" s="12"/>
      <c r="D7549" s="12"/>
      <c r="E7549" s="12"/>
      <c r="H7549" s="11" t="str">
        <f ca="1">IFERROR(__xludf.DUMMYFUNCTION("IFERROR(SUBSTITUTE(SUBSTITUTE(REGEXEXTRACT(A7549, ""[^-]+- [^-]+- [^-]+ - (.+?)\.jpg""), "".jpg"", """"), ""-"", "", ""), """")"),"")</f>
        <v/>
      </c>
      <c r="L7549" s="12"/>
      <c r="M7549" s="13"/>
      <c r="N7549" s="2"/>
      <c r="O7549" s="20"/>
      <c r="P7549" s="42"/>
      <c r="R7549" s="23"/>
    </row>
    <row r="7550" spans="1:18" ht="12.75">
      <c r="A7550" s="12"/>
      <c r="D7550" s="12"/>
      <c r="E7550" s="12"/>
      <c r="H7550" s="11" t="str">
        <f ca="1">IFERROR(__xludf.DUMMYFUNCTION("IFERROR(SUBSTITUTE(SUBSTITUTE(REGEXEXTRACT(A7550, ""[^-]+- [^-]+- [^-]+ - (.+?)\.jpg""), "".jpg"", """"), ""-"", "", ""), """")"),"")</f>
        <v/>
      </c>
      <c r="L7550" s="12"/>
      <c r="M7550" s="13"/>
      <c r="N7550" s="2"/>
      <c r="O7550" s="20"/>
      <c r="P7550" s="42"/>
      <c r="R7550" s="23"/>
    </row>
    <row r="7551" spans="1:18" ht="12.75">
      <c r="A7551" s="12"/>
      <c r="D7551" s="12"/>
      <c r="E7551" s="12"/>
      <c r="H7551" s="11" t="str">
        <f ca="1">IFERROR(__xludf.DUMMYFUNCTION("IFERROR(SUBSTITUTE(SUBSTITUTE(REGEXEXTRACT(A7551, ""[^-]+- [^-]+- [^-]+ - (.+?)\.jpg""), "".jpg"", """"), ""-"", "", ""), """")"),"")</f>
        <v/>
      </c>
      <c r="L7551" s="12"/>
      <c r="M7551" s="13"/>
      <c r="N7551" s="2"/>
      <c r="O7551" s="20"/>
      <c r="P7551" s="42"/>
      <c r="R7551" s="23"/>
    </row>
    <row r="7552" spans="1:18" ht="12.75">
      <c r="A7552" s="12"/>
      <c r="D7552" s="12"/>
      <c r="E7552" s="12"/>
      <c r="H7552" s="11" t="str">
        <f ca="1">IFERROR(__xludf.DUMMYFUNCTION("IFERROR(SUBSTITUTE(SUBSTITUTE(REGEXEXTRACT(A7552, ""[^-]+- [^-]+- [^-]+ - (.+?)\.jpg""), "".jpg"", """"), ""-"", "", ""), """")"),"")</f>
        <v/>
      </c>
      <c r="L7552" s="12"/>
      <c r="M7552" s="13"/>
      <c r="N7552" s="2"/>
      <c r="O7552" s="20"/>
      <c r="P7552" s="42"/>
      <c r="R7552" s="23"/>
    </row>
    <row r="7553" spans="1:18" ht="12.75">
      <c r="A7553" s="12"/>
      <c r="D7553" s="12"/>
      <c r="E7553" s="12"/>
      <c r="H7553" s="11" t="str">
        <f ca="1">IFERROR(__xludf.DUMMYFUNCTION("IFERROR(SUBSTITUTE(SUBSTITUTE(REGEXEXTRACT(A7553, ""[^-]+- [^-]+- [^-]+ - (.+?)\.jpg""), "".jpg"", """"), ""-"", "", ""), """")"),"")</f>
        <v/>
      </c>
      <c r="L7553" s="12"/>
      <c r="M7553" s="13"/>
      <c r="N7553" s="2"/>
      <c r="O7553" s="20"/>
      <c r="P7553" s="42"/>
      <c r="R7553" s="23"/>
    </row>
    <row r="7554" spans="1:18" ht="12.75">
      <c r="A7554" s="12"/>
      <c r="D7554" s="12"/>
      <c r="E7554" s="12"/>
      <c r="H7554" s="11" t="str">
        <f ca="1">IFERROR(__xludf.DUMMYFUNCTION("IFERROR(SUBSTITUTE(SUBSTITUTE(REGEXEXTRACT(A7554, ""[^-]+- [^-]+- [^-]+ - (.+?)\.jpg""), "".jpg"", """"), ""-"", "", ""), """")"),"")</f>
        <v/>
      </c>
      <c r="L7554" s="12"/>
      <c r="M7554" s="13"/>
      <c r="N7554" s="2"/>
      <c r="O7554" s="20"/>
      <c r="P7554" s="42"/>
      <c r="R7554" s="23"/>
    </row>
    <row r="7555" spans="1:18" ht="12.75">
      <c r="A7555" s="12"/>
      <c r="D7555" s="12"/>
      <c r="E7555" s="12"/>
      <c r="H7555" s="11" t="str">
        <f ca="1">IFERROR(__xludf.DUMMYFUNCTION("IFERROR(SUBSTITUTE(SUBSTITUTE(REGEXEXTRACT(A7555, ""[^-]+- [^-]+- [^-]+ - (.+?)\.jpg""), "".jpg"", """"), ""-"", "", ""), """")"),"")</f>
        <v/>
      </c>
      <c r="L7555" s="12"/>
      <c r="M7555" s="13"/>
      <c r="N7555" s="2"/>
      <c r="O7555" s="20"/>
      <c r="P7555" s="42"/>
      <c r="R7555" s="23"/>
    </row>
    <row r="7556" spans="1:18" ht="12.75">
      <c r="A7556" s="12"/>
      <c r="D7556" s="12"/>
      <c r="E7556" s="12"/>
      <c r="H7556" s="11" t="str">
        <f ca="1">IFERROR(__xludf.DUMMYFUNCTION("IFERROR(SUBSTITUTE(SUBSTITUTE(REGEXEXTRACT(A7556, ""[^-]+- [^-]+- [^-]+ - (.+?)\.jpg""), "".jpg"", """"), ""-"", "", ""), """")"),"")</f>
        <v/>
      </c>
      <c r="L7556" s="12"/>
      <c r="M7556" s="13"/>
      <c r="N7556" s="2"/>
      <c r="O7556" s="20"/>
      <c r="P7556" s="42"/>
      <c r="R7556" s="23"/>
    </row>
    <row r="7557" spans="1:18" ht="12.75">
      <c r="A7557" s="12"/>
      <c r="D7557" s="12"/>
      <c r="E7557" s="12"/>
      <c r="H7557" s="11" t="str">
        <f ca="1">IFERROR(__xludf.DUMMYFUNCTION("IFERROR(SUBSTITUTE(SUBSTITUTE(REGEXEXTRACT(A7557, ""[^-]+- [^-]+- [^-]+ - (.+?)\.jpg""), "".jpg"", """"), ""-"", "", ""), """")"),"")</f>
        <v/>
      </c>
      <c r="L7557" s="12"/>
      <c r="M7557" s="13"/>
      <c r="N7557" s="2"/>
      <c r="O7557" s="20"/>
      <c r="P7557" s="42"/>
      <c r="R7557" s="23"/>
    </row>
    <row r="7558" spans="1:18" ht="12.75">
      <c r="A7558" s="12"/>
      <c r="D7558" s="12"/>
      <c r="E7558" s="12"/>
      <c r="H7558" s="11" t="str">
        <f ca="1">IFERROR(__xludf.DUMMYFUNCTION("IFERROR(SUBSTITUTE(SUBSTITUTE(REGEXEXTRACT(A7558, ""[^-]+- [^-]+- [^-]+ - (.+?)\.jpg""), "".jpg"", """"), ""-"", "", ""), """")"),"")</f>
        <v/>
      </c>
      <c r="L7558" s="12"/>
      <c r="M7558" s="13"/>
      <c r="N7558" s="2"/>
      <c r="O7558" s="20"/>
      <c r="P7558" s="42"/>
      <c r="R7558" s="23"/>
    </row>
    <row r="7559" spans="1:18" ht="12.75">
      <c r="A7559" s="12"/>
      <c r="D7559" s="12"/>
      <c r="E7559" s="12"/>
      <c r="H7559" s="11" t="str">
        <f ca="1">IFERROR(__xludf.DUMMYFUNCTION("IFERROR(SUBSTITUTE(SUBSTITUTE(REGEXEXTRACT(A7559, ""[^-]+- [^-]+- [^-]+ - (.+?)\.jpg""), "".jpg"", """"), ""-"", "", ""), """")"),"")</f>
        <v/>
      </c>
      <c r="L7559" s="12"/>
      <c r="M7559" s="13"/>
      <c r="N7559" s="2"/>
      <c r="O7559" s="20"/>
      <c r="P7559" s="42"/>
      <c r="R7559" s="23"/>
    </row>
    <row r="7560" spans="1:18" ht="12.75">
      <c r="A7560" s="12"/>
      <c r="D7560" s="12"/>
      <c r="E7560" s="12"/>
      <c r="H7560" s="11" t="str">
        <f ca="1">IFERROR(__xludf.DUMMYFUNCTION("IFERROR(SUBSTITUTE(SUBSTITUTE(REGEXEXTRACT(A7560, ""[^-]+- [^-]+- [^-]+ - (.+?)\.jpg""), "".jpg"", """"), ""-"", "", ""), """")"),"")</f>
        <v/>
      </c>
      <c r="L7560" s="12"/>
      <c r="M7560" s="13"/>
      <c r="N7560" s="2"/>
      <c r="O7560" s="20"/>
      <c r="P7560" s="42"/>
      <c r="R7560" s="23"/>
    </row>
    <row r="7561" spans="1:18" ht="12.75">
      <c r="A7561" s="12"/>
      <c r="D7561" s="12"/>
      <c r="E7561" s="12"/>
      <c r="H7561" s="11" t="str">
        <f ca="1">IFERROR(__xludf.DUMMYFUNCTION("IFERROR(SUBSTITUTE(SUBSTITUTE(REGEXEXTRACT(A7561, ""[^-]+- [^-]+- [^-]+ - (.+?)\.jpg""), "".jpg"", """"), ""-"", "", ""), """")"),"")</f>
        <v/>
      </c>
      <c r="L7561" s="12"/>
      <c r="M7561" s="13"/>
      <c r="N7561" s="2"/>
      <c r="O7561" s="20"/>
      <c r="P7561" s="42"/>
      <c r="R7561" s="23"/>
    </row>
    <row r="7562" spans="1:18" ht="12.75">
      <c r="A7562" s="12"/>
      <c r="D7562" s="12"/>
      <c r="E7562" s="12"/>
      <c r="H7562" s="11" t="str">
        <f ca="1">IFERROR(__xludf.DUMMYFUNCTION("IFERROR(SUBSTITUTE(SUBSTITUTE(REGEXEXTRACT(A7562, ""[^-]+- [^-]+- [^-]+ - (.+?)\.jpg""), "".jpg"", """"), ""-"", "", ""), """")"),"")</f>
        <v/>
      </c>
      <c r="L7562" s="12"/>
      <c r="M7562" s="13"/>
      <c r="N7562" s="2"/>
      <c r="O7562" s="20"/>
      <c r="P7562" s="42"/>
      <c r="R7562" s="23"/>
    </row>
    <row r="7563" spans="1:18" ht="12.75">
      <c r="A7563" s="12"/>
      <c r="D7563" s="12"/>
      <c r="E7563" s="12"/>
      <c r="H7563" s="11" t="str">
        <f ca="1">IFERROR(__xludf.DUMMYFUNCTION("IFERROR(SUBSTITUTE(SUBSTITUTE(REGEXEXTRACT(A7563, ""[^-]+- [^-]+- [^-]+ - (.+?)\.jpg""), "".jpg"", """"), ""-"", "", ""), """")"),"")</f>
        <v/>
      </c>
      <c r="L7563" s="12"/>
      <c r="M7563" s="13"/>
      <c r="N7563" s="2"/>
      <c r="O7563" s="20"/>
      <c r="P7563" s="42"/>
      <c r="R7563" s="23"/>
    </row>
    <row r="7564" spans="1:18" ht="12.75">
      <c r="A7564" s="12"/>
      <c r="D7564" s="12"/>
      <c r="E7564" s="12"/>
      <c r="H7564" s="11" t="str">
        <f ca="1">IFERROR(__xludf.DUMMYFUNCTION("IFERROR(SUBSTITUTE(SUBSTITUTE(REGEXEXTRACT(A7564, ""[^-]+- [^-]+- [^-]+ - (.+?)\.jpg""), "".jpg"", """"), ""-"", "", ""), """")"),"")</f>
        <v/>
      </c>
      <c r="L7564" s="12"/>
      <c r="M7564" s="13"/>
      <c r="N7564" s="2"/>
      <c r="O7564" s="20"/>
      <c r="P7564" s="42"/>
      <c r="R7564" s="23"/>
    </row>
    <row r="7565" spans="1:18" ht="12.75">
      <c r="A7565" s="12"/>
      <c r="D7565" s="12"/>
      <c r="E7565" s="12"/>
      <c r="H7565" s="11" t="str">
        <f ca="1">IFERROR(__xludf.DUMMYFUNCTION("IFERROR(SUBSTITUTE(SUBSTITUTE(REGEXEXTRACT(A7565, ""[^-]+- [^-]+- [^-]+ - (.+?)\.jpg""), "".jpg"", """"), ""-"", "", ""), """")"),"")</f>
        <v/>
      </c>
      <c r="L7565" s="12"/>
      <c r="M7565" s="13"/>
      <c r="N7565" s="2"/>
      <c r="O7565" s="20"/>
      <c r="P7565" s="42"/>
      <c r="R7565" s="23"/>
    </row>
    <row r="7566" spans="1:18" ht="12.75">
      <c r="A7566" s="12"/>
      <c r="D7566" s="12"/>
      <c r="E7566" s="12"/>
      <c r="H7566" s="11" t="str">
        <f ca="1">IFERROR(__xludf.DUMMYFUNCTION("IFERROR(SUBSTITUTE(SUBSTITUTE(REGEXEXTRACT(A7566, ""[^-]+- [^-]+- [^-]+ - (.+?)\.jpg""), "".jpg"", """"), ""-"", "", ""), """")"),"")</f>
        <v/>
      </c>
      <c r="L7566" s="12"/>
      <c r="M7566" s="13"/>
      <c r="N7566" s="2"/>
      <c r="O7566" s="20"/>
      <c r="P7566" s="42"/>
      <c r="R7566" s="23"/>
    </row>
    <row r="7567" spans="1:18" ht="12.75">
      <c r="A7567" s="12"/>
      <c r="D7567" s="12"/>
      <c r="E7567" s="12"/>
      <c r="H7567" s="11" t="str">
        <f ca="1">IFERROR(__xludf.DUMMYFUNCTION("IFERROR(SUBSTITUTE(SUBSTITUTE(REGEXEXTRACT(A7567, ""[^-]+- [^-]+- [^-]+ - (.+?)\.jpg""), "".jpg"", """"), ""-"", "", ""), """")"),"")</f>
        <v/>
      </c>
      <c r="L7567" s="12"/>
      <c r="M7567" s="13"/>
      <c r="N7567" s="2"/>
      <c r="O7567" s="20"/>
      <c r="P7567" s="42"/>
      <c r="R7567" s="23"/>
    </row>
    <row r="7568" spans="1:18" ht="12.75">
      <c r="A7568" s="12"/>
      <c r="D7568" s="12"/>
      <c r="E7568" s="12"/>
      <c r="H7568" s="11" t="str">
        <f ca="1">IFERROR(__xludf.DUMMYFUNCTION("IFERROR(SUBSTITUTE(SUBSTITUTE(REGEXEXTRACT(A7568, ""[^-]+- [^-]+- [^-]+ - (.+?)\.jpg""), "".jpg"", """"), ""-"", "", ""), """")"),"")</f>
        <v/>
      </c>
      <c r="L7568" s="12"/>
      <c r="M7568" s="13"/>
      <c r="N7568" s="2"/>
      <c r="O7568" s="20"/>
      <c r="P7568" s="42"/>
      <c r="R7568" s="23"/>
    </row>
    <row r="7569" spans="1:18" ht="12.75">
      <c r="A7569" s="12"/>
      <c r="D7569" s="12"/>
      <c r="E7569" s="12"/>
      <c r="H7569" s="11" t="str">
        <f ca="1">IFERROR(__xludf.DUMMYFUNCTION("IFERROR(SUBSTITUTE(SUBSTITUTE(REGEXEXTRACT(A7569, ""[^-]+- [^-]+- [^-]+ - (.+?)\.jpg""), "".jpg"", """"), ""-"", "", ""), """")"),"")</f>
        <v/>
      </c>
      <c r="L7569" s="12"/>
      <c r="M7569" s="13"/>
      <c r="N7569" s="2"/>
      <c r="O7569" s="20"/>
      <c r="P7569" s="42"/>
      <c r="R7569" s="23"/>
    </row>
    <row r="7570" spans="1:18" ht="12.75">
      <c r="A7570" s="12"/>
      <c r="D7570" s="12"/>
      <c r="E7570" s="12"/>
      <c r="H7570" s="11" t="str">
        <f ca="1">IFERROR(__xludf.DUMMYFUNCTION("IFERROR(SUBSTITUTE(SUBSTITUTE(REGEXEXTRACT(A7570, ""[^-]+- [^-]+- [^-]+ - (.+?)\.jpg""), "".jpg"", """"), ""-"", "", ""), """")"),"")</f>
        <v/>
      </c>
      <c r="L7570" s="12"/>
      <c r="M7570" s="13"/>
      <c r="N7570" s="2"/>
      <c r="O7570" s="20"/>
      <c r="P7570" s="42"/>
      <c r="R7570" s="23"/>
    </row>
    <row r="7571" spans="1:18" ht="12.75">
      <c r="A7571" s="12"/>
      <c r="D7571" s="12"/>
      <c r="E7571" s="12"/>
      <c r="H7571" s="11" t="str">
        <f ca="1">IFERROR(__xludf.DUMMYFUNCTION("IFERROR(SUBSTITUTE(SUBSTITUTE(REGEXEXTRACT(A7571, ""[^-]+- [^-]+- [^-]+ - (.+?)\.jpg""), "".jpg"", """"), ""-"", "", ""), """")"),"")</f>
        <v/>
      </c>
      <c r="L7571" s="12"/>
      <c r="M7571" s="13"/>
      <c r="N7571" s="2"/>
      <c r="O7571" s="20"/>
      <c r="P7571" s="42"/>
      <c r="R7571" s="23"/>
    </row>
    <row r="7572" spans="1:18" ht="12.75">
      <c r="A7572" s="12"/>
      <c r="D7572" s="12"/>
      <c r="E7572" s="12"/>
      <c r="H7572" s="11" t="str">
        <f ca="1">IFERROR(__xludf.DUMMYFUNCTION("IFERROR(SUBSTITUTE(SUBSTITUTE(REGEXEXTRACT(A7572, ""[^-]+- [^-]+- [^-]+ - (.+?)\.jpg""), "".jpg"", """"), ""-"", "", ""), """")"),"")</f>
        <v/>
      </c>
      <c r="L7572" s="12"/>
      <c r="M7572" s="13"/>
      <c r="N7572" s="2"/>
      <c r="O7572" s="20"/>
      <c r="P7572" s="42"/>
      <c r="R7572" s="23"/>
    </row>
    <row r="7573" spans="1:18" ht="12.75">
      <c r="A7573" s="12"/>
      <c r="D7573" s="12"/>
      <c r="E7573" s="12"/>
      <c r="H7573" s="11" t="str">
        <f ca="1">IFERROR(__xludf.DUMMYFUNCTION("IFERROR(SUBSTITUTE(SUBSTITUTE(REGEXEXTRACT(A7573, ""[^-]+- [^-]+- [^-]+ - (.+?)\.jpg""), "".jpg"", """"), ""-"", "", ""), """")"),"")</f>
        <v/>
      </c>
      <c r="L7573" s="12"/>
      <c r="M7573" s="13"/>
      <c r="N7573" s="2"/>
      <c r="O7573" s="20"/>
      <c r="P7573" s="42"/>
      <c r="R7573" s="23"/>
    </row>
    <row r="7574" spans="1:18" ht="12.75">
      <c r="A7574" s="12"/>
      <c r="D7574" s="12"/>
      <c r="E7574" s="12"/>
      <c r="H7574" s="11" t="str">
        <f ca="1">IFERROR(__xludf.DUMMYFUNCTION("IFERROR(SUBSTITUTE(SUBSTITUTE(REGEXEXTRACT(A7574, ""[^-]+- [^-]+- [^-]+ - (.+?)\.jpg""), "".jpg"", """"), ""-"", "", ""), """")"),"")</f>
        <v/>
      </c>
      <c r="L7574" s="12"/>
      <c r="M7574" s="13"/>
      <c r="N7574" s="2"/>
      <c r="O7574" s="20"/>
      <c r="P7574" s="42"/>
      <c r="R7574" s="23"/>
    </row>
    <row r="7575" spans="1:18" ht="12.75">
      <c r="A7575" s="12"/>
      <c r="D7575" s="12"/>
      <c r="E7575" s="12"/>
      <c r="H7575" s="11" t="str">
        <f ca="1">IFERROR(__xludf.DUMMYFUNCTION("IFERROR(SUBSTITUTE(SUBSTITUTE(REGEXEXTRACT(A7575, ""[^-]+- [^-]+- [^-]+ - (.+?)\.jpg""), "".jpg"", """"), ""-"", "", ""), """")"),"")</f>
        <v/>
      </c>
      <c r="L7575" s="12"/>
      <c r="M7575" s="13"/>
      <c r="N7575" s="2"/>
      <c r="O7575" s="20"/>
      <c r="P7575" s="42"/>
      <c r="R7575" s="23"/>
    </row>
    <row r="7576" spans="1:18" ht="12.75">
      <c r="A7576" s="12"/>
      <c r="D7576" s="12"/>
      <c r="E7576" s="12"/>
      <c r="H7576" s="11" t="str">
        <f ca="1">IFERROR(__xludf.DUMMYFUNCTION("IFERROR(SUBSTITUTE(SUBSTITUTE(REGEXEXTRACT(A7576, ""[^-]+- [^-]+- [^-]+ - (.+?)\.jpg""), "".jpg"", """"), ""-"", "", ""), """")"),"")</f>
        <v/>
      </c>
      <c r="L7576" s="12"/>
      <c r="M7576" s="13"/>
      <c r="N7576" s="2"/>
      <c r="O7576" s="20"/>
      <c r="P7576" s="42"/>
      <c r="R7576" s="23"/>
    </row>
    <row r="7577" spans="1:18" ht="12.75">
      <c r="A7577" s="12"/>
      <c r="D7577" s="12"/>
      <c r="E7577" s="12"/>
      <c r="H7577" s="11" t="str">
        <f ca="1">IFERROR(__xludf.DUMMYFUNCTION("IFERROR(SUBSTITUTE(SUBSTITUTE(REGEXEXTRACT(A7577, ""[^-]+- [^-]+- [^-]+ - (.+?)\.jpg""), "".jpg"", """"), ""-"", "", ""), """")"),"")</f>
        <v/>
      </c>
      <c r="L7577" s="12"/>
      <c r="M7577" s="13"/>
      <c r="N7577" s="2"/>
      <c r="O7577" s="20"/>
      <c r="P7577" s="42"/>
      <c r="R7577" s="23"/>
    </row>
    <row r="7578" spans="1:18" ht="12.75">
      <c r="A7578" s="12"/>
      <c r="D7578" s="12"/>
      <c r="E7578" s="12"/>
      <c r="H7578" s="11" t="str">
        <f ca="1">IFERROR(__xludf.DUMMYFUNCTION("IFERROR(SUBSTITUTE(SUBSTITUTE(REGEXEXTRACT(A7578, ""[^-]+- [^-]+- [^-]+ - (.+?)\.jpg""), "".jpg"", """"), ""-"", "", ""), """")"),"")</f>
        <v/>
      </c>
      <c r="L7578" s="12"/>
      <c r="M7578" s="13"/>
      <c r="N7578" s="2"/>
      <c r="O7578" s="20"/>
      <c r="P7578" s="42"/>
      <c r="R7578" s="23"/>
    </row>
    <row r="7579" spans="1:18" ht="12.75">
      <c r="A7579" s="12"/>
      <c r="D7579" s="12"/>
      <c r="E7579" s="12"/>
      <c r="H7579" s="11" t="str">
        <f ca="1">IFERROR(__xludf.DUMMYFUNCTION("IFERROR(SUBSTITUTE(SUBSTITUTE(REGEXEXTRACT(A7579, ""[^-]+- [^-]+- [^-]+ - (.+?)\.jpg""), "".jpg"", """"), ""-"", "", ""), """")"),"")</f>
        <v/>
      </c>
      <c r="L7579" s="12"/>
      <c r="M7579" s="13"/>
      <c r="N7579" s="2"/>
      <c r="O7579" s="20"/>
      <c r="P7579" s="42"/>
      <c r="R7579" s="23"/>
    </row>
    <row r="7580" spans="1:18" ht="12.75">
      <c r="A7580" s="12"/>
      <c r="D7580" s="12"/>
      <c r="E7580" s="12"/>
      <c r="H7580" s="11" t="str">
        <f ca="1">IFERROR(__xludf.DUMMYFUNCTION("IFERROR(SUBSTITUTE(SUBSTITUTE(REGEXEXTRACT(A7580, ""[^-]+- [^-]+- [^-]+ - (.+?)\.jpg""), "".jpg"", """"), ""-"", "", ""), """")"),"")</f>
        <v/>
      </c>
      <c r="L7580" s="12"/>
      <c r="M7580" s="13"/>
      <c r="N7580" s="2"/>
      <c r="O7580" s="20"/>
      <c r="P7580" s="42"/>
      <c r="R7580" s="23"/>
    </row>
    <row r="7581" spans="1:18" ht="12.75">
      <c r="A7581" s="12"/>
      <c r="D7581" s="12"/>
      <c r="E7581" s="12"/>
      <c r="H7581" s="11" t="str">
        <f ca="1">IFERROR(__xludf.DUMMYFUNCTION("IFERROR(SUBSTITUTE(SUBSTITUTE(REGEXEXTRACT(A7581, ""[^-]+- [^-]+- [^-]+ - (.+?)\.jpg""), "".jpg"", """"), ""-"", "", ""), """")"),"")</f>
        <v/>
      </c>
      <c r="L7581" s="12"/>
      <c r="M7581" s="13"/>
      <c r="N7581" s="2"/>
      <c r="O7581" s="20"/>
      <c r="P7581" s="42"/>
      <c r="R7581" s="23"/>
    </row>
    <row r="7582" spans="1:18" ht="12.75">
      <c r="A7582" s="12"/>
      <c r="D7582" s="12"/>
      <c r="E7582" s="12"/>
      <c r="H7582" s="11" t="str">
        <f ca="1">IFERROR(__xludf.DUMMYFUNCTION("IFERROR(SUBSTITUTE(SUBSTITUTE(REGEXEXTRACT(A7582, ""[^-]+- [^-]+- [^-]+ - (.+?)\.jpg""), "".jpg"", """"), ""-"", "", ""), """")"),"")</f>
        <v/>
      </c>
      <c r="L7582" s="12"/>
      <c r="M7582" s="13"/>
      <c r="N7582" s="2"/>
      <c r="O7582" s="20"/>
      <c r="P7582" s="42"/>
      <c r="R7582" s="23"/>
    </row>
    <row r="7583" spans="1:18" ht="12.75">
      <c r="A7583" s="12"/>
      <c r="D7583" s="12"/>
      <c r="E7583" s="12"/>
      <c r="H7583" s="11" t="str">
        <f ca="1">IFERROR(__xludf.DUMMYFUNCTION("IFERROR(SUBSTITUTE(SUBSTITUTE(REGEXEXTRACT(A7583, ""[^-]+- [^-]+- [^-]+ - (.+?)\.jpg""), "".jpg"", """"), ""-"", "", ""), """")"),"")</f>
        <v/>
      </c>
      <c r="L7583" s="12"/>
      <c r="M7583" s="13"/>
      <c r="N7583" s="2"/>
      <c r="O7583" s="20"/>
      <c r="P7583" s="42"/>
      <c r="R7583" s="23"/>
    </row>
    <row r="7584" spans="1:18" ht="12.75">
      <c r="A7584" s="12"/>
      <c r="D7584" s="12"/>
      <c r="E7584" s="12"/>
      <c r="H7584" s="11" t="str">
        <f ca="1">IFERROR(__xludf.DUMMYFUNCTION("IFERROR(SUBSTITUTE(SUBSTITUTE(REGEXEXTRACT(A7584, ""[^-]+- [^-]+- [^-]+ - (.+?)\.jpg""), "".jpg"", """"), ""-"", "", ""), """")"),"")</f>
        <v/>
      </c>
      <c r="L7584" s="12"/>
      <c r="M7584" s="13"/>
      <c r="N7584" s="2"/>
      <c r="O7584" s="20"/>
      <c r="P7584" s="42"/>
      <c r="R7584" s="23"/>
    </row>
    <row r="7585" spans="1:18" ht="12.75">
      <c r="A7585" s="12"/>
      <c r="D7585" s="12"/>
      <c r="E7585" s="12"/>
      <c r="H7585" s="11" t="str">
        <f ca="1">IFERROR(__xludf.DUMMYFUNCTION("IFERROR(SUBSTITUTE(SUBSTITUTE(REGEXEXTRACT(A7585, ""[^-]+- [^-]+- [^-]+ - (.+?)\.jpg""), "".jpg"", """"), ""-"", "", ""), """")"),"")</f>
        <v/>
      </c>
      <c r="L7585" s="12"/>
      <c r="M7585" s="13"/>
      <c r="N7585" s="2"/>
      <c r="O7585" s="20"/>
      <c r="P7585" s="42"/>
      <c r="R7585" s="23"/>
    </row>
    <row r="7586" spans="1:18" ht="12.75">
      <c r="A7586" s="12"/>
      <c r="D7586" s="12"/>
      <c r="E7586" s="12"/>
      <c r="H7586" s="11" t="str">
        <f ca="1">IFERROR(__xludf.DUMMYFUNCTION("IFERROR(SUBSTITUTE(SUBSTITUTE(REGEXEXTRACT(A7586, ""[^-]+- [^-]+- [^-]+ - (.+?)\.jpg""), "".jpg"", """"), ""-"", "", ""), """")"),"")</f>
        <v/>
      </c>
      <c r="L7586" s="12"/>
      <c r="M7586" s="13"/>
      <c r="N7586" s="2"/>
      <c r="O7586" s="20"/>
      <c r="P7586" s="42"/>
      <c r="R7586" s="23"/>
    </row>
    <row r="7587" spans="1:18" ht="12.75">
      <c r="A7587" s="12"/>
      <c r="D7587" s="12"/>
      <c r="E7587" s="12"/>
      <c r="H7587" s="11" t="str">
        <f ca="1">IFERROR(__xludf.DUMMYFUNCTION("IFERROR(SUBSTITUTE(SUBSTITUTE(REGEXEXTRACT(A7587, ""[^-]+- [^-]+- [^-]+ - (.+?)\.jpg""), "".jpg"", """"), ""-"", "", ""), """")"),"")</f>
        <v/>
      </c>
      <c r="L7587" s="12"/>
      <c r="M7587" s="13"/>
      <c r="N7587" s="2"/>
      <c r="O7587" s="20"/>
      <c r="P7587" s="42"/>
      <c r="R7587" s="23"/>
    </row>
    <row r="7588" spans="1:18" ht="12.75">
      <c r="A7588" s="12"/>
      <c r="D7588" s="12"/>
      <c r="E7588" s="12"/>
      <c r="H7588" s="11" t="str">
        <f ca="1">IFERROR(__xludf.DUMMYFUNCTION("IFERROR(SUBSTITUTE(SUBSTITUTE(REGEXEXTRACT(A7588, ""[^-]+- [^-]+- [^-]+ - (.+?)\.jpg""), "".jpg"", """"), ""-"", "", ""), """")"),"")</f>
        <v/>
      </c>
      <c r="L7588" s="12"/>
      <c r="M7588" s="13"/>
      <c r="N7588" s="2"/>
      <c r="O7588" s="20"/>
      <c r="P7588" s="42"/>
      <c r="R7588" s="23"/>
    </row>
    <row r="7589" spans="1:18" ht="12.75">
      <c r="A7589" s="12"/>
      <c r="D7589" s="12"/>
      <c r="E7589" s="12"/>
      <c r="H7589" s="11" t="str">
        <f ca="1">IFERROR(__xludf.DUMMYFUNCTION("IFERROR(SUBSTITUTE(SUBSTITUTE(REGEXEXTRACT(A7589, ""[^-]+- [^-]+- [^-]+ - (.+?)\.jpg""), "".jpg"", """"), ""-"", "", ""), """")"),"")</f>
        <v/>
      </c>
      <c r="L7589" s="12"/>
      <c r="M7589" s="13"/>
      <c r="N7589" s="2"/>
      <c r="O7589" s="20"/>
      <c r="P7589" s="42"/>
      <c r="R7589" s="23"/>
    </row>
    <row r="7590" spans="1:18" ht="12.75">
      <c r="A7590" s="12"/>
      <c r="D7590" s="12"/>
      <c r="E7590" s="12"/>
      <c r="H7590" s="11" t="str">
        <f ca="1">IFERROR(__xludf.DUMMYFUNCTION("IFERROR(SUBSTITUTE(SUBSTITUTE(REGEXEXTRACT(A7590, ""[^-]+- [^-]+- [^-]+ - (.+?)\.jpg""), "".jpg"", """"), ""-"", "", ""), """")"),"")</f>
        <v/>
      </c>
      <c r="L7590" s="12"/>
      <c r="M7590" s="13"/>
      <c r="N7590" s="2"/>
      <c r="O7590" s="20"/>
      <c r="P7590" s="42"/>
      <c r="R7590" s="23"/>
    </row>
    <row r="7591" spans="1:18" ht="12.75">
      <c r="A7591" s="12"/>
      <c r="D7591" s="12"/>
      <c r="E7591" s="12"/>
      <c r="H7591" s="11" t="str">
        <f ca="1">IFERROR(__xludf.DUMMYFUNCTION("IFERROR(SUBSTITUTE(SUBSTITUTE(REGEXEXTRACT(A7591, ""[^-]+- [^-]+- [^-]+ - (.+?)\.jpg""), "".jpg"", """"), ""-"", "", ""), """")"),"")</f>
        <v/>
      </c>
      <c r="L7591" s="12"/>
      <c r="M7591" s="13"/>
      <c r="N7591" s="2"/>
      <c r="O7591" s="20"/>
      <c r="P7591" s="42"/>
      <c r="R7591" s="23"/>
    </row>
    <row r="7592" spans="1:18" ht="12.75">
      <c r="A7592" s="12"/>
      <c r="D7592" s="12"/>
      <c r="E7592" s="12"/>
      <c r="H7592" s="11" t="str">
        <f ca="1">IFERROR(__xludf.DUMMYFUNCTION("IFERROR(SUBSTITUTE(SUBSTITUTE(REGEXEXTRACT(A7592, ""[^-]+- [^-]+- [^-]+ - (.+?)\.jpg""), "".jpg"", """"), ""-"", "", ""), """")"),"")</f>
        <v/>
      </c>
      <c r="L7592" s="12"/>
      <c r="M7592" s="13"/>
      <c r="N7592" s="2"/>
      <c r="O7592" s="20"/>
      <c r="P7592" s="42"/>
      <c r="R7592" s="23"/>
    </row>
    <row r="7593" spans="1:18" ht="12.75">
      <c r="A7593" s="12"/>
      <c r="D7593" s="12"/>
      <c r="E7593" s="12"/>
      <c r="H7593" s="11" t="str">
        <f ca="1">IFERROR(__xludf.DUMMYFUNCTION("IFERROR(SUBSTITUTE(SUBSTITUTE(REGEXEXTRACT(A7593, ""[^-]+- [^-]+- [^-]+ - (.+?)\.jpg""), "".jpg"", """"), ""-"", "", ""), """")"),"")</f>
        <v/>
      </c>
      <c r="L7593" s="12"/>
      <c r="M7593" s="13"/>
      <c r="N7593" s="2"/>
      <c r="O7593" s="20"/>
      <c r="P7593" s="42"/>
      <c r="R7593" s="23"/>
    </row>
    <row r="7594" spans="1:18" ht="12.75">
      <c r="A7594" s="12"/>
      <c r="D7594" s="12"/>
      <c r="E7594" s="12"/>
      <c r="H7594" s="11" t="str">
        <f ca="1">IFERROR(__xludf.DUMMYFUNCTION("IFERROR(SUBSTITUTE(SUBSTITUTE(REGEXEXTRACT(A7594, ""[^-]+- [^-]+- [^-]+ - (.+?)\.jpg""), "".jpg"", """"), ""-"", "", ""), """")"),"")</f>
        <v/>
      </c>
      <c r="L7594" s="12"/>
      <c r="M7594" s="13"/>
      <c r="N7594" s="2"/>
      <c r="O7594" s="20"/>
      <c r="P7594" s="42"/>
      <c r="R7594" s="23"/>
    </row>
    <row r="7595" spans="1:18" ht="12.75">
      <c r="A7595" s="12"/>
      <c r="D7595" s="12"/>
      <c r="E7595" s="12"/>
      <c r="H7595" s="11" t="str">
        <f ca="1">IFERROR(__xludf.DUMMYFUNCTION("IFERROR(SUBSTITUTE(SUBSTITUTE(REGEXEXTRACT(A7595, ""[^-]+- [^-]+- [^-]+ - (.+?)\.jpg""), "".jpg"", """"), ""-"", "", ""), """")"),"")</f>
        <v/>
      </c>
      <c r="L7595" s="12"/>
      <c r="M7595" s="13"/>
      <c r="N7595" s="2"/>
      <c r="O7595" s="20"/>
      <c r="P7595" s="42"/>
      <c r="R7595" s="23"/>
    </row>
    <row r="7596" spans="1:18" ht="12.75">
      <c r="A7596" s="12"/>
      <c r="D7596" s="12"/>
      <c r="E7596" s="12"/>
      <c r="H7596" s="11" t="str">
        <f ca="1">IFERROR(__xludf.DUMMYFUNCTION("IFERROR(SUBSTITUTE(SUBSTITUTE(REGEXEXTRACT(A7596, ""[^-]+- [^-]+- [^-]+ - (.+?)\.jpg""), "".jpg"", """"), ""-"", "", ""), """")"),"")</f>
        <v/>
      </c>
      <c r="L7596" s="12"/>
      <c r="M7596" s="13"/>
      <c r="N7596" s="2"/>
      <c r="O7596" s="20"/>
      <c r="P7596" s="42"/>
      <c r="R7596" s="23"/>
    </row>
    <row r="7597" spans="1:18" ht="12.75">
      <c r="A7597" s="12"/>
      <c r="D7597" s="12"/>
      <c r="E7597" s="12"/>
      <c r="H7597" s="11" t="str">
        <f ca="1">IFERROR(__xludf.DUMMYFUNCTION("IFERROR(SUBSTITUTE(SUBSTITUTE(REGEXEXTRACT(A7597, ""[^-]+- [^-]+- [^-]+ - (.+?)\.jpg""), "".jpg"", """"), ""-"", "", ""), """")"),"")</f>
        <v/>
      </c>
      <c r="L7597" s="12"/>
      <c r="M7597" s="13"/>
      <c r="N7597" s="2"/>
      <c r="O7597" s="20"/>
      <c r="P7597" s="42"/>
      <c r="R7597" s="23"/>
    </row>
    <row r="7598" spans="1:18" ht="12.75">
      <c r="A7598" s="12"/>
      <c r="D7598" s="12"/>
      <c r="E7598" s="12"/>
      <c r="H7598" s="11" t="str">
        <f ca="1">IFERROR(__xludf.DUMMYFUNCTION("IFERROR(SUBSTITUTE(SUBSTITUTE(REGEXEXTRACT(A7598, ""[^-]+- [^-]+- [^-]+ - (.+?)\.jpg""), "".jpg"", """"), ""-"", "", ""), """")"),"")</f>
        <v/>
      </c>
      <c r="L7598" s="12"/>
      <c r="M7598" s="13"/>
      <c r="N7598" s="2"/>
      <c r="O7598" s="20"/>
      <c r="P7598" s="42"/>
      <c r="R7598" s="23"/>
    </row>
    <row r="7599" spans="1:18" ht="12.75">
      <c r="A7599" s="12"/>
      <c r="D7599" s="12"/>
      <c r="E7599" s="12"/>
      <c r="H7599" s="11" t="str">
        <f ca="1">IFERROR(__xludf.DUMMYFUNCTION("IFERROR(SUBSTITUTE(SUBSTITUTE(REGEXEXTRACT(A7599, ""[^-]+- [^-]+- [^-]+ - (.+?)\.jpg""), "".jpg"", """"), ""-"", "", ""), """")"),"")</f>
        <v/>
      </c>
      <c r="L7599" s="12"/>
      <c r="M7599" s="13"/>
      <c r="N7599" s="2"/>
      <c r="O7599" s="20"/>
      <c r="P7599" s="42"/>
      <c r="R7599" s="23"/>
    </row>
    <row r="7600" spans="1:18" ht="12.75">
      <c r="A7600" s="12"/>
      <c r="D7600" s="12"/>
      <c r="E7600" s="12"/>
      <c r="H7600" s="11" t="str">
        <f ca="1">IFERROR(__xludf.DUMMYFUNCTION("IFERROR(SUBSTITUTE(SUBSTITUTE(REGEXEXTRACT(A7600, ""[^-]+- [^-]+- [^-]+ - (.+?)\.jpg""), "".jpg"", """"), ""-"", "", ""), """")"),"")</f>
        <v/>
      </c>
      <c r="L7600" s="12"/>
      <c r="M7600" s="13"/>
      <c r="N7600" s="2"/>
      <c r="O7600" s="20"/>
      <c r="P7600" s="42"/>
      <c r="R7600" s="23"/>
    </row>
    <row r="7601" spans="1:18" ht="12.75">
      <c r="A7601" s="12"/>
      <c r="D7601" s="12"/>
      <c r="E7601" s="12"/>
      <c r="H7601" s="11" t="str">
        <f ca="1">IFERROR(__xludf.DUMMYFUNCTION("IFERROR(SUBSTITUTE(SUBSTITUTE(REGEXEXTRACT(A7601, ""[^-]+- [^-]+- [^-]+ - (.+?)\.jpg""), "".jpg"", """"), ""-"", "", ""), """")"),"")</f>
        <v/>
      </c>
      <c r="L7601" s="12"/>
      <c r="M7601" s="13"/>
      <c r="N7601" s="2"/>
      <c r="O7601" s="20"/>
      <c r="P7601" s="42"/>
      <c r="R7601" s="23"/>
    </row>
    <row r="7602" spans="1:18" ht="12.75">
      <c r="A7602" s="12"/>
      <c r="D7602" s="12"/>
      <c r="E7602" s="12"/>
      <c r="H7602" s="11" t="str">
        <f ca="1">IFERROR(__xludf.DUMMYFUNCTION("IFERROR(SUBSTITUTE(SUBSTITUTE(REGEXEXTRACT(A7602, ""[^-]+- [^-]+- [^-]+ - (.+?)\.jpg""), "".jpg"", """"), ""-"", "", ""), """")"),"")</f>
        <v/>
      </c>
      <c r="L7602" s="12"/>
      <c r="M7602" s="13"/>
      <c r="N7602" s="2"/>
      <c r="O7602" s="20"/>
      <c r="P7602" s="42"/>
      <c r="R7602" s="23"/>
    </row>
    <row r="7603" spans="1:18" ht="12.75">
      <c r="A7603" s="12"/>
      <c r="D7603" s="12"/>
      <c r="E7603" s="12"/>
      <c r="H7603" s="11" t="str">
        <f ca="1">IFERROR(__xludf.DUMMYFUNCTION("IFERROR(SUBSTITUTE(SUBSTITUTE(REGEXEXTRACT(A7603, ""[^-]+- [^-]+- [^-]+ - (.+?)\.jpg""), "".jpg"", """"), ""-"", "", ""), """")"),"")</f>
        <v/>
      </c>
      <c r="L7603" s="12"/>
      <c r="M7603" s="13"/>
      <c r="N7603" s="2"/>
      <c r="O7603" s="20"/>
      <c r="P7603" s="42"/>
      <c r="R7603" s="23"/>
    </row>
    <row r="7604" spans="1:18" ht="12.75">
      <c r="A7604" s="12"/>
      <c r="D7604" s="12"/>
      <c r="E7604" s="12"/>
      <c r="H7604" s="11" t="str">
        <f ca="1">IFERROR(__xludf.DUMMYFUNCTION("IFERROR(SUBSTITUTE(SUBSTITUTE(REGEXEXTRACT(A7604, ""[^-]+- [^-]+- [^-]+ - (.+?)\.jpg""), "".jpg"", """"), ""-"", "", ""), """")"),"")</f>
        <v/>
      </c>
      <c r="L7604" s="12"/>
      <c r="M7604" s="13"/>
      <c r="N7604" s="2"/>
      <c r="O7604" s="20"/>
      <c r="P7604" s="42"/>
      <c r="R7604" s="23"/>
    </row>
    <row r="7605" spans="1:18" ht="12.75">
      <c r="A7605" s="12"/>
      <c r="D7605" s="12"/>
      <c r="E7605" s="12"/>
      <c r="H7605" s="11" t="str">
        <f ca="1">IFERROR(__xludf.DUMMYFUNCTION("IFERROR(SUBSTITUTE(SUBSTITUTE(REGEXEXTRACT(A7605, ""[^-]+- [^-]+- [^-]+ - (.+?)\.jpg""), "".jpg"", """"), ""-"", "", ""), """")"),"")</f>
        <v/>
      </c>
      <c r="L7605" s="12"/>
      <c r="M7605" s="13"/>
      <c r="N7605" s="2"/>
      <c r="O7605" s="20"/>
      <c r="P7605" s="42"/>
      <c r="R7605" s="23"/>
    </row>
    <row r="7606" spans="1:18" ht="12.75">
      <c r="A7606" s="12"/>
      <c r="D7606" s="12"/>
      <c r="E7606" s="12"/>
      <c r="H7606" s="11" t="str">
        <f ca="1">IFERROR(__xludf.DUMMYFUNCTION("IFERROR(SUBSTITUTE(SUBSTITUTE(REGEXEXTRACT(A7606, ""[^-]+- [^-]+- [^-]+ - (.+?)\.jpg""), "".jpg"", """"), ""-"", "", ""), """")"),"")</f>
        <v/>
      </c>
      <c r="L7606" s="12"/>
      <c r="M7606" s="13"/>
      <c r="N7606" s="2"/>
      <c r="O7606" s="20"/>
      <c r="P7606" s="42"/>
      <c r="R7606" s="23"/>
    </row>
    <row r="7607" spans="1:18" ht="12.75">
      <c r="A7607" s="12"/>
      <c r="D7607" s="12"/>
      <c r="E7607" s="12"/>
      <c r="H7607" s="11" t="str">
        <f ca="1">IFERROR(__xludf.DUMMYFUNCTION("IFERROR(SUBSTITUTE(SUBSTITUTE(REGEXEXTRACT(A7607, ""[^-]+- [^-]+- [^-]+ - (.+?)\.jpg""), "".jpg"", """"), ""-"", "", ""), """")"),"")</f>
        <v/>
      </c>
      <c r="L7607" s="12"/>
      <c r="M7607" s="13"/>
      <c r="N7607" s="2"/>
      <c r="O7607" s="20"/>
      <c r="P7607" s="42"/>
      <c r="R7607" s="23"/>
    </row>
    <row r="7608" spans="1:18" ht="12.75">
      <c r="A7608" s="12"/>
      <c r="D7608" s="12"/>
      <c r="E7608" s="12"/>
      <c r="H7608" s="11" t="str">
        <f ca="1">IFERROR(__xludf.DUMMYFUNCTION("IFERROR(SUBSTITUTE(SUBSTITUTE(REGEXEXTRACT(A7608, ""[^-]+- [^-]+- [^-]+ - (.+?)\.jpg""), "".jpg"", """"), ""-"", "", ""), """")"),"")</f>
        <v/>
      </c>
      <c r="L7608" s="12"/>
      <c r="M7608" s="13"/>
      <c r="N7608" s="2"/>
      <c r="O7608" s="20"/>
      <c r="P7608" s="42"/>
      <c r="R7608" s="23"/>
    </row>
    <row r="7609" spans="1:18" ht="12.75">
      <c r="A7609" s="12"/>
      <c r="D7609" s="12"/>
      <c r="E7609" s="12"/>
      <c r="H7609" s="11" t="str">
        <f ca="1">IFERROR(__xludf.DUMMYFUNCTION("IFERROR(SUBSTITUTE(SUBSTITUTE(REGEXEXTRACT(A7609, ""[^-]+- [^-]+- [^-]+ - (.+?)\.jpg""), "".jpg"", """"), ""-"", "", ""), """")"),"")</f>
        <v/>
      </c>
      <c r="L7609" s="12"/>
      <c r="M7609" s="13"/>
      <c r="N7609" s="2"/>
      <c r="O7609" s="20"/>
      <c r="P7609" s="42"/>
      <c r="R7609" s="23"/>
    </row>
    <row r="7610" spans="1:18" ht="12.75">
      <c r="A7610" s="12"/>
      <c r="D7610" s="12"/>
      <c r="E7610" s="12"/>
      <c r="H7610" s="11" t="str">
        <f ca="1">IFERROR(__xludf.DUMMYFUNCTION("IFERROR(SUBSTITUTE(SUBSTITUTE(REGEXEXTRACT(A7610, ""[^-]+- [^-]+- [^-]+ - (.+?)\.jpg""), "".jpg"", """"), ""-"", "", ""), """")"),"")</f>
        <v/>
      </c>
      <c r="L7610" s="12"/>
      <c r="M7610" s="13"/>
      <c r="N7610" s="2"/>
      <c r="O7610" s="20"/>
      <c r="P7610" s="42"/>
      <c r="R7610" s="23"/>
    </row>
    <row r="7611" spans="1:18" ht="12.75">
      <c r="A7611" s="12"/>
      <c r="D7611" s="12"/>
      <c r="E7611" s="12"/>
      <c r="H7611" s="11" t="str">
        <f ca="1">IFERROR(__xludf.DUMMYFUNCTION("IFERROR(SUBSTITUTE(SUBSTITUTE(REGEXEXTRACT(A7611, ""[^-]+- [^-]+- [^-]+ - (.+?)\.jpg""), "".jpg"", """"), ""-"", "", ""), """")"),"")</f>
        <v/>
      </c>
      <c r="L7611" s="12"/>
      <c r="M7611" s="13"/>
      <c r="N7611" s="2"/>
      <c r="O7611" s="20"/>
      <c r="P7611" s="42"/>
      <c r="R7611" s="23"/>
    </row>
    <row r="7612" spans="1:18" ht="12.75">
      <c r="A7612" s="12"/>
      <c r="D7612" s="12"/>
      <c r="E7612" s="12"/>
      <c r="H7612" s="11" t="str">
        <f ca="1">IFERROR(__xludf.DUMMYFUNCTION("IFERROR(SUBSTITUTE(SUBSTITUTE(REGEXEXTRACT(A7612, ""[^-]+- [^-]+- [^-]+ - (.+?)\.jpg""), "".jpg"", """"), ""-"", "", ""), """")"),"")</f>
        <v/>
      </c>
      <c r="L7612" s="12"/>
      <c r="M7612" s="13"/>
      <c r="N7612" s="2"/>
      <c r="O7612" s="20"/>
      <c r="P7612" s="42"/>
      <c r="R7612" s="23"/>
    </row>
    <row r="7613" spans="1:18" ht="12.75">
      <c r="A7613" s="12"/>
      <c r="D7613" s="12"/>
      <c r="E7613" s="12"/>
      <c r="H7613" s="11" t="str">
        <f ca="1">IFERROR(__xludf.DUMMYFUNCTION("IFERROR(SUBSTITUTE(SUBSTITUTE(REGEXEXTRACT(A7613, ""[^-]+- [^-]+- [^-]+ - (.+?)\.jpg""), "".jpg"", """"), ""-"", "", ""), """")"),"")</f>
        <v/>
      </c>
      <c r="L7613" s="12"/>
      <c r="M7613" s="13"/>
      <c r="N7613" s="2"/>
      <c r="O7613" s="20"/>
      <c r="P7613" s="42"/>
      <c r="R7613" s="23"/>
    </row>
    <row r="7614" spans="1:18" ht="12.75">
      <c r="A7614" s="12"/>
      <c r="D7614" s="12"/>
      <c r="E7614" s="12"/>
      <c r="H7614" s="11" t="str">
        <f ca="1">IFERROR(__xludf.DUMMYFUNCTION("IFERROR(SUBSTITUTE(SUBSTITUTE(REGEXEXTRACT(A7614, ""[^-]+- [^-]+- [^-]+ - (.+?)\.jpg""), "".jpg"", """"), ""-"", "", ""), """")"),"")</f>
        <v/>
      </c>
      <c r="L7614" s="12"/>
      <c r="M7614" s="13"/>
      <c r="N7614" s="2"/>
      <c r="O7614" s="20"/>
      <c r="P7614" s="42"/>
      <c r="R7614" s="23"/>
    </row>
    <row r="7615" spans="1:18" ht="12.75">
      <c r="A7615" s="12"/>
      <c r="D7615" s="12"/>
      <c r="E7615" s="12"/>
      <c r="H7615" s="11" t="str">
        <f ca="1">IFERROR(__xludf.DUMMYFUNCTION("IFERROR(SUBSTITUTE(SUBSTITUTE(REGEXEXTRACT(A7615, ""[^-]+- [^-]+- [^-]+ - (.+?)\.jpg""), "".jpg"", """"), ""-"", "", ""), """")"),"")</f>
        <v/>
      </c>
      <c r="L7615" s="12"/>
      <c r="M7615" s="13"/>
      <c r="N7615" s="2"/>
      <c r="O7615" s="20"/>
      <c r="P7615" s="42"/>
      <c r="R7615" s="23"/>
    </row>
    <row r="7616" spans="1:18" ht="12.75">
      <c r="A7616" s="12"/>
      <c r="D7616" s="12"/>
      <c r="E7616" s="12"/>
      <c r="H7616" s="11" t="str">
        <f ca="1">IFERROR(__xludf.DUMMYFUNCTION("IFERROR(SUBSTITUTE(SUBSTITUTE(REGEXEXTRACT(A7616, ""[^-]+- [^-]+- [^-]+ - (.+?)\.jpg""), "".jpg"", """"), ""-"", "", ""), """")"),"")</f>
        <v/>
      </c>
      <c r="L7616" s="12"/>
      <c r="M7616" s="13"/>
      <c r="N7616" s="2"/>
      <c r="O7616" s="20"/>
      <c r="P7616" s="42"/>
      <c r="R7616" s="23"/>
    </row>
    <row r="7617" spans="1:18" ht="12.75">
      <c r="A7617" s="12"/>
      <c r="D7617" s="12"/>
      <c r="E7617" s="12"/>
      <c r="H7617" s="11" t="str">
        <f ca="1">IFERROR(__xludf.DUMMYFUNCTION("IFERROR(SUBSTITUTE(SUBSTITUTE(REGEXEXTRACT(A7617, ""[^-]+- [^-]+- [^-]+ - (.+?)\.jpg""), "".jpg"", """"), ""-"", "", ""), """")"),"")</f>
        <v/>
      </c>
      <c r="L7617" s="12"/>
      <c r="M7617" s="13"/>
      <c r="N7617" s="2"/>
      <c r="O7617" s="20"/>
      <c r="P7617" s="42"/>
      <c r="R7617" s="23"/>
    </row>
    <row r="7618" spans="1:18" ht="12.75">
      <c r="A7618" s="12"/>
      <c r="D7618" s="12"/>
      <c r="E7618" s="12"/>
      <c r="H7618" s="11" t="str">
        <f ca="1">IFERROR(__xludf.DUMMYFUNCTION("IFERROR(SUBSTITUTE(SUBSTITUTE(REGEXEXTRACT(A7618, ""[^-]+- [^-]+- [^-]+ - (.+?)\.jpg""), "".jpg"", """"), ""-"", "", ""), """")"),"")</f>
        <v/>
      </c>
      <c r="L7618" s="12"/>
      <c r="M7618" s="13"/>
      <c r="N7618" s="2"/>
      <c r="O7618" s="20"/>
      <c r="P7618" s="42"/>
      <c r="R7618" s="23"/>
    </row>
    <row r="7619" spans="1:18" ht="12.75">
      <c r="A7619" s="12"/>
      <c r="D7619" s="12"/>
      <c r="E7619" s="12"/>
      <c r="H7619" s="11" t="str">
        <f ca="1">IFERROR(__xludf.DUMMYFUNCTION("IFERROR(SUBSTITUTE(SUBSTITUTE(REGEXEXTRACT(A7619, ""[^-]+- [^-]+- [^-]+ - (.+?)\.jpg""), "".jpg"", """"), ""-"", "", ""), """")"),"")</f>
        <v/>
      </c>
      <c r="L7619" s="12"/>
      <c r="M7619" s="13"/>
      <c r="N7619" s="2"/>
      <c r="O7619" s="20"/>
      <c r="P7619" s="42"/>
      <c r="R7619" s="23"/>
    </row>
    <row r="7620" spans="1:18" ht="12.75">
      <c r="A7620" s="12"/>
      <c r="D7620" s="12"/>
      <c r="E7620" s="12"/>
      <c r="H7620" s="11" t="str">
        <f ca="1">IFERROR(__xludf.DUMMYFUNCTION("IFERROR(SUBSTITUTE(SUBSTITUTE(REGEXEXTRACT(A7620, ""[^-]+- [^-]+- [^-]+ - (.+?)\.jpg""), "".jpg"", """"), ""-"", "", ""), """")"),"")</f>
        <v/>
      </c>
      <c r="L7620" s="12"/>
      <c r="M7620" s="13"/>
      <c r="N7620" s="2"/>
      <c r="O7620" s="20"/>
      <c r="P7620" s="42"/>
      <c r="R7620" s="23"/>
    </row>
    <row r="7621" spans="1:18" ht="12.75">
      <c r="A7621" s="12"/>
      <c r="D7621" s="12"/>
      <c r="E7621" s="12"/>
      <c r="H7621" s="11" t="str">
        <f ca="1">IFERROR(__xludf.DUMMYFUNCTION("IFERROR(SUBSTITUTE(SUBSTITUTE(REGEXEXTRACT(A7621, ""[^-]+- [^-]+- [^-]+ - (.+?)\.jpg""), "".jpg"", """"), ""-"", "", ""), """")"),"")</f>
        <v/>
      </c>
      <c r="L7621" s="12"/>
      <c r="M7621" s="13"/>
      <c r="N7621" s="2"/>
      <c r="O7621" s="20"/>
      <c r="P7621" s="42"/>
      <c r="R7621" s="23"/>
    </row>
    <row r="7622" spans="1:18" ht="12.75">
      <c r="A7622" s="12"/>
      <c r="D7622" s="12"/>
      <c r="E7622" s="12"/>
      <c r="H7622" s="11" t="str">
        <f ca="1">IFERROR(__xludf.DUMMYFUNCTION("IFERROR(SUBSTITUTE(SUBSTITUTE(REGEXEXTRACT(A7622, ""[^-]+- [^-]+- [^-]+ - (.+?)\.jpg""), "".jpg"", """"), ""-"", "", ""), """")"),"")</f>
        <v/>
      </c>
      <c r="L7622" s="12"/>
      <c r="M7622" s="13"/>
      <c r="N7622" s="2"/>
      <c r="O7622" s="20"/>
      <c r="P7622" s="42"/>
      <c r="R7622" s="23"/>
    </row>
    <row r="7623" spans="1:18" ht="12.75">
      <c r="A7623" s="12"/>
      <c r="D7623" s="12"/>
      <c r="E7623" s="12"/>
      <c r="H7623" s="11" t="str">
        <f ca="1">IFERROR(__xludf.DUMMYFUNCTION("IFERROR(SUBSTITUTE(SUBSTITUTE(REGEXEXTRACT(A7623, ""[^-]+- [^-]+- [^-]+ - (.+?)\.jpg""), "".jpg"", """"), ""-"", "", ""), """")"),"")</f>
        <v/>
      </c>
      <c r="L7623" s="12"/>
      <c r="M7623" s="13"/>
      <c r="N7623" s="2"/>
      <c r="O7623" s="20"/>
      <c r="P7623" s="42"/>
      <c r="R7623" s="23"/>
    </row>
    <row r="7624" spans="1:18" ht="12.75">
      <c r="A7624" s="12"/>
      <c r="D7624" s="12"/>
      <c r="E7624" s="12"/>
      <c r="H7624" s="11" t="str">
        <f ca="1">IFERROR(__xludf.DUMMYFUNCTION("IFERROR(SUBSTITUTE(SUBSTITUTE(REGEXEXTRACT(A7624, ""[^-]+- [^-]+- [^-]+ - (.+?)\.jpg""), "".jpg"", """"), ""-"", "", ""), """")"),"")</f>
        <v/>
      </c>
      <c r="L7624" s="12"/>
      <c r="M7624" s="13"/>
      <c r="N7624" s="2"/>
      <c r="O7624" s="20"/>
      <c r="P7624" s="42"/>
      <c r="R7624" s="23"/>
    </row>
    <row r="7625" spans="1:18" ht="12.75">
      <c r="A7625" s="12"/>
      <c r="D7625" s="12"/>
      <c r="E7625" s="12"/>
      <c r="H7625" s="11" t="str">
        <f ca="1">IFERROR(__xludf.DUMMYFUNCTION("IFERROR(SUBSTITUTE(SUBSTITUTE(REGEXEXTRACT(A7625, ""[^-]+- [^-]+- [^-]+ - (.+?)\.jpg""), "".jpg"", """"), ""-"", "", ""), """")"),"")</f>
        <v/>
      </c>
      <c r="L7625" s="12"/>
      <c r="M7625" s="13"/>
      <c r="N7625" s="2"/>
      <c r="O7625" s="20"/>
      <c r="P7625" s="42"/>
      <c r="R7625" s="23"/>
    </row>
    <row r="7626" spans="1:18" ht="12.75">
      <c r="A7626" s="12"/>
      <c r="D7626" s="12"/>
      <c r="E7626" s="12"/>
      <c r="H7626" s="11" t="str">
        <f ca="1">IFERROR(__xludf.DUMMYFUNCTION("IFERROR(SUBSTITUTE(SUBSTITUTE(REGEXEXTRACT(A7626, ""[^-]+- [^-]+- [^-]+ - (.+?)\.jpg""), "".jpg"", """"), ""-"", "", ""), """")"),"")</f>
        <v/>
      </c>
      <c r="L7626" s="12"/>
      <c r="M7626" s="13"/>
      <c r="N7626" s="2"/>
      <c r="O7626" s="20"/>
      <c r="P7626" s="42"/>
      <c r="R7626" s="23"/>
    </row>
    <row r="7627" spans="1:18" ht="12.75">
      <c r="A7627" s="12"/>
      <c r="D7627" s="12"/>
      <c r="E7627" s="12"/>
      <c r="H7627" s="11" t="str">
        <f ca="1">IFERROR(__xludf.DUMMYFUNCTION("IFERROR(SUBSTITUTE(SUBSTITUTE(REGEXEXTRACT(A7627, ""[^-]+- [^-]+- [^-]+ - (.+?)\.jpg""), "".jpg"", """"), ""-"", "", ""), """")"),"")</f>
        <v/>
      </c>
      <c r="L7627" s="12"/>
      <c r="M7627" s="13"/>
      <c r="N7627" s="2"/>
      <c r="O7627" s="20"/>
      <c r="P7627" s="42"/>
      <c r="R7627" s="23"/>
    </row>
    <row r="7628" spans="1:18" ht="12.75">
      <c r="A7628" s="12"/>
      <c r="D7628" s="12"/>
      <c r="E7628" s="12"/>
      <c r="H7628" s="11" t="str">
        <f ca="1">IFERROR(__xludf.DUMMYFUNCTION("IFERROR(SUBSTITUTE(SUBSTITUTE(REGEXEXTRACT(A7628, ""[^-]+- [^-]+- [^-]+ - (.+?)\.jpg""), "".jpg"", """"), ""-"", "", ""), """")"),"")</f>
        <v/>
      </c>
      <c r="L7628" s="12"/>
      <c r="M7628" s="13"/>
      <c r="N7628" s="2"/>
      <c r="O7628" s="20"/>
      <c r="P7628" s="42"/>
      <c r="R7628" s="23"/>
    </row>
    <row r="7629" spans="1:18" ht="12.75">
      <c r="A7629" s="12"/>
      <c r="D7629" s="12"/>
      <c r="E7629" s="12"/>
      <c r="H7629" s="11" t="str">
        <f ca="1">IFERROR(__xludf.DUMMYFUNCTION("IFERROR(SUBSTITUTE(SUBSTITUTE(REGEXEXTRACT(A7629, ""[^-]+- [^-]+- [^-]+ - (.+?)\.jpg""), "".jpg"", """"), ""-"", "", ""), """")"),"")</f>
        <v/>
      </c>
      <c r="L7629" s="12"/>
      <c r="M7629" s="13"/>
      <c r="N7629" s="2"/>
      <c r="O7629" s="20"/>
      <c r="P7629" s="42"/>
      <c r="R7629" s="23"/>
    </row>
    <row r="7630" spans="1:18" ht="12.75">
      <c r="A7630" s="12"/>
      <c r="D7630" s="12"/>
      <c r="E7630" s="12"/>
      <c r="H7630" s="11" t="str">
        <f ca="1">IFERROR(__xludf.DUMMYFUNCTION("IFERROR(SUBSTITUTE(SUBSTITUTE(REGEXEXTRACT(A7630, ""[^-]+- [^-]+- [^-]+ - (.+?)\.jpg""), "".jpg"", """"), ""-"", "", ""), """")"),"")</f>
        <v/>
      </c>
      <c r="L7630" s="12"/>
      <c r="M7630" s="13"/>
      <c r="N7630" s="2"/>
      <c r="O7630" s="20"/>
      <c r="P7630" s="42"/>
      <c r="R7630" s="23"/>
    </row>
    <row r="7631" spans="1:18" ht="12.75">
      <c r="A7631" s="12"/>
      <c r="D7631" s="12"/>
      <c r="E7631" s="12"/>
      <c r="H7631" s="11" t="str">
        <f ca="1">IFERROR(__xludf.DUMMYFUNCTION("IFERROR(SUBSTITUTE(SUBSTITUTE(REGEXEXTRACT(A7631, ""[^-]+- [^-]+- [^-]+ - (.+?)\.jpg""), "".jpg"", """"), ""-"", "", ""), """")"),"")</f>
        <v/>
      </c>
      <c r="L7631" s="12"/>
      <c r="M7631" s="13"/>
      <c r="N7631" s="2"/>
      <c r="O7631" s="20"/>
      <c r="P7631" s="42"/>
      <c r="R7631" s="23"/>
    </row>
    <row r="7632" spans="1:18" ht="12.75">
      <c r="A7632" s="12"/>
      <c r="D7632" s="12"/>
      <c r="E7632" s="12"/>
      <c r="H7632" s="11" t="str">
        <f ca="1">IFERROR(__xludf.DUMMYFUNCTION("IFERROR(SUBSTITUTE(SUBSTITUTE(REGEXEXTRACT(A7632, ""[^-]+- [^-]+- [^-]+ - (.+?)\.jpg""), "".jpg"", """"), ""-"", "", ""), """")"),"")</f>
        <v/>
      </c>
      <c r="L7632" s="12"/>
      <c r="M7632" s="13"/>
      <c r="N7632" s="2"/>
      <c r="O7632" s="20"/>
      <c r="P7632" s="42"/>
      <c r="R7632" s="23"/>
    </row>
    <row r="7633" spans="1:18" ht="12.75">
      <c r="A7633" s="12"/>
      <c r="D7633" s="12"/>
      <c r="E7633" s="12"/>
      <c r="H7633" s="11" t="str">
        <f ca="1">IFERROR(__xludf.DUMMYFUNCTION("IFERROR(SUBSTITUTE(SUBSTITUTE(REGEXEXTRACT(A7633, ""[^-]+- [^-]+- [^-]+ - (.+?)\.jpg""), "".jpg"", """"), ""-"", "", ""), """")"),"")</f>
        <v/>
      </c>
      <c r="L7633" s="12"/>
      <c r="M7633" s="13"/>
      <c r="N7633" s="2"/>
      <c r="O7633" s="20"/>
      <c r="P7633" s="42"/>
      <c r="R7633" s="23"/>
    </row>
    <row r="7634" spans="1:18" ht="12.75">
      <c r="A7634" s="12"/>
      <c r="D7634" s="12"/>
      <c r="E7634" s="12"/>
      <c r="H7634" s="11" t="str">
        <f ca="1">IFERROR(__xludf.DUMMYFUNCTION("IFERROR(SUBSTITUTE(SUBSTITUTE(REGEXEXTRACT(A7634, ""[^-]+- [^-]+- [^-]+ - (.+?)\.jpg""), "".jpg"", """"), ""-"", "", ""), """")"),"")</f>
        <v/>
      </c>
      <c r="L7634" s="12"/>
      <c r="M7634" s="13"/>
      <c r="N7634" s="2"/>
      <c r="O7634" s="20"/>
      <c r="P7634" s="42"/>
      <c r="R7634" s="23"/>
    </row>
    <row r="7635" spans="1:18" ht="12.75">
      <c r="A7635" s="12"/>
      <c r="D7635" s="12"/>
      <c r="E7635" s="12"/>
      <c r="H7635" s="11" t="str">
        <f ca="1">IFERROR(__xludf.DUMMYFUNCTION("IFERROR(SUBSTITUTE(SUBSTITUTE(REGEXEXTRACT(A7635, ""[^-]+- [^-]+- [^-]+ - (.+?)\.jpg""), "".jpg"", """"), ""-"", "", ""), """")"),"")</f>
        <v/>
      </c>
      <c r="L7635" s="12"/>
      <c r="M7635" s="13"/>
      <c r="N7635" s="2"/>
      <c r="O7635" s="20"/>
      <c r="P7635" s="42"/>
      <c r="R7635" s="23"/>
    </row>
    <row r="7636" spans="1:18" ht="12.75">
      <c r="A7636" s="12"/>
      <c r="D7636" s="12"/>
      <c r="E7636" s="12"/>
      <c r="H7636" s="11" t="str">
        <f ca="1">IFERROR(__xludf.DUMMYFUNCTION("IFERROR(SUBSTITUTE(SUBSTITUTE(REGEXEXTRACT(A7636, ""[^-]+- [^-]+- [^-]+ - (.+?)\.jpg""), "".jpg"", """"), ""-"", "", ""), """")"),"")</f>
        <v/>
      </c>
      <c r="L7636" s="12"/>
      <c r="M7636" s="13"/>
      <c r="N7636" s="2"/>
      <c r="O7636" s="20"/>
      <c r="P7636" s="42"/>
      <c r="R7636" s="23"/>
    </row>
    <row r="7637" spans="1:18" ht="12.75">
      <c r="A7637" s="12"/>
      <c r="D7637" s="12"/>
      <c r="E7637" s="12"/>
      <c r="H7637" s="11" t="str">
        <f ca="1">IFERROR(__xludf.DUMMYFUNCTION("IFERROR(SUBSTITUTE(SUBSTITUTE(REGEXEXTRACT(A7637, ""[^-]+- [^-]+- [^-]+ - (.+?)\.jpg""), "".jpg"", """"), ""-"", "", ""), """")"),"")</f>
        <v/>
      </c>
      <c r="L7637" s="12"/>
      <c r="M7637" s="13"/>
      <c r="N7637" s="2"/>
      <c r="O7637" s="20"/>
      <c r="P7637" s="42"/>
      <c r="R7637" s="23"/>
    </row>
    <row r="7638" spans="1:18" ht="12.75">
      <c r="A7638" s="12"/>
      <c r="D7638" s="12"/>
      <c r="E7638" s="12"/>
      <c r="H7638" s="11" t="str">
        <f ca="1">IFERROR(__xludf.DUMMYFUNCTION("IFERROR(SUBSTITUTE(SUBSTITUTE(REGEXEXTRACT(A7638, ""[^-]+- [^-]+- [^-]+ - (.+?)\.jpg""), "".jpg"", """"), ""-"", "", ""), """")"),"")</f>
        <v/>
      </c>
      <c r="L7638" s="12"/>
      <c r="M7638" s="13"/>
      <c r="N7638" s="2"/>
      <c r="O7638" s="20"/>
      <c r="P7638" s="42"/>
      <c r="R7638" s="23"/>
    </row>
    <row r="7639" spans="1:18" ht="12.75">
      <c r="A7639" s="12"/>
      <c r="D7639" s="12"/>
      <c r="E7639" s="12"/>
      <c r="H7639" s="11" t="str">
        <f ca="1">IFERROR(__xludf.DUMMYFUNCTION("IFERROR(SUBSTITUTE(SUBSTITUTE(REGEXEXTRACT(A7639, ""[^-]+- [^-]+- [^-]+ - (.+?)\.jpg""), "".jpg"", """"), ""-"", "", ""), """")"),"")</f>
        <v/>
      </c>
      <c r="L7639" s="12"/>
      <c r="M7639" s="13"/>
      <c r="N7639" s="2"/>
      <c r="O7639" s="20"/>
      <c r="P7639" s="42"/>
      <c r="R7639" s="23"/>
    </row>
    <row r="7640" spans="1:18" ht="12.75">
      <c r="A7640" s="12"/>
      <c r="D7640" s="12"/>
      <c r="E7640" s="12"/>
      <c r="H7640" s="11" t="str">
        <f ca="1">IFERROR(__xludf.DUMMYFUNCTION("IFERROR(SUBSTITUTE(SUBSTITUTE(REGEXEXTRACT(A7640, ""[^-]+- [^-]+- [^-]+ - (.+?)\.jpg""), "".jpg"", """"), ""-"", "", ""), """")"),"")</f>
        <v/>
      </c>
      <c r="L7640" s="12"/>
      <c r="M7640" s="13"/>
      <c r="N7640" s="2"/>
      <c r="O7640" s="20"/>
      <c r="P7640" s="42"/>
      <c r="R7640" s="23"/>
    </row>
    <row r="7641" spans="1:18" ht="12.75">
      <c r="A7641" s="12"/>
      <c r="D7641" s="12"/>
      <c r="E7641" s="12"/>
      <c r="H7641" s="11" t="str">
        <f ca="1">IFERROR(__xludf.DUMMYFUNCTION("IFERROR(SUBSTITUTE(SUBSTITUTE(REGEXEXTRACT(A7641, ""[^-]+- [^-]+- [^-]+ - (.+?)\.jpg""), "".jpg"", """"), ""-"", "", ""), """")"),"")</f>
        <v/>
      </c>
      <c r="L7641" s="12"/>
      <c r="M7641" s="13"/>
      <c r="N7641" s="2"/>
      <c r="O7641" s="20"/>
      <c r="P7641" s="42"/>
      <c r="R7641" s="23"/>
    </row>
    <row r="7642" spans="1:18" ht="12.75">
      <c r="A7642" s="12"/>
      <c r="D7642" s="12"/>
      <c r="E7642" s="12"/>
      <c r="H7642" s="11" t="str">
        <f ca="1">IFERROR(__xludf.DUMMYFUNCTION("IFERROR(SUBSTITUTE(SUBSTITUTE(REGEXEXTRACT(A7642, ""[^-]+- [^-]+- [^-]+ - (.+?)\.jpg""), "".jpg"", """"), ""-"", "", ""), """")"),"")</f>
        <v/>
      </c>
      <c r="L7642" s="12"/>
      <c r="M7642" s="13"/>
      <c r="N7642" s="2"/>
      <c r="O7642" s="20"/>
      <c r="P7642" s="42"/>
      <c r="R7642" s="23"/>
    </row>
    <row r="7643" spans="1:18" ht="12.75">
      <c r="A7643" s="12"/>
      <c r="D7643" s="12"/>
      <c r="E7643" s="12"/>
      <c r="H7643" s="11" t="str">
        <f ca="1">IFERROR(__xludf.DUMMYFUNCTION("IFERROR(SUBSTITUTE(SUBSTITUTE(REGEXEXTRACT(A7643, ""[^-]+- [^-]+- [^-]+ - (.+?)\.jpg""), "".jpg"", """"), ""-"", "", ""), """")"),"")</f>
        <v/>
      </c>
      <c r="L7643" s="12"/>
      <c r="M7643" s="13"/>
      <c r="N7643" s="2"/>
      <c r="O7643" s="20"/>
      <c r="P7643" s="42"/>
      <c r="R7643" s="23"/>
    </row>
    <row r="7644" spans="1:18" ht="12.75">
      <c r="A7644" s="12"/>
      <c r="D7644" s="12"/>
      <c r="E7644" s="12"/>
      <c r="H7644" s="11" t="str">
        <f ca="1">IFERROR(__xludf.DUMMYFUNCTION("IFERROR(SUBSTITUTE(SUBSTITUTE(REGEXEXTRACT(A7644, ""[^-]+- [^-]+- [^-]+ - (.+?)\.jpg""), "".jpg"", """"), ""-"", "", ""), """")"),"")</f>
        <v/>
      </c>
      <c r="L7644" s="12"/>
      <c r="M7644" s="13"/>
      <c r="N7644" s="2"/>
      <c r="O7644" s="20"/>
      <c r="P7644" s="42"/>
      <c r="R7644" s="23"/>
    </row>
    <row r="7645" spans="1:18" ht="12.75">
      <c r="A7645" s="12"/>
      <c r="D7645" s="12"/>
      <c r="E7645" s="12"/>
      <c r="H7645" s="11" t="str">
        <f ca="1">IFERROR(__xludf.DUMMYFUNCTION("IFERROR(SUBSTITUTE(SUBSTITUTE(REGEXEXTRACT(A7645, ""[^-]+- [^-]+- [^-]+ - (.+?)\.jpg""), "".jpg"", """"), ""-"", "", ""), """")"),"")</f>
        <v/>
      </c>
      <c r="L7645" s="12"/>
      <c r="M7645" s="13"/>
      <c r="N7645" s="2"/>
      <c r="O7645" s="20"/>
      <c r="P7645" s="42"/>
      <c r="R7645" s="23"/>
    </row>
    <row r="7646" spans="1:18" ht="12.75">
      <c r="A7646" s="12"/>
      <c r="D7646" s="12"/>
      <c r="E7646" s="12"/>
      <c r="H7646" s="11" t="str">
        <f ca="1">IFERROR(__xludf.DUMMYFUNCTION("IFERROR(SUBSTITUTE(SUBSTITUTE(REGEXEXTRACT(A7646, ""[^-]+- [^-]+- [^-]+ - (.+?)\.jpg""), "".jpg"", """"), ""-"", "", ""), """")"),"")</f>
        <v/>
      </c>
      <c r="L7646" s="12"/>
      <c r="M7646" s="13"/>
      <c r="N7646" s="2"/>
      <c r="O7646" s="20"/>
      <c r="P7646" s="42"/>
      <c r="R7646" s="23"/>
    </row>
    <row r="7647" spans="1:18" ht="12.75">
      <c r="A7647" s="12"/>
      <c r="D7647" s="12"/>
      <c r="E7647" s="12"/>
      <c r="H7647" s="11" t="str">
        <f ca="1">IFERROR(__xludf.DUMMYFUNCTION("IFERROR(SUBSTITUTE(SUBSTITUTE(REGEXEXTRACT(A7647, ""[^-]+- [^-]+- [^-]+ - (.+?)\.jpg""), "".jpg"", """"), ""-"", "", ""), """")"),"")</f>
        <v/>
      </c>
      <c r="L7647" s="12"/>
      <c r="M7647" s="13"/>
      <c r="N7647" s="2"/>
      <c r="O7647" s="20"/>
      <c r="P7647" s="42"/>
      <c r="R7647" s="23"/>
    </row>
    <row r="7648" spans="1:18" ht="12.75">
      <c r="A7648" s="12"/>
      <c r="D7648" s="12"/>
      <c r="E7648" s="12"/>
      <c r="H7648" s="11" t="str">
        <f ca="1">IFERROR(__xludf.DUMMYFUNCTION("IFERROR(SUBSTITUTE(SUBSTITUTE(REGEXEXTRACT(A7648, ""[^-]+- [^-]+- [^-]+ - (.+?)\.jpg""), "".jpg"", """"), ""-"", "", ""), """")"),"")</f>
        <v/>
      </c>
      <c r="L7648" s="12"/>
      <c r="M7648" s="13"/>
      <c r="N7648" s="2"/>
      <c r="O7648" s="20"/>
      <c r="P7648" s="42"/>
      <c r="R7648" s="23"/>
    </row>
    <row r="7649" spans="1:18" ht="12.75">
      <c r="A7649" s="12"/>
      <c r="D7649" s="12"/>
      <c r="E7649" s="12"/>
      <c r="H7649" s="11" t="str">
        <f ca="1">IFERROR(__xludf.DUMMYFUNCTION("IFERROR(SUBSTITUTE(SUBSTITUTE(REGEXEXTRACT(A7649, ""[^-]+- [^-]+- [^-]+ - (.+?)\.jpg""), "".jpg"", """"), ""-"", "", ""), """")"),"")</f>
        <v/>
      </c>
      <c r="L7649" s="12"/>
      <c r="M7649" s="13"/>
      <c r="N7649" s="2"/>
      <c r="O7649" s="20"/>
      <c r="P7649" s="42"/>
      <c r="R7649" s="23"/>
    </row>
    <row r="7650" spans="1:18" ht="12.75">
      <c r="A7650" s="12"/>
      <c r="D7650" s="12"/>
      <c r="E7650" s="12"/>
      <c r="H7650" s="11" t="str">
        <f ca="1">IFERROR(__xludf.DUMMYFUNCTION("IFERROR(SUBSTITUTE(SUBSTITUTE(REGEXEXTRACT(A7650, ""[^-]+- [^-]+- [^-]+ - (.+?)\.jpg""), "".jpg"", """"), ""-"", "", ""), """")"),"")</f>
        <v/>
      </c>
      <c r="L7650" s="12"/>
      <c r="M7650" s="13"/>
      <c r="N7650" s="2"/>
      <c r="O7650" s="20"/>
      <c r="P7650" s="42"/>
      <c r="R7650" s="23"/>
    </row>
    <row r="7651" spans="1:18" ht="12.75">
      <c r="A7651" s="12"/>
      <c r="D7651" s="12"/>
      <c r="E7651" s="12"/>
      <c r="H7651" s="11" t="str">
        <f ca="1">IFERROR(__xludf.DUMMYFUNCTION("IFERROR(SUBSTITUTE(SUBSTITUTE(REGEXEXTRACT(A7651, ""[^-]+- [^-]+- [^-]+ - (.+?)\.jpg""), "".jpg"", """"), ""-"", "", ""), """")"),"")</f>
        <v/>
      </c>
      <c r="L7651" s="12"/>
      <c r="M7651" s="13"/>
      <c r="N7651" s="2"/>
      <c r="O7651" s="20"/>
      <c r="P7651" s="42"/>
      <c r="R7651" s="23"/>
    </row>
    <row r="7652" spans="1:18" ht="12.75">
      <c r="A7652" s="12"/>
      <c r="D7652" s="12"/>
      <c r="E7652" s="12"/>
      <c r="H7652" s="11" t="str">
        <f ca="1">IFERROR(__xludf.DUMMYFUNCTION("IFERROR(SUBSTITUTE(SUBSTITUTE(REGEXEXTRACT(A7652, ""[^-]+- [^-]+- [^-]+ - (.+?)\.jpg""), "".jpg"", """"), ""-"", "", ""), """")"),"")</f>
        <v/>
      </c>
      <c r="L7652" s="12"/>
      <c r="M7652" s="13"/>
      <c r="N7652" s="2"/>
      <c r="O7652" s="20"/>
      <c r="P7652" s="42"/>
      <c r="R7652" s="23"/>
    </row>
    <row r="7653" spans="1:18" ht="12.75">
      <c r="A7653" s="12"/>
      <c r="D7653" s="12"/>
      <c r="E7653" s="12"/>
      <c r="H7653" s="11" t="str">
        <f ca="1">IFERROR(__xludf.DUMMYFUNCTION("IFERROR(SUBSTITUTE(SUBSTITUTE(REGEXEXTRACT(A7653, ""[^-]+- [^-]+- [^-]+ - (.+?)\.jpg""), "".jpg"", """"), ""-"", "", ""), """")"),"")</f>
        <v/>
      </c>
      <c r="L7653" s="12"/>
      <c r="M7653" s="13"/>
      <c r="N7653" s="2"/>
      <c r="O7653" s="20"/>
      <c r="P7653" s="42"/>
      <c r="R7653" s="23"/>
    </row>
    <row r="7654" spans="1:18" ht="12.75">
      <c r="A7654" s="12"/>
      <c r="D7654" s="12"/>
      <c r="E7654" s="12"/>
      <c r="H7654" s="11" t="str">
        <f ca="1">IFERROR(__xludf.DUMMYFUNCTION("IFERROR(SUBSTITUTE(SUBSTITUTE(REGEXEXTRACT(A7654, ""[^-]+- [^-]+- [^-]+ - (.+?)\.jpg""), "".jpg"", """"), ""-"", "", ""), """")"),"")</f>
        <v/>
      </c>
      <c r="L7654" s="12"/>
      <c r="M7654" s="13"/>
      <c r="N7654" s="2"/>
      <c r="O7654" s="20"/>
      <c r="P7654" s="42"/>
      <c r="R7654" s="23"/>
    </row>
    <row r="7655" spans="1:18" ht="12.75">
      <c r="A7655" s="12"/>
      <c r="D7655" s="12"/>
      <c r="E7655" s="12"/>
      <c r="H7655" s="11" t="str">
        <f ca="1">IFERROR(__xludf.DUMMYFUNCTION("IFERROR(SUBSTITUTE(SUBSTITUTE(REGEXEXTRACT(A7655, ""[^-]+- [^-]+- [^-]+ - (.+?)\.jpg""), "".jpg"", """"), ""-"", "", ""), """")"),"")</f>
        <v/>
      </c>
      <c r="L7655" s="12"/>
      <c r="M7655" s="13"/>
      <c r="N7655" s="2"/>
      <c r="O7655" s="20"/>
      <c r="P7655" s="42"/>
      <c r="R7655" s="23"/>
    </row>
    <row r="7656" spans="1:18" ht="12.75">
      <c r="A7656" s="12"/>
      <c r="D7656" s="12"/>
      <c r="E7656" s="12"/>
      <c r="H7656" s="11" t="str">
        <f ca="1">IFERROR(__xludf.DUMMYFUNCTION("IFERROR(SUBSTITUTE(SUBSTITUTE(REGEXEXTRACT(A7656, ""[^-]+- [^-]+- [^-]+ - (.+?)\.jpg""), "".jpg"", """"), ""-"", "", ""), """")"),"")</f>
        <v/>
      </c>
      <c r="L7656" s="12"/>
      <c r="M7656" s="13"/>
      <c r="N7656" s="2"/>
      <c r="O7656" s="20"/>
      <c r="P7656" s="42"/>
      <c r="R7656" s="23"/>
    </row>
    <row r="7657" spans="1:18" ht="12.75">
      <c r="A7657" s="12"/>
      <c r="D7657" s="12"/>
      <c r="E7657" s="12"/>
      <c r="H7657" s="11" t="str">
        <f ca="1">IFERROR(__xludf.DUMMYFUNCTION("IFERROR(SUBSTITUTE(SUBSTITUTE(REGEXEXTRACT(A7657, ""[^-]+- [^-]+- [^-]+ - (.+?)\.jpg""), "".jpg"", """"), ""-"", "", ""), """")"),"")</f>
        <v/>
      </c>
      <c r="L7657" s="12"/>
      <c r="M7657" s="13"/>
      <c r="N7657" s="2"/>
      <c r="O7657" s="20"/>
      <c r="P7657" s="42"/>
      <c r="R7657" s="23"/>
    </row>
    <row r="7658" spans="1:18" ht="12.75">
      <c r="A7658" s="12"/>
      <c r="D7658" s="12"/>
      <c r="E7658" s="12"/>
      <c r="H7658" s="11" t="str">
        <f ca="1">IFERROR(__xludf.DUMMYFUNCTION("IFERROR(SUBSTITUTE(SUBSTITUTE(REGEXEXTRACT(A7658, ""[^-]+- [^-]+- [^-]+ - (.+?)\.jpg""), "".jpg"", """"), ""-"", "", ""), """")"),"")</f>
        <v/>
      </c>
      <c r="L7658" s="12"/>
      <c r="M7658" s="13"/>
      <c r="N7658" s="2"/>
      <c r="O7658" s="20"/>
      <c r="P7658" s="42"/>
      <c r="R7658" s="23"/>
    </row>
    <row r="7659" spans="1:18" ht="12.75">
      <c r="A7659" s="12"/>
      <c r="D7659" s="12"/>
      <c r="E7659" s="12"/>
      <c r="H7659" s="11" t="str">
        <f ca="1">IFERROR(__xludf.DUMMYFUNCTION("IFERROR(SUBSTITUTE(SUBSTITUTE(REGEXEXTRACT(A7659, ""[^-]+- [^-]+- [^-]+ - (.+?)\.jpg""), "".jpg"", """"), ""-"", "", ""), """")"),"")</f>
        <v/>
      </c>
      <c r="L7659" s="12"/>
      <c r="M7659" s="13"/>
      <c r="N7659" s="2"/>
      <c r="O7659" s="20"/>
      <c r="P7659" s="42"/>
      <c r="R7659" s="23"/>
    </row>
    <row r="7660" spans="1:18" ht="12.75">
      <c r="A7660" s="12"/>
      <c r="D7660" s="12"/>
      <c r="E7660" s="12"/>
      <c r="H7660" s="11" t="str">
        <f ca="1">IFERROR(__xludf.DUMMYFUNCTION("IFERROR(SUBSTITUTE(SUBSTITUTE(REGEXEXTRACT(A7660, ""[^-]+- [^-]+- [^-]+ - (.+?)\.jpg""), "".jpg"", """"), ""-"", "", ""), """")"),"")</f>
        <v/>
      </c>
      <c r="L7660" s="12"/>
      <c r="M7660" s="13"/>
      <c r="N7660" s="2"/>
      <c r="O7660" s="20"/>
      <c r="P7660" s="42"/>
      <c r="R7660" s="23"/>
    </row>
    <row r="7661" spans="1:18" ht="12.75">
      <c r="A7661" s="12"/>
      <c r="D7661" s="12"/>
      <c r="E7661" s="12"/>
      <c r="H7661" s="11" t="str">
        <f ca="1">IFERROR(__xludf.DUMMYFUNCTION("IFERROR(SUBSTITUTE(SUBSTITUTE(REGEXEXTRACT(A7661, ""[^-]+- [^-]+- [^-]+ - (.+?)\.jpg""), "".jpg"", """"), ""-"", "", ""), """")"),"")</f>
        <v/>
      </c>
      <c r="L7661" s="12"/>
      <c r="M7661" s="13"/>
      <c r="N7661" s="2"/>
      <c r="O7661" s="20"/>
      <c r="P7661" s="42"/>
      <c r="R7661" s="23"/>
    </row>
    <row r="7662" spans="1:18" ht="12.75">
      <c r="A7662" s="12"/>
      <c r="D7662" s="12"/>
      <c r="E7662" s="12"/>
      <c r="H7662" s="11" t="str">
        <f ca="1">IFERROR(__xludf.DUMMYFUNCTION("IFERROR(SUBSTITUTE(SUBSTITUTE(REGEXEXTRACT(A7662, ""[^-]+- [^-]+- [^-]+ - (.+?)\.jpg""), "".jpg"", """"), ""-"", "", ""), """")"),"")</f>
        <v/>
      </c>
      <c r="L7662" s="12"/>
      <c r="M7662" s="13"/>
      <c r="N7662" s="2"/>
      <c r="O7662" s="20"/>
      <c r="P7662" s="42"/>
      <c r="R7662" s="23"/>
    </row>
    <row r="7663" spans="1:18" ht="12.75">
      <c r="A7663" s="12"/>
      <c r="D7663" s="12"/>
      <c r="E7663" s="12"/>
      <c r="H7663" s="11" t="str">
        <f ca="1">IFERROR(__xludf.DUMMYFUNCTION("IFERROR(SUBSTITUTE(SUBSTITUTE(REGEXEXTRACT(A7663, ""[^-]+- [^-]+- [^-]+ - (.+?)\.jpg""), "".jpg"", """"), ""-"", "", ""), """")"),"")</f>
        <v/>
      </c>
      <c r="L7663" s="12"/>
      <c r="M7663" s="13"/>
      <c r="N7663" s="2"/>
      <c r="O7663" s="20"/>
      <c r="P7663" s="42"/>
      <c r="R7663" s="23"/>
    </row>
    <row r="7664" spans="1:18" ht="12.75">
      <c r="A7664" s="12"/>
      <c r="D7664" s="12"/>
      <c r="E7664" s="12"/>
      <c r="H7664" s="11" t="str">
        <f ca="1">IFERROR(__xludf.DUMMYFUNCTION("IFERROR(SUBSTITUTE(SUBSTITUTE(REGEXEXTRACT(A7664, ""[^-]+- [^-]+- [^-]+ - (.+?)\.jpg""), "".jpg"", """"), ""-"", "", ""), """")"),"")</f>
        <v/>
      </c>
      <c r="L7664" s="12"/>
      <c r="M7664" s="13"/>
      <c r="N7664" s="2"/>
      <c r="O7664" s="20"/>
      <c r="P7664" s="42"/>
      <c r="R7664" s="23"/>
    </row>
    <row r="7665" spans="1:18" ht="12.75">
      <c r="A7665" s="12"/>
      <c r="D7665" s="12"/>
      <c r="E7665" s="12"/>
      <c r="H7665" s="11" t="str">
        <f ca="1">IFERROR(__xludf.DUMMYFUNCTION("IFERROR(SUBSTITUTE(SUBSTITUTE(REGEXEXTRACT(A7665, ""[^-]+- [^-]+- [^-]+ - (.+?)\.jpg""), "".jpg"", """"), ""-"", "", ""), """")"),"")</f>
        <v/>
      </c>
      <c r="L7665" s="12"/>
      <c r="M7665" s="13"/>
      <c r="N7665" s="2"/>
      <c r="O7665" s="20"/>
      <c r="P7665" s="42"/>
      <c r="R7665" s="23"/>
    </row>
    <row r="7666" spans="1:18" ht="12.75">
      <c r="A7666" s="12"/>
      <c r="D7666" s="12"/>
      <c r="E7666" s="12"/>
      <c r="H7666" s="11" t="str">
        <f ca="1">IFERROR(__xludf.DUMMYFUNCTION("IFERROR(SUBSTITUTE(SUBSTITUTE(REGEXEXTRACT(A7666, ""[^-]+- [^-]+- [^-]+ - (.+?)\.jpg""), "".jpg"", """"), ""-"", "", ""), """")"),"")</f>
        <v/>
      </c>
      <c r="L7666" s="12"/>
      <c r="M7666" s="13"/>
      <c r="N7666" s="2"/>
      <c r="O7666" s="20"/>
      <c r="P7666" s="42"/>
      <c r="R7666" s="23"/>
    </row>
    <row r="7667" spans="1:18" ht="12.75">
      <c r="A7667" s="12"/>
      <c r="D7667" s="12"/>
      <c r="E7667" s="12"/>
      <c r="H7667" s="11" t="str">
        <f ca="1">IFERROR(__xludf.DUMMYFUNCTION("IFERROR(SUBSTITUTE(SUBSTITUTE(REGEXEXTRACT(A7667, ""[^-]+- [^-]+- [^-]+ - (.+?)\.jpg""), "".jpg"", """"), ""-"", "", ""), """")"),"")</f>
        <v/>
      </c>
      <c r="L7667" s="12"/>
      <c r="M7667" s="13"/>
      <c r="N7667" s="2"/>
      <c r="O7667" s="20"/>
      <c r="P7667" s="42"/>
      <c r="R7667" s="23"/>
    </row>
    <row r="7668" spans="1:18" ht="12.75">
      <c r="A7668" s="12"/>
      <c r="D7668" s="12"/>
      <c r="E7668" s="12"/>
      <c r="H7668" s="11" t="str">
        <f ca="1">IFERROR(__xludf.DUMMYFUNCTION("IFERROR(SUBSTITUTE(SUBSTITUTE(REGEXEXTRACT(A7668, ""[^-]+- [^-]+- [^-]+ - (.+?)\.jpg""), "".jpg"", """"), ""-"", "", ""), """")"),"")</f>
        <v/>
      </c>
      <c r="L7668" s="12"/>
      <c r="M7668" s="13"/>
      <c r="N7668" s="2"/>
      <c r="O7668" s="20"/>
      <c r="P7668" s="42"/>
      <c r="R7668" s="23"/>
    </row>
    <row r="7669" spans="1:18" ht="12.75">
      <c r="A7669" s="12"/>
      <c r="D7669" s="12"/>
      <c r="E7669" s="12"/>
      <c r="H7669" s="11" t="str">
        <f ca="1">IFERROR(__xludf.DUMMYFUNCTION("IFERROR(SUBSTITUTE(SUBSTITUTE(REGEXEXTRACT(A7669, ""[^-]+- [^-]+- [^-]+ - (.+?)\.jpg""), "".jpg"", """"), ""-"", "", ""), """")"),"")</f>
        <v/>
      </c>
      <c r="L7669" s="12"/>
      <c r="M7669" s="13"/>
      <c r="N7669" s="2"/>
      <c r="O7669" s="20"/>
      <c r="P7669" s="42"/>
      <c r="R7669" s="23"/>
    </row>
    <row r="7670" spans="1:18" ht="12.75">
      <c r="A7670" s="12"/>
      <c r="D7670" s="12"/>
      <c r="E7670" s="12"/>
      <c r="H7670" s="11" t="str">
        <f ca="1">IFERROR(__xludf.DUMMYFUNCTION("IFERROR(SUBSTITUTE(SUBSTITUTE(REGEXEXTRACT(A7670, ""[^-]+- [^-]+- [^-]+ - (.+?)\.jpg""), "".jpg"", """"), ""-"", "", ""), """")"),"")</f>
        <v/>
      </c>
      <c r="L7670" s="12"/>
      <c r="M7670" s="13"/>
      <c r="N7670" s="2"/>
      <c r="O7670" s="20"/>
      <c r="P7670" s="42"/>
      <c r="R7670" s="23"/>
    </row>
    <row r="7671" spans="1:18" ht="12.75">
      <c r="A7671" s="12"/>
      <c r="D7671" s="12"/>
      <c r="E7671" s="12"/>
      <c r="H7671" s="11" t="str">
        <f ca="1">IFERROR(__xludf.DUMMYFUNCTION("IFERROR(SUBSTITUTE(SUBSTITUTE(REGEXEXTRACT(A7671, ""[^-]+- [^-]+- [^-]+ - (.+?)\.jpg""), "".jpg"", """"), ""-"", "", ""), """")"),"")</f>
        <v/>
      </c>
      <c r="L7671" s="12"/>
      <c r="M7671" s="13"/>
      <c r="N7671" s="2"/>
      <c r="O7671" s="20"/>
      <c r="P7671" s="42"/>
      <c r="R7671" s="23"/>
    </row>
    <row r="7672" spans="1:18" ht="12.75">
      <c r="A7672" s="12"/>
      <c r="D7672" s="12"/>
      <c r="E7672" s="12"/>
      <c r="H7672" s="11" t="str">
        <f ca="1">IFERROR(__xludf.DUMMYFUNCTION("IFERROR(SUBSTITUTE(SUBSTITUTE(REGEXEXTRACT(A7672, ""[^-]+- [^-]+- [^-]+ - (.+?)\.jpg""), "".jpg"", """"), ""-"", "", ""), """")"),"")</f>
        <v/>
      </c>
      <c r="L7672" s="12"/>
      <c r="M7672" s="13"/>
      <c r="N7672" s="2"/>
      <c r="O7672" s="20"/>
      <c r="P7672" s="42"/>
      <c r="R7672" s="23"/>
    </row>
    <row r="7673" spans="1:18" ht="12.75">
      <c r="A7673" s="12"/>
      <c r="D7673" s="12"/>
      <c r="E7673" s="12"/>
      <c r="H7673" s="11" t="str">
        <f ca="1">IFERROR(__xludf.DUMMYFUNCTION("IFERROR(SUBSTITUTE(SUBSTITUTE(REGEXEXTRACT(A7673, ""[^-]+- [^-]+- [^-]+ - (.+?)\.jpg""), "".jpg"", """"), ""-"", "", ""), """")"),"")</f>
        <v/>
      </c>
      <c r="L7673" s="12"/>
      <c r="M7673" s="13"/>
      <c r="N7673" s="2"/>
      <c r="O7673" s="20"/>
      <c r="P7673" s="42"/>
      <c r="R7673" s="23"/>
    </row>
    <row r="7674" spans="1:18" ht="12.75">
      <c r="A7674" s="12"/>
      <c r="D7674" s="12"/>
      <c r="E7674" s="12"/>
      <c r="H7674" s="11" t="str">
        <f ca="1">IFERROR(__xludf.DUMMYFUNCTION("IFERROR(SUBSTITUTE(SUBSTITUTE(REGEXEXTRACT(A7674, ""[^-]+- [^-]+- [^-]+ - (.+?)\.jpg""), "".jpg"", """"), ""-"", "", ""), """")"),"")</f>
        <v/>
      </c>
      <c r="L7674" s="12"/>
      <c r="M7674" s="13"/>
      <c r="N7674" s="2"/>
      <c r="O7674" s="20"/>
      <c r="P7674" s="42"/>
      <c r="R7674" s="23"/>
    </row>
    <row r="7675" spans="1:18" ht="12.75">
      <c r="A7675" s="12"/>
      <c r="D7675" s="12"/>
      <c r="E7675" s="12"/>
      <c r="H7675" s="11" t="str">
        <f ca="1">IFERROR(__xludf.DUMMYFUNCTION("IFERROR(SUBSTITUTE(SUBSTITUTE(REGEXEXTRACT(A7675, ""[^-]+- [^-]+- [^-]+ - (.+?)\.jpg""), "".jpg"", """"), ""-"", "", ""), """")"),"")</f>
        <v/>
      </c>
      <c r="L7675" s="12"/>
      <c r="M7675" s="13"/>
      <c r="N7675" s="2"/>
      <c r="O7675" s="20"/>
      <c r="P7675" s="42"/>
      <c r="R7675" s="23"/>
    </row>
    <row r="7676" spans="1:18" ht="12.75">
      <c r="A7676" s="12"/>
      <c r="D7676" s="12"/>
      <c r="E7676" s="12"/>
      <c r="H7676" s="11" t="str">
        <f ca="1">IFERROR(__xludf.DUMMYFUNCTION("IFERROR(SUBSTITUTE(SUBSTITUTE(REGEXEXTRACT(A7676, ""[^-]+- [^-]+- [^-]+ - (.+?)\.jpg""), "".jpg"", """"), ""-"", "", ""), """")"),"")</f>
        <v/>
      </c>
      <c r="L7676" s="12"/>
      <c r="M7676" s="13"/>
      <c r="N7676" s="2"/>
      <c r="O7676" s="20"/>
      <c r="P7676" s="42"/>
      <c r="R7676" s="23"/>
    </row>
    <row r="7677" spans="1:18" ht="12.75">
      <c r="A7677" s="12"/>
      <c r="D7677" s="12"/>
      <c r="E7677" s="12"/>
      <c r="H7677" s="11" t="str">
        <f ca="1">IFERROR(__xludf.DUMMYFUNCTION("IFERROR(SUBSTITUTE(SUBSTITUTE(REGEXEXTRACT(A7677, ""[^-]+- [^-]+- [^-]+ - (.+?)\.jpg""), "".jpg"", """"), ""-"", "", ""), """")"),"")</f>
        <v/>
      </c>
      <c r="L7677" s="12"/>
      <c r="M7677" s="13"/>
      <c r="N7677" s="2"/>
      <c r="O7677" s="20"/>
      <c r="P7677" s="42"/>
      <c r="R7677" s="23"/>
    </row>
    <row r="7678" spans="1:18" ht="12.75">
      <c r="A7678" s="12"/>
      <c r="D7678" s="12"/>
      <c r="E7678" s="12"/>
      <c r="H7678" s="11" t="str">
        <f ca="1">IFERROR(__xludf.DUMMYFUNCTION("IFERROR(SUBSTITUTE(SUBSTITUTE(REGEXEXTRACT(A7678, ""[^-]+- [^-]+- [^-]+ - (.+?)\.jpg""), "".jpg"", """"), ""-"", "", ""), """")"),"")</f>
        <v/>
      </c>
      <c r="L7678" s="12"/>
      <c r="M7678" s="13"/>
      <c r="N7678" s="2"/>
      <c r="O7678" s="20"/>
      <c r="P7678" s="42"/>
      <c r="R7678" s="23"/>
    </row>
    <row r="7679" spans="1:18" ht="12.75">
      <c r="A7679" s="12"/>
      <c r="D7679" s="12"/>
      <c r="E7679" s="12"/>
      <c r="H7679" s="11" t="str">
        <f ca="1">IFERROR(__xludf.DUMMYFUNCTION("IFERROR(SUBSTITUTE(SUBSTITUTE(REGEXEXTRACT(A7679, ""[^-]+- [^-]+- [^-]+ - (.+?)\.jpg""), "".jpg"", """"), ""-"", "", ""), """")"),"")</f>
        <v/>
      </c>
      <c r="L7679" s="12"/>
      <c r="M7679" s="13"/>
      <c r="N7679" s="2"/>
      <c r="O7679" s="20"/>
      <c r="P7679" s="42"/>
      <c r="R7679" s="23"/>
    </row>
    <row r="7680" spans="1:18" ht="12.75">
      <c r="A7680" s="12"/>
      <c r="D7680" s="12"/>
      <c r="E7680" s="12"/>
      <c r="H7680" s="11" t="str">
        <f ca="1">IFERROR(__xludf.DUMMYFUNCTION("IFERROR(SUBSTITUTE(SUBSTITUTE(REGEXEXTRACT(A7680, ""[^-]+- [^-]+- [^-]+ - (.+?)\.jpg""), "".jpg"", """"), ""-"", "", ""), """")"),"")</f>
        <v/>
      </c>
      <c r="L7680" s="12"/>
      <c r="M7680" s="13"/>
      <c r="N7680" s="2"/>
      <c r="O7680" s="20"/>
      <c r="P7680" s="42"/>
      <c r="R7680" s="23"/>
    </row>
    <row r="7681" spans="1:18" ht="12.75">
      <c r="A7681" s="12"/>
      <c r="D7681" s="12"/>
      <c r="E7681" s="12"/>
      <c r="H7681" s="11" t="str">
        <f ca="1">IFERROR(__xludf.DUMMYFUNCTION("IFERROR(SUBSTITUTE(SUBSTITUTE(REGEXEXTRACT(A7681, ""[^-]+- [^-]+- [^-]+ - (.+?)\.jpg""), "".jpg"", """"), ""-"", "", ""), """")"),"")</f>
        <v/>
      </c>
      <c r="L7681" s="12"/>
      <c r="M7681" s="13"/>
      <c r="N7681" s="2"/>
      <c r="O7681" s="20"/>
      <c r="P7681" s="42"/>
      <c r="R7681" s="23"/>
    </row>
    <row r="7682" spans="1:18" ht="12.75">
      <c r="A7682" s="12"/>
      <c r="D7682" s="12"/>
      <c r="E7682" s="12"/>
      <c r="H7682" s="11" t="str">
        <f ca="1">IFERROR(__xludf.DUMMYFUNCTION("IFERROR(SUBSTITUTE(SUBSTITUTE(REGEXEXTRACT(A7682, ""[^-]+- [^-]+- [^-]+ - (.+?)\.jpg""), "".jpg"", """"), ""-"", "", ""), """")"),"")</f>
        <v/>
      </c>
      <c r="L7682" s="12"/>
      <c r="M7682" s="13"/>
      <c r="N7682" s="2"/>
      <c r="O7682" s="20"/>
      <c r="P7682" s="42"/>
      <c r="R7682" s="23"/>
    </row>
    <row r="7683" spans="1:18" ht="12.75">
      <c r="A7683" s="12"/>
      <c r="D7683" s="12"/>
      <c r="E7683" s="12"/>
      <c r="H7683" s="11" t="str">
        <f ca="1">IFERROR(__xludf.DUMMYFUNCTION("IFERROR(SUBSTITUTE(SUBSTITUTE(REGEXEXTRACT(A7683, ""[^-]+- [^-]+- [^-]+ - (.+?)\.jpg""), "".jpg"", """"), ""-"", "", ""), """")"),"")</f>
        <v/>
      </c>
      <c r="L7683" s="12"/>
      <c r="M7683" s="13"/>
      <c r="N7683" s="2"/>
      <c r="O7683" s="20"/>
      <c r="P7683" s="42"/>
      <c r="R7683" s="23"/>
    </row>
    <row r="7684" spans="1:18" ht="12.75">
      <c r="A7684" s="12"/>
      <c r="D7684" s="12"/>
      <c r="E7684" s="12"/>
      <c r="H7684" s="11" t="str">
        <f ca="1">IFERROR(__xludf.DUMMYFUNCTION("IFERROR(SUBSTITUTE(SUBSTITUTE(REGEXEXTRACT(A7684, ""[^-]+- [^-]+- [^-]+ - (.+?)\.jpg""), "".jpg"", """"), ""-"", "", ""), """")"),"")</f>
        <v/>
      </c>
      <c r="L7684" s="12"/>
      <c r="M7684" s="13"/>
      <c r="N7684" s="2"/>
      <c r="O7684" s="20"/>
      <c r="P7684" s="42"/>
      <c r="R7684" s="23"/>
    </row>
    <row r="7685" spans="1:18" ht="12.75">
      <c r="A7685" s="12"/>
      <c r="D7685" s="12"/>
      <c r="E7685" s="12"/>
      <c r="H7685" s="11" t="str">
        <f ca="1">IFERROR(__xludf.DUMMYFUNCTION("IFERROR(SUBSTITUTE(SUBSTITUTE(REGEXEXTRACT(A7685, ""[^-]+- [^-]+- [^-]+ - (.+?)\.jpg""), "".jpg"", """"), ""-"", "", ""), """")"),"")</f>
        <v/>
      </c>
      <c r="L7685" s="12"/>
      <c r="M7685" s="13"/>
      <c r="N7685" s="2"/>
      <c r="O7685" s="20"/>
      <c r="P7685" s="42"/>
      <c r="R7685" s="23"/>
    </row>
    <row r="7686" spans="1:18" ht="12.75">
      <c r="A7686" s="12"/>
      <c r="D7686" s="12"/>
      <c r="E7686" s="12"/>
      <c r="H7686" s="11" t="str">
        <f ca="1">IFERROR(__xludf.DUMMYFUNCTION("IFERROR(SUBSTITUTE(SUBSTITUTE(REGEXEXTRACT(A7686, ""[^-]+- [^-]+- [^-]+ - (.+?)\.jpg""), "".jpg"", """"), ""-"", "", ""), """")"),"")</f>
        <v/>
      </c>
      <c r="L7686" s="12"/>
      <c r="M7686" s="13"/>
      <c r="N7686" s="2"/>
      <c r="O7686" s="20"/>
      <c r="P7686" s="42"/>
      <c r="R7686" s="23"/>
    </row>
    <row r="7687" spans="1:18" ht="12.75">
      <c r="A7687" s="12"/>
      <c r="D7687" s="12"/>
      <c r="E7687" s="12"/>
      <c r="H7687" s="11" t="str">
        <f ca="1">IFERROR(__xludf.DUMMYFUNCTION("IFERROR(SUBSTITUTE(SUBSTITUTE(REGEXEXTRACT(A7687, ""[^-]+- [^-]+- [^-]+ - (.+?)\.jpg""), "".jpg"", """"), ""-"", "", ""), """")"),"")</f>
        <v/>
      </c>
      <c r="L7687" s="12"/>
      <c r="M7687" s="13"/>
      <c r="N7687" s="2"/>
      <c r="O7687" s="20"/>
      <c r="P7687" s="42"/>
      <c r="R7687" s="23"/>
    </row>
    <row r="7688" spans="1:18" ht="12.75">
      <c r="A7688" s="12"/>
      <c r="D7688" s="12"/>
      <c r="E7688" s="12"/>
      <c r="H7688" s="11" t="str">
        <f ca="1">IFERROR(__xludf.DUMMYFUNCTION("IFERROR(SUBSTITUTE(SUBSTITUTE(REGEXEXTRACT(A7688, ""[^-]+- [^-]+- [^-]+ - (.+?)\.jpg""), "".jpg"", """"), ""-"", "", ""), """")"),"")</f>
        <v/>
      </c>
      <c r="L7688" s="12"/>
      <c r="M7688" s="13"/>
      <c r="N7688" s="2"/>
      <c r="O7688" s="20"/>
      <c r="P7688" s="42"/>
      <c r="R7688" s="23"/>
    </row>
    <row r="7689" spans="1:18" ht="12.75">
      <c r="A7689" s="12"/>
      <c r="D7689" s="12"/>
      <c r="E7689" s="12"/>
      <c r="H7689" s="11" t="str">
        <f ca="1">IFERROR(__xludf.DUMMYFUNCTION("IFERROR(SUBSTITUTE(SUBSTITUTE(REGEXEXTRACT(A7689, ""[^-]+- [^-]+- [^-]+ - (.+?)\.jpg""), "".jpg"", """"), ""-"", "", ""), """")"),"")</f>
        <v/>
      </c>
      <c r="L7689" s="12"/>
      <c r="M7689" s="13"/>
      <c r="N7689" s="2"/>
      <c r="O7689" s="20"/>
      <c r="P7689" s="42"/>
      <c r="R7689" s="23"/>
    </row>
    <row r="7690" spans="1:18" ht="12.75">
      <c r="A7690" s="12"/>
      <c r="D7690" s="12"/>
      <c r="E7690" s="12"/>
      <c r="H7690" s="11" t="str">
        <f ca="1">IFERROR(__xludf.DUMMYFUNCTION("IFERROR(SUBSTITUTE(SUBSTITUTE(REGEXEXTRACT(A7690, ""[^-]+- [^-]+- [^-]+ - (.+?)\.jpg""), "".jpg"", """"), ""-"", "", ""), """")"),"")</f>
        <v/>
      </c>
      <c r="L7690" s="12"/>
      <c r="M7690" s="13"/>
      <c r="N7690" s="2"/>
      <c r="O7690" s="20"/>
      <c r="P7690" s="42"/>
      <c r="R7690" s="23"/>
    </row>
    <row r="7691" spans="1:18" ht="12.75">
      <c r="A7691" s="12"/>
      <c r="D7691" s="12"/>
      <c r="E7691" s="12"/>
      <c r="H7691" s="11" t="str">
        <f ca="1">IFERROR(__xludf.DUMMYFUNCTION("IFERROR(SUBSTITUTE(SUBSTITUTE(REGEXEXTRACT(A7691, ""[^-]+- [^-]+- [^-]+ - (.+?)\.jpg""), "".jpg"", """"), ""-"", "", ""), """")"),"")</f>
        <v/>
      </c>
      <c r="L7691" s="12"/>
      <c r="M7691" s="13"/>
      <c r="N7691" s="2"/>
      <c r="O7691" s="20"/>
      <c r="P7691" s="42"/>
      <c r="R7691" s="23"/>
    </row>
    <row r="7692" spans="1:18" ht="12.75">
      <c r="A7692" s="12"/>
      <c r="D7692" s="12"/>
      <c r="E7692" s="12"/>
      <c r="H7692" s="11" t="str">
        <f ca="1">IFERROR(__xludf.DUMMYFUNCTION("IFERROR(SUBSTITUTE(SUBSTITUTE(REGEXEXTRACT(A7692, ""[^-]+- [^-]+- [^-]+ - (.+?)\.jpg""), "".jpg"", """"), ""-"", "", ""), """")"),"")</f>
        <v/>
      </c>
      <c r="L7692" s="12"/>
      <c r="M7692" s="13"/>
      <c r="N7692" s="2"/>
      <c r="O7692" s="20"/>
      <c r="P7692" s="42"/>
      <c r="R7692" s="23"/>
    </row>
    <row r="7693" spans="1:18" ht="12.75">
      <c r="A7693" s="12"/>
      <c r="D7693" s="12"/>
      <c r="E7693" s="12"/>
      <c r="H7693" s="11" t="str">
        <f ca="1">IFERROR(__xludf.DUMMYFUNCTION("IFERROR(SUBSTITUTE(SUBSTITUTE(REGEXEXTRACT(A7693, ""[^-]+- [^-]+- [^-]+ - (.+?)\.jpg""), "".jpg"", """"), ""-"", "", ""), """")"),"")</f>
        <v/>
      </c>
      <c r="L7693" s="12"/>
      <c r="M7693" s="13"/>
      <c r="N7693" s="2"/>
      <c r="O7693" s="20"/>
      <c r="P7693" s="42"/>
      <c r="R7693" s="23"/>
    </row>
    <row r="7694" spans="1:18" ht="12.75">
      <c r="A7694" s="12"/>
      <c r="D7694" s="12"/>
      <c r="E7694" s="12"/>
      <c r="H7694" s="11" t="str">
        <f ca="1">IFERROR(__xludf.DUMMYFUNCTION("IFERROR(SUBSTITUTE(SUBSTITUTE(REGEXEXTRACT(A7694, ""[^-]+- [^-]+- [^-]+ - (.+?)\.jpg""), "".jpg"", """"), ""-"", "", ""), """")"),"")</f>
        <v/>
      </c>
      <c r="L7694" s="12"/>
      <c r="M7694" s="13"/>
      <c r="N7694" s="2"/>
      <c r="O7694" s="20"/>
      <c r="P7694" s="42"/>
      <c r="R7694" s="23"/>
    </row>
    <row r="7695" spans="1:18" ht="12.75">
      <c r="A7695" s="12"/>
      <c r="D7695" s="12"/>
      <c r="E7695" s="12"/>
      <c r="H7695" s="11" t="str">
        <f ca="1">IFERROR(__xludf.DUMMYFUNCTION("IFERROR(SUBSTITUTE(SUBSTITUTE(REGEXEXTRACT(A7695, ""[^-]+- [^-]+- [^-]+ - (.+?)\.jpg""), "".jpg"", """"), ""-"", "", ""), """")"),"")</f>
        <v/>
      </c>
      <c r="L7695" s="12"/>
      <c r="M7695" s="13"/>
      <c r="N7695" s="2"/>
      <c r="O7695" s="20"/>
      <c r="P7695" s="42"/>
      <c r="R7695" s="23"/>
    </row>
    <row r="7696" spans="1:18" ht="12.75">
      <c r="A7696" s="12"/>
      <c r="D7696" s="12"/>
      <c r="E7696" s="12"/>
      <c r="H7696" s="11" t="str">
        <f ca="1">IFERROR(__xludf.DUMMYFUNCTION("IFERROR(SUBSTITUTE(SUBSTITUTE(REGEXEXTRACT(A7696, ""[^-]+- [^-]+- [^-]+ - (.+?)\.jpg""), "".jpg"", """"), ""-"", "", ""), """")"),"")</f>
        <v/>
      </c>
      <c r="L7696" s="12"/>
      <c r="M7696" s="13"/>
      <c r="N7696" s="2"/>
      <c r="O7696" s="20"/>
      <c r="P7696" s="42"/>
      <c r="R7696" s="23"/>
    </row>
    <row r="7697" spans="1:18" ht="12.75">
      <c r="A7697" s="12"/>
      <c r="D7697" s="12"/>
      <c r="E7697" s="12"/>
      <c r="H7697" s="11" t="str">
        <f ca="1">IFERROR(__xludf.DUMMYFUNCTION("IFERROR(SUBSTITUTE(SUBSTITUTE(REGEXEXTRACT(A7697, ""[^-]+- [^-]+- [^-]+ - (.+?)\.jpg""), "".jpg"", """"), ""-"", "", ""), """")"),"")</f>
        <v/>
      </c>
      <c r="L7697" s="12"/>
      <c r="M7697" s="13"/>
      <c r="N7697" s="2"/>
      <c r="O7697" s="20"/>
      <c r="P7697" s="42"/>
      <c r="R7697" s="23"/>
    </row>
    <row r="7698" spans="1:18" ht="12.75">
      <c r="A7698" s="12"/>
      <c r="D7698" s="12"/>
      <c r="E7698" s="12"/>
      <c r="H7698" s="11" t="str">
        <f ca="1">IFERROR(__xludf.DUMMYFUNCTION("IFERROR(SUBSTITUTE(SUBSTITUTE(REGEXEXTRACT(A7698, ""[^-]+- [^-]+- [^-]+ - (.+?)\.jpg""), "".jpg"", """"), ""-"", "", ""), """")"),"")</f>
        <v/>
      </c>
      <c r="L7698" s="12"/>
      <c r="M7698" s="13"/>
      <c r="N7698" s="2"/>
      <c r="O7698" s="20"/>
      <c r="P7698" s="42"/>
      <c r="R7698" s="23"/>
    </row>
    <row r="7699" spans="1:18" ht="12.75">
      <c r="A7699" s="12"/>
      <c r="D7699" s="12"/>
      <c r="E7699" s="12"/>
      <c r="H7699" s="11" t="str">
        <f ca="1">IFERROR(__xludf.DUMMYFUNCTION("IFERROR(SUBSTITUTE(SUBSTITUTE(REGEXEXTRACT(A7699, ""[^-]+- [^-]+- [^-]+ - (.+?)\.jpg""), "".jpg"", """"), ""-"", "", ""), """")"),"")</f>
        <v/>
      </c>
      <c r="L7699" s="12"/>
      <c r="M7699" s="13"/>
      <c r="N7699" s="2"/>
      <c r="O7699" s="20"/>
      <c r="P7699" s="42"/>
      <c r="R7699" s="23"/>
    </row>
    <row r="7700" spans="1:18" ht="12.75">
      <c r="A7700" s="12"/>
      <c r="D7700" s="12"/>
      <c r="E7700" s="12"/>
      <c r="H7700" s="11" t="str">
        <f ca="1">IFERROR(__xludf.DUMMYFUNCTION("IFERROR(SUBSTITUTE(SUBSTITUTE(REGEXEXTRACT(A7700, ""[^-]+- [^-]+- [^-]+ - (.+?)\.jpg""), "".jpg"", """"), ""-"", "", ""), """")"),"")</f>
        <v/>
      </c>
      <c r="L7700" s="12"/>
      <c r="M7700" s="13"/>
      <c r="N7700" s="2"/>
      <c r="O7700" s="20"/>
      <c r="P7700" s="42"/>
      <c r="R7700" s="23"/>
    </row>
    <row r="7701" spans="1:18" ht="12.75">
      <c r="A7701" s="12"/>
      <c r="D7701" s="12"/>
      <c r="E7701" s="12"/>
      <c r="H7701" s="11" t="str">
        <f ca="1">IFERROR(__xludf.DUMMYFUNCTION("IFERROR(SUBSTITUTE(SUBSTITUTE(REGEXEXTRACT(A7701, ""[^-]+- [^-]+- [^-]+ - (.+?)\.jpg""), "".jpg"", """"), ""-"", "", ""), """")"),"")</f>
        <v/>
      </c>
      <c r="L7701" s="12"/>
      <c r="M7701" s="13"/>
      <c r="N7701" s="2"/>
      <c r="O7701" s="20"/>
      <c r="P7701" s="42"/>
      <c r="R7701" s="23"/>
    </row>
    <row r="7702" spans="1:18" ht="12.75">
      <c r="A7702" s="12"/>
      <c r="D7702" s="12"/>
      <c r="E7702" s="12"/>
      <c r="H7702" s="11" t="str">
        <f ca="1">IFERROR(__xludf.DUMMYFUNCTION("IFERROR(SUBSTITUTE(SUBSTITUTE(REGEXEXTRACT(A7702, ""[^-]+- [^-]+- [^-]+ - (.+?)\.jpg""), "".jpg"", """"), ""-"", "", ""), """")"),"")</f>
        <v/>
      </c>
      <c r="L7702" s="12"/>
      <c r="M7702" s="13"/>
      <c r="N7702" s="2"/>
      <c r="O7702" s="20"/>
      <c r="P7702" s="42"/>
      <c r="R7702" s="23"/>
    </row>
    <row r="7703" spans="1:18" ht="12.75">
      <c r="A7703" s="12"/>
      <c r="D7703" s="12"/>
      <c r="E7703" s="12"/>
      <c r="H7703" s="11" t="str">
        <f ca="1">IFERROR(__xludf.DUMMYFUNCTION("IFERROR(SUBSTITUTE(SUBSTITUTE(REGEXEXTRACT(A7703, ""[^-]+- [^-]+- [^-]+ - (.+?)\.jpg""), "".jpg"", """"), ""-"", "", ""), """")"),"")</f>
        <v/>
      </c>
      <c r="L7703" s="12"/>
      <c r="M7703" s="13"/>
      <c r="N7703" s="2"/>
      <c r="O7703" s="20"/>
      <c r="P7703" s="42"/>
      <c r="R7703" s="23"/>
    </row>
    <row r="7704" spans="1:18" ht="12.75">
      <c r="A7704" s="12"/>
      <c r="D7704" s="12"/>
      <c r="E7704" s="12"/>
      <c r="H7704" s="11" t="str">
        <f ca="1">IFERROR(__xludf.DUMMYFUNCTION("IFERROR(SUBSTITUTE(SUBSTITUTE(REGEXEXTRACT(A7704, ""[^-]+- [^-]+- [^-]+ - (.+?)\.jpg""), "".jpg"", """"), ""-"", "", ""), """")"),"")</f>
        <v/>
      </c>
      <c r="L7704" s="12"/>
      <c r="M7704" s="13"/>
      <c r="N7704" s="2"/>
      <c r="O7704" s="20"/>
      <c r="P7704" s="42"/>
      <c r="R7704" s="23"/>
    </row>
    <row r="7705" spans="1:18" ht="12.75">
      <c r="A7705" s="12"/>
      <c r="D7705" s="12"/>
      <c r="E7705" s="12"/>
      <c r="H7705" s="11" t="str">
        <f ca="1">IFERROR(__xludf.DUMMYFUNCTION("IFERROR(SUBSTITUTE(SUBSTITUTE(REGEXEXTRACT(A7705, ""[^-]+- [^-]+- [^-]+ - (.+?)\.jpg""), "".jpg"", """"), ""-"", "", ""), """")"),"")</f>
        <v/>
      </c>
      <c r="L7705" s="12"/>
      <c r="M7705" s="13"/>
      <c r="N7705" s="2"/>
      <c r="O7705" s="20"/>
      <c r="P7705" s="42"/>
      <c r="R7705" s="23"/>
    </row>
    <row r="7706" spans="1:18" ht="12.75">
      <c r="A7706" s="12"/>
      <c r="D7706" s="12"/>
      <c r="E7706" s="12"/>
      <c r="H7706" s="11" t="str">
        <f ca="1">IFERROR(__xludf.DUMMYFUNCTION("IFERROR(SUBSTITUTE(SUBSTITUTE(REGEXEXTRACT(A7706, ""[^-]+- [^-]+- [^-]+ - (.+?)\.jpg""), "".jpg"", """"), ""-"", "", ""), """")"),"")</f>
        <v/>
      </c>
      <c r="L7706" s="12"/>
      <c r="M7706" s="13"/>
      <c r="N7706" s="2"/>
      <c r="O7706" s="20"/>
      <c r="P7706" s="42"/>
      <c r="R7706" s="23"/>
    </row>
    <row r="7707" spans="1:18" ht="12.75">
      <c r="A7707" s="12"/>
      <c r="D7707" s="12"/>
      <c r="E7707" s="12"/>
      <c r="H7707" s="11" t="str">
        <f ca="1">IFERROR(__xludf.DUMMYFUNCTION("IFERROR(SUBSTITUTE(SUBSTITUTE(REGEXEXTRACT(A7707, ""[^-]+- [^-]+- [^-]+ - (.+?)\.jpg""), "".jpg"", """"), ""-"", "", ""), """")"),"")</f>
        <v/>
      </c>
      <c r="L7707" s="12"/>
      <c r="M7707" s="13"/>
      <c r="N7707" s="2"/>
      <c r="O7707" s="20"/>
      <c r="P7707" s="42"/>
      <c r="R7707" s="23"/>
    </row>
    <row r="7708" spans="1:18" ht="12.75">
      <c r="A7708" s="12"/>
      <c r="D7708" s="12"/>
      <c r="E7708" s="12"/>
      <c r="H7708" s="11" t="str">
        <f ca="1">IFERROR(__xludf.DUMMYFUNCTION("IFERROR(SUBSTITUTE(SUBSTITUTE(REGEXEXTRACT(A7708, ""[^-]+- [^-]+- [^-]+ - (.+?)\.jpg""), "".jpg"", """"), ""-"", "", ""), """")"),"")</f>
        <v/>
      </c>
      <c r="L7708" s="12"/>
      <c r="M7708" s="13"/>
      <c r="N7708" s="2"/>
      <c r="O7708" s="20"/>
      <c r="P7708" s="42"/>
      <c r="R7708" s="23"/>
    </row>
    <row r="7709" spans="1:18" ht="12.75">
      <c r="A7709" s="12"/>
      <c r="D7709" s="12"/>
      <c r="E7709" s="12"/>
      <c r="H7709" s="11" t="str">
        <f ca="1">IFERROR(__xludf.DUMMYFUNCTION("IFERROR(SUBSTITUTE(SUBSTITUTE(REGEXEXTRACT(A7709, ""[^-]+- [^-]+- [^-]+ - (.+?)\.jpg""), "".jpg"", """"), ""-"", "", ""), """")"),"")</f>
        <v/>
      </c>
      <c r="L7709" s="12"/>
      <c r="M7709" s="13"/>
      <c r="N7709" s="2"/>
      <c r="O7709" s="20"/>
      <c r="P7709" s="42"/>
      <c r="R7709" s="23"/>
    </row>
    <row r="7710" spans="1:18" ht="12.75">
      <c r="A7710" s="12"/>
      <c r="D7710" s="12"/>
      <c r="E7710" s="12"/>
      <c r="H7710" s="11" t="str">
        <f ca="1">IFERROR(__xludf.DUMMYFUNCTION("IFERROR(SUBSTITUTE(SUBSTITUTE(REGEXEXTRACT(A7710, ""[^-]+- [^-]+- [^-]+ - (.+?)\.jpg""), "".jpg"", """"), ""-"", "", ""), """")"),"")</f>
        <v/>
      </c>
      <c r="L7710" s="12"/>
      <c r="M7710" s="13"/>
      <c r="N7710" s="2"/>
      <c r="O7710" s="20"/>
      <c r="P7710" s="42"/>
      <c r="R7710" s="23"/>
    </row>
    <row r="7711" spans="1:18" ht="12.75">
      <c r="A7711" s="12"/>
      <c r="D7711" s="12"/>
      <c r="E7711" s="12"/>
      <c r="H7711" s="11" t="str">
        <f ca="1">IFERROR(__xludf.DUMMYFUNCTION("IFERROR(SUBSTITUTE(SUBSTITUTE(REGEXEXTRACT(A7711, ""[^-]+- [^-]+- [^-]+ - (.+?)\.jpg""), "".jpg"", """"), ""-"", "", ""), """")"),"")</f>
        <v/>
      </c>
      <c r="L7711" s="12"/>
      <c r="M7711" s="13"/>
      <c r="N7711" s="2"/>
      <c r="O7711" s="20"/>
      <c r="P7711" s="42"/>
      <c r="R7711" s="23"/>
    </row>
    <row r="7712" spans="1:18" ht="12.75">
      <c r="A7712" s="12"/>
      <c r="D7712" s="12"/>
      <c r="E7712" s="12"/>
      <c r="H7712" s="11" t="str">
        <f ca="1">IFERROR(__xludf.DUMMYFUNCTION("IFERROR(SUBSTITUTE(SUBSTITUTE(REGEXEXTRACT(A7712, ""[^-]+- [^-]+- [^-]+ - (.+?)\.jpg""), "".jpg"", """"), ""-"", "", ""), """")"),"")</f>
        <v/>
      </c>
      <c r="L7712" s="12"/>
      <c r="M7712" s="13"/>
      <c r="N7712" s="2"/>
      <c r="O7712" s="20"/>
      <c r="P7712" s="42"/>
      <c r="R7712" s="23"/>
    </row>
    <row r="7713" spans="1:18" ht="12.75">
      <c r="A7713" s="12"/>
      <c r="D7713" s="12"/>
      <c r="E7713" s="12"/>
      <c r="H7713" s="11" t="str">
        <f ca="1">IFERROR(__xludf.DUMMYFUNCTION("IFERROR(SUBSTITUTE(SUBSTITUTE(REGEXEXTRACT(A7713, ""[^-]+- [^-]+- [^-]+ - (.+?)\.jpg""), "".jpg"", """"), ""-"", "", ""), """")"),"")</f>
        <v/>
      </c>
      <c r="L7713" s="12"/>
      <c r="M7713" s="13"/>
      <c r="N7713" s="2"/>
      <c r="O7713" s="20"/>
      <c r="P7713" s="42"/>
      <c r="R7713" s="23"/>
    </row>
    <row r="7714" spans="1:18" ht="12.75">
      <c r="A7714" s="12"/>
      <c r="D7714" s="12"/>
      <c r="E7714" s="12"/>
      <c r="H7714" s="11" t="str">
        <f ca="1">IFERROR(__xludf.DUMMYFUNCTION("IFERROR(SUBSTITUTE(SUBSTITUTE(REGEXEXTRACT(A7714, ""[^-]+- [^-]+- [^-]+ - (.+?)\.jpg""), "".jpg"", """"), ""-"", "", ""), """")"),"")</f>
        <v/>
      </c>
      <c r="L7714" s="12"/>
      <c r="M7714" s="13"/>
      <c r="N7714" s="2"/>
      <c r="O7714" s="20"/>
      <c r="P7714" s="42"/>
      <c r="R7714" s="23"/>
    </row>
    <row r="7715" spans="1:18" ht="12.75">
      <c r="A7715" s="12"/>
      <c r="D7715" s="12"/>
      <c r="E7715" s="12"/>
      <c r="H7715" s="11" t="str">
        <f ca="1">IFERROR(__xludf.DUMMYFUNCTION("IFERROR(SUBSTITUTE(SUBSTITUTE(REGEXEXTRACT(A7715, ""[^-]+- [^-]+- [^-]+ - (.+?)\.jpg""), "".jpg"", """"), ""-"", "", ""), """")"),"")</f>
        <v/>
      </c>
      <c r="L7715" s="12"/>
      <c r="M7715" s="13"/>
      <c r="N7715" s="2"/>
      <c r="O7715" s="20"/>
      <c r="P7715" s="42"/>
      <c r="R7715" s="23"/>
    </row>
    <row r="7716" spans="1:18" ht="12.75">
      <c r="A7716" s="12"/>
      <c r="D7716" s="12"/>
      <c r="E7716" s="12"/>
      <c r="H7716" s="11" t="str">
        <f ca="1">IFERROR(__xludf.DUMMYFUNCTION("IFERROR(SUBSTITUTE(SUBSTITUTE(REGEXEXTRACT(A7716, ""[^-]+- [^-]+- [^-]+ - (.+?)\.jpg""), "".jpg"", """"), ""-"", "", ""), """")"),"")</f>
        <v/>
      </c>
      <c r="L7716" s="12"/>
      <c r="M7716" s="13"/>
      <c r="N7716" s="2"/>
      <c r="O7716" s="20"/>
      <c r="P7716" s="42"/>
      <c r="R7716" s="23"/>
    </row>
    <row r="7717" spans="1:18" ht="12.75">
      <c r="A7717" s="12"/>
      <c r="D7717" s="12"/>
      <c r="E7717" s="12"/>
      <c r="H7717" s="11" t="str">
        <f ca="1">IFERROR(__xludf.DUMMYFUNCTION("IFERROR(SUBSTITUTE(SUBSTITUTE(REGEXEXTRACT(A7717, ""[^-]+- [^-]+- [^-]+ - (.+?)\.jpg""), "".jpg"", """"), ""-"", "", ""), """")"),"")</f>
        <v/>
      </c>
      <c r="L7717" s="12"/>
      <c r="M7717" s="13"/>
      <c r="N7717" s="2"/>
      <c r="O7717" s="20"/>
      <c r="P7717" s="42"/>
      <c r="R7717" s="23"/>
    </row>
    <row r="7718" spans="1:18" ht="12.75">
      <c r="A7718" s="12"/>
      <c r="D7718" s="12"/>
      <c r="E7718" s="12"/>
      <c r="H7718" s="11" t="str">
        <f ca="1">IFERROR(__xludf.DUMMYFUNCTION("IFERROR(SUBSTITUTE(SUBSTITUTE(REGEXEXTRACT(A7718, ""[^-]+- [^-]+- [^-]+ - (.+?)\.jpg""), "".jpg"", """"), ""-"", "", ""), """")"),"")</f>
        <v/>
      </c>
      <c r="L7718" s="12"/>
      <c r="M7718" s="13"/>
      <c r="N7718" s="2"/>
      <c r="O7718" s="20"/>
      <c r="P7718" s="42"/>
      <c r="R7718" s="23"/>
    </row>
    <row r="7719" spans="1:18" ht="12.75">
      <c r="A7719" s="12"/>
      <c r="D7719" s="12"/>
      <c r="E7719" s="12"/>
      <c r="H7719" s="11" t="str">
        <f ca="1">IFERROR(__xludf.DUMMYFUNCTION("IFERROR(SUBSTITUTE(SUBSTITUTE(REGEXEXTRACT(A7719, ""[^-]+- [^-]+- [^-]+ - (.+?)\.jpg""), "".jpg"", """"), ""-"", "", ""), """")"),"")</f>
        <v/>
      </c>
      <c r="L7719" s="12"/>
      <c r="M7719" s="13"/>
      <c r="N7719" s="2"/>
      <c r="O7719" s="20"/>
      <c r="P7719" s="42"/>
      <c r="R7719" s="23"/>
    </row>
    <row r="7720" spans="1:18" ht="12.75">
      <c r="A7720" s="12"/>
      <c r="D7720" s="12"/>
      <c r="E7720" s="12"/>
      <c r="H7720" s="11" t="str">
        <f ca="1">IFERROR(__xludf.DUMMYFUNCTION("IFERROR(SUBSTITUTE(SUBSTITUTE(REGEXEXTRACT(A7720, ""[^-]+- [^-]+- [^-]+ - (.+?)\.jpg""), "".jpg"", """"), ""-"", "", ""), """")"),"")</f>
        <v/>
      </c>
      <c r="L7720" s="12"/>
      <c r="M7720" s="13"/>
      <c r="N7720" s="2"/>
      <c r="O7720" s="20"/>
      <c r="P7720" s="42"/>
      <c r="R7720" s="23"/>
    </row>
    <row r="7721" spans="1:18" ht="12.75">
      <c r="A7721" s="12"/>
      <c r="D7721" s="12"/>
      <c r="E7721" s="12"/>
      <c r="H7721" s="11" t="str">
        <f ca="1">IFERROR(__xludf.DUMMYFUNCTION("IFERROR(SUBSTITUTE(SUBSTITUTE(REGEXEXTRACT(A7721, ""[^-]+- [^-]+- [^-]+ - (.+?)\.jpg""), "".jpg"", """"), ""-"", "", ""), """")"),"")</f>
        <v/>
      </c>
      <c r="L7721" s="12"/>
      <c r="M7721" s="13"/>
      <c r="N7721" s="2"/>
      <c r="O7721" s="20"/>
      <c r="P7721" s="42"/>
      <c r="R7721" s="23"/>
    </row>
    <row r="7722" spans="1:18" ht="12.75">
      <c r="A7722" s="12"/>
      <c r="D7722" s="12"/>
      <c r="E7722" s="12"/>
      <c r="H7722" s="11" t="str">
        <f ca="1">IFERROR(__xludf.DUMMYFUNCTION("IFERROR(SUBSTITUTE(SUBSTITUTE(REGEXEXTRACT(A7722, ""[^-]+- [^-]+- [^-]+ - (.+?)\.jpg""), "".jpg"", """"), ""-"", "", ""), """")"),"")</f>
        <v/>
      </c>
      <c r="L7722" s="12"/>
      <c r="M7722" s="13"/>
      <c r="N7722" s="2"/>
      <c r="O7722" s="20"/>
      <c r="P7722" s="42"/>
      <c r="R7722" s="23"/>
    </row>
    <row r="7723" spans="1:18" ht="12.75">
      <c r="A7723" s="12"/>
      <c r="D7723" s="12"/>
      <c r="E7723" s="12"/>
      <c r="H7723" s="11" t="str">
        <f ca="1">IFERROR(__xludf.DUMMYFUNCTION("IFERROR(SUBSTITUTE(SUBSTITUTE(REGEXEXTRACT(A7723, ""[^-]+- [^-]+- [^-]+ - (.+?)\.jpg""), "".jpg"", """"), ""-"", "", ""), """")"),"")</f>
        <v/>
      </c>
      <c r="L7723" s="12"/>
      <c r="M7723" s="13"/>
      <c r="N7723" s="2"/>
      <c r="O7723" s="20"/>
      <c r="P7723" s="42"/>
      <c r="R7723" s="23"/>
    </row>
    <row r="7724" spans="1:18" ht="12.75">
      <c r="A7724" s="12"/>
      <c r="D7724" s="12"/>
      <c r="E7724" s="12"/>
      <c r="H7724" s="11" t="str">
        <f ca="1">IFERROR(__xludf.DUMMYFUNCTION("IFERROR(SUBSTITUTE(SUBSTITUTE(REGEXEXTRACT(A7724, ""[^-]+- [^-]+- [^-]+ - (.+?)\.jpg""), "".jpg"", """"), ""-"", "", ""), """")"),"")</f>
        <v/>
      </c>
      <c r="L7724" s="12"/>
      <c r="M7724" s="13"/>
      <c r="N7724" s="2"/>
      <c r="O7724" s="20"/>
      <c r="P7724" s="42"/>
      <c r="R7724" s="23"/>
    </row>
    <row r="7725" spans="1:18" ht="12.75">
      <c r="A7725" s="12"/>
      <c r="D7725" s="12"/>
      <c r="E7725" s="12"/>
      <c r="H7725" s="11" t="str">
        <f ca="1">IFERROR(__xludf.DUMMYFUNCTION("IFERROR(SUBSTITUTE(SUBSTITUTE(REGEXEXTRACT(A7725, ""[^-]+- [^-]+- [^-]+ - (.+?)\.jpg""), "".jpg"", """"), ""-"", "", ""), """")"),"")</f>
        <v/>
      </c>
      <c r="L7725" s="12"/>
      <c r="M7725" s="13"/>
      <c r="N7725" s="2"/>
      <c r="O7725" s="20"/>
      <c r="P7725" s="42"/>
      <c r="R7725" s="23"/>
    </row>
    <row r="7726" spans="1:18" ht="12.75">
      <c r="A7726" s="12"/>
      <c r="D7726" s="12"/>
      <c r="E7726" s="12"/>
      <c r="H7726" s="11" t="str">
        <f ca="1">IFERROR(__xludf.DUMMYFUNCTION("IFERROR(SUBSTITUTE(SUBSTITUTE(REGEXEXTRACT(A7726, ""[^-]+- [^-]+- [^-]+ - (.+?)\.jpg""), "".jpg"", """"), ""-"", "", ""), """")"),"")</f>
        <v/>
      </c>
      <c r="L7726" s="12"/>
      <c r="M7726" s="13"/>
      <c r="N7726" s="2"/>
      <c r="O7726" s="20"/>
      <c r="P7726" s="42"/>
      <c r="R7726" s="23"/>
    </row>
    <row r="7727" spans="1:18" ht="12.75">
      <c r="A7727" s="12"/>
      <c r="D7727" s="12"/>
      <c r="E7727" s="12"/>
      <c r="H7727" s="11" t="str">
        <f ca="1">IFERROR(__xludf.DUMMYFUNCTION("IFERROR(SUBSTITUTE(SUBSTITUTE(REGEXEXTRACT(A7727, ""[^-]+- [^-]+- [^-]+ - (.+?)\.jpg""), "".jpg"", """"), ""-"", "", ""), """")"),"")</f>
        <v/>
      </c>
      <c r="L7727" s="12"/>
      <c r="M7727" s="13"/>
      <c r="N7727" s="2"/>
      <c r="O7727" s="20"/>
      <c r="P7727" s="42"/>
      <c r="R7727" s="23"/>
    </row>
    <row r="7728" spans="1:18" ht="12.75">
      <c r="A7728" s="12"/>
      <c r="D7728" s="12"/>
      <c r="E7728" s="12"/>
      <c r="H7728" s="11" t="str">
        <f ca="1">IFERROR(__xludf.DUMMYFUNCTION("IFERROR(SUBSTITUTE(SUBSTITUTE(REGEXEXTRACT(A7728, ""[^-]+- [^-]+- [^-]+ - (.+?)\.jpg""), "".jpg"", """"), ""-"", "", ""), """")"),"")</f>
        <v/>
      </c>
      <c r="L7728" s="12"/>
      <c r="M7728" s="13"/>
      <c r="N7728" s="2"/>
      <c r="O7728" s="20"/>
      <c r="P7728" s="42"/>
      <c r="R7728" s="23"/>
    </row>
    <row r="7729" spans="1:18" ht="12.75">
      <c r="A7729" s="12"/>
      <c r="D7729" s="12"/>
      <c r="E7729" s="12"/>
      <c r="H7729" s="11" t="str">
        <f ca="1">IFERROR(__xludf.DUMMYFUNCTION("IFERROR(SUBSTITUTE(SUBSTITUTE(REGEXEXTRACT(A7729, ""[^-]+- [^-]+- [^-]+ - (.+?)\.jpg""), "".jpg"", """"), ""-"", "", ""), """")"),"")</f>
        <v/>
      </c>
      <c r="L7729" s="12"/>
      <c r="M7729" s="13"/>
      <c r="N7729" s="2"/>
      <c r="O7729" s="20"/>
      <c r="P7729" s="42"/>
      <c r="R7729" s="23"/>
    </row>
    <row r="7730" spans="1:18" ht="12.75">
      <c r="A7730" s="12"/>
      <c r="D7730" s="12"/>
      <c r="E7730" s="12"/>
      <c r="H7730" s="11" t="str">
        <f ca="1">IFERROR(__xludf.DUMMYFUNCTION("IFERROR(SUBSTITUTE(SUBSTITUTE(REGEXEXTRACT(A7730, ""[^-]+- [^-]+- [^-]+ - (.+?)\.jpg""), "".jpg"", """"), ""-"", "", ""), """")"),"")</f>
        <v/>
      </c>
      <c r="L7730" s="12"/>
      <c r="M7730" s="13"/>
      <c r="N7730" s="2"/>
      <c r="O7730" s="20"/>
      <c r="P7730" s="42"/>
      <c r="R7730" s="23"/>
    </row>
    <row r="7731" spans="1:18" ht="12.75">
      <c r="A7731" s="12"/>
      <c r="D7731" s="12"/>
      <c r="E7731" s="12"/>
      <c r="H7731" s="11" t="str">
        <f ca="1">IFERROR(__xludf.DUMMYFUNCTION("IFERROR(SUBSTITUTE(SUBSTITUTE(REGEXEXTRACT(A7731, ""[^-]+- [^-]+- [^-]+ - (.+?)\.jpg""), "".jpg"", """"), ""-"", "", ""), """")"),"")</f>
        <v/>
      </c>
      <c r="L7731" s="12"/>
      <c r="M7731" s="13"/>
      <c r="N7731" s="2"/>
      <c r="O7731" s="20"/>
      <c r="P7731" s="42"/>
      <c r="R7731" s="23"/>
    </row>
    <row r="7732" spans="1:18" ht="12.75">
      <c r="A7732" s="12"/>
      <c r="D7732" s="12"/>
      <c r="E7732" s="12"/>
      <c r="H7732" s="11" t="str">
        <f ca="1">IFERROR(__xludf.DUMMYFUNCTION("IFERROR(SUBSTITUTE(SUBSTITUTE(REGEXEXTRACT(A7732, ""[^-]+- [^-]+- [^-]+ - (.+?)\.jpg""), "".jpg"", """"), ""-"", "", ""), """")"),"")</f>
        <v/>
      </c>
      <c r="L7732" s="12"/>
      <c r="M7732" s="13"/>
      <c r="N7732" s="2"/>
      <c r="O7732" s="20"/>
      <c r="P7732" s="42"/>
      <c r="R7732" s="23"/>
    </row>
    <row r="7733" spans="1:18" ht="12.75">
      <c r="A7733" s="12"/>
      <c r="D7733" s="12"/>
      <c r="E7733" s="12"/>
      <c r="H7733" s="11" t="str">
        <f ca="1">IFERROR(__xludf.DUMMYFUNCTION("IFERROR(SUBSTITUTE(SUBSTITUTE(REGEXEXTRACT(A7733, ""[^-]+- [^-]+- [^-]+ - (.+?)\.jpg""), "".jpg"", """"), ""-"", "", ""), """")"),"")</f>
        <v/>
      </c>
      <c r="L7733" s="12"/>
      <c r="M7733" s="13"/>
      <c r="N7733" s="2"/>
      <c r="O7733" s="20"/>
      <c r="P7733" s="42"/>
      <c r="R7733" s="23"/>
    </row>
    <row r="7734" spans="1:18" ht="12.75">
      <c r="A7734" s="12"/>
      <c r="D7734" s="12"/>
      <c r="E7734" s="12"/>
      <c r="H7734" s="11" t="str">
        <f ca="1">IFERROR(__xludf.DUMMYFUNCTION("IFERROR(SUBSTITUTE(SUBSTITUTE(REGEXEXTRACT(A7734, ""[^-]+- [^-]+- [^-]+ - (.+?)\.jpg""), "".jpg"", """"), ""-"", "", ""), """")"),"")</f>
        <v/>
      </c>
      <c r="L7734" s="12"/>
      <c r="M7734" s="13"/>
      <c r="N7734" s="2"/>
      <c r="O7734" s="20"/>
      <c r="P7734" s="42"/>
      <c r="R7734" s="23"/>
    </row>
    <row r="7735" spans="1:18" ht="12.75">
      <c r="A7735" s="12"/>
      <c r="D7735" s="12"/>
      <c r="E7735" s="12"/>
      <c r="H7735" s="11" t="str">
        <f ca="1">IFERROR(__xludf.DUMMYFUNCTION("IFERROR(SUBSTITUTE(SUBSTITUTE(REGEXEXTRACT(A7735, ""[^-]+- [^-]+- [^-]+ - (.+?)\.jpg""), "".jpg"", """"), ""-"", "", ""), """")"),"")</f>
        <v/>
      </c>
      <c r="L7735" s="12"/>
      <c r="M7735" s="13"/>
      <c r="N7735" s="2"/>
      <c r="O7735" s="20"/>
      <c r="P7735" s="42"/>
      <c r="R7735" s="23"/>
    </row>
    <row r="7736" spans="1:18" ht="12.75">
      <c r="A7736" s="12"/>
      <c r="D7736" s="12"/>
      <c r="E7736" s="12"/>
      <c r="H7736" s="11" t="str">
        <f ca="1">IFERROR(__xludf.DUMMYFUNCTION("IFERROR(SUBSTITUTE(SUBSTITUTE(REGEXEXTRACT(A7736, ""[^-]+- [^-]+- [^-]+ - (.+?)\.jpg""), "".jpg"", """"), ""-"", "", ""), """")"),"")</f>
        <v/>
      </c>
      <c r="L7736" s="12"/>
      <c r="M7736" s="13"/>
      <c r="N7736" s="2"/>
      <c r="O7736" s="20"/>
      <c r="P7736" s="42"/>
      <c r="R7736" s="23"/>
    </row>
    <row r="7737" spans="1:18" ht="12.75">
      <c r="A7737" s="12"/>
      <c r="D7737" s="12"/>
      <c r="E7737" s="12"/>
      <c r="H7737" s="11" t="str">
        <f ca="1">IFERROR(__xludf.DUMMYFUNCTION("IFERROR(SUBSTITUTE(SUBSTITUTE(REGEXEXTRACT(A7737, ""[^-]+- [^-]+- [^-]+ - (.+?)\.jpg""), "".jpg"", """"), ""-"", "", ""), """")"),"")</f>
        <v/>
      </c>
      <c r="L7737" s="12"/>
      <c r="M7737" s="13"/>
      <c r="N7737" s="2"/>
      <c r="O7737" s="20"/>
      <c r="P7737" s="42"/>
      <c r="R7737" s="23"/>
    </row>
    <row r="7738" spans="1:18" ht="12.75">
      <c r="A7738" s="12"/>
      <c r="D7738" s="12"/>
      <c r="E7738" s="12"/>
      <c r="H7738" s="11" t="str">
        <f ca="1">IFERROR(__xludf.DUMMYFUNCTION("IFERROR(SUBSTITUTE(SUBSTITUTE(REGEXEXTRACT(A7738, ""[^-]+- [^-]+- [^-]+ - (.+?)\.jpg""), "".jpg"", """"), ""-"", "", ""), """")"),"")</f>
        <v/>
      </c>
      <c r="L7738" s="12"/>
      <c r="M7738" s="13"/>
      <c r="N7738" s="2"/>
      <c r="O7738" s="20"/>
      <c r="P7738" s="42"/>
      <c r="R7738" s="23"/>
    </row>
    <row r="7739" spans="1:18" ht="12.75">
      <c r="A7739" s="12"/>
      <c r="D7739" s="12"/>
      <c r="E7739" s="12"/>
      <c r="H7739" s="11" t="str">
        <f ca="1">IFERROR(__xludf.DUMMYFUNCTION("IFERROR(SUBSTITUTE(SUBSTITUTE(REGEXEXTRACT(A7739, ""[^-]+- [^-]+- [^-]+ - (.+?)\.jpg""), "".jpg"", """"), ""-"", "", ""), """")"),"")</f>
        <v/>
      </c>
      <c r="L7739" s="12"/>
      <c r="M7739" s="13"/>
      <c r="N7739" s="2"/>
      <c r="O7739" s="20"/>
      <c r="P7739" s="42"/>
      <c r="R7739" s="23"/>
    </row>
    <row r="7740" spans="1:18" ht="12.75">
      <c r="A7740" s="12"/>
      <c r="D7740" s="12"/>
      <c r="E7740" s="12"/>
      <c r="H7740" s="11" t="str">
        <f ca="1">IFERROR(__xludf.DUMMYFUNCTION("IFERROR(SUBSTITUTE(SUBSTITUTE(REGEXEXTRACT(A7740, ""[^-]+- [^-]+- [^-]+ - (.+?)\.jpg""), "".jpg"", """"), ""-"", "", ""), """")"),"")</f>
        <v/>
      </c>
      <c r="L7740" s="12"/>
      <c r="M7740" s="13"/>
      <c r="N7740" s="2"/>
      <c r="O7740" s="20"/>
      <c r="P7740" s="42"/>
      <c r="R7740" s="23"/>
    </row>
    <row r="7741" spans="1:18" ht="12.75">
      <c r="A7741" s="12"/>
      <c r="D7741" s="12"/>
      <c r="E7741" s="12"/>
      <c r="H7741" s="11" t="str">
        <f ca="1">IFERROR(__xludf.DUMMYFUNCTION("IFERROR(SUBSTITUTE(SUBSTITUTE(REGEXEXTRACT(A7741, ""[^-]+- [^-]+- [^-]+ - (.+?)\.jpg""), "".jpg"", """"), ""-"", "", ""), """")"),"")</f>
        <v/>
      </c>
      <c r="L7741" s="12"/>
      <c r="M7741" s="13"/>
      <c r="N7741" s="2"/>
      <c r="O7741" s="20"/>
      <c r="P7741" s="42"/>
      <c r="R7741" s="23"/>
    </row>
    <row r="7742" spans="1:18" ht="12.75">
      <c r="A7742" s="12"/>
      <c r="D7742" s="12"/>
      <c r="E7742" s="12"/>
      <c r="H7742" s="11" t="str">
        <f ca="1">IFERROR(__xludf.DUMMYFUNCTION("IFERROR(SUBSTITUTE(SUBSTITUTE(REGEXEXTRACT(A7742, ""[^-]+- [^-]+- [^-]+ - (.+?)\.jpg""), "".jpg"", """"), ""-"", "", ""), """")"),"")</f>
        <v/>
      </c>
      <c r="L7742" s="12"/>
      <c r="M7742" s="13"/>
      <c r="N7742" s="2"/>
      <c r="O7742" s="20"/>
      <c r="P7742" s="42"/>
      <c r="R7742" s="23"/>
    </row>
    <row r="7743" spans="1:18" ht="12.75">
      <c r="A7743" s="12"/>
      <c r="D7743" s="12"/>
      <c r="E7743" s="12"/>
      <c r="H7743" s="11" t="str">
        <f ca="1">IFERROR(__xludf.DUMMYFUNCTION("IFERROR(SUBSTITUTE(SUBSTITUTE(REGEXEXTRACT(A7743, ""[^-]+- [^-]+- [^-]+ - (.+?)\.jpg""), "".jpg"", """"), ""-"", "", ""), """")"),"")</f>
        <v/>
      </c>
      <c r="L7743" s="12"/>
      <c r="M7743" s="13"/>
      <c r="N7743" s="2"/>
      <c r="O7743" s="20"/>
      <c r="P7743" s="42"/>
      <c r="R7743" s="23"/>
    </row>
    <row r="7744" spans="1:18" ht="12.75">
      <c r="A7744" s="12"/>
      <c r="D7744" s="12"/>
      <c r="E7744" s="12"/>
      <c r="H7744" s="11" t="str">
        <f ca="1">IFERROR(__xludf.DUMMYFUNCTION("IFERROR(SUBSTITUTE(SUBSTITUTE(REGEXEXTRACT(A7744, ""[^-]+- [^-]+- [^-]+ - (.+?)\.jpg""), "".jpg"", """"), ""-"", "", ""), """")"),"")</f>
        <v/>
      </c>
      <c r="L7744" s="12"/>
      <c r="M7744" s="13"/>
      <c r="N7744" s="2"/>
      <c r="O7744" s="20"/>
      <c r="P7744" s="42"/>
      <c r="R7744" s="23"/>
    </row>
    <row r="7745" spans="1:18" ht="12.75">
      <c r="A7745" s="12"/>
      <c r="D7745" s="12"/>
      <c r="E7745" s="12"/>
      <c r="H7745" s="11" t="str">
        <f ca="1">IFERROR(__xludf.DUMMYFUNCTION("IFERROR(SUBSTITUTE(SUBSTITUTE(REGEXEXTRACT(A7745, ""[^-]+- [^-]+- [^-]+ - (.+?)\.jpg""), "".jpg"", """"), ""-"", "", ""), """")"),"")</f>
        <v/>
      </c>
      <c r="L7745" s="12"/>
      <c r="M7745" s="13"/>
      <c r="N7745" s="2"/>
      <c r="O7745" s="20"/>
      <c r="P7745" s="42"/>
      <c r="R7745" s="23"/>
    </row>
    <row r="7746" spans="1:18" ht="12.75">
      <c r="A7746" s="12"/>
      <c r="D7746" s="12"/>
      <c r="E7746" s="12"/>
      <c r="H7746" s="11" t="str">
        <f ca="1">IFERROR(__xludf.DUMMYFUNCTION("IFERROR(SUBSTITUTE(SUBSTITUTE(REGEXEXTRACT(A7746, ""[^-]+- [^-]+- [^-]+ - (.+?)\.jpg""), "".jpg"", """"), ""-"", "", ""), """")"),"")</f>
        <v/>
      </c>
      <c r="L7746" s="12"/>
      <c r="M7746" s="13"/>
      <c r="N7746" s="2"/>
      <c r="O7746" s="20"/>
      <c r="P7746" s="42"/>
      <c r="R7746" s="23"/>
    </row>
    <row r="7747" spans="1:18" ht="12.75">
      <c r="A7747" s="12"/>
      <c r="D7747" s="12"/>
      <c r="E7747" s="12"/>
      <c r="H7747" s="11" t="str">
        <f ca="1">IFERROR(__xludf.DUMMYFUNCTION("IFERROR(SUBSTITUTE(SUBSTITUTE(REGEXEXTRACT(A7747, ""[^-]+- [^-]+- [^-]+ - (.+?)\.jpg""), "".jpg"", """"), ""-"", "", ""), """")"),"")</f>
        <v/>
      </c>
      <c r="L7747" s="12"/>
      <c r="M7747" s="13"/>
      <c r="N7747" s="2"/>
      <c r="O7747" s="20"/>
      <c r="P7747" s="42"/>
      <c r="R7747" s="23"/>
    </row>
    <row r="7748" spans="1:18" ht="12.75">
      <c r="A7748" s="12"/>
      <c r="D7748" s="12"/>
      <c r="E7748" s="12"/>
      <c r="H7748" s="11" t="str">
        <f ca="1">IFERROR(__xludf.DUMMYFUNCTION("IFERROR(SUBSTITUTE(SUBSTITUTE(REGEXEXTRACT(A7748, ""[^-]+- [^-]+- [^-]+ - (.+?)\.jpg""), "".jpg"", """"), ""-"", "", ""), """")"),"")</f>
        <v/>
      </c>
      <c r="L7748" s="12"/>
      <c r="M7748" s="13"/>
      <c r="N7748" s="2"/>
      <c r="O7748" s="20"/>
      <c r="P7748" s="42"/>
      <c r="R7748" s="23"/>
    </row>
    <row r="7749" spans="1:18" ht="12.75">
      <c r="A7749" s="12"/>
      <c r="D7749" s="12"/>
      <c r="E7749" s="12"/>
      <c r="H7749" s="11" t="str">
        <f ca="1">IFERROR(__xludf.DUMMYFUNCTION("IFERROR(SUBSTITUTE(SUBSTITUTE(REGEXEXTRACT(A7749, ""[^-]+- [^-]+- [^-]+ - (.+?)\.jpg""), "".jpg"", """"), ""-"", "", ""), """")"),"")</f>
        <v/>
      </c>
      <c r="L7749" s="12"/>
      <c r="M7749" s="13"/>
      <c r="N7749" s="2"/>
      <c r="O7749" s="20"/>
      <c r="P7749" s="42"/>
      <c r="R7749" s="23"/>
    </row>
    <row r="7750" spans="1:18" ht="12.75">
      <c r="A7750" s="12"/>
      <c r="D7750" s="12"/>
      <c r="E7750" s="12"/>
      <c r="H7750" s="11" t="str">
        <f ca="1">IFERROR(__xludf.DUMMYFUNCTION("IFERROR(SUBSTITUTE(SUBSTITUTE(REGEXEXTRACT(A7750, ""[^-]+- [^-]+- [^-]+ - (.+?)\.jpg""), "".jpg"", """"), ""-"", "", ""), """")"),"")</f>
        <v/>
      </c>
      <c r="L7750" s="12"/>
      <c r="M7750" s="13"/>
      <c r="N7750" s="2"/>
      <c r="O7750" s="20"/>
      <c r="P7750" s="42"/>
      <c r="R7750" s="23"/>
    </row>
    <row r="7751" spans="1:18" ht="12.75">
      <c r="A7751" s="12"/>
      <c r="D7751" s="12"/>
      <c r="E7751" s="12"/>
      <c r="H7751" s="11" t="str">
        <f ca="1">IFERROR(__xludf.DUMMYFUNCTION("IFERROR(SUBSTITUTE(SUBSTITUTE(REGEXEXTRACT(A7751, ""[^-]+- [^-]+- [^-]+ - (.+?)\.jpg""), "".jpg"", """"), ""-"", "", ""), """")"),"")</f>
        <v/>
      </c>
      <c r="L7751" s="12"/>
      <c r="M7751" s="13"/>
      <c r="N7751" s="2"/>
      <c r="O7751" s="20"/>
      <c r="P7751" s="42"/>
      <c r="R7751" s="23"/>
    </row>
    <row r="7752" spans="1:18" ht="12.75">
      <c r="A7752" s="12"/>
      <c r="D7752" s="12"/>
      <c r="E7752" s="12"/>
      <c r="H7752" s="11" t="str">
        <f ca="1">IFERROR(__xludf.DUMMYFUNCTION("IFERROR(SUBSTITUTE(SUBSTITUTE(REGEXEXTRACT(A7752, ""[^-]+- [^-]+- [^-]+ - (.+?)\.jpg""), "".jpg"", """"), ""-"", "", ""), """")"),"")</f>
        <v/>
      </c>
      <c r="L7752" s="12"/>
      <c r="M7752" s="13"/>
      <c r="N7752" s="2"/>
      <c r="O7752" s="20"/>
      <c r="P7752" s="42"/>
      <c r="R7752" s="23"/>
    </row>
    <row r="7753" spans="1:18" ht="12.75">
      <c r="A7753" s="12"/>
      <c r="D7753" s="12"/>
      <c r="E7753" s="12"/>
      <c r="H7753" s="11" t="str">
        <f ca="1">IFERROR(__xludf.DUMMYFUNCTION("IFERROR(SUBSTITUTE(SUBSTITUTE(REGEXEXTRACT(A7753, ""[^-]+- [^-]+- [^-]+ - (.+?)\.jpg""), "".jpg"", """"), ""-"", "", ""), """")"),"")</f>
        <v/>
      </c>
      <c r="L7753" s="12"/>
      <c r="M7753" s="13"/>
      <c r="N7753" s="2"/>
      <c r="O7753" s="20"/>
      <c r="P7753" s="42"/>
      <c r="R7753" s="23"/>
    </row>
    <row r="7754" spans="1:18" ht="12.75">
      <c r="A7754" s="12"/>
      <c r="D7754" s="12"/>
      <c r="E7754" s="12"/>
      <c r="H7754" s="11" t="str">
        <f ca="1">IFERROR(__xludf.DUMMYFUNCTION("IFERROR(SUBSTITUTE(SUBSTITUTE(REGEXEXTRACT(A7754, ""[^-]+- [^-]+- [^-]+ - (.+?)\.jpg""), "".jpg"", """"), ""-"", "", ""), """")"),"")</f>
        <v/>
      </c>
      <c r="L7754" s="12"/>
      <c r="M7754" s="13"/>
      <c r="N7754" s="2"/>
      <c r="O7754" s="20"/>
      <c r="P7754" s="42"/>
      <c r="R7754" s="23"/>
    </row>
    <row r="7755" spans="1:18" ht="12.75">
      <c r="A7755" s="12"/>
      <c r="D7755" s="12"/>
      <c r="E7755" s="12"/>
      <c r="H7755" s="11" t="str">
        <f ca="1">IFERROR(__xludf.DUMMYFUNCTION("IFERROR(SUBSTITUTE(SUBSTITUTE(REGEXEXTRACT(A7755, ""[^-]+- [^-]+- [^-]+ - (.+?)\.jpg""), "".jpg"", """"), ""-"", "", ""), """")"),"")</f>
        <v/>
      </c>
      <c r="L7755" s="12"/>
      <c r="M7755" s="13"/>
      <c r="N7755" s="2"/>
      <c r="O7755" s="20"/>
      <c r="P7755" s="42"/>
      <c r="R7755" s="23"/>
    </row>
    <row r="7756" spans="1:18" ht="12.75">
      <c r="A7756" s="12"/>
      <c r="D7756" s="12"/>
      <c r="E7756" s="12"/>
      <c r="H7756" s="11" t="str">
        <f ca="1">IFERROR(__xludf.DUMMYFUNCTION("IFERROR(SUBSTITUTE(SUBSTITUTE(REGEXEXTRACT(A7756, ""[^-]+- [^-]+- [^-]+ - (.+?)\.jpg""), "".jpg"", """"), ""-"", "", ""), """")"),"")</f>
        <v/>
      </c>
      <c r="L7756" s="12"/>
      <c r="M7756" s="13"/>
      <c r="N7756" s="2"/>
      <c r="O7756" s="20"/>
      <c r="P7756" s="42"/>
      <c r="R7756" s="23"/>
    </row>
    <row r="7757" spans="1:18" ht="12.75">
      <c r="A7757" s="12"/>
      <c r="D7757" s="12"/>
      <c r="E7757" s="12"/>
      <c r="H7757" s="11" t="str">
        <f ca="1">IFERROR(__xludf.DUMMYFUNCTION("IFERROR(SUBSTITUTE(SUBSTITUTE(REGEXEXTRACT(A7757, ""[^-]+- [^-]+- [^-]+ - (.+?)\.jpg""), "".jpg"", """"), ""-"", "", ""), """")"),"")</f>
        <v/>
      </c>
      <c r="L7757" s="12"/>
      <c r="M7757" s="13"/>
      <c r="N7757" s="2"/>
      <c r="O7757" s="20"/>
      <c r="P7757" s="42"/>
      <c r="R7757" s="23"/>
    </row>
    <row r="7758" spans="1:18" ht="12.75">
      <c r="A7758" s="12"/>
      <c r="D7758" s="12"/>
      <c r="E7758" s="12"/>
      <c r="H7758" s="11" t="str">
        <f ca="1">IFERROR(__xludf.DUMMYFUNCTION("IFERROR(SUBSTITUTE(SUBSTITUTE(REGEXEXTRACT(A7758, ""[^-]+- [^-]+- [^-]+ - (.+?)\.jpg""), "".jpg"", """"), ""-"", "", ""), """")"),"")</f>
        <v/>
      </c>
      <c r="L7758" s="12"/>
      <c r="M7758" s="13"/>
      <c r="N7758" s="2"/>
      <c r="O7758" s="20"/>
      <c r="P7758" s="42"/>
      <c r="R7758" s="23"/>
    </row>
    <row r="7759" spans="1:18" ht="12.75">
      <c r="A7759" s="12"/>
      <c r="D7759" s="12"/>
      <c r="E7759" s="12"/>
      <c r="H7759" s="11" t="str">
        <f ca="1">IFERROR(__xludf.DUMMYFUNCTION("IFERROR(SUBSTITUTE(SUBSTITUTE(REGEXEXTRACT(A7759, ""[^-]+- [^-]+- [^-]+ - (.+?)\.jpg""), "".jpg"", """"), ""-"", "", ""), """")"),"")</f>
        <v/>
      </c>
      <c r="L7759" s="12"/>
      <c r="M7759" s="13"/>
      <c r="N7759" s="2"/>
      <c r="O7759" s="20"/>
      <c r="P7759" s="42"/>
      <c r="R7759" s="23"/>
    </row>
    <row r="7760" spans="1:18" ht="12.75">
      <c r="A7760" s="12"/>
      <c r="D7760" s="12"/>
      <c r="E7760" s="12"/>
      <c r="H7760" s="11" t="str">
        <f ca="1">IFERROR(__xludf.DUMMYFUNCTION("IFERROR(SUBSTITUTE(SUBSTITUTE(REGEXEXTRACT(A7760, ""[^-]+- [^-]+- [^-]+ - (.+?)\.jpg""), "".jpg"", """"), ""-"", "", ""), """")"),"")</f>
        <v/>
      </c>
      <c r="L7760" s="12"/>
      <c r="M7760" s="13"/>
      <c r="N7760" s="2"/>
      <c r="O7760" s="20"/>
      <c r="P7760" s="42"/>
      <c r="R7760" s="23"/>
    </row>
    <row r="7761" spans="1:18" ht="12.75">
      <c r="A7761" s="12"/>
      <c r="D7761" s="12"/>
      <c r="E7761" s="12"/>
      <c r="H7761" s="11" t="str">
        <f ca="1">IFERROR(__xludf.DUMMYFUNCTION("IFERROR(SUBSTITUTE(SUBSTITUTE(REGEXEXTRACT(A7761, ""[^-]+- [^-]+- [^-]+ - (.+?)\.jpg""), "".jpg"", """"), ""-"", "", ""), """")"),"")</f>
        <v/>
      </c>
      <c r="L7761" s="12"/>
      <c r="M7761" s="13"/>
      <c r="N7761" s="2"/>
      <c r="O7761" s="20"/>
      <c r="P7761" s="42"/>
      <c r="R7761" s="23"/>
    </row>
    <row r="7762" spans="1:18" ht="12.75">
      <c r="A7762" s="12"/>
      <c r="D7762" s="12"/>
      <c r="E7762" s="12"/>
      <c r="H7762" s="11" t="str">
        <f ca="1">IFERROR(__xludf.DUMMYFUNCTION("IFERROR(SUBSTITUTE(SUBSTITUTE(REGEXEXTRACT(A7762, ""[^-]+- [^-]+- [^-]+ - (.+?)\.jpg""), "".jpg"", """"), ""-"", "", ""), """")"),"")</f>
        <v/>
      </c>
      <c r="L7762" s="12"/>
      <c r="M7762" s="13"/>
      <c r="N7762" s="2"/>
      <c r="O7762" s="20"/>
      <c r="P7762" s="42"/>
      <c r="R7762" s="23"/>
    </row>
    <row r="7763" spans="1:18" ht="12.75">
      <c r="A7763" s="12"/>
      <c r="D7763" s="12"/>
      <c r="E7763" s="12"/>
      <c r="H7763" s="11" t="str">
        <f ca="1">IFERROR(__xludf.DUMMYFUNCTION("IFERROR(SUBSTITUTE(SUBSTITUTE(REGEXEXTRACT(A7763, ""[^-]+- [^-]+- [^-]+ - (.+?)\.jpg""), "".jpg"", """"), ""-"", "", ""), """")"),"")</f>
        <v/>
      </c>
      <c r="L7763" s="12"/>
      <c r="M7763" s="13"/>
      <c r="N7763" s="2"/>
      <c r="O7763" s="20"/>
      <c r="P7763" s="42"/>
      <c r="R7763" s="23"/>
    </row>
    <row r="7764" spans="1:18" ht="12.75">
      <c r="A7764" s="12"/>
      <c r="D7764" s="12"/>
      <c r="E7764" s="12"/>
      <c r="H7764" s="11" t="str">
        <f ca="1">IFERROR(__xludf.DUMMYFUNCTION("IFERROR(SUBSTITUTE(SUBSTITUTE(REGEXEXTRACT(A7764, ""[^-]+- [^-]+- [^-]+ - (.+?)\.jpg""), "".jpg"", """"), ""-"", "", ""), """")"),"")</f>
        <v/>
      </c>
      <c r="L7764" s="12"/>
      <c r="M7764" s="13"/>
      <c r="N7764" s="2"/>
      <c r="O7764" s="20"/>
      <c r="P7764" s="42"/>
      <c r="R7764" s="23"/>
    </row>
    <row r="7765" spans="1:18" ht="12.75">
      <c r="A7765" s="12"/>
      <c r="D7765" s="12"/>
      <c r="E7765" s="12"/>
      <c r="H7765" s="11" t="str">
        <f ca="1">IFERROR(__xludf.DUMMYFUNCTION("IFERROR(SUBSTITUTE(SUBSTITUTE(REGEXEXTRACT(A7765, ""[^-]+- [^-]+- [^-]+ - (.+?)\.jpg""), "".jpg"", """"), ""-"", "", ""), """")"),"")</f>
        <v/>
      </c>
      <c r="L7765" s="12"/>
      <c r="M7765" s="13"/>
      <c r="N7765" s="2"/>
      <c r="O7765" s="20"/>
      <c r="P7765" s="42"/>
      <c r="R7765" s="23"/>
    </row>
    <row r="7766" spans="1:18" ht="12.75">
      <c r="A7766" s="12"/>
      <c r="D7766" s="12"/>
      <c r="E7766" s="12"/>
      <c r="H7766" s="11" t="str">
        <f ca="1">IFERROR(__xludf.DUMMYFUNCTION("IFERROR(SUBSTITUTE(SUBSTITUTE(REGEXEXTRACT(A7766, ""[^-]+- [^-]+- [^-]+ - (.+?)\.jpg""), "".jpg"", """"), ""-"", "", ""), """")"),"")</f>
        <v/>
      </c>
      <c r="L7766" s="12"/>
      <c r="M7766" s="13"/>
      <c r="N7766" s="2"/>
      <c r="O7766" s="20"/>
      <c r="P7766" s="42"/>
      <c r="R7766" s="23"/>
    </row>
    <row r="7767" spans="1:18" ht="12.75">
      <c r="A7767" s="12"/>
      <c r="D7767" s="12"/>
      <c r="E7767" s="12"/>
      <c r="H7767" s="11" t="str">
        <f ca="1">IFERROR(__xludf.DUMMYFUNCTION("IFERROR(SUBSTITUTE(SUBSTITUTE(REGEXEXTRACT(A7767, ""[^-]+- [^-]+- [^-]+ - (.+?)\.jpg""), "".jpg"", """"), ""-"", "", ""), """")"),"")</f>
        <v/>
      </c>
      <c r="L7767" s="12"/>
      <c r="M7767" s="13"/>
      <c r="N7767" s="2"/>
      <c r="O7767" s="20"/>
      <c r="P7767" s="42"/>
      <c r="R7767" s="23"/>
    </row>
    <row r="7768" spans="1:18" ht="12.75">
      <c r="A7768" s="12"/>
      <c r="D7768" s="12"/>
      <c r="E7768" s="12"/>
      <c r="H7768" s="11" t="str">
        <f ca="1">IFERROR(__xludf.DUMMYFUNCTION("IFERROR(SUBSTITUTE(SUBSTITUTE(REGEXEXTRACT(A7768, ""[^-]+- [^-]+- [^-]+ - (.+?)\.jpg""), "".jpg"", """"), ""-"", "", ""), """")"),"")</f>
        <v/>
      </c>
      <c r="L7768" s="12"/>
      <c r="M7768" s="13"/>
      <c r="N7768" s="2"/>
      <c r="O7768" s="20"/>
      <c r="P7768" s="42"/>
      <c r="R7768" s="23"/>
    </row>
    <row r="7769" spans="1:18" ht="12.75">
      <c r="A7769" s="12"/>
      <c r="D7769" s="12"/>
      <c r="E7769" s="12"/>
      <c r="H7769" s="11" t="str">
        <f ca="1">IFERROR(__xludf.DUMMYFUNCTION("IFERROR(SUBSTITUTE(SUBSTITUTE(REGEXEXTRACT(A7769, ""[^-]+- [^-]+- [^-]+ - (.+?)\.jpg""), "".jpg"", """"), ""-"", "", ""), """")"),"")</f>
        <v/>
      </c>
      <c r="L7769" s="12"/>
      <c r="M7769" s="13"/>
      <c r="N7769" s="2"/>
      <c r="O7769" s="20"/>
      <c r="P7769" s="42"/>
      <c r="R7769" s="23"/>
    </row>
    <row r="7770" spans="1:18" ht="12.75">
      <c r="A7770" s="12"/>
      <c r="D7770" s="12"/>
      <c r="E7770" s="12"/>
      <c r="H7770" s="11" t="str">
        <f ca="1">IFERROR(__xludf.DUMMYFUNCTION("IFERROR(SUBSTITUTE(SUBSTITUTE(REGEXEXTRACT(A7770, ""[^-]+- [^-]+- [^-]+ - (.+?)\.jpg""), "".jpg"", """"), ""-"", "", ""), """")"),"")</f>
        <v/>
      </c>
      <c r="L7770" s="12"/>
      <c r="M7770" s="13"/>
      <c r="N7770" s="2"/>
      <c r="O7770" s="20"/>
      <c r="P7770" s="42"/>
      <c r="R7770" s="23"/>
    </row>
    <row r="7771" spans="1:18" ht="12.75">
      <c r="A7771" s="12"/>
      <c r="D7771" s="12"/>
      <c r="E7771" s="12"/>
      <c r="H7771" s="11" t="str">
        <f ca="1">IFERROR(__xludf.DUMMYFUNCTION("IFERROR(SUBSTITUTE(SUBSTITUTE(REGEXEXTRACT(A7771, ""[^-]+- [^-]+- [^-]+ - (.+?)\.jpg""), "".jpg"", """"), ""-"", "", ""), """")"),"")</f>
        <v/>
      </c>
      <c r="L7771" s="12"/>
      <c r="M7771" s="13"/>
      <c r="N7771" s="2"/>
      <c r="O7771" s="20"/>
      <c r="P7771" s="42"/>
      <c r="R7771" s="23"/>
    </row>
    <row r="7772" spans="1:18" ht="12.75">
      <c r="A7772" s="12"/>
      <c r="D7772" s="12"/>
      <c r="E7772" s="12"/>
      <c r="H7772" s="11" t="str">
        <f ca="1">IFERROR(__xludf.DUMMYFUNCTION("IFERROR(SUBSTITUTE(SUBSTITUTE(REGEXEXTRACT(A7772, ""[^-]+- [^-]+- [^-]+ - (.+?)\.jpg""), "".jpg"", """"), ""-"", "", ""), """")"),"")</f>
        <v/>
      </c>
      <c r="L7772" s="12"/>
      <c r="M7772" s="13"/>
      <c r="N7772" s="2"/>
      <c r="O7772" s="20"/>
      <c r="P7772" s="42"/>
      <c r="R7772" s="23"/>
    </row>
    <row r="7773" spans="1:18" ht="12.75">
      <c r="A7773" s="12"/>
      <c r="D7773" s="12"/>
      <c r="E7773" s="12"/>
      <c r="H7773" s="11" t="str">
        <f ca="1">IFERROR(__xludf.DUMMYFUNCTION("IFERROR(SUBSTITUTE(SUBSTITUTE(REGEXEXTRACT(A7773, ""[^-]+- [^-]+- [^-]+ - (.+?)\.jpg""), "".jpg"", """"), ""-"", "", ""), """")"),"")</f>
        <v/>
      </c>
      <c r="L7773" s="12"/>
      <c r="M7773" s="13"/>
      <c r="N7773" s="2"/>
      <c r="O7773" s="20"/>
      <c r="P7773" s="42"/>
      <c r="R7773" s="23"/>
    </row>
    <row r="7774" spans="1:18" ht="12.75">
      <c r="A7774" s="12"/>
      <c r="D7774" s="12"/>
      <c r="E7774" s="12"/>
      <c r="H7774" s="11" t="str">
        <f ca="1">IFERROR(__xludf.DUMMYFUNCTION("IFERROR(SUBSTITUTE(SUBSTITUTE(REGEXEXTRACT(A7774, ""[^-]+- [^-]+- [^-]+ - (.+?)\.jpg""), "".jpg"", """"), ""-"", "", ""), """")"),"")</f>
        <v/>
      </c>
      <c r="L7774" s="12"/>
      <c r="M7774" s="13"/>
      <c r="N7774" s="2"/>
      <c r="O7774" s="20"/>
      <c r="P7774" s="42"/>
      <c r="R7774" s="23"/>
    </row>
    <row r="7775" spans="1:18" ht="12.75">
      <c r="A7775" s="12"/>
      <c r="D7775" s="12"/>
      <c r="E7775" s="12"/>
      <c r="H7775" s="11" t="str">
        <f ca="1">IFERROR(__xludf.DUMMYFUNCTION("IFERROR(SUBSTITUTE(SUBSTITUTE(REGEXEXTRACT(A7775, ""[^-]+- [^-]+- [^-]+ - (.+?)\.jpg""), "".jpg"", """"), ""-"", "", ""), """")"),"")</f>
        <v/>
      </c>
      <c r="L7775" s="12"/>
      <c r="M7775" s="13"/>
      <c r="N7775" s="2"/>
      <c r="O7775" s="20"/>
      <c r="P7775" s="42"/>
      <c r="R7775" s="23"/>
    </row>
    <row r="7776" spans="1:18" ht="12.75">
      <c r="A7776" s="12"/>
      <c r="D7776" s="12"/>
      <c r="E7776" s="12"/>
      <c r="H7776" s="11" t="str">
        <f ca="1">IFERROR(__xludf.DUMMYFUNCTION("IFERROR(SUBSTITUTE(SUBSTITUTE(REGEXEXTRACT(A7776, ""[^-]+- [^-]+- [^-]+ - (.+?)\.jpg""), "".jpg"", """"), ""-"", "", ""), """")"),"")</f>
        <v/>
      </c>
      <c r="L7776" s="12"/>
      <c r="M7776" s="13"/>
      <c r="N7776" s="2"/>
      <c r="O7776" s="20"/>
      <c r="P7776" s="42"/>
      <c r="R7776" s="23"/>
    </row>
    <row r="7777" spans="1:18" ht="12.75">
      <c r="A7777" s="12"/>
      <c r="D7777" s="12"/>
      <c r="E7777" s="12"/>
      <c r="H7777" s="11" t="str">
        <f ca="1">IFERROR(__xludf.DUMMYFUNCTION("IFERROR(SUBSTITUTE(SUBSTITUTE(REGEXEXTRACT(A7777, ""[^-]+- [^-]+- [^-]+ - (.+?)\.jpg""), "".jpg"", """"), ""-"", "", ""), """")"),"")</f>
        <v/>
      </c>
      <c r="L7777" s="12"/>
      <c r="M7777" s="13"/>
      <c r="N7777" s="2"/>
      <c r="O7777" s="20"/>
      <c r="P7777" s="42"/>
      <c r="R7777" s="23"/>
    </row>
    <row r="7778" spans="1:18" ht="12.75">
      <c r="A7778" s="12"/>
      <c r="D7778" s="12"/>
      <c r="E7778" s="12"/>
      <c r="H7778" s="11" t="str">
        <f ca="1">IFERROR(__xludf.DUMMYFUNCTION("IFERROR(SUBSTITUTE(SUBSTITUTE(REGEXEXTRACT(A7778, ""[^-]+- [^-]+- [^-]+ - (.+?)\.jpg""), "".jpg"", """"), ""-"", "", ""), """")"),"")</f>
        <v/>
      </c>
      <c r="L7778" s="12"/>
      <c r="M7778" s="13"/>
      <c r="N7778" s="2"/>
      <c r="O7778" s="20"/>
      <c r="P7778" s="42"/>
      <c r="R7778" s="23"/>
    </row>
    <row r="7779" spans="1:18" ht="12.75">
      <c r="A7779" s="12"/>
      <c r="D7779" s="12"/>
      <c r="E7779" s="12"/>
      <c r="H7779" s="11" t="str">
        <f ca="1">IFERROR(__xludf.DUMMYFUNCTION("IFERROR(SUBSTITUTE(SUBSTITUTE(REGEXEXTRACT(A7779, ""[^-]+- [^-]+- [^-]+ - (.+?)\.jpg""), "".jpg"", """"), ""-"", "", ""), """")"),"")</f>
        <v/>
      </c>
      <c r="L7779" s="12"/>
      <c r="M7779" s="13"/>
      <c r="N7779" s="2"/>
      <c r="O7779" s="20"/>
      <c r="P7779" s="42"/>
      <c r="R7779" s="23"/>
    </row>
    <row r="7780" spans="1:18" ht="12.75">
      <c r="A7780" s="12"/>
      <c r="D7780" s="12"/>
      <c r="E7780" s="12"/>
      <c r="H7780" s="11" t="str">
        <f ca="1">IFERROR(__xludf.DUMMYFUNCTION("IFERROR(SUBSTITUTE(SUBSTITUTE(REGEXEXTRACT(A7780, ""[^-]+- [^-]+- [^-]+ - (.+?)\.jpg""), "".jpg"", """"), ""-"", "", ""), """")"),"")</f>
        <v/>
      </c>
      <c r="L7780" s="12"/>
      <c r="M7780" s="13"/>
      <c r="N7780" s="2"/>
      <c r="O7780" s="20"/>
      <c r="P7780" s="42"/>
      <c r="R7780" s="23"/>
    </row>
    <row r="7781" spans="1:18" ht="12.75">
      <c r="A7781" s="12"/>
      <c r="D7781" s="12"/>
      <c r="E7781" s="12"/>
      <c r="H7781" s="11" t="str">
        <f ca="1">IFERROR(__xludf.DUMMYFUNCTION("IFERROR(SUBSTITUTE(SUBSTITUTE(REGEXEXTRACT(A7781, ""[^-]+- [^-]+- [^-]+ - (.+?)\.jpg""), "".jpg"", """"), ""-"", "", ""), """")"),"")</f>
        <v/>
      </c>
      <c r="L7781" s="12"/>
      <c r="M7781" s="13"/>
      <c r="N7781" s="2"/>
      <c r="O7781" s="20"/>
      <c r="P7781" s="42"/>
      <c r="R7781" s="23"/>
    </row>
    <row r="7782" spans="1:18" ht="12.75">
      <c r="A7782" s="12"/>
      <c r="D7782" s="12"/>
      <c r="E7782" s="12"/>
      <c r="H7782" s="11" t="str">
        <f ca="1">IFERROR(__xludf.DUMMYFUNCTION("IFERROR(SUBSTITUTE(SUBSTITUTE(REGEXEXTRACT(A7782, ""[^-]+- [^-]+- [^-]+ - (.+?)\.jpg""), "".jpg"", """"), ""-"", "", ""), """")"),"")</f>
        <v/>
      </c>
      <c r="L7782" s="12"/>
      <c r="M7782" s="13"/>
      <c r="N7782" s="2"/>
      <c r="O7782" s="20"/>
      <c r="P7782" s="42"/>
      <c r="R7782" s="23"/>
    </row>
    <row r="7783" spans="1:18" ht="12.75">
      <c r="A7783" s="12"/>
      <c r="D7783" s="12"/>
      <c r="E7783" s="12"/>
      <c r="H7783" s="11" t="str">
        <f ca="1">IFERROR(__xludf.DUMMYFUNCTION("IFERROR(SUBSTITUTE(SUBSTITUTE(REGEXEXTRACT(A7783, ""[^-]+- [^-]+- [^-]+ - (.+?)\.jpg""), "".jpg"", """"), ""-"", "", ""), """")"),"")</f>
        <v/>
      </c>
      <c r="L7783" s="12"/>
      <c r="M7783" s="13"/>
      <c r="N7783" s="2"/>
      <c r="O7783" s="20"/>
      <c r="P7783" s="42"/>
      <c r="R7783" s="23"/>
    </row>
    <row r="7784" spans="1:18" ht="12.75">
      <c r="A7784" s="12"/>
      <c r="D7784" s="12"/>
      <c r="E7784" s="12"/>
      <c r="H7784" s="11" t="str">
        <f ca="1">IFERROR(__xludf.DUMMYFUNCTION("IFERROR(SUBSTITUTE(SUBSTITUTE(REGEXEXTRACT(A7784, ""[^-]+- [^-]+- [^-]+ - (.+?)\.jpg""), "".jpg"", """"), ""-"", "", ""), """")"),"")</f>
        <v/>
      </c>
      <c r="L7784" s="12"/>
      <c r="M7784" s="13"/>
      <c r="N7784" s="2"/>
      <c r="O7784" s="20"/>
      <c r="P7784" s="42"/>
      <c r="R7784" s="23"/>
    </row>
    <row r="7785" spans="1:18" ht="12.75">
      <c r="A7785" s="12"/>
      <c r="D7785" s="12"/>
      <c r="E7785" s="12"/>
      <c r="H7785" s="11" t="str">
        <f ca="1">IFERROR(__xludf.DUMMYFUNCTION("IFERROR(SUBSTITUTE(SUBSTITUTE(REGEXEXTRACT(A7785, ""[^-]+- [^-]+- [^-]+ - (.+?)\.jpg""), "".jpg"", """"), ""-"", "", ""), """")"),"")</f>
        <v/>
      </c>
      <c r="L7785" s="12"/>
      <c r="M7785" s="13"/>
      <c r="N7785" s="2"/>
      <c r="O7785" s="20"/>
      <c r="P7785" s="42"/>
      <c r="R7785" s="23"/>
    </row>
    <row r="7786" spans="1:18" ht="12.75">
      <c r="A7786" s="12"/>
      <c r="D7786" s="12"/>
      <c r="E7786" s="12"/>
      <c r="H7786" s="11" t="str">
        <f ca="1">IFERROR(__xludf.DUMMYFUNCTION("IFERROR(SUBSTITUTE(SUBSTITUTE(REGEXEXTRACT(A7786, ""[^-]+- [^-]+- [^-]+ - (.+?)\.jpg""), "".jpg"", """"), ""-"", "", ""), """")"),"")</f>
        <v/>
      </c>
      <c r="L7786" s="12"/>
      <c r="M7786" s="13"/>
      <c r="N7786" s="2"/>
      <c r="O7786" s="20"/>
      <c r="P7786" s="42"/>
      <c r="R7786" s="23"/>
    </row>
    <row r="7787" spans="1:18" ht="12.75">
      <c r="A7787" s="12"/>
      <c r="D7787" s="12"/>
      <c r="E7787" s="12"/>
      <c r="H7787" s="11" t="str">
        <f ca="1">IFERROR(__xludf.DUMMYFUNCTION("IFERROR(SUBSTITUTE(SUBSTITUTE(REGEXEXTRACT(A7787, ""[^-]+- [^-]+- [^-]+ - (.+?)\.jpg""), "".jpg"", """"), ""-"", "", ""), """")"),"")</f>
        <v/>
      </c>
      <c r="L7787" s="12"/>
      <c r="M7787" s="13"/>
      <c r="N7787" s="2"/>
      <c r="O7787" s="20"/>
      <c r="P7787" s="42"/>
      <c r="R7787" s="23"/>
    </row>
    <row r="7788" spans="1:18" ht="12.75">
      <c r="A7788" s="12"/>
      <c r="D7788" s="12"/>
      <c r="E7788" s="12"/>
      <c r="H7788" s="11" t="str">
        <f ca="1">IFERROR(__xludf.DUMMYFUNCTION("IFERROR(SUBSTITUTE(SUBSTITUTE(REGEXEXTRACT(A7788, ""[^-]+- [^-]+- [^-]+ - (.+?)\.jpg""), "".jpg"", """"), ""-"", "", ""), """")"),"")</f>
        <v/>
      </c>
      <c r="L7788" s="12"/>
      <c r="M7788" s="13"/>
      <c r="N7788" s="2"/>
      <c r="O7788" s="20"/>
      <c r="P7788" s="42"/>
      <c r="R7788" s="23"/>
    </row>
    <row r="7789" spans="1:18" ht="12.75">
      <c r="A7789" s="12"/>
      <c r="D7789" s="12"/>
      <c r="E7789" s="12"/>
      <c r="H7789" s="11" t="str">
        <f ca="1">IFERROR(__xludf.DUMMYFUNCTION("IFERROR(SUBSTITUTE(SUBSTITUTE(REGEXEXTRACT(A7789, ""[^-]+- [^-]+- [^-]+ - (.+?)\.jpg""), "".jpg"", """"), ""-"", "", ""), """")"),"")</f>
        <v/>
      </c>
      <c r="L7789" s="12"/>
      <c r="M7789" s="13"/>
      <c r="N7789" s="2"/>
      <c r="O7789" s="20"/>
      <c r="P7789" s="42"/>
      <c r="R7789" s="23"/>
    </row>
    <row r="7790" spans="1:18" ht="12.75">
      <c r="A7790" s="12"/>
      <c r="D7790" s="12"/>
      <c r="E7790" s="12"/>
      <c r="H7790" s="11" t="str">
        <f ca="1">IFERROR(__xludf.DUMMYFUNCTION("IFERROR(SUBSTITUTE(SUBSTITUTE(REGEXEXTRACT(A7790, ""[^-]+- [^-]+- [^-]+ - (.+?)\.jpg""), "".jpg"", """"), ""-"", "", ""), """")"),"")</f>
        <v/>
      </c>
      <c r="L7790" s="12"/>
      <c r="M7790" s="13"/>
      <c r="N7790" s="2"/>
      <c r="O7790" s="20"/>
      <c r="P7790" s="42"/>
      <c r="R7790" s="23"/>
    </row>
    <row r="7791" spans="1:18" ht="12.75">
      <c r="A7791" s="12"/>
      <c r="D7791" s="12"/>
      <c r="E7791" s="12"/>
      <c r="H7791" s="11" t="str">
        <f ca="1">IFERROR(__xludf.DUMMYFUNCTION("IFERROR(SUBSTITUTE(SUBSTITUTE(REGEXEXTRACT(A7791, ""[^-]+- [^-]+- [^-]+ - (.+?)\.jpg""), "".jpg"", """"), ""-"", "", ""), """")"),"")</f>
        <v/>
      </c>
      <c r="L7791" s="12"/>
      <c r="M7791" s="13"/>
      <c r="N7791" s="2"/>
      <c r="O7791" s="20"/>
      <c r="P7791" s="42"/>
      <c r="R7791" s="23"/>
    </row>
    <row r="7792" spans="1:18" ht="12.75">
      <c r="A7792" s="12"/>
      <c r="D7792" s="12"/>
      <c r="E7792" s="12"/>
      <c r="H7792" s="11" t="str">
        <f ca="1">IFERROR(__xludf.DUMMYFUNCTION("IFERROR(SUBSTITUTE(SUBSTITUTE(REGEXEXTRACT(A7792, ""[^-]+- [^-]+- [^-]+ - (.+?)\.jpg""), "".jpg"", """"), ""-"", "", ""), """")"),"")</f>
        <v/>
      </c>
      <c r="L7792" s="12"/>
      <c r="M7792" s="13"/>
      <c r="N7792" s="2"/>
      <c r="O7792" s="20"/>
      <c r="P7792" s="42"/>
      <c r="R7792" s="23"/>
    </row>
    <row r="7793" spans="1:18" ht="12.75">
      <c r="A7793" s="12"/>
      <c r="D7793" s="12"/>
      <c r="E7793" s="12"/>
      <c r="H7793" s="11" t="str">
        <f ca="1">IFERROR(__xludf.DUMMYFUNCTION("IFERROR(SUBSTITUTE(SUBSTITUTE(REGEXEXTRACT(A7793, ""[^-]+- [^-]+- [^-]+ - (.+?)\.jpg""), "".jpg"", """"), ""-"", "", ""), """")"),"")</f>
        <v/>
      </c>
      <c r="L7793" s="12"/>
      <c r="M7793" s="13"/>
      <c r="N7793" s="2"/>
      <c r="O7793" s="20"/>
      <c r="P7793" s="42"/>
      <c r="R7793" s="23"/>
    </row>
    <row r="7794" spans="1:18" ht="12.75">
      <c r="A7794" s="12"/>
      <c r="D7794" s="12"/>
      <c r="E7794" s="12"/>
      <c r="H7794" s="11" t="str">
        <f ca="1">IFERROR(__xludf.DUMMYFUNCTION("IFERROR(SUBSTITUTE(SUBSTITUTE(REGEXEXTRACT(A7794, ""[^-]+- [^-]+- [^-]+ - (.+?)\.jpg""), "".jpg"", """"), ""-"", "", ""), """")"),"")</f>
        <v/>
      </c>
      <c r="L7794" s="12"/>
      <c r="M7794" s="13"/>
      <c r="N7794" s="2"/>
      <c r="O7794" s="20"/>
      <c r="P7794" s="42"/>
      <c r="R7794" s="23"/>
    </row>
    <row r="7795" spans="1:18" ht="12.75">
      <c r="A7795" s="12"/>
      <c r="D7795" s="12"/>
      <c r="E7795" s="12"/>
      <c r="H7795" s="11" t="str">
        <f ca="1">IFERROR(__xludf.DUMMYFUNCTION("IFERROR(SUBSTITUTE(SUBSTITUTE(REGEXEXTRACT(A7795, ""[^-]+- [^-]+- [^-]+ - (.+?)\.jpg""), "".jpg"", """"), ""-"", "", ""), """")"),"")</f>
        <v/>
      </c>
      <c r="L7795" s="12"/>
      <c r="M7795" s="13"/>
      <c r="N7795" s="2"/>
      <c r="O7795" s="20"/>
      <c r="P7795" s="42"/>
      <c r="R7795" s="23"/>
    </row>
    <row r="7796" spans="1:18" ht="12.75">
      <c r="A7796" s="12"/>
      <c r="D7796" s="12"/>
      <c r="E7796" s="12"/>
      <c r="H7796" s="11" t="str">
        <f ca="1">IFERROR(__xludf.DUMMYFUNCTION("IFERROR(SUBSTITUTE(SUBSTITUTE(REGEXEXTRACT(A7796, ""[^-]+- [^-]+- [^-]+ - (.+?)\.jpg""), "".jpg"", """"), ""-"", "", ""), """")"),"")</f>
        <v/>
      </c>
      <c r="L7796" s="12"/>
      <c r="M7796" s="13"/>
      <c r="N7796" s="2"/>
      <c r="O7796" s="20"/>
      <c r="P7796" s="42"/>
      <c r="R7796" s="23"/>
    </row>
    <row r="7797" spans="1:18" ht="12.75">
      <c r="A7797" s="12"/>
      <c r="D7797" s="12"/>
      <c r="E7797" s="12"/>
      <c r="H7797" s="11" t="str">
        <f ca="1">IFERROR(__xludf.DUMMYFUNCTION("IFERROR(SUBSTITUTE(SUBSTITUTE(REGEXEXTRACT(A7797, ""[^-]+- [^-]+- [^-]+ - (.+?)\.jpg""), "".jpg"", """"), ""-"", "", ""), """")"),"")</f>
        <v/>
      </c>
      <c r="L7797" s="12"/>
      <c r="M7797" s="13"/>
      <c r="N7797" s="2"/>
      <c r="O7797" s="20"/>
      <c r="P7797" s="42"/>
      <c r="R7797" s="23"/>
    </row>
    <row r="7798" spans="1:18" ht="12.75">
      <c r="A7798" s="12"/>
      <c r="D7798" s="12"/>
      <c r="E7798" s="12"/>
      <c r="H7798" s="11" t="str">
        <f ca="1">IFERROR(__xludf.DUMMYFUNCTION("IFERROR(SUBSTITUTE(SUBSTITUTE(REGEXEXTRACT(A7798, ""[^-]+- [^-]+- [^-]+ - (.+?)\.jpg""), "".jpg"", """"), ""-"", "", ""), """")"),"")</f>
        <v/>
      </c>
      <c r="L7798" s="12"/>
      <c r="M7798" s="13"/>
      <c r="N7798" s="2"/>
      <c r="O7798" s="20"/>
      <c r="P7798" s="42"/>
      <c r="R7798" s="23"/>
    </row>
    <row r="7799" spans="1:18" ht="12.75">
      <c r="A7799" s="12"/>
      <c r="D7799" s="12"/>
      <c r="E7799" s="12"/>
      <c r="H7799" s="11" t="str">
        <f ca="1">IFERROR(__xludf.DUMMYFUNCTION("IFERROR(SUBSTITUTE(SUBSTITUTE(REGEXEXTRACT(A7799, ""[^-]+- [^-]+- [^-]+ - (.+?)\.jpg""), "".jpg"", """"), ""-"", "", ""), """")"),"")</f>
        <v/>
      </c>
      <c r="L7799" s="12"/>
      <c r="M7799" s="13"/>
      <c r="N7799" s="2"/>
      <c r="O7799" s="20"/>
      <c r="P7799" s="42"/>
      <c r="R7799" s="23"/>
    </row>
    <row r="7800" spans="1:18" ht="12.75">
      <c r="A7800" s="12"/>
      <c r="D7800" s="12"/>
      <c r="E7800" s="12"/>
      <c r="H7800" s="11" t="str">
        <f ca="1">IFERROR(__xludf.DUMMYFUNCTION("IFERROR(SUBSTITUTE(SUBSTITUTE(REGEXEXTRACT(A7800, ""[^-]+- [^-]+- [^-]+ - (.+?)\.jpg""), "".jpg"", """"), ""-"", "", ""), """")"),"")</f>
        <v/>
      </c>
      <c r="L7800" s="12"/>
      <c r="M7800" s="13"/>
      <c r="N7800" s="2"/>
      <c r="O7800" s="20"/>
      <c r="P7800" s="42"/>
      <c r="R7800" s="23"/>
    </row>
    <row r="7801" spans="1:18" ht="12.75">
      <c r="A7801" s="12"/>
      <c r="D7801" s="12"/>
      <c r="E7801" s="12"/>
      <c r="H7801" s="11" t="str">
        <f ca="1">IFERROR(__xludf.DUMMYFUNCTION("IFERROR(SUBSTITUTE(SUBSTITUTE(REGEXEXTRACT(A7801, ""[^-]+- [^-]+- [^-]+ - (.+?)\.jpg""), "".jpg"", """"), ""-"", "", ""), """")"),"")</f>
        <v/>
      </c>
      <c r="L7801" s="12"/>
      <c r="M7801" s="13"/>
      <c r="N7801" s="2"/>
      <c r="O7801" s="20"/>
      <c r="P7801" s="42"/>
      <c r="R7801" s="23"/>
    </row>
    <row r="7802" spans="1:18" ht="12.75">
      <c r="A7802" s="12"/>
      <c r="D7802" s="12"/>
      <c r="E7802" s="12"/>
      <c r="H7802" s="11" t="str">
        <f ca="1">IFERROR(__xludf.DUMMYFUNCTION("IFERROR(SUBSTITUTE(SUBSTITUTE(REGEXEXTRACT(A7802, ""[^-]+- [^-]+- [^-]+ - (.+?)\.jpg""), "".jpg"", """"), ""-"", "", ""), """")"),"")</f>
        <v/>
      </c>
      <c r="L7802" s="12"/>
      <c r="M7802" s="13"/>
      <c r="N7802" s="2"/>
      <c r="O7802" s="20"/>
      <c r="P7802" s="42"/>
      <c r="R7802" s="23"/>
    </row>
    <row r="7803" spans="1:18" ht="12.75">
      <c r="A7803" s="12"/>
      <c r="D7803" s="12"/>
      <c r="E7803" s="12"/>
      <c r="H7803" s="11" t="str">
        <f ca="1">IFERROR(__xludf.DUMMYFUNCTION("IFERROR(SUBSTITUTE(SUBSTITUTE(REGEXEXTRACT(A7803, ""[^-]+- [^-]+- [^-]+ - (.+?)\.jpg""), "".jpg"", """"), ""-"", "", ""), """")"),"")</f>
        <v/>
      </c>
      <c r="L7803" s="12"/>
      <c r="M7803" s="13"/>
      <c r="N7803" s="2"/>
      <c r="O7803" s="20"/>
      <c r="P7803" s="42"/>
      <c r="R7803" s="23"/>
    </row>
    <row r="7804" spans="1:18" ht="12.75">
      <c r="A7804" s="12"/>
      <c r="D7804" s="12"/>
      <c r="E7804" s="12"/>
      <c r="H7804" s="11" t="str">
        <f ca="1">IFERROR(__xludf.DUMMYFUNCTION("IFERROR(SUBSTITUTE(SUBSTITUTE(REGEXEXTRACT(A7804, ""[^-]+- [^-]+- [^-]+ - (.+?)\.jpg""), "".jpg"", """"), ""-"", "", ""), """")"),"")</f>
        <v/>
      </c>
      <c r="L7804" s="12"/>
      <c r="M7804" s="13"/>
      <c r="N7804" s="2"/>
      <c r="O7804" s="20"/>
      <c r="P7804" s="42"/>
      <c r="R7804" s="23"/>
    </row>
    <row r="7805" spans="1:18" ht="12.75">
      <c r="A7805" s="12"/>
      <c r="D7805" s="12"/>
      <c r="E7805" s="12"/>
      <c r="H7805" s="11" t="str">
        <f ca="1">IFERROR(__xludf.DUMMYFUNCTION("IFERROR(SUBSTITUTE(SUBSTITUTE(REGEXEXTRACT(A7805, ""[^-]+- [^-]+- [^-]+ - (.+?)\.jpg""), "".jpg"", """"), ""-"", "", ""), """")"),"")</f>
        <v/>
      </c>
      <c r="L7805" s="12"/>
      <c r="M7805" s="13"/>
      <c r="N7805" s="2"/>
      <c r="O7805" s="20"/>
      <c r="P7805" s="42"/>
      <c r="R7805" s="23"/>
    </row>
    <row r="7806" spans="1:18" ht="12.75">
      <c r="A7806" s="12"/>
      <c r="D7806" s="12"/>
      <c r="E7806" s="12"/>
      <c r="H7806" s="11" t="str">
        <f ca="1">IFERROR(__xludf.DUMMYFUNCTION("IFERROR(SUBSTITUTE(SUBSTITUTE(REGEXEXTRACT(A7806, ""[^-]+- [^-]+- [^-]+ - (.+?)\.jpg""), "".jpg"", """"), ""-"", "", ""), """")"),"")</f>
        <v/>
      </c>
      <c r="L7806" s="12"/>
      <c r="M7806" s="13"/>
      <c r="N7806" s="2"/>
      <c r="O7806" s="20"/>
      <c r="P7806" s="42"/>
      <c r="R7806" s="23"/>
    </row>
    <row r="7807" spans="1:18" ht="12.75">
      <c r="A7807" s="12"/>
      <c r="D7807" s="12"/>
      <c r="E7807" s="12"/>
      <c r="H7807" s="11" t="str">
        <f ca="1">IFERROR(__xludf.DUMMYFUNCTION("IFERROR(SUBSTITUTE(SUBSTITUTE(REGEXEXTRACT(A7807, ""[^-]+- [^-]+- [^-]+ - (.+?)\.jpg""), "".jpg"", """"), ""-"", "", ""), """")"),"")</f>
        <v/>
      </c>
      <c r="L7807" s="12"/>
      <c r="M7807" s="13"/>
      <c r="N7807" s="2"/>
      <c r="O7807" s="20"/>
      <c r="P7807" s="42"/>
      <c r="R7807" s="23"/>
    </row>
    <row r="7808" spans="1:18" ht="12.75">
      <c r="A7808" s="12"/>
      <c r="D7808" s="12"/>
      <c r="E7808" s="12"/>
      <c r="H7808" s="11" t="str">
        <f ca="1">IFERROR(__xludf.DUMMYFUNCTION("IFERROR(SUBSTITUTE(SUBSTITUTE(REGEXEXTRACT(A7808, ""[^-]+- [^-]+- [^-]+ - (.+?)\.jpg""), "".jpg"", """"), ""-"", "", ""), """")"),"")</f>
        <v/>
      </c>
      <c r="L7808" s="12"/>
      <c r="M7808" s="13"/>
      <c r="N7808" s="2"/>
      <c r="O7808" s="20"/>
      <c r="P7808" s="42"/>
      <c r="R7808" s="23"/>
    </row>
    <row r="7809" spans="1:18" ht="12.75">
      <c r="A7809" s="12"/>
      <c r="D7809" s="12"/>
      <c r="E7809" s="12"/>
      <c r="H7809" s="11" t="str">
        <f ca="1">IFERROR(__xludf.DUMMYFUNCTION("IFERROR(SUBSTITUTE(SUBSTITUTE(REGEXEXTRACT(A7809, ""[^-]+- [^-]+- [^-]+ - (.+?)\.jpg""), "".jpg"", """"), ""-"", "", ""), """")"),"")</f>
        <v/>
      </c>
      <c r="L7809" s="12"/>
      <c r="M7809" s="13"/>
      <c r="N7809" s="2"/>
      <c r="O7809" s="20"/>
      <c r="P7809" s="42"/>
      <c r="R7809" s="23"/>
    </row>
    <row r="7810" spans="1:18" ht="12.75">
      <c r="A7810" s="12"/>
      <c r="D7810" s="12"/>
      <c r="E7810" s="12"/>
      <c r="H7810" s="11" t="str">
        <f ca="1">IFERROR(__xludf.DUMMYFUNCTION("IFERROR(SUBSTITUTE(SUBSTITUTE(REGEXEXTRACT(A7810, ""[^-]+- [^-]+- [^-]+ - (.+?)\.jpg""), "".jpg"", """"), ""-"", "", ""), """")"),"")</f>
        <v/>
      </c>
      <c r="L7810" s="12"/>
      <c r="M7810" s="13"/>
      <c r="N7810" s="2"/>
      <c r="O7810" s="20"/>
      <c r="P7810" s="42"/>
      <c r="R7810" s="23"/>
    </row>
    <row r="7811" spans="1:18" ht="12.75">
      <c r="A7811" s="12"/>
      <c r="D7811" s="12"/>
      <c r="E7811" s="12"/>
      <c r="H7811" s="11" t="str">
        <f ca="1">IFERROR(__xludf.DUMMYFUNCTION("IFERROR(SUBSTITUTE(SUBSTITUTE(REGEXEXTRACT(A7811, ""[^-]+- [^-]+- [^-]+ - (.+?)\.jpg""), "".jpg"", """"), ""-"", "", ""), """")"),"")</f>
        <v/>
      </c>
      <c r="L7811" s="12"/>
      <c r="M7811" s="13"/>
      <c r="N7811" s="2"/>
      <c r="O7811" s="20"/>
      <c r="P7811" s="42"/>
      <c r="R7811" s="23"/>
    </row>
    <row r="7812" spans="1:18" ht="12.75">
      <c r="A7812" s="12"/>
      <c r="D7812" s="12"/>
      <c r="E7812" s="12"/>
      <c r="H7812" s="11" t="str">
        <f ca="1">IFERROR(__xludf.DUMMYFUNCTION("IFERROR(SUBSTITUTE(SUBSTITUTE(REGEXEXTRACT(A7812, ""[^-]+- [^-]+- [^-]+ - (.+?)\.jpg""), "".jpg"", """"), ""-"", "", ""), """")"),"")</f>
        <v/>
      </c>
      <c r="L7812" s="12"/>
      <c r="M7812" s="13"/>
      <c r="N7812" s="2"/>
      <c r="O7812" s="20"/>
      <c r="P7812" s="42"/>
      <c r="R7812" s="23"/>
    </row>
    <row r="7813" spans="1:18" ht="12.75">
      <c r="A7813" s="12"/>
      <c r="D7813" s="12"/>
      <c r="E7813" s="12"/>
      <c r="H7813" s="11" t="str">
        <f ca="1">IFERROR(__xludf.DUMMYFUNCTION("IFERROR(SUBSTITUTE(SUBSTITUTE(REGEXEXTRACT(A7813, ""[^-]+- [^-]+- [^-]+ - (.+?)\.jpg""), "".jpg"", """"), ""-"", "", ""), """")"),"")</f>
        <v/>
      </c>
      <c r="L7813" s="12"/>
      <c r="M7813" s="13"/>
      <c r="N7813" s="2"/>
      <c r="O7813" s="20"/>
      <c r="P7813" s="42"/>
      <c r="R7813" s="23"/>
    </row>
    <row r="7814" spans="1:18" ht="12.75">
      <c r="A7814" s="12"/>
      <c r="D7814" s="12"/>
      <c r="E7814" s="12"/>
      <c r="H7814" s="11" t="str">
        <f ca="1">IFERROR(__xludf.DUMMYFUNCTION("IFERROR(SUBSTITUTE(SUBSTITUTE(REGEXEXTRACT(A7814, ""[^-]+- [^-]+- [^-]+ - (.+?)\.jpg""), "".jpg"", """"), ""-"", "", ""), """")"),"")</f>
        <v/>
      </c>
      <c r="L7814" s="12"/>
      <c r="M7814" s="13"/>
      <c r="N7814" s="2"/>
      <c r="O7814" s="20"/>
      <c r="P7814" s="42"/>
      <c r="R7814" s="23"/>
    </row>
    <row r="7815" spans="1:18" ht="12.75">
      <c r="A7815" s="12"/>
      <c r="D7815" s="12"/>
      <c r="E7815" s="12"/>
      <c r="H7815" s="11" t="str">
        <f ca="1">IFERROR(__xludf.DUMMYFUNCTION("IFERROR(SUBSTITUTE(SUBSTITUTE(REGEXEXTRACT(A7815, ""[^-]+- [^-]+- [^-]+ - (.+?)\.jpg""), "".jpg"", """"), ""-"", "", ""), """")"),"")</f>
        <v/>
      </c>
      <c r="L7815" s="12"/>
      <c r="M7815" s="13"/>
      <c r="N7815" s="2"/>
      <c r="O7815" s="20"/>
      <c r="P7815" s="42"/>
      <c r="R7815" s="23"/>
    </row>
    <row r="7816" spans="1:18" ht="12.75">
      <c r="A7816" s="12"/>
      <c r="D7816" s="12"/>
      <c r="E7816" s="12"/>
      <c r="H7816" s="11" t="str">
        <f ca="1">IFERROR(__xludf.DUMMYFUNCTION("IFERROR(SUBSTITUTE(SUBSTITUTE(REGEXEXTRACT(A7816, ""[^-]+- [^-]+- [^-]+ - (.+?)\.jpg""), "".jpg"", """"), ""-"", "", ""), """")"),"")</f>
        <v/>
      </c>
      <c r="L7816" s="12"/>
      <c r="M7816" s="13"/>
      <c r="N7816" s="2"/>
      <c r="O7816" s="20"/>
      <c r="P7816" s="42"/>
      <c r="R7816" s="23"/>
    </row>
    <row r="7817" spans="1:18" ht="12.75">
      <c r="A7817" s="12"/>
      <c r="D7817" s="12"/>
      <c r="E7817" s="12"/>
      <c r="H7817" s="11" t="str">
        <f ca="1">IFERROR(__xludf.DUMMYFUNCTION("IFERROR(SUBSTITUTE(SUBSTITUTE(REGEXEXTRACT(A7817, ""[^-]+- [^-]+- [^-]+ - (.+?)\.jpg""), "".jpg"", """"), ""-"", "", ""), """")"),"")</f>
        <v/>
      </c>
      <c r="L7817" s="12"/>
      <c r="M7817" s="13"/>
      <c r="N7817" s="2"/>
      <c r="O7817" s="20"/>
      <c r="P7817" s="42"/>
      <c r="R7817" s="23"/>
    </row>
    <row r="7818" spans="1:18" ht="12.75">
      <c r="A7818" s="12"/>
      <c r="D7818" s="12"/>
      <c r="E7818" s="12"/>
      <c r="H7818" s="11" t="str">
        <f ca="1">IFERROR(__xludf.DUMMYFUNCTION("IFERROR(SUBSTITUTE(SUBSTITUTE(REGEXEXTRACT(A7818, ""[^-]+- [^-]+- [^-]+ - (.+?)\.jpg""), "".jpg"", """"), ""-"", "", ""), """")"),"")</f>
        <v/>
      </c>
      <c r="L7818" s="12"/>
      <c r="M7818" s="13"/>
      <c r="N7818" s="2"/>
      <c r="O7818" s="20"/>
      <c r="P7818" s="42"/>
      <c r="R7818" s="23"/>
    </row>
    <row r="7819" spans="1:18" ht="12.75">
      <c r="A7819" s="12"/>
      <c r="D7819" s="12"/>
      <c r="E7819" s="12"/>
      <c r="H7819" s="11" t="str">
        <f ca="1">IFERROR(__xludf.DUMMYFUNCTION("IFERROR(SUBSTITUTE(SUBSTITUTE(REGEXEXTRACT(A7819, ""[^-]+- [^-]+- [^-]+ - (.+?)\.jpg""), "".jpg"", """"), ""-"", "", ""), """")"),"")</f>
        <v/>
      </c>
      <c r="L7819" s="12"/>
      <c r="M7819" s="13"/>
      <c r="N7819" s="2"/>
      <c r="O7819" s="20"/>
      <c r="P7819" s="42"/>
      <c r="R7819" s="23"/>
    </row>
    <row r="7820" spans="1:18" ht="12.75">
      <c r="A7820" s="12"/>
      <c r="D7820" s="12"/>
      <c r="E7820" s="12"/>
      <c r="H7820" s="11" t="str">
        <f ca="1">IFERROR(__xludf.DUMMYFUNCTION("IFERROR(SUBSTITUTE(SUBSTITUTE(REGEXEXTRACT(A7820, ""[^-]+- [^-]+- [^-]+ - (.+?)\.jpg""), "".jpg"", """"), ""-"", "", ""), """")"),"")</f>
        <v/>
      </c>
      <c r="L7820" s="12"/>
      <c r="M7820" s="13"/>
      <c r="N7820" s="2"/>
      <c r="O7820" s="20"/>
      <c r="P7820" s="42"/>
      <c r="R7820" s="23"/>
    </row>
    <row r="7821" spans="1:18" ht="12.75">
      <c r="A7821" s="12"/>
      <c r="D7821" s="12"/>
      <c r="E7821" s="12"/>
      <c r="H7821" s="11" t="str">
        <f ca="1">IFERROR(__xludf.DUMMYFUNCTION("IFERROR(SUBSTITUTE(SUBSTITUTE(REGEXEXTRACT(A7821, ""[^-]+- [^-]+- [^-]+ - (.+?)\.jpg""), "".jpg"", """"), ""-"", "", ""), """")"),"")</f>
        <v/>
      </c>
      <c r="L7821" s="12"/>
      <c r="M7821" s="13"/>
      <c r="N7821" s="2"/>
      <c r="O7821" s="20"/>
      <c r="P7821" s="42"/>
      <c r="R7821" s="23"/>
    </row>
    <row r="7822" spans="1:18" ht="12.75">
      <c r="A7822" s="12"/>
      <c r="D7822" s="12"/>
      <c r="E7822" s="12"/>
      <c r="H7822" s="11" t="str">
        <f ca="1">IFERROR(__xludf.DUMMYFUNCTION("IFERROR(SUBSTITUTE(SUBSTITUTE(REGEXEXTRACT(A7822, ""[^-]+- [^-]+- [^-]+ - (.+?)\.jpg""), "".jpg"", """"), ""-"", "", ""), """")"),"")</f>
        <v/>
      </c>
      <c r="L7822" s="12"/>
      <c r="M7822" s="13"/>
      <c r="N7822" s="2"/>
      <c r="O7822" s="20"/>
      <c r="P7822" s="42"/>
      <c r="R7822" s="23"/>
    </row>
    <row r="7823" spans="1:18" ht="12.75">
      <c r="A7823" s="12"/>
      <c r="D7823" s="12"/>
      <c r="E7823" s="12"/>
      <c r="H7823" s="11" t="str">
        <f ca="1">IFERROR(__xludf.DUMMYFUNCTION("IFERROR(SUBSTITUTE(SUBSTITUTE(REGEXEXTRACT(A7823, ""[^-]+- [^-]+- [^-]+ - (.+?)\.jpg""), "".jpg"", """"), ""-"", "", ""), """")"),"")</f>
        <v/>
      </c>
      <c r="L7823" s="12"/>
      <c r="M7823" s="13"/>
      <c r="N7823" s="2"/>
      <c r="O7823" s="20"/>
      <c r="P7823" s="42"/>
      <c r="R7823" s="23"/>
    </row>
    <row r="7824" spans="1:18" ht="12.75">
      <c r="A7824" s="12"/>
      <c r="D7824" s="12"/>
      <c r="E7824" s="12"/>
      <c r="H7824" s="11" t="str">
        <f ca="1">IFERROR(__xludf.DUMMYFUNCTION("IFERROR(SUBSTITUTE(SUBSTITUTE(REGEXEXTRACT(A7824, ""[^-]+- [^-]+- [^-]+ - (.+?)\.jpg""), "".jpg"", """"), ""-"", "", ""), """")"),"")</f>
        <v/>
      </c>
      <c r="L7824" s="12"/>
      <c r="M7824" s="13"/>
      <c r="N7824" s="2"/>
      <c r="O7824" s="20"/>
      <c r="P7824" s="42"/>
      <c r="R7824" s="23"/>
    </row>
    <row r="7825" spans="1:18" ht="12.75">
      <c r="A7825" s="12"/>
      <c r="D7825" s="12"/>
      <c r="E7825" s="12"/>
      <c r="H7825" s="11" t="str">
        <f ca="1">IFERROR(__xludf.DUMMYFUNCTION("IFERROR(SUBSTITUTE(SUBSTITUTE(REGEXEXTRACT(A7825, ""[^-]+- [^-]+- [^-]+ - (.+?)\.jpg""), "".jpg"", """"), ""-"", "", ""), """")"),"")</f>
        <v/>
      </c>
      <c r="L7825" s="12"/>
      <c r="M7825" s="13"/>
      <c r="N7825" s="2"/>
      <c r="O7825" s="20"/>
      <c r="P7825" s="42"/>
      <c r="R7825" s="23"/>
    </row>
    <row r="7826" spans="1:18" ht="12.75">
      <c r="A7826" s="12"/>
      <c r="D7826" s="12"/>
      <c r="E7826" s="12"/>
      <c r="H7826" s="11" t="str">
        <f ca="1">IFERROR(__xludf.DUMMYFUNCTION("IFERROR(SUBSTITUTE(SUBSTITUTE(REGEXEXTRACT(A7826, ""[^-]+- [^-]+- [^-]+ - (.+?)\.jpg""), "".jpg"", """"), ""-"", "", ""), """")"),"")</f>
        <v/>
      </c>
      <c r="L7826" s="12"/>
      <c r="M7826" s="13"/>
      <c r="N7826" s="2"/>
      <c r="O7826" s="20"/>
      <c r="P7826" s="42"/>
      <c r="R7826" s="23"/>
    </row>
    <row r="7827" spans="1:18" ht="12.75">
      <c r="A7827" s="12"/>
      <c r="D7827" s="12"/>
      <c r="E7827" s="12"/>
      <c r="H7827" s="11" t="str">
        <f ca="1">IFERROR(__xludf.DUMMYFUNCTION("IFERROR(SUBSTITUTE(SUBSTITUTE(REGEXEXTRACT(A7827, ""[^-]+- [^-]+- [^-]+ - (.+?)\.jpg""), "".jpg"", """"), ""-"", "", ""), """")"),"")</f>
        <v/>
      </c>
      <c r="L7827" s="12"/>
      <c r="M7827" s="13"/>
      <c r="N7827" s="2"/>
      <c r="O7827" s="20"/>
      <c r="P7827" s="42"/>
      <c r="R7827" s="23"/>
    </row>
    <row r="7828" spans="1:18" ht="12.75">
      <c r="A7828" s="12"/>
      <c r="D7828" s="12"/>
      <c r="E7828" s="12"/>
      <c r="H7828" s="11" t="str">
        <f ca="1">IFERROR(__xludf.DUMMYFUNCTION("IFERROR(SUBSTITUTE(SUBSTITUTE(REGEXEXTRACT(A7828, ""[^-]+- [^-]+- [^-]+ - (.+?)\.jpg""), "".jpg"", """"), ""-"", "", ""), """")"),"")</f>
        <v/>
      </c>
      <c r="L7828" s="12"/>
      <c r="M7828" s="13"/>
      <c r="N7828" s="2"/>
      <c r="O7828" s="20"/>
      <c r="P7828" s="42"/>
      <c r="R7828" s="23"/>
    </row>
    <row r="7829" spans="1:18" ht="12.75">
      <c r="A7829" s="12"/>
      <c r="D7829" s="12"/>
      <c r="E7829" s="12"/>
      <c r="H7829" s="11" t="str">
        <f ca="1">IFERROR(__xludf.DUMMYFUNCTION("IFERROR(SUBSTITUTE(SUBSTITUTE(REGEXEXTRACT(A7829, ""[^-]+- [^-]+- [^-]+ - (.+?)\.jpg""), "".jpg"", """"), ""-"", "", ""), """")"),"")</f>
        <v/>
      </c>
      <c r="L7829" s="12"/>
      <c r="M7829" s="13"/>
      <c r="N7829" s="2"/>
      <c r="O7829" s="20"/>
      <c r="P7829" s="42"/>
      <c r="R7829" s="23"/>
    </row>
    <row r="7830" spans="1:18" ht="12.75">
      <c r="A7830" s="12"/>
      <c r="D7830" s="12"/>
      <c r="E7830" s="12"/>
      <c r="H7830" s="11" t="str">
        <f ca="1">IFERROR(__xludf.DUMMYFUNCTION("IFERROR(SUBSTITUTE(SUBSTITUTE(REGEXEXTRACT(A7830, ""[^-]+- [^-]+- [^-]+ - (.+?)\.jpg""), "".jpg"", """"), ""-"", "", ""), """")"),"")</f>
        <v/>
      </c>
      <c r="L7830" s="12"/>
      <c r="M7830" s="13"/>
      <c r="N7830" s="2"/>
      <c r="O7830" s="20"/>
      <c r="P7830" s="42"/>
      <c r="R7830" s="23"/>
    </row>
    <row r="7831" spans="1:18" ht="12.75">
      <c r="A7831" s="12"/>
      <c r="D7831" s="12"/>
      <c r="E7831" s="12"/>
      <c r="H7831" s="11" t="str">
        <f ca="1">IFERROR(__xludf.DUMMYFUNCTION("IFERROR(SUBSTITUTE(SUBSTITUTE(REGEXEXTRACT(A7831, ""[^-]+- [^-]+- [^-]+ - (.+?)\.jpg""), "".jpg"", """"), ""-"", "", ""), """")"),"")</f>
        <v/>
      </c>
      <c r="L7831" s="12"/>
      <c r="M7831" s="13"/>
      <c r="N7831" s="2"/>
      <c r="O7831" s="20"/>
      <c r="P7831" s="42"/>
      <c r="R7831" s="23"/>
    </row>
    <row r="7832" spans="1:18" ht="12.75">
      <c r="A7832" s="12"/>
      <c r="D7832" s="12"/>
      <c r="E7832" s="12"/>
      <c r="H7832" s="11" t="str">
        <f ca="1">IFERROR(__xludf.DUMMYFUNCTION("IFERROR(SUBSTITUTE(SUBSTITUTE(REGEXEXTRACT(A7832, ""[^-]+- [^-]+- [^-]+ - (.+?)\.jpg""), "".jpg"", """"), ""-"", "", ""), """")"),"")</f>
        <v/>
      </c>
      <c r="L7832" s="12"/>
      <c r="M7832" s="13"/>
      <c r="N7832" s="2"/>
      <c r="O7832" s="20"/>
      <c r="P7832" s="42"/>
      <c r="R7832" s="23"/>
    </row>
    <row r="7833" spans="1:18" ht="12.75">
      <c r="A7833" s="12"/>
      <c r="D7833" s="12"/>
      <c r="E7833" s="12"/>
      <c r="H7833" s="11" t="str">
        <f ca="1">IFERROR(__xludf.DUMMYFUNCTION("IFERROR(SUBSTITUTE(SUBSTITUTE(REGEXEXTRACT(A7833, ""[^-]+- [^-]+- [^-]+ - (.+?)\.jpg""), "".jpg"", """"), ""-"", "", ""), """")"),"")</f>
        <v/>
      </c>
      <c r="L7833" s="12"/>
      <c r="M7833" s="13"/>
      <c r="N7833" s="2"/>
      <c r="O7833" s="20"/>
      <c r="P7833" s="42"/>
      <c r="R7833" s="23"/>
    </row>
    <row r="7834" spans="1:18" ht="12.75">
      <c r="A7834" s="12"/>
      <c r="D7834" s="12"/>
      <c r="E7834" s="12"/>
      <c r="H7834" s="11" t="str">
        <f ca="1">IFERROR(__xludf.DUMMYFUNCTION("IFERROR(SUBSTITUTE(SUBSTITUTE(REGEXEXTRACT(A7834, ""[^-]+- [^-]+- [^-]+ - (.+?)\.jpg""), "".jpg"", """"), ""-"", "", ""), """")"),"")</f>
        <v/>
      </c>
      <c r="L7834" s="12"/>
      <c r="M7834" s="13"/>
      <c r="N7834" s="2"/>
      <c r="O7834" s="20"/>
      <c r="P7834" s="42"/>
      <c r="R7834" s="23"/>
    </row>
    <row r="7835" spans="1:18" ht="12.75">
      <c r="A7835" s="12"/>
      <c r="D7835" s="12"/>
      <c r="E7835" s="12"/>
      <c r="H7835" s="11" t="str">
        <f ca="1">IFERROR(__xludf.DUMMYFUNCTION("IFERROR(SUBSTITUTE(SUBSTITUTE(REGEXEXTRACT(A7835, ""[^-]+- [^-]+- [^-]+ - (.+?)\.jpg""), "".jpg"", """"), ""-"", "", ""), """")"),"")</f>
        <v/>
      </c>
      <c r="L7835" s="12"/>
      <c r="M7835" s="13"/>
      <c r="N7835" s="2"/>
      <c r="O7835" s="20"/>
      <c r="P7835" s="42"/>
      <c r="R7835" s="23"/>
    </row>
    <row r="7836" spans="1:18" ht="12.75">
      <c r="A7836" s="12"/>
      <c r="D7836" s="12"/>
      <c r="E7836" s="12"/>
      <c r="H7836" s="11" t="str">
        <f ca="1">IFERROR(__xludf.DUMMYFUNCTION("IFERROR(SUBSTITUTE(SUBSTITUTE(REGEXEXTRACT(A7836, ""[^-]+- [^-]+- [^-]+ - (.+?)\.jpg""), "".jpg"", """"), ""-"", "", ""), """")"),"")</f>
        <v/>
      </c>
      <c r="L7836" s="12"/>
      <c r="M7836" s="13"/>
      <c r="N7836" s="2"/>
      <c r="O7836" s="20"/>
      <c r="P7836" s="42"/>
      <c r="R7836" s="23"/>
    </row>
    <row r="7837" spans="1:18" ht="12.75">
      <c r="A7837" s="12"/>
      <c r="D7837" s="12"/>
      <c r="E7837" s="12"/>
      <c r="H7837" s="11" t="str">
        <f ca="1">IFERROR(__xludf.DUMMYFUNCTION("IFERROR(SUBSTITUTE(SUBSTITUTE(REGEXEXTRACT(A7837, ""[^-]+- [^-]+- [^-]+ - (.+?)\.jpg""), "".jpg"", """"), ""-"", "", ""), """")"),"")</f>
        <v/>
      </c>
      <c r="L7837" s="12"/>
      <c r="M7837" s="13"/>
      <c r="N7837" s="2"/>
      <c r="O7837" s="20"/>
      <c r="P7837" s="42"/>
      <c r="R7837" s="23"/>
    </row>
    <row r="7838" spans="1:18" ht="12.75">
      <c r="A7838" s="12"/>
      <c r="D7838" s="12"/>
      <c r="E7838" s="12"/>
      <c r="H7838" s="11" t="str">
        <f ca="1">IFERROR(__xludf.DUMMYFUNCTION("IFERROR(SUBSTITUTE(SUBSTITUTE(REGEXEXTRACT(A7838, ""[^-]+- [^-]+- [^-]+ - (.+?)\.jpg""), "".jpg"", """"), ""-"", "", ""), """")"),"")</f>
        <v/>
      </c>
      <c r="L7838" s="12"/>
      <c r="M7838" s="13"/>
      <c r="N7838" s="2"/>
      <c r="O7838" s="20"/>
      <c r="P7838" s="42"/>
      <c r="R7838" s="23"/>
    </row>
    <row r="7839" spans="1:18" ht="12.75">
      <c r="A7839" s="12"/>
      <c r="D7839" s="12"/>
      <c r="E7839" s="12"/>
      <c r="H7839" s="11" t="str">
        <f ca="1">IFERROR(__xludf.DUMMYFUNCTION("IFERROR(SUBSTITUTE(SUBSTITUTE(REGEXEXTRACT(A7839, ""[^-]+- [^-]+- [^-]+ - (.+?)\.jpg""), "".jpg"", """"), ""-"", "", ""), """")"),"")</f>
        <v/>
      </c>
      <c r="L7839" s="12"/>
      <c r="M7839" s="13"/>
      <c r="N7839" s="2"/>
      <c r="O7839" s="20"/>
      <c r="P7839" s="42"/>
      <c r="R7839" s="23"/>
    </row>
    <row r="7840" spans="1:18" ht="12.75">
      <c r="A7840" s="12"/>
      <c r="D7840" s="12"/>
      <c r="E7840" s="12"/>
      <c r="H7840" s="11" t="str">
        <f ca="1">IFERROR(__xludf.DUMMYFUNCTION("IFERROR(SUBSTITUTE(SUBSTITUTE(REGEXEXTRACT(A7840, ""[^-]+- [^-]+- [^-]+ - (.+?)\.jpg""), "".jpg"", """"), ""-"", "", ""), """")"),"")</f>
        <v/>
      </c>
      <c r="L7840" s="12"/>
      <c r="M7840" s="13"/>
      <c r="N7840" s="2"/>
      <c r="O7840" s="20"/>
      <c r="P7840" s="42"/>
      <c r="R7840" s="23"/>
    </row>
    <row r="7841" spans="1:18" ht="12.75">
      <c r="A7841" s="12"/>
      <c r="D7841" s="12"/>
      <c r="E7841" s="12"/>
      <c r="H7841" s="11" t="str">
        <f ca="1">IFERROR(__xludf.DUMMYFUNCTION("IFERROR(SUBSTITUTE(SUBSTITUTE(REGEXEXTRACT(A7841, ""[^-]+- [^-]+- [^-]+ - (.+?)\.jpg""), "".jpg"", """"), ""-"", "", ""), """")"),"")</f>
        <v/>
      </c>
      <c r="L7841" s="12"/>
      <c r="M7841" s="13"/>
      <c r="N7841" s="2"/>
      <c r="O7841" s="20"/>
      <c r="P7841" s="42"/>
      <c r="R7841" s="23"/>
    </row>
    <row r="7842" spans="1:18" ht="12.75">
      <c r="A7842" s="12"/>
      <c r="D7842" s="12"/>
      <c r="E7842" s="12"/>
      <c r="H7842" s="11" t="str">
        <f ca="1">IFERROR(__xludf.DUMMYFUNCTION("IFERROR(SUBSTITUTE(SUBSTITUTE(REGEXEXTRACT(A7842, ""[^-]+- [^-]+- [^-]+ - (.+?)\.jpg""), "".jpg"", """"), ""-"", "", ""), """")"),"")</f>
        <v/>
      </c>
      <c r="L7842" s="12"/>
      <c r="M7842" s="13"/>
      <c r="N7842" s="2"/>
      <c r="O7842" s="20"/>
      <c r="P7842" s="42"/>
      <c r="R7842" s="23"/>
    </row>
    <row r="7843" spans="1:18" ht="12.75">
      <c r="A7843" s="12"/>
      <c r="D7843" s="12"/>
      <c r="E7843" s="12"/>
      <c r="H7843" s="11" t="str">
        <f ca="1">IFERROR(__xludf.DUMMYFUNCTION("IFERROR(SUBSTITUTE(SUBSTITUTE(REGEXEXTRACT(A7843, ""[^-]+- [^-]+- [^-]+ - (.+?)\.jpg""), "".jpg"", """"), ""-"", "", ""), """")"),"")</f>
        <v/>
      </c>
      <c r="L7843" s="12"/>
      <c r="M7843" s="13"/>
      <c r="N7843" s="2"/>
      <c r="O7843" s="20"/>
      <c r="P7843" s="42"/>
      <c r="R7843" s="23"/>
    </row>
    <row r="7844" spans="1:18" ht="12.75">
      <c r="A7844" s="12"/>
      <c r="D7844" s="12"/>
      <c r="E7844" s="12"/>
      <c r="H7844" s="11" t="str">
        <f ca="1">IFERROR(__xludf.DUMMYFUNCTION("IFERROR(SUBSTITUTE(SUBSTITUTE(REGEXEXTRACT(A7844, ""[^-]+- [^-]+- [^-]+ - (.+?)\.jpg""), "".jpg"", """"), ""-"", "", ""), """")"),"")</f>
        <v/>
      </c>
      <c r="L7844" s="12"/>
      <c r="M7844" s="13"/>
      <c r="N7844" s="2"/>
      <c r="O7844" s="20"/>
      <c r="P7844" s="42"/>
      <c r="R7844" s="23"/>
    </row>
    <row r="7845" spans="1:18" ht="12.75">
      <c r="A7845" s="12"/>
      <c r="D7845" s="12"/>
      <c r="E7845" s="12"/>
      <c r="H7845" s="11" t="str">
        <f ca="1">IFERROR(__xludf.DUMMYFUNCTION("IFERROR(SUBSTITUTE(SUBSTITUTE(REGEXEXTRACT(A7845, ""[^-]+- [^-]+- [^-]+ - (.+?)\.jpg""), "".jpg"", """"), ""-"", "", ""), """")"),"")</f>
        <v/>
      </c>
      <c r="L7845" s="12"/>
      <c r="M7845" s="13"/>
      <c r="N7845" s="2"/>
      <c r="O7845" s="20"/>
      <c r="P7845" s="42"/>
      <c r="R7845" s="23"/>
    </row>
    <row r="7846" spans="1:18" ht="12.75">
      <c r="A7846" s="12"/>
      <c r="D7846" s="12"/>
      <c r="E7846" s="12"/>
      <c r="H7846" s="11" t="str">
        <f ca="1">IFERROR(__xludf.DUMMYFUNCTION("IFERROR(SUBSTITUTE(SUBSTITUTE(REGEXEXTRACT(A7846, ""[^-]+- [^-]+- [^-]+ - (.+?)\.jpg""), "".jpg"", """"), ""-"", "", ""), """")"),"")</f>
        <v/>
      </c>
      <c r="L7846" s="12"/>
      <c r="M7846" s="13"/>
      <c r="N7846" s="2"/>
      <c r="O7846" s="20"/>
      <c r="P7846" s="42"/>
      <c r="R7846" s="23"/>
    </row>
    <row r="7847" spans="1:18" ht="12.75">
      <c r="A7847" s="12"/>
      <c r="D7847" s="12"/>
      <c r="E7847" s="12"/>
      <c r="H7847" s="11" t="str">
        <f ca="1">IFERROR(__xludf.DUMMYFUNCTION("IFERROR(SUBSTITUTE(SUBSTITUTE(REGEXEXTRACT(A7847, ""[^-]+- [^-]+- [^-]+ - (.+?)\.jpg""), "".jpg"", """"), ""-"", "", ""), """")"),"")</f>
        <v/>
      </c>
      <c r="L7847" s="12"/>
      <c r="M7847" s="13"/>
      <c r="N7847" s="2"/>
      <c r="O7847" s="20"/>
      <c r="P7847" s="42"/>
      <c r="R7847" s="23"/>
    </row>
    <row r="7848" spans="1:18" ht="12.75">
      <c r="A7848" s="12"/>
      <c r="D7848" s="12"/>
      <c r="E7848" s="12"/>
      <c r="H7848" s="11" t="str">
        <f ca="1">IFERROR(__xludf.DUMMYFUNCTION("IFERROR(SUBSTITUTE(SUBSTITUTE(REGEXEXTRACT(A7848, ""[^-]+- [^-]+- [^-]+ - (.+?)\.jpg""), "".jpg"", """"), ""-"", "", ""), """")"),"")</f>
        <v/>
      </c>
      <c r="L7848" s="12"/>
      <c r="M7848" s="13"/>
      <c r="N7848" s="2"/>
      <c r="O7848" s="20"/>
      <c r="P7848" s="42"/>
      <c r="R7848" s="23"/>
    </row>
    <row r="7849" spans="1:18" ht="12.75">
      <c r="A7849" s="12"/>
      <c r="D7849" s="12"/>
      <c r="E7849" s="12"/>
      <c r="H7849" s="11" t="str">
        <f ca="1">IFERROR(__xludf.DUMMYFUNCTION("IFERROR(SUBSTITUTE(SUBSTITUTE(REGEXEXTRACT(A7849, ""[^-]+- [^-]+- [^-]+ - (.+?)\.jpg""), "".jpg"", """"), ""-"", "", ""), """")"),"")</f>
        <v/>
      </c>
      <c r="L7849" s="12"/>
      <c r="M7849" s="13"/>
      <c r="N7849" s="2"/>
      <c r="O7849" s="20"/>
      <c r="P7849" s="42"/>
      <c r="R7849" s="23"/>
    </row>
    <row r="7850" spans="1:18" ht="12.75">
      <c r="A7850" s="12"/>
      <c r="D7850" s="12"/>
      <c r="E7850" s="12"/>
      <c r="H7850" s="11" t="str">
        <f ca="1">IFERROR(__xludf.DUMMYFUNCTION("IFERROR(SUBSTITUTE(SUBSTITUTE(REGEXEXTRACT(A7850, ""[^-]+- [^-]+- [^-]+ - (.+?)\.jpg""), "".jpg"", """"), ""-"", "", ""), """")"),"")</f>
        <v/>
      </c>
      <c r="L7850" s="12"/>
      <c r="M7850" s="13"/>
      <c r="N7850" s="2"/>
      <c r="O7850" s="20"/>
      <c r="P7850" s="42"/>
      <c r="R7850" s="23"/>
    </row>
    <row r="7851" spans="1:18" ht="12.75">
      <c r="A7851" s="12"/>
      <c r="D7851" s="12"/>
      <c r="E7851" s="12"/>
      <c r="H7851" s="11" t="str">
        <f ca="1">IFERROR(__xludf.DUMMYFUNCTION("IFERROR(SUBSTITUTE(SUBSTITUTE(REGEXEXTRACT(A7851, ""[^-]+- [^-]+- [^-]+ - (.+?)\.jpg""), "".jpg"", """"), ""-"", "", ""), """")"),"")</f>
        <v/>
      </c>
      <c r="L7851" s="12"/>
      <c r="M7851" s="13"/>
      <c r="N7851" s="2"/>
      <c r="O7851" s="20"/>
      <c r="P7851" s="42"/>
      <c r="R7851" s="23"/>
    </row>
    <row r="7852" spans="1:18" ht="12.75">
      <c r="A7852" s="12"/>
      <c r="D7852" s="12"/>
      <c r="E7852" s="12"/>
      <c r="H7852" s="11" t="str">
        <f ca="1">IFERROR(__xludf.DUMMYFUNCTION("IFERROR(SUBSTITUTE(SUBSTITUTE(REGEXEXTRACT(A7852, ""[^-]+- [^-]+- [^-]+ - (.+?)\.jpg""), "".jpg"", """"), ""-"", "", ""), """")"),"")</f>
        <v/>
      </c>
      <c r="L7852" s="12"/>
      <c r="M7852" s="13"/>
      <c r="N7852" s="2"/>
      <c r="O7852" s="20"/>
      <c r="P7852" s="42"/>
      <c r="R7852" s="23"/>
    </row>
    <row r="7853" spans="1:18" ht="12.75">
      <c r="A7853" s="12"/>
      <c r="D7853" s="12"/>
      <c r="E7853" s="12"/>
      <c r="H7853" s="11" t="str">
        <f ca="1">IFERROR(__xludf.DUMMYFUNCTION("IFERROR(SUBSTITUTE(SUBSTITUTE(REGEXEXTRACT(A7853, ""[^-]+- [^-]+- [^-]+ - (.+?)\.jpg""), "".jpg"", """"), ""-"", "", ""), """")"),"")</f>
        <v/>
      </c>
      <c r="L7853" s="12"/>
      <c r="M7853" s="13"/>
      <c r="N7853" s="2"/>
      <c r="O7853" s="20"/>
      <c r="P7853" s="42"/>
      <c r="R7853" s="23"/>
    </row>
    <row r="7854" spans="1:18" ht="12.75">
      <c r="A7854" s="12"/>
      <c r="D7854" s="12"/>
      <c r="E7854" s="12"/>
      <c r="H7854" s="11" t="str">
        <f ca="1">IFERROR(__xludf.DUMMYFUNCTION("IFERROR(SUBSTITUTE(SUBSTITUTE(REGEXEXTRACT(A7854, ""[^-]+- [^-]+- [^-]+ - (.+?)\.jpg""), "".jpg"", """"), ""-"", "", ""), """")"),"")</f>
        <v/>
      </c>
      <c r="L7854" s="12"/>
      <c r="M7854" s="13"/>
      <c r="N7854" s="2"/>
      <c r="O7854" s="20"/>
      <c r="P7854" s="42"/>
      <c r="R7854" s="23"/>
    </row>
    <row r="7855" spans="1:18" ht="12.75">
      <c r="A7855" s="12"/>
      <c r="D7855" s="12"/>
      <c r="E7855" s="12"/>
      <c r="H7855" s="11" t="str">
        <f ca="1">IFERROR(__xludf.DUMMYFUNCTION("IFERROR(SUBSTITUTE(SUBSTITUTE(REGEXEXTRACT(A7855, ""[^-]+- [^-]+- [^-]+ - (.+?)\.jpg""), "".jpg"", """"), ""-"", "", ""), """")"),"")</f>
        <v/>
      </c>
      <c r="L7855" s="12"/>
      <c r="M7855" s="13"/>
      <c r="N7855" s="2"/>
      <c r="O7855" s="20"/>
      <c r="P7855" s="42"/>
      <c r="R7855" s="23"/>
    </row>
    <row r="7856" spans="1:18" ht="12.75">
      <c r="A7856" s="12"/>
      <c r="D7856" s="12"/>
      <c r="E7856" s="12"/>
      <c r="H7856" s="11" t="str">
        <f ca="1">IFERROR(__xludf.DUMMYFUNCTION("IFERROR(SUBSTITUTE(SUBSTITUTE(REGEXEXTRACT(A7856, ""[^-]+- [^-]+- [^-]+ - (.+?)\.jpg""), "".jpg"", """"), ""-"", "", ""), """")"),"")</f>
        <v/>
      </c>
      <c r="L7856" s="12"/>
      <c r="M7856" s="13"/>
      <c r="N7856" s="2"/>
      <c r="O7856" s="20"/>
      <c r="P7856" s="42"/>
      <c r="R7856" s="23"/>
    </row>
    <row r="7857" spans="1:18" ht="12.75">
      <c r="A7857" s="12"/>
      <c r="D7857" s="12"/>
      <c r="E7857" s="12"/>
      <c r="H7857" s="11" t="str">
        <f ca="1">IFERROR(__xludf.DUMMYFUNCTION("IFERROR(SUBSTITUTE(SUBSTITUTE(REGEXEXTRACT(A7857, ""[^-]+- [^-]+- [^-]+ - (.+?)\.jpg""), "".jpg"", """"), ""-"", "", ""), """")"),"")</f>
        <v/>
      </c>
      <c r="L7857" s="12"/>
      <c r="M7857" s="13"/>
      <c r="N7857" s="2"/>
      <c r="O7857" s="20"/>
      <c r="P7857" s="42"/>
      <c r="R7857" s="23"/>
    </row>
    <row r="7858" spans="1:18" ht="12.75">
      <c r="A7858" s="12"/>
      <c r="D7858" s="12"/>
      <c r="E7858" s="12"/>
      <c r="H7858" s="11" t="str">
        <f ca="1">IFERROR(__xludf.DUMMYFUNCTION("IFERROR(SUBSTITUTE(SUBSTITUTE(REGEXEXTRACT(A7858, ""[^-]+- [^-]+- [^-]+ - (.+?)\.jpg""), "".jpg"", """"), ""-"", "", ""), """")"),"")</f>
        <v/>
      </c>
      <c r="L7858" s="12"/>
      <c r="M7858" s="13"/>
      <c r="N7858" s="2"/>
      <c r="O7858" s="20"/>
      <c r="P7858" s="42"/>
      <c r="R7858" s="23"/>
    </row>
    <row r="7859" spans="1:18" ht="12.75">
      <c r="A7859" s="12"/>
      <c r="D7859" s="12"/>
      <c r="E7859" s="12"/>
      <c r="H7859" s="11" t="str">
        <f ca="1">IFERROR(__xludf.DUMMYFUNCTION("IFERROR(SUBSTITUTE(SUBSTITUTE(REGEXEXTRACT(A7859, ""[^-]+- [^-]+- [^-]+ - (.+?)\.jpg""), "".jpg"", """"), ""-"", "", ""), """")"),"")</f>
        <v/>
      </c>
      <c r="L7859" s="12"/>
      <c r="M7859" s="13"/>
      <c r="N7859" s="2"/>
      <c r="O7859" s="20"/>
      <c r="P7859" s="42"/>
      <c r="R7859" s="23"/>
    </row>
    <row r="7860" spans="1:18" ht="12.75">
      <c r="A7860" s="12"/>
      <c r="D7860" s="12"/>
      <c r="E7860" s="12"/>
      <c r="H7860" s="11" t="str">
        <f ca="1">IFERROR(__xludf.DUMMYFUNCTION("IFERROR(SUBSTITUTE(SUBSTITUTE(REGEXEXTRACT(A7860, ""[^-]+- [^-]+- [^-]+ - (.+?)\.jpg""), "".jpg"", """"), ""-"", "", ""), """")"),"")</f>
        <v/>
      </c>
      <c r="L7860" s="12"/>
      <c r="M7860" s="13"/>
      <c r="N7860" s="2"/>
      <c r="O7860" s="20"/>
      <c r="P7860" s="42"/>
      <c r="R7860" s="23"/>
    </row>
    <row r="7861" spans="1:18" ht="12.75">
      <c r="A7861" s="12"/>
      <c r="D7861" s="12"/>
      <c r="E7861" s="12"/>
      <c r="H7861" s="11" t="str">
        <f ca="1">IFERROR(__xludf.DUMMYFUNCTION("IFERROR(SUBSTITUTE(SUBSTITUTE(REGEXEXTRACT(A7861, ""[^-]+- [^-]+- [^-]+ - (.+?)\.jpg""), "".jpg"", """"), ""-"", "", ""), """")"),"")</f>
        <v/>
      </c>
      <c r="L7861" s="12"/>
      <c r="M7861" s="13"/>
      <c r="N7861" s="2"/>
      <c r="O7861" s="20"/>
      <c r="P7861" s="42"/>
      <c r="R7861" s="23"/>
    </row>
    <row r="7862" spans="1:18" ht="12.75">
      <c r="A7862" s="12"/>
      <c r="D7862" s="12"/>
      <c r="E7862" s="12"/>
      <c r="H7862" s="11" t="str">
        <f ca="1">IFERROR(__xludf.DUMMYFUNCTION("IFERROR(SUBSTITUTE(SUBSTITUTE(REGEXEXTRACT(A7862, ""[^-]+- [^-]+- [^-]+ - (.+?)\.jpg""), "".jpg"", """"), ""-"", "", ""), """")"),"")</f>
        <v/>
      </c>
      <c r="L7862" s="12"/>
      <c r="M7862" s="13"/>
      <c r="N7862" s="2"/>
      <c r="O7862" s="20"/>
      <c r="P7862" s="42"/>
      <c r="R7862" s="23"/>
    </row>
    <row r="7863" spans="1:18" ht="12.75">
      <c r="A7863" s="12"/>
      <c r="D7863" s="12"/>
      <c r="E7863" s="12"/>
      <c r="H7863" s="11" t="str">
        <f ca="1">IFERROR(__xludf.DUMMYFUNCTION("IFERROR(SUBSTITUTE(SUBSTITUTE(REGEXEXTRACT(A7863, ""[^-]+- [^-]+- [^-]+ - (.+?)\.jpg""), "".jpg"", """"), ""-"", "", ""), """")"),"")</f>
        <v/>
      </c>
      <c r="L7863" s="12"/>
      <c r="M7863" s="13"/>
      <c r="N7863" s="2"/>
      <c r="O7863" s="20"/>
      <c r="P7863" s="42"/>
      <c r="R7863" s="23"/>
    </row>
    <row r="7864" spans="1:18" ht="12.75">
      <c r="A7864" s="12"/>
      <c r="D7864" s="12"/>
      <c r="E7864" s="12"/>
      <c r="H7864" s="11" t="str">
        <f ca="1">IFERROR(__xludf.DUMMYFUNCTION("IFERROR(SUBSTITUTE(SUBSTITUTE(REGEXEXTRACT(A7864, ""[^-]+- [^-]+- [^-]+ - (.+?)\.jpg""), "".jpg"", """"), ""-"", "", ""), """")"),"")</f>
        <v/>
      </c>
      <c r="L7864" s="12"/>
      <c r="M7864" s="13"/>
      <c r="N7864" s="2"/>
      <c r="O7864" s="20"/>
      <c r="P7864" s="42"/>
      <c r="R7864" s="23"/>
    </row>
    <row r="7865" spans="1:18" ht="12.75">
      <c r="A7865" s="12"/>
      <c r="D7865" s="12"/>
      <c r="E7865" s="12"/>
      <c r="H7865" s="11" t="str">
        <f ca="1">IFERROR(__xludf.DUMMYFUNCTION("IFERROR(SUBSTITUTE(SUBSTITUTE(REGEXEXTRACT(A7865, ""[^-]+- [^-]+- [^-]+ - (.+?)\.jpg""), "".jpg"", """"), ""-"", "", ""), """")"),"")</f>
        <v/>
      </c>
      <c r="L7865" s="12"/>
      <c r="M7865" s="13"/>
      <c r="N7865" s="2"/>
      <c r="O7865" s="20"/>
      <c r="P7865" s="42"/>
      <c r="R7865" s="23"/>
    </row>
    <row r="7866" spans="1:18" ht="12.75">
      <c r="A7866" s="12"/>
      <c r="D7866" s="12"/>
      <c r="E7866" s="12"/>
      <c r="H7866" s="11" t="str">
        <f ca="1">IFERROR(__xludf.DUMMYFUNCTION("IFERROR(SUBSTITUTE(SUBSTITUTE(REGEXEXTRACT(A7866, ""[^-]+- [^-]+- [^-]+ - (.+?)\.jpg""), "".jpg"", """"), ""-"", "", ""), """")"),"")</f>
        <v/>
      </c>
      <c r="L7866" s="12"/>
      <c r="M7866" s="13"/>
      <c r="N7866" s="2"/>
      <c r="O7866" s="20"/>
      <c r="P7866" s="42"/>
      <c r="R7866" s="23"/>
    </row>
    <row r="7867" spans="1:18" ht="12.75">
      <c r="A7867" s="12"/>
      <c r="D7867" s="12"/>
      <c r="E7867" s="12"/>
      <c r="H7867" s="11" t="str">
        <f ca="1">IFERROR(__xludf.DUMMYFUNCTION("IFERROR(SUBSTITUTE(SUBSTITUTE(REGEXEXTRACT(A7867, ""[^-]+- [^-]+- [^-]+ - (.+?)\.jpg""), "".jpg"", """"), ""-"", "", ""), """")"),"")</f>
        <v/>
      </c>
      <c r="L7867" s="12"/>
      <c r="M7867" s="13"/>
      <c r="N7867" s="2"/>
      <c r="O7867" s="20"/>
      <c r="P7867" s="42"/>
      <c r="R7867" s="23"/>
    </row>
    <row r="7868" spans="1:18" ht="12.75">
      <c r="A7868" s="12"/>
      <c r="D7868" s="12"/>
      <c r="E7868" s="12"/>
      <c r="H7868" s="11" t="str">
        <f ca="1">IFERROR(__xludf.DUMMYFUNCTION("IFERROR(SUBSTITUTE(SUBSTITUTE(REGEXEXTRACT(A7868, ""[^-]+- [^-]+- [^-]+ - (.+?)\.jpg""), "".jpg"", """"), ""-"", "", ""), """")"),"")</f>
        <v/>
      </c>
      <c r="L7868" s="12"/>
      <c r="M7868" s="13"/>
      <c r="N7868" s="2"/>
      <c r="O7868" s="20"/>
      <c r="P7868" s="42"/>
      <c r="R7868" s="23"/>
    </row>
    <row r="7869" spans="1:18" ht="12.75">
      <c r="A7869" s="12"/>
      <c r="D7869" s="12"/>
      <c r="E7869" s="12"/>
      <c r="H7869" s="11" t="str">
        <f ca="1">IFERROR(__xludf.DUMMYFUNCTION("IFERROR(SUBSTITUTE(SUBSTITUTE(REGEXEXTRACT(A7869, ""[^-]+- [^-]+- [^-]+ - (.+?)\.jpg""), "".jpg"", """"), ""-"", "", ""), """")"),"")</f>
        <v/>
      </c>
      <c r="L7869" s="12"/>
      <c r="M7869" s="13"/>
      <c r="N7869" s="2"/>
      <c r="O7869" s="20"/>
      <c r="P7869" s="42"/>
      <c r="R7869" s="23"/>
    </row>
    <row r="7870" spans="1:18" ht="12.75">
      <c r="A7870" s="12"/>
      <c r="D7870" s="12"/>
      <c r="E7870" s="12"/>
      <c r="H7870" s="11" t="str">
        <f ca="1">IFERROR(__xludf.DUMMYFUNCTION("IFERROR(SUBSTITUTE(SUBSTITUTE(REGEXEXTRACT(A7870, ""[^-]+- [^-]+- [^-]+ - (.+?)\.jpg""), "".jpg"", """"), ""-"", "", ""), """")"),"")</f>
        <v/>
      </c>
      <c r="L7870" s="12"/>
      <c r="M7870" s="13"/>
      <c r="N7870" s="2"/>
      <c r="O7870" s="20"/>
      <c r="P7870" s="42"/>
      <c r="R7870" s="23"/>
    </row>
    <row r="7871" spans="1:18" ht="12.75">
      <c r="A7871" s="12"/>
      <c r="D7871" s="12"/>
      <c r="E7871" s="12"/>
      <c r="H7871" s="11" t="str">
        <f ca="1">IFERROR(__xludf.DUMMYFUNCTION("IFERROR(SUBSTITUTE(SUBSTITUTE(REGEXEXTRACT(A7871, ""[^-]+- [^-]+- [^-]+ - (.+?)\.jpg""), "".jpg"", """"), ""-"", "", ""), """")"),"")</f>
        <v/>
      </c>
      <c r="L7871" s="12"/>
      <c r="M7871" s="13"/>
      <c r="N7871" s="2"/>
      <c r="O7871" s="20"/>
      <c r="P7871" s="42"/>
      <c r="R7871" s="23"/>
    </row>
    <row r="7872" spans="1:18" ht="12.75">
      <c r="A7872" s="12"/>
      <c r="D7872" s="12"/>
      <c r="E7872" s="12"/>
      <c r="H7872" s="11" t="str">
        <f ca="1">IFERROR(__xludf.DUMMYFUNCTION("IFERROR(SUBSTITUTE(SUBSTITUTE(REGEXEXTRACT(A7872, ""[^-]+- [^-]+- [^-]+ - (.+?)\.jpg""), "".jpg"", """"), ""-"", "", ""), """")"),"")</f>
        <v/>
      </c>
      <c r="L7872" s="12"/>
      <c r="M7872" s="13"/>
      <c r="N7872" s="2"/>
      <c r="O7872" s="20"/>
      <c r="P7872" s="42"/>
      <c r="R7872" s="23"/>
    </row>
    <row r="7873" spans="1:18" ht="12.75">
      <c r="A7873" s="12"/>
      <c r="D7873" s="12"/>
      <c r="E7873" s="12"/>
      <c r="H7873" s="11" t="str">
        <f ca="1">IFERROR(__xludf.DUMMYFUNCTION("IFERROR(SUBSTITUTE(SUBSTITUTE(REGEXEXTRACT(A7873, ""[^-]+- [^-]+- [^-]+ - (.+?)\.jpg""), "".jpg"", """"), ""-"", "", ""), """")"),"")</f>
        <v/>
      </c>
      <c r="L7873" s="12"/>
      <c r="M7873" s="13"/>
      <c r="N7873" s="2"/>
      <c r="O7873" s="20"/>
      <c r="P7873" s="42"/>
      <c r="R7873" s="23"/>
    </row>
    <row r="7874" spans="1:18" ht="12.75">
      <c r="A7874" s="12"/>
      <c r="D7874" s="12"/>
      <c r="E7874" s="12"/>
      <c r="H7874" s="11" t="str">
        <f ca="1">IFERROR(__xludf.DUMMYFUNCTION("IFERROR(SUBSTITUTE(SUBSTITUTE(REGEXEXTRACT(A7874, ""[^-]+- [^-]+- [^-]+ - (.+?)\.jpg""), "".jpg"", """"), ""-"", "", ""), """")"),"")</f>
        <v/>
      </c>
      <c r="L7874" s="12"/>
      <c r="M7874" s="13"/>
      <c r="N7874" s="2"/>
      <c r="O7874" s="20"/>
      <c r="P7874" s="42"/>
      <c r="R7874" s="23"/>
    </row>
    <row r="7875" spans="1:18" ht="12.75">
      <c r="A7875" s="12"/>
      <c r="D7875" s="12"/>
      <c r="E7875" s="12"/>
      <c r="H7875" s="11" t="str">
        <f ca="1">IFERROR(__xludf.DUMMYFUNCTION("IFERROR(SUBSTITUTE(SUBSTITUTE(REGEXEXTRACT(A7875, ""[^-]+- [^-]+- [^-]+ - (.+?)\.jpg""), "".jpg"", """"), ""-"", "", ""), """")"),"")</f>
        <v/>
      </c>
      <c r="L7875" s="12"/>
      <c r="M7875" s="13"/>
      <c r="N7875" s="2"/>
      <c r="O7875" s="20"/>
      <c r="P7875" s="42"/>
      <c r="R7875" s="23"/>
    </row>
    <row r="7876" spans="1:18" ht="12.75">
      <c r="A7876" s="12"/>
      <c r="D7876" s="12"/>
      <c r="E7876" s="12"/>
      <c r="H7876" s="11" t="str">
        <f ca="1">IFERROR(__xludf.DUMMYFUNCTION("IFERROR(SUBSTITUTE(SUBSTITUTE(REGEXEXTRACT(A7876, ""[^-]+- [^-]+- [^-]+ - (.+?)\.jpg""), "".jpg"", """"), ""-"", "", ""), """")"),"")</f>
        <v/>
      </c>
      <c r="L7876" s="12"/>
      <c r="M7876" s="13"/>
      <c r="N7876" s="2"/>
      <c r="O7876" s="20"/>
      <c r="P7876" s="42"/>
      <c r="R7876" s="23"/>
    </row>
    <row r="7877" spans="1:18" ht="12.75">
      <c r="A7877" s="12"/>
      <c r="D7877" s="12"/>
      <c r="E7877" s="12"/>
      <c r="H7877" s="11" t="str">
        <f ca="1">IFERROR(__xludf.DUMMYFUNCTION("IFERROR(SUBSTITUTE(SUBSTITUTE(REGEXEXTRACT(A7877, ""[^-]+- [^-]+- [^-]+ - (.+?)\.jpg""), "".jpg"", """"), ""-"", "", ""), """")"),"")</f>
        <v/>
      </c>
      <c r="L7877" s="12"/>
      <c r="M7877" s="13"/>
      <c r="N7877" s="2"/>
      <c r="O7877" s="20"/>
      <c r="P7877" s="42"/>
      <c r="R7877" s="23"/>
    </row>
    <row r="7878" spans="1:18" ht="12.75">
      <c r="A7878" s="12"/>
      <c r="D7878" s="12"/>
      <c r="E7878" s="12"/>
      <c r="H7878" s="11" t="str">
        <f ca="1">IFERROR(__xludf.DUMMYFUNCTION("IFERROR(SUBSTITUTE(SUBSTITUTE(REGEXEXTRACT(A7878, ""[^-]+- [^-]+- [^-]+ - (.+?)\.jpg""), "".jpg"", """"), ""-"", "", ""), """")"),"")</f>
        <v/>
      </c>
      <c r="L7878" s="12"/>
      <c r="M7878" s="13"/>
      <c r="N7878" s="2"/>
      <c r="O7878" s="20"/>
      <c r="P7878" s="42"/>
      <c r="R7878" s="23"/>
    </row>
    <row r="7879" spans="1:18" ht="12.75">
      <c r="A7879" s="12"/>
      <c r="D7879" s="12"/>
      <c r="E7879" s="12"/>
      <c r="H7879" s="11" t="str">
        <f ca="1">IFERROR(__xludf.DUMMYFUNCTION("IFERROR(SUBSTITUTE(SUBSTITUTE(REGEXEXTRACT(A7879, ""[^-]+- [^-]+- [^-]+ - (.+?)\.jpg""), "".jpg"", """"), ""-"", "", ""), """")"),"")</f>
        <v/>
      </c>
      <c r="L7879" s="12"/>
      <c r="M7879" s="13"/>
      <c r="N7879" s="2"/>
      <c r="O7879" s="20"/>
      <c r="P7879" s="42"/>
      <c r="R7879" s="23"/>
    </row>
    <row r="7880" spans="1:18" ht="12.75">
      <c r="A7880" s="12"/>
      <c r="D7880" s="12"/>
      <c r="E7880" s="12"/>
      <c r="H7880" s="11" t="str">
        <f ca="1">IFERROR(__xludf.DUMMYFUNCTION("IFERROR(SUBSTITUTE(SUBSTITUTE(REGEXEXTRACT(A7880, ""[^-]+- [^-]+- [^-]+ - (.+?)\.jpg""), "".jpg"", """"), ""-"", "", ""), """")"),"")</f>
        <v/>
      </c>
      <c r="L7880" s="12"/>
      <c r="M7880" s="13"/>
      <c r="N7880" s="2"/>
      <c r="O7880" s="20"/>
      <c r="P7880" s="42"/>
      <c r="R7880" s="23"/>
    </row>
    <row r="7881" spans="1:18" ht="12.75">
      <c r="A7881" s="12"/>
      <c r="D7881" s="12"/>
      <c r="E7881" s="12"/>
      <c r="H7881" s="11" t="str">
        <f ca="1">IFERROR(__xludf.DUMMYFUNCTION("IFERROR(SUBSTITUTE(SUBSTITUTE(REGEXEXTRACT(A7881, ""[^-]+- [^-]+- [^-]+ - (.+?)\.jpg""), "".jpg"", """"), ""-"", "", ""), """")"),"")</f>
        <v/>
      </c>
      <c r="L7881" s="12"/>
      <c r="M7881" s="13"/>
      <c r="N7881" s="2"/>
      <c r="O7881" s="20"/>
      <c r="P7881" s="42"/>
      <c r="R7881" s="23"/>
    </row>
    <row r="7882" spans="1:18" ht="12.75">
      <c r="A7882" s="12"/>
      <c r="D7882" s="12"/>
      <c r="E7882" s="12"/>
      <c r="H7882" s="11" t="str">
        <f ca="1">IFERROR(__xludf.DUMMYFUNCTION("IFERROR(SUBSTITUTE(SUBSTITUTE(REGEXEXTRACT(A7882, ""[^-]+- [^-]+- [^-]+ - (.+?)\.jpg""), "".jpg"", """"), ""-"", "", ""), """")"),"")</f>
        <v/>
      </c>
      <c r="L7882" s="12"/>
      <c r="M7882" s="13"/>
      <c r="N7882" s="2"/>
      <c r="O7882" s="20"/>
      <c r="P7882" s="42"/>
      <c r="R7882" s="23"/>
    </row>
    <row r="7883" spans="1:18" ht="12.75">
      <c r="A7883" s="12"/>
      <c r="D7883" s="12"/>
      <c r="E7883" s="12"/>
      <c r="H7883" s="11" t="str">
        <f ca="1">IFERROR(__xludf.DUMMYFUNCTION("IFERROR(SUBSTITUTE(SUBSTITUTE(REGEXEXTRACT(A7883, ""[^-]+- [^-]+- [^-]+ - (.+?)\.jpg""), "".jpg"", """"), ""-"", "", ""), """")"),"")</f>
        <v/>
      </c>
      <c r="L7883" s="12"/>
      <c r="M7883" s="13"/>
      <c r="N7883" s="2"/>
      <c r="O7883" s="20"/>
      <c r="P7883" s="42"/>
      <c r="R7883" s="23"/>
    </row>
    <row r="7884" spans="1:18" ht="12.75">
      <c r="A7884" s="12"/>
      <c r="D7884" s="12"/>
      <c r="E7884" s="12"/>
      <c r="H7884" s="11" t="str">
        <f ca="1">IFERROR(__xludf.DUMMYFUNCTION("IFERROR(SUBSTITUTE(SUBSTITUTE(REGEXEXTRACT(A7884, ""[^-]+- [^-]+- [^-]+ - (.+?)\.jpg""), "".jpg"", """"), ""-"", "", ""), """")"),"")</f>
        <v/>
      </c>
      <c r="L7884" s="12"/>
      <c r="M7884" s="13"/>
      <c r="N7884" s="2"/>
      <c r="O7884" s="20"/>
      <c r="P7884" s="42"/>
      <c r="R7884" s="23"/>
    </row>
    <row r="7885" spans="1:18" ht="12.75">
      <c r="A7885" s="12"/>
      <c r="D7885" s="12"/>
      <c r="E7885" s="12"/>
      <c r="H7885" s="11" t="str">
        <f ca="1">IFERROR(__xludf.DUMMYFUNCTION("IFERROR(SUBSTITUTE(SUBSTITUTE(REGEXEXTRACT(A7885, ""[^-]+- [^-]+- [^-]+ - (.+?)\.jpg""), "".jpg"", """"), ""-"", "", ""), """")"),"")</f>
        <v/>
      </c>
      <c r="L7885" s="12"/>
      <c r="M7885" s="13"/>
      <c r="N7885" s="2"/>
      <c r="O7885" s="20"/>
      <c r="P7885" s="42"/>
      <c r="R7885" s="23"/>
    </row>
    <row r="7886" spans="1:18" ht="12.75">
      <c r="A7886" s="12"/>
      <c r="D7886" s="12"/>
      <c r="E7886" s="12"/>
      <c r="H7886" s="11" t="str">
        <f ca="1">IFERROR(__xludf.DUMMYFUNCTION("IFERROR(SUBSTITUTE(SUBSTITUTE(REGEXEXTRACT(A7886, ""[^-]+- [^-]+- [^-]+ - (.+?)\.jpg""), "".jpg"", """"), ""-"", "", ""), """")"),"")</f>
        <v/>
      </c>
      <c r="L7886" s="12"/>
      <c r="M7886" s="13"/>
      <c r="N7886" s="2"/>
      <c r="O7886" s="20"/>
      <c r="P7886" s="42"/>
      <c r="R7886" s="23"/>
    </row>
    <row r="7887" spans="1:18" ht="12.75">
      <c r="A7887" s="12"/>
      <c r="D7887" s="12"/>
      <c r="E7887" s="12"/>
      <c r="H7887" s="11" t="str">
        <f ca="1">IFERROR(__xludf.DUMMYFUNCTION("IFERROR(SUBSTITUTE(SUBSTITUTE(REGEXEXTRACT(A7887, ""[^-]+- [^-]+- [^-]+ - (.+?)\.jpg""), "".jpg"", """"), ""-"", "", ""), """")"),"")</f>
        <v/>
      </c>
      <c r="L7887" s="12"/>
      <c r="M7887" s="13"/>
      <c r="N7887" s="2"/>
      <c r="O7887" s="20"/>
      <c r="P7887" s="42"/>
      <c r="R7887" s="23"/>
    </row>
    <row r="7888" spans="1:18" ht="12.75">
      <c r="A7888" s="12"/>
      <c r="D7888" s="12"/>
      <c r="E7888" s="12"/>
      <c r="H7888" s="11" t="str">
        <f ca="1">IFERROR(__xludf.DUMMYFUNCTION("IFERROR(SUBSTITUTE(SUBSTITUTE(REGEXEXTRACT(A7888, ""[^-]+- [^-]+- [^-]+ - (.+?)\.jpg""), "".jpg"", """"), ""-"", "", ""), """")"),"")</f>
        <v/>
      </c>
      <c r="L7888" s="12"/>
      <c r="M7888" s="13"/>
      <c r="N7888" s="2"/>
      <c r="O7888" s="20"/>
      <c r="P7888" s="42"/>
      <c r="R7888" s="23"/>
    </row>
    <row r="7889" spans="1:18" ht="12.75">
      <c r="A7889" s="12"/>
      <c r="D7889" s="12"/>
      <c r="E7889" s="12"/>
      <c r="H7889" s="11" t="str">
        <f ca="1">IFERROR(__xludf.DUMMYFUNCTION("IFERROR(SUBSTITUTE(SUBSTITUTE(REGEXEXTRACT(A7889, ""[^-]+- [^-]+- [^-]+ - (.+?)\.jpg""), "".jpg"", """"), ""-"", "", ""), """")"),"")</f>
        <v/>
      </c>
      <c r="L7889" s="12"/>
      <c r="M7889" s="13"/>
      <c r="N7889" s="2"/>
      <c r="O7889" s="20"/>
      <c r="P7889" s="42"/>
      <c r="R7889" s="23"/>
    </row>
    <row r="7890" spans="1:18" ht="12.75">
      <c r="A7890" s="12"/>
      <c r="D7890" s="12"/>
      <c r="E7890" s="12"/>
      <c r="H7890" s="11" t="str">
        <f ca="1">IFERROR(__xludf.DUMMYFUNCTION("IFERROR(SUBSTITUTE(SUBSTITUTE(REGEXEXTRACT(A7890, ""[^-]+- [^-]+- [^-]+ - (.+?)\.jpg""), "".jpg"", """"), ""-"", "", ""), """")"),"")</f>
        <v/>
      </c>
      <c r="L7890" s="12"/>
      <c r="M7890" s="13"/>
      <c r="N7890" s="2"/>
      <c r="O7890" s="20"/>
      <c r="P7890" s="42"/>
      <c r="R7890" s="23"/>
    </row>
    <row r="7891" spans="1:18" ht="12.75">
      <c r="A7891" s="12"/>
      <c r="D7891" s="12"/>
      <c r="E7891" s="12"/>
      <c r="H7891" s="11" t="str">
        <f ca="1">IFERROR(__xludf.DUMMYFUNCTION("IFERROR(SUBSTITUTE(SUBSTITUTE(REGEXEXTRACT(A7891, ""[^-]+- [^-]+- [^-]+ - (.+?)\.jpg""), "".jpg"", """"), ""-"", "", ""), """")"),"")</f>
        <v/>
      </c>
      <c r="L7891" s="12"/>
      <c r="M7891" s="13"/>
      <c r="N7891" s="2"/>
      <c r="O7891" s="20"/>
      <c r="P7891" s="42"/>
      <c r="R7891" s="23"/>
    </row>
    <row r="7892" spans="1:18" ht="12.75">
      <c r="A7892" s="12"/>
      <c r="D7892" s="12"/>
      <c r="E7892" s="12"/>
      <c r="H7892" s="11" t="str">
        <f ca="1">IFERROR(__xludf.DUMMYFUNCTION("IFERROR(SUBSTITUTE(SUBSTITUTE(REGEXEXTRACT(A7892, ""[^-]+- [^-]+- [^-]+ - (.+?)\.jpg""), "".jpg"", """"), ""-"", "", ""), """")"),"")</f>
        <v/>
      </c>
      <c r="L7892" s="12"/>
      <c r="M7892" s="13"/>
      <c r="N7892" s="2"/>
      <c r="O7892" s="20"/>
      <c r="P7892" s="42"/>
      <c r="R7892" s="23"/>
    </row>
    <row r="7893" spans="1:18" ht="12.75">
      <c r="A7893" s="12"/>
      <c r="D7893" s="12"/>
      <c r="E7893" s="12"/>
      <c r="H7893" s="11" t="str">
        <f ca="1">IFERROR(__xludf.DUMMYFUNCTION("IFERROR(SUBSTITUTE(SUBSTITUTE(REGEXEXTRACT(A7893, ""[^-]+- [^-]+- [^-]+ - (.+?)\.jpg""), "".jpg"", """"), ""-"", "", ""), """")"),"")</f>
        <v/>
      </c>
      <c r="L7893" s="12"/>
      <c r="M7893" s="13"/>
      <c r="N7893" s="2"/>
      <c r="O7893" s="20"/>
      <c r="P7893" s="42"/>
      <c r="R7893" s="23"/>
    </row>
    <row r="7894" spans="1:18" ht="12.75">
      <c r="A7894" s="12"/>
      <c r="D7894" s="12"/>
      <c r="E7894" s="12"/>
      <c r="H7894" s="11" t="str">
        <f ca="1">IFERROR(__xludf.DUMMYFUNCTION("IFERROR(SUBSTITUTE(SUBSTITUTE(REGEXEXTRACT(A7894, ""[^-]+- [^-]+- [^-]+ - (.+?)\.jpg""), "".jpg"", """"), ""-"", "", ""), """")"),"")</f>
        <v/>
      </c>
      <c r="L7894" s="12"/>
      <c r="M7894" s="13"/>
      <c r="N7894" s="2"/>
      <c r="O7894" s="20"/>
      <c r="P7894" s="42"/>
      <c r="R7894" s="23"/>
    </row>
    <row r="7895" spans="1:18" ht="12.75">
      <c r="A7895" s="12"/>
      <c r="D7895" s="12"/>
      <c r="E7895" s="12"/>
      <c r="H7895" s="11" t="str">
        <f ca="1">IFERROR(__xludf.DUMMYFUNCTION("IFERROR(SUBSTITUTE(SUBSTITUTE(REGEXEXTRACT(A7895, ""[^-]+- [^-]+- [^-]+ - (.+?)\.jpg""), "".jpg"", """"), ""-"", "", ""), """")"),"")</f>
        <v/>
      </c>
      <c r="L7895" s="12"/>
      <c r="M7895" s="13"/>
      <c r="N7895" s="2"/>
      <c r="O7895" s="20"/>
      <c r="P7895" s="42"/>
      <c r="R7895" s="23"/>
    </row>
    <row r="7896" spans="1:18" ht="12.75">
      <c r="A7896" s="12"/>
      <c r="D7896" s="12"/>
      <c r="E7896" s="12"/>
      <c r="H7896" s="11" t="str">
        <f ca="1">IFERROR(__xludf.DUMMYFUNCTION("IFERROR(SUBSTITUTE(SUBSTITUTE(REGEXEXTRACT(A7896, ""[^-]+- [^-]+- [^-]+ - (.+?)\.jpg""), "".jpg"", """"), ""-"", "", ""), """")"),"")</f>
        <v/>
      </c>
      <c r="L7896" s="12"/>
      <c r="M7896" s="13"/>
      <c r="N7896" s="2"/>
      <c r="O7896" s="20"/>
      <c r="P7896" s="42"/>
      <c r="R7896" s="23"/>
    </row>
    <row r="7897" spans="1:18" ht="12.75">
      <c r="A7897" s="12"/>
      <c r="D7897" s="12"/>
      <c r="E7897" s="12"/>
      <c r="H7897" s="11" t="str">
        <f ca="1">IFERROR(__xludf.DUMMYFUNCTION("IFERROR(SUBSTITUTE(SUBSTITUTE(REGEXEXTRACT(A7897, ""[^-]+- [^-]+- [^-]+ - (.+?)\.jpg""), "".jpg"", """"), ""-"", "", ""), """")"),"")</f>
        <v/>
      </c>
      <c r="L7897" s="12"/>
      <c r="M7897" s="13"/>
      <c r="N7897" s="2"/>
      <c r="O7897" s="20"/>
      <c r="P7897" s="42"/>
      <c r="R7897" s="23"/>
    </row>
    <row r="7898" spans="1:18" ht="12.75">
      <c r="A7898" s="12"/>
      <c r="D7898" s="12"/>
      <c r="E7898" s="12"/>
      <c r="H7898" s="11" t="str">
        <f ca="1">IFERROR(__xludf.DUMMYFUNCTION("IFERROR(SUBSTITUTE(SUBSTITUTE(REGEXEXTRACT(A7898, ""[^-]+- [^-]+- [^-]+ - (.+?)\.jpg""), "".jpg"", """"), ""-"", "", ""), """")"),"")</f>
        <v/>
      </c>
      <c r="L7898" s="12"/>
      <c r="M7898" s="13"/>
      <c r="N7898" s="2"/>
      <c r="O7898" s="20"/>
      <c r="P7898" s="42"/>
      <c r="R7898" s="23"/>
    </row>
    <row r="7899" spans="1:18" ht="12.75">
      <c r="A7899" s="12"/>
      <c r="D7899" s="12"/>
      <c r="E7899" s="12"/>
      <c r="H7899" s="11" t="str">
        <f ca="1">IFERROR(__xludf.DUMMYFUNCTION("IFERROR(SUBSTITUTE(SUBSTITUTE(REGEXEXTRACT(A7899, ""[^-]+- [^-]+- [^-]+ - (.+?)\.jpg""), "".jpg"", """"), ""-"", "", ""), """")"),"")</f>
        <v/>
      </c>
      <c r="L7899" s="12"/>
      <c r="M7899" s="13"/>
      <c r="N7899" s="2"/>
      <c r="O7899" s="20"/>
      <c r="P7899" s="42"/>
      <c r="R7899" s="23"/>
    </row>
    <row r="7900" spans="1:18" ht="12.75">
      <c r="A7900" s="12"/>
      <c r="D7900" s="12"/>
      <c r="E7900" s="12"/>
      <c r="H7900" s="11" t="str">
        <f ca="1">IFERROR(__xludf.DUMMYFUNCTION("IFERROR(SUBSTITUTE(SUBSTITUTE(REGEXEXTRACT(A7900, ""[^-]+- [^-]+- [^-]+ - (.+?)\.jpg""), "".jpg"", """"), ""-"", "", ""), """")"),"")</f>
        <v/>
      </c>
      <c r="L7900" s="12"/>
      <c r="M7900" s="13"/>
      <c r="N7900" s="2"/>
      <c r="O7900" s="20"/>
      <c r="P7900" s="42"/>
      <c r="R7900" s="23"/>
    </row>
    <row r="7901" spans="1:18" ht="12.75">
      <c r="A7901" s="12"/>
      <c r="D7901" s="12"/>
      <c r="E7901" s="12"/>
      <c r="H7901" s="11" t="str">
        <f ca="1">IFERROR(__xludf.DUMMYFUNCTION("IFERROR(SUBSTITUTE(SUBSTITUTE(REGEXEXTRACT(A7901, ""[^-]+- [^-]+- [^-]+ - (.+?)\.jpg""), "".jpg"", """"), ""-"", "", ""), """")"),"")</f>
        <v/>
      </c>
      <c r="L7901" s="12"/>
      <c r="M7901" s="13"/>
      <c r="N7901" s="2"/>
      <c r="O7901" s="20"/>
      <c r="P7901" s="42"/>
      <c r="R7901" s="23"/>
    </row>
    <row r="7902" spans="1:18" ht="12.75">
      <c r="A7902" s="12"/>
      <c r="D7902" s="12"/>
      <c r="E7902" s="12"/>
      <c r="H7902" s="11" t="str">
        <f ca="1">IFERROR(__xludf.DUMMYFUNCTION("IFERROR(SUBSTITUTE(SUBSTITUTE(REGEXEXTRACT(A7902, ""[^-]+- [^-]+- [^-]+ - (.+?)\.jpg""), "".jpg"", """"), ""-"", "", ""), """")"),"")</f>
        <v/>
      </c>
      <c r="L7902" s="12"/>
      <c r="M7902" s="13"/>
      <c r="N7902" s="2"/>
      <c r="O7902" s="20"/>
      <c r="P7902" s="42"/>
      <c r="R7902" s="23"/>
    </row>
    <row r="7903" spans="1:18" ht="12.75">
      <c r="A7903" s="12"/>
      <c r="D7903" s="12"/>
      <c r="E7903" s="12"/>
      <c r="H7903" s="11" t="str">
        <f ca="1">IFERROR(__xludf.DUMMYFUNCTION("IFERROR(SUBSTITUTE(SUBSTITUTE(REGEXEXTRACT(A7903, ""[^-]+- [^-]+- [^-]+ - (.+?)\.jpg""), "".jpg"", """"), ""-"", "", ""), """")"),"")</f>
        <v/>
      </c>
      <c r="L7903" s="12"/>
      <c r="M7903" s="13"/>
      <c r="N7903" s="2"/>
      <c r="O7903" s="20"/>
      <c r="P7903" s="42"/>
      <c r="R7903" s="23"/>
    </row>
    <row r="7904" spans="1:18" ht="12.75">
      <c r="A7904" s="12"/>
      <c r="D7904" s="12"/>
      <c r="E7904" s="12"/>
      <c r="H7904" s="11" t="str">
        <f ca="1">IFERROR(__xludf.DUMMYFUNCTION("IFERROR(SUBSTITUTE(SUBSTITUTE(REGEXEXTRACT(A7904, ""[^-]+- [^-]+- [^-]+ - (.+?)\.jpg""), "".jpg"", """"), ""-"", "", ""), """")"),"")</f>
        <v/>
      </c>
      <c r="L7904" s="12"/>
      <c r="M7904" s="13"/>
      <c r="N7904" s="2"/>
      <c r="O7904" s="20"/>
      <c r="P7904" s="42"/>
      <c r="R7904" s="23"/>
    </row>
    <row r="7905" spans="1:18" ht="12.75">
      <c r="A7905" s="12"/>
      <c r="D7905" s="12"/>
      <c r="E7905" s="12"/>
      <c r="H7905" s="11" t="str">
        <f ca="1">IFERROR(__xludf.DUMMYFUNCTION("IFERROR(SUBSTITUTE(SUBSTITUTE(REGEXEXTRACT(A7905, ""[^-]+- [^-]+- [^-]+ - (.+?)\.jpg""), "".jpg"", """"), ""-"", "", ""), """")"),"")</f>
        <v/>
      </c>
      <c r="L7905" s="12"/>
      <c r="M7905" s="13"/>
      <c r="N7905" s="2"/>
      <c r="O7905" s="20"/>
      <c r="P7905" s="42"/>
      <c r="R7905" s="23"/>
    </row>
    <row r="7906" spans="1:18" ht="12.75">
      <c r="A7906" s="12"/>
      <c r="D7906" s="12"/>
      <c r="E7906" s="12"/>
      <c r="H7906" s="11" t="str">
        <f ca="1">IFERROR(__xludf.DUMMYFUNCTION("IFERROR(SUBSTITUTE(SUBSTITUTE(REGEXEXTRACT(A7906, ""[^-]+- [^-]+- [^-]+ - (.+?)\.jpg""), "".jpg"", """"), ""-"", "", ""), """")"),"")</f>
        <v/>
      </c>
      <c r="L7906" s="12"/>
      <c r="M7906" s="13"/>
      <c r="N7906" s="2"/>
      <c r="O7906" s="20"/>
      <c r="P7906" s="42"/>
      <c r="R7906" s="23"/>
    </row>
    <row r="7907" spans="1:18" ht="12.75">
      <c r="A7907" s="12"/>
      <c r="D7907" s="12"/>
      <c r="E7907" s="12"/>
      <c r="H7907" s="11" t="str">
        <f ca="1">IFERROR(__xludf.DUMMYFUNCTION("IFERROR(SUBSTITUTE(SUBSTITUTE(REGEXEXTRACT(A7907, ""[^-]+- [^-]+- [^-]+ - (.+?)\.jpg""), "".jpg"", """"), ""-"", "", ""), """")"),"")</f>
        <v/>
      </c>
      <c r="L7907" s="12"/>
      <c r="M7907" s="13"/>
      <c r="N7907" s="2"/>
      <c r="O7907" s="20"/>
      <c r="P7907" s="42"/>
      <c r="R7907" s="23"/>
    </row>
    <row r="7908" spans="1:18" ht="12.75">
      <c r="A7908" s="12"/>
      <c r="D7908" s="12"/>
      <c r="E7908" s="12"/>
      <c r="H7908" s="11" t="str">
        <f ca="1">IFERROR(__xludf.DUMMYFUNCTION("IFERROR(SUBSTITUTE(SUBSTITUTE(REGEXEXTRACT(A7908, ""[^-]+- [^-]+- [^-]+ - (.+?)\.jpg""), "".jpg"", """"), ""-"", "", ""), """")"),"")</f>
        <v/>
      </c>
      <c r="L7908" s="12"/>
      <c r="M7908" s="13"/>
      <c r="N7908" s="2"/>
      <c r="O7908" s="20"/>
      <c r="P7908" s="42"/>
      <c r="R7908" s="23"/>
    </row>
    <row r="7909" spans="1:18" ht="12.75">
      <c r="A7909" s="12"/>
      <c r="D7909" s="12"/>
      <c r="E7909" s="12"/>
      <c r="H7909" s="11" t="str">
        <f ca="1">IFERROR(__xludf.DUMMYFUNCTION("IFERROR(SUBSTITUTE(SUBSTITUTE(REGEXEXTRACT(A7909, ""[^-]+- [^-]+- [^-]+ - (.+?)\.jpg""), "".jpg"", """"), ""-"", "", ""), """")"),"")</f>
        <v/>
      </c>
      <c r="L7909" s="12"/>
      <c r="M7909" s="13"/>
      <c r="N7909" s="2"/>
      <c r="O7909" s="20"/>
      <c r="P7909" s="42"/>
      <c r="R7909" s="23"/>
    </row>
    <row r="7910" spans="1:18" ht="12.75">
      <c r="A7910" s="12"/>
      <c r="D7910" s="12"/>
      <c r="E7910" s="12"/>
      <c r="H7910" s="11" t="str">
        <f ca="1">IFERROR(__xludf.DUMMYFUNCTION("IFERROR(SUBSTITUTE(SUBSTITUTE(REGEXEXTRACT(A7910, ""[^-]+- [^-]+- [^-]+ - (.+?)\.jpg""), "".jpg"", """"), ""-"", "", ""), """")"),"")</f>
        <v/>
      </c>
      <c r="L7910" s="12"/>
      <c r="M7910" s="13"/>
      <c r="N7910" s="2"/>
      <c r="O7910" s="20"/>
      <c r="P7910" s="42"/>
      <c r="R7910" s="23"/>
    </row>
    <row r="7911" spans="1:18" ht="12.75">
      <c r="A7911" s="12"/>
      <c r="D7911" s="12"/>
      <c r="E7911" s="12"/>
      <c r="H7911" s="11" t="str">
        <f ca="1">IFERROR(__xludf.DUMMYFUNCTION("IFERROR(SUBSTITUTE(SUBSTITUTE(REGEXEXTRACT(A7911, ""[^-]+- [^-]+- [^-]+ - (.+?)\.jpg""), "".jpg"", """"), ""-"", "", ""), """")"),"")</f>
        <v/>
      </c>
      <c r="L7911" s="12"/>
      <c r="M7911" s="13"/>
      <c r="N7911" s="2"/>
      <c r="O7911" s="20"/>
      <c r="P7911" s="42"/>
      <c r="R7911" s="23"/>
    </row>
    <row r="7912" spans="1:18" ht="12.75">
      <c r="A7912" s="12"/>
      <c r="D7912" s="12"/>
      <c r="E7912" s="12"/>
      <c r="H7912" s="11" t="str">
        <f ca="1">IFERROR(__xludf.DUMMYFUNCTION("IFERROR(SUBSTITUTE(SUBSTITUTE(REGEXEXTRACT(A7912, ""[^-]+- [^-]+- [^-]+ - (.+?)\.jpg""), "".jpg"", """"), ""-"", "", ""), """")"),"")</f>
        <v/>
      </c>
      <c r="L7912" s="12"/>
      <c r="M7912" s="13"/>
      <c r="N7912" s="2"/>
      <c r="O7912" s="20"/>
      <c r="P7912" s="42"/>
      <c r="R7912" s="23"/>
    </row>
    <row r="7913" spans="1:18" ht="12.75">
      <c r="A7913" s="12"/>
      <c r="D7913" s="12"/>
      <c r="E7913" s="12"/>
      <c r="H7913" s="11" t="str">
        <f ca="1">IFERROR(__xludf.DUMMYFUNCTION("IFERROR(SUBSTITUTE(SUBSTITUTE(REGEXEXTRACT(A7913, ""[^-]+- [^-]+- [^-]+ - (.+?)\.jpg""), "".jpg"", """"), ""-"", "", ""), """")"),"")</f>
        <v/>
      </c>
      <c r="L7913" s="12"/>
      <c r="M7913" s="13"/>
      <c r="N7913" s="2"/>
      <c r="O7913" s="20"/>
      <c r="P7913" s="42"/>
      <c r="R7913" s="23"/>
    </row>
    <row r="7914" spans="1:18" ht="12.75">
      <c r="A7914" s="12"/>
      <c r="D7914" s="12"/>
      <c r="E7914" s="12"/>
      <c r="H7914" s="11" t="str">
        <f ca="1">IFERROR(__xludf.DUMMYFUNCTION("IFERROR(SUBSTITUTE(SUBSTITUTE(REGEXEXTRACT(A7914, ""[^-]+- [^-]+- [^-]+ - (.+?)\.jpg""), "".jpg"", """"), ""-"", "", ""), """")"),"")</f>
        <v/>
      </c>
      <c r="L7914" s="12"/>
      <c r="M7914" s="13"/>
      <c r="N7914" s="2"/>
      <c r="O7914" s="20"/>
      <c r="P7914" s="42"/>
      <c r="R7914" s="23"/>
    </row>
    <row r="7915" spans="1:18" ht="12.75">
      <c r="A7915" s="12"/>
      <c r="D7915" s="12"/>
      <c r="E7915" s="12"/>
      <c r="H7915" s="11" t="str">
        <f ca="1">IFERROR(__xludf.DUMMYFUNCTION("IFERROR(SUBSTITUTE(SUBSTITUTE(REGEXEXTRACT(A7915, ""[^-]+- [^-]+- [^-]+ - (.+?)\.jpg""), "".jpg"", """"), ""-"", "", ""), """")"),"")</f>
        <v/>
      </c>
      <c r="L7915" s="12"/>
      <c r="M7915" s="13"/>
      <c r="N7915" s="2"/>
      <c r="O7915" s="20"/>
      <c r="P7915" s="42"/>
      <c r="R7915" s="23"/>
    </row>
    <row r="7916" spans="1:18" ht="12.75">
      <c r="A7916" s="12"/>
      <c r="D7916" s="12"/>
      <c r="E7916" s="12"/>
      <c r="H7916" s="11" t="str">
        <f ca="1">IFERROR(__xludf.DUMMYFUNCTION("IFERROR(SUBSTITUTE(SUBSTITUTE(REGEXEXTRACT(A7916, ""[^-]+- [^-]+- [^-]+ - (.+?)\.jpg""), "".jpg"", """"), ""-"", "", ""), """")"),"")</f>
        <v/>
      </c>
      <c r="L7916" s="12"/>
      <c r="M7916" s="13"/>
      <c r="N7916" s="2"/>
      <c r="O7916" s="20"/>
      <c r="P7916" s="42"/>
      <c r="R7916" s="23"/>
    </row>
    <row r="7917" spans="1:18" ht="12.75">
      <c r="A7917" s="12"/>
      <c r="D7917" s="12"/>
      <c r="E7917" s="12"/>
      <c r="H7917" s="11" t="str">
        <f ca="1">IFERROR(__xludf.DUMMYFUNCTION("IFERROR(SUBSTITUTE(SUBSTITUTE(REGEXEXTRACT(A7917, ""[^-]+- [^-]+- [^-]+ - (.+?)\.jpg""), "".jpg"", """"), ""-"", "", ""), """")"),"")</f>
        <v/>
      </c>
      <c r="L7917" s="12"/>
      <c r="M7917" s="13"/>
      <c r="N7917" s="2"/>
      <c r="O7917" s="20"/>
      <c r="P7917" s="42"/>
      <c r="R7917" s="23"/>
    </row>
    <row r="7918" spans="1:18" ht="12.75">
      <c r="A7918" s="12"/>
      <c r="D7918" s="12"/>
      <c r="E7918" s="12"/>
      <c r="H7918" s="11" t="str">
        <f ca="1">IFERROR(__xludf.DUMMYFUNCTION("IFERROR(SUBSTITUTE(SUBSTITUTE(REGEXEXTRACT(A7918, ""[^-]+- [^-]+- [^-]+ - (.+?)\.jpg""), "".jpg"", """"), ""-"", "", ""), """")"),"")</f>
        <v/>
      </c>
      <c r="L7918" s="12"/>
      <c r="M7918" s="13"/>
      <c r="N7918" s="2"/>
      <c r="O7918" s="20"/>
      <c r="P7918" s="42"/>
      <c r="R7918" s="23"/>
    </row>
    <row r="7919" spans="1:18" ht="12.75">
      <c r="A7919" s="12"/>
      <c r="D7919" s="12"/>
      <c r="E7919" s="12"/>
      <c r="H7919" s="11" t="str">
        <f ca="1">IFERROR(__xludf.DUMMYFUNCTION("IFERROR(SUBSTITUTE(SUBSTITUTE(REGEXEXTRACT(A7919, ""[^-]+- [^-]+- [^-]+ - (.+?)\.jpg""), "".jpg"", """"), ""-"", "", ""), """")"),"")</f>
        <v/>
      </c>
      <c r="L7919" s="12"/>
      <c r="M7919" s="13"/>
      <c r="N7919" s="2"/>
      <c r="O7919" s="20"/>
      <c r="P7919" s="42"/>
      <c r="R7919" s="23"/>
    </row>
    <row r="7920" spans="1:18" ht="12.75">
      <c r="A7920" s="12"/>
      <c r="D7920" s="12"/>
      <c r="E7920" s="12"/>
      <c r="H7920" s="11" t="str">
        <f ca="1">IFERROR(__xludf.DUMMYFUNCTION("IFERROR(SUBSTITUTE(SUBSTITUTE(REGEXEXTRACT(A7920, ""[^-]+- [^-]+- [^-]+ - (.+?)\.jpg""), "".jpg"", """"), ""-"", "", ""), """")"),"")</f>
        <v/>
      </c>
      <c r="L7920" s="12"/>
      <c r="M7920" s="13"/>
      <c r="N7920" s="2"/>
      <c r="O7920" s="20"/>
      <c r="P7920" s="42"/>
      <c r="R7920" s="23"/>
    </row>
    <row r="7921" spans="1:18" ht="12.75">
      <c r="A7921" s="12"/>
      <c r="D7921" s="12"/>
      <c r="E7921" s="12"/>
      <c r="H7921" s="11" t="str">
        <f ca="1">IFERROR(__xludf.DUMMYFUNCTION("IFERROR(SUBSTITUTE(SUBSTITUTE(REGEXEXTRACT(A7921, ""[^-]+- [^-]+- [^-]+ - (.+?)\.jpg""), "".jpg"", """"), ""-"", "", ""), """")"),"")</f>
        <v/>
      </c>
      <c r="L7921" s="12"/>
      <c r="M7921" s="13"/>
      <c r="N7921" s="2"/>
      <c r="O7921" s="20"/>
      <c r="P7921" s="42"/>
      <c r="R7921" s="23"/>
    </row>
    <row r="7922" spans="1:18" ht="12.75">
      <c r="A7922" s="12"/>
      <c r="D7922" s="12"/>
      <c r="E7922" s="12"/>
      <c r="H7922" s="11" t="str">
        <f ca="1">IFERROR(__xludf.DUMMYFUNCTION("IFERROR(SUBSTITUTE(SUBSTITUTE(REGEXEXTRACT(A7922, ""[^-]+- [^-]+- [^-]+ - (.+?)\.jpg""), "".jpg"", """"), ""-"", "", ""), """")"),"")</f>
        <v/>
      </c>
      <c r="L7922" s="12"/>
      <c r="M7922" s="13"/>
      <c r="N7922" s="2"/>
      <c r="O7922" s="20"/>
      <c r="P7922" s="42"/>
      <c r="R7922" s="23"/>
    </row>
    <row r="7923" spans="1:18" ht="12.75">
      <c r="A7923" s="12"/>
      <c r="D7923" s="12"/>
      <c r="E7923" s="12"/>
      <c r="H7923" s="11" t="str">
        <f ca="1">IFERROR(__xludf.DUMMYFUNCTION("IFERROR(SUBSTITUTE(SUBSTITUTE(REGEXEXTRACT(A7923, ""[^-]+- [^-]+- [^-]+ - (.+?)\.jpg""), "".jpg"", """"), ""-"", "", ""), """")"),"")</f>
        <v/>
      </c>
      <c r="L7923" s="12"/>
      <c r="M7923" s="13"/>
      <c r="N7923" s="2"/>
      <c r="O7923" s="20"/>
      <c r="P7923" s="42"/>
      <c r="R7923" s="23"/>
    </row>
    <row r="7924" spans="1:18" ht="12.75">
      <c r="A7924" s="12"/>
      <c r="D7924" s="12"/>
      <c r="E7924" s="12"/>
      <c r="H7924" s="11" t="str">
        <f ca="1">IFERROR(__xludf.DUMMYFUNCTION("IFERROR(SUBSTITUTE(SUBSTITUTE(REGEXEXTRACT(A7924, ""[^-]+- [^-]+- [^-]+ - (.+?)\.jpg""), "".jpg"", """"), ""-"", "", ""), """")"),"")</f>
        <v/>
      </c>
      <c r="L7924" s="12"/>
      <c r="M7924" s="13"/>
      <c r="N7924" s="2"/>
      <c r="O7924" s="20"/>
      <c r="P7924" s="42"/>
      <c r="R7924" s="23"/>
    </row>
    <row r="7925" spans="1:18" ht="12.75">
      <c r="A7925" s="12"/>
      <c r="D7925" s="12"/>
      <c r="E7925" s="12"/>
      <c r="H7925" s="11" t="str">
        <f ca="1">IFERROR(__xludf.DUMMYFUNCTION("IFERROR(SUBSTITUTE(SUBSTITUTE(REGEXEXTRACT(A7925, ""[^-]+- [^-]+- [^-]+ - (.+?)\.jpg""), "".jpg"", """"), ""-"", "", ""), """")"),"")</f>
        <v/>
      </c>
      <c r="L7925" s="12"/>
      <c r="M7925" s="13"/>
      <c r="N7925" s="2"/>
      <c r="O7925" s="20"/>
      <c r="P7925" s="42"/>
      <c r="R7925" s="23"/>
    </row>
    <row r="7926" spans="1:18" ht="12.75">
      <c r="A7926" s="12"/>
      <c r="D7926" s="12"/>
      <c r="E7926" s="12"/>
      <c r="H7926" s="11" t="str">
        <f ca="1">IFERROR(__xludf.DUMMYFUNCTION("IFERROR(SUBSTITUTE(SUBSTITUTE(REGEXEXTRACT(A7926, ""[^-]+- [^-]+- [^-]+ - (.+?)\.jpg""), "".jpg"", """"), ""-"", "", ""), """")"),"")</f>
        <v/>
      </c>
      <c r="L7926" s="12"/>
      <c r="M7926" s="13"/>
      <c r="N7926" s="2"/>
      <c r="O7926" s="20"/>
      <c r="P7926" s="42"/>
      <c r="R7926" s="23"/>
    </row>
    <row r="7927" spans="1:18" ht="12.75">
      <c r="A7927" s="12"/>
      <c r="D7927" s="12"/>
      <c r="E7927" s="12"/>
      <c r="H7927" s="11" t="str">
        <f ca="1">IFERROR(__xludf.DUMMYFUNCTION("IFERROR(SUBSTITUTE(SUBSTITUTE(REGEXEXTRACT(A7927, ""[^-]+- [^-]+- [^-]+ - (.+?)\.jpg""), "".jpg"", """"), ""-"", "", ""), """")"),"")</f>
        <v/>
      </c>
      <c r="L7927" s="12"/>
      <c r="M7927" s="13"/>
      <c r="N7927" s="2"/>
      <c r="O7927" s="20"/>
      <c r="P7927" s="42"/>
      <c r="R7927" s="23"/>
    </row>
    <row r="7928" spans="1:18" ht="12.75">
      <c r="A7928" s="12"/>
      <c r="D7928" s="12"/>
      <c r="E7928" s="12"/>
      <c r="H7928" s="11" t="str">
        <f ca="1">IFERROR(__xludf.DUMMYFUNCTION("IFERROR(SUBSTITUTE(SUBSTITUTE(REGEXEXTRACT(A7928, ""[^-]+- [^-]+- [^-]+ - (.+?)\.jpg""), "".jpg"", """"), ""-"", "", ""), """")"),"")</f>
        <v/>
      </c>
      <c r="L7928" s="12"/>
      <c r="M7928" s="13"/>
      <c r="N7928" s="2"/>
      <c r="O7928" s="20"/>
      <c r="P7928" s="42"/>
      <c r="R7928" s="23"/>
    </row>
    <row r="7929" spans="1:18" ht="12.75">
      <c r="A7929" s="12"/>
      <c r="D7929" s="12"/>
      <c r="E7929" s="12"/>
      <c r="H7929" s="11" t="str">
        <f ca="1">IFERROR(__xludf.DUMMYFUNCTION("IFERROR(SUBSTITUTE(SUBSTITUTE(REGEXEXTRACT(A7929, ""[^-]+- [^-]+- [^-]+ - (.+?)\.jpg""), "".jpg"", """"), ""-"", "", ""), """")"),"")</f>
        <v/>
      </c>
      <c r="L7929" s="12"/>
      <c r="M7929" s="13"/>
      <c r="N7929" s="2"/>
      <c r="O7929" s="20"/>
      <c r="P7929" s="42"/>
      <c r="R7929" s="23"/>
    </row>
    <row r="7930" spans="1:18" ht="12.75">
      <c r="A7930" s="12"/>
      <c r="D7930" s="12"/>
      <c r="E7930" s="12"/>
      <c r="H7930" s="11" t="str">
        <f ca="1">IFERROR(__xludf.DUMMYFUNCTION("IFERROR(SUBSTITUTE(SUBSTITUTE(REGEXEXTRACT(A7930, ""[^-]+- [^-]+- [^-]+ - (.+?)\.jpg""), "".jpg"", """"), ""-"", "", ""), """")"),"")</f>
        <v/>
      </c>
      <c r="L7930" s="12"/>
      <c r="M7930" s="13"/>
      <c r="N7930" s="2"/>
      <c r="O7930" s="20"/>
      <c r="P7930" s="42"/>
      <c r="R7930" s="23"/>
    </row>
    <row r="7931" spans="1:18" ht="12.75">
      <c r="A7931" s="12"/>
      <c r="D7931" s="12"/>
      <c r="E7931" s="12"/>
      <c r="H7931" s="11" t="str">
        <f ca="1">IFERROR(__xludf.DUMMYFUNCTION("IFERROR(SUBSTITUTE(SUBSTITUTE(REGEXEXTRACT(A7931, ""[^-]+- [^-]+- [^-]+ - (.+?)\.jpg""), "".jpg"", """"), ""-"", "", ""), """")"),"")</f>
        <v/>
      </c>
      <c r="L7931" s="12"/>
      <c r="M7931" s="13"/>
      <c r="N7931" s="2"/>
      <c r="O7931" s="20"/>
      <c r="P7931" s="42"/>
      <c r="R7931" s="23"/>
    </row>
    <row r="7932" spans="1:18" ht="12.75">
      <c r="A7932" s="12"/>
      <c r="D7932" s="12"/>
      <c r="E7932" s="12"/>
      <c r="H7932" s="11" t="str">
        <f ca="1">IFERROR(__xludf.DUMMYFUNCTION("IFERROR(SUBSTITUTE(SUBSTITUTE(REGEXEXTRACT(A7932, ""[^-]+- [^-]+- [^-]+ - (.+?)\.jpg""), "".jpg"", """"), ""-"", "", ""), """")"),"")</f>
        <v/>
      </c>
      <c r="L7932" s="12"/>
      <c r="M7932" s="13"/>
      <c r="N7932" s="2"/>
      <c r="O7932" s="20"/>
      <c r="P7932" s="42"/>
      <c r="R7932" s="23"/>
    </row>
    <row r="7933" spans="1:18" ht="12.75">
      <c r="A7933" s="12"/>
      <c r="D7933" s="12"/>
      <c r="E7933" s="12"/>
      <c r="H7933" s="11" t="str">
        <f ca="1">IFERROR(__xludf.DUMMYFUNCTION("IFERROR(SUBSTITUTE(SUBSTITUTE(REGEXEXTRACT(A7933, ""[^-]+- [^-]+- [^-]+ - (.+?)\.jpg""), "".jpg"", """"), ""-"", "", ""), """")"),"")</f>
        <v/>
      </c>
      <c r="L7933" s="12"/>
      <c r="M7933" s="13"/>
      <c r="N7933" s="2"/>
      <c r="O7933" s="20"/>
      <c r="P7933" s="42"/>
      <c r="R7933" s="23"/>
    </row>
    <row r="7934" spans="1:18" ht="12.75">
      <c r="A7934" s="12"/>
      <c r="D7934" s="12"/>
      <c r="E7934" s="12"/>
      <c r="H7934" s="11" t="str">
        <f ca="1">IFERROR(__xludf.DUMMYFUNCTION("IFERROR(SUBSTITUTE(SUBSTITUTE(REGEXEXTRACT(A7934, ""[^-]+- [^-]+- [^-]+ - (.+?)\.jpg""), "".jpg"", """"), ""-"", "", ""), """")"),"")</f>
        <v/>
      </c>
      <c r="L7934" s="12"/>
      <c r="M7934" s="13"/>
      <c r="N7934" s="2"/>
      <c r="O7934" s="20"/>
      <c r="P7934" s="42"/>
      <c r="R7934" s="23"/>
    </row>
    <row r="7935" spans="1:18" ht="12.75">
      <c r="A7935" s="12"/>
      <c r="D7935" s="12"/>
      <c r="E7935" s="12"/>
      <c r="H7935" s="11" t="str">
        <f ca="1">IFERROR(__xludf.DUMMYFUNCTION("IFERROR(SUBSTITUTE(SUBSTITUTE(REGEXEXTRACT(A7935, ""[^-]+- [^-]+- [^-]+ - (.+?)\.jpg""), "".jpg"", """"), ""-"", "", ""), """")"),"")</f>
        <v/>
      </c>
      <c r="L7935" s="12"/>
      <c r="M7935" s="13"/>
      <c r="N7935" s="2"/>
      <c r="O7935" s="20"/>
      <c r="P7935" s="42"/>
      <c r="R7935" s="23"/>
    </row>
    <row r="7936" spans="1:18" ht="12.75">
      <c r="A7936" s="12"/>
      <c r="D7936" s="12"/>
      <c r="E7936" s="12"/>
      <c r="H7936" s="11" t="str">
        <f ca="1">IFERROR(__xludf.DUMMYFUNCTION("IFERROR(SUBSTITUTE(SUBSTITUTE(REGEXEXTRACT(A7936, ""[^-]+- [^-]+- [^-]+ - (.+?)\.jpg""), "".jpg"", """"), ""-"", "", ""), """")"),"")</f>
        <v/>
      </c>
      <c r="L7936" s="12"/>
      <c r="M7936" s="13"/>
      <c r="N7936" s="2"/>
      <c r="O7936" s="20"/>
      <c r="P7936" s="42"/>
      <c r="R7936" s="23"/>
    </row>
    <row r="7937" spans="1:18" ht="12.75">
      <c r="A7937" s="12"/>
      <c r="D7937" s="12"/>
      <c r="E7937" s="12"/>
      <c r="H7937" s="11" t="str">
        <f ca="1">IFERROR(__xludf.DUMMYFUNCTION("IFERROR(SUBSTITUTE(SUBSTITUTE(REGEXEXTRACT(A7937, ""[^-]+- [^-]+- [^-]+ - (.+?)\.jpg""), "".jpg"", """"), ""-"", "", ""), """")"),"")</f>
        <v/>
      </c>
      <c r="L7937" s="12"/>
      <c r="M7937" s="13"/>
      <c r="N7937" s="2"/>
      <c r="O7937" s="20"/>
      <c r="P7937" s="42"/>
      <c r="R7937" s="23"/>
    </row>
    <row r="7938" spans="1:18" ht="12.75">
      <c r="A7938" s="12"/>
      <c r="D7938" s="12"/>
      <c r="E7938" s="12"/>
      <c r="H7938" s="11" t="str">
        <f ca="1">IFERROR(__xludf.DUMMYFUNCTION("IFERROR(SUBSTITUTE(SUBSTITUTE(REGEXEXTRACT(A7938, ""[^-]+- [^-]+- [^-]+ - (.+?)\.jpg""), "".jpg"", """"), ""-"", "", ""), """")"),"")</f>
        <v/>
      </c>
      <c r="L7938" s="12"/>
      <c r="M7938" s="13"/>
      <c r="N7938" s="2"/>
      <c r="O7938" s="20"/>
      <c r="P7938" s="42"/>
      <c r="R7938" s="23"/>
    </row>
    <row r="7939" spans="1:18" ht="12.75">
      <c r="A7939" s="12"/>
      <c r="D7939" s="12"/>
      <c r="E7939" s="12"/>
      <c r="H7939" s="11" t="str">
        <f ca="1">IFERROR(__xludf.DUMMYFUNCTION("IFERROR(SUBSTITUTE(SUBSTITUTE(REGEXEXTRACT(A7939, ""[^-]+- [^-]+- [^-]+ - (.+?)\.jpg""), "".jpg"", """"), ""-"", "", ""), """")"),"")</f>
        <v/>
      </c>
      <c r="L7939" s="12"/>
      <c r="M7939" s="13"/>
      <c r="N7939" s="2"/>
      <c r="O7939" s="20"/>
      <c r="P7939" s="42"/>
      <c r="R7939" s="23"/>
    </row>
    <row r="7940" spans="1:18" ht="12.75">
      <c r="A7940" s="12"/>
      <c r="D7940" s="12"/>
      <c r="E7940" s="12"/>
      <c r="H7940" s="11" t="str">
        <f ca="1">IFERROR(__xludf.DUMMYFUNCTION("IFERROR(SUBSTITUTE(SUBSTITUTE(REGEXEXTRACT(A7940, ""[^-]+- [^-]+- [^-]+ - (.+?)\.jpg""), "".jpg"", """"), ""-"", "", ""), """")"),"")</f>
        <v/>
      </c>
      <c r="L7940" s="12"/>
      <c r="M7940" s="13"/>
      <c r="N7940" s="2"/>
      <c r="O7940" s="20"/>
      <c r="P7940" s="42"/>
      <c r="R7940" s="23"/>
    </row>
    <row r="7941" spans="1:18" ht="12.75">
      <c r="A7941" s="12"/>
      <c r="D7941" s="12"/>
      <c r="E7941" s="12"/>
      <c r="H7941" s="11" t="str">
        <f ca="1">IFERROR(__xludf.DUMMYFUNCTION("IFERROR(SUBSTITUTE(SUBSTITUTE(REGEXEXTRACT(A7941, ""[^-]+- [^-]+- [^-]+ - (.+?)\.jpg""), "".jpg"", """"), ""-"", "", ""), """")"),"")</f>
        <v/>
      </c>
      <c r="L7941" s="12"/>
      <c r="M7941" s="13"/>
      <c r="N7941" s="2"/>
      <c r="O7941" s="20"/>
      <c r="P7941" s="42"/>
      <c r="R7941" s="23"/>
    </row>
    <row r="7942" spans="1:18" ht="12.75">
      <c r="A7942" s="12"/>
      <c r="D7942" s="12"/>
      <c r="E7942" s="12"/>
      <c r="H7942" s="11" t="str">
        <f ca="1">IFERROR(__xludf.DUMMYFUNCTION("IFERROR(SUBSTITUTE(SUBSTITUTE(REGEXEXTRACT(A7942, ""[^-]+- [^-]+- [^-]+ - (.+?)\.jpg""), "".jpg"", """"), ""-"", "", ""), """")"),"")</f>
        <v/>
      </c>
      <c r="L7942" s="12"/>
      <c r="M7942" s="13"/>
      <c r="N7942" s="2"/>
      <c r="O7942" s="20"/>
      <c r="P7942" s="42"/>
      <c r="R7942" s="23"/>
    </row>
    <row r="7943" spans="1:18" ht="12.75">
      <c r="A7943" s="12"/>
      <c r="D7943" s="12"/>
      <c r="E7943" s="12"/>
      <c r="H7943" s="11" t="str">
        <f ca="1">IFERROR(__xludf.DUMMYFUNCTION("IFERROR(SUBSTITUTE(SUBSTITUTE(REGEXEXTRACT(A7943, ""[^-]+- [^-]+- [^-]+ - (.+?)\.jpg""), "".jpg"", """"), ""-"", "", ""), """")"),"")</f>
        <v/>
      </c>
      <c r="L7943" s="12"/>
      <c r="M7943" s="13"/>
      <c r="N7943" s="2"/>
      <c r="O7943" s="20"/>
      <c r="P7943" s="42"/>
      <c r="R7943" s="23"/>
    </row>
    <row r="7944" spans="1:18" ht="12.75">
      <c r="A7944" s="12"/>
      <c r="D7944" s="12"/>
      <c r="E7944" s="12"/>
      <c r="H7944" s="11" t="str">
        <f ca="1">IFERROR(__xludf.DUMMYFUNCTION("IFERROR(SUBSTITUTE(SUBSTITUTE(REGEXEXTRACT(A7944, ""[^-]+- [^-]+- [^-]+ - (.+?)\.jpg""), "".jpg"", """"), ""-"", "", ""), """")"),"")</f>
        <v/>
      </c>
      <c r="L7944" s="12"/>
      <c r="M7944" s="13"/>
      <c r="N7944" s="2"/>
      <c r="O7944" s="20"/>
      <c r="P7944" s="42"/>
      <c r="R7944" s="23"/>
    </row>
    <row r="7945" spans="1:18" ht="12.75">
      <c r="A7945" s="12"/>
      <c r="D7945" s="12"/>
      <c r="E7945" s="12"/>
      <c r="H7945" s="11" t="str">
        <f ca="1">IFERROR(__xludf.DUMMYFUNCTION("IFERROR(SUBSTITUTE(SUBSTITUTE(REGEXEXTRACT(A7945, ""[^-]+- [^-]+- [^-]+ - (.+?)\.jpg""), "".jpg"", """"), ""-"", "", ""), """")"),"")</f>
        <v/>
      </c>
      <c r="L7945" s="12"/>
      <c r="M7945" s="13"/>
      <c r="N7945" s="2"/>
      <c r="O7945" s="20"/>
      <c r="P7945" s="42"/>
      <c r="R7945" s="23"/>
    </row>
    <row r="7946" spans="1:18" ht="12.75">
      <c r="A7946" s="12"/>
      <c r="D7946" s="12"/>
      <c r="E7946" s="12"/>
      <c r="H7946" s="11" t="str">
        <f ca="1">IFERROR(__xludf.DUMMYFUNCTION("IFERROR(SUBSTITUTE(SUBSTITUTE(REGEXEXTRACT(A7946, ""[^-]+- [^-]+- [^-]+ - (.+?)\.jpg""), "".jpg"", """"), ""-"", "", ""), """")"),"")</f>
        <v/>
      </c>
      <c r="L7946" s="12"/>
      <c r="M7946" s="13"/>
      <c r="N7946" s="2"/>
      <c r="O7946" s="20"/>
      <c r="P7946" s="42"/>
      <c r="R7946" s="23"/>
    </row>
    <row r="7947" spans="1:18" ht="12.75">
      <c r="A7947" s="12"/>
      <c r="D7947" s="12"/>
      <c r="E7947" s="12"/>
      <c r="H7947" s="11" t="str">
        <f ca="1">IFERROR(__xludf.DUMMYFUNCTION("IFERROR(SUBSTITUTE(SUBSTITUTE(REGEXEXTRACT(A7947, ""[^-]+- [^-]+- [^-]+ - (.+?)\.jpg""), "".jpg"", """"), ""-"", "", ""), """")"),"")</f>
        <v/>
      </c>
      <c r="L7947" s="12"/>
      <c r="M7947" s="13"/>
      <c r="N7947" s="2"/>
      <c r="O7947" s="20"/>
      <c r="P7947" s="42"/>
      <c r="R7947" s="23"/>
    </row>
    <row r="7948" spans="1:18" ht="12.75">
      <c r="A7948" s="12"/>
      <c r="D7948" s="12"/>
      <c r="E7948" s="12"/>
      <c r="H7948" s="11" t="str">
        <f ca="1">IFERROR(__xludf.DUMMYFUNCTION("IFERROR(SUBSTITUTE(SUBSTITUTE(REGEXEXTRACT(A7948, ""[^-]+- [^-]+- [^-]+ - (.+?)\.jpg""), "".jpg"", """"), ""-"", "", ""), """")"),"")</f>
        <v/>
      </c>
      <c r="L7948" s="12"/>
      <c r="M7948" s="13"/>
      <c r="N7948" s="2"/>
      <c r="O7948" s="20"/>
      <c r="P7948" s="42"/>
      <c r="R7948" s="23"/>
    </row>
    <row r="7949" spans="1:18" ht="12.75">
      <c r="A7949" s="12"/>
      <c r="D7949" s="12"/>
      <c r="E7949" s="12"/>
      <c r="H7949" s="11" t="str">
        <f ca="1">IFERROR(__xludf.DUMMYFUNCTION("IFERROR(SUBSTITUTE(SUBSTITUTE(REGEXEXTRACT(A7949, ""[^-]+- [^-]+- [^-]+ - (.+?)\.jpg""), "".jpg"", """"), ""-"", "", ""), """")"),"")</f>
        <v/>
      </c>
      <c r="L7949" s="12"/>
      <c r="M7949" s="13"/>
      <c r="N7949" s="2"/>
      <c r="O7949" s="20"/>
      <c r="P7949" s="42"/>
      <c r="R7949" s="23"/>
    </row>
    <row r="7950" spans="1:18" ht="12.75">
      <c r="A7950" s="12"/>
      <c r="D7950" s="12"/>
      <c r="E7950" s="12"/>
      <c r="H7950" s="11" t="str">
        <f ca="1">IFERROR(__xludf.DUMMYFUNCTION("IFERROR(SUBSTITUTE(SUBSTITUTE(REGEXEXTRACT(A7950, ""[^-]+- [^-]+- [^-]+ - (.+?)\.jpg""), "".jpg"", """"), ""-"", "", ""), """")"),"")</f>
        <v/>
      </c>
      <c r="L7950" s="12"/>
      <c r="M7950" s="13"/>
      <c r="N7950" s="2"/>
      <c r="O7950" s="20"/>
      <c r="P7950" s="42"/>
      <c r="R7950" s="23"/>
    </row>
    <row r="7951" spans="1:18" ht="12.75">
      <c r="A7951" s="12"/>
      <c r="D7951" s="12"/>
      <c r="E7951" s="12"/>
      <c r="H7951" s="11" t="str">
        <f ca="1">IFERROR(__xludf.DUMMYFUNCTION("IFERROR(SUBSTITUTE(SUBSTITUTE(REGEXEXTRACT(A7951, ""[^-]+- [^-]+- [^-]+ - (.+?)\.jpg""), "".jpg"", """"), ""-"", "", ""), """")"),"")</f>
        <v/>
      </c>
      <c r="L7951" s="12"/>
      <c r="M7951" s="13"/>
      <c r="N7951" s="2"/>
      <c r="O7951" s="20"/>
      <c r="P7951" s="42"/>
      <c r="R7951" s="23"/>
    </row>
    <row r="7952" spans="1:18" ht="12.75">
      <c r="A7952" s="12"/>
      <c r="D7952" s="12"/>
      <c r="E7952" s="12"/>
      <c r="H7952" s="11" t="str">
        <f ca="1">IFERROR(__xludf.DUMMYFUNCTION("IFERROR(SUBSTITUTE(SUBSTITUTE(REGEXEXTRACT(A7952, ""[^-]+- [^-]+- [^-]+ - (.+?)\.jpg""), "".jpg"", """"), ""-"", "", ""), """")"),"")</f>
        <v/>
      </c>
      <c r="L7952" s="12"/>
      <c r="M7952" s="13"/>
      <c r="N7952" s="2"/>
      <c r="O7952" s="20"/>
      <c r="P7952" s="42"/>
      <c r="R7952" s="23"/>
    </row>
    <row r="7953" spans="1:18" ht="12.75">
      <c r="A7953" s="12"/>
      <c r="D7953" s="12"/>
      <c r="E7953" s="12"/>
      <c r="H7953" s="11" t="str">
        <f ca="1">IFERROR(__xludf.DUMMYFUNCTION("IFERROR(SUBSTITUTE(SUBSTITUTE(REGEXEXTRACT(A7953, ""[^-]+- [^-]+- [^-]+ - (.+?)\.jpg""), "".jpg"", """"), ""-"", "", ""), """")"),"")</f>
        <v/>
      </c>
      <c r="L7953" s="12"/>
      <c r="M7953" s="13"/>
      <c r="N7953" s="2"/>
      <c r="O7953" s="20"/>
      <c r="P7953" s="42"/>
      <c r="R7953" s="23"/>
    </row>
    <row r="7954" spans="1:18" ht="12.75">
      <c r="A7954" s="12"/>
      <c r="D7954" s="12"/>
      <c r="E7954" s="12"/>
      <c r="H7954" s="11" t="str">
        <f ca="1">IFERROR(__xludf.DUMMYFUNCTION("IFERROR(SUBSTITUTE(SUBSTITUTE(REGEXEXTRACT(A7954, ""[^-]+- [^-]+- [^-]+ - (.+?)\.jpg""), "".jpg"", """"), ""-"", "", ""), """")"),"")</f>
        <v/>
      </c>
      <c r="L7954" s="12"/>
      <c r="M7954" s="13"/>
      <c r="N7954" s="2"/>
      <c r="O7954" s="20"/>
      <c r="P7954" s="42"/>
      <c r="R7954" s="23"/>
    </row>
    <row r="7955" spans="1:18" ht="12.75">
      <c r="A7955" s="12"/>
      <c r="D7955" s="12"/>
      <c r="E7955" s="12"/>
      <c r="H7955" s="11" t="str">
        <f ca="1">IFERROR(__xludf.DUMMYFUNCTION("IFERROR(SUBSTITUTE(SUBSTITUTE(REGEXEXTRACT(A7955, ""[^-]+- [^-]+- [^-]+ - (.+?)\.jpg""), "".jpg"", """"), ""-"", "", ""), """")"),"")</f>
        <v/>
      </c>
      <c r="L7955" s="12"/>
      <c r="M7955" s="13"/>
      <c r="N7955" s="2"/>
      <c r="O7955" s="20"/>
      <c r="P7955" s="42"/>
      <c r="R7955" s="23"/>
    </row>
    <row r="7956" spans="1:18" ht="12.75">
      <c r="A7956" s="12"/>
      <c r="D7956" s="12"/>
      <c r="E7956" s="12"/>
      <c r="H7956" s="11" t="str">
        <f ca="1">IFERROR(__xludf.DUMMYFUNCTION("IFERROR(SUBSTITUTE(SUBSTITUTE(REGEXEXTRACT(A7956, ""[^-]+- [^-]+- [^-]+ - (.+?)\.jpg""), "".jpg"", """"), ""-"", "", ""), """")"),"")</f>
        <v/>
      </c>
      <c r="L7956" s="12"/>
      <c r="M7956" s="13"/>
      <c r="N7956" s="2"/>
      <c r="O7956" s="20"/>
      <c r="P7956" s="42"/>
      <c r="R7956" s="23"/>
    </row>
    <row r="7957" spans="1:18" ht="12.75">
      <c r="A7957" s="12"/>
      <c r="D7957" s="12"/>
      <c r="E7957" s="12"/>
      <c r="H7957" s="11" t="str">
        <f ca="1">IFERROR(__xludf.DUMMYFUNCTION("IFERROR(SUBSTITUTE(SUBSTITUTE(REGEXEXTRACT(A7957, ""[^-]+- [^-]+- [^-]+ - (.+?)\.jpg""), "".jpg"", """"), ""-"", "", ""), """")"),"")</f>
        <v/>
      </c>
      <c r="L7957" s="12"/>
      <c r="M7957" s="13"/>
      <c r="N7957" s="2"/>
      <c r="O7957" s="20"/>
      <c r="P7957" s="42"/>
      <c r="R7957" s="23"/>
    </row>
    <row r="7958" spans="1:18" ht="12.75">
      <c r="A7958" s="12"/>
      <c r="D7958" s="12"/>
      <c r="E7958" s="12"/>
      <c r="H7958" s="11" t="str">
        <f ca="1">IFERROR(__xludf.DUMMYFUNCTION("IFERROR(SUBSTITUTE(SUBSTITUTE(REGEXEXTRACT(A7958, ""[^-]+- [^-]+- [^-]+ - (.+?)\.jpg""), "".jpg"", """"), ""-"", "", ""), """")"),"")</f>
        <v/>
      </c>
      <c r="L7958" s="12"/>
      <c r="M7958" s="13"/>
      <c r="N7958" s="2"/>
      <c r="O7958" s="20"/>
      <c r="P7958" s="42"/>
      <c r="R7958" s="23"/>
    </row>
    <row r="7959" spans="1:18" ht="12.75">
      <c r="A7959" s="12"/>
      <c r="D7959" s="12"/>
      <c r="E7959" s="12"/>
      <c r="H7959" s="11" t="str">
        <f ca="1">IFERROR(__xludf.DUMMYFUNCTION("IFERROR(SUBSTITUTE(SUBSTITUTE(REGEXEXTRACT(A7959, ""[^-]+- [^-]+- [^-]+ - (.+?)\.jpg""), "".jpg"", """"), ""-"", "", ""), """")"),"")</f>
        <v/>
      </c>
      <c r="L7959" s="12"/>
      <c r="M7959" s="13"/>
      <c r="N7959" s="2"/>
      <c r="O7959" s="20"/>
      <c r="P7959" s="42"/>
      <c r="R7959" s="23"/>
    </row>
    <row r="7960" spans="1:18" ht="12.75">
      <c r="A7960" s="12"/>
      <c r="D7960" s="12"/>
      <c r="E7960" s="12"/>
      <c r="H7960" s="11" t="str">
        <f ca="1">IFERROR(__xludf.DUMMYFUNCTION("IFERROR(SUBSTITUTE(SUBSTITUTE(REGEXEXTRACT(A7960, ""[^-]+- [^-]+- [^-]+ - (.+?)\.jpg""), "".jpg"", """"), ""-"", "", ""), """")"),"")</f>
        <v/>
      </c>
      <c r="L7960" s="12"/>
      <c r="M7960" s="13"/>
      <c r="N7960" s="2"/>
      <c r="O7960" s="20"/>
      <c r="P7960" s="42"/>
      <c r="R7960" s="23"/>
    </row>
    <row r="7961" spans="1:18" ht="12.75">
      <c r="A7961" s="12"/>
      <c r="D7961" s="12"/>
      <c r="E7961" s="12"/>
      <c r="H7961" s="11" t="str">
        <f ca="1">IFERROR(__xludf.DUMMYFUNCTION("IFERROR(SUBSTITUTE(SUBSTITUTE(REGEXEXTRACT(A7961, ""[^-]+- [^-]+- [^-]+ - (.+?)\.jpg""), "".jpg"", """"), ""-"", "", ""), """")"),"")</f>
        <v/>
      </c>
      <c r="L7961" s="12"/>
      <c r="M7961" s="13"/>
      <c r="N7961" s="2"/>
      <c r="O7961" s="20"/>
      <c r="P7961" s="42"/>
      <c r="R7961" s="23"/>
    </row>
    <row r="7962" spans="1:18" ht="12.75">
      <c r="A7962" s="12"/>
      <c r="D7962" s="12"/>
      <c r="E7962" s="12"/>
      <c r="H7962" s="11" t="str">
        <f ca="1">IFERROR(__xludf.DUMMYFUNCTION("IFERROR(SUBSTITUTE(SUBSTITUTE(REGEXEXTRACT(A7962, ""[^-]+- [^-]+- [^-]+ - (.+?)\.jpg""), "".jpg"", """"), ""-"", "", ""), """")"),"")</f>
        <v/>
      </c>
      <c r="L7962" s="12"/>
      <c r="M7962" s="13"/>
      <c r="N7962" s="2"/>
      <c r="O7962" s="20"/>
      <c r="P7962" s="42"/>
      <c r="R7962" s="23"/>
    </row>
    <row r="7963" spans="1:18" ht="12.75">
      <c r="A7963" s="12"/>
      <c r="D7963" s="12"/>
      <c r="E7963" s="12"/>
      <c r="H7963" s="11" t="str">
        <f ca="1">IFERROR(__xludf.DUMMYFUNCTION("IFERROR(SUBSTITUTE(SUBSTITUTE(REGEXEXTRACT(A7963, ""[^-]+- [^-]+- [^-]+ - (.+?)\.jpg""), "".jpg"", """"), ""-"", "", ""), """")"),"")</f>
        <v/>
      </c>
      <c r="L7963" s="12"/>
      <c r="M7963" s="13"/>
      <c r="N7963" s="2"/>
      <c r="O7963" s="20"/>
      <c r="P7963" s="42"/>
      <c r="R7963" s="23"/>
    </row>
    <row r="7964" spans="1:18" ht="12.75">
      <c r="A7964" s="12"/>
      <c r="D7964" s="12"/>
      <c r="E7964" s="12"/>
      <c r="H7964" s="11" t="str">
        <f ca="1">IFERROR(__xludf.DUMMYFUNCTION("IFERROR(SUBSTITUTE(SUBSTITUTE(REGEXEXTRACT(A7964, ""[^-]+- [^-]+- [^-]+ - (.+?)\.jpg""), "".jpg"", """"), ""-"", "", ""), """")"),"")</f>
        <v/>
      </c>
      <c r="L7964" s="12"/>
      <c r="M7964" s="13"/>
      <c r="N7964" s="2"/>
      <c r="O7964" s="20"/>
      <c r="P7964" s="42"/>
      <c r="R7964" s="23"/>
    </row>
    <row r="7965" spans="1:18" ht="12.75">
      <c r="A7965" s="12"/>
      <c r="D7965" s="12"/>
      <c r="E7965" s="12"/>
      <c r="H7965" s="11" t="str">
        <f ca="1">IFERROR(__xludf.DUMMYFUNCTION("IFERROR(SUBSTITUTE(SUBSTITUTE(REGEXEXTRACT(A7965, ""[^-]+- [^-]+- [^-]+ - (.+?)\.jpg""), "".jpg"", """"), ""-"", "", ""), """")"),"")</f>
        <v/>
      </c>
      <c r="L7965" s="12"/>
      <c r="M7965" s="13"/>
      <c r="N7965" s="2"/>
      <c r="O7965" s="20"/>
      <c r="P7965" s="42"/>
      <c r="R7965" s="23"/>
    </row>
    <row r="7966" spans="1:18" ht="12.75">
      <c r="A7966" s="12"/>
      <c r="D7966" s="12"/>
      <c r="E7966" s="12"/>
      <c r="H7966" s="11" t="str">
        <f ca="1">IFERROR(__xludf.DUMMYFUNCTION("IFERROR(SUBSTITUTE(SUBSTITUTE(REGEXEXTRACT(A7966, ""[^-]+- [^-]+- [^-]+ - (.+?)\.jpg""), "".jpg"", """"), ""-"", "", ""), """")"),"")</f>
        <v/>
      </c>
      <c r="L7966" s="12"/>
      <c r="M7966" s="13"/>
      <c r="N7966" s="2"/>
      <c r="O7966" s="20"/>
      <c r="P7966" s="42"/>
      <c r="R7966" s="23"/>
    </row>
    <row r="7967" spans="1:18" ht="12.75">
      <c r="A7967" s="12"/>
      <c r="D7967" s="12"/>
      <c r="E7967" s="12"/>
      <c r="H7967" s="11" t="str">
        <f ca="1">IFERROR(__xludf.DUMMYFUNCTION("IFERROR(SUBSTITUTE(SUBSTITUTE(REGEXEXTRACT(A7967, ""[^-]+- [^-]+- [^-]+ - (.+?)\.jpg""), "".jpg"", """"), ""-"", "", ""), """")"),"")</f>
        <v/>
      </c>
      <c r="L7967" s="12"/>
      <c r="M7967" s="13"/>
      <c r="N7967" s="2"/>
      <c r="O7967" s="20"/>
      <c r="P7967" s="42"/>
      <c r="R7967" s="23"/>
    </row>
    <row r="7968" spans="1:18" ht="12.75">
      <c r="A7968" s="12"/>
      <c r="D7968" s="12"/>
      <c r="E7968" s="12"/>
      <c r="H7968" s="11" t="str">
        <f ca="1">IFERROR(__xludf.DUMMYFUNCTION("IFERROR(SUBSTITUTE(SUBSTITUTE(REGEXEXTRACT(A7968, ""[^-]+- [^-]+- [^-]+ - (.+?)\.jpg""), "".jpg"", """"), ""-"", "", ""), """")"),"")</f>
        <v/>
      </c>
      <c r="L7968" s="12"/>
      <c r="M7968" s="13"/>
      <c r="N7968" s="2"/>
      <c r="O7968" s="20"/>
      <c r="P7968" s="42"/>
      <c r="R7968" s="23"/>
    </row>
    <row r="7969" spans="1:18" ht="12.75">
      <c r="A7969" s="12"/>
      <c r="D7969" s="12"/>
      <c r="E7969" s="12"/>
      <c r="H7969" s="11" t="str">
        <f ca="1">IFERROR(__xludf.DUMMYFUNCTION("IFERROR(SUBSTITUTE(SUBSTITUTE(REGEXEXTRACT(A7969, ""[^-]+- [^-]+- [^-]+ - (.+?)\.jpg""), "".jpg"", """"), ""-"", "", ""), """")"),"")</f>
        <v/>
      </c>
      <c r="L7969" s="12"/>
      <c r="M7969" s="13"/>
      <c r="N7969" s="2"/>
      <c r="O7969" s="20"/>
      <c r="P7969" s="42"/>
      <c r="R7969" s="23"/>
    </row>
    <row r="7970" spans="1:18" ht="12.75">
      <c r="A7970" s="12"/>
      <c r="D7970" s="12"/>
      <c r="E7970" s="12"/>
      <c r="H7970" s="11" t="str">
        <f ca="1">IFERROR(__xludf.DUMMYFUNCTION("IFERROR(SUBSTITUTE(SUBSTITUTE(REGEXEXTRACT(A7970, ""[^-]+- [^-]+- [^-]+ - (.+?)\.jpg""), "".jpg"", """"), ""-"", "", ""), """")"),"")</f>
        <v/>
      </c>
      <c r="L7970" s="12"/>
      <c r="M7970" s="13"/>
      <c r="N7970" s="2"/>
      <c r="O7970" s="20"/>
      <c r="P7970" s="42"/>
      <c r="R7970" s="23"/>
    </row>
    <row r="7971" spans="1:18" ht="12.75">
      <c r="A7971" s="12"/>
      <c r="D7971" s="12"/>
      <c r="E7971" s="12"/>
      <c r="H7971" s="11" t="str">
        <f ca="1">IFERROR(__xludf.DUMMYFUNCTION("IFERROR(SUBSTITUTE(SUBSTITUTE(REGEXEXTRACT(A7971, ""[^-]+- [^-]+- [^-]+ - (.+?)\.jpg""), "".jpg"", """"), ""-"", "", ""), """")"),"")</f>
        <v/>
      </c>
      <c r="L7971" s="12"/>
      <c r="M7971" s="13"/>
      <c r="N7971" s="2"/>
      <c r="O7971" s="20"/>
      <c r="P7971" s="42"/>
      <c r="R7971" s="23"/>
    </row>
    <row r="7972" spans="1:18" ht="12.75">
      <c r="A7972" s="12"/>
      <c r="D7972" s="12"/>
      <c r="E7972" s="12"/>
      <c r="H7972" s="11" t="str">
        <f ca="1">IFERROR(__xludf.DUMMYFUNCTION("IFERROR(SUBSTITUTE(SUBSTITUTE(REGEXEXTRACT(A7972, ""[^-]+- [^-]+- [^-]+ - (.+?)\.jpg""), "".jpg"", """"), ""-"", "", ""), """")"),"")</f>
        <v/>
      </c>
      <c r="L7972" s="12"/>
      <c r="M7972" s="13"/>
      <c r="N7972" s="2"/>
      <c r="O7972" s="20"/>
      <c r="P7972" s="42"/>
      <c r="R7972" s="23"/>
    </row>
    <row r="7973" spans="1:18" ht="12.75">
      <c r="A7973" s="12"/>
      <c r="D7973" s="12"/>
      <c r="E7973" s="12"/>
      <c r="H7973" s="11" t="str">
        <f ca="1">IFERROR(__xludf.DUMMYFUNCTION("IFERROR(SUBSTITUTE(SUBSTITUTE(REGEXEXTRACT(A7973, ""[^-]+- [^-]+- [^-]+ - (.+?)\.jpg""), "".jpg"", """"), ""-"", "", ""), """")"),"")</f>
        <v/>
      </c>
      <c r="L7973" s="12"/>
      <c r="M7973" s="13"/>
      <c r="N7973" s="2"/>
      <c r="O7973" s="20"/>
      <c r="P7973" s="42"/>
      <c r="R7973" s="23"/>
    </row>
    <row r="7974" spans="1:18" ht="12.75">
      <c r="A7974" s="12"/>
      <c r="D7974" s="12"/>
      <c r="E7974" s="12"/>
      <c r="H7974" s="11" t="str">
        <f ca="1">IFERROR(__xludf.DUMMYFUNCTION("IFERROR(SUBSTITUTE(SUBSTITUTE(REGEXEXTRACT(A7974, ""[^-]+- [^-]+- [^-]+ - (.+?)\.jpg""), "".jpg"", """"), ""-"", "", ""), """")"),"")</f>
        <v/>
      </c>
      <c r="L7974" s="12"/>
      <c r="M7974" s="13"/>
      <c r="N7974" s="2"/>
      <c r="O7974" s="20"/>
      <c r="P7974" s="42"/>
      <c r="R7974" s="23"/>
    </row>
    <row r="7975" spans="1:18" ht="12.75">
      <c r="A7975" s="12"/>
      <c r="D7975" s="12"/>
      <c r="E7975" s="12"/>
      <c r="H7975" s="11" t="str">
        <f ca="1">IFERROR(__xludf.DUMMYFUNCTION("IFERROR(SUBSTITUTE(SUBSTITUTE(REGEXEXTRACT(A7975, ""[^-]+- [^-]+- [^-]+ - (.+?)\.jpg""), "".jpg"", """"), ""-"", "", ""), """")"),"")</f>
        <v/>
      </c>
      <c r="L7975" s="12"/>
      <c r="M7975" s="13"/>
      <c r="N7975" s="2"/>
      <c r="O7975" s="20"/>
      <c r="P7975" s="42"/>
      <c r="R7975" s="23"/>
    </row>
    <row r="7976" spans="1:18" ht="12.75">
      <c r="A7976" s="12"/>
      <c r="D7976" s="12"/>
      <c r="E7976" s="12"/>
      <c r="H7976" s="11" t="str">
        <f ca="1">IFERROR(__xludf.DUMMYFUNCTION("IFERROR(SUBSTITUTE(SUBSTITUTE(REGEXEXTRACT(A7976, ""[^-]+- [^-]+- [^-]+ - (.+?)\.jpg""), "".jpg"", """"), ""-"", "", ""), """")"),"")</f>
        <v/>
      </c>
      <c r="L7976" s="12"/>
      <c r="M7976" s="13"/>
      <c r="N7976" s="2"/>
      <c r="O7976" s="20"/>
      <c r="P7976" s="42"/>
      <c r="R7976" s="23"/>
    </row>
    <row r="7977" spans="1:18" ht="12.75">
      <c r="A7977" s="12"/>
      <c r="D7977" s="12"/>
      <c r="E7977" s="12"/>
      <c r="H7977" s="11" t="str">
        <f ca="1">IFERROR(__xludf.DUMMYFUNCTION("IFERROR(SUBSTITUTE(SUBSTITUTE(REGEXEXTRACT(A7977, ""[^-]+- [^-]+- [^-]+ - (.+?)\.jpg""), "".jpg"", """"), ""-"", "", ""), """")"),"")</f>
        <v/>
      </c>
      <c r="L7977" s="12"/>
      <c r="M7977" s="13"/>
      <c r="N7977" s="2"/>
      <c r="O7977" s="20"/>
      <c r="P7977" s="42"/>
      <c r="R7977" s="23"/>
    </row>
    <row r="7978" spans="1:18" ht="12.75">
      <c r="A7978" s="12"/>
      <c r="D7978" s="12"/>
      <c r="E7978" s="12"/>
      <c r="H7978" s="11" t="str">
        <f ca="1">IFERROR(__xludf.DUMMYFUNCTION("IFERROR(SUBSTITUTE(SUBSTITUTE(REGEXEXTRACT(A7978, ""[^-]+- [^-]+- [^-]+ - (.+?)\.jpg""), "".jpg"", """"), ""-"", "", ""), """")"),"")</f>
        <v/>
      </c>
      <c r="L7978" s="12"/>
      <c r="M7978" s="13"/>
      <c r="N7978" s="2"/>
      <c r="O7978" s="20"/>
      <c r="P7978" s="42"/>
      <c r="R7978" s="23"/>
    </row>
    <row r="7979" spans="1:18" ht="12.75">
      <c r="A7979" s="12"/>
      <c r="D7979" s="12"/>
      <c r="E7979" s="12"/>
      <c r="H7979" s="11" t="str">
        <f ca="1">IFERROR(__xludf.DUMMYFUNCTION("IFERROR(SUBSTITUTE(SUBSTITUTE(REGEXEXTRACT(A7979, ""[^-]+- [^-]+- [^-]+ - (.+?)\.jpg""), "".jpg"", """"), ""-"", "", ""), """")"),"")</f>
        <v/>
      </c>
      <c r="L7979" s="12"/>
      <c r="M7979" s="13"/>
      <c r="N7979" s="2"/>
      <c r="O7979" s="20"/>
      <c r="P7979" s="42"/>
      <c r="R7979" s="23"/>
    </row>
    <row r="7980" spans="1:18" ht="12.75">
      <c r="A7980" s="12"/>
      <c r="D7980" s="12"/>
      <c r="E7980" s="12"/>
      <c r="H7980" s="11" t="str">
        <f ca="1">IFERROR(__xludf.DUMMYFUNCTION("IFERROR(SUBSTITUTE(SUBSTITUTE(REGEXEXTRACT(A7980, ""[^-]+- [^-]+- [^-]+ - (.+?)\.jpg""), "".jpg"", """"), ""-"", "", ""), """")"),"")</f>
        <v/>
      </c>
      <c r="L7980" s="12"/>
      <c r="M7980" s="13"/>
      <c r="N7980" s="2"/>
      <c r="O7980" s="20"/>
      <c r="P7980" s="42"/>
      <c r="R7980" s="23"/>
    </row>
    <row r="7981" spans="1:18" ht="12.75">
      <c r="A7981" s="12"/>
      <c r="D7981" s="12"/>
      <c r="E7981" s="12"/>
      <c r="H7981" s="11" t="str">
        <f ca="1">IFERROR(__xludf.DUMMYFUNCTION("IFERROR(SUBSTITUTE(SUBSTITUTE(REGEXEXTRACT(A7981, ""[^-]+- [^-]+- [^-]+ - (.+?)\.jpg""), "".jpg"", """"), ""-"", "", ""), """")"),"")</f>
        <v/>
      </c>
      <c r="L7981" s="12"/>
      <c r="M7981" s="13"/>
      <c r="N7981" s="2"/>
      <c r="O7981" s="20"/>
      <c r="P7981" s="42"/>
      <c r="R7981" s="23"/>
    </row>
    <row r="7982" spans="1:18" ht="12.75">
      <c r="A7982" s="12"/>
      <c r="D7982" s="12"/>
      <c r="E7982" s="12"/>
      <c r="H7982" s="11" t="str">
        <f ca="1">IFERROR(__xludf.DUMMYFUNCTION("IFERROR(SUBSTITUTE(SUBSTITUTE(REGEXEXTRACT(A7982, ""[^-]+- [^-]+- [^-]+ - (.+?)\.jpg""), "".jpg"", """"), ""-"", "", ""), """")"),"")</f>
        <v/>
      </c>
      <c r="L7982" s="12"/>
      <c r="M7982" s="13"/>
      <c r="N7982" s="2"/>
      <c r="O7982" s="20"/>
      <c r="P7982" s="42"/>
      <c r="R7982" s="23"/>
    </row>
    <row r="7983" spans="1:18" ht="12.75">
      <c r="A7983" s="12"/>
      <c r="D7983" s="12"/>
      <c r="E7983" s="12"/>
      <c r="H7983" s="11" t="str">
        <f ca="1">IFERROR(__xludf.DUMMYFUNCTION("IFERROR(SUBSTITUTE(SUBSTITUTE(REGEXEXTRACT(A7983, ""[^-]+- [^-]+- [^-]+ - (.+?)\.jpg""), "".jpg"", """"), ""-"", "", ""), """")"),"")</f>
        <v/>
      </c>
      <c r="L7983" s="12"/>
      <c r="M7983" s="13"/>
      <c r="N7983" s="2"/>
      <c r="O7983" s="20"/>
      <c r="P7983" s="42"/>
      <c r="R7983" s="23"/>
    </row>
    <row r="7984" spans="1:18" ht="12.75">
      <c r="A7984" s="12"/>
      <c r="D7984" s="12"/>
      <c r="E7984" s="12"/>
      <c r="H7984" s="11" t="str">
        <f ca="1">IFERROR(__xludf.DUMMYFUNCTION("IFERROR(SUBSTITUTE(SUBSTITUTE(REGEXEXTRACT(A7984, ""[^-]+- [^-]+- [^-]+ - (.+?)\.jpg""), "".jpg"", """"), ""-"", "", ""), """")"),"")</f>
        <v/>
      </c>
      <c r="L7984" s="12"/>
      <c r="M7984" s="13"/>
      <c r="N7984" s="2"/>
      <c r="O7984" s="20"/>
      <c r="P7984" s="42"/>
      <c r="R7984" s="23"/>
    </row>
    <row r="7985" spans="1:18" ht="12.75">
      <c r="A7985" s="12"/>
      <c r="D7985" s="12"/>
      <c r="E7985" s="12"/>
      <c r="H7985" s="11" t="str">
        <f ca="1">IFERROR(__xludf.DUMMYFUNCTION("IFERROR(SUBSTITUTE(SUBSTITUTE(REGEXEXTRACT(A7985, ""[^-]+- [^-]+- [^-]+ - (.+?)\.jpg""), "".jpg"", """"), ""-"", "", ""), """")"),"")</f>
        <v/>
      </c>
      <c r="L7985" s="12"/>
      <c r="M7985" s="13"/>
      <c r="N7985" s="2"/>
      <c r="O7985" s="20"/>
      <c r="P7985" s="42"/>
      <c r="R7985" s="23"/>
    </row>
    <row r="7986" spans="1:18" ht="12.75">
      <c r="A7986" s="12"/>
      <c r="D7986" s="12"/>
      <c r="E7986" s="12"/>
      <c r="H7986" s="11" t="str">
        <f ca="1">IFERROR(__xludf.DUMMYFUNCTION("IFERROR(SUBSTITUTE(SUBSTITUTE(REGEXEXTRACT(A7986, ""[^-]+- [^-]+- [^-]+ - (.+?)\.jpg""), "".jpg"", """"), ""-"", "", ""), """")"),"")</f>
        <v/>
      </c>
      <c r="L7986" s="12"/>
      <c r="M7986" s="13"/>
      <c r="N7986" s="2"/>
      <c r="O7986" s="20"/>
      <c r="P7986" s="42"/>
      <c r="R7986" s="23"/>
    </row>
    <row r="7987" spans="1:18" ht="12.75">
      <c r="A7987" s="12"/>
      <c r="D7987" s="12"/>
      <c r="E7987" s="12"/>
      <c r="H7987" s="11" t="str">
        <f ca="1">IFERROR(__xludf.DUMMYFUNCTION("IFERROR(SUBSTITUTE(SUBSTITUTE(REGEXEXTRACT(A7987, ""[^-]+- [^-]+- [^-]+ - (.+?)\.jpg""), "".jpg"", """"), ""-"", "", ""), """")"),"")</f>
        <v/>
      </c>
      <c r="L7987" s="12"/>
      <c r="M7987" s="13"/>
      <c r="N7987" s="2"/>
      <c r="O7987" s="20"/>
      <c r="P7987" s="42"/>
      <c r="R7987" s="23"/>
    </row>
    <row r="7988" spans="1:18" ht="12.75">
      <c r="A7988" s="12"/>
      <c r="D7988" s="12"/>
      <c r="E7988" s="12"/>
      <c r="H7988" s="11" t="str">
        <f ca="1">IFERROR(__xludf.DUMMYFUNCTION("IFERROR(SUBSTITUTE(SUBSTITUTE(REGEXEXTRACT(A7988, ""[^-]+- [^-]+- [^-]+ - (.+?)\.jpg""), "".jpg"", """"), ""-"", "", ""), """")"),"")</f>
        <v/>
      </c>
      <c r="L7988" s="12"/>
      <c r="M7988" s="13"/>
      <c r="N7988" s="2"/>
      <c r="O7988" s="20"/>
      <c r="P7988" s="42"/>
      <c r="R7988" s="23"/>
    </row>
    <row r="7989" spans="1:18" ht="12.75">
      <c r="A7989" s="12"/>
      <c r="D7989" s="12"/>
      <c r="E7989" s="12"/>
      <c r="H7989" s="11" t="str">
        <f ca="1">IFERROR(__xludf.DUMMYFUNCTION("IFERROR(SUBSTITUTE(SUBSTITUTE(REGEXEXTRACT(A7989, ""[^-]+- [^-]+- [^-]+ - (.+?)\.jpg""), "".jpg"", """"), ""-"", "", ""), """")"),"")</f>
        <v/>
      </c>
      <c r="L7989" s="12"/>
      <c r="M7989" s="13"/>
      <c r="N7989" s="2"/>
      <c r="O7989" s="20"/>
      <c r="P7989" s="42"/>
      <c r="R7989" s="23"/>
    </row>
    <row r="7990" spans="1:18" ht="12.75">
      <c r="A7990" s="12"/>
      <c r="D7990" s="12"/>
      <c r="E7990" s="12"/>
      <c r="H7990" s="11" t="str">
        <f ca="1">IFERROR(__xludf.DUMMYFUNCTION("IFERROR(SUBSTITUTE(SUBSTITUTE(REGEXEXTRACT(A7990, ""[^-]+- [^-]+- [^-]+ - (.+?)\.jpg""), "".jpg"", """"), ""-"", "", ""), """")"),"")</f>
        <v/>
      </c>
      <c r="L7990" s="12"/>
      <c r="M7990" s="13"/>
      <c r="N7990" s="2"/>
      <c r="O7990" s="20"/>
      <c r="P7990" s="42"/>
      <c r="R7990" s="23"/>
    </row>
    <row r="7991" spans="1:18" ht="12.75">
      <c r="A7991" s="12"/>
      <c r="D7991" s="12"/>
      <c r="E7991" s="12"/>
      <c r="H7991" s="11" t="str">
        <f ca="1">IFERROR(__xludf.DUMMYFUNCTION("IFERROR(SUBSTITUTE(SUBSTITUTE(REGEXEXTRACT(A7991, ""[^-]+- [^-]+- [^-]+ - (.+?)\.jpg""), "".jpg"", """"), ""-"", "", ""), """")"),"")</f>
        <v/>
      </c>
      <c r="L7991" s="12"/>
      <c r="M7991" s="13"/>
      <c r="N7991" s="2"/>
      <c r="O7991" s="20"/>
      <c r="P7991" s="42"/>
      <c r="R7991" s="23"/>
    </row>
    <row r="7992" spans="1:18" ht="12.75">
      <c r="A7992" s="12"/>
      <c r="D7992" s="12"/>
      <c r="E7992" s="12"/>
      <c r="H7992" s="11" t="str">
        <f ca="1">IFERROR(__xludf.DUMMYFUNCTION("IFERROR(SUBSTITUTE(SUBSTITUTE(REGEXEXTRACT(A7992, ""[^-]+- [^-]+- [^-]+ - (.+?)\.jpg""), "".jpg"", """"), ""-"", "", ""), """")"),"")</f>
        <v/>
      </c>
      <c r="L7992" s="12"/>
      <c r="M7992" s="13"/>
      <c r="N7992" s="2"/>
      <c r="O7992" s="20"/>
      <c r="P7992" s="42"/>
      <c r="R7992" s="23"/>
    </row>
    <row r="7993" spans="1:18" ht="12.75">
      <c r="A7993" s="12"/>
      <c r="D7993" s="12"/>
      <c r="E7993" s="12"/>
      <c r="H7993" s="11" t="str">
        <f ca="1">IFERROR(__xludf.DUMMYFUNCTION("IFERROR(SUBSTITUTE(SUBSTITUTE(REGEXEXTRACT(A7993, ""[^-]+- [^-]+- [^-]+ - (.+?)\.jpg""), "".jpg"", """"), ""-"", "", ""), """")"),"")</f>
        <v/>
      </c>
      <c r="L7993" s="12"/>
      <c r="M7993" s="13"/>
      <c r="N7993" s="2"/>
      <c r="O7993" s="20"/>
      <c r="P7993" s="42"/>
      <c r="R7993" s="23"/>
    </row>
    <row r="7994" spans="1:18" ht="12.75">
      <c r="A7994" s="12"/>
      <c r="D7994" s="12"/>
      <c r="E7994" s="12"/>
      <c r="H7994" s="11" t="str">
        <f ca="1">IFERROR(__xludf.DUMMYFUNCTION("IFERROR(SUBSTITUTE(SUBSTITUTE(REGEXEXTRACT(A7994, ""[^-]+- [^-]+- [^-]+ - (.+?)\.jpg""), "".jpg"", """"), ""-"", "", ""), """")"),"")</f>
        <v/>
      </c>
      <c r="L7994" s="12"/>
      <c r="M7994" s="13"/>
      <c r="N7994" s="2"/>
      <c r="O7994" s="20"/>
      <c r="P7994" s="42"/>
      <c r="R7994" s="23"/>
    </row>
    <row r="7995" spans="1:18" ht="12.75">
      <c r="A7995" s="12"/>
      <c r="D7995" s="12"/>
      <c r="E7995" s="12"/>
      <c r="H7995" s="11" t="str">
        <f ca="1">IFERROR(__xludf.DUMMYFUNCTION("IFERROR(SUBSTITUTE(SUBSTITUTE(REGEXEXTRACT(A7995, ""[^-]+- [^-]+- [^-]+ - (.+?)\.jpg""), "".jpg"", """"), ""-"", "", ""), """")"),"")</f>
        <v/>
      </c>
      <c r="L7995" s="12"/>
      <c r="M7995" s="13"/>
      <c r="N7995" s="2"/>
      <c r="O7995" s="20"/>
      <c r="P7995" s="42"/>
      <c r="R7995" s="23"/>
    </row>
    <row r="7996" spans="1:18" ht="12.75">
      <c r="A7996" s="12"/>
      <c r="D7996" s="12"/>
      <c r="E7996" s="12"/>
      <c r="H7996" s="11" t="str">
        <f ca="1">IFERROR(__xludf.DUMMYFUNCTION("IFERROR(SUBSTITUTE(SUBSTITUTE(REGEXEXTRACT(A7996, ""[^-]+- [^-]+- [^-]+ - (.+?)\.jpg""), "".jpg"", """"), ""-"", "", ""), """")"),"")</f>
        <v/>
      </c>
      <c r="L7996" s="12"/>
      <c r="M7996" s="13"/>
      <c r="N7996" s="2"/>
      <c r="O7996" s="20"/>
      <c r="P7996" s="42"/>
      <c r="R7996" s="23"/>
    </row>
    <row r="7997" spans="1:18" ht="12.75">
      <c r="A7997" s="12"/>
      <c r="D7997" s="12"/>
      <c r="E7997" s="12"/>
      <c r="H7997" s="11" t="str">
        <f ca="1">IFERROR(__xludf.DUMMYFUNCTION("IFERROR(SUBSTITUTE(SUBSTITUTE(REGEXEXTRACT(A7997, ""[^-]+- [^-]+- [^-]+ - (.+?)\.jpg""), "".jpg"", """"), ""-"", "", ""), """")"),"")</f>
        <v/>
      </c>
      <c r="L7997" s="12"/>
      <c r="M7997" s="13"/>
      <c r="N7997" s="2"/>
      <c r="O7997" s="20"/>
      <c r="P7997" s="42"/>
      <c r="R7997" s="23"/>
    </row>
    <row r="7998" spans="1:18" ht="12.75">
      <c r="A7998" s="12"/>
      <c r="D7998" s="12"/>
      <c r="E7998" s="12"/>
      <c r="H7998" s="11" t="str">
        <f ca="1">IFERROR(__xludf.DUMMYFUNCTION("IFERROR(SUBSTITUTE(SUBSTITUTE(REGEXEXTRACT(A7998, ""[^-]+- [^-]+- [^-]+ - (.+?)\.jpg""), "".jpg"", """"), ""-"", "", ""), """")"),"")</f>
        <v/>
      </c>
      <c r="L7998" s="12"/>
      <c r="M7998" s="13"/>
      <c r="N7998" s="2"/>
      <c r="O7998" s="20"/>
      <c r="P7998" s="42"/>
      <c r="R7998" s="23"/>
    </row>
    <row r="7999" spans="1:18" ht="12.75">
      <c r="A7999" s="12"/>
      <c r="D7999" s="12"/>
      <c r="E7999" s="12"/>
      <c r="H7999" s="11" t="str">
        <f ca="1">IFERROR(__xludf.DUMMYFUNCTION("IFERROR(SUBSTITUTE(SUBSTITUTE(REGEXEXTRACT(A7999, ""[^-]+- [^-]+- [^-]+ - (.+?)\.jpg""), "".jpg"", """"), ""-"", "", ""), """")"),"")</f>
        <v/>
      </c>
      <c r="L7999" s="12"/>
      <c r="M7999" s="13"/>
      <c r="N7999" s="2"/>
      <c r="O7999" s="20"/>
      <c r="P7999" s="42"/>
      <c r="R7999" s="23"/>
    </row>
    <row r="8000" spans="1:18" ht="12.75">
      <c r="A8000" s="12"/>
      <c r="D8000" s="12"/>
      <c r="E8000" s="12"/>
      <c r="H8000" s="11" t="str">
        <f ca="1">IFERROR(__xludf.DUMMYFUNCTION("IFERROR(SUBSTITUTE(SUBSTITUTE(REGEXEXTRACT(A8000, ""[^-]+- [^-]+- [^-]+ - (.+?)\.jpg""), "".jpg"", """"), ""-"", "", ""), """")"),"")</f>
        <v/>
      </c>
      <c r="L8000" s="12"/>
      <c r="M8000" s="13"/>
      <c r="N8000" s="2"/>
      <c r="O8000" s="20"/>
      <c r="P8000" s="42"/>
      <c r="R8000" s="23"/>
    </row>
    <row r="8001" spans="1:18" ht="12.75">
      <c r="A8001" s="12"/>
      <c r="D8001" s="12"/>
      <c r="E8001" s="12"/>
      <c r="H8001" s="11" t="str">
        <f ca="1">IFERROR(__xludf.DUMMYFUNCTION("IFERROR(SUBSTITUTE(SUBSTITUTE(REGEXEXTRACT(A8001, ""[^-]+- [^-]+- [^-]+ - (.+?)\.jpg""), "".jpg"", """"), ""-"", "", ""), """")"),"")</f>
        <v/>
      </c>
      <c r="L8001" s="12"/>
      <c r="M8001" s="13"/>
      <c r="N8001" s="2"/>
      <c r="O8001" s="20"/>
      <c r="P8001" s="42"/>
      <c r="R8001" s="23"/>
    </row>
    <row r="8002" spans="1:18" ht="12.75">
      <c r="A8002" s="12"/>
      <c r="D8002" s="12"/>
      <c r="E8002" s="12"/>
      <c r="H8002" s="11" t="str">
        <f ca="1">IFERROR(__xludf.DUMMYFUNCTION("IFERROR(SUBSTITUTE(SUBSTITUTE(REGEXEXTRACT(A8002, ""[^-]+- [^-]+- [^-]+ - (.+?)\.jpg""), "".jpg"", """"), ""-"", "", ""), """")"),"")</f>
        <v/>
      </c>
      <c r="L8002" s="12"/>
      <c r="M8002" s="13"/>
      <c r="N8002" s="2"/>
      <c r="O8002" s="20"/>
      <c r="P8002" s="42"/>
      <c r="R8002" s="23"/>
    </row>
    <row r="8003" spans="1:18" ht="12.75">
      <c r="A8003" s="12"/>
      <c r="D8003" s="12"/>
      <c r="E8003" s="12"/>
      <c r="H8003" s="11" t="str">
        <f ca="1">IFERROR(__xludf.DUMMYFUNCTION("IFERROR(SUBSTITUTE(SUBSTITUTE(REGEXEXTRACT(A8003, ""[^-]+- [^-]+- [^-]+ - (.+?)\.jpg""), "".jpg"", """"), ""-"", "", ""), """")"),"")</f>
        <v/>
      </c>
      <c r="L8003" s="12"/>
      <c r="M8003" s="13"/>
      <c r="N8003" s="2"/>
      <c r="O8003" s="20"/>
      <c r="P8003" s="42"/>
      <c r="R8003" s="23"/>
    </row>
    <row r="8004" spans="1:18" ht="12.75">
      <c r="A8004" s="12"/>
      <c r="D8004" s="12"/>
      <c r="E8004" s="12"/>
      <c r="H8004" s="11" t="str">
        <f ca="1">IFERROR(__xludf.DUMMYFUNCTION("IFERROR(SUBSTITUTE(SUBSTITUTE(REGEXEXTRACT(A8004, ""[^-]+- [^-]+- [^-]+ - (.+?)\.jpg""), "".jpg"", """"), ""-"", "", ""), """")"),"")</f>
        <v/>
      </c>
      <c r="L8004" s="12"/>
      <c r="M8004" s="13"/>
      <c r="N8004" s="2"/>
      <c r="O8004" s="20"/>
      <c r="P8004" s="42"/>
      <c r="R8004" s="23"/>
    </row>
    <row r="8005" spans="1:18" ht="12.75">
      <c r="A8005" s="12"/>
      <c r="D8005" s="12"/>
      <c r="E8005" s="12"/>
      <c r="H8005" s="11" t="str">
        <f ca="1">IFERROR(__xludf.DUMMYFUNCTION("IFERROR(SUBSTITUTE(SUBSTITUTE(REGEXEXTRACT(A8005, ""[^-]+- [^-]+- [^-]+ - (.+?)\.jpg""), "".jpg"", """"), ""-"", "", ""), """")"),"")</f>
        <v/>
      </c>
      <c r="L8005" s="12"/>
      <c r="M8005" s="13"/>
      <c r="N8005" s="2"/>
      <c r="O8005" s="20"/>
      <c r="P8005" s="42"/>
      <c r="R8005" s="23"/>
    </row>
    <row r="8006" spans="1:18" ht="12.75">
      <c r="A8006" s="12"/>
      <c r="D8006" s="12"/>
      <c r="E8006" s="12"/>
      <c r="H8006" s="11" t="str">
        <f ca="1">IFERROR(__xludf.DUMMYFUNCTION("IFERROR(SUBSTITUTE(SUBSTITUTE(REGEXEXTRACT(A8006, ""[^-]+- [^-]+- [^-]+ - (.+?)\.jpg""), "".jpg"", """"), ""-"", "", ""), """")"),"")</f>
        <v/>
      </c>
      <c r="L8006" s="12"/>
      <c r="M8006" s="13"/>
      <c r="N8006" s="2"/>
      <c r="O8006" s="20"/>
      <c r="P8006" s="42"/>
      <c r="R8006" s="23"/>
    </row>
    <row r="8007" spans="1:18" ht="12.75">
      <c r="A8007" s="12"/>
      <c r="D8007" s="12"/>
      <c r="E8007" s="12"/>
      <c r="H8007" s="11" t="str">
        <f ca="1">IFERROR(__xludf.DUMMYFUNCTION("IFERROR(SUBSTITUTE(SUBSTITUTE(REGEXEXTRACT(A8007, ""[^-]+- [^-]+- [^-]+ - (.+?)\.jpg""), "".jpg"", """"), ""-"", "", ""), """")"),"")</f>
        <v/>
      </c>
      <c r="L8007" s="12"/>
      <c r="M8007" s="13"/>
      <c r="N8007" s="2"/>
      <c r="O8007" s="20"/>
      <c r="P8007" s="42"/>
      <c r="R8007" s="23"/>
    </row>
    <row r="8008" spans="1:18" ht="12.75">
      <c r="A8008" s="12"/>
      <c r="D8008" s="12"/>
      <c r="E8008" s="12"/>
      <c r="H8008" s="11" t="str">
        <f ca="1">IFERROR(__xludf.DUMMYFUNCTION("IFERROR(SUBSTITUTE(SUBSTITUTE(REGEXEXTRACT(A8008, ""[^-]+- [^-]+- [^-]+ - (.+?)\.jpg""), "".jpg"", """"), ""-"", "", ""), """")"),"")</f>
        <v/>
      </c>
      <c r="L8008" s="12"/>
      <c r="M8008" s="13"/>
      <c r="N8008" s="2"/>
      <c r="O8008" s="20"/>
      <c r="P8008" s="42"/>
      <c r="R8008" s="23"/>
    </row>
    <row r="8009" spans="1:18" ht="12.75">
      <c r="A8009" s="12"/>
      <c r="D8009" s="12"/>
      <c r="E8009" s="12"/>
      <c r="H8009" s="11" t="str">
        <f ca="1">IFERROR(__xludf.DUMMYFUNCTION("IFERROR(SUBSTITUTE(SUBSTITUTE(REGEXEXTRACT(A8009, ""[^-]+- [^-]+- [^-]+ - (.+?)\.jpg""), "".jpg"", """"), ""-"", "", ""), """")"),"")</f>
        <v/>
      </c>
      <c r="L8009" s="12"/>
      <c r="M8009" s="13"/>
      <c r="N8009" s="2"/>
      <c r="O8009" s="20"/>
      <c r="P8009" s="42"/>
      <c r="R8009" s="23"/>
    </row>
    <row r="8010" spans="1:18" ht="12.75">
      <c r="A8010" s="12"/>
      <c r="D8010" s="12"/>
      <c r="E8010" s="12"/>
      <c r="H8010" s="11" t="str">
        <f ca="1">IFERROR(__xludf.DUMMYFUNCTION("IFERROR(SUBSTITUTE(SUBSTITUTE(REGEXEXTRACT(A8010, ""[^-]+- [^-]+- [^-]+ - (.+?)\.jpg""), "".jpg"", """"), ""-"", "", ""), """")"),"")</f>
        <v/>
      </c>
      <c r="L8010" s="12"/>
      <c r="M8010" s="13"/>
      <c r="N8010" s="2"/>
      <c r="O8010" s="20"/>
      <c r="P8010" s="42"/>
      <c r="R8010" s="23"/>
    </row>
    <row r="8011" spans="1:18" ht="12.75">
      <c r="A8011" s="12"/>
      <c r="D8011" s="12"/>
      <c r="E8011" s="12"/>
      <c r="H8011" s="11" t="str">
        <f ca="1">IFERROR(__xludf.DUMMYFUNCTION("IFERROR(SUBSTITUTE(SUBSTITUTE(REGEXEXTRACT(A8011, ""[^-]+- [^-]+- [^-]+ - (.+?)\.jpg""), "".jpg"", """"), ""-"", "", ""), """")"),"")</f>
        <v/>
      </c>
      <c r="L8011" s="12"/>
      <c r="M8011" s="13"/>
      <c r="N8011" s="2"/>
      <c r="O8011" s="20"/>
      <c r="P8011" s="42"/>
      <c r="R8011" s="23"/>
    </row>
    <row r="8012" spans="1:18" ht="12.75">
      <c r="A8012" s="12"/>
      <c r="D8012" s="12"/>
      <c r="E8012" s="12"/>
      <c r="H8012" s="11" t="str">
        <f ca="1">IFERROR(__xludf.DUMMYFUNCTION("IFERROR(SUBSTITUTE(SUBSTITUTE(REGEXEXTRACT(A8012, ""[^-]+- [^-]+- [^-]+ - (.+?)\.jpg""), "".jpg"", """"), ""-"", "", ""), """")"),"")</f>
        <v/>
      </c>
      <c r="L8012" s="12"/>
      <c r="M8012" s="13"/>
      <c r="N8012" s="2"/>
      <c r="O8012" s="20"/>
      <c r="P8012" s="42"/>
      <c r="R8012" s="23"/>
    </row>
    <row r="8013" spans="1:18" ht="12.75">
      <c r="A8013" s="12"/>
      <c r="D8013" s="12"/>
      <c r="E8013" s="12"/>
      <c r="H8013" s="11" t="str">
        <f ca="1">IFERROR(__xludf.DUMMYFUNCTION("IFERROR(SUBSTITUTE(SUBSTITUTE(REGEXEXTRACT(A8013, ""[^-]+- [^-]+- [^-]+ - (.+?)\.jpg""), "".jpg"", """"), ""-"", "", ""), """")"),"")</f>
        <v/>
      </c>
      <c r="L8013" s="12"/>
      <c r="M8013" s="13"/>
      <c r="N8013" s="2"/>
      <c r="O8013" s="20"/>
      <c r="P8013" s="42"/>
      <c r="R8013" s="23"/>
    </row>
    <row r="8014" spans="1:18" ht="12.75">
      <c r="A8014" s="12"/>
      <c r="D8014" s="12"/>
      <c r="E8014" s="12"/>
      <c r="H8014" s="11" t="str">
        <f ca="1">IFERROR(__xludf.DUMMYFUNCTION("IFERROR(SUBSTITUTE(SUBSTITUTE(REGEXEXTRACT(A8014, ""[^-]+- [^-]+- [^-]+ - (.+?)\.jpg""), "".jpg"", """"), ""-"", "", ""), """")"),"")</f>
        <v/>
      </c>
      <c r="L8014" s="12"/>
      <c r="M8014" s="13"/>
      <c r="N8014" s="2"/>
      <c r="O8014" s="20"/>
      <c r="P8014" s="42"/>
      <c r="R8014" s="23"/>
    </row>
    <row r="8015" spans="1:18" ht="12.75">
      <c r="A8015" s="12"/>
      <c r="D8015" s="12"/>
      <c r="E8015" s="12"/>
      <c r="H8015" s="11" t="str">
        <f ca="1">IFERROR(__xludf.DUMMYFUNCTION("IFERROR(SUBSTITUTE(SUBSTITUTE(REGEXEXTRACT(A8015, ""[^-]+- [^-]+- [^-]+ - (.+?)\.jpg""), "".jpg"", """"), ""-"", "", ""), """")"),"")</f>
        <v/>
      </c>
      <c r="L8015" s="12"/>
      <c r="M8015" s="13"/>
      <c r="N8015" s="2"/>
      <c r="O8015" s="20"/>
      <c r="P8015" s="42"/>
      <c r="R8015" s="23"/>
    </row>
    <row r="8016" spans="1:18" ht="12.75">
      <c r="A8016" s="12"/>
      <c r="D8016" s="12"/>
      <c r="E8016" s="12"/>
      <c r="H8016" s="11" t="str">
        <f ca="1">IFERROR(__xludf.DUMMYFUNCTION("IFERROR(SUBSTITUTE(SUBSTITUTE(REGEXEXTRACT(A8016, ""[^-]+- [^-]+- [^-]+ - (.+?)\.jpg""), "".jpg"", """"), ""-"", "", ""), """")"),"")</f>
        <v/>
      </c>
      <c r="L8016" s="12"/>
      <c r="M8016" s="13"/>
      <c r="N8016" s="2"/>
      <c r="O8016" s="20"/>
      <c r="P8016" s="42"/>
      <c r="R8016" s="23"/>
    </row>
    <row r="8017" spans="1:18" ht="12.75">
      <c r="A8017" s="12"/>
      <c r="D8017" s="12"/>
      <c r="E8017" s="12"/>
      <c r="H8017" s="11" t="str">
        <f ca="1">IFERROR(__xludf.DUMMYFUNCTION("IFERROR(SUBSTITUTE(SUBSTITUTE(REGEXEXTRACT(A8017, ""[^-]+- [^-]+- [^-]+ - (.+?)\.jpg""), "".jpg"", """"), ""-"", "", ""), """")"),"")</f>
        <v/>
      </c>
      <c r="L8017" s="12"/>
      <c r="M8017" s="13"/>
      <c r="N8017" s="2"/>
      <c r="O8017" s="20"/>
      <c r="P8017" s="42"/>
      <c r="R8017" s="23"/>
    </row>
    <row r="8018" spans="1:18" ht="12.75">
      <c r="A8018" s="12"/>
      <c r="D8018" s="12"/>
      <c r="E8018" s="12"/>
      <c r="H8018" s="11" t="str">
        <f ca="1">IFERROR(__xludf.DUMMYFUNCTION("IFERROR(SUBSTITUTE(SUBSTITUTE(REGEXEXTRACT(A8018, ""[^-]+- [^-]+- [^-]+ - (.+?)\.jpg""), "".jpg"", """"), ""-"", "", ""), """")"),"")</f>
        <v/>
      </c>
      <c r="L8018" s="12"/>
      <c r="M8018" s="13"/>
      <c r="N8018" s="2"/>
      <c r="O8018" s="20"/>
      <c r="P8018" s="42"/>
      <c r="R8018" s="23"/>
    </row>
    <row r="8019" spans="1:18" ht="12.75">
      <c r="A8019" s="12"/>
      <c r="D8019" s="12"/>
      <c r="E8019" s="12"/>
      <c r="H8019" s="11" t="str">
        <f ca="1">IFERROR(__xludf.DUMMYFUNCTION("IFERROR(SUBSTITUTE(SUBSTITUTE(REGEXEXTRACT(A8019, ""[^-]+- [^-]+- [^-]+ - (.+?)\.jpg""), "".jpg"", """"), ""-"", "", ""), """")"),"")</f>
        <v/>
      </c>
      <c r="L8019" s="12"/>
      <c r="M8019" s="13"/>
      <c r="N8019" s="2"/>
      <c r="O8019" s="20"/>
      <c r="P8019" s="42"/>
      <c r="R8019" s="23"/>
    </row>
    <row r="8020" spans="1:18" ht="12.75">
      <c r="A8020" s="12"/>
      <c r="D8020" s="12"/>
      <c r="E8020" s="12"/>
      <c r="H8020" s="11" t="str">
        <f ca="1">IFERROR(__xludf.DUMMYFUNCTION("IFERROR(SUBSTITUTE(SUBSTITUTE(REGEXEXTRACT(A8020, ""[^-]+- [^-]+- [^-]+ - (.+?)\.jpg""), "".jpg"", """"), ""-"", "", ""), """")"),"")</f>
        <v/>
      </c>
      <c r="L8020" s="12"/>
      <c r="M8020" s="13"/>
      <c r="N8020" s="2"/>
      <c r="O8020" s="20"/>
      <c r="P8020" s="42"/>
      <c r="R8020" s="23"/>
    </row>
    <row r="8021" spans="1:18" ht="12.75">
      <c r="A8021" s="12"/>
      <c r="D8021" s="12"/>
      <c r="E8021" s="12"/>
      <c r="H8021" s="11" t="str">
        <f ca="1">IFERROR(__xludf.DUMMYFUNCTION("IFERROR(SUBSTITUTE(SUBSTITUTE(REGEXEXTRACT(A8021, ""[^-]+- [^-]+- [^-]+ - (.+?)\.jpg""), "".jpg"", """"), ""-"", "", ""), """")"),"")</f>
        <v/>
      </c>
      <c r="L8021" s="12"/>
      <c r="M8021" s="13"/>
      <c r="N8021" s="2"/>
      <c r="O8021" s="20"/>
      <c r="P8021" s="42"/>
      <c r="R8021" s="23"/>
    </row>
    <row r="8022" spans="1:18" ht="12.75">
      <c r="A8022" s="12"/>
      <c r="D8022" s="12"/>
      <c r="E8022" s="12"/>
      <c r="H8022" s="11" t="str">
        <f ca="1">IFERROR(__xludf.DUMMYFUNCTION("IFERROR(SUBSTITUTE(SUBSTITUTE(REGEXEXTRACT(A8022, ""[^-]+- [^-]+- [^-]+ - (.+?)\.jpg""), "".jpg"", """"), ""-"", "", ""), """")"),"")</f>
        <v/>
      </c>
      <c r="L8022" s="12"/>
      <c r="M8022" s="13"/>
      <c r="N8022" s="2"/>
      <c r="O8022" s="20"/>
      <c r="P8022" s="42"/>
      <c r="R8022" s="23"/>
    </row>
    <row r="8023" spans="1:18" ht="12.75">
      <c r="A8023" s="12"/>
      <c r="D8023" s="12"/>
      <c r="E8023" s="12"/>
      <c r="H8023" s="11" t="str">
        <f ca="1">IFERROR(__xludf.DUMMYFUNCTION("IFERROR(SUBSTITUTE(SUBSTITUTE(REGEXEXTRACT(A8023, ""[^-]+- [^-]+- [^-]+ - (.+?)\.jpg""), "".jpg"", """"), ""-"", "", ""), """")"),"")</f>
        <v/>
      </c>
      <c r="L8023" s="12"/>
      <c r="M8023" s="13"/>
      <c r="N8023" s="2"/>
      <c r="O8023" s="20"/>
      <c r="P8023" s="42"/>
      <c r="R8023" s="23"/>
    </row>
    <row r="8024" spans="1:18" ht="12.75">
      <c r="A8024" s="12"/>
      <c r="D8024" s="12"/>
      <c r="E8024" s="12"/>
      <c r="H8024" s="11" t="str">
        <f ca="1">IFERROR(__xludf.DUMMYFUNCTION("IFERROR(SUBSTITUTE(SUBSTITUTE(REGEXEXTRACT(A8024, ""[^-]+- [^-]+- [^-]+ - (.+?)\.jpg""), "".jpg"", """"), ""-"", "", ""), """")"),"")</f>
        <v/>
      </c>
      <c r="L8024" s="12"/>
      <c r="M8024" s="13"/>
      <c r="N8024" s="2"/>
      <c r="O8024" s="20"/>
      <c r="P8024" s="42"/>
      <c r="R8024" s="23"/>
    </row>
    <row r="8025" spans="1:18" ht="12.75">
      <c r="A8025" s="12"/>
      <c r="D8025" s="12"/>
      <c r="E8025" s="12"/>
      <c r="H8025" s="11" t="str">
        <f ca="1">IFERROR(__xludf.DUMMYFUNCTION("IFERROR(SUBSTITUTE(SUBSTITUTE(REGEXEXTRACT(A8025, ""[^-]+- [^-]+- [^-]+ - (.+?)\.jpg""), "".jpg"", """"), ""-"", "", ""), """")"),"")</f>
        <v/>
      </c>
      <c r="L8025" s="12"/>
      <c r="M8025" s="13"/>
      <c r="N8025" s="2"/>
      <c r="O8025" s="20"/>
      <c r="P8025" s="42"/>
      <c r="R8025" s="23"/>
    </row>
    <row r="8026" spans="1:18" ht="12.75">
      <c r="A8026" s="12"/>
      <c r="D8026" s="12"/>
      <c r="E8026" s="12"/>
      <c r="H8026" s="11" t="str">
        <f ca="1">IFERROR(__xludf.DUMMYFUNCTION("IFERROR(SUBSTITUTE(SUBSTITUTE(REGEXEXTRACT(A8026, ""[^-]+- [^-]+- [^-]+ - (.+?)\.jpg""), "".jpg"", """"), ""-"", "", ""), """")"),"")</f>
        <v/>
      </c>
      <c r="L8026" s="12"/>
      <c r="M8026" s="13"/>
      <c r="N8026" s="2"/>
      <c r="O8026" s="20"/>
      <c r="P8026" s="42"/>
      <c r="R8026" s="23"/>
    </row>
    <row r="8027" spans="1:18" ht="12.75">
      <c r="A8027" s="12"/>
      <c r="D8027" s="12"/>
      <c r="E8027" s="12"/>
      <c r="H8027" s="11" t="str">
        <f ca="1">IFERROR(__xludf.DUMMYFUNCTION("IFERROR(SUBSTITUTE(SUBSTITUTE(REGEXEXTRACT(A8027, ""[^-]+- [^-]+- [^-]+ - (.+?)\.jpg""), "".jpg"", """"), ""-"", "", ""), """")"),"")</f>
        <v/>
      </c>
      <c r="L8027" s="12"/>
      <c r="M8027" s="13"/>
      <c r="N8027" s="2"/>
      <c r="O8027" s="20"/>
      <c r="P8027" s="42"/>
      <c r="R8027" s="23"/>
    </row>
    <row r="8028" spans="1:18" ht="12.75">
      <c r="A8028" s="12"/>
      <c r="D8028" s="12"/>
      <c r="E8028" s="12"/>
      <c r="H8028" s="11" t="str">
        <f ca="1">IFERROR(__xludf.DUMMYFUNCTION("IFERROR(SUBSTITUTE(SUBSTITUTE(REGEXEXTRACT(A8028, ""[^-]+- [^-]+- [^-]+ - (.+?)\.jpg""), "".jpg"", """"), ""-"", "", ""), """")"),"")</f>
        <v/>
      </c>
      <c r="L8028" s="12"/>
      <c r="M8028" s="13"/>
      <c r="N8028" s="2"/>
      <c r="O8028" s="20"/>
      <c r="P8028" s="42"/>
      <c r="R8028" s="23"/>
    </row>
    <row r="8029" spans="1:18" ht="12.75">
      <c r="A8029" s="12"/>
      <c r="D8029" s="12"/>
      <c r="E8029" s="12"/>
      <c r="H8029" s="11" t="str">
        <f ca="1">IFERROR(__xludf.DUMMYFUNCTION("IFERROR(SUBSTITUTE(SUBSTITUTE(REGEXEXTRACT(A8029, ""[^-]+- [^-]+- [^-]+ - (.+?)\.jpg""), "".jpg"", """"), ""-"", "", ""), """")"),"")</f>
        <v/>
      </c>
      <c r="L8029" s="12"/>
      <c r="M8029" s="13"/>
      <c r="N8029" s="2"/>
      <c r="O8029" s="20"/>
      <c r="P8029" s="42"/>
      <c r="R8029" s="23"/>
    </row>
    <row r="8030" spans="1:18" ht="12.75">
      <c r="A8030" s="12"/>
      <c r="D8030" s="12"/>
      <c r="E8030" s="12"/>
      <c r="H8030" s="11" t="str">
        <f ca="1">IFERROR(__xludf.DUMMYFUNCTION("IFERROR(SUBSTITUTE(SUBSTITUTE(REGEXEXTRACT(A8030, ""[^-]+- [^-]+- [^-]+ - (.+?)\.jpg""), "".jpg"", """"), ""-"", "", ""), """")"),"")</f>
        <v/>
      </c>
      <c r="L8030" s="12"/>
      <c r="M8030" s="13"/>
      <c r="N8030" s="2"/>
      <c r="O8030" s="20"/>
      <c r="P8030" s="42"/>
      <c r="R8030" s="23"/>
    </row>
    <row r="8031" spans="1:18" ht="12.75">
      <c r="A8031" s="12"/>
      <c r="D8031" s="12"/>
      <c r="E8031" s="12"/>
      <c r="H8031" s="11" t="str">
        <f ca="1">IFERROR(__xludf.DUMMYFUNCTION("IFERROR(SUBSTITUTE(SUBSTITUTE(REGEXEXTRACT(A8031, ""[^-]+- [^-]+- [^-]+ - (.+?)\.jpg""), "".jpg"", """"), ""-"", "", ""), """")"),"")</f>
        <v/>
      </c>
      <c r="L8031" s="12"/>
      <c r="M8031" s="13"/>
      <c r="N8031" s="2"/>
      <c r="O8031" s="20"/>
      <c r="P8031" s="42"/>
      <c r="R8031" s="23"/>
    </row>
    <row r="8032" spans="1:18" ht="12.75">
      <c r="A8032" s="12"/>
      <c r="D8032" s="12"/>
      <c r="E8032" s="12"/>
      <c r="H8032" s="11" t="str">
        <f ca="1">IFERROR(__xludf.DUMMYFUNCTION("IFERROR(SUBSTITUTE(SUBSTITUTE(REGEXEXTRACT(A8032, ""[^-]+- [^-]+- [^-]+ - (.+?)\.jpg""), "".jpg"", """"), ""-"", "", ""), """")"),"")</f>
        <v/>
      </c>
      <c r="L8032" s="12"/>
      <c r="M8032" s="13"/>
      <c r="N8032" s="2"/>
      <c r="O8032" s="20"/>
      <c r="P8032" s="42"/>
      <c r="R8032" s="23"/>
    </row>
    <row r="8033" spans="1:18" ht="12.75">
      <c r="A8033" s="12"/>
      <c r="D8033" s="12"/>
      <c r="E8033" s="12"/>
      <c r="H8033" s="11" t="str">
        <f ca="1">IFERROR(__xludf.DUMMYFUNCTION("IFERROR(SUBSTITUTE(SUBSTITUTE(REGEXEXTRACT(A8033, ""[^-]+- [^-]+- [^-]+ - (.+?)\.jpg""), "".jpg"", """"), ""-"", "", ""), """")"),"")</f>
        <v/>
      </c>
      <c r="L8033" s="12"/>
      <c r="M8033" s="13"/>
      <c r="N8033" s="2"/>
      <c r="O8033" s="20"/>
      <c r="P8033" s="42"/>
      <c r="R8033" s="23"/>
    </row>
    <row r="8034" spans="1:18" ht="12.75">
      <c r="A8034" s="12"/>
      <c r="D8034" s="12"/>
      <c r="E8034" s="12"/>
      <c r="H8034" s="11" t="str">
        <f ca="1">IFERROR(__xludf.DUMMYFUNCTION("IFERROR(SUBSTITUTE(SUBSTITUTE(REGEXEXTRACT(A8034, ""[^-]+- [^-]+- [^-]+ - (.+?)\.jpg""), "".jpg"", """"), ""-"", "", ""), """")"),"")</f>
        <v/>
      </c>
      <c r="L8034" s="12"/>
      <c r="M8034" s="13"/>
      <c r="N8034" s="2"/>
      <c r="O8034" s="20"/>
      <c r="P8034" s="42"/>
      <c r="R8034" s="23"/>
    </row>
    <row r="8035" spans="1:18" ht="12.75">
      <c r="A8035" s="12"/>
      <c r="D8035" s="12"/>
      <c r="E8035" s="12"/>
      <c r="H8035" s="11" t="str">
        <f ca="1">IFERROR(__xludf.DUMMYFUNCTION("IFERROR(SUBSTITUTE(SUBSTITUTE(REGEXEXTRACT(A8035, ""[^-]+- [^-]+- [^-]+ - (.+?)\.jpg""), "".jpg"", """"), ""-"", "", ""), """")"),"")</f>
        <v/>
      </c>
      <c r="L8035" s="12"/>
      <c r="M8035" s="13"/>
      <c r="N8035" s="2"/>
      <c r="O8035" s="20"/>
      <c r="P8035" s="42"/>
      <c r="R8035" s="23"/>
    </row>
    <row r="8036" spans="1:18" ht="12.75">
      <c r="A8036" s="12"/>
      <c r="D8036" s="12"/>
      <c r="E8036" s="12"/>
      <c r="H8036" s="11" t="str">
        <f ca="1">IFERROR(__xludf.DUMMYFUNCTION("IFERROR(SUBSTITUTE(SUBSTITUTE(REGEXEXTRACT(A8036, ""[^-]+- [^-]+- [^-]+ - (.+?)\.jpg""), "".jpg"", """"), ""-"", "", ""), """")"),"")</f>
        <v/>
      </c>
      <c r="L8036" s="12"/>
      <c r="M8036" s="13"/>
      <c r="N8036" s="2"/>
      <c r="O8036" s="20"/>
      <c r="P8036" s="42"/>
      <c r="R8036" s="23"/>
    </row>
    <row r="8037" spans="1:18" ht="12.75">
      <c r="A8037" s="12"/>
      <c r="D8037" s="12"/>
      <c r="E8037" s="12"/>
      <c r="H8037" s="11" t="str">
        <f ca="1">IFERROR(__xludf.DUMMYFUNCTION("IFERROR(SUBSTITUTE(SUBSTITUTE(REGEXEXTRACT(A8037, ""[^-]+- [^-]+- [^-]+ - (.+?)\.jpg""), "".jpg"", """"), ""-"", "", ""), """")"),"")</f>
        <v/>
      </c>
      <c r="L8037" s="12"/>
      <c r="M8037" s="13"/>
      <c r="N8037" s="2"/>
      <c r="O8037" s="20"/>
      <c r="P8037" s="42"/>
      <c r="R8037" s="23"/>
    </row>
    <row r="8038" spans="1:18" ht="12.75">
      <c r="A8038" s="12"/>
      <c r="D8038" s="12"/>
      <c r="E8038" s="12"/>
      <c r="H8038" s="11" t="str">
        <f ca="1">IFERROR(__xludf.DUMMYFUNCTION("IFERROR(SUBSTITUTE(SUBSTITUTE(REGEXEXTRACT(A8038, ""[^-]+- [^-]+- [^-]+ - (.+?)\.jpg""), "".jpg"", """"), ""-"", "", ""), """")"),"")</f>
        <v/>
      </c>
      <c r="L8038" s="12"/>
      <c r="M8038" s="13"/>
      <c r="N8038" s="2"/>
      <c r="O8038" s="20"/>
      <c r="P8038" s="42"/>
      <c r="R8038" s="23"/>
    </row>
    <row r="8039" spans="1:18" ht="12.75">
      <c r="A8039" s="12"/>
      <c r="D8039" s="12"/>
      <c r="E8039" s="12"/>
      <c r="H8039" s="11" t="str">
        <f ca="1">IFERROR(__xludf.DUMMYFUNCTION("IFERROR(SUBSTITUTE(SUBSTITUTE(REGEXEXTRACT(A8039, ""[^-]+- [^-]+- [^-]+ - (.+?)\.jpg""), "".jpg"", """"), ""-"", "", ""), """")"),"")</f>
        <v/>
      </c>
      <c r="L8039" s="12"/>
      <c r="M8039" s="13"/>
      <c r="N8039" s="2"/>
      <c r="O8039" s="20"/>
      <c r="P8039" s="42"/>
      <c r="R8039" s="23"/>
    </row>
    <row r="8040" spans="1:18" ht="12.75">
      <c r="A8040" s="12"/>
      <c r="D8040" s="12"/>
      <c r="E8040" s="12"/>
      <c r="H8040" s="11" t="str">
        <f ca="1">IFERROR(__xludf.DUMMYFUNCTION("IFERROR(SUBSTITUTE(SUBSTITUTE(REGEXEXTRACT(A8040, ""[^-]+- [^-]+- [^-]+ - (.+?)\.jpg""), "".jpg"", """"), ""-"", "", ""), """")"),"")</f>
        <v/>
      </c>
      <c r="L8040" s="12"/>
      <c r="M8040" s="13"/>
      <c r="N8040" s="2"/>
      <c r="O8040" s="20"/>
      <c r="P8040" s="42"/>
      <c r="R8040" s="23"/>
    </row>
    <row r="8041" spans="1:18" ht="12.75">
      <c r="A8041" s="12"/>
      <c r="D8041" s="12"/>
      <c r="E8041" s="12"/>
      <c r="H8041" s="11" t="str">
        <f ca="1">IFERROR(__xludf.DUMMYFUNCTION("IFERROR(SUBSTITUTE(SUBSTITUTE(REGEXEXTRACT(A8041, ""[^-]+- [^-]+- [^-]+ - (.+?)\.jpg""), "".jpg"", """"), ""-"", "", ""), """")"),"")</f>
        <v/>
      </c>
      <c r="L8041" s="12"/>
      <c r="M8041" s="13"/>
      <c r="N8041" s="2"/>
      <c r="O8041" s="20"/>
      <c r="P8041" s="42"/>
      <c r="R8041" s="23"/>
    </row>
    <row r="8042" spans="1:18" ht="12.75">
      <c r="A8042" s="12"/>
      <c r="D8042" s="12"/>
      <c r="E8042" s="12"/>
      <c r="H8042" s="11" t="str">
        <f ca="1">IFERROR(__xludf.DUMMYFUNCTION("IFERROR(SUBSTITUTE(SUBSTITUTE(REGEXEXTRACT(A8042, ""[^-]+- [^-]+- [^-]+ - (.+?)\.jpg""), "".jpg"", """"), ""-"", "", ""), """")"),"")</f>
        <v/>
      </c>
      <c r="L8042" s="12"/>
      <c r="M8042" s="13"/>
      <c r="N8042" s="2"/>
      <c r="O8042" s="20"/>
      <c r="P8042" s="42"/>
      <c r="R8042" s="23"/>
    </row>
    <row r="8043" spans="1:18" ht="12.75">
      <c r="A8043" s="12"/>
      <c r="D8043" s="12"/>
      <c r="E8043" s="12"/>
      <c r="H8043" s="11" t="str">
        <f ca="1">IFERROR(__xludf.DUMMYFUNCTION("IFERROR(SUBSTITUTE(SUBSTITUTE(REGEXEXTRACT(A8043, ""[^-]+- [^-]+- [^-]+ - (.+?)\.jpg""), "".jpg"", """"), ""-"", "", ""), """")"),"")</f>
        <v/>
      </c>
      <c r="L8043" s="12"/>
      <c r="M8043" s="13"/>
      <c r="N8043" s="2"/>
      <c r="O8043" s="20"/>
      <c r="P8043" s="42"/>
      <c r="R8043" s="23"/>
    </row>
    <row r="8044" spans="1:18" ht="12.75">
      <c r="A8044" s="12"/>
      <c r="D8044" s="12"/>
      <c r="E8044" s="12"/>
      <c r="H8044" s="11" t="str">
        <f ca="1">IFERROR(__xludf.DUMMYFUNCTION("IFERROR(SUBSTITUTE(SUBSTITUTE(REGEXEXTRACT(A8044, ""[^-]+- [^-]+- [^-]+ - (.+?)\.jpg""), "".jpg"", """"), ""-"", "", ""), """")"),"")</f>
        <v/>
      </c>
      <c r="L8044" s="12"/>
      <c r="M8044" s="13"/>
      <c r="N8044" s="2"/>
      <c r="O8044" s="20"/>
      <c r="P8044" s="42"/>
      <c r="R8044" s="23"/>
    </row>
    <row r="8045" spans="1:18" ht="12.75">
      <c r="A8045" s="12"/>
      <c r="D8045" s="12"/>
      <c r="E8045" s="12"/>
      <c r="H8045" s="11" t="str">
        <f ca="1">IFERROR(__xludf.DUMMYFUNCTION("IFERROR(SUBSTITUTE(SUBSTITUTE(REGEXEXTRACT(A8045, ""[^-]+- [^-]+- [^-]+ - (.+?)\.jpg""), "".jpg"", """"), ""-"", "", ""), """")"),"")</f>
        <v/>
      </c>
      <c r="L8045" s="12"/>
      <c r="M8045" s="13"/>
      <c r="N8045" s="2"/>
      <c r="O8045" s="20"/>
      <c r="P8045" s="42"/>
      <c r="R8045" s="23"/>
    </row>
    <row r="8046" spans="1:18" ht="12.75">
      <c r="A8046" s="12"/>
      <c r="D8046" s="12"/>
      <c r="E8046" s="12"/>
      <c r="H8046" s="11" t="str">
        <f ca="1">IFERROR(__xludf.DUMMYFUNCTION("IFERROR(SUBSTITUTE(SUBSTITUTE(REGEXEXTRACT(A8046, ""[^-]+- [^-]+- [^-]+ - (.+?)\.jpg""), "".jpg"", """"), ""-"", "", ""), """")"),"")</f>
        <v/>
      </c>
      <c r="L8046" s="12"/>
      <c r="M8046" s="13"/>
      <c r="N8046" s="2"/>
      <c r="O8046" s="20"/>
      <c r="P8046" s="42"/>
      <c r="R8046" s="23"/>
    </row>
    <row r="8047" spans="1:18" ht="12.75">
      <c r="A8047" s="12"/>
      <c r="D8047" s="12"/>
      <c r="E8047" s="12"/>
      <c r="H8047" s="11" t="str">
        <f ca="1">IFERROR(__xludf.DUMMYFUNCTION("IFERROR(SUBSTITUTE(SUBSTITUTE(REGEXEXTRACT(A8047, ""[^-]+- [^-]+- [^-]+ - (.+?)\.jpg""), "".jpg"", """"), ""-"", "", ""), """")"),"")</f>
        <v/>
      </c>
      <c r="L8047" s="12"/>
      <c r="M8047" s="13"/>
      <c r="N8047" s="2"/>
      <c r="O8047" s="20"/>
      <c r="P8047" s="42"/>
      <c r="R8047" s="23"/>
    </row>
    <row r="8048" spans="1:18" ht="12.75">
      <c r="A8048" s="12"/>
      <c r="D8048" s="12"/>
      <c r="E8048" s="12"/>
      <c r="H8048" s="11" t="str">
        <f ca="1">IFERROR(__xludf.DUMMYFUNCTION("IFERROR(SUBSTITUTE(SUBSTITUTE(REGEXEXTRACT(A8048, ""[^-]+- [^-]+- [^-]+ - (.+?)\.jpg""), "".jpg"", """"), ""-"", "", ""), """")"),"")</f>
        <v/>
      </c>
      <c r="L8048" s="12"/>
      <c r="M8048" s="13"/>
      <c r="N8048" s="2"/>
      <c r="O8048" s="20"/>
      <c r="P8048" s="42"/>
      <c r="R8048" s="23"/>
    </row>
    <row r="8049" spans="1:18" ht="12.75">
      <c r="A8049" s="12"/>
      <c r="D8049" s="12"/>
      <c r="E8049" s="12"/>
      <c r="H8049" s="11" t="str">
        <f ca="1">IFERROR(__xludf.DUMMYFUNCTION("IFERROR(SUBSTITUTE(SUBSTITUTE(REGEXEXTRACT(A8049, ""[^-]+- [^-]+- [^-]+ - (.+?)\.jpg""), "".jpg"", """"), ""-"", "", ""), """")"),"")</f>
        <v/>
      </c>
      <c r="L8049" s="12"/>
      <c r="M8049" s="13"/>
      <c r="N8049" s="2"/>
      <c r="O8049" s="20"/>
      <c r="P8049" s="42"/>
      <c r="R8049" s="23"/>
    </row>
    <row r="8050" spans="1:18" ht="12.75">
      <c r="A8050" s="12"/>
      <c r="D8050" s="12"/>
      <c r="E8050" s="12"/>
      <c r="H8050" s="11" t="str">
        <f ca="1">IFERROR(__xludf.DUMMYFUNCTION("IFERROR(SUBSTITUTE(SUBSTITUTE(REGEXEXTRACT(A8050, ""[^-]+- [^-]+- [^-]+ - (.+?)\.jpg""), "".jpg"", """"), ""-"", "", ""), """")"),"")</f>
        <v/>
      </c>
      <c r="L8050" s="12"/>
      <c r="M8050" s="13"/>
      <c r="N8050" s="2"/>
      <c r="O8050" s="20"/>
      <c r="P8050" s="42"/>
      <c r="R8050" s="23"/>
    </row>
    <row r="8051" spans="1:18" ht="12.75">
      <c r="A8051" s="12"/>
      <c r="D8051" s="12"/>
      <c r="E8051" s="12"/>
      <c r="H8051" s="11" t="str">
        <f ca="1">IFERROR(__xludf.DUMMYFUNCTION("IFERROR(SUBSTITUTE(SUBSTITUTE(REGEXEXTRACT(A8051, ""[^-]+- [^-]+- [^-]+ - (.+?)\.jpg""), "".jpg"", """"), ""-"", "", ""), """")"),"")</f>
        <v/>
      </c>
      <c r="L8051" s="12"/>
      <c r="M8051" s="13"/>
      <c r="N8051" s="2"/>
      <c r="O8051" s="20"/>
      <c r="P8051" s="42"/>
      <c r="R8051" s="23"/>
    </row>
    <row r="8052" spans="1:18" ht="12.75">
      <c r="A8052" s="12"/>
      <c r="D8052" s="12"/>
      <c r="E8052" s="12"/>
      <c r="H8052" s="11" t="str">
        <f ca="1">IFERROR(__xludf.DUMMYFUNCTION("IFERROR(SUBSTITUTE(SUBSTITUTE(REGEXEXTRACT(A8052, ""[^-]+- [^-]+- [^-]+ - (.+?)\.jpg""), "".jpg"", """"), ""-"", "", ""), """")"),"")</f>
        <v/>
      </c>
      <c r="L8052" s="12"/>
      <c r="M8052" s="13"/>
      <c r="N8052" s="2"/>
      <c r="O8052" s="20"/>
      <c r="P8052" s="42"/>
      <c r="R8052" s="23"/>
    </row>
    <row r="8053" spans="1:18" ht="12.75">
      <c r="A8053" s="12"/>
      <c r="D8053" s="12"/>
      <c r="E8053" s="12"/>
      <c r="H8053" s="11" t="str">
        <f ca="1">IFERROR(__xludf.DUMMYFUNCTION("IFERROR(SUBSTITUTE(SUBSTITUTE(REGEXEXTRACT(A8053, ""[^-]+- [^-]+- [^-]+ - (.+?)\.jpg""), "".jpg"", """"), ""-"", "", ""), """")"),"")</f>
        <v/>
      </c>
      <c r="L8053" s="12"/>
      <c r="M8053" s="13"/>
      <c r="N8053" s="2"/>
      <c r="O8053" s="20"/>
      <c r="P8053" s="42"/>
      <c r="R8053" s="23"/>
    </row>
    <row r="8054" spans="1:18" ht="12.75">
      <c r="A8054" s="12"/>
      <c r="D8054" s="12"/>
      <c r="E8054" s="12"/>
      <c r="H8054" s="11" t="str">
        <f ca="1">IFERROR(__xludf.DUMMYFUNCTION("IFERROR(SUBSTITUTE(SUBSTITUTE(REGEXEXTRACT(A8054, ""[^-]+- [^-]+- [^-]+ - (.+?)\.jpg""), "".jpg"", """"), ""-"", "", ""), """")"),"")</f>
        <v/>
      </c>
      <c r="L8054" s="12"/>
      <c r="M8054" s="13"/>
      <c r="N8054" s="2"/>
      <c r="O8054" s="20"/>
      <c r="P8054" s="42"/>
      <c r="R8054" s="23"/>
    </row>
    <row r="8055" spans="1:18" ht="12.75">
      <c r="A8055" s="12"/>
      <c r="D8055" s="12"/>
      <c r="E8055" s="12"/>
      <c r="H8055" s="11" t="str">
        <f ca="1">IFERROR(__xludf.DUMMYFUNCTION("IFERROR(SUBSTITUTE(SUBSTITUTE(REGEXEXTRACT(A8055, ""[^-]+- [^-]+- [^-]+ - (.+?)\.jpg""), "".jpg"", """"), ""-"", "", ""), """")"),"")</f>
        <v/>
      </c>
      <c r="L8055" s="12"/>
      <c r="M8055" s="13"/>
      <c r="N8055" s="2"/>
      <c r="O8055" s="20"/>
      <c r="P8055" s="42"/>
      <c r="R8055" s="23"/>
    </row>
    <row r="8056" spans="1:18" ht="12.75">
      <c r="A8056" s="12"/>
      <c r="D8056" s="12"/>
      <c r="E8056" s="12"/>
      <c r="H8056" s="11" t="str">
        <f ca="1">IFERROR(__xludf.DUMMYFUNCTION("IFERROR(SUBSTITUTE(SUBSTITUTE(REGEXEXTRACT(A8056, ""[^-]+- [^-]+- [^-]+ - (.+?)\.jpg""), "".jpg"", """"), ""-"", "", ""), """")"),"")</f>
        <v/>
      </c>
      <c r="L8056" s="12"/>
      <c r="M8056" s="13"/>
      <c r="N8056" s="2"/>
      <c r="O8056" s="20"/>
      <c r="P8056" s="42"/>
      <c r="R8056" s="23"/>
    </row>
    <row r="8057" spans="1:18" ht="12.75">
      <c r="A8057" s="12"/>
      <c r="D8057" s="12"/>
      <c r="E8057" s="12"/>
      <c r="H8057" s="11" t="str">
        <f ca="1">IFERROR(__xludf.DUMMYFUNCTION("IFERROR(SUBSTITUTE(SUBSTITUTE(REGEXEXTRACT(A8057, ""[^-]+- [^-]+- [^-]+ - (.+?)\.jpg""), "".jpg"", """"), ""-"", "", ""), """")"),"")</f>
        <v/>
      </c>
      <c r="L8057" s="12"/>
      <c r="M8057" s="13"/>
      <c r="N8057" s="2"/>
      <c r="O8057" s="20"/>
      <c r="P8057" s="42"/>
      <c r="R8057" s="23"/>
    </row>
    <row r="8058" spans="1:18" ht="12.75">
      <c r="A8058" s="12"/>
      <c r="D8058" s="12"/>
      <c r="E8058" s="12"/>
      <c r="H8058" s="11" t="str">
        <f ca="1">IFERROR(__xludf.DUMMYFUNCTION("IFERROR(SUBSTITUTE(SUBSTITUTE(REGEXEXTRACT(A8058, ""[^-]+- [^-]+- [^-]+ - (.+?)\.jpg""), "".jpg"", """"), ""-"", "", ""), """")"),"")</f>
        <v/>
      </c>
      <c r="L8058" s="12"/>
      <c r="M8058" s="13"/>
      <c r="N8058" s="2"/>
      <c r="O8058" s="20"/>
      <c r="P8058" s="42"/>
      <c r="R8058" s="23"/>
    </row>
    <row r="8059" spans="1:18" ht="12.75">
      <c r="A8059" s="12"/>
      <c r="D8059" s="12"/>
      <c r="E8059" s="12"/>
      <c r="H8059" s="11" t="str">
        <f ca="1">IFERROR(__xludf.DUMMYFUNCTION("IFERROR(SUBSTITUTE(SUBSTITUTE(REGEXEXTRACT(A8059, ""[^-]+- [^-]+- [^-]+ - (.+?)\.jpg""), "".jpg"", """"), ""-"", "", ""), """")"),"")</f>
        <v/>
      </c>
      <c r="L8059" s="12"/>
      <c r="M8059" s="13"/>
      <c r="N8059" s="2"/>
      <c r="O8059" s="20"/>
      <c r="P8059" s="42"/>
      <c r="R8059" s="23"/>
    </row>
    <row r="8060" spans="1:18" ht="12.75">
      <c r="A8060" s="12"/>
      <c r="D8060" s="12"/>
      <c r="E8060" s="12"/>
      <c r="H8060" s="11" t="str">
        <f ca="1">IFERROR(__xludf.DUMMYFUNCTION("IFERROR(SUBSTITUTE(SUBSTITUTE(REGEXEXTRACT(A8060, ""[^-]+- [^-]+- [^-]+ - (.+?)\.jpg""), "".jpg"", """"), ""-"", "", ""), """")"),"")</f>
        <v/>
      </c>
      <c r="L8060" s="12"/>
      <c r="M8060" s="13"/>
      <c r="N8060" s="2"/>
      <c r="O8060" s="20"/>
      <c r="P8060" s="42"/>
      <c r="R8060" s="23"/>
    </row>
    <row r="8061" spans="1:18" ht="12.75">
      <c r="A8061" s="12"/>
      <c r="D8061" s="12"/>
      <c r="E8061" s="12"/>
      <c r="H8061" s="11" t="str">
        <f ca="1">IFERROR(__xludf.DUMMYFUNCTION("IFERROR(SUBSTITUTE(SUBSTITUTE(REGEXEXTRACT(A8061, ""[^-]+- [^-]+- [^-]+ - (.+?)\.jpg""), "".jpg"", """"), ""-"", "", ""), """")"),"")</f>
        <v/>
      </c>
      <c r="L8061" s="12"/>
      <c r="M8061" s="13"/>
      <c r="N8061" s="2"/>
      <c r="O8061" s="20"/>
      <c r="P8061" s="42"/>
      <c r="R8061" s="23"/>
    </row>
    <row r="8062" spans="1:18" ht="12.75">
      <c r="A8062" s="12"/>
      <c r="D8062" s="12"/>
      <c r="E8062" s="12"/>
      <c r="H8062" s="11" t="str">
        <f ca="1">IFERROR(__xludf.DUMMYFUNCTION("IFERROR(SUBSTITUTE(SUBSTITUTE(REGEXEXTRACT(A8062, ""[^-]+- [^-]+- [^-]+ - (.+?)\.jpg""), "".jpg"", """"), ""-"", "", ""), """")"),"")</f>
        <v/>
      </c>
      <c r="L8062" s="12"/>
      <c r="M8062" s="13"/>
      <c r="N8062" s="2"/>
      <c r="O8062" s="20"/>
      <c r="P8062" s="42"/>
      <c r="R8062" s="23"/>
    </row>
    <row r="8063" spans="1:18" ht="12.75">
      <c r="A8063" s="12"/>
      <c r="D8063" s="12"/>
      <c r="E8063" s="12"/>
      <c r="H8063" s="11" t="str">
        <f ca="1">IFERROR(__xludf.DUMMYFUNCTION("IFERROR(SUBSTITUTE(SUBSTITUTE(REGEXEXTRACT(A8063, ""[^-]+- [^-]+- [^-]+ - (.+?)\.jpg""), "".jpg"", """"), ""-"", "", ""), """")"),"")</f>
        <v/>
      </c>
      <c r="L8063" s="12"/>
      <c r="M8063" s="13"/>
      <c r="N8063" s="2"/>
      <c r="O8063" s="20"/>
      <c r="P8063" s="42"/>
      <c r="R8063" s="23"/>
    </row>
    <row r="8064" spans="1:18" ht="12.75">
      <c r="A8064" s="12"/>
      <c r="D8064" s="12"/>
      <c r="E8064" s="12"/>
      <c r="H8064" s="11" t="str">
        <f ca="1">IFERROR(__xludf.DUMMYFUNCTION("IFERROR(SUBSTITUTE(SUBSTITUTE(REGEXEXTRACT(A8064, ""[^-]+- [^-]+- [^-]+ - (.+?)\.jpg""), "".jpg"", """"), ""-"", "", ""), """")"),"")</f>
        <v/>
      </c>
      <c r="L8064" s="12"/>
      <c r="M8064" s="13"/>
      <c r="N8064" s="2"/>
      <c r="O8064" s="20"/>
      <c r="P8064" s="42"/>
      <c r="R8064" s="23"/>
    </row>
    <row r="8065" spans="1:18" ht="12.75">
      <c r="A8065" s="12"/>
      <c r="D8065" s="12"/>
      <c r="E8065" s="12"/>
      <c r="H8065" s="11" t="str">
        <f ca="1">IFERROR(__xludf.DUMMYFUNCTION("IFERROR(SUBSTITUTE(SUBSTITUTE(REGEXEXTRACT(A8065, ""[^-]+- [^-]+- [^-]+ - (.+?)\.jpg""), "".jpg"", """"), ""-"", "", ""), """")"),"")</f>
        <v/>
      </c>
      <c r="L8065" s="12"/>
      <c r="M8065" s="13"/>
      <c r="N8065" s="2"/>
      <c r="O8065" s="20"/>
      <c r="P8065" s="42"/>
      <c r="R8065" s="23"/>
    </row>
    <row r="8066" spans="1:18" ht="12.75">
      <c r="A8066" s="12"/>
      <c r="D8066" s="12"/>
      <c r="E8066" s="12"/>
      <c r="H8066" s="11" t="str">
        <f ca="1">IFERROR(__xludf.DUMMYFUNCTION("IFERROR(SUBSTITUTE(SUBSTITUTE(REGEXEXTRACT(A8066, ""[^-]+- [^-]+- [^-]+ - (.+?)\.jpg""), "".jpg"", """"), ""-"", "", ""), """")"),"")</f>
        <v/>
      </c>
      <c r="L8066" s="12"/>
      <c r="M8066" s="13"/>
      <c r="N8066" s="2"/>
      <c r="O8066" s="20"/>
      <c r="P8066" s="42"/>
      <c r="R8066" s="23"/>
    </row>
    <row r="8067" spans="1:18" ht="12.75">
      <c r="A8067" s="12"/>
      <c r="D8067" s="12"/>
      <c r="E8067" s="12"/>
      <c r="H8067" s="11" t="str">
        <f ca="1">IFERROR(__xludf.DUMMYFUNCTION("IFERROR(SUBSTITUTE(SUBSTITUTE(REGEXEXTRACT(A8067, ""[^-]+- [^-]+- [^-]+ - (.+?)\.jpg""), "".jpg"", """"), ""-"", "", ""), """")"),"")</f>
        <v/>
      </c>
      <c r="L8067" s="12"/>
      <c r="M8067" s="13"/>
      <c r="N8067" s="2"/>
      <c r="O8067" s="20"/>
      <c r="P8067" s="42"/>
      <c r="R8067" s="23"/>
    </row>
    <row r="8068" spans="1:18" ht="12.75">
      <c r="A8068" s="12"/>
      <c r="D8068" s="12"/>
      <c r="E8068" s="12"/>
      <c r="H8068" s="11" t="str">
        <f ca="1">IFERROR(__xludf.DUMMYFUNCTION("IFERROR(SUBSTITUTE(SUBSTITUTE(REGEXEXTRACT(A8068, ""[^-]+- [^-]+- [^-]+ - (.+?)\.jpg""), "".jpg"", """"), ""-"", "", ""), """")"),"")</f>
        <v/>
      </c>
      <c r="L8068" s="12"/>
      <c r="M8068" s="13"/>
      <c r="N8068" s="2"/>
      <c r="O8068" s="20"/>
      <c r="P8068" s="42"/>
      <c r="R8068" s="23"/>
    </row>
    <row r="8069" spans="1:18" ht="12.75">
      <c r="A8069" s="12"/>
      <c r="D8069" s="12"/>
      <c r="E8069" s="12"/>
      <c r="H8069" s="11" t="str">
        <f ca="1">IFERROR(__xludf.DUMMYFUNCTION("IFERROR(SUBSTITUTE(SUBSTITUTE(REGEXEXTRACT(A8069, ""[^-]+- [^-]+- [^-]+ - (.+?)\.jpg""), "".jpg"", """"), ""-"", "", ""), """")"),"")</f>
        <v/>
      </c>
      <c r="L8069" s="12"/>
      <c r="M8069" s="13"/>
      <c r="N8069" s="2"/>
      <c r="O8069" s="20"/>
      <c r="P8069" s="42"/>
      <c r="R8069" s="23"/>
    </row>
    <row r="8070" spans="1:18" ht="12.75">
      <c r="A8070" s="12"/>
      <c r="D8070" s="12"/>
      <c r="E8070" s="12"/>
      <c r="H8070" s="11" t="str">
        <f ca="1">IFERROR(__xludf.DUMMYFUNCTION("IFERROR(SUBSTITUTE(SUBSTITUTE(REGEXEXTRACT(A8070, ""[^-]+- [^-]+- [^-]+ - (.+?)\.jpg""), "".jpg"", """"), ""-"", "", ""), """")"),"")</f>
        <v/>
      </c>
      <c r="L8070" s="12"/>
      <c r="M8070" s="13"/>
      <c r="N8070" s="2"/>
      <c r="O8070" s="20"/>
      <c r="P8070" s="42"/>
      <c r="R8070" s="23"/>
    </row>
    <row r="8071" spans="1:18" ht="12.75">
      <c r="A8071" s="12"/>
      <c r="D8071" s="12"/>
      <c r="E8071" s="12"/>
      <c r="H8071" s="11" t="str">
        <f ca="1">IFERROR(__xludf.DUMMYFUNCTION("IFERROR(SUBSTITUTE(SUBSTITUTE(REGEXEXTRACT(A8071, ""[^-]+- [^-]+- [^-]+ - (.+?)\.jpg""), "".jpg"", """"), ""-"", "", ""), """")"),"")</f>
        <v/>
      </c>
      <c r="L8071" s="12"/>
      <c r="M8071" s="13"/>
      <c r="N8071" s="2"/>
      <c r="O8071" s="20"/>
      <c r="P8071" s="42"/>
      <c r="R8071" s="23"/>
    </row>
    <row r="8072" spans="1:18" ht="12.75">
      <c r="A8072" s="12"/>
      <c r="D8072" s="12"/>
      <c r="E8072" s="12"/>
      <c r="H8072" s="11" t="str">
        <f ca="1">IFERROR(__xludf.DUMMYFUNCTION("IFERROR(SUBSTITUTE(SUBSTITUTE(REGEXEXTRACT(A8072, ""[^-]+- [^-]+- [^-]+ - (.+?)\.jpg""), "".jpg"", """"), ""-"", "", ""), """")"),"")</f>
        <v/>
      </c>
      <c r="L8072" s="12"/>
      <c r="M8072" s="13"/>
      <c r="N8072" s="2"/>
      <c r="O8072" s="20"/>
      <c r="P8072" s="42"/>
      <c r="R8072" s="23"/>
    </row>
    <row r="8073" spans="1:18" ht="12.75">
      <c r="A8073" s="12"/>
      <c r="D8073" s="12"/>
      <c r="E8073" s="12"/>
      <c r="H8073" s="11" t="str">
        <f ca="1">IFERROR(__xludf.DUMMYFUNCTION("IFERROR(SUBSTITUTE(SUBSTITUTE(REGEXEXTRACT(A8073, ""[^-]+- [^-]+- [^-]+ - (.+?)\.jpg""), "".jpg"", """"), ""-"", "", ""), """")"),"")</f>
        <v/>
      </c>
      <c r="L8073" s="12"/>
      <c r="M8073" s="13"/>
      <c r="N8073" s="2"/>
      <c r="O8073" s="20"/>
      <c r="P8073" s="42"/>
      <c r="R8073" s="23"/>
    </row>
    <row r="8074" spans="1:18" ht="12.75">
      <c r="A8074" s="12"/>
      <c r="D8074" s="12"/>
      <c r="E8074" s="12"/>
      <c r="H8074" s="11" t="str">
        <f ca="1">IFERROR(__xludf.DUMMYFUNCTION("IFERROR(SUBSTITUTE(SUBSTITUTE(REGEXEXTRACT(A8074, ""[^-]+- [^-]+- [^-]+ - (.+?)\.jpg""), "".jpg"", """"), ""-"", "", ""), """")"),"")</f>
        <v/>
      </c>
      <c r="L8074" s="12"/>
      <c r="M8074" s="13"/>
      <c r="N8074" s="2"/>
      <c r="O8074" s="20"/>
      <c r="P8074" s="42"/>
      <c r="R8074" s="23"/>
    </row>
    <row r="8075" spans="1:18" ht="12.75">
      <c r="A8075" s="12"/>
      <c r="D8075" s="12"/>
      <c r="E8075" s="12"/>
      <c r="H8075" s="11" t="str">
        <f ca="1">IFERROR(__xludf.DUMMYFUNCTION("IFERROR(SUBSTITUTE(SUBSTITUTE(REGEXEXTRACT(A8075, ""[^-]+- [^-]+- [^-]+ - (.+?)\.jpg""), "".jpg"", """"), ""-"", "", ""), """")"),"")</f>
        <v/>
      </c>
      <c r="L8075" s="12"/>
      <c r="M8075" s="13"/>
      <c r="N8075" s="2"/>
      <c r="O8075" s="20"/>
      <c r="P8075" s="42"/>
      <c r="R8075" s="23"/>
    </row>
    <row r="8076" spans="1:18" ht="12.75">
      <c r="A8076" s="12"/>
      <c r="D8076" s="12"/>
      <c r="E8076" s="12"/>
      <c r="H8076" s="11" t="str">
        <f ca="1">IFERROR(__xludf.DUMMYFUNCTION("IFERROR(SUBSTITUTE(SUBSTITUTE(REGEXEXTRACT(A8076, ""[^-]+- [^-]+- [^-]+ - (.+?)\.jpg""), "".jpg"", """"), ""-"", "", ""), """")"),"")</f>
        <v/>
      </c>
      <c r="L8076" s="12"/>
      <c r="M8076" s="13"/>
      <c r="N8076" s="2"/>
      <c r="O8076" s="20"/>
      <c r="P8076" s="42"/>
      <c r="R8076" s="23"/>
    </row>
    <row r="8077" spans="1:18" ht="12.75">
      <c r="A8077" s="12"/>
      <c r="D8077" s="12"/>
      <c r="E8077" s="12"/>
      <c r="H8077" s="11" t="str">
        <f ca="1">IFERROR(__xludf.DUMMYFUNCTION("IFERROR(SUBSTITUTE(SUBSTITUTE(REGEXEXTRACT(A8077, ""[^-]+- [^-]+- [^-]+ - (.+?)\.jpg""), "".jpg"", """"), ""-"", "", ""), """")"),"")</f>
        <v/>
      </c>
      <c r="L8077" s="12"/>
      <c r="M8077" s="13"/>
      <c r="N8077" s="2"/>
      <c r="O8077" s="20"/>
      <c r="P8077" s="42"/>
      <c r="R8077" s="23"/>
    </row>
    <row r="8078" spans="1:18" ht="12.75">
      <c r="A8078" s="12"/>
      <c r="D8078" s="12"/>
      <c r="E8078" s="12"/>
      <c r="H8078" s="11" t="str">
        <f ca="1">IFERROR(__xludf.DUMMYFUNCTION("IFERROR(SUBSTITUTE(SUBSTITUTE(REGEXEXTRACT(A8078, ""[^-]+- [^-]+- [^-]+ - (.+?)\.jpg""), "".jpg"", """"), ""-"", "", ""), """")"),"")</f>
        <v/>
      </c>
      <c r="L8078" s="12"/>
      <c r="M8078" s="13"/>
      <c r="N8078" s="2"/>
      <c r="O8078" s="20"/>
      <c r="P8078" s="42"/>
      <c r="R8078" s="23"/>
    </row>
    <row r="8079" spans="1:18" ht="12.75">
      <c r="A8079" s="12"/>
      <c r="D8079" s="12"/>
      <c r="E8079" s="12"/>
      <c r="H8079" s="11" t="str">
        <f ca="1">IFERROR(__xludf.DUMMYFUNCTION("IFERROR(SUBSTITUTE(SUBSTITUTE(REGEXEXTRACT(A8079, ""[^-]+- [^-]+- [^-]+ - (.+?)\.jpg""), "".jpg"", """"), ""-"", "", ""), """")"),"")</f>
        <v/>
      </c>
      <c r="L8079" s="12"/>
      <c r="M8079" s="13"/>
      <c r="N8079" s="2"/>
      <c r="O8079" s="20"/>
      <c r="P8079" s="42"/>
      <c r="R8079" s="23"/>
    </row>
    <row r="8080" spans="1:18" ht="12.75">
      <c r="A8080" s="12"/>
      <c r="D8080" s="12"/>
      <c r="E8080" s="12"/>
      <c r="H8080" s="11" t="str">
        <f ca="1">IFERROR(__xludf.DUMMYFUNCTION("IFERROR(SUBSTITUTE(SUBSTITUTE(REGEXEXTRACT(A8080, ""[^-]+- [^-]+- [^-]+ - (.+?)\.jpg""), "".jpg"", """"), ""-"", "", ""), """")"),"")</f>
        <v/>
      </c>
      <c r="L8080" s="12"/>
      <c r="M8080" s="13"/>
      <c r="N8080" s="2"/>
      <c r="O8080" s="20"/>
      <c r="P8080" s="42"/>
      <c r="R8080" s="23"/>
    </row>
    <row r="8081" spans="1:18" ht="12.75">
      <c r="A8081" s="12"/>
      <c r="D8081" s="12"/>
      <c r="E8081" s="12"/>
      <c r="H8081" s="11" t="str">
        <f ca="1">IFERROR(__xludf.DUMMYFUNCTION("IFERROR(SUBSTITUTE(SUBSTITUTE(REGEXEXTRACT(A8081, ""[^-]+- [^-]+- [^-]+ - (.+?)\.jpg""), "".jpg"", """"), ""-"", "", ""), """")"),"")</f>
        <v/>
      </c>
      <c r="L8081" s="12"/>
      <c r="M8081" s="13"/>
      <c r="N8081" s="2"/>
      <c r="O8081" s="20"/>
      <c r="P8081" s="42"/>
      <c r="R8081" s="23"/>
    </row>
    <row r="8082" spans="1:18" ht="12.75">
      <c r="A8082" s="12"/>
      <c r="D8082" s="12"/>
      <c r="E8082" s="12"/>
      <c r="H8082" s="11" t="str">
        <f ca="1">IFERROR(__xludf.DUMMYFUNCTION("IFERROR(SUBSTITUTE(SUBSTITUTE(REGEXEXTRACT(A8082, ""[^-]+- [^-]+- [^-]+ - (.+?)\.jpg""), "".jpg"", """"), ""-"", "", ""), """")"),"")</f>
        <v/>
      </c>
      <c r="L8082" s="12"/>
      <c r="M8082" s="13"/>
      <c r="N8082" s="2"/>
      <c r="O8082" s="20"/>
      <c r="P8082" s="42"/>
      <c r="R8082" s="23"/>
    </row>
    <row r="8083" spans="1:18" ht="12.75">
      <c r="A8083" s="12"/>
      <c r="D8083" s="12"/>
      <c r="E8083" s="12"/>
      <c r="H8083" s="11" t="str">
        <f ca="1">IFERROR(__xludf.DUMMYFUNCTION("IFERROR(SUBSTITUTE(SUBSTITUTE(REGEXEXTRACT(A8083, ""[^-]+- [^-]+- [^-]+ - (.+?)\.jpg""), "".jpg"", """"), ""-"", "", ""), """")"),"")</f>
        <v/>
      </c>
      <c r="L8083" s="12"/>
      <c r="M8083" s="13"/>
      <c r="N8083" s="2"/>
      <c r="O8083" s="20"/>
      <c r="P8083" s="42"/>
      <c r="R8083" s="23"/>
    </row>
    <row r="8084" spans="1:18" ht="12.75">
      <c r="A8084" s="12"/>
      <c r="D8084" s="12"/>
      <c r="E8084" s="12"/>
      <c r="H8084" s="11" t="str">
        <f ca="1">IFERROR(__xludf.DUMMYFUNCTION("IFERROR(SUBSTITUTE(SUBSTITUTE(REGEXEXTRACT(A8084, ""[^-]+- [^-]+- [^-]+ - (.+?)\.jpg""), "".jpg"", """"), ""-"", "", ""), """")"),"")</f>
        <v/>
      </c>
      <c r="L8084" s="12"/>
      <c r="M8084" s="13"/>
      <c r="N8084" s="2"/>
      <c r="O8084" s="20"/>
      <c r="P8084" s="42"/>
      <c r="R8084" s="23"/>
    </row>
    <row r="8085" spans="1:18" ht="12.75">
      <c r="A8085" s="12"/>
      <c r="D8085" s="12"/>
      <c r="E8085" s="12"/>
      <c r="H8085" s="11" t="str">
        <f ca="1">IFERROR(__xludf.DUMMYFUNCTION("IFERROR(SUBSTITUTE(SUBSTITUTE(REGEXEXTRACT(A8085, ""[^-]+- [^-]+- [^-]+ - (.+?)\.jpg""), "".jpg"", """"), ""-"", "", ""), """")"),"")</f>
        <v/>
      </c>
      <c r="L8085" s="12"/>
      <c r="M8085" s="13"/>
      <c r="N8085" s="2"/>
      <c r="O8085" s="20"/>
      <c r="P8085" s="42"/>
      <c r="R8085" s="23"/>
    </row>
    <row r="8086" spans="1:18" ht="12.75">
      <c r="A8086" s="12"/>
      <c r="D8086" s="12"/>
      <c r="E8086" s="12"/>
      <c r="H8086" s="11" t="str">
        <f ca="1">IFERROR(__xludf.DUMMYFUNCTION("IFERROR(SUBSTITUTE(SUBSTITUTE(REGEXEXTRACT(A8086, ""[^-]+- [^-]+- [^-]+ - (.+?)\.jpg""), "".jpg"", """"), ""-"", "", ""), """")"),"")</f>
        <v/>
      </c>
      <c r="L8086" s="12"/>
      <c r="M8086" s="13"/>
      <c r="N8086" s="2"/>
      <c r="O8086" s="20"/>
      <c r="P8086" s="42"/>
      <c r="R8086" s="23"/>
    </row>
    <row r="8087" spans="1:18" ht="12.75">
      <c r="A8087" s="12"/>
      <c r="D8087" s="12"/>
      <c r="E8087" s="12"/>
      <c r="H8087" s="11" t="str">
        <f ca="1">IFERROR(__xludf.DUMMYFUNCTION("IFERROR(SUBSTITUTE(SUBSTITUTE(REGEXEXTRACT(A8087, ""[^-]+- [^-]+- [^-]+ - (.+?)\.jpg""), "".jpg"", """"), ""-"", "", ""), """")"),"")</f>
        <v/>
      </c>
      <c r="L8087" s="12"/>
      <c r="M8087" s="13"/>
      <c r="N8087" s="2"/>
      <c r="O8087" s="20"/>
      <c r="P8087" s="42"/>
      <c r="R8087" s="23"/>
    </row>
    <row r="8088" spans="1:18" ht="12.75">
      <c r="A8088" s="12"/>
      <c r="D8088" s="12"/>
      <c r="E8088" s="12"/>
      <c r="H8088" s="11" t="str">
        <f ca="1">IFERROR(__xludf.DUMMYFUNCTION("IFERROR(SUBSTITUTE(SUBSTITUTE(REGEXEXTRACT(A8088, ""[^-]+- [^-]+- [^-]+ - (.+?)\.jpg""), "".jpg"", """"), ""-"", "", ""), """")"),"")</f>
        <v/>
      </c>
      <c r="L8088" s="12"/>
      <c r="M8088" s="13"/>
      <c r="N8088" s="2"/>
      <c r="O8088" s="20"/>
      <c r="P8088" s="42"/>
      <c r="R8088" s="23"/>
    </row>
    <row r="8089" spans="1:18" ht="12.75">
      <c r="A8089" s="12"/>
      <c r="D8089" s="12"/>
      <c r="E8089" s="12"/>
      <c r="H8089" s="11" t="str">
        <f ca="1">IFERROR(__xludf.DUMMYFUNCTION("IFERROR(SUBSTITUTE(SUBSTITUTE(REGEXEXTRACT(A8089, ""[^-]+- [^-]+- [^-]+ - (.+?)\.jpg""), "".jpg"", """"), ""-"", "", ""), """")"),"")</f>
        <v/>
      </c>
      <c r="L8089" s="12"/>
      <c r="M8089" s="13"/>
      <c r="N8089" s="2"/>
      <c r="O8089" s="20"/>
      <c r="P8089" s="42"/>
      <c r="R8089" s="23"/>
    </row>
    <row r="8090" spans="1:18" ht="12.75">
      <c r="A8090" s="12"/>
      <c r="D8090" s="12"/>
      <c r="E8090" s="12"/>
      <c r="H8090" s="11" t="str">
        <f ca="1">IFERROR(__xludf.DUMMYFUNCTION("IFERROR(SUBSTITUTE(SUBSTITUTE(REGEXEXTRACT(A8090, ""[^-]+- [^-]+- [^-]+ - (.+?)\.jpg""), "".jpg"", """"), ""-"", "", ""), """")"),"")</f>
        <v/>
      </c>
      <c r="L8090" s="12"/>
      <c r="M8090" s="13"/>
      <c r="N8090" s="2"/>
      <c r="O8090" s="20"/>
      <c r="P8090" s="42"/>
      <c r="R8090" s="23"/>
    </row>
    <row r="8091" spans="1:18" ht="12.75">
      <c r="A8091" s="12"/>
      <c r="D8091" s="12"/>
      <c r="E8091" s="12"/>
      <c r="H8091" s="11" t="str">
        <f ca="1">IFERROR(__xludf.DUMMYFUNCTION("IFERROR(SUBSTITUTE(SUBSTITUTE(REGEXEXTRACT(A8091, ""[^-]+- [^-]+- [^-]+ - (.+?)\.jpg""), "".jpg"", """"), ""-"", "", ""), """")"),"")</f>
        <v/>
      </c>
      <c r="L8091" s="12"/>
      <c r="M8091" s="13"/>
      <c r="N8091" s="2"/>
      <c r="O8091" s="20"/>
      <c r="P8091" s="42"/>
      <c r="R8091" s="23"/>
    </row>
    <row r="8092" spans="1:18" ht="12.75">
      <c r="A8092" s="12"/>
      <c r="D8092" s="12"/>
      <c r="E8092" s="12"/>
      <c r="H8092" s="11" t="str">
        <f ca="1">IFERROR(__xludf.DUMMYFUNCTION("IFERROR(SUBSTITUTE(SUBSTITUTE(REGEXEXTRACT(A8092, ""[^-]+- [^-]+- [^-]+ - (.+?)\.jpg""), "".jpg"", """"), ""-"", "", ""), """")"),"")</f>
        <v/>
      </c>
      <c r="L8092" s="12"/>
      <c r="M8092" s="13"/>
      <c r="N8092" s="2"/>
      <c r="O8092" s="20"/>
      <c r="P8092" s="42"/>
      <c r="R8092" s="23"/>
    </row>
    <row r="8093" spans="1:18" ht="12.75">
      <c r="A8093" s="12"/>
      <c r="D8093" s="12"/>
      <c r="E8093" s="12"/>
      <c r="H8093" s="11" t="str">
        <f ca="1">IFERROR(__xludf.DUMMYFUNCTION("IFERROR(SUBSTITUTE(SUBSTITUTE(REGEXEXTRACT(A8093, ""[^-]+- [^-]+- [^-]+ - (.+?)\.jpg""), "".jpg"", """"), ""-"", "", ""), """")"),"")</f>
        <v/>
      </c>
      <c r="L8093" s="12"/>
      <c r="M8093" s="13"/>
      <c r="N8093" s="2"/>
      <c r="O8093" s="20"/>
      <c r="P8093" s="42"/>
      <c r="R8093" s="23"/>
    </row>
    <row r="8094" spans="1:18" ht="12.75">
      <c r="A8094" s="12"/>
      <c r="D8094" s="12"/>
      <c r="E8094" s="12"/>
      <c r="H8094" s="11" t="str">
        <f ca="1">IFERROR(__xludf.DUMMYFUNCTION("IFERROR(SUBSTITUTE(SUBSTITUTE(REGEXEXTRACT(A8094, ""[^-]+- [^-]+- [^-]+ - (.+?)\.jpg""), "".jpg"", """"), ""-"", "", ""), """")"),"")</f>
        <v/>
      </c>
      <c r="L8094" s="12"/>
      <c r="M8094" s="13"/>
      <c r="N8094" s="2"/>
      <c r="O8094" s="20"/>
      <c r="P8094" s="42"/>
      <c r="R8094" s="23"/>
    </row>
    <row r="8095" spans="1:18" ht="12.75">
      <c r="A8095" s="12"/>
      <c r="D8095" s="12"/>
      <c r="E8095" s="12"/>
      <c r="H8095" s="11" t="str">
        <f ca="1">IFERROR(__xludf.DUMMYFUNCTION("IFERROR(SUBSTITUTE(SUBSTITUTE(REGEXEXTRACT(A8095, ""[^-]+- [^-]+- [^-]+ - (.+?)\.jpg""), "".jpg"", """"), ""-"", "", ""), """")"),"")</f>
        <v/>
      </c>
      <c r="L8095" s="12"/>
      <c r="M8095" s="13"/>
      <c r="N8095" s="2"/>
      <c r="O8095" s="20"/>
      <c r="P8095" s="42"/>
      <c r="R8095" s="23"/>
    </row>
    <row r="8096" spans="1:18" ht="12.75">
      <c r="A8096" s="12"/>
      <c r="D8096" s="12"/>
      <c r="E8096" s="12"/>
      <c r="H8096" s="11" t="str">
        <f ca="1">IFERROR(__xludf.DUMMYFUNCTION("IFERROR(SUBSTITUTE(SUBSTITUTE(REGEXEXTRACT(A8096, ""[^-]+- [^-]+- [^-]+ - (.+?)\.jpg""), "".jpg"", """"), ""-"", "", ""), """")"),"")</f>
        <v/>
      </c>
      <c r="L8096" s="12"/>
      <c r="M8096" s="13"/>
      <c r="N8096" s="2"/>
      <c r="O8096" s="20"/>
      <c r="P8096" s="42"/>
      <c r="R8096" s="23"/>
    </row>
    <row r="8097" spans="1:18" ht="12.75">
      <c r="A8097" s="12"/>
      <c r="D8097" s="12"/>
      <c r="E8097" s="12"/>
      <c r="H8097" s="11" t="str">
        <f ca="1">IFERROR(__xludf.DUMMYFUNCTION("IFERROR(SUBSTITUTE(SUBSTITUTE(REGEXEXTRACT(A8097, ""[^-]+- [^-]+- [^-]+ - (.+?)\.jpg""), "".jpg"", """"), ""-"", "", ""), """")"),"")</f>
        <v/>
      </c>
      <c r="L8097" s="12"/>
      <c r="M8097" s="13"/>
      <c r="N8097" s="2"/>
      <c r="O8097" s="20"/>
      <c r="P8097" s="42"/>
      <c r="R8097" s="23"/>
    </row>
    <row r="8098" spans="1:18" ht="12.75">
      <c r="A8098" s="12"/>
      <c r="D8098" s="12"/>
      <c r="E8098" s="12"/>
      <c r="H8098" s="11" t="str">
        <f ca="1">IFERROR(__xludf.DUMMYFUNCTION("IFERROR(SUBSTITUTE(SUBSTITUTE(REGEXEXTRACT(A8098, ""[^-]+- [^-]+- [^-]+ - (.+?)\.jpg""), "".jpg"", """"), ""-"", "", ""), """")"),"")</f>
        <v/>
      </c>
      <c r="L8098" s="12"/>
      <c r="M8098" s="13"/>
      <c r="N8098" s="2"/>
      <c r="O8098" s="20"/>
      <c r="P8098" s="42"/>
      <c r="R8098" s="23"/>
    </row>
    <row r="8099" spans="1:18" ht="12.75">
      <c r="A8099" s="12"/>
      <c r="D8099" s="12"/>
      <c r="E8099" s="12"/>
      <c r="H8099" s="11" t="str">
        <f ca="1">IFERROR(__xludf.DUMMYFUNCTION("IFERROR(SUBSTITUTE(SUBSTITUTE(REGEXEXTRACT(A8099, ""[^-]+- [^-]+- [^-]+ - (.+?)\.jpg""), "".jpg"", """"), ""-"", "", ""), """")"),"")</f>
        <v/>
      </c>
      <c r="L8099" s="12"/>
      <c r="M8099" s="13"/>
      <c r="N8099" s="2"/>
      <c r="O8099" s="20"/>
      <c r="P8099" s="42"/>
      <c r="R8099" s="23"/>
    </row>
    <row r="8100" spans="1:18" ht="12.75">
      <c r="A8100" s="12"/>
      <c r="D8100" s="12"/>
      <c r="E8100" s="12"/>
      <c r="H8100" s="11" t="str">
        <f ca="1">IFERROR(__xludf.DUMMYFUNCTION("IFERROR(SUBSTITUTE(SUBSTITUTE(REGEXEXTRACT(A8100, ""[^-]+- [^-]+- [^-]+ - (.+?)\.jpg""), "".jpg"", """"), ""-"", "", ""), """")"),"")</f>
        <v/>
      </c>
      <c r="L8100" s="12"/>
      <c r="M8100" s="13"/>
      <c r="N8100" s="2"/>
      <c r="O8100" s="20"/>
      <c r="P8100" s="42"/>
      <c r="R8100" s="23"/>
    </row>
    <row r="8101" spans="1:18" ht="12.75">
      <c r="A8101" s="12"/>
      <c r="D8101" s="12"/>
      <c r="E8101" s="12"/>
      <c r="H8101" s="11" t="str">
        <f ca="1">IFERROR(__xludf.DUMMYFUNCTION("IFERROR(SUBSTITUTE(SUBSTITUTE(REGEXEXTRACT(A8101, ""[^-]+- [^-]+- [^-]+ - (.+?)\.jpg""), "".jpg"", """"), ""-"", "", ""), """")"),"")</f>
        <v/>
      </c>
      <c r="L8101" s="12"/>
      <c r="M8101" s="13"/>
      <c r="N8101" s="2"/>
      <c r="O8101" s="20"/>
      <c r="P8101" s="42"/>
      <c r="R8101" s="23"/>
    </row>
    <row r="8102" spans="1:18" ht="12.75">
      <c r="A8102" s="12"/>
      <c r="D8102" s="12"/>
      <c r="E8102" s="12"/>
      <c r="H8102" s="11" t="str">
        <f ca="1">IFERROR(__xludf.DUMMYFUNCTION("IFERROR(SUBSTITUTE(SUBSTITUTE(REGEXEXTRACT(A8102, ""[^-]+- [^-]+- [^-]+ - (.+?)\.jpg""), "".jpg"", """"), ""-"", "", ""), """")"),"")</f>
        <v/>
      </c>
      <c r="L8102" s="12"/>
      <c r="M8102" s="13"/>
      <c r="N8102" s="2"/>
      <c r="O8102" s="20"/>
      <c r="P8102" s="42"/>
      <c r="R8102" s="23"/>
    </row>
    <row r="8103" spans="1:18" ht="12.75">
      <c r="A8103" s="12"/>
      <c r="D8103" s="12"/>
      <c r="E8103" s="12"/>
      <c r="H8103" s="11" t="str">
        <f ca="1">IFERROR(__xludf.DUMMYFUNCTION("IFERROR(SUBSTITUTE(SUBSTITUTE(REGEXEXTRACT(A8103, ""[^-]+- [^-]+- [^-]+ - (.+?)\.jpg""), "".jpg"", """"), ""-"", "", ""), """")"),"")</f>
        <v/>
      </c>
      <c r="L8103" s="12"/>
      <c r="M8103" s="13"/>
      <c r="N8103" s="2"/>
      <c r="O8103" s="20"/>
      <c r="P8103" s="42"/>
      <c r="R8103" s="23"/>
    </row>
    <row r="8104" spans="1:18" ht="12.75">
      <c r="A8104" s="12"/>
      <c r="D8104" s="12"/>
      <c r="E8104" s="12"/>
      <c r="H8104" s="11" t="str">
        <f ca="1">IFERROR(__xludf.DUMMYFUNCTION("IFERROR(SUBSTITUTE(SUBSTITUTE(REGEXEXTRACT(A8104, ""[^-]+- [^-]+- [^-]+ - (.+?)\.jpg""), "".jpg"", """"), ""-"", "", ""), """")"),"")</f>
        <v/>
      </c>
      <c r="L8104" s="12"/>
      <c r="M8104" s="13"/>
      <c r="N8104" s="2"/>
      <c r="O8104" s="20"/>
      <c r="P8104" s="42"/>
      <c r="R8104" s="23"/>
    </row>
    <row r="8105" spans="1:18" ht="12.75">
      <c r="A8105" s="12"/>
      <c r="D8105" s="12"/>
      <c r="E8105" s="12"/>
      <c r="H8105" s="11" t="str">
        <f ca="1">IFERROR(__xludf.DUMMYFUNCTION("IFERROR(SUBSTITUTE(SUBSTITUTE(REGEXEXTRACT(A8105, ""[^-]+- [^-]+- [^-]+ - (.+?)\.jpg""), "".jpg"", """"), ""-"", "", ""), """")"),"")</f>
        <v/>
      </c>
      <c r="L8105" s="12"/>
      <c r="M8105" s="13"/>
      <c r="N8105" s="2"/>
      <c r="O8105" s="20"/>
      <c r="P8105" s="42"/>
      <c r="R8105" s="23"/>
    </row>
    <row r="8106" spans="1:18" ht="12.75">
      <c r="A8106" s="12"/>
      <c r="D8106" s="12"/>
      <c r="E8106" s="12"/>
      <c r="H8106" s="11" t="str">
        <f ca="1">IFERROR(__xludf.DUMMYFUNCTION("IFERROR(SUBSTITUTE(SUBSTITUTE(REGEXEXTRACT(A8106, ""[^-]+- [^-]+- [^-]+ - (.+?)\.jpg""), "".jpg"", """"), ""-"", "", ""), """")"),"")</f>
        <v/>
      </c>
      <c r="L8106" s="12"/>
      <c r="M8106" s="13"/>
      <c r="N8106" s="2"/>
      <c r="O8106" s="20"/>
      <c r="P8106" s="42"/>
      <c r="R8106" s="23"/>
    </row>
    <row r="8107" spans="1:18" ht="12.75">
      <c r="A8107" s="12"/>
      <c r="D8107" s="12"/>
      <c r="E8107" s="12"/>
      <c r="H8107" s="11" t="str">
        <f ca="1">IFERROR(__xludf.DUMMYFUNCTION("IFERROR(SUBSTITUTE(SUBSTITUTE(REGEXEXTRACT(A8107, ""[^-]+- [^-]+- [^-]+ - (.+?)\.jpg""), "".jpg"", """"), ""-"", "", ""), """")"),"")</f>
        <v/>
      </c>
      <c r="L8107" s="12"/>
      <c r="M8107" s="13"/>
      <c r="N8107" s="2"/>
      <c r="O8107" s="20"/>
      <c r="P8107" s="42"/>
      <c r="R8107" s="23"/>
    </row>
    <row r="8108" spans="1:18" ht="12.75">
      <c r="A8108" s="12"/>
      <c r="D8108" s="12"/>
      <c r="E8108" s="12"/>
      <c r="H8108" s="11" t="str">
        <f ca="1">IFERROR(__xludf.DUMMYFUNCTION("IFERROR(SUBSTITUTE(SUBSTITUTE(REGEXEXTRACT(A8108, ""[^-]+- [^-]+- [^-]+ - (.+?)\.jpg""), "".jpg"", """"), ""-"", "", ""), """")"),"")</f>
        <v/>
      </c>
      <c r="L8108" s="12"/>
      <c r="M8108" s="13"/>
      <c r="N8108" s="2"/>
      <c r="O8108" s="20"/>
      <c r="P8108" s="42"/>
      <c r="R8108" s="23"/>
    </row>
    <row r="8109" spans="1:18" ht="12.75">
      <c r="A8109" s="12"/>
      <c r="D8109" s="12"/>
      <c r="E8109" s="12"/>
      <c r="H8109" s="11" t="str">
        <f ca="1">IFERROR(__xludf.DUMMYFUNCTION("IFERROR(SUBSTITUTE(SUBSTITUTE(REGEXEXTRACT(A8109, ""[^-]+- [^-]+- [^-]+ - (.+?)\.jpg""), "".jpg"", """"), ""-"", "", ""), """")"),"")</f>
        <v/>
      </c>
      <c r="L8109" s="12"/>
      <c r="M8109" s="13"/>
      <c r="N8109" s="2"/>
      <c r="O8109" s="20"/>
      <c r="P8109" s="42"/>
      <c r="R8109" s="23"/>
    </row>
    <row r="8110" spans="1:18" ht="12.75">
      <c r="A8110" s="12"/>
      <c r="D8110" s="12"/>
      <c r="E8110" s="12"/>
      <c r="H8110" s="11" t="str">
        <f ca="1">IFERROR(__xludf.DUMMYFUNCTION("IFERROR(SUBSTITUTE(SUBSTITUTE(REGEXEXTRACT(A8110, ""[^-]+- [^-]+- [^-]+ - (.+?)\.jpg""), "".jpg"", """"), ""-"", "", ""), """")"),"")</f>
        <v/>
      </c>
      <c r="L8110" s="12"/>
      <c r="M8110" s="13"/>
      <c r="N8110" s="2"/>
      <c r="O8110" s="20"/>
      <c r="P8110" s="42"/>
      <c r="R8110" s="23"/>
    </row>
    <row r="8111" spans="1:18" ht="12.75">
      <c r="A8111" s="12"/>
      <c r="D8111" s="12"/>
      <c r="E8111" s="12"/>
      <c r="H8111" s="11" t="str">
        <f ca="1">IFERROR(__xludf.DUMMYFUNCTION("IFERROR(SUBSTITUTE(SUBSTITUTE(REGEXEXTRACT(A8111, ""[^-]+- [^-]+- [^-]+ - (.+?)\.jpg""), "".jpg"", """"), ""-"", "", ""), """")"),"")</f>
        <v/>
      </c>
      <c r="L8111" s="12"/>
      <c r="M8111" s="13"/>
      <c r="N8111" s="2"/>
      <c r="O8111" s="20"/>
      <c r="P8111" s="42"/>
      <c r="R8111" s="23"/>
    </row>
    <row r="8112" spans="1:18" ht="12.75">
      <c r="A8112" s="12"/>
      <c r="D8112" s="12"/>
      <c r="E8112" s="12"/>
      <c r="H8112" s="11" t="str">
        <f ca="1">IFERROR(__xludf.DUMMYFUNCTION("IFERROR(SUBSTITUTE(SUBSTITUTE(REGEXEXTRACT(A8112, ""[^-]+- [^-]+- [^-]+ - (.+?)\.jpg""), "".jpg"", """"), ""-"", "", ""), """")"),"")</f>
        <v/>
      </c>
      <c r="L8112" s="12"/>
      <c r="M8112" s="13"/>
      <c r="N8112" s="2"/>
      <c r="O8112" s="20"/>
      <c r="P8112" s="42"/>
      <c r="R8112" s="23"/>
    </row>
    <row r="8113" spans="1:18" ht="12.75">
      <c r="A8113" s="12"/>
      <c r="D8113" s="12"/>
      <c r="E8113" s="12"/>
      <c r="H8113" s="11" t="str">
        <f ca="1">IFERROR(__xludf.DUMMYFUNCTION("IFERROR(SUBSTITUTE(SUBSTITUTE(REGEXEXTRACT(A8113, ""[^-]+- [^-]+- [^-]+ - (.+?)\.jpg""), "".jpg"", """"), ""-"", "", ""), """")"),"")</f>
        <v/>
      </c>
      <c r="L8113" s="12"/>
      <c r="M8113" s="13"/>
      <c r="N8113" s="2"/>
      <c r="O8113" s="20"/>
      <c r="P8113" s="42"/>
      <c r="R8113" s="23"/>
    </row>
    <row r="8114" spans="1:18" ht="12.75">
      <c r="A8114" s="12"/>
      <c r="D8114" s="12"/>
      <c r="E8114" s="12"/>
      <c r="H8114" s="11" t="str">
        <f ca="1">IFERROR(__xludf.DUMMYFUNCTION("IFERROR(SUBSTITUTE(SUBSTITUTE(REGEXEXTRACT(A8114, ""[^-]+- [^-]+- [^-]+ - (.+?)\.jpg""), "".jpg"", """"), ""-"", "", ""), """")"),"")</f>
        <v/>
      </c>
      <c r="L8114" s="12"/>
      <c r="M8114" s="13"/>
      <c r="N8114" s="2"/>
      <c r="O8114" s="20"/>
      <c r="P8114" s="42"/>
      <c r="R8114" s="23"/>
    </row>
    <row r="8115" spans="1:18" ht="12.75">
      <c r="A8115" s="12"/>
      <c r="D8115" s="12"/>
      <c r="E8115" s="12"/>
      <c r="H8115" s="11" t="str">
        <f ca="1">IFERROR(__xludf.DUMMYFUNCTION("IFERROR(SUBSTITUTE(SUBSTITUTE(REGEXEXTRACT(A8115, ""[^-]+- [^-]+- [^-]+ - (.+?)\.jpg""), "".jpg"", """"), ""-"", "", ""), """")"),"")</f>
        <v/>
      </c>
      <c r="L8115" s="12"/>
      <c r="M8115" s="13"/>
      <c r="N8115" s="2"/>
      <c r="O8115" s="20"/>
      <c r="P8115" s="42"/>
      <c r="R8115" s="23"/>
    </row>
    <row r="8116" spans="1:18" ht="12.75">
      <c r="A8116" s="12"/>
      <c r="D8116" s="12"/>
      <c r="E8116" s="12"/>
      <c r="H8116" s="11" t="str">
        <f ca="1">IFERROR(__xludf.DUMMYFUNCTION("IFERROR(SUBSTITUTE(SUBSTITUTE(REGEXEXTRACT(A8116, ""[^-]+- [^-]+- [^-]+ - (.+?)\.jpg""), "".jpg"", """"), ""-"", "", ""), """")"),"")</f>
        <v/>
      </c>
      <c r="L8116" s="12"/>
      <c r="M8116" s="13"/>
      <c r="N8116" s="2"/>
      <c r="O8116" s="20"/>
      <c r="P8116" s="42"/>
      <c r="R8116" s="23"/>
    </row>
    <row r="8117" spans="1:18" ht="12.75">
      <c r="A8117" s="12"/>
      <c r="D8117" s="12"/>
      <c r="E8117" s="12"/>
      <c r="H8117" s="11" t="str">
        <f ca="1">IFERROR(__xludf.DUMMYFUNCTION("IFERROR(SUBSTITUTE(SUBSTITUTE(REGEXEXTRACT(A8117, ""[^-]+- [^-]+- [^-]+ - (.+?)\.jpg""), "".jpg"", """"), ""-"", "", ""), """")"),"")</f>
        <v/>
      </c>
      <c r="L8117" s="12"/>
      <c r="M8117" s="13"/>
      <c r="N8117" s="2"/>
      <c r="O8117" s="20"/>
      <c r="P8117" s="42"/>
      <c r="R8117" s="23"/>
    </row>
    <row r="8118" spans="1:18" ht="12.75">
      <c r="A8118" s="12"/>
      <c r="D8118" s="12"/>
      <c r="E8118" s="12"/>
      <c r="H8118" s="11" t="str">
        <f ca="1">IFERROR(__xludf.DUMMYFUNCTION("IFERROR(SUBSTITUTE(SUBSTITUTE(REGEXEXTRACT(A8118, ""[^-]+- [^-]+- [^-]+ - (.+?)\.jpg""), "".jpg"", """"), ""-"", "", ""), """")"),"")</f>
        <v/>
      </c>
      <c r="L8118" s="12"/>
      <c r="M8118" s="13"/>
      <c r="N8118" s="2"/>
      <c r="O8118" s="20"/>
      <c r="P8118" s="42"/>
      <c r="R8118" s="23"/>
    </row>
    <row r="8119" spans="1:18" ht="12.75">
      <c r="A8119" s="12"/>
      <c r="D8119" s="12"/>
      <c r="E8119" s="12"/>
      <c r="H8119" s="11" t="str">
        <f ca="1">IFERROR(__xludf.DUMMYFUNCTION("IFERROR(SUBSTITUTE(SUBSTITUTE(REGEXEXTRACT(A8119, ""[^-]+- [^-]+- [^-]+ - (.+?)\.jpg""), "".jpg"", """"), ""-"", "", ""), """")"),"")</f>
        <v/>
      </c>
      <c r="L8119" s="12"/>
      <c r="M8119" s="13"/>
      <c r="N8119" s="2"/>
      <c r="O8119" s="20"/>
      <c r="P8119" s="42"/>
      <c r="R8119" s="23"/>
    </row>
    <row r="8120" spans="1:18" ht="12.75">
      <c r="A8120" s="12"/>
      <c r="D8120" s="12"/>
      <c r="E8120" s="12"/>
      <c r="H8120" s="11" t="str">
        <f ca="1">IFERROR(__xludf.DUMMYFUNCTION("IFERROR(SUBSTITUTE(SUBSTITUTE(REGEXEXTRACT(A8120, ""[^-]+- [^-]+- [^-]+ - (.+?)\.jpg""), "".jpg"", """"), ""-"", "", ""), """")"),"")</f>
        <v/>
      </c>
      <c r="L8120" s="12"/>
      <c r="M8120" s="13"/>
      <c r="N8120" s="2"/>
      <c r="O8120" s="20"/>
      <c r="P8120" s="42"/>
      <c r="R8120" s="23"/>
    </row>
    <row r="8121" spans="1:18" ht="12.75">
      <c r="A8121" s="12"/>
      <c r="D8121" s="12"/>
      <c r="E8121" s="12"/>
      <c r="H8121" s="11" t="str">
        <f ca="1">IFERROR(__xludf.DUMMYFUNCTION("IFERROR(SUBSTITUTE(SUBSTITUTE(REGEXEXTRACT(A8121, ""[^-]+- [^-]+- [^-]+ - (.+?)\.jpg""), "".jpg"", """"), ""-"", "", ""), """")"),"")</f>
        <v/>
      </c>
      <c r="L8121" s="12"/>
      <c r="M8121" s="13"/>
      <c r="N8121" s="2"/>
      <c r="O8121" s="20"/>
      <c r="P8121" s="42"/>
      <c r="R8121" s="23"/>
    </row>
    <row r="8122" spans="1:18" ht="12.75">
      <c r="A8122" s="12"/>
      <c r="D8122" s="12"/>
      <c r="E8122" s="12"/>
      <c r="H8122" s="11" t="str">
        <f ca="1">IFERROR(__xludf.DUMMYFUNCTION("IFERROR(SUBSTITUTE(SUBSTITUTE(REGEXEXTRACT(A8122, ""[^-]+- [^-]+- [^-]+ - (.+?)\.jpg""), "".jpg"", """"), ""-"", "", ""), """")"),"")</f>
        <v/>
      </c>
      <c r="L8122" s="12"/>
      <c r="M8122" s="13"/>
      <c r="N8122" s="2"/>
      <c r="O8122" s="20"/>
      <c r="P8122" s="42"/>
      <c r="R8122" s="23"/>
    </row>
    <row r="8123" spans="1:18" ht="12.75">
      <c r="A8123" s="12"/>
      <c r="D8123" s="12"/>
      <c r="E8123" s="12"/>
      <c r="H8123" s="11" t="str">
        <f ca="1">IFERROR(__xludf.DUMMYFUNCTION("IFERROR(SUBSTITUTE(SUBSTITUTE(REGEXEXTRACT(A8123, ""[^-]+- [^-]+- [^-]+ - (.+?)\.jpg""), "".jpg"", """"), ""-"", "", ""), """")"),"")</f>
        <v/>
      </c>
      <c r="L8123" s="12"/>
      <c r="M8123" s="13"/>
      <c r="N8123" s="2"/>
      <c r="O8123" s="20"/>
      <c r="P8123" s="42"/>
      <c r="R8123" s="23"/>
    </row>
    <row r="8124" spans="1:18" ht="12.75">
      <c r="A8124" s="12"/>
      <c r="D8124" s="12"/>
      <c r="E8124" s="12"/>
      <c r="H8124" s="11" t="str">
        <f ca="1">IFERROR(__xludf.DUMMYFUNCTION("IFERROR(SUBSTITUTE(SUBSTITUTE(REGEXEXTRACT(A8124, ""[^-]+- [^-]+- [^-]+ - (.+?)\.jpg""), "".jpg"", """"), ""-"", "", ""), """")"),"")</f>
        <v/>
      </c>
      <c r="L8124" s="12"/>
      <c r="M8124" s="13"/>
      <c r="N8124" s="2"/>
      <c r="O8124" s="20"/>
      <c r="P8124" s="42"/>
      <c r="R8124" s="23"/>
    </row>
    <row r="8125" spans="1:18" ht="12.75">
      <c r="A8125" s="12"/>
      <c r="D8125" s="12"/>
      <c r="E8125" s="12"/>
      <c r="H8125" s="11" t="str">
        <f ca="1">IFERROR(__xludf.DUMMYFUNCTION("IFERROR(SUBSTITUTE(SUBSTITUTE(REGEXEXTRACT(A8125, ""[^-]+- [^-]+- [^-]+ - (.+?)\.jpg""), "".jpg"", """"), ""-"", "", ""), """")"),"")</f>
        <v/>
      </c>
      <c r="L8125" s="12"/>
      <c r="M8125" s="13"/>
      <c r="N8125" s="2"/>
      <c r="O8125" s="20"/>
      <c r="P8125" s="42"/>
      <c r="R8125" s="23"/>
    </row>
    <row r="8126" spans="1:18" ht="12.75">
      <c r="A8126" s="12"/>
      <c r="D8126" s="12"/>
      <c r="E8126" s="12"/>
      <c r="H8126" s="11" t="str">
        <f ca="1">IFERROR(__xludf.DUMMYFUNCTION("IFERROR(SUBSTITUTE(SUBSTITUTE(REGEXEXTRACT(A8126, ""[^-]+- [^-]+- [^-]+ - (.+?)\.jpg""), "".jpg"", """"), ""-"", "", ""), """")"),"")</f>
        <v/>
      </c>
      <c r="L8126" s="12"/>
      <c r="M8126" s="13"/>
      <c r="N8126" s="2"/>
      <c r="O8126" s="20"/>
      <c r="P8126" s="42"/>
      <c r="R8126" s="23"/>
    </row>
    <row r="8127" spans="1:18" ht="12.75">
      <c r="A8127" s="12"/>
      <c r="D8127" s="12"/>
      <c r="E8127" s="12"/>
      <c r="H8127" s="11" t="str">
        <f ca="1">IFERROR(__xludf.DUMMYFUNCTION("IFERROR(SUBSTITUTE(SUBSTITUTE(REGEXEXTRACT(A8127, ""[^-]+- [^-]+- [^-]+ - (.+?)\.jpg""), "".jpg"", """"), ""-"", "", ""), """")"),"")</f>
        <v/>
      </c>
      <c r="L8127" s="12"/>
      <c r="M8127" s="13"/>
      <c r="N8127" s="2"/>
      <c r="O8127" s="20"/>
      <c r="P8127" s="42"/>
      <c r="R8127" s="23"/>
    </row>
    <row r="8128" spans="1:18" ht="12.75">
      <c r="A8128" s="12"/>
      <c r="D8128" s="12"/>
      <c r="E8128" s="12"/>
      <c r="H8128" s="11" t="str">
        <f ca="1">IFERROR(__xludf.DUMMYFUNCTION("IFERROR(SUBSTITUTE(SUBSTITUTE(REGEXEXTRACT(A8128, ""[^-]+- [^-]+- [^-]+ - (.+?)\.jpg""), "".jpg"", """"), ""-"", "", ""), """")"),"")</f>
        <v/>
      </c>
      <c r="L8128" s="12"/>
      <c r="M8128" s="13"/>
      <c r="N8128" s="2"/>
      <c r="O8128" s="20"/>
      <c r="P8128" s="42"/>
      <c r="R8128" s="23"/>
    </row>
    <row r="8129" spans="1:18" ht="12.75">
      <c r="A8129" s="12"/>
      <c r="D8129" s="12"/>
      <c r="E8129" s="12"/>
      <c r="H8129" s="11" t="str">
        <f ca="1">IFERROR(__xludf.DUMMYFUNCTION("IFERROR(SUBSTITUTE(SUBSTITUTE(REGEXEXTRACT(A8129, ""[^-]+- [^-]+- [^-]+ - (.+?)\.jpg""), "".jpg"", """"), ""-"", "", ""), """")"),"")</f>
        <v/>
      </c>
      <c r="L8129" s="12"/>
      <c r="M8129" s="13"/>
      <c r="N8129" s="2"/>
      <c r="O8129" s="20"/>
      <c r="P8129" s="42"/>
      <c r="R8129" s="23"/>
    </row>
    <row r="8130" spans="1:18" ht="12.75">
      <c r="A8130" s="12"/>
      <c r="D8130" s="12"/>
      <c r="E8130" s="12"/>
      <c r="H8130" s="11" t="str">
        <f ca="1">IFERROR(__xludf.DUMMYFUNCTION("IFERROR(SUBSTITUTE(SUBSTITUTE(REGEXEXTRACT(A8130, ""[^-]+- [^-]+- [^-]+ - (.+?)\.jpg""), "".jpg"", """"), ""-"", "", ""), """")"),"")</f>
        <v/>
      </c>
      <c r="L8130" s="12"/>
      <c r="M8130" s="13"/>
      <c r="N8130" s="2"/>
      <c r="O8130" s="20"/>
      <c r="P8130" s="42"/>
      <c r="R8130" s="23"/>
    </row>
    <row r="8131" spans="1:18" ht="12.75">
      <c r="A8131" s="12"/>
      <c r="D8131" s="12"/>
      <c r="E8131" s="12"/>
      <c r="H8131" s="11" t="str">
        <f ca="1">IFERROR(__xludf.DUMMYFUNCTION("IFERROR(SUBSTITUTE(SUBSTITUTE(REGEXEXTRACT(A8131, ""[^-]+- [^-]+- [^-]+ - (.+?)\.jpg""), "".jpg"", """"), ""-"", "", ""), """")"),"")</f>
        <v/>
      </c>
      <c r="L8131" s="12"/>
      <c r="M8131" s="13"/>
      <c r="N8131" s="2"/>
      <c r="O8131" s="20"/>
      <c r="P8131" s="42"/>
      <c r="R8131" s="23"/>
    </row>
    <row r="8132" spans="1:18" ht="12.75">
      <c r="A8132" s="12"/>
      <c r="D8132" s="12"/>
      <c r="E8132" s="12"/>
      <c r="H8132" s="11" t="str">
        <f ca="1">IFERROR(__xludf.DUMMYFUNCTION("IFERROR(SUBSTITUTE(SUBSTITUTE(REGEXEXTRACT(A8132, ""[^-]+- [^-]+- [^-]+ - (.+?)\.jpg""), "".jpg"", """"), ""-"", "", ""), """")"),"")</f>
        <v/>
      </c>
      <c r="L8132" s="12"/>
      <c r="M8132" s="13"/>
      <c r="N8132" s="2"/>
      <c r="O8132" s="20"/>
      <c r="P8132" s="42"/>
      <c r="R8132" s="23"/>
    </row>
    <row r="8133" spans="1:18" ht="12.75">
      <c r="A8133" s="12"/>
      <c r="D8133" s="12"/>
      <c r="E8133" s="12"/>
      <c r="H8133" s="11" t="str">
        <f ca="1">IFERROR(__xludf.DUMMYFUNCTION("IFERROR(SUBSTITUTE(SUBSTITUTE(REGEXEXTRACT(A8133, ""[^-]+- [^-]+- [^-]+ - (.+?)\.jpg""), "".jpg"", """"), ""-"", "", ""), """")"),"")</f>
        <v/>
      </c>
      <c r="L8133" s="12"/>
      <c r="M8133" s="13"/>
      <c r="N8133" s="2"/>
      <c r="O8133" s="20"/>
      <c r="P8133" s="42"/>
      <c r="R8133" s="23"/>
    </row>
    <row r="8134" spans="1:18" ht="12.75">
      <c r="A8134" s="12"/>
      <c r="D8134" s="12"/>
      <c r="E8134" s="12"/>
      <c r="H8134" s="11" t="str">
        <f ca="1">IFERROR(__xludf.DUMMYFUNCTION("IFERROR(SUBSTITUTE(SUBSTITUTE(REGEXEXTRACT(A8134, ""[^-]+- [^-]+- [^-]+ - (.+?)\.jpg""), "".jpg"", """"), ""-"", "", ""), """")"),"")</f>
        <v/>
      </c>
      <c r="L8134" s="12"/>
      <c r="M8134" s="13"/>
      <c r="N8134" s="2"/>
      <c r="O8134" s="20"/>
      <c r="P8134" s="42"/>
      <c r="R8134" s="23"/>
    </row>
    <row r="8135" spans="1:18" ht="12.75">
      <c r="A8135" s="12"/>
      <c r="D8135" s="12"/>
      <c r="E8135" s="12"/>
      <c r="H8135" s="11" t="str">
        <f ca="1">IFERROR(__xludf.DUMMYFUNCTION("IFERROR(SUBSTITUTE(SUBSTITUTE(REGEXEXTRACT(A8135, ""[^-]+- [^-]+- [^-]+ - (.+?)\.jpg""), "".jpg"", """"), ""-"", "", ""), """")"),"")</f>
        <v/>
      </c>
      <c r="L8135" s="12"/>
      <c r="M8135" s="13"/>
      <c r="N8135" s="2"/>
      <c r="O8135" s="20"/>
      <c r="P8135" s="42"/>
      <c r="R8135" s="23"/>
    </row>
    <row r="8136" spans="1:18" ht="12.75">
      <c r="A8136" s="12"/>
      <c r="D8136" s="12"/>
      <c r="E8136" s="12"/>
      <c r="H8136" s="11" t="str">
        <f ca="1">IFERROR(__xludf.DUMMYFUNCTION("IFERROR(SUBSTITUTE(SUBSTITUTE(REGEXEXTRACT(A8136, ""[^-]+- [^-]+- [^-]+ - (.+?)\.jpg""), "".jpg"", """"), ""-"", "", ""), """")"),"")</f>
        <v/>
      </c>
      <c r="L8136" s="12"/>
      <c r="M8136" s="13"/>
      <c r="N8136" s="2"/>
      <c r="O8136" s="20"/>
      <c r="P8136" s="42"/>
      <c r="R8136" s="23"/>
    </row>
    <row r="8137" spans="1:18" ht="12.75">
      <c r="A8137" s="12"/>
      <c r="D8137" s="12"/>
      <c r="E8137" s="12"/>
      <c r="H8137" s="11" t="str">
        <f ca="1">IFERROR(__xludf.DUMMYFUNCTION("IFERROR(SUBSTITUTE(SUBSTITUTE(REGEXEXTRACT(A8137, ""[^-]+- [^-]+- [^-]+ - (.+?)\.jpg""), "".jpg"", """"), ""-"", "", ""), """")"),"")</f>
        <v/>
      </c>
      <c r="L8137" s="12"/>
      <c r="M8137" s="13"/>
      <c r="N8137" s="2"/>
      <c r="O8137" s="20"/>
      <c r="P8137" s="42"/>
      <c r="R8137" s="23"/>
    </row>
    <row r="8138" spans="1:18" ht="12.75">
      <c r="A8138" s="12"/>
      <c r="D8138" s="12"/>
      <c r="E8138" s="12"/>
      <c r="H8138" s="11" t="str">
        <f ca="1">IFERROR(__xludf.DUMMYFUNCTION("IFERROR(SUBSTITUTE(SUBSTITUTE(REGEXEXTRACT(A8138, ""[^-]+- [^-]+- [^-]+ - (.+?)\.jpg""), "".jpg"", """"), ""-"", "", ""), """")"),"")</f>
        <v/>
      </c>
      <c r="L8138" s="12"/>
      <c r="M8138" s="13"/>
      <c r="N8138" s="2"/>
      <c r="O8138" s="20"/>
      <c r="P8138" s="42"/>
      <c r="R8138" s="23"/>
    </row>
    <row r="8139" spans="1:18" ht="12.75">
      <c r="A8139" s="12"/>
      <c r="D8139" s="12"/>
      <c r="E8139" s="12"/>
      <c r="H8139" s="11" t="str">
        <f ca="1">IFERROR(__xludf.DUMMYFUNCTION("IFERROR(SUBSTITUTE(SUBSTITUTE(REGEXEXTRACT(A8139, ""[^-]+- [^-]+- [^-]+ - (.+?)\.jpg""), "".jpg"", """"), ""-"", "", ""), """")"),"")</f>
        <v/>
      </c>
      <c r="L8139" s="12"/>
      <c r="M8139" s="13"/>
      <c r="N8139" s="2"/>
      <c r="O8139" s="20"/>
      <c r="P8139" s="42"/>
      <c r="R8139" s="23"/>
    </row>
    <row r="8140" spans="1:18" ht="12.75">
      <c r="A8140" s="12"/>
      <c r="D8140" s="12"/>
      <c r="E8140" s="12"/>
      <c r="H8140" s="11" t="str">
        <f ca="1">IFERROR(__xludf.DUMMYFUNCTION("IFERROR(SUBSTITUTE(SUBSTITUTE(REGEXEXTRACT(A8140, ""[^-]+- [^-]+- [^-]+ - (.+?)\.jpg""), "".jpg"", """"), ""-"", "", ""), """")"),"")</f>
        <v/>
      </c>
      <c r="L8140" s="12"/>
      <c r="M8140" s="13"/>
      <c r="N8140" s="2"/>
      <c r="O8140" s="20"/>
      <c r="P8140" s="42"/>
      <c r="R8140" s="23"/>
    </row>
    <row r="8141" spans="1:18" ht="12.75">
      <c r="A8141" s="12"/>
      <c r="D8141" s="12"/>
      <c r="E8141" s="12"/>
      <c r="H8141" s="11" t="str">
        <f ca="1">IFERROR(__xludf.DUMMYFUNCTION("IFERROR(SUBSTITUTE(SUBSTITUTE(REGEXEXTRACT(A8141, ""[^-]+- [^-]+- [^-]+ - (.+?)\.jpg""), "".jpg"", """"), ""-"", "", ""), """")"),"")</f>
        <v/>
      </c>
      <c r="L8141" s="12"/>
      <c r="M8141" s="13"/>
      <c r="N8141" s="2"/>
      <c r="O8141" s="20"/>
      <c r="P8141" s="42"/>
      <c r="R8141" s="23"/>
    </row>
    <row r="8142" spans="1:18" ht="12.75">
      <c r="A8142" s="12"/>
      <c r="D8142" s="12"/>
      <c r="E8142" s="12"/>
      <c r="H8142" s="11" t="str">
        <f ca="1">IFERROR(__xludf.DUMMYFUNCTION("IFERROR(SUBSTITUTE(SUBSTITUTE(REGEXEXTRACT(A8142, ""[^-]+- [^-]+- [^-]+ - (.+?)\.jpg""), "".jpg"", """"), ""-"", "", ""), """")"),"")</f>
        <v/>
      </c>
      <c r="L8142" s="12"/>
      <c r="M8142" s="13"/>
      <c r="N8142" s="2"/>
      <c r="O8142" s="20"/>
      <c r="P8142" s="42"/>
      <c r="R8142" s="23"/>
    </row>
    <row r="8143" spans="1:18" ht="12.75">
      <c r="A8143" s="12"/>
      <c r="D8143" s="12"/>
      <c r="E8143" s="12"/>
      <c r="H8143" s="11" t="str">
        <f ca="1">IFERROR(__xludf.DUMMYFUNCTION("IFERROR(SUBSTITUTE(SUBSTITUTE(REGEXEXTRACT(A8143, ""[^-]+- [^-]+- [^-]+ - (.+?)\.jpg""), "".jpg"", """"), ""-"", "", ""), """")"),"")</f>
        <v/>
      </c>
      <c r="L8143" s="12"/>
      <c r="M8143" s="13"/>
      <c r="N8143" s="2"/>
      <c r="O8143" s="20"/>
      <c r="P8143" s="42"/>
      <c r="R8143" s="23"/>
    </row>
    <row r="8144" spans="1:18" ht="12.75">
      <c r="A8144" s="12"/>
      <c r="D8144" s="12"/>
      <c r="E8144" s="12"/>
      <c r="H8144" s="11" t="str">
        <f ca="1">IFERROR(__xludf.DUMMYFUNCTION("IFERROR(SUBSTITUTE(SUBSTITUTE(REGEXEXTRACT(A8144, ""[^-]+- [^-]+- [^-]+ - (.+?)\.jpg""), "".jpg"", """"), ""-"", "", ""), """")"),"")</f>
        <v/>
      </c>
      <c r="L8144" s="12"/>
      <c r="M8144" s="13"/>
      <c r="N8144" s="2"/>
      <c r="O8144" s="20"/>
      <c r="P8144" s="42"/>
      <c r="R8144" s="23"/>
    </row>
    <row r="8145" spans="1:18" ht="12.75">
      <c r="A8145" s="12"/>
      <c r="D8145" s="12"/>
      <c r="E8145" s="12"/>
      <c r="H8145" s="11" t="str">
        <f ca="1">IFERROR(__xludf.DUMMYFUNCTION("IFERROR(SUBSTITUTE(SUBSTITUTE(REGEXEXTRACT(A8145, ""[^-]+- [^-]+- [^-]+ - (.+?)\.jpg""), "".jpg"", """"), ""-"", "", ""), """")"),"")</f>
        <v/>
      </c>
      <c r="L8145" s="12"/>
      <c r="M8145" s="13"/>
      <c r="N8145" s="2"/>
      <c r="O8145" s="20"/>
      <c r="P8145" s="42"/>
      <c r="R8145" s="23"/>
    </row>
    <row r="8146" spans="1:18" ht="12.75">
      <c r="A8146" s="12"/>
      <c r="D8146" s="12"/>
      <c r="E8146" s="12"/>
      <c r="H8146" s="11" t="str">
        <f ca="1">IFERROR(__xludf.DUMMYFUNCTION("IFERROR(SUBSTITUTE(SUBSTITUTE(REGEXEXTRACT(A8146, ""[^-]+- [^-]+- [^-]+ - (.+?)\.jpg""), "".jpg"", """"), ""-"", "", ""), """")"),"")</f>
        <v/>
      </c>
      <c r="L8146" s="12"/>
      <c r="M8146" s="13"/>
      <c r="N8146" s="2"/>
      <c r="O8146" s="20"/>
      <c r="P8146" s="42"/>
      <c r="R8146" s="23"/>
    </row>
    <row r="8147" spans="1:18" ht="12.75">
      <c r="A8147" s="12"/>
      <c r="D8147" s="12"/>
      <c r="E8147" s="12"/>
      <c r="H8147" s="11" t="str">
        <f ca="1">IFERROR(__xludf.DUMMYFUNCTION("IFERROR(SUBSTITUTE(SUBSTITUTE(REGEXEXTRACT(A8147, ""[^-]+- [^-]+- [^-]+ - (.+?)\.jpg""), "".jpg"", """"), ""-"", "", ""), """")"),"")</f>
        <v/>
      </c>
      <c r="L8147" s="12"/>
      <c r="M8147" s="13"/>
      <c r="N8147" s="2"/>
      <c r="O8147" s="20"/>
      <c r="P8147" s="42"/>
      <c r="R8147" s="23"/>
    </row>
    <row r="8148" spans="1:18" ht="12.75">
      <c r="A8148" s="12"/>
      <c r="D8148" s="12"/>
      <c r="E8148" s="12"/>
      <c r="H8148" s="11" t="str">
        <f ca="1">IFERROR(__xludf.DUMMYFUNCTION("IFERROR(SUBSTITUTE(SUBSTITUTE(REGEXEXTRACT(A8148, ""[^-]+- [^-]+- [^-]+ - (.+?)\.jpg""), "".jpg"", """"), ""-"", "", ""), """")"),"")</f>
        <v/>
      </c>
      <c r="L8148" s="12"/>
      <c r="M8148" s="13"/>
      <c r="N8148" s="2"/>
      <c r="O8148" s="20"/>
      <c r="P8148" s="42"/>
      <c r="R8148" s="23"/>
    </row>
    <row r="8149" spans="1:18" ht="12.75">
      <c r="A8149" s="12"/>
      <c r="D8149" s="12"/>
      <c r="E8149" s="12"/>
      <c r="H8149" s="11" t="str">
        <f ca="1">IFERROR(__xludf.DUMMYFUNCTION("IFERROR(SUBSTITUTE(SUBSTITUTE(REGEXEXTRACT(A8149, ""[^-]+- [^-]+- [^-]+ - (.+?)\.jpg""), "".jpg"", """"), ""-"", "", ""), """")"),"")</f>
        <v/>
      </c>
      <c r="L8149" s="12"/>
      <c r="M8149" s="13"/>
      <c r="N8149" s="2"/>
      <c r="O8149" s="20"/>
      <c r="P8149" s="42"/>
      <c r="R8149" s="23"/>
    </row>
    <row r="8150" spans="1:18" ht="12.75">
      <c r="A8150" s="12"/>
      <c r="D8150" s="12"/>
      <c r="E8150" s="12"/>
      <c r="H8150" s="11" t="str">
        <f ca="1">IFERROR(__xludf.DUMMYFUNCTION("IFERROR(SUBSTITUTE(SUBSTITUTE(REGEXEXTRACT(A8150, ""[^-]+- [^-]+- [^-]+ - (.+?)\.jpg""), "".jpg"", """"), ""-"", "", ""), """")"),"")</f>
        <v/>
      </c>
      <c r="L8150" s="12"/>
      <c r="M8150" s="13"/>
      <c r="N8150" s="2"/>
      <c r="O8150" s="20"/>
      <c r="P8150" s="42"/>
      <c r="R8150" s="23"/>
    </row>
    <row r="8151" spans="1:18" ht="12.75">
      <c r="A8151" s="12"/>
      <c r="D8151" s="12"/>
      <c r="E8151" s="12"/>
      <c r="H8151" s="11" t="str">
        <f ca="1">IFERROR(__xludf.DUMMYFUNCTION("IFERROR(SUBSTITUTE(SUBSTITUTE(REGEXEXTRACT(A8151, ""[^-]+- [^-]+- [^-]+ - (.+?)\.jpg""), "".jpg"", """"), ""-"", "", ""), """")"),"")</f>
        <v/>
      </c>
      <c r="L8151" s="12"/>
      <c r="M8151" s="13"/>
      <c r="N8151" s="2"/>
      <c r="O8151" s="20"/>
      <c r="P8151" s="42"/>
      <c r="R8151" s="23"/>
    </row>
    <row r="8152" spans="1:18" ht="12.75">
      <c r="A8152" s="12"/>
      <c r="D8152" s="12"/>
      <c r="E8152" s="12"/>
      <c r="H8152" s="11" t="str">
        <f ca="1">IFERROR(__xludf.DUMMYFUNCTION("IFERROR(SUBSTITUTE(SUBSTITUTE(REGEXEXTRACT(A8152, ""[^-]+- [^-]+- [^-]+ - (.+?)\.jpg""), "".jpg"", """"), ""-"", "", ""), """")"),"")</f>
        <v/>
      </c>
      <c r="L8152" s="12"/>
      <c r="M8152" s="13"/>
      <c r="N8152" s="2"/>
      <c r="O8152" s="20"/>
      <c r="P8152" s="42"/>
      <c r="R8152" s="23"/>
    </row>
    <row r="8153" spans="1:18" ht="12.75">
      <c r="A8153" s="12"/>
      <c r="D8153" s="12"/>
      <c r="E8153" s="12"/>
      <c r="H8153" s="11" t="str">
        <f ca="1">IFERROR(__xludf.DUMMYFUNCTION("IFERROR(SUBSTITUTE(SUBSTITUTE(REGEXEXTRACT(A8153, ""[^-]+- [^-]+- [^-]+ - (.+?)\.jpg""), "".jpg"", """"), ""-"", "", ""), """")"),"")</f>
        <v/>
      </c>
      <c r="L8153" s="12"/>
      <c r="M8153" s="13"/>
      <c r="N8153" s="2"/>
      <c r="O8153" s="20"/>
      <c r="P8153" s="42"/>
      <c r="R8153" s="23"/>
    </row>
    <row r="8154" spans="1:18" ht="12.75">
      <c r="A8154" s="12"/>
      <c r="D8154" s="12"/>
      <c r="E8154" s="12"/>
      <c r="H8154" s="11" t="str">
        <f ca="1">IFERROR(__xludf.DUMMYFUNCTION("IFERROR(SUBSTITUTE(SUBSTITUTE(REGEXEXTRACT(A8154, ""[^-]+- [^-]+- [^-]+ - (.+?)\.jpg""), "".jpg"", """"), ""-"", "", ""), """")"),"")</f>
        <v/>
      </c>
      <c r="L8154" s="12"/>
      <c r="M8154" s="13"/>
      <c r="N8154" s="2"/>
      <c r="O8154" s="20"/>
      <c r="P8154" s="42"/>
      <c r="R8154" s="23"/>
    </row>
    <row r="8155" spans="1:18" ht="12.75">
      <c r="A8155" s="12"/>
      <c r="D8155" s="12"/>
      <c r="E8155" s="12"/>
      <c r="H8155" s="11" t="str">
        <f ca="1">IFERROR(__xludf.DUMMYFUNCTION("IFERROR(SUBSTITUTE(SUBSTITUTE(REGEXEXTRACT(A8155, ""[^-]+- [^-]+- [^-]+ - (.+?)\.jpg""), "".jpg"", """"), ""-"", "", ""), """")"),"")</f>
        <v/>
      </c>
      <c r="L8155" s="12"/>
      <c r="M8155" s="13"/>
      <c r="N8155" s="2"/>
      <c r="O8155" s="20"/>
      <c r="P8155" s="42"/>
      <c r="R8155" s="23"/>
    </row>
    <row r="8156" spans="1:18" ht="12.75">
      <c r="A8156" s="12"/>
      <c r="D8156" s="12"/>
      <c r="E8156" s="12"/>
      <c r="H8156" s="11" t="str">
        <f ca="1">IFERROR(__xludf.DUMMYFUNCTION("IFERROR(SUBSTITUTE(SUBSTITUTE(REGEXEXTRACT(A8156, ""[^-]+- [^-]+- [^-]+ - (.+?)\.jpg""), "".jpg"", """"), ""-"", "", ""), """")"),"")</f>
        <v/>
      </c>
      <c r="L8156" s="12"/>
      <c r="M8156" s="13"/>
      <c r="N8156" s="2"/>
      <c r="O8156" s="20"/>
      <c r="P8156" s="42"/>
      <c r="R8156" s="23"/>
    </row>
    <row r="8157" spans="1:18" ht="12.75">
      <c r="A8157" s="12"/>
      <c r="D8157" s="12"/>
      <c r="E8157" s="12"/>
      <c r="H8157" s="11" t="str">
        <f ca="1">IFERROR(__xludf.DUMMYFUNCTION("IFERROR(SUBSTITUTE(SUBSTITUTE(REGEXEXTRACT(A8157, ""[^-]+- [^-]+- [^-]+ - (.+?)\.jpg""), "".jpg"", """"), ""-"", "", ""), """")"),"")</f>
        <v/>
      </c>
      <c r="L8157" s="12"/>
      <c r="M8157" s="13"/>
      <c r="N8157" s="2"/>
      <c r="O8157" s="20"/>
      <c r="P8157" s="42"/>
      <c r="R8157" s="23"/>
    </row>
    <row r="8158" spans="1:18" ht="12.75">
      <c r="A8158" s="12"/>
      <c r="D8158" s="12"/>
      <c r="E8158" s="12"/>
      <c r="H8158" s="11" t="str">
        <f ca="1">IFERROR(__xludf.DUMMYFUNCTION("IFERROR(SUBSTITUTE(SUBSTITUTE(REGEXEXTRACT(A8158, ""[^-]+- [^-]+- [^-]+ - (.+?)\.jpg""), "".jpg"", """"), ""-"", "", ""), """")"),"")</f>
        <v/>
      </c>
      <c r="L8158" s="12"/>
      <c r="M8158" s="13"/>
      <c r="N8158" s="2"/>
      <c r="O8158" s="20"/>
      <c r="P8158" s="42"/>
      <c r="R8158" s="23"/>
    </row>
    <row r="8159" spans="1:18" ht="12.75">
      <c r="A8159" s="12"/>
      <c r="D8159" s="12"/>
      <c r="E8159" s="12"/>
      <c r="H8159" s="11" t="str">
        <f ca="1">IFERROR(__xludf.DUMMYFUNCTION("IFERROR(SUBSTITUTE(SUBSTITUTE(REGEXEXTRACT(A8159, ""[^-]+- [^-]+- [^-]+ - (.+?)\.jpg""), "".jpg"", """"), ""-"", "", ""), """")"),"")</f>
        <v/>
      </c>
      <c r="L8159" s="12"/>
      <c r="M8159" s="13"/>
      <c r="N8159" s="2"/>
      <c r="O8159" s="20"/>
      <c r="P8159" s="42"/>
      <c r="R8159" s="23"/>
    </row>
    <row r="8160" spans="1:18" ht="12.75">
      <c r="A8160" s="12"/>
      <c r="D8160" s="12"/>
      <c r="E8160" s="12"/>
      <c r="H8160" s="11" t="str">
        <f ca="1">IFERROR(__xludf.DUMMYFUNCTION("IFERROR(SUBSTITUTE(SUBSTITUTE(REGEXEXTRACT(A8160, ""[^-]+- [^-]+- [^-]+ - (.+?)\.jpg""), "".jpg"", """"), ""-"", "", ""), """")"),"")</f>
        <v/>
      </c>
      <c r="L8160" s="12"/>
      <c r="M8160" s="13"/>
      <c r="N8160" s="2"/>
      <c r="O8160" s="20"/>
      <c r="P8160" s="42"/>
      <c r="R8160" s="23"/>
    </row>
    <row r="8161" spans="1:18" ht="12.75">
      <c r="A8161" s="12"/>
      <c r="D8161" s="12"/>
      <c r="E8161" s="12"/>
      <c r="H8161" s="11" t="str">
        <f ca="1">IFERROR(__xludf.DUMMYFUNCTION("IFERROR(SUBSTITUTE(SUBSTITUTE(REGEXEXTRACT(A8161, ""[^-]+- [^-]+- [^-]+ - (.+?)\.jpg""), "".jpg"", """"), ""-"", "", ""), """")"),"")</f>
        <v/>
      </c>
      <c r="L8161" s="12"/>
      <c r="M8161" s="13"/>
      <c r="N8161" s="2"/>
      <c r="O8161" s="20"/>
      <c r="P8161" s="42"/>
      <c r="R8161" s="23"/>
    </row>
    <row r="8162" spans="1:18" ht="12.75">
      <c r="A8162" s="12"/>
      <c r="D8162" s="12"/>
      <c r="E8162" s="12"/>
      <c r="H8162" s="11" t="str">
        <f ca="1">IFERROR(__xludf.DUMMYFUNCTION("IFERROR(SUBSTITUTE(SUBSTITUTE(REGEXEXTRACT(A8162, ""[^-]+- [^-]+- [^-]+ - (.+?)\.jpg""), "".jpg"", """"), ""-"", "", ""), """")"),"")</f>
        <v/>
      </c>
      <c r="L8162" s="12"/>
      <c r="M8162" s="13"/>
      <c r="N8162" s="2"/>
      <c r="O8162" s="20"/>
      <c r="P8162" s="42"/>
      <c r="R8162" s="23"/>
    </row>
    <row r="8163" spans="1:18" ht="12.75">
      <c r="A8163" s="12"/>
      <c r="D8163" s="12"/>
      <c r="E8163" s="12"/>
      <c r="H8163" s="11" t="str">
        <f ca="1">IFERROR(__xludf.DUMMYFUNCTION("IFERROR(SUBSTITUTE(SUBSTITUTE(REGEXEXTRACT(A8163, ""[^-]+- [^-]+- [^-]+ - (.+?)\.jpg""), "".jpg"", """"), ""-"", "", ""), """")"),"")</f>
        <v/>
      </c>
      <c r="L8163" s="12"/>
      <c r="M8163" s="13"/>
      <c r="N8163" s="2"/>
      <c r="O8163" s="20"/>
      <c r="P8163" s="42"/>
      <c r="R8163" s="23"/>
    </row>
    <row r="8164" spans="1:18" ht="12.75">
      <c r="A8164" s="12"/>
      <c r="D8164" s="12"/>
      <c r="E8164" s="12"/>
      <c r="H8164" s="11" t="str">
        <f ca="1">IFERROR(__xludf.DUMMYFUNCTION("IFERROR(SUBSTITUTE(SUBSTITUTE(REGEXEXTRACT(A8164, ""[^-]+- [^-]+- [^-]+ - (.+?)\.jpg""), "".jpg"", """"), ""-"", "", ""), """")"),"")</f>
        <v/>
      </c>
      <c r="L8164" s="12"/>
      <c r="M8164" s="13"/>
      <c r="N8164" s="2"/>
      <c r="O8164" s="20"/>
      <c r="P8164" s="42"/>
      <c r="R8164" s="23"/>
    </row>
    <row r="8165" spans="1:18" ht="12.75">
      <c r="A8165" s="12"/>
      <c r="D8165" s="12"/>
      <c r="E8165" s="12"/>
      <c r="H8165" s="11" t="str">
        <f ca="1">IFERROR(__xludf.DUMMYFUNCTION("IFERROR(SUBSTITUTE(SUBSTITUTE(REGEXEXTRACT(A8165, ""[^-]+- [^-]+- [^-]+ - (.+?)\.jpg""), "".jpg"", """"), ""-"", "", ""), """")"),"")</f>
        <v/>
      </c>
      <c r="L8165" s="12"/>
      <c r="M8165" s="13"/>
      <c r="N8165" s="2"/>
      <c r="O8165" s="20"/>
      <c r="P8165" s="42"/>
      <c r="R8165" s="23"/>
    </row>
    <row r="8166" spans="1:18" ht="12.75">
      <c r="A8166" s="12"/>
      <c r="D8166" s="12"/>
      <c r="E8166" s="12"/>
      <c r="H8166" s="11" t="str">
        <f ca="1">IFERROR(__xludf.DUMMYFUNCTION("IFERROR(SUBSTITUTE(SUBSTITUTE(REGEXEXTRACT(A8166, ""[^-]+- [^-]+- [^-]+ - (.+?)\.jpg""), "".jpg"", """"), ""-"", "", ""), """")"),"")</f>
        <v/>
      </c>
      <c r="L8166" s="12"/>
      <c r="M8166" s="13"/>
      <c r="N8166" s="2"/>
      <c r="O8166" s="20"/>
      <c r="P8166" s="42"/>
      <c r="R8166" s="23"/>
    </row>
    <row r="8167" spans="1:18" ht="12.75">
      <c r="A8167" s="12"/>
      <c r="D8167" s="12"/>
      <c r="E8167" s="12"/>
      <c r="H8167" s="11" t="str">
        <f ca="1">IFERROR(__xludf.DUMMYFUNCTION("IFERROR(SUBSTITUTE(SUBSTITUTE(REGEXEXTRACT(A8167, ""[^-]+- [^-]+- [^-]+ - (.+?)\.jpg""), "".jpg"", """"), ""-"", "", ""), """")"),"")</f>
        <v/>
      </c>
      <c r="L8167" s="12"/>
      <c r="M8167" s="13"/>
      <c r="N8167" s="2"/>
      <c r="O8167" s="20"/>
      <c r="P8167" s="42"/>
      <c r="R8167" s="23"/>
    </row>
    <row r="8168" spans="1:18" ht="12.75">
      <c r="A8168" s="12"/>
      <c r="D8168" s="12"/>
      <c r="E8168" s="12"/>
      <c r="H8168" s="11" t="str">
        <f ca="1">IFERROR(__xludf.DUMMYFUNCTION("IFERROR(SUBSTITUTE(SUBSTITUTE(REGEXEXTRACT(A8168, ""[^-]+- [^-]+- [^-]+ - (.+?)\.jpg""), "".jpg"", """"), ""-"", "", ""), """")"),"")</f>
        <v/>
      </c>
      <c r="L8168" s="12"/>
      <c r="M8168" s="13"/>
      <c r="N8168" s="2"/>
      <c r="O8168" s="20"/>
      <c r="P8168" s="42"/>
      <c r="R8168" s="23"/>
    </row>
    <row r="8169" spans="1:18" ht="12.75">
      <c r="A8169" s="12"/>
      <c r="D8169" s="12"/>
      <c r="E8169" s="12"/>
      <c r="H8169" s="11" t="str">
        <f ca="1">IFERROR(__xludf.DUMMYFUNCTION("IFERROR(SUBSTITUTE(SUBSTITUTE(REGEXEXTRACT(A8169, ""[^-]+- [^-]+- [^-]+ - (.+?)\.jpg""), "".jpg"", """"), ""-"", "", ""), """")"),"")</f>
        <v/>
      </c>
      <c r="L8169" s="12"/>
      <c r="M8169" s="13"/>
      <c r="N8169" s="2"/>
      <c r="O8169" s="20"/>
      <c r="P8169" s="42"/>
      <c r="R8169" s="23"/>
    </row>
    <row r="8170" spans="1:18" ht="12.75">
      <c r="A8170" s="12"/>
      <c r="D8170" s="12"/>
      <c r="E8170" s="12"/>
      <c r="H8170" s="11" t="str">
        <f ca="1">IFERROR(__xludf.DUMMYFUNCTION("IFERROR(SUBSTITUTE(SUBSTITUTE(REGEXEXTRACT(A8170, ""[^-]+- [^-]+- [^-]+ - (.+?)\.jpg""), "".jpg"", """"), ""-"", "", ""), """")"),"")</f>
        <v/>
      </c>
      <c r="L8170" s="12"/>
      <c r="M8170" s="13"/>
      <c r="N8170" s="2"/>
      <c r="O8170" s="20"/>
      <c r="P8170" s="42"/>
      <c r="R8170" s="23"/>
    </row>
    <row r="8171" spans="1:18" ht="12.75">
      <c r="A8171" s="12"/>
      <c r="D8171" s="12"/>
      <c r="E8171" s="12"/>
      <c r="H8171" s="11" t="str">
        <f ca="1">IFERROR(__xludf.DUMMYFUNCTION("IFERROR(SUBSTITUTE(SUBSTITUTE(REGEXEXTRACT(A8171, ""[^-]+- [^-]+- [^-]+ - (.+?)\.jpg""), "".jpg"", """"), ""-"", "", ""), """")"),"")</f>
        <v/>
      </c>
      <c r="L8171" s="12"/>
      <c r="M8171" s="13"/>
      <c r="N8171" s="2"/>
      <c r="O8171" s="20"/>
      <c r="P8171" s="42"/>
      <c r="R8171" s="23"/>
    </row>
    <row r="8172" spans="1:18" ht="12.75">
      <c r="A8172" s="12"/>
      <c r="D8172" s="12"/>
      <c r="E8172" s="12"/>
      <c r="H8172" s="11" t="str">
        <f ca="1">IFERROR(__xludf.DUMMYFUNCTION("IFERROR(SUBSTITUTE(SUBSTITUTE(REGEXEXTRACT(A8172, ""[^-]+- [^-]+- [^-]+ - (.+?)\.jpg""), "".jpg"", """"), ""-"", "", ""), """")"),"")</f>
        <v/>
      </c>
      <c r="L8172" s="12"/>
      <c r="M8172" s="13"/>
      <c r="N8172" s="2"/>
      <c r="O8172" s="20"/>
      <c r="P8172" s="42"/>
      <c r="R8172" s="23"/>
    </row>
    <row r="8173" spans="1:18" ht="12.75">
      <c r="A8173" s="12"/>
      <c r="D8173" s="12"/>
      <c r="E8173" s="12"/>
      <c r="H8173" s="11" t="str">
        <f ca="1">IFERROR(__xludf.DUMMYFUNCTION("IFERROR(SUBSTITUTE(SUBSTITUTE(REGEXEXTRACT(A8173, ""[^-]+- [^-]+- [^-]+ - (.+?)\.jpg""), "".jpg"", """"), ""-"", "", ""), """")"),"")</f>
        <v/>
      </c>
      <c r="L8173" s="12"/>
      <c r="M8173" s="13"/>
      <c r="N8173" s="2"/>
      <c r="O8173" s="20"/>
      <c r="P8173" s="42"/>
      <c r="R8173" s="23"/>
    </row>
    <row r="8174" spans="1:18" ht="12.75">
      <c r="A8174" s="12"/>
      <c r="D8174" s="12"/>
      <c r="E8174" s="12"/>
      <c r="H8174" s="11" t="str">
        <f ca="1">IFERROR(__xludf.DUMMYFUNCTION("IFERROR(SUBSTITUTE(SUBSTITUTE(REGEXEXTRACT(A8174, ""[^-]+- [^-]+- [^-]+ - (.+?)\.jpg""), "".jpg"", """"), ""-"", "", ""), """")"),"")</f>
        <v/>
      </c>
      <c r="L8174" s="12"/>
      <c r="M8174" s="13"/>
      <c r="N8174" s="2"/>
      <c r="O8174" s="20"/>
      <c r="P8174" s="42"/>
      <c r="R8174" s="23"/>
    </row>
    <row r="8175" spans="1:18" ht="12.75">
      <c r="A8175" s="12"/>
      <c r="D8175" s="12"/>
      <c r="E8175" s="12"/>
      <c r="H8175" s="11" t="str">
        <f ca="1">IFERROR(__xludf.DUMMYFUNCTION("IFERROR(SUBSTITUTE(SUBSTITUTE(REGEXEXTRACT(A8175, ""[^-]+- [^-]+- [^-]+ - (.+?)\.jpg""), "".jpg"", """"), ""-"", "", ""), """")"),"")</f>
        <v/>
      </c>
      <c r="L8175" s="12"/>
      <c r="M8175" s="13"/>
      <c r="N8175" s="2"/>
      <c r="O8175" s="20"/>
      <c r="P8175" s="42"/>
      <c r="R8175" s="23"/>
    </row>
    <row r="8176" spans="1:18" ht="12.75">
      <c r="A8176" s="12"/>
      <c r="D8176" s="12"/>
      <c r="E8176" s="12"/>
      <c r="H8176" s="11" t="str">
        <f ca="1">IFERROR(__xludf.DUMMYFUNCTION("IFERROR(SUBSTITUTE(SUBSTITUTE(REGEXEXTRACT(A8176, ""[^-]+- [^-]+- [^-]+ - (.+?)\.jpg""), "".jpg"", """"), ""-"", "", ""), """")"),"")</f>
        <v/>
      </c>
      <c r="L8176" s="12"/>
      <c r="M8176" s="13"/>
      <c r="N8176" s="2"/>
      <c r="O8176" s="20"/>
      <c r="P8176" s="42"/>
      <c r="R8176" s="23"/>
    </row>
    <row r="8177" spans="1:18" ht="12.75">
      <c r="A8177" s="12"/>
      <c r="D8177" s="12"/>
      <c r="E8177" s="12"/>
      <c r="H8177" s="11" t="str">
        <f ca="1">IFERROR(__xludf.DUMMYFUNCTION("IFERROR(SUBSTITUTE(SUBSTITUTE(REGEXEXTRACT(A8177, ""[^-]+- [^-]+- [^-]+ - (.+?)\.jpg""), "".jpg"", """"), ""-"", "", ""), """")"),"")</f>
        <v/>
      </c>
      <c r="L8177" s="12"/>
      <c r="M8177" s="13"/>
      <c r="N8177" s="2"/>
      <c r="O8177" s="20"/>
      <c r="P8177" s="42"/>
      <c r="R8177" s="23"/>
    </row>
    <row r="8178" spans="1:18" ht="12.75">
      <c r="A8178" s="12"/>
      <c r="D8178" s="12"/>
      <c r="E8178" s="12"/>
      <c r="H8178" s="11" t="str">
        <f ca="1">IFERROR(__xludf.DUMMYFUNCTION("IFERROR(SUBSTITUTE(SUBSTITUTE(REGEXEXTRACT(A8178, ""[^-]+- [^-]+- [^-]+ - (.+?)\.jpg""), "".jpg"", """"), ""-"", "", ""), """")"),"")</f>
        <v/>
      </c>
      <c r="L8178" s="12"/>
      <c r="M8178" s="13"/>
      <c r="N8178" s="2"/>
      <c r="O8178" s="20"/>
      <c r="P8178" s="42"/>
      <c r="R8178" s="23"/>
    </row>
    <row r="8179" spans="1:18" ht="12.75">
      <c r="A8179" s="12"/>
      <c r="D8179" s="12"/>
      <c r="E8179" s="12"/>
      <c r="H8179" s="11" t="str">
        <f ca="1">IFERROR(__xludf.DUMMYFUNCTION("IFERROR(SUBSTITUTE(SUBSTITUTE(REGEXEXTRACT(A8179, ""[^-]+- [^-]+- [^-]+ - (.+?)\.jpg""), "".jpg"", """"), ""-"", "", ""), """")"),"")</f>
        <v/>
      </c>
      <c r="L8179" s="12"/>
      <c r="M8179" s="13"/>
      <c r="N8179" s="2"/>
      <c r="O8179" s="20"/>
      <c r="P8179" s="42"/>
      <c r="R8179" s="23"/>
    </row>
    <row r="8180" spans="1:18" ht="12.75">
      <c r="A8180" s="12"/>
      <c r="D8180" s="12"/>
      <c r="E8180" s="12"/>
      <c r="H8180" s="11" t="str">
        <f ca="1">IFERROR(__xludf.DUMMYFUNCTION("IFERROR(SUBSTITUTE(SUBSTITUTE(REGEXEXTRACT(A8180, ""[^-]+- [^-]+- [^-]+ - (.+?)\.jpg""), "".jpg"", """"), ""-"", "", ""), """")"),"")</f>
        <v/>
      </c>
      <c r="L8180" s="12"/>
      <c r="M8180" s="13"/>
      <c r="N8180" s="2"/>
      <c r="O8180" s="20"/>
      <c r="P8180" s="42"/>
      <c r="R8180" s="23"/>
    </row>
    <row r="8181" spans="1:18" ht="12.75">
      <c r="A8181" s="12"/>
      <c r="D8181" s="12"/>
      <c r="E8181" s="12"/>
      <c r="H8181" s="11" t="str">
        <f ca="1">IFERROR(__xludf.DUMMYFUNCTION("IFERROR(SUBSTITUTE(SUBSTITUTE(REGEXEXTRACT(A8181, ""[^-]+- [^-]+- [^-]+ - (.+?)\.jpg""), "".jpg"", """"), ""-"", "", ""), """")"),"")</f>
        <v/>
      </c>
      <c r="L8181" s="12"/>
      <c r="M8181" s="13"/>
      <c r="N8181" s="2"/>
      <c r="O8181" s="20"/>
      <c r="P8181" s="42"/>
      <c r="R8181" s="23"/>
    </row>
    <row r="8182" spans="1:18" ht="12.75">
      <c r="A8182" s="12"/>
      <c r="D8182" s="12"/>
      <c r="E8182" s="12"/>
      <c r="H8182" s="11" t="str">
        <f ca="1">IFERROR(__xludf.DUMMYFUNCTION("IFERROR(SUBSTITUTE(SUBSTITUTE(REGEXEXTRACT(A8182, ""[^-]+- [^-]+- [^-]+ - (.+?)\.jpg""), "".jpg"", """"), ""-"", "", ""), """")"),"")</f>
        <v/>
      </c>
      <c r="L8182" s="12"/>
      <c r="M8182" s="13"/>
      <c r="N8182" s="2"/>
      <c r="O8182" s="20"/>
      <c r="P8182" s="42"/>
      <c r="R8182" s="23"/>
    </row>
    <row r="8183" spans="1:18" ht="12.75">
      <c r="A8183" s="12"/>
      <c r="D8183" s="12"/>
      <c r="E8183" s="12"/>
      <c r="H8183" s="11" t="str">
        <f ca="1">IFERROR(__xludf.DUMMYFUNCTION("IFERROR(SUBSTITUTE(SUBSTITUTE(REGEXEXTRACT(A8183, ""[^-]+- [^-]+- [^-]+ - (.+?)\.jpg""), "".jpg"", """"), ""-"", "", ""), """")"),"")</f>
        <v/>
      </c>
      <c r="L8183" s="12"/>
      <c r="M8183" s="13"/>
      <c r="N8183" s="2"/>
      <c r="O8183" s="20"/>
      <c r="P8183" s="42"/>
      <c r="R8183" s="23"/>
    </row>
    <row r="8184" spans="1:18" ht="12.75">
      <c r="A8184" s="12"/>
      <c r="D8184" s="12"/>
      <c r="E8184" s="12"/>
      <c r="H8184" s="11" t="str">
        <f ca="1">IFERROR(__xludf.DUMMYFUNCTION("IFERROR(SUBSTITUTE(SUBSTITUTE(REGEXEXTRACT(A8184, ""[^-]+- [^-]+- [^-]+ - (.+?)\.jpg""), "".jpg"", """"), ""-"", "", ""), """")"),"")</f>
        <v/>
      </c>
      <c r="L8184" s="12"/>
      <c r="M8184" s="13"/>
      <c r="N8184" s="2"/>
      <c r="O8184" s="20"/>
      <c r="P8184" s="42"/>
      <c r="R8184" s="23"/>
    </row>
    <row r="8185" spans="1:18" ht="12.75">
      <c r="A8185" s="12"/>
      <c r="D8185" s="12"/>
      <c r="E8185" s="12"/>
      <c r="H8185" s="11" t="str">
        <f ca="1">IFERROR(__xludf.DUMMYFUNCTION("IFERROR(SUBSTITUTE(SUBSTITUTE(REGEXEXTRACT(A8185, ""[^-]+- [^-]+- [^-]+ - (.+?)\.jpg""), "".jpg"", """"), ""-"", "", ""), """")"),"")</f>
        <v/>
      </c>
      <c r="L8185" s="12"/>
      <c r="M8185" s="13"/>
      <c r="N8185" s="2"/>
      <c r="O8185" s="20"/>
      <c r="P8185" s="42"/>
      <c r="R8185" s="23"/>
    </row>
    <row r="8186" spans="1:18" ht="12.75">
      <c r="A8186" s="12"/>
      <c r="D8186" s="12"/>
      <c r="E8186" s="12"/>
      <c r="H8186" s="11" t="str">
        <f ca="1">IFERROR(__xludf.DUMMYFUNCTION("IFERROR(SUBSTITUTE(SUBSTITUTE(REGEXEXTRACT(A8186, ""[^-]+- [^-]+- [^-]+ - (.+?)\.jpg""), "".jpg"", """"), ""-"", "", ""), """")"),"")</f>
        <v/>
      </c>
      <c r="L8186" s="12"/>
      <c r="M8186" s="13"/>
      <c r="N8186" s="2"/>
      <c r="O8186" s="20"/>
      <c r="P8186" s="42"/>
      <c r="R8186" s="23"/>
    </row>
    <row r="8187" spans="1:18" ht="12.75">
      <c r="A8187" s="12"/>
      <c r="D8187" s="12"/>
      <c r="E8187" s="12"/>
      <c r="H8187" s="11" t="str">
        <f ca="1">IFERROR(__xludf.DUMMYFUNCTION("IFERROR(SUBSTITUTE(SUBSTITUTE(REGEXEXTRACT(A8187, ""[^-]+- [^-]+- [^-]+ - (.+?)\.jpg""), "".jpg"", """"), ""-"", "", ""), """")"),"")</f>
        <v/>
      </c>
      <c r="L8187" s="12"/>
      <c r="M8187" s="13"/>
      <c r="N8187" s="2"/>
      <c r="O8187" s="20"/>
      <c r="P8187" s="42"/>
      <c r="R8187" s="23"/>
    </row>
    <row r="8188" spans="1:18" ht="12.75">
      <c r="A8188" s="12"/>
      <c r="D8188" s="12"/>
      <c r="E8188" s="12"/>
      <c r="H8188" s="11" t="str">
        <f ca="1">IFERROR(__xludf.DUMMYFUNCTION("IFERROR(SUBSTITUTE(SUBSTITUTE(REGEXEXTRACT(A8188, ""[^-]+- [^-]+- [^-]+ - (.+?)\.jpg""), "".jpg"", """"), ""-"", "", ""), """")"),"")</f>
        <v/>
      </c>
      <c r="L8188" s="12"/>
      <c r="M8188" s="13"/>
      <c r="N8188" s="2"/>
      <c r="O8188" s="20"/>
      <c r="P8188" s="42"/>
      <c r="R8188" s="23"/>
    </row>
    <row r="8189" spans="1:18" ht="12.75">
      <c r="A8189" s="12"/>
      <c r="D8189" s="12"/>
      <c r="E8189" s="12"/>
      <c r="H8189" s="11" t="str">
        <f ca="1">IFERROR(__xludf.DUMMYFUNCTION("IFERROR(SUBSTITUTE(SUBSTITUTE(REGEXEXTRACT(A8189, ""[^-]+- [^-]+- [^-]+ - (.+?)\.jpg""), "".jpg"", """"), ""-"", "", ""), """")"),"")</f>
        <v/>
      </c>
      <c r="L8189" s="12"/>
      <c r="M8189" s="13"/>
      <c r="N8189" s="2"/>
      <c r="O8189" s="20"/>
      <c r="P8189" s="42"/>
      <c r="R8189" s="23"/>
    </row>
    <row r="8190" spans="1:18" ht="12.75">
      <c r="A8190" s="12"/>
      <c r="D8190" s="12"/>
      <c r="E8190" s="12"/>
      <c r="H8190" s="11" t="str">
        <f ca="1">IFERROR(__xludf.DUMMYFUNCTION("IFERROR(SUBSTITUTE(SUBSTITUTE(REGEXEXTRACT(A8190, ""[^-]+- [^-]+- [^-]+ - (.+?)\.jpg""), "".jpg"", """"), ""-"", "", ""), """")"),"")</f>
        <v/>
      </c>
      <c r="L8190" s="12"/>
      <c r="M8190" s="13"/>
      <c r="N8190" s="2"/>
      <c r="O8190" s="20"/>
      <c r="P8190" s="42"/>
      <c r="R8190" s="23"/>
    </row>
    <row r="8191" spans="1:18" ht="12.75">
      <c r="A8191" s="12"/>
      <c r="D8191" s="12"/>
      <c r="E8191" s="12"/>
      <c r="H8191" s="11" t="str">
        <f ca="1">IFERROR(__xludf.DUMMYFUNCTION("IFERROR(SUBSTITUTE(SUBSTITUTE(REGEXEXTRACT(A8191, ""[^-]+- [^-]+- [^-]+ - (.+?)\.jpg""), "".jpg"", """"), ""-"", "", ""), """")"),"")</f>
        <v/>
      </c>
      <c r="L8191" s="12"/>
      <c r="M8191" s="13"/>
      <c r="N8191" s="2"/>
      <c r="O8191" s="20"/>
      <c r="P8191" s="42"/>
      <c r="R8191" s="23"/>
    </row>
    <row r="8192" spans="1:18" ht="12.75">
      <c r="A8192" s="12"/>
      <c r="D8192" s="12"/>
      <c r="E8192" s="12"/>
      <c r="H8192" s="11" t="str">
        <f ca="1">IFERROR(__xludf.DUMMYFUNCTION("IFERROR(SUBSTITUTE(SUBSTITUTE(REGEXEXTRACT(A8192, ""[^-]+- [^-]+- [^-]+ - (.+?)\.jpg""), "".jpg"", """"), ""-"", "", ""), """")"),"")</f>
        <v/>
      </c>
      <c r="L8192" s="12"/>
      <c r="M8192" s="13"/>
      <c r="N8192" s="2"/>
      <c r="O8192" s="20"/>
      <c r="P8192" s="42"/>
      <c r="R8192" s="23"/>
    </row>
    <row r="8193" spans="1:18" ht="12.75">
      <c r="A8193" s="12"/>
      <c r="D8193" s="12"/>
      <c r="E8193" s="12"/>
      <c r="H8193" s="11" t="str">
        <f ca="1">IFERROR(__xludf.DUMMYFUNCTION("IFERROR(SUBSTITUTE(SUBSTITUTE(REGEXEXTRACT(A8193, ""[^-]+- [^-]+- [^-]+ - (.+?)\.jpg""), "".jpg"", """"), ""-"", "", ""), """")"),"")</f>
        <v/>
      </c>
      <c r="L8193" s="12"/>
      <c r="M8193" s="13"/>
      <c r="N8193" s="2"/>
      <c r="O8193" s="20"/>
      <c r="P8193" s="42"/>
      <c r="R8193" s="23"/>
    </row>
    <row r="8194" spans="1:18" ht="12.75">
      <c r="A8194" s="12"/>
      <c r="D8194" s="12"/>
      <c r="E8194" s="12"/>
      <c r="H8194" s="11" t="str">
        <f ca="1">IFERROR(__xludf.DUMMYFUNCTION("IFERROR(SUBSTITUTE(SUBSTITUTE(REGEXEXTRACT(A8194, ""[^-]+- [^-]+- [^-]+ - (.+?)\.jpg""), "".jpg"", """"), ""-"", "", ""), """")"),"")</f>
        <v/>
      </c>
      <c r="L8194" s="12"/>
      <c r="M8194" s="13"/>
      <c r="N8194" s="2"/>
      <c r="O8194" s="20"/>
      <c r="P8194" s="42"/>
      <c r="R8194" s="23"/>
    </row>
    <row r="8195" spans="1:18" ht="12.75">
      <c r="A8195" s="12"/>
      <c r="D8195" s="12"/>
      <c r="E8195" s="12"/>
      <c r="H8195" s="11" t="str">
        <f ca="1">IFERROR(__xludf.DUMMYFUNCTION("IFERROR(SUBSTITUTE(SUBSTITUTE(REGEXEXTRACT(A8195, ""[^-]+- [^-]+- [^-]+ - (.+?)\.jpg""), "".jpg"", """"), ""-"", "", ""), """")"),"")</f>
        <v/>
      </c>
      <c r="L8195" s="12"/>
      <c r="M8195" s="13"/>
      <c r="N8195" s="2"/>
      <c r="O8195" s="20"/>
      <c r="P8195" s="42"/>
      <c r="R8195" s="23"/>
    </row>
    <row r="8196" spans="1:18" ht="12.75">
      <c r="A8196" s="12"/>
      <c r="D8196" s="12"/>
      <c r="E8196" s="12"/>
      <c r="H8196" s="11" t="str">
        <f ca="1">IFERROR(__xludf.DUMMYFUNCTION("IFERROR(SUBSTITUTE(SUBSTITUTE(REGEXEXTRACT(A8196, ""[^-]+- [^-]+- [^-]+ - (.+?)\.jpg""), "".jpg"", """"), ""-"", "", ""), """")"),"")</f>
        <v/>
      </c>
      <c r="L8196" s="12"/>
      <c r="M8196" s="13"/>
      <c r="N8196" s="2"/>
      <c r="O8196" s="20"/>
      <c r="P8196" s="42"/>
      <c r="R8196" s="23"/>
    </row>
    <row r="8197" spans="1:18" ht="12.75">
      <c r="A8197" s="12"/>
      <c r="D8197" s="12"/>
      <c r="E8197" s="12"/>
      <c r="H8197" s="11" t="str">
        <f ca="1">IFERROR(__xludf.DUMMYFUNCTION("IFERROR(SUBSTITUTE(SUBSTITUTE(REGEXEXTRACT(A8197, ""[^-]+- [^-]+- [^-]+ - (.+?)\.jpg""), "".jpg"", """"), ""-"", "", ""), """")"),"")</f>
        <v/>
      </c>
      <c r="L8197" s="12"/>
      <c r="M8197" s="13"/>
      <c r="N8197" s="2"/>
      <c r="O8197" s="20"/>
      <c r="P8197" s="42"/>
      <c r="R8197" s="23"/>
    </row>
    <row r="8198" spans="1:18" ht="12.75">
      <c r="A8198" s="12"/>
      <c r="D8198" s="12"/>
      <c r="E8198" s="12"/>
      <c r="H8198" s="11" t="str">
        <f ca="1">IFERROR(__xludf.DUMMYFUNCTION("IFERROR(SUBSTITUTE(SUBSTITUTE(REGEXEXTRACT(A8198, ""[^-]+- [^-]+- [^-]+ - (.+?)\.jpg""), "".jpg"", """"), ""-"", "", ""), """")"),"")</f>
        <v/>
      </c>
      <c r="L8198" s="12"/>
      <c r="M8198" s="13"/>
      <c r="N8198" s="2"/>
      <c r="O8198" s="20"/>
      <c r="P8198" s="42"/>
      <c r="R8198" s="23"/>
    </row>
    <row r="8199" spans="1:18" ht="12.75">
      <c r="A8199" s="12"/>
      <c r="D8199" s="12"/>
      <c r="E8199" s="12"/>
      <c r="H8199" s="11" t="str">
        <f ca="1">IFERROR(__xludf.DUMMYFUNCTION("IFERROR(SUBSTITUTE(SUBSTITUTE(REGEXEXTRACT(A8199, ""[^-]+- [^-]+- [^-]+ - (.+?)\.jpg""), "".jpg"", """"), ""-"", "", ""), """")"),"")</f>
        <v/>
      </c>
      <c r="L8199" s="12"/>
      <c r="M8199" s="13"/>
      <c r="N8199" s="2"/>
      <c r="O8199" s="20"/>
      <c r="P8199" s="42"/>
      <c r="R8199" s="23"/>
    </row>
    <row r="8200" spans="1:18" ht="12.75">
      <c r="A8200" s="12"/>
      <c r="D8200" s="12"/>
      <c r="E8200" s="12"/>
      <c r="H8200" s="11" t="str">
        <f ca="1">IFERROR(__xludf.DUMMYFUNCTION("IFERROR(SUBSTITUTE(SUBSTITUTE(REGEXEXTRACT(A8200, ""[^-]+- [^-]+- [^-]+ - (.+?)\.jpg""), "".jpg"", """"), ""-"", "", ""), """")"),"")</f>
        <v/>
      </c>
      <c r="L8200" s="12"/>
      <c r="M8200" s="13"/>
      <c r="N8200" s="2"/>
      <c r="O8200" s="20"/>
      <c r="P8200" s="42"/>
      <c r="R8200" s="23"/>
    </row>
    <row r="8201" spans="1:18" ht="12.75">
      <c r="A8201" s="12"/>
      <c r="D8201" s="12"/>
      <c r="E8201" s="12"/>
      <c r="H8201" s="11" t="str">
        <f ca="1">IFERROR(__xludf.DUMMYFUNCTION("IFERROR(SUBSTITUTE(SUBSTITUTE(REGEXEXTRACT(A8201, ""[^-]+- [^-]+- [^-]+ - (.+?)\.jpg""), "".jpg"", """"), ""-"", "", ""), """")"),"")</f>
        <v/>
      </c>
      <c r="L8201" s="12"/>
      <c r="M8201" s="13"/>
      <c r="N8201" s="2"/>
      <c r="O8201" s="20"/>
      <c r="P8201" s="42"/>
      <c r="R8201" s="23"/>
    </row>
    <row r="8202" spans="1:18" ht="12.75">
      <c r="A8202" s="12"/>
      <c r="D8202" s="12"/>
      <c r="E8202" s="12"/>
      <c r="H8202" s="11" t="str">
        <f ca="1">IFERROR(__xludf.DUMMYFUNCTION("IFERROR(SUBSTITUTE(SUBSTITUTE(REGEXEXTRACT(A8202, ""[^-]+- [^-]+- [^-]+ - (.+?)\.jpg""), "".jpg"", """"), ""-"", "", ""), """")"),"")</f>
        <v/>
      </c>
      <c r="L8202" s="12"/>
      <c r="M8202" s="13"/>
      <c r="N8202" s="2"/>
      <c r="O8202" s="20"/>
      <c r="P8202" s="42"/>
      <c r="R8202" s="23"/>
    </row>
    <row r="8203" spans="1:18" ht="12.75">
      <c r="A8203" s="12"/>
      <c r="D8203" s="12"/>
      <c r="E8203" s="12"/>
      <c r="H8203" s="11" t="str">
        <f ca="1">IFERROR(__xludf.DUMMYFUNCTION("IFERROR(SUBSTITUTE(SUBSTITUTE(REGEXEXTRACT(A8203, ""[^-]+- [^-]+- [^-]+ - (.+?)\.jpg""), "".jpg"", """"), ""-"", "", ""), """")"),"")</f>
        <v/>
      </c>
      <c r="L8203" s="12"/>
      <c r="M8203" s="13"/>
      <c r="N8203" s="2"/>
      <c r="O8203" s="20"/>
      <c r="P8203" s="42"/>
      <c r="R8203" s="23"/>
    </row>
    <row r="8204" spans="1:18" ht="12.75">
      <c r="A8204" s="12"/>
      <c r="D8204" s="12"/>
      <c r="E8204" s="12"/>
      <c r="H8204" s="11" t="str">
        <f ca="1">IFERROR(__xludf.DUMMYFUNCTION("IFERROR(SUBSTITUTE(SUBSTITUTE(REGEXEXTRACT(A8204, ""[^-]+- [^-]+- [^-]+ - (.+?)\.jpg""), "".jpg"", """"), ""-"", "", ""), """")"),"")</f>
        <v/>
      </c>
      <c r="L8204" s="12"/>
      <c r="M8204" s="13"/>
      <c r="N8204" s="2"/>
      <c r="O8204" s="20"/>
      <c r="P8204" s="42"/>
      <c r="R8204" s="23"/>
    </row>
    <row r="8205" spans="1:18" ht="12.75">
      <c r="A8205" s="12"/>
      <c r="D8205" s="12"/>
      <c r="E8205" s="12"/>
      <c r="H8205" s="11" t="str">
        <f ca="1">IFERROR(__xludf.DUMMYFUNCTION("IFERROR(SUBSTITUTE(SUBSTITUTE(REGEXEXTRACT(A8205, ""[^-]+- [^-]+- [^-]+ - (.+?)\.jpg""), "".jpg"", """"), ""-"", "", ""), """")"),"")</f>
        <v/>
      </c>
      <c r="L8205" s="12"/>
      <c r="M8205" s="13"/>
      <c r="N8205" s="2"/>
      <c r="O8205" s="20"/>
      <c r="P8205" s="42"/>
      <c r="R8205" s="23"/>
    </row>
    <row r="8206" spans="1:18" ht="12.75">
      <c r="A8206" s="12"/>
      <c r="D8206" s="12"/>
      <c r="E8206" s="12"/>
      <c r="H8206" s="11" t="str">
        <f ca="1">IFERROR(__xludf.DUMMYFUNCTION("IFERROR(SUBSTITUTE(SUBSTITUTE(REGEXEXTRACT(A8206, ""[^-]+- [^-]+- [^-]+ - (.+?)\.jpg""), "".jpg"", """"), ""-"", "", ""), """")"),"")</f>
        <v/>
      </c>
      <c r="L8206" s="12"/>
      <c r="M8206" s="13"/>
      <c r="N8206" s="2"/>
      <c r="O8206" s="20"/>
      <c r="P8206" s="42"/>
      <c r="R8206" s="23"/>
    </row>
    <row r="8207" spans="1:18" ht="12.75">
      <c r="A8207" s="12"/>
      <c r="D8207" s="12"/>
      <c r="E8207" s="12"/>
      <c r="H8207" s="11" t="str">
        <f ca="1">IFERROR(__xludf.DUMMYFUNCTION("IFERROR(SUBSTITUTE(SUBSTITUTE(REGEXEXTRACT(A8207, ""[^-]+- [^-]+- [^-]+ - (.+?)\.jpg""), "".jpg"", """"), ""-"", "", ""), """")"),"")</f>
        <v/>
      </c>
      <c r="L8207" s="12"/>
      <c r="M8207" s="13"/>
      <c r="N8207" s="2"/>
      <c r="O8207" s="20"/>
      <c r="P8207" s="42"/>
      <c r="R8207" s="23"/>
    </row>
    <row r="8208" spans="1:18" ht="12.75">
      <c r="A8208" s="12"/>
      <c r="D8208" s="12"/>
      <c r="E8208" s="12"/>
      <c r="H8208" s="11" t="str">
        <f ca="1">IFERROR(__xludf.DUMMYFUNCTION("IFERROR(SUBSTITUTE(SUBSTITUTE(REGEXEXTRACT(A8208, ""[^-]+- [^-]+- [^-]+ - (.+?)\.jpg""), "".jpg"", """"), ""-"", "", ""), """")"),"")</f>
        <v/>
      </c>
      <c r="L8208" s="12"/>
      <c r="M8208" s="13"/>
      <c r="N8208" s="2"/>
      <c r="O8208" s="20"/>
      <c r="P8208" s="42"/>
      <c r="R8208" s="23"/>
    </row>
    <row r="8209" spans="1:18" ht="12.75">
      <c r="A8209" s="12"/>
      <c r="D8209" s="12"/>
      <c r="E8209" s="12"/>
      <c r="H8209" s="11" t="str">
        <f ca="1">IFERROR(__xludf.DUMMYFUNCTION("IFERROR(SUBSTITUTE(SUBSTITUTE(REGEXEXTRACT(A8209, ""[^-]+- [^-]+- [^-]+ - (.+?)\.jpg""), "".jpg"", """"), ""-"", "", ""), """")"),"")</f>
        <v/>
      </c>
      <c r="L8209" s="12"/>
      <c r="M8209" s="13"/>
      <c r="N8209" s="2"/>
      <c r="O8209" s="20"/>
      <c r="P8209" s="42"/>
      <c r="R8209" s="23"/>
    </row>
    <row r="8210" spans="1:18" ht="12.75">
      <c r="A8210" s="12"/>
      <c r="D8210" s="12"/>
      <c r="E8210" s="12"/>
      <c r="H8210" s="11" t="str">
        <f ca="1">IFERROR(__xludf.DUMMYFUNCTION("IFERROR(SUBSTITUTE(SUBSTITUTE(REGEXEXTRACT(A8210, ""[^-]+- [^-]+- [^-]+ - (.+?)\.jpg""), "".jpg"", """"), ""-"", "", ""), """")"),"")</f>
        <v/>
      </c>
      <c r="L8210" s="12"/>
      <c r="M8210" s="13"/>
      <c r="N8210" s="2"/>
      <c r="O8210" s="20"/>
      <c r="P8210" s="42"/>
      <c r="R8210" s="23"/>
    </row>
    <row r="8211" spans="1:18" ht="12.75">
      <c r="A8211" s="12"/>
      <c r="D8211" s="12"/>
      <c r="E8211" s="12"/>
      <c r="H8211" s="11" t="str">
        <f ca="1">IFERROR(__xludf.DUMMYFUNCTION("IFERROR(SUBSTITUTE(SUBSTITUTE(REGEXEXTRACT(A8211, ""[^-]+- [^-]+- [^-]+ - (.+?)\.jpg""), "".jpg"", """"), ""-"", "", ""), """")"),"")</f>
        <v/>
      </c>
      <c r="L8211" s="12"/>
      <c r="M8211" s="13"/>
      <c r="N8211" s="2"/>
      <c r="O8211" s="20"/>
      <c r="P8211" s="42"/>
      <c r="R8211" s="23"/>
    </row>
    <row r="8212" spans="1:18" ht="12.75">
      <c r="A8212" s="12"/>
      <c r="D8212" s="12"/>
      <c r="E8212" s="12"/>
      <c r="H8212" s="11" t="str">
        <f ca="1">IFERROR(__xludf.DUMMYFUNCTION("IFERROR(SUBSTITUTE(SUBSTITUTE(REGEXEXTRACT(A8212, ""[^-]+- [^-]+- [^-]+ - (.+?)\.jpg""), "".jpg"", """"), ""-"", "", ""), """")"),"")</f>
        <v/>
      </c>
      <c r="L8212" s="12"/>
      <c r="M8212" s="13"/>
      <c r="N8212" s="2"/>
      <c r="O8212" s="20"/>
      <c r="P8212" s="42"/>
      <c r="R8212" s="23"/>
    </row>
    <row r="8213" spans="1:18" ht="12.75">
      <c r="A8213" s="12"/>
      <c r="D8213" s="12"/>
      <c r="E8213" s="12"/>
      <c r="H8213" s="11" t="str">
        <f ca="1">IFERROR(__xludf.DUMMYFUNCTION("IFERROR(SUBSTITUTE(SUBSTITUTE(REGEXEXTRACT(A8213, ""[^-]+- [^-]+- [^-]+ - (.+?)\.jpg""), "".jpg"", """"), ""-"", "", ""), """")"),"")</f>
        <v/>
      </c>
      <c r="L8213" s="12"/>
      <c r="M8213" s="13"/>
      <c r="N8213" s="2"/>
      <c r="O8213" s="20"/>
      <c r="P8213" s="42"/>
      <c r="R8213" s="23"/>
    </row>
    <row r="8214" spans="1:18" ht="12.75">
      <c r="A8214" s="12"/>
      <c r="D8214" s="12"/>
      <c r="E8214" s="12"/>
      <c r="H8214" s="11" t="str">
        <f ca="1">IFERROR(__xludf.DUMMYFUNCTION("IFERROR(SUBSTITUTE(SUBSTITUTE(REGEXEXTRACT(A8214, ""[^-]+- [^-]+- [^-]+ - (.+?)\.jpg""), "".jpg"", """"), ""-"", "", ""), """")"),"")</f>
        <v/>
      </c>
      <c r="L8214" s="12"/>
      <c r="M8214" s="13"/>
      <c r="N8214" s="2"/>
      <c r="O8214" s="20"/>
      <c r="P8214" s="42"/>
      <c r="R8214" s="23"/>
    </row>
    <row r="8215" spans="1:18" ht="12.75">
      <c r="A8215" s="12"/>
      <c r="D8215" s="12"/>
      <c r="E8215" s="12"/>
      <c r="H8215" s="11" t="str">
        <f ca="1">IFERROR(__xludf.DUMMYFUNCTION("IFERROR(SUBSTITUTE(SUBSTITUTE(REGEXEXTRACT(A8215, ""[^-]+- [^-]+- [^-]+ - (.+?)\.jpg""), "".jpg"", """"), ""-"", "", ""), """")"),"")</f>
        <v/>
      </c>
      <c r="L8215" s="12"/>
      <c r="M8215" s="13"/>
      <c r="N8215" s="2"/>
      <c r="O8215" s="20"/>
      <c r="P8215" s="42"/>
      <c r="R8215" s="23"/>
    </row>
    <row r="8216" spans="1:18" ht="12.75">
      <c r="A8216" s="12"/>
      <c r="D8216" s="12"/>
      <c r="E8216" s="12"/>
      <c r="H8216" s="11" t="str">
        <f ca="1">IFERROR(__xludf.DUMMYFUNCTION("IFERROR(SUBSTITUTE(SUBSTITUTE(REGEXEXTRACT(A8216, ""[^-]+- [^-]+- [^-]+ - (.+?)\.jpg""), "".jpg"", """"), ""-"", "", ""), """")"),"")</f>
        <v/>
      </c>
      <c r="L8216" s="12"/>
      <c r="M8216" s="13"/>
      <c r="N8216" s="2"/>
      <c r="O8216" s="20"/>
      <c r="P8216" s="42"/>
      <c r="R8216" s="23"/>
    </row>
    <row r="8217" spans="1:18" ht="12.75">
      <c r="A8217" s="12"/>
      <c r="D8217" s="12"/>
      <c r="E8217" s="12"/>
      <c r="H8217" s="11" t="str">
        <f ca="1">IFERROR(__xludf.DUMMYFUNCTION("IFERROR(SUBSTITUTE(SUBSTITUTE(REGEXEXTRACT(A8217, ""[^-]+- [^-]+- [^-]+ - (.+?)\.jpg""), "".jpg"", """"), ""-"", "", ""), """")"),"")</f>
        <v/>
      </c>
      <c r="L8217" s="12"/>
      <c r="M8217" s="13"/>
      <c r="N8217" s="2"/>
      <c r="O8217" s="20"/>
      <c r="P8217" s="42"/>
      <c r="R8217" s="23"/>
    </row>
    <row r="8218" spans="1:18" ht="12.75">
      <c r="A8218" s="12"/>
      <c r="D8218" s="12"/>
      <c r="E8218" s="12"/>
      <c r="H8218" s="11" t="str">
        <f ca="1">IFERROR(__xludf.DUMMYFUNCTION("IFERROR(SUBSTITUTE(SUBSTITUTE(REGEXEXTRACT(A8218, ""[^-]+- [^-]+- [^-]+ - (.+?)\.jpg""), "".jpg"", """"), ""-"", "", ""), """")"),"")</f>
        <v/>
      </c>
      <c r="L8218" s="12"/>
      <c r="M8218" s="13"/>
      <c r="N8218" s="2"/>
      <c r="O8218" s="20"/>
      <c r="P8218" s="42"/>
      <c r="R8218" s="23"/>
    </row>
    <row r="8219" spans="1:18" ht="12.75">
      <c r="A8219" s="12"/>
      <c r="D8219" s="12"/>
      <c r="E8219" s="12"/>
      <c r="H8219" s="11" t="str">
        <f ca="1">IFERROR(__xludf.DUMMYFUNCTION("IFERROR(SUBSTITUTE(SUBSTITUTE(REGEXEXTRACT(A8219, ""[^-]+- [^-]+- [^-]+ - (.+?)\.jpg""), "".jpg"", """"), ""-"", "", ""), """")"),"")</f>
        <v/>
      </c>
      <c r="L8219" s="12"/>
      <c r="M8219" s="13"/>
      <c r="N8219" s="2"/>
      <c r="O8219" s="20"/>
      <c r="P8219" s="42"/>
      <c r="R8219" s="23"/>
    </row>
    <row r="8220" spans="1:18" ht="12.75">
      <c r="A8220" s="12"/>
      <c r="D8220" s="12"/>
      <c r="E8220" s="12"/>
      <c r="H8220" s="11" t="str">
        <f ca="1">IFERROR(__xludf.DUMMYFUNCTION("IFERROR(SUBSTITUTE(SUBSTITUTE(REGEXEXTRACT(A8220, ""[^-]+- [^-]+- [^-]+ - (.+?)\.jpg""), "".jpg"", """"), ""-"", "", ""), """")"),"")</f>
        <v/>
      </c>
      <c r="L8220" s="12"/>
      <c r="M8220" s="13"/>
      <c r="N8220" s="2"/>
      <c r="O8220" s="20"/>
      <c r="P8220" s="42"/>
      <c r="R8220" s="23"/>
    </row>
    <row r="8221" spans="1:18" ht="12.75">
      <c r="A8221" s="12"/>
      <c r="D8221" s="12"/>
      <c r="E8221" s="12"/>
      <c r="H8221" s="11" t="str">
        <f ca="1">IFERROR(__xludf.DUMMYFUNCTION("IFERROR(SUBSTITUTE(SUBSTITUTE(REGEXEXTRACT(A8221, ""[^-]+- [^-]+- [^-]+ - (.+?)\.jpg""), "".jpg"", """"), ""-"", "", ""), """")"),"")</f>
        <v/>
      </c>
      <c r="L8221" s="12"/>
      <c r="M8221" s="13"/>
      <c r="N8221" s="2"/>
      <c r="O8221" s="20"/>
      <c r="P8221" s="42"/>
      <c r="R8221" s="23"/>
    </row>
    <row r="8222" spans="1:18" ht="12.75">
      <c r="A8222" s="12"/>
      <c r="D8222" s="12"/>
      <c r="E8222" s="12"/>
      <c r="H8222" s="11" t="str">
        <f ca="1">IFERROR(__xludf.DUMMYFUNCTION("IFERROR(SUBSTITUTE(SUBSTITUTE(REGEXEXTRACT(A8222, ""[^-]+- [^-]+- [^-]+ - (.+?)\.jpg""), "".jpg"", """"), ""-"", "", ""), """")"),"")</f>
        <v/>
      </c>
      <c r="L8222" s="12"/>
      <c r="M8222" s="13"/>
      <c r="N8222" s="2"/>
      <c r="O8222" s="20"/>
      <c r="P8222" s="42"/>
      <c r="R8222" s="23"/>
    </row>
    <row r="8223" spans="1:18" ht="12.75">
      <c r="A8223" s="12"/>
      <c r="D8223" s="12"/>
      <c r="E8223" s="12"/>
      <c r="H8223" s="11" t="str">
        <f ca="1">IFERROR(__xludf.DUMMYFUNCTION("IFERROR(SUBSTITUTE(SUBSTITUTE(REGEXEXTRACT(A8223, ""[^-]+- [^-]+- [^-]+ - (.+?)\.jpg""), "".jpg"", """"), ""-"", "", ""), """")"),"")</f>
        <v/>
      </c>
      <c r="L8223" s="12"/>
      <c r="M8223" s="13"/>
      <c r="N8223" s="2"/>
      <c r="O8223" s="20"/>
      <c r="P8223" s="42"/>
      <c r="R8223" s="23"/>
    </row>
    <row r="8224" spans="1:18" ht="12.75">
      <c r="A8224" s="12"/>
      <c r="D8224" s="12"/>
      <c r="E8224" s="12"/>
      <c r="H8224" s="11" t="str">
        <f ca="1">IFERROR(__xludf.DUMMYFUNCTION("IFERROR(SUBSTITUTE(SUBSTITUTE(REGEXEXTRACT(A8224, ""[^-]+- [^-]+- [^-]+ - (.+?)\.jpg""), "".jpg"", """"), ""-"", "", ""), """")"),"")</f>
        <v/>
      </c>
      <c r="L8224" s="12"/>
      <c r="M8224" s="13"/>
      <c r="N8224" s="2"/>
      <c r="O8224" s="20"/>
      <c r="P8224" s="42"/>
      <c r="R8224" s="23"/>
    </row>
    <row r="8225" spans="1:18" ht="12.75">
      <c r="A8225" s="12"/>
      <c r="D8225" s="12"/>
      <c r="E8225" s="12"/>
      <c r="H8225" s="11" t="str">
        <f ca="1">IFERROR(__xludf.DUMMYFUNCTION("IFERROR(SUBSTITUTE(SUBSTITUTE(REGEXEXTRACT(A8225, ""[^-]+- [^-]+- [^-]+ - (.+?)\.jpg""), "".jpg"", """"), ""-"", "", ""), """")"),"")</f>
        <v/>
      </c>
      <c r="L8225" s="12"/>
      <c r="M8225" s="13"/>
      <c r="N8225" s="2"/>
      <c r="O8225" s="20"/>
      <c r="P8225" s="42"/>
      <c r="R8225" s="23"/>
    </row>
    <row r="8226" spans="1:18" ht="12.75">
      <c r="A8226" s="12"/>
      <c r="D8226" s="12"/>
      <c r="E8226" s="12"/>
      <c r="H8226" s="11" t="str">
        <f ca="1">IFERROR(__xludf.DUMMYFUNCTION("IFERROR(SUBSTITUTE(SUBSTITUTE(REGEXEXTRACT(A8226, ""[^-]+- [^-]+- [^-]+ - (.+?)\.jpg""), "".jpg"", """"), ""-"", "", ""), """")"),"")</f>
        <v/>
      </c>
      <c r="L8226" s="12"/>
      <c r="M8226" s="13"/>
      <c r="N8226" s="2"/>
      <c r="O8226" s="20"/>
      <c r="P8226" s="42"/>
      <c r="R8226" s="23"/>
    </row>
    <row r="8227" spans="1:18" ht="12.75">
      <c r="A8227" s="12"/>
      <c r="D8227" s="12"/>
      <c r="E8227" s="12"/>
      <c r="H8227" s="11" t="str">
        <f ca="1">IFERROR(__xludf.DUMMYFUNCTION("IFERROR(SUBSTITUTE(SUBSTITUTE(REGEXEXTRACT(A8227, ""[^-]+- [^-]+- [^-]+ - (.+?)\.jpg""), "".jpg"", """"), ""-"", "", ""), """")"),"")</f>
        <v/>
      </c>
      <c r="L8227" s="12"/>
      <c r="M8227" s="13"/>
      <c r="N8227" s="2"/>
      <c r="O8227" s="20"/>
      <c r="P8227" s="42"/>
      <c r="R8227" s="23"/>
    </row>
    <row r="8228" spans="1:18" ht="12.75">
      <c r="A8228" s="12"/>
      <c r="D8228" s="12"/>
      <c r="E8228" s="12"/>
      <c r="H8228" s="11" t="str">
        <f ca="1">IFERROR(__xludf.DUMMYFUNCTION("IFERROR(SUBSTITUTE(SUBSTITUTE(REGEXEXTRACT(A8228, ""[^-]+- [^-]+- [^-]+ - (.+?)\.jpg""), "".jpg"", """"), ""-"", "", ""), """")"),"")</f>
        <v/>
      </c>
      <c r="L8228" s="12"/>
      <c r="M8228" s="13"/>
      <c r="N8228" s="2"/>
      <c r="O8228" s="20"/>
      <c r="P8228" s="42"/>
      <c r="R8228" s="23"/>
    </row>
    <row r="8229" spans="1:18" ht="12.75">
      <c r="A8229" s="12"/>
      <c r="D8229" s="12"/>
      <c r="E8229" s="12"/>
      <c r="H8229" s="11" t="str">
        <f ca="1">IFERROR(__xludf.DUMMYFUNCTION("IFERROR(SUBSTITUTE(SUBSTITUTE(REGEXEXTRACT(A8229, ""[^-]+- [^-]+- [^-]+ - (.+?)\.jpg""), "".jpg"", """"), ""-"", "", ""), """")"),"")</f>
        <v/>
      </c>
      <c r="L8229" s="12"/>
      <c r="M8229" s="13"/>
      <c r="N8229" s="2"/>
      <c r="O8229" s="20"/>
      <c r="P8229" s="42"/>
      <c r="R8229" s="23"/>
    </row>
    <row r="8230" spans="1:18" ht="12.75">
      <c r="A8230" s="12"/>
      <c r="D8230" s="12"/>
      <c r="E8230" s="12"/>
      <c r="H8230" s="11" t="str">
        <f ca="1">IFERROR(__xludf.DUMMYFUNCTION("IFERROR(SUBSTITUTE(SUBSTITUTE(REGEXEXTRACT(A8230, ""[^-]+- [^-]+- [^-]+ - (.+?)\.jpg""), "".jpg"", """"), ""-"", "", ""), """")"),"")</f>
        <v/>
      </c>
      <c r="L8230" s="12"/>
      <c r="M8230" s="13"/>
      <c r="N8230" s="2"/>
      <c r="O8230" s="20"/>
      <c r="P8230" s="42"/>
      <c r="R8230" s="23"/>
    </row>
    <row r="8231" spans="1:18" ht="12.75">
      <c r="A8231" s="12"/>
      <c r="D8231" s="12"/>
      <c r="E8231" s="12"/>
      <c r="H8231" s="11" t="str">
        <f ca="1">IFERROR(__xludf.DUMMYFUNCTION("IFERROR(SUBSTITUTE(SUBSTITUTE(REGEXEXTRACT(A8231, ""[^-]+- [^-]+- [^-]+ - (.+?)\.jpg""), "".jpg"", """"), ""-"", "", ""), """")"),"")</f>
        <v/>
      </c>
      <c r="L8231" s="12"/>
      <c r="M8231" s="13"/>
      <c r="N8231" s="2"/>
      <c r="O8231" s="20"/>
      <c r="P8231" s="42"/>
      <c r="R8231" s="23"/>
    </row>
    <row r="8232" spans="1:18" ht="12.75">
      <c r="A8232" s="12"/>
      <c r="D8232" s="12"/>
      <c r="E8232" s="12"/>
      <c r="H8232" s="11" t="str">
        <f ca="1">IFERROR(__xludf.DUMMYFUNCTION("IFERROR(SUBSTITUTE(SUBSTITUTE(REGEXEXTRACT(A8232, ""[^-]+- [^-]+- [^-]+ - (.+?)\.jpg""), "".jpg"", """"), ""-"", "", ""), """")"),"")</f>
        <v/>
      </c>
      <c r="L8232" s="12"/>
      <c r="M8232" s="13"/>
      <c r="N8232" s="2"/>
      <c r="O8232" s="20"/>
      <c r="P8232" s="42"/>
      <c r="R8232" s="23"/>
    </row>
    <row r="8233" spans="1:18" ht="12.75">
      <c r="A8233" s="12"/>
      <c r="D8233" s="12"/>
      <c r="E8233" s="12"/>
      <c r="H8233" s="11" t="str">
        <f ca="1">IFERROR(__xludf.DUMMYFUNCTION("IFERROR(SUBSTITUTE(SUBSTITUTE(REGEXEXTRACT(A8233, ""[^-]+- [^-]+- [^-]+ - (.+?)\.jpg""), "".jpg"", """"), ""-"", "", ""), """")"),"")</f>
        <v/>
      </c>
      <c r="L8233" s="12"/>
      <c r="M8233" s="13"/>
      <c r="N8233" s="2"/>
      <c r="O8233" s="20"/>
      <c r="P8233" s="42"/>
      <c r="R8233" s="23"/>
    </row>
    <row r="8234" spans="1:18" ht="12.75">
      <c r="A8234" s="12"/>
      <c r="D8234" s="12"/>
      <c r="E8234" s="12"/>
      <c r="H8234" s="11" t="str">
        <f ca="1">IFERROR(__xludf.DUMMYFUNCTION("IFERROR(SUBSTITUTE(SUBSTITUTE(REGEXEXTRACT(A8234, ""[^-]+- [^-]+- [^-]+ - (.+?)\.jpg""), "".jpg"", """"), ""-"", "", ""), """")"),"")</f>
        <v/>
      </c>
      <c r="L8234" s="12"/>
      <c r="M8234" s="13"/>
      <c r="N8234" s="2"/>
      <c r="O8234" s="20"/>
      <c r="P8234" s="42"/>
      <c r="R8234" s="23"/>
    </row>
    <row r="8235" spans="1:18" ht="12.75">
      <c r="A8235" s="12"/>
      <c r="D8235" s="12"/>
      <c r="E8235" s="12"/>
      <c r="H8235" s="11" t="str">
        <f ca="1">IFERROR(__xludf.DUMMYFUNCTION("IFERROR(SUBSTITUTE(SUBSTITUTE(REGEXEXTRACT(A8235, ""[^-]+- [^-]+- [^-]+ - (.+?)\.jpg""), "".jpg"", """"), ""-"", "", ""), """")"),"")</f>
        <v/>
      </c>
      <c r="L8235" s="12"/>
      <c r="M8235" s="13"/>
      <c r="N8235" s="2"/>
      <c r="O8235" s="20"/>
      <c r="P8235" s="42"/>
      <c r="R8235" s="23"/>
    </row>
    <row r="8236" spans="1:18" ht="12.75">
      <c r="A8236" s="12"/>
      <c r="D8236" s="12"/>
      <c r="E8236" s="12"/>
      <c r="H8236" s="11" t="str">
        <f ca="1">IFERROR(__xludf.DUMMYFUNCTION("IFERROR(SUBSTITUTE(SUBSTITUTE(REGEXEXTRACT(A8236, ""[^-]+- [^-]+- [^-]+ - (.+?)\.jpg""), "".jpg"", """"), ""-"", "", ""), """")"),"")</f>
        <v/>
      </c>
      <c r="L8236" s="12"/>
      <c r="M8236" s="13"/>
      <c r="N8236" s="2"/>
      <c r="O8236" s="20"/>
      <c r="P8236" s="42"/>
      <c r="R8236" s="23"/>
    </row>
    <row r="8237" spans="1:18" ht="12.75">
      <c r="A8237" s="12"/>
      <c r="D8237" s="12"/>
      <c r="E8237" s="12"/>
      <c r="H8237" s="11" t="str">
        <f ca="1">IFERROR(__xludf.DUMMYFUNCTION("IFERROR(SUBSTITUTE(SUBSTITUTE(REGEXEXTRACT(A8237, ""[^-]+- [^-]+- [^-]+ - (.+?)\.jpg""), "".jpg"", """"), ""-"", "", ""), """")"),"")</f>
        <v/>
      </c>
      <c r="L8237" s="12"/>
      <c r="M8237" s="13"/>
      <c r="N8237" s="2"/>
      <c r="O8237" s="20"/>
      <c r="P8237" s="42"/>
      <c r="R8237" s="23"/>
    </row>
    <row r="8238" spans="1:18" ht="12.75">
      <c r="A8238" s="12"/>
      <c r="D8238" s="12"/>
      <c r="E8238" s="12"/>
      <c r="H8238" s="11" t="str">
        <f ca="1">IFERROR(__xludf.DUMMYFUNCTION("IFERROR(SUBSTITUTE(SUBSTITUTE(REGEXEXTRACT(A8238, ""[^-]+- [^-]+- [^-]+ - (.+?)\.jpg""), "".jpg"", """"), ""-"", "", ""), """")"),"")</f>
        <v/>
      </c>
      <c r="L8238" s="12"/>
      <c r="M8238" s="13"/>
      <c r="N8238" s="2"/>
      <c r="O8238" s="20"/>
      <c r="P8238" s="42"/>
      <c r="R8238" s="23"/>
    </row>
    <row r="8239" spans="1:18" ht="12.75">
      <c r="A8239" s="12"/>
      <c r="D8239" s="12"/>
      <c r="E8239" s="12"/>
      <c r="H8239" s="11" t="str">
        <f ca="1">IFERROR(__xludf.DUMMYFUNCTION("IFERROR(SUBSTITUTE(SUBSTITUTE(REGEXEXTRACT(A8239, ""[^-]+- [^-]+- [^-]+ - (.+?)\.jpg""), "".jpg"", """"), ""-"", "", ""), """")"),"")</f>
        <v/>
      </c>
      <c r="L8239" s="12"/>
      <c r="M8239" s="13"/>
      <c r="N8239" s="2"/>
      <c r="O8239" s="20"/>
      <c r="P8239" s="42"/>
      <c r="R8239" s="23"/>
    </row>
    <row r="8240" spans="1:18" ht="12.75">
      <c r="A8240" s="12"/>
      <c r="D8240" s="12"/>
      <c r="E8240" s="12"/>
      <c r="H8240" s="11" t="str">
        <f ca="1">IFERROR(__xludf.DUMMYFUNCTION("IFERROR(SUBSTITUTE(SUBSTITUTE(REGEXEXTRACT(A8240, ""[^-]+- [^-]+- [^-]+ - (.+?)\.jpg""), "".jpg"", """"), ""-"", "", ""), """")"),"")</f>
        <v/>
      </c>
      <c r="L8240" s="12"/>
      <c r="M8240" s="13"/>
      <c r="N8240" s="2"/>
      <c r="O8240" s="20"/>
      <c r="P8240" s="42"/>
      <c r="R8240" s="23"/>
    </row>
    <row r="8241" spans="1:18" ht="12.75">
      <c r="A8241" s="12"/>
      <c r="D8241" s="12"/>
      <c r="E8241" s="12"/>
      <c r="H8241" s="11" t="str">
        <f ca="1">IFERROR(__xludf.DUMMYFUNCTION("IFERROR(SUBSTITUTE(SUBSTITUTE(REGEXEXTRACT(A8241, ""[^-]+- [^-]+- [^-]+ - (.+?)\.jpg""), "".jpg"", """"), ""-"", "", ""), """")"),"")</f>
        <v/>
      </c>
      <c r="L8241" s="12"/>
      <c r="M8241" s="13"/>
      <c r="N8241" s="2"/>
      <c r="O8241" s="20"/>
      <c r="P8241" s="42"/>
      <c r="R8241" s="23"/>
    </row>
    <row r="8242" spans="1:18" ht="12.75">
      <c r="A8242" s="12"/>
      <c r="D8242" s="12"/>
      <c r="E8242" s="12"/>
      <c r="H8242" s="11" t="str">
        <f ca="1">IFERROR(__xludf.DUMMYFUNCTION("IFERROR(SUBSTITUTE(SUBSTITUTE(REGEXEXTRACT(A8242, ""[^-]+- [^-]+- [^-]+ - (.+?)\.jpg""), "".jpg"", """"), ""-"", "", ""), """")"),"")</f>
        <v/>
      </c>
      <c r="L8242" s="12"/>
      <c r="M8242" s="13"/>
      <c r="N8242" s="2"/>
      <c r="O8242" s="20"/>
      <c r="P8242" s="42"/>
      <c r="R8242" s="23"/>
    </row>
    <row r="8243" spans="1:18" ht="12.75">
      <c r="A8243" s="12"/>
      <c r="D8243" s="12"/>
      <c r="E8243" s="12"/>
      <c r="H8243" s="11" t="str">
        <f ca="1">IFERROR(__xludf.DUMMYFUNCTION("IFERROR(SUBSTITUTE(SUBSTITUTE(REGEXEXTRACT(A8243, ""[^-]+- [^-]+- [^-]+ - (.+?)\.jpg""), "".jpg"", """"), ""-"", "", ""), """")"),"")</f>
        <v/>
      </c>
      <c r="L8243" s="12"/>
      <c r="M8243" s="13"/>
      <c r="N8243" s="2"/>
      <c r="O8243" s="20"/>
      <c r="P8243" s="42"/>
      <c r="R8243" s="23"/>
    </row>
    <row r="8244" spans="1:18" ht="12.75">
      <c r="A8244" s="12"/>
      <c r="D8244" s="12"/>
      <c r="E8244" s="12"/>
      <c r="H8244" s="11" t="str">
        <f ca="1">IFERROR(__xludf.DUMMYFUNCTION("IFERROR(SUBSTITUTE(SUBSTITUTE(REGEXEXTRACT(A8244, ""[^-]+- [^-]+- [^-]+ - (.+?)\.jpg""), "".jpg"", """"), ""-"", "", ""), """")"),"")</f>
        <v/>
      </c>
      <c r="L8244" s="12"/>
      <c r="M8244" s="13"/>
      <c r="N8244" s="2"/>
      <c r="O8244" s="20"/>
      <c r="P8244" s="42"/>
      <c r="R8244" s="23"/>
    </row>
    <row r="8245" spans="1:18" ht="12.75">
      <c r="A8245" s="12"/>
      <c r="D8245" s="12"/>
      <c r="E8245" s="12"/>
      <c r="H8245" s="11" t="str">
        <f ca="1">IFERROR(__xludf.DUMMYFUNCTION("IFERROR(SUBSTITUTE(SUBSTITUTE(REGEXEXTRACT(A8245, ""[^-]+- [^-]+- [^-]+ - (.+?)\.jpg""), "".jpg"", """"), ""-"", "", ""), """")"),"")</f>
        <v/>
      </c>
      <c r="L8245" s="12"/>
      <c r="M8245" s="13"/>
      <c r="N8245" s="2"/>
      <c r="O8245" s="20"/>
      <c r="P8245" s="42"/>
      <c r="R8245" s="23"/>
    </row>
    <row r="8246" spans="1:18" ht="12.75">
      <c r="A8246" s="12"/>
      <c r="D8246" s="12"/>
      <c r="E8246" s="12"/>
      <c r="H8246" s="11" t="str">
        <f ca="1">IFERROR(__xludf.DUMMYFUNCTION("IFERROR(SUBSTITUTE(SUBSTITUTE(REGEXEXTRACT(A8246, ""[^-]+- [^-]+- [^-]+ - (.+?)\.jpg""), "".jpg"", """"), ""-"", "", ""), """")"),"")</f>
        <v/>
      </c>
      <c r="L8246" s="12"/>
      <c r="M8246" s="13"/>
      <c r="N8246" s="2"/>
      <c r="O8246" s="20"/>
      <c r="P8246" s="42"/>
      <c r="R8246" s="23"/>
    </row>
    <row r="8247" spans="1:18" ht="12.75">
      <c r="A8247" s="12"/>
      <c r="D8247" s="12"/>
      <c r="E8247" s="12"/>
      <c r="H8247" s="11" t="str">
        <f ca="1">IFERROR(__xludf.DUMMYFUNCTION("IFERROR(SUBSTITUTE(SUBSTITUTE(REGEXEXTRACT(A8247, ""[^-]+- [^-]+- [^-]+ - (.+?)\.jpg""), "".jpg"", """"), ""-"", "", ""), """")"),"")</f>
        <v/>
      </c>
      <c r="L8247" s="12"/>
      <c r="M8247" s="13"/>
      <c r="N8247" s="2"/>
      <c r="O8247" s="20"/>
      <c r="P8247" s="42"/>
      <c r="R8247" s="23"/>
    </row>
    <row r="8248" spans="1:18" ht="12.75">
      <c r="A8248" s="12"/>
      <c r="D8248" s="12"/>
      <c r="E8248" s="12"/>
      <c r="H8248" s="11" t="str">
        <f ca="1">IFERROR(__xludf.DUMMYFUNCTION("IFERROR(SUBSTITUTE(SUBSTITUTE(REGEXEXTRACT(A8248, ""[^-]+- [^-]+- [^-]+ - (.+?)\.jpg""), "".jpg"", """"), ""-"", "", ""), """")"),"")</f>
        <v/>
      </c>
      <c r="L8248" s="12"/>
      <c r="M8248" s="13"/>
      <c r="N8248" s="2"/>
      <c r="O8248" s="20"/>
      <c r="P8248" s="42"/>
      <c r="R8248" s="23"/>
    </row>
    <row r="8249" spans="1:18" ht="12.75">
      <c r="A8249" s="12"/>
      <c r="D8249" s="12"/>
      <c r="E8249" s="12"/>
      <c r="H8249" s="11" t="str">
        <f ca="1">IFERROR(__xludf.DUMMYFUNCTION("IFERROR(SUBSTITUTE(SUBSTITUTE(REGEXEXTRACT(A8249, ""[^-]+- [^-]+- [^-]+ - (.+?)\.jpg""), "".jpg"", """"), ""-"", "", ""), """")"),"")</f>
        <v/>
      </c>
      <c r="L8249" s="12"/>
      <c r="M8249" s="13"/>
      <c r="N8249" s="2"/>
      <c r="O8249" s="20"/>
      <c r="P8249" s="42"/>
      <c r="R8249" s="23"/>
    </row>
    <row r="8250" spans="1:18" ht="12.75">
      <c r="A8250" s="12"/>
      <c r="D8250" s="12"/>
      <c r="E8250" s="12"/>
      <c r="H8250" s="11" t="str">
        <f ca="1">IFERROR(__xludf.DUMMYFUNCTION("IFERROR(SUBSTITUTE(SUBSTITUTE(REGEXEXTRACT(A8250, ""[^-]+- [^-]+- [^-]+ - (.+?)\.jpg""), "".jpg"", """"), ""-"", "", ""), """")"),"")</f>
        <v/>
      </c>
      <c r="L8250" s="12"/>
      <c r="M8250" s="13"/>
      <c r="N8250" s="2"/>
      <c r="O8250" s="20"/>
      <c r="P8250" s="42"/>
      <c r="R8250" s="23"/>
    </row>
    <row r="8251" spans="1:18" ht="12.75">
      <c r="A8251" s="12"/>
      <c r="D8251" s="12"/>
      <c r="E8251" s="12"/>
      <c r="H8251" s="11" t="str">
        <f ca="1">IFERROR(__xludf.DUMMYFUNCTION("IFERROR(SUBSTITUTE(SUBSTITUTE(REGEXEXTRACT(A8251, ""[^-]+- [^-]+- [^-]+ - (.+?)\.jpg""), "".jpg"", """"), ""-"", "", ""), """")"),"")</f>
        <v/>
      </c>
      <c r="L8251" s="12"/>
      <c r="M8251" s="13"/>
      <c r="N8251" s="2"/>
      <c r="O8251" s="20"/>
      <c r="P8251" s="42"/>
      <c r="R8251" s="23"/>
    </row>
    <row r="8252" spans="1:18" ht="12.75">
      <c r="A8252" s="12"/>
      <c r="D8252" s="12"/>
      <c r="E8252" s="12"/>
      <c r="H8252" s="11" t="str">
        <f ca="1">IFERROR(__xludf.DUMMYFUNCTION("IFERROR(SUBSTITUTE(SUBSTITUTE(REGEXEXTRACT(A8252, ""[^-]+- [^-]+- [^-]+ - (.+?)\.jpg""), "".jpg"", """"), ""-"", "", ""), """")"),"")</f>
        <v/>
      </c>
      <c r="L8252" s="12"/>
      <c r="M8252" s="13"/>
      <c r="N8252" s="2"/>
      <c r="O8252" s="20"/>
      <c r="P8252" s="42"/>
      <c r="R8252" s="23"/>
    </row>
    <row r="8253" spans="1:18" ht="12.75">
      <c r="A8253" s="12"/>
      <c r="D8253" s="12"/>
      <c r="E8253" s="12"/>
      <c r="H8253" s="11" t="str">
        <f ca="1">IFERROR(__xludf.DUMMYFUNCTION("IFERROR(SUBSTITUTE(SUBSTITUTE(REGEXEXTRACT(A8253, ""[^-]+- [^-]+- [^-]+ - (.+?)\.jpg""), "".jpg"", """"), ""-"", "", ""), """")"),"")</f>
        <v/>
      </c>
      <c r="L8253" s="12"/>
      <c r="M8253" s="13"/>
      <c r="N8253" s="2"/>
      <c r="O8253" s="20"/>
      <c r="P8253" s="42"/>
      <c r="R8253" s="23"/>
    </row>
    <row r="8254" spans="1:18" ht="12.75">
      <c r="A8254" s="12"/>
      <c r="D8254" s="12"/>
      <c r="E8254" s="12"/>
      <c r="H8254" s="11" t="str">
        <f ca="1">IFERROR(__xludf.DUMMYFUNCTION("IFERROR(SUBSTITUTE(SUBSTITUTE(REGEXEXTRACT(A8254, ""[^-]+- [^-]+- [^-]+ - (.+?)\.jpg""), "".jpg"", """"), ""-"", "", ""), """")"),"")</f>
        <v/>
      </c>
      <c r="L8254" s="12"/>
      <c r="M8254" s="13"/>
      <c r="N8254" s="2"/>
      <c r="O8254" s="20"/>
      <c r="P8254" s="42"/>
      <c r="R8254" s="23"/>
    </row>
    <row r="8255" spans="1:18" ht="12.75">
      <c r="A8255" s="12"/>
      <c r="D8255" s="12"/>
      <c r="E8255" s="12"/>
      <c r="H8255" s="11" t="str">
        <f ca="1">IFERROR(__xludf.DUMMYFUNCTION("IFERROR(SUBSTITUTE(SUBSTITUTE(REGEXEXTRACT(A8255, ""[^-]+- [^-]+- [^-]+ - (.+?)\.jpg""), "".jpg"", """"), ""-"", "", ""), """")"),"")</f>
        <v/>
      </c>
      <c r="L8255" s="12"/>
      <c r="M8255" s="13"/>
      <c r="N8255" s="2"/>
      <c r="O8255" s="20"/>
      <c r="P8255" s="42"/>
      <c r="R8255" s="23"/>
    </row>
    <row r="8256" spans="1:18" ht="12.75">
      <c r="A8256" s="12"/>
      <c r="D8256" s="12"/>
      <c r="E8256" s="12"/>
      <c r="H8256" s="11" t="str">
        <f ca="1">IFERROR(__xludf.DUMMYFUNCTION("IFERROR(SUBSTITUTE(SUBSTITUTE(REGEXEXTRACT(A8256, ""[^-]+- [^-]+- [^-]+ - (.+?)\.jpg""), "".jpg"", """"), ""-"", "", ""), """")"),"")</f>
        <v/>
      </c>
      <c r="L8256" s="12"/>
      <c r="M8256" s="13"/>
      <c r="N8256" s="2"/>
      <c r="O8256" s="20"/>
      <c r="P8256" s="42"/>
      <c r="R8256" s="23"/>
    </row>
    <row r="8257" spans="1:18" ht="12.75">
      <c r="A8257" s="12"/>
      <c r="D8257" s="12"/>
      <c r="E8257" s="12"/>
      <c r="H8257" s="11" t="str">
        <f ca="1">IFERROR(__xludf.DUMMYFUNCTION("IFERROR(SUBSTITUTE(SUBSTITUTE(REGEXEXTRACT(A8257, ""[^-]+- [^-]+- [^-]+ - (.+?)\.jpg""), "".jpg"", """"), ""-"", "", ""), """")"),"")</f>
        <v/>
      </c>
      <c r="L8257" s="12"/>
      <c r="M8257" s="13"/>
      <c r="N8257" s="2"/>
      <c r="O8257" s="20"/>
      <c r="P8257" s="42"/>
      <c r="R8257" s="23"/>
    </row>
    <row r="8258" spans="1:18" ht="12.75">
      <c r="A8258" s="12"/>
      <c r="D8258" s="12"/>
      <c r="E8258" s="12"/>
      <c r="H8258" s="11" t="str">
        <f ca="1">IFERROR(__xludf.DUMMYFUNCTION("IFERROR(SUBSTITUTE(SUBSTITUTE(REGEXEXTRACT(A8258, ""[^-]+- [^-]+- [^-]+ - (.+?)\.jpg""), "".jpg"", """"), ""-"", "", ""), """")"),"")</f>
        <v/>
      </c>
      <c r="L8258" s="12"/>
      <c r="M8258" s="13"/>
      <c r="N8258" s="2"/>
      <c r="O8258" s="20"/>
      <c r="P8258" s="42"/>
      <c r="R8258" s="23"/>
    </row>
    <row r="8259" spans="1:18" ht="12.75">
      <c r="A8259" s="12"/>
      <c r="D8259" s="12"/>
      <c r="E8259" s="12"/>
      <c r="H8259" s="11" t="str">
        <f ca="1">IFERROR(__xludf.DUMMYFUNCTION("IFERROR(SUBSTITUTE(SUBSTITUTE(REGEXEXTRACT(A8259, ""[^-]+- [^-]+- [^-]+ - (.+?)\.jpg""), "".jpg"", """"), ""-"", "", ""), """")"),"")</f>
        <v/>
      </c>
      <c r="L8259" s="12"/>
      <c r="M8259" s="13"/>
      <c r="N8259" s="2"/>
      <c r="O8259" s="20"/>
      <c r="P8259" s="42"/>
      <c r="R8259" s="23"/>
    </row>
    <row r="8260" spans="1:18" ht="12.75">
      <c r="A8260" s="12"/>
      <c r="D8260" s="12"/>
      <c r="E8260" s="12"/>
      <c r="H8260" s="11" t="str">
        <f ca="1">IFERROR(__xludf.DUMMYFUNCTION("IFERROR(SUBSTITUTE(SUBSTITUTE(REGEXEXTRACT(A8260, ""[^-]+- [^-]+- [^-]+ - (.+?)\.jpg""), "".jpg"", """"), ""-"", "", ""), """")"),"")</f>
        <v/>
      </c>
      <c r="L8260" s="12"/>
      <c r="M8260" s="13"/>
      <c r="N8260" s="2"/>
      <c r="O8260" s="20"/>
      <c r="P8260" s="42"/>
      <c r="R8260" s="23"/>
    </row>
    <row r="8261" spans="1:18" ht="12.75">
      <c r="A8261" s="12"/>
      <c r="D8261" s="12"/>
      <c r="E8261" s="12"/>
      <c r="H8261" s="11" t="str">
        <f ca="1">IFERROR(__xludf.DUMMYFUNCTION("IFERROR(SUBSTITUTE(SUBSTITUTE(REGEXEXTRACT(A8261, ""[^-]+- [^-]+- [^-]+ - (.+?)\.jpg""), "".jpg"", """"), ""-"", "", ""), """")"),"")</f>
        <v/>
      </c>
      <c r="L8261" s="12"/>
      <c r="M8261" s="13"/>
      <c r="N8261" s="2"/>
      <c r="O8261" s="20"/>
      <c r="P8261" s="42"/>
      <c r="R8261" s="23"/>
    </row>
    <row r="8262" spans="1:18" ht="12.75">
      <c r="A8262" s="12"/>
      <c r="D8262" s="12"/>
      <c r="E8262" s="12"/>
      <c r="H8262" s="11" t="str">
        <f ca="1">IFERROR(__xludf.DUMMYFUNCTION("IFERROR(SUBSTITUTE(SUBSTITUTE(REGEXEXTRACT(A8262, ""[^-]+- [^-]+- [^-]+ - (.+?)\.jpg""), "".jpg"", """"), ""-"", "", ""), """")"),"")</f>
        <v/>
      </c>
      <c r="L8262" s="12"/>
      <c r="M8262" s="13"/>
      <c r="N8262" s="2"/>
      <c r="O8262" s="20"/>
      <c r="P8262" s="42"/>
      <c r="R8262" s="23"/>
    </row>
    <row r="8263" spans="1:18" ht="12.75">
      <c r="A8263" s="12"/>
      <c r="D8263" s="12"/>
      <c r="E8263" s="12"/>
      <c r="H8263" s="11" t="str">
        <f ca="1">IFERROR(__xludf.DUMMYFUNCTION("IFERROR(SUBSTITUTE(SUBSTITUTE(REGEXEXTRACT(A8263, ""[^-]+- [^-]+- [^-]+ - (.+?)\.jpg""), "".jpg"", """"), ""-"", "", ""), """")"),"")</f>
        <v/>
      </c>
      <c r="L8263" s="12"/>
      <c r="M8263" s="13"/>
      <c r="N8263" s="2"/>
      <c r="O8263" s="20"/>
      <c r="P8263" s="42"/>
      <c r="R8263" s="23"/>
    </row>
    <row r="8264" spans="1:18" ht="12.75">
      <c r="A8264" s="12"/>
      <c r="D8264" s="12"/>
      <c r="E8264" s="12"/>
      <c r="H8264" s="11" t="str">
        <f ca="1">IFERROR(__xludf.DUMMYFUNCTION("IFERROR(SUBSTITUTE(SUBSTITUTE(REGEXEXTRACT(A8264, ""[^-]+- [^-]+- [^-]+ - (.+?)\.jpg""), "".jpg"", """"), ""-"", "", ""), """")"),"")</f>
        <v/>
      </c>
      <c r="L8264" s="12"/>
      <c r="M8264" s="13"/>
      <c r="N8264" s="2"/>
      <c r="O8264" s="20"/>
      <c r="P8264" s="42"/>
      <c r="R8264" s="23"/>
    </row>
    <row r="8265" spans="1:18" ht="12.75">
      <c r="A8265" s="12"/>
      <c r="D8265" s="12"/>
      <c r="E8265" s="12"/>
      <c r="H8265" s="11" t="str">
        <f ca="1">IFERROR(__xludf.DUMMYFUNCTION("IFERROR(SUBSTITUTE(SUBSTITUTE(REGEXEXTRACT(A8265, ""[^-]+- [^-]+- [^-]+ - (.+?)\.jpg""), "".jpg"", """"), ""-"", "", ""), """")"),"")</f>
        <v/>
      </c>
      <c r="L8265" s="12"/>
      <c r="M8265" s="13"/>
      <c r="N8265" s="2"/>
      <c r="O8265" s="20"/>
      <c r="P8265" s="42"/>
      <c r="R8265" s="23"/>
    </row>
    <row r="8266" spans="1:18" ht="12.75">
      <c r="A8266" s="12"/>
      <c r="D8266" s="12"/>
      <c r="E8266" s="12"/>
      <c r="H8266" s="11" t="str">
        <f ca="1">IFERROR(__xludf.DUMMYFUNCTION("IFERROR(SUBSTITUTE(SUBSTITUTE(REGEXEXTRACT(A8266, ""[^-]+- [^-]+- [^-]+ - (.+?)\.jpg""), "".jpg"", """"), ""-"", "", ""), """")"),"")</f>
        <v/>
      </c>
      <c r="L8266" s="12"/>
      <c r="M8266" s="13"/>
      <c r="N8266" s="2"/>
      <c r="O8266" s="20"/>
      <c r="P8266" s="42"/>
      <c r="R8266" s="23"/>
    </row>
    <row r="8267" spans="1:18" ht="12.75">
      <c r="A8267" s="12"/>
      <c r="D8267" s="12"/>
      <c r="E8267" s="12"/>
      <c r="H8267" s="11" t="str">
        <f ca="1">IFERROR(__xludf.DUMMYFUNCTION("IFERROR(SUBSTITUTE(SUBSTITUTE(REGEXEXTRACT(A8267, ""[^-]+- [^-]+- [^-]+ - (.+?)\.jpg""), "".jpg"", """"), ""-"", "", ""), """")"),"")</f>
        <v/>
      </c>
      <c r="L8267" s="12"/>
      <c r="M8267" s="13"/>
      <c r="N8267" s="2"/>
      <c r="O8267" s="20"/>
      <c r="P8267" s="42"/>
      <c r="R8267" s="23"/>
    </row>
    <row r="8268" spans="1:18" ht="12.75">
      <c r="A8268" s="12"/>
      <c r="D8268" s="12"/>
      <c r="E8268" s="12"/>
      <c r="H8268" s="11" t="str">
        <f ca="1">IFERROR(__xludf.DUMMYFUNCTION("IFERROR(SUBSTITUTE(SUBSTITUTE(REGEXEXTRACT(A8268, ""[^-]+- [^-]+- [^-]+ - (.+?)\.jpg""), "".jpg"", """"), ""-"", "", ""), """")"),"")</f>
        <v/>
      </c>
      <c r="L8268" s="12"/>
      <c r="M8268" s="13"/>
      <c r="N8268" s="2"/>
      <c r="O8268" s="20"/>
      <c r="P8268" s="42"/>
      <c r="R8268" s="23"/>
    </row>
    <row r="8269" spans="1:18" ht="12.75">
      <c r="A8269" s="12"/>
      <c r="D8269" s="12"/>
      <c r="E8269" s="12"/>
      <c r="H8269" s="11" t="str">
        <f ca="1">IFERROR(__xludf.DUMMYFUNCTION("IFERROR(SUBSTITUTE(SUBSTITUTE(REGEXEXTRACT(A8269, ""[^-]+- [^-]+- [^-]+ - (.+?)\.jpg""), "".jpg"", """"), ""-"", "", ""), """")"),"")</f>
        <v/>
      </c>
      <c r="L8269" s="12"/>
      <c r="M8269" s="13"/>
      <c r="N8269" s="2"/>
      <c r="O8269" s="20"/>
      <c r="P8269" s="42"/>
      <c r="R8269" s="23"/>
    </row>
    <row r="8270" spans="1:18" ht="12.75">
      <c r="A8270" s="12"/>
      <c r="D8270" s="12"/>
      <c r="E8270" s="12"/>
      <c r="H8270" s="11" t="str">
        <f ca="1">IFERROR(__xludf.DUMMYFUNCTION("IFERROR(SUBSTITUTE(SUBSTITUTE(REGEXEXTRACT(A8270, ""[^-]+- [^-]+- [^-]+ - (.+?)\.jpg""), "".jpg"", """"), ""-"", "", ""), """")"),"")</f>
        <v/>
      </c>
      <c r="L8270" s="12"/>
      <c r="M8270" s="13"/>
      <c r="N8270" s="2"/>
      <c r="O8270" s="20"/>
      <c r="P8270" s="42"/>
      <c r="R8270" s="23"/>
    </row>
    <row r="8271" spans="1:18" ht="12.75">
      <c r="A8271" s="12"/>
      <c r="D8271" s="12"/>
      <c r="E8271" s="12"/>
      <c r="H8271" s="11" t="str">
        <f ca="1">IFERROR(__xludf.DUMMYFUNCTION("IFERROR(SUBSTITUTE(SUBSTITUTE(REGEXEXTRACT(A8271, ""[^-]+- [^-]+- [^-]+ - (.+?)\.jpg""), "".jpg"", """"), ""-"", "", ""), """")"),"")</f>
        <v/>
      </c>
      <c r="L8271" s="12"/>
      <c r="M8271" s="13"/>
      <c r="N8271" s="2"/>
      <c r="O8271" s="20"/>
      <c r="P8271" s="42"/>
      <c r="R8271" s="23"/>
    </row>
    <row r="8272" spans="1:18" ht="12.75">
      <c r="A8272" s="12"/>
      <c r="D8272" s="12"/>
      <c r="E8272" s="12"/>
      <c r="H8272" s="11" t="str">
        <f ca="1">IFERROR(__xludf.DUMMYFUNCTION("IFERROR(SUBSTITUTE(SUBSTITUTE(REGEXEXTRACT(A8272, ""[^-]+- [^-]+- [^-]+ - (.+?)\.jpg""), "".jpg"", """"), ""-"", "", ""), """")"),"")</f>
        <v/>
      </c>
      <c r="L8272" s="12"/>
      <c r="M8272" s="13"/>
      <c r="N8272" s="2"/>
      <c r="O8272" s="20"/>
      <c r="P8272" s="42"/>
      <c r="R8272" s="23"/>
    </row>
    <row r="8273" spans="1:18" ht="12.75">
      <c r="A8273" s="12"/>
      <c r="D8273" s="12"/>
      <c r="E8273" s="12"/>
      <c r="H8273" s="11" t="str">
        <f ca="1">IFERROR(__xludf.DUMMYFUNCTION("IFERROR(SUBSTITUTE(SUBSTITUTE(REGEXEXTRACT(A8273, ""[^-]+- [^-]+- [^-]+ - (.+?)\.jpg""), "".jpg"", """"), ""-"", "", ""), """")"),"")</f>
        <v/>
      </c>
      <c r="L8273" s="12"/>
      <c r="M8273" s="13"/>
      <c r="N8273" s="2"/>
      <c r="O8273" s="20"/>
      <c r="P8273" s="42"/>
      <c r="R8273" s="23"/>
    </row>
    <row r="8274" spans="1:18" ht="12.75">
      <c r="A8274" s="12"/>
      <c r="D8274" s="12"/>
      <c r="E8274" s="12"/>
      <c r="H8274" s="11" t="str">
        <f ca="1">IFERROR(__xludf.DUMMYFUNCTION("IFERROR(SUBSTITUTE(SUBSTITUTE(REGEXEXTRACT(A8274, ""[^-]+- [^-]+- [^-]+ - (.+?)\.jpg""), "".jpg"", """"), ""-"", "", ""), """")"),"")</f>
        <v/>
      </c>
      <c r="L8274" s="12"/>
      <c r="M8274" s="13"/>
      <c r="N8274" s="2"/>
      <c r="O8274" s="20"/>
      <c r="P8274" s="42"/>
      <c r="R8274" s="23"/>
    </row>
    <row r="8275" spans="1:18" ht="12.75">
      <c r="A8275" s="12"/>
      <c r="D8275" s="12"/>
      <c r="E8275" s="12"/>
      <c r="H8275" s="11" t="str">
        <f ca="1">IFERROR(__xludf.DUMMYFUNCTION("IFERROR(SUBSTITUTE(SUBSTITUTE(REGEXEXTRACT(A8275, ""[^-]+- [^-]+- [^-]+ - (.+?)\.jpg""), "".jpg"", """"), ""-"", "", ""), """")"),"")</f>
        <v/>
      </c>
      <c r="L8275" s="12"/>
      <c r="M8275" s="13"/>
      <c r="N8275" s="2"/>
      <c r="O8275" s="20"/>
      <c r="P8275" s="42"/>
      <c r="R8275" s="23"/>
    </row>
    <row r="8276" spans="1:18" ht="12.75">
      <c r="A8276" s="12"/>
      <c r="D8276" s="12"/>
      <c r="E8276" s="12"/>
      <c r="H8276" s="11" t="str">
        <f ca="1">IFERROR(__xludf.DUMMYFUNCTION("IFERROR(SUBSTITUTE(SUBSTITUTE(REGEXEXTRACT(A8276, ""[^-]+- [^-]+- [^-]+ - (.+?)\.jpg""), "".jpg"", """"), ""-"", "", ""), """")"),"")</f>
        <v/>
      </c>
      <c r="L8276" s="12"/>
      <c r="M8276" s="13"/>
      <c r="N8276" s="2"/>
      <c r="O8276" s="20"/>
      <c r="P8276" s="42"/>
      <c r="R8276" s="23"/>
    </row>
    <row r="8277" spans="1:18" ht="12.75">
      <c r="A8277" s="12"/>
      <c r="D8277" s="12"/>
      <c r="E8277" s="12"/>
      <c r="H8277" s="11" t="str">
        <f ca="1">IFERROR(__xludf.DUMMYFUNCTION("IFERROR(SUBSTITUTE(SUBSTITUTE(REGEXEXTRACT(A8277, ""[^-]+- [^-]+- [^-]+ - (.+?)\.jpg""), "".jpg"", """"), ""-"", "", ""), """")"),"")</f>
        <v/>
      </c>
      <c r="L8277" s="12"/>
      <c r="M8277" s="13"/>
      <c r="N8277" s="2"/>
      <c r="O8277" s="20"/>
      <c r="P8277" s="42"/>
      <c r="R8277" s="23"/>
    </row>
    <row r="8278" spans="1:18" ht="12.75">
      <c r="A8278" s="12"/>
      <c r="D8278" s="12"/>
      <c r="E8278" s="12"/>
      <c r="H8278" s="11" t="str">
        <f ca="1">IFERROR(__xludf.DUMMYFUNCTION("IFERROR(SUBSTITUTE(SUBSTITUTE(REGEXEXTRACT(A8278, ""[^-]+- [^-]+- [^-]+ - (.+?)\.jpg""), "".jpg"", """"), ""-"", "", ""), """")"),"")</f>
        <v/>
      </c>
      <c r="L8278" s="12"/>
      <c r="M8278" s="13"/>
      <c r="N8278" s="2"/>
      <c r="O8278" s="20"/>
      <c r="P8278" s="42"/>
      <c r="R8278" s="23"/>
    </row>
    <row r="8279" spans="1:18" ht="12.75">
      <c r="A8279" s="12"/>
      <c r="D8279" s="12"/>
      <c r="E8279" s="12"/>
      <c r="H8279" s="11" t="str">
        <f ca="1">IFERROR(__xludf.DUMMYFUNCTION("IFERROR(SUBSTITUTE(SUBSTITUTE(REGEXEXTRACT(A8279, ""[^-]+- [^-]+- [^-]+ - (.+?)\.jpg""), "".jpg"", """"), ""-"", "", ""), """")"),"")</f>
        <v/>
      </c>
      <c r="L8279" s="12"/>
      <c r="M8279" s="13"/>
      <c r="N8279" s="2"/>
      <c r="O8279" s="20"/>
      <c r="P8279" s="42"/>
      <c r="R8279" s="23"/>
    </row>
    <row r="8280" spans="1:18" ht="12.75">
      <c r="A8280" s="12"/>
      <c r="D8280" s="12"/>
      <c r="E8280" s="12"/>
      <c r="H8280" s="11" t="str">
        <f ca="1">IFERROR(__xludf.DUMMYFUNCTION("IFERROR(SUBSTITUTE(SUBSTITUTE(REGEXEXTRACT(A8280, ""[^-]+- [^-]+- [^-]+ - (.+?)\.jpg""), "".jpg"", """"), ""-"", "", ""), """")"),"")</f>
        <v/>
      </c>
      <c r="L8280" s="12"/>
      <c r="M8280" s="13"/>
      <c r="N8280" s="2"/>
      <c r="O8280" s="20"/>
      <c r="P8280" s="42"/>
      <c r="R8280" s="23"/>
    </row>
    <row r="8281" spans="1:18" ht="12.75">
      <c r="A8281" s="12"/>
      <c r="D8281" s="12"/>
      <c r="E8281" s="12"/>
      <c r="H8281" s="11" t="str">
        <f ca="1">IFERROR(__xludf.DUMMYFUNCTION("IFERROR(SUBSTITUTE(SUBSTITUTE(REGEXEXTRACT(A8281, ""[^-]+- [^-]+- [^-]+ - (.+?)\.jpg""), "".jpg"", """"), ""-"", "", ""), """")"),"")</f>
        <v/>
      </c>
      <c r="L8281" s="12"/>
      <c r="M8281" s="13"/>
      <c r="N8281" s="2"/>
      <c r="O8281" s="20"/>
      <c r="P8281" s="42"/>
      <c r="R8281" s="23"/>
    </row>
    <row r="8282" spans="1:18" ht="12.75">
      <c r="A8282" s="12"/>
      <c r="D8282" s="12"/>
      <c r="E8282" s="12"/>
      <c r="H8282" s="11" t="str">
        <f ca="1">IFERROR(__xludf.DUMMYFUNCTION("IFERROR(SUBSTITUTE(SUBSTITUTE(REGEXEXTRACT(A8282, ""[^-]+- [^-]+- [^-]+ - (.+?)\.jpg""), "".jpg"", """"), ""-"", "", ""), """")"),"")</f>
        <v/>
      </c>
      <c r="L8282" s="12"/>
      <c r="M8282" s="13"/>
      <c r="N8282" s="2"/>
      <c r="O8282" s="20"/>
      <c r="P8282" s="42"/>
      <c r="R8282" s="23"/>
    </row>
    <row r="8283" spans="1:18" ht="12.75">
      <c r="A8283" s="12"/>
      <c r="D8283" s="12"/>
      <c r="E8283" s="12"/>
      <c r="H8283" s="11" t="str">
        <f ca="1">IFERROR(__xludf.DUMMYFUNCTION("IFERROR(SUBSTITUTE(SUBSTITUTE(REGEXEXTRACT(A8283, ""[^-]+- [^-]+- [^-]+ - (.+?)\.jpg""), "".jpg"", """"), ""-"", "", ""), """")"),"")</f>
        <v/>
      </c>
      <c r="L8283" s="12"/>
      <c r="M8283" s="13"/>
      <c r="N8283" s="2"/>
      <c r="O8283" s="20"/>
      <c r="P8283" s="42"/>
      <c r="R8283" s="23"/>
    </row>
    <row r="8284" spans="1:18" ht="12.75">
      <c r="A8284" s="12"/>
      <c r="D8284" s="12"/>
      <c r="E8284" s="12"/>
      <c r="H8284" s="11" t="str">
        <f ca="1">IFERROR(__xludf.DUMMYFUNCTION("IFERROR(SUBSTITUTE(SUBSTITUTE(REGEXEXTRACT(A8284, ""[^-]+- [^-]+- [^-]+ - (.+?)\.jpg""), "".jpg"", """"), ""-"", "", ""), """")"),"")</f>
        <v/>
      </c>
      <c r="L8284" s="12"/>
      <c r="M8284" s="13"/>
      <c r="N8284" s="2"/>
      <c r="O8284" s="20"/>
      <c r="P8284" s="42"/>
      <c r="R8284" s="23"/>
    </row>
    <row r="8285" spans="1:18" ht="12.75">
      <c r="A8285" s="12"/>
      <c r="D8285" s="12"/>
      <c r="E8285" s="12"/>
      <c r="H8285" s="11" t="str">
        <f ca="1">IFERROR(__xludf.DUMMYFUNCTION("IFERROR(SUBSTITUTE(SUBSTITUTE(REGEXEXTRACT(A8285, ""[^-]+- [^-]+- [^-]+ - (.+?)\.jpg""), "".jpg"", """"), ""-"", "", ""), """")"),"")</f>
        <v/>
      </c>
      <c r="L8285" s="12"/>
      <c r="M8285" s="13"/>
      <c r="N8285" s="2"/>
      <c r="O8285" s="20"/>
      <c r="P8285" s="42"/>
      <c r="R8285" s="23"/>
    </row>
    <row r="8286" spans="1:18" ht="12.75">
      <c r="A8286" s="12"/>
      <c r="D8286" s="12"/>
      <c r="E8286" s="12"/>
      <c r="H8286" s="11" t="str">
        <f ca="1">IFERROR(__xludf.DUMMYFUNCTION("IFERROR(SUBSTITUTE(SUBSTITUTE(REGEXEXTRACT(A8286, ""[^-]+- [^-]+- [^-]+ - (.+?)\.jpg""), "".jpg"", """"), ""-"", "", ""), """")"),"")</f>
        <v/>
      </c>
      <c r="L8286" s="12"/>
      <c r="M8286" s="13"/>
      <c r="N8286" s="2"/>
      <c r="O8286" s="20"/>
      <c r="P8286" s="42"/>
      <c r="R8286" s="23"/>
    </row>
    <row r="8287" spans="1:18" ht="12.75">
      <c r="A8287" s="12"/>
      <c r="D8287" s="12"/>
      <c r="E8287" s="12"/>
      <c r="H8287" s="11" t="str">
        <f ca="1">IFERROR(__xludf.DUMMYFUNCTION("IFERROR(SUBSTITUTE(SUBSTITUTE(REGEXEXTRACT(A8287, ""[^-]+- [^-]+- [^-]+ - (.+?)\.jpg""), "".jpg"", """"), ""-"", "", ""), """")"),"")</f>
        <v/>
      </c>
      <c r="L8287" s="12"/>
      <c r="M8287" s="13"/>
      <c r="N8287" s="2"/>
      <c r="O8287" s="20"/>
      <c r="P8287" s="42"/>
      <c r="R8287" s="23"/>
    </row>
    <row r="8288" spans="1:18" ht="12.75">
      <c r="A8288" s="12"/>
      <c r="D8288" s="12"/>
      <c r="E8288" s="12"/>
      <c r="H8288" s="11" t="str">
        <f ca="1">IFERROR(__xludf.DUMMYFUNCTION("IFERROR(SUBSTITUTE(SUBSTITUTE(REGEXEXTRACT(A8288, ""[^-]+- [^-]+- [^-]+ - (.+?)\.jpg""), "".jpg"", """"), ""-"", "", ""), """")"),"")</f>
        <v/>
      </c>
      <c r="L8288" s="12"/>
      <c r="M8288" s="13"/>
      <c r="N8288" s="2"/>
      <c r="O8288" s="20"/>
      <c r="P8288" s="42"/>
      <c r="R8288" s="23"/>
    </row>
    <row r="8289" spans="1:18" ht="12.75">
      <c r="A8289" s="12"/>
      <c r="D8289" s="12"/>
      <c r="E8289" s="12"/>
      <c r="H8289" s="11" t="str">
        <f ca="1">IFERROR(__xludf.DUMMYFUNCTION("IFERROR(SUBSTITUTE(SUBSTITUTE(REGEXEXTRACT(A8289, ""[^-]+- [^-]+- [^-]+ - (.+?)\.jpg""), "".jpg"", """"), ""-"", "", ""), """")"),"")</f>
        <v/>
      </c>
      <c r="L8289" s="12"/>
      <c r="M8289" s="13"/>
      <c r="N8289" s="2"/>
      <c r="O8289" s="20"/>
      <c r="P8289" s="42"/>
      <c r="R8289" s="23"/>
    </row>
    <row r="8290" spans="1:18" ht="12.75">
      <c r="A8290" s="12"/>
      <c r="D8290" s="12"/>
      <c r="E8290" s="12"/>
      <c r="H8290" s="11" t="str">
        <f ca="1">IFERROR(__xludf.DUMMYFUNCTION("IFERROR(SUBSTITUTE(SUBSTITUTE(REGEXEXTRACT(A8290, ""[^-]+- [^-]+- [^-]+ - (.+?)\.jpg""), "".jpg"", """"), ""-"", "", ""), """")"),"")</f>
        <v/>
      </c>
      <c r="L8290" s="12"/>
      <c r="M8290" s="13"/>
      <c r="N8290" s="2"/>
      <c r="O8290" s="20"/>
      <c r="P8290" s="42"/>
      <c r="R8290" s="23"/>
    </row>
    <row r="8291" spans="1:18" ht="12.75">
      <c r="A8291" s="12"/>
      <c r="D8291" s="12"/>
      <c r="E8291" s="12"/>
      <c r="H8291" s="11" t="str">
        <f ca="1">IFERROR(__xludf.DUMMYFUNCTION("IFERROR(SUBSTITUTE(SUBSTITUTE(REGEXEXTRACT(A8291, ""[^-]+- [^-]+- [^-]+ - (.+?)\.jpg""), "".jpg"", """"), ""-"", "", ""), """")"),"")</f>
        <v/>
      </c>
      <c r="L8291" s="12"/>
      <c r="M8291" s="13"/>
      <c r="N8291" s="2"/>
      <c r="O8291" s="20"/>
      <c r="P8291" s="42"/>
      <c r="R8291" s="23"/>
    </row>
    <row r="8292" spans="1:18" ht="12.75">
      <c r="A8292" s="12"/>
      <c r="D8292" s="12"/>
      <c r="E8292" s="12"/>
      <c r="H8292" s="11" t="str">
        <f ca="1">IFERROR(__xludf.DUMMYFUNCTION("IFERROR(SUBSTITUTE(SUBSTITUTE(REGEXEXTRACT(A8292, ""[^-]+- [^-]+- [^-]+ - (.+?)\.jpg""), "".jpg"", """"), ""-"", "", ""), """")"),"")</f>
        <v/>
      </c>
      <c r="L8292" s="12"/>
      <c r="M8292" s="13"/>
      <c r="N8292" s="2"/>
      <c r="O8292" s="20"/>
      <c r="P8292" s="42"/>
      <c r="R8292" s="23"/>
    </row>
    <row r="8293" spans="1:18" ht="12.75">
      <c r="A8293" s="12"/>
      <c r="D8293" s="12"/>
      <c r="E8293" s="12"/>
      <c r="H8293" s="11" t="str">
        <f ca="1">IFERROR(__xludf.DUMMYFUNCTION("IFERROR(SUBSTITUTE(SUBSTITUTE(REGEXEXTRACT(A8293, ""[^-]+- [^-]+- [^-]+ - (.+?)\.jpg""), "".jpg"", """"), ""-"", "", ""), """")"),"")</f>
        <v/>
      </c>
      <c r="L8293" s="12"/>
      <c r="M8293" s="13"/>
      <c r="N8293" s="2"/>
      <c r="O8293" s="20"/>
      <c r="P8293" s="42"/>
      <c r="R8293" s="23"/>
    </row>
    <row r="8294" spans="1:18" ht="12.75">
      <c r="A8294" s="12"/>
      <c r="D8294" s="12"/>
      <c r="E8294" s="12"/>
      <c r="H8294" s="11" t="str">
        <f ca="1">IFERROR(__xludf.DUMMYFUNCTION("IFERROR(SUBSTITUTE(SUBSTITUTE(REGEXEXTRACT(A8294, ""[^-]+- [^-]+- [^-]+ - (.+?)\.jpg""), "".jpg"", """"), ""-"", "", ""), """")"),"")</f>
        <v/>
      </c>
      <c r="L8294" s="12"/>
      <c r="M8294" s="13"/>
      <c r="N8294" s="2"/>
      <c r="O8294" s="20"/>
      <c r="P8294" s="42"/>
      <c r="R8294" s="23"/>
    </row>
    <row r="8295" spans="1:18" ht="12.75">
      <c r="A8295" s="12"/>
      <c r="D8295" s="12"/>
      <c r="E8295" s="12"/>
      <c r="H8295" s="11" t="str">
        <f ca="1">IFERROR(__xludf.DUMMYFUNCTION("IFERROR(SUBSTITUTE(SUBSTITUTE(REGEXEXTRACT(A8295, ""[^-]+- [^-]+- [^-]+ - (.+?)\.jpg""), "".jpg"", """"), ""-"", "", ""), """")"),"")</f>
        <v/>
      </c>
      <c r="L8295" s="12"/>
      <c r="M8295" s="13"/>
      <c r="N8295" s="2"/>
      <c r="O8295" s="20"/>
      <c r="P8295" s="42"/>
      <c r="R8295" s="23"/>
    </row>
    <row r="8296" spans="1:18" ht="12.75">
      <c r="A8296" s="12"/>
      <c r="D8296" s="12"/>
      <c r="E8296" s="12"/>
      <c r="H8296" s="11" t="str">
        <f ca="1">IFERROR(__xludf.DUMMYFUNCTION("IFERROR(SUBSTITUTE(SUBSTITUTE(REGEXEXTRACT(A8296, ""[^-]+- [^-]+- [^-]+ - (.+?)\.jpg""), "".jpg"", """"), ""-"", "", ""), """")"),"")</f>
        <v/>
      </c>
      <c r="L8296" s="12"/>
      <c r="M8296" s="13"/>
      <c r="N8296" s="2"/>
      <c r="O8296" s="20"/>
      <c r="P8296" s="42"/>
      <c r="R8296" s="23"/>
    </row>
    <row r="8297" spans="1:18" ht="12.75">
      <c r="A8297" s="12"/>
      <c r="D8297" s="12"/>
      <c r="E8297" s="12"/>
      <c r="H8297" s="11" t="str">
        <f ca="1">IFERROR(__xludf.DUMMYFUNCTION("IFERROR(SUBSTITUTE(SUBSTITUTE(REGEXEXTRACT(A8297, ""[^-]+- [^-]+- [^-]+ - (.+?)\.jpg""), "".jpg"", """"), ""-"", "", ""), """")"),"")</f>
        <v/>
      </c>
      <c r="L8297" s="12"/>
      <c r="M8297" s="13"/>
      <c r="N8297" s="2"/>
      <c r="O8297" s="20"/>
      <c r="P8297" s="42"/>
      <c r="R8297" s="23"/>
    </row>
    <row r="8298" spans="1:18" ht="12.75">
      <c r="A8298" s="12"/>
      <c r="D8298" s="12"/>
      <c r="E8298" s="12"/>
      <c r="H8298" s="11" t="str">
        <f ca="1">IFERROR(__xludf.DUMMYFUNCTION("IFERROR(SUBSTITUTE(SUBSTITUTE(REGEXEXTRACT(A8298, ""[^-]+- [^-]+- [^-]+ - (.+?)\.jpg""), "".jpg"", """"), ""-"", "", ""), """")"),"")</f>
        <v/>
      </c>
      <c r="L8298" s="12"/>
      <c r="M8298" s="13"/>
      <c r="N8298" s="2"/>
      <c r="O8298" s="20"/>
      <c r="P8298" s="42"/>
      <c r="R8298" s="23"/>
    </row>
    <row r="8299" spans="1:18" ht="12.75">
      <c r="A8299" s="12"/>
      <c r="D8299" s="12"/>
      <c r="E8299" s="12"/>
      <c r="H8299" s="11" t="str">
        <f ca="1">IFERROR(__xludf.DUMMYFUNCTION("IFERROR(SUBSTITUTE(SUBSTITUTE(REGEXEXTRACT(A8299, ""[^-]+- [^-]+- [^-]+ - (.+?)\.jpg""), "".jpg"", """"), ""-"", "", ""), """")"),"")</f>
        <v/>
      </c>
      <c r="L8299" s="12"/>
      <c r="M8299" s="13"/>
      <c r="N8299" s="2"/>
      <c r="O8299" s="20"/>
      <c r="P8299" s="42"/>
      <c r="R8299" s="23"/>
    </row>
    <row r="8300" spans="1:18" ht="12.75">
      <c r="A8300" s="12"/>
      <c r="D8300" s="12"/>
      <c r="E8300" s="12"/>
      <c r="H8300" s="11" t="str">
        <f ca="1">IFERROR(__xludf.DUMMYFUNCTION("IFERROR(SUBSTITUTE(SUBSTITUTE(REGEXEXTRACT(A8300, ""[^-]+- [^-]+- [^-]+ - (.+?)\.jpg""), "".jpg"", """"), ""-"", "", ""), """")"),"")</f>
        <v/>
      </c>
      <c r="L8300" s="12"/>
      <c r="M8300" s="13"/>
      <c r="N8300" s="2"/>
      <c r="O8300" s="20"/>
      <c r="P8300" s="42"/>
      <c r="R8300" s="23"/>
    </row>
    <row r="8301" spans="1:18" ht="12.75">
      <c r="A8301" s="12"/>
      <c r="D8301" s="12"/>
      <c r="E8301" s="12"/>
      <c r="H8301" s="11" t="str">
        <f ca="1">IFERROR(__xludf.DUMMYFUNCTION("IFERROR(SUBSTITUTE(SUBSTITUTE(REGEXEXTRACT(A8301, ""[^-]+- [^-]+- [^-]+ - (.+?)\.jpg""), "".jpg"", """"), ""-"", "", ""), """")"),"")</f>
        <v/>
      </c>
      <c r="L8301" s="12"/>
      <c r="M8301" s="13"/>
      <c r="N8301" s="2"/>
      <c r="O8301" s="20"/>
      <c r="P8301" s="42"/>
      <c r="R8301" s="23"/>
    </row>
    <row r="8302" spans="1:18" ht="12.75">
      <c r="A8302" s="12"/>
      <c r="D8302" s="12"/>
      <c r="E8302" s="12"/>
      <c r="H8302" s="11" t="str">
        <f ca="1">IFERROR(__xludf.DUMMYFUNCTION("IFERROR(SUBSTITUTE(SUBSTITUTE(REGEXEXTRACT(A8302, ""[^-]+- [^-]+- [^-]+ - (.+?)\.jpg""), "".jpg"", """"), ""-"", "", ""), """")"),"")</f>
        <v/>
      </c>
      <c r="L8302" s="12"/>
      <c r="M8302" s="13"/>
      <c r="N8302" s="2"/>
      <c r="O8302" s="20"/>
      <c r="P8302" s="42"/>
      <c r="R8302" s="23"/>
    </row>
    <row r="8303" spans="1:18" ht="12.75">
      <c r="A8303" s="12"/>
      <c r="D8303" s="12"/>
      <c r="E8303" s="12"/>
      <c r="H8303" s="11" t="str">
        <f ca="1">IFERROR(__xludf.DUMMYFUNCTION("IFERROR(SUBSTITUTE(SUBSTITUTE(REGEXEXTRACT(A8303, ""[^-]+- [^-]+- [^-]+ - (.+?)\.jpg""), "".jpg"", """"), ""-"", "", ""), """")"),"")</f>
        <v/>
      </c>
      <c r="L8303" s="12"/>
      <c r="M8303" s="13"/>
      <c r="N8303" s="2"/>
      <c r="O8303" s="20"/>
      <c r="P8303" s="42"/>
      <c r="R8303" s="23"/>
    </row>
    <row r="8304" spans="1:18" ht="12.75">
      <c r="A8304" s="12"/>
      <c r="D8304" s="12"/>
      <c r="E8304" s="12"/>
      <c r="H8304" s="11" t="str">
        <f ca="1">IFERROR(__xludf.DUMMYFUNCTION("IFERROR(SUBSTITUTE(SUBSTITUTE(REGEXEXTRACT(A8304, ""[^-]+- [^-]+- [^-]+ - (.+?)\.jpg""), "".jpg"", """"), ""-"", "", ""), """")"),"")</f>
        <v/>
      </c>
      <c r="L8304" s="12"/>
      <c r="M8304" s="13"/>
      <c r="N8304" s="2"/>
      <c r="O8304" s="20"/>
      <c r="P8304" s="42"/>
      <c r="R8304" s="23"/>
    </row>
    <row r="8305" spans="1:18" ht="12.75">
      <c r="A8305" s="12"/>
      <c r="D8305" s="12"/>
      <c r="E8305" s="12"/>
      <c r="H8305" s="11" t="str">
        <f ca="1">IFERROR(__xludf.DUMMYFUNCTION("IFERROR(SUBSTITUTE(SUBSTITUTE(REGEXEXTRACT(A8305, ""[^-]+- [^-]+- [^-]+ - (.+?)\.jpg""), "".jpg"", """"), ""-"", "", ""), """")"),"")</f>
        <v/>
      </c>
      <c r="L8305" s="12"/>
      <c r="M8305" s="13"/>
      <c r="N8305" s="2"/>
      <c r="O8305" s="20"/>
      <c r="P8305" s="42"/>
      <c r="R8305" s="23"/>
    </row>
    <row r="8306" spans="1:18" ht="12.75">
      <c r="A8306" s="12"/>
      <c r="D8306" s="12"/>
      <c r="E8306" s="12"/>
      <c r="H8306" s="11" t="str">
        <f ca="1">IFERROR(__xludf.DUMMYFUNCTION("IFERROR(SUBSTITUTE(SUBSTITUTE(REGEXEXTRACT(A8306, ""[^-]+- [^-]+- [^-]+ - (.+?)\.jpg""), "".jpg"", """"), ""-"", "", ""), """")"),"")</f>
        <v/>
      </c>
      <c r="L8306" s="12"/>
      <c r="M8306" s="13"/>
      <c r="N8306" s="2"/>
      <c r="O8306" s="20"/>
      <c r="P8306" s="42"/>
      <c r="R8306" s="23"/>
    </row>
    <row r="8307" spans="1:18" ht="12.75">
      <c r="A8307" s="12"/>
      <c r="D8307" s="12"/>
      <c r="E8307" s="12"/>
      <c r="H8307" s="11" t="str">
        <f ca="1">IFERROR(__xludf.DUMMYFUNCTION("IFERROR(SUBSTITUTE(SUBSTITUTE(REGEXEXTRACT(A8307, ""[^-]+- [^-]+- [^-]+ - (.+?)\.jpg""), "".jpg"", """"), ""-"", "", ""), """")"),"")</f>
        <v/>
      </c>
      <c r="L8307" s="12"/>
      <c r="M8307" s="13"/>
      <c r="N8307" s="2"/>
      <c r="O8307" s="20"/>
      <c r="P8307" s="42"/>
      <c r="R8307" s="23"/>
    </row>
    <row r="8308" spans="1:18" ht="12.75">
      <c r="A8308" s="12"/>
      <c r="D8308" s="12"/>
      <c r="E8308" s="12"/>
      <c r="H8308" s="11" t="str">
        <f ca="1">IFERROR(__xludf.DUMMYFUNCTION("IFERROR(SUBSTITUTE(SUBSTITUTE(REGEXEXTRACT(A8308, ""[^-]+- [^-]+- [^-]+ - (.+?)\.jpg""), "".jpg"", """"), ""-"", "", ""), """")"),"")</f>
        <v/>
      </c>
      <c r="L8308" s="12"/>
      <c r="M8308" s="13"/>
      <c r="N8308" s="2"/>
      <c r="O8308" s="20"/>
      <c r="P8308" s="42"/>
      <c r="R8308" s="23"/>
    </row>
    <row r="8309" spans="1:18" ht="12.75">
      <c r="A8309" s="12"/>
      <c r="D8309" s="12"/>
      <c r="E8309" s="12"/>
      <c r="H8309" s="11" t="str">
        <f ca="1">IFERROR(__xludf.DUMMYFUNCTION("IFERROR(SUBSTITUTE(SUBSTITUTE(REGEXEXTRACT(A8309, ""[^-]+- [^-]+- [^-]+ - (.+?)\.jpg""), "".jpg"", """"), ""-"", "", ""), """")"),"")</f>
        <v/>
      </c>
      <c r="L8309" s="12"/>
      <c r="M8309" s="13"/>
      <c r="N8309" s="2"/>
      <c r="O8309" s="20"/>
      <c r="P8309" s="42"/>
      <c r="R8309" s="23"/>
    </row>
    <row r="8310" spans="1:18" ht="12.75">
      <c r="A8310" s="12"/>
      <c r="D8310" s="12"/>
      <c r="E8310" s="12"/>
      <c r="H8310" s="11" t="str">
        <f ca="1">IFERROR(__xludf.DUMMYFUNCTION("IFERROR(SUBSTITUTE(SUBSTITUTE(REGEXEXTRACT(A8310, ""[^-]+- [^-]+- [^-]+ - (.+?)\.jpg""), "".jpg"", """"), ""-"", "", ""), """")"),"")</f>
        <v/>
      </c>
      <c r="L8310" s="12"/>
      <c r="M8310" s="13"/>
      <c r="N8310" s="2"/>
      <c r="O8310" s="20"/>
      <c r="P8310" s="42"/>
      <c r="R8310" s="23"/>
    </row>
    <row r="8311" spans="1:18" ht="12.75">
      <c r="A8311" s="12"/>
      <c r="D8311" s="12"/>
      <c r="E8311" s="12"/>
      <c r="H8311" s="11" t="str">
        <f ca="1">IFERROR(__xludf.DUMMYFUNCTION("IFERROR(SUBSTITUTE(SUBSTITUTE(REGEXEXTRACT(A8311, ""[^-]+- [^-]+- [^-]+ - (.+?)\.jpg""), "".jpg"", """"), ""-"", "", ""), """")"),"")</f>
        <v/>
      </c>
      <c r="L8311" s="12"/>
      <c r="M8311" s="13"/>
      <c r="N8311" s="2"/>
      <c r="O8311" s="20"/>
      <c r="P8311" s="42"/>
      <c r="R8311" s="23"/>
    </row>
    <row r="8312" spans="1:18" ht="12.75">
      <c r="A8312" s="12"/>
      <c r="D8312" s="12"/>
      <c r="E8312" s="12"/>
      <c r="H8312" s="11" t="str">
        <f ca="1">IFERROR(__xludf.DUMMYFUNCTION("IFERROR(SUBSTITUTE(SUBSTITUTE(REGEXEXTRACT(A8312, ""[^-]+- [^-]+- [^-]+ - (.+?)\.jpg""), "".jpg"", """"), ""-"", "", ""), """")"),"")</f>
        <v/>
      </c>
      <c r="L8312" s="12"/>
      <c r="M8312" s="13"/>
      <c r="N8312" s="2"/>
      <c r="O8312" s="20"/>
      <c r="P8312" s="42"/>
      <c r="R8312" s="23"/>
    </row>
    <row r="8313" spans="1:18" ht="12.75">
      <c r="A8313" s="12"/>
      <c r="D8313" s="12"/>
      <c r="E8313" s="12"/>
      <c r="H8313" s="11" t="str">
        <f ca="1">IFERROR(__xludf.DUMMYFUNCTION("IFERROR(SUBSTITUTE(SUBSTITUTE(REGEXEXTRACT(A8313, ""[^-]+- [^-]+- [^-]+ - (.+?)\.jpg""), "".jpg"", """"), ""-"", "", ""), """")"),"")</f>
        <v/>
      </c>
      <c r="L8313" s="12"/>
      <c r="M8313" s="13"/>
      <c r="N8313" s="2"/>
      <c r="O8313" s="20"/>
      <c r="P8313" s="42"/>
      <c r="R8313" s="23"/>
    </row>
    <row r="8314" spans="1:18" ht="12.75">
      <c r="A8314" s="12"/>
      <c r="D8314" s="12"/>
      <c r="E8314" s="12"/>
      <c r="H8314" s="11" t="str">
        <f ca="1">IFERROR(__xludf.DUMMYFUNCTION("IFERROR(SUBSTITUTE(SUBSTITUTE(REGEXEXTRACT(A8314, ""[^-]+- [^-]+- [^-]+ - (.+?)\.jpg""), "".jpg"", """"), ""-"", "", ""), """")"),"")</f>
        <v/>
      </c>
      <c r="L8314" s="12"/>
      <c r="M8314" s="13"/>
      <c r="N8314" s="2"/>
      <c r="O8314" s="20"/>
      <c r="P8314" s="42"/>
      <c r="R8314" s="23"/>
    </row>
    <row r="8315" spans="1:18" ht="12.75">
      <c r="A8315" s="12"/>
      <c r="D8315" s="12"/>
      <c r="E8315" s="12"/>
      <c r="H8315" s="11" t="str">
        <f ca="1">IFERROR(__xludf.DUMMYFUNCTION("IFERROR(SUBSTITUTE(SUBSTITUTE(REGEXEXTRACT(A8315, ""[^-]+- [^-]+- [^-]+ - (.+?)\.jpg""), "".jpg"", """"), ""-"", "", ""), """")"),"")</f>
        <v/>
      </c>
      <c r="L8315" s="12"/>
      <c r="M8315" s="13"/>
      <c r="N8315" s="2"/>
      <c r="O8315" s="20"/>
      <c r="P8315" s="42"/>
      <c r="R8315" s="23"/>
    </row>
    <row r="8316" spans="1:18" ht="12.75">
      <c r="A8316" s="12"/>
      <c r="D8316" s="12"/>
      <c r="E8316" s="12"/>
      <c r="H8316" s="11" t="str">
        <f ca="1">IFERROR(__xludf.DUMMYFUNCTION("IFERROR(SUBSTITUTE(SUBSTITUTE(REGEXEXTRACT(A8316, ""[^-]+- [^-]+- [^-]+ - (.+?)\.jpg""), "".jpg"", """"), ""-"", "", ""), """")"),"")</f>
        <v/>
      </c>
      <c r="L8316" s="12"/>
      <c r="M8316" s="13"/>
      <c r="N8316" s="2"/>
      <c r="O8316" s="20"/>
      <c r="P8316" s="42"/>
      <c r="R8316" s="23"/>
    </row>
    <row r="8317" spans="1:18" ht="12.75">
      <c r="A8317" s="12"/>
      <c r="D8317" s="12"/>
      <c r="E8317" s="12"/>
      <c r="H8317" s="11" t="str">
        <f ca="1">IFERROR(__xludf.DUMMYFUNCTION("IFERROR(SUBSTITUTE(SUBSTITUTE(REGEXEXTRACT(A8317, ""[^-]+- [^-]+- [^-]+ - (.+?)\.jpg""), "".jpg"", """"), ""-"", "", ""), """")"),"")</f>
        <v/>
      </c>
      <c r="L8317" s="12"/>
      <c r="M8317" s="13"/>
      <c r="N8317" s="2"/>
      <c r="O8317" s="20"/>
      <c r="P8317" s="42"/>
      <c r="R8317" s="23"/>
    </row>
    <row r="8318" spans="1:18" ht="12.75">
      <c r="A8318" s="12"/>
      <c r="D8318" s="12"/>
      <c r="E8318" s="12"/>
      <c r="H8318" s="11" t="str">
        <f ca="1">IFERROR(__xludf.DUMMYFUNCTION("IFERROR(SUBSTITUTE(SUBSTITUTE(REGEXEXTRACT(A8318, ""[^-]+- [^-]+- [^-]+ - (.+?)\.jpg""), "".jpg"", """"), ""-"", "", ""), """")"),"")</f>
        <v/>
      </c>
      <c r="L8318" s="12"/>
      <c r="M8318" s="13"/>
      <c r="N8318" s="2"/>
      <c r="O8318" s="20"/>
      <c r="P8318" s="42"/>
      <c r="R8318" s="23"/>
    </row>
    <row r="8319" spans="1:18" ht="12.75">
      <c r="A8319" s="12"/>
      <c r="D8319" s="12"/>
      <c r="E8319" s="12"/>
      <c r="H8319" s="11" t="str">
        <f ca="1">IFERROR(__xludf.DUMMYFUNCTION("IFERROR(SUBSTITUTE(SUBSTITUTE(REGEXEXTRACT(A8319, ""[^-]+- [^-]+- [^-]+ - (.+?)\.jpg""), "".jpg"", """"), ""-"", "", ""), """")"),"")</f>
        <v/>
      </c>
      <c r="L8319" s="12"/>
      <c r="M8319" s="13"/>
      <c r="N8319" s="2"/>
      <c r="O8319" s="20"/>
      <c r="P8319" s="42"/>
      <c r="R8319" s="23"/>
    </row>
    <row r="8320" spans="1:18" ht="12.75">
      <c r="A8320" s="12"/>
      <c r="D8320" s="12"/>
      <c r="E8320" s="12"/>
      <c r="H8320" s="11" t="str">
        <f ca="1">IFERROR(__xludf.DUMMYFUNCTION("IFERROR(SUBSTITUTE(SUBSTITUTE(REGEXEXTRACT(A8320, ""[^-]+- [^-]+- [^-]+ - (.+?)\.jpg""), "".jpg"", """"), ""-"", "", ""), """")"),"")</f>
        <v/>
      </c>
      <c r="L8320" s="12"/>
      <c r="M8320" s="13"/>
      <c r="N8320" s="2"/>
      <c r="O8320" s="20"/>
      <c r="P8320" s="42"/>
      <c r="R8320" s="23"/>
    </row>
    <row r="8321" spans="1:18" ht="12.75">
      <c r="A8321" s="12"/>
      <c r="D8321" s="12"/>
      <c r="E8321" s="12"/>
      <c r="H8321" s="11" t="str">
        <f ca="1">IFERROR(__xludf.DUMMYFUNCTION("IFERROR(SUBSTITUTE(SUBSTITUTE(REGEXEXTRACT(A8321, ""[^-]+- [^-]+- [^-]+ - (.+?)\.jpg""), "".jpg"", """"), ""-"", "", ""), """")"),"")</f>
        <v/>
      </c>
      <c r="L8321" s="12"/>
      <c r="M8321" s="13"/>
      <c r="N8321" s="2"/>
      <c r="O8321" s="20"/>
      <c r="P8321" s="42"/>
      <c r="R8321" s="23"/>
    </row>
    <row r="8322" spans="1:18" ht="12.75">
      <c r="A8322" s="12"/>
      <c r="D8322" s="12"/>
      <c r="E8322" s="12"/>
      <c r="H8322" s="11" t="str">
        <f ca="1">IFERROR(__xludf.DUMMYFUNCTION("IFERROR(SUBSTITUTE(SUBSTITUTE(REGEXEXTRACT(A8322, ""[^-]+- [^-]+- [^-]+ - (.+?)\.jpg""), "".jpg"", """"), ""-"", "", ""), """")"),"")</f>
        <v/>
      </c>
      <c r="L8322" s="12"/>
      <c r="M8322" s="13"/>
      <c r="N8322" s="2"/>
      <c r="O8322" s="20"/>
      <c r="P8322" s="42"/>
      <c r="R8322" s="23"/>
    </row>
    <row r="8323" spans="1:18" ht="12.75">
      <c r="A8323" s="12"/>
      <c r="D8323" s="12"/>
      <c r="E8323" s="12"/>
      <c r="H8323" s="11" t="str">
        <f ca="1">IFERROR(__xludf.DUMMYFUNCTION("IFERROR(SUBSTITUTE(SUBSTITUTE(REGEXEXTRACT(A8323, ""[^-]+- [^-]+- [^-]+ - (.+?)\.jpg""), "".jpg"", """"), ""-"", "", ""), """")"),"")</f>
        <v/>
      </c>
      <c r="L8323" s="12"/>
      <c r="M8323" s="13"/>
      <c r="N8323" s="2"/>
      <c r="O8323" s="20"/>
      <c r="P8323" s="42"/>
      <c r="R8323" s="23"/>
    </row>
    <row r="8324" spans="1:18" ht="12.75">
      <c r="A8324" s="12"/>
      <c r="D8324" s="12"/>
      <c r="E8324" s="12"/>
      <c r="H8324" s="11" t="str">
        <f ca="1">IFERROR(__xludf.DUMMYFUNCTION("IFERROR(SUBSTITUTE(SUBSTITUTE(REGEXEXTRACT(A8324, ""[^-]+- [^-]+- [^-]+ - (.+?)\.jpg""), "".jpg"", """"), ""-"", "", ""), """")"),"")</f>
        <v/>
      </c>
      <c r="L8324" s="12"/>
      <c r="M8324" s="13"/>
      <c r="N8324" s="2"/>
      <c r="O8324" s="20"/>
      <c r="P8324" s="42"/>
      <c r="R8324" s="23"/>
    </row>
    <row r="8325" spans="1:18" ht="12.75">
      <c r="A8325" s="12"/>
      <c r="D8325" s="12"/>
      <c r="E8325" s="12"/>
      <c r="H8325" s="11" t="str">
        <f ca="1">IFERROR(__xludf.DUMMYFUNCTION("IFERROR(SUBSTITUTE(SUBSTITUTE(REGEXEXTRACT(A8325, ""[^-]+- [^-]+- [^-]+ - (.+?)\.jpg""), "".jpg"", """"), ""-"", "", ""), """")"),"")</f>
        <v/>
      </c>
      <c r="L8325" s="12"/>
      <c r="M8325" s="13"/>
      <c r="N8325" s="2"/>
      <c r="O8325" s="20"/>
      <c r="P8325" s="42"/>
      <c r="R8325" s="23"/>
    </row>
    <row r="8326" spans="1:18" ht="12.75">
      <c r="A8326" s="12"/>
      <c r="D8326" s="12"/>
      <c r="E8326" s="12"/>
      <c r="H8326" s="11" t="str">
        <f ca="1">IFERROR(__xludf.DUMMYFUNCTION("IFERROR(SUBSTITUTE(SUBSTITUTE(REGEXEXTRACT(A8326, ""[^-]+- [^-]+- [^-]+ - (.+?)\.jpg""), "".jpg"", """"), ""-"", "", ""), """")"),"")</f>
        <v/>
      </c>
      <c r="L8326" s="12"/>
      <c r="M8326" s="13"/>
      <c r="N8326" s="2"/>
      <c r="O8326" s="20"/>
      <c r="P8326" s="42"/>
      <c r="R8326" s="23"/>
    </row>
    <row r="8327" spans="1:18" ht="12.75">
      <c r="A8327" s="12"/>
      <c r="D8327" s="12"/>
      <c r="E8327" s="12"/>
      <c r="H8327" s="11" t="str">
        <f ca="1">IFERROR(__xludf.DUMMYFUNCTION("IFERROR(SUBSTITUTE(SUBSTITUTE(REGEXEXTRACT(A8327, ""[^-]+- [^-]+- [^-]+ - (.+?)\.jpg""), "".jpg"", """"), ""-"", "", ""), """")"),"")</f>
        <v/>
      </c>
      <c r="L8327" s="12"/>
      <c r="M8327" s="13"/>
      <c r="N8327" s="2"/>
      <c r="O8327" s="20"/>
      <c r="P8327" s="42"/>
      <c r="R8327" s="23"/>
    </row>
    <row r="8328" spans="1:18" ht="12.75">
      <c r="A8328" s="12"/>
      <c r="D8328" s="12"/>
      <c r="E8328" s="12"/>
      <c r="H8328" s="11" t="str">
        <f ca="1">IFERROR(__xludf.DUMMYFUNCTION("IFERROR(SUBSTITUTE(SUBSTITUTE(REGEXEXTRACT(A8328, ""[^-]+- [^-]+- [^-]+ - (.+?)\.jpg""), "".jpg"", """"), ""-"", "", ""), """")"),"")</f>
        <v/>
      </c>
      <c r="L8328" s="12"/>
      <c r="M8328" s="13"/>
      <c r="N8328" s="2"/>
      <c r="O8328" s="20"/>
      <c r="P8328" s="42"/>
      <c r="R8328" s="23"/>
    </row>
    <row r="8329" spans="1:18" ht="12.75">
      <c r="A8329" s="12"/>
      <c r="D8329" s="12"/>
      <c r="E8329" s="12"/>
      <c r="H8329" s="11" t="str">
        <f ca="1">IFERROR(__xludf.DUMMYFUNCTION("IFERROR(SUBSTITUTE(SUBSTITUTE(REGEXEXTRACT(A8329, ""[^-]+- [^-]+- [^-]+ - (.+?)\.jpg""), "".jpg"", """"), ""-"", "", ""), """")"),"")</f>
        <v/>
      </c>
      <c r="L8329" s="12"/>
      <c r="M8329" s="13"/>
      <c r="N8329" s="2"/>
      <c r="O8329" s="20"/>
      <c r="P8329" s="42"/>
      <c r="R8329" s="23"/>
    </row>
    <row r="8330" spans="1:18" ht="12.75">
      <c r="A8330" s="12"/>
      <c r="D8330" s="12"/>
      <c r="E8330" s="12"/>
      <c r="H8330" s="11" t="str">
        <f ca="1">IFERROR(__xludf.DUMMYFUNCTION("IFERROR(SUBSTITUTE(SUBSTITUTE(REGEXEXTRACT(A8330, ""[^-]+- [^-]+- [^-]+ - (.+?)\.jpg""), "".jpg"", """"), ""-"", "", ""), """")"),"")</f>
        <v/>
      </c>
      <c r="L8330" s="12"/>
      <c r="M8330" s="13"/>
      <c r="N8330" s="2"/>
      <c r="O8330" s="20"/>
      <c r="P8330" s="42"/>
      <c r="R8330" s="23"/>
    </row>
    <row r="8331" spans="1:18" ht="12.75">
      <c r="A8331" s="12"/>
      <c r="D8331" s="12"/>
      <c r="E8331" s="12"/>
      <c r="H8331" s="11" t="str">
        <f ca="1">IFERROR(__xludf.DUMMYFUNCTION("IFERROR(SUBSTITUTE(SUBSTITUTE(REGEXEXTRACT(A8331, ""[^-]+- [^-]+- [^-]+ - (.+?)\.jpg""), "".jpg"", """"), ""-"", "", ""), """")"),"")</f>
        <v/>
      </c>
      <c r="L8331" s="12"/>
      <c r="M8331" s="13"/>
      <c r="N8331" s="2"/>
      <c r="O8331" s="20"/>
      <c r="P8331" s="42"/>
      <c r="R8331" s="23"/>
    </row>
    <row r="8332" spans="1:18" ht="12.75">
      <c r="A8332" s="12"/>
      <c r="D8332" s="12"/>
      <c r="E8332" s="12"/>
      <c r="H8332" s="11" t="str">
        <f ca="1">IFERROR(__xludf.DUMMYFUNCTION("IFERROR(SUBSTITUTE(SUBSTITUTE(REGEXEXTRACT(A8332, ""[^-]+- [^-]+- [^-]+ - (.+?)\.jpg""), "".jpg"", """"), ""-"", "", ""), """")"),"")</f>
        <v/>
      </c>
      <c r="L8332" s="12"/>
      <c r="M8332" s="13"/>
      <c r="N8332" s="2"/>
      <c r="O8332" s="20"/>
      <c r="P8332" s="42"/>
      <c r="R8332" s="23"/>
    </row>
    <row r="8333" spans="1:18" ht="12.75">
      <c r="A8333" s="12"/>
      <c r="D8333" s="12"/>
      <c r="E8333" s="12"/>
      <c r="H8333" s="11" t="str">
        <f ca="1">IFERROR(__xludf.DUMMYFUNCTION("IFERROR(SUBSTITUTE(SUBSTITUTE(REGEXEXTRACT(A8333, ""[^-]+- [^-]+- [^-]+ - (.+?)\.jpg""), "".jpg"", """"), ""-"", "", ""), """")"),"")</f>
        <v/>
      </c>
      <c r="L8333" s="12"/>
      <c r="M8333" s="13"/>
      <c r="N8333" s="2"/>
      <c r="O8333" s="20"/>
      <c r="P8333" s="42"/>
      <c r="R8333" s="23"/>
    </row>
    <row r="8334" spans="1:18" ht="12.75">
      <c r="A8334" s="12"/>
      <c r="D8334" s="12"/>
      <c r="E8334" s="12"/>
      <c r="H8334" s="11" t="str">
        <f ca="1">IFERROR(__xludf.DUMMYFUNCTION("IFERROR(SUBSTITUTE(SUBSTITUTE(REGEXEXTRACT(A8334, ""[^-]+- [^-]+- [^-]+ - (.+?)\.jpg""), "".jpg"", """"), ""-"", "", ""), """")"),"")</f>
        <v/>
      </c>
      <c r="L8334" s="12"/>
      <c r="M8334" s="13"/>
      <c r="N8334" s="2"/>
      <c r="O8334" s="20"/>
      <c r="P8334" s="42"/>
      <c r="R8334" s="23"/>
    </row>
    <row r="8335" spans="1:18" ht="12.75">
      <c r="A8335" s="12"/>
      <c r="D8335" s="12"/>
      <c r="E8335" s="12"/>
      <c r="H8335" s="11" t="str">
        <f ca="1">IFERROR(__xludf.DUMMYFUNCTION("IFERROR(SUBSTITUTE(SUBSTITUTE(REGEXEXTRACT(A8335, ""[^-]+- [^-]+- [^-]+ - (.+?)\.jpg""), "".jpg"", """"), ""-"", "", ""), """")"),"")</f>
        <v/>
      </c>
      <c r="L8335" s="12"/>
      <c r="M8335" s="13"/>
      <c r="N8335" s="2"/>
      <c r="O8335" s="20"/>
      <c r="P8335" s="42"/>
      <c r="R8335" s="23"/>
    </row>
    <row r="8336" spans="1:18" ht="12.75">
      <c r="A8336" s="12"/>
      <c r="D8336" s="12"/>
      <c r="E8336" s="12"/>
      <c r="H8336" s="11" t="str">
        <f ca="1">IFERROR(__xludf.DUMMYFUNCTION("IFERROR(SUBSTITUTE(SUBSTITUTE(REGEXEXTRACT(A8336, ""[^-]+- [^-]+- [^-]+ - (.+?)\.jpg""), "".jpg"", """"), ""-"", "", ""), """")"),"")</f>
        <v/>
      </c>
      <c r="L8336" s="12"/>
      <c r="M8336" s="13"/>
      <c r="N8336" s="2"/>
      <c r="O8336" s="20"/>
      <c r="P8336" s="42"/>
      <c r="R8336" s="23"/>
    </row>
    <row r="8337" spans="1:18" ht="12.75">
      <c r="A8337" s="12"/>
      <c r="D8337" s="12"/>
      <c r="E8337" s="12"/>
      <c r="H8337" s="11" t="str">
        <f ca="1">IFERROR(__xludf.DUMMYFUNCTION("IFERROR(SUBSTITUTE(SUBSTITUTE(REGEXEXTRACT(A8337, ""[^-]+- [^-]+- [^-]+ - (.+?)\.jpg""), "".jpg"", """"), ""-"", "", ""), """")"),"")</f>
        <v/>
      </c>
      <c r="L8337" s="12"/>
      <c r="M8337" s="13"/>
      <c r="N8337" s="2"/>
      <c r="O8337" s="20"/>
      <c r="P8337" s="42"/>
      <c r="R8337" s="23"/>
    </row>
    <row r="8338" spans="1:18" ht="12.75">
      <c r="A8338" s="12"/>
      <c r="D8338" s="12"/>
      <c r="E8338" s="12"/>
      <c r="H8338" s="11" t="str">
        <f ca="1">IFERROR(__xludf.DUMMYFUNCTION("IFERROR(SUBSTITUTE(SUBSTITUTE(REGEXEXTRACT(A8338, ""[^-]+- [^-]+- [^-]+ - (.+?)\.jpg""), "".jpg"", """"), ""-"", "", ""), """")"),"")</f>
        <v/>
      </c>
      <c r="L8338" s="12"/>
      <c r="M8338" s="13"/>
      <c r="N8338" s="2"/>
      <c r="O8338" s="20"/>
      <c r="P8338" s="42"/>
      <c r="R8338" s="23"/>
    </row>
    <row r="8339" spans="1:18" ht="12.75">
      <c r="A8339" s="12"/>
      <c r="D8339" s="12"/>
      <c r="E8339" s="12"/>
      <c r="H8339" s="11" t="str">
        <f ca="1">IFERROR(__xludf.DUMMYFUNCTION("IFERROR(SUBSTITUTE(SUBSTITUTE(REGEXEXTRACT(A8339, ""[^-]+- [^-]+- [^-]+ - (.+?)\.jpg""), "".jpg"", """"), ""-"", "", ""), """")"),"")</f>
        <v/>
      </c>
      <c r="L8339" s="12"/>
      <c r="M8339" s="13"/>
      <c r="N8339" s="2"/>
      <c r="O8339" s="20"/>
      <c r="P8339" s="42"/>
      <c r="R8339" s="23"/>
    </row>
    <row r="8340" spans="1:18" ht="12.75">
      <c r="A8340" s="12"/>
      <c r="D8340" s="12"/>
      <c r="E8340" s="12"/>
      <c r="H8340" s="11" t="str">
        <f ca="1">IFERROR(__xludf.DUMMYFUNCTION("IFERROR(SUBSTITUTE(SUBSTITUTE(REGEXEXTRACT(A8340, ""[^-]+- [^-]+- [^-]+ - (.+?)\.jpg""), "".jpg"", """"), ""-"", "", ""), """")"),"")</f>
        <v/>
      </c>
      <c r="L8340" s="12"/>
      <c r="M8340" s="13"/>
      <c r="N8340" s="2"/>
      <c r="O8340" s="20"/>
      <c r="P8340" s="42"/>
      <c r="R8340" s="23"/>
    </row>
    <row r="8341" spans="1:18" ht="12.75">
      <c r="A8341" s="12"/>
      <c r="D8341" s="12"/>
      <c r="E8341" s="12"/>
      <c r="H8341" s="11" t="str">
        <f ca="1">IFERROR(__xludf.DUMMYFUNCTION("IFERROR(SUBSTITUTE(SUBSTITUTE(REGEXEXTRACT(A8341, ""[^-]+- [^-]+- [^-]+ - (.+?)\.jpg""), "".jpg"", """"), ""-"", "", ""), """")"),"")</f>
        <v/>
      </c>
      <c r="L8341" s="12"/>
      <c r="M8341" s="13"/>
      <c r="N8341" s="2"/>
      <c r="O8341" s="20"/>
      <c r="P8341" s="42"/>
      <c r="R8341" s="23"/>
    </row>
    <row r="8342" spans="1:18" ht="12.75">
      <c r="A8342" s="12"/>
      <c r="D8342" s="12"/>
      <c r="E8342" s="12"/>
      <c r="H8342" s="11" t="str">
        <f ca="1">IFERROR(__xludf.DUMMYFUNCTION("IFERROR(SUBSTITUTE(SUBSTITUTE(REGEXEXTRACT(A8342, ""[^-]+- [^-]+- [^-]+ - (.+?)\.jpg""), "".jpg"", """"), ""-"", "", ""), """")"),"")</f>
        <v/>
      </c>
      <c r="L8342" s="12"/>
      <c r="M8342" s="13"/>
      <c r="N8342" s="2"/>
      <c r="O8342" s="20"/>
      <c r="P8342" s="42"/>
      <c r="R8342" s="23"/>
    </row>
    <row r="8343" spans="1:18" ht="12.75">
      <c r="A8343" s="12"/>
      <c r="D8343" s="12"/>
      <c r="E8343" s="12"/>
      <c r="H8343" s="11" t="str">
        <f ca="1">IFERROR(__xludf.DUMMYFUNCTION("IFERROR(SUBSTITUTE(SUBSTITUTE(REGEXEXTRACT(A8343, ""[^-]+- [^-]+- [^-]+ - (.+?)\.jpg""), "".jpg"", """"), ""-"", "", ""), """")"),"")</f>
        <v/>
      </c>
      <c r="L8343" s="12"/>
      <c r="M8343" s="13"/>
      <c r="N8343" s="2"/>
      <c r="O8343" s="20"/>
      <c r="P8343" s="42"/>
      <c r="R8343" s="23"/>
    </row>
    <row r="8344" spans="1:18" ht="12.75">
      <c r="A8344" s="12"/>
      <c r="D8344" s="12"/>
      <c r="E8344" s="12"/>
      <c r="H8344" s="11" t="str">
        <f ca="1">IFERROR(__xludf.DUMMYFUNCTION("IFERROR(SUBSTITUTE(SUBSTITUTE(REGEXEXTRACT(A8344, ""[^-]+- [^-]+- [^-]+ - (.+?)\.jpg""), "".jpg"", """"), ""-"", "", ""), """")"),"")</f>
        <v/>
      </c>
      <c r="L8344" s="12"/>
      <c r="M8344" s="13"/>
      <c r="N8344" s="2"/>
      <c r="O8344" s="20"/>
      <c r="P8344" s="42"/>
      <c r="R8344" s="23"/>
    </row>
    <row r="8345" spans="1:18" ht="12.75">
      <c r="A8345" s="12"/>
      <c r="D8345" s="12"/>
      <c r="E8345" s="12"/>
      <c r="H8345" s="11" t="str">
        <f ca="1">IFERROR(__xludf.DUMMYFUNCTION("IFERROR(SUBSTITUTE(SUBSTITUTE(REGEXEXTRACT(A8345, ""[^-]+- [^-]+- [^-]+ - (.+?)\.jpg""), "".jpg"", """"), ""-"", "", ""), """")"),"")</f>
        <v/>
      </c>
      <c r="L8345" s="12"/>
      <c r="M8345" s="13"/>
      <c r="N8345" s="2"/>
      <c r="O8345" s="20"/>
      <c r="P8345" s="42"/>
      <c r="R8345" s="23"/>
    </row>
    <row r="8346" spans="1:18" ht="12.75">
      <c r="A8346" s="12"/>
      <c r="D8346" s="12"/>
      <c r="E8346" s="12"/>
      <c r="H8346" s="11" t="str">
        <f ca="1">IFERROR(__xludf.DUMMYFUNCTION("IFERROR(SUBSTITUTE(SUBSTITUTE(REGEXEXTRACT(A8346, ""[^-]+- [^-]+- [^-]+ - (.+?)\.jpg""), "".jpg"", """"), ""-"", "", ""), """")"),"")</f>
        <v/>
      </c>
      <c r="L8346" s="12"/>
      <c r="M8346" s="13"/>
      <c r="N8346" s="2"/>
      <c r="O8346" s="20"/>
      <c r="P8346" s="42"/>
      <c r="R8346" s="23"/>
    </row>
    <row r="8347" spans="1:18" ht="12.75">
      <c r="A8347" s="12"/>
      <c r="D8347" s="12"/>
      <c r="E8347" s="12"/>
      <c r="H8347" s="11" t="str">
        <f ca="1">IFERROR(__xludf.DUMMYFUNCTION("IFERROR(SUBSTITUTE(SUBSTITUTE(REGEXEXTRACT(A8347, ""[^-]+- [^-]+- [^-]+ - (.+?)\.jpg""), "".jpg"", """"), ""-"", "", ""), """")"),"")</f>
        <v/>
      </c>
      <c r="L8347" s="12"/>
      <c r="M8347" s="13"/>
      <c r="N8347" s="2"/>
      <c r="O8347" s="20"/>
      <c r="P8347" s="42"/>
      <c r="R8347" s="23"/>
    </row>
    <row r="8348" spans="1:18" ht="12.75">
      <c r="A8348" s="12"/>
      <c r="D8348" s="12"/>
      <c r="E8348" s="12"/>
      <c r="H8348" s="11" t="str">
        <f ca="1">IFERROR(__xludf.DUMMYFUNCTION("IFERROR(SUBSTITUTE(SUBSTITUTE(REGEXEXTRACT(A8348, ""[^-]+- [^-]+- [^-]+ - (.+?)\.jpg""), "".jpg"", """"), ""-"", "", ""), """")"),"")</f>
        <v/>
      </c>
      <c r="L8348" s="12"/>
      <c r="M8348" s="13"/>
      <c r="N8348" s="2"/>
      <c r="O8348" s="20"/>
      <c r="P8348" s="42"/>
      <c r="R8348" s="23"/>
    </row>
    <row r="8349" spans="1:18" ht="12.75">
      <c r="A8349" s="12"/>
      <c r="D8349" s="12"/>
      <c r="E8349" s="12"/>
      <c r="H8349" s="11" t="str">
        <f ca="1">IFERROR(__xludf.DUMMYFUNCTION("IFERROR(SUBSTITUTE(SUBSTITUTE(REGEXEXTRACT(A8349, ""[^-]+- [^-]+- [^-]+ - (.+?)\.jpg""), "".jpg"", """"), ""-"", "", ""), """")"),"")</f>
        <v/>
      </c>
      <c r="L8349" s="12"/>
      <c r="M8349" s="13"/>
      <c r="N8349" s="2"/>
      <c r="O8349" s="20"/>
      <c r="P8349" s="42"/>
      <c r="R8349" s="23"/>
    </row>
    <row r="8350" spans="1:18" ht="12.75">
      <c r="A8350" s="12"/>
      <c r="D8350" s="12"/>
      <c r="E8350" s="12"/>
      <c r="H8350" s="11" t="str">
        <f ca="1">IFERROR(__xludf.DUMMYFUNCTION("IFERROR(SUBSTITUTE(SUBSTITUTE(REGEXEXTRACT(A8350, ""[^-]+- [^-]+- [^-]+ - (.+?)\.jpg""), "".jpg"", """"), ""-"", "", ""), """")"),"")</f>
        <v/>
      </c>
      <c r="L8350" s="12"/>
      <c r="M8350" s="13"/>
      <c r="N8350" s="2"/>
      <c r="O8350" s="20"/>
      <c r="P8350" s="42"/>
      <c r="R8350" s="23"/>
    </row>
    <row r="8351" spans="1:18" ht="12.75">
      <c r="A8351" s="12"/>
      <c r="D8351" s="12"/>
      <c r="E8351" s="12"/>
      <c r="H8351" s="11" t="str">
        <f ca="1">IFERROR(__xludf.DUMMYFUNCTION("IFERROR(SUBSTITUTE(SUBSTITUTE(REGEXEXTRACT(A8351, ""[^-]+- [^-]+- [^-]+ - (.+?)\.jpg""), "".jpg"", """"), ""-"", "", ""), """")"),"")</f>
        <v/>
      </c>
      <c r="L8351" s="12"/>
      <c r="M8351" s="13"/>
      <c r="N8351" s="2"/>
      <c r="O8351" s="20"/>
      <c r="P8351" s="42"/>
      <c r="R8351" s="23"/>
    </row>
    <row r="8352" spans="1:18" ht="12.75">
      <c r="A8352" s="12"/>
      <c r="D8352" s="12"/>
      <c r="E8352" s="12"/>
      <c r="H8352" s="11" t="str">
        <f ca="1">IFERROR(__xludf.DUMMYFUNCTION("IFERROR(SUBSTITUTE(SUBSTITUTE(REGEXEXTRACT(A8352, ""[^-]+- [^-]+- [^-]+ - (.+?)\.jpg""), "".jpg"", """"), ""-"", "", ""), """")"),"")</f>
        <v/>
      </c>
      <c r="L8352" s="12"/>
      <c r="M8352" s="13"/>
      <c r="N8352" s="2"/>
      <c r="O8352" s="20"/>
      <c r="P8352" s="42"/>
      <c r="R8352" s="23"/>
    </row>
    <row r="8353" spans="1:18" ht="12.75">
      <c r="A8353" s="12"/>
      <c r="D8353" s="12"/>
      <c r="E8353" s="12"/>
      <c r="H8353" s="11" t="str">
        <f ca="1">IFERROR(__xludf.DUMMYFUNCTION("IFERROR(SUBSTITUTE(SUBSTITUTE(REGEXEXTRACT(A8353, ""[^-]+- [^-]+- [^-]+ - (.+?)\.jpg""), "".jpg"", """"), ""-"", "", ""), """")"),"")</f>
        <v/>
      </c>
      <c r="L8353" s="12"/>
      <c r="M8353" s="13"/>
      <c r="N8353" s="2"/>
      <c r="O8353" s="20"/>
      <c r="P8353" s="42"/>
      <c r="R8353" s="23"/>
    </row>
    <row r="8354" spans="1:18" ht="12.75">
      <c r="A8354" s="12"/>
      <c r="D8354" s="12"/>
      <c r="E8354" s="12"/>
      <c r="H8354" s="11" t="str">
        <f ca="1">IFERROR(__xludf.DUMMYFUNCTION("IFERROR(SUBSTITUTE(SUBSTITUTE(REGEXEXTRACT(A8354, ""[^-]+- [^-]+- [^-]+ - (.+?)\.jpg""), "".jpg"", """"), ""-"", "", ""), """")"),"")</f>
        <v/>
      </c>
      <c r="L8354" s="12"/>
      <c r="M8354" s="13"/>
      <c r="N8354" s="2"/>
      <c r="O8354" s="20"/>
      <c r="P8354" s="42"/>
      <c r="R8354" s="23"/>
    </row>
    <row r="8355" spans="1:18" ht="12.75">
      <c r="A8355" s="12"/>
      <c r="D8355" s="12"/>
      <c r="E8355" s="12"/>
      <c r="H8355" s="11" t="str">
        <f ca="1">IFERROR(__xludf.DUMMYFUNCTION("IFERROR(SUBSTITUTE(SUBSTITUTE(REGEXEXTRACT(A8355, ""[^-]+- [^-]+- [^-]+ - (.+?)\.jpg""), "".jpg"", """"), ""-"", "", ""), """")"),"")</f>
        <v/>
      </c>
      <c r="L8355" s="12"/>
      <c r="M8355" s="13"/>
      <c r="N8355" s="2"/>
      <c r="O8355" s="20"/>
      <c r="P8355" s="42"/>
      <c r="R8355" s="23"/>
    </row>
    <row r="8356" spans="1:18" ht="12.75">
      <c r="A8356" s="12"/>
      <c r="D8356" s="12"/>
      <c r="E8356" s="12"/>
      <c r="H8356" s="11" t="str">
        <f ca="1">IFERROR(__xludf.DUMMYFUNCTION("IFERROR(SUBSTITUTE(SUBSTITUTE(REGEXEXTRACT(A8356, ""[^-]+- [^-]+- [^-]+ - (.+?)\.jpg""), "".jpg"", """"), ""-"", "", ""), """")"),"")</f>
        <v/>
      </c>
      <c r="L8356" s="12"/>
      <c r="M8356" s="13"/>
      <c r="N8356" s="2"/>
      <c r="O8356" s="20"/>
      <c r="P8356" s="42"/>
      <c r="R8356" s="23"/>
    </row>
    <row r="8357" spans="1:18" ht="12.75">
      <c r="A8357" s="12"/>
      <c r="D8357" s="12"/>
      <c r="E8357" s="12"/>
      <c r="H8357" s="11" t="str">
        <f ca="1">IFERROR(__xludf.DUMMYFUNCTION("IFERROR(SUBSTITUTE(SUBSTITUTE(REGEXEXTRACT(A8357, ""[^-]+- [^-]+- [^-]+ - (.+?)\.jpg""), "".jpg"", """"), ""-"", "", ""), """")"),"")</f>
        <v/>
      </c>
      <c r="L8357" s="12"/>
      <c r="M8357" s="13"/>
      <c r="N8357" s="2"/>
      <c r="O8357" s="20"/>
      <c r="P8357" s="42"/>
      <c r="R8357" s="23"/>
    </row>
    <row r="8358" spans="1:18" ht="12.75">
      <c r="A8358" s="12"/>
      <c r="D8358" s="12"/>
      <c r="E8358" s="12"/>
      <c r="H8358" s="11" t="str">
        <f ca="1">IFERROR(__xludf.DUMMYFUNCTION("IFERROR(SUBSTITUTE(SUBSTITUTE(REGEXEXTRACT(A8358, ""[^-]+- [^-]+- [^-]+ - (.+?)\.jpg""), "".jpg"", """"), ""-"", "", ""), """")"),"")</f>
        <v/>
      </c>
      <c r="L8358" s="12"/>
      <c r="M8358" s="13"/>
      <c r="N8358" s="2"/>
      <c r="O8358" s="20"/>
      <c r="P8358" s="42"/>
      <c r="R8358" s="23"/>
    </row>
    <row r="8359" spans="1:18" ht="12.75">
      <c r="A8359" s="12"/>
      <c r="D8359" s="12"/>
      <c r="E8359" s="12"/>
      <c r="H8359" s="11" t="str">
        <f ca="1">IFERROR(__xludf.DUMMYFUNCTION("IFERROR(SUBSTITUTE(SUBSTITUTE(REGEXEXTRACT(A8359, ""[^-]+- [^-]+- [^-]+ - (.+?)\.jpg""), "".jpg"", """"), ""-"", "", ""), """")"),"")</f>
        <v/>
      </c>
      <c r="L8359" s="12"/>
      <c r="M8359" s="13"/>
      <c r="N8359" s="2"/>
      <c r="O8359" s="20"/>
      <c r="P8359" s="42"/>
      <c r="R8359" s="23"/>
    </row>
    <row r="8360" spans="1:18" ht="12.75">
      <c r="A8360" s="12"/>
      <c r="D8360" s="12"/>
      <c r="E8360" s="12"/>
      <c r="H8360" s="11" t="str">
        <f ca="1">IFERROR(__xludf.DUMMYFUNCTION("IFERROR(SUBSTITUTE(SUBSTITUTE(REGEXEXTRACT(A8360, ""[^-]+- [^-]+- [^-]+ - (.+?)\.jpg""), "".jpg"", """"), ""-"", "", ""), """")"),"")</f>
        <v/>
      </c>
      <c r="L8360" s="12"/>
      <c r="M8360" s="13"/>
      <c r="N8360" s="2"/>
      <c r="O8360" s="20"/>
      <c r="P8360" s="42"/>
      <c r="R8360" s="23"/>
    </row>
    <row r="8361" spans="1:18" ht="12.75">
      <c r="A8361" s="12"/>
      <c r="D8361" s="12"/>
      <c r="E8361" s="12"/>
      <c r="H8361" s="11" t="str">
        <f ca="1">IFERROR(__xludf.DUMMYFUNCTION("IFERROR(SUBSTITUTE(SUBSTITUTE(REGEXEXTRACT(A8361, ""[^-]+- [^-]+- [^-]+ - (.+?)\.jpg""), "".jpg"", """"), ""-"", "", ""), """")"),"")</f>
        <v/>
      </c>
      <c r="L8361" s="12"/>
      <c r="M8361" s="13"/>
      <c r="N8361" s="2"/>
      <c r="O8361" s="20"/>
      <c r="P8361" s="42"/>
      <c r="R8361" s="23"/>
    </row>
    <row r="8362" spans="1:18" ht="12.75">
      <c r="A8362" s="12"/>
      <c r="D8362" s="12"/>
      <c r="E8362" s="12"/>
      <c r="H8362" s="11" t="str">
        <f ca="1">IFERROR(__xludf.DUMMYFUNCTION("IFERROR(SUBSTITUTE(SUBSTITUTE(REGEXEXTRACT(A8362, ""[^-]+- [^-]+- [^-]+ - (.+?)\.jpg""), "".jpg"", """"), ""-"", "", ""), """")"),"")</f>
        <v/>
      </c>
      <c r="L8362" s="12"/>
      <c r="M8362" s="13"/>
      <c r="N8362" s="2"/>
      <c r="O8362" s="20"/>
      <c r="P8362" s="42"/>
      <c r="R8362" s="23"/>
    </row>
    <row r="8363" spans="1:18" ht="12.75">
      <c r="A8363" s="12"/>
      <c r="D8363" s="12"/>
      <c r="E8363" s="12"/>
      <c r="H8363" s="11" t="str">
        <f ca="1">IFERROR(__xludf.DUMMYFUNCTION("IFERROR(SUBSTITUTE(SUBSTITUTE(REGEXEXTRACT(A8363, ""[^-]+- [^-]+- [^-]+ - (.+?)\.jpg""), "".jpg"", """"), ""-"", "", ""), """")"),"")</f>
        <v/>
      </c>
      <c r="L8363" s="12"/>
      <c r="M8363" s="13"/>
      <c r="N8363" s="2"/>
      <c r="O8363" s="20"/>
      <c r="P8363" s="42"/>
      <c r="R8363" s="23"/>
    </row>
    <row r="8364" spans="1:18" ht="12.75">
      <c r="A8364" s="12"/>
      <c r="D8364" s="12"/>
      <c r="E8364" s="12"/>
      <c r="H8364" s="11" t="str">
        <f ca="1">IFERROR(__xludf.DUMMYFUNCTION("IFERROR(SUBSTITUTE(SUBSTITUTE(REGEXEXTRACT(A8364, ""[^-]+- [^-]+- [^-]+ - (.+?)\.jpg""), "".jpg"", """"), ""-"", "", ""), """")"),"")</f>
        <v/>
      </c>
      <c r="L8364" s="12"/>
      <c r="M8364" s="13"/>
      <c r="N8364" s="2"/>
      <c r="O8364" s="20"/>
      <c r="P8364" s="42"/>
      <c r="R8364" s="23"/>
    </row>
    <row r="8365" spans="1:18" ht="12.75">
      <c r="A8365" s="12"/>
      <c r="D8365" s="12"/>
      <c r="E8365" s="12"/>
      <c r="H8365" s="11" t="str">
        <f ca="1">IFERROR(__xludf.DUMMYFUNCTION("IFERROR(SUBSTITUTE(SUBSTITUTE(REGEXEXTRACT(A8365, ""[^-]+- [^-]+- [^-]+ - (.+?)\.jpg""), "".jpg"", """"), ""-"", "", ""), """")"),"")</f>
        <v/>
      </c>
      <c r="L8365" s="12"/>
      <c r="M8365" s="13"/>
      <c r="N8365" s="2"/>
      <c r="O8365" s="20"/>
      <c r="P8365" s="42"/>
      <c r="R8365" s="23"/>
    </row>
    <row r="8366" spans="1:18" ht="12.75">
      <c r="A8366" s="12"/>
      <c r="D8366" s="12"/>
      <c r="E8366" s="12"/>
      <c r="H8366" s="11" t="str">
        <f ca="1">IFERROR(__xludf.DUMMYFUNCTION("IFERROR(SUBSTITUTE(SUBSTITUTE(REGEXEXTRACT(A8366, ""[^-]+- [^-]+- [^-]+ - (.+?)\.jpg""), "".jpg"", """"), ""-"", "", ""), """")"),"")</f>
        <v/>
      </c>
      <c r="L8366" s="12"/>
      <c r="M8366" s="13"/>
      <c r="N8366" s="2"/>
      <c r="O8366" s="20"/>
      <c r="P8366" s="42"/>
      <c r="R8366" s="23"/>
    </row>
    <row r="8367" spans="1:18" ht="12.75">
      <c r="A8367" s="12"/>
      <c r="D8367" s="12"/>
      <c r="E8367" s="12"/>
      <c r="H8367" s="11" t="str">
        <f ca="1">IFERROR(__xludf.DUMMYFUNCTION("IFERROR(SUBSTITUTE(SUBSTITUTE(REGEXEXTRACT(A8367, ""[^-]+- [^-]+- [^-]+ - (.+?)\.jpg""), "".jpg"", """"), ""-"", "", ""), """")"),"")</f>
        <v/>
      </c>
      <c r="L8367" s="12"/>
      <c r="M8367" s="13"/>
      <c r="N8367" s="2"/>
      <c r="O8367" s="20"/>
      <c r="P8367" s="42"/>
      <c r="R8367" s="23"/>
    </row>
    <row r="8368" spans="1:18" ht="12.75">
      <c r="A8368" s="12"/>
      <c r="D8368" s="12"/>
      <c r="E8368" s="12"/>
      <c r="H8368" s="11" t="str">
        <f ca="1">IFERROR(__xludf.DUMMYFUNCTION("IFERROR(SUBSTITUTE(SUBSTITUTE(REGEXEXTRACT(A8368, ""[^-]+- [^-]+- [^-]+ - (.+?)\.jpg""), "".jpg"", """"), ""-"", "", ""), """")"),"")</f>
        <v/>
      </c>
      <c r="L8368" s="12"/>
      <c r="M8368" s="13"/>
      <c r="N8368" s="2"/>
      <c r="O8368" s="20"/>
      <c r="P8368" s="42"/>
      <c r="R8368" s="23"/>
    </row>
    <row r="8369" spans="1:18" ht="12.75">
      <c r="A8369" s="12"/>
      <c r="D8369" s="12"/>
      <c r="E8369" s="12"/>
      <c r="H8369" s="11" t="str">
        <f ca="1">IFERROR(__xludf.DUMMYFUNCTION("IFERROR(SUBSTITUTE(SUBSTITUTE(REGEXEXTRACT(A8369, ""[^-]+- [^-]+- [^-]+ - (.+?)\.jpg""), "".jpg"", """"), ""-"", "", ""), """")"),"")</f>
        <v/>
      </c>
      <c r="L8369" s="12"/>
      <c r="M8369" s="13"/>
      <c r="N8369" s="2"/>
      <c r="O8369" s="20"/>
      <c r="P8369" s="42"/>
      <c r="R8369" s="23"/>
    </row>
    <row r="8370" spans="1:18" ht="12.75">
      <c r="A8370" s="12"/>
      <c r="D8370" s="12"/>
      <c r="E8370" s="12"/>
      <c r="H8370" s="11" t="str">
        <f ca="1">IFERROR(__xludf.DUMMYFUNCTION("IFERROR(SUBSTITUTE(SUBSTITUTE(REGEXEXTRACT(A8370, ""[^-]+- [^-]+- [^-]+ - (.+?)\.jpg""), "".jpg"", """"), ""-"", "", ""), """")"),"")</f>
        <v/>
      </c>
      <c r="L8370" s="12"/>
      <c r="M8370" s="13"/>
      <c r="N8370" s="2"/>
      <c r="O8370" s="20"/>
      <c r="P8370" s="42"/>
      <c r="R8370" s="23"/>
    </row>
    <row r="8371" spans="1:18" ht="12.75">
      <c r="A8371" s="12"/>
      <c r="D8371" s="12"/>
      <c r="E8371" s="12"/>
      <c r="H8371" s="11" t="str">
        <f ca="1">IFERROR(__xludf.DUMMYFUNCTION("IFERROR(SUBSTITUTE(SUBSTITUTE(REGEXEXTRACT(A8371, ""[^-]+- [^-]+- [^-]+ - (.+?)\.jpg""), "".jpg"", """"), ""-"", "", ""), """")"),"")</f>
        <v/>
      </c>
      <c r="L8371" s="12"/>
      <c r="M8371" s="13"/>
      <c r="N8371" s="2"/>
      <c r="O8371" s="20"/>
      <c r="P8371" s="42"/>
      <c r="R8371" s="23"/>
    </row>
    <row r="8372" spans="1:18" ht="12.75">
      <c r="A8372" s="12"/>
      <c r="D8372" s="12"/>
      <c r="E8372" s="12"/>
      <c r="H8372" s="11" t="str">
        <f ca="1">IFERROR(__xludf.DUMMYFUNCTION("IFERROR(SUBSTITUTE(SUBSTITUTE(REGEXEXTRACT(A8372, ""[^-]+- [^-]+- [^-]+ - (.+?)\.jpg""), "".jpg"", """"), ""-"", "", ""), """")"),"")</f>
        <v/>
      </c>
      <c r="L8372" s="12"/>
      <c r="M8372" s="13"/>
      <c r="N8372" s="2"/>
      <c r="O8372" s="20"/>
      <c r="P8372" s="42"/>
      <c r="R8372" s="23"/>
    </row>
    <row r="8373" spans="1:18" ht="12.75">
      <c r="A8373" s="12"/>
      <c r="D8373" s="12"/>
      <c r="E8373" s="12"/>
      <c r="H8373" s="11" t="str">
        <f ca="1">IFERROR(__xludf.DUMMYFUNCTION("IFERROR(SUBSTITUTE(SUBSTITUTE(REGEXEXTRACT(A8373, ""[^-]+- [^-]+- [^-]+ - (.+?)\.jpg""), "".jpg"", """"), ""-"", "", ""), """")"),"")</f>
        <v/>
      </c>
      <c r="L8373" s="12"/>
      <c r="M8373" s="13"/>
      <c r="N8373" s="2"/>
      <c r="O8373" s="20"/>
      <c r="P8373" s="42"/>
      <c r="R8373" s="23"/>
    </row>
    <row r="8374" spans="1:18" ht="12.75">
      <c r="A8374" s="12"/>
      <c r="D8374" s="12"/>
      <c r="E8374" s="12"/>
      <c r="H8374" s="11" t="str">
        <f ca="1">IFERROR(__xludf.DUMMYFUNCTION("IFERROR(SUBSTITUTE(SUBSTITUTE(REGEXEXTRACT(A8374, ""[^-]+- [^-]+- [^-]+ - (.+?)\.jpg""), "".jpg"", """"), ""-"", "", ""), """")"),"")</f>
        <v/>
      </c>
      <c r="L8374" s="12"/>
      <c r="M8374" s="13"/>
      <c r="N8374" s="2"/>
      <c r="O8374" s="20"/>
      <c r="P8374" s="42"/>
      <c r="R8374" s="23"/>
    </row>
    <row r="8375" spans="1:18" ht="12.75">
      <c r="A8375" s="12"/>
      <c r="D8375" s="12"/>
      <c r="E8375" s="12"/>
      <c r="H8375" s="11" t="str">
        <f ca="1">IFERROR(__xludf.DUMMYFUNCTION("IFERROR(SUBSTITUTE(SUBSTITUTE(REGEXEXTRACT(A8375, ""[^-]+- [^-]+- [^-]+ - (.+?)\.jpg""), "".jpg"", """"), ""-"", "", ""), """")"),"")</f>
        <v/>
      </c>
      <c r="L8375" s="12"/>
      <c r="M8375" s="13"/>
      <c r="N8375" s="2"/>
      <c r="O8375" s="20"/>
      <c r="P8375" s="42"/>
      <c r="R8375" s="23"/>
    </row>
    <row r="8376" spans="1:18" ht="12.75">
      <c r="A8376" s="12"/>
      <c r="D8376" s="12"/>
      <c r="E8376" s="12"/>
      <c r="H8376" s="11" t="str">
        <f ca="1">IFERROR(__xludf.DUMMYFUNCTION("IFERROR(SUBSTITUTE(SUBSTITUTE(REGEXEXTRACT(A8376, ""[^-]+- [^-]+- [^-]+ - (.+?)\.jpg""), "".jpg"", """"), ""-"", "", ""), """")"),"")</f>
        <v/>
      </c>
      <c r="L8376" s="12"/>
      <c r="M8376" s="13"/>
      <c r="N8376" s="2"/>
      <c r="O8376" s="20"/>
      <c r="P8376" s="42"/>
      <c r="R8376" s="23"/>
    </row>
    <row r="8377" spans="1:18" ht="12.75">
      <c r="A8377" s="12"/>
      <c r="D8377" s="12"/>
      <c r="E8377" s="12"/>
      <c r="H8377" s="11" t="str">
        <f ca="1">IFERROR(__xludf.DUMMYFUNCTION("IFERROR(SUBSTITUTE(SUBSTITUTE(REGEXEXTRACT(A8377, ""[^-]+- [^-]+- [^-]+ - (.+?)\.jpg""), "".jpg"", """"), ""-"", "", ""), """")"),"")</f>
        <v/>
      </c>
      <c r="L8377" s="12"/>
      <c r="M8377" s="13"/>
      <c r="N8377" s="2"/>
      <c r="O8377" s="20"/>
      <c r="P8377" s="42"/>
      <c r="R8377" s="23"/>
    </row>
    <row r="8378" spans="1:18" ht="12.75">
      <c r="A8378" s="12"/>
      <c r="D8378" s="12"/>
      <c r="E8378" s="12"/>
      <c r="H8378" s="11" t="str">
        <f ca="1">IFERROR(__xludf.DUMMYFUNCTION("IFERROR(SUBSTITUTE(SUBSTITUTE(REGEXEXTRACT(A8378, ""[^-]+- [^-]+- [^-]+ - (.+?)\.jpg""), "".jpg"", """"), ""-"", "", ""), """")"),"")</f>
        <v/>
      </c>
      <c r="L8378" s="12"/>
      <c r="M8378" s="13"/>
      <c r="N8378" s="2"/>
      <c r="O8378" s="20"/>
      <c r="P8378" s="42"/>
      <c r="R8378" s="23"/>
    </row>
    <row r="8379" spans="1:18" ht="12.75">
      <c r="A8379" s="12"/>
      <c r="D8379" s="12"/>
      <c r="E8379" s="12"/>
      <c r="H8379" s="11" t="str">
        <f ca="1">IFERROR(__xludf.DUMMYFUNCTION("IFERROR(SUBSTITUTE(SUBSTITUTE(REGEXEXTRACT(A8379, ""[^-]+- [^-]+- [^-]+ - (.+?)\.jpg""), "".jpg"", """"), ""-"", "", ""), """")"),"")</f>
        <v/>
      </c>
      <c r="L8379" s="12"/>
      <c r="M8379" s="13"/>
      <c r="N8379" s="2"/>
      <c r="O8379" s="20"/>
      <c r="P8379" s="42"/>
      <c r="R8379" s="23"/>
    </row>
    <row r="8380" spans="1:18" ht="12.75">
      <c r="A8380" s="12"/>
      <c r="D8380" s="12"/>
      <c r="E8380" s="12"/>
      <c r="H8380" s="11" t="str">
        <f ca="1">IFERROR(__xludf.DUMMYFUNCTION("IFERROR(SUBSTITUTE(SUBSTITUTE(REGEXEXTRACT(A8380, ""[^-]+- [^-]+- [^-]+ - (.+?)\.jpg""), "".jpg"", """"), ""-"", "", ""), """")"),"")</f>
        <v/>
      </c>
      <c r="L8380" s="12"/>
      <c r="M8380" s="13"/>
      <c r="N8380" s="2"/>
      <c r="O8380" s="20"/>
      <c r="P8380" s="42"/>
      <c r="R8380" s="23"/>
    </row>
    <row r="8381" spans="1:18" ht="12.75">
      <c r="A8381" s="12"/>
      <c r="D8381" s="12"/>
      <c r="E8381" s="12"/>
      <c r="H8381" s="11" t="str">
        <f ca="1">IFERROR(__xludf.DUMMYFUNCTION("IFERROR(SUBSTITUTE(SUBSTITUTE(REGEXEXTRACT(A8381, ""[^-]+- [^-]+- [^-]+ - (.+?)\.jpg""), "".jpg"", """"), ""-"", "", ""), """")"),"")</f>
        <v/>
      </c>
      <c r="L8381" s="12"/>
      <c r="M8381" s="13"/>
      <c r="N8381" s="2"/>
      <c r="O8381" s="20"/>
      <c r="P8381" s="42"/>
      <c r="R8381" s="23"/>
    </row>
    <row r="8382" spans="1:18" ht="12.75">
      <c r="A8382" s="12"/>
      <c r="D8382" s="12"/>
      <c r="E8382" s="12"/>
      <c r="H8382" s="11" t="str">
        <f ca="1">IFERROR(__xludf.DUMMYFUNCTION("IFERROR(SUBSTITUTE(SUBSTITUTE(REGEXEXTRACT(A8382, ""[^-]+- [^-]+- [^-]+ - (.+?)\.jpg""), "".jpg"", """"), ""-"", "", ""), """")"),"")</f>
        <v/>
      </c>
      <c r="L8382" s="12"/>
      <c r="M8382" s="13"/>
      <c r="N8382" s="2"/>
      <c r="O8382" s="20"/>
      <c r="P8382" s="42"/>
      <c r="R8382" s="23"/>
    </row>
    <row r="8383" spans="1:18" ht="12.75">
      <c r="A8383" s="12"/>
      <c r="D8383" s="12"/>
      <c r="E8383" s="12"/>
      <c r="H8383" s="11" t="str">
        <f ca="1">IFERROR(__xludf.DUMMYFUNCTION("IFERROR(SUBSTITUTE(SUBSTITUTE(REGEXEXTRACT(A8383, ""[^-]+- [^-]+- [^-]+ - (.+?)\.jpg""), "".jpg"", """"), ""-"", "", ""), """")"),"")</f>
        <v/>
      </c>
      <c r="L8383" s="12"/>
      <c r="M8383" s="13"/>
      <c r="N8383" s="2"/>
      <c r="O8383" s="20"/>
      <c r="P8383" s="42"/>
      <c r="R8383" s="23"/>
    </row>
    <row r="8384" spans="1:18" ht="12.75">
      <c r="A8384" s="12"/>
      <c r="D8384" s="12"/>
      <c r="E8384" s="12"/>
      <c r="H8384" s="11" t="str">
        <f ca="1">IFERROR(__xludf.DUMMYFUNCTION("IFERROR(SUBSTITUTE(SUBSTITUTE(REGEXEXTRACT(A8384, ""[^-]+- [^-]+- [^-]+ - (.+?)\.jpg""), "".jpg"", """"), ""-"", "", ""), """")"),"")</f>
        <v/>
      </c>
      <c r="L8384" s="12"/>
      <c r="M8384" s="13"/>
      <c r="N8384" s="2"/>
      <c r="O8384" s="20"/>
      <c r="P8384" s="42"/>
      <c r="R8384" s="23"/>
    </row>
    <row r="8385" spans="1:18" ht="12.75">
      <c r="A8385" s="12"/>
      <c r="D8385" s="12"/>
      <c r="E8385" s="12"/>
      <c r="H8385" s="11" t="str">
        <f ca="1">IFERROR(__xludf.DUMMYFUNCTION("IFERROR(SUBSTITUTE(SUBSTITUTE(REGEXEXTRACT(A8385, ""[^-]+- [^-]+- [^-]+ - (.+?)\.jpg""), "".jpg"", """"), ""-"", "", ""), """")"),"")</f>
        <v/>
      </c>
      <c r="L8385" s="12"/>
      <c r="M8385" s="13"/>
      <c r="N8385" s="2"/>
      <c r="O8385" s="20"/>
      <c r="P8385" s="42"/>
      <c r="R8385" s="23"/>
    </row>
    <row r="8386" spans="1:18" ht="12.75">
      <c r="A8386" s="12"/>
      <c r="D8386" s="12"/>
      <c r="E8386" s="12"/>
      <c r="H8386" s="11" t="str">
        <f ca="1">IFERROR(__xludf.DUMMYFUNCTION("IFERROR(SUBSTITUTE(SUBSTITUTE(REGEXEXTRACT(A8386, ""[^-]+- [^-]+- [^-]+ - (.+?)\.jpg""), "".jpg"", """"), ""-"", "", ""), """")"),"")</f>
        <v/>
      </c>
      <c r="L8386" s="12"/>
      <c r="M8386" s="13"/>
      <c r="N8386" s="2"/>
      <c r="O8386" s="20"/>
      <c r="P8386" s="42"/>
      <c r="R8386" s="23"/>
    </row>
    <row r="8387" spans="1:18" ht="12.75">
      <c r="A8387" s="12"/>
      <c r="D8387" s="12"/>
      <c r="E8387" s="12"/>
      <c r="H8387" s="11" t="str">
        <f ca="1">IFERROR(__xludf.DUMMYFUNCTION("IFERROR(SUBSTITUTE(SUBSTITUTE(REGEXEXTRACT(A8387, ""[^-]+- [^-]+- [^-]+ - (.+?)\.jpg""), "".jpg"", """"), ""-"", "", ""), """")"),"")</f>
        <v/>
      </c>
      <c r="L8387" s="12"/>
      <c r="M8387" s="13"/>
      <c r="N8387" s="2"/>
      <c r="O8387" s="20"/>
      <c r="P8387" s="42"/>
      <c r="R8387" s="23"/>
    </row>
    <row r="8388" spans="1:18" ht="12.75">
      <c r="A8388" s="12"/>
      <c r="D8388" s="12"/>
      <c r="E8388" s="12"/>
      <c r="H8388" s="11" t="str">
        <f ca="1">IFERROR(__xludf.DUMMYFUNCTION("IFERROR(SUBSTITUTE(SUBSTITUTE(REGEXEXTRACT(A8388, ""[^-]+- [^-]+- [^-]+ - (.+?)\.jpg""), "".jpg"", """"), ""-"", "", ""), """")"),"")</f>
        <v/>
      </c>
      <c r="L8388" s="12"/>
      <c r="M8388" s="13"/>
      <c r="N8388" s="2"/>
      <c r="O8388" s="20"/>
      <c r="P8388" s="42"/>
      <c r="R8388" s="23"/>
    </row>
    <row r="8389" spans="1:18" ht="12.75">
      <c r="A8389" s="12"/>
      <c r="D8389" s="12"/>
      <c r="E8389" s="12"/>
      <c r="H8389" s="11" t="str">
        <f ca="1">IFERROR(__xludf.DUMMYFUNCTION("IFERROR(SUBSTITUTE(SUBSTITUTE(REGEXEXTRACT(A8389, ""[^-]+- [^-]+- [^-]+ - (.+?)\.jpg""), "".jpg"", """"), ""-"", "", ""), """")"),"")</f>
        <v/>
      </c>
      <c r="L8389" s="12"/>
      <c r="M8389" s="13"/>
      <c r="N8389" s="2"/>
      <c r="O8389" s="20"/>
      <c r="P8389" s="42"/>
      <c r="R8389" s="23"/>
    </row>
    <row r="8390" spans="1:18" ht="12.75">
      <c r="A8390" s="12"/>
      <c r="D8390" s="12"/>
      <c r="E8390" s="12"/>
      <c r="H8390" s="11" t="str">
        <f ca="1">IFERROR(__xludf.DUMMYFUNCTION("IFERROR(SUBSTITUTE(SUBSTITUTE(REGEXEXTRACT(A8390, ""[^-]+- [^-]+- [^-]+ - (.+?)\.jpg""), "".jpg"", """"), ""-"", "", ""), """")"),"")</f>
        <v/>
      </c>
      <c r="L8390" s="12"/>
      <c r="M8390" s="13"/>
      <c r="N8390" s="2"/>
      <c r="O8390" s="20"/>
      <c r="P8390" s="42"/>
      <c r="R8390" s="23"/>
    </row>
    <row r="8391" spans="1:18" ht="12.75">
      <c r="A8391" s="12"/>
      <c r="D8391" s="12"/>
      <c r="E8391" s="12"/>
      <c r="H8391" s="11" t="str">
        <f ca="1">IFERROR(__xludf.DUMMYFUNCTION("IFERROR(SUBSTITUTE(SUBSTITUTE(REGEXEXTRACT(A8391, ""[^-]+- [^-]+- [^-]+ - (.+?)\.jpg""), "".jpg"", """"), ""-"", "", ""), """")"),"")</f>
        <v/>
      </c>
      <c r="L8391" s="12"/>
      <c r="M8391" s="13"/>
      <c r="N8391" s="2"/>
      <c r="O8391" s="20"/>
      <c r="P8391" s="42"/>
      <c r="R8391" s="23"/>
    </row>
    <row r="8392" spans="1:18" ht="12.75">
      <c r="A8392" s="12"/>
      <c r="D8392" s="12"/>
      <c r="E8392" s="12"/>
      <c r="H8392" s="11" t="str">
        <f ca="1">IFERROR(__xludf.DUMMYFUNCTION("IFERROR(SUBSTITUTE(SUBSTITUTE(REGEXEXTRACT(A8392, ""[^-]+- [^-]+- [^-]+ - (.+?)\.jpg""), "".jpg"", """"), ""-"", "", ""), """")"),"")</f>
        <v/>
      </c>
      <c r="L8392" s="12"/>
      <c r="M8392" s="13"/>
      <c r="N8392" s="2"/>
      <c r="O8392" s="20"/>
      <c r="P8392" s="42"/>
      <c r="R8392" s="23"/>
    </row>
    <row r="8393" spans="1:18" ht="12.75">
      <c r="A8393" s="12"/>
      <c r="D8393" s="12"/>
      <c r="E8393" s="12"/>
      <c r="H8393" s="11" t="str">
        <f ca="1">IFERROR(__xludf.DUMMYFUNCTION("IFERROR(SUBSTITUTE(SUBSTITUTE(REGEXEXTRACT(A8393, ""[^-]+- [^-]+- [^-]+ - (.+?)\.jpg""), "".jpg"", """"), ""-"", "", ""), """")"),"")</f>
        <v/>
      </c>
      <c r="L8393" s="12"/>
      <c r="M8393" s="13"/>
      <c r="N8393" s="2"/>
      <c r="O8393" s="20"/>
      <c r="P8393" s="42"/>
      <c r="R8393" s="23"/>
    </row>
    <row r="8394" spans="1:18" ht="12.75">
      <c r="A8394" s="12"/>
      <c r="D8394" s="12"/>
      <c r="E8394" s="12"/>
      <c r="H8394" s="11" t="str">
        <f ca="1">IFERROR(__xludf.DUMMYFUNCTION("IFERROR(SUBSTITUTE(SUBSTITUTE(REGEXEXTRACT(A8394, ""[^-]+- [^-]+- [^-]+ - (.+?)\.jpg""), "".jpg"", """"), ""-"", "", ""), """")"),"")</f>
        <v/>
      </c>
      <c r="L8394" s="12"/>
      <c r="M8394" s="13"/>
      <c r="N8394" s="2"/>
      <c r="O8394" s="20"/>
      <c r="P8394" s="42"/>
      <c r="R8394" s="23"/>
    </row>
    <row r="8395" spans="1:18" ht="12.75">
      <c r="A8395" s="12"/>
      <c r="D8395" s="12"/>
      <c r="E8395" s="12"/>
      <c r="H8395" s="11" t="str">
        <f ca="1">IFERROR(__xludf.DUMMYFUNCTION("IFERROR(SUBSTITUTE(SUBSTITUTE(REGEXEXTRACT(A8395, ""[^-]+- [^-]+- [^-]+ - (.+?)\.jpg""), "".jpg"", """"), ""-"", "", ""), """")"),"")</f>
        <v/>
      </c>
      <c r="L8395" s="12"/>
      <c r="M8395" s="13"/>
      <c r="N8395" s="2"/>
      <c r="O8395" s="20"/>
      <c r="P8395" s="42"/>
      <c r="R8395" s="23"/>
    </row>
    <row r="8396" spans="1:18" ht="12.75">
      <c r="A8396" s="12"/>
      <c r="D8396" s="12"/>
      <c r="E8396" s="12"/>
      <c r="H8396" s="11" t="str">
        <f ca="1">IFERROR(__xludf.DUMMYFUNCTION("IFERROR(SUBSTITUTE(SUBSTITUTE(REGEXEXTRACT(A8396, ""[^-]+- [^-]+- [^-]+ - (.+?)\.jpg""), "".jpg"", """"), ""-"", "", ""), """")"),"")</f>
        <v/>
      </c>
      <c r="L8396" s="12"/>
      <c r="M8396" s="13"/>
      <c r="N8396" s="2"/>
      <c r="O8396" s="20"/>
      <c r="P8396" s="42"/>
      <c r="R8396" s="23"/>
    </row>
    <row r="8397" spans="1:18" ht="12.75">
      <c r="A8397" s="12"/>
      <c r="D8397" s="12"/>
      <c r="E8397" s="12"/>
      <c r="H8397" s="11" t="str">
        <f ca="1">IFERROR(__xludf.DUMMYFUNCTION("IFERROR(SUBSTITUTE(SUBSTITUTE(REGEXEXTRACT(A8397, ""[^-]+- [^-]+- [^-]+ - (.+?)\.jpg""), "".jpg"", """"), ""-"", "", ""), """")"),"")</f>
        <v/>
      </c>
      <c r="L8397" s="12"/>
      <c r="M8397" s="13"/>
      <c r="N8397" s="2"/>
      <c r="O8397" s="20"/>
      <c r="P8397" s="42"/>
      <c r="R8397" s="23"/>
    </row>
    <row r="8398" spans="1:18" ht="12.75">
      <c r="A8398" s="12"/>
      <c r="D8398" s="12"/>
      <c r="E8398" s="12"/>
      <c r="H8398" s="11" t="str">
        <f ca="1">IFERROR(__xludf.DUMMYFUNCTION("IFERROR(SUBSTITUTE(SUBSTITUTE(REGEXEXTRACT(A8398, ""[^-]+- [^-]+- [^-]+ - (.+?)\.jpg""), "".jpg"", """"), ""-"", "", ""), """")"),"")</f>
        <v/>
      </c>
      <c r="L8398" s="12"/>
      <c r="M8398" s="13"/>
      <c r="N8398" s="2"/>
      <c r="O8398" s="20"/>
      <c r="P8398" s="42"/>
      <c r="R8398" s="23"/>
    </row>
    <row r="8399" spans="1:18" ht="12.75">
      <c r="A8399" s="12"/>
      <c r="D8399" s="12"/>
      <c r="E8399" s="12"/>
      <c r="H8399" s="11" t="str">
        <f ca="1">IFERROR(__xludf.DUMMYFUNCTION("IFERROR(SUBSTITUTE(SUBSTITUTE(REGEXEXTRACT(A8399, ""[^-]+- [^-]+- [^-]+ - (.+?)\.jpg""), "".jpg"", """"), ""-"", "", ""), """")"),"")</f>
        <v/>
      </c>
      <c r="L8399" s="12"/>
      <c r="M8399" s="13"/>
      <c r="N8399" s="2"/>
      <c r="O8399" s="20"/>
      <c r="P8399" s="42"/>
      <c r="R8399" s="23"/>
    </row>
    <row r="8400" spans="1:18" ht="12.75">
      <c r="A8400" s="12"/>
      <c r="D8400" s="12"/>
      <c r="E8400" s="12"/>
      <c r="H8400" s="11" t="str">
        <f ca="1">IFERROR(__xludf.DUMMYFUNCTION("IFERROR(SUBSTITUTE(SUBSTITUTE(REGEXEXTRACT(A8400, ""[^-]+- [^-]+- [^-]+ - (.+?)\.jpg""), "".jpg"", """"), ""-"", "", ""), """")"),"")</f>
        <v/>
      </c>
      <c r="L8400" s="12"/>
      <c r="M8400" s="13"/>
      <c r="N8400" s="2"/>
      <c r="O8400" s="20"/>
      <c r="P8400" s="42"/>
      <c r="R8400" s="23"/>
    </row>
    <row r="8401" spans="1:18" ht="12.75">
      <c r="A8401" s="12"/>
      <c r="D8401" s="12"/>
      <c r="E8401" s="12"/>
      <c r="H8401" s="11" t="str">
        <f ca="1">IFERROR(__xludf.DUMMYFUNCTION("IFERROR(SUBSTITUTE(SUBSTITUTE(REGEXEXTRACT(A8401, ""[^-]+- [^-]+- [^-]+ - (.+?)\.jpg""), "".jpg"", """"), ""-"", "", ""), """")"),"")</f>
        <v/>
      </c>
      <c r="L8401" s="12"/>
      <c r="M8401" s="13"/>
      <c r="N8401" s="2"/>
      <c r="O8401" s="20"/>
      <c r="P8401" s="42"/>
      <c r="R8401" s="23"/>
    </row>
    <row r="8402" spans="1:18" ht="12.75">
      <c r="A8402" s="12"/>
      <c r="D8402" s="12"/>
      <c r="E8402" s="12"/>
      <c r="H8402" s="11" t="str">
        <f ca="1">IFERROR(__xludf.DUMMYFUNCTION("IFERROR(SUBSTITUTE(SUBSTITUTE(REGEXEXTRACT(A8402, ""[^-]+- [^-]+- [^-]+ - (.+?)\.jpg""), "".jpg"", """"), ""-"", "", ""), """")"),"")</f>
        <v/>
      </c>
      <c r="L8402" s="12"/>
      <c r="M8402" s="13"/>
      <c r="N8402" s="2"/>
      <c r="O8402" s="20"/>
      <c r="P8402" s="42"/>
      <c r="R8402" s="23"/>
    </row>
    <row r="8403" spans="1:18" ht="12.75">
      <c r="A8403" s="12"/>
      <c r="D8403" s="12"/>
      <c r="E8403" s="12"/>
      <c r="H8403" s="11" t="str">
        <f ca="1">IFERROR(__xludf.DUMMYFUNCTION("IFERROR(SUBSTITUTE(SUBSTITUTE(REGEXEXTRACT(A8403, ""[^-]+- [^-]+- [^-]+ - (.+?)\.jpg""), "".jpg"", """"), ""-"", "", ""), """")"),"")</f>
        <v/>
      </c>
      <c r="L8403" s="12"/>
      <c r="M8403" s="13"/>
      <c r="N8403" s="2"/>
      <c r="O8403" s="20"/>
      <c r="P8403" s="42"/>
      <c r="R8403" s="23"/>
    </row>
    <row r="8404" spans="1:18" ht="12.75">
      <c r="A8404" s="12"/>
      <c r="D8404" s="12"/>
      <c r="E8404" s="12"/>
      <c r="H8404" s="11" t="str">
        <f ca="1">IFERROR(__xludf.DUMMYFUNCTION("IFERROR(SUBSTITUTE(SUBSTITUTE(REGEXEXTRACT(A8404, ""[^-]+- [^-]+- [^-]+ - (.+?)\.jpg""), "".jpg"", """"), ""-"", "", ""), """")"),"")</f>
        <v/>
      </c>
      <c r="L8404" s="12"/>
      <c r="M8404" s="13"/>
      <c r="N8404" s="2"/>
      <c r="O8404" s="20"/>
      <c r="P8404" s="42"/>
      <c r="R8404" s="23"/>
    </row>
    <row r="8405" spans="1:18" ht="12.75">
      <c r="A8405" s="12"/>
      <c r="D8405" s="12"/>
      <c r="E8405" s="12"/>
      <c r="H8405" s="11" t="str">
        <f ca="1">IFERROR(__xludf.DUMMYFUNCTION("IFERROR(SUBSTITUTE(SUBSTITUTE(REGEXEXTRACT(A8405, ""[^-]+- [^-]+- [^-]+ - (.+?)\.jpg""), "".jpg"", """"), ""-"", "", ""), """")"),"")</f>
        <v/>
      </c>
      <c r="L8405" s="12"/>
      <c r="M8405" s="13"/>
      <c r="N8405" s="2"/>
      <c r="O8405" s="20"/>
      <c r="P8405" s="42"/>
      <c r="R8405" s="23"/>
    </row>
    <row r="8406" spans="1:18" ht="12.75">
      <c r="A8406" s="12"/>
      <c r="D8406" s="12"/>
      <c r="E8406" s="12"/>
      <c r="H8406" s="11" t="str">
        <f ca="1">IFERROR(__xludf.DUMMYFUNCTION("IFERROR(SUBSTITUTE(SUBSTITUTE(REGEXEXTRACT(A8406, ""[^-]+- [^-]+- [^-]+ - (.+?)\.jpg""), "".jpg"", """"), ""-"", "", ""), """")"),"")</f>
        <v/>
      </c>
      <c r="L8406" s="12"/>
      <c r="M8406" s="13"/>
      <c r="N8406" s="2"/>
      <c r="O8406" s="20"/>
      <c r="P8406" s="42"/>
      <c r="R8406" s="23"/>
    </row>
    <row r="8407" spans="1:18" ht="12.75">
      <c r="A8407" s="12"/>
      <c r="D8407" s="12"/>
      <c r="E8407" s="12"/>
      <c r="H8407" s="11" t="str">
        <f ca="1">IFERROR(__xludf.DUMMYFUNCTION("IFERROR(SUBSTITUTE(SUBSTITUTE(REGEXEXTRACT(A8407, ""[^-]+- [^-]+- [^-]+ - (.+?)\.jpg""), "".jpg"", """"), ""-"", "", ""), """")"),"")</f>
        <v/>
      </c>
      <c r="L8407" s="12"/>
      <c r="M8407" s="13"/>
      <c r="N8407" s="2"/>
      <c r="O8407" s="20"/>
      <c r="P8407" s="42"/>
      <c r="R8407" s="23"/>
    </row>
    <row r="8408" spans="1:18" ht="12.75">
      <c r="A8408" s="12"/>
      <c r="D8408" s="12"/>
      <c r="E8408" s="12"/>
      <c r="H8408" s="11" t="str">
        <f ca="1">IFERROR(__xludf.DUMMYFUNCTION("IFERROR(SUBSTITUTE(SUBSTITUTE(REGEXEXTRACT(A8408, ""[^-]+- [^-]+- [^-]+ - (.+?)\.jpg""), "".jpg"", """"), ""-"", "", ""), """")"),"")</f>
        <v/>
      </c>
      <c r="L8408" s="12"/>
      <c r="M8408" s="13"/>
      <c r="N8408" s="2"/>
      <c r="O8408" s="20"/>
      <c r="P8408" s="42"/>
      <c r="R8408" s="23"/>
    </row>
    <row r="8409" spans="1:18" ht="12.75">
      <c r="A8409" s="12"/>
      <c r="D8409" s="12"/>
      <c r="E8409" s="12"/>
      <c r="H8409" s="11" t="str">
        <f ca="1">IFERROR(__xludf.DUMMYFUNCTION("IFERROR(SUBSTITUTE(SUBSTITUTE(REGEXEXTRACT(A8409, ""[^-]+- [^-]+- [^-]+ - (.+?)\.jpg""), "".jpg"", """"), ""-"", "", ""), """")"),"")</f>
        <v/>
      </c>
      <c r="L8409" s="12"/>
      <c r="M8409" s="13"/>
      <c r="N8409" s="2"/>
      <c r="O8409" s="20"/>
      <c r="P8409" s="42"/>
      <c r="R8409" s="23"/>
    </row>
    <row r="8410" spans="1:18" ht="12.75">
      <c r="A8410" s="12"/>
      <c r="D8410" s="12"/>
      <c r="E8410" s="12"/>
      <c r="H8410" s="11" t="str">
        <f ca="1">IFERROR(__xludf.DUMMYFUNCTION("IFERROR(SUBSTITUTE(SUBSTITUTE(REGEXEXTRACT(A8410, ""[^-]+- [^-]+- [^-]+ - (.+?)\.jpg""), "".jpg"", """"), ""-"", "", ""), """")"),"")</f>
        <v/>
      </c>
      <c r="L8410" s="12"/>
      <c r="M8410" s="13"/>
      <c r="N8410" s="2"/>
      <c r="O8410" s="20"/>
      <c r="P8410" s="42"/>
      <c r="R8410" s="23"/>
    </row>
    <row r="8411" spans="1:18" ht="12.75">
      <c r="A8411" s="12"/>
      <c r="D8411" s="12"/>
      <c r="E8411" s="12"/>
      <c r="H8411" s="11" t="str">
        <f ca="1">IFERROR(__xludf.DUMMYFUNCTION("IFERROR(SUBSTITUTE(SUBSTITUTE(REGEXEXTRACT(A8411, ""[^-]+- [^-]+- [^-]+ - (.+?)\.jpg""), "".jpg"", """"), ""-"", "", ""), """")"),"")</f>
        <v/>
      </c>
      <c r="L8411" s="12"/>
      <c r="M8411" s="13"/>
      <c r="N8411" s="2"/>
      <c r="O8411" s="20"/>
      <c r="P8411" s="42"/>
      <c r="R8411" s="23"/>
    </row>
    <row r="8412" spans="1:18" ht="12.75">
      <c r="A8412" s="12"/>
      <c r="D8412" s="12"/>
      <c r="E8412" s="12"/>
      <c r="H8412" s="11" t="str">
        <f ca="1">IFERROR(__xludf.DUMMYFUNCTION("IFERROR(SUBSTITUTE(SUBSTITUTE(REGEXEXTRACT(A8412, ""[^-]+- [^-]+- [^-]+ - (.+?)\.jpg""), "".jpg"", """"), ""-"", "", ""), """")"),"")</f>
        <v/>
      </c>
      <c r="L8412" s="12"/>
      <c r="M8412" s="13"/>
      <c r="N8412" s="2"/>
      <c r="O8412" s="20"/>
      <c r="P8412" s="42"/>
      <c r="R8412" s="23"/>
    </row>
    <row r="8413" spans="1:18" ht="12.75">
      <c r="A8413" s="12"/>
      <c r="D8413" s="12"/>
      <c r="E8413" s="12"/>
      <c r="H8413" s="11" t="str">
        <f ca="1">IFERROR(__xludf.DUMMYFUNCTION("IFERROR(SUBSTITUTE(SUBSTITUTE(REGEXEXTRACT(A8413, ""[^-]+- [^-]+- [^-]+ - (.+?)\.jpg""), "".jpg"", """"), ""-"", "", ""), """")"),"")</f>
        <v/>
      </c>
      <c r="L8413" s="12"/>
      <c r="M8413" s="13"/>
      <c r="N8413" s="2"/>
      <c r="O8413" s="20"/>
      <c r="P8413" s="42"/>
      <c r="R8413" s="23"/>
    </row>
    <row r="8414" spans="1:18" ht="12.75">
      <c r="A8414" s="12"/>
      <c r="D8414" s="12"/>
      <c r="E8414" s="12"/>
      <c r="H8414" s="11" t="str">
        <f ca="1">IFERROR(__xludf.DUMMYFUNCTION("IFERROR(SUBSTITUTE(SUBSTITUTE(REGEXEXTRACT(A8414, ""[^-]+- [^-]+- [^-]+ - (.+?)\.jpg""), "".jpg"", """"), ""-"", "", ""), """")"),"")</f>
        <v/>
      </c>
      <c r="L8414" s="12"/>
      <c r="M8414" s="13"/>
      <c r="N8414" s="2"/>
      <c r="O8414" s="20"/>
      <c r="P8414" s="42"/>
      <c r="R8414" s="23"/>
    </row>
    <row r="8415" spans="1:18" ht="12.75">
      <c r="A8415" s="12"/>
      <c r="D8415" s="12"/>
      <c r="E8415" s="12"/>
      <c r="H8415" s="11" t="str">
        <f ca="1">IFERROR(__xludf.DUMMYFUNCTION("IFERROR(SUBSTITUTE(SUBSTITUTE(REGEXEXTRACT(A8415, ""[^-]+- [^-]+- [^-]+ - (.+?)\.jpg""), "".jpg"", """"), ""-"", "", ""), """")"),"")</f>
        <v/>
      </c>
      <c r="L8415" s="12"/>
      <c r="M8415" s="13"/>
      <c r="N8415" s="2"/>
      <c r="O8415" s="20"/>
      <c r="P8415" s="42"/>
      <c r="R8415" s="23"/>
    </row>
    <row r="8416" spans="1:18" ht="12.75">
      <c r="A8416" s="12"/>
      <c r="D8416" s="12"/>
      <c r="E8416" s="12"/>
      <c r="H8416" s="11" t="str">
        <f ca="1">IFERROR(__xludf.DUMMYFUNCTION("IFERROR(SUBSTITUTE(SUBSTITUTE(REGEXEXTRACT(A8416, ""[^-]+- [^-]+- [^-]+ - (.+?)\.jpg""), "".jpg"", """"), ""-"", "", ""), """")"),"")</f>
        <v/>
      </c>
      <c r="L8416" s="12"/>
      <c r="M8416" s="13"/>
      <c r="N8416" s="2"/>
      <c r="O8416" s="20"/>
      <c r="P8416" s="42"/>
      <c r="R8416" s="23"/>
    </row>
    <row r="8417" spans="1:18" ht="12.75">
      <c r="A8417" s="12"/>
      <c r="D8417" s="12"/>
      <c r="E8417" s="12"/>
      <c r="H8417" s="11" t="str">
        <f ca="1">IFERROR(__xludf.DUMMYFUNCTION("IFERROR(SUBSTITUTE(SUBSTITUTE(REGEXEXTRACT(A8417, ""[^-]+- [^-]+- [^-]+ - (.+?)\.jpg""), "".jpg"", """"), ""-"", "", ""), """")"),"")</f>
        <v/>
      </c>
      <c r="L8417" s="12"/>
      <c r="M8417" s="13"/>
      <c r="N8417" s="2"/>
      <c r="O8417" s="20"/>
      <c r="P8417" s="42"/>
      <c r="R8417" s="23"/>
    </row>
    <row r="8418" spans="1:18" ht="12.75">
      <c r="A8418" s="12"/>
      <c r="D8418" s="12"/>
      <c r="E8418" s="12"/>
      <c r="H8418" s="11" t="str">
        <f ca="1">IFERROR(__xludf.DUMMYFUNCTION("IFERROR(SUBSTITUTE(SUBSTITUTE(REGEXEXTRACT(A8418, ""[^-]+- [^-]+- [^-]+ - (.+?)\.jpg""), "".jpg"", """"), ""-"", "", ""), """")"),"")</f>
        <v/>
      </c>
      <c r="L8418" s="12"/>
      <c r="M8418" s="13"/>
      <c r="N8418" s="2"/>
      <c r="O8418" s="20"/>
      <c r="P8418" s="42"/>
      <c r="R8418" s="23"/>
    </row>
    <row r="8419" spans="1:18" ht="12.75">
      <c r="A8419" s="12"/>
      <c r="D8419" s="12"/>
      <c r="E8419" s="12"/>
      <c r="H8419" s="11" t="str">
        <f ca="1">IFERROR(__xludf.DUMMYFUNCTION("IFERROR(SUBSTITUTE(SUBSTITUTE(REGEXEXTRACT(A8419, ""[^-]+- [^-]+- [^-]+ - (.+?)\.jpg""), "".jpg"", """"), ""-"", "", ""), """")"),"")</f>
        <v/>
      </c>
      <c r="L8419" s="12"/>
      <c r="M8419" s="13"/>
      <c r="N8419" s="2"/>
      <c r="O8419" s="20"/>
      <c r="P8419" s="42"/>
      <c r="R8419" s="23"/>
    </row>
    <row r="8420" spans="1:18" ht="12.75">
      <c r="A8420" s="12"/>
      <c r="D8420" s="12"/>
      <c r="E8420" s="12"/>
      <c r="H8420" s="11" t="str">
        <f ca="1">IFERROR(__xludf.DUMMYFUNCTION("IFERROR(SUBSTITUTE(SUBSTITUTE(REGEXEXTRACT(A8420, ""[^-]+- [^-]+- [^-]+ - (.+?)\.jpg""), "".jpg"", """"), ""-"", "", ""), """")"),"")</f>
        <v/>
      </c>
      <c r="L8420" s="12"/>
      <c r="M8420" s="13"/>
      <c r="N8420" s="2"/>
      <c r="O8420" s="20"/>
      <c r="P8420" s="42"/>
      <c r="R8420" s="23"/>
    </row>
    <row r="8421" spans="1:18" ht="12.75">
      <c r="A8421" s="12"/>
      <c r="D8421" s="12"/>
      <c r="E8421" s="12"/>
      <c r="H8421" s="11" t="str">
        <f ca="1">IFERROR(__xludf.DUMMYFUNCTION("IFERROR(SUBSTITUTE(SUBSTITUTE(REGEXEXTRACT(A8421, ""[^-]+- [^-]+- [^-]+ - (.+?)\.jpg""), "".jpg"", """"), ""-"", "", ""), """")"),"")</f>
        <v/>
      </c>
      <c r="L8421" s="12"/>
      <c r="M8421" s="13"/>
      <c r="N8421" s="2"/>
      <c r="O8421" s="20"/>
      <c r="P8421" s="42"/>
      <c r="R8421" s="23"/>
    </row>
    <row r="8422" spans="1:18" ht="12.75">
      <c r="A8422" s="12"/>
      <c r="D8422" s="12"/>
      <c r="E8422" s="12"/>
      <c r="H8422" s="11" t="str">
        <f ca="1">IFERROR(__xludf.DUMMYFUNCTION("IFERROR(SUBSTITUTE(SUBSTITUTE(REGEXEXTRACT(A8422, ""[^-]+- [^-]+- [^-]+ - (.+?)\.jpg""), "".jpg"", """"), ""-"", "", ""), """")"),"")</f>
        <v/>
      </c>
      <c r="L8422" s="12"/>
      <c r="M8422" s="13"/>
      <c r="N8422" s="2"/>
      <c r="O8422" s="20"/>
      <c r="P8422" s="42"/>
      <c r="R8422" s="23"/>
    </row>
    <row r="8423" spans="1:18" ht="12.75">
      <c r="A8423" s="12"/>
      <c r="D8423" s="12"/>
      <c r="E8423" s="12"/>
      <c r="H8423" s="11" t="str">
        <f ca="1">IFERROR(__xludf.DUMMYFUNCTION("IFERROR(SUBSTITUTE(SUBSTITUTE(REGEXEXTRACT(A8423, ""[^-]+- [^-]+- [^-]+ - (.+?)\.jpg""), "".jpg"", """"), ""-"", "", ""), """")"),"")</f>
        <v/>
      </c>
      <c r="L8423" s="12"/>
      <c r="M8423" s="13"/>
      <c r="N8423" s="2"/>
      <c r="O8423" s="20"/>
      <c r="P8423" s="42"/>
      <c r="R8423" s="23"/>
    </row>
    <row r="8424" spans="1:18" ht="12.75">
      <c r="A8424" s="12"/>
      <c r="D8424" s="12"/>
      <c r="E8424" s="12"/>
      <c r="H8424" s="11" t="str">
        <f ca="1">IFERROR(__xludf.DUMMYFUNCTION("IFERROR(SUBSTITUTE(SUBSTITUTE(REGEXEXTRACT(A8424, ""[^-]+- [^-]+- [^-]+ - (.+?)\.jpg""), "".jpg"", """"), ""-"", "", ""), """")"),"")</f>
        <v/>
      </c>
      <c r="L8424" s="12"/>
      <c r="M8424" s="13"/>
      <c r="N8424" s="2"/>
      <c r="O8424" s="20"/>
      <c r="P8424" s="42"/>
      <c r="R8424" s="23"/>
    </row>
    <row r="8425" spans="1:18" ht="12.75">
      <c r="A8425" s="12"/>
      <c r="D8425" s="12"/>
      <c r="E8425" s="12"/>
      <c r="H8425" s="11" t="str">
        <f ca="1">IFERROR(__xludf.DUMMYFUNCTION("IFERROR(SUBSTITUTE(SUBSTITUTE(REGEXEXTRACT(A8425, ""[^-]+- [^-]+- [^-]+ - (.+?)\.jpg""), "".jpg"", """"), ""-"", "", ""), """")"),"")</f>
        <v/>
      </c>
      <c r="L8425" s="12"/>
      <c r="M8425" s="13"/>
      <c r="N8425" s="2"/>
      <c r="O8425" s="20"/>
      <c r="P8425" s="42"/>
      <c r="R8425" s="23"/>
    </row>
    <row r="8426" spans="1:18" ht="12.75">
      <c r="A8426" s="12"/>
      <c r="D8426" s="12"/>
      <c r="E8426" s="12"/>
      <c r="H8426" s="11" t="str">
        <f ca="1">IFERROR(__xludf.DUMMYFUNCTION("IFERROR(SUBSTITUTE(SUBSTITUTE(REGEXEXTRACT(A8426, ""[^-]+- [^-]+- [^-]+ - (.+?)\.jpg""), "".jpg"", """"), ""-"", "", ""), """")"),"")</f>
        <v/>
      </c>
      <c r="L8426" s="12"/>
      <c r="M8426" s="13"/>
      <c r="N8426" s="2"/>
      <c r="O8426" s="20"/>
      <c r="P8426" s="42"/>
      <c r="R8426" s="23"/>
    </row>
    <row r="8427" spans="1:18" ht="12.75">
      <c r="A8427" s="12"/>
      <c r="D8427" s="12"/>
      <c r="E8427" s="12"/>
      <c r="H8427" s="11" t="str">
        <f ca="1">IFERROR(__xludf.DUMMYFUNCTION("IFERROR(SUBSTITUTE(SUBSTITUTE(REGEXEXTRACT(A8427, ""[^-]+- [^-]+- [^-]+ - (.+?)\.jpg""), "".jpg"", """"), ""-"", "", ""), """")"),"")</f>
        <v/>
      </c>
      <c r="L8427" s="12"/>
      <c r="M8427" s="13"/>
      <c r="N8427" s="2"/>
      <c r="O8427" s="20"/>
      <c r="P8427" s="42"/>
      <c r="R8427" s="23"/>
    </row>
    <row r="8428" spans="1:18" ht="12.75">
      <c r="A8428" s="12"/>
      <c r="D8428" s="12"/>
      <c r="E8428" s="12"/>
      <c r="H8428" s="11" t="str">
        <f ca="1">IFERROR(__xludf.DUMMYFUNCTION("IFERROR(SUBSTITUTE(SUBSTITUTE(REGEXEXTRACT(A8428, ""[^-]+- [^-]+- [^-]+ - (.+?)\.jpg""), "".jpg"", """"), ""-"", "", ""), """")"),"")</f>
        <v/>
      </c>
      <c r="L8428" s="12"/>
      <c r="M8428" s="13"/>
      <c r="N8428" s="2"/>
      <c r="O8428" s="20"/>
      <c r="P8428" s="42"/>
      <c r="R8428" s="23"/>
    </row>
    <row r="8429" spans="1:18" ht="12.75">
      <c r="A8429" s="12"/>
      <c r="D8429" s="12"/>
      <c r="E8429" s="12"/>
      <c r="H8429" s="11" t="str">
        <f ca="1">IFERROR(__xludf.DUMMYFUNCTION("IFERROR(SUBSTITUTE(SUBSTITUTE(REGEXEXTRACT(A8429, ""[^-]+- [^-]+- [^-]+ - (.+?)\.jpg""), "".jpg"", """"), ""-"", "", ""), """")"),"")</f>
        <v/>
      </c>
      <c r="L8429" s="12"/>
      <c r="M8429" s="13"/>
      <c r="N8429" s="2"/>
      <c r="O8429" s="20"/>
      <c r="P8429" s="42"/>
      <c r="R8429" s="23"/>
    </row>
    <row r="8430" spans="1:18" ht="12.75">
      <c r="A8430" s="12"/>
      <c r="D8430" s="12"/>
      <c r="E8430" s="12"/>
      <c r="H8430" s="11" t="str">
        <f ca="1">IFERROR(__xludf.DUMMYFUNCTION("IFERROR(SUBSTITUTE(SUBSTITUTE(REGEXEXTRACT(A8430, ""[^-]+- [^-]+- [^-]+ - (.+?)\.jpg""), "".jpg"", """"), ""-"", "", ""), """")"),"")</f>
        <v/>
      </c>
      <c r="L8430" s="12"/>
      <c r="M8430" s="13"/>
      <c r="N8430" s="2"/>
      <c r="O8430" s="20"/>
      <c r="P8430" s="42"/>
      <c r="R8430" s="23"/>
    </row>
    <row r="8431" spans="1:18" ht="12.75">
      <c r="A8431" s="12"/>
      <c r="D8431" s="12"/>
      <c r="E8431" s="12"/>
      <c r="H8431" s="11" t="str">
        <f ca="1">IFERROR(__xludf.DUMMYFUNCTION("IFERROR(SUBSTITUTE(SUBSTITUTE(REGEXEXTRACT(A8431, ""[^-]+- [^-]+- [^-]+ - (.+?)\.jpg""), "".jpg"", """"), ""-"", "", ""), """")"),"")</f>
        <v/>
      </c>
      <c r="L8431" s="12"/>
      <c r="M8431" s="13"/>
      <c r="N8431" s="2"/>
      <c r="O8431" s="20"/>
      <c r="P8431" s="42"/>
      <c r="R8431" s="23"/>
    </row>
    <row r="8432" spans="1:18" ht="12.75">
      <c r="A8432" s="12"/>
      <c r="D8432" s="12"/>
      <c r="E8432" s="12"/>
      <c r="H8432" s="11" t="str">
        <f ca="1">IFERROR(__xludf.DUMMYFUNCTION("IFERROR(SUBSTITUTE(SUBSTITUTE(REGEXEXTRACT(A8432, ""[^-]+- [^-]+- [^-]+ - (.+?)\.jpg""), "".jpg"", """"), ""-"", "", ""), """")"),"")</f>
        <v/>
      </c>
      <c r="L8432" s="12"/>
      <c r="M8432" s="13"/>
      <c r="N8432" s="2"/>
      <c r="O8432" s="20"/>
      <c r="P8432" s="42"/>
      <c r="R8432" s="23"/>
    </row>
    <row r="8433" spans="1:18" ht="12.75">
      <c r="A8433" s="12"/>
      <c r="D8433" s="12"/>
      <c r="E8433" s="12"/>
      <c r="H8433" s="11" t="str">
        <f ca="1">IFERROR(__xludf.DUMMYFUNCTION("IFERROR(SUBSTITUTE(SUBSTITUTE(REGEXEXTRACT(A8433, ""[^-]+- [^-]+- [^-]+ - (.+?)\.jpg""), "".jpg"", """"), ""-"", "", ""), """")"),"")</f>
        <v/>
      </c>
      <c r="L8433" s="12"/>
      <c r="M8433" s="13"/>
      <c r="N8433" s="2"/>
      <c r="O8433" s="20"/>
      <c r="P8433" s="42"/>
      <c r="R8433" s="23"/>
    </row>
    <row r="8434" spans="1:18" ht="12.75">
      <c r="A8434" s="12"/>
      <c r="D8434" s="12"/>
      <c r="E8434" s="12"/>
      <c r="H8434" s="11" t="str">
        <f ca="1">IFERROR(__xludf.DUMMYFUNCTION("IFERROR(SUBSTITUTE(SUBSTITUTE(REGEXEXTRACT(A8434, ""[^-]+- [^-]+- [^-]+ - (.+?)\.jpg""), "".jpg"", """"), ""-"", "", ""), """")"),"")</f>
        <v/>
      </c>
      <c r="L8434" s="12"/>
      <c r="M8434" s="13"/>
      <c r="N8434" s="2"/>
      <c r="O8434" s="20"/>
      <c r="P8434" s="42"/>
      <c r="R8434" s="23"/>
    </row>
    <row r="8435" spans="1:18" ht="12.75">
      <c r="A8435" s="12"/>
      <c r="D8435" s="12"/>
      <c r="E8435" s="12"/>
      <c r="H8435" s="11" t="str">
        <f ca="1">IFERROR(__xludf.DUMMYFUNCTION("IFERROR(SUBSTITUTE(SUBSTITUTE(REGEXEXTRACT(A8435, ""[^-]+- [^-]+- [^-]+ - (.+?)\.jpg""), "".jpg"", """"), ""-"", "", ""), """")"),"")</f>
        <v/>
      </c>
      <c r="L8435" s="12"/>
      <c r="M8435" s="13"/>
      <c r="N8435" s="2"/>
      <c r="O8435" s="20"/>
      <c r="P8435" s="42"/>
      <c r="R8435" s="23"/>
    </row>
    <row r="8436" spans="1:18" ht="12.75">
      <c r="A8436" s="12"/>
      <c r="D8436" s="12"/>
      <c r="E8436" s="12"/>
      <c r="H8436" s="11" t="str">
        <f ca="1">IFERROR(__xludf.DUMMYFUNCTION("IFERROR(SUBSTITUTE(SUBSTITUTE(REGEXEXTRACT(A8436, ""[^-]+- [^-]+- [^-]+ - (.+?)\.jpg""), "".jpg"", """"), ""-"", "", ""), """")"),"")</f>
        <v/>
      </c>
      <c r="L8436" s="12"/>
      <c r="M8436" s="13"/>
      <c r="N8436" s="2"/>
      <c r="O8436" s="20"/>
      <c r="P8436" s="42"/>
      <c r="R8436" s="23"/>
    </row>
    <row r="8437" spans="1:18" ht="12.75">
      <c r="A8437" s="12"/>
      <c r="D8437" s="12"/>
      <c r="E8437" s="12"/>
      <c r="H8437" s="11" t="str">
        <f ca="1">IFERROR(__xludf.DUMMYFUNCTION("IFERROR(SUBSTITUTE(SUBSTITUTE(REGEXEXTRACT(A8437, ""[^-]+- [^-]+- [^-]+ - (.+?)\.jpg""), "".jpg"", """"), ""-"", "", ""), """")"),"")</f>
        <v/>
      </c>
      <c r="L8437" s="12"/>
      <c r="M8437" s="13"/>
      <c r="N8437" s="2"/>
      <c r="O8437" s="20"/>
      <c r="P8437" s="42"/>
      <c r="R8437" s="23"/>
    </row>
    <row r="8438" spans="1:18" ht="12.75">
      <c r="A8438" s="12"/>
      <c r="D8438" s="12"/>
      <c r="E8438" s="12"/>
      <c r="H8438" s="11" t="str">
        <f ca="1">IFERROR(__xludf.DUMMYFUNCTION("IFERROR(SUBSTITUTE(SUBSTITUTE(REGEXEXTRACT(A8438, ""[^-]+- [^-]+- [^-]+ - (.+?)\.jpg""), "".jpg"", """"), ""-"", "", ""), """")"),"")</f>
        <v/>
      </c>
      <c r="L8438" s="12"/>
      <c r="M8438" s="13"/>
      <c r="N8438" s="2"/>
      <c r="O8438" s="20"/>
      <c r="P8438" s="42"/>
      <c r="R8438" s="23"/>
    </row>
    <row r="8439" spans="1:18" ht="12.75">
      <c r="A8439" s="12"/>
      <c r="D8439" s="12"/>
      <c r="E8439" s="12"/>
      <c r="H8439" s="11" t="str">
        <f ca="1">IFERROR(__xludf.DUMMYFUNCTION("IFERROR(SUBSTITUTE(SUBSTITUTE(REGEXEXTRACT(A8439, ""[^-]+- [^-]+- [^-]+ - (.+?)\.jpg""), "".jpg"", """"), ""-"", "", ""), """")"),"")</f>
        <v/>
      </c>
      <c r="L8439" s="12"/>
      <c r="M8439" s="13"/>
      <c r="N8439" s="2"/>
      <c r="O8439" s="20"/>
      <c r="P8439" s="42"/>
      <c r="R8439" s="23"/>
    </row>
    <row r="8440" spans="1:18" ht="12.75">
      <c r="A8440" s="12"/>
      <c r="D8440" s="12"/>
      <c r="E8440" s="12"/>
      <c r="H8440" s="11" t="str">
        <f ca="1">IFERROR(__xludf.DUMMYFUNCTION("IFERROR(SUBSTITUTE(SUBSTITUTE(REGEXEXTRACT(A8440, ""[^-]+- [^-]+- [^-]+ - (.+?)\.jpg""), "".jpg"", """"), ""-"", "", ""), """")"),"")</f>
        <v/>
      </c>
      <c r="L8440" s="12"/>
      <c r="M8440" s="13"/>
      <c r="N8440" s="2"/>
      <c r="O8440" s="20"/>
      <c r="P8440" s="42"/>
      <c r="R8440" s="23"/>
    </row>
    <row r="8441" spans="1:18" ht="12.75">
      <c r="A8441" s="12"/>
      <c r="D8441" s="12"/>
      <c r="E8441" s="12"/>
      <c r="H8441" s="11" t="str">
        <f ca="1">IFERROR(__xludf.DUMMYFUNCTION("IFERROR(SUBSTITUTE(SUBSTITUTE(REGEXEXTRACT(A8441, ""[^-]+- [^-]+- [^-]+ - (.+?)\.jpg""), "".jpg"", """"), ""-"", "", ""), """")"),"")</f>
        <v/>
      </c>
      <c r="L8441" s="12"/>
      <c r="M8441" s="13"/>
      <c r="N8441" s="2"/>
      <c r="O8441" s="20"/>
      <c r="P8441" s="42"/>
      <c r="R8441" s="23"/>
    </row>
    <row r="8442" spans="1:18" ht="12.75">
      <c r="A8442" s="12"/>
      <c r="D8442" s="12"/>
      <c r="E8442" s="12"/>
      <c r="H8442" s="11" t="str">
        <f ca="1">IFERROR(__xludf.DUMMYFUNCTION("IFERROR(SUBSTITUTE(SUBSTITUTE(REGEXEXTRACT(A8442, ""[^-]+- [^-]+- [^-]+ - (.+?)\.jpg""), "".jpg"", """"), ""-"", "", ""), """")"),"")</f>
        <v/>
      </c>
      <c r="L8442" s="12"/>
      <c r="M8442" s="13"/>
      <c r="N8442" s="2"/>
      <c r="O8442" s="20"/>
      <c r="P8442" s="42"/>
      <c r="R8442" s="23"/>
    </row>
    <row r="8443" spans="1:18" ht="12.75">
      <c r="A8443" s="12"/>
      <c r="D8443" s="12"/>
      <c r="E8443" s="12"/>
      <c r="H8443" s="11" t="str">
        <f ca="1">IFERROR(__xludf.DUMMYFUNCTION("IFERROR(SUBSTITUTE(SUBSTITUTE(REGEXEXTRACT(A8443, ""[^-]+- [^-]+- [^-]+ - (.+?)\.jpg""), "".jpg"", """"), ""-"", "", ""), """")"),"")</f>
        <v/>
      </c>
      <c r="L8443" s="12"/>
      <c r="M8443" s="13"/>
      <c r="N8443" s="2"/>
      <c r="O8443" s="20"/>
      <c r="P8443" s="42"/>
      <c r="R8443" s="23"/>
    </row>
    <row r="8444" spans="1:18" ht="12.75">
      <c r="A8444" s="12"/>
      <c r="D8444" s="12"/>
      <c r="E8444" s="12"/>
      <c r="H8444" s="11" t="str">
        <f ca="1">IFERROR(__xludf.DUMMYFUNCTION("IFERROR(SUBSTITUTE(SUBSTITUTE(REGEXEXTRACT(A8444, ""[^-]+- [^-]+- [^-]+ - (.+?)\.jpg""), "".jpg"", """"), ""-"", "", ""), """")"),"")</f>
        <v/>
      </c>
      <c r="L8444" s="12"/>
      <c r="M8444" s="13"/>
      <c r="N8444" s="2"/>
      <c r="O8444" s="20"/>
      <c r="P8444" s="42"/>
      <c r="R8444" s="23"/>
    </row>
    <row r="8445" spans="1:18" ht="12.75">
      <c r="A8445" s="12"/>
      <c r="D8445" s="12"/>
      <c r="E8445" s="12"/>
      <c r="H8445" s="11" t="str">
        <f ca="1">IFERROR(__xludf.DUMMYFUNCTION("IFERROR(SUBSTITUTE(SUBSTITUTE(REGEXEXTRACT(A8445, ""[^-]+- [^-]+- [^-]+ - (.+?)\.jpg""), "".jpg"", """"), ""-"", "", ""), """")"),"")</f>
        <v/>
      </c>
      <c r="L8445" s="12"/>
      <c r="M8445" s="13"/>
      <c r="N8445" s="2"/>
      <c r="O8445" s="20"/>
      <c r="P8445" s="42"/>
      <c r="R8445" s="23"/>
    </row>
    <row r="8446" spans="1:18" ht="12.75">
      <c r="A8446" s="12"/>
      <c r="D8446" s="12"/>
      <c r="E8446" s="12"/>
      <c r="H8446" s="11" t="str">
        <f ca="1">IFERROR(__xludf.DUMMYFUNCTION("IFERROR(SUBSTITUTE(SUBSTITUTE(REGEXEXTRACT(A8446, ""[^-]+- [^-]+- [^-]+ - (.+?)\.jpg""), "".jpg"", """"), ""-"", "", ""), """")"),"")</f>
        <v/>
      </c>
      <c r="L8446" s="12"/>
      <c r="M8446" s="13"/>
      <c r="N8446" s="2"/>
      <c r="O8446" s="20"/>
      <c r="P8446" s="42"/>
      <c r="R8446" s="23"/>
    </row>
    <row r="8447" spans="1:18" ht="12.75">
      <c r="A8447" s="12"/>
      <c r="D8447" s="12"/>
      <c r="E8447" s="12"/>
      <c r="H8447" s="11" t="str">
        <f ca="1">IFERROR(__xludf.DUMMYFUNCTION("IFERROR(SUBSTITUTE(SUBSTITUTE(REGEXEXTRACT(A8447, ""[^-]+- [^-]+- [^-]+ - (.+?)\.jpg""), "".jpg"", """"), ""-"", "", ""), """")"),"")</f>
        <v/>
      </c>
      <c r="L8447" s="12"/>
      <c r="M8447" s="13"/>
      <c r="N8447" s="2"/>
      <c r="O8447" s="20"/>
      <c r="P8447" s="42"/>
      <c r="R8447" s="23"/>
    </row>
    <row r="8448" spans="1:18" ht="12.75">
      <c r="A8448" s="12"/>
      <c r="D8448" s="12"/>
      <c r="E8448" s="12"/>
      <c r="H8448" s="11" t="str">
        <f ca="1">IFERROR(__xludf.DUMMYFUNCTION("IFERROR(SUBSTITUTE(SUBSTITUTE(REGEXEXTRACT(A8448, ""[^-]+- [^-]+- [^-]+ - (.+?)\.jpg""), "".jpg"", """"), ""-"", "", ""), """")"),"")</f>
        <v/>
      </c>
      <c r="L8448" s="12"/>
      <c r="M8448" s="13"/>
      <c r="N8448" s="2"/>
      <c r="O8448" s="20"/>
      <c r="P8448" s="42"/>
      <c r="R8448" s="23"/>
    </row>
    <row r="8449" spans="1:18" ht="12.75">
      <c r="A8449" s="12"/>
      <c r="D8449" s="12"/>
      <c r="E8449" s="12"/>
      <c r="H8449" s="11" t="str">
        <f ca="1">IFERROR(__xludf.DUMMYFUNCTION("IFERROR(SUBSTITUTE(SUBSTITUTE(REGEXEXTRACT(A8449, ""[^-]+- [^-]+- [^-]+ - (.+?)\.jpg""), "".jpg"", """"), ""-"", "", ""), """")"),"")</f>
        <v/>
      </c>
      <c r="L8449" s="12"/>
      <c r="M8449" s="13"/>
      <c r="N8449" s="2"/>
      <c r="O8449" s="20"/>
      <c r="P8449" s="42"/>
      <c r="R8449" s="23"/>
    </row>
    <row r="8450" spans="1:18" ht="12.75">
      <c r="A8450" s="12"/>
      <c r="D8450" s="12"/>
      <c r="E8450" s="12"/>
      <c r="H8450" s="11" t="str">
        <f ca="1">IFERROR(__xludf.DUMMYFUNCTION("IFERROR(SUBSTITUTE(SUBSTITUTE(REGEXEXTRACT(A8450, ""[^-]+- [^-]+- [^-]+ - (.+?)\.jpg""), "".jpg"", """"), ""-"", "", ""), """")"),"")</f>
        <v/>
      </c>
      <c r="L8450" s="12"/>
      <c r="M8450" s="13"/>
      <c r="N8450" s="2"/>
      <c r="O8450" s="20"/>
      <c r="P8450" s="42"/>
      <c r="R8450" s="23"/>
    </row>
    <row r="8451" spans="1:18" ht="12.75">
      <c r="A8451" s="12"/>
      <c r="D8451" s="12"/>
      <c r="E8451" s="12"/>
      <c r="H8451" s="11" t="str">
        <f ca="1">IFERROR(__xludf.DUMMYFUNCTION("IFERROR(SUBSTITUTE(SUBSTITUTE(REGEXEXTRACT(A8451, ""[^-]+- [^-]+- [^-]+ - (.+?)\.jpg""), "".jpg"", """"), ""-"", "", ""), """")"),"")</f>
        <v/>
      </c>
      <c r="L8451" s="12"/>
      <c r="M8451" s="13"/>
      <c r="N8451" s="2"/>
      <c r="O8451" s="20"/>
      <c r="P8451" s="42"/>
      <c r="R8451" s="23"/>
    </row>
    <row r="8452" spans="1:18" ht="12.75">
      <c r="A8452" s="12"/>
      <c r="D8452" s="12"/>
      <c r="E8452" s="12"/>
      <c r="H8452" s="11" t="str">
        <f ca="1">IFERROR(__xludf.DUMMYFUNCTION("IFERROR(SUBSTITUTE(SUBSTITUTE(REGEXEXTRACT(A8452, ""[^-]+- [^-]+- [^-]+ - (.+?)\.jpg""), "".jpg"", """"), ""-"", "", ""), """")"),"")</f>
        <v/>
      </c>
      <c r="L8452" s="12"/>
      <c r="M8452" s="13"/>
      <c r="N8452" s="2"/>
      <c r="O8452" s="20"/>
      <c r="P8452" s="42"/>
      <c r="R8452" s="23"/>
    </row>
    <row r="8453" spans="1:18" ht="12.75">
      <c r="A8453" s="12"/>
      <c r="D8453" s="12"/>
      <c r="E8453" s="12"/>
      <c r="H8453" s="11" t="str">
        <f ca="1">IFERROR(__xludf.DUMMYFUNCTION("IFERROR(SUBSTITUTE(SUBSTITUTE(REGEXEXTRACT(A8453, ""[^-]+- [^-]+- [^-]+ - (.+?)\.jpg""), "".jpg"", """"), ""-"", "", ""), """")"),"")</f>
        <v/>
      </c>
      <c r="L8453" s="12"/>
      <c r="M8453" s="13"/>
      <c r="N8453" s="2"/>
      <c r="O8453" s="20"/>
      <c r="P8453" s="42"/>
      <c r="R8453" s="23"/>
    </row>
    <row r="8454" spans="1:18" ht="12.75">
      <c r="A8454" s="12"/>
      <c r="D8454" s="12"/>
      <c r="E8454" s="12"/>
      <c r="H8454" s="11" t="str">
        <f ca="1">IFERROR(__xludf.DUMMYFUNCTION("IFERROR(SUBSTITUTE(SUBSTITUTE(REGEXEXTRACT(A8454, ""[^-]+- [^-]+- [^-]+ - (.+?)\.jpg""), "".jpg"", """"), ""-"", "", ""), """")"),"")</f>
        <v/>
      </c>
      <c r="L8454" s="12"/>
      <c r="M8454" s="13"/>
      <c r="N8454" s="2"/>
      <c r="O8454" s="20"/>
      <c r="P8454" s="42"/>
      <c r="R8454" s="23"/>
    </row>
    <row r="8455" spans="1:18" ht="12.75">
      <c r="A8455" s="12"/>
      <c r="D8455" s="12"/>
      <c r="E8455" s="12"/>
      <c r="H8455" s="11" t="str">
        <f ca="1">IFERROR(__xludf.DUMMYFUNCTION("IFERROR(SUBSTITUTE(SUBSTITUTE(REGEXEXTRACT(A8455, ""[^-]+- [^-]+- [^-]+ - (.+?)\.jpg""), "".jpg"", """"), ""-"", "", ""), """")"),"")</f>
        <v/>
      </c>
      <c r="L8455" s="12"/>
      <c r="M8455" s="13"/>
      <c r="N8455" s="2"/>
      <c r="O8455" s="20"/>
      <c r="P8455" s="42"/>
      <c r="R8455" s="23"/>
    </row>
    <row r="8456" spans="1:18" ht="12.75">
      <c r="A8456" s="12"/>
      <c r="D8456" s="12"/>
      <c r="E8456" s="12"/>
      <c r="H8456" s="11" t="str">
        <f ca="1">IFERROR(__xludf.DUMMYFUNCTION("IFERROR(SUBSTITUTE(SUBSTITUTE(REGEXEXTRACT(A8456, ""[^-]+- [^-]+- [^-]+ - (.+?)\.jpg""), "".jpg"", """"), ""-"", "", ""), """")"),"")</f>
        <v/>
      </c>
      <c r="L8456" s="12"/>
      <c r="M8456" s="13"/>
      <c r="N8456" s="2"/>
      <c r="O8456" s="20"/>
      <c r="P8456" s="42"/>
      <c r="R8456" s="23"/>
    </row>
    <row r="8457" spans="1:18" ht="12.75">
      <c r="A8457" s="12"/>
      <c r="D8457" s="12"/>
      <c r="E8457" s="12"/>
      <c r="H8457" s="11" t="str">
        <f ca="1">IFERROR(__xludf.DUMMYFUNCTION("IFERROR(SUBSTITUTE(SUBSTITUTE(REGEXEXTRACT(A8457, ""[^-]+- [^-]+- [^-]+ - (.+?)\.jpg""), "".jpg"", """"), ""-"", "", ""), """")"),"")</f>
        <v/>
      </c>
      <c r="L8457" s="12"/>
      <c r="M8457" s="13"/>
      <c r="N8457" s="2"/>
      <c r="O8457" s="20"/>
      <c r="P8457" s="42"/>
      <c r="R8457" s="23"/>
    </row>
    <row r="8458" spans="1:18" ht="12.75">
      <c r="A8458" s="12"/>
      <c r="D8458" s="12"/>
      <c r="E8458" s="12"/>
      <c r="H8458" s="11" t="str">
        <f ca="1">IFERROR(__xludf.DUMMYFUNCTION("IFERROR(SUBSTITUTE(SUBSTITUTE(REGEXEXTRACT(A8458, ""[^-]+- [^-]+- [^-]+ - (.+?)\.jpg""), "".jpg"", """"), ""-"", "", ""), """")"),"")</f>
        <v/>
      </c>
      <c r="L8458" s="12"/>
      <c r="M8458" s="13"/>
      <c r="N8458" s="2"/>
      <c r="O8458" s="20"/>
      <c r="P8458" s="42"/>
      <c r="R8458" s="23"/>
    </row>
    <row r="8459" spans="1:18" ht="12.75">
      <c r="A8459" s="12"/>
      <c r="D8459" s="12"/>
      <c r="E8459" s="12"/>
      <c r="H8459" s="11" t="str">
        <f ca="1">IFERROR(__xludf.DUMMYFUNCTION("IFERROR(SUBSTITUTE(SUBSTITUTE(REGEXEXTRACT(A8459, ""[^-]+- [^-]+- [^-]+ - (.+?)\.jpg""), "".jpg"", """"), ""-"", "", ""), """")"),"")</f>
        <v/>
      </c>
      <c r="L8459" s="12"/>
      <c r="M8459" s="13"/>
      <c r="N8459" s="2"/>
      <c r="O8459" s="20"/>
      <c r="P8459" s="42"/>
      <c r="R8459" s="23"/>
    </row>
    <row r="8460" spans="1:18" ht="12.75">
      <c r="A8460" s="12"/>
      <c r="D8460" s="12"/>
      <c r="E8460" s="12"/>
      <c r="H8460" s="11" t="str">
        <f ca="1">IFERROR(__xludf.DUMMYFUNCTION("IFERROR(SUBSTITUTE(SUBSTITUTE(REGEXEXTRACT(A8460, ""[^-]+- [^-]+- [^-]+ - (.+?)\.jpg""), "".jpg"", """"), ""-"", "", ""), """")"),"")</f>
        <v/>
      </c>
      <c r="L8460" s="12"/>
      <c r="M8460" s="13"/>
      <c r="N8460" s="2"/>
      <c r="O8460" s="20"/>
      <c r="P8460" s="42"/>
      <c r="R8460" s="23"/>
    </row>
    <row r="8461" spans="1:18" ht="12.75">
      <c r="A8461" s="12"/>
      <c r="D8461" s="12"/>
      <c r="E8461" s="12"/>
      <c r="H8461" s="11" t="str">
        <f ca="1">IFERROR(__xludf.DUMMYFUNCTION("IFERROR(SUBSTITUTE(SUBSTITUTE(REGEXEXTRACT(A8461, ""[^-]+- [^-]+- [^-]+ - (.+?)\.jpg""), "".jpg"", """"), ""-"", "", ""), """")"),"")</f>
        <v/>
      </c>
      <c r="L8461" s="12"/>
      <c r="M8461" s="13"/>
      <c r="N8461" s="2"/>
      <c r="O8461" s="20"/>
      <c r="P8461" s="42"/>
      <c r="R8461" s="23"/>
    </row>
    <row r="8462" spans="1:18" ht="12.75">
      <c r="A8462" s="12"/>
      <c r="D8462" s="12"/>
      <c r="E8462" s="12"/>
      <c r="H8462" s="11" t="str">
        <f ca="1">IFERROR(__xludf.DUMMYFUNCTION("IFERROR(SUBSTITUTE(SUBSTITUTE(REGEXEXTRACT(A8462, ""[^-]+- [^-]+- [^-]+ - (.+?)\.jpg""), "".jpg"", """"), ""-"", "", ""), """")"),"")</f>
        <v/>
      </c>
      <c r="L8462" s="12"/>
      <c r="M8462" s="13"/>
      <c r="N8462" s="2"/>
      <c r="O8462" s="20"/>
      <c r="P8462" s="42"/>
      <c r="R8462" s="23"/>
    </row>
    <row r="8463" spans="1:18" ht="12.75">
      <c r="A8463" s="12"/>
      <c r="D8463" s="12"/>
      <c r="E8463" s="12"/>
      <c r="H8463" s="11" t="str">
        <f ca="1">IFERROR(__xludf.DUMMYFUNCTION("IFERROR(SUBSTITUTE(SUBSTITUTE(REGEXEXTRACT(A8463, ""[^-]+- [^-]+- [^-]+ - (.+?)\.jpg""), "".jpg"", """"), ""-"", "", ""), """")"),"")</f>
        <v/>
      </c>
      <c r="L8463" s="12"/>
      <c r="M8463" s="13"/>
      <c r="N8463" s="2"/>
      <c r="O8463" s="20"/>
      <c r="P8463" s="42"/>
      <c r="R8463" s="23"/>
    </row>
    <row r="8464" spans="1:18" ht="12.75">
      <c r="A8464" s="12"/>
      <c r="D8464" s="12"/>
      <c r="E8464" s="12"/>
      <c r="H8464" s="11" t="str">
        <f ca="1">IFERROR(__xludf.DUMMYFUNCTION("IFERROR(SUBSTITUTE(SUBSTITUTE(REGEXEXTRACT(A8464, ""[^-]+- [^-]+- [^-]+ - (.+?)\.jpg""), "".jpg"", """"), ""-"", "", ""), """")"),"")</f>
        <v/>
      </c>
      <c r="L8464" s="12"/>
      <c r="M8464" s="13"/>
      <c r="N8464" s="2"/>
      <c r="O8464" s="20"/>
      <c r="P8464" s="42"/>
      <c r="R8464" s="23"/>
    </row>
    <row r="8465" spans="1:18" ht="12.75">
      <c r="A8465" s="12"/>
      <c r="D8465" s="12"/>
      <c r="E8465" s="12"/>
      <c r="H8465" s="11" t="str">
        <f ca="1">IFERROR(__xludf.DUMMYFUNCTION("IFERROR(SUBSTITUTE(SUBSTITUTE(REGEXEXTRACT(A8465, ""[^-]+- [^-]+- [^-]+ - (.+?)\.jpg""), "".jpg"", """"), ""-"", "", ""), """")"),"")</f>
        <v/>
      </c>
      <c r="L8465" s="12"/>
      <c r="M8465" s="13"/>
      <c r="N8465" s="2"/>
      <c r="O8465" s="20"/>
      <c r="P8465" s="42"/>
      <c r="R8465" s="23"/>
    </row>
    <row r="8466" spans="1:18" ht="12.75">
      <c r="A8466" s="12"/>
      <c r="D8466" s="12"/>
      <c r="E8466" s="12"/>
      <c r="H8466" s="11" t="str">
        <f ca="1">IFERROR(__xludf.DUMMYFUNCTION("IFERROR(SUBSTITUTE(SUBSTITUTE(REGEXEXTRACT(A8466, ""[^-]+- [^-]+- [^-]+ - (.+?)\.jpg""), "".jpg"", """"), ""-"", "", ""), """")"),"")</f>
        <v/>
      </c>
      <c r="L8466" s="12"/>
      <c r="M8466" s="13"/>
      <c r="N8466" s="2"/>
      <c r="O8466" s="20"/>
      <c r="P8466" s="42"/>
      <c r="R8466" s="23"/>
    </row>
    <row r="8467" spans="1:18" ht="12.75">
      <c r="A8467" s="12"/>
      <c r="D8467" s="12"/>
      <c r="E8467" s="12"/>
      <c r="H8467" s="11" t="str">
        <f ca="1">IFERROR(__xludf.DUMMYFUNCTION("IFERROR(SUBSTITUTE(SUBSTITUTE(REGEXEXTRACT(A8467, ""[^-]+- [^-]+- [^-]+ - (.+?)\.jpg""), "".jpg"", """"), ""-"", "", ""), """")"),"")</f>
        <v/>
      </c>
      <c r="L8467" s="12"/>
      <c r="M8467" s="13"/>
      <c r="N8467" s="2"/>
      <c r="O8467" s="20"/>
      <c r="P8467" s="42"/>
      <c r="R8467" s="23"/>
    </row>
    <row r="8468" spans="1:18" ht="12.75">
      <c r="A8468" s="12"/>
      <c r="D8468" s="12"/>
      <c r="E8468" s="12"/>
      <c r="H8468" s="11" t="str">
        <f ca="1">IFERROR(__xludf.DUMMYFUNCTION("IFERROR(SUBSTITUTE(SUBSTITUTE(REGEXEXTRACT(A8468, ""[^-]+- [^-]+- [^-]+ - (.+?)\.jpg""), "".jpg"", """"), ""-"", "", ""), """")"),"")</f>
        <v/>
      </c>
      <c r="L8468" s="12"/>
      <c r="M8468" s="13"/>
      <c r="N8468" s="2"/>
      <c r="O8468" s="20"/>
      <c r="P8468" s="42"/>
      <c r="R8468" s="23"/>
    </row>
    <row r="8469" spans="1:18" ht="12.75">
      <c r="A8469" s="12"/>
      <c r="D8469" s="12"/>
      <c r="E8469" s="12"/>
      <c r="H8469" s="11" t="str">
        <f ca="1">IFERROR(__xludf.DUMMYFUNCTION("IFERROR(SUBSTITUTE(SUBSTITUTE(REGEXEXTRACT(A8469, ""[^-]+- [^-]+- [^-]+ - (.+?)\.jpg""), "".jpg"", """"), ""-"", "", ""), """")"),"")</f>
        <v/>
      </c>
      <c r="L8469" s="12"/>
      <c r="M8469" s="13"/>
      <c r="N8469" s="2"/>
      <c r="O8469" s="20"/>
      <c r="P8469" s="42"/>
      <c r="R8469" s="23"/>
    </row>
    <row r="8470" spans="1:18" ht="12.75">
      <c r="A8470" s="12"/>
      <c r="D8470" s="12"/>
      <c r="E8470" s="12"/>
      <c r="H8470" s="11" t="str">
        <f ca="1">IFERROR(__xludf.DUMMYFUNCTION("IFERROR(SUBSTITUTE(SUBSTITUTE(REGEXEXTRACT(A8470, ""[^-]+- [^-]+- [^-]+ - (.+?)\.jpg""), "".jpg"", """"), ""-"", "", ""), """")"),"")</f>
        <v/>
      </c>
      <c r="L8470" s="12"/>
      <c r="M8470" s="13"/>
      <c r="N8470" s="2"/>
      <c r="O8470" s="20"/>
      <c r="P8470" s="42"/>
      <c r="R8470" s="23"/>
    </row>
    <row r="8471" spans="1:18" ht="12.75">
      <c r="A8471" s="12"/>
      <c r="D8471" s="12"/>
      <c r="E8471" s="12"/>
      <c r="H8471" s="11" t="str">
        <f ca="1">IFERROR(__xludf.DUMMYFUNCTION("IFERROR(SUBSTITUTE(SUBSTITUTE(REGEXEXTRACT(A8471, ""[^-]+- [^-]+- [^-]+ - (.+?)\.jpg""), "".jpg"", """"), ""-"", "", ""), """")"),"")</f>
        <v/>
      </c>
      <c r="L8471" s="12"/>
      <c r="M8471" s="13"/>
      <c r="N8471" s="2"/>
      <c r="O8471" s="20"/>
      <c r="P8471" s="42"/>
      <c r="R8471" s="23"/>
    </row>
    <row r="8472" spans="1:18" ht="12.75">
      <c r="A8472" s="12"/>
      <c r="D8472" s="12"/>
      <c r="E8472" s="12"/>
      <c r="H8472" s="11" t="str">
        <f ca="1">IFERROR(__xludf.DUMMYFUNCTION("IFERROR(SUBSTITUTE(SUBSTITUTE(REGEXEXTRACT(A8472, ""[^-]+- [^-]+- [^-]+ - (.+?)\.jpg""), "".jpg"", """"), ""-"", "", ""), """")"),"")</f>
        <v/>
      </c>
      <c r="L8472" s="12"/>
      <c r="M8472" s="13"/>
      <c r="N8472" s="2"/>
      <c r="O8472" s="20"/>
      <c r="P8472" s="42"/>
      <c r="R8472" s="23"/>
    </row>
    <row r="8473" spans="1:18" ht="12.75">
      <c r="A8473" s="12"/>
      <c r="D8473" s="12"/>
      <c r="E8473" s="12"/>
      <c r="H8473" s="11" t="str">
        <f ca="1">IFERROR(__xludf.DUMMYFUNCTION("IFERROR(SUBSTITUTE(SUBSTITUTE(REGEXEXTRACT(A8473, ""[^-]+- [^-]+- [^-]+ - (.+?)\.jpg""), "".jpg"", """"), ""-"", "", ""), """")"),"")</f>
        <v/>
      </c>
      <c r="L8473" s="12"/>
      <c r="M8473" s="13"/>
      <c r="N8473" s="2"/>
      <c r="O8473" s="20"/>
      <c r="P8473" s="42"/>
      <c r="R8473" s="23"/>
    </row>
    <row r="8474" spans="1:18" ht="12.75">
      <c r="A8474" s="12"/>
      <c r="D8474" s="12"/>
      <c r="E8474" s="12"/>
      <c r="H8474" s="11" t="str">
        <f ca="1">IFERROR(__xludf.DUMMYFUNCTION("IFERROR(SUBSTITUTE(SUBSTITUTE(REGEXEXTRACT(A8474, ""[^-]+- [^-]+- [^-]+ - (.+?)\.jpg""), "".jpg"", """"), ""-"", "", ""), """")"),"")</f>
        <v/>
      </c>
      <c r="L8474" s="12"/>
      <c r="M8474" s="13"/>
      <c r="N8474" s="2"/>
      <c r="O8474" s="20"/>
      <c r="P8474" s="42"/>
      <c r="R8474" s="23"/>
    </row>
    <row r="8475" spans="1:18" ht="12.75">
      <c r="A8475" s="12"/>
      <c r="D8475" s="12"/>
      <c r="E8475" s="12"/>
      <c r="H8475" s="11" t="str">
        <f ca="1">IFERROR(__xludf.DUMMYFUNCTION("IFERROR(SUBSTITUTE(SUBSTITUTE(REGEXEXTRACT(A8475, ""[^-]+- [^-]+- [^-]+ - (.+?)\.jpg""), "".jpg"", """"), ""-"", "", ""), """")"),"")</f>
        <v/>
      </c>
      <c r="L8475" s="12"/>
      <c r="M8475" s="13"/>
      <c r="N8475" s="2"/>
      <c r="O8475" s="20"/>
      <c r="P8475" s="42"/>
      <c r="R8475" s="23"/>
    </row>
    <row r="8476" spans="1:18" ht="12.75">
      <c r="A8476" s="12"/>
      <c r="D8476" s="12"/>
      <c r="E8476" s="12"/>
      <c r="H8476" s="11" t="str">
        <f ca="1">IFERROR(__xludf.DUMMYFUNCTION("IFERROR(SUBSTITUTE(SUBSTITUTE(REGEXEXTRACT(A8476, ""[^-]+- [^-]+- [^-]+ - (.+?)\.jpg""), "".jpg"", """"), ""-"", "", ""), """")"),"")</f>
        <v/>
      </c>
      <c r="L8476" s="12"/>
      <c r="M8476" s="13"/>
      <c r="N8476" s="2"/>
      <c r="O8476" s="20"/>
      <c r="P8476" s="42"/>
      <c r="R8476" s="23"/>
    </row>
    <row r="8477" spans="1:18" ht="12.75">
      <c r="A8477" s="12"/>
      <c r="D8477" s="12"/>
      <c r="E8477" s="12"/>
      <c r="H8477" s="11" t="str">
        <f ca="1">IFERROR(__xludf.DUMMYFUNCTION("IFERROR(SUBSTITUTE(SUBSTITUTE(REGEXEXTRACT(A8477, ""[^-]+- [^-]+- [^-]+ - (.+?)\.jpg""), "".jpg"", """"), ""-"", "", ""), """")"),"")</f>
        <v/>
      </c>
      <c r="L8477" s="12"/>
      <c r="M8477" s="13"/>
      <c r="N8477" s="2"/>
      <c r="O8477" s="20"/>
      <c r="P8477" s="42"/>
      <c r="R8477" s="23"/>
    </row>
    <row r="8478" spans="1:18" ht="12.75">
      <c r="A8478" s="12"/>
      <c r="D8478" s="12"/>
      <c r="E8478" s="12"/>
      <c r="H8478" s="11" t="str">
        <f ca="1">IFERROR(__xludf.DUMMYFUNCTION("IFERROR(SUBSTITUTE(SUBSTITUTE(REGEXEXTRACT(A8478, ""[^-]+- [^-]+- [^-]+ - (.+?)\.jpg""), "".jpg"", """"), ""-"", "", ""), """")"),"")</f>
        <v/>
      </c>
      <c r="L8478" s="12"/>
      <c r="M8478" s="13"/>
      <c r="N8478" s="2"/>
      <c r="O8478" s="20"/>
      <c r="P8478" s="42"/>
      <c r="R8478" s="23"/>
    </row>
    <row r="8479" spans="1:18" ht="12.75">
      <c r="A8479" s="12"/>
      <c r="D8479" s="12"/>
      <c r="E8479" s="12"/>
      <c r="H8479" s="11" t="str">
        <f ca="1">IFERROR(__xludf.DUMMYFUNCTION("IFERROR(SUBSTITUTE(SUBSTITUTE(REGEXEXTRACT(A8479, ""[^-]+- [^-]+- [^-]+ - (.+?)\.jpg""), "".jpg"", """"), ""-"", "", ""), """")"),"")</f>
        <v/>
      </c>
      <c r="L8479" s="12"/>
      <c r="M8479" s="13"/>
      <c r="N8479" s="2"/>
      <c r="O8479" s="20"/>
      <c r="P8479" s="42"/>
      <c r="R8479" s="23"/>
    </row>
    <row r="8480" spans="1:18" ht="12.75">
      <c r="A8480" s="12"/>
      <c r="D8480" s="12"/>
      <c r="E8480" s="12"/>
      <c r="H8480" s="11" t="str">
        <f ca="1">IFERROR(__xludf.DUMMYFUNCTION("IFERROR(SUBSTITUTE(SUBSTITUTE(REGEXEXTRACT(A8480, ""[^-]+- [^-]+- [^-]+ - (.+?)\.jpg""), "".jpg"", """"), ""-"", "", ""), """")"),"")</f>
        <v/>
      </c>
      <c r="L8480" s="12"/>
      <c r="M8480" s="13"/>
      <c r="N8480" s="2"/>
      <c r="O8480" s="20"/>
      <c r="P8480" s="42"/>
      <c r="R8480" s="23"/>
    </row>
    <row r="8481" spans="1:18" ht="12.75">
      <c r="A8481" s="12"/>
      <c r="D8481" s="12"/>
      <c r="E8481" s="12"/>
      <c r="H8481" s="11" t="str">
        <f ca="1">IFERROR(__xludf.DUMMYFUNCTION("IFERROR(SUBSTITUTE(SUBSTITUTE(REGEXEXTRACT(A8481, ""[^-]+- [^-]+- [^-]+ - (.+?)\.jpg""), "".jpg"", """"), ""-"", "", ""), """")"),"")</f>
        <v/>
      </c>
      <c r="L8481" s="12"/>
      <c r="M8481" s="13"/>
      <c r="N8481" s="2"/>
      <c r="O8481" s="20"/>
      <c r="P8481" s="42"/>
      <c r="R8481" s="23"/>
    </row>
    <row r="8482" spans="1:18" ht="12.75">
      <c r="A8482" s="12"/>
      <c r="D8482" s="12"/>
      <c r="E8482" s="12"/>
      <c r="H8482" s="11" t="str">
        <f ca="1">IFERROR(__xludf.DUMMYFUNCTION("IFERROR(SUBSTITUTE(SUBSTITUTE(REGEXEXTRACT(A8482, ""[^-]+- [^-]+- [^-]+ - (.+?)\.jpg""), "".jpg"", """"), ""-"", "", ""), """")"),"")</f>
        <v/>
      </c>
      <c r="L8482" s="12"/>
      <c r="M8482" s="13"/>
      <c r="N8482" s="2"/>
      <c r="O8482" s="20"/>
      <c r="P8482" s="42"/>
      <c r="R8482" s="23"/>
    </row>
    <row r="8483" spans="1:18" ht="12.75">
      <c r="A8483" s="12"/>
      <c r="D8483" s="12"/>
      <c r="E8483" s="12"/>
      <c r="H8483" s="11" t="str">
        <f ca="1">IFERROR(__xludf.DUMMYFUNCTION("IFERROR(SUBSTITUTE(SUBSTITUTE(REGEXEXTRACT(A8483, ""[^-]+- [^-]+- [^-]+ - (.+?)\.jpg""), "".jpg"", """"), ""-"", "", ""), """")"),"")</f>
        <v/>
      </c>
      <c r="L8483" s="12"/>
      <c r="M8483" s="13"/>
      <c r="N8483" s="2"/>
      <c r="O8483" s="20"/>
      <c r="P8483" s="42"/>
      <c r="R8483" s="23"/>
    </row>
    <row r="8484" spans="1:18" ht="12.75">
      <c r="A8484" s="12"/>
      <c r="D8484" s="12"/>
      <c r="E8484" s="12"/>
      <c r="H8484" s="11" t="str">
        <f ca="1">IFERROR(__xludf.DUMMYFUNCTION("IFERROR(SUBSTITUTE(SUBSTITUTE(REGEXEXTRACT(A8484, ""[^-]+- [^-]+- [^-]+ - (.+?)\.jpg""), "".jpg"", """"), ""-"", "", ""), """")"),"")</f>
        <v/>
      </c>
      <c r="L8484" s="12"/>
      <c r="M8484" s="13"/>
      <c r="N8484" s="2"/>
      <c r="O8484" s="20"/>
      <c r="P8484" s="42"/>
      <c r="R8484" s="23"/>
    </row>
    <row r="8485" spans="1:18" ht="12.75">
      <c r="A8485" s="12"/>
      <c r="D8485" s="12"/>
      <c r="E8485" s="12"/>
      <c r="H8485" s="11" t="str">
        <f ca="1">IFERROR(__xludf.DUMMYFUNCTION("IFERROR(SUBSTITUTE(SUBSTITUTE(REGEXEXTRACT(A8485, ""[^-]+- [^-]+- [^-]+ - (.+?)\.jpg""), "".jpg"", """"), ""-"", "", ""), """")"),"")</f>
        <v/>
      </c>
      <c r="L8485" s="12"/>
      <c r="M8485" s="13"/>
      <c r="N8485" s="2"/>
      <c r="O8485" s="20"/>
      <c r="P8485" s="42"/>
      <c r="R8485" s="23"/>
    </row>
    <row r="8486" spans="1:18" ht="12.75">
      <c r="A8486" s="12"/>
      <c r="D8486" s="12"/>
      <c r="E8486" s="12"/>
      <c r="H8486" s="11" t="str">
        <f ca="1">IFERROR(__xludf.DUMMYFUNCTION("IFERROR(SUBSTITUTE(SUBSTITUTE(REGEXEXTRACT(A8486, ""[^-]+- [^-]+- [^-]+ - (.+?)\.jpg""), "".jpg"", """"), ""-"", "", ""), """")"),"")</f>
        <v/>
      </c>
      <c r="L8486" s="12"/>
      <c r="M8486" s="13"/>
      <c r="N8486" s="2"/>
      <c r="O8486" s="20"/>
      <c r="P8486" s="42"/>
      <c r="R8486" s="23"/>
    </row>
    <row r="8487" spans="1:18" ht="12.75">
      <c r="A8487" s="12"/>
      <c r="D8487" s="12"/>
      <c r="E8487" s="12"/>
      <c r="H8487" s="11" t="str">
        <f ca="1">IFERROR(__xludf.DUMMYFUNCTION("IFERROR(SUBSTITUTE(SUBSTITUTE(REGEXEXTRACT(A8487, ""[^-]+- [^-]+- [^-]+ - (.+?)\.jpg""), "".jpg"", """"), ""-"", "", ""), """")"),"")</f>
        <v/>
      </c>
      <c r="L8487" s="12"/>
      <c r="M8487" s="13"/>
      <c r="N8487" s="2"/>
      <c r="O8487" s="20"/>
      <c r="P8487" s="42"/>
      <c r="R8487" s="23"/>
    </row>
    <row r="8488" spans="1:18" ht="12.75">
      <c r="A8488" s="12"/>
      <c r="D8488" s="12"/>
      <c r="E8488" s="12"/>
      <c r="H8488" s="11" t="str">
        <f ca="1">IFERROR(__xludf.DUMMYFUNCTION("IFERROR(SUBSTITUTE(SUBSTITUTE(REGEXEXTRACT(A8488, ""[^-]+- [^-]+- [^-]+ - (.+?)\.jpg""), "".jpg"", """"), ""-"", "", ""), """")"),"")</f>
        <v/>
      </c>
      <c r="L8488" s="12"/>
      <c r="M8488" s="13"/>
      <c r="N8488" s="2"/>
      <c r="O8488" s="20"/>
      <c r="P8488" s="42"/>
      <c r="R8488" s="23"/>
    </row>
    <row r="8489" spans="1:18" ht="12.75">
      <c r="A8489" s="12"/>
      <c r="D8489" s="12"/>
      <c r="E8489" s="12"/>
      <c r="H8489" s="11" t="str">
        <f ca="1">IFERROR(__xludf.DUMMYFUNCTION("IFERROR(SUBSTITUTE(SUBSTITUTE(REGEXEXTRACT(A8489, ""[^-]+- [^-]+- [^-]+ - (.+?)\.jpg""), "".jpg"", """"), ""-"", "", ""), """")"),"")</f>
        <v/>
      </c>
      <c r="L8489" s="12"/>
      <c r="M8489" s="13"/>
      <c r="N8489" s="2"/>
      <c r="O8489" s="20"/>
      <c r="P8489" s="42"/>
      <c r="R8489" s="23"/>
    </row>
    <row r="8490" spans="1:18" ht="12.75">
      <c r="A8490" s="12"/>
      <c r="D8490" s="12"/>
      <c r="E8490" s="12"/>
      <c r="H8490" s="11" t="str">
        <f ca="1">IFERROR(__xludf.DUMMYFUNCTION("IFERROR(SUBSTITUTE(SUBSTITUTE(REGEXEXTRACT(A8490, ""[^-]+- [^-]+- [^-]+ - (.+?)\.jpg""), "".jpg"", """"), ""-"", "", ""), """")"),"")</f>
        <v/>
      </c>
      <c r="L8490" s="12"/>
      <c r="M8490" s="13"/>
      <c r="N8490" s="2"/>
      <c r="O8490" s="20"/>
      <c r="P8490" s="42"/>
      <c r="R8490" s="23"/>
    </row>
    <row r="8491" spans="1:18" ht="12.75">
      <c r="A8491" s="12"/>
      <c r="D8491" s="12"/>
      <c r="E8491" s="12"/>
      <c r="H8491" s="11" t="str">
        <f ca="1">IFERROR(__xludf.DUMMYFUNCTION("IFERROR(SUBSTITUTE(SUBSTITUTE(REGEXEXTRACT(A8491, ""[^-]+- [^-]+- [^-]+ - (.+?)\.jpg""), "".jpg"", """"), ""-"", "", ""), """")"),"")</f>
        <v/>
      </c>
      <c r="L8491" s="12"/>
      <c r="M8491" s="13"/>
      <c r="N8491" s="2"/>
      <c r="O8491" s="20"/>
      <c r="P8491" s="42"/>
      <c r="R8491" s="23"/>
    </row>
    <row r="8492" spans="1:18" ht="12.75">
      <c r="A8492" s="12"/>
      <c r="D8492" s="12"/>
      <c r="E8492" s="12"/>
      <c r="H8492" s="11" t="str">
        <f ca="1">IFERROR(__xludf.DUMMYFUNCTION("IFERROR(SUBSTITUTE(SUBSTITUTE(REGEXEXTRACT(A8492, ""[^-]+- [^-]+- [^-]+ - (.+?)\.jpg""), "".jpg"", """"), ""-"", "", ""), """")"),"")</f>
        <v/>
      </c>
      <c r="L8492" s="12"/>
      <c r="M8492" s="13"/>
      <c r="N8492" s="2"/>
      <c r="O8492" s="20"/>
      <c r="P8492" s="42"/>
      <c r="R8492" s="23"/>
    </row>
    <row r="8493" spans="1:18" ht="12.75">
      <c r="A8493" s="12"/>
      <c r="D8493" s="12"/>
      <c r="E8493" s="12"/>
      <c r="H8493" s="11" t="str">
        <f ca="1">IFERROR(__xludf.DUMMYFUNCTION("IFERROR(SUBSTITUTE(SUBSTITUTE(REGEXEXTRACT(A8493, ""[^-]+- [^-]+- [^-]+ - (.+?)\.jpg""), "".jpg"", """"), ""-"", "", ""), """")"),"")</f>
        <v/>
      </c>
      <c r="L8493" s="12"/>
      <c r="M8493" s="13"/>
      <c r="N8493" s="2"/>
      <c r="O8493" s="20"/>
      <c r="P8493" s="42"/>
      <c r="R8493" s="23"/>
    </row>
    <row r="8494" spans="1:18" ht="12.75">
      <c r="A8494" s="12"/>
      <c r="D8494" s="12"/>
      <c r="E8494" s="12"/>
      <c r="H8494" s="11" t="str">
        <f ca="1">IFERROR(__xludf.DUMMYFUNCTION("IFERROR(SUBSTITUTE(SUBSTITUTE(REGEXEXTRACT(A8494, ""[^-]+- [^-]+- [^-]+ - (.+?)\.jpg""), "".jpg"", """"), ""-"", "", ""), """")"),"")</f>
        <v/>
      </c>
      <c r="L8494" s="12"/>
      <c r="M8494" s="13"/>
      <c r="N8494" s="2"/>
      <c r="O8494" s="20"/>
      <c r="P8494" s="42"/>
      <c r="R8494" s="23"/>
    </row>
    <row r="8495" spans="1:18" ht="12.75">
      <c r="A8495" s="12"/>
      <c r="D8495" s="12"/>
      <c r="E8495" s="12"/>
      <c r="H8495" s="11" t="str">
        <f ca="1">IFERROR(__xludf.DUMMYFUNCTION("IFERROR(SUBSTITUTE(SUBSTITUTE(REGEXEXTRACT(A8495, ""[^-]+- [^-]+- [^-]+ - (.+?)\.jpg""), "".jpg"", """"), ""-"", "", ""), """")"),"")</f>
        <v/>
      </c>
      <c r="L8495" s="12"/>
      <c r="M8495" s="13"/>
      <c r="N8495" s="2"/>
      <c r="O8495" s="20"/>
      <c r="P8495" s="42"/>
      <c r="R8495" s="23"/>
    </row>
    <row r="8496" spans="1:18" ht="12.75">
      <c r="A8496" s="12"/>
      <c r="D8496" s="12"/>
      <c r="E8496" s="12"/>
      <c r="H8496" s="11" t="str">
        <f ca="1">IFERROR(__xludf.DUMMYFUNCTION("IFERROR(SUBSTITUTE(SUBSTITUTE(REGEXEXTRACT(A8496, ""[^-]+- [^-]+- [^-]+ - (.+?)\.jpg""), "".jpg"", """"), ""-"", "", ""), """")"),"")</f>
        <v/>
      </c>
      <c r="L8496" s="12"/>
      <c r="M8496" s="13"/>
      <c r="N8496" s="2"/>
      <c r="O8496" s="20"/>
      <c r="P8496" s="42"/>
      <c r="R8496" s="23"/>
    </row>
    <row r="8497" spans="1:18" ht="12.75">
      <c r="A8497" s="12"/>
      <c r="D8497" s="12"/>
      <c r="E8497" s="12"/>
      <c r="H8497" s="11" t="str">
        <f ca="1">IFERROR(__xludf.DUMMYFUNCTION("IFERROR(SUBSTITUTE(SUBSTITUTE(REGEXEXTRACT(A8497, ""[^-]+- [^-]+- [^-]+ - (.+?)\.jpg""), "".jpg"", """"), ""-"", "", ""), """")"),"")</f>
        <v/>
      </c>
      <c r="L8497" s="12"/>
      <c r="M8497" s="13"/>
      <c r="N8497" s="2"/>
      <c r="O8497" s="20"/>
      <c r="P8497" s="42"/>
      <c r="R8497" s="23"/>
    </row>
    <row r="8498" spans="1:18" ht="12.75">
      <c r="A8498" s="12"/>
      <c r="D8498" s="12"/>
      <c r="E8498" s="12"/>
      <c r="H8498" s="11" t="str">
        <f ca="1">IFERROR(__xludf.DUMMYFUNCTION("IFERROR(SUBSTITUTE(SUBSTITUTE(REGEXEXTRACT(A8498, ""[^-]+- [^-]+- [^-]+ - (.+?)\.jpg""), "".jpg"", """"), ""-"", "", ""), """")"),"")</f>
        <v/>
      </c>
      <c r="L8498" s="12"/>
      <c r="M8498" s="13"/>
      <c r="N8498" s="2"/>
      <c r="O8498" s="20"/>
      <c r="P8498" s="42"/>
      <c r="R8498" s="23"/>
    </row>
    <row r="8499" spans="1:18" ht="12.75">
      <c r="A8499" s="12"/>
      <c r="D8499" s="12"/>
      <c r="E8499" s="12"/>
      <c r="H8499" s="11" t="str">
        <f ca="1">IFERROR(__xludf.DUMMYFUNCTION("IFERROR(SUBSTITUTE(SUBSTITUTE(REGEXEXTRACT(A8499, ""[^-]+- [^-]+- [^-]+ - (.+?)\.jpg""), "".jpg"", """"), ""-"", "", ""), """")"),"")</f>
        <v/>
      </c>
      <c r="L8499" s="12"/>
      <c r="M8499" s="13"/>
      <c r="N8499" s="2"/>
      <c r="O8499" s="20"/>
      <c r="P8499" s="42"/>
      <c r="R8499" s="23"/>
    </row>
    <row r="8500" spans="1:18" ht="12.75">
      <c r="A8500" s="12"/>
      <c r="D8500" s="12"/>
      <c r="E8500" s="12"/>
      <c r="H8500" s="11" t="str">
        <f ca="1">IFERROR(__xludf.DUMMYFUNCTION("IFERROR(SUBSTITUTE(SUBSTITUTE(REGEXEXTRACT(A8500, ""[^-]+- [^-]+- [^-]+ - (.+?)\.jpg""), "".jpg"", """"), ""-"", "", ""), """")"),"")</f>
        <v/>
      </c>
      <c r="L8500" s="12"/>
      <c r="M8500" s="13"/>
      <c r="N8500" s="2"/>
      <c r="O8500" s="20"/>
      <c r="P8500" s="42"/>
      <c r="R8500" s="23"/>
    </row>
    <row r="8501" spans="1:18" ht="12.75">
      <c r="A8501" s="12"/>
      <c r="D8501" s="12"/>
      <c r="E8501" s="12"/>
      <c r="H8501" s="11" t="str">
        <f ca="1">IFERROR(__xludf.DUMMYFUNCTION("IFERROR(SUBSTITUTE(SUBSTITUTE(REGEXEXTRACT(A8501, ""[^-]+- [^-]+- [^-]+ - (.+?)\.jpg""), "".jpg"", """"), ""-"", "", ""), """")"),"")</f>
        <v/>
      </c>
      <c r="L8501" s="12"/>
      <c r="M8501" s="13"/>
      <c r="N8501" s="2"/>
      <c r="O8501" s="20"/>
      <c r="P8501" s="42"/>
      <c r="R8501" s="23"/>
    </row>
    <row r="8502" spans="1:18" ht="12.75">
      <c r="A8502" s="12"/>
      <c r="D8502" s="12"/>
      <c r="E8502" s="12"/>
      <c r="H8502" s="11" t="str">
        <f ca="1">IFERROR(__xludf.DUMMYFUNCTION("IFERROR(SUBSTITUTE(SUBSTITUTE(REGEXEXTRACT(A8502, ""[^-]+- [^-]+- [^-]+ - (.+?)\.jpg""), "".jpg"", """"), ""-"", "", ""), """")"),"")</f>
        <v/>
      </c>
      <c r="L8502" s="12"/>
      <c r="M8502" s="13"/>
      <c r="N8502" s="2"/>
      <c r="O8502" s="20"/>
      <c r="P8502" s="42"/>
      <c r="R8502" s="23"/>
    </row>
    <row r="8503" spans="1:18" ht="12.75">
      <c r="A8503" s="12"/>
      <c r="D8503" s="12"/>
      <c r="E8503" s="12"/>
      <c r="H8503" s="11" t="str">
        <f ca="1">IFERROR(__xludf.DUMMYFUNCTION("IFERROR(SUBSTITUTE(SUBSTITUTE(REGEXEXTRACT(A8503, ""[^-]+- [^-]+- [^-]+ - (.+?)\.jpg""), "".jpg"", """"), ""-"", "", ""), """")"),"")</f>
        <v/>
      </c>
      <c r="L8503" s="12"/>
      <c r="M8503" s="13"/>
      <c r="N8503" s="2"/>
      <c r="O8503" s="20"/>
      <c r="P8503" s="42"/>
      <c r="R8503" s="23"/>
    </row>
    <row r="8504" spans="1:18" ht="12.75">
      <c r="A8504" s="12"/>
      <c r="D8504" s="12"/>
      <c r="E8504" s="12"/>
      <c r="H8504" s="11" t="str">
        <f ca="1">IFERROR(__xludf.DUMMYFUNCTION("IFERROR(SUBSTITUTE(SUBSTITUTE(REGEXEXTRACT(A8504, ""[^-]+- [^-]+- [^-]+ - (.+?)\.jpg""), "".jpg"", """"), ""-"", "", ""), """")"),"")</f>
        <v/>
      </c>
      <c r="L8504" s="12"/>
      <c r="M8504" s="13"/>
      <c r="N8504" s="2"/>
      <c r="O8504" s="20"/>
      <c r="P8504" s="42"/>
      <c r="R8504" s="23"/>
    </row>
    <row r="8505" spans="1:18" ht="12.75">
      <c r="A8505" s="12"/>
      <c r="D8505" s="12"/>
      <c r="E8505" s="12"/>
      <c r="H8505" s="11" t="str">
        <f ca="1">IFERROR(__xludf.DUMMYFUNCTION("IFERROR(SUBSTITUTE(SUBSTITUTE(REGEXEXTRACT(A8505, ""[^-]+- [^-]+- [^-]+ - (.+?)\.jpg""), "".jpg"", """"), ""-"", "", ""), """")"),"")</f>
        <v/>
      </c>
      <c r="L8505" s="12"/>
      <c r="M8505" s="13"/>
      <c r="N8505" s="2"/>
      <c r="O8505" s="20"/>
      <c r="P8505" s="42"/>
      <c r="R8505" s="23"/>
    </row>
    <row r="8506" spans="1:18" ht="12.75">
      <c r="A8506" s="12"/>
      <c r="D8506" s="12"/>
      <c r="E8506" s="12"/>
      <c r="H8506" s="11" t="str">
        <f ca="1">IFERROR(__xludf.DUMMYFUNCTION("IFERROR(SUBSTITUTE(SUBSTITUTE(REGEXEXTRACT(A8506, ""[^-]+- [^-]+- [^-]+ - (.+?)\.jpg""), "".jpg"", """"), ""-"", "", ""), """")"),"")</f>
        <v/>
      </c>
      <c r="L8506" s="12"/>
      <c r="M8506" s="13"/>
      <c r="N8506" s="2"/>
      <c r="O8506" s="20"/>
      <c r="P8506" s="42"/>
      <c r="R8506" s="23"/>
    </row>
    <row r="8507" spans="1:18" ht="12.75">
      <c r="A8507" s="12"/>
      <c r="D8507" s="12"/>
      <c r="E8507" s="12"/>
      <c r="H8507" s="11" t="str">
        <f ca="1">IFERROR(__xludf.DUMMYFUNCTION("IFERROR(SUBSTITUTE(SUBSTITUTE(REGEXEXTRACT(A8507, ""[^-]+- [^-]+- [^-]+ - (.+?)\.jpg""), "".jpg"", """"), ""-"", "", ""), """")"),"")</f>
        <v/>
      </c>
      <c r="L8507" s="12"/>
      <c r="M8507" s="13"/>
      <c r="N8507" s="2"/>
      <c r="O8507" s="20"/>
      <c r="P8507" s="42"/>
      <c r="R8507" s="23"/>
    </row>
    <row r="8508" spans="1:18" ht="12.75">
      <c r="A8508" s="12"/>
      <c r="D8508" s="12"/>
      <c r="E8508" s="12"/>
      <c r="H8508" s="11" t="str">
        <f ca="1">IFERROR(__xludf.DUMMYFUNCTION("IFERROR(SUBSTITUTE(SUBSTITUTE(REGEXEXTRACT(A8508, ""[^-]+- [^-]+- [^-]+ - (.+?)\.jpg""), "".jpg"", """"), ""-"", "", ""), """")"),"")</f>
        <v/>
      </c>
      <c r="L8508" s="12"/>
      <c r="M8508" s="13"/>
      <c r="N8508" s="2"/>
      <c r="O8508" s="20"/>
      <c r="P8508" s="42"/>
      <c r="R8508" s="23"/>
    </row>
    <row r="8509" spans="1:18" ht="12.75">
      <c r="A8509" s="12"/>
      <c r="D8509" s="12"/>
      <c r="E8509" s="12"/>
      <c r="H8509" s="11" t="str">
        <f ca="1">IFERROR(__xludf.DUMMYFUNCTION("IFERROR(SUBSTITUTE(SUBSTITUTE(REGEXEXTRACT(A8509, ""[^-]+- [^-]+- [^-]+ - (.+?)\.jpg""), "".jpg"", """"), ""-"", "", ""), """")"),"")</f>
        <v/>
      </c>
      <c r="L8509" s="12"/>
      <c r="M8509" s="13"/>
      <c r="N8509" s="2"/>
      <c r="O8509" s="20"/>
      <c r="P8509" s="42"/>
      <c r="R8509" s="23"/>
    </row>
    <row r="8510" spans="1:18" ht="12.75">
      <c r="A8510" s="12"/>
      <c r="D8510" s="12"/>
      <c r="E8510" s="12"/>
      <c r="H8510" s="11" t="str">
        <f ca="1">IFERROR(__xludf.DUMMYFUNCTION("IFERROR(SUBSTITUTE(SUBSTITUTE(REGEXEXTRACT(A8510, ""[^-]+- [^-]+- [^-]+ - (.+?)\.jpg""), "".jpg"", """"), ""-"", "", ""), """")"),"")</f>
        <v/>
      </c>
      <c r="L8510" s="12"/>
      <c r="M8510" s="13"/>
      <c r="N8510" s="2"/>
      <c r="O8510" s="20"/>
      <c r="P8510" s="42"/>
      <c r="R8510" s="23"/>
    </row>
    <row r="8511" spans="1:18" ht="12.75">
      <c r="A8511" s="12"/>
      <c r="D8511" s="12"/>
      <c r="E8511" s="12"/>
      <c r="H8511" s="11" t="str">
        <f ca="1">IFERROR(__xludf.DUMMYFUNCTION("IFERROR(SUBSTITUTE(SUBSTITUTE(REGEXEXTRACT(A8511, ""[^-]+- [^-]+- [^-]+ - (.+?)\.jpg""), "".jpg"", """"), ""-"", "", ""), """")"),"")</f>
        <v/>
      </c>
      <c r="L8511" s="12"/>
      <c r="M8511" s="13"/>
      <c r="N8511" s="2"/>
      <c r="O8511" s="20"/>
      <c r="P8511" s="42"/>
      <c r="R8511" s="23"/>
    </row>
    <row r="8512" spans="1:18" ht="12.75">
      <c r="A8512" s="12"/>
      <c r="D8512" s="12"/>
      <c r="E8512" s="12"/>
      <c r="H8512" s="11" t="str">
        <f ca="1">IFERROR(__xludf.DUMMYFUNCTION("IFERROR(SUBSTITUTE(SUBSTITUTE(REGEXEXTRACT(A8512, ""[^-]+- [^-]+- [^-]+ - (.+?)\.jpg""), "".jpg"", """"), ""-"", "", ""), """")"),"")</f>
        <v/>
      </c>
      <c r="L8512" s="12"/>
      <c r="M8512" s="13"/>
      <c r="N8512" s="2"/>
      <c r="O8512" s="20"/>
      <c r="P8512" s="42"/>
      <c r="R8512" s="23"/>
    </row>
    <row r="8513" spans="1:18" ht="12.75">
      <c r="A8513" s="12"/>
      <c r="D8513" s="12"/>
      <c r="E8513" s="12"/>
      <c r="H8513" s="11" t="str">
        <f ca="1">IFERROR(__xludf.DUMMYFUNCTION("IFERROR(SUBSTITUTE(SUBSTITUTE(REGEXEXTRACT(A8513, ""[^-]+- [^-]+- [^-]+ - (.+?)\.jpg""), "".jpg"", """"), ""-"", "", ""), """")"),"")</f>
        <v/>
      </c>
      <c r="L8513" s="12"/>
      <c r="M8513" s="13"/>
      <c r="N8513" s="2"/>
      <c r="O8513" s="20"/>
      <c r="P8513" s="42"/>
      <c r="R8513" s="23"/>
    </row>
    <row r="8514" spans="1:18" ht="12.75">
      <c r="A8514" s="12"/>
      <c r="D8514" s="12"/>
      <c r="E8514" s="12"/>
      <c r="H8514" s="11" t="str">
        <f ca="1">IFERROR(__xludf.DUMMYFUNCTION("IFERROR(SUBSTITUTE(SUBSTITUTE(REGEXEXTRACT(A8514, ""[^-]+- [^-]+- [^-]+ - (.+?)\.jpg""), "".jpg"", """"), ""-"", "", ""), """")"),"")</f>
        <v/>
      </c>
      <c r="L8514" s="12"/>
      <c r="M8514" s="13"/>
      <c r="N8514" s="2"/>
      <c r="O8514" s="20"/>
      <c r="P8514" s="42"/>
      <c r="R8514" s="23"/>
    </row>
    <row r="8515" spans="1:18" ht="12.75">
      <c r="A8515" s="12"/>
      <c r="D8515" s="12"/>
      <c r="E8515" s="12"/>
      <c r="H8515" s="11" t="str">
        <f ca="1">IFERROR(__xludf.DUMMYFUNCTION("IFERROR(SUBSTITUTE(SUBSTITUTE(REGEXEXTRACT(A8515, ""[^-]+- [^-]+- [^-]+ - (.+?)\.jpg""), "".jpg"", """"), ""-"", "", ""), """")"),"")</f>
        <v/>
      </c>
      <c r="L8515" s="12"/>
      <c r="M8515" s="13"/>
      <c r="N8515" s="2"/>
      <c r="O8515" s="20"/>
      <c r="P8515" s="42"/>
      <c r="R8515" s="23"/>
    </row>
    <row r="8516" spans="1:18" ht="12.75">
      <c r="A8516" s="12"/>
      <c r="D8516" s="12"/>
      <c r="E8516" s="12"/>
      <c r="H8516" s="11" t="str">
        <f ca="1">IFERROR(__xludf.DUMMYFUNCTION("IFERROR(SUBSTITUTE(SUBSTITUTE(REGEXEXTRACT(A8516, ""[^-]+- [^-]+- [^-]+ - (.+?)\.jpg""), "".jpg"", """"), ""-"", "", ""), """")"),"")</f>
        <v/>
      </c>
      <c r="L8516" s="12"/>
      <c r="M8516" s="13"/>
      <c r="N8516" s="2"/>
      <c r="O8516" s="20"/>
      <c r="P8516" s="42"/>
      <c r="R8516" s="23"/>
    </row>
    <row r="8517" spans="1:18" ht="12.75">
      <c r="A8517" s="12"/>
      <c r="D8517" s="12"/>
      <c r="E8517" s="12"/>
      <c r="H8517" s="11" t="str">
        <f ca="1">IFERROR(__xludf.DUMMYFUNCTION("IFERROR(SUBSTITUTE(SUBSTITUTE(REGEXEXTRACT(A8517, ""[^-]+- [^-]+- [^-]+ - (.+?)\.jpg""), "".jpg"", """"), ""-"", "", ""), """")"),"")</f>
        <v/>
      </c>
      <c r="L8517" s="12"/>
      <c r="M8517" s="13"/>
      <c r="N8517" s="2"/>
      <c r="O8517" s="20"/>
      <c r="P8517" s="42"/>
      <c r="R8517" s="23"/>
    </row>
    <row r="8518" spans="1:18" ht="12.75">
      <c r="A8518" s="12"/>
      <c r="D8518" s="12"/>
      <c r="E8518" s="12"/>
      <c r="H8518" s="11" t="str">
        <f ca="1">IFERROR(__xludf.DUMMYFUNCTION("IFERROR(SUBSTITUTE(SUBSTITUTE(REGEXEXTRACT(A8518, ""[^-]+- [^-]+- [^-]+ - (.+?)\.jpg""), "".jpg"", """"), ""-"", "", ""), """")"),"")</f>
        <v/>
      </c>
      <c r="L8518" s="12"/>
      <c r="M8518" s="13"/>
      <c r="N8518" s="2"/>
      <c r="O8518" s="20"/>
      <c r="P8518" s="42"/>
      <c r="R8518" s="23"/>
    </row>
    <row r="8519" spans="1:18" ht="12.75">
      <c r="A8519" s="12"/>
      <c r="D8519" s="12"/>
      <c r="E8519" s="12"/>
      <c r="H8519" s="11" t="str">
        <f ca="1">IFERROR(__xludf.DUMMYFUNCTION("IFERROR(SUBSTITUTE(SUBSTITUTE(REGEXEXTRACT(A8519, ""[^-]+- [^-]+- [^-]+ - (.+?)\.jpg""), "".jpg"", """"), ""-"", "", ""), """")"),"")</f>
        <v/>
      </c>
      <c r="L8519" s="12"/>
      <c r="M8519" s="13"/>
      <c r="N8519" s="2"/>
      <c r="O8519" s="20"/>
      <c r="P8519" s="42"/>
      <c r="R8519" s="23"/>
    </row>
    <row r="8520" spans="1:18" ht="12.75">
      <c r="A8520" s="12"/>
      <c r="D8520" s="12"/>
      <c r="E8520" s="12"/>
      <c r="H8520" s="11" t="str">
        <f ca="1">IFERROR(__xludf.DUMMYFUNCTION("IFERROR(SUBSTITUTE(SUBSTITUTE(REGEXEXTRACT(A8520, ""[^-]+- [^-]+- [^-]+ - (.+?)\.jpg""), "".jpg"", """"), ""-"", "", ""), """")"),"")</f>
        <v/>
      </c>
      <c r="L8520" s="12"/>
      <c r="M8520" s="13"/>
      <c r="N8520" s="2"/>
      <c r="O8520" s="20"/>
      <c r="P8520" s="42"/>
      <c r="R8520" s="23"/>
    </row>
    <row r="8521" spans="1:18" ht="12.75">
      <c r="A8521" s="12"/>
      <c r="D8521" s="12"/>
      <c r="E8521" s="12"/>
      <c r="H8521" s="11" t="str">
        <f ca="1">IFERROR(__xludf.DUMMYFUNCTION("IFERROR(SUBSTITUTE(SUBSTITUTE(REGEXEXTRACT(A8521, ""[^-]+- [^-]+- [^-]+ - (.+?)\.jpg""), "".jpg"", """"), ""-"", "", ""), """")"),"")</f>
        <v/>
      </c>
      <c r="L8521" s="12"/>
      <c r="M8521" s="13"/>
      <c r="N8521" s="2"/>
      <c r="O8521" s="20"/>
      <c r="P8521" s="42"/>
      <c r="R8521" s="23"/>
    </row>
    <row r="8522" spans="1:18" ht="12.75">
      <c r="A8522" s="12"/>
      <c r="D8522" s="12"/>
      <c r="E8522" s="12"/>
      <c r="H8522" s="11" t="str">
        <f ca="1">IFERROR(__xludf.DUMMYFUNCTION("IFERROR(SUBSTITUTE(SUBSTITUTE(REGEXEXTRACT(A8522, ""[^-]+- [^-]+- [^-]+ - (.+?)\.jpg""), "".jpg"", """"), ""-"", "", ""), """")"),"")</f>
        <v/>
      </c>
      <c r="L8522" s="12"/>
      <c r="M8522" s="13"/>
      <c r="N8522" s="2"/>
      <c r="O8522" s="20"/>
      <c r="P8522" s="42"/>
      <c r="R8522" s="23"/>
    </row>
    <row r="8523" spans="1:18" ht="12.75">
      <c r="A8523" s="12"/>
      <c r="D8523" s="12"/>
      <c r="E8523" s="12"/>
      <c r="H8523" s="11" t="str">
        <f ca="1">IFERROR(__xludf.DUMMYFUNCTION("IFERROR(SUBSTITUTE(SUBSTITUTE(REGEXEXTRACT(A8523, ""[^-]+- [^-]+- [^-]+ - (.+?)\.jpg""), "".jpg"", """"), ""-"", "", ""), """")"),"")</f>
        <v/>
      </c>
      <c r="L8523" s="12"/>
      <c r="M8523" s="13"/>
      <c r="N8523" s="2"/>
      <c r="O8523" s="20"/>
      <c r="P8523" s="42"/>
      <c r="R8523" s="23"/>
    </row>
    <row r="8524" spans="1:18" ht="12.75">
      <c r="A8524" s="12"/>
      <c r="D8524" s="12"/>
      <c r="E8524" s="12"/>
      <c r="H8524" s="11" t="str">
        <f ca="1">IFERROR(__xludf.DUMMYFUNCTION("IFERROR(SUBSTITUTE(SUBSTITUTE(REGEXEXTRACT(A8524, ""[^-]+- [^-]+- [^-]+ - (.+?)\.jpg""), "".jpg"", """"), ""-"", "", ""), """")"),"")</f>
        <v/>
      </c>
      <c r="L8524" s="12"/>
      <c r="M8524" s="13"/>
      <c r="N8524" s="2"/>
      <c r="O8524" s="20"/>
      <c r="P8524" s="42"/>
      <c r="R8524" s="23"/>
    </row>
    <row r="8525" spans="1:18" ht="12.75">
      <c r="A8525" s="12"/>
      <c r="D8525" s="12"/>
      <c r="E8525" s="12"/>
      <c r="H8525" s="11" t="str">
        <f ca="1">IFERROR(__xludf.DUMMYFUNCTION("IFERROR(SUBSTITUTE(SUBSTITUTE(REGEXEXTRACT(A8525, ""[^-]+- [^-]+- [^-]+ - (.+?)\.jpg""), "".jpg"", """"), ""-"", "", ""), """")"),"")</f>
        <v/>
      </c>
      <c r="L8525" s="12"/>
      <c r="M8525" s="13"/>
      <c r="N8525" s="2"/>
      <c r="O8525" s="20"/>
      <c r="P8525" s="42"/>
      <c r="R8525" s="23"/>
    </row>
    <row r="8526" spans="1:18" ht="12.75">
      <c r="A8526" s="12"/>
      <c r="D8526" s="12"/>
      <c r="E8526" s="12"/>
      <c r="H8526" s="11" t="str">
        <f ca="1">IFERROR(__xludf.DUMMYFUNCTION("IFERROR(SUBSTITUTE(SUBSTITUTE(REGEXEXTRACT(A8526, ""[^-]+- [^-]+- [^-]+ - (.+?)\.jpg""), "".jpg"", """"), ""-"", "", ""), """")"),"")</f>
        <v/>
      </c>
      <c r="L8526" s="12"/>
      <c r="M8526" s="13"/>
      <c r="N8526" s="2"/>
      <c r="O8526" s="20"/>
      <c r="P8526" s="42"/>
      <c r="R8526" s="23"/>
    </row>
    <row r="8527" spans="1:18" ht="12.75">
      <c r="A8527" s="12"/>
      <c r="D8527" s="12"/>
      <c r="E8527" s="12"/>
      <c r="H8527" s="11" t="str">
        <f ca="1">IFERROR(__xludf.DUMMYFUNCTION("IFERROR(SUBSTITUTE(SUBSTITUTE(REGEXEXTRACT(A8527, ""[^-]+- [^-]+- [^-]+ - (.+?)\.jpg""), "".jpg"", """"), ""-"", "", ""), """")"),"")</f>
        <v/>
      </c>
      <c r="L8527" s="12"/>
      <c r="M8527" s="13"/>
      <c r="N8527" s="2"/>
      <c r="O8527" s="20"/>
      <c r="P8527" s="42"/>
      <c r="R8527" s="23"/>
    </row>
    <row r="8528" spans="1:18" ht="12.75">
      <c r="A8528" s="12"/>
      <c r="D8528" s="12"/>
      <c r="E8528" s="12"/>
      <c r="H8528" s="11" t="str">
        <f ca="1">IFERROR(__xludf.DUMMYFUNCTION("IFERROR(SUBSTITUTE(SUBSTITUTE(REGEXEXTRACT(A8528, ""[^-]+- [^-]+- [^-]+ - (.+?)\.jpg""), "".jpg"", """"), ""-"", "", ""), """")"),"")</f>
        <v/>
      </c>
      <c r="L8528" s="12"/>
      <c r="M8528" s="13"/>
      <c r="N8528" s="2"/>
      <c r="O8528" s="20"/>
      <c r="P8528" s="42"/>
      <c r="R8528" s="23"/>
    </row>
    <row r="8529" spans="1:18" ht="12.75">
      <c r="A8529" s="12"/>
      <c r="D8529" s="12"/>
      <c r="E8529" s="12"/>
      <c r="H8529" s="11" t="str">
        <f ca="1">IFERROR(__xludf.DUMMYFUNCTION("IFERROR(SUBSTITUTE(SUBSTITUTE(REGEXEXTRACT(A8529, ""[^-]+- [^-]+- [^-]+ - (.+?)\.jpg""), "".jpg"", """"), ""-"", "", ""), """")"),"")</f>
        <v/>
      </c>
      <c r="L8529" s="12"/>
      <c r="M8529" s="13"/>
      <c r="N8529" s="2"/>
      <c r="O8529" s="20"/>
      <c r="P8529" s="42"/>
      <c r="R8529" s="23"/>
    </row>
    <row r="8530" spans="1:18" ht="12.75">
      <c r="A8530" s="12"/>
      <c r="D8530" s="12"/>
      <c r="E8530" s="12"/>
      <c r="H8530" s="11" t="str">
        <f ca="1">IFERROR(__xludf.DUMMYFUNCTION("IFERROR(SUBSTITUTE(SUBSTITUTE(REGEXEXTRACT(A8530, ""[^-]+- [^-]+- [^-]+ - (.+?)\.jpg""), "".jpg"", """"), ""-"", "", ""), """")"),"")</f>
        <v/>
      </c>
      <c r="L8530" s="12"/>
      <c r="M8530" s="13"/>
      <c r="N8530" s="2"/>
      <c r="O8530" s="20"/>
      <c r="P8530" s="42"/>
      <c r="R8530" s="23"/>
    </row>
    <row r="8531" spans="1:18" ht="12.75">
      <c r="A8531" s="12"/>
      <c r="D8531" s="12"/>
      <c r="E8531" s="12"/>
      <c r="H8531" s="11" t="str">
        <f ca="1">IFERROR(__xludf.DUMMYFUNCTION("IFERROR(SUBSTITUTE(SUBSTITUTE(REGEXEXTRACT(A8531, ""[^-]+- [^-]+- [^-]+ - (.+?)\.jpg""), "".jpg"", """"), ""-"", "", ""), """")"),"")</f>
        <v/>
      </c>
      <c r="L8531" s="12"/>
      <c r="M8531" s="13"/>
      <c r="N8531" s="2"/>
      <c r="O8531" s="20"/>
      <c r="P8531" s="42"/>
      <c r="R8531" s="23"/>
    </row>
    <row r="8532" spans="1:18" ht="12.75">
      <c r="A8532" s="12"/>
      <c r="D8532" s="12"/>
      <c r="E8532" s="12"/>
      <c r="H8532" s="11" t="str">
        <f ca="1">IFERROR(__xludf.DUMMYFUNCTION("IFERROR(SUBSTITUTE(SUBSTITUTE(REGEXEXTRACT(A8532, ""[^-]+- [^-]+- [^-]+ - (.+?)\.jpg""), "".jpg"", """"), ""-"", "", ""), """")"),"")</f>
        <v/>
      </c>
      <c r="L8532" s="12"/>
      <c r="M8532" s="13"/>
      <c r="N8532" s="2"/>
      <c r="O8532" s="20"/>
      <c r="P8532" s="42"/>
      <c r="R8532" s="23"/>
    </row>
    <row r="8533" spans="1:18" ht="12.75">
      <c r="A8533" s="12"/>
      <c r="D8533" s="12"/>
      <c r="E8533" s="12"/>
      <c r="H8533" s="11" t="str">
        <f ca="1">IFERROR(__xludf.DUMMYFUNCTION("IFERROR(SUBSTITUTE(SUBSTITUTE(REGEXEXTRACT(A8533, ""[^-]+- [^-]+- [^-]+ - (.+?)\.jpg""), "".jpg"", """"), ""-"", "", ""), """")"),"")</f>
        <v/>
      </c>
      <c r="L8533" s="12"/>
      <c r="M8533" s="13"/>
      <c r="N8533" s="2"/>
      <c r="O8533" s="20"/>
      <c r="P8533" s="42"/>
      <c r="R8533" s="23"/>
    </row>
    <row r="8534" spans="1:18" ht="12.75">
      <c r="A8534" s="12"/>
      <c r="D8534" s="12"/>
      <c r="E8534" s="12"/>
      <c r="H8534" s="11" t="str">
        <f ca="1">IFERROR(__xludf.DUMMYFUNCTION("IFERROR(SUBSTITUTE(SUBSTITUTE(REGEXEXTRACT(A8534, ""[^-]+- [^-]+- [^-]+ - (.+?)\.jpg""), "".jpg"", """"), ""-"", "", ""), """")"),"")</f>
        <v/>
      </c>
      <c r="L8534" s="12"/>
      <c r="M8534" s="13"/>
      <c r="N8534" s="2"/>
      <c r="O8534" s="20"/>
      <c r="P8534" s="42"/>
      <c r="R8534" s="23"/>
    </row>
    <row r="8535" spans="1:18" ht="12.75">
      <c r="A8535" s="12"/>
      <c r="D8535" s="12"/>
      <c r="E8535" s="12"/>
      <c r="H8535" s="11" t="str">
        <f ca="1">IFERROR(__xludf.DUMMYFUNCTION("IFERROR(SUBSTITUTE(SUBSTITUTE(REGEXEXTRACT(A8535, ""[^-]+- [^-]+- [^-]+ - (.+?)\.jpg""), "".jpg"", """"), ""-"", "", ""), """")"),"")</f>
        <v/>
      </c>
      <c r="L8535" s="12"/>
      <c r="M8535" s="13"/>
      <c r="N8535" s="2"/>
      <c r="O8535" s="20"/>
      <c r="P8535" s="42"/>
      <c r="R8535" s="23"/>
    </row>
    <row r="8536" spans="1:18" ht="12.75">
      <c r="A8536" s="12"/>
      <c r="D8536" s="12"/>
      <c r="E8536" s="12"/>
      <c r="H8536" s="11" t="str">
        <f ca="1">IFERROR(__xludf.DUMMYFUNCTION("IFERROR(SUBSTITUTE(SUBSTITUTE(REGEXEXTRACT(A8536, ""[^-]+- [^-]+- [^-]+ - (.+?)\.jpg""), "".jpg"", """"), ""-"", "", ""), """")"),"")</f>
        <v/>
      </c>
      <c r="L8536" s="12"/>
      <c r="M8536" s="13"/>
      <c r="N8536" s="2"/>
      <c r="O8536" s="20"/>
      <c r="P8536" s="42"/>
      <c r="R8536" s="23"/>
    </row>
    <row r="8537" spans="1:18" ht="12.75">
      <c r="A8537" s="12"/>
      <c r="D8537" s="12"/>
      <c r="E8537" s="12"/>
      <c r="H8537" s="11" t="str">
        <f ca="1">IFERROR(__xludf.DUMMYFUNCTION("IFERROR(SUBSTITUTE(SUBSTITUTE(REGEXEXTRACT(A8537, ""[^-]+- [^-]+- [^-]+ - (.+?)\.jpg""), "".jpg"", """"), ""-"", "", ""), """")"),"")</f>
        <v/>
      </c>
      <c r="L8537" s="12"/>
      <c r="M8537" s="13"/>
      <c r="N8537" s="2"/>
      <c r="O8537" s="20"/>
      <c r="P8537" s="42"/>
      <c r="R8537" s="23"/>
    </row>
    <row r="8538" spans="1:18" ht="12.75">
      <c r="A8538" s="12"/>
      <c r="D8538" s="12"/>
      <c r="E8538" s="12"/>
      <c r="H8538" s="11" t="str">
        <f ca="1">IFERROR(__xludf.DUMMYFUNCTION("IFERROR(SUBSTITUTE(SUBSTITUTE(REGEXEXTRACT(A8538, ""[^-]+- [^-]+- [^-]+ - (.+?)\.jpg""), "".jpg"", """"), ""-"", "", ""), """")"),"")</f>
        <v/>
      </c>
      <c r="L8538" s="12"/>
      <c r="M8538" s="13"/>
      <c r="N8538" s="2"/>
      <c r="O8538" s="20"/>
      <c r="P8538" s="42"/>
      <c r="R8538" s="23"/>
    </row>
    <row r="8539" spans="1:18" ht="12.75">
      <c r="A8539" s="12"/>
      <c r="D8539" s="12"/>
      <c r="E8539" s="12"/>
      <c r="H8539" s="11" t="str">
        <f ca="1">IFERROR(__xludf.DUMMYFUNCTION("IFERROR(SUBSTITUTE(SUBSTITUTE(REGEXEXTRACT(A8539, ""[^-]+- [^-]+- [^-]+ - (.+?)\.jpg""), "".jpg"", """"), ""-"", "", ""), """")"),"")</f>
        <v/>
      </c>
      <c r="L8539" s="12"/>
      <c r="M8539" s="13"/>
      <c r="N8539" s="2"/>
      <c r="O8539" s="20"/>
      <c r="P8539" s="42"/>
      <c r="R8539" s="23"/>
    </row>
    <row r="8540" spans="1:18" ht="12.75">
      <c r="A8540" s="12"/>
      <c r="D8540" s="12"/>
      <c r="E8540" s="12"/>
      <c r="H8540" s="11" t="str">
        <f ca="1">IFERROR(__xludf.DUMMYFUNCTION("IFERROR(SUBSTITUTE(SUBSTITUTE(REGEXEXTRACT(A8540, ""[^-]+- [^-]+- [^-]+ - (.+?)\.jpg""), "".jpg"", """"), ""-"", "", ""), """")"),"")</f>
        <v/>
      </c>
      <c r="L8540" s="12"/>
      <c r="M8540" s="13"/>
      <c r="N8540" s="2"/>
      <c r="O8540" s="20"/>
      <c r="P8540" s="42"/>
      <c r="R8540" s="23"/>
    </row>
    <row r="8541" spans="1:18" ht="12.75">
      <c r="A8541" s="12"/>
      <c r="D8541" s="12"/>
      <c r="E8541" s="12"/>
      <c r="H8541" s="11" t="str">
        <f ca="1">IFERROR(__xludf.DUMMYFUNCTION("IFERROR(SUBSTITUTE(SUBSTITUTE(REGEXEXTRACT(A8541, ""[^-]+- [^-]+- [^-]+ - (.+?)\.jpg""), "".jpg"", """"), ""-"", "", ""), """")"),"")</f>
        <v/>
      </c>
      <c r="L8541" s="12"/>
      <c r="M8541" s="13"/>
      <c r="N8541" s="2"/>
      <c r="O8541" s="20"/>
      <c r="P8541" s="42"/>
      <c r="R8541" s="23"/>
    </row>
    <row r="8542" spans="1:18" ht="12.75">
      <c r="A8542" s="12"/>
      <c r="D8542" s="12"/>
      <c r="E8542" s="12"/>
      <c r="H8542" s="11" t="str">
        <f ca="1">IFERROR(__xludf.DUMMYFUNCTION("IFERROR(SUBSTITUTE(SUBSTITUTE(REGEXEXTRACT(A8542, ""[^-]+- [^-]+- [^-]+ - (.+?)\.jpg""), "".jpg"", """"), ""-"", "", ""), """")"),"")</f>
        <v/>
      </c>
      <c r="L8542" s="12"/>
      <c r="M8542" s="13"/>
      <c r="N8542" s="2"/>
      <c r="O8542" s="20"/>
      <c r="P8542" s="42"/>
      <c r="R8542" s="23"/>
    </row>
    <row r="8543" spans="1:18" ht="12.75">
      <c r="A8543" s="12"/>
      <c r="D8543" s="12"/>
      <c r="E8543" s="12"/>
      <c r="H8543" s="11" t="str">
        <f ca="1">IFERROR(__xludf.DUMMYFUNCTION("IFERROR(SUBSTITUTE(SUBSTITUTE(REGEXEXTRACT(A8543, ""[^-]+- [^-]+- [^-]+ - (.+?)\.jpg""), "".jpg"", """"), ""-"", "", ""), """")"),"")</f>
        <v/>
      </c>
      <c r="L8543" s="12"/>
      <c r="M8543" s="13"/>
      <c r="N8543" s="2"/>
      <c r="O8543" s="20"/>
      <c r="P8543" s="42"/>
      <c r="R8543" s="23"/>
    </row>
    <row r="8544" spans="1:18" ht="12.75">
      <c r="A8544" s="12"/>
      <c r="D8544" s="12"/>
      <c r="E8544" s="12"/>
      <c r="H8544" s="11" t="str">
        <f ca="1">IFERROR(__xludf.DUMMYFUNCTION("IFERROR(SUBSTITUTE(SUBSTITUTE(REGEXEXTRACT(A8544, ""[^-]+- [^-]+- [^-]+ - (.+?)\.jpg""), "".jpg"", """"), ""-"", "", ""), """")"),"")</f>
        <v/>
      </c>
      <c r="L8544" s="12"/>
      <c r="M8544" s="13"/>
      <c r="N8544" s="2"/>
      <c r="O8544" s="20"/>
      <c r="P8544" s="42"/>
      <c r="R8544" s="23"/>
    </row>
    <row r="8545" spans="1:18" ht="12.75">
      <c r="A8545" s="12"/>
      <c r="D8545" s="12"/>
      <c r="E8545" s="12"/>
      <c r="H8545" s="11" t="str">
        <f ca="1">IFERROR(__xludf.DUMMYFUNCTION("IFERROR(SUBSTITUTE(SUBSTITUTE(REGEXEXTRACT(A8545, ""[^-]+- [^-]+- [^-]+ - (.+?)\.jpg""), "".jpg"", """"), ""-"", "", ""), """")"),"")</f>
        <v/>
      </c>
      <c r="L8545" s="12"/>
      <c r="M8545" s="13"/>
      <c r="N8545" s="2"/>
      <c r="O8545" s="20"/>
      <c r="P8545" s="42"/>
      <c r="R8545" s="23"/>
    </row>
    <row r="8546" spans="1:18" ht="12.75">
      <c r="A8546" s="12"/>
      <c r="D8546" s="12"/>
      <c r="E8546" s="12"/>
      <c r="H8546" s="11" t="str">
        <f ca="1">IFERROR(__xludf.DUMMYFUNCTION("IFERROR(SUBSTITUTE(SUBSTITUTE(REGEXEXTRACT(A8546, ""[^-]+- [^-]+- [^-]+ - (.+?)\.jpg""), "".jpg"", """"), ""-"", "", ""), """")"),"")</f>
        <v/>
      </c>
      <c r="L8546" s="12"/>
      <c r="M8546" s="13"/>
      <c r="N8546" s="2"/>
      <c r="O8546" s="20"/>
      <c r="P8546" s="42"/>
      <c r="R8546" s="23"/>
    </row>
    <row r="8547" spans="1:18" ht="12.75">
      <c r="A8547" s="12"/>
      <c r="D8547" s="12"/>
      <c r="E8547" s="12"/>
      <c r="H8547" s="11" t="str">
        <f ca="1">IFERROR(__xludf.DUMMYFUNCTION("IFERROR(SUBSTITUTE(SUBSTITUTE(REGEXEXTRACT(A8547, ""[^-]+- [^-]+- [^-]+ - (.+?)\.jpg""), "".jpg"", """"), ""-"", "", ""), """")"),"")</f>
        <v/>
      </c>
      <c r="L8547" s="12"/>
      <c r="M8547" s="13"/>
      <c r="N8547" s="2"/>
      <c r="O8547" s="20"/>
      <c r="P8547" s="42"/>
      <c r="R8547" s="23"/>
    </row>
    <row r="8548" spans="1:18" ht="12.75">
      <c r="A8548" s="12"/>
      <c r="D8548" s="12"/>
      <c r="E8548" s="12"/>
      <c r="H8548" s="11" t="str">
        <f ca="1">IFERROR(__xludf.DUMMYFUNCTION("IFERROR(SUBSTITUTE(SUBSTITUTE(REGEXEXTRACT(A8548, ""[^-]+- [^-]+- [^-]+ - (.+?)\.jpg""), "".jpg"", """"), ""-"", "", ""), """")"),"")</f>
        <v/>
      </c>
      <c r="L8548" s="12"/>
      <c r="M8548" s="13"/>
      <c r="N8548" s="2"/>
      <c r="O8548" s="20"/>
      <c r="P8548" s="42"/>
      <c r="R8548" s="23"/>
    </row>
    <row r="8549" spans="1:18" ht="12.75">
      <c r="A8549" s="12"/>
      <c r="D8549" s="12"/>
      <c r="E8549" s="12"/>
      <c r="H8549" s="11" t="str">
        <f ca="1">IFERROR(__xludf.DUMMYFUNCTION("IFERROR(SUBSTITUTE(SUBSTITUTE(REGEXEXTRACT(A8549, ""[^-]+- [^-]+- [^-]+ - (.+?)\.jpg""), "".jpg"", """"), ""-"", "", ""), """")"),"")</f>
        <v/>
      </c>
      <c r="L8549" s="12"/>
      <c r="M8549" s="13"/>
      <c r="N8549" s="2"/>
      <c r="O8549" s="20"/>
      <c r="P8549" s="42"/>
      <c r="R8549" s="23"/>
    </row>
    <row r="8550" spans="1:18" ht="12.75">
      <c r="A8550" s="12"/>
      <c r="D8550" s="12"/>
      <c r="E8550" s="12"/>
      <c r="H8550" s="11" t="str">
        <f ca="1">IFERROR(__xludf.DUMMYFUNCTION("IFERROR(SUBSTITUTE(SUBSTITUTE(REGEXEXTRACT(A8550, ""[^-]+- [^-]+- [^-]+ - (.+?)\.jpg""), "".jpg"", """"), ""-"", "", ""), """")"),"")</f>
        <v/>
      </c>
      <c r="L8550" s="12"/>
      <c r="M8550" s="13"/>
      <c r="N8550" s="2"/>
      <c r="O8550" s="20"/>
      <c r="P8550" s="42"/>
      <c r="R8550" s="23"/>
    </row>
    <row r="8551" spans="1:18" ht="12.75">
      <c r="A8551" s="12"/>
      <c r="D8551" s="12"/>
      <c r="E8551" s="12"/>
      <c r="H8551" s="11" t="str">
        <f ca="1">IFERROR(__xludf.DUMMYFUNCTION("IFERROR(SUBSTITUTE(SUBSTITUTE(REGEXEXTRACT(A8551, ""[^-]+- [^-]+- [^-]+ - (.+?)\.jpg""), "".jpg"", """"), ""-"", "", ""), """")"),"")</f>
        <v/>
      </c>
      <c r="L8551" s="12"/>
      <c r="M8551" s="13"/>
      <c r="N8551" s="2"/>
      <c r="O8551" s="20"/>
      <c r="P8551" s="42"/>
      <c r="R8551" s="23"/>
    </row>
    <row r="8552" spans="1:18" ht="12.75">
      <c r="A8552" s="12"/>
      <c r="D8552" s="12"/>
      <c r="E8552" s="12"/>
      <c r="H8552" s="11" t="str">
        <f ca="1">IFERROR(__xludf.DUMMYFUNCTION("IFERROR(SUBSTITUTE(SUBSTITUTE(REGEXEXTRACT(A8552, ""[^-]+- [^-]+- [^-]+ - (.+?)\.jpg""), "".jpg"", """"), ""-"", "", ""), """")"),"")</f>
        <v/>
      </c>
      <c r="L8552" s="12"/>
      <c r="M8552" s="13"/>
      <c r="N8552" s="2"/>
      <c r="O8552" s="20"/>
      <c r="P8552" s="42"/>
      <c r="R8552" s="23"/>
    </row>
    <row r="8553" spans="1:18" ht="12.75">
      <c r="A8553" s="12"/>
      <c r="D8553" s="12"/>
      <c r="E8553" s="12"/>
      <c r="H8553" s="11" t="str">
        <f ca="1">IFERROR(__xludf.DUMMYFUNCTION("IFERROR(SUBSTITUTE(SUBSTITUTE(REGEXEXTRACT(A8553, ""[^-]+- [^-]+- [^-]+ - (.+?)\.jpg""), "".jpg"", """"), ""-"", "", ""), """")"),"")</f>
        <v/>
      </c>
      <c r="L8553" s="12"/>
      <c r="M8553" s="13"/>
      <c r="N8553" s="2"/>
      <c r="O8553" s="20"/>
      <c r="P8553" s="42"/>
      <c r="R8553" s="23"/>
    </row>
    <row r="8554" spans="1:18" ht="12.75">
      <c r="A8554" s="12"/>
      <c r="D8554" s="12"/>
      <c r="E8554" s="12"/>
      <c r="H8554" s="11" t="str">
        <f ca="1">IFERROR(__xludf.DUMMYFUNCTION("IFERROR(SUBSTITUTE(SUBSTITUTE(REGEXEXTRACT(A8554, ""[^-]+- [^-]+- [^-]+ - (.+?)\.jpg""), "".jpg"", """"), ""-"", "", ""), """")"),"")</f>
        <v/>
      </c>
      <c r="L8554" s="12"/>
      <c r="M8554" s="13"/>
      <c r="N8554" s="2"/>
      <c r="O8554" s="20"/>
      <c r="P8554" s="42"/>
      <c r="R8554" s="23"/>
    </row>
    <row r="8555" spans="1:18" ht="12.75">
      <c r="A8555" s="12"/>
      <c r="D8555" s="12"/>
      <c r="E8555" s="12"/>
      <c r="H8555" s="11" t="str">
        <f ca="1">IFERROR(__xludf.DUMMYFUNCTION("IFERROR(SUBSTITUTE(SUBSTITUTE(REGEXEXTRACT(A8555, ""[^-]+- [^-]+- [^-]+ - (.+?)\.jpg""), "".jpg"", """"), ""-"", "", ""), """")"),"")</f>
        <v/>
      </c>
      <c r="L8555" s="12"/>
      <c r="M8555" s="13"/>
      <c r="N8555" s="2"/>
      <c r="O8555" s="20"/>
      <c r="P8555" s="42"/>
      <c r="R8555" s="23"/>
    </row>
    <row r="8556" spans="1:18" ht="12.75">
      <c r="A8556" s="12"/>
      <c r="D8556" s="12"/>
      <c r="E8556" s="12"/>
      <c r="H8556" s="11" t="str">
        <f ca="1">IFERROR(__xludf.DUMMYFUNCTION("IFERROR(SUBSTITUTE(SUBSTITUTE(REGEXEXTRACT(A8556, ""[^-]+- [^-]+- [^-]+ - (.+?)\.jpg""), "".jpg"", """"), ""-"", "", ""), """")"),"")</f>
        <v/>
      </c>
      <c r="L8556" s="12"/>
      <c r="M8556" s="13"/>
      <c r="N8556" s="2"/>
      <c r="O8556" s="20"/>
      <c r="P8556" s="42"/>
      <c r="R8556" s="23"/>
    </row>
    <row r="8557" spans="1:18" ht="12.75">
      <c r="A8557" s="12"/>
      <c r="D8557" s="12"/>
      <c r="E8557" s="12"/>
      <c r="H8557" s="11" t="str">
        <f ca="1">IFERROR(__xludf.DUMMYFUNCTION("IFERROR(SUBSTITUTE(SUBSTITUTE(REGEXEXTRACT(A8557, ""[^-]+- [^-]+- [^-]+ - (.+?)\.jpg""), "".jpg"", """"), ""-"", "", ""), """")"),"")</f>
        <v/>
      </c>
      <c r="L8557" s="12"/>
      <c r="M8557" s="13"/>
      <c r="N8557" s="2"/>
      <c r="O8557" s="20"/>
      <c r="P8557" s="42"/>
      <c r="R8557" s="23"/>
    </row>
    <row r="8558" spans="1:18" ht="12.75">
      <c r="A8558" s="12"/>
      <c r="D8558" s="12"/>
      <c r="E8558" s="12"/>
      <c r="H8558" s="11" t="str">
        <f ca="1">IFERROR(__xludf.DUMMYFUNCTION("IFERROR(SUBSTITUTE(SUBSTITUTE(REGEXEXTRACT(A8558, ""[^-]+- [^-]+- [^-]+ - (.+?)\.jpg""), "".jpg"", """"), ""-"", "", ""), """")"),"")</f>
        <v/>
      </c>
      <c r="L8558" s="12"/>
      <c r="M8558" s="13"/>
      <c r="N8558" s="2"/>
      <c r="O8558" s="20"/>
      <c r="P8558" s="42"/>
      <c r="R8558" s="23"/>
    </row>
    <row r="8559" spans="1:18" ht="12.75">
      <c r="A8559" s="12"/>
      <c r="D8559" s="12"/>
      <c r="E8559" s="12"/>
      <c r="H8559" s="11" t="str">
        <f ca="1">IFERROR(__xludf.DUMMYFUNCTION("IFERROR(SUBSTITUTE(SUBSTITUTE(REGEXEXTRACT(A8559, ""[^-]+- [^-]+- [^-]+ - (.+?)\.jpg""), "".jpg"", """"), ""-"", "", ""), """")"),"")</f>
        <v/>
      </c>
      <c r="L8559" s="12"/>
      <c r="M8559" s="13"/>
      <c r="N8559" s="2"/>
      <c r="O8559" s="20"/>
      <c r="P8559" s="42"/>
      <c r="R8559" s="23"/>
    </row>
    <row r="8560" spans="1:18" ht="12.75">
      <c r="A8560" s="12"/>
      <c r="D8560" s="12"/>
      <c r="E8560" s="12"/>
      <c r="H8560" s="11" t="str">
        <f ca="1">IFERROR(__xludf.DUMMYFUNCTION("IFERROR(SUBSTITUTE(SUBSTITUTE(REGEXEXTRACT(A8560, ""[^-]+- [^-]+- [^-]+ - (.+?)\.jpg""), "".jpg"", """"), ""-"", "", ""), """")"),"")</f>
        <v/>
      </c>
      <c r="L8560" s="12"/>
      <c r="M8560" s="13"/>
      <c r="N8560" s="2"/>
      <c r="O8560" s="20"/>
      <c r="P8560" s="42"/>
      <c r="R8560" s="23"/>
    </row>
    <row r="8561" spans="1:18" ht="12.75">
      <c r="A8561" s="12"/>
      <c r="D8561" s="12"/>
      <c r="E8561" s="12"/>
      <c r="H8561" s="11" t="str">
        <f ca="1">IFERROR(__xludf.DUMMYFUNCTION("IFERROR(SUBSTITUTE(SUBSTITUTE(REGEXEXTRACT(A8561, ""[^-]+- [^-]+- [^-]+ - (.+?)\.jpg""), "".jpg"", """"), ""-"", "", ""), """")"),"")</f>
        <v/>
      </c>
      <c r="L8561" s="12"/>
      <c r="M8561" s="13"/>
      <c r="N8561" s="2"/>
      <c r="O8561" s="20"/>
      <c r="P8561" s="42"/>
      <c r="R8561" s="23"/>
    </row>
    <row r="8562" spans="1:18" ht="12.75">
      <c r="A8562" s="12"/>
      <c r="D8562" s="12"/>
      <c r="E8562" s="12"/>
      <c r="H8562" s="11" t="str">
        <f ca="1">IFERROR(__xludf.DUMMYFUNCTION("IFERROR(SUBSTITUTE(SUBSTITUTE(REGEXEXTRACT(A8562, ""[^-]+- [^-]+- [^-]+ - (.+?)\.jpg""), "".jpg"", """"), ""-"", "", ""), """")"),"")</f>
        <v/>
      </c>
      <c r="L8562" s="12"/>
      <c r="M8562" s="13"/>
      <c r="N8562" s="2"/>
      <c r="O8562" s="20"/>
      <c r="P8562" s="42"/>
      <c r="R8562" s="23"/>
    </row>
    <row r="8563" spans="1:18" ht="12.75">
      <c r="A8563" s="12"/>
      <c r="D8563" s="12"/>
      <c r="E8563" s="12"/>
      <c r="H8563" s="11" t="str">
        <f ca="1">IFERROR(__xludf.DUMMYFUNCTION("IFERROR(SUBSTITUTE(SUBSTITUTE(REGEXEXTRACT(A8563, ""[^-]+- [^-]+- [^-]+ - (.+?)\.jpg""), "".jpg"", """"), ""-"", "", ""), """")"),"")</f>
        <v/>
      </c>
      <c r="L8563" s="12"/>
      <c r="M8563" s="13"/>
      <c r="N8563" s="2"/>
      <c r="O8563" s="20"/>
      <c r="P8563" s="42"/>
      <c r="R8563" s="23"/>
    </row>
    <row r="8564" spans="1:18" ht="12.75">
      <c r="A8564" s="12"/>
      <c r="D8564" s="12"/>
      <c r="E8564" s="12"/>
      <c r="H8564" s="11" t="str">
        <f ca="1">IFERROR(__xludf.DUMMYFUNCTION("IFERROR(SUBSTITUTE(SUBSTITUTE(REGEXEXTRACT(A8564, ""[^-]+- [^-]+- [^-]+ - (.+?)\.jpg""), "".jpg"", """"), ""-"", "", ""), """")"),"")</f>
        <v/>
      </c>
      <c r="L8564" s="12"/>
      <c r="M8564" s="13"/>
      <c r="N8564" s="2"/>
      <c r="O8564" s="20"/>
      <c r="P8564" s="42"/>
      <c r="R8564" s="23"/>
    </row>
    <row r="8565" spans="1:18" ht="12.75">
      <c r="A8565" s="12"/>
      <c r="D8565" s="12"/>
      <c r="E8565" s="12"/>
      <c r="H8565" s="11" t="str">
        <f ca="1">IFERROR(__xludf.DUMMYFUNCTION("IFERROR(SUBSTITUTE(SUBSTITUTE(REGEXEXTRACT(A8565, ""[^-]+- [^-]+- [^-]+ - (.+?)\.jpg""), "".jpg"", """"), ""-"", "", ""), """")"),"")</f>
        <v/>
      </c>
      <c r="L8565" s="12"/>
      <c r="M8565" s="13"/>
      <c r="N8565" s="2"/>
      <c r="O8565" s="20"/>
      <c r="P8565" s="42"/>
      <c r="R8565" s="23"/>
    </row>
    <row r="8566" spans="1:18" ht="12.75">
      <c r="A8566" s="12"/>
      <c r="D8566" s="12"/>
      <c r="E8566" s="12"/>
      <c r="H8566" s="11" t="str">
        <f ca="1">IFERROR(__xludf.DUMMYFUNCTION("IFERROR(SUBSTITUTE(SUBSTITUTE(REGEXEXTRACT(A8566, ""[^-]+- [^-]+- [^-]+ - (.+?)\.jpg""), "".jpg"", """"), ""-"", "", ""), """")"),"")</f>
        <v/>
      </c>
      <c r="L8566" s="12"/>
      <c r="M8566" s="13"/>
      <c r="N8566" s="2"/>
      <c r="O8566" s="20"/>
      <c r="P8566" s="42"/>
      <c r="R8566" s="23"/>
    </row>
    <row r="8567" spans="1:18" ht="12.75">
      <c r="A8567" s="12"/>
      <c r="D8567" s="12"/>
      <c r="E8567" s="12"/>
      <c r="H8567" s="11" t="str">
        <f ca="1">IFERROR(__xludf.DUMMYFUNCTION("IFERROR(SUBSTITUTE(SUBSTITUTE(REGEXEXTRACT(A8567, ""[^-]+- [^-]+- [^-]+ - (.+?)\.jpg""), "".jpg"", """"), ""-"", "", ""), """")"),"")</f>
        <v/>
      </c>
      <c r="L8567" s="12"/>
      <c r="M8567" s="13"/>
      <c r="N8567" s="2"/>
      <c r="O8567" s="20"/>
      <c r="P8567" s="42"/>
      <c r="R8567" s="23"/>
    </row>
    <row r="8568" spans="1:18" ht="12.75">
      <c r="A8568" s="12"/>
      <c r="D8568" s="12"/>
      <c r="E8568" s="12"/>
      <c r="H8568" s="11" t="str">
        <f ca="1">IFERROR(__xludf.DUMMYFUNCTION("IFERROR(SUBSTITUTE(SUBSTITUTE(REGEXEXTRACT(A8568, ""[^-]+- [^-]+- [^-]+ - (.+?)\.jpg""), "".jpg"", """"), ""-"", "", ""), """")"),"")</f>
        <v/>
      </c>
      <c r="L8568" s="12"/>
      <c r="M8568" s="13"/>
      <c r="N8568" s="2"/>
      <c r="O8568" s="20"/>
      <c r="P8568" s="42"/>
      <c r="R8568" s="23"/>
    </row>
    <row r="8569" spans="1:18" ht="12.75">
      <c r="A8569" s="12"/>
      <c r="D8569" s="12"/>
      <c r="E8569" s="12"/>
      <c r="H8569" s="11" t="str">
        <f ca="1">IFERROR(__xludf.DUMMYFUNCTION("IFERROR(SUBSTITUTE(SUBSTITUTE(REGEXEXTRACT(A8569, ""[^-]+- [^-]+- [^-]+ - (.+?)\.jpg""), "".jpg"", """"), ""-"", "", ""), """")"),"")</f>
        <v/>
      </c>
      <c r="L8569" s="12"/>
      <c r="M8569" s="13"/>
      <c r="N8569" s="2"/>
      <c r="O8569" s="20"/>
      <c r="P8569" s="42"/>
      <c r="R8569" s="23"/>
    </row>
    <row r="8570" spans="1:18" ht="12.75">
      <c r="A8570" s="12"/>
      <c r="D8570" s="12"/>
      <c r="E8570" s="12"/>
      <c r="H8570" s="11" t="str">
        <f ca="1">IFERROR(__xludf.DUMMYFUNCTION("IFERROR(SUBSTITUTE(SUBSTITUTE(REGEXEXTRACT(A8570, ""[^-]+- [^-]+- [^-]+ - (.+?)\.jpg""), "".jpg"", """"), ""-"", "", ""), """")"),"")</f>
        <v/>
      </c>
      <c r="L8570" s="12"/>
      <c r="M8570" s="13"/>
      <c r="N8570" s="2"/>
      <c r="O8570" s="20"/>
      <c r="P8570" s="42"/>
      <c r="R8570" s="23"/>
    </row>
    <row r="8571" spans="1:18" ht="12.75">
      <c r="A8571" s="12"/>
      <c r="D8571" s="12"/>
      <c r="E8571" s="12"/>
      <c r="H8571" s="11" t="str">
        <f ca="1">IFERROR(__xludf.DUMMYFUNCTION("IFERROR(SUBSTITUTE(SUBSTITUTE(REGEXEXTRACT(A8571, ""[^-]+- [^-]+- [^-]+ - (.+?)\.jpg""), "".jpg"", """"), ""-"", "", ""), """")"),"")</f>
        <v/>
      </c>
      <c r="L8571" s="12"/>
      <c r="M8571" s="13"/>
      <c r="N8571" s="2"/>
      <c r="O8571" s="20"/>
      <c r="P8571" s="42"/>
      <c r="R8571" s="23"/>
    </row>
    <row r="8572" spans="1:18" ht="12.75">
      <c r="A8572" s="12"/>
      <c r="D8572" s="12"/>
      <c r="E8572" s="12"/>
      <c r="H8572" s="11" t="str">
        <f ca="1">IFERROR(__xludf.DUMMYFUNCTION("IFERROR(SUBSTITUTE(SUBSTITUTE(REGEXEXTRACT(A8572, ""[^-]+- [^-]+- [^-]+ - (.+?)\.jpg""), "".jpg"", """"), ""-"", "", ""), """")"),"")</f>
        <v/>
      </c>
      <c r="L8572" s="12"/>
      <c r="M8572" s="13"/>
      <c r="N8572" s="2"/>
      <c r="O8572" s="20"/>
      <c r="P8572" s="42"/>
      <c r="R8572" s="23"/>
    </row>
    <row r="8573" spans="1:18" ht="12.75">
      <c r="A8573" s="12"/>
      <c r="D8573" s="12"/>
      <c r="E8573" s="12"/>
      <c r="H8573" s="11" t="str">
        <f ca="1">IFERROR(__xludf.DUMMYFUNCTION("IFERROR(SUBSTITUTE(SUBSTITUTE(REGEXEXTRACT(A8573, ""[^-]+- [^-]+- [^-]+ - (.+?)\.jpg""), "".jpg"", """"), ""-"", "", ""), """")"),"")</f>
        <v/>
      </c>
      <c r="L8573" s="12"/>
      <c r="M8573" s="13"/>
      <c r="N8573" s="2"/>
      <c r="O8573" s="20"/>
      <c r="P8573" s="42"/>
      <c r="R8573" s="23"/>
    </row>
    <row r="8574" spans="1:18" ht="12.75">
      <c r="A8574" s="12"/>
      <c r="D8574" s="12"/>
      <c r="E8574" s="12"/>
      <c r="H8574" s="11" t="str">
        <f ca="1">IFERROR(__xludf.DUMMYFUNCTION("IFERROR(SUBSTITUTE(SUBSTITUTE(REGEXEXTRACT(A8574, ""[^-]+- [^-]+- [^-]+ - (.+?)\.jpg""), "".jpg"", """"), ""-"", "", ""), """")"),"")</f>
        <v/>
      </c>
      <c r="L8574" s="12"/>
      <c r="M8574" s="13"/>
      <c r="N8574" s="2"/>
      <c r="O8574" s="20"/>
      <c r="P8574" s="42"/>
      <c r="R8574" s="23"/>
    </row>
    <row r="8575" spans="1:18" ht="12.75">
      <c r="A8575" s="12"/>
      <c r="D8575" s="12"/>
      <c r="E8575" s="12"/>
      <c r="H8575" s="11" t="str">
        <f ca="1">IFERROR(__xludf.DUMMYFUNCTION("IFERROR(SUBSTITUTE(SUBSTITUTE(REGEXEXTRACT(A8575, ""[^-]+- [^-]+- [^-]+ - (.+?)\.jpg""), "".jpg"", """"), ""-"", "", ""), """")"),"")</f>
        <v/>
      </c>
      <c r="L8575" s="12"/>
      <c r="M8575" s="13"/>
      <c r="N8575" s="2"/>
      <c r="O8575" s="20"/>
      <c r="P8575" s="42"/>
      <c r="R8575" s="23"/>
    </row>
    <row r="8576" spans="1:18" ht="12.75">
      <c r="A8576" s="12"/>
      <c r="D8576" s="12"/>
      <c r="E8576" s="12"/>
      <c r="H8576" s="11" t="str">
        <f ca="1">IFERROR(__xludf.DUMMYFUNCTION("IFERROR(SUBSTITUTE(SUBSTITUTE(REGEXEXTRACT(A8576, ""[^-]+- [^-]+- [^-]+ - (.+?)\.jpg""), "".jpg"", """"), ""-"", "", ""), """")"),"")</f>
        <v/>
      </c>
      <c r="L8576" s="12"/>
      <c r="M8576" s="13"/>
      <c r="N8576" s="2"/>
      <c r="O8576" s="20"/>
      <c r="P8576" s="42"/>
      <c r="R8576" s="23"/>
    </row>
    <row r="8577" spans="1:18" ht="12.75">
      <c r="A8577" s="12"/>
      <c r="D8577" s="12"/>
      <c r="E8577" s="12"/>
      <c r="H8577" s="11" t="str">
        <f ca="1">IFERROR(__xludf.DUMMYFUNCTION("IFERROR(SUBSTITUTE(SUBSTITUTE(REGEXEXTRACT(A8577, ""[^-]+- [^-]+- [^-]+ - (.+?)\.jpg""), "".jpg"", """"), ""-"", "", ""), """")"),"")</f>
        <v/>
      </c>
      <c r="L8577" s="12"/>
      <c r="M8577" s="13"/>
      <c r="N8577" s="2"/>
      <c r="O8577" s="20"/>
      <c r="P8577" s="42"/>
      <c r="R8577" s="23"/>
    </row>
    <row r="8578" spans="1:18" ht="12.75">
      <c r="A8578" s="12"/>
      <c r="D8578" s="12"/>
      <c r="E8578" s="12"/>
      <c r="H8578" s="11" t="str">
        <f ca="1">IFERROR(__xludf.DUMMYFUNCTION("IFERROR(SUBSTITUTE(SUBSTITUTE(REGEXEXTRACT(A8578, ""[^-]+- [^-]+- [^-]+ - (.+?)\.jpg""), "".jpg"", """"), ""-"", "", ""), """")"),"")</f>
        <v/>
      </c>
      <c r="L8578" s="12"/>
      <c r="M8578" s="13"/>
      <c r="N8578" s="2"/>
      <c r="O8578" s="20"/>
      <c r="P8578" s="42"/>
      <c r="R8578" s="23"/>
    </row>
    <row r="8579" spans="1:18" ht="12.75">
      <c r="A8579" s="12"/>
      <c r="D8579" s="12"/>
      <c r="E8579" s="12"/>
      <c r="H8579" s="11" t="str">
        <f ca="1">IFERROR(__xludf.DUMMYFUNCTION("IFERROR(SUBSTITUTE(SUBSTITUTE(REGEXEXTRACT(A8579, ""[^-]+- [^-]+- [^-]+ - (.+?)\.jpg""), "".jpg"", """"), ""-"", "", ""), """")"),"")</f>
        <v/>
      </c>
      <c r="L8579" s="12"/>
      <c r="M8579" s="13"/>
      <c r="N8579" s="2"/>
      <c r="O8579" s="20"/>
      <c r="P8579" s="42"/>
      <c r="R8579" s="23"/>
    </row>
    <row r="8580" spans="1:18" ht="12.75">
      <c r="A8580" s="12"/>
      <c r="D8580" s="12"/>
      <c r="E8580" s="12"/>
      <c r="H8580" s="11" t="str">
        <f ca="1">IFERROR(__xludf.DUMMYFUNCTION("IFERROR(SUBSTITUTE(SUBSTITUTE(REGEXEXTRACT(A8580, ""[^-]+- [^-]+- [^-]+ - (.+?)\.jpg""), "".jpg"", """"), ""-"", "", ""), """")"),"")</f>
        <v/>
      </c>
      <c r="L8580" s="12"/>
      <c r="M8580" s="13"/>
      <c r="N8580" s="2"/>
      <c r="O8580" s="20"/>
      <c r="P8580" s="42"/>
      <c r="R8580" s="23"/>
    </row>
    <row r="8581" spans="1:18" ht="12.75">
      <c r="A8581" s="12"/>
      <c r="D8581" s="12"/>
      <c r="E8581" s="12"/>
      <c r="H8581" s="11" t="str">
        <f ca="1">IFERROR(__xludf.DUMMYFUNCTION("IFERROR(SUBSTITUTE(SUBSTITUTE(REGEXEXTRACT(A8581, ""[^-]+- [^-]+- [^-]+ - (.+?)\.jpg""), "".jpg"", """"), ""-"", "", ""), """")"),"")</f>
        <v/>
      </c>
      <c r="L8581" s="12"/>
      <c r="M8581" s="13"/>
      <c r="N8581" s="2"/>
      <c r="O8581" s="20"/>
      <c r="P8581" s="42"/>
      <c r="R8581" s="23"/>
    </row>
    <row r="8582" spans="1:18" ht="12.75">
      <c r="A8582" s="12"/>
      <c r="D8582" s="12"/>
      <c r="E8582" s="12"/>
      <c r="H8582" s="11" t="str">
        <f ca="1">IFERROR(__xludf.DUMMYFUNCTION("IFERROR(SUBSTITUTE(SUBSTITUTE(REGEXEXTRACT(A8582, ""[^-]+- [^-]+- [^-]+ - (.+?)\.jpg""), "".jpg"", """"), ""-"", "", ""), """")"),"")</f>
        <v/>
      </c>
      <c r="L8582" s="12"/>
      <c r="M8582" s="13"/>
      <c r="N8582" s="2"/>
      <c r="O8582" s="20"/>
      <c r="P8582" s="42"/>
      <c r="R8582" s="23"/>
    </row>
    <row r="8583" spans="1:18" ht="12.75">
      <c r="A8583" s="12"/>
      <c r="D8583" s="12"/>
      <c r="E8583" s="12"/>
      <c r="H8583" s="11" t="str">
        <f ca="1">IFERROR(__xludf.DUMMYFUNCTION("IFERROR(SUBSTITUTE(SUBSTITUTE(REGEXEXTRACT(A8583, ""[^-]+- [^-]+- [^-]+ - (.+?)\.jpg""), "".jpg"", """"), ""-"", "", ""), """")"),"")</f>
        <v/>
      </c>
      <c r="L8583" s="12"/>
      <c r="M8583" s="13"/>
      <c r="N8583" s="2"/>
      <c r="O8583" s="20"/>
      <c r="P8583" s="42"/>
      <c r="R8583" s="23"/>
    </row>
    <row r="8584" spans="1:18" ht="12.75">
      <c r="A8584" s="12"/>
      <c r="D8584" s="12"/>
      <c r="E8584" s="12"/>
      <c r="H8584" s="11" t="str">
        <f ca="1">IFERROR(__xludf.DUMMYFUNCTION("IFERROR(SUBSTITUTE(SUBSTITUTE(REGEXEXTRACT(A8584, ""[^-]+- [^-]+- [^-]+ - (.+?)\.jpg""), "".jpg"", """"), ""-"", "", ""), """")"),"")</f>
        <v/>
      </c>
      <c r="L8584" s="12"/>
      <c r="M8584" s="13"/>
      <c r="N8584" s="2"/>
      <c r="O8584" s="20"/>
      <c r="P8584" s="42"/>
      <c r="R8584" s="23"/>
    </row>
    <row r="8585" spans="1:18" ht="12.75">
      <c r="A8585" s="12"/>
      <c r="D8585" s="12"/>
      <c r="E8585" s="12"/>
      <c r="H8585" s="11" t="str">
        <f ca="1">IFERROR(__xludf.DUMMYFUNCTION("IFERROR(SUBSTITUTE(SUBSTITUTE(REGEXEXTRACT(A8585, ""[^-]+- [^-]+- [^-]+ - (.+?)\.jpg""), "".jpg"", """"), ""-"", "", ""), """")"),"")</f>
        <v/>
      </c>
      <c r="L8585" s="12"/>
      <c r="M8585" s="13"/>
      <c r="N8585" s="2"/>
      <c r="O8585" s="20"/>
      <c r="P8585" s="42"/>
      <c r="R8585" s="23"/>
    </row>
    <row r="8586" spans="1:18" ht="12.75">
      <c r="A8586" s="12"/>
      <c r="D8586" s="12"/>
      <c r="E8586" s="12"/>
      <c r="H8586" s="11" t="str">
        <f ca="1">IFERROR(__xludf.DUMMYFUNCTION("IFERROR(SUBSTITUTE(SUBSTITUTE(REGEXEXTRACT(A8586, ""[^-]+- [^-]+- [^-]+ - (.+?)\.jpg""), "".jpg"", """"), ""-"", "", ""), """")"),"")</f>
        <v/>
      </c>
      <c r="L8586" s="12"/>
      <c r="M8586" s="13"/>
      <c r="N8586" s="2"/>
      <c r="O8586" s="20"/>
      <c r="P8586" s="42"/>
      <c r="R8586" s="23"/>
    </row>
    <row r="8587" spans="1:18" ht="12.75">
      <c r="A8587" s="12"/>
      <c r="D8587" s="12"/>
      <c r="E8587" s="12"/>
      <c r="H8587" s="11" t="str">
        <f ca="1">IFERROR(__xludf.DUMMYFUNCTION("IFERROR(SUBSTITUTE(SUBSTITUTE(REGEXEXTRACT(A8587, ""[^-]+- [^-]+- [^-]+ - (.+?)\.jpg""), "".jpg"", """"), ""-"", "", ""), """")"),"")</f>
        <v/>
      </c>
      <c r="L8587" s="12"/>
      <c r="M8587" s="13"/>
      <c r="N8587" s="2"/>
      <c r="O8587" s="20"/>
      <c r="P8587" s="42"/>
      <c r="R8587" s="23"/>
    </row>
    <row r="8588" spans="1:18" ht="12.75">
      <c r="A8588" s="12"/>
      <c r="D8588" s="12"/>
      <c r="E8588" s="12"/>
      <c r="H8588" s="11" t="str">
        <f ca="1">IFERROR(__xludf.DUMMYFUNCTION("IFERROR(SUBSTITUTE(SUBSTITUTE(REGEXEXTRACT(A8588, ""[^-]+- [^-]+- [^-]+ - (.+?)\.jpg""), "".jpg"", """"), ""-"", "", ""), """")"),"")</f>
        <v/>
      </c>
      <c r="L8588" s="12"/>
      <c r="M8588" s="13"/>
      <c r="N8588" s="2"/>
      <c r="O8588" s="20"/>
      <c r="P8588" s="42"/>
      <c r="R8588" s="23"/>
    </row>
    <row r="8589" spans="1:18" ht="12.75">
      <c r="A8589" s="12"/>
      <c r="D8589" s="12"/>
      <c r="E8589" s="12"/>
      <c r="H8589" s="11" t="str">
        <f ca="1">IFERROR(__xludf.DUMMYFUNCTION("IFERROR(SUBSTITUTE(SUBSTITUTE(REGEXEXTRACT(A8589, ""[^-]+- [^-]+- [^-]+ - (.+?)\.jpg""), "".jpg"", """"), ""-"", "", ""), """")"),"")</f>
        <v/>
      </c>
      <c r="L8589" s="12"/>
      <c r="M8589" s="13"/>
      <c r="N8589" s="2"/>
      <c r="O8589" s="20"/>
      <c r="P8589" s="42"/>
      <c r="R8589" s="23"/>
    </row>
    <row r="8590" spans="1:18" ht="12.75">
      <c r="A8590" s="12"/>
      <c r="D8590" s="12"/>
      <c r="E8590" s="12"/>
      <c r="H8590" s="11" t="str">
        <f ca="1">IFERROR(__xludf.DUMMYFUNCTION("IFERROR(SUBSTITUTE(SUBSTITUTE(REGEXEXTRACT(A8590, ""[^-]+- [^-]+- [^-]+ - (.+?)\.jpg""), "".jpg"", """"), ""-"", "", ""), """")"),"")</f>
        <v/>
      </c>
      <c r="L8590" s="12"/>
      <c r="M8590" s="13"/>
      <c r="N8590" s="2"/>
      <c r="O8590" s="20"/>
      <c r="P8590" s="42"/>
      <c r="R8590" s="23"/>
    </row>
    <row r="8591" spans="1:18" ht="12.75">
      <c r="A8591" s="12"/>
      <c r="D8591" s="12"/>
      <c r="E8591" s="12"/>
      <c r="H8591" s="11" t="str">
        <f ca="1">IFERROR(__xludf.DUMMYFUNCTION("IFERROR(SUBSTITUTE(SUBSTITUTE(REGEXEXTRACT(A8591, ""[^-]+- [^-]+- [^-]+ - (.+?)\.jpg""), "".jpg"", """"), ""-"", "", ""), """")"),"")</f>
        <v/>
      </c>
      <c r="L8591" s="12"/>
      <c r="M8591" s="13"/>
      <c r="N8591" s="2"/>
      <c r="O8591" s="20"/>
      <c r="P8591" s="42"/>
      <c r="R8591" s="23"/>
    </row>
    <row r="8592" spans="1:18" ht="12.75">
      <c r="A8592" s="12"/>
      <c r="D8592" s="12"/>
      <c r="E8592" s="12"/>
      <c r="H8592" s="11" t="str">
        <f ca="1">IFERROR(__xludf.DUMMYFUNCTION("IFERROR(SUBSTITUTE(SUBSTITUTE(REGEXEXTRACT(A8592, ""[^-]+- [^-]+- [^-]+ - (.+?)\.jpg""), "".jpg"", """"), ""-"", "", ""), """")"),"")</f>
        <v/>
      </c>
      <c r="L8592" s="12"/>
      <c r="M8592" s="13"/>
      <c r="N8592" s="2"/>
      <c r="O8592" s="20"/>
      <c r="P8592" s="42"/>
      <c r="R8592" s="23"/>
    </row>
    <row r="8593" spans="1:18" ht="12.75">
      <c r="A8593" s="12"/>
      <c r="D8593" s="12"/>
      <c r="E8593" s="12"/>
      <c r="H8593" s="11" t="str">
        <f ca="1">IFERROR(__xludf.DUMMYFUNCTION("IFERROR(SUBSTITUTE(SUBSTITUTE(REGEXEXTRACT(A8593, ""[^-]+- [^-]+- [^-]+ - (.+?)\.jpg""), "".jpg"", """"), ""-"", "", ""), """")"),"")</f>
        <v/>
      </c>
      <c r="L8593" s="12"/>
      <c r="M8593" s="13"/>
      <c r="N8593" s="2"/>
      <c r="O8593" s="20"/>
      <c r="P8593" s="42"/>
      <c r="R8593" s="23"/>
    </row>
    <row r="8594" spans="1:18" ht="12.75">
      <c r="A8594" s="12"/>
      <c r="D8594" s="12"/>
      <c r="E8594" s="12"/>
      <c r="H8594" s="11" t="str">
        <f ca="1">IFERROR(__xludf.DUMMYFUNCTION("IFERROR(SUBSTITUTE(SUBSTITUTE(REGEXEXTRACT(A8594, ""[^-]+- [^-]+- [^-]+ - (.+?)\.jpg""), "".jpg"", """"), ""-"", "", ""), """")"),"")</f>
        <v/>
      </c>
      <c r="L8594" s="12"/>
      <c r="M8594" s="13"/>
      <c r="N8594" s="2"/>
      <c r="O8594" s="20"/>
      <c r="P8594" s="42"/>
      <c r="R8594" s="23"/>
    </row>
    <row r="8595" spans="1:18" ht="12.75">
      <c r="A8595" s="12"/>
      <c r="D8595" s="12"/>
      <c r="E8595" s="12"/>
      <c r="H8595" s="11" t="str">
        <f ca="1">IFERROR(__xludf.DUMMYFUNCTION("IFERROR(SUBSTITUTE(SUBSTITUTE(REGEXEXTRACT(A8595, ""[^-]+- [^-]+- [^-]+ - (.+?)\.jpg""), "".jpg"", """"), ""-"", "", ""), """")"),"")</f>
        <v/>
      </c>
      <c r="L8595" s="12"/>
      <c r="M8595" s="13"/>
      <c r="N8595" s="2"/>
      <c r="O8595" s="20"/>
      <c r="P8595" s="42"/>
      <c r="R8595" s="23"/>
    </row>
    <row r="8596" spans="1:18" ht="12.75">
      <c r="A8596" s="12"/>
      <c r="D8596" s="12"/>
      <c r="E8596" s="12"/>
      <c r="H8596" s="11" t="str">
        <f ca="1">IFERROR(__xludf.DUMMYFUNCTION("IFERROR(SUBSTITUTE(SUBSTITUTE(REGEXEXTRACT(A8596, ""[^-]+- [^-]+- [^-]+ - (.+?)\.jpg""), "".jpg"", """"), ""-"", "", ""), """")"),"")</f>
        <v/>
      </c>
      <c r="L8596" s="12"/>
      <c r="M8596" s="13"/>
      <c r="N8596" s="2"/>
      <c r="O8596" s="20"/>
      <c r="P8596" s="42"/>
      <c r="R8596" s="23"/>
    </row>
    <row r="8597" spans="1:18" ht="12.75">
      <c r="A8597" s="12"/>
      <c r="D8597" s="12"/>
      <c r="E8597" s="12"/>
      <c r="H8597" s="11" t="str">
        <f ca="1">IFERROR(__xludf.DUMMYFUNCTION("IFERROR(SUBSTITUTE(SUBSTITUTE(REGEXEXTRACT(A8597, ""[^-]+- [^-]+- [^-]+ - (.+?)\.jpg""), "".jpg"", """"), ""-"", "", ""), """")"),"")</f>
        <v/>
      </c>
      <c r="L8597" s="12"/>
      <c r="M8597" s="13"/>
      <c r="N8597" s="2"/>
      <c r="O8597" s="20"/>
      <c r="P8597" s="42"/>
      <c r="R8597" s="23"/>
    </row>
    <row r="8598" spans="1:18" ht="12.75">
      <c r="A8598" s="12"/>
      <c r="D8598" s="12"/>
      <c r="E8598" s="12"/>
      <c r="H8598" s="11" t="str">
        <f ca="1">IFERROR(__xludf.DUMMYFUNCTION("IFERROR(SUBSTITUTE(SUBSTITUTE(REGEXEXTRACT(A8598, ""[^-]+- [^-]+- [^-]+ - (.+?)\.jpg""), "".jpg"", """"), ""-"", "", ""), """")"),"")</f>
        <v/>
      </c>
      <c r="L8598" s="12"/>
      <c r="M8598" s="13"/>
      <c r="N8598" s="2"/>
      <c r="O8598" s="20"/>
      <c r="P8598" s="42"/>
      <c r="R8598" s="23"/>
    </row>
    <row r="8599" spans="1:18" ht="12.75">
      <c r="A8599" s="12"/>
      <c r="D8599" s="12"/>
      <c r="E8599" s="12"/>
      <c r="H8599" s="11" t="str">
        <f ca="1">IFERROR(__xludf.DUMMYFUNCTION("IFERROR(SUBSTITUTE(SUBSTITUTE(REGEXEXTRACT(A8599, ""[^-]+- [^-]+- [^-]+ - (.+?)\.jpg""), "".jpg"", """"), ""-"", "", ""), """")"),"")</f>
        <v/>
      </c>
      <c r="L8599" s="12"/>
      <c r="M8599" s="13"/>
      <c r="N8599" s="2"/>
      <c r="O8599" s="20"/>
      <c r="P8599" s="42"/>
      <c r="R8599" s="23"/>
    </row>
    <row r="8600" spans="1:18" ht="12.75">
      <c r="A8600" s="12"/>
      <c r="D8600" s="12"/>
      <c r="E8600" s="12"/>
      <c r="H8600" s="11" t="str">
        <f ca="1">IFERROR(__xludf.DUMMYFUNCTION("IFERROR(SUBSTITUTE(SUBSTITUTE(REGEXEXTRACT(A8600, ""[^-]+- [^-]+- [^-]+ - (.+?)\.jpg""), "".jpg"", """"), ""-"", "", ""), """")"),"")</f>
        <v/>
      </c>
      <c r="L8600" s="12"/>
      <c r="M8600" s="13"/>
      <c r="N8600" s="2"/>
      <c r="O8600" s="20"/>
      <c r="P8600" s="42"/>
      <c r="R8600" s="23"/>
    </row>
    <row r="8601" spans="1:18" ht="12.75">
      <c r="A8601" s="12"/>
      <c r="D8601" s="12"/>
      <c r="E8601" s="12"/>
      <c r="H8601" s="11" t="str">
        <f ca="1">IFERROR(__xludf.DUMMYFUNCTION("IFERROR(SUBSTITUTE(SUBSTITUTE(REGEXEXTRACT(A8601, ""[^-]+- [^-]+- [^-]+ - (.+?)\.jpg""), "".jpg"", """"), ""-"", "", ""), """")"),"")</f>
        <v/>
      </c>
      <c r="L8601" s="12"/>
      <c r="M8601" s="13"/>
      <c r="N8601" s="2"/>
      <c r="O8601" s="20"/>
      <c r="P8601" s="42"/>
      <c r="R8601" s="23"/>
    </row>
    <row r="8602" spans="1:18" ht="12.75">
      <c r="A8602" s="12"/>
      <c r="D8602" s="12"/>
      <c r="E8602" s="12"/>
      <c r="H8602" s="11" t="str">
        <f ca="1">IFERROR(__xludf.DUMMYFUNCTION("IFERROR(SUBSTITUTE(SUBSTITUTE(REGEXEXTRACT(A8602, ""[^-]+- [^-]+- [^-]+ - (.+?)\.jpg""), "".jpg"", """"), ""-"", "", ""), """")"),"")</f>
        <v/>
      </c>
      <c r="L8602" s="12"/>
      <c r="M8602" s="13"/>
      <c r="N8602" s="2"/>
      <c r="O8602" s="20"/>
      <c r="P8602" s="42"/>
      <c r="R8602" s="23"/>
    </row>
    <row r="8603" spans="1:18" ht="12.75">
      <c r="A8603" s="12"/>
      <c r="D8603" s="12"/>
      <c r="E8603" s="12"/>
      <c r="H8603" s="11" t="str">
        <f ca="1">IFERROR(__xludf.DUMMYFUNCTION("IFERROR(SUBSTITUTE(SUBSTITUTE(REGEXEXTRACT(A8603, ""[^-]+- [^-]+- [^-]+ - (.+?)\.jpg""), "".jpg"", """"), ""-"", "", ""), """")"),"")</f>
        <v/>
      </c>
      <c r="L8603" s="12"/>
      <c r="M8603" s="13"/>
      <c r="N8603" s="2"/>
      <c r="O8603" s="20"/>
      <c r="P8603" s="42"/>
      <c r="R8603" s="23"/>
    </row>
    <row r="8604" spans="1:18" ht="12.75">
      <c r="A8604" s="12"/>
      <c r="D8604" s="12"/>
      <c r="E8604" s="12"/>
      <c r="H8604" s="11" t="str">
        <f ca="1">IFERROR(__xludf.DUMMYFUNCTION("IFERROR(SUBSTITUTE(SUBSTITUTE(REGEXEXTRACT(A8604, ""[^-]+- [^-]+- [^-]+ - (.+?)\.jpg""), "".jpg"", """"), ""-"", "", ""), """")"),"")</f>
        <v/>
      </c>
      <c r="L8604" s="12"/>
      <c r="M8604" s="13"/>
      <c r="N8604" s="2"/>
      <c r="O8604" s="20"/>
      <c r="P8604" s="42"/>
      <c r="R8604" s="23"/>
    </row>
    <row r="8605" spans="1:18" ht="12.75">
      <c r="A8605" s="12"/>
      <c r="D8605" s="12"/>
      <c r="E8605" s="12"/>
      <c r="H8605" s="11" t="str">
        <f ca="1">IFERROR(__xludf.DUMMYFUNCTION("IFERROR(SUBSTITUTE(SUBSTITUTE(REGEXEXTRACT(A8605, ""[^-]+- [^-]+- [^-]+ - (.+?)\.jpg""), "".jpg"", """"), ""-"", "", ""), """")"),"")</f>
        <v/>
      </c>
      <c r="L8605" s="12"/>
      <c r="M8605" s="13"/>
      <c r="N8605" s="2"/>
      <c r="O8605" s="20"/>
      <c r="P8605" s="42"/>
      <c r="R8605" s="23"/>
    </row>
    <row r="8606" spans="1:18" ht="12.75">
      <c r="A8606" s="12"/>
      <c r="D8606" s="12"/>
      <c r="E8606" s="12"/>
      <c r="H8606" s="11" t="str">
        <f ca="1">IFERROR(__xludf.DUMMYFUNCTION("IFERROR(SUBSTITUTE(SUBSTITUTE(REGEXEXTRACT(A8606, ""[^-]+- [^-]+- [^-]+ - (.+?)\.jpg""), "".jpg"", """"), ""-"", "", ""), """")"),"")</f>
        <v/>
      </c>
      <c r="L8606" s="12"/>
      <c r="M8606" s="13"/>
      <c r="N8606" s="2"/>
      <c r="O8606" s="20"/>
      <c r="P8606" s="42"/>
      <c r="R8606" s="23"/>
    </row>
    <row r="8607" spans="1:18" ht="12.75">
      <c r="A8607" s="12"/>
      <c r="D8607" s="12"/>
      <c r="E8607" s="12"/>
      <c r="H8607" s="11" t="str">
        <f ca="1">IFERROR(__xludf.DUMMYFUNCTION("IFERROR(SUBSTITUTE(SUBSTITUTE(REGEXEXTRACT(A8607, ""[^-]+- [^-]+- [^-]+ - (.+?)\.jpg""), "".jpg"", """"), ""-"", "", ""), """")"),"")</f>
        <v/>
      </c>
      <c r="L8607" s="12"/>
      <c r="M8607" s="13"/>
      <c r="N8607" s="2"/>
      <c r="O8607" s="20"/>
      <c r="P8607" s="42"/>
      <c r="R8607" s="23"/>
    </row>
    <row r="8608" spans="1:18" ht="12.75">
      <c r="A8608" s="12"/>
      <c r="D8608" s="12"/>
      <c r="E8608" s="12"/>
      <c r="H8608" s="11" t="str">
        <f ca="1">IFERROR(__xludf.DUMMYFUNCTION("IFERROR(SUBSTITUTE(SUBSTITUTE(REGEXEXTRACT(A8608, ""[^-]+- [^-]+- [^-]+ - (.+?)\.jpg""), "".jpg"", """"), ""-"", "", ""), """")"),"")</f>
        <v/>
      </c>
      <c r="L8608" s="12"/>
      <c r="M8608" s="13"/>
      <c r="N8608" s="2"/>
      <c r="O8608" s="20"/>
      <c r="P8608" s="42"/>
      <c r="R8608" s="23"/>
    </row>
    <row r="8609" spans="1:18" ht="12.75">
      <c r="A8609" s="12"/>
      <c r="D8609" s="12"/>
      <c r="E8609" s="12"/>
      <c r="H8609" s="11" t="str">
        <f ca="1">IFERROR(__xludf.DUMMYFUNCTION("IFERROR(SUBSTITUTE(SUBSTITUTE(REGEXEXTRACT(A8609, ""[^-]+- [^-]+- [^-]+ - (.+?)\.jpg""), "".jpg"", """"), ""-"", "", ""), """")"),"")</f>
        <v/>
      </c>
      <c r="L8609" s="12"/>
      <c r="M8609" s="13"/>
      <c r="N8609" s="2"/>
      <c r="O8609" s="20"/>
      <c r="P8609" s="42"/>
      <c r="R8609" s="23"/>
    </row>
    <row r="8610" spans="1:18" ht="12.75">
      <c r="A8610" s="12"/>
      <c r="D8610" s="12"/>
      <c r="E8610" s="12"/>
      <c r="H8610" s="11" t="str">
        <f ca="1">IFERROR(__xludf.DUMMYFUNCTION("IFERROR(SUBSTITUTE(SUBSTITUTE(REGEXEXTRACT(A8610, ""[^-]+- [^-]+- [^-]+ - (.+?)\.jpg""), "".jpg"", """"), ""-"", "", ""), """")"),"")</f>
        <v/>
      </c>
      <c r="L8610" s="12"/>
      <c r="M8610" s="13"/>
      <c r="N8610" s="2"/>
      <c r="O8610" s="20"/>
      <c r="P8610" s="42"/>
      <c r="R8610" s="23"/>
    </row>
    <row r="8611" spans="1:18" ht="12.75">
      <c r="A8611" s="12"/>
      <c r="D8611" s="12"/>
      <c r="E8611" s="12"/>
      <c r="H8611" s="11" t="str">
        <f ca="1">IFERROR(__xludf.DUMMYFUNCTION("IFERROR(SUBSTITUTE(SUBSTITUTE(REGEXEXTRACT(A8611, ""[^-]+- [^-]+- [^-]+ - (.+?)\.jpg""), "".jpg"", """"), ""-"", "", ""), """")"),"")</f>
        <v/>
      </c>
      <c r="L8611" s="12"/>
      <c r="M8611" s="13"/>
      <c r="N8611" s="2"/>
      <c r="O8611" s="20"/>
      <c r="P8611" s="42"/>
      <c r="R8611" s="23"/>
    </row>
    <row r="8612" spans="1:18" ht="12.75">
      <c r="A8612" s="12"/>
      <c r="D8612" s="12"/>
      <c r="E8612" s="12"/>
      <c r="H8612" s="11" t="str">
        <f ca="1">IFERROR(__xludf.DUMMYFUNCTION("IFERROR(SUBSTITUTE(SUBSTITUTE(REGEXEXTRACT(A8612, ""[^-]+- [^-]+- [^-]+ - (.+?)\.jpg""), "".jpg"", """"), ""-"", "", ""), """")"),"")</f>
        <v/>
      </c>
      <c r="L8612" s="12"/>
      <c r="M8612" s="13"/>
      <c r="N8612" s="2"/>
      <c r="O8612" s="20"/>
      <c r="P8612" s="42"/>
      <c r="R8612" s="23"/>
    </row>
    <row r="8613" spans="1:18" ht="12.75">
      <c r="A8613" s="12"/>
      <c r="D8613" s="12"/>
      <c r="E8613" s="12"/>
      <c r="H8613" s="11" t="str">
        <f ca="1">IFERROR(__xludf.DUMMYFUNCTION("IFERROR(SUBSTITUTE(SUBSTITUTE(REGEXEXTRACT(A8613, ""[^-]+- [^-]+- [^-]+ - (.+?)\.jpg""), "".jpg"", """"), ""-"", "", ""), """")"),"")</f>
        <v/>
      </c>
      <c r="L8613" s="12"/>
      <c r="M8613" s="13"/>
      <c r="N8613" s="2"/>
      <c r="O8613" s="20"/>
      <c r="P8613" s="42"/>
      <c r="R8613" s="23"/>
    </row>
    <row r="8614" spans="1:18" ht="12.75">
      <c r="A8614" s="12"/>
      <c r="D8614" s="12"/>
      <c r="E8614" s="12"/>
      <c r="H8614" s="11" t="str">
        <f ca="1">IFERROR(__xludf.DUMMYFUNCTION("IFERROR(SUBSTITUTE(SUBSTITUTE(REGEXEXTRACT(A8614, ""[^-]+- [^-]+- [^-]+ - (.+?)\.jpg""), "".jpg"", """"), ""-"", "", ""), """")"),"")</f>
        <v/>
      </c>
      <c r="L8614" s="12"/>
      <c r="M8614" s="13"/>
      <c r="N8614" s="2"/>
      <c r="O8614" s="20"/>
      <c r="P8614" s="42"/>
      <c r="R8614" s="23"/>
    </row>
    <row r="8615" spans="1:18" ht="12.75">
      <c r="A8615" s="12"/>
      <c r="D8615" s="12"/>
      <c r="E8615" s="12"/>
      <c r="H8615" s="11" t="str">
        <f ca="1">IFERROR(__xludf.DUMMYFUNCTION("IFERROR(SUBSTITUTE(SUBSTITUTE(REGEXEXTRACT(A8615, ""[^-]+- [^-]+- [^-]+ - (.+?)\.jpg""), "".jpg"", """"), ""-"", "", ""), """")"),"")</f>
        <v/>
      </c>
      <c r="L8615" s="12"/>
      <c r="M8615" s="13"/>
      <c r="N8615" s="2"/>
      <c r="O8615" s="20"/>
      <c r="P8615" s="42"/>
      <c r="R8615" s="23"/>
    </row>
    <row r="8616" spans="1:18" ht="12.75">
      <c r="A8616" s="12"/>
      <c r="D8616" s="12"/>
      <c r="E8616" s="12"/>
      <c r="H8616" s="11" t="str">
        <f ca="1">IFERROR(__xludf.DUMMYFUNCTION("IFERROR(SUBSTITUTE(SUBSTITUTE(REGEXEXTRACT(A8616, ""[^-]+- [^-]+- [^-]+ - (.+?)\.jpg""), "".jpg"", """"), ""-"", "", ""), """")"),"")</f>
        <v/>
      </c>
      <c r="L8616" s="12"/>
      <c r="M8616" s="13"/>
      <c r="N8616" s="2"/>
      <c r="O8616" s="20"/>
      <c r="P8616" s="42"/>
      <c r="R8616" s="23"/>
    </row>
    <row r="8617" spans="1:18" ht="12.75">
      <c r="A8617" s="12"/>
      <c r="D8617" s="12"/>
      <c r="E8617" s="12"/>
      <c r="H8617" s="11" t="str">
        <f ca="1">IFERROR(__xludf.DUMMYFUNCTION("IFERROR(SUBSTITUTE(SUBSTITUTE(REGEXEXTRACT(A8617, ""[^-]+- [^-]+- [^-]+ - (.+?)\.jpg""), "".jpg"", """"), ""-"", "", ""), """")"),"")</f>
        <v/>
      </c>
      <c r="L8617" s="12"/>
      <c r="M8617" s="13"/>
      <c r="N8617" s="2"/>
      <c r="O8617" s="20"/>
      <c r="P8617" s="42"/>
      <c r="R8617" s="23"/>
    </row>
    <row r="8618" spans="1:18" ht="12.75">
      <c r="A8618" s="12"/>
      <c r="D8618" s="12"/>
      <c r="E8618" s="12"/>
      <c r="H8618" s="11" t="str">
        <f ca="1">IFERROR(__xludf.DUMMYFUNCTION("IFERROR(SUBSTITUTE(SUBSTITUTE(REGEXEXTRACT(A8618, ""[^-]+- [^-]+- [^-]+ - (.+?)\.jpg""), "".jpg"", """"), ""-"", "", ""), """")"),"")</f>
        <v/>
      </c>
      <c r="L8618" s="12"/>
      <c r="M8618" s="13"/>
      <c r="N8618" s="2"/>
      <c r="O8618" s="20"/>
      <c r="P8618" s="42"/>
      <c r="R8618" s="23"/>
    </row>
    <row r="8619" spans="1:18" ht="12.75">
      <c r="A8619" s="12"/>
      <c r="D8619" s="12"/>
      <c r="E8619" s="12"/>
      <c r="H8619" s="11" t="str">
        <f ca="1">IFERROR(__xludf.DUMMYFUNCTION("IFERROR(SUBSTITUTE(SUBSTITUTE(REGEXEXTRACT(A8619, ""[^-]+- [^-]+- [^-]+ - (.+?)\.jpg""), "".jpg"", """"), ""-"", "", ""), """")"),"")</f>
        <v/>
      </c>
      <c r="L8619" s="12"/>
      <c r="M8619" s="13"/>
      <c r="N8619" s="2"/>
      <c r="O8619" s="20"/>
      <c r="P8619" s="42"/>
      <c r="R8619" s="23"/>
    </row>
    <row r="8620" spans="1:18" ht="12.75">
      <c r="A8620" s="12"/>
      <c r="D8620" s="12"/>
      <c r="E8620" s="12"/>
      <c r="H8620" s="11" t="str">
        <f ca="1">IFERROR(__xludf.DUMMYFUNCTION("IFERROR(SUBSTITUTE(SUBSTITUTE(REGEXEXTRACT(A8620, ""[^-]+- [^-]+- [^-]+ - (.+?)\.jpg""), "".jpg"", """"), ""-"", "", ""), """")"),"")</f>
        <v/>
      </c>
      <c r="L8620" s="12"/>
      <c r="M8620" s="13"/>
      <c r="N8620" s="2"/>
      <c r="O8620" s="20"/>
      <c r="P8620" s="42"/>
      <c r="R8620" s="23"/>
    </row>
    <row r="8621" spans="1:18" ht="12.75">
      <c r="A8621" s="12"/>
      <c r="D8621" s="12"/>
      <c r="E8621" s="12"/>
      <c r="H8621" s="11" t="str">
        <f ca="1">IFERROR(__xludf.DUMMYFUNCTION("IFERROR(SUBSTITUTE(SUBSTITUTE(REGEXEXTRACT(A8621, ""[^-]+- [^-]+- [^-]+ - (.+?)\.jpg""), "".jpg"", """"), ""-"", "", ""), """")"),"")</f>
        <v/>
      </c>
      <c r="L8621" s="12"/>
      <c r="M8621" s="13"/>
      <c r="N8621" s="2"/>
      <c r="O8621" s="20"/>
      <c r="P8621" s="42"/>
      <c r="R8621" s="23"/>
    </row>
    <row r="8622" spans="1:18" ht="12.75">
      <c r="A8622" s="12"/>
      <c r="D8622" s="12"/>
      <c r="E8622" s="12"/>
      <c r="H8622" s="11" t="str">
        <f ca="1">IFERROR(__xludf.DUMMYFUNCTION("IFERROR(SUBSTITUTE(SUBSTITUTE(REGEXEXTRACT(A8622, ""[^-]+- [^-]+- [^-]+ - (.+?)\.jpg""), "".jpg"", """"), ""-"", "", ""), """")"),"")</f>
        <v/>
      </c>
      <c r="L8622" s="12"/>
      <c r="M8622" s="13"/>
      <c r="N8622" s="2"/>
      <c r="O8622" s="20"/>
      <c r="P8622" s="42"/>
      <c r="R8622" s="23"/>
    </row>
    <row r="8623" spans="1:18" ht="12.75">
      <c r="A8623" s="12"/>
      <c r="D8623" s="12"/>
      <c r="E8623" s="12"/>
      <c r="H8623" s="11" t="str">
        <f ca="1">IFERROR(__xludf.DUMMYFUNCTION("IFERROR(SUBSTITUTE(SUBSTITUTE(REGEXEXTRACT(A8623, ""[^-]+- [^-]+- [^-]+ - (.+?)\.jpg""), "".jpg"", """"), ""-"", "", ""), """")"),"")</f>
        <v/>
      </c>
      <c r="L8623" s="12"/>
      <c r="M8623" s="13"/>
      <c r="N8623" s="2"/>
      <c r="O8623" s="20"/>
      <c r="P8623" s="42"/>
      <c r="R8623" s="23"/>
    </row>
    <row r="8624" spans="1:18" ht="12.75">
      <c r="A8624" s="12"/>
      <c r="D8624" s="12"/>
      <c r="E8624" s="12"/>
      <c r="H8624" s="11" t="str">
        <f ca="1">IFERROR(__xludf.DUMMYFUNCTION("IFERROR(SUBSTITUTE(SUBSTITUTE(REGEXEXTRACT(A8624, ""[^-]+- [^-]+- [^-]+ - (.+?)\.jpg""), "".jpg"", """"), ""-"", "", ""), """")"),"")</f>
        <v/>
      </c>
      <c r="L8624" s="12"/>
      <c r="M8624" s="13"/>
      <c r="N8624" s="2"/>
      <c r="O8624" s="20"/>
      <c r="P8624" s="42"/>
      <c r="R8624" s="23"/>
    </row>
    <row r="8625" spans="1:18" ht="12.75">
      <c r="A8625" s="12"/>
      <c r="D8625" s="12"/>
      <c r="E8625" s="12"/>
      <c r="H8625" s="11" t="str">
        <f ca="1">IFERROR(__xludf.DUMMYFUNCTION("IFERROR(SUBSTITUTE(SUBSTITUTE(REGEXEXTRACT(A8625, ""[^-]+- [^-]+- [^-]+ - (.+?)\.jpg""), "".jpg"", """"), ""-"", "", ""), """")"),"")</f>
        <v/>
      </c>
      <c r="L8625" s="12"/>
      <c r="M8625" s="13"/>
      <c r="N8625" s="2"/>
      <c r="O8625" s="20"/>
      <c r="P8625" s="42"/>
      <c r="R8625" s="23"/>
    </row>
    <row r="8626" spans="1:18" ht="12.75">
      <c r="A8626" s="12"/>
      <c r="D8626" s="12"/>
      <c r="E8626" s="12"/>
      <c r="H8626" s="11" t="str">
        <f ca="1">IFERROR(__xludf.DUMMYFUNCTION("IFERROR(SUBSTITUTE(SUBSTITUTE(REGEXEXTRACT(A8626, ""[^-]+- [^-]+- [^-]+ - (.+?)\.jpg""), "".jpg"", """"), ""-"", "", ""), """")"),"")</f>
        <v/>
      </c>
      <c r="L8626" s="12"/>
      <c r="M8626" s="13"/>
      <c r="N8626" s="2"/>
      <c r="O8626" s="20"/>
      <c r="P8626" s="42"/>
      <c r="R8626" s="23"/>
    </row>
    <row r="8627" spans="1:18" ht="12.75">
      <c r="A8627" s="12"/>
      <c r="D8627" s="12"/>
      <c r="E8627" s="12"/>
      <c r="H8627" s="11" t="str">
        <f ca="1">IFERROR(__xludf.DUMMYFUNCTION("IFERROR(SUBSTITUTE(SUBSTITUTE(REGEXEXTRACT(A8627, ""[^-]+- [^-]+- [^-]+ - (.+?)\.jpg""), "".jpg"", """"), ""-"", "", ""), """")"),"")</f>
        <v/>
      </c>
      <c r="L8627" s="12"/>
      <c r="M8627" s="13"/>
      <c r="N8627" s="2"/>
      <c r="O8627" s="20"/>
      <c r="P8627" s="42"/>
      <c r="R8627" s="23"/>
    </row>
    <row r="8628" spans="1:18" ht="12.75">
      <c r="A8628" s="12"/>
      <c r="D8628" s="12"/>
      <c r="E8628" s="12"/>
      <c r="H8628" s="11" t="str">
        <f ca="1">IFERROR(__xludf.DUMMYFUNCTION("IFERROR(SUBSTITUTE(SUBSTITUTE(REGEXEXTRACT(A8628, ""[^-]+- [^-]+- [^-]+ - (.+?)\.jpg""), "".jpg"", """"), ""-"", "", ""), """")"),"")</f>
        <v/>
      </c>
      <c r="L8628" s="12"/>
      <c r="M8628" s="13"/>
      <c r="N8628" s="2"/>
      <c r="O8628" s="20"/>
      <c r="P8628" s="42"/>
      <c r="R8628" s="23"/>
    </row>
    <row r="8629" spans="1:18" ht="12.75">
      <c r="A8629" s="12"/>
      <c r="D8629" s="12"/>
      <c r="E8629" s="12"/>
      <c r="H8629" s="11" t="str">
        <f ca="1">IFERROR(__xludf.DUMMYFUNCTION("IFERROR(SUBSTITUTE(SUBSTITUTE(REGEXEXTRACT(A8629, ""[^-]+- [^-]+- [^-]+ - (.+?)\.jpg""), "".jpg"", """"), ""-"", "", ""), """")"),"")</f>
        <v/>
      </c>
      <c r="L8629" s="12"/>
      <c r="M8629" s="13"/>
      <c r="N8629" s="2"/>
      <c r="O8629" s="20"/>
      <c r="P8629" s="42"/>
      <c r="R8629" s="23"/>
    </row>
    <row r="8630" spans="1:18" ht="12.75">
      <c r="A8630" s="12"/>
      <c r="D8630" s="12"/>
      <c r="E8630" s="12"/>
      <c r="H8630" s="11" t="str">
        <f ca="1">IFERROR(__xludf.DUMMYFUNCTION("IFERROR(SUBSTITUTE(SUBSTITUTE(REGEXEXTRACT(A8630, ""[^-]+- [^-]+- [^-]+ - (.+?)\.jpg""), "".jpg"", """"), ""-"", "", ""), """")"),"")</f>
        <v/>
      </c>
      <c r="L8630" s="12"/>
      <c r="M8630" s="13"/>
      <c r="N8630" s="2"/>
      <c r="O8630" s="20"/>
      <c r="P8630" s="42"/>
      <c r="R8630" s="23"/>
    </row>
    <row r="8631" spans="1:18" ht="12.75">
      <c r="A8631" s="12"/>
      <c r="D8631" s="12"/>
      <c r="E8631" s="12"/>
      <c r="H8631" s="11" t="str">
        <f ca="1">IFERROR(__xludf.DUMMYFUNCTION("IFERROR(SUBSTITUTE(SUBSTITUTE(REGEXEXTRACT(A8631, ""[^-]+- [^-]+- [^-]+ - (.+?)\.jpg""), "".jpg"", """"), ""-"", "", ""), """")"),"")</f>
        <v/>
      </c>
      <c r="L8631" s="12"/>
      <c r="M8631" s="13"/>
      <c r="N8631" s="2"/>
      <c r="O8631" s="20"/>
      <c r="P8631" s="42"/>
      <c r="R8631" s="23"/>
    </row>
    <row r="8632" spans="1:18" ht="12.75">
      <c r="A8632" s="12"/>
      <c r="D8632" s="12"/>
      <c r="E8632" s="12"/>
      <c r="H8632" s="11" t="str">
        <f ca="1">IFERROR(__xludf.DUMMYFUNCTION("IFERROR(SUBSTITUTE(SUBSTITUTE(REGEXEXTRACT(A8632, ""[^-]+- [^-]+- [^-]+ - (.+?)\.jpg""), "".jpg"", """"), ""-"", "", ""), """")"),"")</f>
        <v/>
      </c>
      <c r="L8632" s="12"/>
      <c r="M8632" s="13"/>
      <c r="N8632" s="2"/>
      <c r="O8632" s="20"/>
      <c r="P8632" s="42"/>
      <c r="R8632" s="23"/>
    </row>
    <row r="8633" spans="1:18" ht="12.75">
      <c r="A8633" s="12"/>
      <c r="D8633" s="12"/>
      <c r="E8633" s="12"/>
      <c r="H8633" s="11" t="str">
        <f ca="1">IFERROR(__xludf.DUMMYFUNCTION("IFERROR(SUBSTITUTE(SUBSTITUTE(REGEXEXTRACT(A8633, ""[^-]+- [^-]+- [^-]+ - (.+?)\.jpg""), "".jpg"", """"), ""-"", "", ""), """")"),"")</f>
        <v/>
      </c>
      <c r="L8633" s="12"/>
      <c r="M8633" s="13"/>
      <c r="N8633" s="2"/>
      <c r="O8633" s="20"/>
      <c r="P8633" s="42"/>
      <c r="R8633" s="23"/>
    </row>
    <row r="8634" spans="1:18" ht="12.75">
      <c r="A8634" s="12"/>
      <c r="D8634" s="12"/>
      <c r="E8634" s="12"/>
      <c r="H8634" s="11" t="str">
        <f ca="1">IFERROR(__xludf.DUMMYFUNCTION("IFERROR(SUBSTITUTE(SUBSTITUTE(REGEXEXTRACT(A8634, ""[^-]+- [^-]+- [^-]+ - (.+?)\.jpg""), "".jpg"", """"), ""-"", "", ""), """")"),"")</f>
        <v/>
      </c>
      <c r="L8634" s="12"/>
      <c r="M8634" s="13"/>
      <c r="N8634" s="2"/>
      <c r="O8634" s="20"/>
      <c r="P8634" s="42"/>
      <c r="R8634" s="23"/>
    </row>
    <row r="8635" spans="1:18" ht="12.75">
      <c r="A8635" s="12"/>
      <c r="D8635" s="12"/>
      <c r="E8635" s="12"/>
      <c r="H8635" s="11" t="str">
        <f ca="1">IFERROR(__xludf.DUMMYFUNCTION("IFERROR(SUBSTITUTE(SUBSTITUTE(REGEXEXTRACT(A8635, ""[^-]+- [^-]+- [^-]+ - (.+?)\.jpg""), "".jpg"", """"), ""-"", "", ""), """")"),"")</f>
        <v/>
      </c>
      <c r="L8635" s="12"/>
      <c r="M8635" s="13"/>
      <c r="N8635" s="2"/>
      <c r="O8635" s="20"/>
      <c r="P8635" s="42"/>
      <c r="R8635" s="23"/>
    </row>
    <row r="8636" spans="1:18" ht="12.75">
      <c r="A8636" s="12"/>
      <c r="D8636" s="12"/>
      <c r="E8636" s="12"/>
      <c r="H8636" s="11" t="str">
        <f ca="1">IFERROR(__xludf.DUMMYFUNCTION("IFERROR(SUBSTITUTE(SUBSTITUTE(REGEXEXTRACT(A8636, ""[^-]+- [^-]+- [^-]+ - (.+?)\.jpg""), "".jpg"", """"), ""-"", "", ""), """")"),"")</f>
        <v/>
      </c>
      <c r="L8636" s="12"/>
      <c r="M8636" s="13"/>
      <c r="N8636" s="2"/>
      <c r="O8636" s="20"/>
      <c r="P8636" s="42"/>
      <c r="R8636" s="23"/>
    </row>
    <row r="8637" spans="1:18" ht="12.75">
      <c r="A8637" s="12"/>
      <c r="D8637" s="12"/>
      <c r="E8637" s="12"/>
      <c r="H8637" s="11" t="str">
        <f ca="1">IFERROR(__xludf.DUMMYFUNCTION("IFERROR(SUBSTITUTE(SUBSTITUTE(REGEXEXTRACT(A8637, ""[^-]+- [^-]+- [^-]+ - (.+?)\.jpg""), "".jpg"", """"), ""-"", "", ""), """")"),"")</f>
        <v/>
      </c>
      <c r="L8637" s="12"/>
      <c r="M8637" s="13"/>
      <c r="N8637" s="2"/>
      <c r="O8637" s="20"/>
      <c r="P8637" s="42"/>
      <c r="R8637" s="23"/>
    </row>
    <row r="8638" spans="1:18" ht="12.75">
      <c r="A8638" s="12"/>
      <c r="D8638" s="12"/>
      <c r="E8638" s="12"/>
      <c r="H8638" s="11" t="str">
        <f ca="1">IFERROR(__xludf.DUMMYFUNCTION("IFERROR(SUBSTITUTE(SUBSTITUTE(REGEXEXTRACT(A8638, ""[^-]+- [^-]+- [^-]+ - (.+?)\.jpg""), "".jpg"", """"), ""-"", "", ""), """")"),"")</f>
        <v/>
      </c>
      <c r="L8638" s="12"/>
      <c r="M8638" s="13"/>
      <c r="N8638" s="2"/>
      <c r="O8638" s="20"/>
      <c r="P8638" s="42"/>
      <c r="R8638" s="23"/>
    </row>
    <row r="8639" spans="1:18" ht="12.75">
      <c r="A8639" s="12"/>
      <c r="D8639" s="12"/>
      <c r="E8639" s="12"/>
      <c r="H8639" s="11" t="str">
        <f ca="1">IFERROR(__xludf.DUMMYFUNCTION("IFERROR(SUBSTITUTE(SUBSTITUTE(REGEXEXTRACT(A8639, ""[^-]+- [^-]+- [^-]+ - (.+?)\.jpg""), "".jpg"", """"), ""-"", "", ""), """")"),"")</f>
        <v/>
      </c>
      <c r="L8639" s="12"/>
      <c r="M8639" s="13"/>
      <c r="N8639" s="2"/>
      <c r="O8639" s="20"/>
      <c r="P8639" s="42"/>
      <c r="R8639" s="23"/>
    </row>
    <row r="8640" spans="1:18" ht="12.75">
      <c r="A8640" s="12"/>
      <c r="D8640" s="12"/>
      <c r="E8640" s="12"/>
      <c r="H8640" s="11" t="str">
        <f ca="1">IFERROR(__xludf.DUMMYFUNCTION("IFERROR(SUBSTITUTE(SUBSTITUTE(REGEXEXTRACT(A8640, ""[^-]+- [^-]+- [^-]+ - (.+?)\.jpg""), "".jpg"", """"), ""-"", "", ""), """")"),"")</f>
        <v/>
      </c>
      <c r="L8640" s="12"/>
      <c r="M8640" s="13"/>
      <c r="N8640" s="2"/>
      <c r="O8640" s="20"/>
      <c r="P8640" s="42"/>
      <c r="R8640" s="23"/>
    </row>
    <row r="8641" spans="1:18" ht="12.75">
      <c r="A8641" s="12"/>
      <c r="D8641" s="12"/>
      <c r="E8641" s="12"/>
      <c r="H8641" s="11" t="str">
        <f ca="1">IFERROR(__xludf.DUMMYFUNCTION("IFERROR(SUBSTITUTE(SUBSTITUTE(REGEXEXTRACT(A8641, ""[^-]+- [^-]+- [^-]+ - (.+?)\.jpg""), "".jpg"", """"), ""-"", "", ""), """")"),"")</f>
        <v/>
      </c>
      <c r="L8641" s="12"/>
      <c r="M8641" s="13"/>
      <c r="N8641" s="2"/>
      <c r="O8641" s="20"/>
      <c r="P8641" s="42"/>
      <c r="R8641" s="23"/>
    </row>
    <row r="8642" spans="1:18" ht="12.75">
      <c r="A8642" s="12"/>
      <c r="D8642" s="12"/>
      <c r="E8642" s="12"/>
      <c r="H8642" s="11" t="str">
        <f ca="1">IFERROR(__xludf.DUMMYFUNCTION("IFERROR(SUBSTITUTE(SUBSTITUTE(REGEXEXTRACT(A8642, ""[^-]+- [^-]+- [^-]+ - (.+?)\.jpg""), "".jpg"", """"), ""-"", "", ""), """")"),"")</f>
        <v/>
      </c>
      <c r="L8642" s="12"/>
      <c r="M8642" s="13"/>
      <c r="N8642" s="2"/>
      <c r="O8642" s="20"/>
      <c r="P8642" s="42"/>
      <c r="R8642" s="23"/>
    </row>
    <row r="8643" spans="1:18" ht="12.75">
      <c r="A8643" s="12"/>
      <c r="D8643" s="12"/>
      <c r="E8643" s="12"/>
      <c r="H8643" s="11" t="str">
        <f ca="1">IFERROR(__xludf.DUMMYFUNCTION("IFERROR(SUBSTITUTE(SUBSTITUTE(REGEXEXTRACT(A8643, ""[^-]+- [^-]+- [^-]+ - (.+?)\.jpg""), "".jpg"", """"), ""-"", "", ""), """")"),"")</f>
        <v/>
      </c>
      <c r="L8643" s="12"/>
      <c r="M8643" s="13"/>
      <c r="N8643" s="2"/>
      <c r="O8643" s="20"/>
      <c r="P8643" s="42"/>
      <c r="R8643" s="23"/>
    </row>
    <row r="8644" spans="1:18" ht="12.75">
      <c r="A8644" s="12"/>
      <c r="D8644" s="12"/>
      <c r="E8644" s="12"/>
      <c r="H8644" s="11" t="str">
        <f ca="1">IFERROR(__xludf.DUMMYFUNCTION("IFERROR(SUBSTITUTE(SUBSTITUTE(REGEXEXTRACT(A8644, ""[^-]+- [^-]+- [^-]+ - (.+?)\.jpg""), "".jpg"", """"), ""-"", "", ""), """")"),"")</f>
        <v/>
      </c>
      <c r="L8644" s="12"/>
      <c r="M8644" s="13"/>
      <c r="N8644" s="2"/>
      <c r="O8644" s="20"/>
      <c r="P8644" s="42"/>
      <c r="R8644" s="23"/>
    </row>
    <row r="8645" spans="1:18" ht="12.75">
      <c r="A8645" s="12"/>
      <c r="D8645" s="12"/>
      <c r="E8645" s="12"/>
      <c r="H8645" s="11" t="str">
        <f ca="1">IFERROR(__xludf.DUMMYFUNCTION("IFERROR(SUBSTITUTE(SUBSTITUTE(REGEXEXTRACT(A8645, ""[^-]+- [^-]+- [^-]+ - (.+?)\.jpg""), "".jpg"", """"), ""-"", "", ""), """")"),"")</f>
        <v/>
      </c>
      <c r="L8645" s="12"/>
      <c r="M8645" s="13"/>
      <c r="N8645" s="2"/>
      <c r="O8645" s="20"/>
      <c r="P8645" s="42"/>
      <c r="R8645" s="23"/>
    </row>
    <row r="8646" spans="1:18" ht="12.75">
      <c r="A8646" s="12"/>
      <c r="D8646" s="12"/>
      <c r="E8646" s="12"/>
      <c r="H8646" s="11" t="str">
        <f ca="1">IFERROR(__xludf.DUMMYFUNCTION("IFERROR(SUBSTITUTE(SUBSTITUTE(REGEXEXTRACT(A8646, ""[^-]+- [^-]+- [^-]+ - (.+?)\.jpg""), "".jpg"", """"), ""-"", "", ""), """")"),"")</f>
        <v/>
      </c>
      <c r="L8646" s="12"/>
      <c r="M8646" s="13"/>
      <c r="N8646" s="2"/>
      <c r="O8646" s="20"/>
      <c r="P8646" s="42"/>
      <c r="R8646" s="23"/>
    </row>
    <row r="8647" spans="1:18" ht="12.75">
      <c r="A8647" s="12"/>
      <c r="D8647" s="12"/>
      <c r="E8647" s="12"/>
      <c r="H8647" s="11" t="str">
        <f ca="1">IFERROR(__xludf.DUMMYFUNCTION("IFERROR(SUBSTITUTE(SUBSTITUTE(REGEXEXTRACT(A8647, ""[^-]+- [^-]+- [^-]+ - (.+?)\.jpg""), "".jpg"", """"), ""-"", "", ""), """")"),"")</f>
        <v/>
      </c>
      <c r="L8647" s="12"/>
      <c r="M8647" s="13"/>
      <c r="N8647" s="2"/>
      <c r="O8647" s="20"/>
      <c r="P8647" s="42"/>
      <c r="R8647" s="23"/>
    </row>
    <row r="8648" spans="1:18" ht="12.75">
      <c r="A8648" s="12"/>
      <c r="D8648" s="12"/>
      <c r="E8648" s="12"/>
      <c r="H8648" s="11" t="str">
        <f ca="1">IFERROR(__xludf.DUMMYFUNCTION("IFERROR(SUBSTITUTE(SUBSTITUTE(REGEXEXTRACT(A8648, ""[^-]+- [^-]+- [^-]+ - (.+?)\.jpg""), "".jpg"", """"), ""-"", "", ""), """")"),"")</f>
        <v/>
      </c>
      <c r="L8648" s="12"/>
      <c r="M8648" s="13"/>
      <c r="N8648" s="2"/>
      <c r="O8648" s="20"/>
      <c r="P8648" s="42"/>
      <c r="R8648" s="23"/>
    </row>
    <row r="8649" spans="1:18" ht="12.75">
      <c r="A8649" s="12"/>
      <c r="D8649" s="12"/>
      <c r="E8649" s="12"/>
      <c r="H8649" s="11" t="str">
        <f ca="1">IFERROR(__xludf.DUMMYFUNCTION("IFERROR(SUBSTITUTE(SUBSTITUTE(REGEXEXTRACT(A8649, ""[^-]+- [^-]+- [^-]+ - (.+?)\.jpg""), "".jpg"", """"), ""-"", "", ""), """")"),"")</f>
        <v/>
      </c>
      <c r="L8649" s="12"/>
      <c r="M8649" s="13"/>
      <c r="N8649" s="2"/>
      <c r="O8649" s="20"/>
      <c r="P8649" s="42"/>
      <c r="R8649" s="23"/>
    </row>
    <row r="8650" spans="1:18" ht="12.75">
      <c r="A8650" s="12"/>
      <c r="D8650" s="12"/>
      <c r="E8650" s="12"/>
      <c r="H8650" s="11" t="str">
        <f ca="1">IFERROR(__xludf.DUMMYFUNCTION("IFERROR(SUBSTITUTE(SUBSTITUTE(REGEXEXTRACT(A8650, ""[^-]+- [^-]+- [^-]+ - (.+?)\.jpg""), "".jpg"", """"), ""-"", "", ""), """")"),"")</f>
        <v/>
      </c>
      <c r="L8650" s="12"/>
      <c r="M8650" s="13"/>
      <c r="N8650" s="2"/>
      <c r="O8650" s="20"/>
      <c r="P8650" s="42"/>
      <c r="R8650" s="23"/>
    </row>
    <row r="8651" spans="1:18" ht="12.75">
      <c r="A8651" s="12"/>
      <c r="D8651" s="12"/>
      <c r="E8651" s="12"/>
      <c r="H8651" s="11" t="str">
        <f ca="1">IFERROR(__xludf.DUMMYFUNCTION("IFERROR(SUBSTITUTE(SUBSTITUTE(REGEXEXTRACT(A8651, ""[^-]+- [^-]+- [^-]+ - (.+?)\.jpg""), "".jpg"", """"), ""-"", "", ""), """")"),"")</f>
        <v/>
      </c>
      <c r="L8651" s="12"/>
      <c r="M8651" s="13"/>
      <c r="N8651" s="2"/>
      <c r="O8651" s="20"/>
      <c r="P8651" s="42"/>
      <c r="R8651" s="23"/>
    </row>
    <row r="8652" spans="1:18" ht="12.75">
      <c r="A8652" s="12"/>
      <c r="D8652" s="12"/>
      <c r="E8652" s="12"/>
      <c r="H8652" s="11" t="str">
        <f ca="1">IFERROR(__xludf.DUMMYFUNCTION("IFERROR(SUBSTITUTE(SUBSTITUTE(REGEXEXTRACT(A8652, ""[^-]+- [^-]+- [^-]+ - (.+?)\.jpg""), "".jpg"", """"), ""-"", "", ""), """")"),"")</f>
        <v/>
      </c>
      <c r="L8652" s="12"/>
      <c r="M8652" s="13"/>
      <c r="N8652" s="2"/>
      <c r="O8652" s="20"/>
      <c r="P8652" s="42"/>
      <c r="R8652" s="23"/>
    </row>
    <row r="8653" spans="1:18" ht="12.75">
      <c r="A8653" s="12"/>
      <c r="D8653" s="12"/>
      <c r="E8653" s="12"/>
      <c r="H8653" s="11" t="str">
        <f ca="1">IFERROR(__xludf.DUMMYFUNCTION("IFERROR(SUBSTITUTE(SUBSTITUTE(REGEXEXTRACT(A8653, ""[^-]+- [^-]+- [^-]+ - (.+?)\.jpg""), "".jpg"", """"), ""-"", "", ""), """")"),"")</f>
        <v/>
      </c>
      <c r="L8653" s="12"/>
      <c r="M8653" s="13"/>
      <c r="N8653" s="2"/>
      <c r="O8653" s="20"/>
      <c r="P8653" s="42"/>
      <c r="R8653" s="23"/>
    </row>
    <row r="8654" spans="1:18" ht="12.75">
      <c r="A8654" s="12"/>
      <c r="D8654" s="12"/>
      <c r="E8654" s="12"/>
      <c r="H8654" s="11" t="str">
        <f ca="1">IFERROR(__xludf.DUMMYFUNCTION("IFERROR(SUBSTITUTE(SUBSTITUTE(REGEXEXTRACT(A8654, ""[^-]+- [^-]+- [^-]+ - (.+?)\.jpg""), "".jpg"", """"), ""-"", "", ""), """")"),"")</f>
        <v/>
      </c>
      <c r="L8654" s="12"/>
      <c r="M8654" s="13"/>
      <c r="N8654" s="2"/>
      <c r="O8654" s="20"/>
      <c r="P8654" s="42"/>
      <c r="R8654" s="23"/>
    </row>
    <row r="8655" spans="1:18" ht="12.75">
      <c r="A8655" s="12"/>
      <c r="D8655" s="12"/>
      <c r="E8655" s="12"/>
      <c r="H8655" s="11" t="str">
        <f ca="1">IFERROR(__xludf.DUMMYFUNCTION("IFERROR(SUBSTITUTE(SUBSTITUTE(REGEXEXTRACT(A8655, ""[^-]+- [^-]+- [^-]+ - (.+?)\.jpg""), "".jpg"", """"), ""-"", "", ""), """")"),"")</f>
        <v/>
      </c>
      <c r="L8655" s="12"/>
      <c r="M8655" s="13"/>
      <c r="N8655" s="2"/>
      <c r="O8655" s="20"/>
      <c r="P8655" s="42"/>
      <c r="R8655" s="23"/>
    </row>
    <row r="8656" spans="1:18" ht="12.75">
      <c r="A8656" s="12"/>
      <c r="D8656" s="12"/>
      <c r="E8656" s="12"/>
      <c r="H8656" s="11" t="str">
        <f ca="1">IFERROR(__xludf.DUMMYFUNCTION("IFERROR(SUBSTITUTE(SUBSTITUTE(REGEXEXTRACT(A8656, ""[^-]+- [^-]+- [^-]+ - (.+?)\.jpg""), "".jpg"", """"), ""-"", "", ""), """")"),"")</f>
        <v/>
      </c>
      <c r="L8656" s="12"/>
      <c r="M8656" s="13"/>
      <c r="N8656" s="2"/>
      <c r="O8656" s="20"/>
      <c r="P8656" s="42"/>
      <c r="R8656" s="23"/>
    </row>
    <row r="8657" spans="1:18" ht="12.75">
      <c r="A8657" s="12"/>
      <c r="D8657" s="12"/>
      <c r="E8657" s="12"/>
      <c r="H8657" s="11" t="str">
        <f ca="1">IFERROR(__xludf.DUMMYFUNCTION("IFERROR(SUBSTITUTE(SUBSTITUTE(REGEXEXTRACT(A8657, ""[^-]+- [^-]+- [^-]+ - (.+?)\.jpg""), "".jpg"", """"), ""-"", "", ""), """")"),"")</f>
        <v/>
      </c>
      <c r="L8657" s="12"/>
      <c r="M8657" s="13"/>
      <c r="N8657" s="2"/>
      <c r="O8657" s="20"/>
      <c r="P8657" s="42"/>
      <c r="R8657" s="23"/>
    </row>
    <row r="8658" spans="1:18" ht="12.75">
      <c r="A8658" s="12"/>
      <c r="D8658" s="12"/>
      <c r="E8658" s="12"/>
      <c r="H8658" s="11" t="str">
        <f ca="1">IFERROR(__xludf.DUMMYFUNCTION("IFERROR(SUBSTITUTE(SUBSTITUTE(REGEXEXTRACT(A8658, ""[^-]+- [^-]+- [^-]+ - (.+?)\.jpg""), "".jpg"", """"), ""-"", "", ""), """")"),"")</f>
        <v/>
      </c>
      <c r="L8658" s="12"/>
      <c r="M8658" s="13"/>
      <c r="N8658" s="2"/>
      <c r="O8658" s="20"/>
      <c r="P8658" s="42"/>
      <c r="R8658" s="23"/>
    </row>
    <row r="8659" spans="1:18" ht="12.75">
      <c r="A8659" s="12"/>
      <c r="D8659" s="12"/>
      <c r="E8659" s="12"/>
      <c r="H8659" s="11" t="str">
        <f ca="1">IFERROR(__xludf.DUMMYFUNCTION("IFERROR(SUBSTITUTE(SUBSTITUTE(REGEXEXTRACT(A8659, ""[^-]+- [^-]+- [^-]+ - (.+?)\.jpg""), "".jpg"", """"), ""-"", "", ""), """")"),"")</f>
        <v/>
      </c>
      <c r="L8659" s="12"/>
      <c r="M8659" s="13"/>
      <c r="N8659" s="2"/>
      <c r="O8659" s="20"/>
      <c r="P8659" s="42"/>
      <c r="R8659" s="23"/>
    </row>
    <row r="8660" spans="1:18" ht="12.75">
      <c r="A8660" s="12"/>
      <c r="D8660" s="12"/>
      <c r="E8660" s="12"/>
      <c r="H8660" s="11" t="str">
        <f ca="1">IFERROR(__xludf.DUMMYFUNCTION("IFERROR(SUBSTITUTE(SUBSTITUTE(REGEXEXTRACT(A8660, ""[^-]+- [^-]+- [^-]+ - (.+?)\.jpg""), "".jpg"", """"), ""-"", "", ""), """")"),"")</f>
        <v/>
      </c>
      <c r="L8660" s="12"/>
      <c r="M8660" s="13"/>
      <c r="N8660" s="2"/>
      <c r="O8660" s="20"/>
      <c r="P8660" s="42"/>
      <c r="R8660" s="23"/>
    </row>
    <row r="8661" spans="1:18" ht="12.75">
      <c r="A8661" s="12"/>
      <c r="D8661" s="12"/>
      <c r="E8661" s="12"/>
      <c r="H8661" s="11" t="str">
        <f ca="1">IFERROR(__xludf.DUMMYFUNCTION("IFERROR(SUBSTITUTE(SUBSTITUTE(REGEXEXTRACT(A8661, ""[^-]+- [^-]+- [^-]+ - (.+?)\.jpg""), "".jpg"", """"), ""-"", "", ""), """")"),"")</f>
        <v/>
      </c>
      <c r="L8661" s="12"/>
      <c r="M8661" s="13"/>
      <c r="N8661" s="2"/>
      <c r="O8661" s="20"/>
      <c r="P8661" s="42"/>
      <c r="R8661" s="23"/>
    </row>
    <row r="8662" spans="1:18" ht="12.75">
      <c r="A8662" s="12"/>
      <c r="D8662" s="12"/>
      <c r="E8662" s="12"/>
      <c r="H8662" s="11" t="str">
        <f ca="1">IFERROR(__xludf.DUMMYFUNCTION("IFERROR(SUBSTITUTE(SUBSTITUTE(REGEXEXTRACT(A8662, ""[^-]+- [^-]+- [^-]+ - (.+?)\.jpg""), "".jpg"", """"), ""-"", "", ""), """")"),"")</f>
        <v/>
      </c>
      <c r="L8662" s="12"/>
      <c r="M8662" s="13"/>
      <c r="N8662" s="2"/>
      <c r="O8662" s="20"/>
      <c r="P8662" s="42"/>
      <c r="R8662" s="23"/>
    </row>
    <row r="8663" spans="1:18" ht="12.75">
      <c r="A8663" s="12"/>
      <c r="D8663" s="12"/>
      <c r="E8663" s="12"/>
      <c r="H8663" s="11" t="str">
        <f ca="1">IFERROR(__xludf.DUMMYFUNCTION("IFERROR(SUBSTITUTE(SUBSTITUTE(REGEXEXTRACT(A8663, ""[^-]+- [^-]+- [^-]+ - (.+?)\.jpg""), "".jpg"", """"), ""-"", "", ""), """")"),"")</f>
        <v/>
      </c>
      <c r="L8663" s="12"/>
      <c r="M8663" s="13"/>
      <c r="N8663" s="2"/>
      <c r="O8663" s="20"/>
      <c r="P8663" s="42"/>
      <c r="R8663" s="23"/>
    </row>
    <row r="8664" spans="1:18" ht="12.75">
      <c r="A8664" s="12"/>
      <c r="D8664" s="12"/>
      <c r="E8664" s="12"/>
      <c r="H8664" s="11" t="str">
        <f ca="1">IFERROR(__xludf.DUMMYFUNCTION("IFERROR(SUBSTITUTE(SUBSTITUTE(REGEXEXTRACT(A8664, ""[^-]+- [^-]+- [^-]+ - (.+?)\.jpg""), "".jpg"", """"), ""-"", "", ""), """")"),"")</f>
        <v/>
      </c>
      <c r="L8664" s="12"/>
      <c r="M8664" s="13"/>
      <c r="N8664" s="2"/>
      <c r="O8664" s="20"/>
      <c r="P8664" s="42"/>
      <c r="R8664" s="23"/>
    </row>
    <row r="8665" spans="1:18" ht="12.75">
      <c r="A8665" s="12"/>
      <c r="D8665" s="12"/>
      <c r="E8665" s="12"/>
      <c r="H8665" s="11" t="str">
        <f ca="1">IFERROR(__xludf.DUMMYFUNCTION("IFERROR(SUBSTITUTE(SUBSTITUTE(REGEXEXTRACT(A8665, ""[^-]+- [^-]+- [^-]+ - (.+?)\.jpg""), "".jpg"", """"), ""-"", "", ""), """")"),"")</f>
        <v/>
      </c>
      <c r="L8665" s="12"/>
      <c r="M8665" s="13"/>
      <c r="N8665" s="2"/>
      <c r="O8665" s="20"/>
      <c r="P8665" s="42"/>
      <c r="R8665" s="23"/>
    </row>
    <row r="8666" spans="1:18" ht="12.75">
      <c r="A8666" s="12"/>
      <c r="D8666" s="12"/>
      <c r="E8666" s="12"/>
      <c r="H8666" s="11" t="str">
        <f ca="1">IFERROR(__xludf.DUMMYFUNCTION("IFERROR(SUBSTITUTE(SUBSTITUTE(REGEXEXTRACT(A8666, ""[^-]+- [^-]+- [^-]+ - (.+?)\.jpg""), "".jpg"", """"), ""-"", "", ""), """")"),"")</f>
        <v/>
      </c>
      <c r="L8666" s="12"/>
      <c r="M8666" s="13"/>
      <c r="N8666" s="2"/>
      <c r="O8666" s="20"/>
      <c r="P8666" s="42"/>
      <c r="R8666" s="23"/>
    </row>
    <row r="8667" spans="1:18" ht="12.75">
      <c r="A8667" s="12"/>
      <c r="D8667" s="12"/>
      <c r="E8667" s="12"/>
      <c r="H8667" s="11" t="str">
        <f ca="1">IFERROR(__xludf.DUMMYFUNCTION("IFERROR(SUBSTITUTE(SUBSTITUTE(REGEXEXTRACT(A8667, ""[^-]+- [^-]+- [^-]+ - (.+?)\.jpg""), "".jpg"", """"), ""-"", "", ""), """")"),"")</f>
        <v/>
      </c>
      <c r="L8667" s="12"/>
      <c r="M8667" s="13"/>
      <c r="N8667" s="2"/>
      <c r="O8667" s="20"/>
      <c r="P8667" s="42"/>
      <c r="R8667" s="23"/>
    </row>
    <row r="8668" spans="1:18" ht="12.75">
      <c r="A8668" s="12"/>
      <c r="D8668" s="12"/>
      <c r="E8668" s="12"/>
      <c r="H8668" s="11" t="str">
        <f ca="1">IFERROR(__xludf.DUMMYFUNCTION("IFERROR(SUBSTITUTE(SUBSTITUTE(REGEXEXTRACT(A8668, ""[^-]+- [^-]+- [^-]+ - (.+?)\.jpg""), "".jpg"", """"), ""-"", "", ""), """")"),"")</f>
        <v/>
      </c>
      <c r="L8668" s="12"/>
      <c r="M8668" s="13"/>
      <c r="N8668" s="2"/>
      <c r="O8668" s="20"/>
      <c r="P8668" s="42"/>
      <c r="R8668" s="23"/>
    </row>
    <row r="8669" spans="1:18" ht="12.75">
      <c r="A8669" s="12"/>
      <c r="D8669" s="12"/>
      <c r="E8669" s="12"/>
      <c r="H8669" s="11" t="str">
        <f ca="1">IFERROR(__xludf.DUMMYFUNCTION("IFERROR(SUBSTITUTE(SUBSTITUTE(REGEXEXTRACT(A8669, ""[^-]+- [^-]+- [^-]+ - (.+?)\.jpg""), "".jpg"", """"), ""-"", "", ""), """")"),"")</f>
        <v/>
      </c>
      <c r="L8669" s="12"/>
      <c r="M8669" s="13"/>
      <c r="N8669" s="2"/>
      <c r="O8669" s="20"/>
      <c r="P8669" s="42"/>
      <c r="R8669" s="23"/>
    </row>
    <row r="8670" spans="1:18" ht="12.75">
      <c r="A8670" s="12"/>
      <c r="D8670" s="12"/>
      <c r="E8670" s="12"/>
      <c r="H8670" s="11" t="str">
        <f ca="1">IFERROR(__xludf.DUMMYFUNCTION("IFERROR(SUBSTITUTE(SUBSTITUTE(REGEXEXTRACT(A8670, ""[^-]+- [^-]+- [^-]+ - (.+?)\.jpg""), "".jpg"", """"), ""-"", "", ""), """")"),"")</f>
        <v/>
      </c>
      <c r="L8670" s="12"/>
      <c r="M8670" s="13"/>
      <c r="N8670" s="2"/>
      <c r="O8670" s="20"/>
      <c r="P8670" s="42"/>
      <c r="R8670" s="23"/>
    </row>
    <row r="8671" spans="1:18" ht="12.75">
      <c r="A8671" s="12"/>
      <c r="D8671" s="12"/>
      <c r="E8671" s="12"/>
      <c r="H8671" s="11" t="str">
        <f ca="1">IFERROR(__xludf.DUMMYFUNCTION("IFERROR(SUBSTITUTE(SUBSTITUTE(REGEXEXTRACT(A8671, ""[^-]+- [^-]+- [^-]+ - (.+?)\.jpg""), "".jpg"", """"), ""-"", "", ""), """")"),"")</f>
        <v/>
      </c>
      <c r="L8671" s="12"/>
      <c r="M8671" s="13"/>
      <c r="N8671" s="2"/>
      <c r="O8671" s="20"/>
      <c r="P8671" s="42"/>
      <c r="R8671" s="23"/>
    </row>
    <row r="8672" spans="1:18" ht="12.75">
      <c r="A8672" s="12"/>
      <c r="D8672" s="12"/>
      <c r="E8672" s="12"/>
      <c r="H8672" s="11" t="str">
        <f ca="1">IFERROR(__xludf.DUMMYFUNCTION("IFERROR(SUBSTITUTE(SUBSTITUTE(REGEXEXTRACT(A8672, ""[^-]+- [^-]+- [^-]+ - (.+?)\.jpg""), "".jpg"", """"), ""-"", "", ""), """")"),"")</f>
        <v/>
      </c>
      <c r="L8672" s="12"/>
      <c r="M8672" s="13"/>
      <c r="N8672" s="2"/>
      <c r="O8672" s="20"/>
      <c r="P8672" s="42"/>
      <c r="R8672" s="23"/>
    </row>
    <row r="8673" spans="1:18" ht="12.75">
      <c r="A8673" s="12"/>
      <c r="D8673" s="12"/>
      <c r="E8673" s="12"/>
      <c r="H8673" s="11" t="str">
        <f ca="1">IFERROR(__xludf.DUMMYFUNCTION("IFERROR(SUBSTITUTE(SUBSTITUTE(REGEXEXTRACT(A8673, ""[^-]+- [^-]+- [^-]+ - (.+?)\.jpg""), "".jpg"", """"), ""-"", "", ""), """")"),"")</f>
        <v/>
      </c>
      <c r="L8673" s="12"/>
      <c r="M8673" s="13"/>
      <c r="N8673" s="2"/>
      <c r="O8673" s="20"/>
      <c r="P8673" s="42"/>
      <c r="R8673" s="23"/>
    </row>
    <row r="8674" spans="1:18" ht="12.75">
      <c r="A8674" s="12"/>
      <c r="D8674" s="12"/>
      <c r="E8674" s="12"/>
      <c r="H8674" s="11" t="str">
        <f ca="1">IFERROR(__xludf.DUMMYFUNCTION("IFERROR(SUBSTITUTE(SUBSTITUTE(REGEXEXTRACT(A8674, ""[^-]+- [^-]+- [^-]+ - (.+?)\.jpg""), "".jpg"", """"), ""-"", "", ""), """")"),"")</f>
        <v/>
      </c>
      <c r="L8674" s="12"/>
      <c r="M8674" s="13"/>
      <c r="N8674" s="2"/>
      <c r="O8674" s="20"/>
      <c r="P8674" s="42"/>
      <c r="R8674" s="23"/>
    </row>
    <row r="8675" spans="1:18" ht="12.75">
      <c r="A8675" s="12"/>
      <c r="D8675" s="12"/>
      <c r="E8675" s="12"/>
      <c r="H8675" s="11" t="str">
        <f ca="1">IFERROR(__xludf.DUMMYFUNCTION("IFERROR(SUBSTITUTE(SUBSTITUTE(REGEXEXTRACT(A8675, ""[^-]+- [^-]+- [^-]+ - (.+?)\.jpg""), "".jpg"", """"), ""-"", "", ""), """")"),"")</f>
        <v/>
      </c>
      <c r="L8675" s="12"/>
      <c r="M8675" s="13"/>
      <c r="N8675" s="2"/>
      <c r="O8675" s="20"/>
      <c r="P8675" s="42"/>
      <c r="R8675" s="23"/>
    </row>
    <row r="8676" spans="1:18" ht="12.75">
      <c r="A8676" s="12"/>
      <c r="D8676" s="12"/>
      <c r="E8676" s="12"/>
      <c r="H8676" s="11" t="str">
        <f ca="1">IFERROR(__xludf.DUMMYFUNCTION("IFERROR(SUBSTITUTE(SUBSTITUTE(REGEXEXTRACT(A8676, ""[^-]+- [^-]+- [^-]+ - (.+?)\.jpg""), "".jpg"", """"), ""-"", "", ""), """")"),"")</f>
        <v/>
      </c>
      <c r="L8676" s="12"/>
      <c r="M8676" s="13"/>
      <c r="N8676" s="2"/>
      <c r="O8676" s="20"/>
      <c r="P8676" s="42"/>
      <c r="R8676" s="23"/>
    </row>
    <row r="8677" spans="1:18" ht="12.75">
      <c r="A8677" s="12"/>
      <c r="D8677" s="12"/>
      <c r="E8677" s="12"/>
      <c r="H8677" s="11" t="str">
        <f ca="1">IFERROR(__xludf.DUMMYFUNCTION("IFERROR(SUBSTITUTE(SUBSTITUTE(REGEXEXTRACT(A8677, ""[^-]+- [^-]+- [^-]+ - (.+?)\.jpg""), "".jpg"", """"), ""-"", "", ""), """")"),"")</f>
        <v/>
      </c>
      <c r="L8677" s="12"/>
      <c r="M8677" s="13"/>
      <c r="N8677" s="2"/>
      <c r="O8677" s="20"/>
      <c r="P8677" s="42"/>
      <c r="R8677" s="23"/>
    </row>
    <row r="8678" spans="1:18" ht="12.75">
      <c r="A8678" s="12"/>
      <c r="D8678" s="12"/>
      <c r="E8678" s="12"/>
      <c r="H8678" s="11" t="str">
        <f ca="1">IFERROR(__xludf.DUMMYFUNCTION("IFERROR(SUBSTITUTE(SUBSTITUTE(REGEXEXTRACT(A8678, ""[^-]+- [^-]+- [^-]+ - (.+?)\.jpg""), "".jpg"", """"), ""-"", "", ""), """")"),"")</f>
        <v/>
      </c>
      <c r="L8678" s="12"/>
      <c r="M8678" s="13"/>
      <c r="N8678" s="2"/>
      <c r="O8678" s="20"/>
      <c r="P8678" s="42"/>
      <c r="R8678" s="23"/>
    </row>
    <row r="8679" spans="1:18" ht="12.75">
      <c r="A8679" s="12"/>
      <c r="D8679" s="12"/>
      <c r="E8679" s="12"/>
      <c r="H8679" s="11" t="str">
        <f ca="1">IFERROR(__xludf.DUMMYFUNCTION("IFERROR(SUBSTITUTE(SUBSTITUTE(REGEXEXTRACT(A8679, ""[^-]+- [^-]+- [^-]+ - (.+?)\.jpg""), "".jpg"", """"), ""-"", "", ""), """")"),"")</f>
        <v/>
      </c>
      <c r="L8679" s="12"/>
      <c r="M8679" s="13"/>
      <c r="N8679" s="2"/>
      <c r="O8679" s="20"/>
      <c r="P8679" s="42"/>
      <c r="R8679" s="23"/>
    </row>
    <row r="8680" spans="1:18" ht="12.75">
      <c r="A8680" s="12"/>
      <c r="D8680" s="12"/>
      <c r="E8680" s="12"/>
      <c r="H8680" s="11" t="str">
        <f ca="1">IFERROR(__xludf.DUMMYFUNCTION("IFERROR(SUBSTITUTE(SUBSTITUTE(REGEXEXTRACT(A8680, ""[^-]+- [^-]+- [^-]+ - (.+?)\.jpg""), "".jpg"", """"), ""-"", "", ""), """")"),"")</f>
        <v/>
      </c>
      <c r="L8680" s="12"/>
      <c r="M8680" s="13"/>
      <c r="N8680" s="2"/>
      <c r="O8680" s="20"/>
      <c r="P8680" s="42"/>
      <c r="R8680" s="23"/>
    </row>
    <row r="8681" spans="1:18" ht="12.75">
      <c r="A8681" s="12"/>
      <c r="D8681" s="12"/>
      <c r="E8681" s="12"/>
      <c r="H8681" s="11" t="str">
        <f ca="1">IFERROR(__xludf.DUMMYFUNCTION("IFERROR(SUBSTITUTE(SUBSTITUTE(REGEXEXTRACT(A8681, ""[^-]+- [^-]+- [^-]+ - (.+?)\.jpg""), "".jpg"", """"), ""-"", "", ""), """")"),"")</f>
        <v/>
      </c>
      <c r="L8681" s="12"/>
      <c r="M8681" s="13"/>
      <c r="N8681" s="2"/>
      <c r="O8681" s="20"/>
      <c r="P8681" s="42"/>
      <c r="R8681" s="23"/>
    </row>
    <row r="8682" spans="1:18" ht="12.75">
      <c r="A8682" s="12"/>
      <c r="D8682" s="12"/>
      <c r="E8682" s="12"/>
      <c r="H8682" s="11" t="str">
        <f ca="1">IFERROR(__xludf.DUMMYFUNCTION("IFERROR(SUBSTITUTE(SUBSTITUTE(REGEXEXTRACT(A8682, ""[^-]+- [^-]+- [^-]+ - (.+?)\.jpg""), "".jpg"", """"), ""-"", "", ""), """")"),"")</f>
        <v/>
      </c>
      <c r="L8682" s="12"/>
      <c r="M8682" s="13"/>
      <c r="N8682" s="2"/>
      <c r="O8682" s="20"/>
      <c r="P8682" s="42"/>
      <c r="R8682" s="23"/>
    </row>
    <row r="8683" spans="1:18" ht="12.75">
      <c r="A8683" s="12"/>
      <c r="D8683" s="12"/>
      <c r="E8683" s="12"/>
      <c r="H8683" s="11" t="str">
        <f ca="1">IFERROR(__xludf.DUMMYFUNCTION("IFERROR(SUBSTITUTE(SUBSTITUTE(REGEXEXTRACT(A8683, ""[^-]+- [^-]+- [^-]+ - (.+?)\.jpg""), "".jpg"", """"), ""-"", "", ""), """")"),"")</f>
        <v/>
      </c>
      <c r="L8683" s="12"/>
      <c r="M8683" s="13"/>
      <c r="N8683" s="2"/>
      <c r="O8683" s="20"/>
      <c r="P8683" s="42"/>
      <c r="R8683" s="23"/>
    </row>
    <row r="8684" spans="1:18" ht="12.75">
      <c r="A8684" s="12"/>
      <c r="D8684" s="12"/>
      <c r="E8684" s="12"/>
      <c r="H8684" s="11" t="str">
        <f ca="1">IFERROR(__xludf.DUMMYFUNCTION("IFERROR(SUBSTITUTE(SUBSTITUTE(REGEXEXTRACT(A8684, ""[^-]+- [^-]+- [^-]+ - (.+?)\.jpg""), "".jpg"", """"), ""-"", "", ""), """")"),"")</f>
        <v/>
      </c>
      <c r="L8684" s="12"/>
      <c r="M8684" s="13"/>
      <c r="N8684" s="2"/>
      <c r="O8684" s="20"/>
      <c r="P8684" s="42"/>
      <c r="R8684" s="23"/>
    </row>
    <row r="8685" spans="1:18" ht="12.75">
      <c r="A8685" s="12"/>
      <c r="D8685" s="12"/>
      <c r="E8685" s="12"/>
      <c r="H8685" s="11" t="str">
        <f ca="1">IFERROR(__xludf.DUMMYFUNCTION("IFERROR(SUBSTITUTE(SUBSTITUTE(REGEXEXTRACT(A8685, ""[^-]+- [^-]+- [^-]+ - (.+?)\.jpg""), "".jpg"", """"), ""-"", "", ""), """")"),"")</f>
        <v/>
      </c>
      <c r="L8685" s="12"/>
      <c r="M8685" s="13"/>
      <c r="N8685" s="2"/>
      <c r="O8685" s="20"/>
      <c r="P8685" s="42"/>
      <c r="R8685" s="23"/>
    </row>
    <row r="8686" spans="1:18" ht="12.75">
      <c r="A8686" s="12"/>
      <c r="D8686" s="12"/>
      <c r="E8686" s="12"/>
      <c r="H8686" s="11" t="str">
        <f ca="1">IFERROR(__xludf.DUMMYFUNCTION("IFERROR(SUBSTITUTE(SUBSTITUTE(REGEXEXTRACT(A8686, ""[^-]+- [^-]+- [^-]+ - (.+?)\.jpg""), "".jpg"", """"), ""-"", "", ""), """")"),"")</f>
        <v/>
      </c>
      <c r="L8686" s="12"/>
      <c r="M8686" s="13"/>
      <c r="N8686" s="2"/>
      <c r="O8686" s="20"/>
      <c r="P8686" s="42"/>
      <c r="R8686" s="23"/>
    </row>
    <row r="8687" spans="1:18" ht="12.75">
      <c r="A8687" s="12"/>
      <c r="D8687" s="12"/>
      <c r="E8687" s="12"/>
      <c r="H8687" s="11" t="str">
        <f ca="1">IFERROR(__xludf.DUMMYFUNCTION("IFERROR(SUBSTITUTE(SUBSTITUTE(REGEXEXTRACT(A8687, ""[^-]+- [^-]+- [^-]+ - (.+?)\.jpg""), "".jpg"", """"), ""-"", "", ""), """")"),"")</f>
        <v/>
      </c>
      <c r="L8687" s="12"/>
      <c r="M8687" s="13"/>
      <c r="N8687" s="2"/>
      <c r="O8687" s="20"/>
      <c r="P8687" s="42"/>
      <c r="R8687" s="23"/>
    </row>
    <row r="8688" spans="1:18" ht="12.75">
      <c r="A8688" s="12"/>
      <c r="D8688" s="12"/>
      <c r="E8688" s="12"/>
      <c r="H8688" s="11" t="str">
        <f ca="1">IFERROR(__xludf.DUMMYFUNCTION("IFERROR(SUBSTITUTE(SUBSTITUTE(REGEXEXTRACT(A8688, ""[^-]+- [^-]+- [^-]+ - (.+?)\.jpg""), "".jpg"", """"), ""-"", "", ""), """")"),"")</f>
        <v/>
      </c>
      <c r="L8688" s="12"/>
      <c r="M8688" s="13"/>
      <c r="N8688" s="2"/>
      <c r="O8688" s="20"/>
      <c r="P8688" s="42"/>
      <c r="R8688" s="23"/>
    </row>
    <row r="8689" spans="1:18" ht="12.75">
      <c r="A8689" s="12"/>
      <c r="D8689" s="12"/>
      <c r="E8689" s="12"/>
      <c r="H8689" s="11" t="str">
        <f ca="1">IFERROR(__xludf.DUMMYFUNCTION("IFERROR(SUBSTITUTE(SUBSTITUTE(REGEXEXTRACT(A8689, ""[^-]+- [^-]+- [^-]+ - (.+?)\.jpg""), "".jpg"", """"), ""-"", "", ""), """")"),"")</f>
        <v/>
      </c>
      <c r="L8689" s="12"/>
      <c r="M8689" s="13"/>
      <c r="N8689" s="2"/>
      <c r="O8689" s="20"/>
      <c r="P8689" s="42"/>
      <c r="R8689" s="23"/>
    </row>
    <row r="8690" spans="1:18" ht="12.75">
      <c r="A8690" s="12"/>
      <c r="D8690" s="12"/>
      <c r="E8690" s="12"/>
      <c r="H8690" s="11" t="str">
        <f ca="1">IFERROR(__xludf.DUMMYFUNCTION("IFERROR(SUBSTITUTE(SUBSTITUTE(REGEXEXTRACT(A8690, ""[^-]+- [^-]+- [^-]+ - (.+?)\.jpg""), "".jpg"", """"), ""-"", "", ""), """")"),"")</f>
        <v/>
      </c>
      <c r="L8690" s="12"/>
      <c r="M8690" s="13"/>
      <c r="N8690" s="2"/>
      <c r="O8690" s="20"/>
      <c r="P8690" s="42"/>
      <c r="R8690" s="23"/>
    </row>
    <row r="8691" spans="1:18" ht="12.75">
      <c r="A8691" s="12"/>
      <c r="D8691" s="12"/>
      <c r="E8691" s="12"/>
      <c r="H8691" s="11" t="str">
        <f ca="1">IFERROR(__xludf.DUMMYFUNCTION("IFERROR(SUBSTITUTE(SUBSTITUTE(REGEXEXTRACT(A8691, ""[^-]+- [^-]+- [^-]+ - (.+?)\.jpg""), "".jpg"", """"), ""-"", "", ""), """")"),"")</f>
        <v/>
      </c>
      <c r="L8691" s="12"/>
      <c r="M8691" s="13"/>
      <c r="N8691" s="2"/>
      <c r="O8691" s="20"/>
      <c r="P8691" s="42"/>
      <c r="R8691" s="23"/>
    </row>
    <row r="8692" spans="1:18" ht="12.75">
      <c r="A8692" s="12"/>
      <c r="D8692" s="12"/>
      <c r="E8692" s="12"/>
      <c r="H8692" s="11" t="str">
        <f ca="1">IFERROR(__xludf.DUMMYFUNCTION("IFERROR(SUBSTITUTE(SUBSTITUTE(REGEXEXTRACT(A8692, ""[^-]+- [^-]+- [^-]+ - (.+?)\.jpg""), "".jpg"", """"), ""-"", "", ""), """")"),"")</f>
        <v/>
      </c>
      <c r="L8692" s="12"/>
      <c r="M8692" s="13"/>
      <c r="N8692" s="2"/>
      <c r="O8692" s="20"/>
      <c r="P8692" s="42"/>
      <c r="R8692" s="23"/>
    </row>
    <row r="8693" spans="1:18" ht="12.75">
      <c r="A8693" s="12"/>
      <c r="D8693" s="12"/>
      <c r="E8693" s="12"/>
      <c r="H8693" s="11" t="str">
        <f ca="1">IFERROR(__xludf.DUMMYFUNCTION("IFERROR(SUBSTITUTE(SUBSTITUTE(REGEXEXTRACT(A8693, ""[^-]+- [^-]+- [^-]+ - (.+?)\.jpg""), "".jpg"", """"), ""-"", "", ""), """")"),"")</f>
        <v/>
      </c>
      <c r="L8693" s="12"/>
      <c r="M8693" s="13"/>
      <c r="N8693" s="2"/>
      <c r="O8693" s="20"/>
      <c r="P8693" s="42"/>
      <c r="R8693" s="23"/>
    </row>
    <row r="8694" spans="1:18" ht="12.75">
      <c r="A8694" s="12"/>
      <c r="D8694" s="12"/>
      <c r="E8694" s="12"/>
      <c r="H8694" s="11" t="str">
        <f ca="1">IFERROR(__xludf.DUMMYFUNCTION("IFERROR(SUBSTITUTE(SUBSTITUTE(REGEXEXTRACT(A8694, ""[^-]+- [^-]+- [^-]+ - (.+?)\.jpg""), "".jpg"", """"), ""-"", "", ""), """")"),"")</f>
        <v/>
      </c>
      <c r="L8694" s="12"/>
      <c r="M8694" s="13"/>
      <c r="N8694" s="2"/>
      <c r="O8694" s="20"/>
      <c r="P8694" s="42"/>
      <c r="R8694" s="23"/>
    </row>
    <row r="8695" spans="1:18" ht="12.75">
      <c r="A8695" s="12"/>
      <c r="D8695" s="12"/>
      <c r="E8695" s="12"/>
      <c r="H8695" s="11" t="str">
        <f ca="1">IFERROR(__xludf.DUMMYFUNCTION("IFERROR(SUBSTITUTE(SUBSTITUTE(REGEXEXTRACT(A8695, ""[^-]+- [^-]+- [^-]+ - (.+?)\.jpg""), "".jpg"", """"), ""-"", "", ""), """")"),"")</f>
        <v/>
      </c>
      <c r="L8695" s="12"/>
      <c r="M8695" s="13"/>
      <c r="N8695" s="2"/>
      <c r="O8695" s="20"/>
      <c r="P8695" s="42"/>
      <c r="R8695" s="23"/>
    </row>
    <row r="8696" spans="1:18" ht="12.75">
      <c r="A8696" s="12"/>
      <c r="D8696" s="12"/>
      <c r="E8696" s="12"/>
      <c r="H8696" s="11" t="str">
        <f ca="1">IFERROR(__xludf.DUMMYFUNCTION("IFERROR(SUBSTITUTE(SUBSTITUTE(REGEXEXTRACT(A8696, ""[^-]+- [^-]+- [^-]+ - (.+?)\.jpg""), "".jpg"", """"), ""-"", "", ""), """")"),"")</f>
        <v/>
      </c>
      <c r="L8696" s="12"/>
      <c r="M8696" s="13"/>
      <c r="N8696" s="2"/>
      <c r="O8696" s="20"/>
      <c r="P8696" s="42"/>
      <c r="R8696" s="23"/>
    </row>
    <row r="8697" spans="1:18" ht="12.75">
      <c r="A8697" s="12"/>
      <c r="D8697" s="12"/>
      <c r="E8697" s="12"/>
      <c r="H8697" s="11" t="str">
        <f ca="1">IFERROR(__xludf.DUMMYFUNCTION("IFERROR(SUBSTITUTE(SUBSTITUTE(REGEXEXTRACT(A8697, ""[^-]+- [^-]+- [^-]+ - (.+?)\.jpg""), "".jpg"", """"), ""-"", "", ""), """")"),"")</f>
        <v/>
      </c>
      <c r="L8697" s="12"/>
      <c r="M8697" s="13"/>
      <c r="N8697" s="2"/>
      <c r="O8697" s="20"/>
      <c r="P8697" s="42"/>
      <c r="R8697" s="23"/>
    </row>
    <row r="8698" spans="1:18" ht="12.75">
      <c r="A8698" s="12"/>
      <c r="D8698" s="12"/>
      <c r="E8698" s="12"/>
      <c r="H8698" s="11" t="str">
        <f ca="1">IFERROR(__xludf.DUMMYFUNCTION("IFERROR(SUBSTITUTE(SUBSTITUTE(REGEXEXTRACT(A8698, ""[^-]+- [^-]+- [^-]+ - (.+?)\.jpg""), "".jpg"", """"), ""-"", "", ""), """")"),"")</f>
        <v/>
      </c>
      <c r="L8698" s="12"/>
      <c r="M8698" s="13"/>
      <c r="N8698" s="2"/>
      <c r="O8698" s="20"/>
      <c r="P8698" s="42"/>
      <c r="R8698" s="23"/>
    </row>
    <row r="8699" spans="1:18" ht="12.75">
      <c r="A8699" s="12"/>
      <c r="D8699" s="12"/>
      <c r="E8699" s="12"/>
      <c r="H8699" s="11" t="str">
        <f ca="1">IFERROR(__xludf.DUMMYFUNCTION("IFERROR(SUBSTITUTE(SUBSTITUTE(REGEXEXTRACT(A8699, ""[^-]+- [^-]+- [^-]+ - (.+?)\.jpg""), "".jpg"", """"), ""-"", "", ""), """")"),"")</f>
        <v/>
      </c>
      <c r="L8699" s="12"/>
      <c r="M8699" s="13"/>
      <c r="N8699" s="2"/>
      <c r="O8699" s="20"/>
      <c r="P8699" s="42"/>
      <c r="R8699" s="23"/>
    </row>
    <row r="8700" spans="1:18" ht="12.75">
      <c r="A8700" s="12"/>
      <c r="D8700" s="12"/>
      <c r="E8700" s="12"/>
      <c r="H8700" s="11" t="str">
        <f ca="1">IFERROR(__xludf.DUMMYFUNCTION("IFERROR(SUBSTITUTE(SUBSTITUTE(REGEXEXTRACT(A8700, ""[^-]+- [^-]+- [^-]+ - (.+?)\.jpg""), "".jpg"", """"), ""-"", "", ""), """")"),"")</f>
        <v/>
      </c>
      <c r="L8700" s="12"/>
      <c r="M8700" s="13"/>
      <c r="N8700" s="2"/>
      <c r="O8700" s="20"/>
      <c r="P8700" s="42"/>
      <c r="R8700" s="23"/>
    </row>
    <row r="8701" spans="1:18" ht="12.75">
      <c r="A8701" s="12"/>
      <c r="D8701" s="12"/>
      <c r="E8701" s="12"/>
      <c r="H8701" s="11" t="str">
        <f ca="1">IFERROR(__xludf.DUMMYFUNCTION("IFERROR(SUBSTITUTE(SUBSTITUTE(REGEXEXTRACT(A8701, ""[^-]+- [^-]+- [^-]+ - (.+?)\.jpg""), "".jpg"", """"), ""-"", "", ""), """")"),"")</f>
        <v/>
      </c>
      <c r="L8701" s="12"/>
      <c r="M8701" s="13"/>
      <c r="N8701" s="2"/>
      <c r="O8701" s="20"/>
      <c r="P8701" s="42"/>
      <c r="R8701" s="23"/>
    </row>
    <row r="8702" spans="1:18" ht="12.75">
      <c r="A8702" s="12"/>
      <c r="D8702" s="12"/>
      <c r="E8702" s="12"/>
      <c r="H8702" s="11" t="str">
        <f ca="1">IFERROR(__xludf.DUMMYFUNCTION("IFERROR(SUBSTITUTE(SUBSTITUTE(REGEXEXTRACT(A8702, ""[^-]+- [^-]+- [^-]+ - (.+?)\.jpg""), "".jpg"", """"), ""-"", "", ""), """")"),"")</f>
        <v/>
      </c>
      <c r="L8702" s="12"/>
      <c r="M8702" s="13"/>
      <c r="N8702" s="2"/>
      <c r="O8702" s="20"/>
      <c r="P8702" s="42"/>
      <c r="R8702" s="23"/>
    </row>
    <row r="8703" spans="1:18" ht="12.75">
      <c r="A8703" s="12"/>
      <c r="D8703" s="12"/>
      <c r="E8703" s="12"/>
      <c r="H8703" s="11" t="str">
        <f ca="1">IFERROR(__xludf.DUMMYFUNCTION("IFERROR(SUBSTITUTE(SUBSTITUTE(REGEXEXTRACT(A8703, ""[^-]+- [^-]+- [^-]+ - (.+?)\.jpg""), "".jpg"", """"), ""-"", "", ""), """")"),"")</f>
        <v/>
      </c>
      <c r="L8703" s="12"/>
      <c r="M8703" s="13"/>
      <c r="N8703" s="2"/>
      <c r="O8703" s="20"/>
      <c r="P8703" s="42"/>
      <c r="R8703" s="23"/>
    </row>
    <row r="8704" spans="1:18" ht="12.75">
      <c r="A8704" s="12"/>
      <c r="D8704" s="12"/>
      <c r="E8704" s="12"/>
      <c r="H8704" s="11" t="str">
        <f ca="1">IFERROR(__xludf.DUMMYFUNCTION("IFERROR(SUBSTITUTE(SUBSTITUTE(REGEXEXTRACT(A8704, ""[^-]+- [^-]+- [^-]+ - (.+?)\.jpg""), "".jpg"", """"), ""-"", "", ""), """")"),"")</f>
        <v/>
      </c>
      <c r="L8704" s="12"/>
      <c r="M8704" s="13"/>
      <c r="N8704" s="2"/>
      <c r="O8704" s="20"/>
      <c r="P8704" s="42"/>
      <c r="R8704" s="23"/>
    </row>
    <row r="8705" spans="1:18" ht="12.75">
      <c r="A8705" s="12"/>
      <c r="D8705" s="12"/>
      <c r="E8705" s="12"/>
      <c r="H8705" s="11" t="str">
        <f ca="1">IFERROR(__xludf.DUMMYFUNCTION("IFERROR(SUBSTITUTE(SUBSTITUTE(REGEXEXTRACT(A8705, ""[^-]+- [^-]+- [^-]+ - (.+?)\.jpg""), "".jpg"", """"), ""-"", "", ""), """")"),"")</f>
        <v/>
      </c>
      <c r="L8705" s="12"/>
      <c r="M8705" s="13"/>
      <c r="N8705" s="2"/>
      <c r="O8705" s="20"/>
      <c r="P8705" s="42"/>
      <c r="R8705" s="23"/>
    </row>
    <row r="8706" spans="1:18" ht="12.75">
      <c r="A8706" s="12"/>
      <c r="D8706" s="12"/>
      <c r="E8706" s="12"/>
      <c r="H8706" s="11" t="str">
        <f ca="1">IFERROR(__xludf.DUMMYFUNCTION("IFERROR(SUBSTITUTE(SUBSTITUTE(REGEXEXTRACT(A8706, ""[^-]+- [^-]+- [^-]+ - (.+?)\.jpg""), "".jpg"", """"), ""-"", "", ""), """")"),"")</f>
        <v/>
      </c>
      <c r="L8706" s="12"/>
      <c r="M8706" s="13"/>
      <c r="N8706" s="2"/>
      <c r="O8706" s="20"/>
      <c r="P8706" s="42"/>
      <c r="R8706" s="23"/>
    </row>
    <row r="8707" spans="1:18" ht="12.75">
      <c r="A8707" s="12"/>
      <c r="D8707" s="12"/>
      <c r="E8707" s="12"/>
      <c r="H8707" s="11" t="str">
        <f ca="1">IFERROR(__xludf.DUMMYFUNCTION("IFERROR(SUBSTITUTE(SUBSTITUTE(REGEXEXTRACT(A8707, ""[^-]+- [^-]+- [^-]+ - (.+?)\.jpg""), "".jpg"", """"), ""-"", "", ""), """")"),"")</f>
        <v/>
      </c>
      <c r="L8707" s="12"/>
      <c r="M8707" s="13"/>
      <c r="N8707" s="2"/>
      <c r="O8707" s="20"/>
      <c r="P8707" s="42"/>
      <c r="R8707" s="23"/>
    </row>
    <row r="8708" spans="1:18" ht="12.75">
      <c r="A8708" s="12"/>
      <c r="D8708" s="12"/>
      <c r="E8708" s="12"/>
      <c r="H8708" s="11" t="str">
        <f ca="1">IFERROR(__xludf.DUMMYFUNCTION("IFERROR(SUBSTITUTE(SUBSTITUTE(REGEXEXTRACT(A8708, ""[^-]+- [^-]+- [^-]+ - (.+?)\.jpg""), "".jpg"", """"), ""-"", "", ""), """")"),"")</f>
        <v/>
      </c>
      <c r="L8708" s="12"/>
      <c r="M8708" s="13"/>
      <c r="N8708" s="2"/>
      <c r="O8708" s="20"/>
      <c r="P8708" s="42"/>
      <c r="R8708" s="23"/>
    </row>
    <row r="8709" spans="1:18" ht="12.75">
      <c r="A8709" s="12"/>
      <c r="D8709" s="12"/>
      <c r="E8709" s="12"/>
      <c r="H8709" s="11" t="str">
        <f ca="1">IFERROR(__xludf.DUMMYFUNCTION("IFERROR(SUBSTITUTE(SUBSTITUTE(REGEXEXTRACT(A8709, ""[^-]+- [^-]+- [^-]+ - (.+?)\.jpg""), "".jpg"", """"), ""-"", "", ""), """")"),"")</f>
        <v/>
      </c>
      <c r="L8709" s="12"/>
      <c r="M8709" s="13"/>
      <c r="N8709" s="2"/>
      <c r="O8709" s="20"/>
      <c r="P8709" s="42"/>
      <c r="R8709" s="23"/>
    </row>
    <row r="8710" spans="1:18" ht="12.75">
      <c r="A8710" s="12"/>
      <c r="D8710" s="12"/>
      <c r="E8710" s="12"/>
      <c r="H8710" s="11" t="str">
        <f ca="1">IFERROR(__xludf.DUMMYFUNCTION("IFERROR(SUBSTITUTE(SUBSTITUTE(REGEXEXTRACT(A8710, ""[^-]+- [^-]+- [^-]+ - (.+?)\.jpg""), "".jpg"", """"), ""-"", "", ""), """")"),"")</f>
        <v/>
      </c>
      <c r="L8710" s="12"/>
      <c r="M8710" s="13"/>
      <c r="N8710" s="2"/>
      <c r="O8710" s="20"/>
      <c r="P8710" s="42"/>
      <c r="R8710" s="23"/>
    </row>
    <row r="8711" spans="1:18" ht="12.75">
      <c r="A8711" s="12"/>
      <c r="D8711" s="12"/>
      <c r="E8711" s="12"/>
      <c r="H8711" s="11" t="str">
        <f ca="1">IFERROR(__xludf.DUMMYFUNCTION("IFERROR(SUBSTITUTE(SUBSTITUTE(REGEXEXTRACT(A8711, ""[^-]+- [^-]+- [^-]+ - (.+?)\.jpg""), "".jpg"", """"), ""-"", "", ""), """")"),"")</f>
        <v/>
      </c>
      <c r="L8711" s="12"/>
      <c r="M8711" s="13"/>
      <c r="N8711" s="2"/>
      <c r="O8711" s="20"/>
      <c r="P8711" s="42"/>
      <c r="R8711" s="23"/>
    </row>
    <row r="8712" spans="1:18" ht="12.75">
      <c r="A8712" s="12"/>
      <c r="D8712" s="12"/>
      <c r="E8712" s="12"/>
      <c r="H8712" s="11" t="str">
        <f ca="1">IFERROR(__xludf.DUMMYFUNCTION("IFERROR(SUBSTITUTE(SUBSTITUTE(REGEXEXTRACT(A8712, ""[^-]+- [^-]+- [^-]+ - (.+?)\.jpg""), "".jpg"", """"), ""-"", "", ""), """")"),"")</f>
        <v/>
      </c>
      <c r="L8712" s="12"/>
      <c r="M8712" s="13"/>
      <c r="N8712" s="2"/>
      <c r="O8712" s="20"/>
      <c r="P8712" s="42"/>
      <c r="R8712" s="23"/>
    </row>
    <row r="8713" spans="1:18" ht="12.75">
      <c r="A8713" s="12"/>
      <c r="D8713" s="12"/>
      <c r="E8713" s="12"/>
      <c r="H8713" s="11" t="str">
        <f ca="1">IFERROR(__xludf.DUMMYFUNCTION("IFERROR(SUBSTITUTE(SUBSTITUTE(REGEXEXTRACT(A8713, ""[^-]+- [^-]+- [^-]+ - (.+?)\.jpg""), "".jpg"", """"), ""-"", "", ""), """")"),"")</f>
        <v/>
      </c>
      <c r="L8713" s="12"/>
      <c r="M8713" s="13"/>
      <c r="N8713" s="2"/>
      <c r="O8713" s="20"/>
      <c r="P8713" s="42"/>
      <c r="R8713" s="23"/>
    </row>
    <row r="8714" spans="1:18" ht="12.75">
      <c r="A8714" s="12"/>
      <c r="D8714" s="12"/>
      <c r="E8714" s="12"/>
      <c r="H8714" s="11" t="str">
        <f ca="1">IFERROR(__xludf.DUMMYFUNCTION("IFERROR(SUBSTITUTE(SUBSTITUTE(REGEXEXTRACT(A8714, ""[^-]+- [^-]+- [^-]+ - (.+?)\.jpg""), "".jpg"", """"), ""-"", "", ""), """")"),"")</f>
        <v/>
      </c>
      <c r="L8714" s="12"/>
      <c r="M8714" s="13"/>
      <c r="N8714" s="2"/>
      <c r="O8714" s="20"/>
      <c r="P8714" s="42"/>
      <c r="R8714" s="23"/>
    </row>
    <row r="8715" spans="1:18" ht="12.75">
      <c r="A8715" s="12"/>
      <c r="D8715" s="12"/>
      <c r="E8715" s="12"/>
      <c r="H8715" s="11" t="str">
        <f ca="1">IFERROR(__xludf.DUMMYFUNCTION("IFERROR(SUBSTITUTE(SUBSTITUTE(REGEXEXTRACT(A8715, ""[^-]+- [^-]+- [^-]+ - (.+?)\.jpg""), "".jpg"", """"), ""-"", "", ""), """")"),"")</f>
        <v/>
      </c>
      <c r="L8715" s="12"/>
      <c r="M8715" s="13"/>
      <c r="N8715" s="2"/>
      <c r="O8715" s="20"/>
      <c r="P8715" s="42"/>
      <c r="R8715" s="23"/>
    </row>
    <row r="8716" spans="1:18" ht="12.75">
      <c r="A8716" s="12"/>
      <c r="D8716" s="12"/>
      <c r="E8716" s="12"/>
      <c r="H8716" s="11" t="str">
        <f ca="1">IFERROR(__xludf.DUMMYFUNCTION("IFERROR(SUBSTITUTE(SUBSTITUTE(REGEXEXTRACT(A8716, ""[^-]+- [^-]+- [^-]+ - (.+?)\.jpg""), "".jpg"", """"), ""-"", "", ""), """")"),"")</f>
        <v/>
      </c>
      <c r="L8716" s="12"/>
      <c r="M8716" s="13"/>
      <c r="N8716" s="2"/>
      <c r="O8716" s="20"/>
      <c r="P8716" s="42"/>
      <c r="R8716" s="23"/>
    </row>
    <row r="8717" spans="1:18" ht="12.75">
      <c r="A8717" s="12"/>
      <c r="D8717" s="12"/>
      <c r="E8717" s="12"/>
      <c r="H8717" s="11" t="str">
        <f ca="1">IFERROR(__xludf.DUMMYFUNCTION("IFERROR(SUBSTITUTE(SUBSTITUTE(REGEXEXTRACT(A8717, ""[^-]+- [^-]+- [^-]+ - (.+?)\.jpg""), "".jpg"", """"), ""-"", "", ""), """")"),"")</f>
        <v/>
      </c>
      <c r="L8717" s="12"/>
      <c r="M8717" s="13"/>
      <c r="N8717" s="2"/>
      <c r="O8717" s="20"/>
      <c r="P8717" s="42"/>
      <c r="R8717" s="23"/>
    </row>
    <row r="8718" spans="1:18" ht="12.75">
      <c r="A8718" s="12"/>
      <c r="D8718" s="12"/>
      <c r="E8718" s="12"/>
      <c r="H8718" s="11" t="str">
        <f ca="1">IFERROR(__xludf.DUMMYFUNCTION("IFERROR(SUBSTITUTE(SUBSTITUTE(REGEXEXTRACT(A8718, ""[^-]+- [^-]+- [^-]+ - (.+?)\.jpg""), "".jpg"", """"), ""-"", "", ""), """")"),"")</f>
        <v/>
      </c>
      <c r="L8718" s="12"/>
      <c r="M8718" s="13"/>
      <c r="N8718" s="2"/>
      <c r="O8718" s="20"/>
      <c r="P8718" s="42"/>
      <c r="R8718" s="23"/>
    </row>
    <row r="8719" spans="1:18" ht="12.75">
      <c r="A8719" s="12"/>
      <c r="D8719" s="12"/>
      <c r="E8719" s="12"/>
      <c r="H8719" s="11" t="str">
        <f ca="1">IFERROR(__xludf.DUMMYFUNCTION("IFERROR(SUBSTITUTE(SUBSTITUTE(REGEXEXTRACT(A8719, ""[^-]+- [^-]+- [^-]+ - (.+?)\.jpg""), "".jpg"", """"), ""-"", "", ""), """")"),"")</f>
        <v/>
      </c>
      <c r="L8719" s="12"/>
      <c r="M8719" s="13"/>
      <c r="N8719" s="2"/>
      <c r="O8719" s="20"/>
      <c r="P8719" s="42"/>
      <c r="R8719" s="23"/>
    </row>
    <row r="8720" spans="1:18" ht="12.75">
      <c r="A8720" s="12"/>
      <c r="D8720" s="12"/>
      <c r="E8720" s="12"/>
      <c r="H8720" s="11" t="str">
        <f ca="1">IFERROR(__xludf.DUMMYFUNCTION("IFERROR(SUBSTITUTE(SUBSTITUTE(REGEXEXTRACT(A8720, ""[^-]+- [^-]+- [^-]+ - (.+?)\.jpg""), "".jpg"", """"), ""-"", "", ""), """")"),"")</f>
        <v/>
      </c>
      <c r="L8720" s="12"/>
      <c r="M8720" s="13"/>
      <c r="N8720" s="2"/>
      <c r="O8720" s="20"/>
      <c r="P8720" s="42"/>
      <c r="R8720" s="23"/>
    </row>
    <row r="8721" spans="1:18" ht="12.75">
      <c r="A8721" s="12"/>
      <c r="D8721" s="12"/>
      <c r="E8721" s="12"/>
      <c r="H8721" s="11" t="str">
        <f ca="1">IFERROR(__xludf.DUMMYFUNCTION("IFERROR(SUBSTITUTE(SUBSTITUTE(REGEXEXTRACT(A8721, ""[^-]+- [^-]+- [^-]+ - (.+?)\.jpg""), "".jpg"", """"), ""-"", "", ""), """")"),"")</f>
        <v/>
      </c>
      <c r="L8721" s="12"/>
      <c r="M8721" s="13"/>
      <c r="N8721" s="2"/>
      <c r="O8721" s="20"/>
      <c r="P8721" s="42"/>
      <c r="R8721" s="23"/>
    </row>
    <row r="8722" spans="1:18" ht="12.75">
      <c r="A8722" s="12"/>
      <c r="D8722" s="12"/>
      <c r="E8722" s="12"/>
      <c r="H8722" s="11" t="str">
        <f ca="1">IFERROR(__xludf.DUMMYFUNCTION("IFERROR(SUBSTITUTE(SUBSTITUTE(REGEXEXTRACT(A8722, ""[^-]+- [^-]+- [^-]+ - (.+?)\.jpg""), "".jpg"", """"), ""-"", "", ""), """")"),"")</f>
        <v/>
      </c>
      <c r="L8722" s="12"/>
      <c r="M8722" s="13"/>
      <c r="N8722" s="2"/>
      <c r="O8722" s="20"/>
      <c r="P8722" s="42"/>
      <c r="R8722" s="23"/>
    </row>
    <row r="8723" spans="1:18" ht="12.75">
      <c r="A8723" s="12"/>
      <c r="D8723" s="12"/>
      <c r="E8723" s="12"/>
      <c r="H8723" s="11" t="str">
        <f ca="1">IFERROR(__xludf.DUMMYFUNCTION("IFERROR(SUBSTITUTE(SUBSTITUTE(REGEXEXTRACT(A8723, ""[^-]+- [^-]+- [^-]+ - (.+?)\.jpg""), "".jpg"", """"), ""-"", "", ""), """")"),"")</f>
        <v/>
      </c>
      <c r="L8723" s="12"/>
      <c r="M8723" s="13"/>
      <c r="N8723" s="2"/>
      <c r="O8723" s="20"/>
      <c r="P8723" s="42"/>
      <c r="R8723" s="23"/>
    </row>
    <row r="8724" spans="1:18" ht="12.75">
      <c r="A8724" s="12"/>
      <c r="D8724" s="12"/>
      <c r="E8724" s="12"/>
      <c r="H8724" s="11" t="str">
        <f ca="1">IFERROR(__xludf.DUMMYFUNCTION("IFERROR(SUBSTITUTE(SUBSTITUTE(REGEXEXTRACT(A8724, ""[^-]+- [^-]+- [^-]+ - (.+?)\.jpg""), "".jpg"", """"), ""-"", "", ""), """")"),"")</f>
        <v/>
      </c>
      <c r="L8724" s="12"/>
      <c r="M8724" s="13"/>
      <c r="N8724" s="2"/>
      <c r="O8724" s="20"/>
      <c r="P8724" s="42"/>
      <c r="R8724" s="23"/>
    </row>
    <row r="8725" spans="1:18" ht="12.75">
      <c r="A8725" s="12"/>
      <c r="D8725" s="12"/>
      <c r="E8725" s="12"/>
      <c r="H8725" s="11" t="str">
        <f ca="1">IFERROR(__xludf.DUMMYFUNCTION("IFERROR(SUBSTITUTE(SUBSTITUTE(REGEXEXTRACT(A8725, ""[^-]+- [^-]+- [^-]+ - (.+?)\.jpg""), "".jpg"", """"), ""-"", "", ""), """")"),"")</f>
        <v/>
      </c>
      <c r="L8725" s="12"/>
      <c r="M8725" s="13"/>
      <c r="N8725" s="2"/>
      <c r="O8725" s="20"/>
      <c r="P8725" s="42"/>
      <c r="R8725" s="23"/>
    </row>
    <row r="8726" spans="1:18" ht="12.75">
      <c r="A8726" s="12"/>
      <c r="D8726" s="12"/>
      <c r="E8726" s="12"/>
      <c r="H8726" s="11" t="str">
        <f ca="1">IFERROR(__xludf.DUMMYFUNCTION("IFERROR(SUBSTITUTE(SUBSTITUTE(REGEXEXTRACT(A8726, ""[^-]+- [^-]+- [^-]+ - (.+?)\.jpg""), "".jpg"", """"), ""-"", "", ""), """")"),"")</f>
        <v/>
      </c>
      <c r="L8726" s="12"/>
      <c r="M8726" s="13"/>
      <c r="N8726" s="2"/>
      <c r="O8726" s="20"/>
      <c r="P8726" s="42"/>
      <c r="R8726" s="23"/>
    </row>
    <row r="8727" spans="1:18" ht="12.75">
      <c r="A8727" s="12"/>
      <c r="D8727" s="12"/>
      <c r="E8727" s="12"/>
      <c r="H8727" s="11" t="str">
        <f ca="1">IFERROR(__xludf.DUMMYFUNCTION("IFERROR(SUBSTITUTE(SUBSTITUTE(REGEXEXTRACT(A8727, ""[^-]+- [^-]+- [^-]+ - (.+?)\.jpg""), "".jpg"", """"), ""-"", "", ""), """")"),"")</f>
        <v/>
      </c>
      <c r="L8727" s="12"/>
      <c r="M8727" s="13"/>
      <c r="N8727" s="2"/>
      <c r="O8727" s="20"/>
      <c r="P8727" s="42"/>
      <c r="R8727" s="23"/>
    </row>
    <row r="8728" spans="1:18" ht="12.75">
      <c r="A8728" s="12"/>
      <c r="D8728" s="12"/>
      <c r="E8728" s="12"/>
      <c r="H8728" s="11" t="str">
        <f ca="1">IFERROR(__xludf.DUMMYFUNCTION("IFERROR(SUBSTITUTE(SUBSTITUTE(REGEXEXTRACT(A8728, ""[^-]+- [^-]+- [^-]+ - (.+?)\.jpg""), "".jpg"", """"), ""-"", "", ""), """")"),"")</f>
        <v/>
      </c>
      <c r="L8728" s="12"/>
      <c r="M8728" s="13"/>
      <c r="N8728" s="2"/>
      <c r="O8728" s="20"/>
      <c r="P8728" s="42"/>
      <c r="R8728" s="23"/>
    </row>
    <row r="8729" spans="1:18" ht="12.75">
      <c r="A8729" s="12"/>
      <c r="D8729" s="12"/>
      <c r="E8729" s="12"/>
      <c r="H8729" s="11" t="str">
        <f ca="1">IFERROR(__xludf.DUMMYFUNCTION("IFERROR(SUBSTITUTE(SUBSTITUTE(REGEXEXTRACT(A8729, ""[^-]+- [^-]+- [^-]+ - (.+?)\.jpg""), "".jpg"", """"), ""-"", "", ""), """")"),"")</f>
        <v/>
      </c>
      <c r="L8729" s="12"/>
      <c r="M8729" s="13"/>
      <c r="N8729" s="2"/>
      <c r="O8729" s="20"/>
      <c r="P8729" s="42"/>
      <c r="R8729" s="23"/>
    </row>
    <row r="8730" spans="1:18" ht="12.75">
      <c r="A8730" s="12"/>
      <c r="D8730" s="12"/>
      <c r="E8730" s="12"/>
      <c r="H8730" s="11" t="str">
        <f ca="1">IFERROR(__xludf.DUMMYFUNCTION("IFERROR(SUBSTITUTE(SUBSTITUTE(REGEXEXTRACT(A8730, ""[^-]+- [^-]+- [^-]+ - (.+?)\.jpg""), "".jpg"", """"), ""-"", "", ""), """")"),"")</f>
        <v/>
      </c>
      <c r="L8730" s="12"/>
      <c r="M8730" s="13"/>
      <c r="N8730" s="2"/>
      <c r="O8730" s="20"/>
      <c r="P8730" s="42"/>
      <c r="R8730" s="23"/>
    </row>
    <row r="8731" spans="1:18" ht="12.75">
      <c r="A8731" s="12"/>
      <c r="D8731" s="12"/>
      <c r="E8731" s="12"/>
      <c r="H8731" s="11" t="str">
        <f ca="1">IFERROR(__xludf.DUMMYFUNCTION("IFERROR(SUBSTITUTE(SUBSTITUTE(REGEXEXTRACT(A8731, ""[^-]+- [^-]+- [^-]+ - (.+?)\.jpg""), "".jpg"", """"), ""-"", "", ""), """")"),"")</f>
        <v/>
      </c>
      <c r="L8731" s="12"/>
      <c r="M8731" s="13"/>
      <c r="N8731" s="2"/>
      <c r="O8731" s="20"/>
      <c r="P8731" s="42"/>
      <c r="R8731" s="23"/>
    </row>
    <row r="8732" spans="1:18" ht="12.75">
      <c r="A8732" s="12"/>
      <c r="D8732" s="12"/>
      <c r="E8732" s="12"/>
      <c r="H8732" s="11" t="str">
        <f ca="1">IFERROR(__xludf.DUMMYFUNCTION("IFERROR(SUBSTITUTE(SUBSTITUTE(REGEXEXTRACT(A8732, ""[^-]+- [^-]+- [^-]+ - (.+?)\.jpg""), "".jpg"", """"), ""-"", "", ""), """")"),"")</f>
        <v/>
      </c>
      <c r="L8732" s="12"/>
      <c r="M8732" s="13"/>
      <c r="N8732" s="2"/>
      <c r="O8732" s="20"/>
      <c r="P8732" s="42"/>
      <c r="R8732" s="23"/>
    </row>
    <row r="8733" spans="1:18" ht="12.75">
      <c r="A8733" s="12"/>
      <c r="D8733" s="12"/>
      <c r="E8733" s="12"/>
      <c r="H8733" s="11" t="str">
        <f ca="1">IFERROR(__xludf.DUMMYFUNCTION("IFERROR(SUBSTITUTE(SUBSTITUTE(REGEXEXTRACT(A8733, ""[^-]+- [^-]+- [^-]+ - (.+?)\.jpg""), "".jpg"", """"), ""-"", "", ""), """")"),"")</f>
        <v/>
      </c>
      <c r="L8733" s="12"/>
      <c r="M8733" s="13"/>
      <c r="N8733" s="2"/>
      <c r="O8733" s="20"/>
      <c r="P8733" s="42"/>
      <c r="R8733" s="23"/>
    </row>
    <row r="8734" spans="1:18" ht="12.75">
      <c r="A8734" s="12"/>
      <c r="D8734" s="12"/>
      <c r="E8734" s="12"/>
      <c r="H8734" s="11" t="str">
        <f ca="1">IFERROR(__xludf.DUMMYFUNCTION("IFERROR(SUBSTITUTE(SUBSTITUTE(REGEXEXTRACT(A8734, ""[^-]+- [^-]+- [^-]+ - (.+?)\.jpg""), "".jpg"", """"), ""-"", "", ""), """")"),"")</f>
        <v/>
      </c>
      <c r="L8734" s="12"/>
      <c r="M8734" s="13"/>
      <c r="N8734" s="2"/>
      <c r="O8734" s="20"/>
      <c r="P8734" s="42"/>
      <c r="R8734" s="23"/>
    </row>
    <row r="8735" spans="1:18" ht="12.75">
      <c r="A8735" s="12"/>
      <c r="D8735" s="12"/>
      <c r="E8735" s="12"/>
      <c r="H8735" s="11" t="str">
        <f ca="1">IFERROR(__xludf.DUMMYFUNCTION("IFERROR(SUBSTITUTE(SUBSTITUTE(REGEXEXTRACT(A8735, ""[^-]+- [^-]+- [^-]+ - (.+?)\.jpg""), "".jpg"", """"), ""-"", "", ""), """")"),"")</f>
        <v/>
      </c>
      <c r="L8735" s="12"/>
      <c r="M8735" s="13"/>
      <c r="N8735" s="2"/>
      <c r="O8735" s="20"/>
      <c r="P8735" s="42"/>
      <c r="R8735" s="23"/>
    </row>
    <row r="8736" spans="1:18" ht="12.75">
      <c r="A8736" s="12"/>
      <c r="D8736" s="12"/>
      <c r="E8736" s="12"/>
      <c r="H8736" s="11" t="str">
        <f ca="1">IFERROR(__xludf.DUMMYFUNCTION("IFERROR(SUBSTITUTE(SUBSTITUTE(REGEXEXTRACT(A8736, ""[^-]+- [^-]+- [^-]+ - (.+?)\.jpg""), "".jpg"", """"), ""-"", "", ""), """")"),"")</f>
        <v/>
      </c>
      <c r="L8736" s="12"/>
      <c r="M8736" s="13"/>
      <c r="N8736" s="2"/>
      <c r="O8736" s="20"/>
      <c r="P8736" s="42"/>
      <c r="R8736" s="23"/>
    </row>
    <row r="8737" spans="1:18" ht="12.75">
      <c r="A8737" s="12"/>
      <c r="D8737" s="12"/>
      <c r="E8737" s="12"/>
      <c r="H8737" s="11" t="str">
        <f ca="1">IFERROR(__xludf.DUMMYFUNCTION("IFERROR(SUBSTITUTE(SUBSTITUTE(REGEXEXTRACT(A8737, ""[^-]+- [^-]+- [^-]+ - (.+?)\.jpg""), "".jpg"", """"), ""-"", "", ""), """")"),"")</f>
        <v/>
      </c>
      <c r="L8737" s="12"/>
      <c r="M8737" s="13"/>
      <c r="N8737" s="2"/>
      <c r="O8737" s="20"/>
      <c r="P8737" s="42"/>
      <c r="R8737" s="23"/>
    </row>
    <row r="8738" spans="1:18" ht="12.75">
      <c r="A8738" s="12"/>
      <c r="D8738" s="12"/>
      <c r="E8738" s="12"/>
      <c r="H8738" s="11" t="str">
        <f ca="1">IFERROR(__xludf.DUMMYFUNCTION("IFERROR(SUBSTITUTE(SUBSTITUTE(REGEXEXTRACT(A8738, ""[^-]+- [^-]+- [^-]+ - (.+?)\.jpg""), "".jpg"", """"), ""-"", "", ""), """")"),"")</f>
        <v/>
      </c>
      <c r="L8738" s="12"/>
      <c r="M8738" s="13"/>
      <c r="N8738" s="2"/>
      <c r="O8738" s="20"/>
      <c r="P8738" s="42"/>
      <c r="R8738" s="23"/>
    </row>
    <row r="8739" spans="1:18" ht="12.75">
      <c r="A8739" s="12"/>
      <c r="D8739" s="12"/>
      <c r="E8739" s="12"/>
      <c r="H8739" s="11" t="str">
        <f ca="1">IFERROR(__xludf.DUMMYFUNCTION("IFERROR(SUBSTITUTE(SUBSTITUTE(REGEXEXTRACT(A8739, ""[^-]+- [^-]+- [^-]+ - (.+?)\.jpg""), "".jpg"", """"), ""-"", "", ""), """")"),"")</f>
        <v/>
      </c>
      <c r="L8739" s="12"/>
      <c r="M8739" s="13"/>
      <c r="N8739" s="2"/>
      <c r="O8739" s="20"/>
      <c r="P8739" s="42"/>
      <c r="R8739" s="23"/>
    </row>
    <row r="8740" spans="1:18" ht="12.75">
      <c r="A8740" s="12"/>
      <c r="D8740" s="12"/>
      <c r="E8740" s="12"/>
      <c r="H8740" s="11" t="str">
        <f ca="1">IFERROR(__xludf.DUMMYFUNCTION("IFERROR(SUBSTITUTE(SUBSTITUTE(REGEXEXTRACT(A8740, ""[^-]+- [^-]+- [^-]+ - (.+?)\.jpg""), "".jpg"", """"), ""-"", "", ""), """")"),"")</f>
        <v/>
      </c>
      <c r="L8740" s="12"/>
      <c r="M8740" s="13"/>
      <c r="N8740" s="2"/>
      <c r="O8740" s="20"/>
      <c r="P8740" s="42"/>
      <c r="R8740" s="23"/>
    </row>
    <row r="8741" spans="1:18" ht="12.75">
      <c r="A8741" s="12"/>
      <c r="D8741" s="12"/>
      <c r="E8741" s="12"/>
      <c r="H8741" s="11" t="str">
        <f ca="1">IFERROR(__xludf.DUMMYFUNCTION("IFERROR(SUBSTITUTE(SUBSTITUTE(REGEXEXTRACT(A8741, ""[^-]+- [^-]+- [^-]+ - (.+?)\.jpg""), "".jpg"", """"), ""-"", "", ""), """")"),"")</f>
        <v/>
      </c>
      <c r="L8741" s="12"/>
      <c r="M8741" s="13"/>
      <c r="N8741" s="2"/>
      <c r="O8741" s="20"/>
      <c r="P8741" s="42"/>
      <c r="R8741" s="23"/>
    </row>
    <row r="8742" spans="1:18" ht="12.75">
      <c r="A8742" s="12"/>
      <c r="D8742" s="12"/>
      <c r="E8742" s="12"/>
      <c r="H8742" s="11" t="str">
        <f ca="1">IFERROR(__xludf.DUMMYFUNCTION("IFERROR(SUBSTITUTE(SUBSTITUTE(REGEXEXTRACT(A8742, ""[^-]+- [^-]+- [^-]+ - (.+?)\.jpg""), "".jpg"", """"), ""-"", "", ""), """")"),"")</f>
        <v/>
      </c>
      <c r="L8742" s="12"/>
      <c r="M8742" s="13"/>
      <c r="N8742" s="2"/>
      <c r="O8742" s="20"/>
      <c r="P8742" s="42"/>
      <c r="R8742" s="23"/>
    </row>
    <row r="8743" spans="1:18" ht="12.75">
      <c r="A8743" s="12"/>
      <c r="D8743" s="12"/>
      <c r="E8743" s="12"/>
      <c r="H8743" s="11" t="str">
        <f ca="1">IFERROR(__xludf.DUMMYFUNCTION("IFERROR(SUBSTITUTE(SUBSTITUTE(REGEXEXTRACT(A8743, ""[^-]+- [^-]+- [^-]+ - (.+?)\.jpg""), "".jpg"", """"), ""-"", "", ""), """")"),"")</f>
        <v/>
      </c>
      <c r="L8743" s="12"/>
      <c r="M8743" s="13"/>
      <c r="N8743" s="2"/>
      <c r="O8743" s="20"/>
      <c r="P8743" s="42"/>
      <c r="R8743" s="23"/>
    </row>
    <row r="8744" spans="1:18" ht="12.75">
      <c r="A8744" s="12"/>
      <c r="D8744" s="12"/>
      <c r="E8744" s="12"/>
      <c r="H8744" s="11" t="str">
        <f ca="1">IFERROR(__xludf.DUMMYFUNCTION("IFERROR(SUBSTITUTE(SUBSTITUTE(REGEXEXTRACT(A8744, ""[^-]+- [^-]+- [^-]+ - (.+?)\.jpg""), "".jpg"", """"), ""-"", "", ""), """")"),"")</f>
        <v/>
      </c>
      <c r="L8744" s="12"/>
      <c r="M8744" s="13"/>
      <c r="N8744" s="2"/>
      <c r="O8744" s="20"/>
      <c r="P8744" s="42"/>
      <c r="R8744" s="23"/>
    </row>
    <row r="8745" spans="1:18" ht="12.75">
      <c r="A8745" s="12"/>
      <c r="D8745" s="12"/>
      <c r="E8745" s="12"/>
      <c r="H8745" s="11" t="str">
        <f ca="1">IFERROR(__xludf.DUMMYFUNCTION("IFERROR(SUBSTITUTE(SUBSTITUTE(REGEXEXTRACT(A8745, ""[^-]+- [^-]+- [^-]+ - (.+?)\.jpg""), "".jpg"", """"), ""-"", "", ""), """")"),"")</f>
        <v/>
      </c>
      <c r="L8745" s="12"/>
      <c r="M8745" s="13"/>
      <c r="N8745" s="2"/>
      <c r="O8745" s="20"/>
      <c r="P8745" s="42"/>
      <c r="R8745" s="23"/>
    </row>
    <row r="8746" spans="1:18" ht="12.75">
      <c r="A8746" s="12"/>
      <c r="D8746" s="12"/>
      <c r="E8746" s="12"/>
      <c r="H8746" s="11" t="str">
        <f ca="1">IFERROR(__xludf.DUMMYFUNCTION("IFERROR(SUBSTITUTE(SUBSTITUTE(REGEXEXTRACT(A8746, ""[^-]+- [^-]+- [^-]+ - (.+?)\.jpg""), "".jpg"", """"), ""-"", "", ""), """")"),"")</f>
        <v/>
      </c>
      <c r="L8746" s="12"/>
      <c r="M8746" s="13"/>
      <c r="N8746" s="2"/>
      <c r="O8746" s="20"/>
      <c r="P8746" s="42"/>
      <c r="R8746" s="23"/>
    </row>
    <row r="8747" spans="1:18" ht="12.75">
      <c r="A8747" s="12"/>
      <c r="D8747" s="12"/>
      <c r="E8747" s="12"/>
      <c r="H8747" s="11" t="str">
        <f ca="1">IFERROR(__xludf.DUMMYFUNCTION("IFERROR(SUBSTITUTE(SUBSTITUTE(REGEXEXTRACT(A8747, ""[^-]+- [^-]+- [^-]+ - (.+?)\.jpg""), "".jpg"", """"), ""-"", "", ""), """")"),"")</f>
        <v/>
      </c>
      <c r="L8747" s="12"/>
      <c r="M8747" s="13"/>
      <c r="N8747" s="2"/>
      <c r="O8747" s="20"/>
      <c r="P8747" s="42"/>
      <c r="R8747" s="23"/>
    </row>
    <row r="8748" spans="1:18" ht="12.75">
      <c r="A8748" s="12"/>
      <c r="D8748" s="12"/>
      <c r="E8748" s="12"/>
      <c r="H8748" s="11" t="str">
        <f ca="1">IFERROR(__xludf.DUMMYFUNCTION("IFERROR(SUBSTITUTE(SUBSTITUTE(REGEXEXTRACT(A8748, ""[^-]+- [^-]+- [^-]+ - (.+?)\.jpg""), "".jpg"", """"), ""-"", "", ""), """")"),"")</f>
        <v/>
      </c>
      <c r="L8748" s="12"/>
      <c r="M8748" s="13"/>
      <c r="N8748" s="2"/>
      <c r="O8748" s="20"/>
      <c r="P8748" s="42"/>
      <c r="R8748" s="23"/>
    </row>
    <row r="8749" spans="1:18" ht="12.75">
      <c r="A8749" s="12"/>
      <c r="D8749" s="12"/>
      <c r="E8749" s="12"/>
      <c r="H8749" s="11" t="str">
        <f ca="1">IFERROR(__xludf.DUMMYFUNCTION("IFERROR(SUBSTITUTE(SUBSTITUTE(REGEXEXTRACT(A8749, ""[^-]+- [^-]+- [^-]+ - (.+?)\.jpg""), "".jpg"", """"), ""-"", "", ""), """")"),"")</f>
        <v/>
      </c>
      <c r="L8749" s="12"/>
      <c r="M8749" s="13"/>
      <c r="N8749" s="2"/>
      <c r="O8749" s="20"/>
      <c r="P8749" s="42"/>
      <c r="R8749" s="23"/>
    </row>
    <row r="8750" spans="1:18" ht="12.75">
      <c r="A8750" s="12"/>
      <c r="D8750" s="12"/>
      <c r="E8750" s="12"/>
      <c r="H8750" s="11" t="str">
        <f ca="1">IFERROR(__xludf.DUMMYFUNCTION("IFERROR(SUBSTITUTE(SUBSTITUTE(REGEXEXTRACT(A8750, ""[^-]+- [^-]+- [^-]+ - (.+?)\.jpg""), "".jpg"", """"), ""-"", "", ""), """")"),"")</f>
        <v/>
      </c>
      <c r="L8750" s="12"/>
      <c r="M8750" s="13"/>
      <c r="N8750" s="2"/>
      <c r="O8750" s="20"/>
      <c r="P8750" s="42"/>
      <c r="R8750" s="23"/>
    </row>
    <row r="8751" spans="1:18" ht="12.75">
      <c r="A8751" s="12"/>
      <c r="D8751" s="12"/>
      <c r="E8751" s="12"/>
      <c r="H8751" s="11" t="str">
        <f ca="1">IFERROR(__xludf.DUMMYFUNCTION("IFERROR(SUBSTITUTE(SUBSTITUTE(REGEXEXTRACT(A8751, ""[^-]+- [^-]+- [^-]+ - (.+?)\.jpg""), "".jpg"", """"), ""-"", "", ""), """")"),"")</f>
        <v/>
      </c>
      <c r="L8751" s="12"/>
      <c r="M8751" s="13"/>
      <c r="N8751" s="2"/>
      <c r="O8751" s="20"/>
      <c r="P8751" s="42"/>
      <c r="R8751" s="23"/>
    </row>
    <row r="8752" spans="1:18" ht="12.75">
      <c r="A8752" s="12"/>
      <c r="D8752" s="12"/>
      <c r="E8752" s="12"/>
      <c r="H8752" s="11" t="str">
        <f ca="1">IFERROR(__xludf.DUMMYFUNCTION("IFERROR(SUBSTITUTE(SUBSTITUTE(REGEXEXTRACT(A8752, ""[^-]+- [^-]+- [^-]+ - (.+?)\.jpg""), "".jpg"", """"), ""-"", "", ""), """")"),"")</f>
        <v/>
      </c>
      <c r="L8752" s="12"/>
      <c r="M8752" s="13"/>
      <c r="N8752" s="2"/>
      <c r="O8752" s="20"/>
      <c r="P8752" s="42"/>
      <c r="R8752" s="23"/>
    </row>
    <row r="8753" spans="1:18" ht="12.75">
      <c r="A8753" s="12"/>
      <c r="D8753" s="12"/>
      <c r="E8753" s="12"/>
      <c r="H8753" s="11" t="str">
        <f ca="1">IFERROR(__xludf.DUMMYFUNCTION("IFERROR(SUBSTITUTE(SUBSTITUTE(REGEXEXTRACT(A8753, ""[^-]+- [^-]+- [^-]+ - (.+?)\.jpg""), "".jpg"", """"), ""-"", "", ""), """")"),"")</f>
        <v/>
      </c>
      <c r="L8753" s="12"/>
      <c r="M8753" s="13"/>
      <c r="N8753" s="2"/>
      <c r="O8753" s="20"/>
      <c r="P8753" s="42"/>
      <c r="R8753" s="23"/>
    </row>
    <row r="8754" spans="1:18" ht="12.75">
      <c r="A8754" s="12"/>
      <c r="D8754" s="12"/>
      <c r="E8754" s="12"/>
      <c r="H8754" s="11" t="str">
        <f ca="1">IFERROR(__xludf.DUMMYFUNCTION("IFERROR(SUBSTITUTE(SUBSTITUTE(REGEXEXTRACT(A8754, ""[^-]+- [^-]+- [^-]+ - (.+?)\.jpg""), "".jpg"", """"), ""-"", "", ""), """")"),"")</f>
        <v/>
      </c>
      <c r="L8754" s="12"/>
      <c r="M8754" s="13"/>
      <c r="N8754" s="2"/>
      <c r="O8754" s="20"/>
      <c r="P8754" s="42"/>
      <c r="R8754" s="23"/>
    </row>
    <row r="8755" spans="1:18" ht="12.75">
      <c r="A8755" s="12"/>
      <c r="D8755" s="12"/>
      <c r="E8755" s="12"/>
      <c r="H8755" s="11" t="str">
        <f ca="1">IFERROR(__xludf.DUMMYFUNCTION("IFERROR(SUBSTITUTE(SUBSTITUTE(REGEXEXTRACT(A8755, ""[^-]+- [^-]+- [^-]+ - (.+?)\.jpg""), "".jpg"", """"), ""-"", "", ""), """")"),"")</f>
        <v/>
      </c>
      <c r="L8755" s="12"/>
      <c r="M8755" s="13"/>
      <c r="N8755" s="2"/>
      <c r="O8755" s="20"/>
      <c r="P8755" s="42"/>
      <c r="R8755" s="23"/>
    </row>
    <row r="8756" spans="1:18" ht="12.75">
      <c r="A8756" s="12"/>
      <c r="D8756" s="12"/>
      <c r="E8756" s="12"/>
      <c r="H8756" s="11" t="str">
        <f ca="1">IFERROR(__xludf.DUMMYFUNCTION("IFERROR(SUBSTITUTE(SUBSTITUTE(REGEXEXTRACT(A8756, ""[^-]+- [^-]+- [^-]+ - (.+?)\.jpg""), "".jpg"", """"), ""-"", "", ""), """")"),"")</f>
        <v/>
      </c>
      <c r="L8756" s="12"/>
      <c r="M8756" s="13"/>
      <c r="N8756" s="2"/>
      <c r="O8756" s="20"/>
      <c r="P8756" s="42"/>
      <c r="R8756" s="23"/>
    </row>
    <row r="8757" spans="1:18" ht="12.75">
      <c r="A8757" s="12"/>
      <c r="D8757" s="12"/>
      <c r="E8757" s="12"/>
      <c r="H8757" s="11" t="str">
        <f ca="1">IFERROR(__xludf.DUMMYFUNCTION("IFERROR(SUBSTITUTE(SUBSTITUTE(REGEXEXTRACT(A8757, ""[^-]+- [^-]+- [^-]+ - (.+?)\.jpg""), "".jpg"", """"), ""-"", "", ""), """")"),"")</f>
        <v/>
      </c>
      <c r="L8757" s="12"/>
      <c r="M8757" s="13"/>
      <c r="N8757" s="2"/>
      <c r="O8757" s="20"/>
      <c r="P8757" s="42"/>
      <c r="R8757" s="23"/>
    </row>
    <row r="8758" spans="1:18" ht="12.75">
      <c r="A8758" s="12"/>
      <c r="D8758" s="12"/>
      <c r="E8758" s="12"/>
      <c r="H8758" s="11" t="str">
        <f ca="1">IFERROR(__xludf.DUMMYFUNCTION("IFERROR(SUBSTITUTE(SUBSTITUTE(REGEXEXTRACT(A8758, ""[^-]+- [^-]+- [^-]+ - (.+?)\.jpg""), "".jpg"", """"), ""-"", "", ""), """")"),"")</f>
        <v/>
      </c>
      <c r="L8758" s="12"/>
      <c r="M8758" s="13"/>
      <c r="N8758" s="2"/>
      <c r="O8758" s="20"/>
      <c r="P8758" s="42"/>
      <c r="R8758" s="23"/>
    </row>
    <row r="8759" spans="1:18" ht="12.75">
      <c r="A8759" s="12"/>
      <c r="D8759" s="12"/>
      <c r="E8759" s="12"/>
      <c r="H8759" s="11" t="str">
        <f ca="1">IFERROR(__xludf.DUMMYFUNCTION("IFERROR(SUBSTITUTE(SUBSTITUTE(REGEXEXTRACT(A8759, ""[^-]+- [^-]+- [^-]+ - (.+?)\.jpg""), "".jpg"", """"), ""-"", "", ""), """")"),"")</f>
        <v/>
      </c>
      <c r="L8759" s="12"/>
      <c r="M8759" s="13"/>
      <c r="N8759" s="2"/>
      <c r="O8759" s="20"/>
      <c r="P8759" s="42"/>
      <c r="R8759" s="23"/>
    </row>
    <row r="8760" spans="1:18" ht="12.75">
      <c r="A8760" s="12"/>
      <c r="D8760" s="12"/>
      <c r="E8760" s="12"/>
      <c r="H8760" s="11" t="str">
        <f ca="1">IFERROR(__xludf.DUMMYFUNCTION("IFERROR(SUBSTITUTE(SUBSTITUTE(REGEXEXTRACT(A8760, ""[^-]+- [^-]+- [^-]+ - (.+?)\.jpg""), "".jpg"", """"), ""-"", "", ""), """")"),"")</f>
        <v/>
      </c>
      <c r="L8760" s="12"/>
      <c r="M8760" s="13"/>
      <c r="N8760" s="2"/>
      <c r="O8760" s="20"/>
      <c r="P8760" s="42"/>
      <c r="R8760" s="23"/>
    </row>
    <row r="8761" spans="1:18" ht="12.75">
      <c r="A8761" s="12"/>
      <c r="D8761" s="12"/>
      <c r="E8761" s="12"/>
      <c r="H8761" s="11" t="str">
        <f ca="1">IFERROR(__xludf.DUMMYFUNCTION("IFERROR(SUBSTITUTE(SUBSTITUTE(REGEXEXTRACT(A8761, ""[^-]+- [^-]+- [^-]+ - (.+?)\.jpg""), "".jpg"", """"), ""-"", "", ""), """")"),"")</f>
        <v/>
      </c>
      <c r="L8761" s="12"/>
      <c r="M8761" s="13"/>
      <c r="N8761" s="2"/>
      <c r="O8761" s="20"/>
      <c r="P8761" s="42"/>
      <c r="R8761" s="23"/>
    </row>
    <row r="8762" spans="1:18" ht="12.75">
      <c r="A8762" s="12"/>
      <c r="D8762" s="12"/>
      <c r="E8762" s="12"/>
      <c r="H8762" s="11" t="str">
        <f ca="1">IFERROR(__xludf.DUMMYFUNCTION("IFERROR(SUBSTITUTE(SUBSTITUTE(REGEXEXTRACT(A8762, ""[^-]+- [^-]+- [^-]+ - (.+?)\.jpg""), "".jpg"", """"), ""-"", "", ""), """")"),"")</f>
        <v/>
      </c>
      <c r="L8762" s="12"/>
      <c r="M8762" s="13"/>
      <c r="N8762" s="2"/>
      <c r="O8762" s="20"/>
      <c r="P8762" s="42"/>
      <c r="R8762" s="23"/>
    </row>
    <row r="8763" spans="1:18" ht="12.75">
      <c r="A8763" s="12"/>
      <c r="D8763" s="12"/>
      <c r="E8763" s="12"/>
      <c r="H8763" s="11" t="str">
        <f ca="1">IFERROR(__xludf.DUMMYFUNCTION("IFERROR(SUBSTITUTE(SUBSTITUTE(REGEXEXTRACT(A8763, ""[^-]+- [^-]+- [^-]+ - (.+?)\.jpg""), "".jpg"", """"), ""-"", "", ""), """")"),"")</f>
        <v/>
      </c>
      <c r="L8763" s="12"/>
      <c r="M8763" s="13"/>
      <c r="N8763" s="2"/>
      <c r="O8763" s="20"/>
      <c r="P8763" s="42"/>
      <c r="R8763" s="23"/>
    </row>
    <row r="8764" spans="1:18" ht="12.75">
      <c r="A8764" s="12"/>
      <c r="D8764" s="12"/>
      <c r="E8764" s="12"/>
      <c r="H8764" s="11" t="str">
        <f ca="1">IFERROR(__xludf.DUMMYFUNCTION("IFERROR(SUBSTITUTE(SUBSTITUTE(REGEXEXTRACT(A8764, ""[^-]+- [^-]+- [^-]+ - (.+?)\.jpg""), "".jpg"", """"), ""-"", "", ""), """")"),"")</f>
        <v/>
      </c>
      <c r="L8764" s="12"/>
      <c r="M8764" s="13"/>
      <c r="N8764" s="2"/>
      <c r="O8764" s="20"/>
      <c r="P8764" s="42"/>
      <c r="R8764" s="23"/>
    </row>
    <row r="8765" spans="1:18" ht="12.75">
      <c r="A8765" s="12"/>
      <c r="D8765" s="12"/>
      <c r="E8765" s="12"/>
      <c r="H8765" s="11" t="str">
        <f ca="1">IFERROR(__xludf.DUMMYFUNCTION("IFERROR(SUBSTITUTE(SUBSTITUTE(REGEXEXTRACT(A8765, ""[^-]+- [^-]+- [^-]+ - (.+?)\.jpg""), "".jpg"", """"), ""-"", "", ""), """")"),"")</f>
        <v/>
      </c>
      <c r="L8765" s="12"/>
      <c r="M8765" s="13"/>
      <c r="N8765" s="2"/>
      <c r="O8765" s="20"/>
      <c r="P8765" s="42"/>
      <c r="R8765" s="23"/>
    </row>
    <row r="8766" spans="1:18" ht="12.75">
      <c r="A8766" s="12"/>
      <c r="D8766" s="12"/>
      <c r="E8766" s="12"/>
      <c r="H8766" s="11" t="str">
        <f ca="1">IFERROR(__xludf.DUMMYFUNCTION("IFERROR(SUBSTITUTE(SUBSTITUTE(REGEXEXTRACT(A8766, ""[^-]+- [^-]+- [^-]+ - (.+?)\.jpg""), "".jpg"", """"), ""-"", "", ""), """")"),"")</f>
        <v/>
      </c>
      <c r="L8766" s="12"/>
      <c r="M8766" s="13"/>
      <c r="N8766" s="2"/>
      <c r="O8766" s="20"/>
      <c r="P8766" s="42"/>
      <c r="R8766" s="23"/>
    </row>
    <row r="8767" spans="1:18" ht="12.75">
      <c r="A8767" s="12"/>
      <c r="D8767" s="12"/>
      <c r="E8767" s="12"/>
      <c r="H8767" s="11" t="str">
        <f ca="1">IFERROR(__xludf.DUMMYFUNCTION("IFERROR(SUBSTITUTE(SUBSTITUTE(REGEXEXTRACT(A8767, ""[^-]+- [^-]+- [^-]+ - (.+?)\.jpg""), "".jpg"", """"), ""-"", "", ""), """")"),"")</f>
        <v/>
      </c>
      <c r="L8767" s="12"/>
      <c r="M8767" s="13"/>
      <c r="N8767" s="2"/>
      <c r="O8767" s="20"/>
      <c r="P8767" s="42"/>
      <c r="R8767" s="23"/>
    </row>
    <row r="8768" spans="1:18" ht="12.75">
      <c r="A8768" s="12"/>
      <c r="D8768" s="12"/>
      <c r="E8768" s="12"/>
      <c r="H8768" s="11" t="str">
        <f ca="1">IFERROR(__xludf.DUMMYFUNCTION("IFERROR(SUBSTITUTE(SUBSTITUTE(REGEXEXTRACT(A8768, ""[^-]+- [^-]+- [^-]+ - (.+?)\.jpg""), "".jpg"", """"), ""-"", "", ""), """")"),"")</f>
        <v/>
      </c>
      <c r="L8768" s="12"/>
      <c r="M8768" s="13"/>
      <c r="N8768" s="2"/>
      <c r="O8768" s="20"/>
      <c r="P8768" s="42"/>
      <c r="R8768" s="23"/>
    </row>
    <row r="8769" spans="1:18" ht="12.75">
      <c r="A8769" s="12"/>
      <c r="D8769" s="12"/>
      <c r="E8769" s="12"/>
      <c r="H8769" s="11" t="str">
        <f ca="1">IFERROR(__xludf.DUMMYFUNCTION("IFERROR(SUBSTITUTE(SUBSTITUTE(REGEXEXTRACT(A8769, ""[^-]+- [^-]+- [^-]+ - (.+?)\.jpg""), "".jpg"", """"), ""-"", "", ""), """")"),"")</f>
        <v/>
      </c>
      <c r="L8769" s="12"/>
      <c r="M8769" s="13"/>
      <c r="N8769" s="2"/>
      <c r="O8769" s="20"/>
      <c r="P8769" s="42"/>
      <c r="R8769" s="23"/>
    </row>
    <row r="8770" spans="1:18" ht="12.75">
      <c r="A8770" s="12"/>
      <c r="D8770" s="12"/>
      <c r="E8770" s="12"/>
      <c r="H8770" s="11" t="str">
        <f ca="1">IFERROR(__xludf.DUMMYFUNCTION("IFERROR(SUBSTITUTE(SUBSTITUTE(REGEXEXTRACT(A8770, ""[^-]+- [^-]+- [^-]+ - (.+?)\.jpg""), "".jpg"", """"), ""-"", "", ""), """")"),"")</f>
        <v/>
      </c>
      <c r="L8770" s="12"/>
      <c r="M8770" s="13"/>
      <c r="N8770" s="2"/>
      <c r="O8770" s="20"/>
      <c r="P8770" s="42"/>
      <c r="R8770" s="23"/>
    </row>
    <row r="8771" spans="1:18" ht="12.75">
      <c r="A8771" s="12"/>
      <c r="D8771" s="12"/>
      <c r="E8771" s="12"/>
      <c r="H8771" s="11" t="str">
        <f ca="1">IFERROR(__xludf.DUMMYFUNCTION("IFERROR(SUBSTITUTE(SUBSTITUTE(REGEXEXTRACT(A8771, ""[^-]+- [^-]+- [^-]+ - (.+?)\.jpg""), "".jpg"", """"), ""-"", "", ""), """")"),"")</f>
        <v/>
      </c>
      <c r="L8771" s="12"/>
      <c r="M8771" s="13"/>
      <c r="N8771" s="2"/>
      <c r="O8771" s="20"/>
      <c r="P8771" s="42"/>
      <c r="R8771" s="23"/>
    </row>
    <row r="8772" spans="1:18" ht="12.75">
      <c r="A8772" s="12"/>
      <c r="D8772" s="12"/>
      <c r="E8772" s="12"/>
      <c r="H8772" s="11" t="str">
        <f ca="1">IFERROR(__xludf.DUMMYFUNCTION("IFERROR(SUBSTITUTE(SUBSTITUTE(REGEXEXTRACT(A8772, ""[^-]+- [^-]+- [^-]+ - (.+?)\.jpg""), "".jpg"", """"), ""-"", "", ""), """")"),"")</f>
        <v/>
      </c>
      <c r="L8772" s="12"/>
      <c r="M8772" s="13"/>
      <c r="N8772" s="2"/>
      <c r="O8772" s="20"/>
      <c r="P8772" s="42"/>
      <c r="R8772" s="23"/>
    </row>
    <row r="8773" spans="1:18" ht="12.75">
      <c r="A8773" s="12"/>
      <c r="D8773" s="12"/>
      <c r="E8773" s="12"/>
      <c r="H8773" s="11" t="str">
        <f ca="1">IFERROR(__xludf.DUMMYFUNCTION("IFERROR(SUBSTITUTE(SUBSTITUTE(REGEXEXTRACT(A8773, ""[^-]+- [^-]+- [^-]+ - (.+?)\.jpg""), "".jpg"", """"), ""-"", "", ""), """")"),"")</f>
        <v/>
      </c>
      <c r="L8773" s="12"/>
      <c r="M8773" s="13"/>
      <c r="N8773" s="2"/>
      <c r="O8773" s="20"/>
      <c r="P8773" s="42"/>
      <c r="R8773" s="23"/>
    </row>
    <row r="8774" spans="1:18" ht="12.75">
      <c r="A8774" s="12"/>
      <c r="D8774" s="12"/>
      <c r="E8774" s="12"/>
      <c r="H8774" s="11" t="str">
        <f ca="1">IFERROR(__xludf.DUMMYFUNCTION("IFERROR(SUBSTITUTE(SUBSTITUTE(REGEXEXTRACT(A8774, ""[^-]+- [^-]+- [^-]+ - (.+?)\.jpg""), "".jpg"", """"), ""-"", "", ""), """")"),"")</f>
        <v/>
      </c>
      <c r="L8774" s="12"/>
      <c r="M8774" s="13"/>
      <c r="N8774" s="2"/>
      <c r="O8774" s="20"/>
      <c r="P8774" s="42"/>
      <c r="R8774" s="23"/>
    </row>
    <row r="8775" spans="1:18" ht="12.75">
      <c r="A8775" s="12"/>
      <c r="D8775" s="12"/>
      <c r="E8775" s="12"/>
      <c r="H8775" s="11" t="str">
        <f ca="1">IFERROR(__xludf.DUMMYFUNCTION("IFERROR(SUBSTITUTE(SUBSTITUTE(REGEXEXTRACT(A8775, ""[^-]+- [^-]+- [^-]+ - (.+?)\.jpg""), "".jpg"", """"), ""-"", "", ""), """")"),"")</f>
        <v/>
      </c>
      <c r="L8775" s="12"/>
      <c r="M8775" s="13"/>
      <c r="N8775" s="2"/>
      <c r="O8775" s="20"/>
      <c r="P8775" s="42"/>
      <c r="R8775" s="23"/>
    </row>
    <row r="8776" spans="1:18" ht="12.75">
      <c r="A8776" s="12"/>
      <c r="D8776" s="12"/>
      <c r="E8776" s="12"/>
      <c r="H8776" s="11" t="str">
        <f ca="1">IFERROR(__xludf.DUMMYFUNCTION("IFERROR(SUBSTITUTE(SUBSTITUTE(REGEXEXTRACT(A8776, ""[^-]+- [^-]+- [^-]+ - (.+?)\.jpg""), "".jpg"", """"), ""-"", "", ""), """")"),"")</f>
        <v/>
      </c>
      <c r="L8776" s="12"/>
      <c r="M8776" s="13"/>
      <c r="N8776" s="2"/>
      <c r="O8776" s="20"/>
      <c r="P8776" s="42"/>
      <c r="R8776" s="23"/>
    </row>
    <row r="8777" spans="1:18" ht="12.75">
      <c r="A8777" s="12"/>
      <c r="D8777" s="12"/>
      <c r="E8777" s="12"/>
      <c r="H8777" s="11" t="str">
        <f ca="1">IFERROR(__xludf.DUMMYFUNCTION("IFERROR(SUBSTITUTE(SUBSTITUTE(REGEXEXTRACT(A8777, ""[^-]+- [^-]+- [^-]+ - (.+?)\.jpg""), "".jpg"", """"), ""-"", "", ""), """")"),"")</f>
        <v/>
      </c>
      <c r="L8777" s="12"/>
      <c r="M8777" s="13"/>
      <c r="N8777" s="2"/>
      <c r="O8777" s="20"/>
      <c r="P8777" s="42"/>
      <c r="R8777" s="23"/>
    </row>
    <row r="8778" spans="1:18" ht="12.75">
      <c r="A8778" s="12"/>
      <c r="D8778" s="12"/>
      <c r="E8778" s="12"/>
      <c r="H8778" s="11" t="str">
        <f ca="1">IFERROR(__xludf.DUMMYFUNCTION("IFERROR(SUBSTITUTE(SUBSTITUTE(REGEXEXTRACT(A8778, ""[^-]+- [^-]+- [^-]+ - (.+?)\.jpg""), "".jpg"", """"), ""-"", "", ""), """")"),"")</f>
        <v/>
      </c>
      <c r="L8778" s="12"/>
      <c r="M8778" s="13"/>
      <c r="N8778" s="2"/>
      <c r="O8778" s="20"/>
      <c r="P8778" s="42"/>
      <c r="R8778" s="23"/>
    </row>
    <row r="8779" spans="1:18" ht="12.75">
      <c r="A8779" s="12"/>
      <c r="D8779" s="12"/>
      <c r="E8779" s="12"/>
      <c r="H8779" s="11" t="str">
        <f ca="1">IFERROR(__xludf.DUMMYFUNCTION("IFERROR(SUBSTITUTE(SUBSTITUTE(REGEXEXTRACT(A8779, ""[^-]+- [^-]+- [^-]+ - (.+?)\.jpg""), "".jpg"", """"), ""-"", "", ""), """")"),"")</f>
        <v/>
      </c>
      <c r="L8779" s="12"/>
      <c r="M8779" s="13"/>
      <c r="N8779" s="2"/>
      <c r="O8779" s="20"/>
      <c r="P8779" s="42"/>
      <c r="R8779" s="23"/>
    </row>
    <row r="8780" spans="1:18" ht="12.75">
      <c r="A8780" s="12"/>
      <c r="D8780" s="12"/>
      <c r="E8780" s="12"/>
      <c r="H8780" s="11" t="str">
        <f ca="1">IFERROR(__xludf.DUMMYFUNCTION("IFERROR(SUBSTITUTE(SUBSTITUTE(REGEXEXTRACT(A8780, ""[^-]+- [^-]+- [^-]+ - (.+?)\.jpg""), "".jpg"", """"), ""-"", "", ""), """")"),"")</f>
        <v/>
      </c>
      <c r="L8780" s="12"/>
      <c r="M8780" s="13"/>
      <c r="N8780" s="2"/>
      <c r="O8780" s="20"/>
      <c r="P8780" s="42"/>
      <c r="R8780" s="23"/>
    </row>
    <row r="8781" spans="1:18" ht="12.75">
      <c r="A8781" s="12"/>
      <c r="D8781" s="12"/>
      <c r="E8781" s="12"/>
      <c r="H8781" s="11" t="str">
        <f ca="1">IFERROR(__xludf.DUMMYFUNCTION("IFERROR(SUBSTITUTE(SUBSTITUTE(REGEXEXTRACT(A8781, ""[^-]+- [^-]+- [^-]+ - (.+?)\.jpg""), "".jpg"", """"), ""-"", "", ""), """")"),"")</f>
        <v/>
      </c>
      <c r="L8781" s="12"/>
      <c r="M8781" s="13"/>
      <c r="N8781" s="2"/>
      <c r="O8781" s="20"/>
      <c r="P8781" s="42"/>
      <c r="R8781" s="23"/>
    </row>
    <row r="8782" spans="1:18" ht="12.75">
      <c r="A8782" s="12"/>
      <c r="D8782" s="12"/>
      <c r="E8782" s="12"/>
      <c r="H8782" s="11" t="str">
        <f ca="1">IFERROR(__xludf.DUMMYFUNCTION("IFERROR(SUBSTITUTE(SUBSTITUTE(REGEXEXTRACT(A8782, ""[^-]+- [^-]+- [^-]+ - (.+?)\.jpg""), "".jpg"", """"), ""-"", "", ""), """")"),"")</f>
        <v/>
      </c>
      <c r="L8782" s="12"/>
      <c r="M8782" s="13"/>
      <c r="N8782" s="2"/>
      <c r="O8782" s="20"/>
      <c r="P8782" s="42"/>
      <c r="R8782" s="23"/>
    </row>
    <row r="8783" spans="1:18" ht="12.75">
      <c r="A8783" s="12"/>
      <c r="D8783" s="12"/>
      <c r="E8783" s="12"/>
      <c r="H8783" s="11" t="str">
        <f ca="1">IFERROR(__xludf.DUMMYFUNCTION("IFERROR(SUBSTITUTE(SUBSTITUTE(REGEXEXTRACT(A8783, ""[^-]+- [^-]+- [^-]+ - (.+?)\.jpg""), "".jpg"", """"), ""-"", "", ""), """")"),"")</f>
        <v/>
      </c>
      <c r="L8783" s="12"/>
      <c r="M8783" s="13"/>
      <c r="N8783" s="2"/>
      <c r="O8783" s="20"/>
      <c r="P8783" s="42"/>
      <c r="R8783" s="23"/>
    </row>
    <row r="8784" spans="1:18" ht="12.75">
      <c r="A8784" s="12"/>
      <c r="D8784" s="12"/>
      <c r="E8784" s="12"/>
      <c r="H8784" s="11" t="str">
        <f ca="1">IFERROR(__xludf.DUMMYFUNCTION("IFERROR(SUBSTITUTE(SUBSTITUTE(REGEXEXTRACT(A8784, ""[^-]+- [^-]+- [^-]+ - (.+?)\.jpg""), "".jpg"", """"), ""-"", "", ""), """")"),"")</f>
        <v/>
      </c>
      <c r="L8784" s="12"/>
      <c r="M8784" s="13"/>
      <c r="N8784" s="2"/>
      <c r="O8784" s="20"/>
      <c r="P8784" s="42"/>
      <c r="R8784" s="23"/>
    </row>
    <row r="8785" spans="1:18" ht="12.75">
      <c r="A8785" s="12"/>
      <c r="D8785" s="12"/>
      <c r="E8785" s="12"/>
      <c r="H8785" s="11" t="str">
        <f ca="1">IFERROR(__xludf.DUMMYFUNCTION("IFERROR(SUBSTITUTE(SUBSTITUTE(REGEXEXTRACT(A8785, ""[^-]+- [^-]+- [^-]+ - (.+?)\.jpg""), "".jpg"", """"), ""-"", "", ""), """")"),"")</f>
        <v/>
      </c>
      <c r="L8785" s="12"/>
      <c r="M8785" s="13"/>
      <c r="N8785" s="2"/>
      <c r="O8785" s="20"/>
      <c r="P8785" s="42"/>
      <c r="R8785" s="23"/>
    </row>
    <row r="8786" spans="1:18" ht="12.75">
      <c r="A8786" s="12"/>
      <c r="D8786" s="12"/>
      <c r="E8786" s="12"/>
      <c r="H8786" s="11" t="str">
        <f ca="1">IFERROR(__xludf.DUMMYFUNCTION("IFERROR(SUBSTITUTE(SUBSTITUTE(REGEXEXTRACT(A8786, ""[^-]+- [^-]+- [^-]+ - (.+?)\.jpg""), "".jpg"", """"), ""-"", "", ""), """")"),"")</f>
        <v/>
      </c>
      <c r="L8786" s="12"/>
      <c r="M8786" s="13"/>
      <c r="N8786" s="2"/>
      <c r="O8786" s="20"/>
      <c r="P8786" s="42"/>
      <c r="R8786" s="23"/>
    </row>
    <row r="8787" spans="1:18" ht="12.75">
      <c r="A8787" s="12"/>
      <c r="D8787" s="12"/>
      <c r="E8787" s="12"/>
      <c r="H8787" s="11" t="str">
        <f ca="1">IFERROR(__xludf.DUMMYFUNCTION("IFERROR(SUBSTITUTE(SUBSTITUTE(REGEXEXTRACT(A8787, ""[^-]+- [^-]+- [^-]+ - (.+?)\.jpg""), "".jpg"", """"), ""-"", "", ""), """")"),"")</f>
        <v/>
      </c>
      <c r="L8787" s="12"/>
      <c r="M8787" s="13"/>
      <c r="N8787" s="2"/>
      <c r="O8787" s="20"/>
      <c r="P8787" s="42"/>
      <c r="R8787" s="23"/>
    </row>
    <row r="8788" spans="1:18" ht="12.75">
      <c r="A8788" s="12"/>
      <c r="D8788" s="12"/>
      <c r="E8788" s="12"/>
      <c r="H8788" s="11" t="str">
        <f ca="1">IFERROR(__xludf.DUMMYFUNCTION("IFERROR(SUBSTITUTE(SUBSTITUTE(REGEXEXTRACT(A8788, ""[^-]+- [^-]+- [^-]+ - (.+?)\.jpg""), "".jpg"", """"), ""-"", "", ""), """")"),"")</f>
        <v/>
      </c>
      <c r="L8788" s="12"/>
      <c r="M8788" s="13"/>
      <c r="N8788" s="2"/>
      <c r="O8788" s="20"/>
      <c r="P8788" s="42"/>
      <c r="R8788" s="23"/>
    </row>
    <row r="8789" spans="1:18" ht="12.75">
      <c r="A8789" s="12"/>
      <c r="D8789" s="12"/>
      <c r="E8789" s="12"/>
      <c r="H8789" s="11" t="str">
        <f ca="1">IFERROR(__xludf.DUMMYFUNCTION("IFERROR(SUBSTITUTE(SUBSTITUTE(REGEXEXTRACT(A8789, ""[^-]+- [^-]+- [^-]+ - (.+?)\.jpg""), "".jpg"", """"), ""-"", "", ""), """")"),"")</f>
        <v/>
      </c>
      <c r="L8789" s="12"/>
      <c r="M8789" s="13"/>
      <c r="N8789" s="2"/>
      <c r="O8789" s="20"/>
      <c r="P8789" s="42"/>
      <c r="R8789" s="23"/>
    </row>
    <row r="8790" spans="1:18" ht="12.75">
      <c r="A8790" s="12"/>
      <c r="D8790" s="12"/>
      <c r="E8790" s="12"/>
      <c r="H8790" s="11" t="str">
        <f ca="1">IFERROR(__xludf.DUMMYFUNCTION("IFERROR(SUBSTITUTE(SUBSTITUTE(REGEXEXTRACT(A8790, ""[^-]+- [^-]+- [^-]+ - (.+?)\.jpg""), "".jpg"", """"), ""-"", "", ""), """")"),"")</f>
        <v/>
      </c>
      <c r="L8790" s="12"/>
      <c r="M8790" s="13"/>
      <c r="N8790" s="2"/>
      <c r="O8790" s="20"/>
      <c r="P8790" s="42"/>
      <c r="R8790" s="23"/>
    </row>
    <row r="8791" spans="1:18" ht="12.75">
      <c r="A8791" s="12"/>
      <c r="D8791" s="12"/>
      <c r="E8791" s="12"/>
      <c r="H8791" s="11" t="str">
        <f ca="1">IFERROR(__xludf.DUMMYFUNCTION("IFERROR(SUBSTITUTE(SUBSTITUTE(REGEXEXTRACT(A8791, ""[^-]+- [^-]+- [^-]+ - (.+?)\.jpg""), "".jpg"", """"), ""-"", "", ""), """")"),"")</f>
        <v/>
      </c>
      <c r="L8791" s="12"/>
      <c r="M8791" s="13"/>
      <c r="N8791" s="2"/>
      <c r="O8791" s="20"/>
      <c r="P8791" s="42"/>
      <c r="R8791" s="23"/>
    </row>
    <row r="8792" spans="1:18" ht="12.75">
      <c r="A8792" s="12"/>
      <c r="D8792" s="12"/>
      <c r="E8792" s="12"/>
      <c r="H8792" s="11" t="str">
        <f ca="1">IFERROR(__xludf.DUMMYFUNCTION("IFERROR(SUBSTITUTE(SUBSTITUTE(REGEXEXTRACT(A8792, ""[^-]+- [^-]+- [^-]+ - (.+?)\.jpg""), "".jpg"", """"), ""-"", "", ""), """")"),"")</f>
        <v/>
      </c>
      <c r="L8792" s="12"/>
      <c r="M8792" s="13"/>
      <c r="N8792" s="2"/>
      <c r="O8792" s="20"/>
      <c r="P8792" s="42"/>
      <c r="R8792" s="23"/>
    </row>
    <row r="8793" spans="1:18" ht="12.75">
      <c r="A8793" s="12"/>
      <c r="D8793" s="12"/>
      <c r="E8793" s="12"/>
      <c r="H8793" s="11" t="str">
        <f ca="1">IFERROR(__xludf.DUMMYFUNCTION("IFERROR(SUBSTITUTE(SUBSTITUTE(REGEXEXTRACT(A8793, ""[^-]+- [^-]+- [^-]+ - (.+?)\.jpg""), "".jpg"", """"), ""-"", "", ""), """")"),"")</f>
        <v/>
      </c>
      <c r="L8793" s="12"/>
      <c r="M8793" s="13"/>
      <c r="N8793" s="2"/>
      <c r="O8793" s="20"/>
      <c r="P8793" s="42"/>
      <c r="R8793" s="23"/>
    </row>
    <row r="8794" spans="1:18" ht="12.75">
      <c r="A8794" s="12"/>
      <c r="D8794" s="12"/>
      <c r="E8794" s="12"/>
      <c r="H8794" s="11" t="str">
        <f ca="1">IFERROR(__xludf.DUMMYFUNCTION("IFERROR(SUBSTITUTE(SUBSTITUTE(REGEXEXTRACT(A8794, ""[^-]+- [^-]+- [^-]+ - (.+?)\.jpg""), "".jpg"", """"), ""-"", "", ""), """")"),"")</f>
        <v/>
      </c>
      <c r="L8794" s="12"/>
      <c r="M8794" s="13"/>
      <c r="N8794" s="2"/>
      <c r="O8794" s="20"/>
      <c r="P8794" s="42"/>
      <c r="R8794" s="23"/>
    </row>
    <row r="8795" spans="1:18" ht="12.75">
      <c r="A8795" s="12"/>
      <c r="D8795" s="12"/>
      <c r="E8795" s="12"/>
      <c r="H8795" s="11" t="str">
        <f ca="1">IFERROR(__xludf.DUMMYFUNCTION("IFERROR(SUBSTITUTE(SUBSTITUTE(REGEXEXTRACT(A8795, ""[^-]+- [^-]+- [^-]+ - (.+?)\.jpg""), "".jpg"", """"), ""-"", "", ""), """")"),"")</f>
        <v/>
      </c>
      <c r="L8795" s="12"/>
      <c r="M8795" s="13"/>
      <c r="N8795" s="2"/>
      <c r="O8795" s="20"/>
      <c r="P8795" s="42"/>
      <c r="R8795" s="23"/>
    </row>
    <row r="8796" spans="1:18" ht="12.75">
      <c r="A8796" s="12"/>
      <c r="D8796" s="12"/>
      <c r="E8796" s="12"/>
      <c r="H8796" s="11" t="str">
        <f ca="1">IFERROR(__xludf.DUMMYFUNCTION("IFERROR(SUBSTITUTE(SUBSTITUTE(REGEXEXTRACT(A8796, ""[^-]+- [^-]+- [^-]+ - (.+?)\.jpg""), "".jpg"", """"), ""-"", "", ""), """")"),"")</f>
        <v/>
      </c>
      <c r="L8796" s="12"/>
      <c r="M8796" s="13"/>
      <c r="N8796" s="2"/>
      <c r="O8796" s="20"/>
      <c r="P8796" s="42"/>
      <c r="R8796" s="23"/>
    </row>
    <row r="8797" spans="1:18" ht="12.75">
      <c r="A8797" s="12"/>
      <c r="D8797" s="12"/>
      <c r="E8797" s="12"/>
      <c r="H8797" s="11" t="str">
        <f ca="1">IFERROR(__xludf.DUMMYFUNCTION("IFERROR(SUBSTITUTE(SUBSTITUTE(REGEXEXTRACT(A8797, ""[^-]+- [^-]+- [^-]+ - (.+?)\.jpg""), "".jpg"", """"), ""-"", "", ""), """")"),"")</f>
        <v/>
      </c>
      <c r="L8797" s="12"/>
      <c r="M8797" s="13"/>
      <c r="N8797" s="2"/>
      <c r="O8797" s="20"/>
      <c r="P8797" s="42"/>
      <c r="R8797" s="23"/>
    </row>
    <row r="8798" spans="1:18" ht="12.75">
      <c r="A8798" s="12"/>
      <c r="D8798" s="12"/>
      <c r="E8798" s="12"/>
      <c r="H8798" s="11" t="str">
        <f ca="1">IFERROR(__xludf.DUMMYFUNCTION("IFERROR(SUBSTITUTE(SUBSTITUTE(REGEXEXTRACT(A8798, ""[^-]+- [^-]+- [^-]+ - (.+?)\.jpg""), "".jpg"", """"), ""-"", "", ""), """")"),"")</f>
        <v/>
      </c>
      <c r="L8798" s="12"/>
      <c r="M8798" s="13"/>
      <c r="N8798" s="2"/>
      <c r="O8798" s="20"/>
      <c r="P8798" s="42"/>
      <c r="R8798" s="23"/>
    </row>
    <row r="8799" spans="1:18" ht="12.75">
      <c r="A8799" s="12"/>
      <c r="D8799" s="12"/>
      <c r="E8799" s="12"/>
      <c r="H8799" s="11" t="str">
        <f ca="1">IFERROR(__xludf.DUMMYFUNCTION("IFERROR(SUBSTITUTE(SUBSTITUTE(REGEXEXTRACT(A8799, ""[^-]+- [^-]+- [^-]+ - (.+?)\.jpg""), "".jpg"", """"), ""-"", "", ""), """")"),"")</f>
        <v/>
      </c>
      <c r="L8799" s="12"/>
      <c r="M8799" s="13"/>
      <c r="N8799" s="2"/>
      <c r="O8799" s="20"/>
      <c r="P8799" s="42"/>
      <c r="R8799" s="23"/>
    </row>
    <row r="8800" spans="1:18" ht="12.75">
      <c r="A8800" s="12"/>
      <c r="D8800" s="12"/>
      <c r="E8800" s="12"/>
      <c r="H8800" s="11" t="str">
        <f ca="1">IFERROR(__xludf.DUMMYFUNCTION("IFERROR(SUBSTITUTE(SUBSTITUTE(REGEXEXTRACT(A8800, ""[^-]+- [^-]+- [^-]+ - (.+?)\.jpg""), "".jpg"", """"), ""-"", "", ""), """")"),"")</f>
        <v/>
      </c>
      <c r="L8800" s="12"/>
      <c r="M8800" s="13"/>
      <c r="N8800" s="2"/>
      <c r="O8800" s="20"/>
      <c r="P8800" s="42"/>
      <c r="R8800" s="23"/>
    </row>
    <row r="8801" spans="1:18" ht="12.75">
      <c r="A8801" s="12"/>
      <c r="D8801" s="12"/>
      <c r="E8801" s="12"/>
      <c r="H8801" s="11" t="str">
        <f ca="1">IFERROR(__xludf.DUMMYFUNCTION("IFERROR(SUBSTITUTE(SUBSTITUTE(REGEXEXTRACT(A8801, ""[^-]+- [^-]+- [^-]+ - (.+?)\.jpg""), "".jpg"", """"), ""-"", "", ""), """")"),"")</f>
        <v/>
      </c>
      <c r="L8801" s="12"/>
      <c r="M8801" s="13"/>
      <c r="N8801" s="2"/>
      <c r="O8801" s="20"/>
      <c r="P8801" s="42"/>
      <c r="R8801" s="23"/>
    </row>
    <row r="8802" spans="1:18" ht="12.75">
      <c r="A8802" s="12"/>
      <c r="D8802" s="12"/>
      <c r="E8802" s="12"/>
      <c r="H8802" s="11" t="str">
        <f ca="1">IFERROR(__xludf.DUMMYFUNCTION("IFERROR(SUBSTITUTE(SUBSTITUTE(REGEXEXTRACT(A8802, ""[^-]+- [^-]+- [^-]+ - (.+?)\.jpg""), "".jpg"", """"), ""-"", "", ""), """")"),"")</f>
        <v/>
      </c>
      <c r="L8802" s="12"/>
      <c r="M8802" s="13"/>
      <c r="N8802" s="2"/>
      <c r="O8802" s="20"/>
      <c r="P8802" s="42"/>
      <c r="R8802" s="23"/>
    </row>
    <row r="8803" spans="1:18" ht="12.75">
      <c r="A8803" s="12"/>
      <c r="D8803" s="12"/>
      <c r="E8803" s="12"/>
      <c r="H8803" s="11" t="str">
        <f ca="1">IFERROR(__xludf.DUMMYFUNCTION("IFERROR(SUBSTITUTE(SUBSTITUTE(REGEXEXTRACT(A8803, ""[^-]+- [^-]+- [^-]+ - (.+?)\.jpg""), "".jpg"", """"), ""-"", "", ""), """")"),"")</f>
        <v/>
      </c>
      <c r="L8803" s="12"/>
      <c r="M8803" s="13"/>
      <c r="N8803" s="2"/>
      <c r="O8803" s="20"/>
      <c r="P8803" s="42"/>
      <c r="R8803" s="23"/>
    </row>
    <row r="8804" spans="1:18" ht="12.75">
      <c r="A8804" s="12"/>
      <c r="D8804" s="12"/>
      <c r="E8804" s="12"/>
      <c r="H8804" s="11" t="str">
        <f ca="1">IFERROR(__xludf.DUMMYFUNCTION("IFERROR(SUBSTITUTE(SUBSTITUTE(REGEXEXTRACT(A8804, ""[^-]+- [^-]+- [^-]+ - (.+?)\.jpg""), "".jpg"", """"), ""-"", "", ""), """")"),"")</f>
        <v/>
      </c>
      <c r="L8804" s="12"/>
      <c r="M8804" s="13"/>
      <c r="N8804" s="2"/>
      <c r="O8804" s="20"/>
      <c r="P8804" s="42"/>
      <c r="R8804" s="23"/>
    </row>
    <row r="8805" spans="1:18" ht="12.75">
      <c r="A8805" s="12"/>
      <c r="D8805" s="12"/>
      <c r="E8805" s="12"/>
      <c r="H8805" s="11" t="str">
        <f ca="1">IFERROR(__xludf.DUMMYFUNCTION("IFERROR(SUBSTITUTE(SUBSTITUTE(REGEXEXTRACT(A8805, ""[^-]+- [^-]+- [^-]+ - (.+?)\.jpg""), "".jpg"", """"), ""-"", "", ""), """")"),"")</f>
        <v/>
      </c>
      <c r="L8805" s="12"/>
      <c r="M8805" s="13"/>
      <c r="N8805" s="2"/>
      <c r="O8805" s="20"/>
      <c r="P8805" s="42"/>
      <c r="R8805" s="23"/>
    </row>
    <row r="8806" spans="1:18" ht="12.75">
      <c r="A8806" s="12"/>
      <c r="D8806" s="12"/>
      <c r="E8806" s="12"/>
      <c r="H8806" s="11" t="str">
        <f ca="1">IFERROR(__xludf.DUMMYFUNCTION("IFERROR(SUBSTITUTE(SUBSTITUTE(REGEXEXTRACT(A8806, ""[^-]+- [^-]+- [^-]+ - (.+?)\.jpg""), "".jpg"", """"), ""-"", "", ""), """")"),"")</f>
        <v/>
      </c>
      <c r="L8806" s="12"/>
      <c r="M8806" s="13"/>
      <c r="N8806" s="2"/>
      <c r="O8806" s="20"/>
      <c r="P8806" s="42"/>
      <c r="R8806" s="23"/>
    </row>
    <row r="8807" spans="1:18" ht="12.75">
      <c r="A8807" s="12"/>
      <c r="D8807" s="12"/>
      <c r="E8807" s="12"/>
      <c r="H8807" s="11" t="str">
        <f ca="1">IFERROR(__xludf.DUMMYFUNCTION("IFERROR(SUBSTITUTE(SUBSTITUTE(REGEXEXTRACT(A8807, ""[^-]+- [^-]+- [^-]+ - (.+?)\.jpg""), "".jpg"", """"), ""-"", "", ""), """")"),"")</f>
        <v/>
      </c>
      <c r="L8807" s="12"/>
      <c r="M8807" s="13"/>
      <c r="N8807" s="2"/>
      <c r="O8807" s="20"/>
      <c r="P8807" s="42"/>
      <c r="R8807" s="23"/>
    </row>
    <row r="8808" spans="1:18" ht="12.75">
      <c r="A8808" s="12"/>
      <c r="D8808" s="12"/>
      <c r="E8808" s="12"/>
      <c r="H8808" s="11" t="str">
        <f ca="1">IFERROR(__xludf.DUMMYFUNCTION("IFERROR(SUBSTITUTE(SUBSTITUTE(REGEXEXTRACT(A8808, ""[^-]+- [^-]+- [^-]+ - (.+?)\.jpg""), "".jpg"", """"), ""-"", "", ""), """")"),"")</f>
        <v/>
      </c>
      <c r="L8808" s="12"/>
      <c r="M8808" s="13"/>
      <c r="N8808" s="2"/>
      <c r="O8808" s="20"/>
      <c r="P8808" s="42"/>
      <c r="R8808" s="23"/>
    </row>
    <row r="8809" spans="1:18" ht="12.75">
      <c r="A8809" s="12"/>
      <c r="D8809" s="12"/>
      <c r="E8809" s="12"/>
      <c r="H8809" s="11" t="str">
        <f ca="1">IFERROR(__xludf.DUMMYFUNCTION("IFERROR(SUBSTITUTE(SUBSTITUTE(REGEXEXTRACT(A8809, ""[^-]+- [^-]+- [^-]+ - (.+?)\.jpg""), "".jpg"", """"), ""-"", "", ""), """")"),"")</f>
        <v/>
      </c>
      <c r="L8809" s="12"/>
      <c r="M8809" s="13"/>
      <c r="N8809" s="2"/>
      <c r="O8809" s="20"/>
      <c r="P8809" s="42"/>
      <c r="R8809" s="23"/>
    </row>
    <row r="8810" spans="1:18" ht="12.75">
      <c r="A8810" s="12"/>
      <c r="D8810" s="12"/>
      <c r="E8810" s="12"/>
      <c r="H8810" s="11" t="str">
        <f ca="1">IFERROR(__xludf.DUMMYFUNCTION("IFERROR(SUBSTITUTE(SUBSTITUTE(REGEXEXTRACT(A8810, ""[^-]+- [^-]+- [^-]+ - (.+?)\.jpg""), "".jpg"", """"), ""-"", "", ""), """")"),"")</f>
        <v/>
      </c>
      <c r="L8810" s="12"/>
      <c r="M8810" s="13"/>
      <c r="N8810" s="2"/>
      <c r="O8810" s="20"/>
      <c r="P8810" s="42"/>
      <c r="R8810" s="23"/>
    </row>
    <row r="8811" spans="1:18" ht="12.75">
      <c r="A8811" s="12"/>
      <c r="D8811" s="12"/>
      <c r="E8811" s="12"/>
      <c r="H8811" s="11" t="str">
        <f ca="1">IFERROR(__xludf.DUMMYFUNCTION("IFERROR(SUBSTITUTE(SUBSTITUTE(REGEXEXTRACT(A8811, ""[^-]+- [^-]+- [^-]+ - (.+?)\.jpg""), "".jpg"", """"), ""-"", "", ""), """")"),"")</f>
        <v/>
      </c>
      <c r="L8811" s="12"/>
      <c r="M8811" s="13"/>
      <c r="N8811" s="2"/>
      <c r="O8811" s="20"/>
      <c r="P8811" s="42"/>
      <c r="R8811" s="23"/>
    </row>
    <row r="8812" spans="1:18" ht="12.75">
      <c r="A8812" s="12"/>
      <c r="D8812" s="12"/>
      <c r="E8812" s="12"/>
      <c r="H8812" s="11" t="str">
        <f ca="1">IFERROR(__xludf.DUMMYFUNCTION("IFERROR(SUBSTITUTE(SUBSTITUTE(REGEXEXTRACT(A8812, ""[^-]+- [^-]+- [^-]+ - (.+?)\.jpg""), "".jpg"", """"), ""-"", "", ""), """")"),"")</f>
        <v/>
      </c>
      <c r="L8812" s="12"/>
      <c r="M8812" s="13"/>
      <c r="N8812" s="2"/>
      <c r="O8812" s="20"/>
      <c r="P8812" s="42"/>
      <c r="R8812" s="23"/>
    </row>
    <row r="8813" spans="1:18" ht="12.75">
      <c r="A8813" s="12"/>
      <c r="D8813" s="12"/>
      <c r="E8813" s="12"/>
      <c r="H8813" s="11" t="str">
        <f ca="1">IFERROR(__xludf.DUMMYFUNCTION("IFERROR(SUBSTITUTE(SUBSTITUTE(REGEXEXTRACT(A8813, ""[^-]+- [^-]+- [^-]+ - (.+?)\.jpg""), "".jpg"", """"), ""-"", "", ""), """")"),"")</f>
        <v/>
      </c>
      <c r="L8813" s="12"/>
      <c r="M8813" s="13"/>
      <c r="N8813" s="2"/>
      <c r="O8813" s="20"/>
      <c r="P8813" s="42"/>
      <c r="R8813" s="23"/>
    </row>
    <row r="8814" spans="1:18" ht="12.75">
      <c r="A8814" s="12"/>
      <c r="D8814" s="12"/>
      <c r="E8814" s="12"/>
      <c r="H8814" s="11" t="str">
        <f ca="1">IFERROR(__xludf.DUMMYFUNCTION("IFERROR(SUBSTITUTE(SUBSTITUTE(REGEXEXTRACT(A8814, ""[^-]+- [^-]+- [^-]+ - (.+?)\.jpg""), "".jpg"", """"), ""-"", "", ""), """")"),"")</f>
        <v/>
      </c>
      <c r="L8814" s="12"/>
      <c r="M8814" s="13"/>
      <c r="N8814" s="2"/>
      <c r="O8814" s="20"/>
      <c r="P8814" s="42"/>
      <c r="R8814" s="23"/>
    </row>
    <row r="8815" spans="1:18" ht="12.75">
      <c r="A8815" s="12"/>
      <c r="D8815" s="12"/>
      <c r="E8815" s="12"/>
      <c r="H8815" s="11" t="str">
        <f ca="1">IFERROR(__xludf.DUMMYFUNCTION("IFERROR(SUBSTITUTE(SUBSTITUTE(REGEXEXTRACT(A8815, ""[^-]+- [^-]+- [^-]+ - (.+?)\.jpg""), "".jpg"", """"), ""-"", "", ""), """")"),"")</f>
        <v/>
      </c>
      <c r="L8815" s="12"/>
      <c r="M8815" s="13"/>
      <c r="N8815" s="2"/>
      <c r="O8815" s="20"/>
      <c r="P8815" s="42"/>
      <c r="R8815" s="23"/>
    </row>
    <row r="8816" spans="1:18" ht="12.75">
      <c r="A8816" s="12"/>
      <c r="D8816" s="12"/>
      <c r="E8816" s="12"/>
      <c r="H8816" s="11" t="str">
        <f ca="1">IFERROR(__xludf.DUMMYFUNCTION("IFERROR(SUBSTITUTE(SUBSTITUTE(REGEXEXTRACT(A8816, ""[^-]+- [^-]+- [^-]+ - (.+?)\.jpg""), "".jpg"", """"), ""-"", "", ""), """")"),"")</f>
        <v/>
      </c>
      <c r="L8816" s="12"/>
      <c r="M8816" s="13"/>
      <c r="N8816" s="2"/>
      <c r="O8816" s="20"/>
      <c r="P8816" s="42"/>
      <c r="R8816" s="23"/>
    </row>
    <row r="8817" spans="1:18" ht="12.75">
      <c r="A8817" s="12"/>
      <c r="D8817" s="12"/>
      <c r="E8817" s="12"/>
      <c r="H8817" s="11" t="str">
        <f ca="1">IFERROR(__xludf.DUMMYFUNCTION("IFERROR(SUBSTITUTE(SUBSTITUTE(REGEXEXTRACT(A8817, ""[^-]+- [^-]+- [^-]+ - (.+?)\.jpg""), "".jpg"", """"), ""-"", "", ""), """")"),"")</f>
        <v/>
      </c>
      <c r="L8817" s="12"/>
      <c r="M8817" s="13"/>
      <c r="N8817" s="2"/>
      <c r="O8817" s="20"/>
      <c r="P8817" s="42"/>
      <c r="R8817" s="23"/>
    </row>
    <row r="8818" spans="1:18" ht="12.75">
      <c r="A8818" s="12"/>
      <c r="D8818" s="12"/>
      <c r="E8818" s="12"/>
      <c r="H8818" s="11" t="str">
        <f ca="1">IFERROR(__xludf.DUMMYFUNCTION("IFERROR(SUBSTITUTE(SUBSTITUTE(REGEXEXTRACT(A8818, ""[^-]+- [^-]+- [^-]+ - (.+?)\.jpg""), "".jpg"", """"), ""-"", "", ""), """")"),"")</f>
        <v/>
      </c>
      <c r="L8818" s="12"/>
      <c r="M8818" s="13"/>
      <c r="N8818" s="2"/>
      <c r="O8818" s="20"/>
      <c r="P8818" s="42"/>
      <c r="R8818" s="23"/>
    </row>
    <row r="8819" spans="1:18" ht="12.75">
      <c r="A8819" s="12"/>
      <c r="D8819" s="12"/>
      <c r="E8819" s="12"/>
      <c r="H8819" s="11" t="str">
        <f ca="1">IFERROR(__xludf.DUMMYFUNCTION("IFERROR(SUBSTITUTE(SUBSTITUTE(REGEXEXTRACT(A8819, ""[^-]+- [^-]+- [^-]+ - (.+?)\.jpg""), "".jpg"", """"), ""-"", "", ""), """")"),"")</f>
        <v/>
      </c>
      <c r="L8819" s="12"/>
      <c r="M8819" s="13"/>
      <c r="N8819" s="2"/>
      <c r="O8819" s="20"/>
      <c r="P8819" s="42"/>
      <c r="R8819" s="23"/>
    </row>
    <row r="8820" spans="1:18" ht="12.75">
      <c r="A8820" s="12"/>
      <c r="D8820" s="12"/>
      <c r="E8820" s="12"/>
      <c r="H8820" s="11" t="str">
        <f ca="1">IFERROR(__xludf.DUMMYFUNCTION("IFERROR(SUBSTITUTE(SUBSTITUTE(REGEXEXTRACT(A8820, ""[^-]+- [^-]+- [^-]+ - (.+?)\.jpg""), "".jpg"", """"), ""-"", "", ""), """")"),"")</f>
        <v/>
      </c>
      <c r="L8820" s="12"/>
      <c r="M8820" s="13"/>
      <c r="N8820" s="2"/>
      <c r="O8820" s="20"/>
      <c r="P8820" s="42"/>
      <c r="R8820" s="23"/>
    </row>
    <row r="8821" spans="1:18" ht="12.75">
      <c r="A8821" s="12"/>
      <c r="D8821" s="12"/>
      <c r="E8821" s="12"/>
      <c r="H8821" s="11" t="str">
        <f ca="1">IFERROR(__xludf.DUMMYFUNCTION("IFERROR(SUBSTITUTE(SUBSTITUTE(REGEXEXTRACT(A8821, ""[^-]+- [^-]+- [^-]+ - (.+?)\.jpg""), "".jpg"", """"), ""-"", "", ""), """")"),"")</f>
        <v/>
      </c>
      <c r="L8821" s="12"/>
      <c r="M8821" s="13"/>
      <c r="N8821" s="2"/>
      <c r="O8821" s="20"/>
      <c r="P8821" s="42"/>
      <c r="R8821" s="23"/>
    </row>
    <row r="8822" spans="1:18" ht="12.75">
      <c r="A8822" s="12"/>
      <c r="D8822" s="12"/>
      <c r="E8822" s="12"/>
      <c r="H8822" s="11" t="str">
        <f ca="1">IFERROR(__xludf.DUMMYFUNCTION("IFERROR(SUBSTITUTE(SUBSTITUTE(REGEXEXTRACT(A8822, ""[^-]+- [^-]+- [^-]+ - (.+?)\.jpg""), "".jpg"", """"), ""-"", "", ""), """")"),"")</f>
        <v/>
      </c>
      <c r="L8822" s="12"/>
      <c r="M8822" s="13"/>
      <c r="N8822" s="2"/>
      <c r="O8822" s="20"/>
      <c r="P8822" s="42"/>
      <c r="R8822" s="23"/>
    </row>
    <row r="8823" spans="1:18" ht="12.75">
      <c r="A8823" s="12"/>
      <c r="D8823" s="12"/>
      <c r="E8823" s="12"/>
      <c r="H8823" s="11" t="str">
        <f ca="1">IFERROR(__xludf.DUMMYFUNCTION("IFERROR(SUBSTITUTE(SUBSTITUTE(REGEXEXTRACT(A8823, ""[^-]+- [^-]+- [^-]+ - (.+?)\.jpg""), "".jpg"", """"), ""-"", "", ""), """")"),"")</f>
        <v/>
      </c>
      <c r="L8823" s="12"/>
      <c r="M8823" s="13"/>
      <c r="N8823" s="2"/>
      <c r="O8823" s="20"/>
      <c r="P8823" s="42"/>
      <c r="R8823" s="23"/>
    </row>
    <row r="8824" spans="1:18" ht="12.75">
      <c r="A8824" s="12"/>
      <c r="D8824" s="12"/>
      <c r="E8824" s="12"/>
      <c r="H8824" s="11" t="str">
        <f ca="1">IFERROR(__xludf.DUMMYFUNCTION("IFERROR(SUBSTITUTE(SUBSTITUTE(REGEXEXTRACT(A8824, ""[^-]+- [^-]+- [^-]+ - (.+?)\.jpg""), "".jpg"", """"), ""-"", "", ""), """")"),"")</f>
        <v/>
      </c>
      <c r="L8824" s="12"/>
      <c r="M8824" s="13"/>
      <c r="N8824" s="2"/>
      <c r="O8824" s="20"/>
      <c r="P8824" s="42"/>
      <c r="R8824" s="23"/>
    </row>
    <row r="8825" spans="1:18" ht="12.75">
      <c r="A8825" s="12"/>
      <c r="D8825" s="12"/>
      <c r="E8825" s="12"/>
      <c r="H8825" s="11" t="str">
        <f ca="1">IFERROR(__xludf.DUMMYFUNCTION("IFERROR(SUBSTITUTE(SUBSTITUTE(REGEXEXTRACT(A8825, ""[^-]+- [^-]+- [^-]+ - (.+?)\.jpg""), "".jpg"", """"), ""-"", "", ""), """")"),"")</f>
        <v/>
      </c>
      <c r="L8825" s="12"/>
      <c r="M8825" s="13"/>
      <c r="N8825" s="2"/>
      <c r="O8825" s="20"/>
      <c r="P8825" s="42"/>
      <c r="R8825" s="23"/>
    </row>
    <row r="8826" spans="1:18" ht="12.75">
      <c r="A8826" s="12"/>
      <c r="D8826" s="12"/>
      <c r="E8826" s="12"/>
      <c r="H8826" s="11" t="str">
        <f ca="1">IFERROR(__xludf.DUMMYFUNCTION("IFERROR(SUBSTITUTE(SUBSTITUTE(REGEXEXTRACT(A8826, ""[^-]+- [^-]+- [^-]+ - (.+?)\.jpg""), "".jpg"", """"), ""-"", "", ""), """")"),"")</f>
        <v/>
      </c>
      <c r="L8826" s="12"/>
      <c r="M8826" s="13"/>
      <c r="N8826" s="2"/>
      <c r="O8826" s="20"/>
      <c r="P8826" s="42"/>
      <c r="R8826" s="23"/>
    </row>
    <row r="8827" spans="1:18" ht="12.75">
      <c r="A8827" s="12"/>
      <c r="D8827" s="12"/>
      <c r="E8827" s="12"/>
      <c r="H8827" s="11" t="str">
        <f ca="1">IFERROR(__xludf.DUMMYFUNCTION("IFERROR(SUBSTITUTE(SUBSTITUTE(REGEXEXTRACT(A8827, ""[^-]+- [^-]+- [^-]+ - (.+?)\.jpg""), "".jpg"", """"), ""-"", "", ""), """")"),"")</f>
        <v/>
      </c>
      <c r="L8827" s="12"/>
      <c r="M8827" s="13"/>
      <c r="N8827" s="2"/>
      <c r="O8827" s="20"/>
      <c r="P8827" s="42"/>
      <c r="R8827" s="23"/>
    </row>
    <row r="8828" spans="1:18" ht="12.75">
      <c r="A8828" s="12"/>
      <c r="D8828" s="12"/>
      <c r="E8828" s="12"/>
      <c r="H8828" s="11" t="str">
        <f ca="1">IFERROR(__xludf.DUMMYFUNCTION("IFERROR(SUBSTITUTE(SUBSTITUTE(REGEXEXTRACT(A8828, ""[^-]+- [^-]+- [^-]+ - (.+?)\.jpg""), "".jpg"", """"), ""-"", "", ""), """")"),"")</f>
        <v/>
      </c>
      <c r="L8828" s="12"/>
      <c r="M8828" s="13"/>
      <c r="N8828" s="2"/>
      <c r="O8828" s="20"/>
      <c r="P8828" s="42"/>
      <c r="R8828" s="23"/>
    </row>
    <row r="8829" spans="1:18" ht="12.75">
      <c r="A8829" s="12"/>
      <c r="D8829" s="12"/>
      <c r="E8829" s="12"/>
      <c r="H8829" s="11" t="str">
        <f ca="1">IFERROR(__xludf.DUMMYFUNCTION("IFERROR(SUBSTITUTE(SUBSTITUTE(REGEXEXTRACT(A8829, ""[^-]+- [^-]+- [^-]+ - (.+?)\.jpg""), "".jpg"", """"), ""-"", "", ""), """")"),"")</f>
        <v/>
      </c>
      <c r="L8829" s="12"/>
      <c r="M8829" s="13"/>
      <c r="N8829" s="2"/>
      <c r="O8829" s="20"/>
      <c r="P8829" s="42"/>
      <c r="R8829" s="23"/>
    </row>
    <row r="8830" spans="1:18" ht="12.75">
      <c r="A8830" s="12"/>
      <c r="D8830" s="12"/>
      <c r="E8830" s="12"/>
      <c r="H8830" s="11" t="str">
        <f ca="1">IFERROR(__xludf.DUMMYFUNCTION("IFERROR(SUBSTITUTE(SUBSTITUTE(REGEXEXTRACT(A8830, ""[^-]+- [^-]+- [^-]+ - (.+?)\.jpg""), "".jpg"", """"), ""-"", "", ""), """")"),"")</f>
        <v/>
      </c>
      <c r="L8830" s="12"/>
      <c r="M8830" s="13"/>
      <c r="N8830" s="2"/>
      <c r="O8830" s="20"/>
      <c r="P8830" s="42"/>
      <c r="R8830" s="23"/>
    </row>
    <row r="8831" spans="1:18" ht="12.75">
      <c r="A8831" s="12"/>
      <c r="D8831" s="12"/>
      <c r="E8831" s="12"/>
      <c r="H8831" s="11" t="str">
        <f ca="1">IFERROR(__xludf.DUMMYFUNCTION("IFERROR(SUBSTITUTE(SUBSTITUTE(REGEXEXTRACT(A8831, ""[^-]+- [^-]+- [^-]+ - (.+?)\.jpg""), "".jpg"", """"), ""-"", "", ""), """")"),"")</f>
        <v/>
      </c>
      <c r="L8831" s="12"/>
      <c r="M8831" s="13"/>
      <c r="N8831" s="2"/>
      <c r="O8831" s="20"/>
      <c r="P8831" s="42"/>
      <c r="R8831" s="23"/>
    </row>
    <row r="8832" spans="1:18" ht="12.75">
      <c r="A8832" s="12"/>
      <c r="D8832" s="12"/>
      <c r="E8832" s="12"/>
      <c r="H8832" s="11" t="str">
        <f ca="1">IFERROR(__xludf.DUMMYFUNCTION("IFERROR(SUBSTITUTE(SUBSTITUTE(REGEXEXTRACT(A8832, ""[^-]+- [^-]+- [^-]+ - (.+?)\.jpg""), "".jpg"", """"), ""-"", "", ""), """")"),"")</f>
        <v/>
      </c>
      <c r="L8832" s="12"/>
      <c r="M8832" s="13"/>
      <c r="N8832" s="2"/>
      <c r="O8832" s="20"/>
      <c r="P8832" s="42"/>
      <c r="R8832" s="23"/>
    </row>
    <row r="8833" spans="1:18" ht="12.75">
      <c r="A8833" s="12"/>
      <c r="D8833" s="12"/>
      <c r="E8833" s="12"/>
      <c r="H8833" s="11" t="str">
        <f ca="1">IFERROR(__xludf.DUMMYFUNCTION("IFERROR(SUBSTITUTE(SUBSTITUTE(REGEXEXTRACT(A8833, ""[^-]+- [^-]+- [^-]+ - (.+?)\.jpg""), "".jpg"", """"), ""-"", "", ""), """")"),"")</f>
        <v/>
      </c>
      <c r="L8833" s="12"/>
      <c r="M8833" s="13"/>
      <c r="N8833" s="2"/>
      <c r="O8833" s="20"/>
      <c r="P8833" s="42"/>
      <c r="R8833" s="23"/>
    </row>
    <row r="8834" spans="1:18" ht="12.75">
      <c r="A8834" s="12"/>
      <c r="D8834" s="12"/>
      <c r="E8834" s="12"/>
      <c r="H8834" s="11" t="str">
        <f ca="1">IFERROR(__xludf.DUMMYFUNCTION("IFERROR(SUBSTITUTE(SUBSTITUTE(REGEXEXTRACT(A8834, ""[^-]+- [^-]+- [^-]+ - (.+?)\.jpg""), "".jpg"", """"), ""-"", "", ""), """")"),"")</f>
        <v/>
      </c>
      <c r="L8834" s="12"/>
      <c r="M8834" s="13"/>
      <c r="N8834" s="2"/>
      <c r="O8834" s="20"/>
      <c r="P8834" s="42"/>
      <c r="R8834" s="23"/>
    </row>
    <row r="8835" spans="1:18" ht="12.75">
      <c r="A8835" s="12"/>
      <c r="D8835" s="12"/>
      <c r="E8835" s="12"/>
      <c r="H8835" s="11" t="str">
        <f ca="1">IFERROR(__xludf.DUMMYFUNCTION("IFERROR(SUBSTITUTE(SUBSTITUTE(REGEXEXTRACT(A8835, ""[^-]+- [^-]+- [^-]+ - (.+?)\.jpg""), "".jpg"", """"), ""-"", "", ""), """")"),"")</f>
        <v/>
      </c>
      <c r="L8835" s="12"/>
      <c r="M8835" s="13"/>
      <c r="N8835" s="2"/>
      <c r="O8835" s="20"/>
      <c r="P8835" s="42"/>
      <c r="R8835" s="23"/>
    </row>
    <row r="8836" spans="1:18" ht="12.75">
      <c r="A8836" s="12"/>
      <c r="D8836" s="12"/>
      <c r="E8836" s="12"/>
      <c r="H8836" s="11" t="str">
        <f ca="1">IFERROR(__xludf.DUMMYFUNCTION("IFERROR(SUBSTITUTE(SUBSTITUTE(REGEXEXTRACT(A8836, ""[^-]+- [^-]+- [^-]+ - (.+?)\.jpg""), "".jpg"", """"), ""-"", "", ""), """")"),"")</f>
        <v/>
      </c>
      <c r="L8836" s="12"/>
      <c r="M8836" s="13"/>
      <c r="N8836" s="2"/>
      <c r="O8836" s="20"/>
      <c r="P8836" s="42"/>
      <c r="R8836" s="23"/>
    </row>
    <row r="8837" spans="1:18" ht="12.75">
      <c r="A8837" s="12"/>
      <c r="D8837" s="12"/>
      <c r="E8837" s="12"/>
      <c r="H8837" s="11" t="str">
        <f ca="1">IFERROR(__xludf.DUMMYFUNCTION("IFERROR(SUBSTITUTE(SUBSTITUTE(REGEXEXTRACT(A8837, ""[^-]+- [^-]+- [^-]+ - (.+?)\.jpg""), "".jpg"", """"), ""-"", "", ""), """")"),"")</f>
        <v/>
      </c>
      <c r="L8837" s="12"/>
      <c r="M8837" s="13"/>
      <c r="N8837" s="2"/>
      <c r="O8837" s="20"/>
      <c r="P8837" s="42"/>
      <c r="R8837" s="23"/>
    </row>
    <row r="8838" spans="1:18" ht="12.75">
      <c r="A8838" s="12"/>
      <c r="D8838" s="12"/>
      <c r="E8838" s="12"/>
      <c r="H8838" s="11" t="str">
        <f ca="1">IFERROR(__xludf.DUMMYFUNCTION("IFERROR(SUBSTITUTE(SUBSTITUTE(REGEXEXTRACT(A8838, ""[^-]+- [^-]+- [^-]+ - (.+?)\.jpg""), "".jpg"", """"), ""-"", "", ""), """")"),"")</f>
        <v/>
      </c>
      <c r="L8838" s="12"/>
      <c r="M8838" s="13"/>
      <c r="N8838" s="2"/>
      <c r="O8838" s="20"/>
      <c r="P8838" s="42"/>
      <c r="R8838" s="23"/>
    </row>
    <row r="8839" spans="1:18" ht="12.75">
      <c r="A8839" s="12"/>
      <c r="D8839" s="12"/>
      <c r="E8839" s="12"/>
      <c r="H8839" s="11" t="str">
        <f ca="1">IFERROR(__xludf.DUMMYFUNCTION("IFERROR(SUBSTITUTE(SUBSTITUTE(REGEXEXTRACT(A8839, ""[^-]+- [^-]+- [^-]+ - (.+?)\.jpg""), "".jpg"", """"), ""-"", "", ""), """")"),"")</f>
        <v/>
      </c>
      <c r="L8839" s="12"/>
      <c r="M8839" s="13"/>
      <c r="N8839" s="2"/>
      <c r="O8839" s="20"/>
      <c r="P8839" s="42"/>
      <c r="R8839" s="23"/>
    </row>
    <row r="8840" spans="1:18" ht="12.75">
      <c r="A8840" s="12"/>
      <c r="D8840" s="12"/>
      <c r="E8840" s="12"/>
      <c r="H8840" s="11" t="str">
        <f ca="1">IFERROR(__xludf.DUMMYFUNCTION("IFERROR(SUBSTITUTE(SUBSTITUTE(REGEXEXTRACT(A8840, ""[^-]+- [^-]+- [^-]+ - (.+?)\.jpg""), "".jpg"", """"), ""-"", "", ""), """")"),"")</f>
        <v/>
      </c>
      <c r="L8840" s="12"/>
      <c r="M8840" s="13"/>
      <c r="N8840" s="2"/>
      <c r="O8840" s="20"/>
      <c r="P8840" s="42"/>
      <c r="R8840" s="23"/>
    </row>
    <row r="8841" spans="1:18" ht="12.75">
      <c r="A8841" s="12"/>
      <c r="D8841" s="12"/>
      <c r="E8841" s="12"/>
      <c r="H8841" s="11" t="str">
        <f ca="1">IFERROR(__xludf.DUMMYFUNCTION("IFERROR(SUBSTITUTE(SUBSTITUTE(REGEXEXTRACT(A8841, ""[^-]+- [^-]+- [^-]+ - (.+?)\.jpg""), "".jpg"", """"), ""-"", "", ""), """")"),"")</f>
        <v/>
      </c>
      <c r="L8841" s="12"/>
      <c r="M8841" s="13"/>
      <c r="N8841" s="2"/>
      <c r="O8841" s="20"/>
      <c r="P8841" s="42"/>
      <c r="R8841" s="23"/>
    </row>
    <row r="8842" spans="1:18" ht="12.75">
      <c r="A8842" s="12"/>
      <c r="D8842" s="12"/>
      <c r="E8842" s="12"/>
      <c r="H8842" s="11" t="str">
        <f ca="1">IFERROR(__xludf.DUMMYFUNCTION("IFERROR(SUBSTITUTE(SUBSTITUTE(REGEXEXTRACT(A8842, ""[^-]+- [^-]+- [^-]+ - (.+?)\.jpg""), "".jpg"", """"), ""-"", "", ""), """")"),"")</f>
        <v/>
      </c>
      <c r="L8842" s="12"/>
      <c r="M8842" s="13"/>
      <c r="N8842" s="2"/>
      <c r="O8842" s="20"/>
      <c r="P8842" s="42"/>
      <c r="R8842" s="23"/>
    </row>
    <row r="8843" spans="1:18" ht="12.75">
      <c r="A8843" s="12"/>
      <c r="D8843" s="12"/>
      <c r="E8843" s="12"/>
      <c r="H8843" s="11" t="str">
        <f ca="1">IFERROR(__xludf.DUMMYFUNCTION("IFERROR(SUBSTITUTE(SUBSTITUTE(REGEXEXTRACT(A8843, ""[^-]+- [^-]+- [^-]+ - (.+?)\.jpg""), "".jpg"", """"), ""-"", "", ""), """")"),"")</f>
        <v/>
      </c>
      <c r="L8843" s="12"/>
      <c r="M8843" s="13"/>
      <c r="N8843" s="2"/>
      <c r="O8843" s="20"/>
      <c r="P8843" s="42"/>
      <c r="R8843" s="23"/>
    </row>
    <row r="8844" spans="1:18" ht="12.75">
      <c r="A8844" s="12"/>
      <c r="D8844" s="12"/>
      <c r="E8844" s="12"/>
      <c r="H8844" s="11" t="str">
        <f ca="1">IFERROR(__xludf.DUMMYFUNCTION("IFERROR(SUBSTITUTE(SUBSTITUTE(REGEXEXTRACT(A8844, ""[^-]+- [^-]+- [^-]+ - (.+?)\.jpg""), "".jpg"", """"), ""-"", "", ""), """")"),"")</f>
        <v/>
      </c>
      <c r="L8844" s="12"/>
      <c r="M8844" s="13"/>
      <c r="N8844" s="2"/>
      <c r="O8844" s="20"/>
      <c r="P8844" s="42"/>
      <c r="R8844" s="23"/>
    </row>
    <row r="8845" spans="1:18" ht="12.75">
      <c r="A8845" s="12"/>
      <c r="D8845" s="12"/>
      <c r="E8845" s="12"/>
      <c r="H8845" s="11" t="str">
        <f ca="1">IFERROR(__xludf.DUMMYFUNCTION("IFERROR(SUBSTITUTE(SUBSTITUTE(REGEXEXTRACT(A8845, ""[^-]+- [^-]+- [^-]+ - (.+?)\.jpg""), "".jpg"", """"), ""-"", "", ""), """")"),"")</f>
        <v/>
      </c>
      <c r="L8845" s="12"/>
      <c r="M8845" s="13"/>
      <c r="N8845" s="2"/>
      <c r="O8845" s="20"/>
      <c r="P8845" s="42"/>
      <c r="R8845" s="23"/>
    </row>
    <row r="8846" spans="1:18" ht="12.75">
      <c r="A8846" s="12"/>
      <c r="D8846" s="12"/>
      <c r="E8846" s="12"/>
      <c r="H8846" s="11" t="str">
        <f ca="1">IFERROR(__xludf.DUMMYFUNCTION("IFERROR(SUBSTITUTE(SUBSTITUTE(REGEXEXTRACT(A8846, ""[^-]+- [^-]+- [^-]+ - (.+?)\.jpg""), "".jpg"", """"), ""-"", "", ""), """")"),"")</f>
        <v/>
      </c>
      <c r="L8846" s="12"/>
      <c r="M8846" s="13"/>
      <c r="N8846" s="2"/>
      <c r="O8846" s="20"/>
      <c r="P8846" s="42"/>
      <c r="R8846" s="23"/>
    </row>
    <row r="8847" spans="1:18" ht="12.75">
      <c r="A8847" s="12"/>
      <c r="D8847" s="12"/>
      <c r="E8847" s="12"/>
      <c r="H8847" s="11" t="str">
        <f ca="1">IFERROR(__xludf.DUMMYFUNCTION("IFERROR(SUBSTITUTE(SUBSTITUTE(REGEXEXTRACT(A8847, ""[^-]+- [^-]+- [^-]+ - (.+?)\.jpg""), "".jpg"", """"), ""-"", "", ""), """")"),"")</f>
        <v/>
      </c>
      <c r="L8847" s="12"/>
      <c r="M8847" s="13"/>
      <c r="N8847" s="2"/>
      <c r="O8847" s="20"/>
      <c r="P8847" s="42"/>
      <c r="R8847" s="23"/>
    </row>
    <row r="8848" spans="1:18" ht="12.75">
      <c r="A8848" s="12"/>
      <c r="D8848" s="12"/>
      <c r="E8848" s="12"/>
      <c r="H8848" s="11" t="str">
        <f ca="1">IFERROR(__xludf.DUMMYFUNCTION("IFERROR(SUBSTITUTE(SUBSTITUTE(REGEXEXTRACT(A8848, ""[^-]+- [^-]+- [^-]+ - (.+?)\.jpg""), "".jpg"", """"), ""-"", "", ""), """")"),"")</f>
        <v/>
      </c>
      <c r="L8848" s="12"/>
      <c r="M8848" s="13"/>
      <c r="N8848" s="2"/>
      <c r="O8848" s="20"/>
      <c r="P8848" s="42"/>
      <c r="R8848" s="23"/>
    </row>
    <row r="8849" spans="1:18" ht="12.75">
      <c r="A8849" s="12"/>
      <c r="D8849" s="12"/>
      <c r="E8849" s="12"/>
      <c r="H8849" s="11" t="str">
        <f ca="1">IFERROR(__xludf.DUMMYFUNCTION("IFERROR(SUBSTITUTE(SUBSTITUTE(REGEXEXTRACT(A8849, ""[^-]+- [^-]+- [^-]+ - (.+?)\.jpg""), "".jpg"", """"), ""-"", "", ""), """")"),"")</f>
        <v/>
      </c>
      <c r="L8849" s="12"/>
      <c r="M8849" s="13"/>
      <c r="N8849" s="2"/>
      <c r="O8849" s="20"/>
      <c r="P8849" s="42"/>
      <c r="R8849" s="23"/>
    </row>
    <row r="8850" spans="1:18" ht="12.75">
      <c r="A8850" s="12"/>
      <c r="D8850" s="12"/>
      <c r="E8850" s="12"/>
      <c r="H8850" s="11" t="str">
        <f ca="1">IFERROR(__xludf.DUMMYFUNCTION("IFERROR(SUBSTITUTE(SUBSTITUTE(REGEXEXTRACT(A8850, ""[^-]+- [^-]+- [^-]+ - (.+?)\.jpg""), "".jpg"", """"), ""-"", "", ""), """")"),"")</f>
        <v/>
      </c>
      <c r="L8850" s="12"/>
      <c r="M8850" s="13"/>
      <c r="N8850" s="2"/>
      <c r="O8850" s="20"/>
      <c r="P8850" s="42"/>
      <c r="R8850" s="23"/>
    </row>
    <row r="8851" spans="1:18" ht="12.75">
      <c r="A8851" s="12"/>
      <c r="D8851" s="12"/>
      <c r="E8851" s="12"/>
      <c r="H8851" s="11" t="str">
        <f ca="1">IFERROR(__xludf.DUMMYFUNCTION("IFERROR(SUBSTITUTE(SUBSTITUTE(REGEXEXTRACT(A8851, ""[^-]+- [^-]+- [^-]+ - (.+?)\.jpg""), "".jpg"", """"), ""-"", "", ""), """")"),"")</f>
        <v/>
      </c>
      <c r="L8851" s="12"/>
      <c r="M8851" s="13"/>
      <c r="N8851" s="2"/>
      <c r="O8851" s="20"/>
      <c r="P8851" s="42"/>
      <c r="R8851" s="23"/>
    </row>
    <row r="8852" spans="1:18" ht="12.75">
      <c r="A8852" s="12"/>
      <c r="D8852" s="12"/>
      <c r="E8852" s="12"/>
      <c r="H8852" s="11" t="str">
        <f ca="1">IFERROR(__xludf.DUMMYFUNCTION("IFERROR(SUBSTITUTE(SUBSTITUTE(REGEXEXTRACT(A8852, ""[^-]+- [^-]+- [^-]+ - (.+?)\.jpg""), "".jpg"", """"), ""-"", "", ""), """")"),"")</f>
        <v/>
      </c>
      <c r="L8852" s="12"/>
      <c r="M8852" s="13"/>
      <c r="N8852" s="2"/>
      <c r="O8852" s="20"/>
      <c r="P8852" s="42"/>
      <c r="R8852" s="23"/>
    </row>
    <row r="8853" spans="1:18" ht="12.75">
      <c r="A8853" s="12"/>
      <c r="D8853" s="12"/>
      <c r="E8853" s="12"/>
      <c r="H8853" s="11" t="str">
        <f ca="1">IFERROR(__xludf.DUMMYFUNCTION("IFERROR(SUBSTITUTE(SUBSTITUTE(REGEXEXTRACT(A8853, ""[^-]+- [^-]+- [^-]+ - (.+?)\.jpg""), "".jpg"", """"), ""-"", "", ""), """")"),"")</f>
        <v/>
      </c>
      <c r="L8853" s="12"/>
      <c r="M8853" s="13"/>
      <c r="N8853" s="2"/>
      <c r="O8853" s="20"/>
      <c r="P8853" s="42"/>
      <c r="R8853" s="23"/>
    </row>
    <row r="8854" spans="1:18" ht="12.75">
      <c r="A8854" s="12"/>
      <c r="D8854" s="12"/>
      <c r="E8854" s="12"/>
      <c r="H8854" s="11" t="str">
        <f ca="1">IFERROR(__xludf.DUMMYFUNCTION("IFERROR(SUBSTITUTE(SUBSTITUTE(REGEXEXTRACT(A8854, ""[^-]+- [^-]+- [^-]+ - (.+?)\.jpg""), "".jpg"", """"), ""-"", "", ""), """")"),"")</f>
        <v/>
      </c>
      <c r="L8854" s="12"/>
      <c r="M8854" s="13"/>
      <c r="N8854" s="2"/>
      <c r="O8854" s="20"/>
      <c r="P8854" s="42"/>
      <c r="R8854" s="23"/>
    </row>
    <row r="8855" spans="1:18" ht="12.75">
      <c r="A8855" s="12"/>
      <c r="D8855" s="12"/>
      <c r="E8855" s="12"/>
      <c r="H8855" s="11" t="str">
        <f ca="1">IFERROR(__xludf.DUMMYFUNCTION("IFERROR(SUBSTITUTE(SUBSTITUTE(REGEXEXTRACT(A8855, ""[^-]+- [^-]+- [^-]+ - (.+?)\.jpg""), "".jpg"", """"), ""-"", "", ""), """")"),"")</f>
        <v/>
      </c>
      <c r="L8855" s="12"/>
      <c r="M8855" s="13"/>
      <c r="N8855" s="2"/>
      <c r="O8855" s="20"/>
      <c r="P8855" s="42"/>
      <c r="R8855" s="23"/>
    </row>
    <row r="8856" spans="1:18" ht="12.75">
      <c r="A8856" s="12"/>
      <c r="D8856" s="12"/>
      <c r="E8856" s="12"/>
      <c r="H8856" s="11" t="str">
        <f ca="1">IFERROR(__xludf.DUMMYFUNCTION("IFERROR(SUBSTITUTE(SUBSTITUTE(REGEXEXTRACT(A8856, ""[^-]+- [^-]+- [^-]+ - (.+?)\.jpg""), "".jpg"", """"), ""-"", "", ""), """")"),"")</f>
        <v/>
      </c>
      <c r="L8856" s="12"/>
      <c r="M8856" s="13"/>
      <c r="N8856" s="2"/>
      <c r="O8856" s="20"/>
      <c r="P8856" s="42"/>
      <c r="R8856" s="23"/>
    </row>
    <row r="8857" spans="1:18" ht="12.75">
      <c r="A8857" s="12"/>
      <c r="D8857" s="12"/>
      <c r="E8857" s="12"/>
      <c r="H8857" s="11" t="str">
        <f ca="1">IFERROR(__xludf.DUMMYFUNCTION("IFERROR(SUBSTITUTE(SUBSTITUTE(REGEXEXTRACT(A8857, ""[^-]+- [^-]+- [^-]+ - (.+?)\.jpg""), "".jpg"", """"), ""-"", "", ""), """")"),"")</f>
        <v/>
      </c>
      <c r="L8857" s="12"/>
      <c r="M8857" s="13"/>
      <c r="N8857" s="2"/>
      <c r="O8857" s="20"/>
      <c r="P8857" s="42"/>
      <c r="R8857" s="23"/>
    </row>
    <row r="8858" spans="1:18" ht="12.75">
      <c r="A8858" s="12"/>
      <c r="D8858" s="12"/>
      <c r="E8858" s="12"/>
      <c r="H8858" s="11" t="str">
        <f ca="1">IFERROR(__xludf.DUMMYFUNCTION("IFERROR(SUBSTITUTE(SUBSTITUTE(REGEXEXTRACT(A8858, ""[^-]+- [^-]+- [^-]+ - (.+?)\.jpg""), "".jpg"", """"), ""-"", "", ""), """")"),"")</f>
        <v/>
      </c>
      <c r="L8858" s="12"/>
      <c r="M8858" s="13"/>
      <c r="N8858" s="2"/>
      <c r="O8858" s="20"/>
      <c r="P8858" s="42"/>
      <c r="R8858" s="23"/>
    </row>
    <row r="8859" spans="1:18" ht="12.75">
      <c r="A8859" s="12"/>
      <c r="D8859" s="12"/>
      <c r="E8859" s="12"/>
      <c r="H8859" s="11" t="str">
        <f ca="1">IFERROR(__xludf.DUMMYFUNCTION("IFERROR(SUBSTITUTE(SUBSTITUTE(REGEXEXTRACT(A8859, ""[^-]+- [^-]+- [^-]+ - (.+?)\.jpg""), "".jpg"", """"), ""-"", "", ""), """")"),"")</f>
        <v/>
      </c>
      <c r="L8859" s="12"/>
      <c r="M8859" s="13"/>
      <c r="N8859" s="2"/>
      <c r="O8859" s="20"/>
      <c r="P8859" s="42"/>
      <c r="R8859" s="23"/>
    </row>
    <row r="8860" spans="1:18" ht="12.75">
      <c r="A8860" s="12"/>
      <c r="D8860" s="12"/>
      <c r="E8860" s="12"/>
      <c r="H8860" s="11" t="str">
        <f ca="1">IFERROR(__xludf.DUMMYFUNCTION("IFERROR(SUBSTITUTE(SUBSTITUTE(REGEXEXTRACT(A8860, ""[^-]+- [^-]+- [^-]+ - (.+?)\.jpg""), "".jpg"", """"), ""-"", "", ""), """")"),"")</f>
        <v/>
      </c>
      <c r="L8860" s="12"/>
      <c r="M8860" s="13"/>
      <c r="N8860" s="2"/>
      <c r="O8860" s="20"/>
      <c r="P8860" s="42"/>
      <c r="R8860" s="23"/>
    </row>
    <row r="8861" spans="1:18" ht="12.75">
      <c r="A8861" s="12"/>
      <c r="D8861" s="12"/>
      <c r="E8861" s="12"/>
      <c r="H8861" s="11" t="str">
        <f ca="1">IFERROR(__xludf.DUMMYFUNCTION("IFERROR(SUBSTITUTE(SUBSTITUTE(REGEXEXTRACT(A8861, ""[^-]+- [^-]+- [^-]+ - (.+?)\.jpg""), "".jpg"", """"), ""-"", "", ""), """")"),"")</f>
        <v/>
      </c>
      <c r="L8861" s="12"/>
      <c r="M8861" s="13"/>
      <c r="N8861" s="2"/>
      <c r="O8861" s="20"/>
      <c r="P8861" s="42"/>
      <c r="R8861" s="23"/>
    </row>
    <row r="8862" spans="1:18" ht="12.75">
      <c r="A8862" s="12"/>
      <c r="D8862" s="12"/>
      <c r="E8862" s="12"/>
      <c r="H8862" s="11" t="str">
        <f ca="1">IFERROR(__xludf.DUMMYFUNCTION("IFERROR(SUBSTITUTE(SUBSTITUTE(REGEXEXTRACT(A8862, ""[^-]+- [^-]+- [^-]+ - (.+?)\.jpg""), "".jpg"", """"), ""-"", "", ""), """")"),"")</f>
        <v/>
      </c>
      <c r="L8862" s="12"/>
      <c r="M8862" s="13"/>
      <c r="N8862" s="2"/>
      <c r="O8862" s="20"/>
      <c r="P8862" s="42"/>
      <c r="R8862" s="23"/>
    </row>
    <row r="8863" spans="1:18" ht="12.75">
      <c r="A8863" s="12"/>
      <c r="D8863" s="12"/>
      <c r="E8863" s="12"/>
      <c r="H8863" s="11" t="str">
        <f ca="1">IFERROR(__xludf.DUMMYFUNCTION("IFERROR(SUBSTITUTE(SUBSTITUTE(REGEXEXTRACT(A8863, ""[^-]+- [^-]+- [^-]+ - (.+?)\.jpg""), "".jpg"", """"), ""-"", "", ""), """")"),"")</f>
        <v/>
      </c>
      <c r="L8863" s="12"/>
      <c r="M8863" s="13"/>
      <c r="N8863" s="2"/>
      <c r="O8863" s="20"/>
      <c r="P8863" s="42"/>
      <c r="R8863" s="23"/>
    </row>
    <row r="8864" spans="1:18" ht="12.75">
      <c r="A8864" s="12"/>
      <c r="D8864" s="12"/>
      <c r="E8864" s="12"/>
      <c r="H8864" s="11" t="str">
        <f ca="1">IFERROR(__xludf.DUMMYFUNCTION("IFERROR(SUBSTITUTE(SUBSTITUTE(REGEXEXTRACT(A8864, ""[^-]+- [^-]+- [^-]+ - (.+?)\.jpg""), "".jpg"", """"), ""-"", "", ""), """")"),"")</f>
        <v/>
      </c>
      <c r="L8864" s="12"/>
      <c r="M8864" s="13"/>
      <c r="N8864" s="2"/>
      <c r="O8864" s="20"/>
      <c r="P8864" s="42"/>
      <c r="R8864" s="23"/>
    </row>
    <row r="8865" spans="1:18" ht="12.75">
      <c r="A8865" s="12"/>
      <c r="D8865" s="12"/>
      <c r="E8865" s="12"/>
      <c r="H8865" s="11" t="str">
        <f ca="1">IFERROR(__xludf.DUMMYFUNCTION("IFERROR(SUBSTITUTE(SUBSTITUTE(REGEXEXTRACT(A8865, ""[^-]+- [^-]+- [^-]+ - (.+?)\.jpg""), "".jpg"", """"), ""-"", "", ""), """")"),"")</f>
        <v/>
      </c>
      <c r="L8865" s="12"/>
      <c r="M8865" s="13"/>
      <c r="N8865" s="2"/>
      <c r="O8865" s="20"/>
      <c r="P8865" s="42"/>
      <c r="R8865" s="23"/>
    </row>
    <row r="8866" spans="1:18" ht="12.75">
      <c r="A8866" s="12"/>
      <c r="D8866" s="12"/>
      <c r="E8866" s="12"/>
      <c r="H8866" s="11" t="str">
        <f ca="1">IFERROR(__xludf.DUMMYFUNCTION("IFERROR(SUBSTITUTE(SUBSTITUTE(REGEXEXTRACT(A8866, ""[^-]+- [^-]+- [^-]+ - (.+?)\.jpg""), "".jpg"", """"), ""-"", "", ""), """")"),"")</f>
        <v/>
      </c>
      <c r="L8866" s="12"/>
      <c r="M8866" s="13"/>
      <c r="N8866" s="2"/>
      <c r="O8866" s="20"/>
      <c r="P8866" s="42"/>
      <c r="R8866" s="23"/>
    </row>
    <row r="8867" spans="1:18" ht="12.75">
      <c r="A8867" s="12"/>
      <c r="D8867" s="12"/>
      <c r="E8867" s="12"/>
      <c r="H8867" s="11" t="str">
        <f ca="1">IFERROR(__xludf.DUMMYFUNCTION("IFERROR(SUBSTITUTE(SUBSTITUTE(REGEXEXTRACT(A8867, ""[^-]+- [^-]+- [^-]+ - (.+?)\.jpg""), "".jpg"", """"), ""-"", "", ""), """")"),"")</f>
        <v/>
      </c>
      <c r="L8867" s="12"/>
      <c r="M8867" s="13"/>
      <c r="N8867" s="2"/>
      <c r="O8867" s="20"/>
      <c r="P8867" s="42"/>
      <c r="R8867" s="23"/>
    </row>
    <row r="8868" spans="1:18" ht="12.75">
      <c r="A8868" s="12"/>
      <c r="D8868" s="12"/>
      <c r="E8868" s="12"/>
      <c r="H8868" s="11" t="str">
        <f ca="1">IFERROR(__xludf.DUMMYFUNCTION("IFERROR(SUBSTITUTE(SUBSTITUTE(REGEXEXTRACT(A8868, ""[^-]+- [^-]+- [^-]+ - (.+?)\.jpg""), "".jpg"", """"), ""-"", "", ""), """")"),"")</f>
        <v/>
      </c>
      <c r="L8868" s="12"/>
      <c r="M8868" s="13"/>
      <c r="N8868" s="2"/>
      <c r="O8868" s="20"/>
      <c r="P8868" s="42"/>
      <c r="R8868" s="23"/>
    </row>
    <row r="8869" spans="1:18" ht="12.75">
      <c r="A8869" s="12"/>
      <c r="D8869" s="12"/>
      <c r="E8869" s="12"/>
      <c r="H8869" s="11" t="str">
        <f ca="1">IFERROR(__xludf.DUMMYFUNCTION("IFERROR(SUBSTITUTE(SUBSTITUTE(REGEXEXTRACT(A8869, ""[^-]+- [^-]+- [^-]+ - (.+?)\.jpg""), "".jpg"", """"), ""-"", "", ""), """")"),"")</f>
        <v/>
      </c>
      <c r="L8869" s="12"/>
      <c r="M8869" s="13"/>
      <c r="N8869" s="2"/>
      <c r="O8869" s="20"/>
      <c r="P8869" s="42"/>
      <c r="R8869" s="23"/>
    </row>
    <row r="8870" spans="1:18" ht="12.75">
      <c r="A8870" s="12"/>
      <c r="D8870" s="12"/>
      <c r="E8870" s="12"/>
      <c r="H8870" s="11" t="str">
        <f ca="1">IFERROR(__xludf.DUMMYFUNCTION("IFERROR(SUBSTITUTE(SUBSTITUTE(REGEXEXTRACT(A8870, ""[^-]+- [^-]+- [^-]+ - (.+?)\.jpg""), "".jpg"", """"), ""-"", "", ""), """")"),"")</f>
        <v/>
      </c>
      <c r="L8870" s="12"/>
      <c r="M8870" s="13"/>
      <c r="N8870" s="2"/>
      <c r="O8870" s="20"/>
      <c r="P8870" s="42"/>
      <c r="R8870" s="23"/>
    </row>
    <row r="8871" spans="1:18" ht="12.75">
      <c r="A8871" s="12"/>
      <c r="D8871" s="12"/>
      <c r="E8871" s="12"/>
      <c r="H8871" s="11" t="str">
        <f ca="1">IFERROR(__xludf.DUMMYFUNCTION("IFERROR(SUBSTITUTE(SUBSTITUTE(REGEXEXTRACT(A8871, ""[^-]+- [^-]+- [^-]+ - (.+?)\.jpg""), "".jpg"", """"), ""-"", "", ""), """")"),"")</f>
        <v/>
      </c>
      <c r="L8871" s="12"/>
      <c r="M8871" s="13"/>
      <c r="N8871" s="2"/>
      <c r="O8871" s="20"/>
      <c r="P8871" s="42"/>
      <c r="R8871" s="23"/>
    </row>
    <row r="8872" spans="1:18" ht="12.75">
      <c r="A8872" s="12"/>
      <c r="D8872" s="12"/>
      <c r="E8872" s="12"/>
      <c r="H8872" s="11" t="str">
        <f ca="1">IFERROR(__xludf.DUMMYFUNCTION("IFERROR(SUBSTITUTE(SUBSTITUTE(REGEXEXTRACT(A8872, ""[^-]+- [^-]+- [^-]+ - (.+?)\.jpg""), "".jpg"", """"), ""-"", "", ""), """")"),"")</f>
        <v/>
      </c>
      <c r="L8872" s="12"/>
      <c r="M8872" s="13"/>
      <c r="N8872" s="2"/>
      <c r="O8872" s="20"/>
      <c r="P8872" s="42"/>
      <c r="R8872" s="23"/>
    </row>
    <row r="8873" spans="1:18" ht="12.75">
      <c r="A8873" s="12"/>
      <c r="D8873" s="12"/>
      <c r="E8873" s="12"/>
      <c r="H8873" s="11" t="str">
        <f ca="1">IFERROR(__xludf.DUMMYFUNCTION("IFERROR(SUBSTITUTE(SUBSTITUTE(REGEXEXTRACT(A8873, ""[^-]+- [^-]+- [^-]+ - (.+?)\.jpg""), "".jpg"", """"), ""-"", "", ""), """")"),"")</f>
        <v/>
      </c>
      <c r="L8873" s="12"/>
      <c r="M8873" s="13"/>
      <c r="N8873" s="2"/>
      <c r="O8873" s="20"/>
      <c r="P8873" s="42"/>
      <c r="R8873" s="23"/>
    </row>
    <row r="8874" spans="1:18" ht="12.75">
      <c r="A8874" s="12"/>
      <c r="D8874" s="12"/>
      <c r="E8874" s="12"/>
      <c r="H8874" s="11" t="str">
        <f ca="1">IFERROR(__xludf.DUMMYFUNCTION("IFERROR(SUBSTITUTE(SUBSTITUTE(REGEXEXTRACT(A8874, ""[^-]+- [^-]+- [^-]+ - (.+?)\.jpg""), "".jpg"", """"), ""-"", "", ""), """")"),"")</f>
        <v/>
      </c>
      <c r="L8874" s="12"/>
      <c r="M8874" s="13"/>
      <c r="N8874" s="2"/>
      <c r="O8874" s="20"/>
      <c r="P8874" s="42"/>
      <c r="R8874" s="23"/>
    </row>
    <row r="8875" spans="1:18" ht="12.75">
      <c r="A8875" s="12"/>
      <c r="D8875" s="12"/>
      <c r="E8875" s="12"/>
      <c r="H8875" s="11" t="str">
        <f ca="1">IFERROR(__xludf.DUMMYFUNCTION("IFERROR(SUBSTITUTE(SUBSTITUTE(REGEXEXTRACT(A8875, ""[^-]+- [^-]+- [^-]+ - (.+?)\.jpg""), "".jpg"", """"), ""-"", "", ""), """")"),"")</f>
        <v/>
      </c>
      <c r="L8875" s="12"/>
      <c r="M8875" s="13"/>
      <c r="N8875" s="2"/>
      <c r="O8875" s="20"/>
      <c r="P8875" s="42"/>
      <c r="R8875" s="23"/>
    </row>
    <row r="8876" spans="1:18" ht="12.75">
      <c r="A8876" s="12"/>
      <c r="D8876" s="12"/>
      <c r="E8876" s="12"/>
      <c r="H8876" s="11" t="str">
        <f ca="1">IFERROR(__xludf.DUMMYFUNCTION("IFERROR(SUBSTITUTE(SUBSTITUTE(REGEXEXTRACT(A8876, ""[^-]+- [^-]+- [^-]+ - (.+?)\.jpg""), "".jpg"", """"), ""-"", "", ""), """")"),"")</f>
        <v/>
      </c>
      <c r="L8876" s="12"/>
      <c r="M8876" s="13"/>
      <c r="N8876" s="2"/>
      <c r="O8876" s="20"/>
      <c r="P8876" s="42"/>
      <c r="R8876" s="23"/>
    </row>
    <row r="8877" spans="1:18" ht="12.75">
      <c r="A8877" s="12"/>
      <c r="D8877" s="12"/>
      <c r="E8877" s="12"/>
      <c r="H8877" s="11" t="str">
        <f ca="1">IFERROR(__xludf.DUMMYFUNCTION("IFERROR(SUBSTITUTE(SUBSTITUTE(REGEXEXTRACT(A8877, ""[^-]+- [^-]+- [^-]+ - (.+?)\.jpg""), "".jpg"", """"), ""-"", "", ""), """")"),"")</f>
        <v/>
      </c>
      <c r="L8877" s="12"/>
      <c r="M8877" s="13"/>
      <c r="N8877" s="2"/>
      <c r="O8877" s="20"/>
      <c r="P8877" s="42"/>
      <c r="R8877" s="23"/>
    </row>
    <row r="8878" spans="1:18" ht="12.75">
      <c r="A8878" s="12"/>
      <c r="D8878" s="12"/>
      <c r="E8878" s="12"/>
      <c r="H8878" s="11" t="str">
        <f ca="1">IFERROR(__xludf.DUMMYFUNCTION("IFERROR(SUBSTITUTE(SUBSTITUTE(REGEXEXTRACT(A8878, ""[^-]+- [^-]+- [^-]+ - (.+?)\.jpg""), "".jpg"", """"), ""-"", "", ""), """")"),"")</f>
        <v/>
      </c>
      <c r="L8878" s="12"/>
      <c r="M8878" s="13"/>
      <c r="N8878" s="2"/>
      <c r="O8878" s="20"/>
      <c r="P8878" s="42"/>
      <c r="R8878" s="23"/>
    </row>
    <row r="8879" spans="1:18" ht="12.75">
      <c r="A8879" s="12"/>
      <c r="D8879" s="12"/>
      <c r="E8879" s="12"/>
      <c r="H8879" s="11" t="str">
        <f ca="1">IFERROR(__xludf.DUMMYFUNCTION("IFERROR(SUBSTITUTE(SUBSTITUTE(REGEXEXTRACT(A8879, ""[^-]+- [^-]+- [^-]+ - (.+?)\.jpg""), "".jpg"", """"), ""-"", "", ""), """")"),"")</f>
        <v/>
      </c>
      <c r="L8879" s="12"/>
      <c r="M8879" s="13"/>
      <c r="N8879" s="2"/>
      <c r="O8879" s="20"/>
      <c r="P8879" s="42"/>
      <c r="R8879" s="23"/>
    </row>
    <row r="8880" spans="1:18" ht="12.75">
      <c r="A8880" s="12"/>
      <c r="D8880" s="12"/>
      <c r="E8880" s="12"/>
      <c r="H8880" s="11" t="str">
        <f ca="1">IFERROR(__xludf.DUMMYFUNCTION("IFERROR(SUBSTITUTE(SUBSTITUTE(REGEXEXTRACT(A8880, ""[^-]+- [^-]+- [^-]+ - (.+?)\.jpg""), "".jpg"", """"), ""-"", "", ""), """")"),"")</f>
        <v/>
      </c>
      <c r="L8880" s="12"/>
      <c r="M8880" s="13"/>
      <c r="N8880" s="2"/>
      <c r="O8880" s="20"/>
      <c r="P8880" s="42"/>
      <c r="R8880" s="23"/>
    </row>
    <row r="8881" spans="1:18" ht="12.75">
      <c r="A8881" s="12"/>
      <c r="D8881" s="12"/>
      <c r="E8881" s="12"/>
      <c r="H8881" s="11" t="str">
        <f ca="1">IFERROR(__xludf.DUMMYFUNCTION("IFERROR(SUBSTITUTE(SUBSTITUTE(REGEXEXTRACT(A8881, ""[^-]+- [^-]+- [^-]+ - (.+?)\.jpg""), "".jpg"", """"), ""-"", "", ""), """")"),"")</f>
        <v/>
      </c>
      <c r="L8881" s="12"/>
      <c r="M8881" s="13"/>
      <c r="N8881" s="2"/>
      <c r="O8881" s="20"/>
      <c r="P8881" s="42"/>
      <c r="R8881" s="23"/>
    </row>
    <row r="8882" spans="1:18" ht="12.75">
      <c r="A8882" s="12"/>
      <c r="D8882" s="12"/>
      <c r="E8882" s="12"/>
      <c r="H8882" s="11" t="str">
        <f ca="1">IFERROR(__xludf.DUMMYFUNCTION("IFERROR(SUBSTITUTE(SUBSTITUTE(REGEXEXTRACT(A8882, ""[^-]+- [^-]+- [^-]+ - (.+?)\.jpg""), "".jpg"", """"), ""-"", "", ""), """")"),"")</f>
        <v/>
      </c>
      <c r="L8882" s="12"/>
      <c r="M8882" s="13"/>
      <c r="N8882" s="2"/>
      <c r="O8882" s="20"/>
      <c r="P8882" s="42"/>
      <c r="R8882" s="23"/>
    </row>
    <row r="8883" spans="1:18" ht="12.75">
      <c r="A8883" s="12"/>
      <c r="D8883" s="12"/>
      <c r="E8883" s="12"/>
      <c r="H8883" s="11" t="str">
        <f ca="1">IFERROR(__xludf.DUMMYFUNCTION("IFERROR(SUBSTITUTE(SUBSTITUTE(REGEXEXTRACT(A8883, ""[^-]+- [^-]+- [^-]+ - (.+?)\.jpg""), "".jpg"", """"), ""-"", "", ""), """")"),"")</f>
        <v/>
      </c>
      <c r="L8883" s="12"/>
      <c r="M8883" s="13"/>
      <c r="N8883" s="2"/>
      <c r="O8883" s="20"/>
      <c r="P8883" s="42"/>
      <c r="R8883" s="23"/>
    </row>
    <row r="8884" spans="1:18" ht="12.75">
      <c r="A8884" s="12"/>
      <c r="D8884" s="12"/>
      <c r="E8884" s="12"/>
      <c r="H8884" s="11" t="str">
        <f ca="1">IFERROR(__xludf.DUMMYFUNCTION("IFERROR(SUBSTITUTE(SUBSTITUTE(REGEXEXTRACT(A8884, ""[^-]+- [^-]+- [^-]+ - (.+?)\.jpg""), "".jpg"", """"), ""-"", "", ""), """")"),"")</f>
        <v/>
      </c>
      <c r="L8884" s="12"/>
      <c r="M8884" s="13"/>
      <c r="N8884" s="2"/>
      <c r="O8884" s="20"/>
      <c r="P8884" s="42"/>
      <c r="R8884" s="23"/>
    </row>
    <row r="8885" spans="1:18" ht="12.75">
      <c r="A8885" s="12"/>
      <c r="D8885" s="12"/>
      <c r="E8885" s="12"/>
      <c r="H8885" s="11" t="str">
        <f ca="1">IFERROR(__xludf.DUMMYFUNCTION("IFERROR(SUBSTITUTE(SUBSTITUTE(REGEXEXTRACT(A8885, ""[^-]+- [^-]+- [^-]+ - (.+?)\.jpg""), "".jpg"", """"), ""-"", "", ""), """")"),"")</f>
        <v/>
      </c>
      <c r="L8885" s="12"/>
      <c r="M8885" s="13"/>
      <c r="N8885" s="2"/>
      <c r="O8885" s="20"/>
      <c r="P8885" s="42"/>
      <c r="R8885" s="23"/>
    </row>
    <row r="8886" spans="1:18" ht="12.75">
      <c r="A8886" s="12"/>
      <c r="D8886" s="12"/>
      <c r="E8886" s="12"/>
      <c r="H8886" s="11" t="str">
        <f ca="1">IFERROR(__xludf.DUMMYFUNCTION("IFERROR(SUBSTITUTE(SUBSTITUTE(REGEXEXTRACT(A8886, ""[^-]+- [^-]+- [^-]+ - (.+?)\.jpg""), "".jpg"", """"), ""-"", "", ""), """")"),"")</f>
        <v/>
      </c>
      <c r="L8886" s="12"/>
      <c r="M8886" s="13"/>
      <c r="N8886" s="2"/>
      <c r="O8886" s="20"/>
      <c r="P8886" s="42"/>
      <c r="R8886" s="23"/>
    </row>
    <row r="8887" spans="1:18" ht="12.75">
      <c r="A8887" s="12"/>
      <c r="D8887" s="12"/>
      <c r="E8887" s="12"/>
      <c r="H8887" s="11" t="str">
        <f ca="1">IFERROR(__xludf.DUMMYFUNCTION("IFERROR(SUBSTITUTE(SUBSTITUTE(REGEXEXTRACT(A8887, ""[^-]+- [^-]+- [^-]+ - (.+?)\.jpg""), "".jpg"", """"), ""-"", "", ""), """")"),"")</f>
        <v/>
      </c>
      <c r="L8887" s="12"/>
      <c r="M8887" s="13"/>
      <c r="N8887" s="2"/>
      <c r="O8887" s="20"/>
      <c r="P8887" s="42"/>
      <c r="R8887" s="23"/>
    </row>
    <row r="8888" spans="1:18" ht="12.75">
      <c r="A8888" s="12"/>
      <c r="D8888" s="12"/>
      <c r="E8888" s="12"/>
      <c r="H8888" s="11" t="str">
        <f ca="1">IFERROR(__xludf.DUMMYFUNCTION("IFERROR(SUBSTITUTE(SUBSTITUTE(REGEXEXTRACT(A8888, ""[^-]+- [^-]+- [^-]+ - (.+?)\.jpg""), "".jpg"", """"), ""-"", "", ""), """")"),"")</f>
        <v/>
      </c>
      <c r="L8888" s="12"/>
      <c r="M8888" s="13"/>
      <c r="N8888" s="2"/>
      <c r="O8888" s="20"/>
      <c r="P8888" s="42"/>
      <c r="R8888" s="23"/>
    </row>
    <row r="8889" spans="1:18" ht="12.75">
      <c r="A8889" s="12"/>
      <c r="D8889" s="12"/>
      <c r="E8889" s="12"/>
      <c r="H8889" s="11" t="str">
        <f ca="1">IFERROR(__xludf.DUMMYFUNCTION("IFERROR(SUBSTITUTE(SUBSTITUTE(REGEXEXTRACT(A8889, ""[^-]+- [^-]+- [^-]+ - (.+?)\.jpg""), "".jpg"", """"), ""-"", "", ""), """")"),"")</f>
        <v/>
      </c>
      <c r="L8889" s="12"/>
      <c r="M8889" s="13"/>
      <c r="N8889" s="2"/>
      <c r="O8889" s="20"/>
      <c r="P8889" s="42"/>
      <c r="R8889" s="23"/>
    </row>
    <row r="8890" spans="1:18" ht="12.75">
      <c r="A8890" s="12"/>
      <c r="D8890" s="12"/>
      <c r="E8890" s="12"/>
      <c r="H8890" s="11" t="str">
        <f ca="1">IFERROR(__xludf.DUMMYFUNCTION("IFERROR(SUBSTITUTE(SUBSTITUTE(REGEXEXTRACT(A8890, ""[^-]+- [^-]+- [^-]+ - (.+?)\.jpg""), "".jpg"", """"), ""-"", "", ""), """")"),"")</f>
        <v/>
      </c>
      <c r="L8890" s="12"/>
      <c r="M8890" s="13"/>
      <c r="N8890" s="2"/>
      <c r="O8890" s="20"/>
      <c r="P8890" s="42"/>
      <c r="R8890" s="23"/>
    </row>
    <row r="8891" spans="1:18" ht="12.75">
      <c r="A8891" s="12"/>
      <c r="D8891" s="12"/>
      <c r="E8891" s="12"/>
      <c r="H8891" s="11" t="str">
        <f ca="1">IFERROR(__xludf.DUMMYFUNCTION("IFERROR(SUBSTITUTE(SUBSTITUTE(REGEXEXTRACT(A8891, ""[^-]+- [^-]+- [^-]+ - (.+?)\.jpg""), "".jpg"", """"), ""-"", "", ""), """")"),"")</f>
        <v/>
      </c>
      <c r="L8891" s="12"/>
      <c r="M8891" s="13"/>
      <c r="N8891" s="2"/>
      <c r="O8891" s="20"/>
      <c r="P8891" s="42"/>
      <c r="R8891" s="23"/>
    </row>
    <row r="8892" spans="1:18" ht="12.75">
      <c r="A8892" s="12"/>
      <c r="D8892" s="12"/>
      <c r="E8892" s="12"/>
      <c r="H8892" s="11" t="str">
        <f ca="1">IFERROR(__xludf.DUMMYFUNCTION("IFERROR(SUBSTITUTE(SUBSTITUTE(REGEXEXTRACT(A8892, ""[^-]+- [^-]+- [^-]+ - (.+?)\.jpg""), "".jpg"", """"), ""-"", "", ""), """")"),"")</f>
        <v/>
      </c>
      <c r="L8892" s="12"/>
      <c r="M8892" s="13"/>
      <c r="N8892" s="2"/>
      <c r="O8892" s="20"/>
      <c r="P8892" s="42"/>
      <c r="R8892" s="23"/>
    </row>
    <row r="8893" spans="1:18" ht="12.75">
      <c r="A8893" s="12"/>
      <c r="D8893" s="12"/>
      <c r="E8893" s="12"/>
      <c r="H8893" s="11" t="str">
        <f ca="1">IFERROR(__xludf.DUMMYFUNCTION("IFERROR(SUBSTITUTE(SUBSTITUTE(REGEXEXTRACT(A8893, ""[^-]+- [^-]+- [^-]+ - (.+?)\.jpg""), "".jpg"", """"), ""-"", "", ""), """")"),"")</f>
        <v/>
      </c>
      <c r="L8893" s="12"/>
      <c r="M8893" s="13"/>
      <c r="N8893" s="2"/>
      <c r="O8893" s="20"/>
      <c r="P8893" s="42"/>
      <c r="R8893" s="23"/>
    </row>
    <row r="8894" spans="1:18" ht="12.75">
      <c r="A8894" s="12"/>
      <c r="D8894" s="12"/>
      <c r="E8894" s="12"/>
      <c r="H8894" s="11" t="str">
        <f ca="1">IFERROR(__xludf.DUMMYFUNCTION("IFERROR(SUBSTITUTE(SUBSTITUTE(REGEXEXTRACT(A8894, ""[^-]+- [^-]+- [^-]+ - (.+?)\.jpg""), "".jpg"", """"), ""-"", "", ""), """")"),"")</f>
        <v/>
      </c>
      <c r="L8894" s="12"/>
      <c r="M8894" s="13"/>
      <c r="N8894" s="2"/>
      <c r="O8894" s="20"/>
      <c r="P8894" s="42"/>
      <c r="R8894" s="23"/>
    </row>
    <row r="8895" spans="1:18" ht="12.75">
      <c r="A8895" s="12"/>
      <c r="D8895" s="12"/>
      <c r="E8895" s="12"/>
      <c r="H8895" s="11" t="str">
        <f ca="1">IFERROR(__xludf.DUMMYFUNCTION("IFERROR(SUBSTITUTE(SUBSTITUTE(REGEXEXTRACT(A8895, ""[^-]+- [^-]+- [^-]+ - (.+?)\.jpg""), "".jpg"", """"), ""-"", "", ""), """")"),"")</f>
        <v/>
      </c>
      <c r="L8895" s="12"/>
      <c r="M8895" s="13"/>
      <c r="N8895" s="2"/>
      <c r="O8895" s="20"/>
      <c r="P8895" s="42"/>
      <c r="R8895" s="23"/>
    </row>
    <row r="8896" spans="1:18" ht="12.75">
      <c r="A8896" s="12"/>
      <c r="D8896" s="12"/>
      <c r="E8896" s="12"/>
      <c r="H8896" s="11" t="str">
        <f ca="1">IFERROR(__xludf.DUMMYFUNCTION("IFERROR(SUBSTITUTE(SUBSTITUTE(REGEXEXTRACT(A8896, ""[^-]+- [^-]+- [^-]+ - (.+?)\.jpg""), "".jpg"", """"), ""-"", "", ""), """")"),"")</f>
        <v/>
      </c>
      <c r="L8896" s="12"/>
      <c r="M8896" s="13"/>
      <c r="N8896" s="2"/>
      <c r="O8896" s="20"/>
      <c r="P8896" s="42"/>
      <c r="R8896" s="23"/>
    </row>
    <row r="8897" spans="1:18" ht="12.75">
      <c r="A8897" s="12"/>
      <c r="D8897" s="12"/>
      <c r="E8897" s="12"/>
      <c r="H8897" s="11" t="str">
        <f ca="1">IFERROR(__xludf.DUMMYFUNCTION("IFERROR(SUBSTITUTE(SUBSTITUTE(REGEXEXTRACT(A8897, ""[^-]+- [^-]+- [^-]+ - (.+?)\.jpg""), "".jpg"", """"), ""-"", "", ""), """")"),"")</f>
        <v/>
      </c>
      <c r="L8897" s="12"/>
      <c r="M8897" s="13"/>
      <c r="N8897" s="2"/>
      <c r="O8897" s="20"/>
      <c r="P8897" s="42"/>
      <c r="R8897" s="23"/>
    </row>
    <row r="8898" spans="1:18" ht="12.75">
      <c r="A8898" s="12"/>
      <c r="D8898" s="12"/>
      <c r="E8898" s="12"/>
      <c r="H8898" s="11" t="str">
        <f ca="1">IFERROR(__xludf.DUMMYFUNCTION("IFERROR(SUBSTITUTE(SUBSTITUTE(REGEXEXTRACT(A8898, ""[^-]+- [^-]+- [^-]+ - (.+?)\.jpg""), "".jpg"", """"), ""-"", "", ""), """")"),"")</f>
        <v/>
      </c>
      <c r="L8898" s="12"/>
      <c r="M8898" s="13"/>
      <c r="N8898" s="2"/>
      <c r="O8898" s="20"/>
      <c r="P8898" s="42"/>
      <c r="R8898" s="23"/>
    </row>
    <row r="8899" spans="1:18" ht="12.75">
      <c r="A8899" s="12"/>
      <c r="D8899" s="12"/>
      <c r="E8899" s="12"/>
      <c r="H8899" s="11" t="str">
        <f ca="1">IFERROR(__xludf.DUMMYFUNCTION("IFERROR(SUBSTITUTE(SUBSTITUTE(REGEXEXTRACT(A8899, ""[^-]+- [^-]+- [^-]+ - (.+?)\.jpg""), "".jpg"", """"), ""-"", "", ""), """")"),"")</f>
        <v/>
      </c>
      <c r="L8899" s="12"/>
      <c r="M8899" s="13"/>
      <c r="N8899" s="2"/>
      <c r="O8899" s="20"/>
      <c r="P8899" s="42"/>
      <c r="R8899" s="23"/>
    </row>
    <row r="8900" spans="1:18" ht="12.75">
      <c r="A8900" s="12"/>
      <c r="D8900" s="12"/>
      <c r="E8900" s="12"/>
      <c r="H8900" s="11" t="str">
        <f ca="1">IFERROR(__xludf.DUMMYFUNCTION("IFERROR(SUBSTITUTE(SUBSTITUTE(REGEXEXTRACT(A8900, ""[^-]+- [^-]+- [^-]+ - (.+?)\.jpg""), "".jpg"", """"), ""-"", "", ""), """")"),"")</f>
        <v/>
      </c>
      <c r="L8900" s="12"/>
      <c r="M8900" s="13"/>
      <c r="N8900" s="2"/>
      <c r="O8900" s="20"/>
      <c r="P8900" s="42"/>
      <c r="R8900" s="23"/>
    </row>
    <row r="8901" spans="1:18" ht="12.75">
      <c r="A8901" s="12"/>
      <c r="D8901" s="12"/>
      <c r="E8901" s="12"/>
      <c r="H8901" s="11" t="str">
        <f ca="1">IFERROR(__xludf.DUMMYFUNCTION("IFERROR(SUBSTITUTE(SUBSTITUTE(REGEXEXTRACT(A8901, ""[^-]+- [^-]+- [^-]+ - (.+?)\.jpg""), "".jpg"", """"), ""-"", "", ""), """")"),"")</f>
        <v/>
      </c>
      <c r="L8901" s="12"/>
      <c r="M8901" s="13"/>
      <c r="N8901" s="2"/>
      <c r="O8901" s="20"/>
      <c r="P8901" s="42"/>
      <c r="R8901" s="23"/>
    </row>
    <row r="8902" spans="1:18" ht="12.75">
      <c r="A8902" s="12"/>
      <c r="D8902" s="12"/>
      <c r="E8902" s="12"/>
      <c r="H8902" s="11" t="str">
        <f ca="1">IFERROR(__xludf.DUMMYFUNCTION("IFERROR(SUBSTITUTE(SUBSTITUTE(REGEXEXTRACT(A8902, ""[^-]+- [^-]+- [^-]+ - (.+?)\.jpg""), "".jpg"", """"), ""-"", "", ""), """")"),"")</f>
        <v/>
      </c>
      <c r="L8902" s="12"/>
      <c r="M8902" s="13"/>
      <c r="N8902" s="2"/>
      <c r="O8902" s="20"/>
      <c r="P8902" s="42"/>
      <c r="R8902" s="23"/>
    </row>
    <row r="8903" spans="1:18" ht="12.75">
      <c r="A8903" s="12"/>
      <c r="D8903" s="12"/>
      <c r="E8903" s="12"/>
      <c r="H8903" s="11" t="str">
        <f ca="1">IFERROR(__xludf.DUMMYFUNCTION("IFERROR(SUBSTITUTE(SUBSTITUTE(REGEXEXTRACT(A8903, ""[^-]+- [^-]+- [^-]+ - (.+?)\.jpg""), "".jpg"", """"), ""-"", "", ""), """")"),"")</f>
        <v/>
      </c>
      <c r="L8903" s="12"/>
      <c r="M8903" s="13"/>
      <c r="N8903" s="2"/>
      <c r="O8903" s="20"/>
      <c r="P8903" s="42"/>
      <c r="R8903" s="23"/>
    </row>
    <row r="8904" spans="1:18" ht="12.75">
      <c r="A8904" s="12"/>
      <c r="D8904" s="12"/>
      <c r="E8904" s="12"/>
      <c r="H8904" s="11" t="str">
        <f ca="1">IFERROR(__xludf.DUMMYFUNCTION("IFERROR(SUBSTITUTE(SUBSTITUTE(REGEXEXTRACT(A8904, ""[^-]+- [^-]+- [^-]+ - (.+?)\.jpg""), "".jpg"", """"), ""-"", "", ""), """")"),"")</f>
        <v/>
      </c>
      <c r="L8904" s="12"/>
      <c r="M8904" s="13"/>
      <c r="N8904" s="2"/>
      <c r="O8904" s="20"/>
      <c r="P8904" s="42"/>
      <c r="R8904" s="23"/>
    </row>
    <row r="8905" spans="1:18" ht="12.75">
      <c r="A8905" s="12"/>
      <c r="D8905" s="12"/>
      <c r="E8905" s="12"/>
      <c r="H8905" s="11" t="str">
        <f ca="1">IFERROR(__xludf.DUMMYFUNCTION("IFERROR(SUBSTITUTE(SUBSTITUTE(REGEXEXTRACT(A8905, ""[^-]+- [^-]+- [^-]+ - (.+?)\.jpg""), "".jpg"", """"), ""-"", "", ""), """")"),"")</f>
        <v/>
      </c>
      <c r="L8905" s="12"/>
      <c r="M8905" s="13"/>
      <c r="N8905" s="2"/>
      <c r="O8905" s="20"/>
      <c r="P8905" s="42"/>
      <c r="R8905" s="23"/>
    </row>
    <row r="8906" spans="1:18" ht="12.75">
      <c r="A8906" s="12"/>
      <c r="D8906" s="12"/>
      <c r="E8906" s="12"/>
      <c r="H8906" s="11" t="str">
        <f ca="1">IFERROR(__xludf.DUMMYFUNCTION("IFERROR(SUBSTITUTE(SUBSTITUTE(REGEXEXTRACT(A8906, ""[^-]+- [^-]+- [^-]+ - (.+?)\.jpg""), "".jpg"", """"), ""-"", "", ""), """")"),"")</f>
        <v/>
      </c>
      <c r="L8906" s="12"/>
      <c r="M8906" s="13"/>
      <c r="N8906" s="2"/>
      <c r="O8906" s="20"/>
      <c r="P8906" s="42"/>
      <c r="R8906" s="23"/>
    </row>
    <row r="8907" spans="1:18" ht="12.75">
      <c r="A8907" s="12"/>
      <c r="D8907" s="12"/>
      <c r="E8907" s="12"/>
      <c r="H8907" s="11" t="str">
        <f ca="1">IFERROR(__xludf.DUMMYFUNCTION("IFERROR(SUBSTITUTE(SUBSTITUTE(REGEXEXTRACT(A8907, ""[^-]+- [^-]+- [^-]+ - (.+?)\.jpg""), "".jpg"", """"), ""-"", "", ""), """")"),"")</f>
        <v/>
      </c>
      <c r="L8907" s="12"/>
      <c r="M8907" s="13"/>
      <c r="N8907" s="2"/>
      <c r="O8907" s="20"/>
      <c r="P8907" s="42"/>
      <c r="R8907" s="23"/>
    </row>
    <row r="8908" spans="1:18" ht="12.75">
      <c r="A8908" s="12"/>
      <c r="D8908" s="12"/>
      <c r="E8908" s="12"/>
      <c r="H8908" s="11" t="str">
        <f ca="1">IFERROR(__xludf.DUMMYFUNCTION("IFERROR(SUBSTITUTE(SUBSTITUTE(REGEXEXTRACT(A8908, ""[^-]+- [^-]+- [^-]+ - (.+?)\.jpg""), "".jpg"", """"), ""-"", "", ""), """")"),"")</f>
        <v/>
      </c>
      <c r="L8908" s="12"/>
      <c r="M8908" s="13"/>
      <c r="N8908" s="2"/>
      <c r="O8908" s="20"/>
      <c r="P8908" s="42"/>
      <c r="R8908" s="23"/>
    </row>
    <row r="8909" spans="1:18" ht="12.75">
      <c r="A8909" s="12"/>
      <c r="D8909" s="12"/>
      <c r="E8909" s="12"/>
      <c r="H8909" s="11" t="str">
        <f ca="1">IFERROR(__xludf.DUMMYFUNCTION("IFERROR(SUBSTITUTE(SUBSTITUTE(REGEXEXTRACT(A8909, ""[^-]+- [^-]+- [^-]+ - (.+?)\.jpg""), "".jpg"", """"), ""-"", "", ""), """")"),"")</f>
        <v/>
      </c>
      <c r="L8909" s="12"/>
      <c r="M8909" s="13"/>
      <c r="N8909" s="2"/>
      <c r="O8909" s="20"/>
      <c r="P8909" s="42"/>
      <c r="R8909" s="23"/>
    </row>
    <row r="8910" spans="1:18" ht="12.75">
      <c r="A8910" s="12"/>
      <c r="D8910" s="12"/>
      <c r="E8910" s="12"/>
      <c r="H8910" s="11" t="str">
        <f ca="1">IFERROR(__xludf.DUMMYFUNCTION("IFERROR(SUBSTITUTE(SUBSTITUTE(REGEXEXTRACT(A8910, ""[^-]+- [^-]+- [^-]+ - (.+?)\.jpg""), "".jpg"", """"), ""-"", "", ""), """")"),"")</f>
        <v/>
      </c>
      <c r="L8910" s="12"/>
      <c r="M8910" s="13"/>
      <c r="N8910" s="2"/>
      <c r="O8910" s="20"/>
      <c r="P8910" s="42"/>
      <c r="R8910" s="23"/>
    </row>
    <row r="8911" spans="1:18" ht="12.75">
      <c r="A8911" s="12"/>
      <c r="D8911" s="12"/>
      <c r="E8911" s="12"/>
      <c r="H8911" s="11" t="str">
        <f ca="1">IFERROR(__xludf.DUMMYFUNCTION("IFERROR(SUBSTITUTE(SUBSTITUTE(REGEXEXTRACT(A8911, ""[^-]+- [^-]+- [^-]+ - (.+?)\.jpg""), "".jpg"", """"), ""-"", "", ""), """")"),"")</f>
        <v/>
      </c>
      <c r="L8911" s="12"/>
      <c r="M8911" s="13"/>
      <c r="N8911" s="2"/>
      <c r="O8911" s="20"/>
      <c r="P8911" s="42"/>
      <c r="R8911" s="23"/>
    </row>
    <row r="8912" spans="1:18" ht="12.75">
      <c r="A8912" s="12"/>
      <c r="D8912" s="12"/>
      <c r="E8912" s="12"/>
      <c r="H8912" s="11" t="str">
        <f ca="1">IFERROR(__xludf.DUMMYFUNCTION("IFERROR(SUBSTITUTE(SUBSTITUTE(REGEXEXTRACT(A8912, ""[^-]+- [^-]+- [^-]+ - (.+?)\.jpg""), "".jpg"", """"), ""-"", "", ""), """")"),"")</f>
        <v/>
      </c>
      <c r="L8912" s="12"/>
      <c r="M8912" s="13"/>
      <c r="N8912" s="2"/>
      <c r="O8912" s="20"/>
      <c r="P8912" s="42"/>
      <c r="R8912" s="23"/>
    </row>
    <row r="8913" spans="1:18" ht="12.75">
      <c r="A8913" s="12"/>
      <c r="D8913" s="12"/>
      <c r="E8913" s="12"/>
      <c r="H8913" s="11" t="str">
        <f ca="1">IFERROR(__xludf.DUMMYFUNCTION("IFERROR(SUBSTITUTE(SUBSTITUTE(REGEXEXTRACT(A8913, ""[^-]+- [^-]+- [^-]+ - (.+?)\.jpg""), "".jpg"", """"), ""-"", "", ""), """")"),"")</f>
        <v/>
      </c>
      <c r="L8913" s="12"/>
      <c r="M8913" s="13"/>
      <c r="N8913" s="2"/>
      <c r="O8913" s="20"/>
      <c r="P8913" s="42"/>
      <c r="R8913" s="23"/>
    </row>
    <row r="8914" spans="1:18" ht="12.75">
      <c r="A8914" s="12"/>
      <c r="D8914" s="12"/>
      <c r="E8914" s="12"/>
      <c r="H8914" s="11" t="str">
        <f ca="1">IFERROR(__xludf.DUMMYFUNCTION("IFERROR(SUBSTITUTE(SUBSTITUTE(REGEXEXTRACT(A8914, ""[^-]+- [^-]+- [^-]+ - (.+?)\.jpg""), "".jpg"", """"), ""-"", "", ""), """")"),"")</f>
        <v/>
      </c>
      <c r="L8914" s="12"/>
      <c r="M8914" s="13"/>
      <c r="N8914" s="2"/>
      <c r="O8914" s="20"/>
      <c r="P8914" s="42"/>
      <c r="R8914" s="23"/>
    </row>
    <row r="8915" spans="1:18" ht="12.75">
      <c r="A8915" s="12"/>
      <c r="D8915" s="12"/>
      <c r="E8915" s="12"/>
      <c r="H8915" s="11" t="str">
        <f ca="1">IFERROR(__xludf.DUMMYFUNCTION("IFERROR(SUBSTITUTE(SUBSTITUTE(REGEXEXTRACT(A8915, ""[^-]+- [^-]+- [^-]+ - (.+?)\.jpg""), "".jpg"", """"), ""-"", "", ""), """")"),"")</f>
        <v/>
      </c>
      <c r="L8915" s="12"/>
      <c r="M8915" s="13"/>
      <c r="N8915" s="2"/>
      <c r="O8915" s="20"/>
      <c r="P8915" s="42"/>
      <c r="R8915" s="23"/>
    </row>
    <row r="8916" spans="1:18" ht="12.75">
      <c r="A8916" s="12"/>
      <c r="D8916" s="12"/>
      <c r="E8916" s="12"/>
      <c r="H8916" s="11" t="str">
        <f ca="1">IFERROR(__xludf.DUMMYFUNCTION("IFERROR(SUBSTITUTE(SUBSTITUTE(REGEXEXTRACT(A8916, ""[^-]+- [^-]+- [^-]+ - (.+?)\.jpg""), "".jpg"", """"), ""-"", "", ""), """")"),"")</f>
        <v/>
      </c>
      <c r="L8916" s="12"/>
      <c r="M8916" s="13"/>
      <c r="N8916" s="2"/>
      <c r="O8916" s="20"/>
      <c r="P8916" s="42"/>
      <c r="R8916" s="23"/>
    </row>
    <row r="8917" spans="1:18" ht="12.75">
      <c r="A8917" s="12"/>
      <c r="D8917" s="12"/>
      <c r="E8917" s="12"/>
      <c r="H8917" s="11" t="str">
        <f ca="1">IFERROR(__xludf.DUMMYFUNCTION("IFERROR(SUBSTITUTE(SUBSTITUTE(REGEXEXTRACT(A8917, ""[^-]+- [^-]+- [^-]+ - (.+?)\.jpg""), "".jpg"", """"), ""-"", "", ""), """")"),"")</f>
        <v/>
      </c>
      <c r="L8917" s="12"/>
      <c r="M8917" s="13"/>
      <c r="N8917" s="2"/>
      <c r="O8917" s="20"/>
      <c r="P8917" s="42"/>
      <c r="R8917" s="23"/>
    </row>
    <row r="8918" spans="1:18" ht="12.75">
      <c r="A8918" s="12"/>
      <c r="D8918" s="12"/>
      <c r="E8918" s="12"/>
      <c r="H8918" s="11" t="str">
        <f ca="1">IFERROR(__xludf.DUMMYFUNCTION("IFERROR(SUBSTITUTE(SUBSTITUTE(REGEXEXTRACT(A8918, ""[^-]+- [^-]+- [^-]+ - (.+?)\.jpg""), "".jpg"", """"), ""-"", "", ""), """")"),"")</f>
        <v/>
      </c>
      <c r="L8918" s="12"/>
      <c r="M8918" s="13"/>
      <c r="N8918" s="2"/>
      <c r="O8918" s="20"/>
      <c r="P8918" s="42"/>
      <c r="R8918" s="23"/>
    </row>
    <row r="8919" spans="1:18" ht="12.75">
      <c r="A8919" s="12"/>
      <c r="D8919" s="12"/>
      <c r="E8919" s="12"/>
      <c r="H8919" s="11" t="str">
        <f ca="1">IFERROR(__xludf.DUMMYFUNCTION("IFERROR(SUBSTITUTE(SUBSTITUTE(REGEXEXTRACT(A8919, ""[^-]+- [^-]+- [^-]+ - (.+?)\.jpg""), "".jpg"", """"), ""-"", "", ""), """")"),"")</f>
        <v/>
      </c>
      <c r="L8919" s="12"/>
      <c r="M8919" s="13"/>
      <c r="N8919" s="2"/>
      <c r="O8919" s="20"/>
      <c r="P8919" s="42"/>
      <c r="R8919" s="23"/>
    </row>
    <row r="8920" spans="1:18" ht="12.75">
      <c r="A8920" s="12"/>
      <c r="D8920" s="12"/>
      <c r="E8920" s="12"/>
      <c r="H8920" s="11" t="str">
        <f ca="1">IFERROR(__xludf.DUMMYFUNCTION("IFERROR(SUBSTITUTE(SUBSTITUTE(REGEXEXTRACT(A8920, ""[^-]+- [^-]+- [^-]+ - (.+?)\.jpg""), "".jpg"", """"), ""-"", "", ""), """")"),"")</f>
        <v/>
      </c>
      <c r="L8920" s="12"/>
      <c r="M8920" s="13"/>
      <c r="N8920" s="2"/>
      <c r="O8920" s="20"/>
      <c r="P8920" s="42"/>
      <c r="R8920" s="23"/>
    </row>
    <row r="8921" spans="1:18" ht="12.75">
      <c r="A8921" s="12"/>
      <c r="D8921" s="12"/>
      <c r="E8921" s="12"/>
      <c r="H8921" s="11" t="str">
        <f ca="1">IFERROR(__xludf.DUMMYFUNCTION("IFERROR(SUBSTITUTE(SUBSTITUTE(REGEXEXTRACT(A8921, ""[^-]+- [^-]+- [^-]+ - (.+?)\.jpg""), "".jpg"", """"), ""-"", "", ""), """")"),"")</f>
        <v/>
      </c>
      <c r="L8921" s="12"/>
      <c r="M8921" s="13"/>
      <c r="N8921" s="2"/>
      <c r="O8921" s="20"/>
      <c r="P8921" s="42"/>
      <c r="R8921" s="23"/>
    </row>
    <row r="8922" spans="1:18" ht="12.75">
      <c r="A8922" s="12"/>
      <c r="D8922" s="12"/>
      <c r="E8922" s="12"/>
      <c r="H8922" s="11" t="str">
        <f ca="1">IFERROR(__xludf.DUMMYFUNCTION("IFERROR(SUBSTITUTE(SUBSTITUTE(REGEXEXTRACT(A8922, ""[^-]+- [^-]+- [^-]+ - (.+?)\.jpg""), "".jpg"", """"), ""-"", "", ""), """")"),"")</f>
        <v/>
      </c>
      <c r="L8922" s="12"/>
      <c r="M8922" s="13"/>
      <c r="N8922" s="2"/>
      <c r="O8922" s="20"/>
      <c r="P8922" s="42"/>
      <c r="R8922" s="23"/>
    </row>
    <row r="8923" spans="1:18" ht="12.75">
      <c r="A8923" s="12"/>
      <c r="D8923" s="12"/>
      <c r="E8923" s="12"/>
      <c r="H8923" s="11" t="str">
        <f ca="1">IFERROR(__xludf.DUMMYFUNCTION("IFERROR(SUBSTITUTE(SUBSTITUTE(REGEXEXTRACT(A8923, ""[^-]+- [^-]+- [^-]+ - (.+?)\.jpg""), "".jpg"", """"), ""-"", "", ""), """")"),"")</f>
        <v/>
      </c>
      <c r="L8923" s="12"/>
      <c r="M8923" s="13"/>
      <c r="N8923" s="2"/>
      <c r="O8923" s="20"/>
      <c r="P8923" s="42"/>
      <c r="R8923" s="23"/>
    </row>
    <row r="8924" spans="1:18" ht="12.75">
      <c r="A8924" s="12"/>
      <c r="D8924" s="12"/>
      <c r="E8924" s="12"/>
      <c r="H8924" s="11" t="str">
        <f ca="1">IFERROR(__xludf.DUMMYFUNCTION("IFERROR(SUBSTITUTE(SUBSTITUTE(REGEXEXTRACT(A8924, ""[^-]+- [^-]+- [^-]+ - (.+?)\.jpg""), "".jpg"", """"), ""-"", "", ""), """")"),"")</f>
        <v/>
      </c>
      <c r="L8924" s="12"/>
      <c r="M8924" s="13"/>
      <c r="N8924" s="2"/>
      <c r="O8924" s="20"/>
      <c r="P8924" s="42"/>
      <c r="R8924" s="23"/>
    </row>
    <row r="8925" spans="1:18" ht="12.75">
      <c r="A8925" s="12"/>
      <c r="D8925" s="12"/>
      <c r="E8925" s="12"/>
      <c r="H8925" s="11" t="str">
        <f ca="1">IFERROR(__xludf.DUMMYFUNCTION("IFERROR(SUBSTITUTE(SUBSTITUTE(REGEXEXTRACT(A8925, ""[^-]+- [^-]+- [^-]+ - (.+?)\.jpg""), "".jpg"", """"), ""-"", "", ""), """")"),"")</f>
        <v/>
      </c>
      <c r="L8925" s="12"/>
      <c r="M8925" s="13"/>
      <c r="N8925" s="2"/>
      <c r="O8925" s="20"/>
      <c r="P8925" s="42"/>
      <c r="R8925" s="23"/>
    </row>
    <row r="8926" spans="1:18" ht="12.75">
      <c r="A8926" s="12"/>
      <c r="D8926" s="12"/>
      <c r="E8926" s="12"/>
      <c r="H8926" s="11" t="str">
        <f ca="1">IFERROR(__xludf.DUMMYFUNCTION("IFERROR(SUBSTITUTE(SUBSTITUTE(REGEXEXTRACT(A8926, ""[^-]+- [^-]+- [^-]+ - (.+?)\.jpg""), "".jpg"", """"), ""-"", "", ""), """")"),"")</f>
        <v/>
      </c>
      <c r="L8926" s="12"/>
      <c r="M8926" s="13"/>
      <c r="N8926" s="2"/>
      <c r="O8926" s="20"/>
      <c r="P8926" s="42"/>
      <c r="R8926" s="23"/>
    </row>
    <row r="8927" spans="1:18" ht="12.75">
      <c r="A8927" s="12"/>
      <c r="D8927" s="12"/>
      <c r="E8927" s="12"/>
      <c r="H8927" s="11" t="str">
        <f ca="1">IFERROR(__xludf.DUMMYFUNCTION("IFERROR(SUBSTITUTE(SUBSTITUTE(REGEXEXTRACT(A8927, ""[^-]+- [^-]+- [^-]+ - (.+?)\.jpg""), "".jpg"", """"), ""-"", "", ""), """")"),"")</f>
        <v/>
      </c>
      <c r="L8927" s="12"/>
      <c r="M8927" s="13"/>
      <c r="N8927" s="2"/>
      <c r="O8927" s="20"/>
      <c r="P8927" s="42"/>
      <c r="R8927" s="23"/>
    </row>
    <row r="8928" spans="1:18" ht="12.75">
      <c r="A8928" s="12"/>
      <c r="D8928" s="12"/>
      <c r="E8928" s="12"/>
      <c r="H8928" s="11" t="str">
        <f ca="1">IFERROR(__xludf.DUMMYFUNCTION("IFERROR(SUBSTITUTE(SUBSTITUTE(REGEXEXTRACT(A8928, ""[^-]+- [^-]+- [^-]+ - (.+?)\.jpg""), "".jpg"", """"), ""-"", "", ""), """")"),"")</f>
        <v/>
      </c>
      <c r="L8928" s="12"/>
      <c r="M8928" s="13"/>
      <c r="N8928" s="2"/>
      <c r="O8928" s="20"/>
      <c r="P8928" s="42"/>
      <c r="R8928" s="23"/>
    </row>
    <row r="8929" spans="1:18" ht="12.75">
      <c r="A8929" s="12"/>
      <c r="D8929" s="12"/>
      <c r="E8929" s="12"/>
      <c r="H8929" s="11" t="str">
        <f ca="1">IFERROR(__xludf.DUMMYFUNCTION("IFERROR(SUBSTITUTE(SUBSTITUTE(REGEXEXTRACT(A8929, ""[^-]+- [^-]+- [^-]+ - (.+?)\.jpg""), "".jpg"", """"), ""-"", "", ""), """")"),"")</f>
        <v/>
      </c>
      <c r="L8929" s="12"/>
      <c r="M8929" s="13"/>
      <c r="N8929" s="2"/>
      <c r="O8929" s="20"/>
      <c r="P8929" s="42"/>
      <c r="R8929" s="23"/>
    </row>
    <row r="8930" spans="1:18" ht="12.75">
      <c r="A8930" s="12"/>
      <c r="D8930" s="12"/>
      <c r="E8930" s="12"/>
      <c r="H8930" s="11" t="str">
        <f ca="1">IFERROR(__xludf.DUMMYFUNCTION("IFERROR(SUBSTITUTE(SUBSTITUTE(REGEXEXTRACT(A8930, ""[^-]+- [^-]+- [^-]+ - (.+?)\.jpg""), "".jpg"", """"), ""-"", "", ""), """")"),"")</f>
        <v/>
      </c>
      <c r="L8930" s="12"/>
      <c r="M8930" s="13"/>
      <c r="N8930" s="2"/>
      <c r="O8930" s="20"/>
      <c r="P8930" s="42"/>
      <c r="R8930" s="23"/>
    </row>
    <row r="8931" spans="1:18" ht="12.75">
      <c r="A8931" s="12"/>
      <c r="D8931" s="12"/>
      <c r="E8931" s="12"/>
      <c r="H8931" s="11" t="str">
        <f ca="1">IFERROR(__xludf.DUMMYFUNCTION("IFERROR(SUBSTITUTE(SUBSTITUTE(REGEXEXTRACT(A8931, ""[^-]+- [^-]+- [^-]+ - (.+?)\.jpg""), "".jpg"", """"), ""-"", "", ""), """")"),"")</f>
        <v/>
      </c>
      <c r="L8931" s="12"/>
      <c r="M8931" s="13"/>
      <c r="N8931" s="2"/>
      <c r="O8931" s="20"/>
      <c r="P8931" s="42"/>
      <c r="R8931" s="23"/>
    </row>
    <row r="8932" spans="1:18" ht="12.75">
      <c r="A8932" s="12"/>
      <c r="D8932" s="12"/>
      <c r="E8932" s="12"/>
      <c r="H8932" s="11" t="str">
        <f ca="1">IFERROR(__xludf.DUMMYFUNCTION("IFERROR(SUBSTITUTE(SUBSTITUTE(REGEXEXTRACT(A8932, ""[^-]+- [^-]+- [^-]+ - (.+?)\.jpg""), "".jpg"", """"), ""-"", "", ""), """")"),"")</f>
        <v/>
      </c>
      <c r="L8932" s="12"/>
      <c r="M8932" s="13"/>
      <c r="N8932" s="2"/>
      <c r="O8932" s="20"/>
      <c r="P8932" s="42"/>
      <c r="R8932" s="23"/>
    </row>
    <row r="8933" spans="1:18" ht="12.75">
      <c r="A8933" s="12"/>
      <c r="D8933" s="12"/>
      <c r="E8933" s="12"/>
      <c r="H8933" s="11" t="str">
        <f ca="1">IFERROR(__xludf.DUMMYFUNCTION("IFERROR(SUBSTITUTE(SUBSTITUTE(REGEXEXTRACT(A8933, ""[^-]+- [^-]+- [^-]+ - (.+?)\.jpg""), "".jpg"", """"), ""-"", "", ""), """")"),"")</f>
        <v/>
      </c>
      <c r="L8933" s="12"/>
      <c r="M8933" s="13"/>
      <c r="N8933" s="2"/>
      <c r="O8933" s="20"/>
      <c r="P8933" s="42"/>
      <c r="R8933" s="23"/>
    </row>
    <row r="8934" spans="1:18" ht="12.75">
      <c r="A8934" s="12"/>
      <c r="D8934" s="12"/>
      <c r="E8934" s="12"/>
      <c r="H8934" s="11" t="str">
        <f ca="1">IFERROR(__xludf.DUMMYFUNCTION("IFERROR(SUBSTITUTE(SUBSTITUTE(REGEXEXTRACT(A8934, ""[^-]+- [^-]+- [^-]+ - (.+?)\.jpg""), "".jpg"", """"), ""-"", "", ""), """")"),"")</f>
        <v/>
      </c>
      <c r="L8934" s="12"/>
      <c r="M8934" s="13"/>
      <c r="N8934" s="2"/>
      <c r="O8934" s="20"/>
      <c r="P8934" s="42"/>
      <c r="R8934" s="23"/>
    </row>
    <row r="8935" spans="1:18" ht="12.75">
      <c r="A8935" s="12"/>
      <c r="D8935" s="12"/>
      <c r="E8935" s="12"/>
      <c r="H8935" s="11" t="str">
        <f ca="1">IFERROR(__xludf.DUMMYFUNCTION("IFERROR(SUBSTITUTE(SUBSTITUTE(REGEXEXTRACT(A8935, ""[^-]+- [^-]+- [^-]+ - (.+?)\.jpg""), "".jpg"", """"), ""-"", "", ""), """")"),"")</f>
        <v/>
      </c>
      <c r="L8935" s="12"/>
      <c r="M8935" s="13"/>
      <c r="N8935" s="2"/>
      <c r="O8935" s="20"/>
      <c r="P8935" s="42"/>
      <c r="R8935" s="23"/>
    </row>
    <row r="8936" spans="1:18" ht="12.75">
      <c r="A8936" s="12"/>
      <c r="D8936" s="12"/>
      <c r="E8936" s="12"/>
      <c r="H8936" s="11" t="str">
        <f ca="1">IFERROR(__xludf.DUMMYFUNCTION("IFERROR(SUBSTITUTE(SUBSTITUTE(REGEXEXTRACT(A8936, ""[^-]+- [^-]+- [^-]+ - (.+?)\.jpg""), "".jpg"", """"), ""-"", "", ""), """")"),"")</f>
        <v/>
      </c>
      <c r="L8936" s="12"/>
      <c r="M8936" s="13"/>
      <c r="N8936" s="2"/>
      <c r="O8936" s="20"/>
      <c r="P8936" s="42"/>
      <c r="R8936" s="23"/>
    </row>
    <row r="8937" spans="1:18" ht="12.75">
      <c r="A8937" s="12"/>
      <c r="D8937" s="12"/>
      <c r="E8937" s="12"/>
      <c r="H8937" s="11" t="str">
        <f ca="1">IFERROR(__xludf.DUMMYFUNCTION("IFERROR(SUBSTITUTE(SUBSTITUTE(REGEXEXTRACT(A8937, ""[^-]+- [^-]+- [^-]+ - (.+?)\.jpg""), "".jpg"", """"), ""-"", "", ""), """")"),"")</f>
        <v/>
      </c>
      <c r="L8937" s="12"/>
      <c r="M8937" s="13"/>
      <c r="N8937" s="2"/>
      <c r="O8937" s="20"/>
      <c r="P8937" s="42"/>
      <c r="R8937" s="23"/>
    </row>
    <row r="8938" spans="1:18" ht="12.75">
      <c r="A8938" s="12"/>
      <c r="D8938" s="12"/>
      <c r="E8938" s="12"/>
      <c r="H8938" s="11" t="str">
        <f ca="1">IFERROR(__xludf.DUMMYFUNCTION("IFERROR(SUBSTITUTE(SUBSTITUTE(REGEXEXTRACT(A8938, ""[^-]+- [^-]+- [^-]+ - (.+?)\.jpg""), "".jpg"", """"), ""-"", "", ""), """")"),"")</f>
        <v/>
      </c>
      <c r="L8938" s="12"/>
      <c r="M8938" s="13"/>
      <c r="N8938" s="2"/>
      <c r="O8938" s="20"/>
      <c r="P8938" s="42"/>
      <c r="R8938" s="23"/>
    </row>
    <row r="8939" spans="1:18" ht="12.75">
      <c r="A8939" s="12"/>
      <c r="D8939" s="12"/>
      <c r="E8939" s="12"/>
      <c r="H8939" s="11" t="str">
        <f ca="1">IFERROR(__xludf.DUMMYFUNCTION("IFERROR(SUBSTITUTE(SUBSTITUTE(REGEXEXTRACT(A8939, ""[^-]+- [^-]+- [^-]+ - (.+?)\.jpg""), "".jpg"", """"), ""-"", "", ""), """")"),"")</f>
        <v/>
      </c>
      <c r="L8939" s="12"/>
      <c r="M8939" s="13"/>
      <c r="N8939" s="2"/>
      <c r="O8939" s="20"/>
      <c r="P8939" s="42"/>
      <c r="R8939" s="23"/>
    </row>
    <row r="8940" spans="1:18" ht="12.75">
      <c r="A8940" s="12"/>
      <c r="D8940" s="12"/>
      <c r="E8940" s="12"/>
      <c r="H8940" s="11" t="str">
        <f ca="1">IFERROR(__xludf.DUMMYFUNCTION("IFERROR(SUBSTITUTE(SUBSTITUTE(REGEXEXTRACT(A8940, ""[^-]+- [^-]+- [^-]+ - (.+?)\.jpg""), "".jpg"", """"), ""-"", "", ""), """")"),"")</f>
        <v/>
      </c>
      <c r="L8940" s="12"/>
      <c r="M8940" s="13"/>
      <c r="N8940" s="2"/>
      <c r="O8940" s="20"/>
      <c r="P8940" s="42"/>
      <c r="R8940" s="23"/>
    </row>
    <row r="8941" spans="1:18" ht="12.75">
      <c r="A8941" s="12"/>
      <c r="D8941" s="12"/>
      <c r="E8941" s="12"/>
      <c r="H8941" s="11" t="str">
        <f ca="1">IFERROR(__xludf.DUMMYFUNCTION("IFERROR(SUBSTITUTE(SUBSTITUTE(REGEXEXTRACT(A8941, ""[^-]+- [^-]+- [^-]+ - (.+?)\.jpg""), "".jpg"", """"), ""-"", "", ""), """")"),"")</f>
        <v/>
      </c>
      <c r="L8941" s="12"/>
      <c r="M8941" s="13"/>
      <c r="N8941" s="2"/>
      <c r="O8941" s="20"/>
      <c r="P8941" s="42"/>
      <c r="R8941" s="23"/>
    </row>
    <row r="8942" spans="1:18" ht="12.75">
      <c r="A8942" s="12"/>
      <c r="D8942" s="12"/>
      <c r="E8942" s="12"/>
      <c r="H8942" s="11" t="str">
        <f ca="1">IFERROR(__xludf.DUMMYFUNCTION("IFERROR(SUBSTITUTE(SUBSTITUTE(REGEXEXTRACT(A8942, ""[^-]+- [^-]+- [^-]+ - (.+?)\.jpg""), "".jpg"", """"), ""-"", "", ""), """")"),"")</f>
        <v/>
      </c>
      <c r="L8942" s="12"/>
      <c r="M8942" s="13"/>
      <c r="N8942" s="2"/>
      <c r="O8942" s="20"/>
      <c r="P8942" s="42"/>
      <c r="R8942" s="23"/>
    </row>
    <row r="8943" spans="1:18" ht="12.75">
      <c r="A8943" s="12"/>
      <c r="D8943" s="12"/>
      <c r="E8943" s="12"/>
      <c r="H8943" s="11" t="str">
        <f ca="1">IFERROR(__xludf.DUMMYFUNCTION("IFERROR(SUBSTITUTE(SUBSTITUTE(REGEXEXTRACT(A8943, ""[^-]+- [^-]+- [^-]+ - (.+?)\.jpg""), "".jpg"", """"), ""-"", "", ""), """")"),"")</f>
        <v/>
      </c>
      <c r="L8943" s="12"/>
      <c r="M8943" s="13"/>
      <c r="N8943" s="2"/>
      <c r="O8943" s="20"/>
      <c r="P8943" s="42"/>
      <c r="R8943" s="23"/>
    </row>
    <row r="8944" spans="1:18" ht="12.75">
      <c r="A8944" s="12"/>
      <c r="D8944" s="12"/>
      <c r="E8944" s="12"/>
      <c r="H8944" s="11" t="str">
        <f ca="1">IFERROR(__xludf.DUMMYFUNCTION("IFERROR(SUBSTITUTE(SUBSTITUTE(REGEXEXTRACT(A8944, ""[^-]+- [^-]+- [^-]+ - (.+?)\.jpg""), "".jpg"", """"), ""-"", "", ""), """")"),"")</f>
        <v/>
      </c>
      <c r="L8944" s="12"/>
      <c r="M8944" s="13"/>
      <c r="N8944" s="2"/>
      <c r="O8944" s="20"/>
      <c r="P8944" s="42"/>
      <c r="R8944" s="23"/>
    </row>
    <row r="8945" spans="1:18" ht="12.75">
      <c r="A8945" s="12"/>
      <c r="D8945" s="12"/>
      <c r="E8945" s="12"/>
      <c r="H8945" s="11" t="str">
        <f ca="1">IFERROR(__xludf.DUMMYFUNCTION("IFERROR(SUBSTITUTE(SUBSTITUTE(REGEXEXTRACT(A8945, ""[^-]+- [^-]+- [^-]+ - (.+?)\.jpg""), "".jpg"", """"), ""-"", "", ""), """")"),"")</f>
        <v/>
      </c>
      <c r="L8945" s="12"/>
      <c r="M8945" s="13"/>
      <c r="N8945" s="2"/>
      <c r="O8945" s="20"/>
      <c r="P8945" s="42"/>
      <c r="R8945" s="23"/>
    </row>
    <row r="8946" spans="1:18" ht="12.75">
      <c r="A8946" s="12"/>
      <c r="D8946" s="12"/>
      <c r="E8946" s="12"/>
      <c r="H8946" s="11" t="str">
        <f ca="1">IFERROR(__xludf.DUMMYFUNCTION("IFERROR(SUBSTITUTE(SUBSTITUTE(REGEXEXTRACT(A8946, ""[^-]+- [^-]+- [^-]+ - (.+?)\.jpg""), "".jpg"", """"), ""-"", "", ""), """")"),"")</f>
        <v/>
      </c>
      <c r="L8946" s="12"/>
      <c r="M8946" s="13"/>
      <c r="N8946" s="2"/>
      <c r="O8946" s="20"/>
      <c r="P8946" s="42"/>
      <c r="R8946" s="23"/>
    </row>
    <row r="8947" spans="1:18" ht="12.75">
      <c r="A8947" s="12"/>
      <c r="D8947" s="12"/>
      <c r="E8947" s="12"/>
      <c r="H8947" s="11" t="str">
        <f ca="1">IFERROR(__xludf.DUMMYFUNCTION("IFERROR(SUBSTITUTE(SUBSTITUTE(REGEXEXTRACT(A8947, ""[^-]+- [^-]+- [^-]+ - (.+?)\.jpg""), "".jpg"", """"), ""-"", "", ""), """")"),"")</f>
        <v/>
      </c>
      <c r="L8947" s="12"/>
      <c r="M8947" s="13"/>
      <c r="N8947" s="2"/>
      <c r="O8947" s="20"/>
      <c r="P8947" s="42"/>
      <c r="R8947" s="23"/>
    </row>
    <row r="8948" spans="1:18" ht="12.75">
      <c r="A8948" s="12"/>
      <c r="D8948" s="12"/>
      <c r="E8948" s="12"/>
      <c r="H8948" s="11" t="str">
        <f ca="1">IFERROR(__xludf.DUMMYFUNCTION("IFERROR(SUBSTITUTE(SUBSTITUTE(REGEXEXTRACT(A8948, ""[^-]+- [^-]+- [^-]+ - (.+?)\.jpg""), "".jpg"", """"), ""-"", "", ""), """")"),"")</f>
        <v/>
      </c>
      <c r="L8948" s="12"/>
      <c r="M8948" s="13"/>
      <c r="N8948" s="2"/>
      <c r="O8948" s="20"/>
      <c r="P8948" s="42"/>
      <c r="R8948" s="23"/>
    </row>
    <row r="8949" spans="1:18" ht="12.75">
      <c r="A8949" s="12"/>
      <c r="D8949" s="12"/>
      <c r="E8949" s="12"/>
      <c r="H8949" s="11" t="str">
        <f ca="1">IFERROR(__xludf.DUMMYFUNCTION("IFERROR(SUBSTITUTE(SUBSTITUTE(REGEXEXTRACT(A8949, ""[^-]+- [^-]+- [^-]+ - (.+?)\.jpg""), "".jpg"", """"), ""-"", "", ""), """")"),"")</f>
        <v/>
      </c>
      <c r="L8949" s="12"/>
      <c r="M8949" s="13"/>
      <c r="N8949" s="2"/>
      <c r="O8949" s="20"/>
      <c r="P8949" s="42"/>
      <c r="R8949" s="23"/>
    </row>
    <row r="8950" spans="1:18" ht="12.75">
      <c r="A8950" s="12"/>
      <c r="D8950" s="12"/>
      <c r="E8950" s="12"/>
      <c r="H8950" s="11" t="str">
        <f ca="1">IFERROR(__xludf.DUMMYFUNCTION("IFERROR(SUBSTITUTE(SUBSTITUTE(REGEXEXTRACT(A8950, ""[^-]+- [^-]+- [^-]+ - (.+?)\.jpg""), "".jpg"", """"), ""-"", "", ""), """")"),"")</f>
        <v/>
      </c>
      <c r="L8950" s="12"/>
      <c r="M8950" s="13"/>
      <c r="N8950" s="2"/>
      <c r="O8950" s="20"/>
      <c r="P8950" s="42"/>
      <c r="R8950" s="23"/>
    </row>
    <row r="8951" spans="1:18" ht="12.75">
      <c r="A8951" s="12"/>
      <c r="D8951" s="12"/>
      <c r="E8951" s="12"/>
      <c r="H8951" s="11" t="str">
        <f ca="1">IFERROR(__xludf.DUMMYFUNCTION("IFERROR(SUBSTITUTE(SUBSTITUTE(REGEXEXTRACT(A8951, ""[^-]+- [^-]+- [^-]+ - (.+?)\.jpg""), "".jpg"", """"), ""-"", "", ""), """")"),"")</f>
        <v/>
      </c>
      <c r="L8951" s="12"/>
      <c r="M8951" s="13"/>
      <c r="N8951" s="2"/>
      <c r="O8951" s="20"/>
      <c r="P8951" s="42"/>
      <c r="R8951" s="23"/>
    </row>
    <row r="8952" spans="1:18" ht="12.75">
      <c r="A8952" s="12"/>
      <c r="D8952" s="12"/>
      <c r="E8952" s="12"/>
      <c r="H8952" s="11" t="str">
        <f ca="1">IFERROR(__xludf.DUMMYFUNCTION("IFERROR(SUBSTITUTE(SUBSTITUTE(REGEXEXTRACT(A8952, ""[^-]+- [^-]+- [^-]+ - (.+?)\.jpg""), "".jpg"", """"), ""-"", "", ""), """")"),"")</f>
        <v/>
      </c>
      <c r="L8952" s="12"/>
      <c r="M8952" s="13"/>
      <c r="N8952" s="2"/>
      <c r="O8952" s="20"/>
      <c r="P8952" s="42"/>
      <c r="R8952" s="23"/>
    </row>
    <row r="8953" spans="1:18" ht="12.75">
      <c r="A8953" s="12"/>
      <c r="D8953" s="12"/>
      <c r="E8953" s="12"/>
      <c r="H8953" s="11" t="str">
        <f ca="1">IFERROR(__xludf.DUMMYFUNCTION("IFERROR(SUBSTITUTE(SUBSTITUTE(REGEXEXTRACT(A8953, ""[^-]+- [^-]+- [^-]+ - (.+?)\.jpg""), "".jpg"", """"), ""-"", "", ""), """")"),"")</f>
        <v/>
      </c>
      <c r="L8953" s="12"/>
      <c r="M8953" s="13"/>
      <c r="N8953" s="2"/>
      <c r="O8953" s="20"/>
      <c r="P8953" s="42"/>
      <c r="R8953" s="23"/>
    </row>
    <row r="8954" spans="1:18" ht="12.75">
      <c r="A8954" s="12"/>
      <c r="D8954" s="12"/>
      <c r="E8954" s="12"/>
      <c r="H8954" s="11" t="str">
        <f ca="1">IFERROR(__xludf.DUMMYFUNCTION("IFERROR(SUBSTITUTE(SUBSTITUTE(REGEXEXTRACT(A8954, ""[^-]+- [^-]+- [^-]+ - (.+?)\.jpg""), "".jpg"", """"), ""-"", "", ""), """")"),"")</f>
        <v/>
      </c>
      <c r="L8954" s="12"/>
      <c r="M8954" s="13"/>
      <c r="N8954" s="2"/>
      <c r="O8954" s="20"/>
      <c r="P8954" s="42"/>
      <c r="R8954" s="23"/>
    </row>
    <row r="8955" spans="1:18" ht="12.75">
      <c r="A8955" s="12"/>
      <c r="D8955" s="12"/>
      <c r="E8955" s="12"/>
      <c r="H8955" s="11" t="str">
        <f ca="1">IFERROR(__xludf.DUMMYFUNCTION("IFERROR(SUBSTITUTE(SUBSTITUTE(REGEXEXTRACT(A8955, ""[^-]+- [^-]+- [^-]+ - (.+?)\.jpg""), "".jpg"", """"), ""-"", "", ""), """")"),"")</f>
        <v/>
      </c>
      <c r="L8955" s="12"/>
      <c r="M8955" s="13"/>
      <c r="N8955" s="2"/>
      <c r="O8955" s="20"/>
      <c r="P8955" s="42"/>
      <c r="R8955" s="23"/>
    </row>
    <row r="8956" spans="1:18" ht="12.75">
      <c r="A8956" s="12"/>
      <c r="D8956" s="12"/>
      <c r="E8956" s="12"/>
      <c r="H8956" s="11" t="str">
        <f ca="1">IFERROR(__xludf.DUMMYFUNCTION("IFERROR(SUBSTITUTE(SUBSTITUTE(REGEXEXTRACT(A8956, ""[^-]+- [^-]+- [^-]+ - (.+?)\.jpg""), "".jpg"", """"), ""-"", "", ""), """")"),"")</f>
        <v/>
      </c>
      <c r="L8956" s="12"/>
      <c r="M8956" s="13"/>
      <c r="N8956" s="2"/>
      <c r="O8956" s="20"/>
      <c r="P8956" s="42"/>
      <c r="R8956" s="23"/>
    </row>
    <row r="8957" spans="1:18" ht="12.75">
      <c r="A8957" s="12"/>
      <c r="D8957" s="12"/>
      <c r="E8957" s="12"/>
      <c r="H8957" s="11" t="str">
        <f ca="1">IFERROR(__xludf.DUMMYFUNCTION("IFERROR(SUBSTITUTE(SUBSTITUTE(REGEXEXTRACT(A8957, ""[^-]+- [^-]+- [^-]+ - (.+?)\.jpg""), "".jpg"", """"), ""-"", "", ""), """")"),"")</f>
        <v/>
      </c>
      <c r="L8957" s="12"/>
      <c r="M8957" s="13"/>
      <c r="N8957" s="2"/>
      <c r="O8957" s="20"/>
      <c r="P8957" s="42"/>
      <c r="R8957" s="23"/>
    </row>
    <row r="8958" spans="1:18" ht="12.75">
      <c r="A8958" s="12"/>
      <c r="D8958" s="12"/>
      <c r="E8958" s="12"/>
      <c r="H8958" s="11" t="str">
        <f ca="1">IFERROR(__xludf.DUMMYFUNCTION("IFERROR(SUBSTITUTE(SUBSTITUTE(REGEXEXTRACT(A8958, ""[^-]+- [^-]+- [^-]+ - (.+?)\.jpg""), "".jpg"", """"), ""-"", "", ""), """")"),"")</f>
        <v/>
      </c>
      <c r="L8958" s="12"/>
      <c r="M8958" s="13"/>
      <c r="N8958" s="2"/>
      <c r="O8958" s="20"/>
      <c r="P8958" s="42"/>
      <c r="R8958" s="23"/>
    </row>
    <row r="8959" spans="1:18" ht="12.75">
      <c r="A8959" s="12"/>
      <c r="D8959" s="12"/>
      <c r="E8959" s="12"/>
      <c r="H8959" s="11" t="str">
        <f ca="1">IFERROR(__xludf.DUMMYFUNCTION("IFERROR(SUBSTITUTE(SUBSTITUTE(REGEXEXTRACT(A8959, ""[^-]+- [^-]+- [^-]+ - (.+?)\.jpg""), "".jpg"", """"), ""-"", "", ""), """")"),"")</f>
        <v/>
      </c>
      <c r="L8959" s="12"/>
      <c r="M8959" s="13"/>
      <c r="N8959" s="2"/>
      <c r="O8959" s="20"/>
      <c r="P8959" s="42"/>
      <c r="R8959" s="23"/>
    </row>
    <row r="8960" spans="1:18" ht="12.75">
      <c r="A8960" s="12"/>
      <c r="D8960" s="12"/>
      <c r="E8960" s="12"/>
      <c r="H8960" s="11" t="str">
        <f ca="1">IFERROR(__xludf.DUMMYFUNCTION("IFERROR(SUBSTITUTE(SUBSTITUTE(REGEXEXTRACT(A8960, ""[^-]+- [^-]+- [^-]+ - (.+?)\.jpg""), "".jpg"", """"), ""-"", "", ""), """")"),"")</f>
        <v/>
      </c>
      <c r="L8960" s="12"/>
      <c r="M8960" s="13"/>
      <c r="N8960" s="2"/>
      <c r="O8960" s="20"/>
      <c r="P8960" s="42"/>
      <c r="R8960" s="23"/>
    </row>
    <row r="8961" spans="1:18" ht="12.75">
      <c r="A8961" s="12"/>
      <c r="D8961" s="12"/>
      <c r="E8961" s="12"/>
      <c r="H8961" s="11" t="str">
        <f ca="1">IFERROR(__xludf.DUMMYFUNCTION("IFERROR(SUBSTITUTE(SUBSTITUTE(REGEXEXTRACT(A8961, ""[^-]+- [^-]+- [^-]+ - (.+?)\.jpg""), "".jpg"", """"), ""-"", "", ""), """")"),"")</f>
        <v/>
      </c>
      <c r="L8961" s="12"/>
      <c r="M8961" s="13"/>
      <c r="N8961" s="2"/>
      <c r="O8961" s="20"/>
      <c r="P8961" s="42"/>
      <c r="R8961" s="23"/>
    </row>
    <row r="8962" spans="1:18" ht="12.75">
      <c r="A8962" s="12"/>
      <c r="D8962" s="12"/>
      <c r="E8962" s="12"/>
      <c r="H8962" s="11" t="str">
        <f ca="1">IFERROR(__xludf.DUMMYFUNCTION("IFERROR(SUBSTITUTE(SUBSTITUTE(REGEXEXTRACT(A8962, ""[^-]+- [^-]+- [^-]+ - (.+?)\.jpg""), "".jpg"", """"), ""-"", "", ""), """")"),"")</f>
        <v/>
      </c>
      <c r="L8962" s="12"/>
      <c r="M8962" s="13"/>
      <c r="N8962" s="2"/>
      <c r="O8962" s="20"/>
      <c r="P8962" s="42"/>
      <c r="R8962" s="23"/>
    </row>
    <row r="8963" spans="1:18" ht="12.75">
      <c r="A8963" s="12"/>
      <c r="D8963" s="12"/>
      <c r="E8963" s="12"/>
      <c r="H8963" s="11" t="str">
        <f ca="1">IFERROR(__xludf.DUMMYFUNCTION("IFERROR(SUBSTITUTE(SUBSTITUTE(REGEXEXTRACT(A8963, ""[^-]+- [^-]+- [^-]+ - (.+?)\.jpg""), "".jpg"", """"), ""-"", "", ""), """")"),"")</f>
        <v/>
      </c>
      <c r="L8963" s="12"/>
      <c r="M8963" s="13"/>
      <c r="N8963" s="2"/>
      <c r="O8963" s="20"/>
      <c r="P8963" s="42"/>
      <c r="R8963" s="23"/>
    </row>
    <row r="8964" spans="1:18" ht="12.75">
      <c r="A8964" s="12"/>
      <c r="D8964" s="12"/>
      <c r="E8964" s="12"/>
      <c r="H8964" s="11" t="str">
        <f ca="1">IFERROR(__xludf.DUMMYFUNCTION("IFERROR(SUBSTITUTE(SUBSTITUTE(REGEXEXTRACT(A8964, ""[^-]+- [^-]+- [^-]+ - (.+?)\.jpg""), "".jpg"", """"), ""-"", "", ""), """")"),"")</f>
        <v/>
      </c>
      <c r="L8964" s="12"/>
      <c r="M8964" s="13"/>
      <c r="N8964" s="2"/>
      <c r="O8964" s="20"/>
      <c r="P8964" s="42"/>
      <c r="R8964" s="23"/>
    </row>
    <row r="8965" spans="1:18" ht="12.75">
      <c r="A8965" s="12"/>
      <c r="D8965" s="12"/>
      <c r="E8965" s="12"/>
      <c r="H8965" s="11" t="str">
        <f ca="1">IFERROR(__xludf.DUMMYFUNCTION("IFERROR(SUBSTITUTE(SUBSTITUTE(REGEXEXTRACT(A8965, ""[^-]+- [^-]+- [^-]+ - (.+?)\.jpg""), "".jpg"", """"), ""-"", "", ""), """")"),"")</f>
        <v/>
      </c>
      <c r="L8965" s="12"/>
      <c r="M8965" s="13"/>
      <c r="N8965" s="2"/>
      <c r="O8965" s="20"/>
      <c r="P8965" s="42"/>
      <c r="R8965" s="23"/>
    </row>
    <row r="8966" spans="1:18" ht="12.75">
      <c r="A8966" s="12"/>
      <c r="D8966" s="12"/>
      <c r="E8966" s="12"/>
      <c r="H8966" s="11" t="str">
        <f ca="1">IFERROR(__xludf.DUMMYFUNCTION("IFERROR(SUBSTITUTE(SUBSTITUTE(REGEXEXTRACT(A8966, ""[^-]+- [^-]+- [^-]+ - (.+?)\.jpg""), "".jpg"", """"), ""-"", "", ""), """")"),"")</f>
        <v/>
      </c>
      <c r="L8966" s="12"/>
      <c r="M8966" s="13"/>
      <c r="N8966" s="2"/>
      <c r="O8966" s="20"/>
      <c r="P8966" s="42"/>
      <c r="R8966" s="23"/>
    </row>
    <row r="8967" spans="1:18" ht="12.75">
      <c r="A8967" s="12"/>
      <c r="D8967" s="12"/>
      <c r="E8967" s="12"/>
      <c r="H8967" s="11" t="str">
        <f ca="1">IFERROR(__xludf.DUMMYFUNCTION("IFERROR(SUBSTITUTE(SUBSTITUTE(REGEXEXTRACT(A8967, ""[^-]+- [^-]+- [^-]+ - (.+?)\.jpg""), "".jpg"", """"), ""-"", "", ""), """")"),"")</f>
        <v/>
      </c>
      <c r="L8967" s="12"/>
      <c r="M8967" s="13"/>
      <c r="N8967" s="2"/>
      <c r="O8967" s="20"/>
      <c r="P8967" s="42"/>
      <c r="R8967" s="23"/>
    </row>
    <row r="8968" spans="1:18" ht="12.75">
      <c r="A8968" s="12"/>
      <c r="D8968" s="12"/>
      <c r="E8968" s="12"/>
      <c r="H8968" s="11" t="str">
        <f ca="1">IFERROR(__xludf.DUMMYFUNCTION("IFERROR(SUBSTITUTE(SUBSTITUTE(REGEXEXTRACT(A8968, ""[^-]+- [^-]+- [^-]+ - (.+?)\.jpg""), "".jpg"", """"), ""-"", "", ""), """")"),"")</f>
        <v/>
      </c>
      <c r="L8968" s="12"/>
      <c r="M8968" s="13"/>
      <c r="N8968" s="2"/>
      <c r="O8968" s="20"/>
      <c r="P8968" s="42"/>
      <c r="R8968" s="23"/>
    </row>
    <row r="8969" spans="1:18" ht="12.75">
      <c r="A8969" s="12"/>
      <c r="D8969" s="12"/>
      <c r="E8969" s="12"/>
      <c r="H8969" s="11" t="str">
        <f ca="1">IFERROR(__xludf.DUMMYFUNCTION("IFERROR(SUBSTITUTE(SUBSTITUTE(REGEXEXTRACT(A8969, ""[^-]+- [^-]+- [^-]+ - (.+?)\.jpg""), "".jpg"", """"), ""-"", "", ""), """")"),"")</f>
        <v/>
      </c>
      <c r="L8969" s="12"/>
      <c r="M8969" s="13"/>
      <c r="N8969" s="2"/>
      <c r="O8969" s="20"/>
      <c r="P8969" s="42"/>
      <c r="R8969" s="23"/>
    </row>
    <row r="8970" spans="1:18" ht="12.75">
      <c r="A8970" s="12"/>
      <c r="D8970" s="12"/>
      <c r="E8970" s="12"/>
      <c r="H8970" s="11" t="str">
        <f ca="1">IFERROR(__xludf.DUMMYFUNCTION("IFERROR(SUBSTITUTE(SUBSTITUTE(REGEXEXTRACT(A8970, ""[^-]+- [^-]+- [^-]+ - (.+?)\.jpg""), "".jpg"", """"), ""-"", "", ""), """")"),"")</f>
        <v/>
      </c>
      <c r="L8970" s="12"/>
      <c r="M8970" s="13"/>
      <c r="N8970" s="2"/>
      <c r="O8970" s="20"/>
      <c r="P8970" s="42"/>
      <c r="R8970" s="23"/>
    </row>
    <row r="8971" spans="1:18" ht="12.75">
      <c r="A8971" s="12"/>
      <c r="D8971" s="12"/>
      <c r="E8971" s="12"/>
      <c r="H8971" s="11" t="str">
        <f ca="1">IFERROR(__xludf.DUMMYFUNCTION("IFERROR(SUBSTITUTE(SUBSTITUTE(REGEXEXTRACT(A8971, ""[^-]+- [^-]+- [^-]+ - (.+?)\.jpg""), "".jpg"", """"), ""-"", "", ""), """")"),"")</f>
        <v/>
      </c>
      <c r="L8971" s="12"/>
      <c r="M8971" s="13"/>
      <c r="N8971" s="2"/>
      <c r="O8971" s="20"/>
      <c r="P8971" s="42"/>
      <c r="R8971" s="23"/>
    </row>
    <row r="8972" spans="1:18" ht="12.75">
      <c r="A8972" s="12"/>
      <c r="D8972" s="12"/>
      <c r="E8972" s="12"/>
      <c r="H8972" s="11" t="str">
        <f ca="1">IFERROR(__xludf.DUMMYFUNCTION("IFERROR(SUBSTITUTE(SUBSTITUTE(REGEXEXTRACT(A8972, ""[^-]+- [^-]+- [^-]+ - (.+?)\.jpg""), "".jpg"", """"), ""-"", "", ""), """")"),"")</f>
        <v/>
      </c>
      <c r="L8972" s="12"/>
      <c r="M8972" s="13"/>
      <c r="N8972" s="2"/>
      <c r="O8972" s="20"/>
      <c r="P8972" s="42"/>
      <c r="R8972" s="23"/>
    </row>
    <row r="8973" spans="1:18" ht="12.75">
      <c r="A8973" s="12"/>
      <c r="D8973" s="12"/>
      <c r="E8973" s="12"/>
      <c r="H8973" s="11" t="str">
        <f ca="1">IFERROR(__xludf.DUMMYFUNCTION("IFERROR(SUBSTITUTE(SUBSTITUTE(REGEXEXTRACT(A8973, ""[^-]+- [^-]+- [^-]+ - (.+?)\.jpg""), "".jpg"", """"), ""-"", "", ""), """")"),"")</f>
        <v/>
      </c>
      <c r="L8973" s="12"/>
      <c r="M8973" s="13"/>
      <c r="N8973" s="2"/>
      <c r="O8973" s="20"/>
      <c r="P8973" s="42"/>
      <c r="R8973" s="23"/>
    </row>
    <row r="8974" spans="1:18" ht="12.75">
      <c r="A8974" s="12"/>
      <c r="D8974" s="12"/>
      <c r="E8974" s="12"/>
      <c r="H8974" s="11" t="str">
        <f ca="1">IFERROR(__xludf.DUMMYFUNCTION("IFERROR(SUBSTITUTE(SUBSTITUTE(REGEXEXTRACT(A8974, ""[^-]+- [^-]+- [^-]+ - (.+?)\.jpg""), "".jpg"", """"), ""-"", "", ""), """")"),"")</f>
        <v/>
      </c>
      <c r="L8974" s="12"/>
      <c r="M8974" s="13"/>
      <c r="N8974" s="2"/>
      <c r="O8974" s="20"/>
      <c r="P8974" s="42"/>
      <c r="R8974" s="23"/>
    </row>
    <row r="8975" spans="1:18" ht="12.75">
      <c r="A8975" s="12"/>
      <c r="D8975" s="12"/>
      <c r="E8975" s="12"/>
      <c r="H8975" s="11" t="str">
        <f ca="1">IFERROR(__xludf.DUMMYFUNCTION("IFERROR(SUBSTITUTE(SUBSTITUTE(REGEXEXTRACT(A8975, ""[^-]+- [^-]+- [^-]+ - (.+?)\.jpg""), "".jpg"", """"), ""-"", "", ""), """")"),"")</f>
        <v/>
      </c>
      <c r="L8975" s="12"/>
      <c r="M8975" s="13"/>
      <c r="N8975" s="2"/>
      <c r="O8975" s="20"/>
      <c r="P8975" s="42"/>
      <c r="R8975" s="23"/>
    </row>
    <row r="8976" spans="1:18" ht="12.75">
      <c r="A8976" s="12"/>
      <c r="D8976" s="12"/>
      <c r="E8976" s="12"/>
      <c r="H8976" s="11" t="str">
        <f ca="1">IFERROR(__xludf.DUMMYFUNCTION("IFERROR(SUBSTITUTE(SUBSTITUTE(REGEXEXTRACT(A8976, ""[^-]+- [^-]+- [^-]+ - (.+?)\.jpg""), "".jpg"", """"), ""-"", "", ""), """")"),"")</f>
        <v/>
      </c>
      <c r="L8976" s="12"/>
      <c r="M8976" s="13"/>
      <c r="N8976" s="2"/>
      <c r="O8976" s="20"/>
      <c r="P8976" s="42"/>
      <c r="R8976" s="23"/>
    </row>
    <row r="8977" spans="1:18" ht="12.75">
      <c r="A8977" s="12"/>
      <c r="D8977" s="12"/>
      <c r="E8977" s="12"/>
      <c r="H8977" s="11" t="str">
        <f ca="1">IFERROR(__xludf.DUMMYFUNCTION("IFERROR(SUBSTITUTE(SUBSTITUTE(REGEXEXTRACT(A8977, ""[^-]+- [^-]+- [^-]+ - (.+?)\.jpg""), "".jpg"", """"), ""-"", "", ""), """")"),"")</f>
        <v/>
      </c>
      <c r="L8977" s="12"/>
      <c r="M8977" s="13"/>
      <c r="N8977" s="2"/>
      <c r="O8977" s="20"/>
      <c r="P8977" s="42"/>
      <c r="R8977" s="23"/>
    </row>
    <row r="8978" spans="1:18" ht="12.75">
      <c r="A8978" s="12"/>
      <c r="D8978" s="12"/>
      <c r="E8978" s="12"/>
      <c r="H8978" s="11" t="str">
        <f ca="1">IFERROR(__xludf.DUMMYFUNCTION("IFERROR(SUBSTITUTE(SUBSTITUTE(REGEXEXTRACT(A8978, ""[^-]+- [^-]+- [^-]+ - (.+?)\.jpg""), "".jpg"", """"), ""-"", "", ""), """")"),"")</f>
        <v/>
      </c>
      <c r="L8978" s="12"/>
      <c r="M8978" s="13"/>
      <c r="N8978" s="2"/>
      <c r="O8978" s="20"/>
      <c r="P8978" s="42"/>
      <c r="R8978" s="23"/>
    </row>
    <row r="8979" spans="1:18" ht="12.75">
      <c r="A8979" s="12"/>
      <c r="D8979" s="12"/>
      <c r="E8979" s="12"/>
      <c r="H8979" s="11" t="str">
        <f ca="1">IFERROR(__xludf.DUMMYFUNCTION("IFERROR(SUBSTITUTE(SUBSTITUTE(REGEXEXTRACT(A8979, ""[^-]+- [^-]+- [^-]+ - (.+?)\.jpg""), "".jpg"", """"), ""-"", "", ""), """")"),"")</f>
        <v/>
      </c>
      <c r="L8979" s="12"/>
      <c r="M8979" s="13"/>
      <c r="N8979" s="2"/>
      <c r="O8979" s="20"/>
      <c r="P8979" s="42"/>
      <c r="R8979" s="23"/>
    </row>
    <row r="8980" spans="1:18" ht="12.75">
      <c r="A8980" s="12"/>
      <c r="D8980" s="12"/>
      <c r="E8980" s="12"/>
      <c r="H8980" s="11" t="str">
        <f ca="1">IFERROR(__xludf.DUMMYFUNCTION("IFERROR(SUBSTITUTE(SUBSTITUTE(REGEXEXTRACT(A8980, ""[^-]+- [^-]+- [^-]+ - (.+?)\.jpg""), "".jpg"", """"), ""-"", "", ""), """")"),"")</f>
        <v/>
      </c>
      <c r="L8980" s="12"/>
      <c r="M8980" s="13"/>
      <c r="N8980" s="2"/>
      <c r="O8980" s="20"/>
      <c r="P8980" s="42"/>
      <c r="R8980" s="23"/>
    </row>
    <row r="8981" spans="1:18" ht="12.75">
      <c r="A8981" s="12"/>
      <c r="D8981" s="12"/>
      <c r="E8981" s="12"/>
      <c r="H8981" s="11" t="str">
        <f ca="1">IFERROR(__xludf.DUMMYFUNCTION("IFERROR(SUBSTITUTE(SUBSTITUTE(REGEXEXTRACT(A8981, ""[^-]+- [^-]+- [^-]+ - (.+?)\.jpg""), "".jpg"", """"), ""-"", "", ""), """")"),"")</f>
        <v/>
      </c>
      <c r="L8981" s="12"/>
      <c r="M8981" s="13"/>
      <c r="N8981" s="2"/>
      <c r="O8981" s="20"/>
      <c r="P8981" s="42"/>
      <c r="R8981" s="23"/>
    </row>
    <row r="8982" spans="1:18" ht="12.75">
      <c r="A8982" s="12"/>
      <c r="D8982" s="12"/>
      <c r="E8982" s="12"/>
      <c r="H8982" s="11" t="str">
        <f ca="1">IFERROR(__xludf.DUMMYFUNCTION("IFERROR(SUBSTITUTE(SUBSTITUTE(REGEXEXTRACT(A8982, ""[^-]+- [^-]+- [^-]+ - (.+?)\.jpg""), "".jpg"", """"), ""-"", "", ""), """")"),"")</f>
        <v/>
      </c>
      <c r="L8982" s="12"/>
      <c r="M8982" s="13"/>
      <c r="N8982" s="2"/>
      <c r="O8982" s="20"/>
      <c r="P8982" s="42"/>
      <c r="R8982" s="23"/>
    </row>
    <row r="8983" spans="1:18" ht="12.75">
      <c r="A8983" s="12"/>
      <c r="D8983" s="12"/>
      <c r="E8983" s="12"/>
      <c r="H8983" s="11" t="str">
        <f ca="1">IFERROR(__xludf.DUMMYFUNCTION("IFERROR(SUBSTITUTE(SUBSTITUTE(REGEXEXTRACT(A8983, ""[^-]+- [^-]+- [^-]+ - (.+?)\.jpg""), "".jpg"", """"), ""-"", "", ""), """")"),"")</f>
        <v/>
      </c>
      <c r="L8983" s="12"/>
      <c r="M8983" s="13"/>
      <c r="N8983" s="2"/>
      <c r="O8983" s="20"/>
      <c r="P8983" s="42"/>
      <c r="R8983" s="23"/>
    </row>
    <row r="8984" spans="1:18" ht="12.75">
      <c r="A8984" s="12"/>
      <c r="D8984" s="12"/>
      <c r="E8984" s="12"/>
      <c r="H8984" s="11" t="str">
        <f ca="1">IFERROR(__xludf.DUMMYFUNCTION("IFERROR(SUBSTITUTE(SUBSTITUTE(REGEXEXTRACT(A8984, ""[^-]+- [^-]+- [^-]+ - (.+?)\.jpg""), "".jpg"", """"), ""-"", "", ""), """")"),"")</f>
        <v/>
      </c>
      <c r="L8984" s="12"/>
      <c r="M8984" s="13"/>
      <c r="N8984" s="2"/>
      <c r="O8984" s="20"/>
      <c r="P8984" s="42"/>
      <c r="R8984" s="23"/>
    </row>
    <row r="8985" spans="1:18" ht="12.75">
      <c r="A8985" s="12"/>
      <c r="D8985" s="12"/>
      <c r="E8985" s="12"/>
      <c r="H8985" s="11" t="str">
        <f ca="1">IFERROR(__xludf.DUMMYFUNCTION("IFERROR(SUBSTITUTE(SUBSTITUTE(REGEXEXTRACT(A8985, ""[^-]+- [^-]+- [^-]+ - (.+?)\.jpg""), "".jpg"", """"), ""-"", "", ""), """")"),"")</f>
        <v/>
      </c>
      <c r="L8985" s="12"/>
      <c r="M8985" s="13"/>
      <c r="N8985" s="2"/>
      <c r="O8985" s="20"/>
      <c r="P8985" s="42"/>
      <c r="R8985" s="23"/>
    </row>
    <row r="8986" spans="1:18" ht="12.75">
      <c r="A8986" s="12"/>
      <c r="D8986" s="12"/>
      <c r="E8986" s="12"/>
      <c r="H8986" s="11" t="str">
        <f ca="1">IFERROR(__xludf.DUMMYFUNCTION("IFERROR(SUBSTITUTE(SUBSTITUTE(REGEXEXTRACT(A8986, ""[^-]+- [^-]+- [^-]+ - (.+?)\.jpg""), "".jpg"", """"), ""-"", "", ""), """")"),"")</f>
        <v/>
      </c>
      <c r="L8986" s="12"/>
      <c r="M8986" s="13"/>
      <c r="N8986" s="2"/>
      <c r="O8986" s="20"/>
      <c r="P8986" s="42"/>
      <c r="R8986" s="23"/>
    </row>
    <row r="8987" spans="1:18" ht="12.75">
      <c r="A8987" s="12"/>
      <c r="D8987" s="12"/>
      <c r="E8987" s="12"/>
      <c r="H8987" s="11" t="str">
        <f ca="1">IFERROR(__xludf.DUMMYFUNCTION("IFERROR(SUBSTITUTE(SUBSTITUTE(REGEXEXTRACT(A8987, ""[^-]+- [^-]+- [^-]+ - (.+?)\.jpg""), "".jpg"", """"), ""-"", "", ""), """")"),"")</f>
        <v/>
      </c>
      <c r="L8987" s="12"/>
      <c r="M8987" s="13"/>
      <c r="N8987" s="2"/>
      <c r="O8987" s="20"/>
      <c r="P8987" s="42"/>
      <c r="R8987" s="23"/>
    </row>
    <row r="8988" spans="1:18" ht="12.75">
      <c r="A8988" s="12"/>
      <c r="D8988" s="12"/>
      <c r="E8988" s="12"/>
      <c r="H8988" s="11" t="str">
        <f ca="1">IFERROR(__xludf.DUMMYFUNCTION("IFERROR(SUBSTITUTE(SUBSTITUTE(REGEXEXTRACT(A8988, ""[^-]+- [^-]+- [^-]+ - (.+?)\.jpg""), "".jpg"", """"), ""-"", "", ""), """")"),"")</f>
        <v/>
      </c>
      <c r="L8988" s="12"/>
      <c r="M8988" s="13"/>
      <c r="N8988" s="2"/>
      <c r="O8988" s="20"/>
      <c r="P8988" s="42"/>
      <c r="R8988" s="23"/>
    </row>
    <row r="8989" spans="1:18" ht="12.75">
      <c r="A8989" s="12"/>
      <c r="D8989" s="12"/>
      <c r="E8989" s="12"/>
      <c r="H8989" s="11" t="str">
        <f ca="1">IFERROR(__xludf.DUMMYFUNCTION("IFERROR(SUBSTITUTE(SUBSTITUTE(REGEXEXTRACT(A8989, ""[^-]+- [^-]+- [^-]+ - (.+?)\.jpg""), "".jpg"", """"), ""-"", "", ""), """")"),"")</f>
        <v/>
      </c>
      <c r="L8989" s="12"/>
      <c r="M8989" s="13"/>
      <c r="N8989" s="2"/>
      <c r="O8989" s="20"/>
      <c r="P8989" s="42"/>
      <c r="R8989" s="23"/>
    </row>
    <row r="8990" spans="1:18" ht="12.75">
      <c r="A8990" s="12"/>
      <c r="D8990" s="12"/>
      <c r="E8990" s="12"/>
      <c r="H8990" s="11" t="str">
        <f ca="1">IFERROR(__xludf.DUMMYFUNCTION("IFERROR(SUBSTITUTE(SUBSTITUTE(REGEXEXTRACT(A8990, ""[^-]+- [^-]+- [^-]+ - (.+?)\.jpg""), "".jpg"", """"), ""-"", "", ""), """")"),"")</f>
        <v/>
      </c>
      <c r="L8990" s="12"/>
      <c r="M8990" s="13"/>
      <c r="N8990" s="2"/>
      <c r="O8990" s="20"/>
      <c r="P8990" s="42"/>
      <c r="R8990" s="23"/>
    </row>
    <row r="8991" spans="1:18" ht="12.75">
      <c r="A8991" s="12"/>
      <c r="D8991" s="12"/>
      <c r="E8991" s="12"/>
      <c r="H8991" s="11" t="str">
        <f ca="1">IFERROR(__xludf.DUMMYFUNCTION("IFERROR(SUBSTITUTE(SUBSTITUTE(REGEXEXTRACT(A8991, ""[^-]+- [^-]+- [^-]+ - (.+?)\.jpg""), "".jpg"", """"), ""-"", "", ""), """")"),"")</f>
        <v/>
      </c>
      <c r="L8991" s="12"/>
      <c r="M8991" s="13"/>
      <c r="N8991" s="2"/>
      <c r="O8991" s="20"/>
      <c r="P8991" s="42"/>
      <c r="R8991" s="23"/>
    </row>
    <row r="8992" spans="1:18" ht="12.75">
      <c r="A8992" s="12"/>
      <c r="D8992" s="12"/>
      <c r="E8992" s="12"/>
      <c r="H8992" s="11" t="str">
        <f ca="1">IFERROR(__xludf.DUMMYFUNCTION("IFERROR(SUBSTITUTE(SUBSTITUTE(REGEXEXTRACT(A8992, ""[^-]+- [^-]+- [^-]+ - (.+?)\.jpg""), "".jpg"", """"), ""-"", "", ""), """")"),"")</f>
        <v/>
      </c>
      <c r="L8992" s="12"/>
      <c r="M8992" s="13"/>
      <c r="N8992" s="2"/>
      <c r="O8992" s="20"/>
      <c r="P8992" s="42"/>
      <c r="R8992" s="23"/>
    </row>
    <row r="8993" spans="1:18" ht="12.75">
      <c r="A8993" s="12"/>
      <c r="D8993" s="12"/>
      <c r="E8993" s="12"/>
      <c r="H8993" s="11" t="str">
        <f ca="1">IFERROR(__xludf.DUMMYFUNCTION("IFERROR(SUBSTITUTE(SUBSTITUTE(REGEXEXTRACT(A8993, ""[^-]+- [^-]+- [^-]+ - (.+?)\.jpg""), "".jpg"", """"), ""-"", "", ""), """")"),"")</f>
        <v/>
      </c>
      <c r="L8993" s="12"/>
      <c r="M8993" s="13"/>
      <c r="N8993" s="2"/>
      <c r="O8993" s="20"/>
      <c r="P8993" s="42"/>
      <c r="R8993" s="23"/>
    </row>
    <row r="8994" spans="1:18" ht="12.75">
      <c r="A8994" s="12"/>
      <c r="D8994" s="12"/>
      <c r="E8994" s="12"/>
      <c r="H8994" s="11" t="str">
        <f ca="1">IFERROR(__xludf.DUMMYFUNCTION("IFERROR(SUBSTITUTE(SUBSTITUTE(REGEXEXTRACT(A8994, ""[^-]+- [^-]+- [^-]+ - (.+?)\.jpg""), "".jpg"", """"), ""-"", "", ""), """")"),"")</f>
        <v/>
      </c>
      <c r="L8994" s="12"/>
      <c r="M8994" s="13"/>
      <c r="N8994" s="2"/>
      <c r="O8994" s="20"/>
      <c r="P8994" s="42"/>
      <c r="R8994" s="23"/>
    </row>
    <row r="8995" spans="1:18" ht="12.75">
      <c r="A8995" s="12"/>
      <c r="D8995" s="12"/>
      <c r="E8995" s="12"/>
      <c r="H8995" s="11" t="str">
        <f ca="1">IFERROR(__xludf.DUMMYFUNCTION("IFERROR(SUBSTITUTE(SUBSTITUTE(REGEXEXTRACT(A8995, ""[^-]+- [^-]+- [^-]+ - (.+?)\.jpg""), "".jpg"", """"), ""-"", "", ""), """")"),"")</f>
        <v/>
      </c>
      <c r="L8995" s="12"/>
      <c r="M8995" s="13"/>
      <c r="N8995" s="2"/>
      <c r="O8995" s="20"/>
      <c r="P8995" s="42"/>
      <c r="R8995" s="23"/>
    </row>
    <row r="8996" spans="1:18" ht="12.75">
      <c r="A8996" s="12"/>
      <c r="D8996" s="12"/>
      <c r="E8996" s="12"/>
      <c r="H8996" s="11" t="str">
        <f ca="1">IFERROR(__xludf.DUMMYFUNCTION("IFERROR(SUBSTITUTE(SUBSTITUTE(REGEXEXTRACT(A8996, ""[^-]+- [^-]+- [^-]+ - (.+?)\.jpg""), "".jpg"", """"), ""-"", "", ""), """")"),"")</f>
        <v/>
      </c>
      <c r="L8996" s="12"/>
      <c r="M8996" s="13"/>
      <c r="N8996" s="2"/>
      <c r="O8996" s="20"/>
      <c r="P8996" s="42"/>
      <c r="R8996" s="23"/>
    </row>
    <row r="8997" spans="1:18" ht="12.75">
      <c r="A8997" s="12"/>
      <c r="D8997" s="12"/>
      <c r="E8997" s="12"/>
      <c r="H8997" s="11" t="str">
        <f ca="1">IFERROR(__xludf.DUMMYFUNCTION("IFERROR(SUBSTITUTE(SUBSTITUTE(REGEXEXTRACT(A8997, ""[^-]+- [^-]+- [^-]+ - (.+?)\.jpg""), "".jpg"", """"), ""-"", "", ""), """")"),"")</f>
        <v/>
      </c>
      <c r="L8997" s="12"/>
      <c r="M8997" s="13"/>
      <c r="N8997" s="2"/>
      <c r="O8997" s="20"/>
      <c r="P8997" s="42"/>
      <c r="R8997" s="23"/>
    </row>
    <row r="8998" spans="1:18" ht="12.75">
      <c r="A8998" s="12"/>
      <c r="D8998" s="12"/>
      <c r="E8998" s="12"/>
      <c r="H8998" s="11" t="str">
        <f ca="1">IFERROR(__xludf.DUMMYFUNCTION("IFERROR(SUBSTITUTE(SUBSTITUTE(REGEXEXTRACT(A8998, ""[^-]+- [^-]+- [^-]+ - (.+?)\.jpg""), "".jpg"", """"), ""-"", "", ""), """")"),"")</f>
        <v/>
      </c>
      <c r="L8998" s="12"/>
      <c r="M8998" s="13"/>
      <c r="N8998" s="2"/>
      <c r="O8998" s="20"/>
      <c r="P8998" s="42"/>
      <c r="R8998" s="23"/>
    </row>
    <row r="8999" spans="1:18" ht="12.75">
      <c r="A8999" s="12"/>
      <c r="D8999" s="12"/>
      <c r="E8999" s="12"/>
      <c r="H8999" s="11" t="str">
        <f ca="1">IFERROR(__xludf.DUMMYFUNCTION("IFERROR(SUBSTITUTE(SUBSTITUTE(REGEXEXTRACT(A8999, ""[^-]+- [^-]+- [^-]+ - (.+?)\.jpg""), "".jpg"", """"), ""-"", "", ""), """")"),"")</f>
        <v/>
      </c>
      <c r="L8999" s="12"/>
      <c r="M8999" s="13"/>
      <c r="N8999" s="2"/>
      <c r="O8999" s="20"/>
      <c r="P8999" s="42"/>
      <c r="R8999" s="23"/>
    </row>
    <row r="9000" spans="1:18" ht="12.75">
      <c r="A9000" s="12"/>
      <c r="D9000" s="12"/>
      <c r="E9000" s="12"/>
      <c r="H9000" s="11" t="str">
        <f ca="1">IFERROR(__xludf.DUMMYFUNCTION("IFERROR(SUBSTITUTE(SUBSTITUTE(REGEXEXTRACT(A9000, ""[^-]+- [^-]+- [^-]+ - (.+?)\.jpg""), "".jpg"", """"), ""-"", "", ""), """")"),"")</f>
        <v/>
      </c>
      <c r="L9000" s="12"/>
      <c r="M9000" s="13"/>
      <c r="N9000" s="2"/>
      <c r="O9000" s="20"/>
      <c r="P9000" s="42"/>
      <c r="R9000" s="23"/>
    </row>
    <row r="9001" spans="1:18" ht="12.75">
      <c r="A9001" s="12"/>
      <c r="D9001" s="12"/>
      <c r="E9001" s="12"/>
      <c r="H9001" s="11" t="str">
        <f ca="1">IFERROR(__xludf.DUMMYFUNCTION("IFERROR(SUBSTITUTE(SUBSTITUTE(REGEXEXTRACT(A9001, ""[^-]+- [^-]+- [^-]+ - (.+?)\.jpg""), "".jpg"", """"), ""-"", "", ""), """")"),"")</f>
        <v/>
      </c>
      <c r="L9001" s="12"/>
      <c r="M9001" s="13"/>
      <c r="N9001" s="2"/>
      <c r="O9001" s="20"/>
      <c r="P9001" s="42"/>
      <c r="R9001" s="23"/>
    </row>
    <row r="9002" spans="1:18" ht="12.75">
      <c r="A9002" s="12"/>
      <c r="D9002" s="12"/>
      <c r="E9002" s="12"/>
      <c r="H9002" s="11" t="str">
        <f ca="1">IFERROR(__xludf.DUMMYFUNCTION("IFERROR(SUBSTITUTE(SUBSTITUTE(REGEXEXTRACT(A9002, ""[^-]+- [^-]+- [^-]+ - (.+?)\.jpg""), "".jpg"", """"), ""-"", "", ""), """")"),"")</f>
        <v/>
      </c>
      <c r="L9002" s="12"/>
      <c r="M9002" s="13"/>
      <c r="N9002" s="2"/>
      <c r="O9002" s="20"/>
      <c r="P9002" s="42"/>
      <c r="R9002" s="23"/>
    </row>
    <row r="9003" spans="1:18" ht="12.75">
      <c r="A9003" s="12"/>
      <c r="D9003" s="12"/>
      <c r="E9003" s="12"/>
      <c r="H9003" s="11" t="str">
        <f ca="1">IFERROR(__xludf.DUMMYFUNCTION("IFERROR(SUBSTITUTE(SUBSTITUTE(REGEXEXTRACT(A9003, ""[^-]+- [^-]+- [^-]+ - (.+?)\.jpg""), "".jpg"", """"), ""-"", "", ""), """")"),"")</f>
        <v/>
      </c>
      <c r="L9003" s="12"/>
      <c r="M9003" s="13"/>
      <c r="N9003" s="2"/>
      <c r="O9003" s="20"/>
      <c r="P9003" s="42"/>
      <c r="R9003" s="23"/>
    </row>
    <row r="9004" spans="1:18" ht="12.75">
      <c r="A9004" s="12"/>
      <c r="D9004" s="12"/>
      <c r="E9004" s="12"/>
      <c r="H9004" s="11" t="str">
        <f ca="1">IFERROR(__xludf.DUMMYFUNCTION("IFERROR(SUBSTITUTE(SUBSTITUTE(REGEXEXTRACT(A9004, ""[^-]+- [^-]+- [^-]+ - (.+?)\.jpg""), "".jpg"", """"), ""-"", "", ""), """")"),"")</f>
        <v/>
      </c>
      <c r="L9004" s="12"/>
      <c r="M9004" s="13"/>
      <c r="N9004" s="2"/>
      <c r="O9004" s="20"/>
      <c r="P9004" s="42"/>
      <c r="R9004" s="23"/>
    </row>
    <row r="9005" spans="1:18" ht="12.75">
      <c r="A9005" s="12"/>
      <c r="D9005" s="12"/>
      <c r="E9005" s="12"/>
      <c r="H9005" s="11" t="str">
        <f ca="1">IFERROR(__xludf.DUMMYFUNCTION("IFERROR(SUBSTITUTE(SUBSTITUTE(REGEXEXTRACT(A9005, ""[^-]+- [^-]+- [^-]+ - (.+?)\.jpg""), "".jpg"", """"), ""-"", "", ""), """")"),"")</f>
        <v/>
      </c>
      <c r="L9005" s="12"/>
      <c r="M9005" s="13"/>
      <c r="N9005" s="2"/>
      <c r="O9005" s="20"/>
      <c r="P9005" s="42"/>
      <c r="R9005" s="23"/>
    </row>
    <row r="9006" spans="1:18" ht="12.75">
      <c r="A9006" s="12"/>
      <c r="D9006" s="12"/>
      <c r="E9006" s="12"/>
      <c r="H9006" s="11" t="str">
        <f ca="1">IFERROR(__xludf.DUMMYFUNCTION("IFERROR(SUBSTITUTE(SUBSTITUTE(REGEXEXTRACT(A9006, ""[^-]+- [^-]+- [^-]+ - (.+?)\.jpg""), "".jpg"", """"), ""-"", "", ""), """")"),"")</f>
        <v/>
      </c>
      <c r="L9006" s="12"/>
      <c r="M9006" s="13"/>
      <c r="N9006" s="2"/>
      <c r="O9006" s="20"/>
      <c r="P9006" s="42"/>
      <c r="R9006" s="23"/>
    </row>
    <row r="9007" spans="1:18" ht="12.75">
      <c r="A9007" s="12"/>
      <c r="D9007" s="12"/>
      <c r="E9007" s="12"/>
      <c r="H9007" s="11" t="str">
        <f ca="1">IFERROR(__xludf.DUMMYFUNCTION("IFERROR(SUBSTITUTE(SUBSTITUTE(REGEXEXTRACT(A9007, ""[^-]+- [^-]+- [^-]+ - (.+?)\.jpg""), "".jpg"", """"), ""-"", "", ""), """")"),"")</f>
        <v/>
      </c>
      <c r="L9007" s="12"/>
      <c r="M9007" s="13"/>
      <c r="N9007" s="2"/>
      <c r="O9007" s="20"/>
      <c r="P9007" s="42"/>
      <c r="R9007" s="23"/>
    </row>
    <row r="9008" spans="1:18" ht="12.75">
      <c r="A9008" s="12"/>
      <c r="D9008" s="12"/>
      <c r="E9008" s="12"/>
      <c r="H9008" s="11" t="str">
        <f ca="1">IFERROR(__xludf.DUMMYFUNCTION("IFERROR(SUBSTITUTE(SUBSTITUTE(REGEXEXTRACT(A9008, ""[^-]+- [^-]+- [^-]+ - (.+?)\.jpg""), "".jpg"", """"), ""-"", "", ""), """")"),"")</f>
        <v/>
      </c>
      <c r="L9008" s="12"/>
      <c r="M9008" s="13"/>
      <c r="N9008" s="2"/>
      <c r="O9008" s="20"/>
      <c r="P9008" s="42"/>
      <c r="R9008" s="23"/>
    </row>
    <row r="9009" spans="1:18" ht="12.75">
      <c r="A9009" s="12"/>
      <c r="D9009" s="12"/>
      <c r="E9009" s="12"/>
      <c r="H9009" s="11" t="str">
        <f ca="1">IFERROR(__xludf.DUMMYFUNCTION("IFERROR(SUBSTITUTE(SUBSTITUTE(REGEXEXTRACT(A9009, ""[^-]+- [^-]+- [^-]+ - (.+?)\.jpg""), "".jpg"", """"), ""-"", "", ""), """")"),"")</f>
        <v/>
      </c>
      <c r="L9009" s="12"/>
      <c r="M9009" s="13"/>
      <c r="N9009" s="2"/>
      <c r="O9009" s="20"/>
      <c r="P9009" s="42"/>
      <c r="R9009" s="23"/>
    </row>
    <row r="9010" spans="1:18" ht="12.75">
      <c r="A9010" s="12"/>
      <c r="D9010" s="12"/>
      <c r="E9010" s="12"/>
      <c r="H9010" s="11" t="str">
        <f ca="1">IFERROR(__xludf.DUMMYFUNCTION("IFERROR(SUBSTITUTE(SUBSTITUTE(REGEXEXTRACT(A9010, ""[^-]+- [^-]+- [^-]+ - (.+?)\.jpg""), "".jpg"", """"), ""-"", "", ""), """")"),"")</f>
        <v/>
      </c>
      <c r="L9010" s="12"/>
      <c r="M9010" s="13"/>
      <c r="N9010" s="2"/>
      <c r="O9010" s="20"/>
      <c r="P9010" s="42"/>
      <c r="R9010" s="23"/>
    </row>
    <row r="9011" spans="1:18" ht="12.75">
      <c r="A9011" s="12"/>
      <c r="D9011" s="12"/>
      <c r="E9011" s="12"/>
      <c r="H9011" s="11" t="str">
        <f ca="1">IFERROR(__xludf.DUMMYFUNCTION("IFERROR(SUBSTITUTE(SUBSTITUTE(REGEXEXTRACT(A9011, ""[^-]+- [^-]+- [^-]+ - (.+?)\.jpg""), "".jpg"", """"), ""-"", "", ""), """")"),"")</f>
        <v/>
      </c>
      <c r="L9011" s="12"/>
      <c r="M9011" s="13"/>
      <c r="N9011" s="2"/>
      <c r="O9011" s="20"/>
      <c r="P9011" s="42"/>
      <c r="R9011" s="23"/>
    </row>
    <row r="9012" spans="1:18" ht="12.75">
      <c r="A9012" s="12"/>
      <c r="D9012" s="12"/>
      <c r="E9012" s="12"/>
      <c r="H9012" s="11" t="str">
        <f ca="1">IFERROR(__xludf.DUMMYFUNCTION("IFERROR(SUBSTITUTE(SUBSTITUTE(REGEXEXTRACT(A9012, ""[^-]+- [^-]+- [^-]+ - (.+?)\.jpg""), "".jpg"", """"), ""-"", "", ""), """")"),"")</f>
        <v/>
      </c>
      <c r="L9012" s="12"/>
      <c r="M9012" s="13"/>
      <c r="N9012" s="2"/>
      <c r="O9012" s="20"/>
      <c r="P9012" s="42"/>
      <c r="R9012" s="23"/>
    </row>
    <row r="9013" spans="1:18" ht="12.75">
      <c r="A9013" s="12"/>
      <c r="D9013" s="12"/>
      <c r="E9013" s="12"/>
      <c r="H9013" s="11" t="str">
        <f ca="1">IFERROR(__xludf.DUMMYFUNCTION("IFERROR(SUBSTITUTE(SUBSTITUTE(REGEXEXTRACT(A9013, ""[^-]+- [^-]+- [^-]+ - (.+?)\.jpg""), "".jpg"", """"), ""-"", "", ""), """")"),"")</f>
        <v/>
      </c>
      <c r="L9013" s="12"/>
      <c r="M9013" s="13"/>
      <c r="N9013" s="2"/>
      <c r="O9013" s="20"/>
      <c r="P9013" s="42"/>
      <c r="R9013" s="23"/>
    </row>
    <row r="9014" spans="1:18" ht="12.75">
      <c r="A9014" s="12"/>
      <c r="D9014" s="12"/>
      <c r="E9014" s="12"/>
      <c r="H9014" s="11" t="str">
        <f ca="1">IFERROR(__xludf.DUMMYFUNCTION("IFERROR(SUBSTITUTE(SUBSTITUTE(REGEXEXTRACT(A9014, ""[^-]+- [^-]+- [^-]+ - (.+?)\.jpg""), "".jpg"", """"), ""-"", "", ""), """")"),"")</f>
        <v/>
      </c>
      <c r="L9014" s="12"/>
      <c r="M9014" s="13"/>
      <c r="N9014" s="2"/>
      <c r="O9014" s="20"/>
      <c r="P9014" s="42"/>
      <c r="R9014" s="23"/>
    </row>
    <row r="9015" spans="1:18" ht="12.75">
      <c r="A9015" s="12"/>
      <c r="D9015" s="12"/>
      <c r="E9015" s="12"/>
      <c r="H9015" s="11" t="str">
        <f ca="1">IFERROR(__xludf.DUMMYFUNCTION("IFERROR(SUBSTITUTE(SUBSTITUTE(REGEXEXTRACT(A9015, ""[^-]+- [^-]+- [^-]+ - (.+?)\.jpg""), "".jpg"", """"), ""-"", "", ""), """")"),"")</f>
        <v/>
      </c>
      <c r="L9015" s="12"/>
      <c r="M9015" s="13"/>
      <c r="N9015" s="2"/>
      <c r="O9015" s="20"/>
      <c r="P9015" s="42"/>
      <c r="R9015" s="23"/>
    </row>
    <row r="9016" spans="1:18" ht="12.75">
      <c r="A9016" s="12"/>
      <c r="D9016" s="12"/>
      <c r="E9016" s="12"/>
      <c r="H9016" s="11" t="str">
        <f ca="1">IFERROR(__xludf.DUMMYFUNCTION("IFERROR(SUBSTITUTE(SUBSTITUTE(REGEXEXTRACT(A9016, ""[^-]+- [^-]+- [^-]+ - (.+?)\.jpg""), "".jpg"", """"), ""-"", "", ""), """")"),"")</f>
        <v/>
      </c>
      <c r="L9016" s="12"/>
      <c r="M9016" s="13"/>
      <c r="N9016" s="2"/>
      <c r="O9016" s="20"/>
      <c r="P9016" s="42"/>
      <c r="R9016" s="23"/>
    </row>
    <row r="9017" spans="1:18" ht="12.75">
      <c r="A9017" s="12"/>
      <c r="D9017" s="12"/>
      <c r="E9017" s="12"/>
      <c r="H9017" s="11" t="str">
        <f ca="1">IFERROR(__xludf.DUMMYFUNCTION("IFERROR(SUBSTITUTE(SUBSTITUTE(REGEXEXTRACT(A9017, ""[^-]+- [^-]+- [^-]+ - (.+?)\.jpg""), "".jpg"", """"), ""-"", "", ""), """")"),"")</f>
        <v/>
      </c>
      <c r="L9017" s="12"/>
      <c r="M9017" s="13"/>
      <c r="N9017" s="2"/>
      <c r="O9017" s="20"/>
      <c r="P9017" s="42"/>
      <c r="R9017" s="23"/>
    </row>
    <row r="9018" spans="1:18" ht="12.75">
      <c r="A9018" s="12"/>
      <c r="D9018" s="12"/>
      <c r="E9018" s="12"/>
      <c r="H9018" s="11" t="str">
        <f ca="1">IFERROR(__xludf.DUMMYFUNCTION("IFERROR(SUBSTITUTE(SUBSTITUTE(REGEXEXTRACT(A9018, ""[^-]+- [^-]+- [^-]+ - (.+?)\.jpg""), "".jpg"", """"), ""-"", "", ""), """")"),"")</f>
        <v/>
      </c>
      <c r="L9018" s="12"/>
      <c r="M9018" s="13"/>
      <c r="N9018" s="2"/>
      <c r="O9018" s="20"/>
      <c r="P9018" s="42"/>
      <c r="R9018" s="23"/>
    </row>
    <row r="9019" spans="1:18" ht="12.75">
      <c r="A9019" s="12"/>
      <c r="D9019" s="12"/>
      <c r="E9019" s="12"/>
      <c r="H9019" s="11" t="str">
        <f ca="1">IFERROR(__xludf.DUMMYFUNCTION("IFERROR(SUBSTITUTE(SUBSTITUTE(REGEXEXTRACT(A9019, ""[^-]+- [^-]+- [^-]+ - (.+?)\.jpg""), "".jpg"", """"), ""-"", "", ""), """")"),"")</f>
        <v/>
      </c>
      <c r="L9019" s="12"/>
      <c r="M9019" s="13"/>
      <c r="N9019" s="2"/>
      <c r="O9019" s="20"/>
      <c r="P9019" s="42"/>
      <c r="R9019" s="23"/>
    </row>
    <row r="9020" spans="1:18" ht="12.75">
      <c r="A9020" s="12"/>
      <c r="D9020" s="12"/>
      <c r="E9020" s="12"/>
      <c r="H9020" s="11" t="str">
        <f ca="1">IFERROR(__xludf.DUMMYFUNCTION("IFERROR(SUBSTITUTE(SUBSTITUTE(REGEXEXTRACT(A9020, ""[^-]+- [^-]+- [^-]+ - (.+?)\.jpg""), "".jpg"", """"), ""-"", "", ""), """")"),"")</f>
        <v/>
      </c>
      <c r="L9020" s="12"/>
      <c r="M9020" s="13"/>
      <c r="N9020" s="2"/>
      <c r="O9020" s="20"/>
      <c r="P9020" s="42"/>
      <c r="R9020" s="23"/>
    </row>
    <row r="9021" spans="1:18" ht="12.75">
      <c r="A9021" s="12"/>
      <c r="D9021" s="12"/>
      <c r="E9021" s="12"/>
      <c r="H9021" s="11" t="str">
        <f ca="1">IFERROR(__xludf.DUMMYFUNCTION("IFERROR(SUBSTITUTE(SUBSTITUTE(REGEXEXTRACT(A9021, ""[^-]+- [^-]+- [^-]+ - (.+?)\.jpg""), "".jpg"", """"), ""-"", "", ""), """")"),"")</f>
        <v/>
      </c>
      <c r="L9021" s="12"/>
      <c r="M9021" s="13"/>
      <c r="N9021" s="2"/>
      <c r="O9021" s="20"/>
      <c r="P9021" s="42"/>
      <c r="R9021" s="23"/>
    </row>
    <row r="9022" spans="1:18" ht="12.75">
      <c r="A9022" s="12"/>
      <c r="D9022" s="12"/>
      <c r="E9022" s="12"/>
      <c r="H9022" s="11" t="str">
        <f ca="1">IFERROR(__xludf.DUMMYFUNCTION("IFERROR(SUBSTITUTE(SUBSTITUTE(REGEXEXTRACT(A9022, ""[^-]+- [^-]+- [^-]+ - (.+?)\.jpg""), "".jpg"", """"), ""-"", "", ""), """")"),"")</f>
        <v/>
      </c>
      <c r="L9022" s="12"/>
      <c r="M9022" s="13"/>
      <c r="N9022" s="2"/>
      <c r="O9022" s="20"/>
      <c r="P9022" s="42"/>
      <c r="R9022" s="23"/>
    </row>
    <row r="9023" spans="1:18" ht="12.75">
      <c r="A9023" s="12"/>
      <c r="D9023" s="12"/>
      <c r="E9023" s="12"/>
      <c r="H9023" s="11" t="str">
        <f ca="1">IFERROR(__xludf.DUMMYFUNCTION("IFERROR(SUBSTITUTE(SUBSTITUTE(REGEXEXTRACT(A9023, ""[^-]+- [^-]+- [^-]+ - (.+?)\.jpg""), "".jpg"", """"), ""-"", "", ""), """")"),"")</f>
        <v/>
      </c>
      <c r="L9023" s="12"/>
      <c r="M9023" s="13"/>
      <c r="N9023" s="2"/>
      <c r="O9023" s="20"/>
      <c r="P9023" s="42"/>
      <c r="R9023" s="23"/>
    </row>
    <row r="9024" spans="1:18" ht="12.75">
      <c r="A9024" s="12"/>
      <c r="D9024" s="12"/>
      <c r="E9024" s="12"/>
      <c r="H9024" s="11" t="str">
        <f ca="1">IFERROR(__xludf.DUMMYFUNCTION("IFERROR(SUBSTITUTE(SUBSTITUTE(REGEXEXTRACT(A9024, ""[^-]+- [^-]+- [^-]+ - (.+?)\.jpg""), "".jpg"", """"), ""-"", "", ""), """")"),"")</f>
        <v/>
      </c>
      <c r="L9024" s="12"/>
      <c r="M9024" s="13"/>
      <c r="N9024" s="2"/>
      <c r="O9024" s="20"/>
      <c r="P9024" s="42"/>
      <c r="R9024" s="23"/>
    </row>
    <row r="9025" spans="1:18" ht="12.75">
      <c r="A9025" s="12"/>
      <c r="D9025" s="12"/>
      <c r="E9025" s="12"/>
      <c r="H9025" s="11" t="str">
        <f ca="1">IFERROR(__xludf.DUMMYFUNCTION("IFERROR(SUBSTITUTE(SUBSTITUTE(REGEXEXTRACT(A9025, ""[^-]+- [^-]+- [^-]+ - (.+?)\.jpg""), "".jpg"", """"), ""-"", "", ""), """")"),"")</f>
        <v/>
      </c>
      <c r="L9025" s="12"/>
      <c r="M9025" s="13"/>
      <c r="N9025" s="2"/>
      <c r="O9025" s="20"/>
      <c r="P9025" s="42"/>
      <c r="R9025" s="23"/>
    </row>
    <row r="9026" spans="1:18" ht="12.75">
      <c r="A9026" s="12"/>
      <c r="D9026" s="12"/>
      <c r="E9026" s="12"/>
      <c r="H9026" s="11" t="str">
        <f ca="1">IFERROR(__xludf.DUMMYFUNCTION("IFERROR(SUBSTITUTE(SUBSTITUTE(REGEXEXTRACT(A9026, ""[^-]+- [^-]+- [^-]+ - (.+?)\.jpg""), "".jpg"", """"), ""-"", "", ""), """")"),"")</f>
        <v/>
      </c>
      <c r="L9026" s="12"/>
      <c r="M9026" s="13"/>
      <c r="N9026" s="2"/>
      <c r="O9026" s="20"/>
      <c r="P9026" s="42"/>
      <c r="R9026" s="23"/>
    </row>
    <row r="9027" spans="1:18" ht="12.75">
      <c r="A9027" s="12"/>
      <c r="D9027" s="12"/>
      <c r="E9027" s="12"/>
      <c r="H9027" s="11" t="str">
        <f ca="1">IFERROR(__xludf.DUMMYFUNCTION("IFERROR(SUBSTITUTE(SUBSTITUTE(REGEXEXTRACT(A9027, ""[^-]+- [^-]+- [^-]+ - (.+?)\.jpg""), "".jpg"", """"), ""-"", "", ""), """")"),"")</f>
        <v/>
      </c>
      <c r="L9027" s="12"/>
      <c r="M9027" s="13"/>
      <c r="N9027" s="2"/>
      <c r="O9027" s="20"/>
      <c r="P9027" s="42"/>
      <c r="R9027" s="23"/>
    </row>
    <row r="9028" spans="1:18" ht="12.75">
      <c r="A9028" s="12"/>
      <c r="D9028" s="12"/>
      <c r="E9028" s="12"/>
      <c r="H9028" s="11" t="str">
        <f ca="1">IFERROR(__xludf.DUMMYFUNCTION("IFERROR(SUBSTITUTE(SUBSTITUTE(REGEXEXTRACT(A9028, ""[^-]+- [^-]+- [^-]+ - (.+?)\.jpg""), "".jpg"", """"), ""-"", "", ""), """")"),"")</f>
        <v/>
      </c>
      <c r="L9028" s="12"/>
      <c r="M9028" s="13"/>
      <c r="N9028" s="2"/>
      <c r="O9028" s="20"/>
      <c r="P9028" s="42"/>
      <c r="R9028" s="23"/>
    </row>
    <row r="9029" spans="1:18" ht="12.75">
      <c r="A9029" s="12"/>
      <c r="D9029" s="12"/>
      <c r="E9029" s="12"/>
      <c r="H9029" s="11" t="str">
        <f ca="1">IFERROR(__xludf.DUMMYFUNCTION("IFERROR(SUBSTITUTE(SUBSTITUTE(REGEXEXTRACT(A9029, ""[^-]+- [^-]+- [^-]+ - (.+?)\.jpg""), "".jpg"", """"), ""-"", "", ""), """")"),"")</f>
        <v/>
      </c>
      <c r="L9029" s="12"/>
      <c r="M9029" s="13"/>
      <c r="N9029" s="2"/>
      <c r="O9029" s="20"/>
      <c r="P9029" s="42"/>
      <c r="R9029" s="23"/>
    </row>
    <row r="9030" spans="1:18" ht="12.75">
      <c r="A9030" s="12"/>
      <c r="D9030" s="12"/>
      <c r="E9030" s="12"/>
      <c r="H9030" s="11" t="str">
        <f ca="1">IFERROR(__xludf.DUMMYFUNCTION("IFERROR(SUBSTITUTE(SUBSTITUTE(REGEXEXTRACT(A9030, ""[^-]+- [^-]+- [^-]+ - (.+?)\.jpg""), "".jpg"", """"), ""-"", "", ""), """")"),"")</f>
        <v/>
      </c>
      <c r="L9030" s="12"/>
      <c r="M9030" s="13"/>
      <c r="N9030" s="2"/>
      <c r="O9030" s="20"/>
      <c r="P9030" s="42"/>
      <c r="R9030" s="23"/>
    </row>
    <row r="9031" spans="1:18" ht="12.75">
      <c r="A9031" s="12"/>
      <c r="D9031" s="12"/>
      <c r="E9031" s="12"/>
      <c r="H9031" s="11" t="str">
        <f ca="1">IFERROR(__xludf.DUMMYFUNCTION("IFERROR(SUBSTITUTE(SUBSTITUTE(REGEXEXTRACT(A9031, ""[^-]+- [^-]+- [^-]+ - (.+?)\.jpg""), "".jpg"", """"), ""-"", "", ""), """")"),"")</f>
        <v/>
      </c>
      <c r="L9031" s="12"/>
      <c r="M9031" s="13"/>
      <c r="N9031" s="2"/>
      <c r="O9031" s="20"/>
      <c r="P9031" s="42"/>
      <c r="R9031" s="23"/>
    </row>
    <row r="9032" spans="1:18" ht="12.75">
      <c r="A9032" s="12"/>
      <c r="D9032" s="12"/>
      <c r="E9032" s="12"/>
      <c r="H9032" s="11" t="str">
        <f ca="1">IFERROR(__xludf.DUMMYFUNCTION("IFERROR(SUBSTITUTE(SUBSTITUTE(REGEXEXTRACT(A9032, ""[^-]+- [^-]+- [^-]+ - (.+?)\.jpg""), "".jpg"", """"), ""-"", "", ""), """")"),"")</f>
        <v/>
      </c>
      <c r="L9032" s="12"/>
      <c r="M9032" s="13"/>
      <c r="N9032" s="2"/>
      <c r="O9032" s="20"/>
      <c r="P9032" s="42"/>
      <c r="R9032" s="23"/>
    </row>
    <row r="9033" spans="1:18" ht="12.75">
      <c r="A9033" s="12"/>
      <c r="D9033" s="12"/>
      <c r="E9033" s="12"/>
      <c r="H9033" s="11" t="str">
        <f ca="1">IFERROR(__xludf.DUMMYFUNCTION("IFERROR(SUBSTITUTE(SUBSTITUTE(REGEXEXTRACT(A9033, ""[^-]+- [^-]+- [^-]+ - (.+?)\.jpg""), "".jpg"", """"), ""-"", "", ""), """")"),"")</f>
        <v/>
      </c>
      <c r="L9033" s="12"/>
      <c r="M9033" s="13"/>
      <c r="N9033" s="2"/>
      <c r="O9033" s="20"/>
      <c r="P9033" s="42"/>
      <c r="R9033" s="23"/>
    </row>
    <row r="9034" spans="1:18" ht="12.75">
      <c r="A9034" s="12"/>
      <c r="D9034" s="12"/>
      <c r="E9034" s="12"/>
      <c r="H9034" s="11" t="str">
        <f ca="1">IFERROR(__xludf.DUMMYFUNCTION("IFERROR(SUBSTITUTE(SUBSTITUTE(REGEXEXTRACT(A9034, ""[^-]+- [^-]+- [^-]+ - (.+?)\.jpg""), "".jpg"", """"), ""-"", "", ""), """")"),"")</f>
        <v/>
      </c>
      <c r="L9034" s="12"/>
      <c r="M9034" s="13"/>
      <c r="N9034" s="2"/>
      <c r="O9034" s="20"/>
      <c r="P9034" s="42"/>
      <c r="R9034" s="23"/>
    </row>
    <row r="9035" spans="1:18" ht="12.75">
      <c r="A9035" s="12"/>
      <c r="D9035" s="12"/>
      <c r="E9035" s="12"/>
      <c r="H9035" s="11" t="str">
        <f ca="1">IFERROR(__xludf.DUMMYFUNCTION("IFERROR(SUBSTITUTE(SUBSTITUTE(REGEXEXTRACT(A9035, ""[^-]+- [^-]+- [^-]+ - (.+?)\.jpg""), "".jpg"", """"), ""-"", "", ""), """")"),"")</f>
        <v/>
      </c>
      <c r="L9035" s="12"/>
      <c r="M9035" s="13"/>
      <c r="N9035" s="2"/>
      <c r="O9035" s="20"/>
      <c r="P9035" s="42"/>
      <c r="R9035" s="23"/>
    </row>
    <row r="9036" spans="1:18" ht="12.75">
      <c r="A9036" s="12"/>
      <c r="D9036" s="12"/>
      <c r="E9036" s="12"/>
      <c r="H9036" s="11" t="str">
        <f ca="1">IFERROR(__xludf.DUMMYFUNCTION("IFERROR(SUBSTITUTE(SUBSTITUTE(REGEXEXTRACT(A9036, ""[^-]+- [^-]+- [^-]+ - (.+?)\.jpg""), "".jpg"", """"), ""-"", "", ""), """")"),"")</f>
        <v/>
      </c>
      <c r="L9036" s="12"/>
      <c r="M9036" s="13"/>
      <c r="N9036" s="2"/>
      <c r="O9036" s="20"/>
      <c r="P9036" s="42"/>
      <c r="R9036" s="23"/>
    </row>
    <row r="9037" spans="1:18" ht="12.75">
      <c r="A9037" s="12"/>
      <c r="D9037" s="12"/>
      <c r="E9037" s="12"/>
      <c r="H9037" s="11" t="str">
        <f ca="1">IFERROR(__xludf.DUMMYFUNCTION("IFERROR(SUBSTITUTE(SUBSTITUTE(REGEXEXTRACT(A9037, ""[^-]+- [^-]+- [^-]+ - (.+?)\.jpg""), "".jpg"", """"), ""-"", "", ""), """")"),"")</f>
        <v/>
      </c>
      <c r="L9037" s="12"/>
      <c r="M9037" s="13"/>
      <c r="N9037" s="2"/>
      <c r="O9037" s="20"/>
      <c r="P9037" s="42"/>
      <c r="R9037" s="23"/>
    </row>
    <row r="9038" spans="1:18" ht="12.75">
      <c r="A9038" s="12"/>
      <c r="D9038" s="12"/>
      <c r="E9038" s="12"/>
      <c r="H9038" s="11" t="str">
        <f ca="1">IFERROR(__xludf.DUMMYFUNCTION("IFERROR(SUBSTITUTE(SUBSTITUTE(REGEXEXTRACT(A9038, ""[^-]+- [^-]+- [^-]+ - (.+?)\.jpg""), "".jpg"", """"), ""-"", "", ""), """")"),"")</f>
        <v/>
      </c>
      <c r="L9038" s="12"/>
      <c r="M9038" s="13"/>
      <c r="N9038" s="2"/>
      <c r="O9038" s="20"/>
      <c r="P9038" s="42"/>
      <c r="R9038" s="23"/>
    </row>
    <row r="9039" spans="1:18" ht="12.75">
      <c r="A9039" s="12"/>
      <c r="D9039" s="12"/>
      <c r="E9039" s="12"/>
      <c r="H9039" s="11" t="str">
        <f ca="1">IFERROR(__xludf.DUMMYFUNCTION("IFERROR(SUBSTITUTE(SUBSTITUTE(REGEXEXTRACT(A9039, ""[^-]+- [^-]+- [^-]+ - (.+?)\.jpg""), "".jpg"", """"), ""-"", "", ""), """")"),"")</f>
        <v/>
      </c>
      <c r="L9039" s="12"/>
      <c r="M9039" s="13"/>
      <c r="N9039" s="2"/>
      <c r="O9039" s="20"/>
      <c r="P9039" s="42"/>
      <c r="R9039" s="23"/>
    </row>
    <row r="9040" spans="1:18" ht="12.75">
      <c r="A9040" s="12"/>
      <c r="D9040" s="12"/>
      <c r="E9040" s="12"/>
      <c r="H9040" s="11" t="str">
        <f ca="1">IFERROR(__xludf.DUMMYFUNCTION("IFERROR(SUBSTITUTE(SUBSTITUTE(REGEXEXTRACT(A9040, ""[^-]+- [^-]+- [^-]+ - (.+?)\.jpg""), "".jpg"", """"), ""-"", "", ""), """")"),"")</f>
        <v/>
      </c>
      <c r="L9040" s="12"/>
      <c r="M9040" s="13"/>
      <c r="N9040" s="2"/>
      <c r="O9040" s="20"/>
      <c r="P9040" s="42"/>
      <c r="R9040" s="23"/>
    </row>
    <row r="9041" spans="1:18" ht="12.75">
      <c r="A9041" s="12"/>
      <c r="D9041" s="12"/>
      <c r="E9041" s="12"/>
      <c r="H9041" s="11" t="str">
        <f ca="1">IFERROR(__xludf.DUMMYFUNCTION("IFERROR(SUBSTITUTE(SUBSTITUTE(REGEXEXTRACT(A9041, ""[^-]+- [^-]+- [^-]+ - (.+?)\.jpg""), "".jpg"", """"), ""-"", "", ""), """")"),"")</f>
        <v/>
      </c>
      <c r="L9041" s="12"/>
      <c r="M9041" s="13"/>
      <c r="N9041" s="2"/>
      <c r="O9041" s="20"/>
      <c r="P9041" s="42"/>
      <c r="R9041" s="23"/>
    </row>
    <row r="9042" spans="1:18" ht="12.75">
      <c r="A9042" s="12"/>
      <c r="D9042" s="12"/>
      <c r="E9042" s="12"/>
      <c r="H9042" s="11" t="str">
        <f ca="1">IFERROR(__xludf.DUMMYFUNCTION("IFERROR(SUBSTITUTE(SUBSTITUTE(REGEXEXTRACT(A9042, ""[^-]+- [^-]+- [^-]+ - (.+?)\.jpg""), "".jpg"", """"), ""-"", "", ""), """")"),"")</f>
        <v/>
      </c>
      <c r="L9042" s="12"/>
      <c r="M9042" s="13"/>
      <c r="N9042" s="2"/>
      <c r="O9042" s="20"/>
      <c r="P9042" s="42"/>
      <c r="R9042" s="23"/>
    </row>
    <row r="9043" spans="1:18" ht="12.75">
      <c r="A9043" s="12"/>
      <c r="D9043" s="12"/>
      <c r="E9043" s="12"/>
      <c r="H9043" s="11" t="str">
        <f ca="1">IFERROR(__xludf.DUMMYFUNCTION("IFERROR(SUBSTITUTE(SUBSTITUTE(REGEXEXTRACT(A9043, ""[^-]+- [^-]+- [^-]+ - (.+?)\.jpg""), "".jpg"", """"), ""-"", "", ""), """")"),"")</f>
        <v/>
      </c>
      <c r="L9043" s="12"/>
      <c r="M9043" s="13"/>
      <c r="N9043" s="2"/>
      <c r="O9043" s="20"/>
      <c r="P9043" s="42"/>
      <c r="R9043" s="23"/>
    </row>
    <row r="9044" spans="1:18" ht="12.75">
      <c r="A9044" s="12"/>
      <c r="D9044" s="12"/>
      <c r="E9044" s="12"/>
      <c r="H9044" s="11" t="str">
        <f ca="1">IFERROR(__xludf.DUMMYFUNCTION("IFERROR(SUBSTITUTE(SUBSTITUTE(REGEXEXTRACT(A9044, ""[^-]+- [^-]+- [^-]+ - (.+?)\.jpg""), "".jpg"", """"), ""-"", "", ""), """")"),"")</f>
        <v/>
      </c>
      <c r="L9044" s="12"/>
      <c r="M9044" s="13"/>
      <c r="N9044" s="2"/>
      <c r="O9044" s="20"/>
      <c r="P9044" s="42"/>
      <c r="R9044" s="23"/>
    </row>
    <row r="9045" spans="1:18" ht="12.75">
      <c r="A9045" s="12"/>
      <c r="D9045" s="12"/>
      <c r="E9045" s="12"/>
      <c r="H9045" s="11" t="str">
        <f ca="1">IFERROR(__xludf.DUMMYFUNCTION("IFERROR(SUBSTITUTE(SUBSTITUTE(REGEXEXTRACT(A9045, ""[^-]+- [^-]+- [^-]+ - (.+?)\.jpg""), "".jpg"", """"), ""-"", "", ""), """")"),"")</f>
        <v/>
      </c>
      <c r="L9045" s="12"/>
      <c r="M9045" s="13"/>
      <c r="N9045" s="2"/>
      <c r="O9045" s="20"/>
      <c r="P9045" s="42"/>
      <c r="R9045" s="23"/>
    </row>
    <row r="9046" spans="1:18" ht="12.75">
      <c r="A9046" s="12"/>
      <c r="D9046" s="12"/>
      <c r="E9046" s="12"/>
      <c r="H9046" s="11" t="str">
        <f ca="1">IFERROR(__xludf.DUMMYFUNCTION("IFERROR(SUBSTITUTE(SUBSTITUTE(REGEXEXTRACT(A9046, ""[^-]+- [^-]+- [^-]+ - (.+?)\.jpg""), "".jpg"", """"), ""-"", "", ""), """")"),"")</f>
        <v/>
      </c>
      <c r="L9046" s="12"/>
      <c r="M9046" s="13"/>
      <c r="N9046" s="2"/>
      <c r="O9046" s="20"/>
      <c r="P9046" s="42"/>
      <c r="R9046" s="23"/>
    </row>
    <row r="9047" spans="1:18" ht="12.75">
      <c r="A9047" s="12"/>
      <c r="D9047" s="12"/>
      <c r="E9047" s="12"/>
      <c r="H9047" s="11" t="str">
        <f ca="1">IFERROR(__xludf.DUMMYFUNCTION("IFERROR(SUBSTITUTE(SUBSTITUTE(REGEXEXTRACT(A9047, ""[^-]+- [^-]+- [^-]+ - (.+?)\.jpg""), "".jpg"", """"), ""-"", "", ""), """")"),"")</f>
        <v/>
      </c>
      <c r="L9047" s="12"/>
      <c r="M9047" s="13"/>
      <c r="N9047" s="2"/>
      <c r="O9047" s="20"/>
      <c r="P9047" s="42"/>
      <c r="R9047" s="23"/>
    </row>
    <row r="9048" spans="1:18" ht="12.75">
      <c r="A9048" s="12"/>
      <c r="D9048" s="12"/>
      <c r="E9048" s="12"/>
      <c r="H9048" s="11" t="str">
        <f ca="1">IFERROR(__xludf.DUMMYFUNCTION("IFERROR(SUBSTITUTE(SUBSTITUTE(REGEXEXTRACT(A9048, ""[^-]+- [^-]+- [^-]+ - (.+?)\.jpg""), "".jpg"", """"), ""-"", "", ""), """")"),"")</f>
        <v/>
      </c>
      <c r="L9048" s="12"/>
      <c r="M9048" s="13"/>
      <c r="N9048" s="2"/>
      <c r="O9048" s="20"/>
      <c r="P9048" s="42"/>
      <c r="R9048" s="23"/>
    </row>
    <row r="9049" spans="1:18" ht="12.75">
      <c r="A9049" s="12"/>
      <c r="D9049" s="12"/>
      <c r="E9049" s="12"/>
      <c r="H9049" s="11" t="str">
        <f ca="1">IFERROR(__xludf.DUMMYFUNCTION("IFERROR(SUBSTITUTE(SUBSTITUTE(REGEXEXTRACT(A9049, ""[^-]+- [^-]+- [^-]+ - (.+?)\.jpg""), "".jpg"", """"), ""-"", "", ""), """")"),"")</f>
        <v/>
      </c>
      <c r="L9049" s="12"/>
      <c r="M9049" s="13"/>
      <c r="N9049" s="2"/>
      <c r="O9049" s="20"/>
      <c r="P9049" s="42"/>
      <c r="R9049" s="23"/>
    </row>
    <row r="9050" spans="1:18" ht="12.75">
      <c r="A9050" s="12"/>
      <c r="D9050" s="12"/>
      <c r="E9050" s="12"/>
      <c r="H9050" s="11" t="str">
        <f ca="1">IFERROR(__xludf.DUMMYFUNCTION("IFERROR(SUBSTITUTE(SUBSTITUTE(REGEXEXTRACT(A9050, ""[^-]+- [^-]+- [^-]+ - (.+?)\.jpg""), "".jpg"", """"), ""-"", "", ""), """")"),"")</f>
        <v/>
      </c>
      <c r="L9050" s="12"/>
      <c r="M9050" s="13"/>
      <c r="N9050" s="2"/>
      <c r="O9050" s="20"/>
      <c r="P9050" s="42"/>
      <c r="R9050" s="23"/>
    </row>
    <row r="9051" spans="1:18" ht="12.75">
      <c r="A9051" s="12"/>
      <c r="D9051" s="12"/>
      <c r="E9051" s="12"/>
      <c r="H9051" s="11" t="str">
        <f ca="1">IFERROR(__xludf.DUMMYFUNCTION("IFERROR(SUBSTITUTE(SUBSTITUTE(REGEXEXTRACT(A9051, ""[^-]+- [^-]+- [^-]+ - (.+?)\.jpg""), "".jpg"", """"), ""-"", "", ""), """")"),"")</f>
        <v/>
      </c>
      <c r="L9051" s="12"/>
      <c r="M9051" s="13"/>
      <c r="N9051" s="2"/>
      <c r="O9051" s="20"/>
      <c r="P9051" s="42"/>
      <c r="R9051" s="23"/>
    </row>
    <row r="9052" spans="1:18" ht="12.75">
      <c r="A9052" s="12"/>
      <c r="D9052" s="12"/>
      <c r="E9052" s="12"/>
      <c r="H9052" s="11" t="str">
        <f ca="1">IFERROR(__xludf.DUMMYFUNCTION("IFERROR(SUBSTITUTE(SUBSTITUTE(REGEXEXTRACT(A9052, ""[^-]+- [^-]+- [^-]+ - (.+?)\.jpg""), "".jpg"", """"), ""-"", "", ""), """")"),"")</f>
        <v/>
      </c>
      <c r="L9052" s="12"/>
      <c r="M9052" s="13"/>
      <c r="N9052" s="2"/>
      <c r="O9052" s="20"/>
      <c r="P9052" s="42"/>
      <c r="R9052" s="23"/>
    </row>
    <row r="9053" spans="1:18" ht="12.75">
      <c r="A9053" s="12"/>
      <c r="D9053" s="12"/>
      <c r="E9053" s="12"/>
      <c r="H9053" s="11" t="str">
        <f ca="1">IFERROR(__xludf.DUMMYFUNCTION("IFERROR(SUBSTITUTE(SUBSTITUTE(REGEXEXTRACT(A9053, ""[^-]+- [^-]+- [^-]+ - (.+?)\.jpg""), "".jpg"", """"), ""-"", "", ""), """")"),"")</f>
        <v/>
      </c>
      <c r="L9053" s="12"/>
      <c r="M9053" s="13"/>
      <c r="N9053" s="2"/>
      <c r="O9053" s="20"/>
      <c r="P9053" s="42"/>
      <c r="R9053" s="23"/>
    </row>
    <row r="9054" spans="1:18" ht="12.75">
      <c r="A9054" s="12"/>
      <c r="D9054" s="12"/>
      <c r="E9054" s="12"/>
      <c r="H9054" s="11" t="str">
        <f ca="1">IFERROR(__xludf.DUMMYFUNCTION("IFERROR(SUBSTITUTE(SUBSTITUTE(REGEXEXTRACT(A9054, ""[^-]+- [^-]+- [^-]+ - (.+?)\.jpg""), "".jpg"", """"), ""-"", "", ""), """")"),"")</f>
        <v/>
      </c>
      <c r="L9054" s="12"/>
      <c r="M9054" s="13"/>
      <c r="N9054" s="2"/>
      <c r="O9054" s="20"/>
      <c r="P9054" s="42"/>
      <c r="R9054" s="23"/>
    </row>
    <row r="9055" spans="1:18" ht="12.75">
      <c r="A9055" s="12"/>
      <c r="D9055" s="12"/>
      <c r="E9055" s="12"/>
      <c r="H9055" s="11" t="str">
        <f ca="1">IFERROR(__xludf.DUMMYFUNCTION("IFERROR(SUBSTITUTE(SUBSTITUTE(REGEXEXTRACT(A9055, ""[^-]+- [^-]+- [^-]+ - (.+?)\.jpg""), "".jpg"", """"), ""-"", "", ""), """")"),"")</f>
        <v/>
      </c>
      <c r="L9055" s="12"/>
      <c r="M9055" s="13"/>
      <c r="N9055" s="2"/>
      <c r="O9055" s="20"/>
      <c r="P9055" s="42"/>
      <c r="R9055" s="23"/>
    </row>
    <row r="9056" spans="1:18" ht="12.75">
      <c r="A9056" s="12"/>
      <c r="D9056" s="12"/>
      <c r="E9056" s="12"/>
      <c r="H9056" s="11" t="str">
        <f ca="1">IFERROR(__xludf.DUMMYFUNCTION("IFERROR(SUBSTITUTE(SUBSTITUTE(REGEXEXTRACT(A9056, ""[^-]+- [^-]+- [^-]+ - (.+?)\.jpg""), "".jpg"", """"), ""-"", "", ""), """")"),"")</f>
        <v/>
      </c>
      <c r="L9056" s="12"/>
      <c r="M9056" s="13"/>
      <c r="N9056" s="2"/>
      <c r="O9056" s="20"/>
      <c r="P9056" s="42"/>
      <c r="R9056" s="23"/>
    </row>
    <row r="9057" spans="1:18" ht="12.75">
      <c r="A9057" s="12"/>
      <c r="D9057" s="12"/>
      <c r="E9057" s="12"/>
      <c r="H9057" s="11" t="str">
        <f ca="1">IFERROR(__xludf.DUMMYFUNCTION("IFERROR(SUBSTITUTE(SUBSTITUTE(REGEXEXTRACT(A9057, ""[^-]+- [^-]+- [^-]+ - (.+?)\.jpg""), "".jpg"", """"), ""-"", "", ""), """")"),"")</f>
        <v/>
      </c>
      <c r="L9057" s="12"/>
      <c r="M9057" s="13"/>
      <c r="N9057" s="2"/>
      <c r="O9057" s="20"/>
      <c r="P9057" s="42"/>
      <c r="R9057" s="23"/>
    </row>
    <row r="9058" spans="1:18" ht="12.75">
      <c r="A9058" s="12"/>
      <c r="D9058" s="12"/>
      <c r="E9058" s="12"/>
      <c r="H9058" s="11" t="str">
        <f ca="1">IFERROR(__xludf.DUMMYFUNCTION("IFERROR(SUBSTITUTE(SUBSTITUTE(REGEXEXTRACT(A9058, ""[^-]+- [^-]+- [^-]+ - (.+?)\.jpg""), "".jpg"", """"), ""-"", "", ""), """")"),"")</f>
        <v/>
      </c>
      <c r="L9058" s="12"/>
      <c r="M9058" s="13"/>
      <c r="N9058" s="2"/>
      <c r="O9058" s="20"/>
      <c r="P9058" s="42"/>
      <c r="R9058" s="23"/>
    </row>
    <row r="9059" spans="1:18" ht="12.75">
      <c r="A9059" s="12"/>
      <c r="D9059" s="12"/>
      <c r="E9059" s="12"/>
      <c r="H9059" s="11" t="str">
        <f ca="1">IFERROR(__xludf.DUMMYFUNCTION("IFERROR(SUBSTITUTE(SUBSTITUTE(REGEXEXTRACT(A9059, ""[^-]+- [^-]+- [^-]+ - (.+?)\.jpg""), "".jpg"", """"), ""-"", "", ""), """")"),"")</f>
        <v/>
      </c>
      <c r="L9059" s="12"/>
      <c r="M9059" s="13"/>
      <c r="N9059" s="2"/>
      <c r="O9059" s="20"/>
      <c r="P9059" s="42"/>
      <c r="R9059" s="23"/>
    </row>
    <row r="9060" spans="1:18" ht="12.75">
      <c r="A9060" s="12"/>
      <c r="D9060" s="12"/>
      <c r="E9060" s="12"/>
      <c r="H9060" s="11" t="str">
        <f ca="1">IFERROR(__xludf.DUMMYFUNCTION("IFERROR(SUBSTITUTE(SUBSTITUTE(REGEXEXTRACT(A9060, ""[^-]+- [^-]+- [^-]+ - (.+?)\.jpg""), "".jpg"", """"), ""-"", "", ""), """")"),"")</f>
        <v/>
      </c>
      <c r="L9060" s="12"/>
      <c r="M9060" s="13"/>
      <c r="N9060" s="2"/>
      <c r="O9060" s="20"/>
      <c r="P9060" s="42"/>
      <c r="R9060" s="23"/>
    </row>
    <row r="9061" spans="1:18" ht="12.75">
      <c r="A9061" s="12"/>
      <c r="D9061" s="12"/>
      <c r="E9061" s="12"/>
      <c r="H9061" s="11" t="str">
        <f ca="1">IFERROR(__xludf.DUMMYFUNCTION("IFERROR(SUBSTITUTE(SUBSTITUTE(REGEXEXTRACT(A9061, ""[^-]+- [^-]+- [^-]+ - (.+?)\.jpg""), "".jpg"", """"), ""-"", "", ""), """")"),"")</f>
        <v/>
      </c>
      <c r="L9061" s="12"/>
      <c r="M9061" s="13"/>
      <c r="N9061" s="2"/>
      <c r="O9061" s="20"/>
      <c r="P9061" s="42"/>
      <c r="R9061" s="23"/>
    </row>
    <row r="9062" spans="1:18" ht="12.75">
      <c r="A9062" s="12"/>
      <c r="D9062" s="12"/>
      <c r="E9062" s="12"/>
      <c r="H9062" s="11" t="str">
        <f ca="1">IFERROR(__xludf.DUMMYFUNCTION("IFERROR(SUBSTITUTE(SUBSTITUTE(REGEXEXTRACT(A9062, ""[^-]+- [^-]+- [^-]+ - (.+?)\.jpg""), "".jpg"", """"), ""-"", "", ""), """")"),"")</f>
        <v/>
      </c>
      <c r="L9062" s="12"/>
      <c r="M9062" s="13"/>
      <c r="N9062" s="2"/>
      <c r="O9062" s="20"/>
      <c r="P9062" s="42"/>
      <c r="R9062" s="23"/>
    </row>
    <row r="9063" spans="1:18" ht="12.75">
      <c r="A9063" s="12"/>
      <c r="D9063" s="12"/>
      <c r="E9063" s="12"/>
      <c r="H9063" s="11" t="str">
        <f ca="1">IFERROR(__xludf.DUMMYFUNCTION("IFERROR(SUBSTITUTE(SUBSTITUTE(REGEXEXTRACT(A9063, ""[^-]+- [^-]+- [^-]+ - (.+?)\.jpg""), "".jpg"", """"), ""-"", "", ""), """")"),"")</f>
        <v/>
      </c>
      <c r="L9063" s="12"/>
      <c r="M9063" s="13"/>
      <c r="N9063" s="2"/>
      <c r="O9063" s="20"/>
      <c r="P9063" s="42"/>
      <c r="R9063" s="23"/>
    </row>
    <row r="9064" spans="1:18" ht="12.75">
      <c r="A9064" s="12"/>
      <c r="D9064" s="12"/>
      <c r="E9064" s="12"/>
      <c r="H9064" s="11" t="str">
        <f ca="1">IFERROR(__xludf.DUMMYFUNCTION("IFERROR(SUBSTITUTE(SUBSTITUTE(REGEXEXTRACT(A9064, ""[^-]+- [^-]+- [^-]+ - (.+?)\.jpg""), "".jpg"", """"), ""-"", "", ""), """")"),"")</f>
        <v/>
      </c>
      <c r="L9064" s="12"/>
      <c r="M9064" s="13"/>
      <c r="N9064" s="2"/>
      <c r="O9064" s="20"/>
      <c r="P9064" s="42"/>
      <c r="R9064" s="23"/>
    </row>
    <row r="9065" spans="1:18" ht="12.75">
      <c r="A9065" s="12"/>
      <c r="D9065" s="12"/>
      <c r="E9065" s="12"/>
      <c r="H9065" s="11" t="str">
        <f ca="1">IFERROR(__xludf.DUMMYFUNCTION("IFERROR(SUBSTITUTE(SUBSTITUTE(REGEXEXTRACT(A9065, ""[^-]+- [^-]+- [^-]+ - (.+?)\.jpg""), "".jpg"", """"), ""-"", "", ""), """")"),"")</f>
        <v/>
      </c>
      <c r="L9065" s="12"/>
      <c r="M9065" s="13"/>
      <c r="N9065" s="2"/>
      <c r="O9065" s="20"/>
      <c r="P9065" s="42"/>
      <c r="R9065" s="23"/>
    </row>
    <row r="9066" spans="1:18" ht="12.75">
      <c r="A9066" s="12"/>
      <c r="D9066" s="12"/>
      <c r="E9066" s="12"/>
      <c r="H9066" s="11" t="str">
        <f ca="1">IFERROR(__xludf.DUMMYFUNCTION("IFERROR(SUBSTITUTE(SUBSTITUTE(REGEXEXTRACT(A9066, ""[^-]+- [^-]+- [^-]+ - (.+?)\.jpg""), "".jpg"", """"), ""-"", "", ""), """")"),"")</f>
        <v/>
      </c>
      <c r="L9066" s="12"/>
      <c r="M9066" s="13"/>
      <c r="N9066" s="2"/>
      <c r="O9066" s="20"/>
      <c r="P9066" s="42"/>
      <c r="R9066" s="23"/>
    </row>
    <row r="9067" spans="1:18" ht="12.75">
      <c r="A9067" s="12"/>
      <c r="D9067" s="12"/>
      <c r="E9067" s="12"/>
      <c r="H9067" s="11" t="str">
        <f ca="1">IFERROR(__xludf.DUMMYFUNCTION("IFERROR(SUBSTITUTE(SUBSTITUTE(REGEXEXTRACT(A9067, ""[^-]+- [^-]+- [^-]+ - (.+?)\.jpg""), "".jpg"", """"), ""-"", "", ""), """")"),"")</f>
        <v/>
      </c>
      <c r="L9067" s="12"/>
      <c r="M9067" s="13"/>
      <c r="N9067" s="2"/>
      <c r="O9067" s="20"/>
      <c r="P9067" s="42"/>
      <c r="R9067" s="23"/>
    </row>
    <row r="9068" spans="1:18" ht="12.75">
      <c r="A9068" s="12"/>
      <c r="D9068" s="12"/>
      <c r="E9068" s="12"/>
      <c r="H9068" s="11" t="str">
        <f ca="1">IFERROR(__xludf.DUMMYFUNCTION("IFERROR(SUBSTITUTE(SUBSTITUTE(REGEXEXTRACT(A9068, ""[^-]+- [^-]+- [^-]+ - (.+?)\.jpg""), "".jpg"", """"), ""-"", "", ""), """")"),"")</f>
        <v/>
      </c>
      <c r="L9068" s="12"/>
      <c r="M9068" s="13"/>
      <c r="N9068" s="2"/>
      <c r="O9068" s="20"/>
      <c r="P9068" s="42"/>
      <c r="R9068" s="23"/>
    </row>
    <row r="9069" spans="1:18" ht="12.75">
      <c r="A9069" s="12"/>
      <c r="D9069" s="12"/>
      <c r="E9069" s="12"/>
      <c r="H9069" s="11" t="str">
        <f ca="1">IFERROR(__xludf.DUMMYFUNCTION("IFERROR(SUBSTITUTE(SUBSTITUTE(REGEXEXTRACT(A9069, ""[^-]+- [^-]+- [^-]+ - (.+?)\.jpg""), "".jpg"", """"), ""-"", "", ""), """")"),"")</f>
        <v/>
      </c>
      <c r="L9069" s="12"/>
      <c r="M9069" s="13"/>
      <c r="N9069" s="2"/>
      <c r="O9069" s="20"/>
      <c r="P9069" s="42"/>
      <c r="R9069" s="23"/>
    </row>
    <row r="9070" spans="1:18" ht="12.75">
      <c r="A9070" s="12"/>
      <c r="D9070" s="12"/>
      <c r="E9070" s="12"/>
      <c r="H9070" s="11" t="str">
        <f ca="1">IFERROR(__xludf.DUMMYFUNCTION("IFERROR(SUBSTITUTE(SUBSTITUTE(REGEXEXTRACT(A9070, ""[^-]+- [^-]+- [^-]+ - (.+?)\.jpg""), "".jpg"", """"), ""-"", "", ""), """")"),"")</f>
        <v/>
      </c>
      <c r="L9070" s="12"/>
      <c r="M9070" s="13"/>
      <c r="N9070" s="2"/>
      <c r="O9070" s="20"/>
      <c r="P9070" s="42"/>
      <c r="R9070" s="23"/>
    </row>
    <row r="9071" spans="1:18" ht="12.75">
      <c r="A9071" s="12"/>
      <c r="D9071" s="12"/>
      <c r="E9071" s="12"/>
      <c r="H9071" s="11" t="str">
        <f ca="1">IFERROR(__xludf.DUMMYFUNCTION("IFERROR(SUBSTITUTE(SUBSTITUTE(REGEXEXTRACT(A9071, ""[^-]+- [^-]+- [^-]+ - (.+?)\.jpg""), "".jpg"", """"), ""-"", "", ""), """")"),"")</f>
        <v/>
      </c>
      <c r="L9071" s="12"/>
      <c r="M9071" s="13"/>
      <c r="N9071" s="2"/>
      <c r="O9071" s="20"/>
      <c r="P9071" s="42"/>
      <c r="R9071" s="23"/>
    </row>
    <row r="9072" spans="1:18" ht="12.75">
      <c r="A9072" s="12"/>
      <c r="D9072" s="12"/>
      <c r="E9072" s="12"/>
      <c r="H9072" s="11" t="str">
        <f ca="1">IFERROR(__xludf.DUMMYFUNCTION("IFERROR(SUBSTITUTE(SUBSTITUTE(REGEXEXTRACT(A9072, ""[^-]+- [^-]+- [^-]+ - (.+?)\.jpg""), "".jpg"", """"), ""-"", "", ""), """")"),"")</f>
        <v/>
      </c>
      <c r="L9072" s="12"/>
      <c r="M9072" s="13"/>
      <c r="N9072" s="2"/>
      <c r="O9072" s="20"/>
      <c r="P9072" s="42"/>
      <c r="R9072" s="23"/>
    </row>
    <row r="9073" spans="1:18" ht="12.75">
      <c r="A9073" s="12"/>
      <c r="D9073" s="12"/>
      <c r="E9073" s="12"/>
      <c r="H9073" s="11" t="str">
        <f ca="1">IFERROR(__xludf.DUMMYFUNCTION("IFERROR(SUBSTITUTE(SUBSTITUTE(REGEXEXTRACT(A9073, ""[^-]+- [^-]+- [^-]+ - (.+?)\.jpg""), "".jpg"", """"), ""-"", "", ""), """")"),"")</f>
        <v/>
      </c>
      <c r="L9073" s="12"/>
      <c r="M9073" s="13"/>
      <c r="N9073" s="2"/>
      <c r="O9073" s="20"/>
      <c r="P9073" s="42"/>
      <c r="R9073" s="23"/>
    </row>
    <row r="9074" spans="1:18" ht="12.75">
      <c r="A9074" s="12"/>
      <c r="D9074" s="12"/>
      <c r="E9074" s="12"/>
      <c r="H9074" s="11" t="str">
        <f ca="1">IFERROR(__xludf.DUMMYFUNCTION("IFERROR(SUBSTITUTE(SUBSTITUTE(REGEXEXTRACT(A9074, ""[^-]+- [^-]+- [^-]+ - (.+?)\.jpg""), "".jpg"", """"), ""-"", "", ""), """")"),"")</f>
        <v/>
      </c>
      <c r="L9074" s="12"/>
      <c r="M9074" s="13"/>
      <c r="N9074" s="2"/>
      <c r="O9074" s="20"/>
      <c r="P9074" s="42"/>
      <c r="R9074" s="23"/>
    </row>
    <row r="9075" spans="1:18" ht="12.75">
      <c r="A9075" s="12"/>
      <c r="D9075" s="12"/>
      <c r="E9075" s="12"/>
      <c r="H9075" s="11" t="str">
        <f ca="1">IFERROR(__xludf.DUMMYFUNCTION("IFERROR(SUBSTITUTE(SUBSTITUTE(REGEXEXTRACT(A9075, ""[^-]+- [^-]+- [^-]+ - (.+?)\.jpg""), "".jpg"", """"), ""-"", "", ""), """")"),"")</f>
        <v/>
      </c>
      <c r="L9075" s="12"/>
      <c r="M9075" s="13"/>
      <c r="N9075" s="2"/>
      <c r="O9075" s="20"/>
      <c r="P9075" s="42"/>
      <c r="R9075" s="23"/>
    </row>
    <row r="9076" spans="1:18" ht="12.75">
      <c r="A9076" s="12"/>
      <c r="D9076" s="12"/>
      <c r="E9076" s="12"/>
      <c r="H9076" s="11" t="str">
        <f ca="1">IFERROR(__xludf.DUMMYFUNCTION("IFERROR(SUBSTITUTE(SUBSTITUTE(REGEXEXTRACT(A9076, ""[^-]+- [^-]+- [^-]+ - (.+?)\.jpg""), "".jpg"", """"), ""-"", "", ""), """")"),"")</f>
        <v/>
      </c>
      <c r="L9076" s="12"/>
      <c r="M9076" s="13"/>
      <c r="N9076" s="2"/>
      <c r="O9076" s="20"/>
      <c r="P9076" s="42"/>
      <c r="R9076" s="23"/>
    </row>
    <row r="9077" spans="1:18" ht="12.75">
      <c r="A9077" s="12"/>
      <c r="D9077" s="12"/>
      <c r="E9077" s="12"/>
      <c r="H9077" s="11" t="str">
        <f ca="1">IFERROR(__xludf.DUMMYFUNCTION("IFERROR(SUBSTITUTE(SUBSTITUTE(REGEXEXTRACT(A9077, ""[^-]+- [^-]+- [^-]+ - (.+?)\.jpg""), "".jpg"", """"), ""-"", "", ""), """")"),"")</f>
        <v/>
      </c>
      <c r="L9077" s="12"/>
      <c r="M9077" s="13"/>
      <c r="N9077" s="2"/>
      <c r="O9077" s="20"/>
      <c r="P9077" s="42"/>
      <c r="R9077" s="23"/>
    </row>
    <row r="9078" spans="1:18" ht="12.75">
      <c r="A9078" s="12"/>
      <c r="D9078" s="12"/>
      <c r="E9078" s="12"/>
      <c r="H9078" s="11" t="str">
        <f ca="1">IFERROR(__xludf.DUMMYFUNCTION("IFERROR(SUBSTITUTE(SUBSTITUTE(REGEXEXTRACT(A9078, ""[^-]+- [^-]+- [^-]+ - (.+?)\.jpg""), "".jpg"", """"), ""-"", "", ""), """")"),"")</f>
        <v/>
      </c>
      <c r="L9078" s="12"/>
      <c r="M9078" s="13"/>
      <c r="N9078" s="2"/>
      <c r="O9078" s="20"/>
      <c r="P9078" s="42"/>
      <c r="R9078" s="23"/>
    </row>
    <row r="9079" spans="1:18" ht="12.75">
      <c r="A9079" s="12"/>
      <c r="D9079" s="12"/>
      <c r="E9079" s="12"/>
      <c r="H9079" s="11" t="str">
        <f ca="1">IFERROR(__xludf.DUMMYFUNCTION("IFERROR(SUBSTITUTE(SUBSTITUTE(REGEXEXTRACT(A9079, ""[^-]+- [^-]+- [^-]+ - (.+?)\.jpg""), "".jpg"", """"), ""-"", "", ""), """")"),"")</f>
        <v/>
      </c>
      <c r="L9079" s="12"/>
      <c r="M9079" s="13"/>
      <c r="N9079" s="2"/>
      <c r="O9079" s="20"/>
      <c r="P9079" s="42"/>
      <c r="R9079" s="23"/>
    </row>
    <row r="9080" spans="1:18" ht="12.75">
      <c r="A9080" s="12"/>
      <c r="D9080" s="12"/>
      <c r="E9080" s="12"/>
      <c r="H9080" s="11" t="str">
        <f ca="1">IFERROR(__xludf.DUMMYFUNCTION("IFERROR(SUBSTITUTE(SUBSTITUTE(REGEXEXTRACT(A9080, ""[^-]+- [^-]+- [^-]+ - (.+?)\.jpg""), "".jpg"", """"), ""-"", "", ""), """")"),"")</f>
        <v/>
      </c>
      <c r="L9080" s="12"/>
      <c r="M9080" s="13"/>
      <c r="N9080" s="2"/>
      <c r="O9080" s="20"/>
      <c r="P9080" s="42"/>
      <c r="R9080" s="23"/>
    </row>
    <row r="9081" spans="1:18" ht="12.75">
      <c r="A9081" s="12"/>
      <c r="D9081" s="12"/>
      <c r="E9081" s="12"/>
      <c r="H9081" s="11" t="str">
        <f ca="1">IFERROR(__xludf.DUMMYFUNCTION("IFERROR(SUBSTITUTE(SUBSTITUTE(REGEXEXTRACT(A9081, ""[^-]+- [^-]+- [^-]+ - (.+?)\.jpg""), "".jpg"", """"), ""-"", "", ""), """")"),"")</f>
        <v/>
      </c>
      <c r="L9081" s="12"/>
      <c r="M9081" s="13"/>
      <c r="N9081" s="2"/>
      <c r="O9081" s="20"/>
      <c r="P9081" s="42"/>
      <c r="R9081" s="23"/>
    </row>
    <row r="9082" spans="1:18" ht="12.75">
      <c r="A9082" s="12"/>
      <c r="D9082" s="12"/>
      <c r="E9082" s="12"/>
      <c r="H9082" s="11" t="str">
        <f ca="1">IFERROR(__xludf.DUMMYFUNCTION("IFERROR(SUBSTITUTE(SUBSTITUTE(REGEXEXTRACT(A9082, ""[^-]+- [^-]+- [^-]+ - (.+?)\.jpg""), "".jpg"", """"), ""-"", "", ""), """")"),"")</f>
        <v/>
      </c>
      <c r="L9082" s="12"/>
      <c r="M9082" s="13"/>
      <c r="N9082" s="2"/>
      <c r="O9082" s="20"/>
      <c r="P9082" s="42"/>
      <c r="R9082" s="23"/>
    </row>
    <row r="9083" spans="1:18" ht="12.75">
      <c r="A9083" s="12"/>
      <c r="D9083" s="12"/>
      <c r="E9083" s="12"/>
      <c r="H9083" s="11" t="str">
        <f ca="1">IFERROR(__xludf.DUMMYFUNCTION("IFERROR(SUBSTITUTE(SUBSTITUTE(REGEXEXTRACT(A9083, ""[^-]+- [^-]+- [^-]+ - (.+?)\.jpg""), "".jpg"", """"), ""-"", "", ""), """")"),"")</f>
        <v/>
      </c>
      <c r="L9083" s="12"/>
      <c r="M9083" s="13"/>
      <c r="N9083" s="2"/>
      <c r="O9083" s="20"/>
      <c r="P9083" s="42"/>
      <c r="R9083" s="23"/>
    </row>
    <row r="9084" spans="1:18" ht="12.75">
      <c r="A9084" s="12"/>
      <c r="D9084" s="12"/>
      <c r="E9084" s="12"/>
      <c r="H9084" s="11" t="str">
        <f ca="1">IFERROR(__xludf.DUMMYFUNCTION("IFERROR(SUBSTITUTE(SUBSTITUTE(REGEXEXTRACT(A9084, ""[^-]+- [^-]+- [^-]+ - (.+?)\.jpg""), "".jpg"", """"), ""-"", "", ""), """")"),"")</f>
        <v/>
      </c>
      <c r="L9084" s="12"/>
      <c r="M9084" s="13"/>
      <c r="N9084" s="2"/>
      <c r="O9084" s="20"/>
      <c r="P9084" s="42"/>
      <c r="R9084" s="23"/>
    </row>
    <row r="9085" spans="1:18" ht="12.75">
      <c r="A9085" s="12"/>
      <c r="D9085" s="12"/>
      <c r="E9085" s="12"/>
      <c r="H9085" s="11" t="str">
        <f ca="1">IFERROR(__xludf.DUMMYFUNCTION("IFERROR(SUBSTITUTE(SUBSTITUTE(REGEXEXTRACT(A9085, ""[^-]+- [^-]+- [^-]+ - (.+?)\.jpg""), "".jpg"", """"), ""-"", "", ""), """")"),"")</f>
        <v/>
      </c>
      <c r="L9085" s="12"/>
      <c r="M9085" s="13"/>
      <c r="N9085" s="2"/>
      <c r="O9085" s="20"/>
      <c r="P9085" s="42"/>
      <c r="R9085" s="23"/>
    </row>
    <row r="9086" spans="1:18" ht="12.75">
      <c r="A9086" s="12"/>
      <c r="D9086" s="12"/>
      <c r="E9086" s="12"/>
      <c r="H9086" s="11" t="str">
        <f ca="1">IFERROR(__xludf.DUMMYFUNCTION("IFERROR(SUBSTITUTE(SUBSTITUTE(REGEXEXTRACT(A9086, ""[^-]+- [^-]+- [^-]+ - (.+?)\.jpg""), "".jpg"", """"), ""-"", "", ""), """")"),"")</f>
        <v/>
      </c>
      <c r="L9086" s="12"/>
      <c r="M9086" s="13"/>
      <c r="N9086" s="2"/>
      <c r="O9086" s="20"/>
      <c r="P9086" s="42"/>
      <c r="R9086" s="23"/>
    </row>
    <row r="9087" spans="1:18" ht="12.75">
      <c r="A9087" s="12"/>
      <c r="D9087" s="12"/>
      <c r="E9087" s="12"/>
      <c r="H9087" s="11" t="str">
        <f ca="1">IFERROR(__xludf.DUMMYFUNCTION("IFERROR(SUBSTITUTE(SUBSTITUTE(REGEXEXTRACT(A9087, ""[^-]+- [^-]+- [^-]+ - (.+?)\.jpg""), "".jpg"", """"), ""-"", "", ""), """")"),"")</f>
        <v/>
      </c>
      <c r="L9087" s="12"/>
      <c r="M9087" s="13"/>
      <c r="N9087" s="2"/>
      <c r="O9087" s="20"/>
      <c r="P9087" s="42"/>
      <c r="R9087" s="23"/>
    </row>
    <row r="9088" spans="1:18" ht="12.75">
      <c r="A9088" s="12"/>
      <c r="D9088" s="12"/>
      <c r="E9088" s="12"/>
      <c r="H9088" s="11" t="str">
        <f ca="1">IFERROR(__xludf.DUMMYFUNCTION("IFERROR(SUBSTITUTE(SUBSTITUTE(REGEXEXTRACT(A9088, ""[^-]+- [^-]+- [^-]+ - (.+?)\.jpg""), "".jpg"", """"), ""-"", "", ""), """")"),"")</f>
        <v/>
      </c>
      <c r="L9088" s="12"/>
      <c r="M9088" s="13"/>
      <c r="N9088" s="2"/>
      <c r="O9088" s="20"/>
      <c r="P9088" s="42"/>
      <c r="R9088" s="23"/>
    </row>
    <row r="9089" spans="1:18" ht="12.75">
      <c r="A9089" s="12"/>
      <c r="D9089" s="12"/>
      <c r="E9089" s="12"/>
      <c r="H9089" s="11" t="str">
        <f ca="1">IFERROR(__xludf.DUMMYFUNCTION("IFERROR(SUBSTITUTE(SUBSTITUTE(REGEXEXTRACT(A9089, ""[^-]+- [^-]+- [^-]+ - (.+?)\.jpg""), "".jpg"", """"), ""-"", "", ""), """")"),"")</f>
        <v/>
      </c>
      <c r="L9089" s="12"/>
      <c r="M9089" s="13"/>
      <c r="N9089" s="2"/>
      <c r="O9089" s="20"/>
      <c r="P9089" s="42"/>
      <c r="R9089" s="23"/>
    </row>
    <row r="9090" spans="1:18" ht="12.75">
      <c r="A9090" s="12"/>
      <c r="D9090" s="12"/>
      <c r="E9090" s="12"/>
      <c r="H9090" s="11" t="str">
        <f ca="1">IFERROR(__xludf.DUMMYFUNCTION("IFERROR(SUBSTITUTE(SUBSTITUTE(REGEXEXTRACT(A9090, ""[^-]+- [^-]+- [^-]+ - (.+?)\.jpg""), "".jpg"", """"), ""-"", "", ""), """")"),"")</f>
        <v/>
      </c>
      <c r="L9090" s="12"/>
      <c r="M9090" s="13"/>
      <c r="N9090" s="2"/>
      <c r="O9090" s="20"/>
      <c r="P9090" s="42"/>
      <c r="R9090" s="23"/>
    </row>
    <row r="9091" spans="1:18" ht="12.75">
      <c r="A9091" s="12"/>
      <c r="D9091" s="12"/>
      <c r="E9091" s="12"/>
      <c r="H9091" s="11" t="str">
        <f ca="1">IFERROR(__xludf.DUMMYFUNCTION("IFERROR(SUBSTITUTE(SUBSTITUTE(REGEXEXTRACT(A9091, ""[^-]+- [^-]+- [^-]+ - (.+?)\.jpg""), "".jpg"", """"), ""-"", "", ""), """")"),"")</f>
        <v/>
      </c>
      <c r="L9091" s="12"/>
      <c r="M9091" s="13"/>
      <c r="N9091" s="2"/>
      <c r="O9091" s="20"/>
      <c r="P9091" s="42"/>
      <c r="R9091" s="23"/>
    </row>
    <row r="9092" spans="1:18" ht="12.75">
      <c r="A9092" s="12"/>
      <c r="D9092" s="12"/>
      <c r="E9092" s="12"/>
      <c r="H9092" s="11" t="str">
        <f ca="1">IFERROR(__xludf.DUMMYFUNCTION("IFERROR(SUBSTITUTE(SUBSTITUTE(REGEXEXTRACT(A9092, ""[^-]+- [^-]+- [^-]+ - (.+?)\.jpg""), "".jpg"", """"), ""-"", "", ""), """")"),"")</f>
        <v/>
      </c>
      <c r="L9092" s="12"/>
      <c r="M9092" s="13"/>
      <c r="N9092" s="2"/>
      <c r="O9092" s="20"/>
      <c r="P9092" s="42"/>
      <c r="R9092" s="23"/>
    </row>
    <row r="9093" spans="1:18" ht="12.75">
      <c r="A9093" s="12"/>
      <c r="D9093" s="12"/>
      <c r="E9093" s="12"/>
      <c r="H9093" s="11" t="str">
        <f ca="1">IFERROR(__xludf.DUMMYFUNCTION("IFERROR(SUBSTITUTE(SUBSTITUTE(REGEXEXTRACT(A9093, ""[^-]+- [^-]+- [^-]+ - (.+?)\.jpg""), "".jpg"", """"), ""-"", "", ""), """")"),"")</f>
        <v/>
      </c>
      <c r="L9093" s="12"/>
      <c r="M9093" s="13"/>
      <c r="N9093" s="2"/>
      <c r="O9093" s="20"/>
      <c r="P9093" s="42"/>
      <c r="R9093" s="23"/>
    </row>
    <row r="9094" spans="1:18" ht="12.75">
      <c r="A9094" s="12"/>
      <c r="D9094" s="12"/>
      <c r="E9094" s="12"/>
      <c r="H9094" s="11" t="str">
        <f ca="1">IFERROR(__xludf.DUMMYFUNCTION("IFERROR(SUBSTITUTE(SUBSTITUTE(REGEXEXTRACT(A9094, ""[^-]+- [^-]+- [^-]+ - (.+?)\.jpg""), "".jpg"", """"), ""-"", "", ""), """")"),"")</f>
        <v/>
      </c>
      <c r="L9094" s="12"/>
      <c r="M9094" s="13"/>
      <c r="N9094" s="2"/>
      <c r="O9094" s="20"/>
      <c r="P9094" s="42"/>
      <c r="R9094" s="23"/>
    </row>
    <row r="9095" spans="1:18" ht="12.75">
      <c r="A9095" s="12"/>
      <c r="D9095" s="12"/>
      <c r="E9095" s="12"/>
      <c r="H9095" s="11" t="str">
        <f ca="1">IFERROR(__xludf.DUMMYFUNCTION("IFERROR(SUBSTITUTE(SUBSTITUTE(REGEXEXTRACT(A9095, ""[^-]+- [^-]+- [^-]+ - (.+?)\.jpg""), "".jpg"", """"), ""-"", "", ""), """")"),"")</f>
        <v/>
      </c>
      <c r="L9095" s="12"/>
      <c r="M9095" s="13"/>
      <c r="N9095" s="2"/>
      <c r="O9095" s="20"/>
      <c r="P9095" s="42"/>
      <c r="R9095" s="23"/>
    </row>
    <row r="9096" spans="1:18" ht="12.75">
      <c r="A9096" s="12"/>
      <c r="D9096" s="12"/>
      <c r="E9096" s="12"/>
      <c r="H9096" s="11" t="str">
        <f ca="1">IFERROR(__xludf.DUMMYFUNCTION("IFERROR(SUBSTITUTE(SUBSTITUTE(REGEXEXTRACT(A9096, ""[^-]+- [^-]+- [^-]+ - (.+?)\.jpg""), "".jpg"", """"), ""-"", "", ""), """")"),"")</f>
        <v/>
      </c>
      <c r="L9096" s="12"/>
      <c r="M9096" s="13"/>
      <c r="N9096" s="2"/>
      <c r="O9096" s="20"/>
      <c r="P9096" s="42"/>
      <c r="R9096" s="23"/>
    </row>
    <row r="9097" spans="1:18" ht="12.75">
      <c r="A9097" s="12"/>
      <c r="D9097" s="12"/>
      <c r="E9097" s="12"/>
      <c r="H9097" s="11" t="str">
        <f ca="1">IFERROR(__xludf.DUMMYFUNCTION("IFERROR(SUBSTITUTE(SUBSTITUTE(REGEXEXTRACT(A9097, ""[^-]+- [^-]+- [^-]+ - (.+?)\.jpg""), "".jpg"", """"), ""-"", "", ""), """")"),"")</f>
        <v/>
      </c>
      <c r="L9097" s="12"/>
      <c r="M9097" s="13"/>
      <c r="N9097" s="2"/>
      <c r="O9097" s="20"/>
      <c r="P9097" s="42"/>
      <c r="R9097" s="23"/>
    </row>
    <row r="9098" spans="1:18" ht="12.75">
      <c r="A9098" s="12"/>
      <c r="D9098" s="12"/>
      <c r="E9098" s="12"/>
      <c r="H9098" s="11" t="str">
        <f ca="1">IFERROR(__xludf.DUMMYFUNCTION("IFERROR(SUBSTITUTE(SUBSTITUTE(REGEXEXTRACT(A9098, ""[^-]+- [^-]+- [^-]+ - (.+?)\.jpg""), "".jpg"", """"), ""-"", "", ""), """")"),"")</f>
        <v/>
      </c>
      <c r="L9098" s="12"/>
      <c r="M9098" s="13"/>
      <c r="N9098" s="2"/>
      <c r="O9098" s="20"/>
      <c r="P9098" s="42"/>
      <c r="R9098" s="23"/>
    </row>
    <row r="9099" spans="1:18" ht="12.75">
      <c r="A9099" s="12"/>
      <c r="D9099" s="12"/>
      <c r="E9099" s="12"/>
      <c r="H9099" s="11" t="str">
        <f ca="1">IFERROR(__xludf.DUMMYFUNCTION("IFERROR(SUBSTITUTE(SUBSTITUTE(REGEXEXTRACT(A9099, ""[^-]+- [^-]+- [^-]+ - (.+?)\.jpg""), "".jpg"", """"), ""-"", "", ""), """")"),"")</f>
        <v/>
      </c>
      <c r="L9099" s="12"/>
      <c r="M9099" s="13"/>
      <c r="N9099" s="2"/>
      <c r="O9099" s="20"/>
      <c r="P9099" s="42"/>
      <c r="R9099" s="23"/>
    </row>
    <row r="9100" spans="1:18" ht="12.75">
      <c r="A9100" s="12"/>
      <c r="D9100" s="12"/>
      <c r="E9100" s="12"/>
      <c r="H9100" s="11" t="str">
        <f ca="1">IFERROR(__xludf.DUMMYFUNCTION("IFERROR(SUBSTITUTE(SUBSTITUTE(REGEXEXTRACT(A9100, ""[^-]+- [^-]+- [^-]+ - (.+?)\.jpg""), "".jpg"", """"), ""-"", "", ""), """")"),"")</f>
        <v/>
      </c>
      <c r="L9100" s="12"/>
      <c r="M9100" s="13"/>
      <c r="N9100" s="2"/>
      <c r="O9100" s="20"/>
      <c r="P9100" s="42"/>
      <c r="R9100" s="23"/>
    </row>
    <row r="9101" spans="1:18" ht="12.75">
      <c r="A9101" s="12"/>
      <c r="D9101" s="12"/>
      <c r="E9101" s="12"/>
      <c r="H9101" s="11" t="str">
        <f ca="1">IFERROR(__xludf.DUMMYFUNCTION("IFERROR(SUBSTITUTE(SUBSTITUTE(REGEXEXTRACT(A9101, ""[^-]+- [^-]+- [^-]+ - (.+?)\.jpg""), "".jpg"", """"), ""-"", "", ""), """")"),"")</f>
        <v/>
      </c>
      <c r="L9101" s="12"/>
      <c r="M9101" s="13"/>
      <c r="N9101" s="2"/>
      <c r="O9101" s="20"/>
      <c r="P9101" s="42"/>
      <c r="R9101" s="23"/>
    </row>
    <row r="9102" spans="1:18" ht="12.75">
      <c r="A9102" s="12"/>
      <c r="D9102" s="12"/>
      <c r="E9102" s="12"/>
      <c r="H9102" s="11" t="str">
        <f ca="1">IFERROR(__xludf.DUMMYFUNCTION("IFERROR(SUBSTITUTE(SUBSTITUTE(REGEXEXTRACT(A9102, ""[^-]+- [^-]+- [^-]+ - (.+?)\.jpg""), "".jpg"", """"), ""-"", "", ""), """")"),"")</f>
        <v/>
      </c>
      <c r="L9102" s="12"/>
      <c r="M9102" s="13"/>
      <c r="N9102" s="2"/>
      <c r="O9102" s="20"/>
      <c r="P9102" s="42"/>
      <c r="R9102" s="23"/>
    </row>
    <row r="9103" spans="1:18" ht="12.75">
      <c r="A9103" s="12"/>
      <c r="D9103" s="12"/>
      <c r="E9103" s="12"/>
      <c r="H9103" s="11" t="str">
        <f ca="1">IFERROR(__xludf.DUMMYFUNCTION("IFERROR(SUBSTITUTE(SUBSTITUTE(REGEXEXTRACT(A9103, ""[^-]+- [^-]+- [^-]+ - (.+?)\.jpg""), "".jpg"", """"), ""-"", "", ""), """")"),"")</f>
        <v/>
      </c>
      <c r="L9103" s="12"/>
      <c r="M9103" s="13"/>
      <c r="N9103" s="2"/>
      <c r="O9103" s="20"/>
      <c r="P9103" s="42"/>
      <c r="R9103" s="23"/>
    </row>
    <row r="9104" spans="1:18" ht="12.75">
      <c r="A9104" s="12"/>
      <c r="D9104" s="12"/>
      <c r="E9104" s="12"/>
      <c r="H9104" s="11" t="str">
        <f ca="1">IFERROR(__xludf.DUMMYFUNCTION("IFERROR(SUBSTITUTE(SUBSTITUTE(REGEXEXTRACT(A9104, ""[^-]+- [^-]+- [^-]+ - (.+?)\.jpg""), "".jpg"", """"), ""-"", "", ""), """")"),"")</f>
        <v/>
      </c>
      <c r="L9104" s="12"/>
      <c r="M9104" s="13"/>
      <c r="N9104" s="2"/>
      <c r="O9104" s="20"/>
      <c r="P9104" s="42"/>
      <c r="R9104" s="23"/>
    </row>
    <row r="9105" spans="1:18" ht="12.75">
      <c r="A9105" s="12"/>
      <c r="D9105" s="12"/>
      <c r="E9105" s="12"/>
      <c r="H9105" s="11" t="str">
        <f ca="1">IFERROR(__xludf.DUMMYFUNCTION("IFERROR(SUBSTITUTE(SUBSTITUTE(REGEXEXTRACT(A9105, ""[^-]+- [^-]+- [^-]+ - (.+?)\.jpg""), "".jpg"", """"), ""-"", "", ""), """")"),"")</f>
        <v/>
      </c>
      <c r="L9105" s="12"/>
      <c r="M9105" s="13"/>
      <c r="N9105" s="2"/>
      <c r="O9105" s="20"/>
      <c r="P9105" s="42"/>
      <c r="R9105" s="23"/>
    </row>
    <row r="9106" spans="1:18" ht="12.75">
      <c r="A9106" s="12"/>
      <c r="D9106" s="12"/>
      <c r="E9106" s="12"/>
      <c r="H9106" s="11" t="str">
        <f ca="1">IFERROR(__xludf.DUMMYFUNCTION("IFERROR(SUBSTITUTE(SUBSTITUTE(REGEXEXTRACT(A9106, ""[^-]+- [^-]+- [^-]+ - (.+?)\.jpg""), "".jpg"", """"), ""-"", "", ""), """")"),"")</f>
        <v/>
      </c>
      <c r="L9106" s="12"/>
      <c r="M9106" s="13"/>
      <c r="N9106" s="2"/>
      <c r="O9106" s="20"/>
      <c r="P9106" s="42"/>
      <c r="R9106" s="23"/>
    </row>
    <row r="9107" spans="1:18" ht="12.75">
      <c r="A9107" s="12"/>
      <c r="D9107" s="12"/>
      <c r="E9107" s="12"/>
      <c r="H9107" s="11" t="str">
        <f ca="1">IFERROR(__xludf.DUMMYFUNCTION("IFERROR(SUBSTITUTE(SUBSTITUTE(REGEXEXTRACT(A9107, ""[^-]+- [^-]+- [^-]+ - (.+?)\.jpg""), "".jpg"", """"), ""-"", "", ""), """")"),"")</f>
        <v/>
      </c>
      <c r="L9107" s="12"/>
      <c r="M9107" s="13"/>
      <c r="N9107" s="2"/>
      <c r="O9107" s="20"/>
      <c r="P9107" s="42"/>
      <c r="R9107" s="23"/>
    </row>
    <row r="9108" spans="1:18" ht="12.75">
      <c r="A9108" s="12"/>
      <c r="D9108" s="12"/>
      <c r="E9108" s="12"/>
      <c r="H9108" s="11" t="str">
        <f ca="1">IFERROR(__xludf.DUMMYFUNCTION("IFERROR(SUBSTITUTE(SUBSTITUTE(REGEXEXTRACT(A9108, ""[^-]+- [^-]+- [^-]+ - (.+?)\.jpg""), "".jpg"", """"), ""-"", "", ""), """")"),"")</f>
        <v/>
      </c>
      <c r="L9108" s="12"/>
      <c r="M9108" s="13"/>
      <c r="N9108" s="2"/>
      <c r="O9108" s="20"/>
      <c r="P9108" s="42"/>
      <c r="R9108" s="23"/>
    </row>
    <row r="9109" spans="1:18" ht="12.75">
      <c r="A9109" s="12"/>
      <c r="D9109" s="12"/>
      <c r="E9109" s="12"/>
      <c r="H9109" s="11" t="str">
        <f ca="1">IFERROR(__xludf.DUMMYFUNCTION("IFERROR(SUBSTITUTE(SUBSTITUTE(REGEXEXTRACT(A9109, ""[^-]+- [^-]+- [^-]+ - (.+?)\.jpg""), "".jpg"", """"), ""-"", "", ""), """")"),"")</f>
        <v/>
      </c>
      <c r="L9109" s="12"/>
      <c r="M9109" s="13"/>
      <c r="N9109" s="2"/>
      <c r="O9109" s="20"/>
      <c r="P9109" s="42"/>
      <c r="R9109" s="23"/>
    </row>
    <row r="9110" spans="1:18" ht="12.75">
      <c r="A9110" s="12"/>
      <c r="D9110" s="12"/>
      <c r="E9110" s="12"/>
      <c r="H9110" s="11" t="str">
        <f ca="1">IFERROR(__xludf.DUMMYFUNCTION("IFERROR(SUBSTITUTE(SUBSTITUTE(REGEXEXTRACT(A9110, ""[^-]+- [^-]+- [^-]+ - (.+?)\.jpg""), "".jpg"", """"), ""-"", "", ""), """")"),"")</f>
        <v/>
      </c>
      <c r="L9110" s="12"/>
      <c r="M9110" s="13"/>
      <c r="N9110" s="2"/>
      <c r="O9110" s="20"/>
      <c r="P9110" s="42"/>
      <c r="R9110" s="23"/>
    </row>
    <row r="9111" spans="1:18" ht="12.75">
      <c r="A9111" s="12"/>
      <c r="D9111" s="12"/>
      <c r="E9111" s="12"/>
      <c r="H9111" s="11" t="str">
        <f ca="1">IFERROR(__xludf.DUMMYFUNCTION("IFERROR(SUBSTITUTE(SUBSTITUTE(REGEXEXTRACT(A9111, ""[^-]+- [^-]+- [^-]+ - (.+?)\.jpg""), "".jpg"", """"), ""-"", "", ""), """")"),"")</f>
        <v/>
      </c>
      <c r="L9111" s="12"/>
      <c r="M9111" s="13"/>
      <c r="N9111" s="2"/>
      <c r="O9111" s="20"/>
      <c r="P9111" s="42"/>
      <c r="R9111" s="23"/>
    </row>
    <row r="9112" spans="1:18" ht="12.75">
      <c r="A9112" s="12"/>
      <c r="D9112" s="12"/>
      <c r="E9112" s="12"/>
      <c r="H9112" s="11" t="str">
        <f ca="1">IFERROR(__xludf.DUMMYFUNCTION("IFERROR(SUBSTITUTE(SUBSTITUTE(REGEXEXTRACT(A9112, ""[^-]+- [^-]+- [^-]+ - (.+?)\.jpg""), "".jpg"", """"), ""-"", "", ""), """")"),"")</f>
        <v/>
      </c>
      <c r="L9112" s="12"/>
      <c r="M9112" s="13"/>
      <c r="N9112" s="2"/>
      <c r="O9112" s="20"/>
      <c r="P9112" s="42"/>
      <c r="R9112" s="23"/>
    </row>
    <row r="9113" spans="1:18" ht="12.75">
      <c r="A9113" s="12"/>
      <c r="D9113" s="12"/>
      <c r="E9113" s="12"/>
      <c r="H9113" s="11" t="str">
        <f ca="1">IFERROR(__xludf.DUMMYFUNCTION("IFERROR(SUBSTITUTE(SUBSTITUTE(REGEXEXTRACT(A9113, ""[^-]+- [^-]+- [^-]+ - (.+?)\.jpg""), "".jpg"", """"), ""-"", "", ""), """")"),"")</f>
        <v/>
      </c>
      <c r="L9113" s="12"/>
      <c r="M9113" s="13"/>
      <c r="N9113" s="2"/>
      <c r="O9113" s="20"/>
      <c r="P9113" s="42"/>
      <c r="R9113" s="23"/>
    </row>
    <row r="9114" spans="1:18" ht="12.75">
      <c r="A9114" s="12"/>
      <c r="D9114" s="12"/>
      <c r="E9114" s="12"/>
      <c r="H9114" s="11" t="str">
        <f ca="1">IFERROR(__xludf.DUMMYFUNCTION("IFERROR(SUBSTITUTE(SUBSTITUTE(REGEXEXTRACT(A9114, ""[^-]+- [^-]+- [^-]+ - (.+?)\.jpg""), "".jpg"", """"), ""-"", "", ""), """")"),"")</f>
        <v/>
      </c>
      <c r="L9114" s="12"/>
      <c r="M9114" s="13"/>
      <c r="N9114" s="2"/>
      <c r="O9114" s="20"/>
      <c r="P9114" s="42"/>
      <c r="R9114" s="23"/>
    </row>
    <row r="9115" spans="1:18" ht="12.75">
      <c r="A9115" s="12"/>
      <c r="D9115" s="12"/>
      <c r="E9115" s="12"/>
      <c r="H9115" s="11" t="str">
        <f ca="1">IFERROR(__xludf.DUMMYFUNCTION("IFERROR(SUBSTITUTE(SUBSTITUTE(REGEXEXTRACT(A9115, ""[^-]+- [^-]+- [^-]+ - (.+?)\.jpg""), "".jpg"", """"), ""-"", "", ""), """")"),"")</f>
        <v/>
      </c>
      <c r="L9115" s="12"/>
      <c r="M9115" s="13"/>
      <c r="N9115" s="2"/>
      <c r="O9115" s="20"/>
      <c r="P9115" s="42"/>
      <c r="R9115" s="23"/>
    </row>
    <row r="9116" spans="1:18" ht="12.75">
      <c r="A9116" s="12"/>
      <c r="D9116" s="12"/>
      <c r="E9116" s="12"/>
      <c r="H9116" s="11" t="str">
        <f ca="1">IFERROR(__xludf.DUMMYFUNCTION("IFERROR(SUBSTITUTE(SUBSTITUTE(REGEXEXTRACT(A9116, ""[^-]+- [^-]+- [^-]+ - (.+?)\.jpg""), "".jpg"", """"), ""-"", "", ""), """")"),"")</f>
        <v/>
      </c>
      <c r="L9116" s="12"/>
      <c r="M9116" s="13"/>
      <c r="N9116" s="2"/>
      <c r="O9116" s="20"/>
      <c r="P9116" s="42"/>
      <c r="R9116" s="23"/>
    </row>
    <row r="9117" spans="1:18" ht="12.75">
      <c r="A9117" s="12"/>
      <c r="D9117" s="12"/>
      <c r="E9117" s="12"/>
      <c r="H9117" s="11" t="str">
        <f ca="1">IFERROR(__xludf.DUMMYFUNCTION("IFERROR(SUBSTITUTE(SUBSTITUTE(REGEXEXTRACT(A9117, ""[^-]+- [^-]+- [^-]+ - (.+?)\.jpg""), "".jpg"", """"), ""-"", "", ""), """")"),"")</f>
        <v/>
      </c>
      <c r="L9117" s="12"/>
      <c r="M9117" s="13"/>
      <c r="N9117" s="2"/>
      <c r="O9117" s="20"/>
      <c r="P9117" s="42"/>
      <c r="R9117" s="23"/>
    </row>
    <row r="9118" spans="1:18" ht="12.75">
      <c r="A9118" s="12"/>
      <c r="D9118" s="12"/>
      <c r="E9118" s="12"/>
      <c r="H9118" s="11" t="str">
        <f ca="1">IFERROR(__xludf.DUMMYFUNCTION("IFERROR(SUBSTITUTE(SUBSTITUTE(REGEXEXTRACT(A9118, ""[^-]+- [^-]+- [^-]+ - (.+?)\.jpg""), "".jpg"", """"), ""-"", "", ""), """")"),"")</f>
        <v/>
      </c>
      <c r="L9118" s="12"/>
      <c r="M9118" s="13"/>
      <c r="N9118" s="2"/>
      <c r="O9118" s="20"/>
      <c r="P9118" s="42"/>
      <c r="R9118" s="23"/>
    </row>
    <row r="9119" spans="1:18" ht="12.75">
      <c r="A9119" s="12"/>
      <c r="D9119" s="12"/>
      <c r="E9119" s="12"/>
      <c r="H9119" s="11" t="str">
        <f ca="1">IFERROR(__xludf.DUMMYFUNCTION("IFERROR(SUBSTITUTE(SUBSTITUTE(REGEXEXTRACT(A9119, ""[^-]+- [^-]+- [^-]+ - (.+?)\.jpg""), "".jpg"", """"), ""-"", "", ""), """")"),"")</f>
        <v/>
      </c>
      <c r="L9119" s="12"/>
      <c r="M9119" s="13"/>
      <c r="N9119" s="2"/>
      <c r="O9119" s="20"/>
      <c r="P9119" s="42"/>
      <c r="R9119" s="23"/>
    </row>
    <row r="9120" spans="1:18" ht="12.75">
      <c r="A9120" s="12"/>
      <c r="D9120" s="12"/>
      <c r="E9120" s="12"/>
      <c r="H9120" s="11" t="str">
        <f ca="1">IFERROR(__xludf.DUMMYFUNCTION("IFERROR(SUBSTITUTE(SUBSTITUTE(REGEXEXTRACT(A9120, ""[^-]+- [^-]+- [^-]+ - (.+?)\.jpg""), "".jpg"", """"), ""-"", "", ""), """")"),"")</f>
        <v/>
      </c>
      <c r="L9120" s="12"/>
      <c r="M9120" s="13"/>
      <c r="N9120" s="2"/>
      <c r="O9120" s="20"/>
      <c r="P9120" s="42"/>
      <c r="R9120" s="23"/>
    </row>
    <row r="9121" spans="1:18" ht="12.75">
      <c r="A9121" s="12"/>
      <c r="D9121" s="12"/>
      <c r="E9121" s="12"/>
      <c r="H9121" s="11" t="str">
        <f ca="1">IFERROR(__xludf.DUMMYFUNCTION("IFERROR(SUBSTITUTE(SUBSTITUTE(REGEXEXTRACT(A9121, ""[^-]+- [^-]+- [^-]+ - (.+?)\.jpg""), "".jpg"", """"), ""-"", "", ""), """")"),"")</f>
        <v/>
      </c>
      <c r="L9121" s="12"/>
      <c r="M9121" s="13"/>
      <c r="N9121" s="2"/>
      <c r="O9121" s="20"/>
      <c r="P9121" s="42"/>
      <c r="R9121" s="23"/>
    </row>
    <row r="9122" spans="1:18" ht="12.75">
      <c r="A9122" s="12"/>
      <c r="D9122" s="12"/>
      <c r="E9122" s="12"/>
      <c r="H9122" s="11" t="str">
        <f ca="1">IFERROR(__xludf.DUMMYFUNCTION("IFERROR(SUBSTITUTE(SUBSTITUTE(REGEXEXTRACT(A9122, ""[^-]+- [^-]+- [^-]+ - (.+?)\.jpg""), "".jpg"", """"), ""-"", "", ""), """")"),"")</f>
        <v/>
      </c>
      <c r="L9122" s="12"/>
      <c r="M9122" s="13"/>
      <c r="N9122" s="2"/>
      <c r="O9122" s="20"/>
      <c r="P9122" s="42"/>
      <c r="R9122" s="23"/>
    </row>
    <row r="9123" spans="1:18" ht="12.75">
      <c r="A9123" s="12"/>
      <c r="D9123" s="12"/>
      <c r="E9123" s="12"/>
      <c r="H9123" s="11" t="str">
        <f ca="1">IFERROR(__xludf.DUMMYFUNCTION("IFERROR(SUBSTITUTE(SUBSTITUTE(REGEXEXTRACT(A9123, ""[^-]+- [^-]+- [^-]+ - (.+?)\.jpg""), "".jpg"", """"), ""-"", "", ""), """")"),"")</f>
        <v/>
      </c>
      <c r="L9123" s="12"/>
      <c r="M9123" s="13"/>
      <c r="N9123" s="2"/>
      <c r="O9123" s="20"/>
      <c r="P9123" s="42"/>
      <c r="R9123" s="23"/>
    </row>
    <row r="9124" spans="1:18" ht="12.75">
      <c r="A9124" s="12"/>
      <c r="D9124" s="12"/>
      <c r="E9124" s="12"/>
      <c r="H9124" s="11" t="str">
        <f ca="1">IFERROR(__xludf.DUMMYFUNCTION("IFERROR(SUBSTITUTE(SUBSTITUTE(REGEXEXTRACT(A9124, ""[^-]+- [^-]+- [^-]+ - (.+?)\.jpg""), "".jpg"", """"), ""-"", "", ""), """")"),"")</f>
        <v/>
      </c>
      <c r="L9124" s="12"/>
      <c r="M9124" s="13"/>
      <c r="N9124" s="2"/>
      <c r="O9124" s="20"/>
      <c r="P9124" s="42"/>
      <c r="R9124" s="23"/>
    </row>
    <row r="9125" spans="1:18" ht="12.75">
      <c r="A9125" s="12"/>
      <c r="D9125" s="12"/>
      <c r="E9125" s="12"/>
      <c r="H9125" s="11" t="str">
        <f ca="1">IFERROR(__xludf.DUMMYFUNCTION("IFERROR(SUBSTITUTE(SUBSTITUTE(REGEXEXTRACT(A9125, ""[^-]+- [^-]+- [^-]+ - (.+?)\.jpg""), "".jpg"", """"), ""-"", "", ""), """")"),"")</f>
        <v/>
      </c>
      <c r="L9125" s="12"/>
      <c r="M9125" s="13"/>
      <c r="N9125" s="2"/>
      <c r="O9125" s="20"/>
      <c r="P9125" s="42"/>
      <c r="R9125" s="23"/>
    </row>
    <row r="9126" spans="1:18" ht="12.75">
      <c r="A9126" s="12"/>
      <c r="D9126" s="12"/>
      <c r="E9126" s="12"/>
      <c r="H9126" s="11" t="str">
        <f ca="1">IFERROR(__xludf.DUMMYFUNCTION("IFERROR(SUBSTITUTE(SUBSTITUTE(REGEXEXTRACT(A9126, ""[^-]+- [^-]+- [^-]+ - (.+?)\.jpg""), "".jpg"", """"), ""-"", "", ""), """")"),"")</f>
        <v/>
      </c>
      <c r="L9126" s="12"/>
      <c r="M9126" s="13"/>
      <c r="N9126" s="2"/>
      <c r="O9126" s="20"/>
      <c r="P9126" s="42"/>
      <c r="R9126" s="23"/>
    </row>
    <row r="9127" spans="1:18" ht="12.75">
      <c r="A9127" s="12"/>
      <c r="D9127" s="12"/>
      <c r="E9127" s="12"/>
      <c r="H9127" s="11" t="str">
        <f ca="1">IFERROR(__xludf.DUMMYFUNCTION("IFERROR(SUBSTITUTE(SUBSTITUTE(REGEXEXTRACT(A9127, ""[^-]+- [^-]+- [^-]+ - (.+?)\.jpg""), "".jpg"", """"), ""-"", "", ""), """")"),"")</f>
        <v/>
      </c>
      <c r="L9127" s="12"/>
      <c r="M9127" s="13"/>
      <c r="N9127" s="2"/>
      <c r="O9127" s="20"/>
      <c r="P9127" s="42"/>
      <c r="R9127" s="23"/>
    </row>
    <row r="9128" spans="1:18" ht="12.75">
      <c r="A9128" s="12"/>
      <c r="D9128" s="12"/>
      <c r="E9128" s="12"/>
      <c r="H9128" s="11" t="str">
        <f ca="1">IFERROR(__xludf.DUMMYFUNCTION("IFERROR(SUBSTITUTE(SUBSTITUTE(REGEXEXTRACT(A9128, ""[^-]+- [^-]+- [^-]+ - (.+?)\.jpg""), "".jpg"", """"), ""-"", "", ""), """")"),"")</f>
        <v/>
      </c>
      <c r="L9128" s="12"/>
      <c r="M9128" s="13"/>
      <c r="N9128" s="2"/>
      <c r="O9128" s="20"/>
      <c r="P9128" s="42"/>
      <c r="R9128" s="23"/>
    </row>
    <row r="9129" spans="1:18" ht="12.75">
      <c r="A9129" s="12"/>
      <c r="D9129" s="12"/>
      <c r="E9129" s="12"/>
      <c r="H9129" s="11" t="str">
        <f ca="1">IFERROR(__xludf.DUMMYFUNCTION("IFERROR(SUBSTITUTE(SUBSTITUTE(REGEXEXTRACT(A9129, ""[^-]+- [^-]+- [^-]+ - (.+?)\.jpg""), "".jpg"", """"), ""-"", "", ""), """")"),"")</f>
        <v/>
      </c>
      <c r="L9129" s="12"/>
      <c r="M9129" s="13"/>
      <c r="N9129" s="2"/>
      <c r="O9129" s="20"/>
      <c r="P9129" s="42"/>
      <c r="R9129" s="23"/>
    </row>
    <row r="9130" spans="1:18" ht="12.75">
      <c r="A9130" s="12"/>
      <c r="D9130" s="12"/>
      <c r="E9130" s="12"/>
      <c r="H9130" s="11" t="str">
        <f ca="1">IFERROR(__xludf.DUMMYFUNCTION("IFERROR(SUBSTITUTE(SUBSTITUTE(REGEXEXTRACT(A9130, ""[^-]+- [^-]+- [^-]+ - (.+?)\.jpg""), "".jpg"", """"), ""-"", "", ""), """")"),"")</f>
        <v/>
      </c>
      <c r="L9130" s="12"/>
      <c r="M9130" s="13"/>
      <c r="N9130" s="2"/>
      <c r="O9130" s="20"/>
      <c r="P9130" s="42"/>
      <c r="R9130" s="23"/>
    </row>
    <row r="9131" spans="1:18" ht="12.75">
      <c r="A9131" s="12"/>
      <c r="D9131" s="12"/>
      <c r="E9131" s="12"/>
      <c r="H9131" s="11" t="str">
        <f ca="1">IFERROR(__xludf.DUMMYFUNCTION("IFERROR(SUBSTITUTE(SUBSTITUTE(REGEXEXTRACT(A9131, ""[^-]+- [^-]+- [^-]+ - (.+?)\.jpg""), "".jpg"", """"), ""-"", "", ""), """")"),"")</f>
        <v/>
      </c>
      <c r="L9131" s="12"/>
      <c r="M9131" s="13"/>
      <c r="N9131" s="2"/>
      <c r="O9131" s="20"/>
      <c r="P9131" s="42"/>
      <c r="R9131" s="23"/>
    </row>
    <row r="9132" spans="1:18" ht="12.75">
      <c r="A9132" s="12"/>
      <c r="D9132" s="12"/>
      <c r="E9132" s="12"/>
      <c r="H9132" s="11" t="str">
        <f ca="1">IFERROR(__xludf.DUMMYFUNCTION("IFERROR(SUBSTITUTE(SUBSTITUTE(REGEXEXTRACT(A9132, ""[^-]+- [^-]+- [^-]+ - (.+?)\.jpg""), "".jpg"", """"), ""-"", "", ""), """")"),"")</f>
        <v/>
      </c>
      <c r="L9132" s="12"/>
      <c r="M9132" s="13"/>
      <c r="N9132" s="2"/>
      <c r="O9132" s="20"/>
      <c r="P9132" s="42"/>
      <c r="R9132" s="23"/>
    </row>
    <row r="9133" spans="1:18" ht="12.75">
      <c r="A9133" s="12"/>
      <c r="D9133" s="12"/>
      <c r="E9133" s="12"/>
      <c r="H9133" s="11" t="str">
        <f ca="1">IFERROR(__xludf.DUMMYFUNCTION("IFERROR(SUBSTITUTE(SUBSTITUTE(REGEXEXTRACT(A9133, ""[^-]+- [^-]+- [^-]+ - (.+?)\.jpg""), "".jpg"", """"), ""-"", "", ""), """")"),"")</f>
        <v/>
      </c>
      <c r="L9133" s="12"/>
      <c r="M9133" s="13"/>
      <c r="N9133" s="2"/>
      <c r="O9133" s="20"/>
      <c r="P9133" s="42"/>
      <c r="R9133" s="23"/>
    </row>
    <row r="9134" spans="1:18" ht="12.75">
      <c r="A9134" s="12"/>
      <c r="D9134" s="12"/>
      <c r="E9134" s="12"/>
      <c r="H9134" s="11" t="str">
        <f ca="1">IFERROR(__xludf.DUMMYFUNCTION("IFERROR(SUBSTITUTE(SUBSTITUTE(REGEXEXTRACT(A9134, ""[^-]+- [^-]+- [^-]+ - (.+?)\.jpg""), "".jpg"", """"), ""-"", "", ""), """")"),"")</f>
        <v/>
      </c>
      <c r="L9134" s="12"/>
      <c r="M9134" s="13"/>
      <c r="N9134" s="2"/>
      <c r="O9134" s="20"/>
      <c r="P9134" s="42"/>
      <c r="R9134" s="23"/>
    </row>
    <row r="9135" spans="1:18" ht="12.75">
      <c r="A9135" s="12"/>
      <c r="D9135" s="12"/>
      <c r="E9135" s="12"/>
      <c r="H9135" s="11" t="str">
        <f ca="1">IFERROR(__xludf.DUMMYFUNCTION("IFERROR(SUBSTITUTE(SUBSTITUTE(REGEXEXTRACT(A9135, ""[^-]+- [^-]+- [^-]+ - (.+?)\.jpg""), "".jpg"", """"), ""-"", "", ""), """")"),"")</f>
        <v/>
      </c>
      <c r="L9135" s="12"/>
      <c r="M9135" s="13"/>
      <c r="N9135" s="2"/>
      <c r="O9135" s="20"/>
      <c r="P9135" s="42"/>
      <c r="R9135" s="23"/>
    </row>
    <row r="9136" spans="1:18" ht="12.75">
      <c r="A9136" s="12"/>
      <c r="D9136" s="12"/>
      <c r="E9136" s="12"/>
      <c r="H9136" s="11" t="str">
        <f ca="1">IFERROR(__xludf.DUMMYFUNCTION("IFERROR(SUBSTITUTE(SUBSTITUTE(REGEXEXTRACT(A9136, ""[^-]+- [^-]+- [^-]+ - (.+?)\.jpg""), "".jpg"", """"), ""-"", "", ""), """")"),"")</f>
        <v/>
      </c>
      <c r="L9136" s="12"/>
      <c r="M9136" s="13"/>
      <c r="N9136" s="2"/>
      <c r="O9136" s="20"/>
      <c r="P9136" s="42"/>
      <c r="R9136" s="23"/>
    </row>
    <row r="9137" spans="1:18" ht="12.75">
      <c r="A9137" s="12"/>
      <c r="D9137" s="12"/>
      <c r="E9137" s="12"/>
      <c r="H9137" s="11" t="str">
        <f ca="1">IFERROR(__xludf.DUMMYFUNCTION("IFERROR(SUBSTITUTE(SUBSTITUTE(REGEXEXTRACT(A9137, ""[^-]+- [^-]+- [^-]+ - (.+?)\.jpg""), "".jpg"", """"), ""-"", "", ""), """")"),"")</f>
        <v/>
      </c>
      <c r="L9137" s="12"/>
      <c r="M9137" s="13"/>
      <c r="N9137" s="2"/>
      <c r="O9137" s="20"/>
      <c r="P9137" s="42"/>
      <c r="R9137" s="23"/>
    </row>
    <row r="9138" spans="1:18" ht="12.75">
      <c r="A9138" s="12"/>
      <c r="D9138" s="12"/>
      <c r="E9138" s="12"/>
      <c r="H9138" s="11" t="str">
        <f ca="1">IFERROR(__xludf.DUMMYFUNCTION("IFERROR(SUBSTITUTE(SUBSTITUTE(REGEXEXTRACT(A9138, ""[^-]+- [^-]+- [^-]+ - (.+?)\.jpg""), "".jpg"", """"), ""-"", "", ""), """")"),"")</f>
        <v/>
      </c>
      <c r="L9138" s="12"/>
      <c r="M9138" s="13"/>
      <c r="N9138" s="2"/>
      <c r="O9138" s="20"/>
      <c r="P9138" s="42"/>
      <c r="R9138" s="23"/>
    </row>
    <row r="9139" spans="1:18" ht="12.75">
      <c r="A9139" s="12"/>
      <c r="D9139" s="12"/>
      <c r="E9139" s="12"/>
      <c r="H9139" s="11" t="str">
        <f ca="1">IFERROR(__xludf.DUMMYFUNCTION("IFERROR(SUBSTITUTE(SUBSTITUTE(REGEXEXTRACT(A9139, ""[^-]+- [^-]+- [^-]+ - (.+?)\.jpg""), "".jpg"", """"), ""-"", "", ""), """")"),"")</f>
        <v/>
      </c>
      <c r="L9139" s="12"/>
      <c r="M9139" s="13"/>
      <c r="N9139" s="2"/>
      <c r="O9139" s="20"/>
      <c r="P9139" s="42"/>
      <c r="R9139" s="23"/>
    </row>
    <row r="9140" spans="1:18" ht="12.75">
      <c r="A9140" s="12"/>
      <c r="D9140" s="12"/>
      <c r="E9140" s="12"/>
      <c r="H9140" s="11" t="str">
        <f ca="1">IFERROR(__xludf.DUMMYFUNCTION("IFERROR(SUBSTITUTE(SUBSTITUTE(REGEXEXTRACT(A9140, ""[^-]+- [^-]+- [^-]+ - (.+?)\.jpg""), "".jpg"", """"), ""-"", "", ""), """")"),"")</f>
        <v/>
      </c>
      <c r="L9140" s="12"/>
      <c r="M9140" s="13"/>
      <c r="N9140" s="2"/>
      <c r="O9140" s="20"/>
      <c r="P9140" s="42"/>
      <c r="R9140" s="23"/>
    </row>
    <row r="9141" spans="1:18" ht="12.75">
      <c r="A9141" s="12"/>
      <c r="D9141" s="12"/>
      <c r="E9141" s="12"/>
      <c r="H9141" s="11" t="str">
        <f ca="1">IFERROR(__xludf.DUMMYFUNCTION("IFERROR(SUBSTITUTE(SUBSTITUTE(REGEXEXTRACT(A9141, ""[^-]+- [^-]+- [^-]+ - (.+?)\.jpg""), "".jpg"", """"), ""-"", "", ""), """")"),"")</f>
        <v/>
      </c>
      <c r="L9141" s="12"/>
      <c r="M9141" s="13"/>
      <c r="N9141" s="2"/>
      <c r="O9141" s="20"/>
      <c r="P9141" s="42"/>
      <c r="R9141" s="23"/>
    </row>
    <row r="9142" spans="1:18" ht="12.75">
      <c r="A9142" s="12"/>
      <c r="D9142" s="12"/>
      <c r="E9142" s="12"/>
      <c r="H9142" s="11" t="str">
        <f ca="1">IFERROR(__xludf.DUMMYFUNCTION("IFERROR(SUBSTITUTE(SUBSTITUTE(REGEXEXTRACT(A9142, ""[^-]+- [^-]+- [^-]+ - (.+?)\.jpg""), "".jpg"", """"), ""-"", "", ""), """")"),"")</f>
        <v/>
      </c>
      <c r="L9142" s="12"/>
      <c r="M9142" s="13"/>
      <c r="N9142" s="2"/>
      <c r="O9142" s="20"/>
      <c r="P9142" s="42"/>
      <c r="R9142" s="23"/>
    </row>
    <row r="9143" spans="1:18" ht="12.75">
      <c r="A9143" s="12"/>
      <c r="D9143" s="12"/>
      <c r="E9143" s="12"/>
      <c r="H9143" s="11" t="str">
        <f ca="1">IFERROR(__xludf.DUMMYFUNCTION("IFERROR(SUBSTITUTE(SUBSTITUTE(REGEXEXTRACT(A9143, ""[^-]+- [^-]+- [^-]+ - (.+?)\.jpg""), "".jpg"", """"), ""-"", "", ""), """")"),"")</f>
        <v/>
      </c>
      <c r="L9143" s="12"/>
      <c r="M9143" s="13"/>
      <c r="N9143" s="2"/>
      <c r="O9143" s="20"/>
      <c r="P9143" s="42"/>
      <c r="R9143" s="23"/>
    </row>
    <row r="9144" spans="1:18" ht="12.75">
      <c r="A9144" s="12"/>
      <c r="D9144" s="12"/>
      <c r="E9144" s="12"/>
      <c r="H9144" s="11" t="str">
        <f ca="1">IFERROR(__xludf.DUMMYFUNCTION("IFERROR(SUBSTITUTE(SUBSTITUTE(REGEXEXTRACT(A9144, ""[^-]+- [^-]+- [^-]+ - (.+?)\.jpg""), "".jpg"", """"), ""-"", "", ""), """")"),"")</f>
        <v/>
      </c>
      <c r="L9144" s="12"/>
      <c r="M9144" s="13"/>
      <c r="N9144" s="2"/>
      <c r="O9144" s="20"/>
      <c r="P9144" s="42"/>
      <c r="R9144" s="23"/>
    </row>
    <row r="9145" spans="1:18" ht="12.75">
      <c r="A9145" s="12"/>
      <c r="D9145" s="12"/>
      <c r="E9145" s="12"/>
      <c r="H9145" s="11" t="str">
        <f ca="1">IFERROR(__xludf.DUMMYFUNCTION("IFERROR(SUBSTITUTE(SUBSTITUTE(REGEXEXTRACT(A9145, ""[^-]+- [^-]+- [^-]+ - (.+?)\.jpg""), "".jpg"", """"), ""-"", "", ""), """")"),"")</f>
        <v/>
      </c>
      <c r="L9145" s="12"/>
      <c r="M9145" s="13"/>
      <c r="N9145" s="2"/>
      <c r="O9145" s="20"/>
      <c r="P9145" s="42"/>
      <c r="R9145" s="23"/>
    </row>
    <row r="9146" spans="1:18" ht="12.75">
      <c r="A9146" s="12"/>
      <c r="D9146" s="12"/>
      <c r="E9146" s="12"/>
      <c r="H9146" s="11" t="str">
        <f ca="1">IFERROR(__xludf.DUMMYFUNCTION("IFERROR(SUBSTITUTE(SUBSTITUTE(REGEXEXTRACT(A9146, ""[^-]+- [^-]+- [^-]+ - (.+?)\.jpg""), "".jpg"", """"), ""-"", "", ""), """")"),"")</f>
        <v/>
      </c>
      <c r="L9146" s="12"/>
      <c r="M9146" s="13"/>
      <c r="N9146" s="2"/>
      <c r="O9146" s="20"/>
      <c r="P9146" s="42"/>
      <c r="R9146" s="23"/>
    </row>
    <row r="9147" spans="1:18" ht="12.75">
      <c r="A9147" s="12"/>
      <c r="D9147" s="12"/>
      <c r="E9147" s="12"/>
      <c r="H9147" s="11" t="str">
        <f ca="1">IFERROR(__xludf.DUMMYFUNCTION("IFERROR(SUBSTITUTE(SUBSTITUTE(REGEXEXTRACT(A9147, ""[^-]+- [^-]+- [^-]+ - (.+?)\.jpg""), "".jpg"", """"), ""-"", "", ""), """")"),"")</f>
        <v/>
      </c>
      <c r="L9147" s="12"/>
      <c r="M9147" s="13"/>
      <c r="N9147" s="2"/>
      <c r="O9147" s="20"/>
      <c r="P9147" s="42"/>
      <c r="R9147" s="23"/>
    </row>
    <row r="9148" spans="1:18" ht="12.75">
      <c r="A9148" s="12"/>
      <c r="D9148" s="12"/>
      <c r="E9148" s="12"/>
      <c r="H9148" s="11" t="str">
        <f ca="1">IFERROR(__xludf.DUMMYFUNCTION("IFERROR(SUBSTITUTE(SUBSTITUTE(REGEXEXTRACT(A9148, ""[^-]+- [^-]+- [^-]+ - (.+?)\.jpg""), "".jpg"", """"), ""-"", "", ""), """")"),"")</f>
        <v/>
      </c>
      <c r="L9148" s="12"/>
      <c r="M9148" s="13"/>
      <c r="N9148" s="2"/>
      <c r="O9148" s="20"/>
      <c r="P9148" s="42"/>
      <c r="R9148" s="23"/>
    </row>
    <row r="9149" spans="1:18" ht="12.75">
      <c r="A9149" s="12"/>
      <c r="D9149" s="12"/>
      <c r="E9149" s="12"/>
      <c r="H9149" s="11" t="str">
        <f ca="1">IFERROR(__xludf.DUMMYFUNCTION("IFERROR(SUBSTITUTE(SUBSTITUTE(REGEXEXTRACT(A9149, ""[^-]+- [^-]+- [^-]+ - (.+?)\.jpg""), "".jpg"", """"), ""-"", "", ""), """")"),"")</f>
        <v/>
      </c>
      <c r="L9149" s="12"/>
      <c r="M9149" s="13"/>
      <c r="N9149" s="2"/>
      <c r="O9149" s="20"/>
      <c r="P9149" s="42"/>
      <c r="R9149" s="23"/>
    </row>
    <row r="9150" spans="1:18" ht="12.75">
      <c r="A9150" s="12"/>
      <c r="D9150" s="12"/>
      <c r="E9150" s="12"/>
      <c r="H9150" s="11" t="str">
        <f ca="1">IFERROR(__xludf.DUMMYFUNCTION("IFERROR(SUBSTITUTE(SUBSTITUTE(REGEXEXTRACT(A9150, ""[^-]+- [^-]+- [^-]+ - (.+?)\.jpg""), "".jpg"", """"), ""-"", "", ""), """")"),"")</f>
        <v/>
      </c>
      <c r="L9150" s="12"/>
      <c r="M9150" s="13"/>
      <c r="N9150" s="2"/>
      <c r="O9150" s="20"/>
      <c r="P9150" s="42"/>
      <c r="R9150" s="23"/>
    </row>
    <row r="9151" spans="1:18" ht="12.75">
      <c r="A9151" s="12"/>
      <c r="D9151" s="12"/>
      <c r="E9151" s="12"/>
      <c r="H9151" s="11" t="str">
        <f ca="1">IFERROR(__xludf.DUMMYFUNCTION("IFERROR(SUBSTITUTE(SUBSTITUTE(REGEXEXTRACT(A9151, ""[^-]+- [^-]+- [^-]+ - (.+?)\.jpg""), "".jpg"", """"), ""-"", "", ""), """")"),"")</f>
        <v/>
      </c>
      <c r="L9151" s="12"/>
      <c r="M9151" s="13"/>
      <c r="N9151" s="2"/>
      <c r="O9151" s="20"/>
      <c r="P9151" s="42"/>
      <c r="R9151" s="23"/>
    </row>
    <row r="9152" spans="1:18" ht="12.75">
      <c r="A9152" s="12"/>
      <c r="D9152" s="12"/>
      <c r="E9152" s="12"/>
      <c r="H9152" s="11" t="str">
        <f ca="1">IFERROR(__xludf.DUMMYFUNCTION("IFERROR(SUBSTITUTE(SUBSTITUTE(REGEXEXTRACT(A9152, ""[^-]+- [^-]+- [^-]+ - (.+?)\.jpg""), "".jpg"", """"), ""-"", "", ""), """")"),"")</f>
        <v/>
      </c>
      <c r="L9152" s="12"/>
      <c r="M9152" s="13"/>
      <c r="N9152" s="2"/>
      <c r="O9152" s="20"/>
      <c r="P9152" s="42"/>
      <c r="R9152" s="23"/>
    </row>
    <row r="9153" spans="1:18" ht="12.75">
      <c r="A9153" s="12"/>
      <c r="D9153" s="12"/>
      <c r="E9153" s="12"/>
      <c r="H9153" s="11" t="str">
        <f ca="1">IFERROR(__xludf.DUMMYFUNCTION("IFERROR(SUBSTITUTE(SUBSTITUTE(REGEXEXTRACT(A9153, ""[^-]+- [^-]+- [^-]+ - (.+?)\.jpg""), "".jpg"", """"), ""-"", "", ""), """")"),"")</f>
        <v/>
      </c>
      <c r="L9153" s="12"/>
      <c r="M9153" s="13"/>
      <c r="N9153" s="2"/>
      <c r="O9153" s="20"/>
      <c r="P9153" s="42"/>
      <c r="R9153" s="23"/>
    </row>
    <row r="9154" spans="1:18" ht="12.75">
      <c r="A9154" s="12"/>
      <c r="D9154" s="12"/>
      <c r="E9154" s="12"/>
      <c r="H9154" s="11" t="str">
        <f ca="1">IFERROR(__xludf.DUMMYFUNCTION("IFERROR(SUBSTITUTE(SUBSTITUTE(REGEXEXTRACT(A9154, ""[^-]+- [^-]+- [^-]+ - (.+?)\.jpg""), "".jpg"", """"), ""-"", "", ""), """")"),"")</f>
        <v/>
      </c>
      <c r="L9154" s="12"/>
      <c r="M9154" s="13"/>
      <c r="N9154" s="2"/>
      <c r="O9154" s="20"/>
      <c r="P9154" s="42"/>
      <c r="R9154" s="23"/>
    </row>
    <row r="9155" spans="1:18" ht="12.75">
      <c r="A9155" s="12"/>
      <c r="D9155" s="12"/>
      <c r="E9155" s="12"/>
      <c r="H9155" s="11" t="str">
        <f ca="1">IFERROR(__xludf.DUMMYFUNCTION("IFERROR(SUBSTITUTE(SUBSTITUTE(REGEXEXTRACT(A9155, ""[^-]+- [^-]+- [^-]+ - (.+?)\.jpg""), "".jpg"", """"), ""-"", "", ""), """")"),"")</f>
        <v/>
      </c>
      <c r="L9155" s="12"/>
      <c r="M9155" s="13"/>
      <c r="N9155" s="2"/>
      <c r="O9155" s="20"/>
      <c r="P9155" s="42"/>
      <c r="R9155" s="23"/>
    </row>
    <row r="9156" spans="1:18" ht="12.75">
      <c r="A9156" s="12"/>
      <c r="D9156" s="12"/>
      <c r="E9156" s="12"/>
      <c r="H9156" s="11" t="str">
        <f ca="1">IFERROR(__xludf.DUMMYFUNCTION("IFERROR(SUBSTITUTE(SUBSTITUTE(REGEXEXTRACT(A9156, ""[^-]+- [^-]+- [^-]+ - (.+?)\.jpg""), "".jpg"", """"), ""-"", "", ""), """")"),"")</f>
        <v/>
      </c>
      <c r="L9156" s="12"/>
      <c r="M9156" s="13"/>
      <c r="N9156" s="2"/>
      <c r="O9156" s="20"/>
      <c r="P9156" s="42"/>
      <c r="R9156" s="23"/>
    </row>
    <row r="9157" spans="1:18" ht="12.75">
      <c r="A9157" s="12"/>
      <c r="D9157" s="12"/>
      <c r="E9157" s="12"/>
      <c r="H9157" s="11" t="str">
        <f ca="1">IFERROR(__xludf.DUMMYFUNCTION("IFERROR(SUBSTITUTE(SUBSTITUTE(REGEXEXTRACT(A9157, ""[^-]+- [^-]+- [^-]+ - (.+?)\.jpg""), "".jpg"", """"), ""-"", "", ""), """")"),"")</f>
        <v/>
      </c>
      <c r="L9157" s="12"/>
      <c r="M9157" s="13"/>
      <c r="N9157" s="2"/>
      <c r="O9157" s="20"/>
      <c r="P9157" s="42"/>
      <c r="R9157" s="23"/>
    </row>
    <row r="9158" spans="1:18" ht="12.75">
      <c r="A9158" s="12"/>
      <c r="D9158" s="12"/>
      <c r="E9158" s="12"/>
      <c r="H9158" s="11" t="str">
        <f ca="1">IFERROR(__xludf.DUMMYFUNCTION("IFERROR(SUBSTITUTE(SUBSTITUTE(REGEXEXTRACT(A9158, ""[^-]+- [^-]+- [^-]+ - (.+?)\.jpg""), "".jpg"", """"), ""-"", "", ""), """")"),"")</f>
        <v/>
      </c>
      <c r="L9158" s="12"/>
      <c r="M9158" s="13"/>
      <c r="N9158" s="2"/>
      <c r="O9158" s="20"/>
      <c r="P9158" s="42"/>
      <c r="R9158" s="23"/>
    </row>
    <row r="9159" spans="1:18" ht="12.75">
      <c r="A9159" s="12"/>
      <c r="D9159" s="12"/>
      <c r="E9159" s="12"/>
      <c r="H9159" s="11" t="str">
        <f ca="1">IFERROR(__xludf.DUMMYFUNCTION("IFERROR(SUBSTITUTE(SUBSTITUTE(REGEXEXTRACT(A9159, ""[^-]+- [^-]+- [^-]+ - (.+?)\.jpg""), "".jpg"", """"), ""-"", "", ""), """")"),"")</f>
        <v/>
      </c>
      <c r="L9159" s="12"/>
      <c r="M9159" s="13"/>
      <c r="N9159" s="2"/>
      <c r="O9159" s="20"/>
      <c r="P9159" s="42"/>
      <c r="R9159" s="23"/>
    </row>
    <row r="9160" spans="1:18" ht="12.75">
      <c r="A9160" s="12"/>
      <c r="D9160" s="12"/>
      <c r="E9160" s="12"/>
      <c r="H9160" s="11" t="str">
        <f ca="1">IFERROR(__xludf.DUMMYFUNCTION("IFERROR(SUBSTITUTE(SUBSTITUTE(REGEXEXTRACT(A9160, ""[^-]+- [^-]+- [^-]+ - (.+?)\.jpg""), "".jpg"", """"), ""-"", "", ""), """")"),"")</f>
        <v/>
      </c>
      <c r="L9160" s="12"/>
      <c r="M9160" s="13"/>
      <c r="N9160" s="2"/>
      <c r="O9160" s="20"/>
      <c r="P9160" s="42"/>
      <c r="R9160" s="23"/>
    </row>
    <row r="9161" spans="1:18" ht="12.75">
      <c r="A9161" s="12"/>
      <c r="D9161" s="12"/>
      <c r="E9161" s="12"/>
      <c r="H9161" s="11" t="str">
        <f ca="1">IFERROR(__xludf.DUMMYFUNCTION("IFERROR(SUBSTITUTE(SUBSTITUTE(REGEXEXTRACT(A9161, ""[^-]+- [^-]+- [^-]+ - (.+?)\.jpg""), "".jpg"", """"), ""-"", "", ""), """")"),"")</f>
        <v/>
      </c>
      <c r="L9161" s="12"/>
      <c r="M9161" s="13"/>
      <c r="N9161" s="2"/>
      <c r="O9161" s="20"/>
      <c r="P9161" s="42"/>
      <c r="R9161" s="23"/>
    </row>
    <row r="9162" spans="1:18" ht="12.75">
      <c r="A9162" s="12"/>
      <c r="D9162" s="12"/>
      <c r="E9162" s="12"/>
      <c r="H9162" s="11" t="str">
        <f ca="1">IFERROR(__xludf.DUMMYFUNCTION("IFERROR(SUBSTITUTE(SUBSTITUTE(REGEXEXTRACT(A9162, ""[^-]+- [^-]+- [^-]+ - (.+?)\.jpg""), "".jpg"", """"), ""-"", "", ""), """")"),"")</f>
        <v/>
      </c>
      <c r="L9162" s="12"/>
      <c r="M9162" s="13"/>
      <c r="N9162" s="2"/>
      <c r="O9162" s="20"/>
      <c r="P9162" s="42"/>
      <c r="R9162" s="23"/>
    </row>
    <row r="9163" spans="1:18" ht="12.75">
      <c r="A9163" s="12"/>
      <c r="D9163" s="12"/>
      <c r="E9163" s="12"/>
      <c r="H9163" s="11" t="str">
        <f ca="1">IFERROR(__xludf.DUMMYFUNCTION("IFERROR(SUBSTITUTE(SUBSTITUTE(REGEXEXTRACT(A9163, ""[^-]+- [^-]+- [^-]+ - (.+?)\.jpg""), "".jpg"", """"), ""-"", "", ""), """")"),"")</f>
        <v/>
      </c>
      <c r="L9163" s="12"/>
      <c r="M9163" s="13"/>
      <c r="N9163" s="2"/>
      <c r="O9163" s="20"/>
      <c r="P9163" s="42"/>
      <c r="R9163" s="23"/>
    </row>
    <row r="9164" spans="1:18" ht="12.75">
      <c r="A9164" s="12"/>
      <c r="D9164" s="12"/>
      <c r="E9164" s="12"/>
      <c r="H9164" s="11" t="str">
        <f ca="1">IFERROR(__xludf.DUMMYFUNCTION("IFERROR(SUBSTITUTE(SUBSTITUTE(REGEXEXTRACT(A9164, ""[^-]+- [^-]+- [^-]+ - (.+?)\.jpg""), "".jpg"", """"), ""-"", "", ""), """")"),"")</f>
        <v/>
      </c>
      <c r="L9164" s="12"/>
      <c r="M9164" s="13"/>
      <c r="N9164" s="2"/>
      <c r="O9164" s="20"/>
      <c r="P9164" s="42"/>
      <c r="R9164" s="23"/>
    </row>
    <row r="9165" spans="1:18" ht="12.75">
      <c r="A9165" s="12"/>
      <c r="D9165" s="12"/>
      <c r="E9165" s="12"/>
      <c r="H9165" s="11" t="str">
        <f ca="1">IFERROR(__xludf.DUMMYFUNCTION("IFERROR(SUBSTITUTE(SUBSTITUTE(REGEXEXTRACT(A9165, ""[^-]+- [^-]+- [^-]+ - (.+?)\.jpg""), "".jpg"", """"), ""-"", "", ""), """")"),"")</f>
        <v/>
      </c>
      <c r="L9165" s="12"/>
      <c r="M9165" s="13"/>
      <c r="N9165" s="2"/>
      <c r="O9165" s="20"/>
      <c r="P9165" s="42"/>
      <c r="R9165" s="23"/>
    </row>
    <row r="9166" spans="1:18" ht="12.75">
      <c r="A9166" s="12"/>
      <c r="D9166" s="12"/>
      <c r="E9166" s="12"/>
      <c r="H9166" s="11" t="str">
        <f ca="1">IFERROR(__xludf.DUMMYFUNCTION("IFERROR(SUBSTITUTE(SUBSTITUTE(REGEXEXTRACT(A9166, ""[^-]+- [^-]+- [^-]+ - (.+?)\.jpg""), "".jpg"", """"), ""-"", "", ""), """")"),"")</f>
        <v/>
      </c>
      <c r="L9166" s="12"/>
      <c r="M9166" s="13"/>
      <c r="N9166" s="2"/>
      <c r="O9166" s="20"/>
      <c r="P9166" s="42"/>
      <c r="R9166" s="23"/>
    </row>
    <row r="9167" spans="1:18" ht="12.75">
      <c r="A9167" s="12"/>
      <c r="D9167" s="12"/>
      <c r="E9167" s="12"/>
      <c r="H9167" s="11" t="str">
        <f ca="1">IFERROR(__xludf.DUMMYFUNCTION("IFERROR(SUBSTITUTE(SUBSTITUTE(REGEXEXTRACT(A9167, ""[^-]+- [^-]+- [^-]+ - (.+?)\.jpg""), "".jpg"", """"), ""-"", "", ""), """")"),"")</f>
        <v/>
      </c>
      <c r="L9167" s="12"/>
      <c r="M9167" s="13"/>
      <c r="N9167" s="2"/>
      <c r="O9167" s="20"/>
      <c r="P9167" s="42"/>
      <c r="R9167" s="23"/>
    </row>
    <row r="9168" spans="1:18" ht="12.75">
      <c r="A9168" s="12"/>
      <c r="D9168" s="12"/>
      <c r="E9168" s="12"/>
      <c r="H9168" s="11" t="str">
        <f ca="1">IFERROR(__xludf.DUMMYFUNCTION("IFERROR(SUBSTITUTE(SUBSTITUTE(REGEXEXTRACT(A9168, ""[^-]+- [^-]+- [^-]+ - (.+?)\.jpg""), "".jpg"", """"), ""-"", "", ""), """")"),"")</f>
        <v/>
      </c>
      <c r="L9168" s="12"/>
      <c r="M9168" s="13"/>
      <c r="N9168" s="2"/>
      <c r="O9168" s="20"/>
      <c r="P9168" s="42"/>
      <c r="R9168" s="23"/>
    </row>
    <row r="9169" spans="1:18" ht="12.75">
      <c r="A9169" s="12"/>
      <c r="D9169" s="12"/>
      <c r="E9169" s="12"/>
      <c r="H9169" s="11" t="str">
        <f ca="1">IFERROR(__xludf.DUMMYFUNCTION("IFERROR(SUBSTITUTE(SUBSTITUTE(REGEXEXTRACT(A9169, ""[^-]+- [^-]+- [^-]+ - (.+?)\.jpg""), "".jpg"", """"), ""-"", "", ""), """")"),"")</f>
        <v/>
      </c>
      <c r="L9169" s="12"/>
      <c r="M9169" s="13"/>
      <c r="N9169" s="2"/>
      <c r="O9169" s="20"/>
      <c r="P9169" s="42"/>
      <c r="R9169" s="23"/>
    </row>
    <row r="9170" spans="1:18" ht="12.75">
      <c r="A9170" s="12"/>
      <c r="D9170" s="12"/>
      <c r="E9170" s="12"/>
      <c r="H9170" s="11" t="str">
        <f ca="1">IFERROR(__xludf.DUMMYFUNCTION("IFERROR(SUBSTITUTE(SUBSTITUTE(REGEXEXTRACT(A9170, ""[^-]+- [^-]+- [^-]+ - (.+?)\.jpg""), "".jpg"", """"), ""-"", "", ""), """")"),"")</f>
        <v/>
      </c>
      <c r="L9170" s="12"/>
      <c r="M9170" s="13"/>
      <c r="N9170" s="2"/>
      <c r="O9170" s="20"/>
      <c r="P9170" s="42"/>
      <c r="R9170" s="23"/>
    </row>
    <row r="9171" spans="1:18" ht="12.75">
      <c r="A9171" s="12"/>
      <c r="D9171" s="12"/>
      <c r="E9171" s="12"/>
      <c r="H9171" s="11" t="str">
        <f ca="1">IFERROR(__xludf.DUMMYFUNCTION("IFERROR(SUBSTITUTE(SUBSTITUTE(REGEXEXTRACT(A9171, ""[^-]+- [^-]+- [^-]+ - (.+?)\.jpg""), "".jpg"", """"), ""-"", "", ""), """")"),"")</f>
        <v/>
      </c>
      <c r="L9171" s="12"/>
      <c r="M9171" s="13"/>
      <c r="N9171" s="2"/>
      <c r="O9171" s="20"/>
      <c r="P9171" s="42"/>
      <c r="R9171" s="23"/>
    </row>
    <row r="9172" spans="1:18" ht="12.75">
      <c r="A9172" s="12"/>
      <c r="D9172" s="12"/>
      <c r="E9172" s="12"/>
      <c r="H9172" s="11" t="str">
        <f ca="1">IFERROR(__xludf.DUMMYFUNCTION("IFERROR(SUBSTITUTE(SUBSTITUTE(REGEXEXTRACT(A9172, ""[^-]+- [^-]+- [^-]+ - (.+?)\.jpg""), "".jpg"", """"), ""-"", "", ""), """")"),"")</f>
        <v/>
      </c>
      <c r="L9172" s="12"/>
      <c r="M9172" s="13"/>
      <c r="N9172" s="2"/>
      <c r="O9172" s="20"/>
      <c r="P9172" s="42"/>
      <c r="R9172" s="23"/>
    </row>
    <row r="9173" spans="1:18" ht="12.75">
      <c r="A9173" s="12"/>
      <c r="D9173" s="12"/>
      <c r="E9173" s="12"/>
      <c r="H9173" s="11" t="str">
        <f ca="1">IFERROR(__xludf.DUMMYFUNCTION("IFERROR(SUBSTITUTE(SUBSTITUTE(REGEXEXTRACT(A9173, ""[^-]+- [^-]+- [^-]+ - (.+?)\.jpg""), "".jpg"", """"), ""-"", "", ""), """")"),"")</f>
        <v/>
      </c>
      <c r="L9173" s="12"/>
      <c r="M9173" s="13"/>
      <c r="N9173" s="2"/>
      <c r="O9173" s="20"/>
      <c r="P9173" s="42"/>
      <c r="R9173" s="23"/>
    </row>
    <row r="9174" spans="1:18" ht="12.75">
      <c r="A9174" s="12"/>
      <c r="D9174" s="12"/>
      <c r="E9174" s="12"/>
      <c r="H9174" s="11" t="str">
        <f ca="1">IFERROR(__xludf.DUMMYFUNCTION("IFERROR(SUBSTITUTE(SUBSTITUTE(REGEXEXTRACT(A9174, ""[^-]+- [^-]+- [^-]+ - (.+?)\.jpg""), "".jpg"", """"), ""-"", "", ""), """")"),"")</f>
        <v/>
      </c>
      <c r="L9174" s="12"/>
      <c r="M9174" s="13"/>
      <c r="N9174" s="2"/>
      <c r="O9174" s="20"/>
      <c r="P9174" s="42"/>
      <c r="R9174" s="23"/>
    </row>
    <row r="9175" spans="1:18" ht="12.75">
      <c r="A9175" s="12"/>
      <c r="D9175" s="12"/>
      <c r="E9175" s="12"/>
      <c r="H9175" s="11" t="str">
        <f ca="1">IFERROR(__xludf.DUMMYFUNCTION("IFERROR(SUBSTITUTE(SUBSTITUTE(REGEXEXTRACT(A9175, ""[^-]+- [^-]+- [^-]+ - (.+?)\.jpg""), "".jpg"", """"), ""-"", "", ""), """")"),"")</f>
        <v/>
      </c>
      <c r="L9175" s="12"/>
      <c r="M9175" s="13"/>
      <c r="N9175" s="2"/>
      <c r="O9175" s="20"/>
      <c r="P9175" s="42"/>
      <c r="R9175" s="23"/>
    </row>
    <row r="9176" spans="1:18" ht="12.75">
      <c r="A9176" s="12"/>
      <c r="D9176" s="12"/>
      <c r="E9176" s="12"/>
      <c r="H9176" s="11" t="str">
        <f ca="1">IFERROR(__xludf.DUMMYFUNCTION("IFERROR(SUBSTITUTE(SUBSTITUTE(REGEXEXTRACT(A9176, ""[^-]+- [^-]+- [^-]+ - (.+?)\.jpg""), "".jpg"", """"), ""-"", "", ""), """")"),"")</f>
        <v/>
      </c>
      <c r="L9176" s="12"/>
      <c r="M9176" s="13"/>
      <c r="N9176" s="2"/>
      <c r="O9176" s="20"/>
      <c r="P9176" s="42"/>
      <c r="R9176" s="23"/>
    </row>
    <row r="9177" spans="1:18" ht="12.75">
      <c r="A9177" s="12"/>
      <c r="D9177" s="12"/>
      <c r="E9177" s="12"/>
      <c r="H9177" s="11" t="str">
        <f ca="1">IFERROR(__xludf.DUMMYFUNCTION("IFERROR(SUBSTITUTE(SUBSTITUTE(REGEXEXTRACT(A9177, ""[^-]+- [^-]+- [^-]+ - (.+?)\.jpg""), "".jpg"", """"), ""-"", "", ""), """")"),"")</f>
        <v/>
      </c>
      <c r="L9177" s="12"/>
      <c r="M9177" s="13"/>
      <c r="N9177" s="2"/>
      <c r="O9177" s="20"/>
      <c r="P9177" s="42"/>
      <c r="R9177" s="23"/>
    </row>
    <row r="9178" spans="1:18" ht="12.75">
      <c r="A9178" s="12"/>
      <c r="D9178" s="12"/>
      <c r="E9178" s="12"/>
      <c r="H9178" s="11" t="str">
        <f ca="1">IFERROR(__xludf.DUMMYFUNCTION("IFERROR(SUBSTITUTE(SUBSTITUTE(REGEXEXTRACT(A9178, ""[^-]+- [^-]+- [^-]+ - (.+?)\.jpg""), "".jpg"", """"), ""-"", "", ""), """")"),"")</f>
        <v/>
      </c>
      <c r="L9178" s="12"/>
      <c r="M9178" s="13"/>
      <c r="N9178" s="2"/>
      <c r="O9178" s="20"/>
      <c r="P9178" s="42"/>
      <c r="R9178" s="23"/>
    </row>
    <row r="9179" spans="1:18" ht="12.75">
      <c r="A9179" s="12"/>
      <c r="D9179" s="12"/>
      <c r="E9179" s="12"/>
      <c r="H9179" s="11" t="str">
        <f ca="1">IFERROR(__xludf.DUMMYFUNCTION("IFERROR(SUBSTITUTE(SUBSTITUTE(REGEXEXTRACT(A9179, ""[^-]+- [^-]+- [^-]+ - (.+?)\.jpg""), "".jpg"", """"), ""-"", "", ""), """")"),"")</f>
        <v/>
      </c>
      <c r="L9179" s="12"/>
      <c r="M9179" s="13"/>
      <c r="N9179" s="2"/>
      <c r="O9179" s="20"/>
      <c r="P9179" s="42"/>
      <c r="R9179" s="23"/>
    </row>
    <row r="9180" spans="1:18" ht="12.75">
      <c r="A9180" s="12"/>
      <c r="D9180" s="12"/>
      <c r="E9180" s="12"/>
      <c r="H9180" s="11" t="str">
        <f ca="1">IFERROR(__xludf.DUMMYFUNCTION("IFERROR(SUBSTITUTE(SUBSTITUTE(REGEXEXTRACT(A9180, ""[^-]+- [^-]+- [^-]+ - (.+?)\.jpg""), "".jpg"", """"), ""-"", "", ""), """")"),"")</f>
        <v/>
      </c>
      <c r="L9180" s="12"/>
      <c r="M9180" s="13"/>
      <c r="N9180" s="2"/>
      <c r="O9180" s="20"/>
      <c r="P9180" s="42"/>
      <c r="R9180" s="23"/>
    </row>
    <row r="9181" spans="1:18" ht="12.75">
      <c r="A9181" s="12"/>
      <c r="D9181" s="12"/>
      <c r="E9181" s="12"/>
      <c r="H9181" s="11" t="str">
        <f ca="1">IFERROR(__xludf.DUMMYFUNCTION("IFERROR(SUBSTITUTE(SUBSTITUTE(REGEXEXTRACT(A9181, ""[^-]+- [^-]+- [^-]+ - (.+?)\.jpg""), "".jpg"", """"), ""-"", "", ""), """")"),"")</f>
        <v/>
      </c>
      <c r="L9181" s="12"/>
      <c r="M9181" s="13"/>
      <c r="N9181" s="2"/>
      <c r="O9181" s="20"/>
      <c r="P9181" s="42"/>
      <c r="R9181" s="23"/>
    </row>
    <row r="9182" spans="1:18" ht="12.75">
      <c r="A9182" s="12"/>
      <c r="D9182" s="12"/>
      <c r="E9182" s="12"/>
      <c r="H9182" s="11" t="str">
        <f ca="1">IFERROR(__xludf.DUMMYFUNCTION("IFERROR(SUBSTITUTE(SUBSTITUTE(REGEXEXTRACT(A9182, ""[^-]+- [^-]+- [^-]+ - (.+?)\.jpg""), "".jpg"", """"), ""-"", "", ""), """")"),"")</f>
        <v/>
      </c>
      <c r="L9182" s="12"/>
      <c r="M9182" s="13"/>
      <c r="N9182" s="2"/>
      <c r="O9182" s="20"/>
      <c r="P9182" s="42"/>
      <c r="R9182" s="23"/>
    </row>
    <row r="9183" spans="1:18" ht="12.75">
      <c r="A9183" s="12"/>
      <c r="D9183" s="12"/>
      <c r="E9183" s="12"/>
      <c r="H9183" s="11" t="str">
        <f ca="1">IFERROR(__xludf.DUMMYFUNCTION("IFERROR(SUBSTITUTE(SUBSTITUTE(REGEXEXTRACT(A9183, ""[^-]+- [^-]+- [^-]+ - (.+?)\.jpg""), "".jpg"", """"), ""-"", "", ""), """")"),"")</f>
        <v/>
      </c>
      <c r="L9183" s="12"/>
      <c r="M9183" s="13"/>
      <c r="N9183" s="2"/>
      <c r="O9183" s="20"/>
      <c r="P9183" s="42"/>
      <c r="R9183" s="23"/>
    </row>
    <row r="9184" spans="1:18" ht="12.75">
      <c r="A9184" s="12"/>
      <c r="D9184" s="12"/>
      <c r="E9184" s="12"/>
      <c r="H9184" s="11" t="str">
        <f ca="1">IFERROR(__xludf.DUMMYFUNCTION("IFERROR(SUBSTITUTE(SUBSTITUTE(REGEXEXTRACT(A9184, ""[^-]+- [^-]+- [^-]+ - (.+?)\.jpg""), "".jpg"", """"), ""-"", "", ""), """")"),"")</f>
        <v/>
      </c>
      <c r="L9184" s="12"/>
      <c r="M9184" s="13"/>
      <c r="N9184" s="2"/>
      <c r="O9184" s="20"/>
      <c r="P9184" s="42"/>
      <c r="R9184" s="23"/>
    </row>
    <row r="9185" spans="1:18" ht="12.75">
      <c r="A9185" s="12"/>
      <c r="D9185" s="12"/>
      <c r="E9185" s="12"/>
      <c r="H9185" s="11" t="str">
        <f ca="1">IFERROR(__xludf.DUMMYFUNCTION("IFERROR(SUBSTITUTE(SUBSTITUTE(REGEXEXTRACT(A9185, ""[^-]+- [^-]+- [^-]+ - (.+?)\.jpg""), "".jpg"", """"), ""-"", "", ""), """")"),"")</f>
        <v/>
      </c>
      <c r="L9185" s="12"/>
      <c r="M9185" s="13"/>
      <c r="N9185" s="2"/>
      <c r="O9185" s="20"/>
      <c r="P9185" s="42"/>
      <c r="R9185" s="23"/>
    </row>
    <row r="9186" spans="1:18" ht="12.75">
      <c r="A9186" s="12"/>
      <c r="D9186" s="12"/>
      <c r="E9186" s="12"/>
      <c r="H9186" s="11" t="str">
        <f ca="1">IFERROR(__xludf.DUMMYFUNCTION("IFERROR(SUBSTITUTE(SUBSTITUTE(REGEXEXTRACT(A9186, ""[^-]+- [^-]+- [^-]+ - (.+?)\.jpg""), "".jpg"", """"), ""-"", "", ""), """")"),"")</f>
        <v/>
      </c>
      <c r="L9186" s="12"/>
      <c r="M9186" s="13"/>
      <c r="N9186" s="2"/>
      <c r="O9186" s="20"/>
      <c r="P9186" s="42"/>
      <c r="R9186" s="23"/>
    </row>
    <row r="9187" spans="1:18" ht="12.75">
      <c r="A9187" s="12"/>
      <c r="D9187" s="12"/>
      <c r="E9187" s="12"/>
      <c r="H9187" s="11" t="str">
        <f ca="1">IFERROR(__xludf.DUMMYFUNCTION("IFERROR(SUBSTITUTE(SUBSTITUTE(REGEXEXTRACT(A9187, ""[^-]+- [^-]+- [^-]+ - (.+?)\.jpg""), "".jpg"", """"), ""-"", "", ""), """")"),"")</f>
        <v/>
      </c>
      <c r="L9187" s="12"/>
      <c r="M9187" s="13"/>
      <c r="N9187" s="2"/>
      <c r="O9187" s="20"/>
      <c r="P9187" s="42"/>
      <c r="R9187" s="23"/>
    </row>
    <row r="9188" spans="1:18" ht="12.75">
      <c r="A9188" s="12"/>
      <c r="D9188" s="12"/>
      <c r="E9188" s="12"/>
      <c r="H9188" s="11" t="str">
        <f ca="1">IFERROR(__xludf.DUMMYFUNCTION("IFERROR(SUBSTITUTE(SUBSTITUTE(REGEXEXTRACT(A9188, ""[^-]+- [^-]+- [^-]+ - (.+?)\.jpg""), "".jpg"", """"), ""-"", "", ""), """")"),"")</f>
        <v/>
      </c>
      <c r="L9188" s="12"/>
      <c r="M9188" s="13"/>
      <c r="N9188" s="2"/>
      <c r="O9188" s="20"/>
      <c r="P9188" s="42"/>
      <c r="R9188" s="23"/>
    </row>
    <row r="9189" spans="1:18" ht="12.75">
      <c r="A9189" s="12"/>
      <c r="D9189" s="12"/>
      <c r="E9189" s="12"/>
      <c r="H9189" s="11" t="str">
        <f ca="1">IFERROR(__xludf.DUMMYFUNCTION("IFERROR(SUBSTITUTE(SUBSTITUTE(REGEXEXTRACT(A9189, ""[^-]+- [^-]+- [^-]+ - (.+?)\.jpg""), "".jpg"", """"), ""-"", "", ""), """")"),"")</f>
        <v/>
      </c>
      <c r="L9189" s="12"/>
      <c r="M9189" s="13"/>
      <c r="N9189" s="2"/>
      <c r="O9189" s="20"/>
      <c r="P9189" s="42"/>
      <c r="R9189" s="23"/>
    </row>
    <row r="9190" spans="1:18" ht="12.75">
      <c r="A9190" s="12"/>
      <c r="D9190" s="12"/>
      <c r="E9190" s="12"/>
      <c r="H9190" s="11" t="str">
        <f ca="1">IFERROR(__xludf.DUMMYFUNCTION("IFERROR(SUBSTITUTE(SUBSTITUTE(REGEXEXTRACT(A9190, ""[^-]+- [^-]+- [^-]+ - (.+?)\.jpg""), "".jpg"", """"), ""-"", "", ""), """")"),"")</f>
        <v/>
      </c>
      <c r="L9190" s="12"/>
      <c r="M9190" s="13"/>
      <c r="N9190" s="2"/>
      <c r="O9190" s="20"/>
      <c r="P9190" s="42"/>
      <c r="R9190" s="23"/>
    </row>
    <row r="9191" spans="1:18" ht="12.75">
      <c r="A9191" s="12"/>
      <c r="D9191" s="12"/>
      <c r="E9191" s="12"/>
      <c r="H9191" s="11" t="str">
        <f ca="1">IFERROR(__xludf.DUMMYFUNCTION("IFERROR(SUBSTITUTE(SUBSTITUTE(REGEXEXTRACT(A9191, ""[^-]+- [^-]+- [^-]+ - (.+?)\.jpg""), "".jpg"", """"), ""-"", "", ""), """")"),"")</f>
        <v/>
      </c>
      <c r="L9191" s="12"/>
      <c r="M9191" s="13"/>
      <c r="N9191" s="2"/>
      <c r="O9191" s="20"/>
      <c r="P9191" s="42"/>
      <c r="R9191" s="23"/>
    </row>
    <row r="9192" spans="1:18" ht="12.75">
      <c r="A9192" s="12"/>
      <c r="D9192" s="12"/>
      <c r="E9192" s="12"/>
      <c r="H9192" s="11" t="str">
        <f ca="1">IFERROR(__xludf.DUMMYFUNCTION("IFERROR(SUBSTITUTE(SUBSTITUTE(REGEXEXTRACT(A9192, ""[^-]+- [^-]+- [^-]+ - (.+?)\.jpg""), "".jpg"", """"), ""-"", "", ""), """")"),"")</f>
        <v/>
      </c>
      <c r="L9192" s="12"/>
      <c r="M9192" s="13"/>
      <c r="N9192" s="2"/>
      <c r="O9192" s="20"/>
      <c r="P9192" s="42"/>
      <c r="R9192" s="23"/>
    </row>
    <row r="9193" spans="1:18" ht="12.75">
      <c r="A9193" s="12"/>
      <c r="D9193" s="12"/>
      <c r="E9193" s="12"/>
      <c r="H9193" s="11" t="str">
        <f ca="1">IFERROR(__xludf.DUMMYFUNCTION("IFERROR(SUBSTITUTE(SUBSTITUTE(REGEXEXTRACT(A9193, ""[^-]+- [^-]+- [^-]+ - (.+?)\.jpg""), "".jpg"", """"), ""-"", "", ""), """")"),"")</f>
        <v/>
      </c>
      <c r="L9193" s="12"/>
      <c r="M9193" s="13"/>
      <c r="N9193" s="2"/>
      <c r="O9193" s="20"/>
      <c r="P9193" s="42"/>
      <c r="R9193" s="23"/>
    </row>
    <row r="9194" spans="1:18" ht="12.75">
      <c r="A9194" s="12"/>
      <c r="D9194" s="12"/>
      <c r="E9194" s="12"/>
      <c r="H9194" s="11" t="str">
        <f ca="1">IFERROR(__xludf.DUMMYFUNCTION("IFERROR(SUBSTITUTE(SUBSTITUTE(REGEXEXTRACT(A9194, ""[^-]+- [^-]+- [^-]+ - (.+?)\.jpg""), "".jpg"", """"), ""-"", "", ""), """")"),"")</f>
        <v/>
      </c>
      <c r="L9194" s="12"/>
      <c r="M9194" s="13"/>
      <c r="N9194" s="2"/>
      <c r="O9194" s="20"/>
      <c r="P9194" s="42"/>
      <c r="R9194" s="23"/>
    </row>
    <row r="9195" spans="1:18" ht="12.75">
      <c r="A9195" s="12"/>
      <c r="D9195" s="12"/>
      <c r="E9195" s="12"/>
      <c r="H9195" s="11" t="str">
        <f ca="1">IFERROR(__xludf.DUMMYFUNCTION("IFERROR(SUBSTITUTE(SUBSTITUTE(REGEXEXTRACT(A9195, ""[^-]+- [^-]+- [^-]+ - (.+?)\.jpg""), "".jpg"", """"), ""-"", "", ""), """")"),"")</f>
        <v/>
      </c>
      <c r="L9195" s="12"/>
      <c r="M9195" s="13"/>
      <c r="N9195" s="2"/>
      <c r="O9195" s="20"/>
      <c r="P9195" s="42"/>
      <c r="R9195" s="23"/>
    </row>
    <row r="9196" spans="1:18" ht="12.75">
      <c r="A9196" s="12"/>
      <c r="D9196" s="12"/>
      <c r="E9196" s="12"/>
      <c r="H9196" s="11" t="str">
        <f ca="1">IFERROR(__xludf.DUMMYFUNCTION("IFERROR(SUBSTITUTE(SUBSTITUTE(REGEXEXTRACT(A9196, ""[^-]+- [^-]+- [^-]+ - (.+?)\.jpg""), "".jpg"", """"), ""-"", "", ""), """")"),"")</f>
        <v/>
      </c>
      <c r="L9196" s="12"/>
      <c r="M9196" s="13"/>
      <c r="N9196" s="2"/>
      <c r="O9196" s="20"/>
      <c r="P9196" s="42"/>
      <c r="R9196" s="23"/>
    </row>
    <row r="9197" spans="1:18" ht="12.75">
      <c r="A9197" s="12"/>
      <c r="D9197" s="12"/>
      <c r="E9197" s="12"/>
      <c r="H9197" s="11" t="str">
        <f ca="1">IFERROR(__xludf.DUMMYFUNCTION("IFERROR(SUBSTITUTE(SUBSTITUTE(REGEXEXTRACT(A9197, ""[^-]+- [^-]+- [^-]+ - (.+?)\.jpg""), "".jpg"", """"), ""-"", "", ""), """")"),"")</f>
        <v/>
      </c>
      <c r="L9197" s="12"/>
      <c r="M9197" s="13"/>
      <c r="N9197" s="2"/>
      <c r="O9197" s="20"/>
      <c r="P9197" s="42"/>
      <c r="R9197" s="23"/>
    </row>
    <row r="9198" spans="1:18" ht="12.75">
      <c r="A9198" s="12"/>
      <c r="D9198" s="12"/>
      <c r="E9198" s="12"/>
      <c r="H9198" s="11" t="str">
        <f ca="1">IFERROR(__xludf.DUMMYFUNCTION("IFERROR(SUBSTITUTE(SUBSTITUTE(REGEXEXTRACT(A9198, ""[^-]+- [^-]+- [^-]+ - (.+?)\.jpg""), "".jpg"", """"), ""-"", "", ""), """")"),"")</f>
        <v/>
      </c>
      <c r="L9198" s="12"/>
      <c r="M9198" s="13"/>
      <c r="N9198" s="2"/>
      <c r="O9198" s="20"/>
      <c r="P9198" s="42"/>
      <c r="R9198" s="23"/>
    </row>
    <row r="9199" spans="1:18" ht="12.75">
      <c r="A9199" s="12"/>
      <c r="D9199" s="12"/>
      <c r="E9199" s="12"/>
      <c r="H9199" s="11" t="str">
        <f ca="1">IFERROR(__xludf.DUMMYFUNCTION("IFERROR(SUBSTITUTE(SUBSTITUTE(REGEXEXTRACT(A9199, ""[^-]+- [^-]+- [^-]+ - (.+?)\.jpg""), "".jpg"", """"), ""-"", "", ""), """")"),"")</f>
        <v/>
      </c>
      <c r="L9199" s="12"/>
      <c r="M9199" s="13"/>
      <c r="N9199" s="2"/>
      <c r="O9199" s="20"/>
      <c r="P9199" s="42"/>
      <c r="R9199" s="23"/>
    </row>
    <row r="9200" spans="1:18" ht="12.75">
      <c r="A9200" s="12"/>
      <c r="D9200" s="12"/>
      <c r="E9200" s="12"/>
      <c r="H9200" s="11" t="str">
        <f ca="1">IFERROR(__xludf.DUMMYFUNCTION("IFERROR(SUBSTITUTE(SUBSTITUTE(REGEXEXTRACT(A9200, ""[^-]+- [^-]+- [^-]+ - (.+?)\.jpg""), "".jpg"", """"), ""-"", "", ""), """")"),"")</f>
        <v/>
      </c>
      <c r="L9200" s="12"/>
      <c r="M9200" s="13"/>
      <c r="N9200" s="2"/>
      <c r="O9200" s="20"/>
      <c r="P9200" s="42"/>
      <c r="R9200" s="23"/>
    </row>
    <row r="9201" spans="1:18" ht="12.75">
      <c r="A9201" s="12"/>
      <c r="D9201" s="12"/>
      <c r="E9201" s="12"/>
      <c r="H9201" s="11" t="str">
        <f ca="1">IFERROR(__xludf.DUMMYFUNCTION("IFERROR(SUBSTITUTE(SUBSTITUTE(REGEXEXTRACT(A9201, ""[^-]+- [^-]+- [^-]+ - (.+?)\.jpg""), "".jpg"", """"), ""-"", "", ""), """")"),"")</f>
        <v/>
      </c>
      <c r="L9201" s="12"/>
      <c r="M9201" s="13"/>
      <c r="N9201" s="2"/>
      <c r="O9201" s="20"/>
      <c r="P9201" s="42"/>
      <c r="R9201" s="23"/>
    </row>
    <row r="9202" spans="1:18" ht="12.75">
      <c r="A9202" s="12"/>
      <c r="D9202" s="12"/>
      <c r="E9202" s="12"/>
      <c r="H9202" s="11" t="str">
        <f ca="1">IFERROR(__xludf.DUMMYFUNCTION("IFERROR(SUBSTITUTE(SUBSTITUTE(REGEXEXTRACT(A9202, ""[^-]+- [^-]+- [^-]+ - (.+?)\.jpg""), "".jpg"", """"), ""-"", "", ""), """")"),"")</f>
        <v/>
      </c>
      <c r="L9202" s="12"/>
      <c r="M9202" s="13"/>
      <c r="N9202" s="2"/>
      <c r="O9202" s="20"/>
      <c r="P9202" s="42"/>
      <c r="R9202" s="23"/>
    </row>
    <row r="9203" spans="1:18" ht="12.75">
      <c r="A9203" s="12"/>
      <c r="D9203" s="12"/>
      <c r="E9203" s="12"/>
      <c r="H9203" s="11" t="str">
        <f ca="1">IFERROR(__xludf.DUMMYFUNCTION("IFERROR(SUBSTITUTE(SUBSTITUTE(REGEXEXTRACT(A9203, ""[^-]+- [^-]+- [^-]+ - (.+?)\.jpg""), "".jpg"", """"), ""-"", "", ""), """")"),"")</f>
        <v/>
      </c>
      <c r="L9203" s="12"/>
      <c r="M9203" s="13"/>
      <c r="N9203" s="2"/>
      <c r="O9203" s="20"/>
      <c r="P9203" s="42"/>
      <c r="R9203" s="23"/>
    </row>
    <row r="9204" spans="1:18" ht="12.75">
      <c r="A9204" s="12"/>
      <c r="D9204" s="12"/>
      <c r="E9204" s="12"/>
      <c r="H9204" s="11" t="str">
        <f ca="1">IFERROR(__xludf.DUMMYFUNCTION("IFERROR(SUBSTITUTE(SUBSTITUTE(REGEXEXTRACT(A9204, ""[^-]+- [^-]+- [^-]+ - (.+?)\.jpg""), "".jpg"", """"), ""-"", "", ""), """")"),"")</f>
        <v/>
      </c>
      <c r="L9204" s="12"/>
      <c r="M9204" s="13"/>
      <c r="N9204" s="2"/>
      <c r="O9204" s="20"/>
      <c r="P9204" s="42"/>
      <c r="R9204" s="23"/>
    </row>
    <row r="9205" spans="1:18" ht="12.75">
      <c r="A9205" s="12"/>
      <c r="D9205" s="12"/>
      <c r="E9205" s="12"/>
      <c r="H9205" s="11" t="str">
        <f ca="1">IFERROR(__xludf.DUMMYFUNCTION("IFERROR(SUBSTITUTE(SUBSTITUTE(REGEXEXTRACT(A9205, ""[^-]+- [^-]+- [^-]+ - (.+?)\.jpg""), "".jpg"", """"), ""-"", "", ""), """")"),"")</f>
        <v/>
      </c>
      <c r="L9205" s="12"/>
      <c r="M9205" s="13"/>
      <c r="N9205" s="2"/>
      <c r="O9205" s="20"/>
      <c r="P9205" s="42"/>
      <c r="R9205" s="23"/>
    </row>
    <row r="9206" spans="1:18" ht="12.75">
      <c r="A9206" s="12"/>
      <c r="D9206" s="12"/>
      <c r="E9206" s="12"/>
      <c r="H9206" s="11" t="str">
        <f ca="1">IFERROR(__xludf.DUMMYFUNCTION("IFERROR(SUBSTITUTE(SUBSTITUTE(REGEXEXTRACT(A9206, ""[^-]+- [^-]+- [^-]+ - (.+?)\.jpg""), "".jpg"", """"), ""-"", "", ""), """")"),"")</f>
        <v/>
      </c>
      <c r="L9206" s="12"/>
      <c r="M9206" s="13"/>
      <c r="N9206" s="2"/>
      <c r="O9206" s="20"/>
      <c r="P9206" s="42"/>
      <c r="R9206" s="23"/>
    </row>
    <row r="9207" spans="1:18" ht="12.75">
      <c r="A9207" s="12"/>
      <c r="D9207" s="12"/>
      <c r="E9207" s="12"/>
      <c r="H9207" s="11" t="str">
        <f ca="1">IFERROR(__xludf.DUMMYFUNCTION("IFERROR(SUBSTITUTE(SUBSTITUTE(REGEXEXTRACT(A9207, ""[^-]+- [^-]+- [^-]+ - (.+?)\.jpg""), "".jpg"", """"), ""-"", "", ""), """")"),"")</f>
        <v/>
      </c>
      <c r="L9207" s="12"/>
      <c r="M9207" s="13"/>
      <c r="N9207" s="2"/>
      <c r="O9207" s="20"/>
      <c r="P9207" s="42"/>
      <c r="R9207" s="23"/>
    </row>
    <row r="9208" spans="1:18" ht="12.75">
      <c r="A9208" s="12"/>
      <c r="D9208" s="12"/>
      <c r="E9208" s="12"/>
      <c r="H9208" s="11" t="str">
        <f ca="1">IFERROR(__xludf.DUMMYFUNCTION("IFERROR(SUBSTITUTE(SUBSTITUTE(REGEXEXTRACT(A9208, ""[^-]+- [^-]+- [^-]+ - (.+?)\.jpg""), "".jpg"", """"), ""-"", "", ""), """")"),"")</f>
        <v/>
      </c>
      <c r="L9208" s="12"/>
      <c r="M9208" s="13"/>
      <c r="N9208" s="2"/>
      <c r="O9208" s="20"/>
      <c r="P9208" s="42"/>
      <c r="R9208" s="23"/>
    </row>
    <row r="9209" spans="1:18" ht="12.75">
      <c r="A9209" s="12"/>
      <c r="D9209" s="12"/>
      <c r="E9209" s="12"/>
      <c r="H9209" s="11" t="str">
        <f ca="1">IFERROR(__xludf.DUMMYFUNCTION("IFERROR(SUBSTITUTE(SUBSTITUTE(REGEXEXTRACT(A9209, ""[^-]+- [^-]+- [^-]+ - (.+?)\.jpg""), "".jpg"", """"), ""-"", "", ""), """")"),"")</f>
        <v/>
      </c>
      <c r="L9209" s="12"/>
      <c r="M9209" s="13"/>
      <c r="N9209" s="2"/>
      <c r="O9209" s="20"/>
      <c r="P9209" s="42"/>
      <c r="R9209" s="23"/>
    </row>
    <row r="9210" spans="1:18" ht="12.75">
      <c r="A9210" s="12"/>
      <c r="D9210" s="12"/>
      <c r="E9210" s="12"/>
      <c r="H9210" s="11" t="str">
        <f ca="1">IFERROR(__xludf.DUMMYFUNCTION("IFERROR(SUBSTITUTE(SUBSTITUTE(REGEXEXTRACT(A9210, ""[^-]+- [^-]+- [^-]+ - (.+?)\.jpg""), "".jpg"", """"), ""-"", "", ""), """")"),"")</f>
        <v/>
      </c>
      <c r="L9210" s="12"/>
      <c r="M9210" s="13"/>
      <c r="N9210" s="2"/>
      <c r="O9210" s="20"/>
      <c r="P9210" s="42"/>
      <c r="R9210" s="23"/>
    </row>
    <row r="9211" spans="1:18" ht="12.75">
      <c r="A9211" s="12"/>
      <c r="D9211" s="12"/>
      <c r="E9211" s="12"/>
      <c r="H9211" s="11" t="str">
        <f ca="1">IFERROR(__xludf.DUMMYFUNCTION("IFERROR(SUBSTITUTE(SUBSTITUTE(REGEXEXTRACT(A9211, ""[^-]+- [^-]+- [^-]+ - (.+?)\.jpg""), "".jpg"", """"), ""-"", "", ""), """")"),"")</f>
        <v/>
      </c>
      <c r="L9211" s="12"/>
      <c r="M9211" s="13"/>
      <c r="N9211" s="2"/>
      <c r="O9211" s="20"/>
      <c r="P9211" s="42"/>
      <c r="R9211" s="23"/>
    </row>
    <row r="9212" spans="1:18" ht="12.75">
      <c r="A9212" s="12"/>
      <c r="D9212" s="12"/>
      <c r="E9212" s="12"/>
      <c r="H9212" s="11" t="str">
        <f ca="1">IFERROR(__xludf.DUMMYFUNCTION("IFERROR(SUBSTITUTE(SUBSTITUTE(REGEXEXTRACT(A9212, ""[^-]+- [^-]+- [^-]+ - (.+?)\.jpg""), "".jpg"", """"), ""-"", "", ""), """")"),"")</f>
        <v/>
      </c>
      <c r="L9212" s="12"/>
      <c r="M9212" s="13"/>
      <c r="N9212" s="2"/>
      <c r="O9212" s="20"/>
      <c r="P9212" s="42"/>
      <c r="R9212" s="23"/>
    </row>
    <row r="9213" spans="1:18" ht="12.75">
      <c r="A9213" s="12"/>
      <c r="D9213" s="12"/>
      <c r="E9213" s="12"/>
      <c r="H9213" s="11" t="str">
        <f ca="1">IFERROR(__xludf.DUMMYFUNCTION("IFERROR(SUBSTITUTE(SUBSTITUTE(REGEXEXTRACT(A9213, ""[^-]+- [^-]+- [^-]+ - (.+?)\.jpg""), "".jpg"", """"), ""-"", "", ""), """")"),"")</f>
        <v/>
      </c>
      <c r="L9213" s="12"/>
      <c r="M9213" s="13"/>
      <c r="N9213" s="2"/>
      <c r="O9213" s="20"/>
      <c r="P9213" s="42"/>
      <c r="R9213" s="23"/>
    </row>
    <row r="9214" spans="1:18" ht="12.75">
      <c r="A9214" s="12"/>
      <c r="D9214" s="12"/>
      <c r="E9214" s="12"/>
      <c r="H9214" s="11" t="str">
        <f ca="1">IFERROR(__xludf.DUMMYFUNCTION("IFERROR(SUBSTITUTE(SUBSTITUTE(REGEXEXTRACT(A9214, ""[^-]+- [^-]+- [^-]+ - (.+?)\.jpg""), "".jpg"", """"), ""-"", "", ""), """")"),"")</f>
        <v/>
      </c>
      <c r="L9214" s="12"/>
      <c r="M9214" s="13"/>
      <c r="N9214" s="2"/>
      <c r="O9214" s="20"/>
      <c r="P9214" s="42"/>
      <c r="R9214" s="23"/>
    </row>
    <row r="9215" spans="1:18" ht="12.75">
      <c r="A9215" s="12"/>
      <c r="D9215" s="12"/>
      <c r="E9215" s="12"/>
      <c r="H9215" s="11" t="str">
        <f ca="1">IFERROR(__xludf.DUMMYFUNCTION("IFERROR(SUBSTITUTE(SUBSTITUTE(REGEXEXTRACT(A9215, ""[^-]+- [^-]+- [^-]+ - (.+?)\.jpg""), "".jpg"", """"), ""-"", "", ""), """")"),"")</f>
        <v/>
      </c>
      <c r="L9215" s="12"/>
      <c r="M9215" s="13"/>
      <c r="N9215" s="2"/>
      <c r="O9215" s="20"/>
      <c r="P9215" s="42"/>
      <c r="R9215" s="23"/>
    </row>
    <row r="9216" spans="1:18" ht="12.75">
      <c r="A9216" s="12"/>
      <c r="D9216" s="12"/>
      <c r="E9216" s="12"/>
      <c r="H9216" s="11" t="str">
        <f ca="1">IFERROR(__xludf.DUMMYFUNCTION("IFERROR(SUBSTITUTE(SUBSTITUTE(REGEXEXTRACT(A9216, ""[^-]+- [^-]+- [^-]+ - (.+?)\.jpg""), "".jpg"", """"), ""-"", "", ""), """")"),"")</f>
        <v/>
      </c>
      <c r="L9216" s="12"/>
      <c r="M9216" s="13"/>
      <c r="N9216" s="2"/>
      <c r="O9216" s="20"/>
      <c r="P9216" s="42"/>
      <c r="R9216" s="23"/>
    </row>
    <row r="9217" spans="1:18" ht="12.75">
      <c r="A9217" s="12"/>
      <c r="D9217" s="12"/>
      <c r="E9217" s="12"/>
      <c r="H9217" s="11" t="str">
        <f ca="1">IFERROR(__xludf.DUMMYFUNCTION("IFERROR(SUBSTITUTE(SUBSTITUTE(REGEXEXTRACT(A9217, ""[^-]+- [^-]+- [^-]+ - (.+?)\.jpg""), "".jpg"", """"), ""-"", "", ""), """")"),"")</f>
        <v/>
      </c>
      <c r="L9217" s="12"/>
      <c r="M9217" s="13"/>
      <c r="N9217" s="2"/>
      <c r="O9217" s="20"/>
      <c r="P9217" s="42"/>
      <c r="R9217" s="23"/>
    </row>
    <row r="9218" spans="1:18" ht="12.75">
      <c r="A9218" s="12"/>
      <c r="D9218" s="12"/>
      <c r="E9218" s="12"/>
      <c r="H9218" s="11" t="str">
        <f ca="1">IFERROR(__xludf.DUMMYFUNCTION("IFERROR(SUBSTITUTE(SUBSTITUTE(REGEXEXTRACT(A9218, ""[^-]+- [^-]+- [^-]+ - (.+?)\.jpg""), "".jpg"", """"), ""-"", "", ""), """")"),"")</f>
        <v/>
      </c>
      <c r="L9218" s="12"/>
      <c r="M9218" s="13"/>
      <c r="N9218" s="2"/>
      <c r="O9218" s="20"/>
      <c r="P9218" s="42"/>
      <c r="R9218" s="23"/>
    </row>
    <row r="9219" spans="1:18" ht="12.75">
      <c r="A9219" s="12"/>
      <c r="D9219" s="12"/>
      <c r="E9219" s="12"/>
      <c r="H9219" s="11" t="str">
        <f ca="1">IFERROR(__xludf.DUMMYFUNCTION("IFERROR(SUBSTITUTE(SUBSTITUTE(REGEXEXTRACT(A9219, ""[^-]+- [^-]+- [^-]+ - (.+?)\.jpg""), "".jpg"", """"), ""-"", "", ""), """")"),"")</f>
        <v/>
      </c>
      <c r="L9219" s="12"/>
      <c r="M9219" s="13"/>
      <c r="N9219" s="2"/>
      <c r="O9219" s="20"/>
      <c r="P9219" s="42"/>
      <c r="R9219" s="23"/>
    </row>
    <row r="9220" spans="1:18" ht="12.75">
      <c r="A9220" s="12"/>
      <c r="D9220" s="12"/>
      <c r="E9220" s="12"/>
      <c r="H9220" s="11" t="str">
        <f ca="1">IFERROR(__xludf.DUMMYFUNCTION("IFERROR(SUBSTITUTE(SUBSTITUTE(REGEXEXTRACT(A9220, ""[^-]+- [^-]+- [^-]+ - (.+?)\.jpg""), "".jpg"", """"), ""-"", "", ""), """")"),"")</f>
        <v/>
      </c>
      <c r="L9220" s="12"/>
      <c r="M9220" s="13"/>
      <c r="N9220" s="2"/>
      <c r="O9220" s="20"/>
      <c r="P9220" s="42"/>
      <c r="R9220" s="23"/>
    </row>
    <row r="9221" spans="1:18" ht="12.75">
      <c r="A9221" s="12"/>
      <c r="D9221" s="12"/>
      <c r="E9221" s="12"/>
      <c r="H9221" s="11" t="str">
        <f ca="1">IFERROR(__xludf.DUMMYFUNCTION("IFERROR(SUBSTITUTE(SUBSTITUTE(REGEXEXTRACT(A9221, ""[^-]+- [^-]+- [^-]+ - (.+?)\.jpg""), "".jpg"", """"), ""-"", "", ""), """")"),"")</f>
        <v/>
      </c>
      <c r="L9221" s="12"/>
      <c r="M9221" s="13"/>
      <c r="N9221" s="2"/>
      <c r="O9221" s="20"/>
      <c r="P9221" s="42"/>
      <c r="R9221" s="23"/>
    </row>
    <row r="9222" spans="1:18" ht="12.75">
      <c r="A9222" s="12"/>
      <c r="D9222" s="12"/>
      <c r="E9222" s="12"/>
      <c r="H9222" s="11" t="str">
        <f ca="1">IFERROR(__xludf.DUMMYFUNCTION("IFERROR(SUBSTITUTE(SUBSTITUTE(REGEXEXTRACT(A9222, ""[^-]+- [^-]+- [^-]+ - (.+?)\.jpg""), "".jpg"", """"), ""-"", "", ""), """")"),"")</f>
        <v/>
      </c>
      <c r="L9222" s="12"/>
      <c r="M9222" s="13"/>
      <c r="N9222" s="2"/>
      <c r="O9222" s="20"/>
      <c r="P9222" s="42"/>
      <c r="R9222" s="23"/>
    </row>
    <row r="9223" spans="1:18" ht="12.75">
      <c r="A9223" s="12"/>
      <c r="D9223" s="12"/>
      <c r="E9223" s="12"/>
      <c r="H9223" s="11" t="str">
        <f ca="1">IFERROR(__xludf.DUMMYFUNCTION("IFERROR(SUBSTITUTE(SUBSTITUTE(REGEXEXTRACT(A9223, ""[^-]+- [^-]+- [^-]+ - (.+?)\.jpg""), "".jpg"", """"), ""-"", "", ""), """")"),"")</f>
        <v/>
      </c>
      <c r="L9223" s="12"/>
      <c r="M9223" s="13"/>
      <c r="N9223" s="2"/>
      <c r="O9223" s="20"/>
      <c r="P9223" s="42"/>
      <c r="R9223" s="23"/>
    </row>
    <row r="9224" spans="1:18" ht="12.75">
      <c r="A9224" s="12"/>
      <c r="D9224" s="12"/>
      <c r="E9224" s="12"/>
      <c r="H9224" s="11" t="str">
        <f ca="1">IFERROR(__xludf.DUMMYFUNCTION("IFERROR(SUBSTITUTE(SUBSTITUTE(REGEXEXTRACT(A9224, ""[^-]+- [^-]+- [^-]+ - (.+?)\.jpg""), "".jpg"", """"), ""-"", "", ""), """")"),"")</f>
        <v/>
      </c>
      <c r="L9224" s="12"/>
      <c r="M9224" s="13"/>
      <c r="N9224" s="2"/>
      <c r="O9224" s="20"/>
      <c r="P9224" s="42"/>
      <c r="R9224" s="23"/>
    </row>
    <row r="9225" spans="1:18" ht="12.75">
      <c r="A9225" s="12"/>
      <c r="D9225" s="12"/>
      <c r="E9225" s="12"/>
      <c r="H9225" s="11" t="str">
        <f ca="1">IFERROR(__xludf.DUMMYFUNCTION("IFERROR(SUBSTITUTE(SUBSTITUTE(REGEXEXTRACT(A9225, ""[^-]+- [^-]+- [^-]+ - (.+?)\.jpg""), "".jpg"", """"), ""-"", "", ""), """")"),"")</f>
        <v/>
      </c>
      <c r="L9225" s="12"/>
      <c r="M9225" s="13"/>
      <c r="N9225" s="2"/>
      <c r="O9225" s="20"/>
      <c r="P9225" s="42"/>
      <c r="R9225" s="23"/>
    </row>
    <row r="9226" spans="1:18" ht="12.75">
      <c r="A9226" s="12"/>
      <c r="D9226" s="12"/>
      <c r="E9226" s="12"/>
      <c r="H9226" s="11" t="str">
        <f ca="1">IFERROR(__xludf.DUMMYFUNCTION("IFERROR(SUBSTITUTE(SUBSTITUTE(REGEXEXTRACT(A9226, ""[^-]+- [^-]+- [^-]+ - (.+?)\.jpg""), "".jpg"", """"), ""-"", "", ""), """")"),"")</f>
        <v/>
      </c>
      <c r="L9226" s="12"/>
      <c r="M9226" s="13"/>
      <c r="N9226" s="2"/>
      <c r="O9226" s="20"/>
      <c r="P9226" s="42"/>
      <c r="R9226" s="23"/>
    </row>
    <row r="9227" spans="1:18" ht="12.75">
      <c r="A9227" s="12"/>
      <c r="D9227" s="12"/>
      <c r="E9227" s="12"/>
      <c r="H9227" s="11" t="str">
        <f ca="1">IFERROR(__xludf.DUMMYFUNCTION("IFERROR(SUBSTITUTE(SUBSTITUTE(REGEXEXTRACT(A9227, ""[^-]+- [^-]+- [^-]+ - (.+?)\.jpg""), "".jpg"", """"), ""-"", "", ""), """")"),"")</f>
        <v/>
      </c>
      <c r="L9227" s="12"/>
      <c r="M9227" s="13"/>
      <c r="N9227" s="2"/>
      <c r="O9227" s="20"/>
      <c r="P9227" s="42"/>
      <c r="R9227" s="23"/>
    </row>
    <row r="9228" spans="1:18" ht="12.75">
      <c r="A9228" s="12"/>
      <c r="D9228" s="12"/>
      <c r="E9228" s="12"/>
      <c r="H9228" s="11" t="str">
        <f ca="1">IFERROR(__xludf.DUMMYFUNCTION("IFERROR(SUBSTITUTE(SUBSTITUTE(REGEXEXTRACT(A9228, ""[^-]+- [^-]+- [^-]+ - (.+?)\.jpg""), "".jpg"", """"), ""-"", "", ""), """")"),"")</f>
        <v/>
      </c>
      <c r="L9228" s="12"/>
      <c r="M9228" s="13"/>
      <c r="N9228" s="2"/>
      <c r="O9228" s="20"/>
      <c r="P9228" s="42"/>
      <c r="R9228" s="23"/>
    </row>
    <row r="9229" spans="1:18" ht="12.75">
      <c r="A9229" s="12"/>
      <c r="D9229" s="12"/>
      <c r="E9229" s="12"/>
      <c r="H9229" s="11" t="str">
        <f ca="1">IFERROR(__xludf.DUMMYFUNCTION("IFERROR(SUBSTITUTE(SUBSTITUTE(REGEXEXTRACT(A9229, ""[^-]+- [^-]+- [^-]+ - (.+?)\.jpg""), "".jpg"", """"), ""-"", "", ""), """")"),"")</f>
        <v/>
      </c>
      <c r="L9229" s="12"/>
      <c r="M9229" s="13"/>
      <c r="N9229" s="2"/>
      <c r="O9229" s="20"/>
      <c r="P9229" s="42"/>
      <c r="R9229" s="23"/>
    </row>
    <row r="9230" spans="1:18" ht="12.75">
      <c r="A9230" s="12"/>
      <c r="D9230" s="12"/>
      <c r="E9230" s="12"/>
      <c r="H9230" s="11" t="str">
        <f ca="1">IFERROR(__xludf.DUMMYFUNCTION("IFERROR(SUBSTITUTE(SUBSTITUTE(REGEXEXTRACT(A9230, ""[^-]+- [^-]+- [^-]+ - (.+?)\.jpg""), "".jpg"", """"), ""-"", "", ""), """")"),"")</f>
        <v/>
      </c>
      <c r="L9230" s="12"/>
      <c r="M9230" s="13"/>
      <c r="N9230" s="2"/>
      <c r="O9230" s="20"/>
      <c r="P9230" s="42"/>
      <c r="R9230" s="23"/>
    </row>
    <row r="9231" spans="1:18" ht="12.75">
      <c r="A9231" s="12"/>
      <c r="D9231" s="12"/>
      <c r="E9231" s="12"/>
      <c r="H9231" s="11" t="str">
        <f ca="1">IFERROR(__xludf.DUMMYFUNCTION("IFERROR(SUBSTITUTE(SUBSTITUTE(REGEXEXTRACT(A9231, ""[^-]+- [^-]+- [^-]+ - (.+?)\.jpg""), "".jpg"", """"), ""-"", "", ""), """")"),"")</f>
        <v/>
      </c>
      <c r="L9231" s="12"/>
      <c r="M9231" s="13"/>
      <c r="N9231" s="2"/>
      <c r="O9231" s="20"/>
      <c r="P9231" s="42"/>
      <c r="R9231" s="23"/>
    </row>
    <row r="9232" spans="1:18" ht="12.75">
      <c r="A9232" s="12"/>
      <c r="D9232" s="12"/>
      <c r="E9232" s="12"/>
      <c r="H9232" s="11" t="str">
        <f ca="1">IFERROR(__xludf.DUMMYFUNCTION("IFERROR(SUBSTITUTE(SUBSTITUTE(REGEXEXTRACT(A9232, ""[^-]+- [^-]+- [^-]+ - (.+?)\.jpg""), "".jpg"", """"), ""-"", "", ""), """")"),"")</f>
        <v/>
      </c>
      <c r="L9232" s="12"/>
      <c r="M9232" s="13"/>
      <c r="N9232" s="2"/>
      <c r="O9232" s="20"/>
      <c r="P9232" s="42"/>
      <c r="R9232" s="23"/>
    </row>
    <row r="9233" spans="1:18" ht="12.75">
      <c r="A9233" s="12"/>
      <c r="D9233" s="12"/>
      <c r="E9233" s="12"/>
      <c r="H9233" s="11" t="str">
        <f ca="1">IFERROR(__xludf.DUMMYFUNCTION("IFERROR(SUBSTITUTE(SUBSTITUTE(REGEXEXTRACT(A9233, ""[^-]+- [^-]+- [^-]+ - (.+?)\.jpg""), "".jpg"", """"), ""-"", "", ""), """")"),"")</f>
        <v/>
      </c>
      <c r="L9233" s="12"/>
      <c r="M9233" s="13"/>
      <c r="N9233" s="2"/>
      <c r="O9233" s="20"/>
      <c r="P9233" s="42"/>
      <c r="R9233" s="23"/>
    </row>
    <row r="9234" spans="1:18" ht="12.75">
      <c r="A9234" s="12"/>
      <c r="D9234" s="12"/>
      <c r="E9234" s="12"/>
      <c r="H9234" s="11" t="str">
        <f ca="1">IFERROR(__xludf.DUMMYFUNCTION("IFERROR(SUBSTITUTE(SUBSTITUTE(REGEXEXTRACT(A9234, ""[^-]+- [^-]+- [^-]+ - (.+?)\.jpg""), "".jpg"", """"), ""-"", "", ""), """")"),"")</f>
        <v/>
      </c>
      <c r="L9234" s="12"/>
      <c r="M9234" s="13"/>
      <c r="N9234" s="2"/>
      <c r="O9234" s="20"/>
      <c r="P9234" s="42"/>
      <c r="R9234" s="23"/>
    </row>
    <row r="9235" spans="1:18" ht="12.75">
      <c r="A9235" s="12"/>
      <c r="D9235" s="12"/>
      <c r="E9235" s="12"/>
      <c r="H9235" s="11" t="str">
        <f ca="1">IFERROR(__xludf.DUMMYFUNCTION("IFERROR(SUBSTITUTE(SUBSTITUTE(REGEXEXTRACT(A9235, ""[^-]+- [^-]+- [^-]+ - (.+?)\.jpg""), "".jpg"", """"), ""-"", "", ""), """")"),"")</f>
        <v/>
      </c>
      <c r="L9235" s="12"/>
      <c r="M9235" s="13"/>
      <c r="N9235" s="2"/>
      <c r="O9235" s="20"/>
      <c r="P9235" s="42"/>
      <c r="R9235" s="23"/>
    </row>
    <row r="9236" spans="1:18" ht="12.75">
      <c r="A9236" s="12"/>
      <c r="D9236" s="12"/>
      <c r="E9236" s="12"/>
      <c r="H9236" s="11" t="str">
        <f ca="1">IFERROR(__xludf.DUMMYFUNCTION("IFERROR(SUBSTITUTE(SUBSTITUTE(REGEXEXTRACT(A9236, ""[^-]+- [^-]+- [^-]+ - (.+?)\.jpg""), "".jpg"", """"), ""-"", "", ""), """")"),"")</f>
        <v/>
      </c>
      <c r="L9236" s="12"/>
      <c r="M9236" s="13"/>
      <c r="N9236" s="2"/>
      <c r="O9236" s="20"/>
      <c r="P9236" s="42"/>
      <c r="R9236" s="23"/>
    </row>
    <row r="9237" spans="1:18" ht="12.75">
      <c r="A9237" s="12"/>
      <c r="D9237" s="12"/>
      <c r="E9237" s="12"/>
      <c r="H9237" s="11" t="str">
        <f ca="1">IFERROR(__xludf.DUMMYFUNCTION("IFERROR(SUBSTITUTE(SUBSTITUTE(REGEXEXTRACT(A9237, ""[^-]+- [^-]+- [^-]+ - (.+?)\.jpg""), "".jpg"", """"), ""-"", "", ""), """")"),"")</f>
        <v/>
      </c>
      <c r="L9237" s="12"/>
      <c r="M9237" s="13"/>
      <c r="N9237" s="2"/>
      <c r="O9237" s="20"/>
      <c r="P9237" s="42"/>
      <c r="R9237" s="23"/>
    </row>
    <row r="9238" spans="1:18" ht="12.75">
      <c r="A9238" s="12"/>
      <c r="D9238" s="12"/>
      <c r="E9238" s="12"/>
      <c r="H9238" s="11" t="str">
        <f ca="1">IFERROR(__xludf.DUMMYFUNCTION("IFERROR(SUBSTITUTE(SUBSTITUTE(REGEXEXTRACT(A9238, ""[^-]+- [^-]+- [^-]+ - (.+?)\.jpg""), "".jpg"", """"), ""-"", "", ""), """")"),"")</f>
        <v/>
      </c>
      <c r="L9238" s="12"/>
      <c r="M9238" s="13"/>
      <c r="N9238" s="2"/>
      <c r="O9238" s="20"/>
      <c r="P9238" s="42"/>
      <c r="R9238" s="23"/>
    </row>
    <row r="9239" spans="1:18" ht="12.75">
      <c r="A9239" s="12"/>
      <c r="D9239" s="12"/>
      <c r="E9239" s="12"/>
      <c r="H9239" s="11" t="str">
        <f ca="1">IFERROR(__xludf.DUMMYFUNCTION("IFERROR(SUBSTITUTE(SUBSTITUTE(REGEXEXTRACT(A9239, ""[^-]+- [^-]+- [^-]+ - (.+?)\.jpg""), "".jpg"", """"), ""-"", "", ""), """")"),"")</f>
        <v/>
      </c>
      <c r="L9239" s="12"/>
      <c r="M9239" s="13"/>
      <c r="N9239" s="2"/>
      <c r="O9239" s="20"/>
      <c r="P9239" s="42"/>
      <c r="R9239" s="23"/>
    </row>
    <row r="9240" spans="1:18" ht="12.75">
      <c r="A9240" s="12"/>
      <c r="D9240" s="12"/>
      <c r="E9240" s="12"/>
      <c r="H9240" s="11" t="str">
        <f ca="1">IFERROR(__xludf.DUMMYFUNCTION("IFERROR(SUBSTITUTE(SUBSTITUTE(REGEXEXTRACT(A9240, ""[^-]+- [^-]+- [^-]+ - (.+?)\.jpg""), "".jpg"", """"), ""-"", "", ""), """")"),"")</f>
        <v/>
      </c>
      <c r="L9240" s="12"/>
      <c r="M9240" s="13"/>
      <c r="N9240" s="2"/>
      <c r="O9240" s="20"/>
      <c r="P9240" s="42"/>
      <c r="R9240" s="23"/>
    </row>
    <row r="9241" spans="1:18" ht="12.75">
      <c r="A9241" s="12"/>
      <c r="D9241" s="12"/>
      <c r="E9241" s="12"/>
      <c r="H9241" s="11" t="str">
        <f ca="1">IFERROR(__xludf.DUMMYFUNCTION("IFERROR(SUBSTITUTE(SUBSTITUTE(REGEXEXTRACT(A9241, ""[^-]+- [^-]+- [^-]+ - (.+?)\.jpg""), "".jpg"", """"), ""-"", "", ""), """")"),"")</f>
        <v/>
      </c>
      <c r="L9241" s="12"/>
      <c r="M9241" s="13"/>
      <c r="N9241" s="2"/>
      <c r="O9241" s="20"/>
      <c r="P9241" s="42"/>
      <c r="R9241" s="23"/>
    </row>
    <row r="9242" spans="1:18" ht="12.75">
      <c r="A9242" s="12"/>
      <c r="D9242" s="12"/>
      <c r="E9242" s="12"/>
      <c r="H9242" s="11" t="str">
        <f ca="1">IFERROR(__xludf.DUMMYFUNCTION("IFERROR(SUBSTITUTE(SUBSTITUTE(REGEXEXTRACT(A9242, ""[^-]+- [^-]+- [^-]+ - (.+?)\.jpg""), "".jpg"", """"), ""-"", "", ""), """")"),"")</f>
        <v/>
      </c>
      <c r="L9242" s="12"/>
      <c r="M9242" s="13"/>
      <c r="N9242" s="2"/>
      <c r="O9242" s="20"/>
      <c r="P9242" s="42"/>
      <c r="R9242" s="23"/>
    </row>
    <row r="9243" spans="1:18" ht="12.75">
      <c r="A9243" s="12"/>
      <c r="D9243" s="12"/>
      <c r="E9243" s="12"/>
      <c r="H9243" s="11" t="str">
        <f ca="1">IFERROR(__xludf.DUMMYFUNCTION("IFERROR(SUBSTITUTE(SUBSTITUTE(REGEXEXTRACT(A9243, ""[^-]+- [^-]+- [^-]+ - (.+?)\.jpg""), "".jpg"", """"), ""-"", "", ""), """")"),"")</f>
        <v/>
      </c>
      <c r="L9243" s="12"/>
      <c r="M9243" s="13"/>
      <c r="N9243" s="2"/>
      <c r="O9243" s="20"/>
      <c r="P9243" s="42"/>
      <c r="R9243" s="23"/>
    </row>
    <row r="9244" spans="1:18" ht="12.75">
      <c r="A9244" s="12"/>
      <c r="D9244" s="12"/>
      <c r="E9244" s="12"/>
      <c r="H9244" s="11" t="str">
        <f ca="1">IFERROR(__xludf.DUMMYFUNCTION("IFERROR(SUBSTITUTE(SUBSTITUTE(REGEXEXTRACT(A9244, ""[^-]+- [^-]+- [^-]+ - (.+?)\.jpg""), "".jpg"", """"), ""-"", "", ""), """")"),"")</f>
        <v/>
      </c>
      <c r="L9244" s="12"/>
      <c r="M9244" s="13"/>
      <c r="N9244" s="2"/>
      <c r="O9244" s="20"/>
      <c r="P9244" s="42"/>
      <c r="R9244" s="23"/>
    </row>
    <row r="9245" spans="1:18" ht="12.75">
      <c r="A9245" s="12"/>
      <c r="D9245" s="12"/>
      <c r="E9245" s="12"/>
      <c r="H9245" s="11" t="str">
        <f ca="1">IFERROR(__xludf.DUMMYFUNCTION("IFERROR(SUBSTITUTE(SUBSTITUTE(REGEXEXTRACT(A9245, ""[^-]+- [^-]+- [^-]+ - (.+?)\.jpg""), "".jpg"", """"), ""-"", "", ""), """")"),"")</f>
        <v/>
      </c>
      <c r="L9245" s="12"/>
      <c r="M9245" s="13"/>
      <c r="N9245" s="2"/>
      <c r="O9245" s="20"/>
      <c r="P9245" s="42"/>
      <c r="R9245" s="23"/>
    </row>
    <row r="9246" spans="1:18" ht="12.75">
      <c r="A9246" s="12"/>
      <c r="D9246" s="12"/>
      <c r="E9246" s="12"/>
      <c r="H9246" s="11" t="str">
        <f ca="1">IFERROR(__xludf.DUMMYFUNCTION("IFERROR(SUBSTITUTE(SUBSTITUTE(REGEXEXTRACT(A9246, ""[^-]+- [^-]+- [^-]+ - (.+?)\.jpg""), "".jpg"", """"), ""-"", "", ""), """")"),"")</f>
        <v/>
      </c>
      <c r="L9246" s="12"/>
      <c r="M9246" s="13"/>
      <c r="N9246" s="2"/>
      <c r="O9246" s="20"/>
      <c r="P9246" s="42"/>
      <c r="R9246" s="23"/>
    </row>
    <row r="9247" spans="1:18" ht="12.75">
      <c r="A9247" s="12"/>
      <c r="D9247" s="12"/>
      <c r="E9247" s="12"/>
      <c r="H9247" s="11" t="str">
        <f ca="1">IFERROR(__xludf.DUMMYFUNCTION("IFERROR(SUBSTITUTE(SUBSTITUTE(REGEXEXTRACT(A9247, ""[^-]+- [^-]+- [^-]+ - (.+?)\.jpg""), "".jpg"", """"), ""-"", "", ""), """")"),"")</f>
        <v/>
      </c>
      <c r="L9247" s="12"/>
      <c r="M9247" s="13"/>
      <c r="N9247" s="2"/>
      <c r="O9247" s="20"/>
      <c r="P9247" s="42"/>
      <c r="R9247" s="23"/>
    </row>
    <row r="9248" spans="1:18" ht="12.75">
      <c r="A9248" s="12"/>
      <c r="D9248" s="12"/>
      <c r="E9248" s="12"/>
      <c r="H9248" s="11" t="str">
        <f ca="1">IFERROR(__xludf.DUMMYFUNCTION("IFERROR(SUBSTITUTE(SUBSTITUTE(REGEXEXTRACT(A9248, ""[^-]+- [^-]+- [^-]+ - (.+?)\.jpg""), "".jpg"", """"), ""-"", "", ""), """")"),"")</f>
        <v/>
      </c>
      <c r="L9248" s="12"/>
      <c r="M9248" s="13"/>
      <c r="N9248" s="2"/>
      <c r="O9248" s="20"/>
      <c r="P9248" s="42"/>
      <c r="R9248" s="23"/>
    </row>
    <row r="9249" spans="1:18" ht="12.75">
      <c r="A9249" s="12"/>
      <c r="D9249" s="12"/>
      <c r="E9249" s="12"/>
      <c r="H9249" s="11" t="str">
        <f ca="1">IFERROR(__xludf.DUMMYFUNCTION("IFERROR(SUBSTITUTE(SUBSTITUTE(REGEXEXTRACT(A9249, ""[^-]+- [^-]+- [^-]+ - (.+?)\.jpg""), "".jpg"", """"), ""-"", "", ""), """")"),"")</f>
        <v/>
      </c>
      <c r="L9249" s="12"/>
      <c r="M9249" s="13"/>
      <c r="N9249" s="2"/>
      <c r="O9249" s="20"/>
      <c r="P9249" s="42"/>
      <c r="R9249" s="23"/>
    </row>
    <row r="9250" spans="1:18" ht="12.75">
      <c r="A9250" s="12"/>
      <c r="D9250" s="12"/>
      <c r="E9250" s="12"/>
      <c r="H9250" s="11" t="str">
        <f ca="1">IFERROR(__xludf.DUMMYFUNCTION("IFERROR(SUBSTITUTE(SUBSTITUTE(REGEXEXTRACT(A9250, ""[^-]+- [^-]+- [^-]+ - (.+?)\.jpg""), "".jpg"", """"), ""-"", "", ""), """")"),"")</f>
        <v/>
      </c>
      <c r="L9250" s="12"/>
      <c r="M9250" s="13"/>
      <c r="N9250" s="2"/>
      <c r="O9250" s="20"/>
      <c r="P9250" s="42"/>
      <c r="R9250" s="23"/>
    </row>
    <row r="9251" spans="1:18" ht="12.75">
      <c r="A9251" s="12"/>
      <c r="D9251" s="12"/>
      <c r="E9251" s="12"/>
      <c r="H9251" s="11" t="str">
        <f ca="1">IFERROR(__xludf.DUMMYFUNCTION("IFERROR(SUBSTITUTE(SUBSTITUTE(REGEXEXTRACT(A9251, ""[^-]+- [^-]+- [^-]+ - (.+?)\.jpg""), "".jpg"", """"), ""-"", "", ""), """")"),"")</f>
        <v/>
      </c>
      <c r="L9251" s="12"/>
      <c r="M9251" s="13"/>
      <c r="N9251" s="2"/>
      <c r="O9251" s="20"/>
      <c r="P9251" s="42"/>
      <c r="R9251" s="23"/>
    </row>
    <row r="9252" spans="1:18" ht="12.75">
      <c r="A9252" s="12"/>
      <c r="D9252" s="12"/>
      <c r="E9252" s="12"/>
      <c r="H9252" s="11" t="str">
        <f ca="1">IFERROR(__xludf.DUMMYFUNCTION("IFERROR(SUBSTITUTE(SUBSTITUTE(REGEXEXTRACT(A9252, ""[^-]+- [^-]+- [^-]+ - (.+?)\.jpg""), "".jpg"", """"), ""-"", "", ""), """")"),"")</f>
        <v/>
      </c>
      <c r="L9252" s="12"/>
      <c r="M9252" s="13"/>
      <c r="N9252" s="2"/>
      <c r="O9252" s="20"/>
      <c r="P9252" s="42"/>
      <c r="R9252" s="23"/>
    </row>
    <row r="9253" spans="1:18" ht="12.75">
      <c r="A9253" s="12"/>
      <c r="D9253" s="12"/>
      <c r="E9253" s="12"/>
      <c r="H9253" s="11" t="str">
        <f ca="1">IFERROR(__xludf.DUMMYFUNCTION("IFERROR(SUBSTITUTE(SUBSTITUTE(REGEXEXTRACT(A9253, ""[^-]+- [^-]+- [^-]+ - (.+?)\.jpg""), "".jpg"", """"), ""-"", "", ""), """")"),"")</f>
        <v/>
      </c>
      <c r="L9253" s="12"/>
      <c r="M9253" s="13"/>
      <c r="N9253" s="2"/>
      <c r="O9253" s="20"/>
      <c r="P9253" s="42"/>
      <c r="R9253" s="23"/>
    </row>
    <row r="9254" spans="1:18" ht="12.75">
      <c r="A9254" s="12"/>
      <c r="D9254" s="12"/>
      <c r="E9254" s="12"/>
      <c r="H9254" s="11" t="str">
        <f ca="1">IFERROR(__xludf.DUMMYFUNCTION("IFERROR(SUBSTITUTE(SUBSTITUTE(REGEXEXTRACT(A9254, ""[^-]+- [^-]+- [^-]+ - (.+?)\.jpg""), "".jpg"", """"), ""-"", "", ""), """")"),"")</f>
        <v/>
      </c>
      <c r="L9254" s="12"/>
      <c r="M9254" s="13"/>
      <c r="N9254" s="2"/>
      <c r="O9254" s="20"/>
      <c r="P9254" s="42"/>
      <c r="R9254" s="23"/>
    </row>
    <row r="9255" spans="1:18" ht="12.75">
      <c r="A9255" s="12"/>
      <c r="D9255" s="12"/>
      <c r="E9255" s="12"/>
      <c r="H9255" s="11" t="str">
        <f ca="1">IFERROR(__xludf.DUMMYFUNCTION("IFERROR(SUBSTITUTE(SUBSTITUTE(REGEXEXTRACT(A9255, ""[^-]+- [^-]+- [^-]+ - (.+?)\.jpg""), "".jpg"", """"), ""-"", "", ""), """")"),"")</f>
        <v/>
      </c>
      <c r="L9255" s="12"/>
      <c r="M9255" s="13"/>
      <c r="N9255" s="2"/>
      <c r="O9255" s="20"/>
      <c r="P9255" s="42"/>
      <c r="R9255" s="23"/>
    </row>
    <row r="9256" spans="1:18" ht="12.75">
      <c r="A9256" s="12"/>
      <c r="D9256" s="12"/>
      <c r="E9256" s="12"/>
      <c r="H9256" s="11" t="str">
        <f ca="1">IFERROR(__xludf.DUMMYFUNCTION("IFERROR(SUBSTITUTE(SUBSTITUTE(REGEXEXTRACT(A9256, ""[^-]+- [^-]+- [^-]+ - (.+?)\.jpg""), "".jpg"", """"), ""-"", "", ""), """")"),"")</f>
        <v/>
      </c>
      <c r="L9256" s="12"/>
      <c r="M9256" s="13"/>
      <c r="N9256" s="2"/>
      <c r="O9256" s="20"/>
      <c r="P9256" s="42"/>
      <c r="R9256" s="23"/>
    </row>
    <row r="9257" spans="1:18" ht="12.75">
      <c r="A9257" s="12"/>
      <c r="D9257" s="12"/>
      <c r="E9257" s="12"/>
      <c r="H9257" s="11" t="str">
        <f ca="1">IFERROR(__xludf.DUMMYFUNCTION("IFERROR(SUBSTITUTE(SUBSTITUTE(REGEXEXTRACT(A9257, ""[^-]+- [^-]+- [^-]+ - (.+?)\.jpg""), "".jpg"", """"), ""-"", "", ""), """")"),"")</f>
        <v/>
      </c>
      <c r="L9257" s="12"/>
      <c r="M9257" s="13"/>
      <c r="N9257" s="2"/>
      <c r="O9257" s="20"/>
      <c r="P9257" s="42"/>
      <c r="R9257" s="23"/>
    </row>
    <row r="9258" spans="1:18" ht="12.75">
      <c r="A9258" s="12"/>
      <c r="D9258" s="12"/>
      <c r="E9258" s="12"/>
      <c r="H9258" s="11" t="str">
        <f ca="1">IFERROR(__xludf.DUMMYFUNCTION("IFERROR(SUBSTITUTE(SUBSTITUTE(REGEXEXTRACT(A9258, ""[^-]+- [^-]+- [^-]+ - (.+?)\.jpg""), "".jpg"", """"), ""-"", "", ""), """")"),"")</f>
        <v/>
      </c>
      <c r="L9258" s="12"/>
      <c r="M9258" s="13"/>
      <c r="N9258" s="2"/>
      <c r="O9258" s="20"/>
      <c r="P9258" s="42"/>
      <c r="R9258" s="23"/>
    </row>
    <row r="9259" spans="1:18" ht="12.75">
      <c r="A9259" s="12"/>
      <c r="D9259" s="12"/>
      <c r="E9259" s="12"/>
      <c r="H9259" s="11" t="str">
        <f ca="1">IFERROR(__xludf.DUMMYFUNCTION("IFERROR(SUBSTITUTE(SUBSTITUTE(REGEXEXTRACT(A9259, ""[^-]+- [^-]+- [^-]+ - (.+?)\.jpg""), "".jpg"", """"), ""-"", "", ""), """")"),"")</f>
        <v/>
      </c>
      <c r="L9259" s="12"/>
      <c r="M9259" s="13"/>
      <c r="N9259" s="2"/>
      <c r="O9259" s="20"/>
      <c r="P9259" s="42"/>
      <c r="R9259" s="23"/>
    </row>
    <row r="9260" spans="1:18" ht="12.75">
      <c r="A9260" s="12"/>
      <c r="D9260" s="12"/>
      <c r="E9260" s="12"/>
      <c r="H9260" s="11" t="str">
        <f ca="1">IFERROR(__xludf.DUMMYFUNCTION("IFERROR(SUBSTITUTE(SUBSTITUTE(REGEXEXTRACT(A9260, ""[^-]+- [^-]+- [^-]+ - (.+?)\.jpg""), "".jpg"", """"), ""-"", "", ""), """")"),"")</f>
        <v/>
      </c>
      <c r="L9260" s="12"/>
      <c r="M9260" s="13"/>
      <c r="N9260" s="2"/>
      <c r="O9260" s="20"/>
      <c r="P9260" s="42"/>
      <c r="R9260" s="23"/>
    </row>
    <row r="9261" spans="1:18" ht="12.75">
      <c r="A9261" s="12"/>
      <c r="D9261" s="12"/>
      <c r="E9261" s="12"/>
      <c r="H9261" s="11" t="str">
        <f ca="1">IFERROR(__xludf.DUMMYFUNCTION("IFERROR(SUBSTITUTE(SUBSTITUTE(REGEXEXTRACT(A9261, ""[^-]+- [^-]+- [^-]+ - (.+?)\.jpg""), "".jpg"", """"), ""-"", "", ""), """")"),"")</f>
        <v/>
      </c>
      <c r="L9261" s="12"/>
      <c r="M9261" s="13"/>
      <c r="N9261" s="2"/>
      <c r="O9261" s="20"/>
      <c r="P9261" s="42"/>
      <c r="R9261" s="23"/>
    </row>
    <row r="9262" spans="1:18" ht="12.75">
      <c r="A9262" s="12"/>
      <c r="D9262" s="12"/>
      <c r="E9262" s="12"/>
      <c r="H9262" s="11" t="str">
        <f ca="1">IFERROR(__xludf.DUMMYFUNCTION("IFERROR(SUBSTITUTE(SUBSTITUTE(REGEXEXTRACT(A9262, ""[^-]+- [^-]+- [^-]+ - (.+?)\.jpg""), "".jpg"", """"), ""-"", "", ""), """")"),"")</f>
        <v/>
      </c>
      <c r="L9262" s="12"/>
      <c r="M9262" s="13"/>
      <c r="N9262" s="2"/>
      <c r="O9262" s="20"/>
      <c r="P9262" s="42"/>
      <c r="R9262" s="23"/>
    </row>
    <row r="9263" spans="1:18" ht="12.75">
      <c r="A9263" s="12"/>
      <c r="D9263" s="12"/>
      <c r="E9263" s="12"/>
      <c r="H9263" s="11" t="str">
        <f ca="1">IFERROR(__xludf.DUMMYFUNCTION("IFERROR(SUBSTITUTE(SUBSTITUTE(REGEXEXTRACT(A9263, ""[^-]+- [^-]+- [^-]+ - (.+?)\.jpg""), "".jpg"", """"), ""-"", "", ""), """")"),"")</f>
        <v/>
      </c>
      <c r="L9263" s="12"/>
      <c r="M9263" s="13"/>
      <c r="N9263" s="2"/>
      <c r="O9263" s="20"/>
      <c r="P9263" s="42"/>
      <c r="R9263" s="23"/>
    </row>
    <row r="9264" spans="1:18" ht="12.75">
      <c r="A9264" s="12"/>
      <c r="D9264" s="12"/>
      <c r="E9264" s="12"/>
      <c r="H9264" s="11" t="str">
        <f ca="1">IFERROR(__xludf.DUMMYFUNCTION("IFERROR(SUBSTITUTE(SUBSTITUTE(REGEXEXTRACT(A9264, ""[^-]+- [^-]+- [^-]+ - (.+?)\.jpg""), "".jpg"", """"), ""-"", "", ""), """")"),"")</f>
        <v/>
      </c>
      <c r="L9264" s="12"/>
      <c r="M9264" s="13"/>
      <c r="N9264" s="2"/>
      <c r="O9264" s="20"/>
      <c r="P9264" s="42"/>
      <c r="R9264" s="23"/>
    </row>
    <row r="9265" spans="1:18" ht="12.75">
      <c r="A9265" s="12"/>
      <c r="D9265" s="12"/>
      <c r="E9265" s="12"/>
      <c r="H9265" s="11" t="str">
        <f ca="1">IFERROR(__xludf.DUMMYFUNCTION("IFERROR(SUBSTITUTE(SUBSTITUTE(REGEXEXTRACT(A9265, ""[^-]+- [^-]+- [^-]+ - (.+?)\.jpg""), "".jpg"", """"), ""-"", "", ""), """")"),"")</f>
        <v/>
      </c>
      <c r="L9265" s="12"/>
      <c r="M9265" s="13"/>
      <c r="N9265" s="2"/>
      <c r="O9265" s="20"/>
      <c r="P9265" s="42"/>
      <c r="R9265" s="23"/>
    </row>
    <row r="9266" spans="1:18" ht="12.75">
      <c r="A9266" s="12"/>
      <c r="D9266" s="12"/>
      <c r="E9266" s="12"/>
      <c r="H9266" s="11" t="str">
        <f ca="1">IFERROR(__xludf.DUMMYFUNCTION("IFERROR(SUBSTITUTE(SUBSTITUTE(REGEXEXTRACT(A9266, ""[^-]+- [^-]+- [^-]+ - (.+?)\.jpg""), "".jpg"", """"), ""-"", "", ""), """")"),"")</f>
        <v/>
      </c>
      <c r="L9266" s="12"/>
      <c r="M9266" s="13"/>
      <c r="N9266" s="2"/>
      <c r="O9266" s="20"/>
      <c r="P9266" s="42"/>
      <c r="R9266" s="23"/>
    </row>
    <row r="9267" spans="1:18" ht="12.75">
      <c r="A9267" s="12"/>
      <c r="D9267" s="12"/>
      <c r="E9267" s="12"/>
      <c r="H9267" s="11" t="str">
        <f ca="1">IFERROR(__xludf.DUMMYFUNCTION("IFERROR(SUBSTITUTE(SUBSTITUTE(REGEXEXTRACT(A9267, ""[^-]+- [^-]+- [^-]+ - (.+?)\.jpg""), "".jpg"", """"), ""-"", "", ""), """")"),"")</f>
        <v/>
      </c>
      <c r="L9267" s="12"/>
      <c r="M9267" s="13"/>
      <c r="N9267" s="2"/>
      <c r="O9267" s="20"/>
      <c r="P9267" s="42"/>
      <c r="R9267" s="23"/>
    </row>
    <row r="9268" spans="1:18" ht="12.75">
      <c r="A9268" s="12"/>
      <c r="D9268" s="12"/>
      <c r="E9268" s="12"/>
      <c r="H9268" s="11" t="str">
        <f ca="1">IFERROR(__xludf.DUMMYFUNCTION("IFERROR(SUBSTITUTE(SUBSTITUTE(REGEXEXTRACT(A9268, ""[^-]+- [^-]+- [^-]+ - (.+?)\.jpg""), "".jpg"", """"), ""-"", "", ""), """")"),"")</f>
        <v/>
      </c>
      <c r="L9268" s="12"/>
      <c r="M9268" s="13"/>
      <c r="N9268" s="2"/>
      <c r="O9268" s="20"/>
      <c r="P9268" s="42"/>
      <c r="R9268" s="23"/>
    </row>
    <row r="9269" spans="1:18" ht="12.75">
      <c r="A9269" s="12"/>
      <c r="D9269" s="12"/>
      <c r="E9269" s="12"/>
      <c r="H9269" s="11" t="str">
        <f ca="1">IFERROR(__xludf.DUMMYFUNCTION("IFERROR(SUBSTITUTE(SUBSTITUTE(REGEXEXTRACT(A9269, ""[^-]+- [^-]+- [^-]+ - (.+?)\.jpg""), "".jpg"", """"), ""-"", "", ""), """")"),"")</f>
        <v/>
      </c>
      <c r="L9269" s="12"/>
      <c r="M9269" s="13"/>
      <c r="N9269" s="2"/>
      <c r="O9269" s="20"/>
      <c r="P9269" s="42"/>
      <c r="R9269" s="23"/>
    </row>
    <row r="9270" spans="1:18" ht="12.75">
      <c r="A9270" s="12"/>
      <c r="D9270" s="12"/>
      <c r="E9270" s="12"/>
      <c r="H9270" s="11" t="str">
        <f ca="1">IFERROR(__xludf.DUMMYFUNCTION("IFERROR(SUBSTITUTE(SUBSTITUTE(REGEXEXTRACT(A9270, ""[^-]+- [^-]+- [^-]+ - (.+?)\.jpg""), "".jpg"", """"), ""-"", "", ""), """")"),"")</f>
        <v/>
      </c>
      <c r="L9270" s="12"/>
      <c r="M9270" s="13"/>
      <c r="N9270" s="2"/>
      <c r="O9270" s="20"/>
      <c r="P9270" s="42"/>
      <c r="R9270" s="23"/>
    </row>
    <row r="9271" spans="1:18" ht="12.75">
      <c r="A9271" s="12"/>
      <c r="D9271" s="12"/>
      <c r="E9271" s="12"/>
      <c r="H9271" s="11" t="str">
        <f ca="1">IFERROR(__xludf.DUMMYFUNCTION("IFERROR(SUBSTITUTE(SUBSTITUTE(REGEXEXTRACT(A9271, ""[^-]+- [^-]+- [^-]+ - (.+?)\.jpg""), "".jpg"", """"), ""-"", "", ""), """")"),"")</f>
        <v/>
      </c>
      <c r="L9271" s="12"/>
      <c r="M9271" s="13"/>
      <c r="N9271" s="2"/>
      <c r="O9271" s="20"/>
      <c r="P9271" s="42"/>
      <c r="R9271" s="23"/>
    </row>
    <row r="9272" spans="1:18" ht="12.75">
      <c r="A9272" s="12"/>
      <c r="D9272" s="12"/>
      <c r="E9272" s="12"/>
      <c r="H9272" s="11" t="str">
        <f ca="1">IFERROR(__xludf.DUMMYFUNCTION("IFERROR(SUBSTITUTE(SUBSTITUTE(REGEXEXTRACT(A9272, ""[^-]+- [^-]+- [^-]+ - (.+?)\.jpg""), "".jpg"", """"), ""-"", "", ""), """")"),"")</f>
        <v/>
      </c>
      <c r="L9272" s="12"/>
      <c r="M9272" s="13"/>
      <c r="N9272" s="2"/>
      <c r="O9272" s="20"/>
      <c r="P9272" s="42"/>
      <c r="R9272" s="23"/>
    </row>
    <row r="9273" spans="1:18" ht="12.75">
      <c r="A9273" s="12"/>
      <c r="D9273" s="12"/>
      <c r="E9273" s="12"/>
      <c r="H9273" s="11" t="str">
        <f ca="1">IFERROR(__xludf.DUMMYFUNCTION("IFERROR(SUBSTITUTE(SUBSTITUTE(REGEXEXTRACT(A9273, ""[^-]+- [^-]+- [^-]+ - (.+?)\.jpg""), "".jpg"", """"), ""-"", "", ""), """")"),"")</f>
        <v/>
      </c>
      <c r="L9273" s="12"/>
      <c r="M9273" s="13"/>
      <c r="N9273" s="2"/>
      <c r="O9273" s="20"/>
      <c r="P9273" s="42"/>
      <c r="R9273" s="23"/>
    </row>
    <row r="9274" spans="1:18" ht="12.75">
      <c r="A9274" s="12"/>
      <c r="D9274" s="12"/>
      <c r="E9274" s="12"/>
      <c r="H9274" s="11" t="str">
        <f ca="1">IFERROR(__xludf.DUMMYFUNCTION("IFERROR(SUBSTITUTE(SUBSTITUTE(REGEXEXTRACT(A9274, ""[^-]+- [^-]+- [^-]+ - (.+?)\.jpg""), "".jpg"", """"), ""-"", "", ""), """")"),"")</f>
        <v/>
      </c>
      <c r="L9274" s="12"/>
      <c r="M9274" s="13"/>
      <c r="N9274" s="2"/>
      <c r="O9274" s="20"/>
      <c r="P9274" s="42"/>
      <c r="R9274" s="23"/>
    </row>
    <row r="9275" spans="1:18" ht="12.75">
      <c r="A9275" s="12"/>
      <c r="D9275" s="12"/>
      <c r="E9275" s="12"/>
      <c r="H9275" s="11" t="str">
        <f ca="1">IFERROR(__xludf.DUMMYFUNCTION("IFERROR(SUBSTITUTE(SUBSTITUTE(REGEXEXTRACT(A9275, ""[^-]+- [^-]+- [^-]+ - (.+?)\.jpg""), "".jpg"", """"), ""-"", "", ""), """")"),"")</f>
        <v/>
      </c>
      <c r="L9275" s="12"/>
      <c r="M9275" s="13"/>
      <c r="N9275" s="2"/>
      <c r="O9275" s="20"/>
      <c r="P9275" s="42"/>
      <c r="R9275" s="23"/>
    </row>
    <row r="9276" spans="1:18" ht="12.75">
      <c r="A9276" s="12"/>
      <c r="D9276" s="12"/>
      <c r="E9276" s="12"/>
      <c r="H9276" s="11" t="str">
        <f ca="1">IFERROR(__xludf.DUMMYFUNCTION("IFERROR(SUBSTITUTE(SUBSTITUTE(REGEXEXTRACT(A9276, ""[^-]+- [^-]+- [^-]+ - (.+?)\.jpg""), "".jpg"", """"), ""-"", "", ""), """")"),"")</f>
        <v/>
      </c>
      <c r="L9276" s="12"/>
      <c r="M9276" s="13"/>
      <c r="N9276" s="2"/>
      <c r="O9276" s="20"/>
      <c r="P9276" s="42"/>
      <c r="R9276" s="23"/>
    </row>
    <row r="9277" spans="1:18" ht="12.75">
      <c r="A9277" s="12"/>
      <c r="D9277" s="12"/>
      <c r="E9277" s="12"/>
      <c r="H9277" s="11" t="str">
        <f ca="1">IFERROR(__xludf.DUMMYFUNCTION("IFERROR(SUBSTITUTE(SUBSTITUTE(REGEXEXTRACT(A9277, ""[^-]+- [^-]+- [^-]+ - (.+?)\.jpg""), "".jpg"", """"), ""-"", "", ""), """")"),"")</f>
        <v/>
      </c>
      <c r="L9277" s="12"/>
      <c r="M9277" s="13"/>
      <c r="N9277" s="2"/>
      <c r="O9277" s="20"/>
      <c r="P9277" s="42"/>
      <c r="R9277" s="23"/>
    </row>
    <row r="9278" spans="1:18" ht="12.75">
      <c r="A9278" s="12"/>
      <c r="D9278" s="12"/>
      <c r="E9278" s="12"/>
      <c r="H9278" s="11" t="str">
        <f ca="1">IFERROR(__xludf.DUMMYFUNCTION("IFERROR(SUBSTITUTE(SUBSTITUTE(REGEXEXTRACT(A9278, ""[^-]+- [^-]+- [^-]+ - (.+?)\.jpg""), "".jpg"", """"), ""-"", "", ""), """")"),"")</f>
        <v/>
      </c>
      <c r="L9278" s="12"/>
      <c r="M9278" s="13"/>
      <c r="N9278" s="2"/>
      <c r="O9278" s="20"/>
      <c r="P9278" s="42"/>
      <c r="R9278" s="23"/>
    </row>
    <row r="9279" spans="1:18" ht="12.75">
      <c r="A9279" s="12"/>
      <c r="D9279" s="12"/>
      <c r="E9279" s="12"/>
      <c r="H9279" s="11" t="str">
        <f ca="1">IFERROR(__xludf.DUMMYFUNCTION("IFERROR(SUBSTITUTE(SUBSTITUTE(REGEXEXTRACT(A9279, ""[^-]+- [^-]+- [^-]+ - (.+?)\.jpg""), "".jpg"", """"), ""-"", "", ""), """")"),"")</f>
        <v/>
      </c>
      <c r="L9279" s="12"/>
      <c r="M9279" s="13"/>
      <c r="N9279" s="2"/>
      <c r="O9279" s="20"/>
      <c r="P9279" s="42"/>
      <c r="R9279" s="23"/>
    </row>
    <row r="9280" spans="1:18" ht="12.75">
      <c r="A9280" s="12"/>
      <c r="D9280" s="12"/>
      <c r="E9280" s="12"/>
      <c r="H9280" s="11" t="str">
        <f ca="1">IFERROR(__xludf.DUMMYFUNCTION("IFERROR(SUBSTITUTE(SUBSTITUTE(REGEXEXTRACT(A9280, ""[^-]+- [^-]+- [^-]+ - (.+?)\.jpg""), "".jpg"", """"), ""-"", "", ""), """")"),"")</f>
        <v/>
      </c>
      <c r="L9280" s="12"/>
      <c r="M9280" s="13"/>
      <c r="N9280" s="2"/>
      <c r="O9280" s="20"/>
      <c r="P9280" s="42"/>
      <c r="R9280" s="23"/>
    </row>
    <row r="9281" spans="1:18" ht="12.75">
      <c r="A9281" s="12"/>
      <c r="D9281" s="12"/>
      <c r="E9281" s="12"/>
      <c r="H9281" s="11" t="str">
        <f ca="1">IFERROR(__xludf.DUMMYFUNCTION("IFERROR(SUBSTITUTE(SUBSTITUTE(REGEXEXTRACT(A9281, ""[^-]+- [^-]+- [^-]+ - (.+?)\.jpg""), "".jpg"", """"), ""-"", "", ""), """")"),"")</f>
        <v/>
      </c>
      <c r="L9281" s="12"/>
      <c r="M9281" s="13"/>
      <c r="N9281" s="2"/>
      <c r="O9281" s="20"/>
      <c r="P9281" s="42"/>
      <c r="R9281" s="23"/>
    </row>
    <row r="9282" spans="1:18" ht="12.75">
      <c r="A9282" s="12"/>
      <c r="D9282" s="12"/>
      <c r="E9282" s="12"/>
      <c r="H9282" s="11" t="str">
        <f ca="1">IFERROR(__xludf.DUMMYFUNCTION("IFERROR(SUBSTITUTE(SUBSTITUTE(REGEXEXTRACT(A9282, ""[^-]+- [^-]+- [^-]+ - (.+?)\.jpg""), "".jpg"", """"), ""-"", "", ""), """")"),"")</f>
        <v/>
      </c>
      <c r="L9282" s="12"/>
      <c r="M9282" s="13"/>
      <c r="N9282" s="2"/>
      <c r="O9282" s="20"/>
      <c r="P9282" s="42"/>
      <c r="R9282" s="23"/>
    </row>
    <row r="9283" spans="1:18" ht="12.75">
      <c r="A9283" s="12"/>
      <c r="D9283" s="12"/>
      <c r="E9283" s="12"/>
      <c r="H9283" s="11" t="str">
        <f ca="1">IFERROR(__xludf.DUMMYFUNCTION("IFERROR(SUBSTITUTE(SUBSTITUTE(REGEXEXTRACT(A9283, ""[^-]+- [^-]+- [^-]+ - (.+?)\.jpg""), "".jpg"", """"), ""-"", "", ""), """")"),"")</f>
        <v/>
      </c>
      <c r="L9283" s="12"/>
      <c r="M9283" s="13"/>
      <c r="N9283" s="2"/>
      <c r="O9283" s="20"/>
      <c r="P9283" s="42"/>
      <c r="R9283" s="23"/>
    </row>
    <row r="9284" spans="1:18" ht="12.75">
      <c r="A9284" s="12"/>
      <c r="D9284" s="12"/>
      <c r="E9284" s="12"/>
      <c r="H9284" s="11" t="str">
        <f ca="1">IFERROR(__xludf.DUMMYFUNCTION("IFERROR(SUBSTITUTE(SUBSTITUTE(REGEXEXTRACT(A9284, ""[^-]+- [^-]+- [^-]+ - (.+?)\.jpg""), "".jpg"", """"), ""-"", "", ""), """")"),"")</f>
        <v/>
      </c>
      <c r="L9284" s="12"/>
      <c r="M9284" s="13"/>
      <c r="N9284" s="2"/>
      <c r="O9284" s="20"/>
      <c r="P9284" s="42"/>
      <c r="R9284" s="23"/>
    </row>
    <row r="9285" spans="1:18" ht="12.75">
      <c r="A9285" s="12"/>
      <c r="D9285" s="12"/>
      <c r="E9285" s="12"/>
      <c r="H9285" s="11" t="str">
        <f ca="1">IFERROR(__xludf.DUMMYFUNCTION("IFERROR(SUBSTITUTE(SUBSTITUTE(REGEXEXTRACT(A9285, ""[^-]+- [^-]+- [^-]+ - (.+?)\.jpg""), "".jpg"", """"), ""-"", "", ""), """")"),"")</f>
        <v/>
      </c>
      <c r="L9285" s="12"/>
      <c r="M9285" s="13"/>
      <c r="N9285" s="2"/>
      <c r="O9285" s="20"/>
      <c r="P9285" s="42"/>
      <c r="R9285" s="23"/>
    </row>
    <row r="9286" spans="1:18" ht="12.75">
      <c r="A9286" s="12"/>
      <c r="D9286" s="12"/>
      <c r="E9286" s="12"/>
      <c r="H9286" s="11" t="str">
        <f ca="1">IFERROR(__xludf.DUMMYFUNCTION("IFERROR(SUBSTITUTE(SUBSTITUTE(REGEXEXTRACT(A9286, ""[^-]+- [^-]+- [^-]+ - (.+?)\.jpg""), "".jpg"", """"), ""-"", "", ""), """")"),"")</f>
        <v/>
      </c>
      <c r="L9286" s="12"/>
      <c r="M9286" s="13"/>
      <c r="N9286" s="2"/>
      <c r="O9286" s="20"/>
      <c r="P9286" s="42"/>
      <c r="R9286" s="23"/>
    </row>
    <row r="9287" spans="1:18" ht="12.75">
      <c r="A9287" s="12"/>
      <c r="D9287" s="12"/>
      <c r="E9287" s="12"/>
      <c r="H9287" s="11" t="str">
        <f ca="1">IFERROR(__xludf.DUMMYFUNCTION("IFERROR(SUBSTITUTE(SUBSTITUTE(REGEXEXTRACT(A9287, ""[^-]+- [^-]+- [^-]+ - (.+?)\.jpg""), "".jpg"", """"), ""-"", "", ""), """")"),"")</f>
        <v/>
      </c>
      <c r="L9287" s="12"/>
      <c r="M9287" s="13"/>
      <c r="N9287" s="2"/>
      <c r="O9287" s="20"/>
      <c r="P9287" s="42"/>
      <c r="R9287" s="23"/>
    </row>
    <row r="9288" spans="1:18" ht="12.75">
      <c r="A9288" s="12"/>
      <c r="D9288" s="12"/>
      <c r="E9288" s="12"/>
      <c r="H9288" s="11" t="str">
        <f ca="1">IFERROR(__xludf.DUMMYFUNCTION("IFERROR(SUBSTITUTE(SUBSTITUTE(REGEXEXTRACT(A9288, ""[^-]+- [^-]+- [^-]+ - (.+?)\.jpg""), "".jpg"", """"), ""-"", "", ""), """")"),"")</f>
        <v/>
      </c>
      <c r="L9288" s="12"/>
      <c r="M9288" s="13"/>
      <c r="N9288" s="2"/>
      <c r="O9288" s="20"/>
      <c r="P9288" s="42"/>
      <c r="R9288" s="23"/>
    </row>
    <row r="9289" spans="1:18" ht="12.75">
      <c r="A9289" s="12"/>
      <c r="D9289" s="12"/>
      <c r="E9289" s="12"/>
      <c r="H9289" s="11" t="str">
        <f ca="1">IFERROR(__xludf.DUMMYFUNCTION("IFERROR(SUBSTITUTE(SUBSTITUTE(REGEXEXTRACT(A9289, ""[^-]+- [^-]+- [^-]+ - (.+?)\.jpg""), "".jpg"", """"), ""-"", "", ""), """")"),"")</f>
        <v/>
      </c>
      <c r="L9289" s="12"/>
      <c r="M9289" s="13"/>
      <c r="N9289" s="2"/>
      <c r="O9289" s="20"/>
      <c r="P9289" s="42"/>
      <c r="R9289" s="23"/>
    </row>
    <row r="9290" spans="1:18" ht="12.75">
      <c r="A9290" s="12"/>
      <c r="D9290" s="12"/>
      <c r="E9290" s="12"/>
      <c r="H9290" s="11" t="str">
        <f ca="1">IFERROR(__xludf.DUMMYFUNCTION("IFERROR(SUBSTITUTE(SUBSTITUTE(REGEXEXTRACT(A9290, ""[^-]+- [^-]+- [^-]+ - (.+?)\.jpg""), "".jpg"", """"), ""-"", "", ""), """")"),"")</f>
        <v/>
      </c>
      <c r="L9290" s="12"/>
      <c r="M9290" s="13"/>
      <c r="N9290" s="2"/>
      <c r="O9290" s="20"/>
      <c r="P9290" s="42"/>
      <c r="R9290" s="23"/>
    </row>
    <row r="9291" spans="1:18" ht="12.75">
      <c r="A9291" s="12"/>
      <c r="D9291" s="12"/>
      <c r="E9291" s="12"/>
      <c r="H9291" s="11" t="str">
        <f ca="1">IFERROR(__xludf.DUMMYFUNCTION("IFERROR(SUBSTITUTE(SUBSTITUTE(REGEXEXTRACT(A9291, ""[^-]+- [^-]+- [^-]+ - (.+?)\.jpg""), "".jpg"", """"), ""-"", "", ""), """")"),"")</f>
        <v/>
      </c>
      <c r="L9291" s="12"/>
      <c r="M9291" s="13"/>
      <c r="N9291" s="2"/>
      <c r="O9291" s="20"/>
      <c r="P9291" s="42"/>
      <c r="R9291" s="23"/>
    </row>
    <row r="9292" spans="1:18" ht="12.75">
      <c r="A9292" s="12"/>
      <c r="D9292" s="12"/>
      <c r="E9292" s="12"/>
      <c r="H9292" s="11" t="str">
        <f ca="1">IFERROR(__xludf.DUMMYFUNCTION("IFERROR(SUBSTITUTE(SUBSTITUTE(REGEXEXTRACT(A9292, ""[^-]+- [^-]+- [^-]+ - (.+?)\.jpg""), "".jpg"", """"), ""-"", "", ""), """")"),"")</f>
        <v/>
      </c>
      <c r="L9292" s="12"/>
      <c r="M9292" s="13"/>
      <c r="N9292" s="2"/>
      <c r="O9292" s="20"/>
      <c r="P9292" s="42"/>
      <c r="R9292" s="23"/>
    </row>
    <row r="9293" spans="1:18" ht="12.75">
      <c r="A9293" s="12"/>
      <c r="D9293" s="12"/>
      <c r="E9293" s="12"/>
      <c r="H9293" s="11" t="str">
        <f ca="1">IFERROR(__xludf.DUMMYFUNCTION("IFERROR(SUBSTITUTE(SUBSTITUTE(REGEXEXTRACT(A9293, ""[^-]+- [^-]+- [^-]+ - (.+?)\.jpg""), "".jpg"", """"), ""-"", "", ""), """")"),"")</f>
        <v/>
      </c>
      <c r="L9293" s="12"/>
      <c r="M9293" s="13"/>
      <c r="N9293" s="2"/>
      <c r="O9293" s="20"/>
      <c r="P9293" s="42"/>
      <c r="R9293" s="23"/>
    </row>
    <row r="9294" spans="1:18" ht="12.75">
      <c r="A9294" s="12"/>
      <c r="D9294" s="12"/>
      <c r="E9294" s="12"/>
      <c r="H9294" s="11" t="str">
        <f ca="1">IFERROR(__xludf.DUMMYFUNCTION("IFERROR(SUBSTITUTE(SUBSTITUTE(REGEXEXTRACT(A9294, ""[^-]+- [^-]+- [^-]+ - (.+?)\.jpg""), "".jpg"", """"), ""-"", "", ""), """")"),"")</f>
        <v/>
      </c>
      <c r="L9294" s="12"/>
      <c r="M9294" s="13"/>
      <c r="N9294" s="2"/>
      <c r="O9294" s="20"/>
      <c r="P9294" s="42"/>
      <c r="R9294" s="23"/>
    </row>
    <row r="9295" spans="1:18" ht="12.75">
      <c r="A9295" s="12"/>
      <c r="D9295" s="12"/>
      <c r="E9295" s="12"/>
      <c r="H9295" s="11" t="str">
        <f ca="1">IFERROR(__xludf.DUMMYFUNCTION("IFERROR(SUBSTITUTE(SUBSTITUTE(REGEXEXTRACT(A9295, ""[^-]+- [^-]+- [^-]+ - (.+?)\.jpg""), "".jpg"", """"), ""-"", "", ""), """")"),"")</f>
        <v/>
      </c>
      <c r="L9295" s="12"/>
      <c r="M9295" s="13"/>
      <c r="N9295" s="2"/>
      <c r="O9295" s="20"/>
      <c r="P9295" s="42"/>
      <c r="R9295" s="23"/>
    </row>
    <row r="9296" spans="1:18" ht="12.75">
      <c r="A9296" s="12"/>
      <c r="D9296" s="12"/>
      <c r="E9296" s="12"/>
      <c r="H9296" s="11" t="str">
        <f ca="1">IFERROR(__xludf.DUMMYFUNCTION("IFERROR(SUBSTITUTE(SUBSTITUTE(REGEXEXTRACT(A9296, ""[^-]+- [^-]+- [^-]+ - (.+?)\.jpg""), "".jpg"", """"), ""-"", "", ""), """")"),"")</f>
        <v/>
      </c>
      <c r="L9296" s="12"/>
      <c r="M9296" s="13"/>
      <c r="N9296" s="2"/>
      <c r="O9296" s="20"/>
      <c r="P9296" s="42"/>
      <c r="R9296" s="23"/>
    </row>
    <row r="9297" spans="1:18" ht="12.75">
      <c r="A9297" s="12"/>
      <c r="D9297" s="12"/>
      <c r="E9297" s="12"/>
      <c r="H9297" s="11" t="str">
        <f ca="1">IFERROR(__xludf.DUMMYFUNCTION("IFERROR(SUBSTITUTE(SUBSTITUTE(REGEXEXTRACT(A9297, ""[^-]+- [^-]+- [^-]+ - (.+?)\.jpg""), "".jpg"", """"), ""-"", "", ""), """")"),"")</f>
        <v/>
      </c>
      <c r="L9297" s="12"/>
      <c r="M9297" s="13"/>
      <c r="N9297" s="2"/>
      <c r="O9297" s="20"/>
      <c r="P9297" s="42"/>
      <c r="R9297" s="23"/>
    </row>
    <row r="9298" spans="1:18" ht="12.75">
      <c r="A9298" s="12"/>
      <c r="D9298" s="12"/>
      <c r="E9298" s="12"/>
      <c r="H9298" s="11" t="str">
        <f ca="1">IFERROR(__xludf.DUMMYFUNCTION("IFERROR(SUBSTITUTE(SUBSTITUTE(REGEXEXTRACT(A9298, ""[^-]+- [^-]+- [^-]+ - (.+?)\.jpg""), "".jpg"", """"), ""-"", "", ""), """")"),"")</f>
        <v/>
      </c>
      <c r="L9298" s="12"/>
      <c r="M9298" s="13"/>
      <c r="N9298" s="2"/>
      <c r="O9298" s="20"/>
      <c r="P9298" s="42"/>
      <c r="R9298" s="23"/>
    </row>
    <row r="9299" spans="1:18" ht="12.75">
      <c r="A9299" s="12"/>
      <c r="D9299" s="12"/>
      <c r="E9299" s="12"/>
      <c r="H9299" s="11" t="str">
        <f ca="1">IFERROR(__xludf.DUMMYFUNCTION("IFERROR(SUBSTITUTE(SUBSTITUTE(REGEXEXTRACT(A9299, ""[^-]+- [^-]+- [^-]+ - (.+?)\.jpg""), "".jpg"", """"), ""-"", "", ""), """")"),"")</f>
        <v/>
      </c>
      <c r="L9299" s="12"/>
      <c r="M9299" s="13"/>
      <c r="N9299" s="2"/>
      <c r="O9299" s="20"/>
      <c r="P9299" s="42"/>
      <c r="R9299" s="23"/>
    </row>
    <row r="9300" spans="1:18" ht="12.75">
      <c r="A9300" s="12"/>
      <c r="D9300" s="12"/>
      <c r="E9300" s="12"/>
      <c r="H9300" s="11" t="str">
        <f ca="1">IFERROR(__xludf.DUMMYFUNCTION("IFERROR(SUBSTITUTE(SUBSTITUTE(REGEXEXTRACT(A9300, ""[^-]+- [^-]+- [^-]+ - (.+?)\.jpg""), "".jpg"", """"), ""-"", "", ""), """")"),"")</f>
        <v/>
      </c>
      <c r="L9300" s="12"/>
      <c r="M9300" s="13"/>
      <c r="N9300" s="2"/>
      <c r="O9300" s="20"/>
      <c r="P9300" s="42"/>
      <c r="R9300" s="23"/>
    </row>
    <row r="9301" spans="1:18" ht="12.75">
      <c r="A9301" s="12"/>
      <c r="D9301" s="12"/>
      <c r="E9301" s="12"/>
      <c r="H9301" s="11" t="str">
        <f ca="1">IFERROR(__xludf.DUMMYFUNCTION("IFERROR(SUBSTITUTE(SUBSTITUTE(REGEXEXTRACT(A9301, ""[^-]+- [^-]+- [^-]+ - (.+?)\.jpg""), "".jpg"", """"), ""-"", "", ""), """")"),"")</f>
        <v/>
      </c>
      <c r="L9301" s="12"/>
      <c r="M9301" s="13"/>
      <c r="N9301" s="2"/>
      <c r="O9301" s="20"/>
      <c r="P9301" s="42"/>
      <c r="R9301" s="23"/>
    </row>
    <row r="9302" spans="1:18" ht="12.75">
      <c r="A9302" s="12"/>
      <c r="D9302" s="12"/>
      <c r="E9302" s="12"/>
      <c r="H9302" s="11" t="str">
        <f ca="1">IFERROR(__xludf.DUMMYFUNCTION("IFERROR(SUBSTITUTE(SUBSTITUTE(REGEXEXTRACT(A9302, ""[^-]+- [^-]+- [^-]+ - (.+?)\.jpg""), "".jpg"", """"), ""-"", "", ""), """")"),"")</f>
        <v/>
      </c>
      <c r="L9302" s="12"/>
      <c r="M9302" s="13"/>
      <c r="N9302" s="2"/>
      <c r="O9302" s="20"/>
      <c r="P9302" s="42"/>
      <c r="R9302" s="23"/>
    </row>
    <row r="9303" spans="1:18" ht="12.75">
      <c r="A9303" s="12"/>
      <c r="D9303" s="12"/>
      <c r="E9303" s="12"/>
      <c r="H9303" s="11" t="str">
        <f ca="1">IFERROR(__xludf.DUMMYFUNCTION("IFERROR(SUBSTITUTE(SUBSTITUTE(REGEXEXTRACT(A9303, ""[^-]+- [^-]+- [^-]+ - (.+?)\.jpg""), "".jpg"", """"), ""-"", "", ""), """")"),"")</f>
        <v/>
      </c>
      <c r="L9303" s="12"/>
      <c r="M9303" s="13"/>
      <c r="N9303" s="2"/>
      <c r="O9303" s="20"/>
      <c r="P9303" s="42"/>
      <c r="R9303" s="23"/>
    </row>
    <row r="9304" spans="1:18" ht="12.75">
      <c r="A9304" s="12"/>
      <c r="D9304" s="12"/>
      <c r="E9304" s="12"/>
      <c r="H9304" s="11" t="str">
        <f ca="1">IFERROR(__xludf.DUMMYFUNCTION("IFERROR(SUBSTITUTE(SUBSTITUTE(REGEXEXTRACT(A9304, ""[^-]+- [^-]+- [^-]+ - (.+?)\.jpg""), "".jpg"", """"), ""-"", "", ""), """")"),"")</f>
        <v/>
      </c>
      <c r="L9304" s="12"/>
      <c r="M9304" s="13"/>
      <c r="N9304" s="2"/>
      <c r="O9304" s="20"/>
      <c r="P9304" s="42"/>
      <c r="R9304" s="23"/>
    </row>
    <row r="9305" spans="1:18" ht="12.75">
      <c r="A9305" s="12"/>
      <c r="D9305" s="12"/>
      <c r="E9305" s="12"/>
      <c r="H9305" s="11" t="str">
        <f ca="1">IFERROR(__xludf.DUMMYFUNCTION("IFERROR(SUBSTITUTE(SUBSTITUTE(REGEXEXTRACT(A9305, ""[^-]+- [^-]+- [^-]+ - (.+?)\.jpg""), "".jpg"", """"), ""-"", "", ""), """")"),"")</f>
        <v/>
      </c>
      <c r="L9305" s="12"/>
      <c r="M9305" s="13"/>
      <c r="N9305" s="2"/>
      <c r="O9305" s="20"/>
      <c r="P9305" s="42"/>
      <c r="R9305" s="23"/>
    </row>
    <row r="9306" spans="1:18" ht="12.75">
      <c r="A9306" s="12"/>
      <c r="D9306" s="12"/>
      <c r="E9306" s="12"/>
      <c r="H9306" s="11" t="str">
        <f ca="1">IFERROR(__xludf.DUMMYFUNCTION("IFERROR(SUBSTITUTE(SUBSTITUTE(REGEXEXTRACT(A9306, ""[^-]+- [^-]+- [^-]+ - (.+?)\.jpg""), "".jpg"", """"), ""-"", "", ""), """")"),"")</f>
        <v/>
      </c>
      <c r="L9306" s="12"/>
      <c r="M9306" s="13"/>
      <c r="N9306" s="2"/>
      <c r="O9306" s="20"/>
      <c r="P9306" s="42"/>
      <c r="R9306" s="23"/>
    </row>
    <row r="9307" spans="1:18" ht="12.75">
      <c r="A9307" s="12"/>
      <c r="D9307" s="12"/>
      <c r="E9307" s="12"/>
      <c r="H9307" s="11" t="str">
        <f ca="1">IFERROR(__xludf.DUMMYFUNCTION("IFERROR(SUBSTITUTE(SUBSTITUTE(REGEXEXTRACT(A9307, ""[^-]+- [^-]+- [^-]+ - (.+?)\.jpg""), "".jpg"", """"), ""-"", "", ""), """")"),"")</f>
        <v/>
      </c>
      <c r="L9307" s="12"/>
      <c r="M9307" s="13"/>
      <c r="N9307" s="2"/>
      <c r="O9307" s="20"/>
      <c r="P9307" s="42"/>
      <c r="R9307" s="23"/>
    </row>
    <row r="9308" spans="1:18" ht="12.75">
      <c r="A9308" s="12"/>
      <c r="D9308" s="12"/>
      <c r="E9308" s="12"/>
      <c r="H9308" s="11" t="str">
        <f ca="1">IFERROR(__xludf.DUMMYFUNCTION("IFERROR(SUBSTITUTE(SUBSTITUTE(REGEXEXTRACT(A9308, ""[^-]+- [^-]+- [^-]+ - (.+?)\.jpg""), "".jpg"", """"), ""-"", "", ""), """")"),"")</f>
        <v/>
      </c>
      <c r="L9308" s="12"/>
      <c r="M9308" s="13"/>
      <c r="N9308" s="2"/>
      <c r="O9308" s="20"/>
      <c r="P9308" s="42"/>
      <c r="R9308" s="23"/>
    </row>
    <row r="9309" spans="1:18" ht="12.75">
      <c r="A9309" s="12"/>
      <c r="D9309" s="12"/>
      <c r="E9309" s="12"/>
      <c r="H9309" s="11" t="str">
        <f ca="1">IFERROR(__xludf.DUMMYFUNCTION("IFERROR(SUBSTITUTE(SUBSTITUTE(REGEXEXTRACT(A9309, ""[^-]+- [^-]+- [^-]+ - (.+?)\.jpg""), "".jpg"", """"), ""-"", "", ""), """")"),"")</f>
        <v/>
      </c>
      <c r="L9309" s="12"/>
      <c r="M9309" s="13"/>
      <c r="N9309" s="2"/>
      <c r="O9309" s="20"/>
      <c r="P9309" s="42"/>
      <c r="R9309" s="23"/>
    </row>
    <row r="9310" spans="1:18" ht="12.75">
      <c r="A9310" s="12"/>
      <c r="D9310" s="12"/>
      <c r="E9310" s="12"/>
      <c r="H9310" s="11" t="str">
        <f ca="1">IFERROR(__xludf.DUMMYFUNCTION("IFERROR(SUBSTITUTE(SUBSTITUTE(REGEXEXTRACT(A9310, ""[^-]+- [^-]+- [^-]+ - (.+?)\.jpg""), "".jpg"", """"), ""-"", "", ""), """")"),"")</f>
        <v/>
      </c>
      <c r="L9310" s="12"/>
      <c r="M9310" s="13"/>
      <c r="N9310" s="2"/>
      <c r="O9310" s="20"/>
      <c r="P9310" s="42"/>
      <c r="R9310" s="23"/>
    </row>
    <row r="9311" spans="1:18" ht="12.75">
      <c r="A9311" s="12"/>
      <c r="D9311" s="12"/>
      <c r="E9311" s="12"/>
      <c r="H9311" s="11" t="str">
        <f ca="1">IFERROR(__xludf.DUMMYFUNCTION("IFERROR(SUBSTITUTE(SUBSTITUTE(REGEXEXTRACT(A9311, ""[^-]+- [^-]+- [^-]+ - (.+?)\.jpg""), "".jpg"", """"), ""-"", "", ""), """")"),"")</f>
        <v/>
      </c>
      <c r="L9311" s="12"/>
      <c r="M9311" s="13"/>
      <c r="N9311" s="2"/>
      <c r="O9311" s="20"/>
      <c r="P9311" s="42"/>
      <c r="R9311" s="23"/>
    </row>
    <row r="9312" spans="1:18" ht="12.75">
      <c r="A9312" s="12"/>
      <c r="D9312" s="12"/>
      <c r="E9312" s="12"/>
      <c r="H9312" s="11" t="str">
        <f ca="1">IFERROR(__xludf.DUMMYFUNCTION("IFERROR(SUBSTITUTE(SUBSTITUTE(REGEXEXTRACT(A9312, ""[^-]+- [^-]+- [^-]+ - (.+?)\.jpg""), "".jpg"", """"), ""-"", "", ""), """")"),"")</f>
        <v/>
      </c>
      <c r="L9312" s="12"/>
      <c r="M9312" s="13"/>
      <c r="N9312" s="2"/>
      <c r="O9312" s="20"/>
      <c r="P9312" s="42"/>
      <c r="R9312" s="23"/>
    </row>
    <row r="9313" spans="1:18" ht="12.75">
      <c r="A9313" s="12"/>
      <c r="D9313" s="12"/>
      <c r="E9313" s="12"/>
      <c r="H9313" s="11" t="str">
        <f ca="1">IFERROR(__xludf.DUMMYFUNCTION("IFERROR(SUBSTITUTE(SUBSTITUTE(REGEXEXTRACT(A9313, ""[^-]+- [^-]+- [^-]+ - (.+?)\.jpg""), "".jpg"", """"), ""-"", "", ""), """")"),"")</f>
        <v/>
      </c>
      <c r="L9313" s="12"/>
      <c r="M9313" s="13"/>
      <c r="N9313" s="2"/>
      <c r="O9313" s="20"/>
      <c r="P9313" s="42"/>
      <c r="R9313" s="23"/>
    </row>
    <row r="9314" spans="1:18" ht="12.75">
      <c r="A9314" s="12"/>
      <c r="D9314" s="12"/>
      <c r="E9314" s="12"/>
      <c r="H9314" s="11" t="str">
        <f ca="1">IFERROR(__xludf.DUMMYFUNCTION("IFERROR(SUBSTITUTE(SUBSTITUTE(REGEXEXTRACT(A9314, ""[^-]+- [^-]+- [^-]+ - (.+?)\.jpg""), "".jpg"", """"), ""-"", "", ""), """")"),"")</f>
        <v/>
      </c>
      <c r="L9314" s="12"/>
      <c r="M9314" s="13"/>
      <c r="N9314" s="2"/>
      <c r="O9314" s="20"/>
      <c r="P9314" s="42"/>
      <c r="R9314" s="23"/>
    </row>
    <row r="9315" spans="1:18" ht="12.75">
      <c r="A9315" s="12"/>
      <c r="D9315" s="12"/>
      <c r="E9315" s="12"/>
      <c r="H9315" s="11" t="str">
        <f ca="1">IFERROR(__xludf.DUMMYFUNCTION("IFERROR(SUBSTITUTE(SUBSTITUTE(REGEXEXTRACT(A9315, ""[^-]+- [^-]+- [^-]+ - (.+?)\.jpg""), "".jpg"", """"), ""-"", "", ""), """")"),"")</f>
        <v/>
      </c>
      <c r="L9315" s="12"/>
      <c r="M9315" s="13"/>
      <c r="N9315" s="2"/>
      <c r="O9315" s="20"/>
      <c r="P9315" s="42"/>
      <c r="R9315" s="23"/>
    </row>
    <row r="9316" spans="1:18" ht="12.75">
      <c r="A9316" s="12"/>
      <c r="D9316" s="12"/>
      <c r="E9316" s="12"/>
      <c r="H9316" s="11" t="str">
        <f ca="1">IFERROR(__xludf.DUMMYFUNCTION("IFERROR(SUBSTITUTE(SUBSTITUTE(REGEXEXTRACT(A9316, ""[^-]+- [^-]+- [^-]+ - (.+?)\.jpg""), "".jpg"", """"), ""-"", "", ""), """")"),"")</f>
        <v/>
      </c>
      <c r="L9316" s="12"/>
      <c r="M9316" s="13"/>
      <c r="N9316" s="2"/>
      <c r="O9316" s="20"/>
      <c r="P9316" s="42"/>
      <c r="R9316" s="23"/>
    </row>
    <row r="9317" spans="1:18" ht="12.75">
      <c r="A9317" s="12"/>
      <c r="D9317" s="12"/>
      <c r="E9317" s="12"/>
      <c r="H9317" s="11" t="str">
        <f ca="1">IFERROR(__xludf.DUMMYFUNCTION("IFERROR(SUBSTITUTE(SUBSTITUTE(REGEXEXTRACT(A9317, ""[^-]+- [^-]+- [^-]+ - (.+?)\.jpg""), "".jpg"", """"), ""-"", "", ""), """")"),"")</f>
        <v/>
      </c>
      <c r="L9317" s="12"/>
      <c r="M9317" s="13"/>
      <c r="N9317" s="2"/>
      <c r="O9317" s="20"/>
      <c r="P9317" s="42"/>
      <c r="R9317" s="23"/>
    </row>
    <row r="9318" spans="1:18" ht="12.75">
      <c r="A9318" s="12"/>
      <c r="D9318" s="12"/>
      <c r="E9318" s="12"/>
      <c r="H9318" s="11" t="str">
        <f ca="1">IFERROR(__xludf.DUMMYFUNCTION("IFERROR(SUBSTITUTE(SUBSTITUTE(REGEXEXTRACT(A9318, ""[^-]+- [^-]+- [^-]+ - (.+?)\.jpg""), "".jpg"", """"), ""-"", "", ""), """")"),"")</f>
        <v/>
      </c>
      <c r="L9318" s="12"/>
      <c r="M9318" s="13"/>
      <c r="N9318" s="2"/>
      <c r="O9318" s="20"/>
      <c r="P9318" s="42"/>
      <c r="R9318" s="23"/>
    </row>
    <row r="9319" spans="1:18" ht="12.75">
      <c r="A9319" s="12"/>
      <c r="D9319" s="12"/>
      <c r="E9319" s="12"/>
      <c r="H9319" s="11" t="str">
        <f ca="1">IFERROR(__xludf.DUMMYFUNCTION("IFERROR(SUBSTITUTE(SUBSTITUTE(REGEXEXTRACT(A9319, ""[^-]+- [^-]+- [^-]+ - (.+?)\.jpg""), "".jpg"", """"), ""-"", "", ""), """")"),"")</f>
        <v/>
      </c>
      <c r="L9319" s="12"/>
      <c r="M9319" s="13"/>
      <c r="N9319" s="2"/>
      <c r="O9319" s="20"/>
      <c r="P9319" s="42"/>
      <c r="R9319" s="23"/>
    </row>
    <row r="9320" spans="1:18" ht="12.75">
      <c r="A9320" s="12"/>
      <c r="D9320" s="12"/>
      <c r="E9320" s="12"/>
      <c r="H9320" s="11" t="str">
        <f ca="1">IFERROR(__xludf.DUMMYFUNCTION("IFERROR(SUBSTITUTE(SUBSTITUTE(REGEXEXTRACT(A9320, ""[^-]+- [^-]+- [^-]+ - (.+?)\.jpg""), "".jpg"", """"), ""-"", "", ""), """")"),"")</f>
        <v/>
      </c>
      <c r="L9320" s="12"/>
      <c r="M9320" s="13"/>
      <c r="N9320" s="2"/>
      <c r="O9320" s="20"/>
      <c r="P9320" s="42"/>
      <c r="R9320" s="23"/>
    </row>
    <row r="9321" spans="1:18" ht="12.75">
      <c r="A9321" s="12"/>
      <c r="D9321" s="12"/>
      <c r="E9321" s="12"/>
      <c r="H9321" s="11" t="str">
        <f ca="1">IFERROR(__xludf.DUMMYFUNCTION("IFERROR(SUBSTITUTE(SUBSTITUTE(REGEXEXTRACT(A9321, ""[^-]+- [^-]+- [^-]+ - (.+?)\.jpg""), "".jpg"", """"), ""-"", "", ""), """")"),"")</f>
        <v/>
      </c>
      <c r="L9321" s="12"/>
      <c r="M9321" s="13"/>
      <c r="N9321" s="2"/>
      <c r="O9321" s="20"/>
      <c r="P9321" s="42"/>
      <c r="R9321" s="23"/>
    </row>
    <row r="9322" spans="1:18" ht="12.75">
      <c r="A9322" s="12"/>
      <c r="D9322" s="12"/>
      <c r="E9322" s="12"/>
      <c r="H9322" s="11" t="str">
        <f ca="1">IFERROR(__xludf.DUMMYFUNCTION("IFERROR(SUBSTITUTE(SUBSTITUTE(REGEXEXTRACT(A9322, ""[^-]+- [^-]+- [^-]+ - (.+?)\.jpg""), "".jpg"", """"), ""-"", "", ""), """")"),"")</f>
        <v/>
      </c>
      <c r="L9322" s="12"/>
      <c r="M9322" s="13"/>
      <c r="N9322" s="2"/>
      <c r="O9322" s="20"/>
      <c r="P9322" s="42"/>
      <c r="R9322" s="23"/>
    </row>
    <row r="9323" spans="1:18" ht="12.75">
      <c r="A9323" s="12"/>
      <c r="D9323" s="12"/>
      <c r="E9323" s="12"/>
      <c r="H9323" s="11" t="str">
        <f ca="1">IFERROR(__xludf.DUMMYFUNCTION("IFERROR(SUBSTITUTE(SUBSTITUTE(REGEXEXTRACT(A9323, ""[^-]+- [^-]+- [^-]+ - (.+?)\.jpg""), "".jpg"", """"), ""-"", "", ""), """")"),"")</f>
        <v/>
      </c>
      <c r="L9323" s="12"/>
      <c r="M9323" s="13"/>
      <c r="N9323" s="2"/>
      <c r="O9323" s="20"/>
      <c r="P9323" s="42"/>
      <c r="R9323" s="23"/>
    </row>
    <row r="9324" spans="1:18" ht="12.75">
      <c r="A9324" s="12"/>
      <c r="D9324" s="12"/>
      <c r="E9324" s="12"/>
      <c r="H9324" s="11" t="str">
        <f ca="1">IFERROR(__xludf.DUMMYFUNCTION("IFERROR(SUBSTITUTE(SUBSTITUTE(REGEXEXTRACT(A9324, ""[^-]+- [^-]+- [^-]+ - (.+?)\.jpg""), "".jpg"", """"), ""-"", "", ""), """")"),"")</f>
        <v/>
      </c>
      <c r="L9324" s="12"/>
      <c r="M9324" s="13"/>
      <c r="N9324" s="2"/>
      <c r="O9324" s="20"/>
      <c r="P9324" s="42"/>
      <c r="R9324" s="23"/>
    </row>
    <row r="9325" spans="1:18" ht="12.75">
      <c r="A9325" s="12"/>
      <c r="D9325" s="12"/>
      <c r="E9325" s="12"/>
      <c r="H9325" s="11" t="str">
        <f ca="1">IFERROR(__xludf.DUMMYFUNCTION("IFERROR(SUBSTITUTE(SUBSTITUTE(REGEXEXTRACT(A9325, ""[^-]+- [^-]+- [^-]+ - (.+?)\.jpg""), "".jpg"", """"), ""-"", "", ""), """")"),"")</f>
        <v/>
      </c>
      <c r="L9325" s="12"/>
      <c r="M9325" s="13"/>
      <c r="N9325" s="2"/>
      <c r="O9325" s="20"/>
      <c r="P9325" s="42"/>
      <c r="R9325" s="23"/>
    </row>
    <row r="9326" spans="1:18" ht="12.75">
      <c r="A9326" s="12"/>
      <c r="D9326" s="12"/>
      <c r="E9326" s="12"/>
      <c r="H9326" s="11" t="str">
        <f ca="1">IFERROR(__xludf.DUMMYFUNCTION("IFERROR(SUBSTITUTE(SUBSTITUTE(REGEXEXTRACT(A9326, ""[^-]+- [^-]+- [^-]+ - (.+?)\.jpg""), "".jpg"", """"), ""-"", "", ""), """")"),"")</f>
        <v/>
      </c>
      <c r="L9326" s="12"/>
      <c r="M9326" s="13"/>
      <c r="N9326" s="2"/>
      <c r="O9326" s="20"/>
      <c r="P9326" s="42"/>
      <c r="R9326" s="23"/>
    </row>
    <row r="9327" spans="1:18" ht="12.75">
      <c r="A9327" s="12"/>
      <c r="D9327" s="12"/>
      <c r="E9327" s="12"/>
      <c r="H9327" s="11" t="str">
        <f ca="1">IFERROR(__xludf.DUMMYFUNCTION("IFERROR(SUBSTITUTE(SUBSTITUTE(REGEXEXTRACT(A9327, ""[^-]+- [^-]+- [^-]+ - (.+?)\.jpg""), "".jpg"", """"), ""-"", "", ""), """")"),"")</f>
        <v/>
      </c>
      <c r="L9327" s="12"/>
      <c r="M9327" s="13"/>
      <c r="N9327" s="2"/>
      <c r="O9327" s="20"/>
      <c r="P9327" s="42"/>
      <c r="R9327" s="23"/>
    </row>
    <row r="9328" spans="1:18" ht="12.75">
      <c r="A9328" s="12"/>
      <c r="D9328" s="12"/>
      <c r="E9328" s="12"/>
      <c r="H9328" s="11" t="str">
        <f ca="1">IFERROR(__xludf.DUMMYFUNCTION("IFERROR(SUBSTITUTE(SUBSTITUTE(REGEXEXTRACT(A9328, ""[^-]+- [^-]+- [^-]+ - (.+?)\.jpg""), "".jpg"", """"), ""-"", "", ""), """")"),"")</f>
        <v/>
      </c>
      <c r="L9328" s="12"/>
      <c r="M9328" s="13"/>
      <c r="N9328" s="2"/>
      <c r="O9328" s="20"/>
      <c r="P9328" s="42"/>
      <c r="R9328" s="23"/>
    </row>
    <row r="9329" spans="1:18" ht="12.75">
      <c r="A9329" s="12"/>
      <c r="D9329" s="12"/>
      <c r="E9329" s="12"/>
      <c r="H9329" s="11" t="str">
        <f ca="1">IFERROR(__xludf.DUMMYFUNCTION("IFERROR(SUBSTITUTE(SUBSTITUTE(REGEXEXTRACT(A9329, ""[^-]+- [^-]+- [^-]+ - (.+?)\.jpg""), "".jpg"", """"), ""-"", "", ""), """")"),"")</f>
        <v/>
      </c>
      <c r="L9329" s="12"/>
      <c r="M9329" s="13"/>
      <c r="N9329" s="2"/>
      <c r="O9329" s="20"/>
      <c r="P9329" s="42"/>
      <c r="R9329" s="23"/>
    </row>
    <row r="9330" spans="1:18" ht="12.75">
      <c r="A9330" s="12"/>
      <c r="D9330" s="12"/>
      <c r="E9330" s="12"/>
      <c r="H9330" s="11" t="str">
        <f ca="1">IFERROR(__xludf.DUMMYFUNCTION("IFERROR(SUBSTITUTE(SUBSTITUTE(REGEXEXTRACT(A9330, ""[^-]+- [^-]+- [^-]+ - (.+?)\.jpg""), "".jpg"", """"), ""-"", "", ""), """")"),"")</f>
        <v/>
      </c>
      <c r="L9330" s="12"/>
      <c r="M9330" s="13"/>
      <c r="N9330" s="2"/>
      <c r="O9330" s="20"/>
      <c r="P9330" s="42"/>
      <c r="R9330" s="23"/>
    </row>
    <row r="9331" spans="1:18" ht="12.75">
      <c r="A9331" s="12"/>
      <c r="D9331" s="12"/>
      <c r="E9331" s="12"/>
      <c r="H9331" s="11" t="str">
        <f ca="1">IFERROR(__xludf.DUMMYFUNCTION("IFERROR(SUBSTITUTE(SUBSTITUTE(REGEXEXTRACT(A9331, ""[^-]+- [^-]+- [^-]+ - (.+?)\.jpg""), "".jpg"", """"), ""-"", "", ""), """")"),"")</f>
        <v/>
      </c>
      <c r="L9331" s="12"/>
      <c r="M9331" s="13"/>
      <c r="N9331" s="2"/>
      <c r="O9331" s="20"/>
      <c r="P9331" s="42"/>
      <c r="R9331" s="23"/>
    </row>
    <row r="9332" spans="1:18" ht="12.75">
      <c r="A9332" s="12"/>
      <c r="D9332" s="12"/>
      <c r="E9332" s="12"/>
      <c r="H9332" s="11" t="str">
        <f ca="1">IFERROR(__xludf.DUMMYFUNCTION("IFERROR(SUBSTITUTE(SUBSTITUTE(REGEXEXTRACT(A9332, ""[^-]+- [^-]+- [^-]+ - (.+?)\.jpg""), "".jpg"", """"), ""-"", "", ""), """")"),"")</f>
        <v/>
      </c>
      <c r="L9332" s="12"/>
      <c r="M9332" s="13"/>
      <c r="N9332" s="2"/>
      <c r="O9332" s="20"/>
      <c r="P9332" s="42"/>
      <c r="R9332" s="23"/>
    </row>
    <row r="9333" spans="1:18" ht="12.75">
      <c r="A9333" s="12"/>
      <c r="D9333" s="12"/>
      <c r="E9333" s="12"/>
      <c r="H9333" s="11" t="str">
        <f ca="1">IFERROR(__xludf.DUMMYFUNCTION("IFERROR(SUBSTITUTE(SUBSTITUTE(REGEXEXTRACT(A9333, ""[^-]+- [^-]+- [^-]+ - (.+?)\.jpg""), "".jpg"", """"), ""-"", "", ""), """")"),"")</f>
        <v/>
      </c>
      <c r="L9333" s="12"/>
      <c r="M9333" s="13"/>
      <c r="N9333" s="2"/>
      <c r="O9333" s="20"/>
      <c r="P9333" s="42"/>
      <c r="R9333" s="23"/>
    </row>
    <row r="9334" spans="1:18" ht="12.75">
      <c r="A9334" s="12"/>
      <c r="D9334" s="12"/>
      <c r="E9334" s="12"/>
      <c r="H9334" s="11" t="str">
        <f ca="1">IFERROR(__xludf.DUMMYFUNCTION("IFERROR(SUBSTITUTE(SUBSTITUTE(REGEXEXTRACT(A9334, ""[^-]+- [^-]+- [^-]+ - (.+?)\.jpg""), "".jpg"", """"), ""-"", "", ""), """")"),"")</f>
        <v/>
      </c>
      <c r="L9334" s="12"/>
      <c r="M9334" s="13"/>
      <c r="N9334" s="2"/>
      <c r="O9334" s="20"/>
      <c r="P9334" s="42"/>
      <c r="R9334" s="23"/>
    </row>
    <row r="9335" spans="1:18" ht="12.75">
      <c r="A9335" s="12"/>
      <c r="D9335" s="12"/>
      <c r="E9335" s="12"/>
      <c r="H9335" s="11" t="str">
        <f ca="1">IFERROR(__xludf.DUMMYFUNCTION("IFERROR(SUBSTITUTE(SUBSTITUTE(REGEXEXTRACT(A9335, ""[^-]+- [^-]+- [^-]+ - (.+?)\.jpg""), "".jpg"", """"), ""-"", "", ""), """")"),"")</f>
        <v/>
      </c>
      <c r="L9335" s="12"/>
      <c r="M9335" s="13"/>
      <c r="N9335" s="2"/>
      <c r="O9335" s="20"/>
      <c r="P9335" s="42"/>
      <c r="R9335" s="23"/>
    </row>
    <row r="9336" spans="1:18" ht="12.75">
      <c r="A9336" s="12"/>
      <c r="D9336" s="12"/>
      <c r="E9336" s="12"/>
      <c r="H9336" s="11" t="str">
        <f ca="1">IFERROR(__xludf.DUMMYFUNCTION("IFERROR(SUBSTITUTE(SUBSTITUTE(REGEXEXTRACT(A9336, ""[^-]+- [^-]+- [^-]+ - (.+?)\.jpg""), "".jpg"", """"), ""-"", "", ""), """")"),"")</f>
        <v/>
      </c>
      <c r="L9336" s="12"/>
      <c r="M9336" s="13"/>
      <c r="N9336" s="2"/>
      <c r="O9336" s="20"/>
      <c r="P9336" s="42"/>
      <c r="R9336" s="23"/>
    </row>
    <row r="9337" spans="1:18" ht="12.75">
      <c r="A9337" s="12"/>
      <c r="D9337" s="12"/>
      <c r="E9337" s="12"/>
      <c r="H9337" s="11" t="str">
        <f ca="1">IFERROR(__xludf.DUMMYFUNCTION("IFERROR(SUBSTITUTE(SUBSTITUTE(REGEXEXTRACT(A9337, ""[^-]+- [^-]+- [^-]+ - (.+?)\.jpg""), "".jpg"", """"), ""-"", "", ""), """")"),"")</f>
        <v/>
      </c>
      <c r="L9337" s="12"/>
      <c r="M9337" s="13"/>
      <c r="N9337" s="2"/>
      <c r="O9337" s="20"/>
      <c r="P9337" s="42"/>
      <c r="R9337" s="23"/>
    </row>
    <row r="9338" spans="1:18" ht="12.75">
      <c r="A9338" s="12"/>
      <c r="D9338" s="12"/>
      <c r="E9338" s="12"/>
      <c r="H9338" s="11" t="str">
        <f ca="1">IFERROR(__xludf.DUMMYFUNCTION("IFERROR(SUBSTITUTE(SUBSTITUTE(REGEXEXTRACT(A9338, ""[^-]+- [^-]+- [^-]+ - (.+?)\.jpg""), "".jpg"", """"), ""-"", "", ""), """")"),"")</f>
        <v/>
      </c>
      <c r="L9338" s="12"/>
      <c r="M9338" s="13"/>
      <c r="N9338" s="2"/>
      <c r="O9338" s="20"/>
      <c r="P9338" s="42"/>
      <c r="R9338" s="23"/>
    </row>
    <row r="9339" spans="1:18" ht="12.75">
      <c r="A9339" s="12"/>
      <c r="D9339" s="12"/>
      <c r="E9339" s="12"/>
      <c r="H9339" s="11" t="str">
        <f ca="1">IFERROR(__xludf.DUMMYFUNCTION("IFERROR(SUBSTITUTE(SUBSTITUTE(REGEXEXTRACT(A9339, ""[^-]+- [^-]+- [^-]+ - (.+?)\.jpg""), "".jpg"", """"), ""-"", "", ""), """")"),"")</f>
        <v/>
      </c>
      <c r="L9339" s="12"/>
      <c r="M9339" s="13"/>
      <c r="N9339" s="2"/>
      <c r="O9339" s="20"/>
      <c r="P9339" s="42"/>
      <c r="R9339" s="23"/>
    </row>
    <row r="9340" spans="1:18" ht="12.75">
      <c r="A9340" s="12"/>
      <c r="D9340" s="12"/>
      <c r="E9340" s="12"/>
      <c r="H9340" s="11" t="str">
        <f ca="1">IFERROR(__xludf.DUMMYFUNCTION("IFERROR(SUBSTITUTE(SUBSTITUTE(REGEXEXTRACT(A9340, ""[^-]+- [^-]+- [^-]+ - (.+?)\.jpg""), "".jpg"", """"), ""-"", "", ""), """")"),"")</f>
        <v/>
      </c>
      <c r="L9340" s="12"/>
      <c r="M9340" s="13"/>
      <c r="N9340" s="2"/>
      <c r="O9340" s="20"/>
      <c r="P9340" s="42"/>
      <c r="R9340" s="23"/>
    </row>
    <row r="9341" spans="1:18" ht="12.75">
      <c r="A9341" s="12"/>
      <c r="D9341" s="12"/>
      <c r="E9341" s="12"/>
      <c r="H9341" s="11" t="str">
        <f ca="1">IFERROR(__xludf.DUMMYFUNCTION("IFERROR(SUBSTITUTE(SUBSTITUTE(REGEXEXTRACT(A9341, ""[^-]+- [^-]+- [^-]+ - (.+?)\.jpg""), "".jpg"", """"), ""-"", "", ""), """")"),"")</f>
        <v/>
      </c>
      <c r="L9341" s="12"/>
      <c r="M9341" s="13"/>
      <c r="N9341" s="2"/>
      <c r="O9341" s="20"/>
      <c r="P9341" s="42"/>
      <c r="R9341" s="23"/>
    </row>
    <row r="9342" spans="1:18" ht="12.75">
      <c r="A9342" s="12"/>
      <c r="D9342" s="12"/>
      <c r="E9342" s="12"/>
      <c r="H9342" s="11" t="str">
        <f ca="1">IFERROR(__xludf.DUMMYFUNCTION("IFERROR(SUBSTITUTE(SUBSTITUTE(REGEXEXTRACT(A9342, ""[^-]+- [^-]+- [^-]+ - (.+?)\.jpg""), "".jpg"", """"), ""-"", "", ""), """")"),"")</f>
        <v/>
      </c>
      <c r="L9342" s="12"/>
      <c r="M9342" s="13"/>
      <c r="N9342" s="2"/>
      <c r="O9342" s="20"/>
      <c r="P9342" s="42"/>
      <c r="R9342" s="23"/>
    </row>
    <row r="9343" spans="1:18" ht="12.75">
      <c r="A9343" s="12"/>
      <c r="D9343" s="12"/>
      <c r="E9343" s="12"/>
      <c r="H9343" s="11" t="str">
        <f ca="1">IFERROR(__xludf.DUMMYFUNCTION("IFERROR(SUBSTITUTE(SUBSTITUTE(REGEXEXTRACT(A9343, ""[^-]+- [^-]+- [^-]+ - (.+?)\.jpg""), "".jpg"", """"), ""-"", "", ""), """")"),"")</f>
        <v/>
      </c>
      <c r="L9343" s="12"/>
      <c r="M9343" s="13"/>
      <c r="N9343" s="2"/>
      <c r="O9343" s="20"/>
      <c r="P9343" s="42"/>
      <c r="R9343" s="23"/>
    </row>
    <row r="9344" spans="1:18" ht="12.75">
      <c r="A9344" s="12"/>
      <c r="D9344" s="12"/>
      <c r="E9344" s="12"/>
      <c r="H9344" s="11" t="str">
        <f ca="1">IFERROR(__xludf.DUMMYFUNCTION("IFERROR(SUBSTITUTE(SUBSTITUTE(REGEXEXTRACT(A9344, ""[^-]+- [^-]+- [^-]+ - (.+?)\.jpg""), "".jpg"", """"), ""-"", "", ""), """")"),"")</f>
        <v/>
      </c>
      <c r="L9344" s="12"/>
      <c r="M9344" s="13"/>
      <c r="N9344" s="2"/>
      <c r="O9344" s="20"/>
      <c r="P9344" s="42"/>
      <c r="R9344" s="23"/>
    </row>
    <row r="9345" spans="1:18" ht="12.75">
      <c r="A9345" s="12"/>
      <c r="D9345" s="12"/>
      <c r="E9345" s="12"/>
      <c r="H9345" s="11" t="str">
        <f ca="1">IFERROR(__xludf.DUMMYFUNCTION("IFERROR(SUBSTITUTE(SUBSTITUTE(REGEXEXTRACT(A9345, ""[^-]+- [^-]+- [^-]+ - (.+?)\.jpg""), "".jpg"", """"), ""-"", "", ""), """")"),"")</f>
        <v/>
      </c>
      <c r="L9345" s="12"/>
      <c r="M9345" s="13"/>
      <c r="N9345" s="2"/>
      <c r="O9345" s="20"/>
      <c r="P9345" s="42"/>
      <c r="R9345" s="23"/>
    </row>
    <row r="9346" spans="1:18" ht="12.75">
      <c r="A9346" s="12"/>
      <c r="D9346" s="12"/>
      <c r="E9346" s="12"/>
      <c r="H9346" s="11" t="str">
        <f ca="1">IFERROR(__xludf.DUMMYFUNCTION("IFERROR(SUBSTITUTE(SUBSTITUTE(REGEXEXTRACT(A9346, ""[^-]+- [^-]+- [^-]+ - (.+?)\.jpg""), "".jpg"", """"), ""-"", "", ""), """")"),"")</f>
        <v/>
      </c>
      <c r="L9346" s="12"/>
      <c r="M9346" s="13"/>
      <c r="N9346" s="2"/>
      <c r="O9346" s="20"/>
      <c r="P9346" s="42"/>
      <c r="R9346" s="23"/>
    </row>
    <row r="9347" spans="1:18" ht="12.75">
      <c r="A9347" s="12"/>
      <c r="D9347" s="12"/>
      <c r="E9347" s="12"/>
      <c r="H9347" s="11" t="str">
        <f ca="1">IFERROR(__xludf.DUMMYFUNCTION("IFERROR(SUBSTITUTE(SUBSTITUTE(REGEXEXTRACT(A9347, ""[^-]+- [^-]+- [^-]+ - (.+?)\.jpg""), "".jpg"", """"), ""-"", "", ""), """")"),"")</f>
        <v/>
      </c>
      <c r="L9347" s="12"/>
      <c r="M9347" s="13"/>
      <c r="N9347" s="2"/>
      <c r="O9347" s="20"/>
      <c r="P9347" s="42"/>
      <c r="R9347" s="23"/>
    </row>
    <row r="9348" spans="1:18" ht="12.75">
      <c r="A9348" s="12"/>
      <c r="D9348" s="12"/>
      <c r="E9348" s="12"/>
      <c r="H9348" s="11" t="str">
        <f ca="1">IFERROR(__xludf.DUMMYFUNCTION("IFERROR(SUBSTITUTE(SUBSTITUTE(REGEXEXTRACT(A9348, ""[^-]+- [^-]+- [^-]+ - (.+?)\.jpg""), "".jpg"", """"), ""-"", "", ""), """")"),"")</f>
        <v/>
      </c>
      <c r="L9348" s="12"/>
      <c r="M9348" s="13"/>
      <c r="N9348" s="2"/>
      <c r="O9348" s="20"/>
      <c r="P9348" s="42"/>
      <c r="R9348" s="23"/>
    </row>
    <row r="9349" spans="1:18" ht="12.75">
      <c r="A9349" s="12"/>
      <c r="D9349" s="12"/>
      <c r="E9349" s="12"/>
      <c r="H9349" s="11" t="str">
        <f ca="1">IFERROR(__xludf.DUMMYFUNCTION("IFERROR(SUBSTITUTE(SUBSTITUTE(REGEXEXTRACT(A9349, ""[^-]+- [^-]+- [^-]+ - (.+?)\.jpg""), "".jpg"", """"), ""-"", "", ""), """")"),"")</f>
        <v/>
      </c>
      <c r="L9349" s="12"/>
      <c r="M9349" s="13"/>
      <c r="N9349" s="2"/>
      <c r="O9349" s="20"/>
      <c r="P9349" s="42"/>
      <c r="R9349" s="23"/>
    </row>
    <row r="9350" spans="1:18" ht="12.75">
      <c r="A9350" s="12"/>
      <c r="D9350" s="12"/>
      <c r="E9350" s="12"/>
      <c r="H9350" s="11" t="str">
        <f ca="1">IFERROR(__xludf.DUMMYFUNCTION("IFERROR(SUBSTITUTE(SUBSTITUTE(REGEXEXTRACT(A9350, ""[^-]+- [^-]+- [^-]+ - (.+?)\.jpg""), "".jpg"", """"), ""-"", "", ""), """")"),"")</f>
        <v/>
      </c>
      <c r="L9350" s="12"/>
      <c r="M9350" s="13"/>
      <c r="N9350" s="2"/>
      <c r="O9350" s="20"/>
      <c r="P9350" s="42"/>
      <c r="R9350" s="23"/>
    </row>
    <row r="9351" spans="1:18" ht="12.75">
      <c r="A9351" s="12"/>
      <c r="D9351" s="12"/>
      <c r="E9351" s="12"/>
      <c r="H9351" s="11" t="str">
        <f ca="1">IFERROR(__xludf.DUMMYFUNCTION("IFERROR(SUBSTITUTE(SUBSTITUTE(REGEXEXTRACT(A9351, ""[^-]+- [^-]+- [^-]+ - (.+?)\.jpg""), "".jpg"", """"), ""-"", "", ""), """")"),"")</f>
        <v/>
      </c>
      <c r="L9351" s="12"/>
      <c r="M9351" s="13"/>
      <c r="N9351" s="2"/>
      <c r="O9351" s="20"/>
      <c r="P9351" s="42"/>
      <c r="R9351" s="23"/>
    </row>
    <row r="9352" spans="1:18" ht="12.75">
      <c r="A9352" s="12"/>
      <c r="D9352" s="12"/>
      <c r="E9352" s="12"/>
      <c r="H9352" s="11" t="str">
        <f ca="1">IFERROR(__xludf.DUMMYFUNCTION("IFERROR(SUBSTITUTE(SUBSTITUTE(REGEXEXTRACT(A9352, ""[^-]+- [^-]+- [^-]+ - (.+?)\.jpg""), "".jpg"", """"), ""-"", "", ""), """")"),"")</f>
        <v/>
      </c>
      <c r="L9352" s="12"/>
      <c r="M9352" s="13"/>
      <c r="N9352" s="2"/>
      <c r="O9352" s="20"/>
      <c r="P9352" s="42"/>
      <c r="R9352" s="23"/>
    </row>
    <row r="9353" spans="1:18" ht="12.75">
      <c r="A9353" s="12"/>
      <c r="D9353" s="12"/>
      <c r="E9353" s="12"/>
      <c r="H9353" s="11" t="str">
        <f ca="1">IFERROR(__xludf.DUMMYFUNCTION("IFERROR(SUBSTITUTE(SUBSTITUTE(REGEXEXTRACT(A9353, ""[^-]+- [^-]+- [^-]+ - (.+?)\.jpg""), "".jpg"", """"), ""-"", "", ""), """")"),"")</f>
        <v/>
      </c>
      <c r="L9353" s="12"/>
      <c r="M9353" s="13"/>
      <c r="N9353" s="2"/>
      <c r="O9353" s="20"/>
      <c r="P9353" s="42"/>
      <c r="R9353" s="23"/>
    </row>
    <row r="9354" spans="1:18" ht="12.75">
      <c r="A9354" s="12"/>
      <c r="D9354" s="12"/>
      <c r="E9354" s="12"/>
      <c r="H9354" s="11" t="str">
        <f ca="1">IFERROR(__xludf.DUMMYFUNCTION("IFERROR(SUBSTITUTE(SUBSTITUTE(REGEXEXTRACT(A9354, ""[^-]+- [^-]+- [^-]+ - (.+?)\.jpg""), "".jpg"", """"), ""-"", "", ""), """")"),"")</f>
        <v/>
      </c>
      <c r="L9354" s="12"/>
      <c r="M9354" s="13"/>
      <c r="N9354" s="2"/>
      <c r="O9354" s="20"/>
      <c r="P9354" s="42"/>
      <c r="R9354" s="23"/>
    </row>
    <row r="9355" spans="1:18" ht="12.75">
      <c r="A9355" s="12"/>
      <c r="D9355" s="12"/>
      <c r="E9355" s="12"/>
      <c r="H9355" s="11" t="str">
        <f ca="1">IFERROR(__xludf.DUMMYFUNCTION("IFERROR(SUBSTITUTE(SUBSTITUTE(REGEXEXTRACT(A9355, ""[^-]+- [^-]+- [^-]+ - (.+?)\.jpg""), "".jpg"", """"), ""-"", "", ""), """")"),"")</f>
        <v/>
      </c>
      <c r="L9355" s="12"/>
      <c r="M9355" s="13"/>
      <c r="N9355" s="2"/>
      <c r="O9355" s="20"/>
      <c r="P9355" s="42"/>
      <c r="R9355" s="23"/>
    </row>
    <row r="9356" spans="1:18" ht="12.75">
      <c r="A9356" s="12"/>
      <c r="D9356" s="12"/>
      <c r="E9356" s="12"/>
      <c r="H9356" s="11" t="str">
        <f ca="1">IFERROR(__xludf.DUMMYFUNCTION("IFERROR(SUBSTITUTE(SUBSTITUTE(REGEXEXTRACT(A9356, ""[^-]+- [^-]+- [^-]+ - (.+?)\.jpg""), "".jpg"", """"), ""-"", "", ""), """")"),"")</f>
        <v/>
      </c>
      <c r="L9356" s="12"/>
      <c r="M9356" s="13"/>
      <c r="N9356" s="2"/>
      <c r="O9356" s="20"/>
      <c r="P9356" s="42"/>
      <c r="R9356" s="23"/>
    </row>
    <row r="9357" spans="1:18" ht="12.75">
      <c r="A9357" s="12"/>
      <c r="D9357" s="12"/>
      <c r="E9357" s="12"/>
      <c r="H9357" s="11" t="str">
        <f ca="1">IFERROR(__xludf.DUMMYFUNCTION("IFERROR(SUBSTITUTE(SUBSTITUTE(REGEXEXTRACT(A9357, ""[^-]+- [^-]+- [^-]+ - (.+?)\.jpg""), "".jpg"", """"), ""-"", "", ""), """")"),"")</f>
        <v/>
      </c>
      <c r="L9357" s="12"/>
      <c r="M9357" s="13"/>
      <c r="N9357" s="2"/>
      <c r="O9357" s="20"/>
      <c r="P9357" s="42"/>
      <c r="R9357" s="23"/>
    </row>
    <row r="9358" spans="1:18" ht="12.75">
      <c r="A9358" s="12"/>
      <c r="D9358" s="12"/>
      <c r="E9358" s="12"/>
      <c r="H9358" s="11" t="str">
        <f ca="1">IFERROR(__xludf.DUMMYFUNCTION("IFERROR(SUBSTITUTE(SUBSTITUTE(REGEXEXTRACT(A9358, ""[^-]+- [^-]+- [^-]+ - (.+?)\.jpg""), "".jpg"", """"), ""-"", "", ""), """")"),"")</f>
        <v/>
      </c>
      <c r="L9358" s="12"/>
      <c r="M9358" s="13"/>
      <c r="N9358" s="2"/>
      <c r="O9358" s="20"/>
      <c r="P9358" s="42"/>
      <c r="R9358" s="23"/>
    </row>
    <row r="9359" spans="1:18" ht="12.75">
      <c r="A9359" s="12"/>
      <c r="D9359" s="12"/>
      <c r="E9359" s="12"/>
      <c r="H9359" s="11" t="str">
        <f ca="1">IFERROR(__xludf.DUMMYFUNCTION("IFERROR(SUBSTITUTE(SUBSTITUTE(REGEXEXTRACT(A9359, ""[^-]+- [^-]+- [^-]+ - (.+?)\.jpg""), "".jpg"", """"), ""-"", "", ""), """")"),"")</f>
        <v/>
      </c>
      <c r="L9359" s="12"/>
      <c r="M9359" s="13"/>
      <c r="N9359" s="2"/>
      <c r="O9359" s="20"/>
      <c r="P9359" s="42"/>
      <c r="R9359" s="23"/>
    </row>
    <row r="9360" spans="1:18" ht="12.75">
      <c r="A9360" s="12"/>
      <c r="D9360" s="12"/>
      <c r="E9360" s="12"/>
      <c r="H9360" s="11" t="str">
        <f ca="1">IFERROR(__xludf.DUMMYFUNCTION("IFERROR(SUBSTITUTE(SUBSTITUTE(REGEXEXTRACT(A9360, ""[^-]+- [^-]+- [^-]+ - (.+?)\.jpg""), "".jpg"", """"), ""-"", "", ""), """")"),"")</f>
        <v/>
      </c>
      <c r="L9360" s="12"/>
      <c r="M9360" s="13"/>
      <c r="N9360" s="2"/>
      <c r="O9360" s="20"/>
      <c r="P9360" s="42"/>
      <c r="R9360" s="23"/>
    </row>
    <row r="9361" spans="1:18" ht="12.75">
      <c r="A9361" s="12"/>
      <c r="D9361" s="12"/>
      <c r="E9361" s="12"/>
      <c r="H9361" s="11" t="str">
        <f ca="1">IFERROR(__xludf.DUMMYFUNCTION("IFERROR(SUBSTITUTE(SUBSTITUTE(REGEXEXTRACT(A9361, ""[^-]+- [^-]+- [^-]+ - (.+?)\.jpg""), "".jpg"", """"), ""-"", "", ""), """")"),"")</f>
        <v/>
      </c>
      <c r="L9361" s="12"/>
      <c r="M9361" s="13"/>
      <c r="N9361" s="2"/>
      <c r="O9361" s="20"/>
      <c r="P9361" s="42"/>
      <c r="R9361" s="23"/>
    </row>
    <row r="9362" spans="1:18" ht="12.75">
      <c r="A9362" s="12"/>
      <c r="D9362" s="12"/>
      <c r="E9362" s="12"/>
      <c r="H9362" s="11" t="str">
        <f ca="1">IFERROR(__xludf.DUMMYFUNCTION("IFERROR(SUBSTITUTE(SUBSTITUTE(REGEXEXTRACT(A9362, ""[^-]+- [^-]+- [^-]+ - (.+?)\.jpg""), "".jpg"", """"), ""-"", "", ""), """")"),"")</f>
        <v/>
      </c>
      <c r="L9362" s="12"/>
      <c r="M9362" s="13"/>
      <c r="N9362" s="2"/>
      <c r="O9362" s="20"/>
      <c r="P9362" s="42"/>
      <c r="R9362" s="23"/>
    </row>
    <row r="9363" spans="1:18" ht="12.75">
      <c r="A9363" s="12"/>
      <c r="D9363" s="12"/>
      <c r="E9363" s="12"/>
      <c r="H9363" s="11" t="str">
        <f ca="1">IFERROR(__xludf.DUMMYFUNCTION("IFERROR(SUBSTITUTE(SUBSTITUTE(REGEXEXTRACT(A9363, ""[^-]+- [^-]+- [^-]+ - (.+?)\.jpg""), "".jpg"", """"), ""-"", "", ""), """")"),"")</f>
        <v/>
      </c>
      <c r="L9363" s="12"/>
      <c r="M9363" s="13"/>
      <c r="N9363" s="2"/>
      <c r="O9363" s="20"/>
      <c r="P9363" s="42"/>
      <c r="R9363" s="23"/>
    </row>
    <row r="9364" spans="1:18" ht="12.75">
      <c r="A9364" s="12"/>
      <c r="D9364" s="12"/>
      <c r="E9364" s="12"/>
      <c r="H9364" s="11" t="str">
        <f ca="1">IFERROR(__xludf.DUMMYFUNCTION("IFERROR(SUBSTITUTE(SUBSTITUTE(REGEXEXTRACT(A9364, ""[^-]+- [^-]+- [^-]+ - (.+?)\.jpg""), "".jpg"", """"), ""-"", "", ""), """")"),"")</f>
        <v/>
      </c>
      <c r="L9364" s="12"/>
      <c r="M9364" s="13"/>
      <c r="N9364" s="2"/>
      <c r="O9364" s="20"/>
      <c r="P9364" s="42"/>
      <c r="R9364" s="23"/>
    </row>
    <row r="9365" spans="1:18" ht="12.75">
      <c r="A9365" s="12"/>
      <c r="D9365" s="12"/>
      <c r="E9365" s="12"/>
      <c r="H9365" s="11" t="str">
        <f ca="1">IFERROR(__xludf.DUMMYFUNCTION("IFERROR(SUBSTITUTE(SUBSTITUTE(REGEXEXTRACT(A9365, ""[^-]+- [^-]+- [^-]+ - (.+?)\.jpg""), "".jpg"", """"), ""-"", "", ""), """")"),"")</f>
        <v/>
      </c>
      <c r="L9365" s="12"/>
      <c r="M9365" s="13"/>
      <c r="N9365" s="2"/>
      <c r="O9365" s="20"/>
      <c r="P9365" s="42"/>
      <c r="R9365" s="23"/>
    </row>
    <row r="9366" spans="1:18" ht="12.75">
      <c r="A9366" s="12"/>
      <c r="D9366" s="12"/>
      <c r="E9366" s="12"/>
      <c r="H9366" s="11" t="str">
        <f ca="1">IFERROR(__xludf.DUMMYFUNCTION("IFERROR(SUBSTITUTE(SUBSTITUTE(REGEXEXTRACT(A9366, ""[^-]+- [^-]+- [^-]+ - (.+?)\.jpg""), "".jpg"", """"), ""-"", "", ""), """")"),"")</f>
        <v/>
      </c>
      <c r="L9366" s="12"/>
      <c r="M9366" s="13"/>
      <c r="N9366" s="2"/>
      <c r="O9366" s="20"/>
      <c r="P9366" s="42"/>
      <c r="R9366" s="23"/>
    </row>
    <row r="9367" spans="1:18" ht="12.75">
      <c r="A9367" s="12"/>
      <c r="D9367" s="12"/>
      <c r="E9367" s="12"/>
      <c r="H9367" s="11" t="str">
        <f ca="1">IFERROR(__xludf.DUMMYFUNCTION("IFERROR(SUBSTITUTE(SUBSTITUTE(REGEXEXTRACT(A9367, ""[^-]+- [^-]+- [^-]+ - (.+?)\.jpg""), "".jpg"", """"), ""-"", "", ""), """")"),"")</f>
        <v/>
      </c>
      <c r="L9367" s="12"/>
      <c r="M9367" s="13"/>
      <c r="N9367" s="2"/>
      <c r="O9367" s="20"/>
      <c r="P9367" s="42"/>
      <c r="R9367" s="23"/>
    </row>
    <row r="9368" spans="1:18" ht="12.75">
      <c r="A9368" s="12"/>
      <c r="D9368" s="12"/>
      <c r="E9368" s="12"/>
      <c r="H9368" s="11" t="str">
        <f ca="1">IFERROR(__xludf.DUMMYFUNCTION("IFERROR(SUBSTITUTE(SUBSTITUTE(REGEXEXTRACT(A9368, ""[^-]+- [^-]+- [^-]+ - (.+?)\.jpg""), "".jpg"", """"), ""-"", "", ""), """")"),"")</f>
        <v/>
      </c>
      <c r="L9368" s="12"/>
      <c r="M9368" s="13"/>
      <c r="N9368" s="2"/>
      <c r="O9368" s="20"/>
      <c r="P9368" s="42"/>
      <c r="R9368" s="23"/>
    </row>
    <row r="9369" spans="1:18" ht="12.75">
      <c r="A9369" s="12"/>
      <c r="D9369" s="12"/>
      <c r="E9369" s="12"/>
      <c r="H9369" s="11" t="str">
        <f ca="1">IFERROR(__xludf.DUMMYFUNCTION("IFERROR(SUBSTITUTE(SUBSTITUTE(REGEXEXTRACT(A9369, ""[^-]+- [^-]+- [^-]+ - (.+?)\.jpg""), "".jpg"", """"), ""-"", "", ""), """")"),"")</f>
        <v/>
      </c>
      <c r="L9369" s="12"/>
      <c r="M9369" s="13"/>
      <c r="N9369" s="2"/>
      <c r="O9369" s="20"/>
      <c r="P9369" s="42"/>
      <c r="R9369" s="23"/>
    </row>
    <row r="9370" spans="1:18" ht="12.75">
      <c r="A9370" s="12"/>
      <c r="D9370" s="12"/>
      <c r="E9370" s="12"/>
      <c r="H9370" s="11" t="str">
        <f ca="1">IFERROR(__xludf.DUMMYFUNCTION("IFERROR(SUBSTITUTE(SUBSTITUTE(REGEXEXTRACT(A9370, ""[^-]+- [^-]+- [^-]+ - (.+?)\.jpg""), "".jpg"", """"), ""-"", "", ""), """")"),"")</f>
        <v/>
      </c>
      <c r="L9370" s="12"/>
      <c r="M9370" s="13"/>
      <c r="N9370" s="2"/>
      <c r="O9370" s="20"/>
      <c r="P9370" s="42"/>
      <c r="R9370" s="23"/>
    </row>
    <row r="9371" spans="1:18" ht="12.75">
      <c r="A9371" s="12"/>
      <c r="D9371" s="12"/>
      <c r="E9371" s="12"/>
      <c r="H9371" s="11" t="str">
        <f ca="1">IFERROR(__xludf.DUMMYFUNCTION("IFERROR(SUBSTITUTE(SUBSTITUTE(REGEXEXTRACT(A9371, ""[^-]+- [^-]+- [^-]+ - (.+?)\.jpg""), "".jpg"", """"), ""-"", "", ""), """")"),"")</f>
        <v/>
      </c>
      <c r="L9371" s="12"/>
      <c r="M9371" s="13"/>
      <c r="N9371" s="2"/>
      <c r="O9371" s="20"/>
      <c r="P9371" s="42"/>
      <c r="R9371" s="23"/>
    </row>
    <row r="9372" spans="1:18" ht="12.75">
      <c r="A9372" s="12"/>
      <c r="D9372" s="12"/>
      <c r="E9372" s="12"/>
      <c r="H9372" s="11" t="str">
        <f ca="1">IFERROR(__xludf.DUMMYFUNCTION("IFERROR(SUBSTITUTE(SUBSTITUTE(REGEXEXTRACT(A9372, ""[^-]+- [^-]+- [^-]+ - (.+?)\.jpg""), "".jpg"", """"), ""-"", "", ""), """")"),"")</f>
        <v/>
      </c>
      <c r="L9372" s="12"/>
      <c r="M9372" s="13"/>
      <c r="N9372" s="2"/>
      <c r="O9372" s="20"/>
      <c r="P9372" s="42"/>
      <c r="R9372" s="23"/>
    </row>
    <row r="9373" spans="1:18" ht="12.75">
      <c r="A9373" s="12"/>
      <c r="D9373" s="12"/>
      <c r="E9373" s="12"/>
      <c r="H9373" s="11" t="str">
        <f ca="1">IFERROR(__xludf.DUMMYFUNCTION("IFERROR(SUBSTITUTE(SUBSTITUTE(REGEXEXTRACT(A9373, ""[^-]+- [^-]+- [^-]+ - (.+?)\.jpg""), "".jpg"", """"), ""-"", "", ""), """")"),"")</f>
        <v/>
      </c>
      <c r="L9373" s="12"/>
      <c r="M9373" s="13"/>
      <c r="N9373" s="2"/>
      <c r="O9373" s="20"/>
      <c r="P9373" s="42"/>
      <c r="R9373" s="23"/>
    </row>
    <row r="9374" spans="1:18" ht="12.75">
      <c r="A9374" s="12"/>
      <c r="D9374" s="12"/>
      <c r="E9374" s="12"/>
      <c r="H9374" s="11" t="str">
        <f ca="1">IFERROR(__xludf.DUMMYFUNCTION("IFERROR(SUBSTITUTE(SUBSTITUTE(REGEXEXTRACT(A9374, ""[^-]+- [^-]+- [^-]+ - (.+?)\.jpg""), "".jpg"", """"), ""-"", "", ""), """")"),"")</f>
        <v/>
      </c>
      <c r="L9374" s="12"/>
      <c r="M9374" s="13"/>
      <c r="N9374" s="2"/>
      <c r="O9374" s="20"/>
      <c r="P9374" s="42"/>
      <c r="R9374" s="23"/>
    </row>
    <row r="9375" spans="1:18" ht="12.75">
      <c r="A9375" s="12"/>
      <c r="D9375" s="12"/>
      <c r="E9375" s="12"/>
      <c r="H9375" s="11" t="str">
        <f ca="1">IFERROR(__xludf.DUMMYFUNCTION("IFERROR(SUBSTITUTE(SUBSTITUTE(REGEXEXTRACT(A9375, ""[^-]+- [^-]+- [^-]+ - (.+?)\.jpg""), "".jpg"", """"), ""-"", "", ""), """")"),"")</f>
        <v/>
      </c>
      <c r="L9375" s="12"/>
      <c r="M9375" s="13"/>
      <c r="N9375" s="2"/>
      <c r="O9375" s="20"/>
      <c r="P9375" s="42"/>
      <c r="R9375" s="23"/>
    </row>
    <row r="9376" spans="1:18" ht="12.75">
      <c r="A9376" s="12"/>
      <c r="D9376" s="12"/>
      <c r="E9376" s="12"/>
      <c r="H9376" s="11" t="str">
        <f ca="1">IFERROR(__xludf.DUMMYFUNCTION("IFERROR(SUBSTITUTE(SUBSTITUTE(REGEXEXTRACT(A9376, ""[^-]+- [^-]+- [^-]+ - (.+?)\.jpg""), "".jpg"", """"), ""-"", "", ""), """")"),"")</f>
        <v/>
      </c>
      <c r="L9376" s="12"/>
      <c r="M9376" s="13"/>
      <c r="N9376" s="2"/>
      <c r="O9376" s="20"/>
      <c r="P9376" s="42"/>
      <c r="R9376" s="23"/>
    </row>
    <row r="9377" spans="1:18" ht="12.75">
      <c r="A9377" s="12"/>
      <c r="D9377" s="12"/>
      <c r="E9377" s="12"/>
      <c r="H9377" s="11" t="str">
        <f ca="1">IFERROR(__xludf.DUMMYFUNCTION("IFERROR(SUBSTITUTE(SUBSTITUTE(REGEXEXTRACT(A9377, ""[^-]+- [^-]+- [^-]+ - (.+?)\.jpg""), "".jpg"", """"), ""-"", "", ""), """")"),"")</f>
        <v/>
      </c>
      <c r="L9377" s="12"/>
      <c r="M9377" s="13"/>
      <c r="N9377" s="2"/>
      <c r="O9377" s="20"/>
      <c r="P9377" s="42"/>
      <c r="R9377" s="23"/>
    </row>
    <row r="9378" spans="1:18" ht="12.75">
      <c r="A9378" s="12"/>
      <c r="D9378" s="12"/>
      <c r="E9378" s="12"/>
      <c r="H9378" s="11" t="str">
        <f ca="1">IFERROR(__xludf.DUMMYFUNCTION("IFERROR(SUBSTITUTE(SUBSTITUTE(REGEXEXTRACT(A9378, ""[^-]+- [^-]+- [^-]+ - (.+?)\.jpg""), "".jpg"", """"), ""-"", "", ""), """")"),"")</f>
        <v/>
      </c>
      <c r="L9378" s="12"/>
      <c r="M9378" s="13"/>
      <c r="N9378" s="2"/>
      <c r="O9378" s="20"/>
      <c r="P9378" s="42"/>
      <c r="R9378" s="23"/>
    </row>
    <row r="9379" spans="1:18" ht="12.75">
      <c r="A9379" s="12"/>
      <c r="D9379" s="12"/>
      <c r="E9379" s="12"/>
      <c r="H9379" s="11" t="str">
        <f ca="1">IFERROR(__xludf.DUMMYFUNCTION("IFERROR(SUBSTITUTE(SUBSTITUTE(REGEXEXTRACT(A9379, ""[^-]+- [^-]+- [^-]+ - (.+?)\.jpg""), "".jpg"", """"), ""-"", "", ""), """")"),"")</f>
        <v/>
      </c>
      <c r="L9379" s="12"/>
      <c r="M9379" s="13"/>
      <c r="N9379" s="2"/>
      <c r="O9379" s="20"/>
      <c r="P9379" s="42"/>
      <c r="R9379" s="23"/>
    </row>
    <row r="9380" spans="1:18" ht="12.75">
      <c r="A9380" s="12"/>
      <c r="D9380" s="12"/>
      <c r="E9380" s="12"/>
      <c r="H9380" s="11" t="str">
        <f ca="1">IFERROR(__xludf.DUMMYFUNCTION("IFERROR(SUBSTITUTE(SUBSTITUTE(REGEXEXTRACT(A9380, ""[^-]+- [^-]+- [^-]+ - (.+?)\.jpg""), "".jpg"", """"), ""-"", "", ""), """")"),"")</f>
        <v/>
      </c>
      <c r="L9380" s="12"/>
      <c r="M9380" s="13"/>
      <c r="N9380" s="2"/>
      <c r="O9380" s="20"/>
      <c r="P9380" s="42"/>
      <c r="R9380" s="23"/>
    </row>
    <row r="9381" spans="1:18" ht="12.75">
      <c r="A9381" s="12"/>
      <c r="D9381" s="12"/>
      <c r="E9381" s="12"/>
      <c r="H9381" s="11" t="str">
        <f ca="1">IFERROR(__xludf.DUMMYFUNCTION("IFERROR(SUBSTITUTE(SUBSTITUTE(REGEXEXTRACT(A9381, ""[^-]+- [^-]+- [^-]+ - (.+?)\.jpg""), "".jpg"", """"), ""-"", "", ""), """")"),"")</f>
        <v/>
      </c>
      <c r="L9381" s="12"/>
      <c r="M9381" s="13"/>
      <c r="N9381" s="2"/>
      <c r="O9381" s="20"/>
      <c r="P9381" s="42"/>
      <c r="R9381" s="23"/>
    </row>
    <row r="9382" spans="1:18" ht="12.75">
      <c r="A9382" s="12"/>
      <c r="D9382" s="12"/>
      <c r="E9382" s="12"/>
      <c r="H9382" s="11" t="str">
        <f ca="1">IFERROR(__xludf.DUMMYFUNCTION("IFERROR(SUBSTITUTE(SUBSTITUTE(REGEXEXTRACT(A9382, ""[^-]+- [^-]+- [^-]+ - (.+?)\.jpg""), "".jpg"", """"), ""-"", "", ""), """")"),"")</f>
        <v/>
      </c>
      <c r="L9382" s="12"/>
      <c r="M9382" s="13"/>
      <c r="N9382" s="2"/>
      <c r="O9382" s="20"/>
      <c r="P9382" s="42"/>
      <c r="R9382" s="23"/>
    </row>
    <row r="9383" spans="1:18" ht="12.75">
      <c r="A9383" s="12"/>
      <c r="D9383" s="12"/>
      <c r="E9383" s="12"/>
      <c r="H9383" s="11" t="str">
        <f ca="1">IFERROR(__xludf.DUMMYFUNCTION("IFERROR(SUBSTITUTE(SUBSTITUTE(REGEXEXTRACT(A9383, ""[^-]+- [^-]+- [^-]+ - (.+?)\.jpg""), "".jpg"", """"), ""-"", "", ""), """")"),"")</f>
        <v/>
      </c>
      <c r="L9383" s="12"/>
      <c r="M9383" s="13"/>
      <c r="N9383" s="2"/>
      <c r="O9383" s="20"/>
      <c r="P9383" s="42"/>
      <c r="R9383" s="23"/>
    </row>
    <row r="9384" spans="1:18" ht="12.75">
      <c r="A9384" s="12"/>
      <c r="D9384" s="12"/>
      <c r="E9384" s="12"/>
      <c r="H9384" s="11" t="str">
        <f ca="1">IFERROR(__xludf.DUMMYFUNCTION("IFERROR(SUBSTITUTE(SUBSTITUTE(REGEXEXTRACT(A9384, ""[^-]+- [^-]+- [^-]+ - (.+?)\.jpg""), "".jpg"", """"), ""-"", "", ""), """")"),"")</f>
        <v/>
      </c>
      <c r="L9384" s="12"/>
      <c r="M9384" s="13"/>
      <c r="N9384" s="2"/>
      <c r="O9384" s="20"/>
      <c r="P9384" s="42"/>
      <c r="R9384" s="23"/>
    </row>
    <row r="9385" spans="1:18" ht="12.75">
      <c r="A9385" s="12"/>
      <c r="D9385" s="12"/>
      <c r="E9385" s="12"/>
      <c r="H9385" s="11" t="str">
        <f ca="1">IFERROR(__xludf.DUMMYFUNCTION("IFERROR(SUBSTITUTE(SUBSTITUTE(REGEXEXTRACT(A9385, ""[^-]+- [^-]+- [^-]+ - (.+?)\.jpg""), "".jpg"", """"), ""-"", "", ""), """")"),"")</f>
        <v/>
      </c>
      <c r="L9385" s="12"/>
      <c r="M9385" s="13"/>
      <c r="N9385" s="2"/>
      <c r="O9385" s="20"/>
      <c r="P9385" s="42"/>
      <c r="R9385" s="23"/>
    </row>
    <row r="9386" spans="1:18" ht="12.75">
      <c r="A9386" s="12"/>
      <c r="D9386" s="12"/>
      <c r="E9386" s="12"/>
      <c r="H9386" s="11" t="str">
        <f ca="1">IFERROR(__xludf.DUMMYFUNCTION("IFERROR(SUBSTITUTE(SUBSTITUTE(REGEXEXTRACT(A9386, ""[^-]+- [^-]+- [^-]+ - (.+?)\.jpg""), "".jpg"", """"), ""-"", "", ""), """")"),"")</f>
        <v/>
      </c>
      <c r="L9386" s="12"/>
      <c r="M9386" s="13"/>
      <c r="N9386" s="2"/>
      <c r="O9386" s="20"/>
      <c r="P9386" s="42"/>
      <c r="R9386" s="23"/>
    </row>
    <row r="9387" spans="1:18" ht="12.75">
      <c r="A9387" s="12"/>
      <c r="D9387" s="12"/>
      <c r="E9387" s="12"/>
      <c r="H9387" s="11" t="str">
        <f ca="1">IFERROR(__xludf.DUMMYFUNCTION("IFERROR(SUBSTITUTE(SUBSTITUTE(REGEXEXTRACT(A9387, ""[^-]+- [^-]+- [^-]+ - (.+?)\.jpg""), "".jpg"", """"), ""-"", "", ""), """")"),"")</f>
        <v/>
      </c>
      <c r="L9387" s="12"/>
      <c r="M9387" s="13"/>
      <c r="N9387" s="2"/>
      <c r="O9387" s="20"/>
      <c r="P9387" s="42"/>
      <c r="R9387" s="23"/>
    </row>
    <row r="9388" spans="1:18" ht="12.75">
      <c r="A9388" s="12"/>
      <c r="D9388" s="12"/>
      <c r="E9388" s="12"/>
      <c r="H9388" s="11" t="str">
        <f ca="1">IFERROR(__xludf.DUMMYFUNCTION("IFERROR(SUBSTITUTE(SUBSTITUTE(REGEXEXTRACT(A9388, ""[^-]+- [^-]+- [^-]+ - (.+?)\.jpg""), "".jpg"", """"), ""-"", "", ""), """")"),"")</f>
        <v/>
      </c>
      <c r="L9388" s="12"/>
      <c r="M9388" s="13"/>
      <c r="N9388" s="2"/>
      <c r="O9388" s="20"/>
      <c r="P9388" s="42"/>
      <c r="R9388" s="23"/>
    </row>
    <row r="9389" spans="1:18" ht="12.75">
      <c r="A9389" s="12"/>
      <c r="D9389" s="12"/>
      <c r="E9389" s="12"/>
      <c r="H9389" s="11" t="str">
        <f ca="1">IFERROR(__xludf.DUMMYFUNCTION("IFERROR(SUBSTITUTE(SUBSTITUTE(REGEXEXTRACT(A9389, ""[^-]+- [^-]+- [^-]+ - (.+?)\.jpg""), "".jpg"", """"), ""-"", "", ""), """")"),"")</f>
        <v/>
      </c>
      <c r="L9389" s="12"/>
      <c r="M9389" s="13"/>
      <c r="N9389" s="2"/>
      <c r="O9389" s="20"/>
      <c r="P9389" s="42"/>
      <c r="R9389" s="23"/>
    </row>
    <row r="9390" spans="1:18" ht="12.75">
      <c r="A9390" s="12"/>
      <c r="D9390" s="12"/>
      <c r="E9390" s="12"/>
      <c r="H9390" s="11" t="str">
        <f ca="1">IFERROR(__xludf.DUMMYFUNCTION("IFERROR(SUBSTITUTE(SUBSTITUTE(REGEXEXTRACT(A9390, ""[^-]+- [^-]+- [^-]+ - (.+?)\.jpg""), "".jpg"", """"), ""-"", "", ""), """")"),"")</f>
        <v/>
      </c>
      <c r="L9390" s="12"/>
      <c r="M9390" s="13"/>
      <c r="N9390" s="2"/>
      <c r="O9390" s="20"/>
      <c r="P9390" s="42"/>
      <c r="R9390" s="23"/>
    </row>
    <row r="9391" spans="1:18" ht="12.75">
      <c r="A9391" s="12"/>
      <c r="D9391" s="12"/>
      <c r="E9391" s="12"/>
      <c r="H9391" s="11" t="str">
        <f ca="1">IFERROR(__xludf.DUMMYFUNCTION("IFERROR(SUBSTITUTE(SUBSTITUTE(REGEXEXTRACT(A9391, ""[^-]+- [^-]+- [^-]+ - (.+?)\.jpg""), "".jpg"", """"), ""-"", "", ""), """")"),"")</f>
        <v/>
      </c>
      <c r="L9391" s="12"/>
      <c r="M9391" s="13"/>
      <c r="N9391" s="2"/>
      <c r="O9391" s="20"/>
      <c r="P9391" s="42"/>
      <c r="R9391" s="23"/>
    </row>
    <row r="9392" spans="1:18" ht="12.75">
      <c r="A9392" s="12"/>
      <c r="D9392" s="12"/>
      <c r="E9392" s="12"/>
      <c r="H9392" s="11" t="str">
        <f ca="1">IFERROR(__xludf.DUMMYFUNCTION("IFERROR(SUBSTITUTE(SUBSTITUTE(REGEXEXTRACT(A9392, ""[^-]+- [^-]+- [^-]+ - (.+?)\.jpg""), "".jpg"", """"), ""-"", "", ""), """")"),"")</f>
        <v/>
      </c>
      <c r="L9392" s="12"/>
      <c r="M9392" s="13"/>
      <c r="N9392" s="2"/>
      <c r="O9392" s="20"/>
      <c r="P9392" s="42"/>
      <c r="R9392" s="23"/>
    </row>
    <row r="9393" spans="1:18" ht="12.75">
      <c r="A9393" s="12"/>
      <c r="D9393" s="12"/>
      <c r="E9393" s="12"/>
      <c r="H9393" s="11" t="str">
        <f ca="1">IFERROR(__xludf.DUMMYFUNCTION("IFERROR(SUBSTITUTE(SUBSTITUTE(REGEXEXTRACT(A9393, ""[^-]+- [^-]+- [^-]+ - (.+?)\.jpg""), "".jpg"", """"), ""-"", "", ""), """")"),"")</f>
        <v/>
      </c>
      <c r="L9393" s="12"/>
      <c r="M9393" s="13"/>
      <c r="N9393" s="2"/>
      <c r="O9393" s="20"/>
      <c r="P9393" s="42"/>
      <c r="R9393" s="23"/>
    </row>
    <row r="9394" spans="1:18" ht="12.75">
      <c r="A9394" s="12"/>
      <c r="D9394" s="12"/>
      <c r="E9394" s="12"/>
      <c r="H9394" s="11" t="str">
        <f ca="1">IFERROR(__xludf.DUMMYFUNCTION("IFERROR(SUBSTITUTE(SUBSTITUTE(REGEXEXTRACT(A9394, ""[^-]+- [^-]+- [^-]+ - (.+?)\.jpg""), "".jpg"", """"), ""-"", "", ""), """")"),"")</f>
        <v/>
      </c>
      <c r="L9394" s="12"/>
      <c r="M9394" s="13"/>
      <c r="N9394" s="2"/>
      <c r="O9394" s="20"/>
      <c r="P9394" s="42"/>
      <c r="R9394" s="23"/>
    </row>
    <row r="9395" spans="1:18" ht="12.75">
      <c r="A9395" s="12"/>
      <c r="D9395" s="12"/>
      <c r="E9395" s="12"/>
      <c r="H9395" s="11" t="str">
        <f ca="1">IFERROR(__xludf.DUMMYFUNCTION("IFERROR(SUBSTITUTE(SUBSTITUTE(REGEXEXTRACT(A9395, ""[^-]+- [^-]+- [^-]+ - (.+?)\.jpg""), "".jpg"", """"), ""-"", "", ""), """")"),"")</f>
        <v/>
      </c>
      <c r="L9395" s="12"/>
      <c r="M9395" s="13"/>
      <c r="N9395" s="2"/>
      <c r="O9395" s="20"/>
      <c r="P9395" s="42"/>
      <c r="R9395" s="23"/>
    </row>
    <row r="9396" spans="1:18" ht="12.75">
      <c r="A9396" s="12"/>
      <c r="D9396" s="12"/>
      <c r="E9396" s="12"/>
      <c r="H9396" s="11" t="str">
        <f ca="1">IFERROR(__xludf.DUMMYFUNCTION("IFERROR(SUBSTITUTE(SUBSTITUTE(REGEXEXTRACT(A9396, ""[^-]+- [^-]+- [^-]+ - (.+?)\.jpg""), "".jpg"", """"), ""-"", "", ""), """")"),"")</f>
        <v/>
      </c>
      <c r="L9396" s="12"/>
      <c r="M9396" s="13"/>
      <c r="N9396" s="2"/>
      <c r="O9396" s="20"/>
      <c r="P9396" s="42"/>
      <c r="R9396" s="23"/>
    </row>
    <row r="9397" spans="1:18" ht="12.75">
      <c r="A9397" s="12"/>
      <c r="D9397" s="12"/>
      <c r="E9397" s="12"/>
      <c r="H9397" s="11" t="str">
        <f ca="1">IFERROR(__xludf.DUMMYFUNCTION("IFERROR(SUBSTITUTE(SUBSTITUTE(REGEXEXTRACT(A9397, ""[^-]+- [^-]+- [^-]+ - (.+?)\.jpg""), "".jpg"", """"), ""-"", "", ""), """")"),"")</f>
        <v/>
      </c>
      <c r="L9397" s="12"/>
      <c r="M9397" s="13"/>
      <c r="N9397" s="2"/>
      <c r="O9397" s="20"/>
      <c r="P9397" s="42"/>
      <c r="R9397" s="23"/>
    </row>
    <row r="9398" spans="1:18" ht="12.75">
      <c r="A9398" s="12"/>
      <c r="D9398" s="12"/>
      <c r="E9398" s="12"/>
      <c r="H9398" s="11" t="str">
        <f ca="1">IFERROR(__xludf.DUMMYFUNCTION("IFERROR(SUBSTITUTE(SUBSTITUTE(REGEXEXTRACT(A9398, ""[^-]+- [^-]+- [^-]+ - (.+?)\.jpg""), "".jpg"", """"), ""-"", "", ""), """")"),"")</f>
        <v/>
      </c>
      <c r="L9398" s="12"/>
      <c r="M9398" s="13"/>
      <c r="N9398" s="2"/>
      <c r="O9398" s="20"/>
      <c r="P9398" s="42"/>
      <c r="R9398" s="23"/>
    </row>
    <row r="9399" spans="1:18" ht="12.75">
      <c r="A9399" s="12"/>
      <c r="D9399" s="12"/>
      <c r="E9399" s="12"/>
      <c r="H9399" s="11" t="str">
        <f ca="1">IFERROR(__xludf.DUMMYFUNCTION("IFERROR(SUBSTITUTE(SUBSTITUTE(REGEXEXTRACT(A9399, ""[^-]+- [^-]+- [^-]+ - (.+?)\.jpg""), "".jpg"", """"), ""-"", "", ""), """")"),"")</f>
        <v/>
      </c>
      <c r="L9399" s="12"/>
      <c r="M9399" s="13"/>
      <c r="N9399" s="2"/>
      <c r="O9399" s="20"/>
      <c r="P9399" s="42"/>
      <c r="R9399" s="23"/>
    </row>
    <row r="9400" spans="1:18" ht="12.75">
      <c r="A9400" s="12"/>
      <c r="D9400" s="12"/>
      <c r="E9400" s="12"/>
      <c r="H9400" s="11" t="str">
        <f ca="1">IFERROR(__xludf.DUMMYFUNCTION("IFERROR(SUBSTITUTE(SUBSTITUTE(REGEXEXTRACT(A9400, ""[^-]+- [^-]+- [^-]+ - (.+?)\.jpg""), "".jpg"", """"), ""-"", "", ""), """")"),"")</f>
        <v/>
      </c>
      <c r="L9400" s="12"/>
      <c r="M9400" s="13"/>
      <c r="N9400" s="2"/>
      <c r="O9400" s="20"/>
      <c r="P9400" s="42"/>
      <c r="R9400" s="23"/>
    </row>
    <row r="9401" spans="1:18" ht="12.75">
      <c r="A9401" s="12"/>
      <c r="D9401" s="12"/>
      <c r="E9401" s="12"/>
      <c r="H9401" s="11" t="str">
        <f ca="1">IFERROR(__xludf.DUMMYFUNCTION("IFERROR(SUBSTITUTE(SUBSTITUTE(REGEXEXTRACT(A9401, ""[^-]+- [^-]+- [^-]+ - (.+?)\.jpg""), "".jpg"", """"), ""-"", "", ""), """")"),"")</f>
        <v/>
      </c>
      <c r="L9401" s="12"/>
      <c r="M9401" s="13"/>
      <c r="N9401" s="2"/>
      <c r="O9401" s="20"/>
      <c r="P9401" s="42"/>
      <c r="R9401" s="23"/>
    </row>
    <row r="9402" spans="1:18" ht="12.75">
      <c r="A9402" s="12"/>
      <c r="D9402" s="12"/>
      <c r="E9402" s="12"/>
      <c r="H9402" s="11" t="str">
        <f ca="1">IFERROR(__xludf.DUMMYFUNCTION("IFERROR(SUBSTITUTE(SUBSTITUTE(REGEXEXTRACT(A9402, ""[^-]+- [^-]+- [^-]+ - (.+?)\.jpg""), "".jpg"", """"), ""-"", "", ""), """")"),"")</f>
        <v/>
      </c>
      <c r="L9402" s="12"/>
      <c r="M9402" s="13"/>
      <c r="N9402" s="2"/>
      <c r="O9402" s="20"/>
      <c r="P9402" s="42"/>
      <c r="R9402" s="23"/>
    </row>
    <row r="9403" spans="1:18" ht="12.75">
      <c r="A9403" s="12"/>
      <c r="D9403" s="12"/>
      <c r="E9403" s="12"/>
      <c r="H9403" s="11" t="str">
        <f ca="1">IFERROR(__xludf.DUMMYFUNCTION("IFERROR(SUBSTITUTE(SUBSTITUTE(REGEXEXTRACT(A9403, ""[^-]+- [^-]+- [^-]+ - (.+?)\.jpg""), "".jpg"", """"), ""-"", "", ""), """")"),"")</f>
        <v/>
      </c>
      <c r="L9403" s="12"/>
      <c r="M9403" s="13"/>
      <c r="N9403" s="2"/>
      <c r="O9403" s="20"/>
      <c r="P9403" s="42"/>
      <c r="R9403" s="23"/>
    </row>
    <row r="9404" spans="1:18" ht="12.75">
      <c r="A9404" s="12"/>
      <c r="D9404" s="12"/>
      <c r="E9404" s="12"/>
      <c r="H9404" s="11" t="str">
        <f ca="1">IFERROR(__xludf.DUMMYFUNCTION("IFERROR(SUBSTITUTE(SUBSTITUTE(REGEXEXTRACT(A9404, ""[^-]+- [^-]+- [^-]+ - (.+?)\.jpg""), "".jpg"", """"), ""-"", "", ""), """")"),"")</f>
        <v/>
      </c>
      <c r="L9404" s="12"/>
      <c r="M9404" s="13"/>
      <c r="N9404" s="2"/>
      <c r="O9404" s="20"/>
      <c r="P9404" s="42"/>
      <c r="R9404" s="23"/>
    </row>
    <row r="9405" spans="1:18" ht="12.75">
      <c r="A9405" s="12"/>
      <c r="D9405" s="12"/>
      <c r="E9405" s="12"/>
      <c r="H9405" s="11" t="str">
        <f ca="1">IFERROR(__xludf.DUMMYFUNCTION("IFERROR(SUBSTITUTE(SUBSTITUTE(REGEXEXTRACT(A9405, ""[^-]+- [^-]+- [^-]+ - (.+?)\.jpg""), "".jpg"", """"), ""-"", "", ""), """")"),"")</f>
        <v/>
      </c>
      <c r="L9405" s="12"/>
      <c r="M9405" s="13"/>
      <c r="N9405" s="2"/>
      <c r="O9405" s="20"/>
      <c r="P9405" s="42"/>
      <c r="R9405" s="23"/>
    </row>
    <row r="9406" spans="1:18" ht="12.75">
      <c r="A9406" s="12"/>
      <c r="D9406" s="12"/>
      <c r="E9406" s="12"/>
      <c r="H9406" s="11" t="str">
        <f ca="1">IFERROR(__xludf.DUMMYFUNCTION("IFERROR(SUBSTITUTE(SUBSTITUTE(REGEXEXTRACT(A9406, ""[^-]+- [^-]+- [^-]+ - (.+?)\.jpg""), "".jpg"", """"), ""-"", "", ""), """")"),"")</f>
        <v/>
      </c>
      <c r="L9406" s="12"/>
      <c r="M9406" s="13"/>
      <c r="N9406" s="2"/>
      <c r="O9406" s="20"/>
      <c r="P9406" s="42"/>
      <c r="R9406" s="23"/>
    </row>
    <row r="9407" spans="1:18" ht="12.75">
      <c r="A9407" s="12"/>
      <c r="D9407" s="12"/>
      <c r="E9407" s="12"/>
      <c r="H9407" s="11" t="str">
        <f ca="1">IFERROR(__xludf.DUMMYFUNCTION("IFERROR(SUBSTITUTE(SUBSTITUTE(REGEXEXTRACT(A9407, ""[^-]+- [^-]+- [^-]+ - (.+?)\.jpg""), "".jpg"", """"), ""-"", "", ""), """")"),"")</f>
        <v/>
      </c>
      <c r="L9407" s="12"/>
      <c r="M9407" s="13"/>
      <c r="N9407" s="2"/>
      <c r="O9407" s="20"/>
      <c r="P9407" s="42"/>
      <c r="R9407" s="23"/>
    </row>
    <row r="9408" spans="1:18" ht="12.75">
      <c r="A9408" s="12"/>
      <c r="D9408" s="12"/>
      <c r="E9408" s="12"/>
      <c r="H9408" s="11" t="str">
        <f ca="1">IFERROR(__xludf.DUMMYFUNCTION("IFERROR(SUBSTITUTE(SUBSTITUTE(REGEXEXTRACT(A9408, ""[^-]+- [^-]+- [^-]+ - (.+?)\.jpg""), "".jpg"", """"), ""-"", "", ""), """")"),"")</f>
        <v/>
      </c>
      <c r="L9408" s="12"/>
      <c r="M9408" s="13"/>
      <c r="N9408" s="2"/>
      <c r="O9408" s="20"/>
      <c r="P9408" s="42"/>
      <c r="R9408" s="23"/>
    </row>
    <row r="9409" spans="1:18" ht="12.75">
      <c r="A9409" s="12"/>
      <c r="D9409" s="12"/>
      <c r="E9409" s="12"/>
      <c r="H9409" s="11" t="str">
        <f ca="1">IFERROR(__xludf.DUMMYFUNCTION("IFERROR(SUBSTITUTE(SUBSTITUTE(REGEXEXTRACT(A9409, ""[^-]+- [^-]+- [^-]+ - (.+?)\.jpg""), "".jpg"", """"), ""-"", "", ""), """")"),"")</f>
        <v/>
      </c>
      <c r="L9409" s="12"/>
      <c r="M9409" s="13"/>
      <c r="N9409" s="2"/>
      <c r="O9409" s="20"/>
      <c r="P9409" s="42"/>
      <c r="R9409" s="23"/>
    </row>
    <row r="9410" spans="1:18" ht="12.75">
      <c r="A9410" s="12"/>
      <c r="D9410" s="12"/>
      <c r="E9410" s="12"/>
      <c r="H9410" s="11" t="str">
        <f ca="1">IFERROR(__xludf.DUMMYFUNCTION("IFERROR(SUBSTITUTE(SUBSTITUTE(REGEXEXTRACT(A9410, ""[^-]+- [^-]+- [^-]+ - (.+?)\.jpg""), "".jpg"", """"), ""-"", "", ""), """")"),"")</f>
        <v/>
      </c>
      <c r="L9410" s="12"/>
      <c r="M9410" s="13"/>
      <c r="N9410" s="2"/>
      <c r="O9410" s="20"/>
      <c r="P9410" s="42"/>
      <c r="R9410" s="23"/>
    </row>
    <row r="9411" spans="1:18" ht="12.75">
      <c r="A9411" s="12"/>
      <c r="D9411" s="12"/>
      <c r="E9411" s="12"/>
      <c r="H9411" s="11" t="str">
        <f ca="1">IFERROR(__xludf.DUMMYFUNCTION("IFERROR(SUBSTITUTE(SUBSTITUTE(REGEXEXTRACT(A9411, ""[^-]+- [^-]+- [^-]+ - (.+?)\.jpg""), "".jpg"", """"), ""-"", "", ""), """")"),"")</f>
        <v/>
      </c>
      <c r="L9411" s="12"/>
      <c r="M9411" s="13"/>
      <c r="N9411" s="2"/>
      <c r="O9411" s="20"/>
      <c r="P9411" s="42"/>
      <c r="R9411" s="23"/>
    </row>
    <row r="9412" spans="1:18" ht="12.75">
      <c r="A9412" s="12"/>
      <c r="D9412" s="12"/>
      <c r="E9412" s="12"/>
      <c r="H9412" s="11" t="str">
        <f ca="1">IFERROR(__xludf.DUMMYFUNCTION("IFERROR(SUBSTITUTE(SUBSTITUTE(REGEXEXTRACT(A9412, ""[^-]+- [^-]+- [^-]+ - (.+?)\.jpg""), "".jpg"", """"), ""-"", "", ""), """")"),"")</f>
        <v/>
      </c>
      <c r="L9412" s="12"/>
      <c r="M9412" s="13"/>
      <c r="N9412" s="2"/>
      <c r="O9412" s="20"/>
      <c r="P9412" s="42"/>
      <c r="R9412" s="23"/>
    </row>
    <row r="9413" spans="1:18" ht="12.75">
      <c r="A9413" s="12"/>
      <c r="D9413" s="12"/>
      <c r="E9413" s="12"/>
      <c r="H9413" s="11" t="str">
        <f ca="1">IFERROR(__xludf.DUMMYFUNCTION("IFERROR(SUBSTITUTE(SUBSTITUTE(REGEXEXTRACT(A9413, ""[^-]+- [^-]+- [^-]+ - (.+?)\.jpg""), "".jpg"", """"), ""-"", "", ""), """")"),"")</f>
        <v/>
      </c>
      <c r="L9413" s="12"/>
      <c r="M9413" s="13"/>
      <c r="N9413" s="2"/>
      <c r="O9413" s="20"/>
      <c r="P9413" s="42"/>
      <c r="R9413" s="23"/>
    </row>
    <row r="9414" spans="1:18" ht="12.75">
      <c r="A9414" s="12"/>
      <c r="D9414" s="12"/>
      <c r="E9414" s="12"/>
      <c r="H9414" s="11" t="str">
        <f ca="1">IFERROR(__xludf.DUMMYFUNCTION("IFERROR(SUBSTITUTE(SUBSTITUTE(REGEXEXTRACT(A9414, ""[^-]+- [^-]+- [^-]+ - (.+?)\.jpg""), "".jpg"", """"), ""-"", "", ""), """")"),"")</f>
        <v/>
      </c>
      <c r="L9414" s="12"/>
      <c r="M9414" s="13"/>
      <c r="N9414" s="2"/>
      <c r="O9414" s="20"/>
      <c r="P9414" s="42"/>
      <c r="R9414" s="23"/>
    </row>
    <row r="9415" spans="1:18" ht="12.75">
      <c r="A9415" s="12"/>
      <c r="D9415" s="12"/>
      <c r="E9415" s="12"/>
      <c r="H9415" s="11" t="str">
        <f ca="1">IFERROR(__xludf.DUMMYFUNCTION("IFERROR(SUBSTITUTE(SUBSTITUTE(REGEXEXTRACT(A9415, ""[^-]+- [^-]+- [^-]+ - (.+?)\.jpg""), "".jpg"", """"), ""-"", "", ""), """")"),"")</f>
        <v/>
      </c>
      <c r="L9415" s="12"/>
      <c r="M9415" s="13"/>
      <c r="N9415" s="2"/>
      <c r="O9415" s="20"/>
      <c r="P9415" s="42"/>
      <c r="R9415" s="23"/>
    </row>
    <row r="9416" spans="1:18" ht="12.75">
      <c r="A9416" s="12"/>
      <c r="D9416" s="12"/>
      <c r="E9416" s="12"/>
      <c r="H9416" s="11" t="str">
        <f ca="1">IFERROR(__xludf.DUMMYFUNCTION("IFERROR(SUBSTITUTE(SUBSTITUTE(REGEXEXTRACT(A9416, ""[^-]+- [^-]+- [^-]+ - (.+?)\.jpg""), "".jpg"", """"), ""-"", "", ""), """")"),"")</f>
        <v/>
      </c>
      <c r="L9416" s="12"/>
      <c r="M9416" s="13"/>
      <c r="N9416" s="2"/>
      <c r="O9416" s="20"/>
      <c r="P9416" s="42"/>
      <c r="R9416" s="23"/>
    </row>
    <row r="9417" spans="1:18" ht="12.75">
      <c r="A9417" s="12"/>
      <c r="D9417" s="12"/>
      <c r="E9417" s="12"/>
      <c r="H9417" s="11" t="str">
        <f ca="1">IFERROR(__xludf.DUMMYFUNCTION("IFERROR(SUBSTITUTE(SUBSTITUTE(REGEXEXTRACT(A9417, ""[^-]+- [^-]+- [^-]+ - (.+?)\.jpg""), "".jpg"", """"), ""-"", "", ""), """")"),"")</f>
        <v/>
      </c>
      <c r="L9417" s="12"/>
      <c r="M9417" s="13"/>
      <c r="N9417" s="2"/>
      <c r="O9417" s="20"/>
      <c r="P9417" s="42"/>
      <c r="R9417" s="23"/>
    </row>
    <row r="9418" spans="1:18" ht="12.75">
      <c r="A9418" s="12"/>
      <c r="D9418" s="12"/>
      <c r="E9418" s="12"/>
      <c r="H9418" s="11" t="str">
        <f ca="1">IFERROR(__xludf.DUMMYFUNCTION("IFERROR(SUBSTITUTE(SUBSTITUTE(REGEXEXTRACT(A9418, ""[^-]+- [^-]+- [^-]+ - (.+?)\.jpg""), "".jpg"", """"), ""-"", "", ""), """")"),"")</f>
        <v/>
      </c>
      <c r="L9418" s="12"/>
      <c r="M9418" s="13"/>
      <c r="N9418" s="2"/>
      <c r="O9418" s="20"/>
      <c r="P9418" s="42"/>
      <c r="R9418" s="23"/>
    </row>
    <row r="9419" spans="1:18" ht="12.75">
      <c r="A9419" s="12"/>
      <c r="D9419" s="12"/>
      <c r="E9419" s="12"/>
      <c r="H9419" s="11" t="str">
        <f ca="1">IFERROR(__xludf.DUMMYFUNCTION("IFERROR(SUBSTITUTE(SUBSTITUTE(REGEXEXTRACT(A9419, ""[^-]+- [^-]+- [^-]+ - (.+?)\.jpg""), "".jpg"", """"), ""-"", "", ""), """")"),"")</f>
        <v/>
      </c>
      <c r="L9419" s="12"/>
      <c r="M9419" s="13"/>
      <c r="N9419" s="2"/>
      <c r="O9419" s="20"/>
      <c r="P9419" s="42"/>
      <c r="R9419" s="23"/>
    </row>
    <row r="9420" spans="1:18" ht="12.75">
      <c r="A9420" s="12"/>
      <c r="D9420" s="12"/>
      <c r="E9420" s="12"/>
      <c r="H9420" s="11" t="str">
        <f ca="1">IFERROR(__xludf.DUMMYFUNCTION("IFERROR(SUBSTITUTE(SUBSTITUTE(REGEXEXTRACT(A9420, ""[^-]+- [^-]+- [^-]+ - (.+?)\.jpg""), "".jpg"", """"), ""-"", "", ""), """")"),"")</f>
        <v/>
      </c>
      <c r="L9420" s="12"/>
      <c r="M9420" s="13"/>
      <c r="N9420" s="2"/>
      <c r="O9420" s="20"/>
      <c r="P9420" s="42"/>
      <c r="R9420" s="23"/>
    </row>
    <row r="9421" spans="1:18" ht="12.75">
      <c r="A9421" s="12"/>
      <c r="D9421" s="12"/>
      <c r="E9421" s="12"/>
      <c r="H9421" s="11" t="str">
        <f ca="1">IFERROR(__xludf.DUMMYFUNCTION("IFERROR(SUBSTITUTE(SUBSTITUTE(REGEXEXTRACT(A9421, ""[^-]+- [^-]+- [^-]+ - (.+?)\.jpg""), "".jpg"", """"), ""-"", "", ""), """")"),"")</f>
        <v/>
      </c>
      <c r="L9421" s="12"/>
      <c r="M9421" s="13"/>
      <c r="N9421" s="2"/>
      <c r="O9421" s="20"/>
      <c r="P9421" s="42"/>
      <c r="R9421" s="23"/>
    </row>
    <row r="9422" spans="1:18" ht="12.75">
      <c r="A9422" s="12"/>
      <c r="D9422" s="12"/>
      <c r="E9422" s="12"/>
      <c r="H9422" s="11" t="str">
        <f ca="1">IFERROR(__xludf.DUMMYFUNCTION("IFERROR(SUBSTITUTE(SUBSTITUTE(REGEXEXTRACT(A9422, ""[^-]+- [^-]+- [^-]+ - (.+?)\.jpg""), "".jpg"", """"), ""-"", "", ""), """")"),"")</f>
        <v/>
      </c>
      <c r="L9422" s="12"/>
      <c r="M9422" s="13"/>
      <c r="N9422" s="2"/>
      <c r="O9422" s="20"/>
      <c r="P9422" s="42"/>
      <c r="R9422" s="23"/>
    </row>
    <row r="9423" spans="1:18" ht="12.75">
      <c r="A9423" s="12"/>
      <c r="D9423" s="12"/>
      <c r="E9423" s="12"/>
      <c r="H9423" s="11" t="str">
        <f ca="1">IFERROR(__xludf.DUMMYFUNCTION("IFERROR(SUBSTITUTE(SUBSTITUTE(REGEXEXTRACT(A9423, ""[^-]+- [^-]+- [^-]+ - (.+?)\.jpg""), "".jpg"", """"), ""-"", "", ""), """")"),"")</f>
        <v/>
      </c>
      <c r="L9423" s="12"/>
      <c r="M9423" s="13"/>
      <c r="N9423" s="2"/>
      <c r="O9423" s="20"/>
      <c r="P9423" s="42"/>
      <c r="R9423" s="23"/>
    </row>
    <row r="9424" spans="1:18" ht="12.75">
      <c r="A9424" s="12"/>
      <c r="D9424" s="12"/>
      <c r="E9424" s="12"/>
      <c r="H9424" s="11" t="str">
        <f ca="1">IFERROR(__xludf.DUMMYFUNCTION("IFERROR(SUBSTITUTE(SUBSTITUTE(REGEXEXTRACT(A9424, ""[^-]+- [^-]+- [^-]+ - (.+?)\.jpg""), "".jpg"", """"), ""-"", "", ""), """")"),"")</f>
        <v/>
      </c>
      <c r="L9424" s="12"/>
      <c r="M9424" s="13"/>
      <c r="N9424" s="2"/>
      <c r="O9424" s="20"/>
      <c r="P9424" s="42"/>
      <c r="R9424" s="23"/>
    </row>
    <row r="9425" spans="1:18" ht="12.75">
      <c r="A9425" s="12"/>
      <c r="D9425" s="12"/>
      <c r="E9425" s="12"/>
      <c r="H9425" s="11" t="str">
        <f ca="1">IFERROR(__xludf.DUMMYFUNCTION("IFERROR(SUBSTITUTE(SUBSTITUTE(REGEXEXTRACT(A9425, ""[^-]+- [^-]+- [^-]+ - (.+?)\.jpg""), "".jpg"", """"), ""-"", "", ""), """")"),"")</f>
        <v/>
      </c>
      <c r="L9425" s="12"/>
      <c r="M9425" s="13"/>
      <c r="N9425" s="2"/>
      <c r="O9425" s="20"/>
      <c r="P9425" s="42"/>
      <c r="R9425" s="23"/>
    </row>
    <row r="9426" spans="1:18" ht="12.75">
      <c r="A9426" s="12"/>
      <c r="D9426" s="12"/>
      <c r="E9426" s="12"/>
      <c r="H9426" s="11" t="str">
        <f ca="1">IFERROR(__xludf.DUMMYFUNCTION("IFERROR(SUBSTITUTE(SUBSTITUTE(REGEXEXTRACT(A9426, ""[^-]+- [^-]+- [^-]+ - (.+?)\.jpg""), "".jpg"", """"), ""-"", "", ""), """")"),"")</f>
        <v/>
      </c>
      <c r="L9426" s="12"/>
      <c r="M9426" s="13"/>
      <c r="N9426" s="2"/>
      <c r="O9426" s="20"/>
      <c r="P9426" s="42"/>
      <c r="R9426" s="23"/>
    </row>
    <row r="9427" spans="1:18" ht="12.75">
      <c r="A9427" s="12"/>
      <c r="D9427" s="12"/>
      <c r="E9427" s="12"/>
      <c r="H9427" s="11" t="str">
        <f ca="1">IFERROR(__xludf.DUMMYFUNCTION("IFERROR(SUBSTITUTE(SUBSTITUTE(REGEXEXTRACT(A9427, ""[^-]+- [^-]+- [^-]+ - (.+?)\.jpg""), "".jpg"", """"), ""-"", "", ""), """")"),"")</f>
        <v/>
      </c>
      <c r="L9427" s="12"/>
      <c r="M9427" s="13"/>
      <c r="N9427" s="2"/>
      <c r="O9427" s="20"/>
      <c r="P9427" s="42"/>
      <c r="R9427" s="23"/>
    </row>
    <row r="9428" spans="1:18" ht="12.75">
      <c r="A9428" s="12"/>
      <c r="D9428" s="12"/>
      <c r="E9428" s="12"/>
      <c r="H9428" s="11" t="str">
        <f ca="1">IFERROR(__xludf.DUMMYFUNCTION("IFERROR(SUBSTITUTE(SUBSTITUTE(REGEXEXTRACT(A9428, ""[^-]+- [^-]+- [^-]+ - (.+?)\.jpg""), "".jpg"", """"), ""-"", "", ""), """")"),"")</f>
        <v/>
      </c>
      <c r="L9428" s="12"/>
      <c r="M9428" s="13"/>
      <c r="N9428" s="2"/>
      <c r="O9428" s="20"/>
      <c r="P9428" s="42"/>
      <c r="R9428" s="23"/>
    </row>
    <row r="9429" spans="1:18" ht="12.75">
      <c r="A9429" s="12"/>
      <c r="D9429" s="12"/>
      <c r="E9429" s="12"/>
      <c r="H9429" s="11" t="str">
        <f ca="1">IFERROR(__xludf.DUMMYFUNCTION("IFERROR(SUBSTITUTE(SUBSTITUTE(REGEXEXTRACT(A9429, ""[^-]+- [^-]+- [^-]+ - (.+?)\.jpg""), "".jpg"", """"), ""-"", "", ""), """")"),"")</f>
        <v/>
      </c>
      <c r="L9429" s="12"/>
      <c r="M9429" s="13"/>
      <c r="N9429" s="2"/>
      <c r="O9429" s="20"/>
      <c r="P9429" s="42"/>
      <c r="R9429" s="23"/>
    </row>
    <row r="9430" spans="1:18" ht="12.75">
      <c r="A9430" s="12"/>
      <c r="D9430" s="12"/>
      <c r="E9430" s="12"/>
      <c r="H9430" s="11" t="str">
        <f ca="1">IFERROR(__xludf.DUMMYFUNCTION("IFERROR(SUBSTITUTE(SUBSTITUTE(REGEXEXTRACT(A9430, ""[^-]+- [^-]+- [^-]+ - (.+?)\.jpg""), "".jpg"", """"), ""-"", "", ""), """")"),"")</f>
        <v/>
      </c>
      <c r="L9430" s="12"/>
      <c r="M9430" s="13"/>
      <c r="N9430" s="2"/>
      <c r="O9430" s="20"/>
      <c r="P9430" s="42"/>
      <c r="R9430" s="23"/>
    </row>
    <row r="9431" spans="1:18" ht="12.75">
      <c r="A9431" s="12"/>
      <c r="D9431" s="12"/>
      <c r="E9431" s="12"/>
      <c r="H9431" s="11" t="str">
        <f ca="1">IFERROR(__xludf.DUMMYFUNCTION("IFERROR(SUBSTITUTE(SUBSTITUTE(REGEXEXTRACT(A9431, ""[^-]+- [^-]+- [^-]+ - (.+?)\.jpg""), "".jpg"", """"), ""-"", "", ""), """")"),"")</f>
        <v/>
      </c>
      <c r="L9431" s="12"/>
      <c r="M9431" s="13"/>
      <c r="N9431" s="2"/>
      <c r="O9431" s="20"/>
      <c r="P9431" s="42"/>
      <c r="R9431" s="23"/>
    </row>
    <row r="9432" spans="1:18" ht="12.75">
      <c r="A9432" s="12"/>
      <c r="D9432" s="12"/>
      <c r="E9432" s="12"/>
      <c r="H9432" s="11" t="str">
        <f ca="1">IFERROR(__xludf.DUMMYFUNCTION("IFERROR(SUBSTITUTE(SUBSTITUTE(REGEXEXTRACT(A9432, ""[^-]+- [^-]+- [^-]+ - (.+?)\.jpg""), "".jpg"", """"), ""-"", "", ""), """")"),"")</f>
        <v/>
      </c>
      <c r="L9432" s="12"/>
      <c r="M9432" s="13"/>
      <c r="N9432" s="2"/>
      <c r="O9432" s="20"/>
      <c r="P9432" s="42"/>
      <c r="R9432" s="23"/>
    </row>
    <row r="9433" spans="1:18" ht="12.75">
      <c r="A9433" s="12"/>
      <c r="D9433" s="12"/>
      <c r="E9433" s="12"/>
      <c r="H9433" s="11" t="str">
        <f ca="1">IFERROR(__xludf.DUMMYFUNCTION("IFERROR(SUBSTITUTE(SUBSTITUTE(REGEXEXTRACT(A9433, ""[^-]+- [^-]+- [^-]+ - (.+?)\.jpg""), "".jpg"", """"), ""-"", "", ""), """")"),"")</f>
        <v/>
      </c>
      <c r="L9433" s="12"/>
      <c r="M9433" s="13"/>
      <c r="N9433" s="2"/>
      <c r="O9433" s="20"/>
      <c r="P9433" s="42"/>
      <c r="R9433" s="23"/>
    </row>
    <row r="9434" spans="1:18" ht="12.75">
      <c r="A9434" s="12"/>
      <c r="D9434" s="12"/>
      <c r="E9434" s="12"/>
      <c r="H9434" s="11" t="str">
        <f ca="1">IFERROR(__xludf.DUMMYFUNCTION("IFERROR(SUBSTITUTE(SUBSTITUTE(REGEXEXTRACT(A9434, ""[^-]+- [^-]+- [^-]+ - (.+?)\.jpg""), "".jpg"", """"), ""-"", "", ""), """")"),"")</f>
        <v/>
      </c>
      <c r="L9434" s="12"/>
      <c r="M9434" s="13"/>
      <c r="N9434" s="2"/>
      <c r="O9434" s="20"/>
      <c r="P9434" s="42"/>
      <c r="R9434" s="23"/>
    </row>
    <row r="9435" spans="1:18" ht="12.75">
      <c r="A9435" s="12"/>
      <c r="D9435" s="12"/>
      <c r="E9435" s="12"/>
      <c r="H9435" s="11" t="str">
        <f ca="1">IFERROR(__xludf.DUMMYFUNCTION("IFERROR(SUBSTITUTE(SUBSTITUTE(REGEXEXTRACT(A9435, ""[^-]+- [^-]+- [^-]+ - (.+?)\.jpg""), "".jpg"", """"), ""-"", "", ""), """")"),"")</f>
        <v/>
      </c>
      <c r="L9435" s="12"/>
      <c r="M9435" s="13"/>
      <c r="N9435" s="2"/>
      <c r="O9435" s="20"/>
      <c r="P9435" s="42"/>
      <c r="R9435" s="23"/>
    </row>
    <row r="9436" spans="1:18" ht="12.75">
      <c r="A9436" s="12"/>
      <c r="D9436" s="12"/>
      <c r="E9436" s="12"/>
      <c r="H9436" s="11" t="str">
        <f ca="1">IFERROR(__xludf.DUMMYFUNCTION("IFERROR(SUBSTITUTE(SUBSTITUTE(REGEXEXTRACT(A9436, ""[^-]+- [^-]+- [^-]+ - (.+?)\.jpg""), "".jpg"", """"), ""-"", "", ""), """")"),"")</f>
        <v/>
      </c>
      <c r="L9436" s="12"/>
      <c r="M9436" s="13"/>
      <c r="N9436" s="2"/>
      <c r="O9436" s="20"/>
      <c r="P9436" s="42"/>
      <c r="R9436" s="23"/>
    </row>
    <row r="9437" spans="1:18" ht="12.75">
      <c r="A9437" s="12"/>
      <c r="D9437" s="12"/>
      <c r="E9437" s="12"/>
      <c r="H9437" s="11" t="str">
        <f ca="1">IFERROR(__xludf.DUMMYFUNCTION("IFERROR(SUBSTITUTE(SUBSTITUTE(REGEXEXTRACT(A9437, ""[^-]+- [^-]+- [^-]+ - (.+?)\.jpg""), "".jpg"", """"), ""-"", "", ""), """")"),"")</f>
        <v/>
      </c>
      <c r="L9437" s="12"/>
      <c r="M9437" s="13"/>
      <c r="N9437" s="2"/>
      <c r="O9437" s="20"/>
      <c r="P9437" s="42"/>
      <c r="R9437" s="23"/>
    </row>
    <row r="9438" spans="1:18" ht="12.75">
      <c r="A9438" s="12"/>
      <c r="D9438" s="12"/>
      <c r="E9438" s="12"/>
      <c r="H9438" s="11" t="str">
        <f ca="1">IFERROR(__xludf.DUMMYFUNCTION("IFERROR(SUBSTITUTE(SUBSTITUTE(REGEXEXTRACT(A9438, ""[^-]+- [^-]+- [^-]+ - (.+?)\.jpg""), "".jpg"", """"), ""-"", "", ""), """")"),"")</f>
        <v/>
      </c>
      <c r="L9438" s="12"/>
      <c r="M9438" s="13"/>
      <c r="N9438" s="2"/>
      <c r="O9438" s="20"/>
      <c r="P9438" s="42"/>
      <c r="R9438" s="23"/>
    </row>
    <row r="9439" spans="1:18" ht="12.75">
      <c r="A9439" s="12"/>
      <c r="D9439" s="12"/>
      <c r="E9439" s="12"/>
      <c r="H9439" s="11" t="str">
        <f ca="1">IFERROR(__xludf.DUMMYFUNCTION("IFERROR(SUBSTITUTE(SUBSTITUTE(REGEXEXTRACT(A9439, ""[^-]+- [^-]+- [^-]+ - (.+?)\.jpg""), "".jpg"", """"), ""-"", "", ""), """")"),"")</f>
        <v/>
      </c>
      <c r="L9439" s="12"/>
      <c r="M9439" s="13"/>
      <c r="N9439" s="2"/>
      <c r="O9439" s="20"/>
      <c r="P9439" s="42"/>
      <c r="R9439" s="23"/>
    </row>
    <row r="9440" spans="1:18" ht="12.75">
      <c r="A9440" s="12"/>
      <c r="D9440" s="12"/>
      <c r="E9440" s="12"/>
      <c r="H9440" s="11" t="str">
        <f ca="1">IFERROR(__xludf.DUMMYFUNCTION("IFERROR(SUBSTITUTE(SUBSTITUTE(REGEXEXTRACT(A9440, ""[^-]+- [^-]+- [^-]+ - (.+?)\.jpg""), "".jpg"", """"), ""-"", "", ""), """")"),"")</f>
        <v/>
      </c>
      <c r="L9440" s="12"/>
      <c r="M9440" s="13"/>
      <c r="N9440" s="2"/>
      <c r="O9440" s="20"/>
      <c r="P9440" s="42"/>
      <c r="R9440" s="23"/>
    </row>
    <row r="9441" spans="1:18" ht="12.75">
      <c r="A9441" s="12"/>
      <c r="D9441" s="12"/>
      <c r="E9441" s="12"/>
      <c r="H9441" s="11" t="str">
        <f ca="1">IFERROR(__xludf.DUMMYFUNCTION("IFERROR(SUBSTITUTE(SUBSTITUTE(REGEXEXTRACT(A9441, ""[^-]+- [^-]+- [^-]+ - (.+?)\.jpg""), "".jpg"", """"), ""-"", "", ""), """")"),"")</f>
        <v/>
      </c>
      <c r="L9441" s="12"/>
      <c r="M9441" s="13"/>
      <c r="N9441" s="2"/>
      <c r="O9441" s="20"/>
      <c r="P9441" s="42"/>
      <c r="R9441" s="23"/>
    </row>
    <row r="9442" spans="1:18" ht="12.75">
      <c r="A9442" s="12"/>
      <c r="D9442" s="12"/>
      <c r="E9442" s="12"/>
      <c r="H9442" s="11" t="str">
        <f ca="1">IFERROR(__xludf.DUMMYFUNCTION("IFERROR(SUBSTITUTE(SUBSTITUTE(REGEXEXTRACT(A9442, ""[^-]+- [^-]+- [^-]+ - (.+?)\.jpg""), "".jpg"", """"), ""-"", "", ""), """")"),"")</f>
        <v/>
      </c>
      <c r="L9442" s="12"/>
      <c r="M9442" s="13"/>
      <c r="N9442" s="2"/>
      <c r="O9442" s="20"/>
      <c r="P9442" s="42"/>
      <c r="R9442" s="23"/>
    </row>
    <row r="9443" spans="1:18" ht="12.75">
      <c r="A9443" s="12"/>
      <c r="D9443" s="12"/>
      <c r="E9443" s="12"/>
      <c r="H9443" s="11" t="str">
        <f ca="1">IFERROR(__xludf.DUMMYFUNCTION("IFERROR(SUBSTITUTE(SUBSTITUTE(REGEXEXTRACT(A9443, ""[^-]+- [^-]+- [^-]+ - (.+?)\.jpg""), "".jpg"", """"), ""-"", "", ""), """")"),"")</f>
        <v/>
      </c>
      <c r="L9443" s="12"/>
      <c r="M9443" s="13"/>
      <c r="N9443" s="2"/>
      <c r="O9443" s="20"/>
      <c r="P9443" s="42"/>
      <c r="R9443" s="23"/>
    </row>
    <row r="9444" spans="1:18" ht="12.75">
      <c r="A9444" s="12"/>
      <c r="D9444" s="12"/>
      <c r="E9444" s="12"/>
      <c r="H9444" s="11" t="str">
        <f ca="1">IFERROR(__xludf.DUMMYFUNCTION("IFERROR(SUBSTITUTE(SUBSTITUTE(REGEXEXTRACT(A9444, ""[^-]+- [^-]+- [^-]+ - (.+?)\.jpg""), "".jpg"", """"), ""-"", "", ""), """")"),"")</f>
        <v/>
      </c>
      <c r="L9444" s="12"/>
      <c r="M9444" s="13"/>
      <c r="N9444" s="2"/>
      <c r="O9444" s="20"/>
      <c r="P9444" s="42"/>
      <c r="R9444" s="23"/>
    </row>
    <row r="9445" spans="1:18" ht="12.75">
      <c r="A9445" s="12"/>
      <c r="D9445" s="12"/>
      <c r="E9445" s="12"/>
      <c r="H9445" s="11" t="str">
        <f ca="1">IFERROR(__xludf.DUMMYFUNCTION("IFERROR(SUBSTITUTE(SUBSTITUTE(REGEXEXTRACT(A9445, ""[^-]+- [^-]+- [^-]+ - (.+?)\.jpg""), "".jpg"", """"), ""-"", "", ""), """")"),"")</f>
        <v/>
      </c>
      <c r="L9445" s="12"/>
      <c r="M9445" s="13"/>
      <c r="N9445" s="2"/>
      <c r="O9445" s="20"/>
      <c r="P9445" s="42"/>
      <c r="R9445" s="23"/>
    </row>
    <row r="9446" spans="1:18" ht="12.75">
      <c r="A9446" s="12"/>
      <c r="D9446" s="12"/>
      <c r="E9446" s="12"/>
      <c r="H9446" s="11" t="str">
        <f ca="1">IFERROR(__xludf.DUMMYFUNCTION("IFERROR(SUBSTITUTE(SUBSTITUTE(REGEXEXTRACT(A9446, ""[^-]+- [^-]+- [^-]+ - (.+?)\.jpg""), "".jpg"", """"), ""-"", "", ""), """")"),"")</f>
        <v/>
      </c>
      <c r="L9446" s="12"/>
      <c r="M9446" s="13"/>
      <c r="N9446" s="2"/>
      <c r="O9446" s="20"/>
      <c r="P9446" s="42"/>
      <c r="R9446" s="23"/>
    </row>
    <row r="9447" spans="1:18" ht="12.75">
      <c r="A9447" s="12"/>
      <c r="D9447" s="12"/>
      <c r="E9447" s="12"/>
      <c r="H9447" s="11" t="str">
        <f ca="1">IFERROR(__xludf.DUMMYFUNCTION("IFERROR(SUBSTITUTE(SUBSTITUTE(REGEXEXTRACT(A9447, ""[^-]+- [^-]+- [^-]+ - (.+?)\.jpg""), "".jpg"", """"), ""-"", "", ""), """")"),"")</f>
        <v/>
      </c>
      <c r="L9447" s="12"/>
      <c r="M9447" s="13"/>
      <c r="N9447" s="2"/>
      <c r="O9447" s="20"/>
      <c r="P9447" s="42"/>
      <c r="R9447" s="23"/>
    </row>
    <row r="9448" spans="1:18" ht="12.75">
      <c r="A9448" s="12"/>
      <c r="D9448" s="12"/>
      <c r="E9448" s="12"/>
      <c r="H9448" s="11" t="str">
        <f ca="1">IFERROR(__xludf.DUMMYFUNCTION("IFERROR(SUBSTITUTE(SUBSTITUTE(REGEXEXTRACT(A9448, ""[^-]+- [^-]+- [^-]+ - (.+?)\.jpg""), "".jpg"", """"), ""-"", "", ""), """")"),"")</f>
        <v/>
      </c>
      <c r="L9448" s="12"/>
      <c r="M9448" s="13"/>
      <c r="N9448" s="2"/>
      <c r="O9448" s="20"/>
      <c r="P9448" s="42"/>
      <c r="R9448" s="23"/>
    </row>
    <row r="9449" spans="1:18" ht="12.75">
      <c r="A9449" s="12"/>
      <c r="D9449" s="12"/>
      <c r="E9449" s="12"/>
      <c r="H9449" s="11" t="str">
        <f ca="1">IFERROR(__xludf.DUMMYFUNCTION("IFERROR(SUBSTITUTE(SUBSTITUTE(REGEXEXTRACT(A9449, ""[^-]+- [^-]+- [^-]+ - (.+?)\.jpg""), "".jpg"", """"), ""-"", "", ""), """")"),"")</f>
        <v/>
      </c>
      <c r="L9449" s="12"/>
      <c r="M9449" s="13"/>
      <c r="N9449" s="2"/>
      <c r="O9449" s="20"/>
      <c r="P9449" s="42"/>
      <c r="R9449" s="23"/>
    </row>
    <row r="9450" spans="1:18" ht="12.75">
      <c r="A9450" s="12"/>
      <c r="D9450" s="12"/>
      <c r="E9450" s="12"/>
      <c r="H9450" s="11" t="str">
        <f ca="1">IFERROR(__xludf.DUMMYFUNCTION("IFERROR(SUBSTITUTE(SUBSTITUTE(REGEXEXTRACT(A9450, ""[^-]+- [^-]+- [^-]+ - (.+?)\.jpg""), "".jpg"", """"), ""-"", "", ""), """")"),"")</f>
        <v/>
      </c>
      <c r="L9450" s="12"/>
      <c r="M9450" s="13"/>
      <c r="N9450" s="2"/>
      <c r="O9450" s="20"/>
      <c r="P9450" s="42"/>
      <c r="R9450" s="23"/>
    </row>
    <row r="9451" spans="1:18" ht="12.75">
      <c r="A9451" s="12"/>
      <c r="D9451" s="12"/>
      <c r="E9451" s="12"/>
      <c r="H9451" s="11" t="str">
        <f ca="1">IFERROR(__xludf.DUMMYFUNCTION("IFERROR(SUBSTITUTE(SUBSTITUTE(REGEXEXTRACT(A9451, ""[^-]+- [^-]+- [^-]+ - (.+?)\.jpg""), "".jpg"", """"), ""-"", "", ""), """")"),"")</f>
        <v/>
      </c>
      <c r="L9451" s="12"/>
      <c r="M9451" s="13"/>
      <c r="N9451" s="2"/>
      <c r="O9451" s="20"/>
      <c r="P9451" s="42"/>
      <c r="R9451" s="23"/>
    </row>
    <row r="9452" spans="1:18" ht="12.75">
      <c r="A9452" s="12"/>
      <c r="D9452" s="12"/>
      <c r="E9452" s="12"/>
      <c r="H9452" s="11" t="str">
        <f ca="1">IFERROR(__xludf.DUMMYFUNCTION("IFERROR(SUBSTITUTE(SUBSTITUTE(REGEXEXTRACT(A9452, ""[^-]+- [^-]+- [^-]+ - (.+?)\.jpg""), "".jpg"", """"), ""-"", "", ""), """")"),"")</f>
        <v/>
      </c>
      <c r="L9452" s="12"/>
      <c r="M9452" s="13"/>
      <c r="N9452" s="2"/>
      <c r="O9452" s="20"/>
      <c r="P9452" s="42"/>
      <c r="R9452" s="23"/>
    </row>
    <row r="9453" spans="1:18" ht="12.75">
      <c r="A9453" s="12"/>
      <c r="D9453" s="12"/>
      <c r="E9453" s="12"/>
      <c r="H9453" s="11" t="str">
        <f ca="1">IFERROR(__xludf.DUMMYFUNCTION("IFERROR(SUBSTITUTE(SUBSTITUTE(REGEXEXTRACT(A9453, ""[^-]+- [^-]+- [^-]+ - (.+?)\.jpg""), "".jpg"", """"), ""-"", "", ""), """")"),"")</f>
        <v/>
      </c>
      <c r="L9453" s="12"/>
      <c r="M9453" s="13"/>
      <c r="N9453" s="2"/>
      <c r="O9453" s="20"/>
      <c r="P9453" s="42"/>
      <c r="R9453" s="23"/>
    </row>
    <row r="9454" spans="1:18" ht="12.75">
      <c r="A9454" s="12"/>
      <c r="D9454" s="12"/>
      <c r="E9454" s="12"/>
      <c r="H9454" s="11" t="str">
        <f ca="1">IFERROR(__xludf.DUMMYFUNCTION("IFERROR(SUBSTITUTE(SUBSTITUTE(REGEXEXTRACT(A9454, ""[^-]+- [^-]+- [^-]+ - (.+?)\.jpg""), "".jpg"", """"), ""-"", "", ""), """")"),"")</f>
        <v/>
      </c>
      <c r="L9454" s="12"/>
      <c r="M9454" s="13"/>
      <c r="N9454" s="2"/>
      <c r="O9454" s="20"/>
      <c r="P9454" s="42"/>
      <c r="R9454" s="23"/>
    </row>
    <row r="9455" spans="1:18" ht="12.75">
      <c r="A9455" s="12"/>
      <c r="D9455" s="12"/>
      <c r="E9455" s="12"/>
      <c r="H9455" s="11" t="str">
        <f ca="1">IFERROR(__xludf.DUMMYFUNCTION("IFERROR(SUBSTITUTE(SUBSTITUTE(REGEXEXTRACT(A9455, ""[^-]+- [^-]+- [^-]+ - (.+?)\.jpg""), "".jpg"", """"), ""-"", "", ""), """")"),"")</f>
        <v/>
      </c>
      <c r="L9455" s="12"/>
      <c r="M9455" s="13"/>
      <c r="N9455" s="2"/>
      <c r="O9455" s="20"/>
      <c r="P9455" s="42"/>
      <c r="R9455" s="23"/>
    </row>
    <row r="9456" spans="1:18" ht="12.75">
      <c r="A9456" s="12"/>
      <c r="D9456" s="12"/>
      <c r="E9456" s="12"/>
      <c r="H9456" s="11" t="str">
        <f ca="1">IFERROR(__xludf.DUMMYFUNCTION("IFERROR(SUBSTITUTE(SUBSTITUTE(REGEXEXTRACT(A9456, ""[^-]+- [^-]+- [^-]+ - (.+?)\.jpg""), "".jpg"", """"), ""-"", "", ""), """")"),"")</f>
        <v/>
      </c>
      <c r="L9456" s="12"/>
      <c r="M9456" s="13"/>
      <c r="N9456" s="2"/>
      <c r="O9456" s="20"/>
      <c r="P9456" s="42"/>
      <c r="R9456" s="23"/>
    </row>
    <row r="9457" spans="1:18" ht="12.75">
      <c r="A9457" s="12"/>
      <c r="D9457" s="12"/>
      <c r="E9457" s="12"/>
      <c r="H9457" s="11" t="str">
        <f ca="1">IFERROR(__xludf.DUMMYFUNCTION("IFERROR(SUBSTITUTE(SUBSTITUTE(REGEXEXTRACT(A9457, ""[^-]+- [^-]+- [^-]+ - (.+?)\.jpg""), "".jpg"", """"), ""-"", "", ""), """")"),"")</f>
        <v/>
      </c>
      <c r="L9457" s="12"/>
      <c r="M9457" s="13"/>
      <c r="N9457" s="2"/>
      <c r="O9457" s="20"/>
      <c r="P9457" s="42"/>
      <c r="R9457" s="23"/>
    </row>
    <row r="9458" spans="1:18" ht="12.75">
      <c r="A9458" s="12"/>
      <c r="D9458" s="12"/>
      <c r="E9458" s="12"/>
      <c r="H9458" s="11" t="str">
        <f ca="1">IFERROR(__xludf.DUMMYFUNCTION("IFERROR(SUBSTITUTE(SUBSTITUTE(REGEXEXTRACT(A9458, ""[^-]+- [^-]+- [^-]+ - (.+?)\.jpg""), "".jpg"", """"), ""-"", "", ""), """")"),"")</f>
        <v/>
      </c>
      <c r="L9458" s="12"/>
      <c r="M9458" s="13"/>
      <c r="N9458" s="2"/>
      <c r="O9458" s="20"/>
      <c r="P9458" s="42"/>
      <c r="R9458" s="23"/>
    </row>
    <row r="9459" spans="1:18" ht="12.75">
      <c r="A9459" s="12"/>
      <c r="D9459" s="12"/>
      <c r="E9459" s="12"/>
      <c r="H9459" s="11" t="str">
        <f ca="1">IFERROR(__xludf.DUMMYFUNCTION("IFERROR(SUBSTITUTE(SUBSTITUTE(REGEXEXTRACT(A9459, ""[^-]+- [^-]+- [^-]+ - (.+?)\.jpg""), "".jpg"", """"), ""-"", "", ""), """")"),"")</f>
        <v/>
      </c>
      <c r="L9459" s="12"/>
      <c r="M9459" s="13"/>
      <c r="N9459" s="2"/>
      <c r="O9459" s="20"/>
      <c r="P9459" s="42"/>
      <c r="R9459" s="23"/>
    </row>
    <row r="9460" spans="1:18" ht="12.75">
      <c r="A9460" s="12"/>
      <c r="D9460" s="12"/>
      <c r="E9460" s="12"/>
      <c r="H9460" s="11" t="str">
        <f ca="1">IFERROR(__xludf.DUMMYFUNCTION("IFERROR(SUBSTITUTE(SUBSTITUTE(REGEXEXTRACT(A9460, ""[^-]+- [^-]+- [^-]+ - (.+?)\.jpg""), "".jpg"", """"), ""-"", "", ""), """")"),"")</f>
        <v/>
      </c>
      <c r="L9460" s="12"/>
      <c r="M9460" s="13"/>
      <c r="N9460" s="2"/>
      <c r="O9460" s="20"/>
      <c r="P9460" s="42"/>
      <c r="R9460" s="23"/>
    </row>
    <row r="9461" spans="1:18" ht="12.75">
      <c r="A9461" s="12"/>
      <c r="D9461" s="12"/>
      <c r="E9461" s="12"/>
      <c r="H9461" s="11" t="str">
        <f ca="1">IFERROR(__xludf.DUMMYFUNCTION("IFERROR(SUBSTITUTE(SUBSTITUTE(REGEXEXTRACT(A9461, ""[^-]+- [^-]+- [^-]+ - (.+?)\.jpg""), "".jpg"", """"), ""-"", "", ""), """")"),"")</f>
        <v/>
      </c>
      <c r="L9461" s="12"/>
      <c r="M9461" s="13"/>
      <c r="N9461" s="2"/>
      <c r="O9461" s="20"/>
      <c r="P9461" s="42"/>
      <c r="R9461" s="23"/>
    </row>
    <row r="9462" spans="1:18" ht="12.75">
      <c r="A9462" s="12"/>
      <c r="D9462" s="12"/>
      <c r="E9462" s="12"/>
      <c r="H9462" s="11" t="str">
        <f ca="1">IFERROR(__xludf.DUMMYFUNCTION("IFERROR(SUBSTITUTE(SUBSTITUTE(REGEXEXTRACT(A9462, ""[^-]+- [^-]+- [^-]+ - (.+?)\.jpg""), "".jpg"", """"), ""-"", "", ""), """")"),"")</f>
        <v/>
      </c>
      <c r="L9462" s="12"/>
      <c r="M9462" s="13"/>
      <c r="N9462" s="2"/>
      <c r="O9462" s="20"/>
      <c r="P9462" s="42"/>
      <c r="R9462" s="23"/>
    </row>
    <row r="9463" spans="1:18" ht="12.75">
      <c r="A9463" s="12"/>
      <c r="D9463" s="12"/>
      <c r="E9463" s="12"/>
      <c r="H9463" s="11" t="str">
        <f ca="1">IFERROR(__xludf.DUMMYFUNCTION("IFERROR(SUBSTITUTE(SUBSTITUTE(REGEXEXTRACT(A9463, ""[^-]+- [^-]+- [^-]+ - (.+?)\.jpg""), "".jpg"", """"), ""-"", "", ""), """")"),"")</f>
        <v/>
      </c>
      <c r="L9463" s="12"/>
      <c r="M9463" s="13"/>
      <c r="N9463" s="2"/>
      <c r="O9463" s="20"/>
      <c r="P9463" s="42"/>
      <c r="R9463" s="23"/>
    </row>
    <row r="9464" spans="1:18" ht="12.75">
      <c r="A9464" s="12"/>
      <c r="D9464" s="12"/>
      <c r="E9464" s="12"/>
      <c r="H9464" s="11" t="str">
        <f ca="1">IFERROR(__xludf.DUMMYFUNCTION("IFERROR(SUBSTITUTE(SUBSTITUTE(REGEXEXTRACT(A9464, ""[^-]+- [^-]+- [^-]+ - (.+?)\.jpg""), "".jpg"", """"), ""-"", "", ""), """")"),"")</f>
        <v/>
      </c>
      <c r="L9464" s="12"/>
      <c r="M9464" s="13"/>
      <c r="N9464" s="2"/>
      <c r="O9464" s="20"/>
      <c r="P9464" s="42"/>
      <c r="R9464" s="23"/>
    </row>
    <row r="9465" spans="1:18" ht="12.75">
      <c r="A9465" s="12"/>
      <c r="D9465" s="12"/>
      <c r="E9465" s="12"/>
      <c r="H9465" s="11" t="str">
        <f ca="1">IFERROR(__xludf.DUMMYFUNCTION("IFERROR(SUBSTITUTE(SUBSTITUTE(REGEXEXTRACT(A9465, ""[^-]+- [^-]+- [^-]+ - (.+?)\.jpg""), "".jpg"", """"), ""-"", "", ""), """")"),"")</f>
        <v/>
      </c>
      <c r="L9465" s="12"/>
      <c r="M9465" s="13"/>
      <c r="N9465" s="2"/>
      <c r="O9465" s="20"/>
      <c r="P9465" s="42"/>
      <c r="R9465" s="23"/>
    </row>
    <row r="9466" spans="1:18" ht="12.75">
      <c r="A9466" s="12"/>
      <c r="D9466" s="12"/>
      <c r="E9466" s="12"/>
      <c r="H9466" s="11" t="str">
        <f ca="1">IFERROR(__xludf.DUMMYFUNCTION("IFERROR(SUBSTITUTE(SUBSTITUTE(REGEXEXTRACT(A9466, ""[^-]+- [^-]+- [^-]+ - (.+?)\.jpg""), "".jpg"", """"), ""-"", "", ""), """")"),"")</f>
        <v/>
      </c>
      <c r="L9466" s="12"/>
      <c r="M9466" s="13"/>
      <c r="N9466" s="2"/>
      <c r="O9466" s="20"/>
      <c r="P9466" s="42"/>
      <c r="R9466" s="23"/>
    </row>
    <row r="9467" spans="1:18" ht="12.75">
      <c r="A9467" s="12"/>
      <c r="D9467" s="12"/>
      <c r="E9467" s="12"/>
      <c r="H9467" s="11" t="str">
        <f ca="1">IFERROR(__xludf.DUMMYFUNCTION("IFERROR(SUBSTITUTE(SUBSTITUTE(REGEXEXTRACT(A9467, ""[^-]+- [^-]+- [^-]+ - (.+?)\.jpg""), "".jpg"", """"), ""-"", "", ""), """")"),"")</f>
        <v/>
      </c>
      <c r="L9467" s="12"/>
      <c r="M9467" s="13"/>
      <c r="N9467" s="2"/>
      <c r="O9467" s="20"/>
      <c r="P9467" s="42"/>
      <c r="R9467" s="23"/>
    </row>
    <row r="9468" spans="1:18" ht="12.75">
      <c r="A9468" s="12"/>
      <c r="D9468" s="12"/>
      <c r="E9468" s="12"/>
      <c r="H9468" s="11" t="str">
        <f ca="1">IFERROR(__xludf.DUMMYFUNCTION("IFERROR(SUBSTITUTE(SUBSTITUTE(REGEXEXTRACT(A9468, ""[^-]+- [^-]+- [^-]+ - (.+?)\.jpg""), "".jpg"", """"), ""-"", "", ""), """")"),"")</f>
        <v/>
      </c>
      <c r="L9468" s="12"/>
      <c r="M9468" s="13"/>
      <c r="N9468" s="2"/>
      <c r="O9468" s="20"/>
      <c r="P9468" s="42"/>
      <c r="R9468" s="23"/>
    </row>
    <row r="9469" spans="1:18" ht="12.75">
      <c r="A9469" s="12"/>
      <c r="D9469" s="12"/>
      <c r="E9469" s="12"/>
      <c r="H9469" s="11" t="str">
        <f ca="1">IFERROR(__xludf.DUMMYFUNCTION("IFERROR(SUBSTITUTE(SUBSTITUTE(REGEXEXTRACT(A9469, ""[^-]+- [^-]+- [^-]+ - (.+?)\.jpg""), "".jpg"", """"), ""-"", "", ""), """")"),"")</f>
        <v/>
      </c>
      <c r="L9469" s="12"/>
      <c r="M9469" s="13"/>
      <c r="N9469" s="2"/>
      <c r="O9469" s="20"/>
      <c r="P9469" s="42"/>
      <c r="R9469" s="23"/>
    </row>
    <row r="9470" spans="1:18" ht="12.75">
      <c r="A9470" s="12"/>
      <c r="D9470" s="12"/>
      <c r="E9470" s="12"/>
      <c r="H9470" s="11" t="str">
        <f ca="1">IFERROR(__xludf.DUMMYFUNCTION("IFERROR(SUBSTITUTE(SUBSTITUTE(REGEXEXTRACT(A9470, ""[^-]+- [^-]+- [^-]+ - (.+?)\.jpg""), "".jpg"", """"), ""-"", "", ""), """")"),"")</f>
        <v/>
      </c>
      <c r="L9470" s="12"/>
      <c r="M9470" s="13"/>
      <c r="N9470" s="2"/>
      <c r="O9470" s="20"/>
      <c r="P9470" s="42"/>
      <c r="R9470" s="23"/>
    </row>
    <row r="9471" spans="1:18" ht="12.75">
      <c r="A9471" s="12"/>
      <c r="D9471" s="12"/>
      <c r="E9471" s="12"/>
      <c r="H9471" s="11" t="str">
        <f ca="1">IFERROR(__xludf.DUMMYFUNCTION("IFERROR(SUBSTITUTE(SUBSTITUTE(REGEXEXTRACT(A9471, ""[^-]+- [^-]+- [^-]+ - (.+?)\.jpg""), "".jpg"", """"), ""-"", "", ""), """")"),"")</f>
        <v/>
      </c>
      <c r="L9471" s="12"/>
      <c r="M9471" s="13"/>
      <c r="N9471" s="2"/>
      <c r="O9471" s="20"/>
      <c r="P9471" s="42"/>
      <c r="R9471" s="23"/>
    </row>
    <row r="9472" spans="1:18" ht="12.75">
      <c r="A9472" s="12"/>
      <c r="D9472" s="12"/>
      <c r="E9472" s="12"/>
      <c r="H9472" s="11" t="str">
        <f ca="1">IFERROR(__xludf.DUMMYFUNCTION("IFERROR(SUBSTITUTE(SUBSTITUTE(REGEXEXTRACT(A9472, ""[^-]+- [^-]+- [^-]+ - (.+?)\.jpg""), "".jpg"", """"), ""-"", "", ""), """")"),"")</f>
        <v/>
      </c>
      <c r="L9472" s="12"/>
      <c r="M9472" s="13"/>
      <c r="N9472" s="2"/>
      <c r="O9472" s="20"/>
      <c r="P9472" s="42"/>
      <c r="R9472" s="23"/>
    </row>
    <row r="9473" spans="1:18" ht="12.75">
      <c r="A9473" s="12"/>
      <c r="D9473" s="12"/>
      <c r="E9473" s="12"/>
      <c r="H9473" s="11" t="str">
        <f ca="1">IFERROR(__xludf.DUMMYFUNCTION("IFERROR(SUBSTITUTE(SUBSTITUTE(REGEXEXTRACT(A9473, ""[^-]+- [^-]+- [^-]+ - (.+?)\.jpg""), "".jpg"", """"), ""-"", "", ""), """")"),"")</f>
        <v/>
      </c>
      <c r="L9473" s="12"/>
      <c r="M9473" s="13"/>
      <c r="N9473" s="2"/>
      <c r="O9473" s="20"/>
      <c r="P9473" s="42"/>
      <c r="R9473" s="23"/>
    </row>
    <row r="9474" spans="1:18" ht="12.75">
      <c r="A9474" s="12"/>
      <c r="D9474" s="12"/>
      <c r="E9474" s="12"/>
      <c r="H9474" s="11" t="str">
        <f ca="1">IFERROR(__xludf.DUMMYFUNCTION("IFERROR(SUBSTITUTE(SUBSTITUTE(REGEXEXTRACT(A9474, ""[^-]+- [^-]+- [^-]+ - (.+?)\.jpg""), "".jpg"", """"), ""-"", "", ""), """")"),"")</f>
        <v/>
      </c>
      <c r="L9474" s="12"/>
      <c r="M9474" s="13"/>
      <c r="N9474" s="2"/>
      <c r="O9474" s="20"/>
      <c r="P9474" s="42"/>
      <c r="R9474" s="23"/>
    </row>
    <row r="9475" spans="1:18" ht="12.75">
      <c r="A9475" s="12"/>
      <c r="D9475" s="12"/>
      <c r="E9475" s="12"/>
      <c r="H9475" s="11" t="str">
        <f ca="1">IFERROR(__xludf.DUMMYFUNCTION("IFERROR(SUBSTITUTE(SUBSTITUTE(REGEXEXTRACT(A9475, ""[^-]+- [^-]+- [^-]+ - (.+?)\.jpg""), "".jpg"", """"), ""-"", "", ""), """")"),"")</f>
        <v/>
      </c>
      <c r="L9475" s="12"/>
      <c r="M9475" s="13"/>
      <c r="N9475" s="2"/>
      <c r="O9475" s="20"/>
      <c r="P9475" s="42"/>
      <c r="R9475" s="23"/>
    </row>
    <row r="9476" spans="1:18" ht="12.75">
      <c r="A9476" s="12"/>
      <c r="D9476" s="12"/>
      <c r="E9476" s="12"/>
      <c r="H9476" s="11" t="str">
        <f ca="1">IFERROR(__xludf.DUMMYFUNCTION("IFERROR(SUBSTITUTE(SUBSTITUTE(REGEXEXTRACT(A9476, ""[^-]+- [^-]+- [^-]+ - (.+?)\.jpg""), "".jpg"", """"), ""-"", "", ""), """")"),"")</f>
        <v/>
      </c>
      <c r="L9476" s="12"/>
      <c r="M9476" s="13"/>
      <c r="N9476" s="2"/>
      <c r="O9476" s="20"/>
      <c r="P9476" s="42"/>
      <c r="R9476" s="23"/>
    </row>
    <row r="9477" spans="1:18" ht="12.75">
      <c r="A9477" s="12"/>
      <c r="D9477" s="12"/>
      <c r="E9477" s="12"/>
      <c r="H9477" s="11" t="str">
        <f ca="1">IFERROR(__xludf.DUMMYFUNCTION("IFERROR(SUBSTITUTE(SUBSTITUTE(REGEXEXTRACT(A9477, ""[^-]+- [^-]+- [^-]+ - (.+?)\.jpg""), "".jpg"", """"), ""-"", "", ""), """")"),"")</f>
        <v/>
      </c>
      <c r="L9477" s="12"/>
      <c r="M9477" s="13"/>
      <c r="N9477" s="2"/>
      <c r="O9477" s="20"/>
      <c r="P9477" s="42"/>
      <c r="R9477" s="23"/>
    </row>
    <row r="9478" spans="1:18" ht="12.75">
      <c r="A9478" s="12"/>
      <c r="D9478" s="12"/>
      <c r="E9478" s="12"/>
      <c r="H9478" s="11" t="str">
        <f ca="1">IFERROR(__xludf.DUMMYFUNCTION("IFERROR(SUBSTITUTE(SUBSTITUTE(REGEXEXTRACT(A9478, ""[^-]+- [^-]+- [^-]+ - (.+?)\.jpg""), "".jpg"", """"), ""-"", "", ""), """")"),"")</f>
        <v/>
      </c>
      <c r="L9478" s="12"/>
      <c r="M9478" s="13"/>
      <c r="N9478" s="2"/>
      <c r="O9478" s="20"/>
      <c r="P9478" s="42"/>
      <c r="R9478" s="23"/>
    </row>
    <row r="9479" spans="1:18" ht="12.75">
      <c r="A9479" s="12"/>
      <c r="D9479" s="12"/>
      <c r="E9479" s="12"/>
      <c r="H9479" s="11" t="str">
        <f ca="1">IFERROR(__xludf.DUMMYFUNCTION("IFERROR(SUBSTITUTE(SUBSTITUTE(REGEXEXTRACT(A9479, ""[^-]+- [^-]+- [^-]+ - (.+?)\.jpg""), "".jpg"", """"), ""-"", "", ""), """")"),"")</f>
        <v/>
      </c>
      <c r="L9479" s="12"/>
      <c r="M9479" s="13"/>
      <c r="N9479" s="2"/>
      <c r="O9479" s="20"/>
      <c r="P9479" s="42"/>
      <c r="R9479" s="23"/>
    </row>
    <row r="9480" spans="1:18" ht="12.75">
      <c r="A9480" s="12"/>
      <c r="D9480" s="12"/>
      <c r="E9480" s="12"/>
      <c r="H9480" s="11" t="str">
        <f ca="1">IFERROR(__xludf.DUMMYFUNCTION("IFERROR(SUBSTITUTE(SUBSTITUTE(REGEXEXTRACT(A9480, ""[^-]+- [^-]+- [^-]+ - (.+?)\.jpg""), "".jpg"", """"), ""-"", "", ""), """")"),"")</f>
        <v/>
      </c>
      <c r="L9480" s="12"/>
      <c r="M9480" s="13"/>
      <c r="N9480" s="2"/>
      <c r="O9480" s="20"/>
      <c r="P9480" s="42"/>
      <c r="R9480" s="23"/>
    </row>
    <row r="9481" spans="1:18" ht="12.75">
      <c r="A9481" s="12"/>
      <c r="D9481" s="12"/>
      <c r="E9481" s="12"/>
      <c r="H9481" s="11" t="str">
        <f ca="1">IFERROR(__xludf.DUMMYFUNCTION("IFERROR(SUBSTITUTE(SUBSTITUTE(REGEXEXTRACT(A9481, ""[^-]+- [^-]+- [^-]+ - (.+?)\.jpg""), "".jpg"", """"), ""-"", "", ""), """")"),"")</f>
        <v/>
      </c>
      <c r="L9481" s="12"/>
      <c r="M9481" s="13"/>
      <c r="N9481" s="2"/>
      <c r="O9481" s="20"/>
      <c r="P9481" s="42"/>
      <c r="R9481" s="23"/>
    </row>
    <row r="9482" spans="1:18" ht="12.75">
      <c r="A9482" s="12"/>
      <c r="D9482" s="12"/>
      <c r="E9482" s="12"/>
      <c r="H9482" s="11" t="str">
        <f ca="1">IFERROR(__xludf.DUMMYFUNCTION("IFERROR(SUBSTITUTE(SUBSTITUTE(REGEXEXTRACT(A9482, ""[^-]+- [^-]+- [^-]+ - (.+?)\.jpg""), "".jpg"", """"), ""-"", "", ""), """")"),"")</f>
        <v/>
      </c>
      <c r="L9482" s="12"/>
      <c r="M9482" s="13"/>
      <c r="N9482" s="2"/>
      <c r="O9482" s="20"/>
      <c r="P9482" s="42"/>
      <c r="R9482" s="23"/>
    </row>
    <row r="9483" spans="1:18" ht="12.75">
      <c r="A9483" s="12"/>
      <c r="D9483" s="12"/>
      <c r="E9483" s="12"/>
      <c r="H9483" s="11" t="str">
        <f ca="1">IFERROR(__xludf.DUMMYFUNCTION("IFERROR(SUBSTITUTE(SUBSTITUTE(REGEXEXTRACT(A9483, ""[^-]+- [^-]+- [^-]+ - (.+?)\.jpg""), "".jpg"", """"), ""-"", "", ""), """")"),"")</f>
        <v/>
      </c>
      <c r="L9483" s="12"/>
      <c r="M9483" s="13"/>
      <c r="N9483" s="2"/>
      <c r="O9483" s="20"/>
      <c r="P9483" s="42"/>
      <c r="R9483" s="23"/>
    </row>
    <row r="9484" spans="1:18" ht="12.75">
      <c r="A9484" s="12"/>
      <c r="D9484" s="12"/>
      <c r="E9484" s="12"/>
      <c r="H9484" s="11" t="str">
        <f ca="1">IFERROR(__xludf.DUMMYFUNCTION("IFERROR(SUBSTITUTE(SUBSTITUTE(REGEXEXTRACT(A9484, ""[^-]+- [^-]+- [^-]+ - (.+?)\.jpg""), "".jpg"", """"), ""-"", "", ""), """")"),"")</f>
        <v/>
      </c>
      <c r="L9484" s="12"/>
      <c r="M9484" s="13"/>
      <c r="N9484" s="2"/>
      <c r="O9484" s="20"/>
      <c r="P9484" s="42"/>
      <c r="R9484" s="23"/>
    </row>
    <row r="9485" spans="1:18" ht="12.75">
      <c r="A9485" s="12"/>
      <c r="D9485" s="12"/>
      <c r="E9485" s="12"/>
      <c r="H9485" s="11" t="str">
        <f ca="1">IFERROR(__xludf.DUMMYFUNCTION("IFERROR(SUBSTITUTE(SUBSTITUTE(REGEXEXTRACT(A9485, ""[^-]+- [^-]+- [^-]+ - (.+?)\.jpg""), "".jpg"", """"), ""-"", "", ""), """")"),"")</f>
        <v/>
      </c>
      <c r="L9485" s="12"/>
      <c r="M9485" s="13"/>
      <c r="N9485" s="2"/>
      <c r="O9485" s="20"/>
      <c r="P9485" s="42"/>
      <c r="R9485" s="23"/>
    </row>
    <row r="9486" spans="1:18" ht="12.75">
      <c r="A9486" s="12"/>
      <c r="D9486" s="12"/>
      <c r="E9486" s="12"/>
      <c r="H9486" s="11" t="str">
        <f ca="1">IFERROR(__xludf.DUMMYFUNCTION("IFERROR(SUBSTITUTE(SUBSTITUTE(REGEXEXTRACT(A9486, ""[^-]+- [^-]+- [^-]+ - (.+?)\.jpg""), "".jpg"", """"), ""-"", "", ""), """")"),"")</f>
        <v/>
      </c>
      <c r="L9486" s="12"/>
      <c r="M9486" s="13"/>
      <c r="N9486" s="2"/>
      <c r="O9486" s="20"/>
      <c r="P9486" s="42"/>
      <c r="R9486" s="23"/>
    </row>
    <row r="9487" spans="1:18" ht="12.75">
      <c r="A9487" s="12"/>
      <c r="D9487" s="12"/>
      <c r="E9487" s="12"/>
      <c r="H9487" s="11" t="str">
        <f ca="1">IFERROR(__xludf.DUMMYFUNCTION("IFERROR(SUBSTITUTE(SUBSTITUTE(REGEXEXTRACT(A9487, ""[^-]+- [^-]+- [^-]+ - (.+?)\.jpg""), "".jpg"", """"), ""-"", "", ""), """")"),"")</f>
        <v/>
      </c>
      <c r="L9487" s="12"/>
      <c r="M9487" s="13"/>
      <c r="N9487" s="2"/>
      <c r="O9487" s="20"/>
      <c r="P9487" s="42"/>
      <c r="R9487" s="23"/>
    </row>
    <row r="9488" spans="1:18" ht="12.75">
      <c r="A9488" s="12"/>
      <c r="D9488" s="12"/>
      <c r="E9488" s="12"/>
      <c r="H9488" s="11" t="str">
        <f ca="1">IFERROR(__xludf.DUMMYFUNCTION("IFERROR(SUBSTITUTE(SUBSTITUTE(REGEXEXTRACT(A9488, ""[^-]+- [^-]+- [^-]+ - (.+?)\.jpg""), "".jpg"", """"), ""-"", "", ""), """")"),"")</f>
        <v/>
      </c>
      <c r="L9488" s="12"/>
      <c r="M9488" s="13"/>
      <c r="N9488" s="2"/>
      <c r="O9488" s="20"/>
      <c r="P9488" s="42"/>
      <c r="R9488" s="23"/>
    </row>
    <row r="9489" spans="1:18" ht="12.75">
      <c r="A9489" s="12"/>
      <c r="D9489" s="12"/>
      <c r="E9489" s="12"/>
      <c r="H9489" s="11" t="str">
        <f ca="1">IFERROR(__xludf.DUMMYFUNCTION("IFERROR(SUBSTITUTE(SUBSTITUTE(REGEXEXTRACT(A9489, ""[^-]+- [^-]+- [^-]+ - (.+?)\.jpg""), "".jpg"", """"), ""-"", "", ""), """")"),"")</f>
        <v/>
      </c>
      <c r="L9489" s="12"/>
      <c r="M9489" s="13"/>
      <c r="N9489" s="2"/>
      <c r="O9489" s="20"/>
      <c r="P9489" s="42"/>
      <c r="R9489" s="23"/>
    </row>
    <row r="9490" spans="1:18" ht="12.75">
      <c r="A9490" s="12"/>
      <c r="D9490" s="12"/>
      <c r="E9490" s="12"/>
      <c r="H9490" s="11" t="str">
        <f ca="1">IFERROR(__xludf.DUMMYFUNCTION("IFERROR(SUBSTITUTE(SUBSTITUTE(REGEXEXTRACT(A9490, ""[^-]+- [^-]+- [^-]+ - (.+?)\.jpg""), "".jpg"", """"), ""-"", "", ""), """")"),"")</f>
        <v/>
      </c>
      <c r="L9490" s="12"/>
      <c r="M9490" s="13"/>
      <c r="N9490" s="2"/>
      <c r="O9490" s="20"/>
      <c r="P9490" s="42"/>
      <c r="R9490" s="23"/>
    </row>
    <row r="9491" spans="1:18" ht="12.75">
      <c r="A9491" s="12"/>
      <c r="D9491" s="12"/>
      <c r="E9491" s="12"/>
      <c r="H9491" s="11" t="str">
        <f ca="1">IFERROR(__xludf.DUMMYFUNCTION("IFERROR(SUBSTITUTE(SUBSTITUTE(REGEXEXTRACT(A9491, ""[^-]+- [^-]+- [^-]+ - (.+?)\.jpg""), "".jpg"", """"), ""-"", "", ""), """")"),"")</f>
        <v/>
      </c>
      <c r="L9491" s="12"/>
      <c r="M9491" s="13"/>
      <c r="N9491" s="2"/>
      <c r="O9491" s="20"/>
      <c r="P9491" s="42"/>
      <c r="R9491" s="23"/>
    </row>
    <row r="9492" spans="1:18" ht="12.75">
      <c r="A9492" s="12"/>
      <c r="D9492" s="12"/>
      <c r="E9492" s="12"/>
      <c r="H9492" s="11" t="str">
        <f ca="1">IFERROR(__xludf.DUMMYFUNCTION("IFERROR(SUBSTITUTE(SUBSTITUTE(REGEXEXTRACT(A9492, ""[^-]+- [^-]+- [^-]+ - (.+?)\.jpg""), "".jpg"", """"), ""-"", "", ""), """")"),"")</f>
        <v/>
      </c>
      <c r="L9492" s="12"/>
      <c r="M9492" s="13"/>
      <c r="N9492" s="2"/>
      <c r="O9492" s="20"/>
      <c r="P9492" s="42"/>
      <c r="R9492" s="23"/>
    </row>
    <row r="9493" spans="1:18" ht="12.75">
      <c r="A9493" s="12"/>
      <c r="D9493" s="12"/>
      <c r="E9493" s="12"/>
      <c r="H9493" s="11" t="str">
        <f ca="1">IFERROR(__xludf.DUMMYFUNCTION("IFERROR(SUBSTITUTE(SUBSTITUTE(REGEXEXTRACT(A9493, ""[^-]+- [^-]+- [^-]+ - (.+?)\.jpg""), "".jpg"", """"), ""-"", "", ""), """")"),"")</f>
        <v/>
      </c>
      <c r="L9493" s="12"/>
      <c r="M9493" s="13"/>
      <c r="N9493" s="2"/>
      <c r="O9493" s="20"/>
      <c r="P9493" s="42"/>
      <c r="R9493" s="23"/>
    </row>
    <row r="9494" spans="1:18" ht="12.75">
      <c r="A9494" s="12"/>
      <c r="D9494" s="12"/>
      <c r="E9494" s="12"/>
      <c r="H9494" s="11" t="str">
        <f ca="1">IFERROR(__xludf.DUMMYFUNCTION("IFERROR(SUBSTITUTE(SUBSTITUTE(REGEXEXTRACT(A9494, ""[^-]+- [^-]+- [^-]+ - (.+?)\.jpg""), "".jpg"", """"), ""-"", "", ""), """")"),"")</f>
        <v/>
      </c>
      <c r="L9494" s="12"/>
      <c r="M9494" s="13"/>
      <c r="N9494" s="2"/>
      <c r="O9494" s="20"/>
      <c r="P9494" s="42"/>
      <c r="R9494" s="23"/>
    </row>
    <row r="9495" spans="1:18" ht="12.75">
      <c r="A9495" s="12"/>
      <c r="D9495" s="12"/>
      <c r="E9495" s="12"/>
      <c r="H9495" s="11" t="str">
        <f ca="1">IFERROR(__xludf.DUMMYFUNCTION("IFERROR(SUBSTITUTE(SUBSTITUTE(REGEXEXTRACT(A9495, ""[^-]+- [^-]+- [^-]+ - (.+?)\.jpg""), "".jpg"", """"), ""-"", "", ""), """")"),"")</f>
        <v/>
      </c>
      <c r="L9495" s="12"/>
      <c r="M9495" s="13"/>
      <c r="N9495" s="2"/>
      <c r="O9495" s="20"/>
      <c r="P9495" s="42"/>
      <c r="R9495" s="23"/>
    </row>
    <row r="9496" spans="1:18" ht="12.75">
      <c r="A9496" s="12"/>
      <c r="D9496" s="12"/>
      <c r="E9496" s="12"/>
      <c r="H9496" s="11" t="str">
        <f ca="1">IFERROR(__xludf.DUMMYFUNCTION("IFERROR(SUBSTITUTE(SUBSTITUTE(REGEXEXTRACT(A9496, ""[^-]+- [^-]+- [^-]+ - (.+?)\.jpg""), "".jpg"", """"), ""-"", "", ""), """")"),"")</f>
        <v/>
      </c>
      <c r="L9496" s="12"/>
      <c r="M9496" s="13"/>
      <c r="N9496" s="2"/>
      <c r="O9496" s="20"/>
      <c r="P9496" s="42"/>
      <c r="R9496" s="23"/>
    </row>
    <row r="9497" spans="1:18" ht="12.75">
      <c r="A9497" s="12"/>
      <c r="D9497" s="12"/>
      <c r="E9497" s="12"/>
      <c r="H9497" s="11" t="str">
        <f ca="1">IFERROR(__xludf.DUMMYFUNCTION("IFERROR(SUBSTITUTE(SUBSTITUTE(REGEXEXTRACT(A9497, ""[^-]+- [^-]+- [^-]+ - (.+?)\.jpg""), "".jpg"", """"), ""-"", "", ""), """")"),"")</f>
        <v/>
      </c>
      <c r="L9497" s="12"/>
      <c r="M9497" s="13"/>
      <c r="N9497" s="2"/>
      <c r="O9497" s="20"/>
      <c r="P9497" s="42"/>
      <c r="R9497" s="23"/>
    </row>
    <row r="9498" spans="1:18" ht="12.75">
      <c r="A9498" s="12"/>
      <c r="D9498" s="12"/>
      <c r="E9498" s="12"/>
      <c r="H9498" s="11" t="str">
        <f ca="1">IFERROR(__xludf.DUMMYFUNCTION("IFERROR(SUBSTITUTE(SUBSTITUTE(REGEXEXTRACT(A9498, ""[^-]+- [^-]+- [^-]+ - (.+?)\.jpg""), "".jpg"", """"), ""-"", "", ""), """")"),"")</f>
        <v/>
      </c>
      <c r="L9498" s="12"/>
      <c r="M9498" s="13"/>
      <c r="N9498" s="2"/>
      <c r="O9498" s="20"/>
      <c r="P9498" s="42"/>
      <c r="R9498" s="23"/>
    </row>
    <row r="9499" spans="1:18" ht="12.75">
      <c r="A9499" s="12"/>
      <c r="D9499" s="12"/>
      <c r="E9499" s="12"/>
      <c r="H9499" s="11" t="str">
        <f ca="1">IFERROR(__xludf.DUMMYFUNCTION("IFERROR(SUBSTITUTE(SUBSTITUTE(REGEXEXTRACT(A9499, ""[^-]+- [^-]+- [^-]+ - (.+?)\.jpg""), "".jpg"", """"), ""-"", "", ""), """")"),"")</f>
        <v/>
      </c>
      <c r="L9499" s="12"/>
      <c r="M9499" s="13"/>
      <c r="N9499" s="2"/>
      <c r="O9499" s="20"/>
      <c r="P9499" s="42"/>
      <c r="R9499" s="23"/>
    </row>
    <row r="9500" spans="1:18" ht="12.75">
      <c r="A9500" s="12"/>
      <c r="D9500" s="12"/>
      <c r="E9500" s="12"/>
      <c r="H9500" s="11" t="str">
        <f ca="1">IFERROR(__xludf.DUMMYFUNCTION("IFERROR(SUBSTITUTE(SUBSTITUTE(REGEXEXTRACT(A9500, ""[^-]+- [^-]+- [^-]+ - (.+?)\.jpg""), "".jpg"", """"), ""-"", "", ""), """")"),"")</f>
        <v/>
      </c>
      <c r="L9500" s="12"/>
      <c r="M9500" s="13"/>
      <c r="N9500" s="2"/>
      <c r="O9500" s="20"/>
      <c r="P9500" s="42"/>
      <c r="R9500" s="23"/>
    </row>
    <row r="9501" spans="1:18" ht="12.75">
      <c r="A9501" s="12"/>
      <c r="D9501" s="12"/>
      <c r="E9501" s="12"/>
      <c r="H9501" s="11" t="str">
        <f ca="1">IFERROR(__xludf.DUMMYFUNCTION("IFERROR(SUBSTITUTE(SUBSTITUTE(REGEXEXTRACT(A9501, ""[^-]+- [^-]+- [^-]+ - (.+?)\.jpg""), "".jpg"", """"), ""-"", "", ""), """")"),"")</f>
        <v/>
      </c>
      <c r="L9501" s="12"/>
      <c r="M9501" s="13"/>
      <c r="N9501" s="2"/>
      <c r="O9501" s="20"/>
      <c r="P9501" s="42"/>
      <c r="R9501" s="23"/>
    </row>
    <row r="9502" spans="1:18" ht="12.75">
      <c r="A9502" s="12"/>
      <c r="D9502" s="12"/>
      <c r="E9502" s="12"/>
      <c r="H9502" s="11" t="str">
        <f ca="1">IFERROR(__xludf.DUMMYFUNCTION("IFERROR(SUBSTITUTE(SUBSTITUTE(REGEXEXTRACT(A9502, ""[^-]+- [^-]+- [^-]+ - (.+?)\.jpg""), "".jpg"", """"), ""-"", "", ""), """")"),"")</f>
        <v/>
      </c>
      <c r="L9502" s="12"/>
      <c r="M9502" s="13"/>
      <c r="N9502" s="2"/>
      <c r="O9502" s="20"/>
      <c r="P9502" s="42"/>
      <c r="R9502" s="23"/>
    </row>
    <row r="9503" spans="1:18" ht="12.75">
      <c r="A9503" s="12"/>
      <c r="D9503" s="12"/>
      <c r="E9503" s="12"/>
      <c r="H9503" s="11" t="str">
        <f ca="1">IFERROR(__xludf.DUMMYFUNCTION("IFERROR(SUBSTITUTE(SUBSTITUTE(REGEXEXTRACT(A9503, ""[^-]+- [^-]+- [^-]+ - (.+?)\.jpg""), "".jpg"", """"), ""-"", "", ""), """")"),"")</f>
        <v/>
      </c>
      <c r="L9503" s="12"/>
      <c r="M9503" s="13"/>
      <c r="N9503" s="2"/>
      <c r="O9503" s="20"/>
      <c r="P9503" s="42"/>
      <c r="R9503" s="23"/>
    </row>
    <row r="9504" spans="1:18" ht="12.75">
      <c r="A9504" s="12"/>
      <c r="D9504" s="12"/>
      <c r="E9504" s="12"/>
      <c r="H9504" s="11" t="str">
        <f ca="1">IFERROR(__xludf.DUMMYFUNCTION("IFERROR(SUBSTITUTE(SUBSTITUTE(REGEXEXTRACT(A9504, ""[^-]+- [^-]+- [^-]+ - (.+?)\.jpg""), "".jpg"", """"), ""-"", "", ""), """")"),"")</f>
        <v/>
      </c>
      <c r="L9504" s="12"/>
      <c r="M9504" s="13"/>
      <c r="N9504" s="2"/>
      <c r="O9504" s="20"/>
      <c r="P9504" s="42"/>
      <c r="R9504" s="23"/>
    </row>
    <row r="9505" spans="1:18" ht="12.75">
      <c r="A9505" s="12"/>
      <c r="D9505" s="12"/>
      <c r="E9505" s="12"/>
      <c r="H9505" s="11" t="str">
        <f ca="1">IFERROR(__xludf.DUMMYFUNCTION("IFERROR(SUBSTITUTE(SUBSTITUTE(REGEXEXTRACT(A9505, ""[^-]+- [^-]+- [^-]+ - (.+?)\.jpg""), "".jpg"", """"), ""-"", "", ""), """")"),"")</f>
        <v/>
      </c>
      <c r="L9505" s="12"/>
      <c r="M9505" s="13"/>
      <c r="N9505" s="2"/>
      <c r="O9505" s="20"/>
      <c r="P9505" s="42"/>
      <c r="R9505" s="23"/>
    </row>
    <row r="9506" spans="1:18" ht="12.75">
      <c r="A9506" s="12"/>
      <c r="D9506" s="12"/>
      <c r="E9506" s="12"/>
      <c r="H9506" s="11" t="str">
        <f ca="1">IFERROR(__xludf.DUMMYFUNCTION("IFERROR(SUBSTITUTE(SUBSTITUTE(REGEXEXTRACT(A9506, ""[^-]+- [^-]+- [^-]+ - (.+?)\.jpg""), "".jpg"", """"), ""-"", "", ""), """")"),"")</f>
        <v/>
      </c>
      <c r="L9506" s="12"/>
      <c r="M9506" s="13"/>
      <c r="N9506" s="2"/>
      <c r="O9506" s="20"/>
      <c r="P9506" s="42"/>
      <c r="R9506" s="23"/>
    </row>
    <row r="9507" spans="1:18" ht="12.75">
      <c r="A9507" s="12"/>
      <c r="D9507" s="12"/>
      <c r="E9507" s="12"/>
      <c r="H9507" s="11" t="str">
        <f ca="1">IFERROR(__xludf.DUMMYFUNCTION("IFERROR(SUBSTITUTE(SUBSTITUTE(REGEXEXTRACT(A9507, ""[^-]+- [^-]+- [^-]+ - (.+?)\.jpg""), "".jpg"", """"), ""-"", "", ""), """")"),"")</f>
        <v/>
      </c>
      <c r="L9507" s="12"/>
      <c r="M9507" s="13"/>
      <c r="N9507" s="2"/>
      <c r="O9507" s="20"/>
      <c r="P9507" s="42"/>
      <c r="R9507" s="23"/>
    </row>
    <row r="9508" spans="1:18" ht="12.75">
      <c r="A9508" s="12"/>
      <c r="D9508" s="12"/>
      <c r="E9508" s="12"/>
      <c r="H9508" s="11" t="str">
        <f ca="1">IFERROR(__xludf.DUMMYFUNCTION("IFERROR(SUBSTITUTE(SUBSTITUTE(REGEXEXTRACT(A9508, ""[^-]+- [^-]+- [^-]+ - (.+?)\.jpg""), "".jpg"", """"), ""-"", "", ""), """")"),"")</f>
        <v/>
      </c>
      <c r="L9508" s="12"/>
      <c r="M9508" s="13"/>
      <c r="N9508" s="2"/>
      <c r="O9508" s="20"/>
      <c r="P9508" s="42"/>
      <c r="R9508" s="23"/>
    </row>
    <row r="9509" spans="1:18" ht="12.75">
      <c r="A9509" s="12"/>
      <c r="D9509" s="12"/>
      <c r="E9509" s="12"/>
      <c r="H9509" s="11" t="str">
        <f ca="1">IFERROR(__xludf.DUMMYFUNCTION("IFERROR(SUBSTITUTE(SUBSTITUTE(REGEXEXTRACT(A9509, ""[^-]+- [^-]+- [^-]+ - (.+?)\.jpg""), "".jpg"", """"), ""-"", "", ""), """")"),"")</f>
        <v/>
      </c>
      <c r="L9509" s="12"/>
      <c r="M9509" s="13"/>
      <c r="N9509" s="2"/>
      <c r="O9509" s="20"/>
      <c r="P9509" s="42"/>
      <c r="R9509" s="23"/>
    </row>
    <row r="9510" spans="1:18" ht="12.75">
      <c r="A9510" s="12"/>
      <c r="D9510" s="12"/>
      <c r="E9510" s="12"/>
      <c r="H9510" s="11" t="str">
        <f ca="1">IFERROR(__xludf.DUMMYFUNCTION("IFERROR(SUBSTITUTE(SUBSTITUTE(REGEXEXTRACT(A9510, ""[^-]+- [^-]+- [^-]+ - (.+?)\.jpg""), "".jpg"", """"), ""-"", "", ""), """")"),"")</f>
        <v/>
      </c>
      <c r="L9510" s="12"/>
      <c r="M9510" s="13"/>
      <c r="N9510" s="2"/>
      <c r="O9510" s="20"/>
      <c r="P9510" s="42"/>
      <c r="R9510" s="23"/>
    </row>
    <row r="9511" spans="1:18" ht="12.75">
      <c r="A9511" s="12"/>
      <c r="D9511" s="12"/>
      <c r="E9511" s="12"/>
      <c r="H9511" s="11" t="str">
        <f ca="1">IFERROR(__xludf.DUMMYFUNCTION("IFERROR(SUBSTITUTE(SUBSTITUTE(REGEXEXTRACT(A9511, ""[^-]+- [^-]+- [^-]+ - (.+?)\.jpg""), "".jpg"", """"), ""-"", "", ""), """")"),"")</f>
        <v/>
      </c>
      <c r="L9511" s="12"/>
      <c r="M9511" s="13"/>
      <c r="N9511" s="2"/>
      <c r="O9511" s="20"/>
      <c r="P9511" s="42"/>
      <c r="R9511" s="23"/>
    </row>
    <row r="9512" spans="1:18" ht="12.75">
      <c r="A9512" s="12"/>
      <c r="D9512" s="12"/>
      <c r="E9512" s="12"/>
      <c r="H9512" s="11" t="str">
        <f ca="1">IFERROR(__xludf.DUMMYFUNCTION("IFERROR(SUBSTITUTE(SUBSTITUTE(REGEXEXTRACT(A9512, ""[^-]+- [^-]+- [^-]+ - (.+?)\.jpg""), "".jpg"", """"), ""-"", "", ""), """")"),"")</f>
        <v/>
      </c>
      <c r="L9512" s="12"/>
      <c r="M9512" s="13"/>
      <c r="N9512" s="2"/>
      <c r="O9512" s="20"/>
      <c r="P9512" s="42"/>
      <c r="R9512" s="23"/>
    </row>
    <row r="9513" spans="1:18" ht="12.75">
      <c r="A9513" s="12"/>
      <c r="D9513" s="12"/>
      <c r="E9513" s="12"/>
      <c r="H9513" s="11" t="str">
        <f ca="1">IFERROR(__xludf.DUMMYFUNCTION("IFERROR(SUBSTITUTE(SUBSTITUTE(REGEXEXTRACT(A9513, ""[^-]+- [^-]+- [^-]+ - (.+?)\.jpg""), "".jpg"", """"), ""-"", "", ""), """")"),"")</f>
        <v/>
      </c>
      <c r="L9513" s="12"/>
      <c r="M9513" s="13"/>
      <c r="N9513" s="2"/>
      <c r="O9513" s="20"/>
      <c r="P9513" s="42"/>
      <c r="R9513" s="23"/>
    </row>
    <row r="9514" spans="1:18" ht="12.75">
      <c r="A9514" s="12"/>
      <c r="D9514" s="12"/>
      <c r="E9514" s="12"/>
      <c r="H9514" s="11" t="str">
        <f ca="1">IFERROR(__xludf.DUMMYFUNCTION("IFERROR(SUBSTITUTE(SUBSTITUTE(REGEXEXTRACT(A9514, ""[^-]+- [^-]+- [^-]+ - (.+?)\.jpg""), "".jpg"", """"), ""-"", "", ""), """")"),"")</f>
        <v/>
      </c>
      <c r="L9514" s="12"/>
      <c r="M9514" s="13"/>
      <c r="N9514" s="2"/>
      <c r="O9514" s="20"/>
      <c r="P9514" s="42"/>
      <c r="R9514" s="23"/>
    </row>
    <row r="9515" spans="1:18" ht="12.75">
      <c r="A9515" s="12"/>
      <c r="D9515" s="12"/>
      <c r="E9515" s="12"/>
      <c r="H9515" s="11" t="str">
        <f ca="1">IFERROR(__xludf.DUMMYFUNCTION("IFERROR(SUBSTITUTE(SUBSTITUTE(REGEXEXTRACT(A9515, ""[^-]+- [^-]+- [^-]+ - (.+?)\.jpg""), "".jpg"", """"), ""-"", "", ""), """")"),"")</f>
        <v/>
      </c>
      <c r="L9515" s="12"/>
      <c r="M9515" s="13"/>
      <c r="N9515" s="2"/>
      <c r="O9515" s="20"/>
      <c r="P9515" s="42"/>
      <c r="R9515" s="23"/>
    </row>
    <row r="9516" spans="1:18" ht="12.75">
      <c r="A9516" s="12"/>
      <c r="D9516" s="12"/>
      <c r="E9516" s="12"/>
      <c r="H9516" s="11" t="str">
        <f ca="1">IFERROR(__xludf.DUMMYFUNCTION("IFERROR(SUBSTITUTE(SUBSTITUTE(REGEXEXTRACT(A9516, ""[^-]+- [^-]+- [^-]+ - (.+?)\.jpg""), "".jpg"", """"), ""-"", "", ""), """")"),"")</f>
        <v/>
      </c>
      <c r="L9516" s="12"/>
      <c r="M9516" s="13"/>
      <c r="N9516" s="2"/>
      <c r="O9516" s="20"/>
      <c r="P9516" s="42"/>
      <c r="R9516" s="23"/>
    </row>
    <row r="9517" spans="1:18" ht="12.75">
      <c r="A9517" s="12"/>
      <c r="D9517" s="12"/>
      <c r="E9517" s="12"/>
      <c r="H9517" s="11" t="str">
        <f ca="1">IFERROR(__xludf.DUMMYFUNCTION("IFERROR(SUBSTITUTE(SUBSTITUTE(REGEXEXTRACT(A9517, ""[^-]+- [^-]+- [^-]+ - (.+?)\.jpg""), "".jpg"", """"), ""-"", "", ""), """")"),"")</f>
        <v/>
      </c>
      <c r="L9517" s="12"/>
      <c r="M9517" s="13"/>
      <c r="N9517" s="2"/>
      <c r="O9517" s="20"/>
      <c r="P9517" s="42"/>
      <c r="R9517" s="23"/>
    </row>
    <row r="9518" spans="1:18" ht="12.75">
      <c r="A9518" s="12"/>
      <c r="D9518" s="12"/>
      <c r="E9518" s="12"/>
      <c r="H9518" s="11" t="str">
        <f ca="1">IFERROR(__xludf.DUMMYFUNCTION("IFERROR(SUBSTITUTE(SUBSTITUTE(REGEXEXTRACT(A9518, ""[^-]+- [^-]+- [^-]+ - (.+?)\.jpg""), "".jpg"", """"), ""-"", "", ""), """")"),"")</f>
        <v/>
      </c>
      <c r="L9518" s="12"/>
      <c r="M9518" s="13"/>
      <c r="N9518" s="2"/>
      <c r="O9518" s="20"/>
      <c r="P9518" s="42"/>
      <c r="R9518" s="23"/>
    </row>
    <row r="9519" spans="1:18" ht="12.75">
      <c r="A9519" s="12"/>
      <c r="D9519" s="12"/>
      <c r="E9519" s="12"/>
      <c r="H9519" s="11" t="str">
        <f ca="1">IFERROR(__xludf.DUMMYFUNCTION("IFERROR(SUBSTITUTE(SUBSTITUTE(REGEXEXTRACT(A9519, ""[^-]+- [^-]+- [^-]+ - (.+?)\.jpg""), "".jpg"", """"), ""-"", "", ""), """")"),"")</f>
        <v/>
      </c>
      <c r="L9519" s="12"/>
      <c r="M9519" s="13"/>
      <c r="N9519" s="2"/>
      <c r="O9519" s="20"/>
      <c r="P9519" s="42"/>
      <c r="R9519" s="23"/>
    </row>
    <row r="9520" spans="1:18" ht="12.75">
      <c r="A9520" s="12"/>
      <c r="D9520" s="12"/>
      <c r="E9520" s="12"/>
      <c r="H9520" s="11" t="str">
        <f ca="1">IFERROR(__xludf.DUMMYFUNCTION("IFERROR(SUBSTITUTE(SUBSTITUTE(REGEXEXTRACT(A9520, ""[^-]+- [^-]+- [^-]+ - (.+?)\.jpg""), "".jpg"", """"), ""-"", "", ""), """")"),"")</f>
        <v/>
      </c>
      <c r="L9520" s="12"/>
      <c r="M9520" s="13"/>
      <c r="N9520" s="2"/>
      <c r="O9520" s="20"/>
      <c r="P9520" s="42"/>
      <c r="R9520" s="23"/>
    </row>
    <row r="9521" spans="1:18" ht="12.75">
      <c r="A9521" s="12"/>
      <c r="D9521" s="12"/>
      <c r="E9521" s="12"/>
      <c r="H9521" s="11" t="str">
        <f ca="1">IFERROR(__xludf.DUMMYFUNCTION("IFERROR(SUBSTITUTE(SUBSTITUTE(REGEXEXTRACT(A9521, ""[^-]+- [^-]+- [^-]+ - (.+?)\.jpg""), "".jpg"", """"), ""-"", "", ""), """")"),"")</f>
        <v/>
      </c>
      <c r="L9521" s="12"/>
      <c r="M9521" s="13"/>
      <c r="N9521" s="2"/>
      <c r="O9521" s="20"/>
      <c r="P9521" s="42"/>
      <c r="R9521" s="23"/>
    </row>
    <row r="9522" spans="1:18" ht="12.75">
      <c r="A9522" s="12"/>
      <c r="D9522" s="12"/>
      <c r="E9522" s="12"/>
      <c r="H9522" s="11" t="str">
        <f ca="1">IFERROR(__xludf.DUMMYFUNCTION("IFERROR(SUBSTITUTE(SUBSTITUTE(REGEXEXTRACT(A9522, ""[^-]+- [^-]+- [^-]+ - (.+?)\.jpg""), "".jpg"", """"), ""-"", "", ""), """")"),"")</f>
        <v/>
      </c>
      <c r="L9522" s="12"/>
      <c r="M9522" s="13"/>
      <c r="N9522" s="2"/>
      <c r="O9522" s="20"/>
      <c r="P9522" s="42"/>
      <c r="R9522" s="23"/>
    </row>
    <row r="9523" spans="1:18" ht="12.75">
      <c r="A9523" s="12"/>
      <c r="D9523" s="12"/>
      <c r="E9523" s="12"/>
      <c r="H9523" s="11" t="str">
        <f ca="1">IFERROR(__xludf.DUMMYFUNCTION("IFERROR(SUBSTITUTE(SUBSTITUTE(REGEXEXTRACT(A9523, ""[^-]+- [^-]+- [^-]+ - (.+?)\.jpg""), "".jpg"", """"), ""-"", "", ""), """")"),"")</f>
        <v/>
      </c>
      <c r="L9523" s="12"/>
      <c r="M9523" s="13"/>
      <c r="N9523" s="2"/>
      <c r="O9523" s="20"/>
      <c r="P9523" s="42"/>
      <c r="R9523" s="23"/>
    </row>
    <row r="9524" spans="1:18" ht="12.75">
      <c r="A9524" s="12"/>
      <c r="D9524" s="12"/>
      <c r="E9524" s="12"/>
      <c r="H9524" s="11" t="str">
        <f ca="1">IFERROR(__xludf.DUMMYFUNCTION("IFERROR(SUBSTITUTE(SUBSTITUTE(REGEXEXTRACT(A9524, ""[^-]+- [^-]+- [^-]+ - (.+?)\.jpg""), "".jpg"", """"), ""-"", "", ""), """")"),"")</f>
        <v/>
      </c>
      <c r="L9524" s="12"/>
      <c r="M9524" s="13"/>
      <c r="N9524" s="2"/>
      <c r="O9524" s="20"/>
      <c r="P9524" s="42"/>
      <c r="R9524" s="23"/>
    </row>
    <row r="9525" spans="1:18" ht="12.75">
      <c r="A9525" s="12"/>
      <c r="D9525" s="12"/>
      <c r="E9525" s="12"/>
      <c r="H9525" s="11" t="str">
        <f ca="1">IFERROR(__xludf.DUMMYFUNCTION("IFERROR(SUBSTITUTE(SUBSTITUTE(REGEXEXTRACT(A9525, ""[^-]+- [^-]+- [^-]+ - (.+?)\.jpg""), "".jpg"", """"), ""-"", "", ""), """")"),"")</f>
        <v/>
      </c>
      <c r="L9525" s="12"/>
      <c r="M9525" s="13"/>
      <c r="N9525" s="2"/>
      <c r="O9525" s="20"/>
      <c r="P9525" s="42"/>
      <c r="R9525" s="23"/>
    </row>
    <row r="9526" spans="1:18" ht="12.75">
      <c r="A9526" s="12"/>
      <c r="D9526" s="12"/>
      <c r="E9526" s="12"/>
      <c r="H9526" s="11" t="str">
        <f ca="1">IFERROR(__xludf.DUMMYFUNCTION("IFERROR(SUBSTITUTE(SUBSTITUTE(REGEXEXTRACT(A9526, ""[^-]+- [^-]+- [^-]+ - (.+?)\.jpg""), "".jpg"", """"), ""-"", "", ""), """")"),"")</f>
        <v/>
      </c>
      <c r="L9526" s="12"/>
      <c r="M9526" s="13"/>
      <c r="N9526" s="2"/>
      <c r="O9526" s="20"/>
      <c r="P9526" s="42"/>
      <c r="R9526" s="23"/>
    </row>
    <row r="9527" spans="1:18" ht="12.75">
      <c r="A9527" s="12"/>
      <c r="D9527" s="12"/>
      <c r="E9527" s="12"/>
      <c r="H9527" s="11" t="str">
        <f ca="1">IFERROR(__xludf.DUMMYFUNCTION("IFERROR(SUBSTITUTE(SUBSTITUTE(REGEXEXTRACT(A9527, ""[^-]+- [^-]+- [^-]+ - (.+?)\.jpg""), "".jpg"", """"), ""-"", "", ""), """")"),"")</f>
        <v/>
      </c>
      <c r="L9527" s="12"/>
      <c r="M9527" s="13"/>
      <c r="N9527" s="2"/>
      <c r="O9527" s="20"/>
      <c r="P9527" s="42"/>
      <c r="R9527" s="23"/>
    </row>
    <row r="9528" spans="1:18" ht="12.75">
      <c r="A9528" s="12"/>
      <c r="D9528" s="12"/>
      <c r="E9528" s="12"/>
      <c r="H9528" s="11" t="str">
        <f ca="1">IFERROR(__xludf.DUMMYFUNCTION("IFERROR(SUBSTITUTE(SUBSTITUTE(REGEXEXTRACT(A9528, ""[^-]+- [^-]+- [^-]+ - (.+?)\.jpg""), "".jpg"", """"), ""-"", "", ""), """")"),"")</f>
        <v/>
      </c>
      <c r="L9528" s="12"/>
      <c r="M9528" s="13"/>
      <c r="N9528" s="2"/>
      <c r="O9528" s="20"/>
      <c r="P9528" s="42"/>
      <c r="R9528" s="23"/>
    </row>
    <row r="9529" spans="1:18" ht="12.75">
      <c r="A9529" s="12"/>
      <c r="D9529" s="12"/>
      <c r="E9529" s="12"/>
      <c r="H9529" s="11" t="str">
        <f ca="1">IFERROR(__xludf.DUMMYFUNCTION("IFERROR(SUBSTITUTE(SUBSTITUTE(REGEXEXTRACT(A9529, ""[^-]+- [^-]+- [^-]+ - (.+?)\.jpg""), "".jpg"", """"), ""-"", "", ""), """")"),"")</f>
        <v/>
      </c>
      <c r="L9529" s="12"/>
      <c r="M9529" s="13"/>
      <c r="N9529" s="2"/>
      <c r="O9529" s="20"/>
      <c r="P9529" s="42"/>
      <c r="R9529" s="23"/>
    </row>
    <row r="9530" spans="1:18" ht="12.75">
      <c r="A9530" s="12"/>
      <c r="D9530" s="12"/>
      <c r="E9530" s="12"/>
      <c r="H9530" s="11" t="str">
        <f ca="1">IFERROR(__xludf.DUMMYFUNCTION("IFERROR(SUBSTITUTE(SUBSTITUTE(REGEXEXTRACT(A9530, ""[^-]+- [^-]+- [^-]+ - (.+?)\.jpg""), "".jpg"", """"), ""-"", "", ""), """")"),"")</f>
        <v/>
      </c>
      <c r="L9530" s="12"/>
      <c r="M9530" s="13"/>
      <c r="N9530" s="2"/>
      <c r="O9530" s="20"/>
      <c r="P9530" s="42"/>
      <c r="R9530" s="23"/>
    </row>
    <row r="9531" spans="1:18" ht="12.75">
      <c r="A9531" s="12"/>
      <c r="D9531" s="12"/>
      <c r="E9531" s="12"/>
      <c r="H9531" s="11" t="str">
        <f ca="1">IFERROR(__xludf.DUMMYFUNCTION("IFERROR(SUBSTITUTE(SUBSTITUTE(REGEXEXTRACT(A9531, ""[^-]+- [^-]+- [^-]+ - (.+?)\.jpg""), "".jpg"", """"), ""-"", "", ""), """")"),"")</f>
        <v/>
      </c>
      <c r="L9531" s="12"/>
      <c r="M9531" s="13"/>
      <c r="N9531" s="2"/>
      <c r="O9531" s="20"/>
      <c r="P9531" s="42"/>
      <c r="R9531" s="23"/>
    </row>
    <row r="9532" spans="1:18" ht="12.75">
      <c r="A9532" s="12"/>
      <c r="D9532" s="12"/>
      <c r="E9532" s="12"/>
      <c r="H9532" s="11" t="str">
        <f ca="1">IFERROR(__xludf.DUMMYFUNCTION("IFERROR(SUBSTITUTE(SUBSTITUTE(REGEXEXTRACT(A9532, ""[^-]+- [^-]+- [^-]+ - (.+?)\.jpg""), "".jpg"", """"), ""-"", "", ""), """")"),"")</f>
        <v/>
      </c>
      <c r="L9532" s="12"/>
      <c r="M9532" s="13"/>
      <c r="N9532" s="2"/>
      <c r="O9532" s="20"/>
      <c r="P9532" s="42"/>
      <c r="R9532" s="23"/>
    </row>
    <row r="9533" spans="1:18" ht="12.75">
      <c r="A9533" s="12"/>
      <c r="D9533" s="12"/>
      <c r="E9533" s="12"/>
      <c r="H9533" s="11" t="str">
        <f ca="1">IFERROR(__xludf.DUMMYFUNCTION("IFERROR(SUBSTITUTE(SUBSTITUTE(REGEXEXTRACT(A9533, ""[^-]+- [^-]+- [^-]+ - (.+?)\.jpg""), "".jpg"", """"), ""-"", "", ""), """")"),"")</f>
        <v/>
      </c>
      <c r="L9533" s="12"/>
      <c r="M9533" s="13"/>
      <c r="N9533" s="2"/>
      <c r="O9533" s="20"/>
      <c r="P9533" s="42"/>
      <c r="R9533" s="23"/>
    </row>
    <row r="9534" spans="1:18" ht="12.75">
      <c r="A9534" s="12"/>
      <c r="D9534" s="12"/>
      <c r="E9534" s="12"/>
      <c r="H9534" s="11" t="str">
        <f ca="1">IFERROR(__xludf.DUMMYFUNCTION("IFERROR(SUBSTITUTE(SUBSTITUTE(REGEXEXTRACT(A9534, ""[^-]+- [^-]+- [^-]+ - (.+?)\.jpg""), "".jpg"", """"), ""-"", "", ""), """")"),"")</f>
        <v/>
      </c>
      <c r="L9534" s="12"/>
      <c r="M9534" s="13"/>
      <c r="N9534" s="2"/>
      <c r="O9534" s="20"/>
      <c r="P9534" s="42"/>
      <c r="R9534" s="23"/>
    </row>
    <row r="9535" spans="1:18" ht="12.75">
      <c r="A9535" s="12"/>
      <c r="D9535" s="12"/>
      <c r="E9535" s="12"/>
      <c r="H9535" s="11" t="str">
        <f ca="1">IFERROR(__xludf.DUMMYFUNCTION("IFERROR(SUBSTITUTE(SUBSTITUTE(REGEXEXTRACT(A9535, ""[^-]+- [^-]+- [^-]+ - (.+?)\.jpg""), "".jpg"", """"), ""-"", "", ""), """")"),"")</f>
        <v/>
      </c>
      <c r="L9535" s="12"/>
      <c r="M9535" s="13"/>
      <c r="N9535" s="2"/>
      <c r="O9535" s="20"/>
      <c r="P9535" s="42"/>
      <c r="R9535" s="23"/>
    </row>
    <row r="9536" spans="1:18" ht="12.75">
      <c r="A9536" s="12"/>
      <c r="D9536" s="12"/>
      <c r="E9536" s="12"/>
      <c r="H9536" s="11" t="str">
        <f ca="1">IFERROR(__xludf.DUMMYFUNCTION("IFERROR(SUBSTITUTE(SUBSTITUTE(REGEXEXTRACT(A9536, ""[^-]+- [^-]+- [^-]+ - (.+?)\.jpg""), "".jpg"", """"), ""-"", "", ""), """")"),"")</f>
        <v/>
      </c>
      <c r="L9536" s="12"/>
      <c r="M9536" s="13"/>
      <c r="N9536" s="2"/>
      <c r="O9536" s="20"/>
      <c r="P9536" s="42"/>
      <c r="R9536" s="23"/>
    </row>
    <row r="9537" spans="1:18" ht="12.75">
      <c r="A9537" s="12"/>
      <c r="D9537" s="12"/>
      <c r="E9537" s="12"/>
      <c r="H9537" s="11" t="str">
        <f ca="1">IFERROR(__xludf.DUMMYFUNCTION("IFERROR(SUBSTITUTE(SUBSTITUTE(REGEXEXTRACT(A9537, ""[^-]+- [^-]+- [^-]+ - (.+?)\.jpg""), "".jpg"", """"), ""-"", "", ""), """")"),"")</f>
        <v/>
      </c>
      <c r="L9537" s="12"/>
      <c r="M9537" s="13"/>
      <c r="N9537" s="2"/>
      <c r="O9537" s="20"/>
      <c r="P9537" s="42"/>
      <c r="R9537" s="23"/>
    </row>
    <row r="9538" spans="1:18" ht="12.75">
      <c r="A9538" s="12"/>
      <c r="D9538" s="12"/>
      <c r="E9538" s="12"/>
      <c r="H9538" s="11" t="str">
        <f ca="1">IFERROR(__xludf.DUMMYFUNCTION("IFERROR(SUBSTITUTE(SUBSTITUTE(REGEXEXTRACT(A9538, ""[^-]+- [^-]+- [^-]+ - (.+?)\.jpg""), "".jpg"", """"), ""-"", "", ""), """")"),"")</f>
        <v/>
      </c>
      <c r="L9538" s="12"/>
      <c r="M9538" s="13"/>
      <c r="N9538" s="2"/>
      <c r="O9538" s="20"/>
      <c r="P9538" s="42"/>
      <c r="R9538" s="23"/>
    </row>
    <row r="9539" spans="1:18" ht="12.75">
      <c r="A9539" s="12"/>
      <c r="D9539" s="12"/>
      <c r="E9539" s="12"/>
      <c r="H9539" s="11" t="str">
        <f ca="1">IFERROR(__xludf.DUMMYFUNCTION("IFERROR(SUBSTITUTE(SUBSTITUTE(REGEXEXTRACT(A9539, ""[^-]+- [^-]+- [^-]+ - (.+?)\.jpg""), "".jpg"", """"), ""-"", "", ""), """")"),"")</f>
        <v/>
      </c>
      <c r="L9539" s="12"/>
      <c r="M9539" s="13"/>
      <c r="N9539" s="2"/>
      <c r="O9539" s="20"/>
      <c r="P9539" s="42"/>
      <c r="R9539" s="23"/>
    </row>
    <row r="9540" spans="1:18" ht="12.75">
      <c r="A9540" s="12"/>
      <c r="D9540" s="12"/>
      <c r="E9540" s="12"/>
      <c r="H9540" s="11" t="str">
        <f ca="1">IFERROR(__xludf.DUMMYFUNCTION("IFERROR(SUBSTITUTE(SUBSTITUTE(REGEXEXTRACT(A9540, ""[^-]+- [^-]+- [^-]+ - (.+?)\.jpg""), "".jpg"", """"), ""-"", "", ""), """")"),"")</f>
        <v/>
      </c>
      <c r="L9540" s="12"/>
      <c r="M9540" s="13"/>
      <c r="N9540" s="2"/>
      <c r="O9540" s="20"/>
      <c r="P9540" s="42"/>
      <c r="R9540" s="23"/>
    </row>
    <row r="9541" spans="1:18" ht="12.75">
      <c r="A9541" s="12"/>
      <c r="D9541" s="12"/>
      <c r="E9541" s="12"/>
      <c r="H9541" s="11" t="str">
        <f ca="1">IFERROR(__xludf.DUMMYFUNCTION("IFERROR(SUBSTITUTE(SUBSTITUTE(REGEXEXTRACT(A9541, ""[^-]+- [^-]+- [^-]+ - (.+?)\.jpg""), "".jpg"", """"), ""-"", "", ""), """")"),"")</f>
        <v/>
      </c>
      <c r="L9541" s="12"/>
      <c r="M9541" s="13"/>
      <c r="N9541" s="2"/>
      <c r="O9541" s="20"/>
      <c r="P9541" s="42"/>
      <c r="R9541" s="23"/>
    </row>
    <row r="9542" spans="1:18" ht="12.75">
      <c r="A9542" s="12"/>
      <c r="D9542" s="12"/>
      <c r="E9542" s="12"/>
      <c r="H9542" s="11" t="str">
        <f ca="1">IFERROR(__xludf.DUMMYFUNCTION("IFERROR(SUBSTITUTE(SUBSTITUTE(REGEXEXTRACT(A9542, ""[^-]+- [^-]+- [^-]+ - (.+?)\.jpg""), "".jpg"", """"), ""-"", "", ""), """")"),"")</f>
        <v/>
      </c>
      <c r="L9542" s="12"/>
      <c r="M9542" s="13"/>
      <c r="N9542" s="2"/>
      <c r="O9542" s="20"/>
      <c r="P9542" s="42"/>
      <c r="R9542" s="23"/>
    </row>
    <row r="9543" spans="1:18" ht="12.75">
      <c r="A9543" s="12"/>
      <c r="D9543" s="12"/>
      <c r="E9543" s="12"/>
      <c r="H9543" s="11" t="str">
        <f ca="1">IFERROR(__xludf.DUMMYFUNCTION("IFERROR(SUBSTITUTE(SUBSTITUTE(REGEXEXTRACT(A9543, ""[^-]+- [^-]+- [^-]+ - (.+?)\.jpg""), "".jpg"", """"), ""-"", "", ""), """")"),"")</f>
        <v/>
      </c>
      <c r="L9543" s="12"/>
      <c r="M9543" s="13"/>
      <c r="N9543" s="2"/>
      <c r="O9543" s="20"/>
      <c r="P9543" s="42"/>
      <c r="R9543" s="23"/>
    </row>
    <row r="9544" spans="1:18" ht="12.75">
      <c r="A9544" s="12"/>
      <c r="D9544" s="12"/>
      <c r="E9544" s="12"/>
      <c r="H9544" s="11" t="str">
        <f ca="1">IFERROR(__xludf.DUMMYFUNCTION("IFERROR(SUBSTITUTE(SUBSTITUTE(REGEXEXTRACT(A9544, ""[^-]+- [^-]+- [^-]+ - (.+?)\.jpg""), "".jpg"", """"), ""-"", "", ""), """")"),"")</f>
        <v/>
      </c>
      <c r="L9544" s="12"/>
      <c r="M9544" s="13"/>
      <c r="N9544" s="2"/>
      <c r="O9544" s="20"/>
      <c r="P9544" s="42"/>
      <c r="R9544" s="23"/>
    </row>
    <row r="9545" spans="1:18" ht="12.75">
      <c r="A9545" s="12"/>
      <c r="D9545" s="12"/>
      <c r="E9545" s="12"/>
      <c r="H9545" s="11" t="str">
        <f ca="1">IFERROR(__xludf.DUMMYFUNCTION("IFERROR(SUBSTITUTE(SUBSTITUTE(REGEXEXTRACT(A9545, ""[^-]+- [^-]+- [^-]+ - (.+?)\.jpg""), "".jpg"", """"), ""-"", "", ""), """")"),"")</f>
        <v/>
      </c>
      <c r="L9545" s="12"/>
      <c r="M9545" s="13"/>
      <c r="N9545" s="2"/>
      <c r="O9545" s="20"/>
      <c r="P9545" s="42"/>
      <c r="R9545" s="23"/>
    </row>
    <row r="9546" spans="1:18" ht="12.75">
      <c r="A9546" s="12"/>
      <c r="D9546" s="12"/>
      <c r="E9546" s="12"/>
      <c r="H9546" s="11" t="str">
        <f ca="1">IFERROR(__xludf.DUMMYFUNCTION("IFERROR(SUBSTITUTE(SUBSTITUTE(REGEXEXTRACT(A9546, ""[^-]+- [^-]+- [^-]+ - (.+?)\.jpg""), "".jpg"", """"), ""-"", "", ""), """")"),"")</f>
        <v/>
      </c>
      <c r="L9546" s="12"/>
      <c r="M9546" s="13"/>
      <c r="N9546" s="2"/>
      <c r="O9546" s="20"/>
      <c r="P9546" s="42"/>
      <c r="R9546" s="23"/>
    </row>
    <row r="9547" spans="1:18" ht="12.75">
      <c r="A9547" s="12"/>
      <c r="D9547" s="12"/>
      <c r="E9547" s="12"/>
      <c r="H9547" s="11" t="str">
        <f ca="1">IFERROR(__xludf.DUMMYFUNCTION("IFERROR(SUBSTITUTE(SUBSTITUTE(REGEXEXTRACT(A9547, ""[^-]+- [^-]+- [^-]+ - (.+?)\.jpg""), "".jpg"", """"), ""-"", "", ""), """")"),"")</f>
        <v/>
      </c>
      <c r="L9547" s="12"/>
      <c r="M9547" s="13"/>
      <c r="N9547" s="2"/>
      <c r="O9547" s="20"/>
      <c r="P9547" s="42"/>
      <c r="R9547" s="23"/>
    </row>
    <row r="9548" spans="1:18" ht="12.75">
      <c r="A9548" s="12"/>
      <c r="D9548" s="12"/>
      <c r="E9548" s="12"/>
      <c r="H9548" s="11" t="str">
        <f ca="1">IFERROR(__xludf.DUMMYFUNCTION("IFERROR(SUBSTITUTE(SUBSTITUTE(REGEXEXTRACT(A9548, ""[^-]+- [^-]+- [^-]+ - (.+?)\.jpg""), "".jpg"", """"), ""-"", "", ""), """")"),"")</f>
        <v/>
      </c>
      <c r="L9548" s="12"/>
      <c r="M9548" s="13"/>
      <c r="N9548" s="2"/>
      <c r="O9548" s="20"/>
      <c r="P9548" s="42"/>
      <c r="R9548" s="23"/>
    </row>
    <row r="9549" spans="1:18" ht="12.75">
      <c r="A9549" s="12"/>
      <c r="D9549" s="12"/>
      <c r="E9549" s="12"/>
      <c r="H9549" s="11" t="str">
        <f ca="1">IFERROR(__xludf.DUMMYFUNCTION("IFERROR(SUBSTITUTE(SUBSTITUTE(REGEXEXTRACT(A9549, ""[^-]+- [^-]+- [^-]+ - (.+?)\.jpg""), "".jpg"", """"), ""-"", "", ""), """")"),"")</f>
        <v/>
      </c>
      <c r="L9549" s="12"/>
      <c r="M9549" s="13"/>
      <c r="N9549" s="2"/>
      <c r="O9549" s="20"/>
      <c r="P9549" s="42"/>
      <c r="R9549" s="23"/>
    </row>
    <row r="9550" spans="1:18" ht="12.75">
      <c r="A9550" s="12"/>
      <c r="D9550" s="12"/>
      <c r="E9550" s="12"/>
      <c r="H9550" s="11" t="str">
        <f ca="1">IFERROR(__xludf.DUMMYFUNCTION("IFERROR(SUBSTITUTE(SUBSTITUTE(REGEXEXTRACT(A9550, ""[^-]+- [^-]+- [^-]+ - (.+?)\.jpg""), "".jpg"", """"), ""-"", "", ""), """")"),"")</f>
        <v/>
      </c>
      <c r="L9550" s="12"/>
      <c r="M9550" s="13"/>
      <c r="N9550" s="2"/>
      <c r="O9550" s="20"/>
      <c r="P9550" s="42"/>
      <c r="R9550" s="23"/>
    </row>
    <row r="9551" spans="1:18" ht="12.75">
      <c r="A9551" s="12"/>
      <c r="D9551" s="12"/>
      <c r="E9551" s="12"/>
      <c r="H9551" s="11" t="str">
        <f ca="1">IFERROR(__xludf.DUMMYFUNCTION("IFERROR(SUBSTITUTE(SUBSTITUTE(REGEXEXTRACT(A9551, ""[^-]+- [^-]+- [^-]+ - (.+?)\.jpg""), "".jpg"", """"), ""-"", "", ""), """")"),"")</f>
        <v/>
      </c>
      <c r="L9551" s="12"/>
      <c r="M9551" s="13"/>
      <c r="N9551" s="2"/>
      <c r="O9551" s="20"/>
      <c r="P9551" s="42"/>
      <c r="R9551" s="23"/>
    </row>
    <row r="9552" spans="1:18" ht="12.75">
      <c r="A9552" s="12"/>
      <c r="D9552" s="12"/>
      <c r="E9552" s="12"/>
      <c r="H9552" s="11" t="str">
        <f ca="1">IFERROR(__xludf.DUMMYFUNCTION("IFERROR(SUBSTITUTE(SUBSTITUTE(REGEXEXTRACT(A9552, ""[^-]+- [^-]+- [^-]+ - (.+?)\.jpg""), "".jpg"", """"), ""-"", "", ""), """")"),"")</f>
        <v/>
      </c>
      <c r="L9552" s="12"/>
      <c r="M9552" s="13"/>
      <c r="N9552" s="2"/>
      <c r="O9552" s="20"/>
      <c r="P9552" s="42"/>
      <c r="R9552" s="23"/>
    </row>
    <row r="9553" spans="1:18" ht="12.75">
      <c r="A9553" s="12"/>
      <c r="D9553" s="12"/>
      <c r="E9553" s="12"/>
      <c r="H9553" s="11" t="str">
        <f ca="1">IFERROR(__xludf.DUMMYFUNCTION("IFERROR(SUBSTITUTE(SUBSTITUTE(REGEXEXTRACT(A9553, ""[^-]+- [^-]+- [^-]+ - (.+?)\.jpg""), "".jpg"", """"), ""-"", "", ""), """")"),"")</f>
        <v/>
      </c>
      <c r="L9553" s="12"/>
      <c r="M9553" s="13"/>
      <c r="N9553" s="2"/>
      <c r="O9553" s="20"/>
      <c r="P9553" s="42"/>
      <c r="R9553" s="23"/>
    </row>
    <row r="9554" spans="1:18" ht="12.75">
      <c r="A9554" s="12"/>
      <c r="D9554" s="12"/>
      <c r="E9554" s="12"/>
      <c r="H9554" s="11" t="str">
        <f ca="1">IFERROR(__xludf.DUMMYFUNCTION("IFERROR(SUBSTITUTE(SUBSTITUTE(REGEXEXTRACT(A9554, ""[^-]+- [^-]+- [^-]+ - (.+?)\.jpg""), "".jpg"", """"), ""-"", "", ""), """")"),"")</f>
        <v/>
      </c>
      <c r="L9554" s="12"/>
      <c r="M9554" s="13"/>
      <c r="N9554" s="2"/>
      <c r="O9554" s="20"/>
      <c r="P9554" s="42"/>
      <c r="R9554" s="23"/>
    </row>
    <row r="9555" spans="1:18" ht="12.75">
      <c r="A9555" s="12"/>
      <c r="D9555" s="12"/>
      <c r="E9555" s="12"/>
      <c r="H9555" s="11" t="str">
        <f ca="1">IFERROR(__xludf.DUMMYFUNCTION("IFERROR(SUBSTITUTE(SUBSTITUTE(REGEXEXTRACT(A9555, ""[^-]+- [^-]+- [^-]+ - (.+?)\.jpg""), "".jpg"", """"), ""-"", "", ""), """")"),"")</f>
        <v/>
      </c>
      <c r="L9555" s="12"/>
      <c r="M9555" s="13"/>
      <c r="N9555" s="2"/>
      <c r="O9555" s="20"/>
      <c r="P9555" s="42"/>
      <c r="R9555" s="23"/>
    </row>
    <row r="9556" spans="1:18" ht="12.75">
      <c r="A9556" s="12"/>
      <c r="D9556" s="12"/>
      <c r="E9556" s="12"/>
      <c r="H9556" s="11" t="str">
        <f ca="1">IFERROR(__xludf.DUMMYFUNCTION("IFERROR(SUBSTITUTE(SUBSTITUTE(REGEXEXTRACT(A9556, ""[^-]+- [^-]+- [^-]+ - (.+?)\.jpg""), "".jpg"", """"), ""-"", "", ""), """")"),"")</f>
        <v/>
      </c>
      <c r="L9556" s="12"/>
      <c r="M9556" s="13"/>
      <c r="N9556" s="2"/>
      <c r="O9556" s="20"/>
      <c r="P9556" s="42"/>
      <c r="R9556" s="23"/>
    </row>
    <row r="9557" spans="1:18" ht="12.75">
      <c r="A9557" s="12"/>
      <c r="D9557" s="12"/>
      <c r="E9557" s="12"/>
      <c r="H9557" s="11" t="str">
        <f ca="1">IFERROR(__xludf.DUMMYFUNCTION("IFERROR(SUBSTITUTE(SUBSTITUTE(REGEXEXTRACT(A9557, ""[^-]+- [^-]+- [^-]+ - (.+?)\.jpg""), "".jpg"", """"), ""-"", "", ""), """")"),"")</f>
        <v/>
      </c>
      <c r="L9557" s="12"/>
      <c r="M9557" s="13"/>
      <c r="N9557" s="2"/>
      <c r="O9557" s="20"/>
      <c r="P9557" s="42"/>
      <c r="R9557" s="23"/>
    </row>
    <row r="9558" spans="1:18" ht="12.75">
      <c r="A9558" s="12"/>
      <c r="D9558" s="12"/>
      <c r="E9558" s="12"/>
      <c r="H9558" s="11" t="str">
        <f ca="1">IFERROR(__xludf.DUMMYFUNCTION("IFERROR(SUBSTITUTE(SUBSTITUTE(REGEXEXTRACT(A9558, ""[^-]+- [^-]+- [^-]+ - (.+?)\.jpg""), "".jpg"", """"), ""-"", "", ""), """")"),"")</f>
        <v/>
      </c>
      <c r="L9558" s="12"/>
      <c r="M9558" s="13"/>
      <c r="N9558" s="2"/>
      <c r="O9558" s="20"/>
      <c r="P9558" s="42"/>
      <c r="R9558" s="23"/>
    </row>
    <row r="9559" spans="1:18" ht="12.75">
      <c r="A9559" s="12"/>
      <c r="D9559" s="12"/>
      <c r="E9559" s="12"/>
      <c r="H9559" s="11" t="str">
        <f ca="1">IFERROR(__xludf.DUMMYFUNCTION("IFERROR(SUBSTITUTE(SUBSTITUTE(REGEXEXTRACT(A9559, ""[^-]+- [^-]+- [^-]+ - (.+?)\.jpg""), "".jpg"", """"), ""-"", "", ""), """")"),"")</f>
        <v/>
      </c>
      <c r="L9559" s="12"/>
      <c r="M9559" s="13"/>
      <c r="N9559" s="2"/>
      <c r="O9559" s="20"/>
      <c r="P9559" s="42"/>
      <c r="R9559" s="23"/>
    </row>
    <row r="9560" spans="1:18" ht="12.75">
      <c r="A9560" s="12"/>
      <c r="D9560" s="12"/>
      <c r="E9560" s="12"/>
      <c r="H9560" s="11" t="str">
        <f ca="1">IFERROR(__xludf.DUMMYFUNCTION("IFERROR(SUBSTITUTE(SUBSTITUTE(REGEXEXTRACT(A9560, ""[^-]+- [^-]+- [^-]+ - (.+?)\.jpg""), "".jpg"", """"), ""-"", "", ""), """")"),"")</f>
        <v/>
      </c>
      <c r="L9560" s="12"/>
      <c r="M9560" s="13"/>
      <c r="N9560" s="2"/>
      <c r="O9560" s="20"/>
      <c r="P9560" s="42"/>
      <c r="R9560" s="23"/>
    </row>
    <row r="9561" spans="1:18" ht="12.75">
      <c r="A9561" s="12"/>
      <c r="D9561" s="12"/>
      <c r="E9561" s="12"/>
      <c r="H9561" s="11" t="str">
        <f ca="1">IFERROR(__xludf.DUMMYFUNCTION("IFERROR(SUBSTITUTE(SUBSTITUTE(REGEXEXTRACT(A9561, ""[^-]+- [^-]+- [^-]+ - (.+?)\.jpg""), "".jpg"", """"), ""-"", "", ""), """")"),"")</f>
        <v/>
      </c>
      <c r="L9561" s="12"/>
      <c r="M9561" s="13"/>
      <c r="N9561" s="2"/>
      <c r="O9561" s="20"/>
      <c r="P9561" s="42"/>
      <c r="R9561" s="23"/>
    </row>
    <row r="9562" spans="1:18" ht="12.75">
      <c r="A9562" s="12"/>
      <c r="D9562" s="12"/>
      <c r="E9562" s="12"/>
      <c r="H9562" s="11" t="str">
        <f ca="1">IFERROR(__xludf.DUMMYFUNCTION("IFERROR(SUBSTITUTE(SUBSTITUTE(REGEXEXTRACT(A9562, ""[^-]+- [^-]+- [^-]+ - (.+?)\.jpg""), "".jpg"", """"), ""-"", "", ""), """")"),"")</f>
        <v/>
      </c>
      <c r="L9562" s="12"/>
      <c r="M9562" s="13"/>
      <c r="N9562" s="2"/>
      <c r="O9562" s="20"/>
      <c r="P9562" s="42"/>
      <c r="R9562" s="23"/>
    </row>
    <row r="9563" spans="1:18" ht="12.75">
      <c r="A9563" s="12"/>
      <c r="D9563" s="12"/>
      <c r="E9563" s="12"/>
      <c r="H9563" s="11" t="str">
        <f ca="1">IFERROR(__xludf.DUMMYFUNCTION("IFERROR(SUBSTITUTE(SUBSTITUTE(REGEXEXTRACT(A9563, ""[^-]+- [^-]+- [^-]+ - (.+?)\.jpg""), "".jpg"", """"), ""-"", "", ""), """")"),"")</f>
        <v/>
      </c>
      <c r="L9563" s="12"/>
      <c r="M9563" s="13"/>
      <c r="N9563" s="2"/>
      <c r="O9563" s="20"/>
      <c r="P9563" s="42"/>
      <c r="R9563" s="23"/>
    </row>
    <row r="9564" spans="1:18" ht="12.75">
      <c r="A9564" s="12"/>
      <c r="D9564" s="12"/>
      <c r="E9564" s="12"/>
      <c r="H9564" s="11" t="str">
        <f ca="1">IFERROR(__xludf.DUMMYFUNCTION("IFERROR(SUBSTITUTE(SUBSTITUTE(REGEXEXTRACT(A9564, ""[^-]+- [^-]+- [^-]+ - (.+?)\.jpg""), "".jpg"", """"), ""-"", "", ""), """")"),"")</f>
        <v/>
      </c>
      <c r="L9564" s="12"/>
      <c r="M9564" s="13"/>
      <c r="N9564" s="2"/>
      <c r="O9564" s="20"/>
      <c r="P9564" s="42"/>
      <c r="R9564" s="23"/>
    </row>
    <row r="9565" spans="1:18" ht="12.75">
      <c r="A9565" s="12"/>
      <c r="D9565" s="12"/>
      <c r="E9565" s="12"/>
      <c r="H9565" s="11" t="str">
        <f ca="1">IFERROR(__xludf.DUMMYFUNCTION("IFERROR(SUBSTITUTE(SUBSTITUTE(REGEXEXTRACT(A9565, ""[^-]+- [^-]+- [^-]+ - (.+?)\.jpg""), "".jpg"", """"), ""-"", "", ""), """")"),"")</f>
        <v/>
      </c>
      <c r="L9565" s="12"/>
      <c r="M9565" s="13"/>
      <c r="N9565" s="2"/>
      <c r="O9565" s="20"/>
      <c r="P9565" s="42"/>
      <c r="R9565" s="23"/>
    </row>
    <row r="9566" spans="1:18" ht="12.75">
      <c r="A9566" s="12"/>
      <c r="D9566" s="12"/>
      <c r="E9566" s="12"/>
      <c r="H9566" s="11" t="str">
        <f ca="1">IFERROR(__xludf.DUMMYFUNCTION("IFERROR(SUBSTITUTE(SUBSTITUTE(REGEXEXTRACT(A9566, ""[^-]+- [^-]+- [^-]+ - (.+?)\.jpg""), "".jpg"", """"), ""-"", "", ""), """")"),"")</f>
        <v/>
      </c>
      <c r="L9566" s="12"/>
      <c r="M9566" s="13"/>
      <c r="N9566" s="2"/>
      <c r="O9566" s="20"/>
      <c r="P9566" s="42"/>
      <c r="R9566" s="23"/>
    </row>
    <row r="9567" spans="1:18" ht="12.75">
      <c r="A9567" s="12"/>
      <c r="D9567" s="12"/>
      <c r="E9567" s="12"/>
      <c r="H9567" s="11" t="str">
        <f ca="1">IFERROR(__xludf.DUMMYFUNCTION("IFERROR(SUBSTITUTE(SUBSTITUTE(REGEXEXTRACT(A9567, ""[^-]+- [^-]+- [^-]+ - (.+?)\.jpg""), "".jpg"", """"), ""-"", "", ""), """")"),"")</f>
        <v/>
      </c>
      <c r="L9567" s="12"/>
      <c r="M9567" s="13"/>
      <c r="N9567" s="2"/>
      <c r="O9567" s="20"/>
      <c r="P9567" s="42"/>
      <c r="R9567" s="23"/>
    </row>
    <row r="9568" spans="1:18" ht="12.75">
      <c r="A9568" s="12"/>
      <c r="D9568" s="12"/>
      <c r="E9568" s="12"/>
      <c r="H9568" s="11" t="str">
        <f ca="1">IFERROR(__xludf.DUMMYFUNCTION("IFERROR(SUBSTITUTE(SUBSTITUTE(REGEXEXTRACT(A9568, ""[^-]+- [^-]+- [^-]+ - (.+?)\.jpg""), "".jpg"", """"), ""-"", "", ""), """")"),"")</f>
        <v/>
      </c>
      <c r="L9568" s="12"/>
      <c r="M9568" s="13"/>
      <c r="N9568" s="2"/>
      <c r="O9568" s="20"/>
      <c r="P9568" s="42"/>
      <c r="R9568" s="23"/>
    </row>
    <row r="9569" spans="1:18" ht="12.75">
      <c r="A9569" s="12"/>
      <c r="D9569" s="12"/>
      <c r="E9569" s="12"/>
      <c r="H9569" s="11" t="str">
        <f ca="1">IFERROR(__xludf.DUMMYFUNCTION("IFERROR(SUBSTITUTE(SUBSTITUTE(REGEXEXTRACT(A9569, ""[^-]+- [^-]+- [^-]+ - (.+?)\.jpg""), "".jpg"", """"), ""-"", "", ""), """")"),"")</f>
        <v/>
      </c>
      <c r="L9569" s="12"/>
      <c r="M9569" s="13"/>
      <c r="N9569" s="2"/>
      <c r="O9569" s="20"/>
      <c r="P9569" s="42"/>
      <c r="R9569" s="23"/>
    </row>
    <row r="9570" spans="1:18" ht="12.75">
      <c r="A9570" s="12"/>
      <c r="D9570" s="12"/>
      <c r="E9570" s="12"/>
      <c r="H9570" s="11" t="str">
        <f ca="1">IFERROR(__xludf.DUMMYFUNCTION("IFERROR(SUBSTITUTE(SUBSTITUTE(REGEXEXTRACT(A9570, ""[^-]+- [^-]+- [^-]+ - (.+?)\.jpg""), "".jpg"", """"), ""-"", "", ""), """")"),"")</f>
        <v/>
      </c>
      <c r="L9570" s="12"/>
      <c r="M9570" s="13"/>
      <c r="N9570" s="2"/>
      <c r="O9570" s="20"/>
      <c r="P9570" s="42"/>
      <c r="R9570" s="23"/>
    </row>
    <row r="9571" spans="1:18" ht="12.75">
      <c r="A9571" s="12"/>
      <c r="D9571" s="12"/>
      <c r="E9571" s="12"/>
      <c r="H9571" s="11" t="str">
        <f ca="1">IFERROR(__xludf.DUMMYFUNCTION("IFERROR(SUBSTITUTE(SUBSTITUTE(REGEXEXTRACT(A9571, ""[^-]+- [^-]+- [^-]+ - (.+?)\.jpg""), "".jpg"", """"), ""-"", "", ""), """")"),"")</f>
        <v/>
      </c>
      <c r="L9571" s="12"/>
      <c r="M9571" s="13"/>
      <c r="N9571" s="2"/>
      <c r="O9571" s="20"/>
      <c r="P9571" s="42"/>
      <c r="R9571" s="23"/>
    </row>
    <row r="9572" spans="1:18" ht="12.75">
      <c r="A9572" s="12"/>
      <c r="D9572" s="12"/>
      <c r="E9572" s="12"/>
      <c r="H9572" s="11" t="str">
        <f ca="1">IFERROR(__xludf.DUMMYFUNCTION("IFERROR(SUBSTITUTE(SUBSTITUTE(REGEXEXTRACT(A9572, ""[^-]+- [^-]+- [^-]+ - (.+?)\.jpg""), "".jpg"", """"), ""-"", "", ""), """")"),"")</f>
        <v/>
      </c>
      <c r="L9572" s="12"/>
      <c r="M9572" s="13"/>
      <c r="N9572" s="2"/>
      <c r="O9572" s="20"/>
      <c r="P9572" s="42"/>
      <c r="R9572" s="23"/>
    </row>
    <row r="9573" spans="1:18" ht="12.75">
      <c r="A9573" s="12"/>
      <c r="D9573" s="12"/>
      <c r="E9573" s="12"/>
      <c r="H9573" s="11" t="str">
        <f ca="1">IFERROR(__xludf.DUMMYFUNCTION("IFERROR(SUBSTITUTE(SUBSTITUTE(REGEXEXTRACT(A9573, ""[^-]+- [^-]+- [^-]+ - (.+?)\.jpg""), "".jpg"", """"), ""-"", "", ""), """")"),"")</f>
        <v/>
      </c>
      <c r="L9573" s="12"/>
      <c r="M9573" s="13"/>
      <c r="N9573" s="2"/>
      <c r="O9573" s="20"/>
      <c r="P9573" s="42"/>
      <c r="R9573" s="23"/>
    </row>
    <row r="9574" spans="1:18" ht="12.75">
      <c r="A9574" s="12"/>
      <c r="D9574" s="12"/>
      <c r="E9574" s="12"/>
      <c r="H9574" s="11" t="str">
        <f ca="1">IFERROR(__xludf.DUMMYFUNCTION("IFERROR(SUBSTITUTE(SUBSTITUTE(REGEXEXTRACT(A9574, ""[^-]+- [^-]+- [^-]+ - (.+?)\.jpg""), "".jpg"", """"), ""-"", "", ""), """")"),"")</f>
        <v/>
      </c>
      <c r="L9574" s="12"/>
      <c r="M9574" s="13"/>
      <c r="N9574" s="2"/>
      <c r="O9574" s="20"/>
      <c r="P9574" s="42"/>
      <c r="R9574" s="23"/>
    </row>
    <row r="9575" spans="1:18" ht="12.75">
      <c r="A9575" s="12"/>
      <c r="D9575" s="12"/>
      <c r="E9575" s="12"/>
      <c r="H9575" s="11" t="str">
        <f ca="1">IFERROR(__xludf.DUMMYFUNCTION("IFERROR(SUBSTITUTE(SUBSTITUTE(REGEXEXTRACT(A9575, ""[^-]+- [^-]+- [^-]+ - (.+?)\.jpg""), "".jpg"", """"), ""-"", "", ""), """")"),"")</f>
        <v/>
      </c>
      <c r="L9575" s="12"/>
      <c r="M9575" s="13"/>
      <c r="N9575" s="2"/>
      <c r="O9575" s="20"/>
      <c r="P9575" s="42"/>
      <c r="R9575" s="23"/>
    </row>
    <row r="9576" spans="1:18" ht="12.75">
      <c r="A9576" s="12"/>
      <c r="D9576" s="12"/>
      <c r="E9576" s="12"/>
      <c r="H9576" s="11" t="str">
        <f ca="1">IFERROR(__xludf.DUMMYFUNCTION("IFERROR(SUBSTITUTE(SUBSTITUTE(REGEXEXTRACT(A9576, ""[^-]+- [^-]+- [^-]+ - (.+?)\.jpg""), "".jpg"", """"), ""-"", "", ""), """")"),"")</f>
        <v/>
      </c>
      <c r="L9576" s="12"/>
      <c r="M9576" s="13"/>
      <c r="N9576" s="2"/>
      <c r="O9576" s="20"/>
      <c r="P9576" s="42"/>
      <c r="R9576" s="23"/>
    </row>
    <row r="9577" spans="1:18" ht="12.75">
      <c r="A9577" s="12"/>
      <c r="D9577" s="12"/>
      <c r="E9577" s="12"/>
      <c r="H9577" s="11" t="str">
        <f ca="1">IFERROR(__xludf.DUMMYFUNCTION("IFERROR(SUBSTITUTE(SUBSTITUTE(REGEXEXTRACT(A9577, ""[^-]+- [^-]+- [^-]+ - (.+?)\.jpg""), "".jpg"", """"), ""-"", "", ""), """")"),"")</f>
        <v/>
      </c>
      <c r="L9577" s="12"/>
      <c r="M9577" s="13"/>
      <c r="N9577" s="2"/>
      <c r="O9577" s="20"/>
      <c r="P9577" s="42"/>
      <c r="R9577" s="23"/>
    </row>
    <row r="9578" spans="1:18" ht="12.75">
      <c r="A9578" s="12"/>
      <c r="D9578" s="12"/>
      <c r="E9578" s="12"/>
      <c r="H9578" s="11" t="str">
        <f ca="1">IFERROR(__xludf.DUMMYFUNCTION("IFERROR(SUBSTITUTE(SUBSTITUTE(REGEXEXTRACT(A9578, ""[^-]+- [^-]+- [^-]+ - (.+?)\.jpg""), "".jpg"", """"), ""-"", "", ""), """")"),"")</f>
        <v/>
      </c>
      <c r="L9578" s="12"/>
      <c r="M9578" s="13"/>
      <c r="N9578" s="2"/>
      <c r="O9578" s="20"/>
      <c r="P9578" s="42"/>
      <c r="R9578" s="23"/>
    </row>
    <row r="9579" spans="1:18" ht="12.75">
      <c r="A9579" s="12"/>
      <c r="D9579" s="12"/>
      <c r="E9579" s="12"/>
      <c r="H9579" s="11" t="str">
        <f ca="1">IFERROR(__xludf.DUMMYFUNCTION("IFERROR(SUBSTITUTE(SUBSTITUTE(REGEXEXTRACT(A9579, ""[^-]+- [^-]+- [^-]+ - (.+?)\.jpg""), "".jpg"", """"), ""-"", "", ""), """")"),"")</f>
        <v/>
      </c>
      <c r="L9579" s="12"/>
      <c r="M9579" s="13"/>
      <c r="N9579" s="2"/>
      <c r="O9579" s="20"/>
      <c r="P9579" s="42"/>
      <c r="R9579" s="23"/>
    </row>
    <row r="9580" spans="1:18" ht="12.75">
      <c r="A9580" s="12"/>
      <c r="D9580" s="12"/>
      <c r="E9580" s="12"/>
      <c r="H9580" s="11" t="str">
        <f ca="1">IFERROR(__xludf.DUMMYFUNCTION("IFERROR(SUBSTITUTE(SUBSTITUTE(REGEXEXTRACT(A9580, ""[^-]+- [^-]+- [^-]+ - (.+?)\.jpg""), "".jpg"", """"), ""-"", "", ""), """")"),"")</f>
        <v/>
      </c>
      <c r="L9580" s="12"/>
      <c r="M9580" s="13"/>
      <c r="N9580" s="2"/>
      <c r="O9580" s="20"/>
      <c r="P9580" s="42"/>
      <c r="R9580" s="23"/>
    </row>
    <row r="9581" spans="1:18" ht="12.75">
      <c r="A9581" s="12"/>
      <c r="D9581" s="12"/>
      <c r="E9581" s="12"/>
      <c r="H9581" s="11" t="str">
        <f ca="1">IFERROR(__xludf.DUMMYFUNCTION("IFERROR(SUBSTITUTE(SUBSTITUTE(REGEXEXTRACT(A9581, ""[^-]+- [^-]+- [^-]+ - (.+?)\.jpg""), "".jpg"", """"), ""-"", "", ""), """")"),"")</f>
        <v/>
      </c>
      <c r="L9581" s="12"/>
      <c r="M9581" s="13"/>
      <c r="N9581" s="2"/>
      <c r="O9581" s="20"/>
      <c r="P9581" s="42"/>
      <c r="R9581" s="23"/>
    </row>
    <row r="9582" spans="1:18" ht="12.75">
      <c r="A9582" s="12"/>
      <c r="D9582" s="12"/>
      <c r="E9582" s="12"/>
      <c r="H9582" s="11" t="str">
        <f ca="1">IFERROR(__xludf.DUMMYFUNCTION("IFERROR(SUBSTITUTE(SUBSTITUTE(REGEXEXTRACT(A9582, ""[^-]+- [^-]+- [^-]+ - (.+?)\.jpg""), "".jpg"", """"), ""-"", "", ""), """")"),"")</f>
        <v/>
      </c>
      <c r="L9582" s="12"/>
      <c r="M9582" s="13"/>
      <c r="N9582" s="2"/>
      <c r="O9582" s="20"/>
      <c r="P9582" s="42"/>
      <c r="R9582" s="23"/>
    </row>
    <row r="9583" spans="1:18" ht="12.75">
      <c r="A9583" s="12"/>
      <c r="D9583" s="12"/>
      <c r="E9583" s="12"/>
      <c r="H9583" s="11" t="str">
        <f ca="1">IFERROR(__xludf.DUMMYFUNCTION("IFERROR(SUBSTITUTE(SUBSTITUTE(REGEXEXTRACT(A9583, ""[^-]+- [^-]+- [^-]+ - (.+?)\.jpg""), "".jpg"", """"), ""-"", "", ""), """")"),"")</f>
        <v/>
      </c>
      <c r="L9583" s="12"/>
      <c r="M9583" s="13"/>
      <c r="N9583" s="2"/>
      <c r="O9583" s="20"/>
      <c r="P9583" s="42"/>
      <c r="R9583" s="23"/>
    </row>
    <row r="9584" spans="1:18" ht="12.75">
      <c r="A9584" s="12"/>
      <c r="D9584" s="12"/>
      <c r="E9584" s="12"/>
      <c r="H9584" s="11" t="str">
        <f ca="1">IFERROR(__xludf.DUMMYFUNCTION("IFERROR(SUBSTITUTE(SUBSTITUTE(REGEXEXTRACT(A9584, ""[^-]+- [^-]+- [^-]+ - (.+?)\.jpg""), "".jpg"", """"), ""-"", "", ""), """")"),"")</f>
        <v/>
      </c>
      <c r="L9584" s="12"/>
      <c r="M9584" s="13"/>
      <c r="N9584" s="2"/>
      <c r="O9584" s="20"/>
      <c r="P9584" s="42"/>
      <c r="R9584" s="23"/>
    </row>
    <row r="9585" spans="1:18" ht="12.75">
      <c r="A9585" s="12"/>
      <c r="D9585" s="12"/>
      <c r="E9585" s="12"/>
      <c r="H9585" s="11" t="str">
        <f ca="1">IFERROR(__xludf.DUMMYFUNCTION("IFERROR(SUBSTITUTE(SUBSTITUTE(REGEXEXTRACT(A9585, ""[^-]+- [^-]+- [^-]+ - (.+?)\.jpg""), "".jpg"", """"), ""-"", "", ""), """")"),"")</f>
        <v/>
      </c>
      <c r="L9585" s="12"/>
      <c r="M9585" s="13"/>
      <c r="N9585" s="2"/>
      <c r="O9585" s="20"/>
      <c r="P9585" s="42"/>
      <c r="R9585" s="23"/>
    </row>
    <row r="9586" spans="1:18" ht="12.75">
      <c r="A9586" s="12"/>
      <c r="D9586" s="12"/>
      <c r="E9586" s="12"/>
      <c r="H9586" s="11" t="str">
        <f ca="1">IFERROR(__xludf.DUMMYFUNCTION("IFERROR(SUBSTITUTE(SUBSTITUTE(REGEXEXTRACT(A9586, ""[^-]+- [^-]+- [^-]+ - (.+?)\.jpg""), "".jpg"", """"), ""-"", "", ""), """")"),"")</f>
        <v/>
      </c>
      <c r="L9586" s="12"/>
      <c r="M9586" s="13"/>
      <c r="N9586" s="2"/>
      <c r="O9586" s="20"/>
      <c r="P9586" s="42"/>
      <c r="R9586" s="23"/>
    </row>
    <row r="9587" spans="1:18" ht="12.75">
      <c r="A9587" s="12"/>
      <c r="D9587" s="12"/>
      <c r="E9587" s="12"/>
      <c r="H9587" s="11" t="str">
        <f ca="1">IFERROR(__xludf.DUMMYFUNCTION("IFERROR(SUBSTITUTE(SUBSTITUTE(REGEXEXTRACT(A9587, ""[^-]+- [^-]+- [^-]+ - (.+?)\.jpg""), "".jpg"", """"), ""-"", "", ""), """")"),"")</f>
        <v/>
      </c>
      <c r="L9587" s="12"/>
      <c r="M9587" s="13"/>
      <c r="N9587" s="2"/>
      <c r="O9587" s="20"/>
      <c r="P9587" s="42"/>
      <c r="R9587" s="23"/>
    </row>
    <row r="9588" spans="1:18" ht="12.75">
      <c r="A9588" s="12"/>
      <c r="D9588" s="12"/>
      <c r="E9588" s="12"/>
      <c r="H9588" s="11" t="str">
        <f ca="1">IFERROR(__xludf.DUMMYFUNCTION("IFERROR(SUBSTITUTE(SUBSTITUTE(REGEXEXTRACT(A9588, ""[^-]+- [^-]+- [^-]+ - (.+?)\.jpg""), "".jpg"", """"), ""-"", "", ""), """")"),"")</f>
        <v/>
      </c>
      <c r="L9588" s="12"/>
      <c r="M9588" s="13"/>
      <c r="N9588" s="2"/>
      <c r="O9588" s="20"/>
      <c r="P9588" s="42"/>
      <c r="R9588" s="23"/>
    </row>
    <row r="9589" spans="1:18" ht="12.75">
      <c r="A9589" s="12"/>
      <c r="D9589" s="12"/>
      <c r="E9589" s="12"/>
      <c r="H9589" s="11" t="str">
        <f ca="1">IFERROR(__xludf.DUMMYFUNCTION("IFERROR(SUBSTITUTE(SUBSTITUTE(REGEXEXTRACT(A9589, ""[^-]+- [^-]+- [^-]+ - (.+?)\.jpg""), "".jpg"", """"), ""-"", "", ""), """")"),"")</f>
        <v/>
      </c>
      <c r="L9589" s="12"/>
      <c r="M9589" s="13"/>
      <c r="N9589" s="2"/>
      <c r="O9589" s="20"/>
      <c r="P9589" s="42"/>
      <c r="R9589" s="23"/>
    </row>
    <row r="9590" spans="1:18" ht="12.75">
      <c r="A9590" s="12"/>
      <c r="D9590" s="12"/>
      <c r="E9590" s="12"/>
      <c r="H9590" s="11" t="str">
        <f ca="1">IFERROR(__xludf.DUMMYFUNCTION("IFERROR(SUBSTITUTE(SUBSTITUTE(REGEXEXTRACT(A9590, ""[^-]+- [^-]+- [^-]+ - (.+?)\.jpg""), "".jpg"", """"), ""-"", "", ""), """")"),"")</f>
        <v/>
      </c>
      <c r="L9590" s="12"/>
      <c r="M9590" s="13"/>
      <c r="N9590" s="2"/>
      <c r="O9590" s="20"/>
      <c r="P9590" s="42"/>
      <c r="R9590" s="23"/>
    </row>
    <row r="9591" spans="1:18" ht="12.75">
      <c r="A9591" s="12"/>
      <c r="D9591" s="12"/>
      <c r="E9591" s="12"/>
      <c r="H9591" s="11" t="str">
        <f ca="1">IFERROR(__xludf.DUMMYFUNCTION("IFERROR(SUBSTITUTE(SUBSTITUTE(REGEXEXTRACT(A9591, ""[^-]+- [^-]+- [^-]+ - (.+?)\.jpg""), "".jpg"", """"), ""-"", "", ""), """")"),"")</f>
        <v/>
      </c>
      <c r="L9591" s="12"/>
      <c r="M9591" s="13"/>
      <c r="N9591" s="2"/>
      <c r="O9591" s="20"/>
      <c r="P9591" s="42"/>
      <c r="R9591" s="23"/>
    </row>
    <row r="9592" spans="1:18" ht="12.75">
      <c r="A9592" s="12"/>
      <c r="D9592" s="12"/>
      <c r="E9592" s="12"/>
      <c r="H9592" s="11" t="str">
        <f ca="1">IFERROR(__xludf.DUMMYFUNCTION("IFERROR(SUBSTITUTE(SUBSTITUTE(REGEXEXTRACT(A9592, ""[^-]+- [^-]+- [^-]+ - (.+?)\.jpg""), "".jpg"", """"), ""-"", "", ""), """")"),"")</f>
        <v/>
      </c>
      <c r="L9592" s="12"/>
      <c r="M9592" s="13"/>
      <c r="N9592" s="2"/>
      <c r="O9592" s="20"/>
      <c r="P9592" s="42"/>
      <c r="R9592" s="23"/>
    </row>
    <row r="9593" spans="1:18" ht="12.75">
      <c r="A9593" s="12"/>
      <c r="D9593" s="12"/>
      <c r="E9593" s="12"/>
      <c r="H9593" s="11" t="str">
        <f ca="1">IFERROR(__xludf.DUMMYFUNCTION("IFERROR(SUBSTITUTE(SUBSTITUTE(REGEXEXTRACT(A9593, ""[^-]+- [^-]+- [^-]+ - (.+?)\.jpg""), "".jpg"", """"), ""-"", "", ""), """")"),"")</f>
        <v/>
      </c>
      <c r="L9593" s="12"/>
      <c r="M9593" s="13"/>
      <c r="N9593" s="2"/>
      <c r="O9593" s="20"/>
      <c r="P9593" s="42"/>
      <c r="R9593" s="23"/>
    </row>
    <row r="9594" spans="1:18" ht="12.75">
      <c r="A9594" s="12"/>
      <c r="D9594" s="12"/>
      <c r="E9594" s="12"/>
      <c r="H9594" s="11" t="str">
        <f ca="1">IFERROR(__xludf.DUMMYFUNCTION("IFERROR(SUBSTITUTE(SUBSTITUTE(REGEXEXTRACT(A9594, ""[^-]+- [^-]+- [^-]+ - (.+?)\.jpg""), "".jpg"", """"), ""-"", "", ""), """")"),"")</f>
        <v/>
      </c>
      <c r="L9594" s="12"/>
      <c r="M9594" s="13"/>
      <c r="N9594" s="2"/>
      <c r="O9594" s="20"/>
      <c r="P9594" s="42"/>
      <c r="R9594" s="23"/>
    </row>
    <row r="9595" spans="1:18" ht="12.75">
      <c r="A9595" s="12"/>
      <c r="D9595" s="12"/>
      <c r="E9595" s="12"/>
      <c r="H9595" s="11" t="str">
        <f ca="1">IFERROR(__xludf.DUMMYFUNCTION("IFERROR(SUBSTITUTE(SUBSTITUTE(REGEXEXTRACT(A9595, ""[^-]+- [^-]+- [^-]+ - (.+?)\.jpg""), "".jpg"", """"), ""-"", "", ""), """")"),"")</f>
        <v/>
      </c>
      <c r="L9595" s="12"/>
      <c r="M9595" s="13"/>
      <c r="N9595" s="2"/>
      <c r="O9595" s="20"/>
      <c r="P9595" s="42"/>
      <c r="R9595" s="23"/>
    </row>
    <row r="9596" spans="1:18" ht="12.75">
      <c r="A9596" s="12"/>
      <c r="D9596" s="12"/>
      <c r="E9596" s="12"/>
      <c r="H9596" s="11" t="str">
        <f ca="1">IFERROR(__xludf.DUMMYFUNCTION("IFERROR(SUBSTITUTE(SUBSTITUTE(REGEXEXTRACT(A9596, ""[^-]+- [^-]+- [^-]+ - (.+?)\.jpg""), "".jpg"", """"), ""-"", "", ""), """")"),"")</f>
        <v/>
      </c>
      <c r="L9596" s="12"/>
      <c r="M9596" s="13"/>
      <c r="N9596" s="2"/>
      <c r="O9596" s="20"/>
      <c r="P9596" s="42"/>
      <c r="R9596" s="23"/>
    </row>
    <row r="9597" spans="1:18" ht="12.75">
      <c r="A9597" s="12"/>
      <c r="D9597" s="12"/>
      <c r="E9597" s="12"/>
      <c r="H9597" s="11" t="str">
        <f ca="1">IFERROR(__xludf.DUMMYFUNCTION("IFERROR(SUBSTITUTE(SUBSTITUTE(REGEXEXTRACT(A9597, ""[^-]+- [^-]+- [^-]+ - (.+?)\.jpg""), "".jpg"", """"), ""-"", "", ""), """")"),"")</f>
        <v/>
      </c>
      <c r="L9597" s="12"/>
      <c r="M9597" s="13"/>
      <c r="N9597" s="2"/>
      <c r="O9597" s="20"/>
      <c r="P9597" s="42"/>
      <c r="R9597" s="23"/>
    </row>
    <row r="9598" spans="1:18" ht="12.75">
      <c r="A9598" s="12"/>
      <c r="D9598" s="12"/>
      <c r="E9598" s="12"/>
      <c r="H9598" s="11" t="str">
        <f ca="1">IFERROR(__xludf.DUMMYFUNCTION("IFERROR(SUBSTITUTE(SUBSTITUTE(REGEXEXTRACT(A9598, ""[^-]+- [^-]+- [^-]+ - (.+?)\.jpg""), "".jpg"", """"), ""-"", "", ""), """")"),"")</f>
        <v/>
      </c>
      <c r="L9598" s="12"/>
      <c r="M9598" s="13"/>
      <c r="N9598" s="2"/>
      <c r="O9598" s="20"/>
      <c r="P9598" s="42"/>
      <c r="R9598" s="23"/>
    </row>
    <row r="9599" spans="1:18" ht="12.75">
      <c r="A9599" s="12"/>
      <c r="D9599" s="12"/>
      <c r="E9599" s="12"/>
      <c r="H9599" s="11" t="str">
        <f ca="1">IFERROR(__xludf.DUMMYFUNCTION("IFERROR(SUBSTITUTE(SUBSTITUTE(REGEXEXTRACT(A9599, ""[^-]+- [^-]+- [^-]+ - (.+?)\.jpg""), "".jpg"", """"), ""-"", "", ""), """")"),"")</f>
        <v/>
      </c>
      <c r="L9599" s="12"/>
      <c r="M9599" s="13"/>
      <c r="N9599" s="2"/>
      <c r="O9599" s="20"/>
      <c r="P9599" s="42"/>
      <c r="R9599" s="23"/>
    </row>
    <row r="9600" spans="1:18" ht="12.75">
      <c r="A9600" s="12"/>
      <c r="D9600" s="12"/>
      <c r="E9600" s="12"/>
      <c r="H9600" s="11" t="str">
        <f ca="1">IFERROR(__xludf.DUMMYFUNCTION("IFERROR(SUBSTITUTE(SUBSTITUTE(REGEXEXTRACT(A9600, ""[^-]+- [^-]+- [^-]+ - (.+?)\.jpg""), "".jpg"", """"), ""-"", "", ""), """")"),"")</f>
        <v/>
      </c>
      <c r="L9600" s="12"/>
      <c r="M9600" s="13"/>
      <c r="N9600" s="2"/>
      <c r="O9600" s="20"/>
      <c r="P9600" s="42"/>
      <c r="R9600" s="23"/>
    </row>
    <row r="9601" spans="1:18" ht="12.75">
      <c r="A9601" s="12"/>
      <c r="D9601" s="12"/>
      <c r="E9601" s="12"/>
      <c r="H9601" s="11" t="str">
        <f ca="1">IFERROR(__xludf.DUMMYFUNCTION("IFERROR(SUBSTITUTE(SUBSTITUTE(REGEXEXTRACT(A9601, ""[^-]+- [^-]+- [^-]+ - (.+?)\.jpg""), "".jpg"", """"), ""-"", "", ""), """")"),"")</f>
        <v/>
      </c>
      <c r="L9601" s="12"/>
      <c r="M9601" s="13"/>
      <c r="N9601" s="2"/>
      <c r="O9601" s="20"/>
      <c r="P9601" s="42"/>
      <c r="R9601" s="23"/>
    </row>
    <row r="9602" spans="1:18" ht="12.75">
      <c r="A9602" s="12"/>
      <c r="D9602" s="12"/>
      <c r="E9602" s="12"/>
      <c r="H9602" s="11" t="str">
        <f ca="1">IFERROR(__xludf.DUMMYFUNCTION("IFERROR(SUBSTITUTE(SUBSTITUTE(REGEXEXTRACT(A9602, ""[^-]+- [^-]+- [^-]+ - (.+?)\.jpg""), "".jpg"", """"), ""-"", "", ""), """")"),"")</f>
        <v/>
      </c>
      <c r="L9602" s="12"/>
      <c r="M9602" s="13"/>
      <c r="N9602" s="2"/>
      <c r="O9602" s="20"/>
      <c r="P9602" s="42"/>
      <c r="R9602" s="23"/>
    </row>
    <row r="9603" spans="1:18" ht="12.75">
      <c r="A9603" s="12"/>
      <c r="D9603" s="12"/>
      <c r="E9603" s="12"/>
      <c r="H9603" s="11" t="str">
        <f ca="1">IFERROR(__xludf.DUMMYFUNCTION("IFERROR(SUBSTITUTE(SUBSTITUTE(REGEXEXTRACT(A9603, ""[^-]+- [^-]+- [^-]+ - (.+?)\.jpg""), "".jpg"", """"), ""-"", "", ""), """")"),"")</f>
        <v/>
      </c>
      <c r="L9603" s="12"/>
      <c r="M9603" s="13"/>
      <c r="N9603" s="2"/>
      <c r="O9603" s="20"/>
      <c r="P9603" s="42"/>
      <c r="R9603" s="23"/>
    </row>
    <row r="9604" spans="1:18" ht="12.75">
      <c r="A9604" s="12"/>
      <c r="D9604" s="12"/>
      <c r="E9604" s="12"/>
      <c r="H9604" s="11" t="str">
        <f ca="1">IFERROR(__xludf.DUMMYFUNCTION("IFERROR(SUBSTITUTE(SUBSTITUTE(REGEXEXTRACT(A9604, ""[^-]+- [^-]+- [^-]+ - (.+?)\.jpg""), "".jpg"", """"), ""-"", "", ""), """")"),"")</f>
        <v/>
      </c>
      <c r="L9604" s="12"/>
      <c r="M9604" s="13"/>
      <c r="N9604" s="2"/>
      <c r="O9604" s="20"/>
      <c r="P9604" s="42"/>
      <c r="R9604" s="23"/>
    </row>
    <row r="9605" spans="1:18" ht="12.75">
      <c r="A9605" s="12"/>
      <c r="D9605" s="12"/>
      <c r="E9605" s="12"/>
      <c r="H9605" s="11" t="str">
        <f ca="1">IFERROR(__xludf.DUMMYFUNCTION("IFERROR(SUBSTITUTE(SUBSTITUTE(REGEXEXTRACT(A9605, ""[^-]+- [^-]+- [^-]+ - (.+?)\.jpg""), "".jpg"", """"), ""-"", "", ""), """")"),"")</f>
        <v/>
      </c>
      <c r="L9605" s="12"/>
      <c r="M9605" s="13"/>
      <c r="N9605" s="2"/>
      <c r="O9605" s="20"/>
      <c r="P9605" s="42"/>
      <c r="R9605" s="23"/>
    </row>
    <row r="9606" spans="1:18" ht="12.75">
      <c r="A9606" s="12"/>
      <c r="D9606" s="12"/>
      <c r="E9606" s="12"/>
      <c r="H9606" s="11" t="str">
        <f ca="1">IFERROR(__xludf.DUMMYFUNCTION("IFERROR(SUBSTITUTE(SUBSTITUTE(REGEXEXTRACT(A9606, ""[^-]+- [^-]+- [^-]+ - (.+?)\.jpg""), "".jpg"", """"), ""-"", "", ""), """")"),"")</f>
        <v/>
      </c>
      <c r="L9606" s="12"/>
      <c r="M9606" s="13"/>
      <c r="N9606" s="2"/>
      <c r="O9606" s="20"/>
      <c r="P9606" s="42"/>
      <c r="R9606" s="23"/>
    </row>
    <row r="9607" spans="1:18" ht="12.75">
      <c r="A9607" s="12"/>
      <c r="D9607" s="12"/>
      <c r="E9607" s="12"/>
      <c r="H9607" s="11" t="str">
        <f ca="1">IFERROR(__xludf.DUMMYFUNCTION("IFERROR(SUBSTITUTE(SUBSTITUTE(REGEXEXTRACT(A9607, ""[^-]+- [^-]+- [^-]+ - (.+?)\.jpg""), "".jpg"", """"), ""-"", "", ""), """")"),"")</f>
        <v/>
      </c>
      <c r="L9607" s="12"/>
      <c r="M9607" s="13"/>
      <c r="N9607" s="2"/>
      <c r="O9607" s="20"/>
      <c r="P9607" s="42"/>
      <c r="R9607" s="23"/>
    </row>
    <row r="9608" spans="1:18" ht="12.75">
      <c r="A9608" s="12"/>
      <c r="D9608" s="12"/>
      <c r="E9608" s="12"/>
      <c r="H9608" s="11" t="str">
        <f ca="1">IFERROR(__xludf.DUMMYFUNCTION("IFERROR(SUBSTITUTE(SUBSTITUTE(REGEXEXTRACT(A9608, ""[^-]+- [^-]+- [^-]+ - (.+?)\.jpg""), "".jpg"", """"), ""-"", "", ""), """")"),"")</f>
        <v/>
      </c>
      <c r="L9608" s="12"/>
      <c r="M9608" s="13"/>
      <c r="N9608" s="2"/>
      <c r="O9608" s="20"/>
      <c r="P9608" s="42"/>
      <c r="R9608" s="23"/>
    </row>
    <row r="9609" spans="1:18" ht="12.75">
      <c r="A9609" s="12"/>
      <c r="D9609" s="12"/>
      <c r="E9609" s="12"/>
      <c r="H9609" s="11" t="str">
        <f ca="1">IFERROR(__xludf.DUMMYFUNCTION("IFERROR(SUBSTITUTE(SUBSTITUTE(REGEXEXTRACT(A9609, ""[^-]+- [^-]+- [^-]+ - (.+?)\.jpg""), "".jpg"", """"), ""-"", "", ""), """")"),"")</f>
        <v/>
      </c>
      <c r="L9609" s="12"/>
      <c r="M9609" s="13"/>
      <c r="N9609" s="2"/>
      <c r="O9609" s="20"/>
      <c r="P9609" s="42"/>
      <c r="R9609" s="23"/>
    </row>
    <row r="9610" spans="1:18" ht="12.75">
      <c r="A9610" s="12"/>
      <c r="D9610" s="12"/>
      <c r="E9610" s="12"/>
      <c r="H9610" s="11" t="str">
        <f ca="1">IFERROR(__xludf.DUMMYFUNCTION("IFERROR(SUBSTITUTE(SUBSTITUTE(REGEXEXTRACT(A9610, ""[^-]+- [^-]+- [^-]+ - (.+?)\.jpg""), "".jpg"", """"), ""-"", "", ""), """")"),"")</f>
        <v/>
      </c>
      <c r="L9610" s="12"/>
      <c r="M9610" s="13"/>
      <c r="N9610" s="2"/>
      <c r="O9610" s="20"/>
      <c r="P9610" s="42"/>
      <c r="R9610" s="23"/>
    </row>
    <row r="9611" spans="1:18" ht="12.75">
      <c r="A9611" s="12"/>
      <c r="D9611" s="12"/>
      <c r="E9611" s="12"/>
      <c r="H9611" s="11" t="str">
        <f ca="1">IFERROR(__xludf.DUMMYFUNCTION("IFERROR(SUBSTITUTE(SUBSTITUTE(REGEXEXTRACT(A9611, ""[^-]+- [^-]+- [^-]+ - (.+?)\.jpg""), "".jpg"", """"), ""-"", "", ""), """")"),"")</f>
        <v/>
      </c>
      <c r="L9611" s="12"/>
      <c r="M9611" s="13"/>
      <c r="N9611" s="2"/>
      <c r="O9611" s="20"/>
      <c r="P9611" s="42"/>
      <c r="R9611" s="23"/>
    </row>
    <row r="9612" spans="1:18" ht="12.75">
      <c r="A9612" s="12"/>
      <c r="D9612" s="12"/>
      <c r="E9612" s="12"/>
      <c r="H9612" s="11" t="str">
        <f ca="1">IFERROR(__xludf.DUMMYFUNCTION("IFERROR(SUBSTITUTE(SUBSTITUTE(REGEXEXTRACT(A9612, ""[^-]+- [^-]+- [^-]+ - (.+?)\.jpg""), "".jpg"", """"), ""-"", "", ""), """")"),"")</f>
        <v/>
      </c>
      <c r="L9612" s="12"/>
      <c r="M9612" s="13"/>
      <c r="N9612" s="2"/>
      <c r="O9612" s="20"/>
      <c r="P9612" s="42"/>
      <c r="R9612" s="23"/>
    </row>
    <row r="9613" spans="1:18" ht="12.75">
      <c r="A9613" s="12"/>
      <c r="D9613" s="12"/>
      <c r="E9613" s="12"/>
      <c r="H9613" s="11" t="str">
        <f ca="1">IFERROR(__xludf.DUMMYFUNCTION("IFERROR(SUBSTITUTE(SUBSTITUTE(REGEXEXTRACT(A9613, ""[^-]+- [^-]+- [^-]+ - (.+?)\.jpg""), "".jpg"", """"), ""-"", "", ""), """")"),"")</f>
        <v/>
      </c>
      <c r="L9613" s="12"/>
      <c r="M9613" s="13"/>
      <c r="N9613" s="2"/>
      <c r="O9613" s="20"/>
      <c r="P9613" s="42"/>
      <c r="R9613" s="23"/>
    </row>
    <row r="9614" spans="1:18" ht="12.75">
      <c r="A9614" s="12"/>
      <c r="D9614" s="12"/>
      <c r="E9614" s="12"/>
      <c r="H9614" s="11" t="str">
        <f ca="1">IFERROR(__xludf.DUMMYFUNCTION("IFERROR(SUBSTITUTE(SUBSTITUTE(REGEXEXTRACT(A9614, ""[^-]+- [^-]+- [^-]+ - (.+?)\.jpg""), "".jpg"", """"), ""-"", "", ""), """")"),"")</f>
        <v/>
      </c>
      <c r="L9614" s="12"/>
      <c r="M9614" s="13"/>
      <c r="N9614" s="2"/>
      <c r="O9614" s="20"/>
      <c r="P9614" s="42"/>
      <c r="R9614" s="23"/>
    </row>
    <row r="9615" spans="1:18" ht="12.75">
      <c r="A9615" s="12"/>
      <c r="D9615" s="12"/>
      <c r="E9615" s="12"/>
      <c r="H9615" s="11" t="str">
        <f ca="1">IFERROR(__xludf.DUMMYFUNCTION("IFERROR(SUBSTITUTE(SUBSTITUTE(REGEXEXTRACT(A9615, ""[^-]+- [^-]+- [^-]+ - (.+?)\.jpg""), "".jpg"", """"), ""-"", "", ""), """")"),"")</f>
        <v/>
      </c>
      <c r="L9615" s="12"/>
      <c r="M9615" s="13"/>
      <c r="N9615" s="2"/>
      <c r="O9615" s="20"/>
      <c r="P9615" s="42"/>
      <c r="R9615" s="23"/>
    </row>
    <row r="9616" spans="1:18" ht="12.75">
      <c r="A9616" s="12"/>
      <c r="D9616" s="12"/>
      <c r="E9616" s="12"/>
      <c r="H9616" s="11" t="str">
        <f ca="1">IFERROR(__xludf.DUMMYFUNCTION("IFERROR(SUBSTITUTE(SUBSTITUTE(REGEXEXTRACT(A9616, ""[^-]+- [^-]+- [^-]+ - (.+?)\.jpg""), "".jpg"", """"), ""-"", "", ""), """")"),"")</f>
        <v/>
      </c>
      <c r="L9616" s="12"/>
      <c r="M9616" s="13"/>
      <c r="N9616" s="2"/>
      <c r="O9616" s="20"/>
      <c r="P9616" s="42"/>
      <c r="R9616" s="23"/>
    </row>
    <row r="9617" spans="1:18" ht="12.75">
      <c r="A9617" s="12"/>
      <c r="D9617" s="12"/>
      <c r="E9617" s="12"/>
      <c r="H9617" s="11" t="str">
        <f ca="1">IFERROR(__xludf.DUMMYFUNCTION("IFERROR(SUBSTITUTE(SUBSTITUTE(REGEXEXTRACT(A9617, ""[^-]+- [^-]+- [^-]+ - (.+?)\.jpg""), "".jpg"", """"), ""-"", "", ""), """")"),"")</f>
        <v/>
      </c>
      <c r="L9617" s="12"/>
      <c r="M9617" s="13"/>
      <c r="N9617" s="2"/>
      <c r="O9617" s="20"/>
      <c r="P9617" s="42"/>
      <c r="R9617" s="23"/>
    </row>
    <row r="9618" spans="1:18" ht="12.75">
      <c r="A9618" s="12"/>
      <c r="D9618" s="12"/>
      <c r="E9618" s="12"/>
      <c r="H9618" s="11" t="str">
        <f ca="1">IFERROR(__xludf.DUMMYFUNCTION("IFERROR(SUBSTITUTE(SUBSTITUTE(REGEXEXTRACT(A9618, ""[^-]+- [^-]+- [^-]+ - (.+?)\.jpg""), "".jpg"", """"), ""-"", "", ""), """")"),"")</f>
        <v/>
      </c>
      <c r="L9618" s="12"/>
      <c r="M9618" s="13"/>
      <c r="N9618" s="2"/>
      <c r="O9618" s="20"/>
      <c r="P9618" s="42"/>
      <c r="R9618" s="23"/>
    </row>
    <row r="9619" spans="1:18" ht="12.75">
      <c r="A9619" s="12"/>
      <c r="D9619" s="12"/>
      <c r="E9619" s="12"/>
      <c r="H9619" s="11" t="str">
        <f ca="1">IFERROR(__xludf.DUMMYFUNCTION("IFERROR(SUBSTITUTE(SUBSTITUTE(REGEXEXTRACT(A9619, ""[^-]+- [^-]+- [^-]+ - (.+?)\.jpg""), "".jpg"", """"), ""-"", "", ""), """")"),"")</f>
        <v/>
      </c>
      <c r="L9619" s="12"/>
      <c r="M9619" s="13"/>
      <c r="N9619" s="2"/>
      <c r="O9619" s="20"/>
      <c r="P9619" s="42"/>
      <c r="R9619" s="23"/>
    </row>
    <row r="9620" spans="1:18" ht="12.75">
      <c r="A9620" s="12"/>
      <c r="D9620" s="12"/>
      <c r="E9620" s="12"/>
      <c r="H9620" s="11" t="str">
        <f ca="1">IFERROR(__xludf.DUMMYFUNCTION("IFERROR(SUBSTITUTE(SUBSTITUTE(REGEXEXTRACT(A9620, ""[^-]+- [^-]+- [^-]+ - (.+?)\.jpg""), "".jpg"", """"), ""-"", "", ""), """")"),"")</f>
        <v/>
      </c>
      <c r="L9620" s="12"/>
      <c r="M9620" s="13"/>
      <c r="N9620" s="2"/>
      <c r="O9620" s="20"/>
      <c r="P9620" s="42"/>
      <c r="R9620" s="23"/>
    </row>
    <row r="9621" spans="1:18" ht="12.75">
      <c r="A9621" s="12"/>
      <c r="D9621" s="12"/>
      <c r="E9621" s="12"/>
      <c r="H9621" s="11" t="str">
        <f ca="1">IFERROR(__xludf.DUMMYFUNCTION("IFERROR(SUBSTITUTE(SUBSTITUTE(REGEXEXTRACT(A9621, ""[^-]+- [^-]+- [^-]+ - (.+?)\.jpg""), "".jpg"", """"), ""-"", "", ""), """")"),"")</f>
        <v/>
      </c>
      <c r="L9621" s="12"/>
      <c r="M9621" s="13"/>
      <c r="N9621" s="2"/>
      <c r="O9621" s="20"/>
      <c r="P9621" s="42"/>
      <c r="R9621" s="23"/>
    </row>
    <row r="9622" spans="1:18" ht="12.75">
      <c r="A9622" s="12"/>
      <c r="D9622" s="12"/>
      <c r="E9622" s="12"/>
      <c r="H9622" s="11" t="str">
        <f ca="1">IFERROR(__xludf.DUMMYFUNCTION("IFERROR(SUBSTITUTE(SUBSTITUTE(REGEXEXTRACT(A9622, ""[^-]+- [^-]+- [^-]+ - (.+?)\.jpg""), "".jpg"", """"), ""-"", "", ""), """")"),"")</f>
        <v/>
      </c>
      <c r="L9622" s="12"/>
      <c r="M9622" s="13"/>
      <c r="N9622" s="2"/>
      <c r="O9622" s="20"/>
      <c r="P9622" s="42"/>
      <c r="R9622" s="23"/>
    </row>
    <row r="9623" spans="1:18" ht="12.75">
      <c r="A9623" s="12"/>
      <c r="D9623" s="12"/>
      <c r="E9623" s="12"/>
      <c r="H9623" s="11" t="str">
        <f ca="1">IFERROR(__xludf.DUMMYFUNCTION("IFERROR(SUBSTITUTE(SUBSTITUTE(REGEXEXTRACT(A9623, ""[^-]+- [^-]+- [^-]+ - (.+?)\.jpg""), "".jpg"", """"), ""-"", "", ""), """")"),"")</f>
        <v/>
      </c>
      <c r="L9623" s="12"/>
      <c r="M9623" s="13"/>
      <c r="N9623" s="2"/>
      <c r="O9623" s="20"/>
      <c r="P9623" s="42"/>
      <c r="R9623" s="23"/>
    </row>
    <row r="9624" spans="1:18" ht="12.75">
      <c r="A9624" s="12"/>
      <c r="D9624" s="12"/>
      <c r="E9624" s="12"/>
      <c r="H9624" s="11" t="str">
        <f ca="1">IFERROR(__xludf.DUMMYFUNCTION("IFERROR(SUBSTITUTE(SUBSTITUTE(REGEXEXTRACT(A9624, ""[^-]+- [^-]+- [^-]+ - (.+?)\.jpg""), "".jpg"", """"), ""-"", "", ""), """")"),"")</f>
        <v/>
      </c>
      <c r="L9624" s="12"/>
      <c r="M9624" s="13"/>
      <c r="N9624" s="2"/>
      <c r="O9624" s="20"/>
      <c r="P9624" s="42"/>
      <c r="R9624" s="23"/>
    </row>
    <row r="9625" spans="1:18" ht="12.75">
      <c r="A9625" s="12"/>
      <c r="D9625" s="12"/>
      <c r="E9625" s="12"/>
      <c r="H9625" s="11" t="str">
        <f ca="1">IFERROR(__xludf.DUMMYFUNCTION("IFERROR(SUBSTITUTE(SUBSTITUTE(REGEXEXTRACT(A9625, ""[^-]+- [^-]+- [^-]+ - (.+?)\.jpg""), "".jpg"", """"), ""-"", "", ""), """")"),"")</f>
        <v/>
      </c>
      <c r="L9625" s="12"/>
      <c r="M9625" s="13"/>
      <c r="N9625" s="2"/>
      <c r="O9625" s="20"/>
      <c r="P9625" s="42"/>
      <c r="R9625" s="23"/>
    </row>
    <row r="9626" spans="1:18" ht="12.75">
      <c r="A9626" s="12"/>
      <c r="D9626" s="12"/>
      <c r="E9626" s="12"/>
      <c r="H9626" s="11" t="str">
        <f ca="1">IFERROR(__xludf.DUMMYFUNCTION("IFERROR(SUBSTITUTE(SUBSTITUTE(REGEXEXTRACT(A9626, ""[^-]+- [^-]+- [^-]+ - (.+?)\.jpg""), "".jpg"", """"), ""-"", "", ""), """")"),"")</f>
        <v/>
      </c>
      <c r="L9626" s="12"/>
      <c r="M9626" s="13"/>
      <c r="N9626" s="2"/>
      <c r="O9626" s="20"/>
      <c r="P9626" s="42"/>
      <c r="R9626" s="23"/>
    </row>
    <row r="9627" spans="1:18" ht="12.75">
      <c r="A9627" s="12"/>
      <c r="D9627" s="12"/>
      <c r="E9627" s="12"/>
      <c r="H9627" s="11" t="str">
        <f ca="1">IFERROR(__xludf.DUMMYFUNCTION("IFERROR(SUBSTITUTE(SUBSTITUTE(REGEXEXTRACT(A9627, ""[^-]+- [^-]+- [^-]+ - (.+?)\.jpg""), "".jpg"", """"), ""-"", "", ""), """")"),"")</f>
        <v/>
      </c>
      <c r="L9627" s="12"/>
      <c r="M9627" s="13"/>
      <c r="N9627" s="2"/>
      <c r="O9627" s="20"/>
      <c r="P9627" s="42"/>
      <c r="R9627" s="23"/>
    </row>
    <row r="9628" spans="1:18" ht="12.75">
      <c r="A9628" s="12"/>
      <c r="D9628" s="12"/>
      <c r="E9628" s="12"/>
      <c r="H9628" s="11" t="str">
        <f ca="1">IFERROR(__xludf.DUMMYFUNCTION("IFERROR(SUBSTITUTE(SUBSTITUTE(REGEXEXTRACT(A9628, ""[^-]+- [^-]+- [^-]+ - (.+?)\.jpg""), "".jpg"", """"), ""-"", "", ""), """")"),"")</f>
        <v/>
      </c>
      <c r="L9628" s="12"/>
      <c r="M9628" s="13"/>
      <c r="N9628" s="2"/>
      <c r="O9628" s="20"/>
      <c r="P9628" s="42"/>
      <c r="R9628" s="23"/>
    </row>
    <row r="9629" spans="1:18" ht="12.75">
      <c r="A9629" s="12"/>
      <c r="D9629" s="12"/>
      <c r="E9629" s="12"/>
      <c r="H9629" s="11" t="str">
        <f ca="1">IFERROR(__xludf.DUMMYFUNCTION("IFERROR(SUBSTITUTE(SUBSTITUTE(REGEXEXTRACT(A9629, ""[^-]+- [^-]+- [^-]+ - (.+?)\.jpg""), "".jpg"", """"), ""-"", "", ""), """")"),"")</f>
        <v/>
      </c>
      <c r="L9629" s="12"/>
      <c r="M9629" s="13"/>
      <c r="N9629" s="2"/>
      <c r="O9629" s="20"/>
      <c r="P9629" s="42"/>
      <c r="R9629" s="23"/>
    </row>
    <row r="9630" spans="1:18" ht="12.75">
      <c r="A9630" s="12"/>
      <c r="D9630" s="12"/>
      <c r="E9630" s="12"/>
      <c r="H9630" s="11" t="str">
        <f ca="1">IFERROR(__xludf.DUMMYFUNCTION("IFERROR(SUBSTITUTE(SUBSTITUTE(REGEXEXTRACT(A9630, ""[^-]+- [^-]+- [^-]+ - (.+?)\.jpg""), "".jpg"", """"), ""-"", "", ""), """")"),"")</f>
        <v/>
      </c>
      <c r="L9630" s="12"/>
      <c r="M9630" s="13"/>
      <c r="N9630" s="2"/>
      <c r="O9630" s="20"/>
      <c r="P9630" s="42"/>
      <c r="R9630" s="23"/>
    </row>
    <row r="9631" spans="1:18" ht="12.75">
      <c r="A9631" s="12"/>
      <c r="D9631" s="12"/>
      <c r="E9631" s="12"/>
      <c r="H9631" s="11" t="str">
        <f ca="1">IFERROR(__xludf.DUMMYFUNCTION("IFERROR(SUBSTITUTE(SUBSTITUTE(REGEXEXTRACT(A9631, ""[^-]+- [^-]+- [^-]+ - (.+?)\.jpg""), "".jpg"", """"), ""-"", "", ""), """")"),"")</f>
        <v/>
      </c>
      <c r="L9631" s="12"/>
      <c r="M9631" s="13"/>
      <c r="N9631" s="2"/>
      <c r="O9631" s="20"/>
      <c r="P9631" s="42"/>
      <c r="R9631" s="23"/>
    </row>
    <row r="9632" spans="1:18" ht="12.75">
      <c r="A9632" s="12"/>
      <c r="D9632" s="12"/>
      <c r="E9632" s="12"/>
      <c r="H9632" s="11" t="str">
        <f ca="1">IFERROR(__xludf.DUMMYFUNCTION("IFERROR(SUBSTITUTE(SUBSTITUTE(REGEXEXTRACT(A9632, ""[^-]+- [^-]+- [^-]+ - (.+?)\.jpg""), "".jpg"", """"), ""-"", "", ""), """")"),"")</f>
        <v/>
      </c>
      <c r="L9632" s="12"/>
      <c r="M9632" s="13"/>
      <c r="N9632" s="2"/>
      <c r="O9632" s="20"/>
      <c r="P9632" s="42"/>
      <c r="R9632" s="23"/>
    </row>
    <row r="9633" spans="1:18" ht="12.75">
      <c r="A9633" s="12"/>
      <c r="D9633" s="12"/>
      <c r="E9633" s="12"/>
      <c r="H9633" s="11" t="str">
        <f ca="1">IFERROR(__xludf.DUMMYFUNCTION("IFERROR(SUBSTITUTE(SUBSTITUTE(REGEXEXTRACT(A9633, ""[^-]+- [^-]+- [^-]+ - (.+?)\.jpg""), "".jpg"", """"), ""-"", "", ""), """")"),"")</f>
        <v/>
      </c>
      <c r="L9633" s="12"/>
      <c r="M9633" s="13"/>
      <c r="N9633" s="2"/>
      <c r="O9633" s="20"/>
      <c r="P9633" s="42"/>
      <c r="R9633" s="23"/>
    </row>
    <row r="9634" spans="1:18" ht="12.75">
      <c r="A9634" s="12"/>
      <c r="D9634" s="12"/>
      <c r="E9634" s="12"/>
      <c r="H9634" s="11" t="str">
        <f ca="1">IFERROR(__xludf.DUMMYFUNCTION("IFERROR(SUBSTITUTE(SUBSTITUTE(REGEXEXTRACT(A9634, ""[^-]+- [^-]+- [^-]+ - (.+?)\.jpg""), "".jpg"", """"), ""-"", "", ""), """")"),"")</f>
        <v/>
      </c>
      <c r="L9634" s="12"/>
      <c r="M9634" s="13"/>
      <c r="N9634" s="2"/>
      <c r="O9634" s="20"/>
      <c r="P9634" s="42"/>
      <c r="R9634" s="23"/>
    </row>
    <row r="9635" spans="1:18" ht="12.75">
      <c r="A9635" s="12"/>
      <c r="D9635" s="12"/>
      <c r="E9635" s="12"/>
      <c r="H9635" s="11" t="str">
        <f ca="1">IFERROR(__xludf.DUMMYFUNCTION("IFERROR(SUBSTITUTE(SUBSTITUTE(REGEXEXTRACT(A9635, ""[^-]+- [^-]+- [^-]+ - (.+?)\.jpg""), "".jpg"", """"), ""-"", "", ""), """")"),"")</f>
        <v/>
      </c>
      <c r="L9635" s="12"/>
      <c r="M9635" s="13"/>
      <c r="N9635" s="2"/>
      <c r="O9635" s="20"/>
      <c r="P9635" s="42"/>
      <c r="R9635" s="23"/>
    </row>
    <row r="9636" spans="1:18" ht="12.75">
      <c r="A9636" s="12"/>
      <c r="D9636" s="12"/>
      <c r="E9636" s="12"/>
      <c r="H9636" s="11" t="str">
        <f ca="1">IFERROR(__xludf.DUMMYFUNCTION("IFERROR(SUBSTITUTE(SUBSTITUTE(REGEXEXTRACT(A9636, ""[^-]+- [^-]+- [^-]+ - (.+?)\.jpg""), "".jpg"", """"), ""-"", "", ""), """")"),"")</f>
        <v/>
      </c>
      <c r="L9636" s="12"/>
      <c r="M9636" s="13"/>
      <c r="N9636" s="2"/>
      <c r="O9636" s="20"/>
      <c r="P9636" s="42"/>
      <c r="R9636" s="23"/>
    </row>
    <row r="9637" spans="1:18" ht="12.75">
      <c r="A9637" s="12"/>
      <c r="D9637" s="12"/>
      <c r="E9637" s="12"/>
      <c r="H9637" s="11" t="str">
        <f ca="1">IFERROR(__xludf.DUMMYFUNCTION("IFERROR(SUBSTITUTE(SUBSTITUTE(REGEXEXTRACT(A9637, ""[^-]+- [^-]+- [^-]+ - (.+?)\.jpg""), "".jpg"", """"), ""-"", "", ""), """")"),"")</f>
        <v/>
      </c>
      <c r="L9637" s="12"/>
      <c r="M9637" s="13"/>
      <c r="N9637" s="2"/>
      <c r="O9637" s="20"/>
      <c r="P9637" s="42"/>
      <c r="R9637" s="23"/>
    </row>
    <row r="9638" spans="1:18" ht="12.75">
      <c r="A9638" s="12"/>
      <c r="D9638" s="12"/>
      <c r="E9638" s="12"/>
      <c r="H9638" s="11" t="str">
        <f ca="1">IFERROR(__xludf.DUMMYFUNCTION("IFERROR(SUBSTITUTE(SUBSTITUTE(REGEXEXTRACT(A9638, ""[^-]+- [^-]+- [^-]+ - (.+?)\.jpg""), "".jpg"", """"), ""-"", "", ""), """")"),"")</f>
        <v/>
      </c>
      <c r="L9638" s="12"/>
      <c r="M9638" s="13"/>
      <c r="N9638" s="2"/>
      <c r="O9638" s="20"/>
      <c r="P9638" s="42"/>
      <c r="R9638" s="23"/>
    </row>
    <row r="9639" spans="1:18" ht="12.75">
      <c r="A9639" s="12"/>
      <c r="D9639" s="12"/>
      <c r="E9639" s="12"/>
      <c r="H9639" s="11" t="str">
        <f ca="1">IFERROR(__xludf.DUMMYFUNCTION("IFERROR(SUBSTITUTE(SUBSTITUTE(REGEXEXTRACT(A9639, ""[^-]+- [^-]+- [^-]+ - (.+?)\.jpg""), "".jpg"", """"), ""-"", "", ""), """")"),"")</f>
        <v/>
      </c>
      <c r="L9639" s="12"/>
      <c r="M9639" s="13"/>
      <c r="N9639" s="2"/>
      <c r="O9639" s="20"/>
      <c r="P9639" s="42"/>
      <c r="R9639" s="23"/>
    </row>
    <row r="9640" spans="1:18" ht="12.75">
      <c r="A9640" s="12"/>
      <c r="D9640" s="12"/>
      <c r="E9640" s="12"/>
      <c r="H9640" s="11" t="str">
        <f ca="1">IFERROR(__xludf.DUMMYFUNCTION("IFERROR(SUBSTITUTE(SUBSTITUTE(REGEXEXTRACT(A9640, ""[^-]+- [^-]+- [^-]+ - (.+?)\.jpg""), "".jpg"", """"), ""-"", "", ""), """")"),"")</f>
        <v/>
      </c>
      <c r="L9640" s="12"/>
      <c r="M9640" s="13"/>
      <c r="N9640" s="2"/>
      <c r="O9640" s="20"/>
      <c r="P9640" s="42"/>
      <c r="R9640" s="23"/>
    </row>
    <row r="9641" spans="1:18" ht="12.75">
      <c r="A9641" s="12"/>
      <c r="D9641" s="12"/>
      <c r="E9641" s="12"/>
      <c r="H9641" s="11" t="str">
        <f ca="1">IFERROR(__xludf.DUMMYFUNCTION("IFERROR(SUBSTITUTE(SUBSTITUTE(REGEXEXTRACT(A9641, ""[^-]+- [^-]+- [^-]+ - (.+?)\.jpg""), "".jpg"", """"), ""-"", "", ""), """")"),"")</f>
        <v/>
      </c>
      <c r="L9641" s="12"/>
      <c r="M9641" s="13"/>
      <c r="N9641" s="2"/>
      <c r="O9641" s="20"/>
      <c r="P9641" s="42"/>
      <c r="R9641" s="23"/>
    </row>
    <row r="9642" spans="1:18" ht="12.75">
      <c r="A9642" s="12"/>
      <c r="D9642" s="12"/>
      <c r="E9642" s="12"/>
      <c r="H9642" s="11" t="str">
        <f ca="1">IFERROR(__xludf.DUMMYFUNCTION("IFERROR(SUBSTITUTE(SUBSTITUTE(REGEXEXTRACT(A9642, ""[^-]+- [^-]+- [^-]+ - (.+?)\.jpg""), "".jpg"", """"), ""-"", "", ""), """")"),"")</f>
        <v/>
      </c>
      <c r="L9642" s="12"/>
      <c r="M9642" s="13"/>
      <c r="N9642" s="2"/>
      <c r="O9642" s="20"/>
      <c r="P9642" s="42"/>
      <c r="R9642" s="23"/>
    </row>
    <row r="9643" spans="1:18" ht="12.75">
      <c r="A9643" s="12"/>
      <c r="D9643" s="12"/>
      <c r="E9643" s="12"/>
      <c r="H9643" s="11" t="str">
        <f ca="1">IFERROR(__xludf.DUMMYFUNCTION("IFERROR(SUBSTITUTE(SUBSTITUTE(REGEXEXTRACT(A9643, ""[^-]+- [^-]+- [^-]+ - (.+?)\.jpg""), "".jpg"", """"), ""-"", "", ""), """")"),"")</f>
        <v/>
      </c>
      <c r="L9643" s="12"/>
      <c r="M9643" s="13"/>
      <c r="N9643" s="2"/>
      <c r="O9643" s="20"/>
      <c r="P9643" s="42"/>
      <c r="R9643" s="23"/>
    </row>
    <row r="9644" spans="1:18" ht="12.75">
      <c r="A9644" s="12"/>
      <c r="D9644" s="12"/>
      <c r="E9644" s="12"/>
      <c r="H9644" s="11" t="str">
        <f ca="1">IFERROR(__xludf.DUMMYFUNCTION("IFERROR(SUBSTITUTE(SUBSTITUTE(REGEXEXTRACT(A9644, ""[^-]+- [^-]+- [^-]+ - (.+?)\.jpg""), "".jpg"", """"), ""-"", "", ""), """")"),"")</f>
        <v/>
      </c>
      <c r="L9644" s="12"/>
      <c r="M9644" s="13"/>
      <c r="N9644" s="2"/>
      <c r="O9644" s="20"/>
      <c r="P9644" s="42"/>
      <c r="R9644" s="23"/>
    </row>
    <row r="9645" spans="1:18" ht="12.75">
      <c r="A9645" s="12"/>
      <c r="D9645" s="12"/>
      <c r="E9645" s="12"/>
      <c r="H9645" s="11" t="str">
        <f ca="1">IFERROR(__xludf.DUMMYFUNCTION("IFERROR(SUBSTITUTE(SUBSTITUTE(REGEXEXTRACT(A9645, ""[^-]+- [^-]+- [^-]+ - (.+?)\.jpg""), "".jpg"", """"), ""-"", "", ""), """")"),"")</f>
        <v/>
      </c>
      <c r="L9645" s="12"/>
      <c r="M9645" s="13"/>
      <c r="N9645" s="2"/>
      <c r="O9645" s="20"/>
      <c r="P9645" s="42"/>
      <c r="R9645" s="23"/>
    </row>
    <row r="9646" spans="1:18" ht="12.75">
      <c r="A9646" s="12"/>
      <c r="D9646" s="12"/>
      <c r="E9646" s="12"/>
      <c r="H9646" s="11" t="str">
        <f ca="1">IFERROR(__xludf.DUMMYFUNCTION("IFERROR(SUBSTITUTE(SUBSTITUTE(REGEXEXTRACT(A9646, ""[^-]+- [^-]+- [^-]+ - (.+?)\.jpg""), "".jpg"", """"), ""-"", "", ""), """")"),"")</f>
        <v/>
      </c>
      <c r="L9646" s="12"/>
      <c r="M9646" s="13"/>
      <c r="N9646" s="2"/>
      <c r="O9646" s="20"/>
      <c r="P9646" s="42"/>
      <c r="R9646" s="23"/>
    </row>
    <row r="9647" spans="1:18" ht="12.75">
      <c r="A9647" s="12"/>
      <c r="D9647" s="12"/>
      <c r="E9647" s="12"/>
      <c r="H9647" s="11" t="str">
        <f ca="1">IFERROR(__xludf.DUMMYFUNCTION("IFERROR(SUBSTITUTE(SUBSTITUTE(REGEXEXTRACT(A9647, ""[^-]+- [^-]+- [^-]+ - (.+?)\.jpg""), "".jpg"", """"), ""-"", "", ""), """")"),"")</f>
        <v/>
      </c>
      <c r="L9647" s="12"/>
      <c r="M9647" s="13"/>
      <c r="N9647" s="2"/>
      <c r="O9647" s="20"/>
      <c r="P9647" s="42"/>
      <c r="R9647" s="23"/>
    </row>
    <row r="9648" spans="1:18" ht="12.75">
      <c r="A9648" s="12"/>
      <c r="D9648" s="12"/>
      <c r="E9648" s="12"/>
      <c r="H9648" s="11" t="str">
        <f ca="1">IFERROR(__xludf.DUMMYFUNCTION("IFERROR(SUBSTITUTE(SUBSTITUTE(REGEXEXTRACT(A9648, ""[^-]+- [^-]+- [^-]+ - (.+?)\.jpg""), "".jpg"", """"), ""-"", "", ""), """")"),"")</f>
        <v/>
      </c>
      <c r="L9648" s="12"/>
      <c r="M9648" s="13"/>
      <c r="N9648" s="2"/>
      <c r="O9648" s="20"/>
      <c r="P9648" s="42"/>
      <c r="R9648" s="23"/>
    </row>
    <row r="9649" spans="1:18" ht="12.75">
      <c r="A9649" s="12"/>
      <c r="D9649" s="12"/>
      <c r="E9649" s="12"/>
      <c r="H9649" s="11" t="str">
        <f ca="1">IFERROR(__xludf.DUMMYFUNCTION("IFERROR(SUBSTITUTE(SUBSTITUTE(REGEXEXTRACT(A9649, ""[^-]+- [^-]+- [^-]+ - (.+?)\.jpg""), "".jpg"", """"), ""-"", "", ""), """")"),"")</f>
        <v/>
      </c>
      <c r="L9649" s="12"/>
      <c r="M9649" s="13"/>
      <c r="N9649" s="2"/>
      <c r="O9649" s="20"/>
      <c r="P9649" s="42"/>
      <c r="R9649" s="23"/>
    </row>
    <row r="9650" spans="1:18" ht="12.75">
      <c r="A9650" s="12"/>
      <c r="D9650" s="12"/>
      <c r="E9650" s="12"/>
      <c r="H9650" s="11" t="str">
        <f ca="1">IFERROR(__xludf.DUMMYFUNCTION("IFERROR(SUBSTITUTE(SUBSTITUTE(REGEXEXTRACT(A9650, ""[^-]+- [^-]+- [^-]+ - (.+?)\.jpg""), "".jpg"", """"), ""-"", "", ""), """")"),"")</f>
        <v/>
      </c>
      <c r="L9650" s="12"/>
      <c r="M9650" s="13"/>
      <c r="N9650" s="2"/>
      <c r="O9650" s="20"/>
      <c r="P9650" s="42"/>
      <c r="R9650" s="23"/>
    </row>
    <row r="9651" spans="1:18" ht="12.75">
      <c r="A9651" s="12"/>
      <c r="D9651" s="12"/>
      <c r="E9651" s="12"/>
      <c r="H9651" s="11" t="str">
        <f ca="1">IFERROR(__xludf.DUMMYFUNCTION("IFERROR(SUBSTITUTE(SUBSTITUTE(REGEXEXTRACT(A9651, ""[^-]+- [^-]+- [^-]+ - (.+?)\.jpg""), "".jpg"", """"), ""-"", "", ""), """")"),"")</f>
        <v/>
      </c>
      <c r="L9651" s="12"/>
      <c r="M9651" s="13"/>
      <c r="N9651" s="2"/>
      <c r="O9651" s="20"/>
      <c r="P9651" s="42"/>
      <c r="R9651" s="23"/>
    </row>
    <row r="9652" spans="1:18" ht="12.75">
      <c r="A9652" s="12"/>
      <c r="D9652" s="12"/>
      <c r="E9652" s="12"/>
      <c r="H9652" s="11" t="str">
        <f ca="1">IFERROR(__xludf.DUMMYFUNCTION("IFERROR(SUBSTITUTE(SUBSTITUTE(REGEXEXTRACT(A9652, ""[^-]+- [^-]+- [^-]+ - (.+?)\.jpg""), "".jpg"", """"), ""-"", "", ""), """")"),"")</f>
        <v/>
      </c>
      <c r="L9652" s="12"/>
      <c r="M9652" s="13"/>
      <c r="N9652" s="2"/>
      <c r="O9652" s="20"/>
      <c r="P9652" s="42"/>
      <c r="R9652" s="23"/>
    </row>
    <row r="9653" spans="1:18" ht="12.75">
      <c r="A9653" s="12"/>
      <c r="D9653" s="12"/>
      <c r="E9653" s="12"/>
      <c r="H9653" s="11" t="str">
        <f ca="1">IFERROR(__xludf.DUMMYFUNCTION("IFERROR(SUBSTITUTE(SUBSTITUTE(REGEXEXTRACT(A9653, ""[^-]+- [^-]+- [^-]+ - (.+?)\.jpg""), "".jpg"", """"), ""-"", "", ""), """")"),"")</f>
        <v/>
      </c>
      <c r="L9653" s="12"/>
      <c r="M9653" s="13"/>
      <c r="N9653" s="2"/>
      <c r="O9653" s="20"/>
      <c r="P9653" s="42"/>
      <c r="R9653" s="23"/>
    </row>
    <row r="9654" spans="1:18" ht="12.75">
      <c r="A9654" s="12"/>
      <c r="D9654" s="12"/>
      <c r="E9654" s="12"/>
      <c r="H9654" s="11" t="str">
        <f ca="1">IFERROR(__xludf.DUMMYFUNCTION("IFERROR(SUBSTITUTE(SUBSTITUTE(REGEXEXTRACT(A9654, ""[^-]+- [^-]+- [^-]+ - (.+?)\.jpg""), "".jpg"", """"), ""-"", "", ""), """")"),"")</f>
        <v/>
      </c>
      <c r="L9654" s="12"/>
      <c r="M9654" s="13"/>
      <c r="N9654" s="2"/>
      <c r="O9654" s="20"/>
      <c r="P9654" s="42"/>
      <c r="R9654" s="23"/>
    </row>
    <row r="9655" spans="1:18" ht="12.75">
      <c r="A9655" s="12"/>
      <c r="D9655" s="12"/>
      <c r="E9655" s="12"/>
      <c r="H9655" s="11" t="str">
        <f ca="1">IFERROR(__xludf.DUMMYFUNCTION("IFERROR(SUBSTITUTE(SUBSTITUTE(REGEXEXTRACT(A9655, ""[^-]+- [^-]+- [^-]+ - (.+?)\.jpg""), "".jpg"", """"), ""-"", "", ""), """")"),"")</f>
        <v/>
      </c>
      <c r="L9655" s="12"/>
      <c r="M9655" s="13"/>
      <c r="N9655" s="2"/>
      <c r="O9655" s="20"/>
      <c r="P9655" s="42"/>
      <c r="R9655" s="23"/>
    </row>
    <row r="9656" spans="1:18" ht="12.75">
      <c r="A9656" s="12"/>
      <c r="D9656" s="12"/>
      <c r="E9656" s="12"/>
      <c r="H9656" s="11" t="str">
        <f ca="1">IFERROR(__xludf.DUMMYFUNCTION("IFERROR(SUBSTITUTE(SUBSTITUTE(REGEXEXTRACT(A9656, ""[^-]+- [^-]+- [^-]+ - (.+?)\.jpg""), "".jpg"", """"), ""-"", "", ""), """")"),"")</f>
        <v/>
      </c>
      <c r="L9656" s="12"/>
      <c r="M9656" s="13"/>
      <c r="N9656" s="2"/>
      <c r="O9656" s="20"/>
      <c r="P9656" s="42"/>
      <c r="R9656" s="23"/>
    </row>
    <row r="9657" spans="1:18" ht="12.75">
      <c r="A9657" s="12"/>
      <c r="D9657" s="12"/>
      <c r="E9657" s="12"/>
      <c r="H9657" s="11" t="str">
        <f ca="1">IFERROR(__xludf.DUMMYFUNCTION("IFERROR(SUBSTITUTE(SUBSTITUTE(REGEXEXTRACT(A9657, ""[^-]+- [^-]+- [^-]+ - (.+?)\.jpg""), "".jpg"", """"), ""-"", "", ""), """")"),"")</f>
        <v/>
      </c>
      <c r="L9657" s="12"/>
      <c r="M9657" s="13"/>
      <c r="N9657" s="2"/>
      <c r="O9657" s="20"/>
      <c r="P9657" s="42"/>
      <c r="R9657" s="23"/>
    </row>
    <row r="9658" spans="1:18" ht="12.75">
      <c r="A9658" s="12"/>
      <c r="D9658" s="12"/>
      <c r="E9658" s="12"/>
      <c r="H9658" s="11" t="str">
        <f ca="1">IFERROR(__xludf.DUMMYFUNCTION("IFERROR(SUBSTITUTE(SUBSTITUTE(REGEXEXTRACT(A9658, ""[^-]+- [^-]+- [^-]+ - (.+?)\.jpg""), "".jpg"", """"), ""-"", "", ""), """")"),"")</f>
        <v/>
      </c>
      <c r="L9658" s="12"/>
      <c r="M9658" s="13"/>
      <c r="N9658" s="2"/>
      <c r="O9658" s="20"/>
      <c r="P9658" s="42"/>
      <c r="R9658" s="23"/>
    </row>
    <row r="9659" spans="1:18" ht="12.75">
      <c r="A9659" s="12"/>
      <c r="D9659" s="12"/>
      <c r="E9659" s="12"/>
      <c r="H9659" s="11" t="str">
        <f ca="1">IFERROR(__xludf.DUMMYFUNCTION("IFERROR(SUBSTITUTE(SUBSTITUTE(REGEXEXTRACT(A9659, ""[^-]+- [^-]+- [^-]+ - (.+?)\.jpg""), "".jpg"", """"), ""-"", "", ""), """")"),"")</f>
        <v/>
      </c>
      <c r="L9659" s="12"/>
      <c r="M9659" s="13"/>
      <c r="N9659" s="2"/>
      <c r="O9659" s="20"/>
      <c r="P9659" s="42"/>
      <c r="R9659" s="23"/>
    </row>
    <row r="9660" spans="1:18" ht="12.75">
      <c r="A9660" s="12"/>
      <c r="D9660" s="12"/>
      <c r="E9660" s="12"/>
      <c r="H9660" s="11" t="str">
        <f ca="1">IFERROR(__xludf.DUMMYFUNCTION("IFERROR(SUBSTITUTE(SUBSTITUTE(REGEXEXTRACT(A9660, ""[^-]+- [^-]+- [^-]+ - (.+?)\.jpg""), "".jpg"", """"), ""-"", "", ""), """")"),"")</f>
        <v/>
      </c>
      <c r="L9660" s="12"/>
      <c r="M9660" s="13"/>
      <c r="N9660" s="2"/>
      <c r="O9660" s="20"/>
      <c r="P9660" s="42"/>
      <c r="R9660" s="23"/>
    </row>
    <row r="9661" spans="1:18" ht="12.75">
      <c r="A9661" s="12"/>
      <c r="D9661" s="12"/>
      <c r="E9661" s="12"/>
      <c r="H9661" s="11" t="str">
        <f ca="1">IFERROR(__xludf.DUMMYFUNCTION("IFERROR(SUBSTITUTE(SUBSTITUTE(REGEXEXTRACT(A9661, ""[^-]+- [^-]+- [^-]+ - (.+?)\.jpg""), "".jpg"", """"), ""-"", "", ""), """")"),"")</f>
        <v/>
      </c>
      <c r="L9661" s="12"/>
      <c r="M9661" s="13"/>
      <c r="N9661" s="2"/>
      <c r="O9661" s="20"/>
      <c r="P9661" s="42"/>
      <c r="R9661" s="23"/>
    </row>
    <row r="9662" spans="1:18" ht="12.75">
      <c r="A9662" s="12"/>
      <c r="D9662" s="12"/>
      <c r="E9662" s="12"/>
      <c r="H9662" s="11" t="str">
        <f ca="1">IFERROR(__xludf.DUMMYFUNCTION("IFERROR(SUBSTITUTE(SUBSTITUTE(REGEXEXTRACT(A9662, ""[^-]+- [^-]+- [^-]+ - (.+?)\.jpg""), "".jpg"", """"), ""-"", "", ""), """")"),"")</f>
        <v/>
      </c>
      <c r="L9662" s="12"/>
      <c r="M9662" s="13"/>
      <c r="N9662" s="2"/>
      <c r="O9662" s="20"/>
      <c r="P9662" s="42"/>
      <c r="R9662" s="23"/>
    </row>
    <row r="9663" spans="1:18" ht="12.75">
      <c r="A9663" s="12"/>
      <c r="D9663" s="12"/>
      <c r="E9663" s="12"/>
      <c r="H9663" s="11" t="str">
        <f ca="1">IFERROR(__xludf.DUMMYFUNCTION("IFERROR(SUBSTITUTE(SUBSTITUTE(REGEXEXTRACT(A9663, ""[^-]+- [^-]+- [^-]+ - (.+?)\.jpg""), "".jpg"", """"), ""-"", "", ""), """")"),"")</f>
        <v/>
      </c>
      <c r="L9663" s="12"/>
      <c r="M9663" s="13"/>
      <c r="N9663" s="2"/>
      <c r="O9663" s="20"/>
      <c r="P9663" s="42"/>
      <c r="R9663" s="23"/>
    </row>
    <row r="9664" spans="1:18" ht="12.75">
      <c r="A9664" s="12"/>
      <c r="D9664" s="12"/>
      <c r="E9664" s="12"/>
      <c r="H9664" s="11" t="str">
        <f ca="1">IFERROR(__xludf.DUMMYFUNCTION("IFERROR(SUBSTITUTE(SUBSTITUTE(REGEXEXTRACT(A9664, ""[^-]+- [^-]+- [^-]+ - (.+?)\.jpg""), "".jpg"", """"), ""-"", "", ""), """")"),"")</f>
        <v/>
      </c>
      <c r="L9664" s="12"/>
      <c r="M9664" s="13"/>
      <c r="N9664" s="2"/>
      <c r="O9664" s="20"/>
      <c r="P9664" s="42"/>
      <c r="R9664" s="23"/>
    </row>
    <row r="9665" spans="1:18" ht="12.75">
      <c r="A9665" s="12"/>
      <c r="D9665" s="12"/>
      <c r="E9665" s="12"/>
      <c r="H9665" s="11" t="str">
        <f ca="1">IFERROR(__xludf.DUMMYFUNCTION("IFERROR(SUBSTITUTE(SUBSTITUTE(REGEXEXTRACT(A9665, ""[^-]+- [^-]+- [^-]+ - (.+?)\.jpg""), "".jpg"", """"), ""-"", "", ""), """")"),"")</f>
        <v/>
      </c>
      <c r="L9665" s="12"/>
      <c r="M9665" s="13"/>
      <c r="N9665" s="2"/>
      <c r="O9665" s="20"/>
      <c r="P9665" s="42"/>
      <c r="R9665" s="23"/>
    </row>
    <row r="9666" spans="1:18" ht="12.75">
      <c r="A9666" s="12"/>
      <c r="D9666" s="12"/>
      <c r="E9666" s="12"/>
      <c r="H9666" s="11" t="str">
        <f ca="1">IFERROR(__xludf.DUMMYFUNCTION("IFERROR(SUBSTITUTE(SUBSTITUTE(REGEXEXTRACT(A9666, ""[^-]+- [^-]+- [^-]+ - (.+?)\.jpg""), "".jpg"", """"), ""-"", "", ""), """")"),"")</f>
        <v/>
      </c>
      <c r="L9666" s="12"/>
      <c r="M9666" s="13"/>
      <c r="N9666" s="2"/>
      <c r="O9666" s="20"/>
      <c r="P9666" s="42"/>
      <c r="R9666" s="23"/>
    </row>
    <row r="9667" spans="1:18" ht="12.75">
      <c r="A9667" s="12"/>
      <c r="D9667" s="12"/>
      <c r="E9667" s="12"/>
      <c r="H9667" s="11" t="str">
        <f ca="1">IFERROR(__xludf.DUMMYFUNCTION("IFERROR(SUBSTITUTE(SUBSTITUTE(REGEXEXTRACT(A9667, ""[^-]+- [^-]+- [^-]+ - (.+?)\.jpg""), "".jpg"", """"), ""-"", "", ""), """")"),"")</f>
        <v/>
      </c>
      <c r="L9667" s="12"/>
      <c r="M9667" s="13"/>
      <c r="N9667" s="2"/>
      <c r="O9667" s="20"/>
      <c r="P9667" s="42"/>
      <c r="R9667" s="23"/>
    </row>
    <row r="9668" spans="1:18" ht="12.75">
      <c r="A9668" s="12"/>
      <c r="D9668" s="12"/>
      <c r="E9668" s="12"/>
      <c r="H9668" s="11" t="str">
        <f ca="1">IFERROR(__xludf.DUMMYFUNCTION("IFERROR(SUBSTITUTE(SUBSTITUTE(REGEXEXTRACT(A9668, ""[^-]+- [^-]+- [^-]+ - (.+?)\.jpg""), "".jpg"", """"), ""-"", "", ""), """")"),"")</f>
        <v/>
      </c>
      <c r="L9668" s="12"/>
      <c r="M9668" s="13"/>
      <c r="N9668" s="2"/>
      <c r="O9668" s="20"/>
      <c r="P9668" s="42"/>
      <c r="R9668" s="23"/>
    </row>
    <row r="9669" spans="1:18" ht="12.75">
      <c r="A9669" s="12"/>
      <c r="D9669" s="12"/>
      <c r="E9669" s="12"/>
      <c r="H9669" s="11" t="str">
        <f ca="1">IFERROR(__xludf.DUMMYFUNCTION("IFERROR(SUBSTITUTE(SUBSTITUTE(REGEXEXTRACT(A9669, ""[^-]+- [^-]+- [^-]+ - (.+?)\.jpg""), "".jpg"", """"), ""-"", "", ""), """")"),"")</f>
        <v/>
      </c>
      <c r="L9669" s="12"/>
      <c r="M9669" s="13"/>
      <c r="N9669" s="2"/>
      <c r="O9669" s="20"/>
      <c r="P9669" s="42"/>
      <c r="R9669" s="23"/>
    </row>
    <row r="9670" spans="1:18" ht="12.75">
      <c r="A9670" s="12"/>
      <c r="D9670" s="12"/>
      <c r="E9670" s="12"/>
      <c r="H9670" s="11" t="str">
        <f ca="1">IFERROR(__xludf.DUMMYFUNCTION("IFERROR(SUBSTITUTE(SUBSTITUTE(REGEXEXTRACT(A9670, ""[^-]+- [^-]+- [^-]+ - (.+?)\.jpg""), "".jpg"", """"), ""-"", "", ""), """")"),"")</f>
        <v/>
      </c>
      <c r="L9670" s="12"/>
      <c r="M9670" s="13"/>
      <c r="N9670" s="2"/>
      <c r="O9670" s="20"/>
      <c r="P9670" s="42"/>
      <c r="R9670" s="23"/>
    </row>
    <row r="9671" spans="1:18" ht="12.75">
      <c r="A9671" s="12"/>
      <c r="D9671" s="12"/>
      <c r="E9671" s="12"/>
      <c r="H9671" s="11" t="str">
        <f ca="1">IFERROR(__xludf.DUMMYFUNCTION("IFERROR(SUBSTITUTE(SUBSTITUTE(REGEXEXTRACT(A9671, ""[^-]+- [^-]+- [^-]+ - (.+?)\.jpg""), "".jpg"", """"), ""-"", "", ""), """")"),"")</f>
        <v/>
      </c>
      <c r="L9671" s="12"/>
      <c r="M9671" s="13"/>
      <c r="N9671" s="2"/>
      <c r="O9671" s="20"/>
      <c r="P9671" s="42"/>
      <c r="R9671" s="23"/>
    </row>
    <row r="9672" spans="1:18" ht="12.75">
      <c r="A9672" s="12"/>
      <c r="D9672" s="12"/>
      <c r="E9672" s="12"/>
      <c r="H9672" s="11" t="str">
        <f ca="1">IFERROR(__xludf.DUMMYFUNCTION("IFERROR(SUBSTITUTE(SUBSTITUTE(REGEXEXTRACT(A9672, ""[^-]+- [^-]+- [^-]+ - (.+?)\.jpg""), "".jpg"", """"), ""-"", "", ""), """")"),"")</f>
        <v/>
      </c>
      <c r="L9672" s="12"/>
      <c r="M9672" s="13"/>
      <c r="N9672" s="2"/>
      <c r="O9672" s="20"/>
      <c r="P9672" s="42"/>
      <c r="R9672" s="23"/>
    </row>
    <row r="9673" spans="1:18" ht="12.75">
      <c r="A9673" s="12"/>
      <c r="D9673" s="12"/>
      <c r="E9673" s="12"/>
      <c r="H9673" s="11" t="str">
        <f ca="1">IFERROR(__xludf.DUMMYFUNCTION("IFERROR(SUBSTITUTE(SUBSTITUTE(REGEXEXTRACT(A9673, ""[^-]+- [^-]+- [^-]+ - (.+?)\.jpg""), "".jpg"", """"), ""-"", "", ""), """")"),"")</f>
        <v/>
      </c>
      <c r="L9673" s="12"/>
      <c r="M9673" s="13"/>
      <c r="N9673" s="2"/>
      <c r="O9673" s="20"/>
      <c r="P9673" s="42"/>
      <c r="R9673" s="23"/>
    </row>
    <row r="9674" spans="1:18" ht="12.75">
      <c r="A9674" s="12"/>
      <c r="D9674" s="12"/>
      <c r="E9674" s="12"/>
      <c r="H9674" s="11" t="str">
        <f ca="1">IFERROR(__xludf.DUMMYFUNCTION("IFERROR(SUBSTITUTE(SUBSTITUTE(REGEXEXTRACT(A9674, ""[^-]+- [^-]+- [^-]+ - (.+?)\.jpg""), "".jpg"", """"), ""-"", "", ""), """")"),"")</f>
        <v/>
      </c>
      <c r="L9674" s="12"/>
      <c r="M9674" s="13"/>
      <c r="N9674" s="2"/>
      <c r="O9674" s="20"/>
      <c r="P9674" s="42"/>
      <c r="R9674" s="23"/>
    </row>
    <row r="9675" spans="1:18" ht="12.75">
      <c r="A9675" s="12"/>
      <c r="D9675" s="12"/>
      <c r="E9675" s="12"/>
      <c r="H9675" s="11" t="str">
        <f ca="1">IFERROR(__xludf.DUMMYFUNCTION("IFERROR(SUBSTITUTE(SUBSTITUTE(REGEXEXTRACT(A9675, ""[^-]+- [^-]+- [^-]+ - (.+?)\.jpg""), "".jpg"", """"), ""-"", "", ""), """")"),"")</f>
        <v/>
      </c>
      <c r="L9675" s="12"/>
      <c r="M9675" s="13"/>
      <c r="N9675" s="2"/>
      <c r="O9675" s="20"/>
      <c r="P9675" s="42"/>
      <c r="R9675" s="23"/>
    </row>
    <row r="9676" spans="1:18" ht="12.75">
      <c r="A9676" s="12"/>
      <c r="D9676" s="12"/>
      <c r="E9676" s="12"/>
      <c r="H9676" s="11" t="str">
        <f ca="1">IFERROR(__xludf.DUMMYFUNCTION("IFERROR(SUBSTITUTE(SUBSTITUTE(REGEXEXTRACT(A9676, ""[^-]+- [^-]+- [^-]+ - (.+?)\.jpg""), "".jpg"", """"), ""-"", "", ""), """")"),"")</f>
        <v/>
      </c>
      <c r="L9676" s="12"/>
      <c r="M9676" s="13"/>
      <c r="N9676" s="2"/>
      <c r="O9676" s="20"/>
      <c r="P9676" s="42"/>
      <c r="R9676" s="23"/>
    </row>
    <row r="9677" spans="1:18" ht="12.75">
      <c r="A9677" s="12"/>
      <c r="D9677" s="12"/>
      <c r="E9677" s="12"/>
      <c r="H9677" s="11" t="str">
        <f ca="1">IFERROR(__xludf.DUMMYFUNCTION("IFERROR(SUBSTITUTE(SUBSTITUTE(REGEXEXTRACT(A9677, ""[^-]+- [^-]+- [^-]+ - (.+?)\.jpg""), "".jpg"", """"), ""-"", "", ""), """")"),"")</f>
        <v/>
      </c>
      <c r="L9677" s="12"/>
      <c r="M9677" s="13"/>
      <c r="N9677" s="2"/>
      <c r="O9677" s="20"/>
      <c r="P9677" s="42"/>
      <c r="R9677" s="23"/>
    </row>
    <row r="9678" spans="1:18" ht="12.75">
      <c r="A9678" s="12"/>
      <c r="D9678" s="12"/>
      <c r="E9678" s="12"/>
      <c r="H9678" s="11" t="str">
        <f ca="1">IFERROR(__xludf.DUMMYFUNCTION("IFERROR(SUBSTITUTE(SUBSTITUTE(REGEXEXTRACT(A9678, ""[^-]+- [^-]+- [^-]+ - (.+?)\.jpg""), "".jpg"", """"), ""-"", "", ""), """")"),"")</f>
        <v/>
      </c>
      <c r="L9678" s="12"/>
      <c r="M9678" s="13"/>
      <c r="N9678" s="2"/>
      <c r="O9678" s="20"/>
      <c r="P9678" s="42"/>
      <c r="R9678" s="23"/>
    </row>
    <row r="9679" spans="1:18" ht="12.75">
      <c r="A9679" s="12"/>
      <c r="D9679" s="12"/>
      <c r="E9679" s="12"/>
      <c r="H9679" s="11" t="str">
        <f ca="1">IFERROR(__xludf.DUMMYFUNCTION("IFERROR(SUBSTITUTE(SUBSTITUTE(REGEXEXTRACT(A9679, ""[^-]+- [^-]+- [^-]+ - (.+?)\.jpg""), "".jpg"", """"), ""-"", "", ""), """")"),"")</f>
        <v/>
      </c>
      <c r="L9679" s="12"/>
      <c r="M9679" s="13"/>
      <c r="N9679" s="2"/>
      <c r="O9679" s="20"/>
      <c r="P9679" s="42"/>
      <c r="R9679" s="23"/>
    </row>
    <row r="9680" spans="1:18" ht="12.75">
      <c r="A9680" s="12"/>
      <c r="D9680" s="12"/>
      <c r="E9680" s="12"/>
      <c r="H9680" s="11" t="str">
        <f ca="1">IFERROR(__xludf.DUMMYFUNCTION("IFERROR(SUBSTITUTE(SUBSTITUTE(REGEXEXTRACT(A9680, ""[^-]+- [^-]+- [^-]+ - (.+?)\.jpg""), "".jpg"", """"), ""-"", "", ""), """")"),"")</f>
        <v/>
      </c>
      <c r="L9680" s="12"/>
      <c r="M9680" s="13"/>
      <c r="N9680" s="2"/>
      <c r="O9680" s="20"/>
      <c r="P9680" s="42"/>
      <c r="R9680" s="23"/>
    </row>
    <row r="9681" spans="1:18" ht="12.75">
      <c r="A9681" s="12"/>
      <c r="D9681" s="12"/>
      <c r="E9681" s="12"/>
      <c r="H9681" s="11" t="str">
        <f ca="1">IFERROR(__xludf.DUMMYFUNCTION("IFERROR(SUBSTITUTE(SUBSTITUTE(REGEXEXTRACT(A9681, ""[^-]+- [^-]+- [^-]+ - (.+?)\.jpg""), "".jpg"", """"), ""-"", "", ""), """")"),"")</f>
        <v/>
      </c>
      <c r="L9681" s="12"/>
      <c r="M9681" s="13"/>
      <c r="N9681" s="2"/>
      <c r="O9681" s="20"/>
      <c r="P9681" s="42"/>
      <c r="R9681" s="23"/>
    </row>
    <row r="9682" spans="1:18" ht="12.75">
      <c r="A9682" s="12"/>
      <c r="D9682" s="12"/>
      <c r="E9682" s="12"/>
      <c r="H9682" s="11" t="str">
        <f ca="1">IFERROR(__xludf.DUMMYFUNCTION("IFERROR(SUBSTITUTE(SUBSTITUTE(REGEXEXTRACT(A9682, ""[^-]+- [^-]+- [^-]+ - (.+?)\.jpg""), "".jpg"", """"), ""-"", "", ""), """")"),"")</f>
        <v/>
      </c>
      <c r="L9682" s="12"/>
      <c r="M9682" s="13"/>
      <c r="N9682" s="2"/>
      <c r="O9682" s="20"/>
      <c r="P9682" s="42"/>
      <c r="R9682" s="23"/>
    </row>
    <row r="9683" spans="1:18" ht="12.75">
      <c r="A9683" s="12"/>
      <c r="D9683" s="12"/>
      <c r="E9683" s="12"/>
      <c r="H9683" s="11" t="str">
        <f ca="1">IFERROR(__xludf.DUMMYFUNCTION("IFERROR(SUBSTITUTE(SUBSTITUTE(REGEXEXTRACT(A9683, ""[^-]+- [^-]+- [^-]+ - (.+?)\.jpg""), "".jpg"", """"), ""-"", "", ""), """")"),"")</f>
        <v/>
      </c>
      <c r="L9683" s="12"/>
      <c r="M9683" s="13"/>
      <c r="N9683" s="2"/>
      <c r="O9683" s="20"/>
      <c r="P9683" s="42"/>
      <c r="R9683" s="23"/>
    </row>
    <row r="9684" spans="1:18" ht="12.75">
      <c r="A9684" s="12"/>
      <c r="D9684" s="12"/>
      <c r="E9684" s="12"/>
      <c r="H9684" s="11" t="str">
        <f ca="1">IFERROR(__xludf.DUMMYFUNCTION("IFERROR(SUBSTITUTE(SUBSTITUTE(REGEXEXTRACT(A9684, ""[^-]+- [^-]+- [^-]+ - (.+?)\.jpg""), "".jpg"", """"), ""-"", "", ""), """")"),"")</f>
        <v/>
      </c>
      <c r="L9684" s="12"/>
      <c r="M9684" s="13"/>
      <c r="N9684" s="2"/>
      <c r="O9684" s="20"/>
      <c r="P9684" s="42"/>
      <c r="R9684" s="23"/>
    </row>
    <row r="9685" spans="1:18" ht="12.75">
      <c r="A9685" s="12"/>
      <c r="D9685" s="12"/>
      <c r="E9685" s="12"/>
      <c r="H9685" s="11" t="str">
        <f ca="1">IFERROR(__xludf.DUMMYFUNCTION("IFERROR(SUBSTITUTE(SUBSTITUTE(REGEXEXTRACT(A9685, ""[^-]+- [^-]+- [^-]+ - (.+?)\.jpg""), "".jpg"", """"), ""-"", "", ""), """")"),"")</f>
        <v/>
      </c>
      <c r="L9685" s="12"/>
      <c r="M9685" s="13"/>
      <c r="N9685" s="2"/>
      <c r="O9685" s="20"/>
      <c r="P9685" s="42"/>
      <c r="R9685" s="23"/>
    </row>
    <row r="9686" spans="1:18" ht="12.75">
      <c r="A9686" s="12"/>
      <c r="D9686" s="12"/>
      <c r="E9686" s="12"/>
      <c r="H9686" s="11" t="str">
        <f ca="1">IFERROR(__xludf.DUMMYFUNCTION("IFERROR(SUBSTITUTE(SUBSTITUTE(REGEXEXTRACT(A9686, ""[^-]+- [^-]+- [^-]+ - (.+?)\.jpg""), "".jpg"", """"), ""-"", "", ""), """")"),"")</f>
        <v/>
      </c>
      <c r="L9686" s="12"/>
      <c r="M9686" s="13"/>
      <c r="N9686" s="2"/>
      <c r="O9686" s="20"/>
      <c r="P9686" s="42"/>
      <c r="R9686" s="23"/>
    </row>
    <row r="9687" spans="1:18" ht="12.75">
      <c r="A9687" s="12"/>
      <c r="D9687" s="12"/>
      <c r="E9687" s="12"/>
      <c r="H9687" s="11" t="str">
        <f ca="1">IFERROR(__xludf.DUMMYFUNCTION("IFERROR(SUBSTITUTE(SUBSTITUTE(REGEXEXTRACT(A9687, ""[^-]+- [^-]+- [^-]+ - (.+?)\.jpg""), "".jpg"", """"), ""-"", "", ""), """")"),"")</f>
        <v/>
      </c>
      <c r="L9687" s="12"/>
      <c r="M9687" s="13"/>
      <c r="N9687" s="2"/>
      <c r="O9687" s="20"/>
      <c r="P9687" s="42"/>
      <c r="R9687" s="23"/>
    </row>
    <row r="9688" spans="1:18" ht="12.75">
      <c r="A9688" s="12"/>
      <c r="D9688" s="12"/>
      <c r="E9688" s="12"/>
      <c r="H9688" s="11" t="str">
        <f ca="1">IFERROR(__xludf.DUMMYFUNCTION("IFERROR(SUBSTITUTE(SUBSTITUTE(REGEXEXTRACT(A9688, ""[^-]+- [^-]+- [^-]+ - (.+?)\.jpg""), "".jpg"", """"), ""-"", "", ""), """")"),"")</f>
        <v/>
      </c>
      <c r="L9688" s="12"/>
      <c r="M9688" s="13"/>
      <c r="N9688" s="2"/>
      <c r="O9688" s="20"/>
      <c r="P9688" s="42"/>
      <c r="R9688" s="23"/>
    </row>
    <row r="9689" spans="1:18" ht="12.75">
      <c r="A9689" s="12"/>
      <c r="D9689" s="12"/>
      <c r="E9689" s="12"/>
      <c r="H9689" s="11" t="str">
        <f ca="1">IFERROR(__xludf.DUMMYFUNCTION("IFERROR(SUBSTITUTE(SUBSTITUTE(REGEXEXTRACT(A9689, ""[^-]+- [^-]+- [^-]+ - (.+?)\.jpg""), "".jpg"", """"), ""-"", "", ""), """")"),"")</f>
        <v/>
      </c>
      <c r="L9689" s="12"/>
      <c r="M9689" s="13"/>
      <c r="N9689" s="2"/>
      <c r="O9689" s="20"/>
      <c r="P9689" s="42"/>
      <c r="R9689" s="23"/>
    </row>
    <row r="9690" spans="1:18" ht="12.75">
      <c r="A9690" s="12"/>
      <c r="D9690" s="12"/>
      <c r="E9690" s="12"/>
      <c r="H9690" s="11" t="str">
        <f ca="1">IFERROR(__xludf.DUMMYFUNCTION("IFERROR(SUBSTITUTE(SUBSTITUTE(REGEXEXTRACT(A9690, ""[^-]+- [^-]+- [^-]+ - (.+?)\.jpg""), "".jpg"", """"), ""-"", "", ""), """")"),"")</f>
        <v/>
      </c>
      <c r="L9690" s="12"/>
      <c r="M9690" s="13"/>
      <c r="N9690" s="2"/>
      <c r="O9690" s="20"/>
      <c r="P9690" s="42"/>
      <c r="R9690" s="23"/>
    </row>
    <row r="9691" spans="1:18" ht="12.75">
      <c r="A9691" s="12"/>
      <c r="D9691" s="12"/>
      <c r="E9691" s="12"/>
      <c r="H9691" s="11" t="str">
        <f ca="1">IFERROR(__xludf.DUMMYFUNCTION("IFERROR(SUBSTITUTE(SUBSTITUTE(REGEXEXTRACT(A9691, ""[^-]+- [^-]+- [^-]+ - (.+?)\.jpg""), "".jpg"", """"), ""-"", "", ""), """")"),"")</f>
        <v/>
      </c>
      <c r="L9691" s="12"/>
      <c r="M9691" s="13"/>
      <c r="N9691" s="2"/>
      <c r="O9691" s="20"/>
      <c r="P9691" s="42"/>
      <c r="R9691" s="23"/>
    </row>
    <row r="9692" spans="1:18" ht="12.75">
      <c r="A9692" s="12"/>
      <c r="D9692" s="12"/>
      <c r="E9692" s="12"/>
      <c r="H9692" s="11" t="str">
        <f ca="1">IFERROR(__xludf.DUMMYFUNCTION("IFERROR(SUBSTITUTE(SUBSTITUTE(REGEXEXTRACT(A9692, ""[^-]+- [^-]+- [^-]+ - (.+?)\.jpg""), "".jpg"", """"), ""-"", "", ""), """")"),"")</f>
        <v/>
      </c>
      <c r="L9692" s="12"/>
      <c r="M9692" s="13"/>
      <c r="N9692" s="2"/>
      <c r="O9692" s="20"/>
      <c r="P9692" s="42"/>
      <c r="R9692" s="23"/>
    </row>
    <row r="9693" spans="1:18" ht="12.75">
      <c r="A9693" s="12"/>
      <c r="D9693" s="12"/>
      <c r="E9693" s="12"/>
      <c r="H9693" s="11" t="str">
        <f ca="1">IFERROR(__xludf.DUMMYFUNCTION("IFERROR(SUBSTITUTE(SUBSTITUTE(REGEXEXTRACT(A9693, ""[^-]+- [^-]+- [^-]+ - (.+?)\.jpg""), "".jpg"", """"), ""-"", "", ""), """")"),"")</f>
        <v/>
      </c>
      <c r="L9693" s="12"/>
      <c r="M9693" s="13"/>
      <c r="N9693" s="2"/>
      <c r="O9693" s="20"/>
      <c r="P9693" s="42"/>
      <c r="R9693" s="23"/>
    </row>
    <row r="9694" spans="1:18" ht="12.75">
      <c r="A9694" s="12"/>
      <c r="D9694" s="12"/>
      <c r="E9694" s="12"/>
      <c r="H9694" s="11" t="str">
        <f ca="1">IFERROR(__xludf.DUMMYFUNCTION("IFERROR(SUBSTITUTE(SUBSTITUTE(REGEXEXTRACT(A9694, ""[^-]+- [^-]+- [^-]+ - (.+?)\.jpg""), "".jpg"", """"), ""-"", "", ""), """")"),"")</f>
        <v/>
      </c>
      <c r="L9694" s="12"/>
      <c r="M9694" s="13"/>
      <c r="N9694" s="2"/>
      <c r="O9694" s="20"/>
      <c r="P9694" s="42"/>
      <c r="R9694" s="23"/>
    </row>
    <row r="9695" spans="1:18" ht="12.75">
      <c r="A9695" s="12"/>
      <c r="D9695" s="12"/>
      <c r="E9695" s="12"/>
      <c r="H9695" s="11" t="str">
        <f ca="1">IFERROR(__xludf.DUMMYFUNCTION("IFERROR(SUBSTITUTE(SUBSTITUTE(REGEXEXTRACT(A9695, ""[^-]+- [^-]+- [^-]+ - (.+?)\.jpg""), "".jpg"", """"), ""-"", "", ""), """")"),"")</f>
        <v/>
      </c>
      <c r="L9695" s="12"/>
      <c r="M9695" s="13"/>
      <c r="N9695" s="2"/>
      <c r="O9695" s="20"/>
      <c r="P9695" s="42"/>
      <c r="R9695" s="23"/>
    </row>
    <row r="9696" spans="1:18" ht="12.75">
      <c r="A9696" s="12"/>
      <c r="D9696" s="12"/>
      <c r="E9696" s="12"/>
      <c r="H9696" s="11" t="str">
        <f ca="1">IFERROR(__xludf.DUMMYFUNCTION("IFERROR(SUBSTITUTE(SUBSTITUTE(REGEXEXTRACT(A9696, ""[^-]+- [^-]+- [^-]+ - (.+?)\.jpg""), "".jpg"", """"), ""-"", "", ""), """")"),"")</f>
        <v/>
      </c>
      <c r="L9696" s="12"/>
      <c r="M9696" s="13"/>
      <c r="N9696" s="2"/>
      <c r="O9696" s="20"/>
      <c r="P9696" s="42"/>
      <c r="R9696" s="23"/>
    </row>
    <row r="9697" spans="1:18" ht="12.75">
      <c r="A9697" s="12"/>
      <c r="D9697" s="12"/>
      <c r="E9697" s="12"/>
      <c r="H9697" s="11" t="str">
        <f ca="1">IFERROR(__xludf.DUMMYFUNCTION("IFERROR(SUBSTITUTE(SUBSTITUTE(REGEXEXTRACT(A9697, ""[^-]+- [^-]+- [^-]+ - (.+?)\.jpg""), "".jpg"", """"), ""-"", "", ""), """")"),"")</f>
        <v/>
      </c>
      <c r="L9697" s="12"/>
      <c r="M9697" s="13"/>
      <c r="N9697" s="2"/>
      <c r="O9697" s="20"/>
      <c r="P9697" s="42"/>
      <c r="R9697" s="23"/>
    </row>
    <row r="9698" spans="1:18" ht="12.75">
      <c r="A9698" s="12"/>
      <c r="D9698" s="12"/>
      <c r="E9698" s="12"/>
      <c r="H9698" s="11" t="str">
        <f ca="1">IFERROR(__xludf.DUMMYFUNCTION("IFERROR(SUBSTITUTE(SUBSTITUTE(REGEXEXTRACT(A9698, ""[^-]+- [^-]+- [^-]+ - (.+?)\.jpg""), "".jpg"", """"), ""-"", "", ""), """")"),"")</f>
        <v/>
      </c>
      <c r="L9698" s="12"/>
      <c r="M9698" s="13"/>
      <c r="N9698" s="2"/>
      <c r="O9698" s="20"/>
      <c r="P9698" s="42"/>
      <c r="R9698" s="23"/>
    </row>
    <row r="9699" spans="1:18" ht="12.75">
      <c r="A9699" s="12"/>
      <c r="D9699" s="12"/>
      <c r="E9699" s="12"/>
      <c r="H9699" s="11" t="str">
        <f ca="1">IFERROR(__xludf.DUMMYFUNCTION("IFERROR(SUBSTITUTE(SUBSTITUTE(REGEXEXTRACT(A9699, ""[^-]+- [^-]+- [^-]+ - (.+?)\.jpg""), "".jpg"", """"), ""-"", "", ""), """")"),"")</f>
        <v/>
      </c>
      <c r="L9699" s="12"/>
      <c r="M9699" s="13"/>
      <c r="N9699" s="2"/>
      <c r="O9699" s="20"/>
      <c r="P9699" s="42"/>
      <c r="R9699" s="23"/>
    </row>
    <row r="9700" spans="1:18" ht="12.75">
      <c r="A9700" s="12"/>
      <c r="D9700" s="12"/>
      <c r="E9700" s="12"/>
      <c r="H9700" s="11" t="str">
        <f ca="1">IFERROR(__xludf.DUMMYFUNCTION("IFERROR(SUBSTITUTE(SUBSTITUTE(REGEXEXTRACT(A9700, ""[^-]+- [^-]+- [^-]+ - (.+?)\.jpg""), "".jpg"", """"), ""-"", "", ""), """")"),"")</f>
        <v/>
      </c>
      <c r="L9700" s="12"/>
      <c r="M9700" s="13"/>
      <c r="N9700" s="2"/>
      <c r="O9700" s="20"/>
      <c r="P9700" s="42"/>
      <c r="R9700" s="23"/>
    </row>
    <row r="9701" spans="1:18" ht="12.75">
      <c r="A9701" s="12"/>
      <c r="D9701" s="12"/>
      <c r="E9701" s="12"/>
      <c r="H9701" s="11" t="str">
        <f ca="1">IFERROR(__xludf.DUMMYFUNCTION("IFERROR(SUBSTITUTE(SUBSTITUTE(REGEXEXTRACT(A9701, ""[^-]+- [^-]+- [^-]+ - (.+?)\.jpg""), "".jpg"", """"), ""-"", "", ""), """")"),"")</f>
        <v/>
      </c>
      <c r="L9701" s="12"/>
      <c r="M9701" s="13"/>
      <c r="N9701" s="2"/>
      <c r="O9701" s="20"/>
      <c r="P9701" s="42"/>
      <c r="R9701" s="23"/>
    </row>
    <row r="9702" spans="1:18" ht="12.75">
      <c r="A9702" s="12"/>
      <c r="D9702" s="12"/>
      <c r="E9702" s="12"/>
      <c r="H9702" s="11" t="str">
        <f ca="1">IFERROR(__xludf.DUMMYFUNCTION("IFERROR(SUBSTITUTE(SUBSTITUTE(REGEXEXTRACT(A9702, ""[^-]+- [^-]+- [^-]+ - (.+?)\.jpg""), "".jpg"", """"), ""-"", "", ""), """")"),"")</f>
        <v/>
      </c>
      <c r="L9702" s="12"/>
      <c r="M9702" s="13"/>
      <c r="N9702" s="2"/>
      <c r="O9702" s="20"/>
      <c r="P9702" s="42"/>
      <c r="R9702" s="23"/>
    </row>
    <row r="9703" spans="1:18" ht="12.75">
      <c r="A9703" s="12"/>
      <c r="D9703" s="12"/>
      <c r="E9703" s="12"/>
      <c r="H9703" s="11" t="str">
        <f ca="1">IFERROR(__xludf.DUMMYFUNCTION("IFERROR(SUBSTITUTE(SUBSTITUTE(REGEXEXTRACT(A9703, ""[^-]+- [^-]+- [^-]+ - (.+?)\.jpg""), "".jpg"", """"), ""-"", "", ""), """")"),"")</f>
        <v/>
      </c>
      <c r="L9703" s="12"/>
      <c r="M9703" s="13"/>
      <c r="N9703" s="2"/>
      <c r="O9703" s="20"/>
      <c r="P9703" s="42"/>
      <c r="R9703" s="23"/>
    </row>
    <row r="9704" spans="1:18" ht="12.75">
      <c r="A9704" s="12"/>
      <c r="D9704" s="12"/>
      <c r="E9704" s="12"/>
      <c r="H9704" s="11" t="str">
        <f ca="1">IFERROR(__xludf.DUMMYFUNCTION("IFERROR(SUBSTITUTE(SUBSTITUTE(REGEXEXTRACT(A9704, ""[^-]+- [^-]+- [^-]+ - (.+?)\.jpg""), "".jpg"", """"), ""-"", "", ""), """")"),"")</f>
        <v/>
      </c>
      <c r="L9704" s="12"/>
      <c r="M9704" s="13"/>
      <c r="N9704" s="2"/>
      <c r="O9704" s="20"/>
      <c r="P9704" s="42"/>
      <c r="R9704" s="23"/>
    </row>
    <row r="9705" spans="1:18" ht="12.75">
      <c r="A9705" s="12"/>
      <c r="D9705" s="12"/>
      <c r="E9705" s="12"/>
      <c r="H9705" s="11" t="str">
        <f ca="1">IFERROR(__xludf.DUMMYFUNCTION("IFERROR(SUBSTITUTE(SUBSTITUTE(REGEXEXTRACT(A9705, ""[^-]+- [^-]+- [^-]+ - (.+?)\.jpg""), "".jpg"", """"), ""-"", "", ""), """")"),"")</f>
        <v/>
      </c>
      <c r="L9705" s="12"/>
      <c r="M9705" s="13"/>
      <c r="N9705" s="2"/>
      <c r="O9705" s="20"/>
      <c r="P9705" s="42"/>
      <c r="R9705" s="23"/>
    </row>
    <row r="9706" spans="1:18" ht="12.75">
      <c r="A9706" s="12"/>
      <c r="D9706" s="12"/>
      <c r="E9706" s="12"/>
      <c r="H9706" s="11" t="str">
        <f ca="1">IFERROR(__xludf.DUMMYFUNCTION("IFERROR(SUBSTITUTE(SUBSTITUTE(REGEXEXTRACT(A9706, ""[^-]+- [^-]+- [^-]+ - (.+?)\.jpg""), "".jpg"", """"), ""-"", "", ""), """")"),"")</f>
        <v/>
      </c>
      <c r="L9706" s="12"/>
      <c r="M9706" s="13"/>
      <c r="N9706" s="2"/>
      <c r="O9706" s="20"/>
      <c r="P9706" s="42"/>
      <c r="R9706" s="23"/>
    </row>
    <row r="9707" spans="1:18" ht="12.75">
      <c r="A9707" s="12"/>
      <c r="D9707" s="12"/>
      <c r="E9707" s="12"/>
      <c r="H9707" s="11" t="str">
        <f ca="1">IFERROR(__xludf.DUMMYFUNCTION("IFERROR(SUBSTITUTE(SUBSTITUTE(REGEXEXTRACT(A9707, ""[^-]+- [^-]+- [^-]+ - (.+?)\.jpg""), "".jpg"", """"), ""-"", "", ""), """")"),"")</f>
        <v/>
      </c>
      <c r="L9707" s="12"/>
      <c r="M9707" s="13"/>
      <c r="N9707" s="2"/>
      <c r="O9707" s="20"/>
      <c r="P9707" s="42"/>
      <c r="R9707" s="23"/>
    </row>
    <row r="9708" spans="1:18" ht="12.75">
      <c r="A9708" s="12"/>
      <c r="D9708" s="12"/>
      <c r="E9708" s="12"/>
      <c r="H9708" s="11" t="str">
        <f ca="1">IFERROR(__xludf.DUMMYFUNCTION("IFERROR(SUBSTITUTE(SUBSTITUTE(REGEXEXTRACT(A9708, ""[^-]+- [^-]+- [^-]+ - (.+?)\.jpg""), "".jpg"", """"), ""-"", "", ""), """")"),"")</f>
        <v/>
      </c>
      <c r="L9708" s="12"/>
      <c r="M9708" s="13"/>
      <c r="N9708" s="2"/>
      <c r="O9708" s="20"/>
      <c r="P9708" s="42"/>
      <c r="R9708" s="23"/>
    </row>
    <row r="9709" spans="1:18" ht="12.75">
      <c r="A9709" s="12"/>
      <c r="D9709" s="12"/>
      <c r="E9709" s="12"/>
      <c r="H9709" s="11" t="str">
        <f ca="1">IFERROR(__xludf.DUMMYFUNCTION("IFERROR(SUBSTITUTE(SUBSTITUTE(REGEXEXTRACT(A9709, ""[^-]+- [^-]+- [^-]+ - (.+?)\.jpg""), "".jpg"", """"), ""-"", "", ""), """")"),"")</f>
        <v/>
      </c>
      <c r="L9709" s="12"/>
      <c r="M9709" s="13"/>
      <c r="N9709" s="2"/>
      <c r="O9709" s="20"/>
      <c r="P9709" s="42"/>
      <c r="R9709" s="23"/>
    </row>
    <row r="9710" spans="1:18" ht="12.75">
      <c r="A9710" s="12"/>
      <c r="D9710" s="12"/>
      <c r="E9710" s="12"/>
      <c r="H9710" s="11" t="str">
        <f ca="1">IFERROR(__xludf.DUMMYFUNCTION("IFERROR(SUBSTITUTE(SUBSTITUTE(REGEXEXTRACT(A9710, ""[^-]+- [^-]+- [^-]+ - (.+?)\.jpg""), "".jpg"", """"), ""-"", "", ""), """")"),"")</f>
        <v/>
      </c>
      <c r="L9710" s="12"/>
      <c r="M9710" s="13"/>
      <c r="N9710" s="2"/>
      <c r="O9710" s="20"/>
      <c r="P9710" s="42"/>
      <c r="R9710" s="23"/>
    </row>
    <row r="9711" spans="1:18" ht="12.75">
      <c r="A9711" s="12"/>
      <c r="D9711" s="12"/>
      <c r="E9711" s="12"/>
      <c r="H9711" s="11" t="str">
        <f ca="1">IFERROR(__xludf.DUMMYFUNCTION("IFERROR(SUBSTITUTE(SUBSTITUTE(REGEXEXTRACT(A9711, ""[^-]+- [^-]+- [^-]+ - (.+?)\.jpg""), "".jpg"", """"), ""-"", "", ""), """")"),"")</f>
        <v/>
      </c>
      <c r="L9711" s="12"/>
      <c r="M9711" s="13"/>
      <c r="N9711" s="2"/>
      <c r="O9711" s="20"/>
      <c r="P9711" s="42"/>
      <c r="R9711" s="23"/>
    </row>
    <row r="9712" spans="1:18" ht="12.75">
      <c r="A9712" s="12"/>
      <c r="D9712" s="12"/>
      <c r="E9712" s="12"/>
      <c r="H9712" s="11" t="str">
        <f ca="1">IFERROR(__xludf.DUMMYFUNCTION("IFERROR(SUBSTITUTE(SUBSTITUTE(REGEXEXTRACT(A9712, ""[^-]+- [^-]+- [^-]+ - (.+?)\.jpg""), "".jpg"", """"), ""-"", "", ""), """")"),"")</f>
        <v/>
      </c>
      <c r="L9712" s="12"/>
      <c r="M9712" s="13"/>
      <c r="N9712" s="2"/>
      <c r="O9712" s="20"/>
      <c r="P9712" s="42"/>
      <c r="R9712" s="23"/>
    </row>
    <row r="9713" spans="1:18" ht="12.75">
      <c r="A9713" s="12"/>
      <c r="D9713" s="12"/>
      <c r="E9713" s="12"/>
      <c r="H9713" s="11" t="str">
        <f ca="1">IFERROR(__xludf.DUMMYFUNCTION("IFERROR(SUBSTITUTE(SUBSTITUTE(REGEXEXTRACT(A9713, ""[^-]+- [^-]+- [^-]+ - (.+?)\.jpg""), "".jpg"", """"), ""-"", "", ""), """")"),"")</f>
        <v/>
      </c>
      <c r="L9713" s="12"/>
      <c r="M9713" s="13"/>
      <c r="N9713" s="2"/>
      <c r="O9713" s="20"/>
      <c r="P9713" s="42"/>
      <c r="R9713" s="23"/>
    </row>
    <row r="9714" spans="1:18" ht="12.75">
      <c r="A9714" s="12"/>
      <c r="D9714" s="12"/>
      <c r="E9714" s="12"/>
      <c r="H9714" s="11" t="str">
        <f ca="1">IFERROR(__xludf.DUMMYFUNCTION("IFERROR(SUBSTITUTE(SUBSTITUTE(REGEXEXTRACT(A9714, ""[^-]+- [^-]+- [^-]+ - (.+?)\.jpg""), "".jpg"", """"), ""-"", "", ""), """")"),"")</f>
        <v/>
      </c>
      <c r="L9714" s="12"/>
      <c r="M9714" s="13"/>
      <c r="N9714" s="2"/>
      <c r="O9714" s="20"/>
      <c r="P9714" s="42"/>
      <c r="R9714" s="23"/>
    </row>
    <row r="9715" spans="1:18" ht="12.75">
      <c r="A9715" s="12"/>
      <c r="D9715" s="12"/>
      <c r="E9715" s="12"/>
      <c r="H9715" s="11" t="str">
        <f ca="1">IFERROR(__xludf.DUMMYFUNCTION("IFERROR(SUBSTITUTE(SUBSTITUTE(REGEXEXTRACT(A9715, ""[^-]+- [^-]+- [^-]+ - (.+?)\.jpg""), "".jpg"", """"), ""-"", "", ""), """")"),"")</f>
        <v/>
      </c>
      <c r="L9715" s="12"/>
      <c r="M9715" s="13"/>
      <c r="N9715" s="2"/>
      <c r="O9715" s="20"/>
      <c r="P9715" s="42"/>
      <c r="R9715" s="23"/>
    </row>
    <row r="9716" spans="1:18" ht="12.75">
      <c r="A9716" s="12"/>
      <c r="D9716" s="12"/>
      <c r="E9716" s="12"/>
      <c r="H9716" s="11" t="str">
        <f ca="1">IFERROR(__xludf.DUMMYFUNCTION("IFERROR(SUBSTITUTE(SUBSTITUTE(REGEXEXTRACT(A9716, ""[^-]+- [^-]+- [^-]+ - (.+?)\.jpg""), "".jpg"", """"), ""-"", "", ""), """")"),"")</f>
        <v/>
      </c>
      <c r="L9716" s="12"/>
      <c r="M9716" s="13"/>
      <c r="N9716" s="2"/>
      <c r="O9716" s="20"/>
      <c r="P9716" s="42"/>
      <c r="R9716" s="23"/>
    </row>
    <row r="9717" spans="1:18" ht="12.75">
      <c r="A9717" s="12"/>
      <c r="D9717" s="12"/>
      <c r="E9717" s="12"/>
      <c r="H9717" s="11" t="str">
        <f ca="1">IFERROR(__xludf.DUMMYFUNCTION("IFERROR(SUBSTITUTE(SUBSTITUTE(REGEXEXTRACT(A9717, ""[^-]+- [^-]+- [^-]+ - (.+?)\.jpg""), "".jpg"", """"), ""-"", "", ""), """")"),"")</f>
        <v/>
      </c>
      <c r="L9717" s="12"/>
      <c r="M9717" s="13"/>
      <c r="N9717" s="2"/>
      <c r="O9717" s="20"/>
      <c r="P9717" s="42"/>
      <c r="R9717" s="23"/>
    </row>
    <row r="9718" spans="1:18" ht="12.75">
      <c r="A9718" s="12"/>
      <c r="D9718" s="12"/>
      <c r="E9718" s="12"/>
      <c r="H9718" s="11" t="str">
        <f ca="1">IFERROR(__xludf.DUMMYFUNCTION("IFERROR(SUBSTITUTE(SUBSTITUTE(REGEXEXTRACT(A9718, ""[^-]+- [^-]+- [^-]+ - (.+?)\.jpg""), "".jpg"", """"), ""-"", "", ""), """")"),"")</f>
        <v/>
      </c>
      <c r="L9718" s="12"/>
      <c r="M9718" s="13"/>
      <c r="N9718" s="2"/>
      <c r="O9718" s="20"/>
      <c r="P9718" s="42"/>
      <c r="R9718" s="23"/>
    </row>
    <row r="9719" spans="1:18" ht="12.75">
      <c r="A9719" s="12"/>
      <c r="D9719" s="12"/>
      <c r="E9719" s="12"/>
      <c r="H9719" s="11" t="str">
        <f ca="1">IFERROR(__xludf.DUMMYFUNCTION("IFERROR(SUBSTITUTE(SUBSTITUTE(REGEXEXTRACT(A9719, ""[^-]+- [^-]+- [^-]+ - (.+?)\.jpg""), "".jpg"", """"), ""-"", "", ""), """")"),"")</f>
        <v/>
      </c>
      <c r="L9719" s="12"/>
      <c r="M9719" s="13"/>
      <c r="N9719" s="2"/>
      <c r="O9719" s="20"/>
      <c r="P9719" s="42"/>
      <c r="R9719" s="23"/>
    </row>
    <row r="9720" spans="1:18" ht="12.75">
      <c r="A9720" s="12"/>
      <c r="D9720" s="12"/>
      <c r="E9720" s="12"/>
      <c r="H9720" s="11" t="str">
        <f ca="1">IFERROR(__xludf.DUMMYFUNCTION("IFERROR(SUBSTITUTE(SUBSTITUTE(REGEXEXTRACT(A9720, ""[^-]+- [^-]+- [^-]+ - (.+?)\.jpg""), "".jpg"", """"), ""-"", "", ""), """")"),"")</f>
        <v/>
      </c>
      <c r="L9720" s="12"/>
      <c r="M9720" s="13"/>
      <c r="N9720" s="2"/>
      <c r="O9720" s="20"/>
      <c r="P9720" s="42"/>
      <c r="R9720" s="23"/>
    </row>
    <row r="9721" spans="1:18" ht="12.75">
      <c r="A9721" s="12"/>
      <c r="D9721" s="12"/>
      <c r="E9721" s="12"/>
      <c r="H9721" s="11" t="str">
        <f ca="1">IFERROR(__xludf.DUMMYFUNCTION("IFERROR(SUBSTITUTE(SUBSTITUTE(REGEXEXTRACT(A9721, ""[^-]+- [^-]+- [^-]+ - (.+?)\.jpg""), "".jpg"", """"), ""-"", "", ""), """")"),"")</f>
        <v/>
      </c>
      <c r="L9721" s="12"/>
      <c r="M9721" s="13"/>
      <c r="N9721" s="2"/>
      <c r="O9721" s="20"/>
      <c r="P9721" s="42"/>
      <c r="R9721" s="23"/>
    </row>
    <row r="9722" spans="1:18" ht="12.75">
      <c r="A9722" s="12"/>
      <c r="D9722" s="12"/>
      <c r="E9722" s="12"/>
      <c r="H9722" s="11" t="str">
        <f ca="1">IFERROR(__xludf.DUMMYFUNCTION("IFERROR(SUBSTITUTE(SUBSTITUTE(REGEXEXTRACT(A9722, ""[^-]+- [^-]+- [^-]+ - (.+?)\.jpg""), "".jpg"", """"), ""-"", "", ""), """")"),"")</f>
        <v/>
      </c>
      <c r="L9722" s="12"/>
      <c r="M9722" s="13"/>
      <c r="N9722" s="2"/>
      <c r="O9722" s="20"/>
      <c r="P9722" s="42"/>
      <c r="R9722" s="23"/>
    </row>
    <row r="9723" spans="1:18" ht="12.75">
      <c r="A9723" s="12"/>
      <c r="D9723" s="12"/>
      <c r="E9723" s="12"/>
      <c r="H9723" s="11" t="str">
        <f ca="1">IFERROR(__xludf.DUMMYFUNCTION("IFERROR(SUBSTITUTE(SUBSTITUTE(REGEXEXTRACT(A9723, ""[^-]+- [^-]+- [^-]+ - (.+?)\.jpg""), "".jpg"", """"), ""-"", "", ""), """")"),"")</f>
        <v/>
      </c>
      <c r="L9723" s="12"/>
      <c r="M9723" s="13"/>
      <c r="N9723" s="2"/>
      <c r="O9723" s="20"/>
      <c r="P9723" s="42"/>
      <c r="R9723" s="23"/>
    </row>
    <row r="9724" spans="1:18" ht="12.75">
      <c r="A9724" s="12"/>
      <c r="D9724" s="12"/>
      <c r="E9724" s="12"/>
      <c r="H9724" s="11" t="str">
        <f ca="1">IFERROR(__xludf.DUMMYFUNCTION("IFERROR(SUBSTITUTE(SUBSTITUTE(REGEXEXTRACT(A9724, ""[^-]+- [^-]+- [^-]+ - (.+?)\.jpg""), "".jpg"", """"), ""-"", "", ""), """")"),"")</f>
        <v/>
      </c>
      <c r="L9724" s="12"/>
      <c r="M9724" s="13"/>
      <c r="N9724" s="2"/>
      <c r="O9724" s="20"/>
      <c r="P9724" s="42"/>
      <c r="R9724" s="23"/>
    </row>
    <row r="9725" spans="1:18" ht="12.75">
      <c r="A9725" s="12"/>
      <c r="D9725" s="12"/>
      <c r="E9725" s="12"/>
      <c r="H9725" s="11" t="str">
        <f ca="1">IFERROR(__xludf.DUMMYFUNCTION("IFERROR(SUBSTITUTE(SUBSTITUTE(REGEXEXTRACT(A9725, ""[^-]+- [^-]+- [^-]+ - (.+?)\.jpg""), "".jpg"", """"), ""-"", "", ""), """")"),"")</f>
        <v/>
      </c>
      <c r="L9725" s="12"/>
      <c r="M9725" s="13"/>
      <c r="N9725" s="2"/>
      <c r="O9725" s="20"/>
      <c r="P9725" s="42"/>
      <c r="R9725" s="23"/>
    </row>
    <row r="9726" spans="1:18" ht="12.75">
      <c r="A9726" s="12"/>
      <c r="D9726" s="12"/>
      <c r="E9726" s="12"/>
      <c r="H9726" s="11" t="str">
        <f ca="1">IFERROR(__xludf.DUMMYFUNCTION("IFERROR(SUBSTITUTE(SUBSTITUTE(REGEXEXTRACT(A9726, ""[^-]+- [^-]+- [^-]+ - (.+?)\.jpg""), "".jpg"", """"), ""-"", "", ""), """")"),"")</f>
        <v/>
      </c>
      <c r="L9726" s="12"/>
      <c r="M9726" s="13"/>
      <c r="N9726" s="2"/>
      <c r="O9726" s="20"/>
      <c r="P9726" s="42"/>
      <c r="R9726" s="23"/>
    </row>
    <row r="9727" spans="1:18" ht="12.75">
      <c r="A9727" s="12"/>
      <c r="D9727" s="12"/>
      <c r="E9727" s="12"/>
      <c r="H9727" s="11" t="str">
        <f ca="1">IFERROR(__xludf.DUMMYFUNCTION("IFERROR(SUBSTITUTE(SUBSTITUTE(REGEXEXTRACT(A9727, ""[^-]+- [^-]+- [^-]+ - (.+?)\.jpg""), "".jpg"", """"), ""-"", "", ""), """")"),"")</f>
        <v/>
      </c>
      <c r="L9727" s="12"/>
      <c r="M9727" s="13"/>
      <c r="N9727" s="2"/>
      <c r="O9727" s="20"/>
      <c r="P9727" s="42"/>
      <c r="R9727" s="23"/>
    </row>
    <row r="9728" spans="1:18" ht="12.75">
      <c r="A9728" s="12"/>
      <c r="D9728" s="12"/>
      <c r="E9728" s="12"/>
      <c r="H9728" s="11" t="str">
        <f ca="1">IFERROR(__xludf.DUMMYFUNCTION("IFERROR(SUBSTITUTE(SUBSTITUTE(REGEXEXTRACT(A9728, ""[^-]+- [^-]+- [^-]+ - (.+?)\.jpg""), "".jpg"", """"), ""-"", "", ""), """")"),"")</f>
        <v/>
      </c>
      <c r="L9728" s="12"/>
      <c r="M9728" s="13"/>
      <c r="N9728" s="2"/>
      <c r="O9728" s="20"/>
      <c r="P9728" s="42"/>
      <c r="R9728" s="23"/>
    </row>
    <row r="9729" spans="1:18" ht="12.75">
      <c r="A9729" s="12"/>
      <c r="D9729" s="12"/>
      <c r="E9729" s="12"/>
      <c r="H9729" s="11" t="str">
        <f ca="1">IFERROR(__xludf.DUMMYFUNCTION("IFERROR(SUBSTITUTE(SUBSTITUTE(REGEXEXTRACT(A9729, ""[^-]+- [^-]+- [^-]+ - (.+?)\.jpg""), "".jpg"", """"), ""-"", "", ""), """")"),"")</f>
        <v/>
      </c>
      <c r="L9729" s="12"/>
      <c r="M9729" s="13"/>
      <c r="N9729" s="2"/>
      <c r="O9729" s="20"/>
      <c r="P9729" s="42"/>
      <c r="R9729" s="23"/>
    </row>
    <row r="9730" spans="1:18" ht="12.75">
      <c r="A9730" s="12"/>
      <c r="D9730" s="12"/>
      <c r="E9730" s="12"/>
      <c r="H9730" s="11" t="str">
        <f ca="1">IFERROR(__xludf.DUMMYFUNCTION("IFERROR(SUBSTITUTE(SUBSTITUTE(REGEXEXTRACT(A9730, ""[^-]+- [^-]+- [^-]+ - (.+?)\.jpg""), "".jpg"", """"), ""-"", "", ""), """")"),"")</f>
        <v/>
      </c>
      <c r="L9730" s="12"/>
      <c r="M9730" s="13"/>
      <c r="N9730" s="2"/>
      <c r="O9730" s="20"/>
      <c r="P9730" s="42"/>
      <c r="R9730" s="23"/>
    </row>
    <row r="9731" spans="1:18" ht="12.75">
      <c r="A9731" s="12"/>
      <c r="D9731" s="12"/>
      <c r="E9731" s="12"/>
      <c r="H9731" s="11" t="str">
        <f ca="1">IFERROR(__xludf.DUMMYFUNCTION("IFERROR(SUBSTITUTE(SUBSTITUTE(REGEXEXTRACT(A9731, ""[^-]+- [^-]+- [^-]+ - (.+?)\.jpg""), "".jpg"", """"), ""-"", "", ""), """")"),"")</f>
        <v/>
      </c>
      <c r="L9731" s="12"/>
      <c r="M9731" s="13"/>
      <c r="N9731" s="2"/>
      <c r="O9731" s="20"/>
      <c r="P9731" s="42"/>
      <c r="R9731" s="23"/>
    </row>
    <row r="9732" spans="1:18" ht="12.75">
      <c r="A9732" s="12"/>
      <c r="D9732" s="12"/>
      <c r="E9732" s="12"/>
      <c r="H9732" s="11" t="str">
        <f ca="1">IFERROR(__xludf.DUMMYFUNCTION("IFERROR(SUBSTITUTE(SUBSTITUTE(REGEXEXTRACT(A9732, ""[^-]+- [^-]+- [^-]+ - (.+?)\.jpg""), "".jpg"", """"), ""-"", "", ""), """")"),"")</f>
        <v/>
      </c>
      <c r="L9732" s="12"/>
      <c r="M9732" s="13"/>
      <c r="N9732" s="2"/>
      <c r="O9732" s="20"/>
      <c r="P9732" s="42"/>
      <c r="R9732" s="23"/>
    </row>
    <row r="9733" spans="1:18" ht="12.75">
      <c r="A9733" s="12"/>
      <c r="D9733" s="12"/>
      <c r="E9733" s="12"/>
      <c r="H9733" s="11" t="str">
        <f ca="1">IFERROR(__xludf.DUMMYFUNCTION("IFERROR(SUBSTITUTE(SUBSTITUTE(REGEXEXTRACT(A9733, ""[^-]+- [^-]+- [^-]+ - (.+?)\.jpg""), "".jpg"", """"), ""-"", "", ""), """")"),"")</f>
        <v/>
      </c>
      <c r="L9733" s="12"/>
      <c r="M9733" s="13"/>
      <c r="N9733" s="2"/>
      <c r="O9733" s="20"/>
      <c r="P9733" s="42"/>
      <c r="R9733" s="23"/>
    </row>
    <row r="9734" spans="1:18" ht="12.75">
      <c r="A9734" s="12"/>
      <c r="D9734" s="12"/>
      <c r="E9734" s="12"/>
      <c r="H9734" s="11" t="str">
        <f ca="1">IFERROR(__xludf.DUMMYFUNCTION("IFERROR(SUBSTITUTE(SUBSTITUTE(REGEXEXTRACT(A9734, ""[^-]+- [^-]+- [^-]+ - (.+?)\.jpg""), "".jpg"", """"), ""-"", "", ""), """")"),"")</f>
        <v/>
      </c>
      <c r="L9734" s="12"/>
      <c r="M9734" s="13"/>
      <c r="N9734" s="2"/>
      <c r="O9734" s="20"/>
      <c r="P9734" s="42"/>
      <c r="R9734" s="23"/>
    </row>
    <row r="9735" spans="1:18" ht="12.75">
      <c r="A9735" s="12"/>
      <c r="D9735" s="12"/>
      <c r="E9735" s="12"/>
      <c r="H9735" s="11" t="str">
        <f ca="1">IFERROR(__xludf.DUMMYFUNCTION("IFERROR(SUBSTITUTE(SUBSTITUTE(REGEXEXTRACT(A9735, ""[^-]+- [^-]+- [^-]+ - (.+?)\.jpg""), "".jpg"", """"), ""-"", "", ""), """")"),"")</f>
        <v/>
      </c>
      <c r="L9735" s="12"/>
      <c r="M9735" s="13"/>
      <c r="N9735" s="2"/>
      <c r="O9735" s="20"/>
      <c r="P9735" s="42"/>
      <c r="R9735" s="23"/>
    </row>
    <row r="9736" spans="1:18" ht="12.75">
      <c r="A9736" s="12"/>
      <c r="D9736" s="12"/>
      <c r="E9736" s="12"/>
      <c r="H9736" s="11" t="str">
        <f ca="1">IFERROR(__xludf.DUMMYFUNCTION("IFERROR(SUBSTITUTE(SUBSTITUTE(REGEXEXTRACT(A9736, ""[^-]+- [^-]+- [^-]+ - (.+?)\.jpg""), "".jpg"", """"), ""-"", "", ""), """")"),"")</f>
        <v/>
      </c>
      <c r="L9736" s="12"/>
      <c r="M9736" s="13"/>
      <c r="N9736" s="2"/>
      <c r="O9736" s="20"/>
      <c r="P9736" s="42"/>
      <c r="R9736" s="23"/>
    </row>
    <row r="9737" spans="1:18" ht="12.75">
      <c r="A9737" s="12"/>
      <c r="D9737" s="12"/>
      <c r="E9737" s="12"/>
      <c r="H9737" s="11" t="str">
        <f ca="1">IFERROR(__xludf.DUMMYFUNCTION("IFERROR(SUBSTITUTE(SUBSTITUTE(REGEXEXTRACT(A9737, ""[^-]+- [^-]+- [^-]+ - (.+?)\.jpg""), "".jpg"", """"), ""-"", "", ""), """")"),"")</f>
        <v/>
      </c>
      <c r="L9737" s="12"/>
      <c r="M9737" s="13"/>
      <c r="N9737" s="2"/>
      <c r="O9737" s="20"/>
      <c r="P9737" s="42"/>
      <c r="R9737" s="23"/>
    </row>
    <row r="9738" spans="1:18" ht="12.75">
      <c r="A9738" s="12"/>
      <c r="D9738" s="12"/>
      <c r="E9738" s="12"/>
      <c r="H9738" s="11" t="str">
        <f ca="1">IFERROR(__xludf.DUMMYFUNCTION("IFERROR(SUBSTITUTE(SUBSTITUTE(REGEXEXTRACT(A9738, ""[^-]+- [^-]+- [^-]+ - (.+?)\.jpg""), "".jpg"", """"), ""-"", "", ""), """")"),"")</f>
        <v/>
      </c>
      <c r="L9738" s="12"/>
      <c r="M9738" s="13"/>
      <c r="N9738" s="2"/>
      <c r="O9738" s="20"/>
      <c r="P9738" s="42"/>
      <c r="R9738" s="23"/>
    </row>
    <row r="9739" spans="1:18" ht="12.75">
      <c r="A9739" s="12"/>
      <c r="D9739" s="12"/>
      <c r="E9739" s="12"/>
      <c r="H9739" s="11" t="str">
        <f ca="1">IFERROR(__xludf.DUMMYFUNCTION("IFERROR(SUBSTITUTE(SUBSTITUTE(REGEXEXTRACT(A9739, ""[^-]+- [^-]+- [^-]+ - (.+?)\.jpg""), "".jpg"", """"), ""-"", "", ""), """")"),"")</f>
        <v/>
      </c>
      <c r="L9739" s="12"/>
      <c r="M9739" s="13"/>
      <c r="N9739" s="2"/>
      <c r="O9739" s="20"/>
      <c r="P9739" s="42"/>
      <c r="R9739" s="23"/>
    </row>
    <row r="9740" spans="1:18" ht="12.75">
      <c r="A9740" s="12"/>
      <c r="D9740" s="12"/>
      <c r="E9740" s="12"/>
      <c r="H9740" s="11" t="str">
        <f ca="1">IFERROR(__xludf.DUMMYFUNCTION("IFERROR(SUBSTITUTE(SUBSTITUTE(REGEXEXTRACT(A9740, ""[^-]+- [^-]+- [^-]+ - (.+?)\.jpg""), "".jpg"", """"), ""-"", "", ""), """")"),"")</f>
        <v/>
      </c>
      <c r="L9740" s="12"/>
      <c r="M9740" s="13"/>
      <c r="N9740" s="2"/>
      <c r="O9740" s="20"/>
      <c r="P9740" s="42"/>
      <c r="R9740" s="23"/>
    </row>
    <row r="9741" spans="1:18" ht="12.75">
      <c r="A9741" s="12"/>
      <c r="D9741" s="12"/>
      <c r="E9741" s="12"/>
      <c r="H9741" s="11" t="str">
        <f ca="1">IFERROR(__xludf.DUMMYFUNCTION("IFERROR(SUBSTITUTE(SUBSTITUTE(REGEXEXTRACT(A9741, ""[^-]+- [^-]+- [^-]+ - (.+?)\.jpg""), "".jpg"", """"), ""-"", "", ""), """")"),"")</f>
        <v/>
      </c>
      <c r="L9741" s="12"/>
      <c r="M9741" s="13"/>
      <c r="N9741" s="2"/>
      <c r="O9741" s="20"/>
      <c r="P9741" s="42"/>
      <c r="R9741" s="23"/>
    </row>
    <row r="9742" spans="1:18" ht="12.75">
      <c r="A9742" s="12"/>
      <c r="D9742" s="12"/>
      <c r="E9742" s="12"/>
      <c r="H9742" s="11" t="str">
        <f ca="1">IFERROR(__xludf.DUMMYFUNCTION("IFERROR(SUBSTITUTE(SUBSTITUTE(REGEXEXTRACT(A9742, ""[^-]+- [^-]+- [^-]+ - (.+?)\.jpg""), "".jpg"", """"), ""-"", "", ""), """")"),"")</f>
        <v/>
      </c>
      <c r="L9742" s="12"/>
      <c r="M9742" s="13"/>
      <c r="N9742" s="2"/>
      <c r="O9742" s="20"/>
      <c r="P9742" s="42"/>
      <c r="R9742" s="23"/>
    </row>
    <row r="9743" spans="1:18" ht="12.75">
      <c r="A9743" s="12"/>
      <c r="D9743" s="12"/>
      <c r="E9743" s="12"/>
      <c r="H9743" s="11" t="str">
        <f ca="1">IFERROR(__xludf.DUMMYFUNCTION("IFERROR(SUBSTITUTE(SUBSTITUTE(REGEXEXTRACT(A9743, ""[^-]+- [^-]+- [^-]+ - (.+?)\.jpg""), "".jpg"", """"), ""-"", "", ""), """")"),"")</f>
        <v/>
      </c>
      <c r="L9743" s="12"/>
      <c r="M9743" s="13"/>
      <c r="N9743" s="2"/>
      <c r="O9743" s="20"/>
      <c r="P9743" s="42"/>
      <c r="R9743" s="23"/>
    </row>
    <row r="9744" spans="1:18" ht="12.75">
      <c r="A9744" s="12"/>
      <c r="D9744" s="12"/>
      <c r="E9744" s="12"/>
      <c r="H9744" s="11" t="str">
        <f ca="1">IFERROR(__xludf.DUMMYFUNCTION("IFERROR(SUBSTITUTE(SUBSTITUTE(REGEXEXTRACT(A9744, ""[^-]+- [^-]+- [^-]+ - (.+?)\.jpg""), "".jpg"", """"), ""-"", "", ""), """")"),"")</f>
        <v/>
      </c>
      <c r="L9744" s="12"/>
      <c r="M9744" s="13"/>
      <c r="N9744" s="2"/>
      <c r="O9744" s="20"/>
      <c r="P9744" s="42"/>
      <c r="R9744" s="23"/>
    </row>
    <row r="9745" spans="1:18" ht="12.75">
      <c r="A9745" s="12"/>
      <c r="D9745" s="12"/>
      <c r="E9745" s="12"/>
      <c r="H9745" s="11" t="str">
        <f ca="1">IFERROR(__xludf.DUMMYFUNCTION("IFERROR(SUBSTITUTE(SUBSTITUTE(REGEXEXTRACT(A9745, ""[^-]+- [^-]+- [^-]+ - (.+?)\.jpg""), "".jpg"", """"), ""-"", "", ""), """")"),"")</f>
        <v/>
      </c>
      <c r="L9745" s="12"/>
      <c r="M9745" s="13"/>
      <c r="N9745" s="2"/>
      <c r="O9745" s="20"/>
      <c r="P9745" s="42"/>
      <c r="R9745" s="23"/>
    </row>
    <row r="9746" spans="1:18" ht="12.75">
      <c r="A9746" s="12"/>
      <c r="D9746" s="12"/>
      <c r="E9746" s="12"/>
      <c r="H9746" s="11" t="str">
        <f ca="1">IFERROR(__xludf.DUMMYFUNCTION("IFERROR(SUBSTITUTE(SUBSTITUTE(REGEXEXTRACT(A9746, ""[^-]+- [^-]+- [^-]+ - (.+?)\.jpg""), "".jpg"", """"), ""-"", "", ""), """")"),"")</f>
        <v/>
      </c>
      <c r="L9746" s="12"/>
      <c r="M9746" s="13"/>
      <c r="N9746" s="2"/>
      <c r="O9746" s="20"/>
      <c r="P9746" s="42"/>
      <c r="R9746" s="23"/>
    </row>
    <row r="9747" spans="1:18" ht="12.75">
      <c r="A9747" s="12"/>
      <c r="D9747" s="12"/>
      <c r="E9747" s="12"/>
      <c r="H9747" s="11" t="str">
        <f ca="1">IFERROR(__xludf.DUMMYFUNCTION("IFERROR(SUBSTITUTE(SUBSTITUTE(REGEXEXTRACT(A9747, ""[^-]+- [^-]+- [^-]+ - (.+?)\.jpg""), "".jpg"", """"), ""-"", "", ""), """")"),"")</f>
        <v/>
      </c>
      <c r="L9747" s="12"/>
      <c r="M9747" s="13"/>
      <c r="N9747" s="2"/>
      <c r="O9747" s="20"/>
      <c r="P9747" s="42"/>
      <c r="R9747" s="23"/>
    </row>
    <row r="9748" spans="1:18" ht="12.75">
      <c r="A9748" s="12"/>
      <c r="D9748" s="12"/>
      <c r="E9748" s="12"/>
      <c r="H9748" s="11" t="str">
        <f ca="1">IFERROR(__xludf.DUMMYFUNCTION("IFERROR(SUBSTITUTE(SUBSTITUTE(REGEXEXTRACT(A9748, ""[^-]+- [^-]+- [^-]+ - (.+?)\.jpg""), "".jpg"", """"), ""-"", "", ""), """")"),"")</f>
        <v/>
      </c>
      <c r="L9748" s="12"/>
      <c r="M9748" s="13"/>
      <c r="N9748" s="2"/>
      <c r="O9748" s="20"/>
      <c r="P9748" s="42"/>
      <c r="R9748" s="23"/>
    </row>
    <row r="9749" spans="1:18" ht="12.75">
      <c r="A9749" s="12"/>
      <c r="D9749" s="12"/>
      <c r="E9749" s="12"/>
      <c r="H9749" s="11" t="str">
        <f ca="1">IFERROR(__xludf.DUMMYFUNCTION("IFERROR(SUBSTITUTE(SUBSTITUTE(REGEXEXTRACT(A9749, ""[^-]+- [^-]+- [^-]+ - (.+?)\.jpg""), "".jpg"", """"), ""-"", "", ""), """")"),"")</f>
        <v/>
      </c>
      <c r="L9749" s="12"/>
      <c r="M9749" s="13"/>
      <c r="N9749" s="2"/>
      <c r="O9749" s="20"/>
      <c r="P9749" s="42"/>
      <c r="R9749" s="23"/>
    </row>
    <row r="9750" spans="1:18" ht="12.75">
      <c r="A9750" s="12"/>
      <c r="D9750" s="12"/>
      <c r="E9750" s="12"/>
      <c r="H9750" s="11" t="str">
        <f ca="1">IFERROR(__xludf.DUMMYFUNCTION("IFERROR(SUBSTITUTE(SUBSTITUTE(REGEXEXTRACT(A9750, ""[^-]+- [^-]+- [^-]+ - (.+?)\.jpg""), "".jpg"", """"), ""-"", "", ""), """")"),"")</f>
        <v/>
      </c>
      <c r="L9750" s="12"/>
      <c r="M9750" s="13"/>
      <c r="N9750" s="2"/>
      <c r="O9750" s="20"/>
      <c r="P9750" s="42"/>
      <c r="R9750" s="23"/>
    </row>
    <row r="9751" spans="1:18" ht="12.75">
      <c r="A9751" s="12"/>
      <c r="D9751" s="12"/>
      <c r="E9751" s="12"/>
      <c r="H9751" s="11" t="str">
        <f ca="1">IFERROR(__xludf.DUMMYFUNCTION("IFERROR(SUBSTITUTE(SUBSTITUTE(REGEXEXTRACT(A9751, ""[^-]+- [^-]+- [^-]+ - (.+?)\.jpg""), "".jpg"", """"), ""-"", "", ""), """")"),"")</f>
        <v/>
      </c>
      <c r="L9751" s="12"/>
      <c r="M9751" s="13"/>
      <c r="N9751" s="2"/>
      <c r="O9751" s="20"/>
      <c r="P9751" s="42"/>
      <c r="R9751" s="23"/>
    </row>
    <row r="9752" spans="1:18" ht="12.75">
      <c r="A9752" s="12"/>
      <c r="D9752" s="12"/>
      <c r="E9752" s="12"/>
      <c r="H9752" s="11" t="str">
        <f ca="1">IFERROR(__xludf.DUMMYFUNCTION("IFERROR(SUBSTITUTE(SUBSTITUTE(REGEXEXTRACT(A9752, ""[^-]+- [^-]+- [^-]+ - (.+?)\.jpg""), "".jpg"", """"), ""-"", "", ""), """")"),"")</f>
        <v/>
      </c>
      <c r="L9752" s="12"/>
      <c r="M9752" s="13"/>
      <c r="N9752" s="2"/>
      <c r="O9752" s="20"/>
      <c r="P9752" s="42"/>
      <c r="R9752" s="23"/>
    </row>
    <row r="9753" spans="1:18" ht="12.75">
      <c r="A9753" s="12"/>
      <c r="D9753" s="12"/>
      <c r="E9753" s="12"/>
      <c r="H9753" s="11" t="str">
        <f ca="1">IFERROR(__xludf.DUMMYFUNCTION("IFERROR(SUBSTITUTE(SUBSTITUTE(REGEXEXTRACT(A9753, ""[^-]+- [^-]+- [^-]+ - (.+?)\.jpg""), "".jpg"", """"), ""-"", "", ""), """")"),"")</f>
        <v/>
      </c>
      <c r="L9753" s="12"/>
      <c r="M9753" s="13"/>
      <c r="N9753" s="2"/>
      <c r="O9753" s="20"/>
      <c r="P9753" s="42"/>
      <c r="R9753" s="23"/>
    </row>
    <row r="9754" spans="1:18" ht="12.75">
      <c r="A9754" s="12"/>
      <c r="D9754" s="12"/>
      <c r="E9754" s="12"/>
      <c r="H9754" s="11" t="str">
        <f ca="1">IFERROR(__xludf.DUMMYFUNCTION("IFERROR(SUBSTITUTE(SUBSTITUTE(REGEXEXTRACT(A9754, ""[^-]+- [^-]+- [^-]+ - (.+?)\.jpg""), "".jpg"", """"), ""-"", "", ""), """")"),"")</f>
        <v/>
      </c>
      <c r="L9754" s="12"/>
      <c r="M9754" s="13"/>
      <c r="N9754" s="2"/>
      <c r="O9754" s="20"/>
      <c r="P9754" s="42"/>
      <c r="R9754" s="23"/>
    </row>
    <row r="9755" spans="1:18" ht="12.75">
      <c r="A9755" s="12"/>
      <c r="D9755" s="12"/>
      <c r="E9755" s="12"/>
      <c r="H9755" s="11" t="str">
        <f ca="1">IFERROR(__xludf.DUMMYFUNCTION("IFERROR(SUBSTITUTE(SUBSTITUTE(REGEXEXTRACT(A9755, ""[^-]+- [^-]+- [^-]+ - (.+?)\.jpg""), "".jpg"", """"), ""-"", "", ""), """")"),"")</f>
        <v/>
      </c>
      <c r="L9755" s="12"/>
      <c r="M9755" s="13"/>
      <c r="N9755" s="2"/>
      <c r="O9755" s="20"/>
      <c r="P9755" s="42"/>
      <c r="R9755" s="23"/>
    </row>
    <row r="9756" spans="1:18" ht="12.75">
      <c r="A9756" s="12"/>
      <c r="D9756" s="12"/>
      <c r="E9756" s="12"/>
      <c r="H9756" s="11" t="str">
        <f ca="1">IFERROR(__xludf.DUMMYFUNCTION("IFERROR(SUBSTITUTE(SUBSTITUTE(REGEXEXTRACT(A9756, ""[^-]+- [^-]+- [^-]+ - (.+?)\.jpg""), "".jpg"", """"), ""-"", "", ""), """")"),"")</f>
        <v/>
      </c>
      <c r="L9756" s="12"/>
      <c r="M9756" s="13"/>
      <c r="N9756" s="2"/>
      <c r="O9756" s="20"/>
      <c r="P9756" s="42"/>
      <c r="R9756" s="23"/>
    </row>
    <row r="9757" spans="1:18" ht="12.75">
      <c r="A9757" s="12"/>
      <c r="D9757" s="12"/>
      <c r="E9757" s="12"/>
      <c r="H9757" s="11" t="str">
        <f ca="1">IFERROR(__xludf.DUMMYFUNCTION("IFERROR(SUBSTITUTE(SUBSTITUTE(REGEXEXTRACT(A9757, ""[^-]+- [^-]+- [^-]+ - (.+?)\.jpg""), "".jpg"", """"), ""-"", "", ""), """")"),"")</f>
        <v/>
      </c>
      <c r="L9757" s="12"/>
      <c r="M9757" s="13"/>
      <c r="N9757" s="2"/>
      <c r="O9757" s="20"/>
      <c r="P9757" s="42"/>
      <c r="R9757" s="23"/>
    </row>
    <row r="9758" spans="1:18" ht="12.75">
      <c r="A9758" s="12"/>
      <c r="D9758" s="12"/>
      <c r="E9758" s="12"/>
      <c r="H9758" s="11" t="str">
        <f ca="1">IFERROR(__xludf.DUMMYFUNCTION("IFERROR(SUBSTITUTE(SUBSTITUTE(REGEXEXTRACT(A9758, ""[^-]+- [^-]+- [^-]+ - (.+?)\.jpg""), "".jpg"", """"), ""-"", "", ""), """")"),"")</f>
        <v/>
      </c>
      <c r="L9758" s="12"/>
      <c r="M9758" s="13"/>
      <c r="N9758" s="2"/>
      <c r="O9758" s="20"/>
      <c r="P9758" s="42"/>
      <c r="R9758" s="23"/>
    </row>
    <row r="9759" spans="1:18" ht="12.75">
      <c r="A9759" s="12"/>
      <c r="D9759" s="12"/>
      <c r="E9759" s="12"/>
      <c r="H9759" s="11" t="str">
        <f ca="1">IFERROR(__xludf.DUMMYFUNCTION("IFERROR(SUBSTITUTE(SUBSTITUTE(REGEXEXTRACT(A9759, ""[^-]+- [^-]+- [^-]+ - (.+?)\.jpg""), "".jpg"", """"), ""-"", "", ""), """")"),"")</f>
        <v/>
      </c>
      <c r="L9759" s="12"/>
      <c r="M9759" s="13"/>
      <c r="N9759" s="2"/>
      <c r="O9759" s="20"/>
      <c r="P9759" s="42"/>
      <c r="R9759" s="23"/>
    </row>
    <row r="9760" spans="1:18" ht="12.75">
      <c r="A9760" s="12"/>
      <c r="D9760" s="12"/>
      <c r="E9760" s="12"/>
      <c r="H9760" s="11" t="str">
        <f ca="1">IFERROR(__xludf.DUMMYFUNCTION("IFERROR(SUBSTITUTE(SUBSTITUTE(REGEXEXTRACT(A9760, ""[^-]+- [^-]+- [^-]+ - (.+?)\.jpg""), "".jpg"", """"), ""-"", "", ""), """")"),"")</f>
        <v/>
      </c>
      <c r="L9760" s="12"/>
      <c r="M9760" s="13"/>
      <c r="N9760" s="2"/>
      <c r="O9760" s="20"/>
      <c r="P9760" s="42"/>
      <c r="R9760" s="23"/>
    </row>
    <row r="9761" spans="1:18" ht="12.75">
      <c r="A9761" s="12"/>
      <c r="D9761" s="12"/>
      <c r="E9761" s="12"/>
      <c r="H9761" s="11" t="str">
        <f ca="1">IFERROR(__xludf.DUMMYFUNCTION("IFERROR(SUBSTITUTE(SUBSTITUTE(REGEXEXTRACT(A9761, ""[^-]+- [^-]+- [^-]+ - (.+?)\.jpg""), "".jpg"", """"), ""-"", "", ""), """")"),"")</f>
        <v/>
      </c>
      <c r="L9761" s="12"/>
      <c r="M9761" s="13"/>
      <c r="N9761" s="2"/>
      <c r="O9761" s="20"/>
      <c r="P9761" s="42"/>
      <c r="R9761" s="23"/>
    </row>
    <row r="9762" spans="1:18" ht="12.75">
      <c r="A9762" s="12"/>
      <c r="D9762" s="12"/>
      <c r="E9762" s="12"/>
      <c r="H9762" s="11" t="str">
        <f ca="1">IFERROR(__xludf.DUMMYFUNCTION("IFERROR(SUBSTITUTE(SUBSTITUTE(REGEXEXTRACT(A9762, ""[^-]+- [^-]+- [^-]+ - (.+?)\.jpg""), "".jpg"", """"), ""-"", "", ""), """")"),"")</f>
        <v/>
      </c>
      <c r="L9762" s="12"/>
      <c r="M9762" s="13"/>
      <c r="N9762" s="2"/>
      <c r="O9762" s="20"/>
      <c r="P9762" s="42"/>
      <c r="R9762" s="23"/>
    </row>
    <row r="9763" spans="1:18" ht="12.75">
      <c r="A9763" s="12"/>
      <c r="D9763" s="12"/>
      <c r="E9763" s="12"/>
      <c r="H9763" s="11" t="str">
        <f ca="1">IFERROR(__xludf.DUMMYFUNCTION("IFERROR(SUBSTITUTE(SUBSTITUTE(REGEXEXTRACT(A9763, ""[^-]+- [^-]+- [^-]+ - (.+?)\.jpg""), "".jpg"", """"), ""-"", "", ""), """")"),"")</f>
        <v/>
      </c>
      <c r="L9763" s="12"/>
      <c r="M9763" s="13"/>
      <c r="N9763" s="2"/>
      <c r="O9763" s="20"/>
      <c r="P9763" s="42"/>
      <c r="R9763" s="23"/>
    </row>
    <row r="9764" spans="1:18" ht="12.75">
      <c r="A9764" s="12"/>
      <c r="D9764" s="12"/>
      <c r="E9764" s="12"/>
      <c r="H9764" s="11" t="str">
        <f ca="1">IFERROR(__xludf.DUMMYFUNCTION("IFERROR(SUBSTITUTE(SUBSTITUTE(REGEXEXTRACT(A9764, ""[^-]+- [^-]+- [^-]+ - (.+?)\.jpg""), "".jpg"", """"), ""-"", "", ""), """")"),"")</f>
        <v/>
      </c>
      <c r="L9764" s="12"/>
      <c r="M9764" s="13"/>
      <c r="N9764" s="2"/>
      <c r="O9764" s="20"/>
      <c r="P9764" s="42"/>
      <c r="R9764" s="23"/>
    </row>
    <row r="9765" spans="1:18" ht="12.75">
      <c r="A9765" s="12"/>
      <c r="D9765" s="12"/>
      <c r="E9765" s="12"/>
      <c r="H9765" s="11" t="str">
        <f ca="1">IFERROR(__xludf.DUMMYFUNCTION("IFERROR(SUBSTITUTE(SUBSTITUTE(REGEXEXTRACT(A9765, ""[^-]+- [^-]+- [^-]+ - (.+?)\.jpg""), "".jpg"", """"), ""-"", "", ""), """")"),"")</f>
        <v/>
      </c>
      <c r="L9765" s="12"/>
      <c r="M9765" s="13"/>
      <c r="N9765" s="2"/>
      <c r="O9765" s="20"/>
      <c r="P9765" s="42"/>
      <c r="R9765" s="23"/>
    </row>
    <row r="9766" spans="1:18" ht="12.75">
      <c r="A9766" s="12"/>
      <c r="D9766" s="12"/>
      <c r="E9766" s="12"/>
      <c r="H9766" s="11" t="str">
        <f ca="1">IFERROR(__xludf.DUMMYFUNCTION("IFERROR(SUBSTITUTE(SUBSTITUTE(REGEXEXTRACT(A9766, ""[^-]+- [^-]+- [^-]+ - (.+?)\.jpg""), "".jpg"", """"), ""-"", "", ""), """")"),"")</f>
        <v/>
      </c>
      <c r="L9766" s="12"/>
      <c r="M9766" s="13"/>
      <c r="N9766" s="2"/>
      <c r="O9766" s="20"/>
      <c r="P9766" s="42"/>
      <c r="R9766" s="23"/>
    </row>
    <row r="9767" spans="1:18" ht="12.75">
      <c r="A9767" s="12"/>
      <c r="D9767" s="12"/>
      <c r="E9767" s="12"/>
      <c r="H9767" s="11" t="str">
        <f ca="1">IFERROR(__xludf.DUMMYFUNCTION("IFERROR(SUBSTITUTE(SUBSTITUTE(REGEXEXTRACT(A9767, ""[^-]+- [^-]+- [^-]+ - (.+?)\.jpg""), "".jpg"", """"), ""-"", "", ""), """")"),"")</f>
        <v/>
      </c>
      <c r="L9767" s="12"/>
      <c r="M9767" s="13"/>
      <c r="N9767" s="2"/>
      <c r="O9767" s="20"/>
      <c r="P9767" s="42"/>
      <c r="R9767" s="23"/>
    </row>
    <row r="9768" spans="1:18" ht="12.75">
      <c r="A9768" s="12"/>
      <c r="D9768" s="12"/>
      <c r="E9768" s="12"/>
      <c r="H9768" s="11" t="str">
        <f ca="1">IFERROR(__xludf.DUMMYFUNCTION("IFERROR(SUBSTITUTE(SUBSTITUTE(REGEXEXTRACT(A9768, ""[^-]+- [^-]+- [^-]+ - (.+?)\.jpg""), "".jpg"", """"), ""-"", "", ""), """")"),"")</f>
        <v/>
      </c>
      <c r="L9768" s="12"/>
      <c r="M9768" s="13"/>
      <c r="N9768" s="2"/>
      <c r="O9768" s="20"/>
      <c r="P9768" s="42"/>
      <c r="R9768" s="23"/>
    </row>
    <row r="9769" spans="1:18" ht="12.75">
      <c r="A9769" s="12"/>
      <c r="D9769" s="12"/>
      <c r="E9769" s="12"/>
      <c r="H9769" s="11" t="str">
        <f ca="1">IFERROR(__xludf.DUMMYFUNCTION("IFERROR(SUBSTITUTE(SUBSTITUTE(REGEXEXTRACT(A9769, ""[^-]+- [^-]+- [^-]+ - (.+?)\.jpg""), "".jpg"", """"), ""-"", "", ""), """")"),"")</f>
        <v/>
      </c>
      <c r="L9769" s="12"/>
      <c r="M9769" s="13"/>
      <c r="N9769" s="2"/>
      <c r="O9769" s="20"/>
      <c r="P9769" s="42"/>
      <c r="R9769" s="23"/>
    </row>
    <row r="9770" spans="1:18" ht="12.75">
      <c r="A9770" s="12"/>
      <c r="D9770" s="12"/>
      <c r="E9770" s="12"/>
      <c r="H9770" s="11" t="str">
        <f ca="1">IFERROR(__xludf.DUMMYFUNCTION("IFERROR(SUBSTITUTE(SUBSTITUTE(REGEXEXTRACT(A9770, ""[^-]+- [^-]+- [^-]+ - (.+?)\.jpg""), "".jpg"", """"), ""-"", "", ""), """")"),"")</f>
        <v/>
      </c>
      <c r="L9770" s="12"/>
      <c r="M9770" s="13"/>
      <c r="N9770" s="2"/>
      <c r="O9770" s="20"/>
      <c r="P9770" s="42"/>
      <c r="R9770" s="23"/>
    </row>
    <row r="9771" spans="1:18" ht="12.75">
      <c r="A9771" s="12"/>
      <c r="D9771" s="12"/>
      <c r="E9771" s="12"/>
      <c r="H9771" s="11" t="str">
        <f ca="1">IFERROR(__xludf.DUMMYFUNCTION("IFERROR(SUBSTITUTE(SUBSTITUTE(REGEXEXTRACT(A9771, ""[^-]+- [^-]+- [^-]+ - (.+?)\.jpg""), "".jpg"", """"), ""-"", "", ""), """")"),"")</f>
        <v/>
      </c>
      <c r="L9771" s="12"/>
      <c r="M9771" s="13"/>
      <c r="N9771" s="2"/>
      <c r="O9771" s="20"/>
      <c r="P9771" s="42"/>
      <c r="R9771" s="23"/>
    </row>
    <row r="9772" spans="1:18" ht="12.75">
      <c r="A9772" s="12"/>
      <c r="D9772" s="12"/>
      <c r="E9772" s="12"/>
      <c r="H9772" s="11" t="str">
        <f ca="1">IFERROR(__xludf.DUMMYFUNCTION("IFERROR(SUBSTITUTE(SUBSTITUTE(REGEXEXTRACT(A9772, ""[^-]+- [^-]+- [^-]+ - (.+?)\.jpg""), "".jpg"", """"), ""-"", "", ""), """")"),"")</f>
        <v/>
      </c>
      <c r="L9772" s="12"/>
      <c r="M9772" s="13"/>
      <c r="N9772" s="2"/>
      <c r="O9772" s="20"/>
      <c r="P9772" s="42"/>
      <c r="R9772" s="23"/>
    </row>
    <row r="9773" spans="1:18" ht="12.75">
      <c r="A9773" s="12"/>
      <c r="D9773" s="12"/>
      <c r="E9773" s="12"/>
      <c r="H9773" s="11" t="str">
        <f ca="1">IFERROR(__xludf.DUMMYFUNCTION("IFERROR(SUBSTITUTE(SUBSTITUTE(REGEXEXTRACT(A9773, ""[^-]+- [^-]+- [^-]+ - (.+?)\.jpg""), "".jpg"", """"), ""-"", "", ""), """")"),"")</f>
        <v/>
      </c>
      <c r="L9773" s="12"/>
      <c r="M9773" s="13"/>
      <c r="N9773" s="2"/>
      <c r="O9773" s="20"/>
      <c r="P9773" s="42"/>
      <c r="R9773" s="23"/>
    </row>
    <row r="9774" spans="1:18" ht="12.75">
      <c r="A9774" s="12"/>
      <c r="D9774" s="12"/>
      <c r="E9774" s="12"/>
      <c r="H9774" s="11" t="str">
        <f ca="1">IFERROR(__xludf.DUMMYFUNCTION("IFERROR(SUBSTITUTE(SUBSTITUTE(REGEXEXTRACT(A9774, ""[^-]+- [^-]+- [^-]+ - (.+?)\.jpg""), "".jpg"", """"), ""-"", "", ""), """")"),"")</f>
        <v/>
      </c>
      <c r="L9774" s="12"/>
      <c r="M9774" s="13"/>
      <c r="N9774" s="2"/>
      <c r="O9774" s="20"/>
      <c r="P9774" s="42"/>
      <c r="R9774" s="23"/>
    </row>
    <row r="9775" spans="1:18" ht="12.75">
      <c r="A9775" s="12"/>
      <c r="D9775" s="12"/>
      <c r="E9775" s="12"/>
      <c r="H9775" s="11" t="str">
        <f ca="1">IFERROR(__xludf.DUMMYFUNCTION("IFERROR(SUBSTITUTE(SUBSTITUTE(REGEXEXTRACT(A9775, ""[^-]+- [^-]+- [^-]+ - (.+?)\.jpg""), "".jpg"", """"), ""-"", "", ""), """")"),"")</f>
        <v/>
      </c>
      <c r="L9775" s="12"/>
      <c r="M9775" s="13"/>
      <c r="N9775" s="2"/>
      <c r="O9775" s="20"/>
      <c r="P9775" s="42"/>
      <c r="R9775" s="23"/>
    </row>
    <row r="9776" spans="1:18" ht="12.75">
      <c r="A9776" s="12"/>
      <c r="D9776" s="12"/>
      <c r="E9776" s="12"/>
      <c r="H9776" s="11" t="str">
        <f ca="1">IFERROR(__xludf.DUMMYFUNCTION("IFERROR(SUBSTITUTE(SUBSTITUTE(REGEXEXTRACT(A9776, ""[^-]+- [^-]+- [^-]+ - (.+?)\.jpg""), "".jpg"", """"), ""-"", "", ""), """")"),"")</f>
        <v/>
      </c>
      <c r="L9776" s="12"/>
      <c r="M9776" s="13"/>
      <c r="N9776" s="2"/>
      <c r="O9776" s="20"/>
      <c r="P9776" s="42"/>
      <c r="R9776" s="23"/>
    </row>
    <row r="9777" spans="1:18" ht="12.75">
      <c r="A9777" s="12"/>
      <c r="D9777" s="12"/>
      <c r="E9777" s="12"/>
      <c r="H9777" s="11" t="str">
        <f ca="1">IFERROR(__xludf.DUMMYFUNCTION("IFERROR(SUBSTITUTE(SUBSTITUTE(REGEXEXTRACT(A9777, ""[^-]+- [^-]+- [^-]+ - (.+?)\.jpg""), "".jpg"", """"), ""-"", "", ""), """")"),"")</f>
        <v/>
      </c>
      <c r="L9777" s="12"/>
      <c r="M9777" s="13"/>
      <c r="N9777" s="2"/>
      <c r="O9777" s="20"/>
      <c r="P9777" s="42"/>
      <c r="R9777" s="23"/>
    </row>
    <row r="9778" spans="1:18" ht="12.75">
      <c r="A9778" s="12"/>
      <c r="D9778" s="12"/>
      <c r="E9778" s="12"/>
      <c r="H9778" s="11" t="str">
        <f ca="1">IFERROR(__xludf.DUMMYFUNCTION("IFERROR(SUBSTITUTE(SUBSTITUTE(REGEXEXTRACT(A9778, ""[^-]+- [^-]+- [^-]+ - (.+?)\.jpg""), "".jpg"", """"), ""-"", "", ""), """")"),"")</f>
        <v/>
      </c>
      <c r="L9778" s="12"/>
      <c r="M9778" s="13"/>
      <c r="N9778" s="2"/>
      <c r="O9778" s="20"/>
      <c r="P9778" s="42"/>
      <c r="R9778" s="23"/>
    </row>
    <row r="9779" spans="1:18" ht="12.75">
      <c r="A9779" s="12"/>
      <c r="D9779" s="12"/>
      <c r="E9779" s="12"/>
      <c r="H9779" s="11" t="str">
        <f ca="1">IFERROR(__xludf.DUMMYFUNCTION("IFERROR(SUBSTITUTE(SUBSTITUTE(REGEXEXTRACT(A9779, ""[^-]+- [^-]+- [^-]+ - (.+?)\.jpg""), "".jpg"", """"), ""-"", "", ""), """")"),"")</f>
        <v/>
      </c>
      <c r="L9779" s="12"/>
      <c r="M9779" s="13"/>
      <c r="N9779" s="2"/>
      <c r="O9779" s="20"/>
      <c r="P9779" s="42"/>
      <c r="R9779" s="23"/>
    </row>
    <row r="9780" spans="1:18" ht="12.75">
      <c r="A9780" s="12"/>
      <c r="D9780" s="12"/>
      <c r="E9780" s="12"/>
      <c r="H9780" s="11" t="str">
        <f ca="1">IFERROR(__xludf.DUMMYFUNCTION("IFERROR(SUBSTITUTE(SUBSTITUTE(REGEXEXTRACT(A9780, ""[^-]+- [^-]+- [^-]+ - (.+?)\.jpg""), "".jpg"", """"), ""-"", "", ""), """")"),"")</f>
        <v/>
      </c>
      <c r="L9780" s="12"/>
      <c r="M9780" s="13"/>
      <c r="N9780" s="2"/>
      <c r="O9780" s="20"/>
      <c r="P9780" s="42"/>
      <c r="R9780" s="23"/>
    </row>
    <row r="9781" spans="1:18" ht="12.75">
      <c r="A9781" s="12"/>
      <c r="D9781" s="12"/>
      <c r="E9781" s="12"/>
      <c r="H9781" s="11" t="str">
        <f ca="1">IFERROR(__xludf.DUMMYFUNCTION("IFERROR(SUBSTITUTE(SUBSTITUTE(REGEXEXTRACT(A9781, ""[^-]+- [^-]+- [^-]+ - (.+?)\.jpg""), "".jpg"", """"), ""-"", "", ""), """")"),"")</f>
        <v/>
      </c>
      <c r="L9781" s="12"/>
      <c r="M9781" s="13"/>
      <c r="N9781" s="2"/>
      <c r="O9781" s="20"/>
      <c r="P9781" s="42"/>
      <c r="R9781" s="23"/>
    </row>
    <row r="9782" spans="1:18" ht="12.75">
      <c r="A9782" s="12"/>
      <c r="D9782" s="12"/>
      <c r="E9782" s="12"/>
      <c r="H9782" s="11" t="str">
        <f ca="1">IFERROR(__xludf.DUMMYFUNCTION("IFERROR(SUBSTITUTE(SUBSTITUTE(REGEXEXTRACT(A9782, ""[^-]+- [^-]+- [^-]+ - (.+?)\.jpg""), "".jpg"", """"), ""-"", "", ""), """")"),"")</f>
        <v/>
      </c>
      <c r="L9782" s="12"/>
      <c r="M9782" s="13"/>
      <c r="N9782" s="2"/>
      <c r="O9782" s="20"/>
      <c r="P9782" s="42"/>
      <c r="R9782" s="23"/>
    </row>
    <row r="9783" spans="1:18" ht="12.75">
      <c r="A9783" s="12"/>
      <c r="D9783" s="12"/>
      <c r="E9783" s="12"/>
      <c r="H9783" s="11" t="str">
        <f ca="1">IFERROR(__xludf.DUMMYFUNCTION("IFERROR(SUBSTITUTE(SUBSTITUTE(REGEXEXTRACT(A9783, ""[^-]+- [^-]+- [^-]+ - (.+?)\.jpg""), "".jpg"", """"), ""-"", "", ""), """")"),"")</f>
        <v/>
      </c>
      <c r="L9783" s="12"/>
      <c r="M9783" s="13"/>
      <c r="N9783" s="2"/>
      <c r="O9783" s="20"/>
      <c r="P9783" s="42"/>
      <c r="R9783" s="23"/>
    </row>
    <row r="9784" spans="1:18" ht="12.75">
      <c r="A9784" s="12"/>
      <c r="D9784" s="12"/>
      <c r="E9784" s="12"/>
      <c r="H9784" s="11" t="str">
        <f ca="1">IFERROR(__xludf.DUMMYFUNCTION("IFERROR(SUBSTITUTE(SUBSTITUTE(REGEXEXTRACT(A9784, ""[^-]+- [^-]+- [^-]+ - (.+?)\.jpg""), "".jpg"", """"), ""-"", "", ""), """")"),"")</f>
        <v/>
      </c>
      <c r="L9784" s="12"/>
      <c r="M9784" s="13"/>
      <c r="N9784" s="2"/>
      <c r="O9784" s="20"/>
      <c r="P9784" s="42"/>
      <c r="R9784" s="23"/>
    </row>
    <row r="9785" spans="1:18" ht="12.75">
      <c r="A9785" s="12"/>
      <c r="D9785" s="12"/>
      <c r="E9785" s="12"/>
      <c r="H9785" s="11" t="str">
        <f ca="1">IFERROR(__xludf.DUMMYFUNCTION("IFERROR(SUBSTITUTE(SUBSTITUTE(REGEXEXTRACT(A9785, ""[^-]+- [^-]+- [^-]+ - (.+?)\.jpg""), "".jpg"", """"), ""-"", "", ""), """")"),"")</f>
        <v/>
      </c>
      <c r="L9785" s="12"/>
      <c r="M9785" s="13"/>
      <c r="N9785" s="2"/>
      <c r="O9785" s="20"/>
      <c r="P9785" s="42"/>
      <c r="R9785" s="23"/>
    </row>
    <row r="9786" spans="1:18" ht="12.75">
      <c r="A9786" s="12"/>
      <c r="D9786" s="12"/>
      <c r="E9786" s="12"/>
      <c r="H9786" s="11" t="str">
        <f ca="1">IFERROR(__xludf.DUMMYFUNCTION("IFERROR(SUBSTITUTE(SUBSTITUTE(REGEXEXTRACT(A9786, ""[^-]+- [^-]+- [^-]+ - (.+?)\.jpg""), "".jpg"", """"), ""-"", "", ""), """")"),"")</f>
        <v/>
      </c>
      <c r="L9786" s="12"/>
      <c r="M9786" s="13"/>
      <c r="N9786" s="2"/>
      <c r="O9786" s="20"/>
      <c r="P9786" s="42"/>
      <c r="R9786" s="23"/>
    </row>
    <row r="9787" spans="1:18" ht="12.75">
      <c r="A9787" s="12"/>
      <c r="D9787" s="12"/>
      <c r="E9787" s="12"/>
      <c r="H9787" s="11" t="str">
        <f ca="1">IFERROR(__xludf.DUMMYFUNCTION("IFERROR(SUBSTITUTE(SUBSTITUTE(REGEXEXTRACT(A9787, ""[^-]+- [^-]+- [^-]+ - (.+?)\.jpg""), "".jpg"", """"), ""-"", "", ""), """")"),"")</f>
        <v/>
      </c>
      <c r="L9787" s="12"/>
      <c r="M9787" s="13"/>
      <c r="N9787" s="2"/>
      <c r="O9787" s="20"/>
      <c r="P9787" s="42"/>
      <c r="R9787" s="23"/>
    </row>
    <row r="9788" spans="1:18" ht="12.75">
      <c r="A9788" s="12"/>
      <c r="D9788" s="12"/>
      <c r="E9788" s="12"/>
      <c r="H9788" s="11" t="str">
        <f ca="1">IFERROR(__xludf.DUMMYFUNCTION("IFERROR(SUBSTITUTE(SUBSTITUTE(REGEXEXTRACT(A9788, ""[^-]+- [^-]+- [^-]+ - (.+?)\.jpg""), "".jpg"", """"), ""-"", "", ""), """")"),"")</f>
        <v/>
      </c>
      <c r="L9788" s="12"/>
      <c r="M9788" s="13"/>
      <c r="N9788" s="2"/>
      <c r="O9788" s="20"/>
      <c r="P9788" s="42"/>
      <c r="R9788" s="23"/>
    </row>
    <row r="9789" spans="1:18" ht="12.75">
      <c r="A9789" s="12"/>
      <c r="D9789" s="12"/>
      <c r="E9789" s="12"/>
      <c r="H9789" s="11" t="str">
        <f ca="1">IFERROR(__xludf.DUMMYFUNCTION("IFERROR(SUBSTITUTE(SUBSTITUTE(REGEXEXTRACT(A9789, ""[^-]+- [^-]+- [^-]+ - (.+?)\.jpg""), "".jpg"", """"), ""-"", "", ""), """")"),"")</f>
        <v/>
      </c>
      <c r="L9789" s="12"/>
      <c r="M9789" s="13"/>
      <c r="N9789" s="2"/>
      <c r="O9789" s="20"/>
      <c r="P9789" s="42"/>
      <c r="R9789" s="23"/>
    </row>
    <row r="9790" spans="1:18" ht="12.75">
      <c r="A9790" s="12"/>
      <c r="D9790" s="12"/>
      <c r="E9790" s="12"/>
      <c r="H9790" s="11" t="str">
        <f ca="1">IFERROR(__xludf.DUMMYFUNCTION("IFERROR(SUBSTITUTE(SUBSTITUTE(REGEXEXTRACT(A9790, ""[^-]+- [^-]+- [^-]+ - (.+?)\.jpg""), "".jpg"", """"), ""-"", "", ""), """")"),"")</f>
        <v/>
      </c>
      <c r="L9790" s="12"/>
      <c r="M9790" s="13"/>
      <c r="N9790" s="2"/>
      <c r="O9790" s="20"/>
      <c r="P9790" s="42"/>
      <c r="R9790" s="23"/>
    </row>
    <row r="9791" spans="1:18" ht="12.75">
      <c r="A9791" s="12"/>
      <c r="D9791" s="12"/>
      <c r="E9791" s="12"/>
      <c r="H9791" s="11" t="str">
        <f ca="1">IFERROR(__xludf.DUMMYFUNCTION("IFERROR(SUBSTITUTE(SUBSTITUTE(REGEXEXTRACT(A9791, ""[^-]+- [^-]+- [^-]+ - (.+?)\.jpg""), "".jpg"", """"), ""-"", "", ""), """")"),"")</f>
        <v/>
      </c>
      <c r="L9791" s="12"/>
      <c r="M9791" s="13"/>
      <c r="N9791" s="2"/>
      <c r="O9791" s="20"/>
      <c r="P9791" s="42"/>
      <c r="R9791" s="23"/>
    </row>
    <row r="9792" spans="1:18" ht="12.75">
      <c r="A9792" s="12"/>
      <c r="D9792" s="12"/>
      <c r="E9792" s="12"/>
      <c r="H9792" s="11" t="str">
        <f ca="1">IFERROR(__xludf.DUMMYFUNCTION("IFERROR(SUBSTITUTE(SUBSTITUTE(REGEXEXTRACT(A9792, ""[^-]+- [^-]+- [^-]+ - (.+?)\.jpg""), "".jpg"", """"), ""-"", "", ""), """")"),"")</f>
        <v/>
      </c>
      <c r="L9792" s="12"/>
      <c r="M9792" s="13"/>
      <c r="N9792" s="2"/>
      <c r="O9792" s="20"/>
      <c r="P9792" s="42"/>
      <c r="R9792" s="23"/>
    </row>
    <row r="9793" spans="1:18" ht="12.75">
      <c r="A9793" s="12"/>
      <c r="D9793" s="12"/>
      <c r="E9793" s="12"/>
      <c r="H9793" s="11" t="str">
        <f ca="1">IFERROR(__xludf.DUMMYFUNCTION("IFERROR(SUBSTITUTE(SUBSTITUTE(REGEXEXTRACT(A9793, ""[^-]+- [^-]+- [^-]+ - (.+?)\.jpg""), "".jpg"", """"), ""-"", "", ""), """")"),"")</f>
        <v/>
      </c>
      <c r="L9793" s="12"/>
      <c r="M9793" s="13"/>
      <c r="N9793" s="2"/>
      <c r="O9793" s="20"/>
      <c r="P9793" s="42"/>
      <c r="R9793" s="23"/>
    </row>
    <row r="9794" spans="1:18" ht="12.75">
      <c r="A9794" s="12"/>
      <c r="D9794" s="12"/>
      <c r="E9794" s="12"/>
      <c r="H9794" s="11" t="str">
        <f ca="1">IFERROR(__xludf.DUMMYFUNCTION("IFERROR(SUBSTITUTE(SUBSTITUTE(REGEXEXTRACT(A9794, ""[^-]+- [^-]+- [^-]+ - (.+?)\.jpg""), "".jpg"", """"), ""-"", "", ""), """")"),"")</f>
        <v/>
      </c>
      <c r="L9794" s="12"/>
      <c r="M9794" s="13"/>
      <c r="N9794" s="2"/>
      <c r="O9794" s="20"/>
      <c r="P9794" s="42"/>
      <c r="R9794" s="23"/>
    </row>
    <row r="9795" spans="1:18" ht="12.75">
      <c r="A9795" s="12"/>
      <c r="D9795" s="12"/>
      <c r="E9795" s="12"/>
      <c r="H9795" s="11" t="str">
        <f ca="1">IFERROR(__xludf.DUMMYFUNCTION("IFERROR(SUBSTITUTE(SUBSTITUTE(REGEXEXTRACT(A9795, ""[^-]+- [^-]+- [^-]+ - (.+?)\.jpg""), "".jpg"", """"), ""-"", "", ""), """")"),"")</f>
        <v/>
      </c>
      <c r="L9795" s="12"/>
      <c r="M9795" s="13"/>
      <c r="N9795" s="2"/>
      <c r="O9795" s="20"/>
      <c r="P9795" s="42"/>
      <c r="R9795" s="23"/>
    </row>
    <row r="9796" spans="1:18" ht="12.75">
      <c r="A9796" s="12"/>
      <c r="D9796" s="12"/>
      <c r="E9796" s="12"/>
      <c r="H9796" s="11" t="str">
        <f ca="1">IFERROR(__xludf.DUMMYFUNCTION("IFERROR(SUBSTITUTE(SUBSTITUTE(REGEXEXTRACT(A9796, ""[^-]+- [^-]+- [^-]+ - (.+?)\.jpg""), "".jpg"", """"), ""-"", "", ""), """")"),"")</f>
        <v/>
      </c>
      <c r="L9796" s="12"/>
      <c r="M9796" s="13"/>
      <c r="N9796" s="2"/>
      <c r="O9796" s="20"/>
      <c r="P9796" s="42"/>
      <c r="R9796" s="23"/>
    </row>
    <row r="9797" spans="1:18" ht="12.75">
      <c r="A9797" s="12"/>
      <c r="D9797" s="12"/>
      <c r="E9797" s="12"/>
      <c r="H9797" s="11" t="str">
        <f ca="1">IFERROR(__xludf.DUMMYFUNCTION("IFERROR(SUBSTITUTE(SUBSTITUTE(REGEXEXTRACT(A9797, ""[^-]+- [^-]+- [^-]+ - (.+?)\.jpg""), "".jpg"", """"), ""-"", "", ""), """")"),"")</f>
        <v/>
      </c>
      <c r="L9797" s="12"/>
      <c r="M9797" s="13"/>
      <c r="N9797" s="2"/>
      <c r="O9797" s="20"/>
      <c r="P9797" s="42"/>
      <c r="R9797" s="23"/>
    </row>
    <row r="9798" spans="1:18" ht="12.75">
      <c r="A9798" s="12"/>
      <c r="D9798" s="12"/>
      <c r="E9798" s="12"/>
      <c r="H9798" s="11" t="str">
        <f ca="1">IFERROR(__xludf.DUMMYFUNCTION("IFERROR(SUBSTITUTE(SUBSTITUTE(REGEXEXTRACT(A9798, ""[^-]+- [^-]+- [^-]+ - (.+?)\.jpg""), "".jpg"", """"), ""-"", "", ""), """")"),"")</f>
        <v/>
      </c>
      <c r="L9798" s="12"/>
      <c r="M9798" s="13"/>
      <c r="N9798" s="2"/>
      <c r="O9798" s="20"/>
      <c r="P9798" s="42"/>
      <c r="R9798" s="23"/>
    </row>
    <row r="9799" spans="1:18" ht="12.75">
      <c r="A9799" s="12"/>
      <c r="D9799" s="12"/>
      <c r="E9799" s="12"/>
      <c r="H9799" s="11" t="str">
        <f ca="1">IFERROR(__xludf.DUMMYFUNCTION("IFERROR(SUBSTITUTE(SUBSTITUTE(REGEXEXTRACT(A9799, ""[^-]+- [^-]+- [^-]+ - (.+?)\.jpg""), "".jpg"", """"), ""-"", "", ""), """")"),"")</f>
        <v/>
      </c>
      <c r="L9799" s="12"/>
      <c r="M9799" s="13"/>
      <c r="N9799" s="2"/>
      <c r="O9799" s="20"/>
      <c r="P9799" s="42"/>
      <c r="R9799" s="23"/>
    </row>
    <row r="9800" spans="1:18" ht="12.75">
      <c r="A9800" s="12"/>
      <c r="D9800" s="12"/>
      <c r="E9800" s="12"/>
      <c r="H9800" s="11" t="str">
        <f ca="1">IFERROR(__xludf.DUMMYFUNCTION("IFERROR(SUBSTITUTE(SUBSTITUTE(REGEXEXTRACT(A9800, ""[^-]+- [^-]+- [^-]+ - (.+?)\.jpg""), "".jpg"", """"), ""-"", "", ""), """")"),"")</f>
        <v/>
      </c>
      <c r="L9800" s="12"/>
      <c r="M9800" s="13"/>
      <c r="N9800" s="2"/>
      <c r="O9800" s="20"/>
      <c r="P9800" s="42"/>
      <c r="R9800" s="23"/>
    </row>
    <row r="9801" spans="1:18" ht="12.75">
      <c r="A9801" s="12"/>
      <c r="D9801" s="12"/>
      <c r="E9801" s="12"/>
      <c r="H9801" s="11" t="str">
        <f ca="1">IFERROR(__xludf.DUMMYFUNCTION("IFERROR(SUBSTITUTE(SUBSTITUTE(REGEXEXTRACT(A9801, ""[^-]+- [^-]+- [^-]+ - (.+?)\.jpg""), "".jpg"", """"), ""-"", "", ""), """")"),"")</f>
        <v/>
      </c>
      <c r="L9801" s="12"/>
      <c r="M9801" s="13"/>
      <c r="N9801" s="2"/>
      <c r="O9801" s="20"/>
      <c r="P9801" s="42"/>
      <c r="R9801" s="23"/>
    </row>
    <row r="9802" spans="1:18" ht="12.75">
      <c r="A9802" s="12"/>
      <c r="D9802" s="12"/>
      <c r="E9802" s="12"/>
      <c r="H9802" s="11" t="str">
        <f ca="1">IFERROR(__xludf.DUMMYFUNCTION("IFERROR(SUBSTITUTE(SUBSTITUTE(REGEXEXTRACT(A9802, ""[^-]+- [^-]+- [^-]+ - (.+?)\.jpg""), "".jpg"", """"), ""-"", "", ""), """")"),"")</f>
        <v/>
      </c>
      <c r="L9802" s="12"/>
      <c r="M9802" s="13"/>
      <c r="N9802" s="2"/>
      <c r="O9802" s="20"/>
      <c r="P9802" s="42"/>
      <c r="R9802" s="23"/>
    </row>
    <row r="9803" spans="1:18" ht="12.75">
      <c r="A9803" s="12"/>
      <c r="D9803" s="12"/>
      <c r="E9803" s="12"/>
      <c r="H9803" s="11" t="str">
        <f ca="1">IFERROR(__xludf.DUMMYFUNCTION("IFERROR(SUBSTITUTE(SUBSTITUTE(REGEXEXTRACT(A9803, ""[^-]+- [^-]+- [^-]+ - (.+?)\.jpg""), "".jpg"", """"), ""-"", "", ""), """")"),"")</f>
        <v/>
      </c>
      <c r="L9803" s="12"/>
      <c r="M9803" s="13"/>
      <c r="N9803" s="2"/>
      <c r="O9803" s="20"/>
      <c r="P9803" s="42"/>
      <c r="R9803" s="23"/>
    </row>
    <row r="9804" spans="1:18" ht="12.75">
      <c r="A9804" s="12"/>
      <c r="D9804" s="12"/>
      <c r="E9804" s="12"/>
      <c r="H9804" s="11" t="str">
        <f ca="1">IFERROR(__xludf.DUMMYFUNCTION("IFERROR(SUBSTITUTE(SUBSTITUTE(REGEXEXTRACT(A9804, ""[^-]+- [^-]+- [^-]+ - (.+?)\.jpg""), "".jpg"", """"), ""-"", "", ""), """")"),"")</f>
        <v/>
      </c>
      <c r="L9804" s="12"/>
      <c r="M9804" s="13"/>
      <c r="N9804" s="2"/>
      <c r="O9804" s="20"/>
      <c r="P9804" s="42"/>
      <c r="R9804" s="23"/>
    </row>
    <row r="9805" spans="1:18" ht="12.75">
      <c r="A9805" s="12"/>
      <c r="D9805" s="12"/>
      <c r="E9805" s="12"/>
      <c r="H9805" s="11" t="str">
        <f ca="1">IFERROR(__xludf.DUMMYFUNCTION("IFERROR(SUBSTITUTE(SUBSTITUTE(REGEXEXTRACT(A9805, ""[^-]+- [^-]+- [^-]+ - (.+?)\.jpg""), "".jpg"", """"), ""-"", "", ""), """")"),"")</f>
        <v/>
      </c>
      <c r="L9805" s="12"/>
      <c r="M9805" s="13"/>
      <c r="N9805" s="2"/>
      <c r="O9805" s="20"/>
      <c r="P9805" s="42"/>
      <c r="R9805" s="23"/>
    </row>
    <row r="9806" spans="1:18" ht="12.75">
      <c r="A9806" s="12"/>
      <c r="D9806" s="12"/>
      <c r="E9806" s="12"/>
      <c r="H9806" s="11" t="str">
        <f ca="1">IFERROR(__xludf.DUMMYFUNCTION("IFERROR(SUBSTITUTE(SUBSTITUTE(REGEXEXTRACT(A9806, ""[^-]+- [^-]+- [^-]+ - (.+?)\.jpg""), "".jpg"", """"), ""-"", "", ""), """")"),"")</f>
        <v/>
      </c>
      <c r="L9806" s="12"/>
      <c r="M9806" s="13"/>
      <c r="N9806" s="2"/>
      <c r="O9806" s="20"/>
      <c r="P9806" s="42"/>
      <c r="R9806" s="23"/>
    </row>
    <row r="9807" spans="1:18" ht="12.75">
      <c r="A9807" s="12"/>
      <c r="D9807" s="12"/>
      <c r="E9807" s="12"/>
      <c r="H9807" s="11" t="str">
        <f ca="1">IFERROR(__xludf.DUMMYFUNCTION("IFERROR(SUBSTITUTE(SUBSTITUTE(REGEXEXTRACT(A9807, ""[^-]+- [^-]+- [^-]+ - (.+?)\.jpg""), "".jpg"", """"), ""-"", "", ""), """")"),"")</f>
        <v/>
      </c>
      <c r="L9807" s="12"/>
      <c r="M9807" s="13"/>
      <c r="N9807" s="2"/>
      <c r="O9807" s="20"/>
      <c r="P9807" s="42"/>
      <c r="R9807" s="23"/>
    </row>
    <row r="9808" spans="1:18" ht="12.75">
      <c r="A9808" s="12"/>
      <c r="D9808" s="12"/>
      <c r="E9808" s="12"/>
      <c r="H9808" s="11" t="str">
        <f ca="1">IFERROR(__xludf.DUMMYFUNCTION("IFERROR(SUBSTITUTE(SUBSTITUTE(REGEXEXTRACT(A9808, ""[^-]+- [^-]+- [^-]+ - (.+?)\.jpg""), "".jpg"", """"), ""-"", "", ""), """")"),"")</f>
        <v/>
      </c>
      <c r="L9808" s="12"/>
      <c r="M9808" s="13"/>
      <c r="N9808" s="2"/>
      <c r="O9808" s="20"/>
      <c r="P9808" s="42"/>
      <c r="R9808" s="23"/>
    </row>
    <row r="9809" spans="1:18" ht="12.75">
      <c r="A9809" s="12"/>
      <c r="D9809" s="12"/>
      <c r="E9809" s="12"/>
      <c r="H9809" s="11" t="str">
        <f ca="1">IFERROR(__xludf.DUMMYFUNCTION("IFERROR(SUBSTITUTE(SUBSTITUTE(REGEXEXTRACT(A9809, ""[^-]+- [^-]+- [^-]+ - (.+?)\.jpg""), "".jpg"", """"), ""-"", "", ""), """")"),"")</f>
        <v/>
      </c>
      <c r="L9809" s="12"/>
      <c r="M9809" s="13"/>
      <c r="N9809" s="2"/>
      <c r="O9809" s="20"/>
      <c r="P9809" s="42"/>
      <c r="R9809" s="23"/>
    </row>
    <row r="9810" spans="1:18" ht="12.75">
      <c r="A9810" s="12"/>
      <c r="D9810" s="12"/>
      <c r="E9810" s="12"/>
      <c r="H9810" s="11" t="str">
        <f ca="1">IFERROR(__xludf.DUMMYFUNCTION("IFERROR(SUBSTITUTE(SUBSTITUTE(REGEXEXTRACT(A9810, ""[^-]+- [^-]+- [^-]+ - (.+?)\.jpg""), "".jpg"", """"), ""-"", "", ""), """")"),"")</f>
        <v/>
      </c>
      <c r="L9810" s="12"/>
      <c r="M9810" s="13"/>
      <c r="N9810" s="2"/>
      <c r="O9810" s="20"/>
      <c r="P9810" s="42"/>
      <c r="R9810" s="23"/>
    </row>
    <row r="9811" spans="1:18" ht="12.75">
      <c r="A9811" s="12"/>
      <c r="D9811" s="12"/>
      <c r="E9811" s="12"/>
      <c r="H9811" s="11" t="str">
        <f ca="1">IFERROR(__xludf.DUMMYFUNCTION("IFERROR(SUBSTITUTE(SUBSTITUTE(REGEXEXTRACT(A9811, ""[^-]+- [^-]+- [^-]+ - (.+?)\.jpg""), "".jpg"", """"), ""-"", "", ""), """")"),"")</f>
        <v/>
      </c>
      <c r="L9811" s="12"/>
      <c r="M9811" s="13"/>
      <c r="N9811" s="2"/>
      <c r="O9811" s="20"/>
      <c r="P9811" s="42"/>
      <c r="R9811" s="23"/>
    </row>
    <row r="9812" spans="1:18" ht="12.75">
      <c r="A9812" s="12"/>
      <c r="D9812" s="12"/>
      <c r="E9812" s="12"/>
      <c r="H9812" s="11" t="str">
        <f ca="1">IFERROR(__xludf.DUMMYFUNCTION("IFERROR(SUBSTITUTE(SUBSTITUTE(REGEXEXTRACT(A9812, ""[^-]+- [^-]+- [^-]+ - (.+?)\.jpg""), "".jpg"", """"), ""-"", "", ""), """")"),"")</f>
        <v/>
      </c>
      <c r="L9812" s="12"/>
      <c r="M9812" s="13"/>
      <c r="N9812" s="2"/>
      <c r="O9812" s="20"/>
      <c r="P9812" s="42"/>
      <c r="R9812" s="23"/>
    </row>
    <row r="9813" spans="1:18" ht="12.75">
      <c r="A9813" s="12"/>
      <c r="D9813" s="12"/>
      <c r="E9813" s="12"/>
      <c r="H9813" s="11" t="str">
        <f ca="1">IFERROR(__xludf.DUMMYFUNCTION("IFERROR(SUBSTITUTE(SUBSTITUTE(REGEXEXTRACT(A9813, ""[^-]+- [^-]+- [^-]+ - (.+?)\.jpg""), "".jpg"", """"), ""-"", "", ""), """")"),"")</f>
        <v/>
      </c>
      <c r="L9813" s="12"/>
      <c r="M9813" s="13"/>
      <c r="N9813" s="2"/>
      <c r="O9813" s="20"/>
      <c r="P9813" s="42"/>
      <c r="R9813" s="23"/>
    </row>
    <row r="9814" spans="1:18" ht="12.75">
      <c r="A9814" s="12"/>
      <c r="D9814" s="12"/>
      <c r="E9814" s="12"/>
      <c r="H9814" s="11" t="str">
        <f ca="1">IFERROR(__xludf.DUMMYFUNCTION("IFERROR(SUBSTITUTE(SUBSTITUTE(REGEXEXTRACT(A9814, ""[^-]+- [^-]+- [^-]+ - (.+?)\.jpg""), "".jpg"", """"), ""-"", "", ""), """")"),"")</f>
        <v/>
      </c>
      <c r="L9814" s="12"/>
      <c r="M9814" s="13"/>
      <c r="N9814" s="2"/>
      <c r="O9814" s="20"/>
      <c r="P9814" s="42"/>
      <c r="R9814" s="23"/>
    </row>
    <row r="9815" spans="1:18" ht="12.75">
      <c r="A9815" s="12"/>
      <c r="D9815" s="12"/>
      <c r="E9815" s="12"/>
      <c r="H9815" s="11" t="str">
        <f ca="1">IFERROR(__xludf.DUMMYFUNCTION("IFERROR(SUBSTITUTE(SUBSTITUTE(REGEXEXTRACT(A9815, ""[^-]+- [^-]+- [^-]+ - (.+?)\.jpg""), "".jpg"", """"), ""-"", "", ""), """")"),"")</f>
        <v/>
      </c>
      <c r="L9815" s="12"/>
      <c r="M9815" s="13"/>
      <c r="N9815" s="2"/>
      <c r="O9815" s="20"/>
      <c r="P9815" s="42"/>
      <c r="R9815" s="23"/>
    </row>
    <row r="9816" spans="1:18" ht="12.75">
      <c r="A9816" s="12"/>
      <c r="D9816" s="12"/>
      <c r="E9816" s="12"/>
      <c r="H9816" s="11" t="str">
        <f ca="1">IFERROR(__xludf.DUMMYFUNCTION("IFERROR(SUBSTITUTE(SUBSTITUTE(REGEXEXTRACT(A9816, ""[^-]+- [^-]+- [^-]+ - (.+?)\.jpg""), "".jpg"", """"), ""-"", "", ""), """")"),"")</f>
        <v/>
      </c>
      <c r="L9816" s="12"/>
      <c r="M9816" s="13"/>
      <c r="N9816" s="2"/>
      <c r="O9816" s="20"/>
      <c r="P9816" s="42"/>
      <c r="R9816" s="23"/>
    </row>
    <row r="9817" spans="1:18" ht="12.75">
      <c r="A9817" s="12"/>
      <c r="D9817" s="12"/>
      <c r="E9817" s="12"/>
      <c r="H9817" s="11" t="str">
        <f ca="1">IFERROR(__xludf.DUMMYFUNCTION("IFERROR(SUBSTITUTE(SUBSTITUTE(REGEXEXTRACT(A9817, ""[^-]+- [^-]+- [^-]+ - (.+?)\.jpg""), "".jpg"", """"), ""-"", "", ""), """")"),"")</f>
        <v/>
      </c>
      <c r="L9817" s="12"/>
      <c r="M9817" s="13"/>
      <c r="N9817" s="2"/>
      <c r="O9817" s="20"/>
      <c r="P9817" s="42"/>
      <c r="R9817" s="23"/>
    </row>
    <row r="9818" spans="1:18" ht="12.75">
      <c r="A9818" s="12"/>
      <c r="D9818" s="12"/>
      <c r="E9818" s="12"/>
      <c r="H9818" s="11" t="str">
        <f ca="1">IFERROR(__xludf.DUMMYFUNCTION("IFERROR(SUBSTITUTE(SUBSTITUTE(REGEXEXTRACT(A9818, ""[^-]+- [^-]+- [^-]+ - (.+?)\.jpg""), "".jpg"", """"), ""-"", "", ""), """")"),"")</f>
        <v/>
      </c>
      <c r="L9818" s="12"/>
      <c r="M9818" s="13"/>
      <c r="N9818" s="2"/>
      <c r="O9818" s="20"/>
      <c r="P9818" s="42"/>
      <c r="R9818" s="23"/>
    </row>
    <row r="9819" spans="1:18" ht="12.75">
      <c r="A9819" s="12"/>
      <c r="D9819" s="12"/>
      <c r="E9819" s="12"/>
      <c r="H9819" s="11" t="str">
        <f ca="1">IFERROR(__xludf.DUMMYFUNCTION("IFERROR(SUBSTITUTE(SUBSTITUTE(REGEXEXTRACT(A9819, ""[^-]+- [^-]+- [^-]+ - (.+?)\.jpg""), "".jpg"", """"), ""-"", "", ""), """")"),"")</f>
        <v/>
      </c>
      <c r="L9819" s="12"/>
      <c r="M9819" s="13"/>
      <c r="N9819" s="2"/>
      <c r="O9819" s="20"/>
      <c r="P9819" s="42"/>
      <c r="R9819" s="23"/>
    </row>
    <row r="9820" spans="1:18" ht="12.75">
      <c r="A9820" s="12"/>
      <c r="D9820" s="12"/>
      <c r="E9820" s="12"/>
      <c r="H9820" s="11" t="str">
        <f ca="1">IFERROR(__xludf.DUMMYFUNCTION("IFERROR(SUBSTITUTE(SUBSTITUTE(REGEXEXTRACT(A9820, ""[^-]+- [^-]+- [^-]+ - (.+?)\.jpg""), "".jpg"", """"), ""-"", "", ""), """")"),"")</f>
        <v/>
      </c>
      <c r="L9820" s="12"/>
      <c r="M9820" s="13"/>
      <c r="N9820" s="2"/>
      <c r="O9820" s="20"/>
      <c r="P9820" s="42"/>
      <c r="R9820" s="23"/>
    </row>
    <row r="9821" spans="1:18" ht="12.75">
      <c r="A9821" s="12"/>
      <c r="D9821" s="12"/>
      <c r="E9821" s="12"/>
      <c r="H9821" s="11" t="str">
        <f ca="1">IFERROR(__xludf.DUMMYFUNCTION("IFERROR(SUBSTITUTE(SUBSTITUTE(REGEXEXTRACT(A9821, ""[^-]+- [^-]+- [^-]+ - (.+?)\.jpg""), "".jpg"", """"), ""-"", "", ""), """")"),"")</f>
        <v/>
      </c>
      <c r="L9821" s="12"/>
      <c r="M9821" s="13"/>
      <c r="N9821" s="2"/>
      <c r="O9821" s="20"/>
      <c r="P9821" s="42"/>
      <c r="R9821" s="23"/>
    </row>
    <row r="9822" spans="1:18" ht="12.75">
      <c r="A9822" s="12"/>
      <c r="D9822" s="12"/>
      <c r="E9822" s="12"/>
      <c r="H9822" s="11" t="str">
        <f ca="1">IFERROR(__xludf.DUMMYFUNCTION("IFERROR(SUBSTITUTE(SUBSTITUTE(REGEXEXTRACT(A9822, ""[^-]+- [^-]+- [^-]+ - (.+?)\.jpg""), "".jpg"", """"), ""-"", "", ""), """")"),"")</f>
        <v/>
      </c>
      <c r="L9822" s="12"/>
      <c r="M9822" s="13"/>
      <c r="N9822" s="2"/>
      <c r="O9822" s="20"/>
      <c r="P9822" s="42"/>
      <c r="R9822" s="23"/>
    </row>
    <row r="9823" spans="1:18" ht="12.75">
      <c r="A9823" s="12"/>
      <c r="D9823" s="12"/>
      <c r="E9823" s="12"/>
      <c r="H9823" s="11" t="str">
        <f ca="1">IFERROR(__xludf.DUMMYFUNCTION("IFERROR(SUBSTITUTE(SUBSTITUTE(REGEXEXTRACT(A9823, ""[^-]+- [^-]+- [^-]+ - (.+?)\.jpg""), "".jpg"", """"), ""-"", "", ""), """")"),"")</f>
        <v/>
      </c>
      <c r="L9823" s="12"/>
      <c r="M9823" s="13"/>
      <c r="N9823" s="2"/>
      <c r="O9823" s="20"/>
      <c r="P9823" s="42"/>
      <c r="R9823" s="23"/>
    </row>
    <row r="9824" spans="1:18" ht="12.75">
      <c r="A9824" s="12"/>
      <c r="D9824" s="12"/>
      <c r="E9824" s="12"/>
      <c r="H9824" s="11" t="str">
        <f ca="1">IFERROR(__xludf.DUMMYFUNCTION("IFERROR(SUBSTITUTE(SUBSTITUTE(REGEXEXTRACT(A9824, ""[^-]+- [^-]+- [^-]+ - (.+?)\.jpg""), "".jpg"", """"), ""-"", "", ""), """")"),"")</f>
        <v/>
      </c>
      <c r="L9824" s="12"/>
      <c r="M9824" s="13"/>
      <c r="N9824" s="2"/>
      <c r="O9824" s="20"/>
      <c r="P9824" s="42"/>
      <c r="R9824" s="23"/>
    </row>
    <row r="9825" spans="1:18" ht="12.75">
      <c r="A9825" s="12"/>
      <c r="D9825" s="12"/>
      <c r="E9825" s="12"/>
      <c r="H9825" s="11" t="str">
        <f ca="1">IFERROR(__xludf.DUMMYFUNCTION("IFERROR(SUBSTITUTE(SUBSTITUTE(REGEXEXTRACT(A9825, ""[^-]+- [^-]+- [^-]+ - (.+?)\.jpg""), "".jpg"", """"), ""-"", "", ""), """")"),"")</f>
        <v/>
      </c>
      <c r="L9825" s="12"/>
      <c r="M9825" s="13"/>
      <c r="N9825" s="2"/>
      <c r="O9825" s="20"/>
      <c r="P9825" s="42"/>
      <c r="R9825" s="23"/>
    </row>
    <row r="9826" spans="1:18" ht="12.75">
      <c r="A9826" s="12"/>
      <c r="D9826" s="12"/>
      <c r="E9826" s="12"/>
      <c r="H9826" s="11" t="str">
        <f ca="1">IFERROR(__xludf.DUMMYFUNCTION("IFERROR(SUBSTITUTE(SUBSTITUTE(REGEXEXTRACT(A9826, ""[^-]+- [^-]+- [^-]+ - (.+?)\.jpg""), "".jpg"", """"), ""-"", "", ""), """")"),"")</f>
        <v/>
      </c>
      <c r="L9826" s="12"/>
      <c r="M9826" s="13"/>
      <c r="N9826" s="2"/>
      <c r="O9826" s="20"/>
      <c r="P9826" s="42"/>
      <c r="R9826" s="23"/>
    </row>
    <row r="9827" spans="1:18" ht="12.75">
      <c r="A9827" s="12"/>
      <c r="D9827" s="12"/>
      <c r="E9827" s="12"/>
      <c r="H9827" s="11" t="str">
        <f ca="1">IFERROR(__xludf.DUMMYFUNCTION("IFERROR(SUBSTITUTE(SUBSTITUTE(REGEXEXTRACT(A9827, ""[^-]+- [^-]+- [^-]+ - (.+?)\.jpg""), "".jpg"", """"), ""-"", "", ""), """")"),"")</f>
        <v/>
      </c>
      <c r="L9827" s="12"/>
      <c r="M9827" s="13"/>
      <c r="N9827" s="2"/>
      <c r="O9827" s="20"/>
      <c r="P9827" s="42"/>
      <c r="R9827" s="23"/>
    </row>
    <row r="9828" spans="1:18" ht="12.75">
      <c r="A9828" s="12"/>
      <c r="D9828" s="12"/>
      <c r="E9828" s="12"/>
      <c r="H9828" s="11" t="str">
        <f ca="1">IFERROR(__xludf.DUMMYFUNCTION("IFERROR(SUBSTITUTE(SUBSTITUTE(REGEXEXTRACT(A9828, ""[^-]+- [^-]+- [^-]+ - (.+?)\.jpg""), "".jpg"", """"), ""-"", "", ""), """")"),"")</f>
        <v/>
      </c>
      <c r="L9828" s="12"/>
      <c r="M9828" s="13"/>
      <c r="N9828" s="2"/>
      <c r="O9828" s="20"/>
      <c r="P9828" s="42"/>
      <c r="R9828" s="23"/>
    </row>
    <row r="9829" spans="1:18" ht="12.75">
      <c r="A9829" s="12"/>
      <c r="D9829" s="12"/>
      <c r="E9829" s="12"/>
      <c r="H9829" s="11" t="str">
        <f ca="1">IFERROR(__xludf.DUMMYFUNCTION("IFERROR(SUBSTITUTE(SUBSTITUTE(REGEXEXTRACT(A9829, ""[^-]+- [^-]+- [^-]+ - (.+?)\.jpg""), "".jpg"", """"), ""-"", "", ""), """")"),"")</f>
        <v/>
      </c>
      <c r="L9829" s="12"/>
      <c r="M9829" s="13"/>
      <c r="N9829" s="2"/>
      <c r="O9829" s="20"/>
      <c r="P9829" s="42"/>
      <c r="R9829" s="23"/>
    </row>
    <row r="9830" spans="1:18" ht="12.75">
      <c r="A9830" s="12"/>
      <c r="D9830" s="12"/>
      <c r="E9830" s="12"/>
      <c r="H9830" s="11" t="str">
        <f ca="1">IFERROR(__xludf.DUMMYFUNCTION("IFERROR(SUBSTITUTE(SUBSTITUTE(REGEXEXTRACT(A9830, ""[^-]+- [^-]+- [^-]+ - (.+?)\.jpg""), "".jpg"", """"), ""-"", "", ""), """")"),"")</f>
        <v/>
      </c>
      <c r="L9830" s="12"/>
      <c r="M9830" s="13"/>
      <c r="N9830" s="2"/>
      <c r="O9830" s="20"/>
      <c r="P9830" s="42"/>
      <c r="R9830" s="23"/>
    </row>
    <row r="9831" spans="1:18" ht="12.75">
      <c r="A9831" s="12"/>
      <c r="D9831" s="12"/>
      <c r="E9831" s="12"/>
      <c r="H9831" s="11" t="str">
        <f ca="1">IFERROR(__xludf.DUMMYFUNCTION("IFERROR(SUBSTITUTE(SUBSTITUTE(REGEXEXTRACT(A9831, ""[^-]+- [^-]+- [^-]+ - (.+?)\.jpg""), "".jpg"", """"), ""-"", "", ""), """")"),"")</f>
        <v/>
      </c>
      <c r="L9831" s="12"/>
      <c r="M9831" s="13"/>
      <c r="N9831" s="2"/>
      <c r="O9831" s="20"/>
      <c r="P9831" s="42"/>
      <c r="R9831" s="23"/>
    </row>
    <row r="9832" spans="1:18" ht="12.75">
      <c r="A9832" s="12"/>
      <c r="D9832" s="12"/>
      <c r="E9832" s="12"/>
      <c r="H9832" s="11" t="str">
        <f ca="1">IFERROR(__xludf.DUMMYFUNCTION("IFERROR(SUBSTITUTE(SUBSTITUTE(REGEXEXTRACT(A9832, ""[^-]+- [^-]+- [^-]+ - (.+?)\.jpg""), "".jpg"", """"), ""-"", "", ""), """")"),"")</f>
        <v/>
      </c>
      <c r="L9832" s="12"/>
      <c r="M9832" s="13"/>
      <c r="N9832" s="2"/>
      <c r="O9832" s="20"/>
      <c r="P9832" s="42"/>
      <c r="R9832" s="23"/>
    </row>
    <row r="9833" spans="1:18" ht="12.75">
      <c r="A9833" s="12"/>
      <c r="D9833" s="12"/>
      <c r="E9833" s="12"/>
      <c r="H9833" s="11" t="str">
        <f ca="1">IFERROR(__xludf.DUMMYFUNCTION("IFERROR(SUBSTITUTE(SUBSTITUTE(REGEXEXTRACT(A9833, ""[^-]+- [^-]+- [^-]+ - (.+?)\.jpg""), "".jpg"", """"), ""-"", "", ""), """")"),"")</f>
        <v/>
      </c>
      <c r="L9833" s="12"/>
      <c r="M9833" s="13"/>
      <c r="N9833" s="2"/>
      <c r="O9833" s="20"/>
      <c r="P9833" s="42"/>
      <c r="R9833" s="23"/>
    </row>
    <row r="9834" spans="1:18" ht="12.75">
      <c r="A9834" s="12"/>
      <c r="D9834" s="12"/>
      <c r="E9834" s="12"/>
      <c r="H9834" s="11" t="str">
        <f ca="1">IFERROR(__xludf.DUMMYFUNCTION("IFERROR(SUBSTITUTE(SUBSTITUTE(REGEXEXTRACT(A9834, ""[^-]+- [^-]+- [^-]+ - (.+?)\.jpg""), "".jpg"", """"), ""-"", "", ""), """")"),"")</f>
        <v/>
      </c>
      <c r="L9834" s="12"/>
      <c r="M9834" s="13"/>
      <c r="N9834" s="2"/>
      <c r="O9834" s="20"/>
      <c r="P9834" s="42"/>
      <c r="R9834" s="23"/>
    </row>
    <row r="9835" spans="1:18" ht="12.75">
      <c r="A9835" s="12"/>
      <c r="D9835" s="12"/>
      <c r="E9835" s="12"/>
      <c r="H9835" s="11" t="str">
        <f ca="1">IFERROR(__xludf.DUMMYFUNCTION("IFERROR(SUBSTITUTE(SUBSTITUTE(REGEXEXTRACT(A9835, ""[^-]+- [^-]+- [^-]+ - (.+?)\.jpg""), "".jpg"", """"), ""-"", "", ""), """")"),"")</f>
        <v/>
      </c>
      <c r="L9835" s="12"/>
      <c r="M9835" s="13"/>
      <c r="N9835" s="2"/>
      <c r="O9835" s="20"/>
      <c r="P9835" s="42"/>
      <c r="R9835" s="23"/>
    </row>
    <row r="9836" spans="1:18" ht="12.75">
      <c r="A9836" s="12"/>
      <c r="D9836" s="12"/>
      <c r="E9836" s="12"/>
      <c r="H9836" s="11" t="str">
        <f ca="1">IFERROR(__xludf.DUMMYFUNCTION("IFERROR(SUBSTITUTE(SUBSTITUTE(REGEXEXTRACT(A9836, ""[^-]+- [^-]+- [^-]+ - (.+?)\.jpg""), "".jpg"", """"), ""-"", "", ""), """")"),"")</f>
        <v/>
      </c>
      <c r="L9836" s="12"/>
      <c r="M9836" s="13"/>
      <c r="N9836" s="2"/>
      <c r="O9836" s="20"/>
      <c r="P9836" s="42"/>
      <c r="R9836" s="23"/>
    </row>
    <row r="9837" spans="1:18" ht="12.75">
      <c r="A9837" s="12"/>
      <c r="D9837" s="12"/>
      <c r="E9837" s="12"/>
      <c r="H9837" s="11" t="str">
        <f ca="1">IFERROR(__xludf.DUMMYFUNCTION("IFERROR(SUBSTITUTE(SUBSTITUTE(REGEXEXTRACT(A9837, ""[^-]+- [^-]+- [^-]+ - (.+?)\.jpg""), "".jpg"", """"), ""-"", "", ""), """")"),"")</f>
        <v/>
      </c>
      <c r="L9837" s="12"/>
      <c r="M9837" s="13"/>
      <c r="N9837" s="2"/>
      <c r="O9837" s="20"/>
      <c r="P9837" s="42"/>
      <c r="R9837" s="23"/>
    </row>
    <row r="9838" spans="1:18" ht="12.75">
      <c r="A9838" s="12"/>
      <c r="D9838" s="12"/>
      <c r="E9838" s="12"/>
      <c r="H9838" s="11" t="str">
        <f ca="1">IFERROR(__xludf.DUMMYFUNCTION("IFERROR(SUBSTITUTE(SUBSTITUTE(REGEXEXTRACT(A9838, ""[^-]+- [^-]+- [^-]+ - (.+?)\.jpg""), "".jpg"", """"), ""-"", "", ""), """")"),"")</f>
        <v/>
      </c>
      <c r="L9838" s="12"/>
      <c r="M9838" s="13"/>
      <c r="N9838" s="2"/>
      <c r="O9838" s="20"/>
      <c r="P9838" s="42"/>
      <c r="R9838" s="23"/>
    </row>
    <row r="9839" spans="1:18" ht="12.75">
      <c r="A9839" s="12"/>
      <c r="D9839" s="12"/>
      <c r="E9839" s="12"/>
      <c r="H9839" s="11" t="str">
        <f ca="1">IFERROR(__xludf.DUMMYFUNCTION("IFERROR(SUBSTITUTE(SUBSTITUTE(REGEXEXTRACT(A9839, ""[^-]+- [^-]+- [^-]+ - (.+?)\.jpg""), "".jpg"", """"), ""-"", "", ""), """")"),"")</f>
        <v/>
      </c>
      <c r="L9839" s="12"/>
      <c r="M9839" s="13"/>
      <c r="N9839" s="2"/>
      <c r="O9839" s="20"/>
      <c r="P9839" s="42"/>
      <c r="R9839" s="23"/>
    </row>
    <row r="9840" spans="1:18" ht="12.75">
      <c r="A9840" s="12"/>
      <c r="D9840" s="12"/>
      <c r="E9840" s="12"/>
      <c r="H9840" s="11" t="str">
        <f ca="1">IFERROR(__xludf.DUMMYFUNCTION("IFERROR(SUBSTITUTE(SUBSTITUTE(REGEXEXTRACT(A9840, ""[^-]+- [^-]+- [^-]+ - (.+?)\.jpg""), "".jpg"", """"), ""-"", "", ""), """")"),"")</f>
        <v/>
      </c>
      <c r="L9840" s="12"/>
      <c r="M9840" s="13"/>
      <c r="N9840" s="2"/>
      <c r="O9840" s="20"/>
      <c r="P9840" s="42"/>
      <c r="R9840" s="23"/>
    </row>
    <row r="9841" spans="1:18" ht="12.75">
      <c r="A9841" s="12"/>
      <c r="D9841" s="12"/>
      <c r="E9841" s="12"/>
      <c r="H9841" s="11" t="str">
        <f ca="1">IFERROR(__xludf.DUMMYFUNCTION("IFERROR(SUBSTITUTE(SUBSTITUTE(REGEXEXTRACT(A9841, ""[^-]+- [^-]+- [^-]+ - (.+?)\.jpg""), "".jpg"", """"), ""-"", "", ""), """")"),"")</f>
        <v/>
      </c>
      <c r="L9841" s="12"/>
      <c r="M9841" s="13"/>
      <c r="N9841" s="2"/>
      <c r="O9841" s="20"/>
      <c r="P9841" s="42"/>
      <c r="R9841" s="23"/>
    </row>
    <row r="9842" spans="1:18" ht="12.75">
      <c r="A9842" s="12"/>
      <c r="D9842" s="12"/>
      <c r="E9842" s="12"/>
      <c r="H9842" s="11" t="str">
        <f ca="1">IFERROR(__xludf.DUMMYFUNCTION("IFERROR(SUBSTITUTE(SUBSTITUTE(REGEXEXTRACT(A9842, ""[^-]+- [^-]+- [^-]+ - (.+?)\.jpg""), "".jpg"", """"), ""-"", "", ""), """")"),"")</f>
        <v/>
      </c>
      <c r="L9842" s="12"/>
      <c r="M9842" s="13"/>
      <c r="N9842" s="2"/>
      <c r="O9842" s="20"/>
      <c r="P9842" s="42"/>
      <c r="R9842" s="23"/>
    </row>
    <row r="9843" spans="1:18" ht="12.75">
      <c r="A9843" s="12"/>
      <c r="D9843" s="12"/>
      <c r="E9843" s="12"/>
      <c r="H9843" s="11" t="str">
        <f ca="1">IFERROR(__xludf.DUMMYFUNCTION("IFERROR(SUBSTITUTE(SUBSTITUTE(REGEXEXTRACT(A9843, ""[^-]+- [^-]+- [^-]+ - (.+?)\.jpg""), "".jpg"", """"), ""-"", "", ""), """")"),"")</f>
        <v/>
      </c>
      <c r="L9843" s="12"/>
      <c r="M9843" s="13"/>
      <c r="N9843" s="2"/>
      <c r="O9843" s="20"/>
      <c r="P9843" s="42"/>
      <c r="R9843" s="23"/>
    </row>
    <row r="9844" spans="1:18" ht="12.75">
      <c r="A9844" s="12"/>
      <c r="D9844" s="12"/>
      <c r="E9844" s="12"/>
      <c r="H9844" s="11" t="str">
        <f ca="1">IFERROR(__xludf.DUMMYFUNCTION("IFERROR(SUBSTITUTE(SUBSTITUTE(REGEXEXTRACT(A9844, ""[^-]+- [^-]+- [^-]+ - (.+?)\.jpg""), "".jpg"", """"), ""-"", "", ""), """")"),"")</f>
        <v/>
      </c>
      <c r="L9844" s="12"/>
      <c r="M9844" s="13"/>
      <c r="N9844" s="2"/>
      <c r="O9844" s="20"/>
      <c r="P9844" s="42"/>
      <c r="R9844" s="23"/>
    </row>
    <row r="9845" spans="1:18" ht="12.75">
      <c r="A9845" s="12"/>
      <c r="D9845" s="12"/>
      <c r="E9845" s="12"/>
      <c r="H9845" s="11" t="str">
        <f ca="1">IFERROR(__xludf.DUMMYFUNCTION("IFERROR(SUBSTITUTE(SUBSTITUTE(REGEXEXTRACT(A9845, ""[^-]+- [^-]+- [^-]+ - (.+?)\.jpg""), "".jpg"", """"), ""-"", "", ""), """")"),"")</f>
        <v/>
      </c>
      <c r="L9845" s="12"/>
      <c r="M9845" s="13"/>
      <c r="N9845" s="2"/>
      <c r="O9845" s="20"/>
      <c r="P9845" s="42"/>
      <c r="R9845" s="23"/>
    </row>
    <row r="9846" spans="1:18" ht="12.75">
      <c r="A9846" s="12"/>
      <c r="D9846" s="12"/>
      <c r="E9846" s="12"/>
      <c r="H9846" s="11" t="str">
        <f ca="1">IFERROR(__xludf.DUMMYFUNCTION("IFERROR(SUBSTITUTE(SUBSTITUTE(REGEXEXTRACT(A9846, ""[^-]+- [^-]+- [^-]+ - (.+?)\.jpg""), "".jpg"", """"), ""-"", "", ""), """")"),"")</f>
        <v/>
      </c>
      <c r="L9846" s="12"/>
      <c r="M9846" s="13"/>
      <c r="N9846" s="2"/>
      <c r="O9846" s="20"/>
      <c r="P9846" s="42"/>
      <c r="R9846" s="23"/>
    </row>
    <row r="9847" spans="1:18" ht="12.75">
      <c r="A9847" s="12"/>
      <c r="D9847" s="12"/>
      <c r="E9847" s="12"/>
      <c r="H9847" s="11" t="str">
        <f ca="1">IFERROR(__xludf.DUMMYFUNCTION("IFERROR(SUBSTITUTE(SUBSTITUTE(REGEXEXTRACT(A9847, ""[^-]+- [^-]+- [^-]+ - (.+?)\.jpg""), "".jpg"", """"), ""-"", "", ""), """")"),"")</f>
        <v/>
      </c>
      <c r="L9847" s="12"/>
      <c r="M9847" s="13"/>
      <c r="N9847" s="2"/>
      <c r="O9847" s="20"/>
      <c r="P9847" s="42"/>
      <c r="R9847" s="23"/>
    </row>
    <row r="9848" spans="1:18" ht="12.75">
      <c r="A9848" s="12"/>
      <c r="D9848" s="12"/>
      <c r="E9848" s="12"/>
      <c r="H9848" s="11" t="str">
        <f ca="1">IFERROR(__xludf.DUMMYFUNCTION("IFERROR(SUBSTITUTE(SUBSTITUTE(REGEXEXTRACT(A9848, ""[^-]+- [^-]+- [^-]+ - (.+?)\.jpg""), "".jpg"", """"), ""-"", "", ""), """")"),"")</f>
        <v/>
      </c>
      <c r="L9848" s="12"/>
      <c r="M9848" s="13"/>
      <c r="N9848" s="2"/>
      <c r="O9848" s="20"/>
      <c r="P9848" s="42"/>
      <c r="R9848" s="23"/>
    </row>
    <row r="9849" spans="1:18" ht="12.75">
      <c r="A9849" s="12"/>
      <c r="D9849" s="12"/>
      <c r="E9849" s="12"/>
      <c r="H9849" s="11" t="str">
        <f ca="1">IFERROR(__xludf.DUMMYFUNCTION("IFERROR(SUBSTITUTE(SUBSTITUTE(REGEXEXTRACT(A9849, ""[^-]+- [^-]+- [^-]+ - (.+?)\.jpg""), "".jpg"", """"), ""-"", "", ""), """")"),"")</f>
        <v/>
      </c>
      <c r="L9849" s="12"/>
      <c r="M9849" s="13"/>
      <c r="N9849" s="2"/>
      <c r="O9849" s="20"/>
      <c r="P9849" s="42"/>
      <c r="R9849" s="23"/>
    </row>
    <row r="9850" spans="1:18" ht="12.75">
      <c r="A9850" s="12"/>
      <c r="D9850" s="12"/>
      <c r="E9850" s="12"/>
      <c r="H9850" s="11" t="str">
        <f ca="1">IFERROR(__xludf.DUMMYFUNCTION("IFERROR(SUBSTITUTE(SUBSTITUTE(REGEXEXTRACT(A9850, ""[^-]+- [^-]+- [^-]+ - (.+?)\.jpg""), "".jpg"", """"), ""-"", "", ""), """")"),"")</f>
        <v/>
      </c>
      <c r="L9850" s="12"/>
      <c r="M9850" s="13"/>
      <c r="N9850" s="2"/>
      <c r="O9850" s="20"/>
      <c r="P9850" s="42"/>
      <c r="R9850" s="23"/>
    </row>
    <row r="9851" spans="1:18" ht="12.75">
      <c r="A9851" s="12"/>
      <c r="D9851" s="12"/>
      <c r="E9851" s="12"/>
      <c r="H9851" s="11" t="str">
        <f ca="1">IFERROR(__xludf.DUMMYFUNCTION("IFERROR(SUBSTITUTE(SUBSTITUTE(REGEXEXTRACT(A9851, ""[^-]+- [^-]+- [^-]+ - (.+?)\.jpg""), "".jpg"", """"), ""-"", "", ""), """")"),"")</f>
        <v/>
      </c>
      <c r="L9851" s="12"/>
      <c r="M9851" s="13"/>
      <c r="N9851" s="2"/>
      <c r="O9851" s="20"/>
      <c r="P9851" s="42"/>
      <c r="R9851" s="23"/>
    </row>
    <row r="9852" spans="1:18" ht="12.75">
      <c r="A9852" s="12"/>
      <c r="D9852" s="12"/>
      <c r="E9852" s="12"/>
      <c r="H9852" s="11" t="str">
        <f ca="1">IFERROR(__xludf.DUMMYFUNCTION("IFERROR(SUBSTITUTE(SUBSTITUTE(REGEXEXTRACT(A9852, ""[^-]+- [^-]+- [^-]+ - (.+?)\.jpg""), "".jpg"", """"), ""-"", "", ""), """")"),"")</f>
        <v/>
      </c>
      <c r="L9852" s="12"/>
      <c r="M9852" s="13"/>
      <c r="N9852" s="2"/>
      <c r="O9852" s="20"/>
      <c r="P9852" s="42"/>
      <c r="R9852" s="23"/>
    </row>
    <row r="9853" spans="1:18" ht="12.75">
      <c r="A9853" s="12"/>
      <c r="D9853" s="12"/>
      <c r="E9853" s="12"/>
      <c r="H9853" s="11" t="str">
        <f ca="1">IFERROR(__xludf.DUMMYFUNCTION("IFERROR(SUBSTITUTE(SUBSTITUTE(REGEXEXTRACT(A9853, ""[^-]+- [^-]+- [^-]+ - (.+?)\.jpg""), "".jpg"", """"), ""-"", "", ""), """")"),"")</f>
        <v/>
      </c>
      <c r="L9853" s="12"/>
      <c r="M9853" s="13"/>
      <c r="N9853" s="2"/>
      <c r="O9853" s="20"/>
      <c r="P9853" s="42"/>
      <c r="R9853" s="23"/>
    </row>
    <row r="9854" spans="1:18" ht="12.75">
      <c r="A9854" s="12"/>
      <c r="D9854" s="12"/>
      <c r="E9854" s="12"/>
      <c r="H9854" s="11" t="str">
        <f ca="1">IFERROR(__xludf.DUMMYFUNCTION("IFERROR(SUBSTITUTE(SUBSTITUTE(REGEXEXTRACT(A9854, ""[^-]+- [^-]+- [^-]+ - (.+?)\.jpg""), "".jpg"", """"), ""-"", "", ""), """")"),"")</f>
        <v/>
      </c>
      <c r="L9854" s="12"/>
      <c r="M9854" s="13"/>
      <c r="N9854" s="2"/>
      <c r="O9854" s="20"/>
      <c r="P9854" s="42"/>
      <c r="R9854" s="23"/>
    </row>
    <row r="9855" spans="1:18" ht="12.75">
      <c r="A9855" s="12"/>
      <c r="D9855" s="12"/>
      <c r="E9855" s="12"/>
      <c r="H9855" s="11" t="str">
        <f ca="1">IFERROR(__xludf.DUMMYFUNCTION("IFERROR(SUBSTITUTE(SUBSTITUTE(REGEXEXTRACT(A9855, ""[^-]+- [^-]+- [^-]+ - (.+?)\.jpg""), "".jpg"", """"), ""-"", "", ""), """")"),"")</f>
        <v/>
      </c>
      <c r="L9855" s="12"/>
      <c r="M9855" s="13"/>
      <c r="N9855" s="2"/>
      <c r="O9855" s="20"/>
      <c r="P9855" s="42"/>
      <c r="R9855" s="23"/>
    </row>
    <row r="9856" spans="1:18" ht="12.75">
      <c r="A9856" s="12"/>
      <c r="D9856" s="12"/>
      <c r="E9856" s="12"/>
      <c r="H9856" s="11" t="str">
        <f ca="1">IFERROR(__xludf.DUMMYFUNCTION("IFERROR(SUBSTITUTE(SUBSTITUTE(REGEXEXTRACT(A9856, ""[^-]+- [^-]+- [^-]+ - (.+?)\.jpg""), "".jpg"", """"), ""-"", "", ""), """")"),"")</f>
        <v/>
      </c>
      <c r="L9856" s="12"/>
      <c r="M9856" s="13"/>
      <c r="N9856" s="2"/>
      <c r="O9856" s="20"/>
      <c r="P9856" s="42"/>
      <c r="R9856" s="23"/>
    </row>
    <row r="9857" spans="1:18" ht="12.75">
      <c r="A9857" s="12"/>
      <c r="D9857" s="12"/>
      <c r="E9857" s="12"/>
      <c r="H9857" s="11" t="str">
        <f ca="1">IFERROR(__xludf.DUMMYFUNCTION("IFERROR(SUBSTITUTE(SUBSTITUTE(REGEXEXTRACT(A9857, ""[^-]+- [^-]+- [^-]+ - (.+?)\.jpg""), "".jpg"", """"), ""-"", "", ""), """")"),"")</f>
        <v/>
      </c>
      <c r="L9857" s="12"/>
      <c r="M9857" s="13"/>
      <c r="N9857" s="2"/>
      <c r="O9857" s="20"/>
      <c r="P9857" s="42"/>
      <c r="R9857" s="23"/>
    </row>
    <row r="9858" spans="1:18" ht="12.75">
      <c r="A9858" s="12"/>
      <c r="D9858" s="12"/>
      <c r="E9858" s="12"/>
      <c r="H9858" s="11" t="str">
        <f ca="1">IFERROR(__xludf.DUMMYFUNCTION("IFERROR(SUBSTITUTE(SUBSTITUTE(REGEXEXTRACT(A9858, ""[^-]+- [^-]+- [^-]+ - (.+?)\.jpg""), "".jpg"", """"), ""-"", "", ""), """")"),"")</f>
        <v/>
      </c>
      <c r="L9858" s="12"/>
      <c r="M9858" s="13"/>
      <c r="N9858" s="2"/>
      <c r="O9858" s="20"/>
      <c r="P9858" s="42"/>
      <c r="R9858" s="23"/>
    </row>
    <row r="9859" spans="1:18" ht="12.75">
      <c r="A9859" s="12"/>
      <c r="D9859" s="12"/>
      <c r="E9859" s="12"/>
      <c r="H9859" s="11" t="str">
        <f ca="1">IFERROR(__xludf.DUMMYFUNCTION("IFERROR(SUBSTITUTE(SUBSTITUTE(REGEXEXTRACT(A9859, ""[^-]+- [^-]+- [^-]+ - (.+?)\.jpg""), "".jpg"", """"), ""-"", "", ""), """")"),"")</f>
        <v/>
      </c>
      <c r="L9859" s="12"/>
      <c r="M9859" s="13"/>
      <c r="N9859" s="2"/>
      <c r="O9859" s="20"/>
      <c r="P9859" s="42"/>
      <c r="R9859" s="23"/>
    </row>
    <row r="9860" spans="1:18" ht="12.75">
      <c r="A9860" s="12"/>
      <c r="D9860" s="12"/>
      <c r="E9860" s="12"/>
      <c r="H9860" s="11" t="str">
        <f ca="1">IFERROR(__xludf.DUMMYFUNCTION("IFERROR(SUBSTITUTE(SUBSTITUTE(REGEXEXTRACT(A9860, ""[^-]+- [^-]+- [^-]+ - (.+?)\.jpg""), "".jpg"", """"), ""-"", "", ""), """")"),"")</f>
        <v/>
      </c>
      <c r="L9860" s="12"/>
      <c r="M9860" s="13"/>
      <c r="N9860" s="2"/>
      <c r="O9860" s="20"/>
      <c r="P9860" s="42"/>
      <c r="R9860" s="23"/>
    </row>
    <row r="9861" spans="1:18" ht="12.75">
      <c r="A9861" s="12"/>
      <c r="D9861" s="12"/>
      <c r="E9861" s="12"/>
      <c r="H9861" s="11" t="str">
        <f ca="1">IFERROR(__xludf.DUMMYFUNCTION("IFERROR(SUBSTITUTE(SUBSTITUTE(REGEXEXTRACT(A9861, ""[^-]+- [^-]+- [^-]+ - (.+?)\.jpg""), "".jpg"", """"), ""-"", "", ""), """")"),"")</f>
        <v/>
      </c>
      <c r="L9861" s="12"/>
      <c r="M9861" s="13"/>
      <c r="N9861" s="2"/>
      <c r="O9861" s="20"/>
      <c r="P9861" s="42"/>
      <c r="R9861" s="23"/>
    </row>
    <row r="9862" spans="1:18" ht="12.75">
      <c r="A9862" s="12"/>
      <c r="D9862" s="12"/>
      <c r="E9862" s="12"/>
      <c r="H9862" s="11" t="str">
        <f ca="1">IFERROR(__xludf.DUMMYFUNCTION("IFERROR(SUBSTITUTE(SUBSTITUTE(REGEXEXTRACT(A9862, ""[^-]+- [^-]+- [^-]+ - (.+?)\.jpg""), "".jpg"", """"), ""-"", "", ""), """")"),"")</f>
        <v/>
      </c>
      <c r="L9862" s="12"/>
      <c r="M9862" s="13"/>
      <c r="N9862" s="2"/>
      <c r="O9862" s="20"/>
      <c r="P9862" s="42"/>
      <c r="R9862" s="23"/>
    </row>
    <row r="9863" spans="1:18" ht="12.75">
      <c r="A9863" s="12"/>
      <c r="D9863" s="12"/>
      <c r="E9863" s="12"/>
      <c r="H9863" s="11" t="str">
        <f ca="1">IFERROR(__xludf.DUMMYFUNCTION("IFERROR(SUBSTITUTE(SUBSTITUTE(REGEXEXTRACT(A9863, ""[^-]+- [^-]+- [^-]+ - (.+?)\.jpg""), "".jpg"", """"), ""-"", "", ""), """")"),"")</f>
        <v/>
      </c>
      <c r="L9863" s="12"/>
      <c r="M9863" s="13"/>
      <c r="N9863" s="2"/>
      <c r="O9863" s="20"/>
      <c r="P9863" s="42"/>
      <c r="R9863" s="23"/>
    </row>
    <row r="9864" spans="1:18" ht="12.75">
      <c r="A9864" s="12"/>
      <c r="D9864" s="12"/>
      <c r="E9864" s="12"/>
      <c r="H9864" s="11" t="str">
        <f ca="1">IFERROR(__xludf.DUMMYFUNCTION("IFERROR(SUBSTITUTE(SUBSTITUTE(REGEXEXTRACT(A9864, ""[^-]+- [^-]+- [^-]+ - (.+?)\.jpg""), "".jpg"", """"), ""-"", "", ""), """")"),"")</f>
        <v/>
      </c>
      <c r="L9864" s="12"/>
      <c r="M9864" s="13"/>
      <c r="N9864" s="2"/>
      <c r="O9864" s="20"/>
      <c r="P9864" s="42"/>
      <c r="R9864" s="23"/>
    </row>
    <row r="9865" spans="1:18" ht="12.75">
      <c r="A9865" s="12"/>
      <c r="D9865" s="12"/>
      <c r="E9865" s="12"/>
      <c r="H9865" s="11" t="str">
        <f ca="1">IFERROR(__xludf.DUMMYFUNCTION("IFERROR(SUBSTITUTE(SUBSTITUTE(REGEXEXTRACT(A9865, ""[^-]+- [^-]+- [^-]+ - (.+?)\.jpg""), "".jpg"", """"), ""-"", "", ""), """")"),"")</f>
        <v/>
      </c>
      <c r="L9865" s="12"/>
      <c r="M9865" s="13"/>
      <c r="N9865" s="2"/>
      <c r="O9865" s="20"/>
      <c r="P9865" s="42"/>
      <c r="R9865" s="23"/>
    </row>
    <row r="9866" spans="1:18" ht="12.75">
      <c r="A9866" s="12"/>
      <c r="D9866" s="12"/>
      <c r="E9866" s="12"/>
      <c r="H9866" s="11" t="str">
        <f ca="1">IFERROR(__xludf.DUMMYFUNCTION("IFERROR(SUBSTITUTE(SUBSTITUTE(REGEXEXTRACT(A9866, ""[^-]+- [^-]+- [^-]+ - (.+?)\.jpg""), "".jpg"", """"), ""-"", "", ""), """")"),"")</f>
        <v/>
      </c>
      <c r="L9866" s="12"/>
      <c r="M9866" s="13"/>
      <c r="N9866" s="2"/>
      <c r="O9866" s="20"/>
      <c r="P9866" s="42"/>
      <c r="R9866" s="23"/>
    </row>
    <row r="9867" spans="1:18" ht="12.75">
      <c r="A9867" s="12"/>
      <c r="D9867" s="12"/>
      <c r="E9867" s="12"/>
      <c r="H9867" s="11" t="str">
        <f ca="1">IFERROR(__xludf.DUMMYFUNCTION("IFERROR(SUBSTITUTE(SUBSTITUTE(REGEXEXTRACT(A9867, ""[^-]+- [^-]+- [^-]+ - (.+?)\.jpg""), "".jpg"", """"), ""-"", "", ""), """")"),"")</f>
        <v/>
      </c>
      <c r="L9867" s="12"/>
      <c r="M9867" s="13"/>
      <c r="N9867" s="2"/>
      <c r="O9867" s="20"/>
      <c r="P9867" s="42"/>
      <c r="R9867" s="23"/>
    </row>
    <row r="9868" spans="1:18" ht="12.75">
      <c r="A9868" s="12"/>
      <c r="D9868" s="12"/>
      <c r="E9868" s="12"/>
      <c r="H9868" s="11" t="str">
        <f ca="1">IFERROR(__xludf.DUMMYFUNCTION("IFERROR(SUBSTITUTE(SUBSTITUTE(REGEXEXTRACT(A9868, ""[^-]+- [^-]+- [^-]+ - (.+?)\.jpg""), "".jpg"", """"), ""-"", "", ""), """")"),"")</f>
        <v/>
      </c>
      <c r="L9868" s="12"/>
      <c r="M9868" s="13"/>
      <c r="N9868" s="2"/>
      <c r="O9868" s="20"/>
      <c r="P9868" s="42"/>
      <c r="R9868" s="23"/>
    </row>
    <row r="9869" spans="1:18" ht="12.75">
      <c r="A9869" s="12"/>
      <c r="D9869" s="12"/>
      <c r="E9869" s="12"/>
      <c r="H9869" s="11" t="str">
        <f ca="1">IFERROR(__xludf.DUMMYFUNCTION("IFERROR(SUBSTITUTE(SUBSTITUTE(REGEXEXTRACT(A9869, ""[^-]+- [^-]+- [^-]+ - (.+?)\.jpg""), "".jpg"", """"), ""-"", "", ""), """")"),"")</f>
        <v/>
      </c>
      <c r="L9869" s="12"/>
      <c r="M9869" s="13"/>
      <c r="N9869" s="2"/>
      <c r="O9869" s="20"/>
      <c r="P9869" s="42"/>
      <c r="R9869" s="23"/>
    </row>
    <row r="9870" spans="1:18" ht="12.75">
      <c r="A9870" s="12"/>
      <c r="D9870" s="12"/>
      <c r="E9870" s="12"/>
      <c r="H9870" s="11" t="str">
        <f ca="1">IFERROR(__xludf.DUMMYFUNCTION("IFERROR(SUBSTITUTE(SUBSTITUTE(REGEXEXTRACT(A9870, ""[^-]+- [^-]+- [^-]+ - (.+?)\.jpg""), "".jpg"", """"), ""-"", "", ""), """")"),"")</f>
        <v/>
      </c>
      <c r="L9870" s="12"/>
      <c r="M9870" s="13"/>
      <c r="N9870" s="2"/>
      <c r="O9870" s="20"/>
      <c r="P9870" s="42"/>
      <c r="R9870" s="23"/>
    </row>
    <row r="9871" spans="1:18" ht="12.75">
      <c r="A9871" s="12"/>
      <c r="D9871" s="12"/>
      <c r="E9871" s="12"/>
      <c r="H9871" s="11" t="str">
        <f ca="1">IFERROR(__xludf.DUMMYFUNCTION("IFERROR(SUBSTITUTE(SUBSTITUTE(REGEXEXTRACT(A9871, ""[^-]+- [^-]+- [^-]+ - (.+?)\.jpg""), "".jpg"", """"), ""-"", "", ""), """")"),"")</f>
        <v/>
      </c>
      <c r="L9871" s="12"/>
      <c r="M9871" s="13"/>
      <c r="N9871" s="2"/>
      <c r="O9871" s="20"/>
      <c r="P9871" s="42"/>
      <c r="R9871" s="23"/>
    </row>
    <row r="9872" spans="1:18" ht="12.75">
      <c r="A9872" s="12"/>
      <c r="D9872" s="12"/>
      <c r="E9872" s="12"/>
      <c r="H9872" s="11" t="str">
        <f ca="1">IFERROR(__xludf.DUMMYFUNCTION("IFERROR(SUBSTITUTE(SUBSTITUTE(REGEXEXTRACT(A9872, ""[^-]+- [^-]+- [^-]+ - (.+?)\.jpg""), "".jpg"", """"), ""-"", "", ""), """")"),"")</f>
        <v/>
      </c>
      <c r="L9872" s="12"/>
      <c r="M9872" s="13"/>
      <c r="N9872" s="2"/>
      <c r="O9872" s="20"/>
      <c r="P9872" s="42"/>
      <c r="R9872" s="23"/>
    </row>
    <row r="9873" spans="1:18" ht="12.75">
      <c r="A9873" s="12"/>
      <c r="D9873" s="12"/>
      <c r="E9873" s="12"/>
      <c r="H9873" s="11" t="str">
        <f ca="1">IFERROR(__xludf.DUMMYFUNCTION("IFERROR(SUBSTITUTE(SUBSTITUTE(REGEXEXTRACT(A9873, ""[^-]+- [^-]+- [^-]+ - (.+?)\.jpg""), "".jpg"", """"), ""-"", "", ""), """")"),"")</f>
        <v/>
      </c>
      <c r="L9873" s="12"/>
      <c r="M9873" s="13"/>
      <c r="N9873" s="2"/>
      <c r="O9873" s="20"/>
      <c r="P9873" s="42"/>
      <c r="R9873" s="23"/>
    </row>
    <row r="9874" spans="1:18" ht="12.75">
      <c r="A9874" s="12"/>
      <c r="D9874" s="12"/>
      <c r="E9874" s="12"/>
      <c r="H9874" s="11" t="str">
        <f ca="1">IFERROR(__xludf.DUMMYFUNCTION("IFERROR(SUBSTITUTE(SUBSTITUTE(REGEXEXTRACT(A9874, ""[^-]+- [^-]+- [^-]+ - (.+?)\.jpg""), "".jpg"", """"), ""-"", "", ""), """")"),"")</f>
        <v/>
      </c>
      <c r="L9874" s="12"/>
      <c r="M9874" s="13"/>
      <c r="N9874" s="2"/>
      <c r="O9874" s="20"/>
      <c r="P9874" s="42"/>
      <c r="R9874" s="23"/>
    </row>
    <row r="9875" spans="1:18" ht="12.75">
      <c r="A9875" s="12"/>
      <c r="D9875" s="12"/>
      <c r="E9875" s="12"/>
      <c r="H9875" s="11" t="str">
        <f ca="1">IFERROR(__xludf.DUMMYFUNCTION("IFERROR(SUBSTITUTE(SUBSTITUTE(REGEXEXTRACT(A9875, ""[^-]+- [^-]+- [^-]+ - (.+?)\.jpg""), "".jpg"", """"), ""-"", "", ""), """")"),"")</f>
        <v/>
      </c>
      <c r="L9875" s="12"/>
      <c r="M9875" s="13"/>
      <c r="N9875" s="2"/>
      <c r="O9875" s="20"/>
      <c r="P9875" s="42"/>
      <c r="R9875" s="23"/>
    </row>
    <row r="9876" spans="1:18" ht="12.75">
      <c r="A9876" s="12"/>
      <c r="D9876" s="12"/>
      <c r="E9876" s="12"/>
      <c r="H9876" s="11" t="str">
        <f ca="1">IFERROR(__xludf.DUMMYFUNCTION("IFERROR(SUBSTITUTE(SUBSTITUTE(REGEXEXTRACT(A9876, ""[^-]+- [^-]+- [^-]+ - (.+?)\.jpg""), "".jpg"", """"), ""-"", "", ""), """")"),"")</f>
        <v/>
      </c>
      <c r="L9876" s="12"/>
      <c r="M9876" s="13"/>
      <c r="N9876" s="2"/>
      <c r="O9876" s="20"/>
      <c r="P9876" s="42"/>
      <c r="R9876" s="23"/>
    </row>
    <row r="9877" spans="1:18" ht="12.75">
      <c r="A9877" s="12"/>
      <c r="D9877" s="12"/>
      <c r="E9877" s="12"/>
      <c r="H9877" s="11" t="str">
        <f ca="1">IFERROR(__xludf.DUMMYFUNCTION("IFERROR(SUBSTITUTE(SUBSTITUTE(REGEXEXTRACT(A9877, ""[^-]+- [^-]+- [^-]+ - (.+?)\.jpg""), "".jpg"", """"), ""-"", "", ""), """")"),"")</f>
        <v/>
      </c>
      <c r="L9877" s="12"/>
      <c r="M9877" s="13"/>
      <c r="N9877" s="2"/>
      <c r="O9877" s="20"/>
      <c r="P9877" s="42"/>
      <c r="R9877" s="23"/>
    </row>
    <row r="9878" spans="1:18" ht="12.75">
      <c r="A9878" s="12"/>
      <c r="D9878" s="12"/>
      <c r="E9878" s="12"/>
      <c r="H9878" s="11" t="str">
        <f ca="1">IFERROR(__xludf.DUMMYFUNCTION("IFERROR(SUBSTITUTE(SUBSTITUTE(REGEXEXTRACT(A9878, ""[^-]+- [^-]+- [^-]+ - (.+?)\.jpg""), "".jpg"", """"), ""-"", "", ""), """")"),"")</f>
        <v/>
      </c>
      <c r="L9878" s="12"/>
      <c r="M9878" s="13"/>
      <c r="N9878" s="2"/>
      <c r="O9878" s="20"/>
      <c r="P9878" s="42"/>
      <c r="R9878" s="23"/>
    </row>
    <row r="9879" spans="1:18" ht="12.75">
      <c r="A9879" s="12"/>
      <c r="D9879" s="12"/>
      <c r="E9879" s="12"/>
      <c r="H9879" s="11" t="str">
        <f ca="1">IFERROR(__xludf.DUMMYFUNCTION("IFERROR(SUBSTITUTE(SUBSTITUTE(REGEXEXTRACT(A9879, ""[^-]+- [^-]+- [^-]+ - (.+?)\.jpg""), "".jpg"", """"), ""-"", "", ""), """")"),"")</f>
        <v/>
      </c>
      <c r="L9879" s="12"/>
      <c r="M9879" s="13"/>
      <c r="N9879" s="2"/>
      <c r="O9879" s="20"/>
      <c r="P9879" s="42"/>
      <c r="R9879" s="23"/>
    </row>
    <row r="9880" spans="1:18" ht="12.75">
      <c r="A9880" s="12"/>
      <c r="D9880" s="12"/>
      <c r="E9880" s="12"/>
      <c r="H9880" s="11" t="str">
        <f ca="1">IFERROR(__xludf.DUMMYFUNCTION("IFERROR(SUBSTITUTE(SUBSTITUTE(REGEXEXTRACT(A9880, ""[^-]+- [^-]+- [^-]+ - (.+?)\.jpg""), "".jpg"", """"), ""-"", "", ""), """")"),"")</f>
        <v/>
      </c>
      <c r="L9880" s="12"/>
      <c r="M9880" s="13"/>
      <c r="N9880" s="2"/>
      <c r="O9880" s="20"/>
      <c r="P9880" s="42"/>
      <c r="R9880" s="23"/>
    </row>
    <row r="9881" spans="1:18" ht="12.75">
      <c r="A9881" s="12"/>
      <c r="D9881" s="12"/>
      <c r="E9881" s="12"/>
      <c r="H9881" s="11" t="str">
        <f ca="1">IFERROR(__xludf.DUMMYFUNCTION("IFERROR(SUBSTITUTE(SUBSTITUTE(REGEXEXTRACT(A9881, ""[^-]+- [^-]+- [^-]+ - (.+?)\.jpg""), "".jpg"", """"), ""-"", "", ""), """")"),"")</f>
        <v/>
      </c>
      <c r="L9881" s="12"/>
      <c r="M9881" s="13"/>
      <c r="N9881" s="2"/>
      <c r="O9881" s="20"/>
      <c r="P9881" s="42"/>
      <c r="R9881" s="23"/>
    </row>
    <row r="9882" spans="1:18" ht="12.75">
      <c r="A9882" s="12"/>
      <c r="D9882" s="12"/>
      <c r="E9882" s="12"/>
      <c r="H9882" s="11" t="str">
        <f ca="1">IFERROR(__xludf.DUMMYFUNCTION("IFERROR(SUBSTITUTE(SUBSTITUTE(REGEXEXTRACT(A9882, ""[^-]+- [^-]+- [^-]+ - (.+?)\.jpg""), "".jpg"", """"), ""-"", "", ""), """")"),"")</f>
        <v/>
      </c>
      <c r="L9882" s="12"/>
      <c r="M9882" s="13"/>
      <c r="N9882" s="2"/>
      <c r="O9882" s="20"/>
      <c r="P9882" s="42"/>
      <c r="R9882" s="23"/>
    </row>
    <row r="9883" spans="1:18" ht="12.75">
      <c r="A9883" s="12"/>
      <c r="D9883" s="12"/>
      <c r="E9883" s="12"/>
      <c r="H9883" s="11" t="str">
        <f ca="1">IFERROR(__xludf.DUMMYFUNCTION("IFERROR(SUBSTITUTE(SUBSTITUTE(REGEXEXTRACT(A9883, ""[^-]+- [^-]+- [^-]+ - (.+?)\.jpg""), "".jpg"", """"), ""-"", "", ""), """")"),"")</f>
        <v/>
      </c>
      <c r="L9883" s="12"/>
      <c r="M9883" s="13"/>
      <c r="N9883" s="2"/>
      <c r="O9883" s="20"/>
      <c r="P9883" s="42"/>
      <c r="R9883" s="23"/>
    </row>
    <row r="9884" spans="1:18" ht="12.75">
      <c r="A9884" s="12"/>
      <c r="D9884" s="12"/>
      <c r="E9884" s="12"/>
      <c r="H9884" s="11" t="str">
        <f ca="1">IFERROR(__xludf.DUMMYFUNCTION("IFERROR(SUBSTITUTE(SUBSTITUTE(REGEXEXTRACT(A9884, ""[^-]+- [^-]+- [^-]+ - (.+?)\.jpg""), "".jpg"", """"), ""-"", "", ""), """")"),"")</f>
        <v/>
      </c>
      <c r="L9884" s="12"/>
      <c r="M9884" s="13"/>
      <c r="N9884" s="2"/>
      <c r="O9884" s="20"/>
      <c r="P9884" s="42"/>
      <c r="R9884" s="23"/>
    </row>
    <row r="9885" spans="1:18" ht="12.75">
      <c r="A9885" s="12"/>
      <c r="D9885" s="12"/>
      <c r="E9885" s="12"/>
      <c r="H9885" s="11" t="str">
        <f ca="1">IFERROR(__xludf.DUMMYFUNCTION("IFERROR(SUBSTITUTE(SUBSTITUTE(REGEXEXTRACT(A9885, ""[^-]+- [^-]+- [^-]+ - (.+?)\.jpg""), "".jpg"", """"), ""-"", "", ""), """")"),"")</f>
        <v/>
      </c>
      <c r="L9885" s="12"/>
      <c r="M9885" s="13"/>
      <c r="N9885" s="2"/>
      <c r="O9885" s="20"/>
      <c r="P9885" s="42"/>
      <c r="R9885" s="23"/>
    </row>
    <row r="9886" spans="1:18" ht="12.75">
      <c r="A9886" s="12"/>
      <c r="D9886" s="12"/>
      <c r="E9886" s="12"/>
      <c r="H9886" s="11" t="str">
        <f ca="1">IFERROR(__xludf.DUMMYFUNCTION("IFERROR(SUBSTITUTE(SUBSTITUTE(REGEXEXTRACT(A9886, ""[^-]+- [^-]+- [^-]+ - (.+?)\.jpg""), "".jpg"", """"), ""-"", "", ""), """")"),"")</f>
        <v/>
      </c>
      <c r="L9886" s="12"/>
      <c r="M9886" s="13"/>
      <c r="N9886" s="2"/>
      <c r="O9886" s="20"/>
      <c r="P9886" s="42"/>
      <c r="R9886" s="23"/>
    </row>
    <row r="9887" spans="1:18" ht="12.75">
      <c r="A9887" s="12"/>
      <c r="D9887" s="12"/>
      <c r="E9887" s="12"/>
      <c r="H9887" s="11" t="str">
        <f ca="1">IFERROR(__xludf.DUMMYFUNCTION("IFERROR(SUBSTITUTE(SUBSTITUTE(REGEXEXTRACT(A9887, ""[^-]+- [^-]+- [^-]+ - (.+?)\.jpg""), "".jpg"", """"), ""-"", "", ""), """")"),"")</f>
        <v/>
      </c>
      <c r="L9887" s="12"/>
      <c r="M9887" s="13"/>
      <c r="N9887" s="2"/>
      <c r="O9887" s="20"/>
      <c r="P9887" s="42"/>
      <c r="R9887" s="23"/>
    </row>
    <row r="9888" spans="1:18" ht="12.75">
      <c r="A9888" s="12"/>
      <c r="D9888" s="12"/>
      <c r="E9888" s="12"/>
      <c r="H9888" s="11" t="str">
        <f ca="1">IFERROR(__xludf.DUMMYFUNCTION("IFERROR(SUBSTITUTE(SUBSTITUTE(REGEXEXTRACT(A9888, ""[^-]+- [^-]+- [^-]+ - (.+?)\.jpg""), "".jpg"", """"), ""-"", "", ""), """")"),"")</f>
        <v/>
      </c>
      <c r="L9888" s="12"/>
      <c r="M9888" s="13"/>
      <c r="N9888" s="2"/>
      <c r="O9888" s="20"/>
      <c r="P9888" s="42"/>
      <c r="R9888" s="23"/>
    </row>
    <row r="9889" spans="1:18" ht="12.75">
      <c r="A9889" s="12"/>
      <c r="D9889" s="12"/>
      <c r="E9889" s="12"/>
      <c r="H9889" s="11" t="str">
        <f ca="1">IFERROR(__xludf.DUMMYFUNCTION("IFERROR(SUBSTITUTE(SUBSTITUTE(REGEXEXTRACT(A9889, ""[^-]+- [^-]+- [^-]+ - (.+?)\.jpg""), "".jpg"", """"), ""-"", "", ""), """")"),"")</f>
        <v/>
      </c>
      <c r="L9889" s="12"/>
      <c r="M9889" s="13"/>
      <c r="N9889" s="2"/>
      <c r="O9889" s="20"/>
      <c r="P9889" s="42"/>
      <c r="R9889" s="23"/>
    </row>
    <row r="9890" spans="1:18" ht="12.75">
      <c r="A9890" s="12"/>
      <c r="D9890" s="12"/>
      <c r="E9890" s="12"/>
      <c r="H9890" s="11" t="str">
        <f ca="1">IFERROR(__xludf.DUMMYFUNCTION("IFERROR(SUBSTITUTE(SUBSTITUTE(REGEXEXTRACT(A9890, ""[^-]+- [^-]+- [^-]+ - (.+?)\.jpg""), "".jpg"", """"), ""-"", "", ""), """")"),"")</f>
        <v/>
      </c>
      <c r="L9890" s="12"/>
      <c r="M9890" s="13"/>
      <c r="N9890" s="2"/>
      <c r="O9890" s="20"/>
      <c r="P9890" s="42"/>
      <c r="R9890" s="23"/>
    </row>
    <row r="9891" spans="1:18" ht="12.75">
      <c r="A9891" s="12"/>
      <c r="D9891" s="12"/>
      <c r="E9891" s="12"/>
      <c r="H9891" s="11" t="str">
        <f ca="1">IFERROR(__xludf.DUMMYFUNCTION("IFERROR(SUBSTITUTE(SUBSTITUTE(REGEXEXTRACT(A9891, ""[^-]+- [^-]+- [^-]+ - (.+?)\.jpg""), "".jpg"", """"), ""-"", "", ""), """")"),"")</f>
        <v/>
      </c>
      <c r="L9891" s="12"/>
      <c r="M9891" s="13"/>
      <c r="N9891" s="2"/>
      <c r="O9891" s="20"/>
      <c r="P9891" s="42"/>
      <c r="R9891" s="23"/>
    </row>
    <row r="9892" spans="1:18" ht="12.75">
      <c r="A9892" s="12"/>
      <c r="D9892" s="12"/>
      <c r="E9892" s="12"/>
      <c r="H9892" s="11" t="str">
        <f ca="1">IFERROR(__xludf.DUMMYFUNCTION("IFERROR(SUBSTITUTE(SUBSTITUTE(REGEXEXTRACT(A9892, ""[^-]+- [^-]+- [^-]+ - (.+?)\.jpg""), "".jpg"", """"), ""-"", "", ""), """")"),"")</f>
        <v/>
      </c>
      <c r="L9892" s="12"/>
      <c r="M9892" s="13"/>
      <c r="N9892" s="2"/>
      <c r="O9892" s="20"/>
      <c r="P9892" s="42"/>
      <c r="R9892" s="23"/>
    </row>
    <row r="9893" spans="1:18" ht="12.75">
      <c r="A9893" s="12"/>
      <c r="D9893" s="12"/>
      <c r="E9893" s="12"/>
      <c r="H9893" s="11" t="str">
        <f ca="1">IFERROR(__xludf.DUMMYFUNCTION("IFERROR(SUBSTITUTE(SUBSTITUTE(REGEXEXTRACT(A9893, ""[^-]+- [^-]+- [^-]+ - (.+?)\.jpg""), "".jpg"", """"), ""-"", "", ""), """")"),"")</f>
        <v/>
      </c>
      <c r="L9893" s="12"/>
      <c r="M9893" s="13"/>
      <c r="N9893" s="2"/>
      <c r="O9893" s="20"/>
      <c r="P9893" s="42"/>
      <c r="R9893" s="23"/>
    </row>
    <row r="9894" spans="1:18" ht="12.75">
      <c r="A9894" s="12"/>
      <c r="D9894" s="12"/>
      <c r="E9894" s="12"/>
      <c r="H9894" s="11" t="str">
        <f ca="1">IFERROR(__xludf.DUMMYFUNCTION("IFERROR(SUBSTITUTE(SUBSTITUTE(REGEXEXTRACT(A9894, ""[^-]+- [^-]+- [^-]+ - (.+?)\.jpg""), "".jpg"", """"), ""-"", "", ""), """")"),"")</f>
        <v/>
      </c>
      <c r="L9894" s="12"/>
      <c r="M9894" s="13"/>
      <c r="N9894" s="2"/>
      <c r="O9894" s="20"/>
      <c r="P9894" s="42"/>
      <c r="R9894" s="23"/>
    </row>
    <row r="9895" spans="1:18" ht="12.75">
      <c r="A9895" s="12"/>
      <c r="D9895" s="12"/>
      <c r="E9895" s="12"/>
      <c r="H9895" s="11" t="str">
        <f ca="1">IFERROR(__xludf.DUMMYFUNCTION("IFERROR(SUBSTITUTE(SUBSTITUTE(REGEXEXTRACT(A9895, ""[^-]+- [^-]+- [^-]+ - (.+?)\.jpg""), "".jpg"", """"), ""-"", "", ""), """")"),"")</f>
        <v/>
      </c>
      <c r="L9895" s="12"/>
      <c r="M9895" s="13"/>
      <c r="N9895" s="2"/>
      <c r="O9895" s="20"/>
      <c r="P9895" s="42"/>
      <c r="R9895" s="23"/>
    </row>
    <row r="9896" spans="1:18" ht="12.75">
      <c r="A9896" s="12"/>
      <c r="D9896" s="12"/>
      <c r="E9896" s="12"/>
      <c r="H9896" s="11" t="str">
        <f ca="1">IFERROR(__xludf.DUMMYFUNCTION("IFERROR(SUBSTITUTE(SUBSTITUTE(REGEXEXTRACT(A9896, ""[^-]+- [^-]+- [^-]+ - (.+?)\.jpg""), "".jpg"", """"), ""-"", "", ""), """")"),"")</f>
        <v/>
      </c>
      <c r="L9896" s="12"/>
      <c r="M9896" s="13"/>
      <c r="N9896" s="2"/>
      <c r="O9896" s="20"/>
      <c r="P9896" s="42"/>
      <c r="R9896" s="23"/>
    </row>
    <row r="9897" spans="1:18" ht="12.75">
      <c r="A9897" s="12"/>
      <c r="D9897" s="12"/>
      <c r="E9897" s="12"/>
      <c r="H9897" s="11" t="str">
        <f ca="1">IFERROR(__xludf.DUMMYFUNCTION("IFERROR(SUBSTITUTE(SUBSTITUTE(REGEXEXTRACT(A9897, ""[^-]+- [^-]+- [^-]+ - (.+?)\.jpg""), "".jpg"", """"), ""-"", "", ""), """")"),"")</f>
        <v/>
      </c>
      <c r="L9897" s="12"/>
      <c r="M9897" s="13"/>
      <c r="N9897" s="2"/>
      <c r="O9897" s="20"/>
      <c r="P9897" s="42"/>
      <c r="R9897" s="23"/>
    </row>
    <row r="9898" spans="1:18" ht="12.75">
      <c r="A9898" s="12"/>
      <c r="D9898" s="12"/>
      <c r="E9898" s="12"/>
      <c r="H9898" s="11" t="str">
        <f ca="1">IFERROR(__xludf.DUMMYFUNCTION("IFERROR(SUBSTITUTE(SUBSTITUTE(REGEXEXTRACT(A9898, ""[^-]+- [^-]+- [^-]+ - (.+?)\.jpg""), "".jpg"", """"), ""-"", "", ""), """")"),"")</f>
        <v/>
      </c>
      <c r="L9898" s="12"/>
      <c r="M9898" s="13"/>
      <c r="N9898" s="2"/>
      <c r="O9898" s="20"/>
      <c r="P9898" s="42"/>
      <c r="R9898" s="23"/>
    </row>
    <row r="9899" spans="1:18" ht="12.75">
      <c r="A9899" s="12"/>
      <c r="D9899" s="12"/>
      <c r="E9899" s="12"/>
      <c r="H9899" s="11" t="str">
        <f ca="1">IFERROR(__xludf.DUMMYFUNCTION("IFERROR(SUBSTITUTE(SUBSTITUTE(REGEXEXTRACT(A9899, ""[^-]+- [^-]+- [^-]+ - (.+?)\.jpg""), "".jpg"", """"), ""-"", "", ""), """")"),"")</f>
        <v/>
      </c>
      <c r="L9899" s="12"/>
      <c r="M9899" s="13"/>
      <c r="N9899" s="2"/>
      <c r="O9899" s="20"/>
      <c r="P9899" s="42"/>
      <c r="R9899" s="23"/>
    </row>
    <row r="9900" spans="1:18" ht="12.75">
      <c r="A9900" s="12"/>
      <c r="D9900" s="12"/>
      <c r="E9900" s="12"/>
      <c r="H9900" s="11" t="str">
        <f ca="1">IFERROR(__xludf.DUMMYFUNCTION("IFERROR(SUBSTITUTE(SUBSTITUTE(REGEXEXTRACT(A9900, ""[^-]+- [^-]+- [^-]+ - (.+?)\.jpg""), "".jpg"", """"), ""-"", "", ""), """")"),"")</f>
        <v/>
      </c>
      <c r="L9900" s="12"/>
      <c r="M9900" s="13"/>
      <c r="N9900" s="2"/>
      <c r="O9900" s="20"/>
      <c r="P9900" s="42"/>
      <c r="R9900" s="23"/>
    </row>
    <row r="9901" spans="1:18" ht="12.75">
      <c r="A9901" s="12"/>
      <c r="D9901" s="12"/>
      <c r="E9901" s="12"/>
      <c r="H9901" s="11" t="str">
        <f ca="1">IFERROR(__xludf.DUMMYFUNCTION("IFERROR(SUBSTITUTE(SUBSTITUTE(REGEXEXTRACT(A9901, ""[^-]+- [^-]+- [^-]+ - (.+?)\.jpg""), "".jpg"", """"), ""-"", "", ""), """")"),"")</f>
        <v/>
      </c>
      <c r="L9901" s="12"/>
      <c r="M9901" s="13"/>
      <c r="N9901" s="2"/>
      <c r="O9901" s="20"/>
      <c r="P9901" s="42"/>
      <c r="R9901" s="23"/>
    </row>
    <row r="9902" spans="1:18" ht="12.75">
      <c r="A9902" s="12"/>
      <c r="D9902" s="12"/>
      <c r="E9902" s="12"/>
      <c r="H9902" s="11" t="str">
        <f ca="1">IFERROR(__xludf.DUMMYFUNCTION("IFERROR(SUBSTITUTE(SUBSTITUTE(REGEXEXTRACT(A9902, ""[^-]+- [^-]+- [^-]+ - (.+?)\.jpg""), "".jpg"", """"), ""-"", "", ""), """")"),"")</f>
        <v/>
      </c>
      <c r="L9902" s="12"/>
      <c r="M9902" s="13"/>
      <c r="N9902" s="2"/>
      <c r="O9902" s="20"/>
      <c r="P9902" s="42"/>
      <c r="R9902" s="23"/>
    </row>
    <row r="9903" spans="1:18" ht="12.75">
      <c r="A9903" s="12"/>
      <c r="D9903" s="12"/>
      <c r="E9903" s="12"/>
      <c r="H9903" s="11" t="str">
        <f ca="1">IFERROR(__xludf.DUMMYFUNCTION("IFERROR(SUBSTITUTE(SUBSTITUTE(REGEXEXTRACT(A9903, ""[^-]+- [^-]+- [^-]+ - (.+?)\.jpg""), "".jpg"", """"), ""-"", "", ""), """")"),"")</f>
        <v/>
      </c>
      <c r="L9903" s="12"/>
      <c r="M9903" s="13"/>
      <c r="N9903" s="2"/>
      <c r="O9903" s="20"/>
      <c r="P9903" s="42"/>
      <c r="R9903" s="23"/>
    </row>
    <row r="9904" spans="1:18" ht="12.75">
      <c r="A9904" s="12"/>
      <c r="D9904" s="12"/>
      <c r="E9904" s="12"/>
      <c r="H9904" s="11" t="str">
        <f ca="1">IFERROR(__xludf.DUMMYFUNCTION("IFERROR(SUBSTITUTE(SUBSTITUTE(REGEXEXTRACT(A9904, ""[^-]+- [^-]+- [^-]+ - (.+?)\.jpg""), "".jpg"", """"), ""-"", "", ""), """")"),"")</f>
        <v/>
      </c>
      <c r="L9904" s="12"/>
      <c r="M9904" s="13"/>
      <c r="N9904" s="2"/>
      <c r="O9904" s="20"/>
      <c r="P9904" s="42"/>
      <c r="R9904" s="23"/>
    </row>
    <row r="9905" spans="1:18" ht="12.75">
      <c r="A9905" s="12"/>
      <c r="D9905" s="12"/>
      <c r="E9905" s="12"/>
      <c r="H9905" s="11" t="str">
        <f ca="1">IFERROR(__xludf.DUMMYFUNCTION("IFERROR(SUBSTITUTE(SUBSTITUTE(REGEXEXTRACT(A9905, ""[^-]+- [^-]+- [^-]+ - (.+?)\.jpg""), "".jpg"", """"), ""-"", "", ""), """")"),"")</f>
        <v/>
      </c>
      <c r="L9905" s="12"/>
      <c r="M9905" s="13"/>
      <c r="N9905" s="2"/>
      <c r="O9905" s="20"/>
      <c r="P9905" s="42"/>
      <c r="R9905" s="23"/>
    </row>
    <row r="9906" spans="1:18" ht="12.75">
      <c r="A9906" s="12"/>
      <c r="D9906" s="12"/>
      <c r="E9906" s="12"/>
      <c r="H9906" s="11" t="str">
        <f ca="1">IFERROR(__xludf.DUMMYFUNCTION("IFERROR(SUBSTITUTE(SUBSTITUTE(REGEXEXTRACT(A9906, ""[^-]+- [^-]+- [^-]+ - (.+?)\.jpg""), "".jpg"", """"), ""-"", "", ""), """")"),"")</f>
        <v/>
      </c>
      <c r="L9906" s="12"/>
      <c r="M9906" s="13"/>
      <c r="N9906" s="2"/>
      <c r="O9906" s="20"/>
      <c r="P9906" s="42"/>
      <c r="R9906" s="23"/>
    </row>
    <row r="9907" spans="1:18" ht="12.75">
      <c r="A9907" s="12"/>
      <c r="D9907" s="12"/>
      <c r="E9907" s="12"/>
      <c r="H9907" s="11" t="str">
        <f ca="1">IFERROR(__xludf.DUMMYFUNCTION("IFERROR(SUBSTITUTE(SUBSTITUTE(REGEXEXTRACT(A9907, ""[^-]+- [^-]+- [^-]+ - (.+?)\.jpg""), "".jpg"", """"), ""-"", "", ""), """")"),"")</f>
        <v/>
      </c>
      <c r="L9907" s="12"/>
      <c r="M9907" s="13"/>
      <c r="N9907" s="2"/>
      <c r="O9907" s="20"/>
      <c r="P9907" s="42"/>
      <c r="R9907" s="23"/>
    </row>
    <row r="9908" spans="1:18" ht="12.75">
      <c r="A9908" s="12"/>
      <c r="D9908" s="12"/>
      <c r="E9908" s="12"/>
      <c r="H9908" s="11" t="str">
        <f ca="1">IFERROR(__xludf.DUMMYFUNCTION("IFERROR(SUBSTITUTE(SUBSTITUTE(REGEXEXTRACT(A9908, ""[^-]+- [^-]+- [^-]+ - (.+?)\.jpg""), "".jpg"", """"), ""-"", "", ""), """")"),"")</f>
        <v/>
      </c>
      <c r="L9908" s="12"/>
      <c r="M9908" s="13"/>
      <c r="N9908" s="2"/>
      <c r="O9908" s="20"/>
      <c r="P9908" s="42"/>
      <c r="R9908" s="23"/>
    </row>
    <row r="9909" spans="1:18" ht="12.75">
      <c r="A9909" s="12"/>
      <c r="D9909" s="12"/>
      <c r="E9909" s="12"/>
      <c r="H9909" s="11" t="str">
        <f ca="1">IFERROR(__xludf.DUMMYFUNCTION("IFERROR(SUBSTITUTE(SUBSTITUTE(REGEXEXTRACT(A9909, ""[^-]+- [^-]+- [^-]+ - (.+?)\.jpg""), "".jpg"", """"), ""-"", "", ""), """")"),"")</f>
        <v/>
      </c>
      <c r="L9909" s="12"/>
      <c r="M9909" s="13"/>
      <c r="N9909" s="2"/>
      <c r="O9909" s="20"/>
      <c r="P9909" s="42"/>
      <c r="R9909" s="23"/>
    </row>
    <row r="9910" spans="1:18" ht="12.75">
      <c r="A9910" s="12"/>
      <c r="D9910" s="12"/>
      <c r="E9910" s="12"/>
      <c r="H9910" s="11" t="str">
        <f ca="1">IFERROR(__xludf.DUMMYFUNCTION("IFERROR(SUBSTITUTE(SUBSTITUTE(REGEXEXTRACT(A9910, ""[^-]+- [^-]+- [^-]+ - (.+?)\.jpg""), "".jpg"", """"), ""-"", "", ""), """")"),"")</f>
        <v/>
      </c>
      <c r="L9910" s="12"/>
      <c r="M9910" s="13"/>
      <c r="N9910" s="2"/>
      <c r="O9910" s="20"/>
      <c r="P9910" s="42"/>
      <c r="R9910" s="23"/>
    </row>
    <row r="9911" spans="1:18" ht="12.75">
      <c r="A9911" s="12"/>
      <c r="D9911" s="12"/>
      <c r="E9911" s="12"/>
      <c r="H9911" s="11" t="str">
        <f ca="1">IFERROR(__xludf.DUMMYFUNCTION("IFERROR(SUBSTITUTE(SUBSTITUTE(REGEXEXTRACT(A9911, ""[^-]+- [^-]+- [^-]+ - (.+?)\.jpg""), "".jpg"", """"), ""-"", "", ""), """")"),"")</f>
        <v/>
      </c>
      <c r="L9911" s="12"/>
      <c r="M9911" s="13"/>
      <c r="N9911" s="2"/>
      <c r="O9911" s="20"/>
      <c r="P9911" s="42"/>
      <c r="R9911" s="23"/>
    </row>
    <row r="9912" spans="1:18" ht="12.75">
      <c r="A9912" s="12"/>
      <c r="D9912" s="12"/>
      <c r="E9912" s="12"/>
      <c r="H9912" s="11" t="str">
        <f ca="1">IFERROR(__xludf.DUMMYFUNCTION("IFERROR(SUBSTITUTE(SUBSTITUTE(REGEXEXTRACT(A9912, ""[^-]+- [^-]+- [^-]+ - (.+?)\.jpg""), "".jpg"", """"), ""-"", "", ""), """")"),"")</f>
        <v/>
      </c>
      <c r="L9912" s="12"/>
      <c r="M9912" s="13"/>
      <c r="N9912" s="2"/>
      <c r="O9912" s="20"/>
      <c r="P9912" s="42"/>
      <c r="R9912" s="23"/>
    </row>
    <row r="9913" spans="1:18" ht="12.75">
      <c r="A9913" s="12"/>
      <c r="D9913" s="12"/>
      <c r="E9913" s="12"/>
      <c r="H9913" s="11" t="str">
        <f ca="1">IFERROR(__xludf.DUMMYFUNCTION("IFERROR(SUBSTITUTE(SUBSTITUTE(REGEXEXTRACT(A9913, ""[^-]+- [^-]+- [^-]+ - (.+?)\.jpg""), "".jpg"", """"), ""-"", "", ""), """")"),"")</f>
        <v/>
      </c>
      <c r="L9913" s="12"/>
      <c r="M9913" s="13"/>
      <c r="N9913" s="2"/>
      <c r="O9913" s="20"/>
      <c r="P9913" s="42"/>
      <c r="R9913" s="23"/>
    </row>
    <row r="9914" spans="1:18" ht="12.75">
      <c r="A9914" s="12"/>
      <c r="D9914" s="12"/>
      <c r="E9914" s="12"/>
      <c r="H9914" s="11" t="str">
        <f ca="1">IFERROR(__xludf.DUMMYFUNCTION("IFERROR(SUBSTITUTE(SUBSTITUTE(REGEXEXTRACT(A9914, ""[^-]+- [^-]+- [^-]+ - (.+?)\.jpg""), "".jpg"", """"), ""-"", "", ""), """")"),"")</f>
        <v/>
      </c>
      <c r="L9914" s="12"/>
      <c r="M9914" s="13"/>
      <c r="N9914" s="2"/>
      <c r="O9914" s="20"/>
      <c r="P9914" s="42"/>
      <c r="R9914" s="23"/>
    </row>
    <row r="9915" spans="1:18" ht="12.75">
      <c r="A9915" s="12"/>
      <c r="D9915" s="12"/>
      <c r="E9915" s="12"/>
      <c r="H9915" s="11" t="str">
        <f ca="1">IFERROR(__xludf.DUMMYFUNCTION("IFERROR(SUBSTITUTE(SUBSTITUTE(REGEXEXTRACT(A9915, ""[^-]+- [^-]+- [^-]+ - (.+?)\.jpg""), "".jpg"", """"), ""-"", "", ""), """")"),"")</f>
        <v/>
      </c>
      <c r="L9915" s="12"/>
      <c r="M9915" s="13"/>
      <c r="N9915" s="2"/>
      <c r="O9915" s="20"/>
      <c r="P9915" s="42"/>
      <c r="R9915" s="23"/>
    </row>
    <row r="9916" spans="1:18" ht="12.75">
      <c r="A9916" s="12"/>
      <c r="D9916" s="12"/>
      <c r="E9916" s="12"/>
      <c r="H9916" s="11" t="str">
        <f ca="1">IFERROR(__xludf.DUMMYFUNCTION("IFERROR(SUBSTITUTE(SUBSTITUTE(REGEXEXTRACT(A9916, ""[^-]+- [^-]+- [^-]+ - (.+?)\.jpg""), "".jpg"", """"), ""-"", "", ""), """")"),"")</f>
        <v/>
      </c>
      <c r="L9916" s="12"/>
      <c r="M9916" s="13"/>
      <c r="N9916" s="2"/>
      <c r="O9916" s="20"/>
      <c r="P9916" s="42"/>
      <c r="R9916" s="23"/>
    </row>
    <row r="9917" spans="1:18" ht="12.75">
      <c r="A9917" s="12"/>
      <c r="D9917" s="12"/>
      <c r="E9917" s="12"/>
      <c r="H9917" s="11" t="str">
        <f ca="1">IFERROR(__xludf.DUMMYFUNCTION("IFERROR(SUBSTITUTE(SUBSTITUTE(REGEXEXTRACT(A9917, ""[^-]+- [^-]+- [^-]+ - (.+?)\.jpg""), "".jpg"", """"), ""-"", "", ""), """")"),"")</f>
        <v/>
      </c>
      <c r="L9917" s="12"/>
      <c r="M9917" s="13"/>
      <c r="N9917" s="2"/>
      <c r="O9917" s="20"/>
      <c r="P9917" s="42"/>
      <c r="R9917" s="23"/>
    </row>
    <row r="9918" spans="1:18" ht="12.75">
      <c r="A9918" s="12"/>
      <c r="D9918" s="12"/>
      <c r="E9918" s="12"/>
      <c r="H9918" s="11" t="str">
        <f ca="1">IFERROR(__xludf.DUMMYFUNCTION("IFERROR(SUBSTITUTE(SUBSTITUTE(REGEXEXTRACT(A9918, ""[^-]+- [^-]+- [^-]+ - (.+?)\.jpg""), "".jpg"", """"), ""-"", "", ""), """")"),"")</f>
        <v/>
      </c>
      <c r="L9918" s="12"/>
      <c r="M9918" s="13"/>
      <c r="N9918" s="2"/>
      <c r="O9918" s="20"/>
      <c r="P9918" s="42"/>
      <c r="R9918" s="23"/>
    </row>
    <row r="9919" spans="1:18" ht="12.75">
      <c r="A9919" s="12"/>
      <c r="D9919" s="12"/>
      <c r="E9919" s="12"/>
      <c r="H9919" s="11" t="str">
        <f ca="1">IFERROR(__xludf.DUMMYFUNCTION("IFERROR(SUBSTITUTE(SUBSTITUTE(REGEXEXTRACT(A9919, ""[^-]+- [^-]+- [^-]+ - (.+?)\.jpg""), "".jpg"", """"), ""-"", "", ""), """")"),"")</f>
        <v/>
      </c>
      <c r="L9919" s="12"/>
      <c r="M9919" s="13"/>
      <c r="N9919" s="2"/>
      <c r="O9919" s="20"/>
      <c r="P9919" s="42"/>
      <c r="R9919" s="23"/>
    </row>
    <row r="9920" spans="1:18" ht="12.75">
      <c r="A9920" s="12"/>
      <c r="D9920" s="12"/>
      <c r="E9920" s="12"/>
      <c r="H9920" s="11" t="str">
        <f ca="1">IFERROR(__xludf.DUMMYFUNCTION("IFERROR(SUBSTITUTE(SUBSTITUTE(REGEXEXTRACT(A9920, ""[^-]+- [^-]+- [^-]+ - (.+?)\.jpg""), "".jpg"", """"), ""-"", "", ""), """")"),"")</f>
        <v/>
      </c>
      <c r="L9920" s="12"/>
      <c r="M9920" s="13"/>
      <c r="N9920" s="2"/>
      <c r="O9920" s="20"/>
      <c r="P9920" s="42"/>
      <c r="R9920" s="23"/>
    </row>
    <row r="9921" spans="1:18" ht="12.75">
      <c r="A9921" s="12"/>
      <c r="D9921" s="12"/>
      <c r="E9921" s="12"/>
      <c r="H9921" s="11" t="str">
        <f ca="1">IFERROR(__xludf.DUMMYFUNCTION("IFERROR(SUBSTITUTE(SUBSTITUTE(REGEXEXTRACT(A9921, ""[^-]+- [^-]+- [^-]+ - (.+?)\.jpg""), "".jpg"", """"), ""-"", "", ""), """")"),"")</f>
        <v/>
      </c>
      <c r="L9921" s="12"/>
      <c r="M9921" s="13"/>
      <c r="N9921" s="2"/>
      <c r="O9921" s="20"/>
      <c r="P9921" s="42"/>
      <c r="R9921" s="23"/>
    </row>
    <row r="9922" spans="1:18" ht="12.75">
      <c r="A9922" s="12"/>
      <c r="D9922" s="12"/>
      <c r="E9922" s="12"/>
      <c r="H9922" s="11" t="str">
        <f ca="1">IFERROR(__xludf.DUMMYFUNCTION("IFERROR(SUBSTITUTE(SUBSTITUTE(REGEXEXTRACT(A9922, ""[^-]+- [^-]+- [^-]+ - (.+?)\.jpg""), "".jpg"", """"), ""-"", "", ""), """")"),"")</f>
        <v/>
      </c>
      <c r="L9922" s="12"/>
      <c r="M9922" s="13"/>
      <c r="N9922" s="2"/>
      <c r="O9922" s="20"/>
      <c r="P9922" s="42"/>
      <c r="R9922" s="23"/>
    </row>
    <row r="9923" spans="1:18" ht="12.75">
      <c r="A9923" s="12"/>
      <c r="D9923" s="12"/>
      <c r="E9923" s="12"/>
      <c r="H9923" s="11" t="str">
        <f ca="1">IFERROR(__xludf.DUMMYFUNCTION("IFERROR(SUBSTITUTE(SUBSTITUTE(REGEXEXTRACT(A9923, ""[^-]+- [^-]+- [^-]+ - (.+?)\.jpg""), "".jpg"", """"), ""-"", "", ""), """")"),"")</f>
        <v/>
      </c>
      <c r="L9923" s="12"/>
      <c r="M9923" s="13"/>
      <c r="N9923" s="2"/>
      <c r="O9923" s="20"/>
      <c r="P9923" s="42"/>
      <c r="R9923" s="23"/>
    </row>
    <row r="9924" spans="1:18" ht="12.75">
      <c r="A9924" s="12"/>
      <c r="D9924" s="12"/>
      <c r="E9924" s="12"/>
      <c r="H9924" s="11" t="str">
        <f ca="1">IFERROR(__xludf.DUMMYFUNCTION("IFERROR(SUBSTITUTE(SUBSTITUTE(REGEXEXTRACT(A9924, ""[^-]+- [^-]+- [^-]+ - (.+?)\.jpg""), "".jpg"", """"), ""-"", "", ""), """")"),"")</f>
        <v/>
      </c>
      <c r="L9924" s="12"/>
      <c r="M9924" s="13"/>
      <c r="N9924" s="2"/>
      <c r="O9924" s="20"/>
      <c r="P9924" s="42"/>
      <c r="R9924" s="23"/>
    </row>
    <row r="9925" spans="1:18" ht="12.75">
      <c r="A9925" s="12"/>
      <c r="D9925" s="12"/>
      <c r="E9925" s="12"/>
      <c r="H9925" s="11" t="str">
        <f ca="1">IFERROR(__xludf.DUMMYFUNCTION("IFERROR(SUBSTITUTE(SUBSTITUTE(REGEXEXTRACT(A9925, ""[^-]+- [^-]+- [^-]+ - (.+?)\.jpg""), "".jpg"", """"), ""-"", "", ""), """")"),"")</f>
        <v/>
      </c>
      <c r="L9925" s="12"/>
      <c r="M9925" s="13"/>
      <c r="N9925" s="2"/>
      <c r="O9925" s="20"/>
      <c r="P9925" s="42"/>
      <c r="R9925" s="23"/>
    </row>
    <row r="9926" spans="1:18" ht="12.75">
      <c r="A9926" s="12"/>
      <c r="D9926" s="12"/>
      <c r="E9926" s="12"/>
      <c r="H9926" s="11" t="str">
        <f ca="1">IFERROR(__xludf.DUMMYFUNCTION("IFERROR(SUBSTITUTE(SUBSTITUTE(REGEXEXTRACT(A9926, ""[^-]+- [^-]+- [^-]+ - (.+?)\.jpg""), "".jpg"", """"), ""-"", "", ""), """")"),"")</f>
        <v/>
      </c>
      <c r="L9926" s="12"/>
      <c r="M9926" s="13"/>
      <c r="N9926" s="2"/>
      <c r="O9926" s="20"/>
      <c r="P9926" s="42"/>
      <c r="R9926" s="23"/>
    </row>
    <row r="9927" spans="1:18" ht="12.75">
      <c r="A9927" s="12"/>
      <c r="D9927" s="12"/>
      <c r="E9927" s="12"/>
      <c r="H9927" s="11" t="str">
        <f ca="1">IFERROR(__xludf.DUMMYFUNCTION("IFERROR(SUBSTITUTE(SUBSTITUTE(REGEXEXTRACT(A9927, ""[^-]+- [^-]+- [^-]+ - (.+?)\.jpg""), "".jpg"", """"), ""-"", "", ""), """")"),"")</f>
        <v/>
      </c>
      <c r="L9927" s="12"/>
      <c r="M9927" s="13"/>
      <c r="N9927" s="2"/>
      <c r="O9927" s="20"/>
      <c r="P9927" s="42"/>
      <c r="R9927" s="23"/>
    </row>
    <row r="9928" spans="1:18" ht="12.75">
      <c r="A9928" s="12"/>
      <c r="D9928" s="12"/>
      <c r="E9928" s="12"/>
      <c r="H9928" s="11" t="str">
        <f ca="1">IFERROR(__xludf.DUMMYFUNCTION("IFERROR(SUBSTITUTE(SUBSTITUTE(REGEXEXTRACT(A9928, ""[^-]+- [^-]+- [^-]+ - (.+?)\.jpg""), "".jpg"", """"), ""-"", "", ""), """")"),"")</f>
        <v/>
      </c>
      <c r="L9928" s="12"/>
      <c r="M9928" s="13"/>
      <c r="N9928" s="2"/>
      <c r="O9928" s="20"/>
      <c r="P9928" s="42"/>
      <c r="R9928" s="23"/>
    </row>
    <row r="9929" spans="1:18" ht="12.75">
      <c r="A9929" s="12"/>
      <c r="D9929" s="12"/>
      <c r="E9929" s="12"/>
      <c r="H9929" s="11" t="str">
        <f ca="1">IFERROR(__xludf.DUMMYFUNCTION("IFERROR(SUBSTITUTE(SUBSTITUTE(REGEXEXTRACT(A9929, ""[^-]+- [^-]+- [^-]+ - (.+?)\.jpg""), "".jpg"", """"), ""-"", "", ""), """")"),"")</f>
        <v/>
      </c>
      <c r="L9929" s="12"/>
      <c r="M9929" s="13"/>
      <c r="N9929" s="2"/>
      <c r="O9929" s="20"/>
      <c r="P9929" s="42"/>
      <c r="R9929" s="23"/>
    </row>
    <row r="9930" spans="1:18" ht="12.75">
      <c r="A9930" s="12"/>
      <c r="D9930" s="12"/>
      <c r="E9930" s="12"/>
      <c r="H9930" s="11" t="str">
        <f ca="1">IFERROR(__xludf.DUMMYFUNCTION("IFERROR(SUBSTITUTE(SUBSTITUTE(REGEXEXTRACT(A9930, ""[^-]+- [^-]+- [^-]+ - (.+?)\.jpg""), "".jpg"", """"), ""-"", "", ""), """")"),"")</f>
        <v/>
      </c>
      <c r="L9930" s="12"/>
      <c r="M9930" s="13"/>
      <c r="N9930" s="2"/>
      <c r="O9930" s="20"/>
      <c r="P9930" s="42"/>
      <c r="R9930" s="23"/>
    </row>
    <row r="9931" spans="1:18" ht="12.75">
      <c r="A9931" s="12"/>
      <c r="D9931" s="12"/>
      <c r="E9931" s="12"/>
      <c r="H9931" s="11" t="str">
        <f ca="1">IFERROR(__xludf.DUMMYFUNCTION("IFERROR(SUBSTITUTE(SUBSTITUTE(REGEXEXTRACT(A9931, ""[^-]+- [^-]+- [^-]+ - (.+?)\.jpg""), "".jpg"", """"), ""-"", "", ""), """")"),"")</f>
        <v/>
      </c>
      <c r="L9931" s="12"/>
      <c r="M9931" s="13"/>
      <c r="N9931" s="2"/>
      <c r="O9931" s="20"/>
      <c r="P9931" s="42"/>
      <c r="R9931" s="23"/>
    </row>
    <row r="9932" spans="1:18" ht="12.75">
      <c r="A9932" s="12"/>
      <c r="D9932" s="12"/>
      <c r="E9932" s="12"/>
      <c r="H9932" s="11" t="str">
        <f ca="1">IFERROR(__xludf.DUMMYFUNCTION("IFERROR(SUBSTITUTE(SUBSTITUTE(REGEXEXTRACT(A9932, ""[^-]+- [^-]+- [^-]+ - (.+?)\.jpg""), "".jpg"", """"), ""-"", "", ""), """")"),"")</f>
        <v/>
      </c>
      <c r="L9932" s="12"/>
      <c r="M9932" s="13"/>
      <c r="N9932" s="2"/>
      <c r="O9932" s="20"/>
      <c r="P9932" s="42"/>
      <c r="R9932" s="23"/>
    </row>
    <row r="9933" spans="1:18" ht="12.75">
      <c r="A9933" s="12"/>
      <c r="D9933" s="12"/>
      <c r="E9933" s="12"/>
      <c r="H9933" s="11" t="str">
        <f ca="1">IFERROR(__xludf.DUMMYFUNCTION("IFERROR(SUBSTITUTE(SUBSTITUTE(REGEXEXTRACT(A9933, ""[^-]+- [^-]+- [^-]+ - (.+?)\.jpg""), "".jpg"", """"), ""-"", "", ""), """")"),"")</f>
        <v/>
      </c>
      <c r="L9933" s="12"/>
      <c r="M9933" s="13"/>
      <c r="N9933" s="2"/>
      <c r="O9933" s="20"/>
      <c r="P9933" s="42"/>
      <c r="R9933" s="23"/>
    </row>
    <row r="9934" spans="1:18" ht="12.75">
      <c r="A9934" s="12"/>
      <c r="D9934" s="12"/>
      <c r="E9934" s="12"/>
      <c r="H9934" s="11" t="str">
        <f ca="1">IFERROR(__xludf.DUMMYFUNCTION("IFERROR(SUBSTITUTE(SUBSTITUTE(REGEXEXTRACT(A9934, ""[^-]+- [^-]+- [^-]+ - (.+?)\.jpg""), "".jpg"", """"), ""-"", "", ""), """")"),"")</f>
        <v/>
      </c>
      <c r="L9934" s="12"/>
      <c r="M9934" s="13"/>
      <c r="N9934" s="2"/>
      <c r="O9934" s="20"/>
      <c r="P9934" s="42"/>
      <c r="R9934" s="23"/>
    </row>
    <row r="9935" spans="1:18" ht="12.75">
      <c r="A9935" s="12"/>
      <c r="D9935" s="12"/>
      <c r="E9935" s="12"/>
      <c r="H9935" s="11" t="str">
        <f ca="1">IFERROR(__xludf.DUMMYFUNCTION("IFERROR(SUBSTITUTE(SUBSTITUTE(REGEXEXTRACT(A9935, ""[^-]+- [^-]+- [^-]+ - (.+?)\.jpg""), "".jpg"", """"), ""-"", "", ""), """")"),"")</f>
        <v/>
      </c>
      <c r="L9935" s="12"/>
      <c r="M9935" s="13"/>
      <c r="N9935" s="2"/>
      <c r="O9935" s="20"/>
      <c r="P9935" s="42"/>
      <c r="R9935" s="23"/>
    </row>
    <row r="9936" spans="1:18" ht="12.75">
      <c r="A9936" s="12"/>
      <c r="D9936" s="12"/>
      <c r="E9936" s="12"/>
      <c r="H9936" s="11" t="str">
        <f ca="1">IFERROR(__xludf.DUMMYFUNCTION("IFERROR(SUBSTITUTE(SUBSTITUTE(REGEXEXTRACT(A9936, ""[^-]+- [^-]+- [^-]+ - (.+?)\.jpg""), "".jpg"", """"), ""-"", "", ""), """")"),"")</f>
        <v/>
      </c>
      <c r="L9936" s="12"/>
      <c r="M9936" s="13"/>
      <c r="N9936" s="2"/>
      <c r="O9936" s="20"/>
      <c r="P9936" s="42"/>
      <c r="R9936" s="23"/>
    </row>
    <row r="9937" spans="1:18" ht="12.75">
      <c r="A9937" s="12"/>
      <c r="D9937" s="12"/>
      <c r="E9937" s="12"/>
      <c r="H9937" s="11" t="str">
        <f ca="1">IFERROR(__xludf.DUMMYFUNCTION("IFERROR(SUBSTITUTE(SUBSTITUTE(REGEXEXTRACT(A9937, ""[^-]+- [^-]+- [^-]+ - (.+?)\.jpg""), "".jpg"", """"), ""-"", "", ""), """")"),"")</f>
        <v/>
      </c>
      <c r="L9937" s="12"/>
      <c r="M9937" s="13"/>
      <c r="N9937" s="2"/>
      <c r="O9937" s="20"/>
      <c r="P9937" s="42"/>
      <c r="R9937" s="23"/>
    </row>
    <row r="9938" spans="1:18" ht="12.75">
      <c r="A9938" s="12"/>
      <c r="D9938" s="12"/>
      <c r="E9938" s="12"/>
      <c r="H9938" s="11" t="str">
        <f ca="1">IFERROR(__xludf.DUMMYFUNCTION("IFERROR(SUBSTITUTE(SUBSTITUTE(REGEXEXTRACT(A9938, ""[^-]+- [^-]+- [^-]+ - (.+?)\.jpg""), "".jpg"", """"), ""-"", "", ""), """")"),"")</f>
        <v/>
      </c>
      <c r="L9938" s="12"/>
      <c r="M9938" s="13"/>
      <c r="N9938" s="2"/>
      <c r="O9938" s="20"/>
      <c r="P9938" s="42"/>
      <c r="R9938" s="23"/>
    </row>
    <row r="9939" spans="1:18" ht="12.75">
      <c r="A9939" s="12"/>
      <c r="D9939" s="12"/>
      <c r="E9939" s="12"/>
      <c r="H9939" s="11" t="str">
        <f ca="1">IFERROR(__xludf.DUMMYFUNCTION("IFERROR(SUBSTITUTE(SUBSTITUTE(REGEXEXTRACT(A9939, ""[^-]+- [^-]+- [^-]+ - (.+?)\.jpg""), "".jpg"", """"), ""-"", "", ""), """")"),"")</f>
        <v/>
      </c>
      <c r="L9939" s="12"/>
      <c r="M9939" s="13"/>
      <c r="N9939" s="2"/>
      <c r="O9939" s="20"/>
      <c r="P9939" s="42"/>
      <c r="R9939" s="23"/>
    </row>
    <row r="9940" spans="1:18" ht="12.75">
      <c r="A9940" s="12"/>
      <c r="D9940" s="12"/>
      <c r="E9940" s="12"/>
      <c r="H9940" s="11" t="str">
        <f ca="1">IFERROR(__xludf.DUMMYFUNCTION("IFERROR(SUBSTITUTE(SUBSTITUTE(REGEXEXTRACT(A9940, ""[^-]+- [^-]+- [^-]+ - (.+?)\.jpg""), "".jpg"", """"), ""-"", "", ""), """")"),"")</f>
        <v/>
      </c>
      <c r="L9940" s="12"/>
      <c r="M9940" s="13"/>
      <c r="N9940" s="2"/>
      <c r="O9940" s="20"/>
      <c r="P9940" s="42"/>
      <c r="R9940" s="23"/>
    </row>
    <row r="9941" spans="1:18" ht="12.75">
      <c r="A9941" s="12"/>
      <c r="D9941" s="12"/>
      <c r="E9941" s="12"/>
      <c r="H9941" s="11" t="str">
        <f ca="1">IFERROR(__xludf.DUMMYFUNCTION("IFERROR(SUBSTITUTE(SUBSTITUTE(REGEXEXTRACT(A9941, ""[^-]+- [^-]+- [^-]+ - (.+?)\.jpg""), "".jpg"", """"), ""-"", "", ""), """")"),"")</f>
        <v/>
      </c>
      <c r="L9941" s="12"/>
      <c r="M9941" s="13"/>
      <c r="N9941" s="2"/>
      <c r="O9941" s="20"/>
      <c r="P9941" s="42"/>
      <c r="R9941" s="23"/>
    </row>
    <row r="9942" spans="1:18" ht="12.75">
      <c r="A9942" s="12"/>
      <c r="D9942" s="12"/>
      <c r="E9942" s="12"/>
      <c r="H9942" s="11" t="str">
        <f ca="1">IFERROR(__xludf.DUMMYFUNCTION("IFERROR(SUBSTITUTE(SUBSTITUTE(REGEXEXTRACT(A9942, ""[^-]+- [^-]+- [^-]+ - (.+?)\.jpg""), "".jpg"", """"), ""-"", "", ""), """")"),"")</f>
        <v/>
      </c>
      <c r="L9942" s="12"/>
      <c r="M9942" s="13"/>
      <c r="N9942" s="2"/>
      <c r="O9942" s="20"/>
      <c r="P9942" s="42"/>
      <c r="R9942" s="23"/>
    </row>
    <row r="9943" spans="1:18" ht="12.75">
      <c r="A9943" s="12"/>
      <c r="D9943" s="12"/>
      <c r="E9943" s="12"/>
      <c r="H9943" s="11" t="str">
        <f ca="1">IFERROR(__xludf.DUMMYFUNCTION("IFERROR(SUBSTITUTE(SUBSTITUTE(REGEXEXTRACT(A9943, ""[^-]+- [^-]+- [^-]+ - (.+?)\.jpg""), "".jpg"", """"), ""-"", "", ""), """")"),"")</f>
        <v/>
      </c>
      <c r="L9943" s="12"/>
      <c r="M9943" s="13"/>
      <c r="N9943" s="2"/>
      <c r="O9943" s="20"/>
      <c r="P9943" s="42"/>
      <c r="R9943" s="23"/>
    </row>
    <row r="9944" spans="1:18" ht="12.75">
      <c r="A9944" s="12"/>
      <c r="D9944" s="12"/>
      <c r="E9944" s="12"/>
      <c r="H9944" s="11" t="str">
        <f ca="1">IFERROR(__xludf.DUMMYFUNCTION("IFERROR(SUBSTITUTE(SUBSTITUTE(REGEXEXTRACT(A9944, ""[^-]+- [^-]+- [^-]+ - (.+?)\.jpg""), "".jpg"", """"), ""-"", "", ""), """")"),"")</f>
        <v/>
      </c>
      <c r="L9944" s="12"/>
      <c r="M9944" s="13"/>
      <c r="N9944" s="2"/>
      <c r="O9944" s="20"/>
      <c r="P9944" s="42"/>
      <c r="R9944" s="23"/>
    </row>
    <row r="9945" spans="1:18" ht="12.75">
      <c r="A9945" s="12"/>
      <c r="D9945" s="12"/>
      <c r="E9945" s="12"/>
      <c r="H9945" s="11" t="str">
        <f ca="1">IFERROR(__xludf.DUMMYFUNCTION("IFERROR(SUBSTITUTE(SUBSTITUTE(REGEXEXTRACT(A9945, ""[^-]+- [^-]+- [^-]+ - (.+?)\.jpg""), "".jpg"", """"), ""-"", "", ""), """")"),"")</f>
        <v/>
      </c>
      <c r="L9945" s="12"/>
      <c r="M9945" s="13"/>
      <c r="N9945" s="2"/>
      <c r="O9945" s="20"/>
      <c r="P9945" s="42"/>
      <c r="R9945" s="23"/>
    </row>
    <row r="9946" spans="1:18" ht="12.75">
      <c r="A9946" s="12"/>
      <c r="D9946" s="12"/>
      <c r="E9946" s="12"/>
      <c r="H9946" s="11" t="str">
        <f ca="1">IFERROR(__xludf.DUMMYFUNCTION("IFERROR(SUBSTITUTE(SUBSTITUTE(REGEXEXTRACT(A9946, ""[^-]+- [^-]+- [^-]+ - (.+?)\.jpg""), "".jpg"", """"), ""-"", "", ""), """")"),"")</f>
        <v/>
      </c>
      <c r="L9946" s="12"/>
      <c r="M9946" s="13"/>
      <c r="N9946" s="2"/>
      <c r="O9946" s="20"/>
      <c r="P9946" s="42"/>
      <c r="R9946" s="23"/>
    </row>
    <row r="9947" spans="1:18" ht="12.75">
      <c r="A9947" s="12"/>
      <c r="D9947" s="12"/>
      <c r="E9947" s="12"/>
      <c r="H9947" s="11" t="str">
        <f ca="1">IFERROR(__xludf.DUMMYFUNCTION("IFERROR(SUBSTITUTE(SUBSTITUTE(REGEXEXTRACT(A9947, ""[^-]+- [^-]+- [^-]+ - (.+?)\.jpg""), "".jpg"", """"), ""-"", "", ""), """")"),"")</f>
        <v/>
      </c>
      <c r="L9947" s="12"/>
      <c r="M9947" s="13"/>
      <c r="N9947" s="2"/>
      <c r="O9947" s="20"/>
      <c r="P9947" s="42"/>
      <c r="R9947" s="23"/>
    </row>
    <row r="9948" spans="1:18" ht="12.75">
      <c r="A9948" s="12"/>
      <c r="D9948" s="12"/>
      <c r="E9948" s="12"/>
      <c r="H9948" s="11" t="str">
        <f ca="1">IFERROR(__xludf.DUMMYFUNCTION("IFERROR(SUBSTITUTE(SUBSTITUTE(REGEXEXTRACT(A9948, ""[^-]+- [^-]+- [^-]+ - (.+?)\.jpg""), "".jpg"", """"), ""-"", "", ""), """")"),"")</f>
        <v/>
      </c>
      <c r="L9948" s="12"/>
      <c r="M9948" s="13"/>
      <c r="N9948" s="2"/>
      <c r="O9948" s="20"/>
      <c r="P9948" s="42"/>
      <c r="R9948" s="23"/>
    </row>
    <row r="9949" spans="1:18" ht="12.75">
      <c r="A9949" s="12"/>
      <c r="D9949" s="12"/>
      <c r="E9949" s="12"/>
      <c r="H9949" s="11" t="str">
        <f ca="1">IFERROR(__xludf.DUMMYFUNCTION("IFERROR(SUBSTITUTE(SUBSTITUTE(REGEXEXTRACT(A9949, ""[^-]+- [^-]+- [^-]+ - (.+?)\.jpg""), "".jpg"", """"), ""-"", "", ""), """")"),"")</f>
        <v/>
      </c>
      <c r="L9949" s="12"/>
      <c r="M9949" s="13"/>
      <c r="N9949" s="2"/>
      <c r="O9949" s="20"/>
      <c r="P9949" s="42"/>
      <c r="R9949" s="23"/>
    </row>
    <row r="9950" spans="1:18" ht="12.75">
      <c r="A9950" s="12"/>
      <c r="D9950" s="12"/>
      <c r="E9950" s="12"/>
      <c r="H9950" s="11" t="str">
        <f ca="1">IFERROR(__xludf.DUMMYFUNCTION("IFERROR(SUBSTITUTE(SUBSTITUTE(REGEXEXTRACT(A9950, ""[^-]+- [^-]+- [^-]+ - (.+?)\.jpg""), "".jpg"", """"), ""-"", "", ""), """")"),"")</f>
        <v/>
      </c>
      <c r="L9950" s="12"/>
      <c r="M9950" s="13"/>
      <c r="N9950" s="2"/>
      <c r="O9950" s="20"/>
      <c r="P9950" s="42"/>
      <c r="R9950" s="23"/>
    </row>
    <row r="9951" spans="1:18" ht="12.75">
      <c r="A9951" s="12"/>
      <c r="D9951" s="12"/>
      <c r="E9951" s="12"/>
      <c r="H9951" s="11" t="str">
        <f ca="1">IFERROR(__xludf.DUMMYFUNCTION("IFERROR(SUBSTITUTE(SUBSTITUTE(REGEXEXTRACT(A9951, ""[^-]+- [^-]+- [^-]+ - (.+?)\.jpg""), "".jpg"", """"), ""-"", "", ""), """")"),"")</f>
        <v/>
      </c>
      <c r="L9951" s="12"/>
      <c r="M9951" s="13"/>
      <c r="N9951" s="2"/>
      <c r="O9951" s="20"/>
      <c r="P9951" s="42"/>
      <c r="R9951" s="23"/>
    </row>
    <row r="9952" spans="1:18" ht="12.75">
      <c r="A9952" s="12"/>
      <c r="D9952" s="12"/>
      <c r="E9952" s="12"/>
      <c r="H9952" s="11" t="str">
        <f ca="1">IFERROR(__xludf.DUMMYFUNCTION("IFERROR(SUBSTITUTE(SUBSTITUTE(REGEXEXTRACT(A9952, ""[^-]+- [^-]+- [^-]+ - (.+?)\.jpg""), "".jpg"", """"), ""-"", "", ""), """")"),"")</f>
        <v/>
      </c>
      <c r="L9952" s="12"/>
      <c r="M9952" s="13"/>
      <c r="N9952" s="2"/>
      <c r="O9952" s="20"/>
      <c r="P9952" s="42"/>
      <c r="R9952" s="23"/>
    </row>
    <row r="9953" spans="1:18" ht="12.75">
      <c r="A9953" s="12"/>
      <c r="D9953" s="12"/>
      <c r="E9953" s="12"/>
      <c r="H9953" s="11" t="str">
        <f ca="1">IFERROR(__xludf.DUMMYFUNCTION("IFERROR(SUBSTITUTE(SUBSTITUTE(REGEXEXTRACT(A9953, ""[^-]+- [^-]+- [^-]+ - (.+?)\.jpg""), "".jpg"", """"), ""-"", "", ""), """")"),"")</f>
        <v/>
      </c>
      <c r="L9953" s="12"/>
      <c r="M9953" s="13"/>
      <c r="N9953" s="2"/>
      <c r="O9953" s="20"/>
      <c r="P9953" s="42"/>
      <c r="R9953" s="23"/>
    </row>
    <row r="9954" spans="1:18" ht="12.75">
      <c r="A9954" s="12"/>
      <c r="D9954" s="12"/>
      <c r="E9954" s="12"/>
      <c r="H9954" s="11" t="str">
        <f ca="1">IFERROR(__xludf.DUMMYFUNCTION("IFERROR(SUBSTITUTE(SUBSTITUTE(REGEXEXTRACT(A9954, ""[^-]+- [^-]+- [^-]+ - (.+?)\.jpg""), "".jpg"", """"), ""-"", "", ""), """")"),"")</f>
        <v/>
      </c>
      <c r="L9954" s="12"/>
      <c r="M9954" s="13"/>
      <c r="N9954" s="2"/>
      <c r="O9954" s="20"/>
      <c r="P9954" s="42"/>
      <c r="R9954" s="23"/>
    </row>
    <row r="9955" spans="1:18" ht="12.75">
      <c r="A9955" s="12"/>
      <c r="D9955" s="12"/>
      <c r="E9955" s="12"/>
      <c r="H9955" s="11" t="str">
        <f ca="1">IFERROR(__xludf.DUMMYFUNCTION("IFERROR(SUBSTITUTE(SUBSTITUTE(REGEXEXTRACT(A9955, ""[^-]+- [^-]+- [^-]+ - (.+?)\.jpg""), "".jpg"", """"), ""-"", "", ""), """")"),"")</f>
        <v/>
      </c>
      <c r="L9955" s="12"/>
      <c r="M9955" s="13"/>
      <c r="N9955" s="2"/>
      <c r="O9955" s="20"/>
      <c r="P9955" s="42"/>
      <c r="R9955" s="23"/>
    </row>
    <row r="9956" spans="1:18" ht="12.75">
      <c r="A9956" s="12"/>
      <c r="D9956" s="12"/>
      <c r="E9956" s="12"/>
      <c r="H9956" s="11" t="str">
        <f ca="1">IFERROR(__xludf.DUMMYFUNCTION("IFERROR(SUBSTITUTE(SUBSTITUTE(REGEXEXTRACT(A9956, ""[^-]+- [^-]+- [^-]+ - (.+?)\.jpg""), "".jpg"", """"), ""-"", "", ""), """")"),"")</f>
        <v/>
      </c>
      <c r="L9956" s="12"/>
      <c r="M9956" s="13"/>
      <c r="N9956" s="2"/>
      <c r="O9956" s="20"/>
      <c r="P9956" s="42"/>
      <c r="R9956" s="23"/>
    </row>
    <row r="9957" spans="1:18" ht="12.75">
      <c r="A9957" s="12"/>
      <c r="D9957" s="12"/>
      <c r="E9957" s="12"/>
      <c r="H9957" s="11" t="str">
        <f ca="1">IFERROR(__xludf.DUMMYFUNCTION("IFERROR(SUBSTITUTE(SUBSTITUTE(REGEXEXTRACT(A9957, ""[^-]+- [^-]+- [^-]+ - (.+?)\.jpg""), "".jpg"", """"), ""-"", "", ""), """")"),"")</f>
        <v/>
      </c>
      <c r="L9957" s="12"/>
      <c r="M9957" s="13"/>
      <c r="N9957" s="2"/>
      <c r="O9957" s="20"/>
      <c r="P9957" s="42"/>
      <c r="R9957" s="23"/>
    </row>
    <row r="9958" spans="1:18" ht="12.75">
      <c r="A9958" s="12"/>
      <c r="D9958" s="12"/>
      <c r="E9958" s="12"/>
      <c r="H9958" s="11" t="str">
        <f ca="1">IFERROR(__xludf.DUMMYFUNCTION("IFERROR(SUBSTITUTE(SUBSTITUTE(REGEXEXTRACT(A9958, ""[^-]+- [^-]+- [^-]+ - (.+?)\.jpg""), "".jpg"", """"), ""-"", "", ""), """")"),"")</f>
        <v/>
      </c>
      <c r="L9958" s="12"/>
      <c r="M9958" s="13"/>
      <c r="N9958" s="2"/>
      <c r="O9958" s="20"/>
      <c r="P9958" s="42"/>
      <c r="R9958" s="23"/>
    </row>
    <row r="9959" spans="1:18" ht="12.75">
      <c r="A9959" s="12"/>
      <c r="D9959" s="12"/>
      <c r="E9959" s="12"/>
      <c r="H9959" s="11" t="str">
        <f ca="1">IFERROR(__xludf.DUMMYFUNCTION("IFERROR(SUBSTITUTE(SUBSTITUTE(REGEXEXTRACT(A9959, ""[^-]+- [^-]+- [^-]+ - (.+?)\.jpg""), "".jpg"", """"), ""-"", "", ""), """")"),"")</f>
        <v/>
      </c>
      <c r="L9959" s="12"/>
      <c r="M9959" s="13"/>
      <c r="N9959" s="2"/>
      <c r="O9959" s="20"/>
      <c r="P9959" s="42"/>
      <c r="R9959" s="23"/>
    </row>
    <row r="9960" spans="1:18" ht="12.75">
      <c r="A9960" s="12"/>
      <c r="D9960" s="12"/>
      <c r="E9960" s="12"/>
      <c r="H9960" s="11" t="str">
        <f ca="1">IFERROR(__xludf.DUMMYFUNCTION("IFERROR(SUBSTITUTE(SUBSTITUTE(REGEXEXTRACT(A9960, ""[^-]+- [^-]+- [^-]+ - (.+?)\.jpg""), "".jpg"", """"), ""-"", "", ""), """")"),"")</f>
        <v/>
      </c>
      <c r="L9960" s="12"/>
      <c r="M9960" s="13"/>
      <c r="N9960" s="2"/>
      <c r="O9960" s="20"/>
      <c r="P9960" s="42"/>
      <c r="R9960" s="23"/>
    </row>
    <row r="9961" spans="1:18" ht="12.75">
      <c r="A9961" s="12"/>
      <c r="D9961" s="12"/>
      <c r="E9961" s="12"/>
      <c r="H9961" s="11" t="str">
        <f ca="1">IFERROR(__xludf.DUMMYFUNCTION("IFERROR(SUBSTITUTE(SUBSTITUTE(REGEXEXTRACT(A9961, ""[^-]+- [^-]+- [^-]+ - (.+?)\.jpg""), "".jpg"", """"), ""-"", "", ""), """")"),"")</f>
        <v/>
      </c>
      <c r="L9961" s="12"/>
      <c r="M9961" s="13"/>
      <c r="N9961" s="2"/>
      <c r="O9961" s="20"/>
      <c r="P9961" s="42"/>
      <c r="R9961" s="23"/>
    </row>
    <row r="9962" spans="1:18" ht="12.75">
      <c r="A9962" s="12"/>
      <c r="D9962" s="12"/>
      <c r="E9962" s="12"/>
      <c r="H9962" s="11" t="str">
        <f ca="1">IFERROR(__xludf.DUMMYFUNCTION("IFERROR(SUBSTITUTE(SUBSTITUTE(REGEXEXTRACT(A9962, ""[^-]+- [^-]+- [^-]+ - (.+?)\.jpg""), "".jpg"", """"), ""-"", "", ""), """")"),"")</f>
        <v/>
      </c>
      <c r="L9962" s="12"/>
      <c r="M9962" s="13"/>
      <c r="N9962" s="2"/>
      <c r="O9962" s="20"/>
      <c r="P9962" s="42"/>
      <c r="R9962" s="23"/>
    </row>
    <row r="9963" spans="1:18" ht="12.75">
      <c r="A9963" s="12"/>
      <c r="D9963" s="12"/>
      <c r="E9963" s="12"/>
      <c r="H9963" s="11" t="str">
        <f ca="1">IFERROR(__xludf.DUMMYFUNCTION("IFERROR(SUBSTITUTE(SUBSTITUTE(REGEXEXTRACT(A9963, ""[^-]+- [^-]+- [^-]+ - (.+?)\.jpg""), "".jpg"", """"), ""-"", "", ""), """")"),"")</f>
        <v/>
      </c>
      <c r="L9963" s="12"/>
      <c r="M9963" s="13"/>
      <c r="N9963" s="2"/>
      <c r="O9963" s="20"/>
      <c r="P9963" s="42"/>
      <c r="R9963" s="23"/>
    </row>
    <row r="9964" spans="1:18" ht="12.75">
      <c r="A9964" s="12"/>
      <c r="D9964" s="12"/>
      <c r="E9964" s="12"/>
      <c r="H9964" s="11" t="str">
        <f ca="1">IFERROR(__xludf.DUMMYFUNCTION("IFERROR(SUBSTITUTE(SUBSTITUTE(REGEXEXTRACT(A9964, ""[^-]+- [^-]+- [^-]+ - (.+?)\.jpg""), "".jpg"", """"), ""-"", "", ""), """")"),"")</f>
        <v/>
      </c>
      <c r="L9964" s="12"/>
      <c r="M9964" s="13"/>
      <c r="N9964" s="2"/>
      <c r="O9964" s="20"/>
      <c r="P9964" s="42"/>
      <c r="R9964" s="23"/>
    </row>
    <row r="9965" spans="1:18" ht="12.75">
      <c r="A9965" s="12"/>
      <c r="D9965" s="12"/>
      <c r="E9965" s="12"/>
      <c r="H9965" s="11" t="str">
        <f ca="1">IFERROR(__xludf.DUMMYFUNCTION("IFERROR(SUBSTITUTE(SUBSTITUTE(REGEXEXTRACT(A9965, ""[^-]+- [^-]+- [^-]+ - (.+?)\.jpg""), "".jpg"", """"), ""-"", "", ""), """")"),"")</f>
        <v/>
      </c>
      <c r="L9965" s="12"/>
      <c r="M9965" s="13"/>
      <c r="N9965" s="2"/>
      <c r="O9965" s="20"/>
      <c r="P9965" s="42"/>
      <c r="R9965" s="23"/>
    </row>
    <row r="9966" spans="1:18" ht="12.75">
      <c r="A9966" s="12"/>
      <c r="D9966" s="12"/>
      <c r="E9966" s="12"/>
      <c r="H9966" s="11" t="str">
        <f ca="1">IFERROR(__xludf.DUMMYFUNCTION("IFERROR(SUBSTITUTE(SUBSTITUTE(REGEXEXTRACT(A9966, ""[^-]+- [^-]+- [^-]+ - (.+?)\.jpg""), "".jpg"", """"), ""-"", "", ""), """")"),"")</f>
        <v/>
      </c>
      <c r="L9966" s="12"/>
      <c r="M9966" s="13"/>
      <c r="N9966" s="2"/>
      <c r="O9966" s="20"/>
      <c r="P9966" s="42"/>
      <c r="R9966" s="23"/>
    </row>
    <row r="9967" spans="1:18" ht="12.75">
      <c r="A9967" s="12"/>
      <c r="D9967" s="12"/>
      <c r="E9967" s="12"/>
      <c r="H9967" s="11" t="str">
        <f ca="1">IFERROR(__xludf.DUMMYFUNCTION("IFERROR(SUBSTITUTE(SUBSTITUTE(REGEXEXTRACT(A9967, ""[^-]+- [^-]+- [^-]+ - (.+?)\.jpg""), "".jpg"", """"), ""-"", "", ""), """")"),"")</f>
        <v/>
      </c>
      <c r="L9967" s="12"/>
      <c r="M9967" s="13"/>
      <c r="N9967" s="2"/>
      <c r="O9967" s="20"/>
      <c r="P9967" s="42"/>
      <c r="R9967" s="23"/>
    </row>
    <row r="9968" spans="1:18" ht="12.75">
      <c r="A9968" s="12"/>
      <c r="D9968" s="12"/>
      <c r="E9968" s="12"/>
      <c r="H9968" s="11" t="str">
        <f ca="1">IFERROR(__xludf.DUMMYFUNCTION("IFERROR(SUBSTITUTE(SUBSTITUTE(REGEXEXTRACT(A9968, ""[^-]+- [^-]+- [^-]+ - (.+?)\.jpg""), "".jpg"", """"), ""-"", "", ""), """")"),"")</f>
        <v/>
      </c>
      <c r="L9968" s="12"/>
      <c r="M9968" s="13"/>
      <c r="N9968" s="2"/>
      <c r="O9968" s="20"/>
      <c r="P9968" s="42"/>
      <c r="R9968" s="23"/>
    </row>
    <row r="9969" spans="1:18" ht="12.75">
      <c r="A9969" s="12"/>
      <c r="D9969" s="12"/>
      <c r="E9969" s="12"/>
      <c r="H9969" s="11" t="str">
        <f ca="1">IFERROR(__xludf.DUMMYFUNCTION("IFERROR(SUBSTITUTE(SUBSTITUTE(REGEXEXTRACT(A9969, ""[^-]+- [^-]+- [^-]+ - (.+?)\.jpg""), "".jpg"", """"), ""-"", "", ""), """")"),"")</f>
        <v/>
      </c>
      <c r="L9969" s="12"/>
      <c r="M9969" s="13"/>
      <c r="N9969" s="2"/>
      <c r="O9969" s="20"/>
      <c r="P9969" s="42"/>
      <c r="R9969" s="23"/>
    </row>
    <row r="9970" spans="1:18" ht="12.75">
      <c r="A9970" s="12"/>
      <c r="D9970" s="12"/>
      <c r="E9970" s="12"/>
      <c r="H9970" s="11" t="str">
        <f ca="1">IFERROR(__xludf.DUMMYFUNCTION("IFERROR(SUBSTITUTE(SUBSTITUTE(REGEXEXTRACT(A9970, ""[^-]+- [^-]+- [^-]+ - (.+?)\.jpg""), "".jpg"", """"), ""-"", "", ""), """")"),"")</f>
        <v/>
      </c>
      <c r="L9970" s="12"/>
      <c r="M9970" s="13"/>
      <c r="N9970" s="2"/>
      <c r="O9970" s="20"/>
      <c r="P9970" s="42"/>
      <c r="R9970" s="23"/>
    </row>
    <row r="9971" spans="1:18" ht="12.75">
      <c r="A9971" s="12"/>
      <c r="D9971" s="12"/>
      <c r="E9971" s="12"/>
      <c r="H9971" s="11" t="str">
        <f ca="1">IFERROR(__xludf.DUMMYFUNCTION("IFERROR(SUBSTITUTE(SUBSTITUTE(REGEXEXTRACT(A9971, ""[^-]+- [^-]+- [^-]+ - (.+?)\.jpg""), "".jpg"", """"), ""-"", "", ""), """")"),"")</f>
        <v/>
      </c>
      <c r="L9971" s="12"/>
      <c r="M9971" s="13"/>
      <c r="N9971" s="2"/>
      <c r="O9971" s="20"/>
      <c r="P9971" s="42"/>
      <c r="R9971" s="23"/>
    </row>
    <row r="9972" spans="1:18" ht="12.75">
      <c r="A9972" s="12"/>
      <c r="D9972" s="12"/>
      <c r="E9972" s="12"/>
      <c r="H9972" s="11" t="str">
        <f ca="1">IFERROR(__xludf.DUMMYFUNCTION("IFERROR(SUBSTITUTE(SUBSTITUTE(REGEXEXTRACT(A9972, ""[^-]+- [^-]+- [^-]+ - (.+?)\.jpg""), "".jpg"", """"), ""-"", "", ""), """")"),"")</f>
        <v/>
      </c>
      <c r="L9972" s="12"/>
      <c r="M9972" s="13"/>
      <c r="N9972" s="2"/>
      <c r="O9972" s="20"/>
      <c r="P9972" s="42"/>
      <c r="R9972" s="23"/>
    </row>
    <row r="9973" spans="1:18" ht="12.75">
      <c r="A9973" s="12"/>
      <c r="D9973" s="12"/>
      <c r="E9973" s="12"/>
      <c r="H9973" s="11" t="str">
        <f ca="1">IFERROR(__xludf.DUMMYFUNCTION("IFERROR(SUBSTITUTE(SUBSTITUTE(REGEXEXTRACT(A9973, ""[^-]+- [^-]+- [^-]+ - (.+?)\.jpg""), "".jpg"", """"), ""-"", "", ""), """")"),"")</f>
        <v/>
      </c>
      <c r="L9973" s="12"/>
      <c r="M9973" s="13"/>
      <c r="N9973" s="2"/>
      <c r="O9973" s="20"/>
      <c r="P9973" s="42"/>
      <c r="R9973" s="23"/>
    </row>
    <row r="9974" spans="1:18" ht="12.75">
      <c r="A9974" s="12"/>
      <c r="D9974" s="12"/>
      <c r="E9974" s="12"/>
      <c r="H9974" s="11" t="str">
        <f ca="1">IFERROR(__xludf.DUMMYFUNCTION("IFERROR(SUBSTITUTE(SUBSTITUTE(REGEXEXTRACT(A9974, ""[^-]+- [^-]+- [^-]+ - (.+?)\.jpg""), "".jpg"", """"), ""-"", "", ""), """")"),"")</f>
        <v/>
      </c>
      <c r="L9974" s="12"/>
      <c r="M9974" s="13"/>
      <c r="N9974" s="2"/>
      <c r="O9974" s="20"/>
      <c r="P9974" s="42"/>
      <c r="R9974" s="23"/>
    </row>
    <row r="9975" spans="1:18" ht="12.75">
      <c r="A9975" s="12"/>
      <c r="D9975" s="12"/>
      <c r="E9975" s="12"/>
      <c r="H9975" s="11" t="str">
        <f ca="1">IFERROR(__xludf.DUMMYFUNCTION("IFERROR(SUBSTITUTE(SUBSTITUTE(REGEXEXTRACT(A9975, ""[^-]+- [^-]+- [^-]+ - (.+?)\.jpg""), "".jpg"", """"), ""-"", "", ""), """")"),"")</f>
        <v/>
      </c>
      <c r="L9975" s="12"/>
      <c r="M9975" s="13"/>
      <c r="N9975" s="2"/>
      <c r="O9975" s="20"/>
      <c r="P9975" s="42"/>
      <c r="R9975" s="23"/>
    </row>
    <row r="9976" spans="1:18" ht="12.75">
      <c r="A9976" s="12"/>
      <c r="D9976" s="12"/>
      <c r="E9976" s="12"/>
      <c r="H9976" s="11" t="str">
        <f ca="1">IFERROR(__xludf.DUMMYFUNCTION("IFERROR(SUBSTITUTE(SUBSTITUTE(REGEXEXTRACT(A9976, ""[^-]+- [^-]+- [^-]+ - (.+?)\.jpg""), "".jpg"", """"), ""-"", "", ""), """")"),"")</f>
        <v/>
      </c>
      <c r="L9976" s="12"/>
      <c r="M9976" s="13"/>
      <c r="N9976" s="2"/>
      <c r="O9976" s="20"/>
      <c r="P9976" s="42"/>
      <c r="R9976" s="23"/>
    </row>
    <row r="9977" spans="1:18" ht="12.75">
      <c r="A9977" s="12"/>
      <c r="D9977" s="12"/>
      <c r="E9977" s="12"/>
      <c r="H9977" s="11" t="str">
        <f ca="1">IFERROR(__xludf.DUMMYFUNCTION("IFERROR(SUBSTITUTE(SUBSTITUTE(REGEXEXTRACT(A9977, ""[^-]+- [^-]+- [^-]+ - (.+?)\.jpg""), "".jpg"", """"), ""-"", "", ""), """")"),"")</f>
        <v/>
      </c>
      <c r="L9977" s="12"/>
      <c r="M9977" s="13"/>
      <c r="N9977" s="2"/>
      <c r="O9977" s="20"/>
      <c r="P9977" s="42"/>
      <c r="R9977" s="23"/>
    </row>
    <row r="9978" spans="1:18" ht="12.75">
      <c r="A9978" s="12"/>
      <c r="D9978" s="12"/>
      <c r="E9978" s="12"/>
      <c r="H9978" s="11" t="str">
        <f ca="1">IFERROR(__xludf.DUMMYFUNCTION("IFERROR(SUBSTITUTE(SUBSTITUTE(REGEXEXTRACT(A9978, ""[^-]+- [^-]+- [^-]+ - (.+?)\.jpg""), "".jpg"", """"), ""-"", "", ""), """")"),"")</f>
        <v/>
      </c>
      <c r="L9978" s="12"/>
      <c r="M9978" s="13"/>
      <c r="N9978" s="2"/>
      <c r="O9978" s="20"/>
      <c r="P9978" s="42"/>
      <c r="R9978" s="23"/>
    </row>
    <row r="9979" spans="1:18" ht="12.75">
      <c r="A9979" s="12"/>
      <c r="D9979" s="12"/>
      <c r="E9979" s="12"/>
      <c r="H9979" s="11" t="str">
        <f ca="1">IFERROR(__xludf.DUMMYFUNCTION("IFERROR(SUBSTITUTE(SUBSTITUTE(REGEXEXTRACT(A9979, ""[^-]+- [^-]+- [^-]+ - (.+?)\.jpg""), "".jpg"", """"), ""-"", "", ""), """")"),"")</f>
        <v/>
      </c>
      <c r="L9979" s="12"/>
      <c r="M9979" s="13"/>
      <c r="N9979" s="2"/>
      <c r="O9979" s="20"/>
      <c r="P9979" s="42"/>
      <c r="R9979" s="23"/>
    </row>
    <row r="9980" spans="1:18" ht="12.75">
      <c r="A9980" s="12"/>
      <c r="D9980" s="12"/>
      <c r="E9980" s="12"/>
      <c r="H9980" s="11" t="str">
        <f ca="1">IFERROR(__xludf.DUMMYFUNCTION("IFERROR(SUBSTITUTE(SUBSTITUTE(REGEXEXTRACT(A9980, ""[^-]+- [^-]+- [^-]+ - (.+?)\.jpg""), "".jpg"", """"), ""-"", "", ""), """")"),"")</f>
        <v/>
      </c>
      <c r="L9980" s="12"/>
      <c r="M9980" s="13"/>
      <c r="N9980" s="2"/>
      <c r="O9980" s="20"/>
      <c r="P9980" s="42"/>
      <c r="R9980" s="23"/>
    </row>
    <row r="9981" spans="1:18" ht="12.75">
      <c r="A9981" s="12"/>
      <c r="D9981" s="12"/>
      <c r="E9981" s="12"/>
      <c r="H9981" s="11" t="str">
        <f ca="1">IFERROR(__xludf.DUMMYFUNCTION("IFERROR(SUBSTITUTE(SUBSTITUTE(REGEXEXTRACT(A9981, ""[^-]+- [^-]+- [^-]+ - (.+?)\.jpg""), "".jpg"", """"), ""-"", "", ""), """")"),"")</f>
        <v/>
      </c>
      <c r="L9981" s="12"/>
      <c r="M9981" s="13"/>
      <c r="N9981" s="2"/>
      <c r="O9981" s="20"/>
      <c r="P9981" s="42"/>
      <c r="R9981" s="23"/>
    </row>
    <row r="9982" spans="1:18" ht="12.75">
      <c r="A9982" s="12"/>
      <c r="D9982" s="12"/>
      <c r="E9982" s="12"/>
      <c r="H9982" s="11" t="str">
        <f ca="1">IFERROR(__xludf.DUMMYFUNCTION("IFERROR(SUBSTITUTE(SUBSTITUTE(REGEXEXTRACT(A9982, ""[^-]+- [^-]+- [^-]+ - (.+?)\.jpg""), "".jpg"", """"), ""-"", "", ""), """")"),"")</f>
        <v/>
      </c>
      <c r="L9982" s="12"/>
      <c r="M9982" s="13"/>
      <c r="N9982" s="2"/>
      <c r="O9982" s="20"/>
      <c r="P9982" s="42"/>
      <c r="R9982" s="23"/>
    </row>
    <row r="9983" spans="1:18" ht="12.75">
      <c r="A9983" s="12"/>
      <c r="D9983" s="12"/>
      <c r="E9983" s="12"/>
      <c r="H9983" s="11" t="str">
        <f ca="1">IFERROR(__xludf.DUMMYFUNCTION("IFERROR(SUBSTITUTE(SUBSTITUTE(REGEXEXTRACT(A9983, ""[^-]+- [^-]+- [^-]+ - (.+?)\.jpg""), "".jpg"", """"), ""-"", "", ""), """")"),"")</f>
        <v/>
      </c>
      <c r="L9983" s="12"/>
      <c r="M9983" s="13"/>
      <c r="N9983" s="2"/>
      <c r="O9983" s="20"/>
      <c r="P9983" s="42"/>
      <c r="R9983" s="23"/>
    </row>
    <row r="9984" spans="1:18" ht="12.75">
      <c r="A9984" s="12"/>
      <c r="D9984" s="12"/>
      <c r="E9984" s="12"/>
      <c r="H9984" s="11" t="str">
        <f ca="1">IFERROR(__xludf.DUMMYFUNCTION("IFERROR(SUBSTITUTE(SUBSTITUTE(REGEXEXTRACT(A9984, ""[^-]+- [^-]+- [^-]+ - (.+?)\.jpg""), "".jpg"", """"), ""-"", "", ""), """")"),"")</f>
        <v/>
      </c>
      <c r="L9984" s="12"/>
      <c r="M9984" s="13"/>
      <c r="N9984" s="2"/>
      <c r="O9984" s="20"/>
      <c r="P9984" s="42"/>
      <c r="R9984" s="23"/>
    </row>
    <row r="9985" spans="1:18" ht="12.75">
      <c r="A9985" s="12"/>
      <c r="D9985" s="12"/>
      <c r="E9985" s="12"/>
      <c r="H9985" s="11" t="str">
        <f ca="1">IFERROR(__xludf.DUMMYFUNCTION("IFERROR(SUBSTITUTE(SUBSTITUTE(REGEXEXTRACT(A9985, ""[^-]+- [^-]+- [^-]+ - (.+?)\.jpg""), "".jpg"", """"), ""-"", "", ""), """")"),"")</f>
        <v/>
      </c>
      <c r="L9985" s="12"/>
      <c r="M9985" s="13"/>
      <c r="N9985" s="2"/>
      <c r="O9985" s="20"/>
      <c r="P9985" s="42"/>
      <c r="R9985" s="23"/>
    </row>
    <row r="9986" spans="1:18" ht="12.75">
      <c r="A9986" s="12"/>
      <c r="D9986" s="12"/>
      <c r="E9986" s="12"/>
      <c r="H9986" s="11" t="str">
        <f ca="1">IFERROR(__xludf.DUMMYFUNCTION("IFERROR(SUBSTITUTE(SUBSTITUTE(REGEXEXTRACT(A9986, ""[^-]+- [^-]+- [^-]+ - (.+?)\.jpg""), "".jpg"", """"), ""-"", "", ""), """")"),"")</f>
        <v/>
      </c>
      <c r="L9986" s="12"/>
      <c r="M9986" s="13"/>
      <c r="N9986" s="2"/>
      <c r="O9986" s="20"/>
      <c r="P9986" s="42"/>
      <c r="R9986" s="23"/>
    </row>
    <row r="9987" spans="1:18" ht="12.75">
      <c r="A9987" s="12"/>
      <c r="D9987" s="12"/>
      <c r="E9987" s="12"/>
      <c r="H9987" s="11" t="str">
        <f ca="1">IFERROR(__xludf.DUMMYFUNCTION("IFERROR(SUBSTITUTE(SUBSTITUTE(REGEXEXTRACT(A9987, ""[^-]+- [^-]+- [^-]+ - (.+?)\.jpg""), "".jpg"", """"), ""-"", "", ""), """")"),"")</f>
        <v/>
      </c>
      <c r="L9987" s="12"/>
      <c r="M9987" s="13"/>
      <c r="N9987" s="2"/>
      <c r="O9987" s="20"/>
      <c r="P9987" s="42"/>
      <c r="R9987" s="23"/>
    </row>
    <row r="9988" spans="1:18" ht="12.75">
      <c r="A9988" s="12"/>
      <c r="D9988" s="12"/>
      <c r="E9988" s="12"/>
      <c r="H9988" s="11" t="str">
        <f ca="1">IFERROR(__xludf.DUMMYFUNCTION("IFERROR(SUBSTITUTE(SUBSTITUTE(REGEXEXTRACT(A9988, ""[^-]+- [^-]+- [^-]+ - (.+?)\.jpg""), "".jpg"", """"), ""-"", "", ""), """")"),"")</f>
        <v/>
      </c>
      <c r="L9988" s="12"/>
      <c r="M9988" s="13"/>
      <c r="N9988" s="2"/>
      <c r="O9988" s="20"/>
      <c r="P9988" s="42"/>
      <c r="R9988" s="23"/>
    </row>
    <row r="9989" spans="1:18" ht="12.75">
      <c r="A9989" s="12"/>
      <c r="D9989" s="12"/>
      <c r="E9989" s="12"/>
      <c r="H9989" s="11" t="str">
        <f ca="1">IFERROR(__xludf.DUMMYFUNCTION("IFERROR(SUBSTITUTE(SUBSTITUTE(REGEXEXTRACT(A9989, ""[^-]+- [^-]+- [^-]+ - (.+?)\.jpg""), "".jpg"", """"), ""-"", "", ""), """")"),"")</f>
        <v/>
      </c>
      <c r="L9989" s="12"/>
      <c r="M9989" s="13"/>
      <c r="N9989" s="2"/>
      <c r="O9989" s="20"/>
      <c r="P9989" s="42"/>
      <c r="R9989" s="23"/>
    </row>
    <row r="9990" spans="1:18" ht="12.75">
      <c r="A9990" s="12"/>
      <c r="D9990" s="12"/>
      <c r="E9990" s="12"/>
      <c r="H9990" s="11" t="str">
        <f ca="1">IFERROR(__xludf.DUMMYFUNCTION("IFERROR(SUBSTITUTE(SUBSTITUTE(REGEXEXTRACT(A9990, ""[^-]+- [^-]+- [^-]+ - (.+?)\.jpg""), "".jpg"", """"), ""-"", "", ""), """")"),"")</f>
        <v/>
      </c>
      <c r="L9990" s="12"/>
      <c r="M9990" s="13"/>
      <c r="N9990" s="2"/>
      <c r="O9990" s="20"/>
      <c r="P9990" s="42"/>
      <c r="R9990" s="23"/>
    </row>
    <row r="9991" spans="1:18" ht="12.75">
      <c r="A9991" s="12"/>
      <c r="D9991" s="12"/>
      <c r="E9991" s="12"/>
      <c r="H9991" s="11" t="str">
        <f ca="1">IFERROR(__xludf.DUMMYFUNCTION("IFERROR(SUBSTITUTE(SUBSTITUTE(REGEXEXTRACT(A9991, ""[^-]+- [^-]+- [^-]+ - (.+?)\.jpg""), "".jpg"", """"), ""-"", "", ""), """")"),"")</f>
        <v/>
      </c>
      <c r="L9991" s="12"/>
      <c r="M9991" s="13"/>
      <c r="N9991" s="2"/>
      <c r="O9991" s="20"/>
      <c r="P9991" s="42"/>
      <c r="R9991" s="23"/>
    </row>
    <row r="9992" spans="1:18" ht="12.75">
      <c r="A9992" s="12"/>
      <c r="D9992" s="12"/>
      <c r="E9992" s="12"/>
      <c r="H9992" s="11" t="str">
        <f ca="1">IFERROR(__xludf.DUMMYFUNCTION("IFERROR(SUBSTITUTE(SUBSTITUTE(REGEXEXTRACT(A9992, ""[^-]+- [^-]+- [^-]+ - (.+?)\.jpg""), "".jpg"", """"), ""-"", "", ""), """")"),"")</f>
        <v/>
      </c>
      <c r="L9992" s="12"/>
      <c r="M9992" s="13"/>
      <c r="N9992" s="2"/>
      <c r="O9992" s="20"/>
      <c r="P9992" s="42"/>
      <c r="R9992" s="23"/>
    </row>
    <row r="9993" spans="1:18" ht="12.75">
      <c r="A9993" s="12"/>
      <c r="D9993" s="12"/>
      <c r="E9993" s="12"/>
      <c r="H9993" s="11" t="str">
        <f ca="1">IFERROR(__xludf.DUMMYFUNCTION("IFERROR(SUBSTITUTE(SUBSTITUTE(REGEXEXTRACT(A9993, ""[^-]+- [^-]+- [^-]+ - (.+?)\.jpg""), "".jpg"", """"), ""-"", "", ""), """")"),"")</f>
        <v/>
      </c>
      <c r="L9993" s="12"/>
      <c r="M9993" s="13"/>
      <c r="N9993" s="2"/>
      <c r="O9993" s="20"/>
      <c r="P9993" s="42"/>
      <c r="R9993" s="23"/>
    </row>
    <row r="9994" spans="1:18" ht="12.75">
      <c r="A9994" s="12"/>
      <c r="D9994" s="12"/>
      <c r="E9994" s="12"/>
      <c r="H9994" s="11" t="str">
        <f ca="1">IFERROR(__xludf.DUMMYFUNCTION("IFERROR(SUBSTITUTE(SUBSTITUTE(REGEXEXTRACT(A9994, ""[^-]+- [^-]+- [^-]+ - (.+?)\.jpg""), "".jpg"", """"), ""-"", "", ""), """")"),"")</f>
        <v/>
      </c>
      <c r="L9994" s="12"/>
      <c r="M9994" s="13"/>
      <c r="N9994" s="2"/>
      <c r="O9994" s="20"/>
      <c r="P9994" s="42"/>
      <c r="R9994" s="23"/>
    </row>
    <row r="9995" spans="1:18" ht="12.75">
      <c r="A9995" s="12"/>
      <c r="D9995" s="12"/>
      <c r="E9995" s="12"/>
      <c r="H9995" s="11" t="str">
        <f ca="1">IFERROR(__xludf.DUMMYFUNCTION("IFERROR(SUBSTITUTE(SUBSTITUTE(REGEXEXTRACT(A9995, ""[^-]+- [^-]+- [^-]+ - (.+?)\.jpg""), "".jpg"", """"), ""-"", "", ""), """")"),"")</f>
        <v/>
      </c>
      <c r="L9995" s="12"/>
      <c r="M9995" s="13"/>
      <c r="N9995" s="2"/>
      <c r="O9995" s="20"/>
      <c r="P9995" s="42"/>
      <c r="R9995" s="23"/>
    </row>
    <row r="9996" spans="1:18" ht="12.75">
      <c r="A9996" s="12"/>
      <c r="D9996" s="12"/>
      <c r="E9996" s="12"/>
      <c r="H9996" s="11" t="str">
        <f ca="1">IFERROR(__xludf.DUMMYFUNCTION("IFERROR(SUBSTITUTE(SUBSTITUTE(REGEXEXTRACT(A9996, ""[^-]+- [^-]+- [^-]+ - (.+?)\.jpg""), "".jpg"", """"), ""-"", "", ""), """")"),"")</f>
        <v/>
      </c>
      <c r="L9996" s="12"/>
      <c r="M9996" s="13"/>
      <c r="N9996" s="2"/>
      <c r="O9996" s="20"/>
      <c r="P9996" s="42"/>
      <c r="R9996" s="23"/>
    </row>
    <row r="9997" spans="1:18" ht="12.75">
      <c r="A9997" s="12"/>
      <c r="D9997" s="12"/>
      <c r="E9997" s="12"/>
      <c r="H9997" s="11" t="str">
        <f ca="1">IFERROR(__xludf.DUMMYFUNCTION("IFERROR(SUBSTITUTE(SUBSTITUTE(REGEXEXTRACT(A9997, ""[^-]+- [^-]+- [^-]+ - (.+?)\.jpg""), "".jpg"", """"), ""-"", "", ""), """")"),"")</f>
        <v/>
      </c>
      <c r="L9997" s="12"/>
      <c r="M9997" s="13"/>
      <c r="N9997" s="2"/>
      <c r="O9997" s="20"/>
      <c r="P9997" s="42"/>
      <c r="R9997" s="23"/>
    </row>
    <row r="9998" spans="1:18" ht="12.75">
      <c r="A9998" s="12"/>
      <c r="D9998" s="12"/>
      <c r="E9998" s="12"/>
      <c r="H9998" s="11" t="str">
        <f ca="1">IFERROR(__xludf.DUMMYFUNCTION("IFERROR(SUBSTITUTE(SUBSTITUTE(REGEXEXTRACT(A9998, ""[^-]+- [^-]+- [^-]+ - (.+?)\.jpg""), "".jpg"", """"), ""-"", "", ""), """")"),"")</f>
        <v/>
      </c>
      <c r="L9998" s="12"/>
      <c r="M9998" s="13"/>
      <c r="N9998" s="2"/>
      <c r="O9998" s="20"/>
      <c r="P9998" s="42"/>
      <c r="R9998" s="23"/>
    </row>
    <row r="9999" spans="1:18" ht="12.75">
      <c r="A9999" s="12"/>
      <c r="D9999" s="12"/>
      <c r="E9999" s="12"/>
      <c r="H9999" s="11" t="str">
        <f ca="1">IFERROR(__xludf.DUMMYFUNCTION("IFERROR(SUBSTITUTE(SUBSTITUTE(REGEXEXTRACT(A9999, ""[^-]+- [^-]+- [^-]+ - (.+?)\.jpg""), "".jpg"", """"), ""-"", "", ""), """")"),"")</f>
        <v/>
      </c>
      <c r="L9999" s="12"/>
      <c r="M9999" s="13"/>
      <c r="N9999" s="2"/>
      <c r="O9999" s="20"/>
      <c r="P9999" s="42"/>
      <c r="R9999" s="23"/>
    </row>
    <row r="10000" spans="1:18" ht="12.75">
      <c r="A10000" s="12"/>
      <c r="D10000" s="12"/>
      <c r="E10000" s="12"/>
      <c r="H10000" s="11" t="str">
        <f ca="1">IFERROR(__xludf.DUMMYFUNCTION("IFERROR(SUBSTITUTE(SUBSTITUTE(REGEXEXTRACT(A10000, ""[^-]+- [^-]+- [^-]+ - (.+?)\.jpg""), "".jpg"", """"), ""-"", "", ""), """")"),"")</f>
        <v/>
      </c>
      <c r="L10000" s="12"/>
      <c r="M10000" s="13"/>
      <c r="N10000" s="2"/>
      <c r="O10000" s="20"/>
      <c r="P10000" s="42"/>
      <c r="R10000" s="23"/>
    </row>
    <row r="10001" spans="1:18" ht="12.75">
      <c r="A10001" s="12"/>
      <c r="D10001" s="12"/>
      <c r="E10001" s="12"/>
      <c r="H10001" s="11" t="str">
        <f ca="1">IFERROR(__xludf.DUMMYFUNCTION("IFERROR(SUBSTITUTE(SUBSTITUTE(REGEXEXTRACT(A10001, ""[^-]+- [^-]+- [^-]+ - (.+?)\.jpg""), "".jpg"", """"), ""-"", "", ""), """")"),"")</f>
        <v/>
      </c>
      <c r="L10001" s="12"/>
      <c r="M10001" s="13"/>
      <c r="N10001" s="2"/>
      <c r="O10001" s="20"/>
      <c r="P10001" s="42"/>
      <c r="R10001" s="23"/>
    </row>
    <row r="10002" spans="1:18" ht="12.75">
      <c r="A10002" s="12"/>
      <c r="D10002" s="12"/>
      <c r="E10002" s="12"/>
      <c r="H10002" s="11" t="str">
        <f ca="1">IFERROR(__xludf.DUMMYFUNCTION("IFERROR(SUBSTITUTE(SUBSTITUTE(REGEXEXTRACT(A10002, ""[^-]+- [^-]+- [^-]+ - (.+?)\.jpg""), "".jpg"", """"), ""-"", "", ""), """")"),"")</f>
        <v/>
      </c>
      <c r="L10002" s="12"/>
      <c r="M10002" s="13"/>
      <c r="N10002" s="2"/>
      <c r="O10002" s="20"/>
      <c r="P10002" s="42"/>
      <c r="R10002" s="23"/>
    </row>
    <row r="10003" spans="1:18" ht="12.75">
      <c r="A10003" s="12"/>
      <c r="D10003" s="12"/>
      <c r="E10003" s="12"/>
      <c r="H10003" s="11" t="str">
        <f ca="1">IFERROR(__xludf.DUMMYFUNCTION("IFERROR(SUBSTITUTE(SUBSTITUTE(REGEXEXTRACT(A10003, ""[^-]+- [^-]+- [^-]+ - (.+?)\.jpg""), "".jpg"", """"), ""-"", "", ""), """")"),"")</f>
        <v/>
      </c>
      <c r="L10003" s="12"/>
      <c r="M10003" s="13"/>
      <c r="N10003" s="2"/>
      <c r="O10003" s="20"/>
      <c r="P10003" s="42"/>
      <c r="R10003" s="23"/>
    </row>
    <row r="10004" spans="1:18" ht="12.75">
      <c r="A10004" s="12"/>
      <c r="D10004" s="12"/>
      <c r="E10004" s="12"/>
      <c r="H10004" s="11" t="str">
        <f ca="1">IFERROR(__xludf.DUMMYFUNCTION("IFERROR(SUBSTITUTE(SUBSTITUTE(REGEXEXTRACT(A10004, ""[^-]+- [^-]+- [^-]+ - (.+?)\.jpg""), "".jpg"", """"), ""-"", "", ""), """")"),"")</f>
        <v/>
      </c>
      <c r="L10004" s="12"/>
      <c r="M10004" s="13"/>
      <c r="N10004" s="2"/>
      <c r="O10004" s="20"/>
      <c r="P10004" s="42"/>
      <c r="R10004" s="23"/>
    </row>
    <row r="10005" spans="1:18" ht="12.75">
      <c r="A10005" s="12"/>
      <c r="D10005" s="12"/>
      <c r="E10005" s="12"/>
      <c r="H10005" s="11" t="str">
        <f ca="1">IFERROR(__xludf.DUMMYFUNCTION("IFERROR(SUBSTITUTE(SUBSTITUTE(REGEXEXTRACT(A10005, ""[^-]+- [^-]+- [^-]+ - (.+?)\.jpg""), "".jpg"", """"), ""-"", "", ""), """")"),"")</f>
        <v/>
      </c>
      <c r="L10005" s="12"/>
      <c r="M10005" s="13"/>
      <c r="N10005" s="2"/>
      <c r="O10005" s="20"/>
      <c r="P10005" s="42"/>
      <c r="R10005" s="23"/>
    </row>
    <row r="10006" spans="1:18" ht="12.75">
      <c r="A10006" s="12"/>
      <c r="D10006" s="12"/>
      <c r="E10006" s="12"/>
      <c r="H10006" s="11" t="str">
        <f ca="1">IFERROR(__xludf.DUMMYFUNCTION("IFERROR(SUBSTITUTE(SUBSTITUTE(REGEXEXTRACT(A10006, ""[^-]+- [^-]+- [^-]+ - (.+?)\.jpg""), "".jpg"", """"), ""-"", "", ""), """")"),"")</f>
        <v/>
      </c>
      <c r="L10006" s="12"/>
      <c r="M10006" s="13"/>
      <c r="N10006" s="2"/>
      <c r="O10006" s="20"/>
      <c r="P10006" s="42"/>
      <c r="R10006" s="23"/>
    </row>
    <row r="10007" spans="1:18" ht="12.75">
      <c r="A10007" s="12"/>
      <c r="D10007" s="12"/>
      <c r="E10007" s="12"/>
      <c r="H10007" s="11" t="str">
        <f ca="1">IFERROR(__xludf.DUMMYFUNCTION("IFERROR(SUBSTITUTE(SUBSTITUTE(REGEXEXTRACT(A10007, ""[^-]+- [^-]+- [^-]+ - (.+?)\.jpg""), "".jpg"", """"), ""-"", "", ""), """")"),"")</f>
        <v/>
      </c>
      <c r="L10007" s="12"/>
      <c r="M10007" s="13"/>
      <c r="N10007" s="2"/>
      <c r="O10007" s="20"/>
      <c r="P10007" s="42"/>
      <c r="R10007" s="23"/>
    </row>
    <row r="10008" spans="1:18" ht="12.75">
      <c r="A10008" s="12"/>
      <c r="D10008" s="12"/>
      <c r="E10008" s="12"/>
      <c r="H10008" s="11" t="str">
        <f ca="1">IFERROR(__xludf.DUMMYFUNCTION("IFERROR(SUBSTITUTE(SUBSTITUTE(REGEXEXTRACT(A10008, ""[^-]+- [^-]+- [^-]+ - (.+?)\.jpg""), "".jpg"", """"), ""-"", "", ""), """")"),"")</f>
        <v/>
      </c>
      <c r="L10008" s="12"/>
      <c r="M10008" s="13"/>
      <c r="N10008" s="2"/>
      <c r="O10008" s="20"/>
      <c r="P10008" s="42"/>
      <c r="R10008" s="23"/>
    </row>
    <row r="10009" spans="1:18" ht="12.75">
      <c r="A10009" s="12"/>
      <c r="D10009" s="12"/>
      <c r="E10009" s="12"/>
      <c r="H10009" s="11" t="str">
        <f ca="1">IFERROR(__xludf.DUMMYFUNCTION("IFERROR(SUBSTITUTE(SUBSTITUTE(REGEXEXTRACT(A10009, ""[^-]+- [^-]+- [^-]+ - (.+?)\.jpg""), "".jpg"", """"), ""-"", "", ""), """")"),"")</f>
        <v/>
      </c>
      <c r="L10009" s="12"/>
      <c r="M10009" s="13"/>
      <c r="N10009" s="2"/>
      <c r="O10009" s="20"/>
      <c r="P10009" s="42"/>
      <c r="R10009" s="23"/>
    </row>
    <row r="10010" spans="1:18" ht="12.75">
      <c r="A10010" s="12"/>
      <c r="D10010" s="12"/>
      <c r="E10010" s="12"/>
      <c r="H10010" s="11" t="str">
        <f ca="1">IFERROR(__xludf.DUMMYFUNCTION("IFERROR(SUBSTITUTE(SUBSTITUTE(REGEXEXTRACT(A10010, ""[^-]+- [^-]+- [^-]+ - (.+?)\.jpg""), "".jpg"", """"), ""-"", "", ""), """")"),"")</f>
        <v/>
      </c>
      <c r="L10010" s="12"/>
      <c r="M10010" s="13"/>
      <c r="N10010" s="2"/>
      <c r="O10010" s="20"/>
      <c r="P10010" s="42"/>
      <c r="R10010" s="23"/>
    </row>
    <row r="10011" spans="1:18" ht="12.75">
      <c r="A10011" s="12"/>
      <c r="D10011" s="12"/>
      <c r="E10011" s="12"/>
      <c r="H10011" s="11" t="str">
        <f ca="1">IFERROR(__xludf.DUMMYFUNCTION("IFERROR(SUBSTITUTE(SUBSTITUTE(REGEXEXTRACT(A10011, ""[^-]+- [^-]+- [^-]+ - (.+?)\.jpg""), "".jpg"", """"), ""-"", "", ""), """")"),"")</f>
        <v/>
      </c>
      <c r="L10011" s="12"/>
      <c r="M10011" s="13"/>
      <c r="N10011" s="2"/>
      <c r="O10011" s="20"/>
      <c r="P10011" s="42"/>
      <c r="R10011" s="23"/>
    </row>
    <row r="10012" spans="1:18" ht="12.75">
      <c r="A10012" s="12"/>
      <c r="D10012" s="12"/>
      <c r="E10012" s="12"/>
      <c r="H10012" s="11" t="str">
        <f ca="1">IFERROR(__xludf.DUMMYFUNCTION("IFERROR(SUBSTITUTE(SUBSTITUTE(REGEXEXTRACT(A10012, ""[^-]+- [^-]+- [^-]+ - (.+?)\.jpg""), "".jpg"", """"), ""-"", "", ""), """")"),"")</f>
        <v/>
      </c>
      <c r="L10012" s="12"/>
      <c r="M10012" s="13"/>
      <c r="N10012" s="2"/>
      <c r="O10012" s="20"/>
      <c r="P10012" s="42"/>
      <c r="R10012" s="23"/>
    </row>
    <row r="10013" spans="1:18" ht="12.75">
      <c r="A10013" s="12"/>
      <c r="D10013" s="12"/>
      <c r="E10013" s="12"/>
      <c r="H10013" s="11" t="str">
        <f ca="1">IFERROR(__xludf.DUMMYFUNCTION("IFERROR(SUBSTITUTE(SUBSTITUTE(REGEXEXTRACT(A10013, ""[^-]+- [^-]+- [^-]+ - (.+?)\.jpg""), "".jpg"", """"), ""-"", "", ""), """")"),"")</f>
        <v/>
      </c>
      <c r="L10013" s="12"/>
      <c r="M10013" s="13"/>
      <c r="N10013" s="2"/>
      <c r="O10013" s="20"/>
      <c r="P10013" s="42"/>
      <c r="R10013" s="23"/>
    </row>
    <row r="10014" spans="1:18" ht="12.75">
      <c r="A10014" s="12"/>
      <c r="D10014" s="12"/>
      <c r="E10014" s="12"/>
      <c r="H10014" s="11" t="str">
        <f ca="1">IFERROR(__xludf.DUMMYFUNCTION("IFERROR(SUBSTITUTE(SUBSTITUTE(REGEXEXTRACT(A10014, ""[^-]+- [^-]+- [^-]+ - (.+?)\.jpg""), "".jpg"", """"), ""-"", "", ""), """")"),"")</f>
        <v/>
      </c>
      <c r="L10014" s="12"/>
      <c r="M10014" s="13"/>
      <c r="N10014" s="2"/>
      <c r="O10014" s="20"/>
      <c r="P10014" s="42"/>
      <c r="R10014" s="23"/>
    </row>
    <row r="10015" spans="1:18" ht="12.75">
      <c r="A10015" s="12"/>
      <c r="D10015" s="12"/>
      <c r="E10015" s="12"/>
      <c r="H10015" s="11" t="str">
        <f ca="1">IFERROR(__xludf.DUMMYFUNCTION("IFERROR(SUBSTITUTE(SUBSTITUTE(REGEXEXTRACT(A10015, ""[^-]+- [^-]+- [^-]+ - (.+?)\.jpg""), "".jpg"", """"), ""-"", "", ""), """")"),"")</f>
        <v/>
      </c>
      <c r="L10015" s="12"/>
      <c r="M10015" s="13"/>
      <c r="N10015" s="2"/>
      <c r="O10015" s="20"/>
      <c r="P10015" s="42"/>
      <c r="R10015" s="23"/>
    </row>
    <row r="10016" spans="1:18" ht="12.75">
      <c r="A10016" s="12"/>
      <c r="D10016" s="12"/>
      <c r="E10016" s="12"/>
      <c r="H10016" s="11" t="str">
        <f ca="1">IFERROR(__xludf.DUMMYFUNCTION("IFERROR(SUBSTITUTE(SUBSTITUTE(REGEXEXTRACT(A10016, ""[^-]+- [^-]+- [^-]+ - (.+?)\.jpg""), "".jpg"", """"), ""-"", "", ""), """")"),"")</f>
        <v/>
      </c>
      <c r="L10016" s="12"/>
      <c r="M10016" s="13"/>
      <c r="N10016" s="2"/>
      <c r="O10016" s="20"/>
      <c r="P10016" s="42"/>
      <c r="R10016" s="23"/>
    </row>
    <row r="10017" spans="1:18" ht="12.75">
      <c r="A10017" s="12"/>
      <c r="D10017" s="12"/>
      <c r="E10017" s="12"/>
      <c r="H10017" s="11" t="str">
        <f ca="1">IFERROR(__xludf.DUMMYFUNCTION("IFERROR(SUBSTITUTE(SUBSTITUTE(REGEXEXTRACT(A10017, ""[^-]+- [^-]+- [^-]+ - (.+?)\.jpg""), "".jpg"", """"), ""-"", "", ""), """")"),"")</f>
        <v/>
      </c>
      <c r="L10017" s="12"/>
      <c r="M10017" s="13"/>
      <c r="N10017" s="2"/>
      <c r="O10017" s="20"/>
      <c r="P10017" s="42"/>
      <c r="R10017" s="23"/>
    </row>
    <row r="10018" spans="1:18" ht="12.75">
      <c r="A10018" s="12"/>
      <c r="D10018" s="12"/>
      <c r="E10018" s="12"/>
      <c r="H10018" s="11" t="str">
        <f ca="1">IFERROR(__xludf.DUMMYFUNCTION("IFERROR(SUBSTITUTE(SUBSTITUTE(REGEXEXTRACT(A10018, ""[^-]+- [^-]+- [^-]+ - (.+?)\.jpg""), "".jpg"", """"), ""-"", "", ""), """")"),"")</f>
        <v/>
      </c>
      <c r="L10018" s="12"/>
      <c r="M10018" s="13"/>
      <c r="N10018" s="2"/>
      <c r="O10018" s="20"/>
      <c r="P10018" s="42"/>
      <c r="R10018" s="23"/>
    </row>
    <row r="10019" spans="1:18" ht="12.75">
      <c r="A10019" s="12"/>
      <c r="D10019" s="12"/>
      <c r="E10019" s="12"/>
      <c r="H10019" s="11" t="str">
        <f ca="1">IFERROR(__xludf.DUMMYFUNCTION("IFERROR(SUBSTITUTE(SUBSTITUTE(REGEXEXTRACT(A10019, ""[^-]+- [^-]+- [^-]+ - (.+?)\.jpg""), "".jpg"", """"), ""-"", "", ""), """")"),"")</f>
        <v/>
      </c>
      <c r="L10019" s="12"/>
      <c r="M10019" s="13"/>
      <c r="N10019" s="2"/>
      <c r="O10019" s="20"/>
      <c r="P10019" s="42"/>
      <c r="R10019" s="23"/>
    </row>
    <row r="10020" spans="1:18" ht="12.75">
      <c r="A10020" s="12"/>
      <c r="D10020" s="12"/>
      <c r="E10020" s="12"/>
      <c r="H10020" s="11" t="str">
        <f ca="1">IFERROR(__xludf.DUMMYFUNCTION("IFERROR(SUBSTITUTE(SUBSTITUTE(REGEXEXTRACT(A10020, ""[^-]+- [^-]+- [^-]+ - (.+?)\.jpg""), "".jpg"", """"), ""-"", "", ""), """")"),"")</f>
        <v/>
      </c>
      <c r="L10020" s="12"/>
      <c r="M10020" s="13"/>
      <c r="N10020" s="2"/>
      <c r="O10020" s="20"/>
      <c r="P10020" s="42"/>
      <c r="R10020" s="23"/>
    </row>
    <row r="10021" spans="1:18" ht="12.75">
      <c r="A10021" s="12"/>
      <c r="D10021" s="12"/>
      <c r="E10021" s="12"/>
      <c r="H10021" s="11" t="str">
        <f ca="1">IFERROR(__xludf.DUMMYFUNCTION("IFERROR(SUBSTITUTE(SUBSTITUTE(REGEXEXTRACT(A10021, ""[^-]+- [^-]+- [^-]+ - (.+?)\.jpg""), "".jpg"", """"), ""-"", "", ""), """")"),"")</f>
        <v/>
      </c>
      <c r="L10021" s="12"/>
      <c r="M10021" s="13"/>
      <c r="N10021" s="2"/>
      <c r="O10021" s="20"/>
      <c r="P10021" s="42"/>
      <c r="R10021" s="23"/>
    </row>
    <row r="10022" spans="1:18" ht="12.75">
      <c r="A10022" s="12"/>
      <c r="D10022" s="12"/>
      <c r="E10022" s="12"/>
      <c r="H10022" s="11" t="str">
        <f ca="1">IFERROR(__xludf.DUMMYFUNCTION("IFERROR(SUBSTITUTE(SUBSTITUTE(REGEXEXTRACT(A10022, ""[^-]+- [^-]+- [^-]+ - (.+?)\.jpg""), "".jpg"", """"), ""-"", "", ""), """")"),"")</f>
        <v/>
      </c>
      <c r="L10022" s="12"/>
      <c r="M10022" s="13"/>
      <c r="N10022" s="2"/>
      <c r="O10022" s="20"/>
      <c r="P10022" s="42"/>
      <c r="R10022" s="23"/>
    </row>
    <row r="10023" spans="1:18" ht="12.75">
      <c r="A10023" s="12"/>
      <c r="D10023" s="12"/>
      <c r="E10023" s="12"/>
      <c r="H10023" s="11" t="str">
        <f ca="1">IFERROR(__xludf.DUMMYFUNCTION("IFERROR(SUBSTITUTE(SUBSTITUTE(REGEXEXTRACT(A10023, ""[^-]+- [^-]+- [^-]+ - (.+?)\.jpg""), "".jpg"", """"), ""-"", "", ""), """")"),"")</f>
        <v/>
      </c>
      <c r="L10023" s="12"/>
      <c r="M10023" s="13"/>
      <c r="N10023" s="2"/>
      <c r="O10023" s="20"/>
      <c r="P10023" s="42"/>
      <c r="R10023" s="23"/>
    </row>
    <row r="10024" spans="1:18" ht="12.75">
      <c r="A10024" s="12"/>
      <c r="D10024" s="12"/>
      <c r="E10024" s="12"/>
      <c r="H10024" s="11" t="str">
        <f ca="1">IFERROR(__xludf.DUMMYFUNCTION("IFERROR(SUBSTITUTE(SUBSTITUTE(REGEXEXTRACT(A10024, ""[^-]+- [^-]+- [^-]+ - (.+?)\.jpg""), "".jpg"", """"), ""-"", "", ""), """")"),"")</f>
        <v/>
      </c>
      <c r="L10024" s="12"/>
      <c r="M10024" s="13"/>
      <c r="N10024" s="2"/>
      <c r="O10024" s="20"/>
      <c r="P10024" s="42"/>
      <c r="R10024" s="23"/>
    </row>
    <row r="10025" spans="1:18" ht="12.75">
      <c r="A10025" s="12"/>
      <c r="D10025" s="12"/>
      <c r="E10025" s="12"/>
      <c r="H10025" s="11" t="str">
        <f ca="1">IFERROR(__xludf.DUMMYFUNCTION("IFERROR(SUBSTITUTE(SUBSTITUTE(REGEXEXTRACT(A10025, ""[^-]+- [^-]+- [^-]+ - (.+?)\.jpg""), "".jpg"", """"), ""-"", "", ""), """")"),"")</f>
        <v/>
      </c>
      <c r="L10025" s="12"/>
      <c r="M10025" s="13"/>
      <c r="N10025" s="2"/>
      <c r="O10025" s="20"/>
      <c r="P10025" s="42"/>
      <c r="R10025" s="23"/>
    </row>
    <row r="10026" spans="1:18" ht="12.75">
      <c r="A10026" s="12"/>
      <c r="D10026" s="12"/>
      <c r="E10026" s="12"/>
      <c r="H10026" s="11" t="str">
        <f ca="1">IFERROR(__xludf.DUMMYFUNCTION("IFERROR(SUBSTITUTE(SUBSTITUTE(REGEXEXTRACT(A10026, ""[^-]+- [^-]+- [^-]+ - (.+?)\.jpg""), "".jpg"", """"), ""-"", "", ""), """")"),"")</f>
        <v/>
      </c>
      <c r="L10026" s="12"/>
      <c r="M10026" s="13"/>
      <c r="N10026" s="2"/>
      <c r="O10026" s="20"/>
      <c r="P10026" s="42"/>
      <c r="R10026" s="23"/>
    </row>
    <row r="10027" spans="1:18" ht="12.75">
      <c r="A10027" s="12"/>
      <c r="D10027" s="12"/>
      <c r="E10027" s="12"/>
      <c r="H10027" s="11" t="str">
        <f ca="1">IFERROR(__xludf.DUMMYFUNCTION("IFERROR(SUBSTITUTE(SUBSTITUTE(REGEXEXTRACT(A10027, ""[^-]+- [^-]+- [^-]+ - (.+?)\.jpg""), "".jpg"", """"), ""-"", "", ""), """")"),"")</f>
        <v/>
      </c>
      <c r="L10027" s="12"/>
      <c r="M10027" s="13"/>
      <c r="N10027" s="2"/>
      <c r="O10027" s="20"/>
      <c r="P10027" s="42"/>
      <c r="R10027" s="23"/>
    </row>
    <row r="10028" spans="1:18" ht="12.75">
      <c r="A10028" s="12"/>
      <c r="D10028" s="12"/>
      <c r="E10028" s="12"/>
      <c r="H10028" s="11" t="str">
        <f ca="1">IFERROR(__xludf.DUMMYFUNCTION("IFERROR(SUBSTITUTE(SUBSTITUTE(REGEXEXTRACT(A10028, ""[^-]+- [^-]+- [^-]+ - (.+?)\.jpg""), "".jpg"", """"), ""-"", "", ""), """")"),"")</f>
        <v/>
      </c>
      <c r="L10028" s="12"/>
      <c r="M10028" s="13"/>
      <c r="N10028" s="2"/>
      <c r="O10028" s="20"/>
      <c r="P10028" s="42"/>
      <c r="R10028" s="23"/>
    </row>
    <row r="10029" spans="1:18" ht="12.75">
      <c r="A10029" s="12"/>
      <c r="D10029" s="12"/>
      <c r="E10029" s="12"/>
      <c r="H10029" s="11" t="str">
        <f ca="1">IFERROR(__xludf.DUMMYFUNCTION("IFERROR(SUBSTITUTE(SUBSTITUTE(REGEXEXTRACT(A10029, ""[^-]+- [^-]+- [^-]+ - (.+?)\.jpg""), "".jpg"", """"), ""-"", "", ""), """")"),"")</f>
        <v/>
      </c>
      <c r="L10029" s="12"/>
      <c r="M10029" s="13"/>
      <c r="N10029" s="2"/>
      <c r="O10029" s="20"/>
      <c r="P10029" s="42"/>
      <c r="R10029" s="23"/>
    </row>
    <row r="10030" spans="1:18" ht="12.75">
      <c r="A10030" s="12"/>
      <c r="D10030" s="12"/>
      <c r="E10030" s="12"/>
      <c r="H10030" s="11" t="str">
        <f ca="1">IFERROR(__xludf.DUMMYFUNCTION("IFERROR(SUBSTITUTE(SUBSTITUTE(REGEXEXTRACT(A10030, ""[^-]+- [^-]+- [^-]+ - (.+?)\.jpg""), "".jpg"", """"), ""-"", "", ""), """")"),"")</f>
        <v/>
      </c>
      <c r="L10030" s="12"/>
      <c r="M10030" s="13"/>
      <c r="N10030" s="2"/>
      <c r="O10030" s="20"/>
      <c r="P10030" s="42"/>
      <c r="R10030" s="23"/>
    </row>
    <row r="10031" spans="1:18" ht="12.75">
      <c r="A10031" s="12"/>
      <c r="D10031" s="12"/>
      <c r="E10031" s="12"/>
      <c r="H10031" s="11" t="str">
        <f ca="1">IFERROR(__xludf.DUMMYFUNCTION("IFERROR(SUBSTITUTE(SUBSTITUTE(REGEXEXTRACT(A10031, ""[^-]+- [^-]+- [^-]+ - (.+?)\.jpg""), "".jpg"", """"), ""-"", "", ""), """")"),"")</f>
        <v/>
      </c>
      <c r="L10031" s="12"/>
      <c r="M10031" s="13"/>
      <c r="N10031" s="2"/>
      <c r="O10031" s="20"/>
      <c r="P10031" s="42"/>
      <c r="R10031" s="23"/>
    </row>
    <row r="10032" spans="1:18" ht="12.75">
      <c r="A10032" s="12"/>
      <c r="D10032" s="12"/>
      <c r="E10032" s="12"/>
      <c r="H10032" s="11" t="str">
        <f ca="1">IFERROR(__xludf.DUMMYFUNCTION("IFERROR(SUBSTITUTE(SUBSTITUTE(REGEXEXTRACT(A10032, ""[^-]+- [^-]+- [^-]+ - (.+?)\.jpg""), "".jpg"", """"), ""-"", "", ""), """")"),"")</f>
        <v/>
      </c>
      <c r="L10032" s="12"/>
      <c r="M10032" s="13"/>
      <c r="N10032" s="2"/>
      <c r="O10032" s="20"/>
      <c r="P10032" s="42"/>
      <c r="R10032" s="23"/>
    </row>
    <row r="10033" spans="1:18" ht="12.75">
      <c r="A10033" s="12"/>
      <c r="D10033" s="12"/>
      <c r="E10033" s="12"/>
      <c r="H10033" s="11" t="str">
        <f ca="1">IFERROR(__xludf.DUMMYFUNCTION("IFERROR(SUBSTITUTE(SUBSTITUTE(REGEXEXTRACT(A10033, ""[^-]+- [^-]+- [^-]+ - (.+?)\.jpg""), "".jpg"", """"), ""-"", "", ""), """")"),"")</f>
        <v/>
      </c>
      <c r="L10033" s="12"/>
      <c r="M10033" s="13"/>
      <c r="N10033" s="2"/>
      <c r="O10033" s="20"/>
      <c r="P10033" s="42"/>
      <c r="R10033" s="23"/>
    </row>
    <row r="10034" spans="1:18" ht="12.75">
      <c r="A10034" s="12"/>
      <c r="D10034" s="12"/>
      <c r="E10034" s="12"/>
      <c r="H10034" s="11" t="str">
        <f ca="1">IFERROR(__xludf.DUMMYFUNCTION("IFERROR(SUBSTITUTE(SUBSTITUTE(REGEXEXTRACT(A10034, ""[^-]+- [^-]+- [^-]+ - (.+?)\.jpg""), "".jpg"", """"), ""-"", "", ""), """")"),"")</f>
        <v/>
      </c>
      <c r="L10034" s="12"/>
      <c r="M10034" s="13"/>
      <c r="N10034" s="2"/>
      <c r="O10034" s="20"/>
      <c r="P10034" s="42"/>
      <c r="R10034" s="23"/>
    </row>
    <row r="10035" spans="1:18" ht="12.75">
      <c r="A10035" s="12"/>
      <c r="D10035" s="12"/>
      <c r="E10035" s="12"/>
      <c r="H10035" s="11" t="str">
        <f ca="1">IFERROR(__xludf.DUMMYFUNCTION("IFERROR(SUBSTITUTE(SUBSTITUTE(REGEXEXTRACT(A10035, ""[^-]+- [^-]+- [^-]+ - (.+?)\.jpg""), "".jpg"", """"), ""-"", "", ""), """")"),"")</f>
        <v/>
      </c>
      <c r="L10035" s="12"/>
      <c r="M10035" s="13"/>
      <c r="N10035" s="2"/>
      <c r="O10035" s="20"/>
      <c r="P10035" s="42"/>
      <c r="R10035" s="23"/>
    </row>
    <row r="10036" spans="1:18" ht="12.75">
      <c r="A10036" s="12"/>
      <c r="D10036" s="12"/>
      <c r="E10036" s="12"/>
      <c r="H10036" s="11" t="str">
        <f ca="1">IFERROR(__xludf.DUMMYFUNCTION("IFERROR(SUBSTITUTE(SUBSTITUTE(REGEXEXTRACT(A10036, ""[^-]+- [^-]+- [^-]+ - (.+?)\.jpg""), "".jpg"", """"), ""-"", "", ""), """")"),"")</f>
        <v/>
      </c>
      <c r="L10036" s="12"/>
      <c r="M10036" s="13"/>
      <c r="N10036" s="2"/>
      <c r="O10036" s="20"/>
      <c r="P10036" s="42"/>
      <c r="R10036" s="23"/>
    </row>
    <row r="10037" spans="1:18" ht="12.75">
      <c r="A10037" s="12"/>
      <c r="D10037" s="12"/>
      <c r="E10037" s="12"/>
      <c r="H10037" s="11" t="str">
        <f ca="1">IFERROR(__xludf.DUMMYFUNCTION("IFERROR(SUBSTITUTE(SUBSTITUTE(REGEXEXTRACT(A10037, ""[^-]+- [^-]+- [^-]+ - (.+?)\.jpg""), "".jpg"", """"), ""-"", "", ""), """")"),"")</f>
        <v/>
      </c>
      <c r="L10037" s="12"/>
      <c r="M10037" s="13"/>
      <c r="N10037" s="2"/>
      <c r="O10037" s="20"/>
      <c r="P10037" s="42"/>
      <c r="R10037" s="23"/>
    </row>
    <row r="10038" spans="1:18" ht="12.75">
      <c r="A10038" s="12"/>
      <c r="D10038" s="12"/>
      <c r="E10038" s="12"/>
      <c r="H10038" s="11" t="str">
        <f ca="1">IFERROR(__xludf.DUMMYFUNCTION("IFERROR(SUBSTITUTE(SUBSTITUTE(REGEXEXTRACT(A10038, ""[^-]+- [^-]+- [^-]+ - (.+?)\.jpg""), "".jpg"", """"), ""-"", "", ""), """")"),"")</f>
        <v/>
      </c>
      <c r="L10038" s="12"/>
      <c r="M10038" s="13"/>
      <c r="N10038" s="2"/>
      <c r="O10038" s="20"/>
      <c r="P10038" s="42"/>
      <c r="R10038" s="23"/>
    </row>
    <row r="10039" spans="1:18" ht="12.75">
      <c r="A10039" s="12"/>
      <c r="D10039" s="12"/>
      <c r="E10039" s="12"/>
      <c r="H10039" s="11" t="str">
        <f ca="1">IFERROR(__xludf.DUMMYFUNCTION("IFERROR(SUBSTITUTE(SUBSTITUTE(REGEXEXTRACT(A10039, ""[^-]+- [^-]+- [^-]+ - (.+?)\.jpg""), "".jpg"", """"), ""-"", "", ""), """")"),"")</f>
        <v/>
      </c>
      <c r="L10039" s="12"/>
      <c r="M10039" s="13"/>
      <c r="N10039" s="2"/>
      <c r="O10039" s="20"/>
      <c r="P10039" s="42"/>
      <c r="R10039" s="23"/>
    </row>
    <row r="10040" spans="1:18" ht="12.75">
      <c r="A10040" s="12"/>
      <c r="D10040" s="12"/>
      <c r="E10040" s="12"/>
      <c r="H10040" s="11" t="str">
        <f ca="1">IFERROR(__xludf.DUMMYFUNCTION("IFERROR(SUBSTITUTE(SUBSTITUTE(REGEXEXTRACT(A10040, ""[^-]+- [^-]+- [^-]+ - (.+?)\.jpg""), "".jpg"", """"), ""-"", "", ""), """")"),"")</f>
        <v/>
      </c>
      <c r="L10040" s="12"/>
      <c r="M10040" s="13"/>
      <c r="N10040" s="2"/>
      <c r="O10040" s="20"/>
      <c r="P10040" s="42"/>
      <c r="R10040" s="23"/>
    </row>
    <row r="10041" spans="1:18" ht="12.75">
      <c r="A10041" s="12"/>
      <c r="D10041" s="12"/>
      <c r="E10041" s="12"/>
      <c r="H10041" s="11" t="str">
        <f ca="1">IFERROR(__xludf.DUMMYFUNCTION("IFERROR(SUBSTITUTE(SUBSTITUTE(REGEXEXTRACT(A10041, ""[^-]+- [^-]+- [^-]+ - (.+?)\.jpg""), "".jpg"", """"), ""-"", "", ""), """")"),"")</f>
        <v/>
      </c>
      <c r="L10041" s="12"/>
      <c r="M10041" s="13"/>
      <c r="N10041" s="2"/>
      <c r="O10041" s="20"/>
      <c r="P10041" s="42"/>
      <c r="R10041" s="23"/>
    </row>
    <row r="10042" spans="1:18" ht="12.75">
      <c r="A10042" s="12"/>
      <c r="D10042" s="12"/>
      <c r="E10042" s="12"/>
      <c r="H10042" s="11" t="str">
        <f ca="1">IFERROR(__xludf.DUMMYFUNCTION("IFERROR(SUBSTITUTE(SUBSTITUTE(REGEXEXTRACT(A10042, ""[^-]+- [^-]+- [^-]+ - (.+?)\.jpg""), "".jpg"", """"), ""-"", "", ""), """")"),"")</f>
        <v/>
      </c>
      <c r="L10042" s="12"/>
      <c r="M10042" s="13"/>
      <c r="N10042" s="2"/>
      <c r="O10042" s="20"/>
      <c r="P10042" s="42"/>
      <c r="R10042" s="23"/>
    </row>
    <row r="10043" spans="1:18" ht="12.75">
      <c r="A10043" s="12"/>
      <c r="D10043" s="12"/>
      <c r="E10043" s="12"/>
      <c r="H10043" s="11" t="str">
        <f ca="1">IFERROR(__xludf.DUMMYFUNCTION("IFERROR(SUBSTITUTE(SUBSTITUTE(REGEXEXTRACT(A10043, ""[^-]+- [^-]+- [^-]+ - (.+?)\.jpg""), "".jpg"", """"), ""-"", "", ""), """")"),"")</f>
        <v/>
      </c>
      <c r="L10043" s="12"/>
      <c r="M10043" s="13"/>
      <c r="N10043" s="2"/>
      <c r="O10043" s="20"/>
      <c r="P10043" s="42"/>
      <c r="R10043" s="23"/>
    </row>
    <row r="10044" spans="1:18" ht="12.75">
      <c r="A10044" s="12"/>
      <c r="D10044" s="12"/>
      <c r="E10044" s="12"/>
      <c r="H10044" s="11" t="str">
        <f ca="1">IFERROR(__xludf.DUMMYFUNCTION("IFERROR(SUBSTITUTE(SUBSTITUTE(REGEXEXTRACT(A10044, ""[^-]+- [^-]+- [^-]+ - (.+?)\.jpg""), "".jpg"", """"), ""-"", "", ""), """")"),"")</f>
        <v/>
      </c>
      <c r="L10044" s="12"/>
      <c r="M10044" s="13"/>
      <c r="N10044" s="2"/>
      <c r="O10044" s="20"/>
      <c r="P10044" s="42"/>
      <c r="R10044" s="23"/>
    </row>
    <row r="10045" spans="1:18" ht="12.75">
      <c r="A10045" s="12"/>
      <c r="D10045" s="12"/>
      <c r="E10045" s="12"/>
      <c r="H10045" s="11" t="str">
        <f ca="1">IFERROR(__xludf.DUMMYFUNCTION("IFERROR(SUBSTITUTE(SUBSTITUTE(REGEXEXTRACT(A10045, ""[^-]+- [^-]+- [^-]+ - (.+?)\.jpg""), "".jpg"", """"), ""-"", "", ""), """")"),"")</f>
        <v/>
      </c>
      <c r="L10045" s="12"/>
      <c r="M10045" s="13"/>
      <c r="N10045" s="2"/>
      <c r="O10045" s="20"/>
      <c r="P10045" s="42"/>
      <c r="R10045" s="23"/>
    </row>
    <row r="10046" spans="1:18" ht="12.75">
      <c r="A10046" s="12"/>
      <c r="D10046" s="12"/>
      <c r="E10046" s="12"/>
      <c r="H10046" s="11" t="str">
        <f ca="1">IFERROR(__xludf.DUMMYFUNCTION("IFERROR(SUBSTITUTE(SUBSTITUTE(REGEXEXTRACT(A10046, ""[^-]+- [^-]+- [^-]+ - (.+?)\.jpg""), "".jpg"", """"), ""-"", "", ""), """")"),"")</f>
        <v/>
      </c>
      <c r="L10046" s="12"/>
      <c r="M10046" s="13"/>
      <c r="N10046" s="2"/>
      <c r="O10046" s="20"/>
      <c r="P10046" s="42"/>
      <c r="R10046" s="23"/>
    </row>
    <row r="10047" spans="1:18" ht="12.75">
      <c r="A10047" s="12"/>
      <c r="D10047" s="12"/>
      <c r="E10047" s="12"/>
      <c r="H10047" s="11" t="str">
        <f ca="1">IFERROR(__xludf.DUMMYFUNCTION("IFERROR(SUBSTITUTE(SUBSTITUTE(REGEXEXTRACT(A10047, ""[^-]+- [^-]+- [^-]+ - (.+?)\.jpg""), "".jpg"", """"), ""-"", "", ""), """")"),"")</f>
        <v/>
      </c>
      <c r="L10047" s="12"/>
      <c r="M10047" s="13"/>
      <c r="N10047" s="2"/>
      <c r="O10047" s="20"/>
      <c r="P10047" s="42"/>
      <c r="R10047" s="23"/>
    </row>
    <row r="10048" spans="1:18" ht="12.75">
      <c r="A10048" s="12"/>
      <c r="D10048" s="12"/>
      <c r="E10048" s="12"/>
      <c r="H10048" s="11" t="str">
        <f ca="1">IFERROR(__xludf.DUMMYFUNCTION("IFERROR(SUBSTITUTE(SUBSTITUTE(REGEXEXTRACT(A10048, ""[^-]+- [^-]+- [^-]+ - (.+?)\.jpg""), "".jpg"", """"), ""-"", "", ""), """")"),"")</f>
        <v/>
      </c>
      <c r="L10048" s="12"/>
      <c r="M10048" s="13"/>
      <c r="N10048" s="2"/>
      <c r="O10048" s="20"/>
      <c r="P10048" s="42"/>
      <c r="R10048" s="23"/>
    </row>
    <row r="10049" spans="1:18" ht="12.75">
      <c r="A10049" s="12"/>
      <c r="D10049" s="12"/>
      <c r="E10049" s="12"/>
      <c r="H10049" s="11" t="str">
        <f ca="1">IFERROR(__xludf.DUMMYFUNCTION("IFERROR(SUBSTITUTE(SUBSTITUTE(REGEXEXTRACT(A10049, ""[^-]+- [^-]+- [^-]+ - (.+?)\.jpg""), "".jpg"", """"), ""-"", "", ""), """")"),"")</f>
        <v/>
      </c>
      <c r="L10049" s="12"/>
      <c r="M10049" s="13"/>
      <c r="N10049" s="2"/>
      <c r="O10049" s="20"/>
      <c r="P10049" s="42"/>
      <c r="R10049" s="23"/>
    </row>
    <row r="10050" spans="1:18" ht="12.75">
      <c r="A10050" s="12"/>
      <c r="D10050" s="12"/>
      <c r="E10050" s="12"/>
      <c r="H10050" s="11" t="str">
        <f ca="1">IFERROR(__xludf.DUMMYFUNCTION("IFERROR(SUBSTITUTE(SUBSTITUTE(REGEXEXTRACT(A10050, ""[^-]+- [^-]+- [^-]+ - (.+?)\.jpg""), "".jpg"", """"), ""-"", "", ""), """")"),"")</f>
        <v/>
      </c>
      <c r="L10050" s="12"/>
      <c r="M10050" s="13"/>
      <c r="N10050" s="2"/>
      <c r="O10050" s="20"/>
      <c r="P10050" s="42"/>
      <c r="R10050" s="23"/>
    </row>
    <row r="10051" spans="1:18" ht="12.75">
      <c r="A10051" s="12"/>
      <c r="D10051" s="12"/>
      <c r="E10051" s="12"/>
      <c r="H10051" s="11" t="str">
        <f ca="1">IFERROR(__xludf.DUMMYFUNCTION("IFERROR(SUBSTITUTE(SUBSTITUTE(REGEXEXTRACT(A10051, ""[^-]+- [^-]+- [^-]+ - (.+?)\.jpg""), "".jpg"", """"), ""-"", "", ""), """")"),"")</f>
        <v/>
      </c>
      <c r="L10051" s="12"/>
      <c r="M10051" s="13"/>
      <c r="N10051" s="2"/>
      <c r="O10051" s="20"/>
      <c r="P10051" s="42"/>
      <c r="R10051" s="23"/>
    </row>
    <row r="10052" spans="1:18" ht="12.75">
      <c r="A10052" s="12"/>
      <c r="D10052" s="12"/>
      <c r="E10052" s="12"/>
      <c r="H10052" s="11" t="str">
        <f ca="1">IFERROR(__xludf.DUMMYFUNCTION("IFERROR(SUBSTITUTE(SUBSTITUTE(REGEXEXTRACT(A10052, ""[^-]+- [^-]+- [^-]+ - (.+?)\.jpg""), "".jpg"", """"), ""-"", "", ""), """")"),"")</f>
        <v/>
      </c>
      <c r="L10052" s="12"/>
      <c r="M10052" s="13"/>
      <c r="N10052" s="2"/>
      <c r="O10052" s="20"/>
      <c r="P10052" s="42"/>
      <c r="R10052" s="23"/>
    </row>
    <row r="10053" spans="1:18" ht="12.75">
      <c r="A10053" s="12"/>
      <c r="D10053" s="12"/>
      <c r="E10053" s="12"/>
      <c r="H10053" s="11" t="str">
        <f ca="1">IFERROR(__xludf.DUMMYFUNCTION("IFERROR(SUBSTITUTE(SUBSTITUTE(REGEXEXTRACT(A10053, ""[^-]+- [^-]+- [^-]+ - (.+?)\.jpg""), "".jpg"", """"), ""-"", "", ""), """")"),"")</f>
        <v/>
      </c>
      <c r="L10053" s="12"/>
      <c r="M10053" s="13"/>
      <c r="N10053" s="2"/>
      <c r="O10053" s="20"/>
      <c r="P10053" s="42"/>
      <c r="R10053" s="23"/>
    </row>
    <row r="10054" spans="1:18" ht="12.75">
      <c r="A10054" s="12"/>
      <c r="D10054" s="12"/>
      <c r="E10054" s="12"/>
      <c r="H10054" s="11" t="str">
        <f ca="1">IFERROR(__xludf.DUMMYFUNCTION("IFERROR(SUBSTITUTE(SUBSTITUTE(REGEXEXTRACT(A10054, ""[^-]+- [^-]+- [^-]+ - (.+?)\.jpg""), "".jpg"", """"), ""-"", "", ""), """")"),"")</f>
        <v/>
      </c>
      <c r="L10054" s="12"/>
      <c r="M10054" s="13"/>
      <c r="N10054" s="2"/>
      <c r="O10054" s="20"/>
      <c r="P10054" s="42"/>
      <c r="R10054" s="23"/>
    </row>
    <row r="10055" spans="1:18" ht="12.75">
      <c r="A10055" s="12"/>
      <c r="D10055" s="12"/>
      <c r="E10055" s="12"/>
      <c r="H10055" s="11" t="str">
        <f ca="1">IFERROR(__xludf.DUMMYFUNCTION("IFERROR(SUBSTITUTE(SUBSTITUTE(REGEXEXTRACT(A10055, ""[^-]+- [^-]+- [^-]+ - (.+?)\.jpg""), "".jpg"", """"), ""-"", "", ""), """")"),"")</f>
        <v/>
      </c>
      <c r="L10055" s="12"/>
      <c r="M10055" s="13"/>
      <c r="N10055" s="2"/>
      <c r="O10055" s="20"/>
      <c r="P10055" s="42"/>
      <c r="R10055" s="23"/>
    </row>
    <row r="10056" spans="1:18" ht="12.75">
      <c r="A10056" s="12"/>
      <c r="D10056" s="12"/>
      <c r="E10056" s="12"/>
      <c r="H10056" s="11" t="str">
        <f ca="1">IFERROR(__xludf.DUMMYFUNCTION("IFERROR(SUBSTITUTE(SUBSTITUTE(REGEXEXTRACT(A10056, ""[^-]+- [^-]+- [^-]+ - (.+?)\.jpg""), "".jpg"", """"), ""-"", "", ""), """")"),"")</f>
        <v/>
      </c>
      <c r="L10056" s="12"/>
      <c r="M10056" s="13"/>
      <c r="N10056" s="2"/>
      <c r="O10056" s="20"/>
      <c r="P10056" s="42"/>
      <c r="R10056" s="23"/>
    </row>
    <row r="10057" spans="1:18" ht="12.75">
      <c r="A10057" s="12"/>
      <c r="D10057" s="12"/>
      <c r="E10057" s="12"/>
      <c r="H10057" s="11" t="str">
        <f ca="1">IFERROR(__xludf.DUMMYFUNCTION("IFERROR(SUBSTITUTE(SUBSTITUTE(REGEXEXTRACT(A10057, ""[^-]+- [^-]+- [^-]+ - (.+?)\.jpg""), "".jpg"", """"), ""-"", "", ""), """")"),"")</f>
        <v/>
      </c>
      <c r="L10057" s="12"/>
      <c r="M10057" s="13"/>
      <c r="N10057" s="2"/>
      <c r="O10057" s="20"/>
      <c r="P10057" s="42"/>
      <c r="R10057" s="23"/>
    </row>
    <row r="10058" spans="1:18" ht="12.75">
      <c r="A10058" s="12"/>
      <c r="D10058" s="12"/>
      <c r="E10058" s="12"/>
      <c r="H10058" s="11" t="str">
        <f ca="1">IFERROR(__xludf.DUMMYFUNCTION("IFERROR(SUBSTITUTE(SUBSTITUTE(REGEXEXTRACT(A10058, ""[^-]+- [^-]+- [^-]+ - (.+?)\.jpg""), "".jpg"", """"), ""-"", "", ""), """")"),"")</f>
        <v/>
      </c>
      <c r="L10058" s="12"/>
      <c r="M10058" s="13"/>
      <c r="N10058" s="2"/>
      <c r="O10058" s="20"/>
      <c r="P10058" s="42"/>
      <c r="R10058" s="23"/>
    </row>
    <row r="10059" spans="1:18" ht="12.75">
      <c r="A10059" s="12"/>
      <c r="D10059" s="12"/>
      <c r="E10059" s="12"/>
      <c r="H10059" s="11" t="str">
        <f ca="1">IFERROR(__xludf.DUMMYFUNCTION("IFERROR(SUBSTITUTE(SUBSTITUTE(REGEXEXTRACT(A10059, ""[^-]+- [^-]+- [^-]+ - (.+?)\.jpg""), "".jpg"", """"), ""-"", "", ""), """")"),"")</f>
        <v/>
      </c>
      <c r="L10059" s="12"/>
      <c r="M10059" s="13"/>
      <c r="N10059" s="2"/>
      <c r="O10059" s="20"/>
      <c r="P10059" s="42"/>
      <c r="R10059" s="23"/>
    </row>
    <row r="10060" spans="1:18" ht="12.75">
      <c r="A10060" s="12"/>
      <c r="D10060" s="12"/>
      <c r="E10060" s="12"/>
      <c r="H10060" s="11" t="str">
        <f ca="1">IFERROR(__xludf.DUMMYFUNCTION("IFERROR(SUBSTITUTE(SUBSTITUTE(REGEXEXTRACT(A10060, ""[^-]+- [^-]+- [^-]+ - (.+?)\.jpg""), "".jpg"", """"), ""-"", "", ""), """")"),"")</f>
        <v/>
      </c>
      <c r="L10060" s="12"/>
      <c r="M10060" s="13"/>
      <c r="N10060" s="2"/>
      <c r="O10060" s="20"/>
      <c r="P10060" s="42"/>
      <c r="R10060" s="23"/>
    </row>
    <row r="10061" spans="1:18" ht="12.75">
      <c r="A10061" s="12"/>
      <c r="D10061" s="12"/>
      <c r="E10061" s="12"/>
      <c r="H10061" s="11" t="str">
        <f ca="1">IFERROR(__xludf.DUMMYFUNCTION("IFERROR(SUBSTITUTE(SUBSTITUTE(REGEXEXTRACT(A10061, ""[^-]+- [^-]+- [^-]+ - (.+?)\.jpg""), "".jpg"", """"), ""-"", "", ""), """")"),"")</f>
        <v/>
      </c>
      <c r="L10061" s="12"/>
      <c r="M10061" s="13"/>
      <c r="N10061" s="2"/>
      <c r="O10061" s="20"/>
      <c r="P10061" s="42"/>
      <c r="R10061" s="23"/>
    </row>
    <row r="10062" spans="1:18" ht="12.75">
      <c r="A10062" s="12"/>
      <c r="D10062" s="12"/>
      <c r="E10062" s="12"/>
      <c r="H10062" s="11" t="str">
        <f ca="1">IFERROR(__xludf.DUMMYFUNCTION("IFERROR(SUBSTITUTE(SUBSTITUTE(REGEXEXTRACT(A10062, ""[^-]+- [^-]+- [^-]+ - (.+?)\.jpg""), "".jpg"", """"), ""-"", "", ""), """")"),"")</f>
        <v/>
      </c>
      <c r="L10062" s="12"/>
      <c r="M10062" s="13"/>
      <c r="N10062" s="2"/>
      <c r="O10062" s="20"/>
      <c r="P10062" s="42"/>
      <c r="R10062" s="23"/>
    </row>
    <row r="10063" spans="1:18" ht="12.75">
      <c r="A10063" s="12"/>
      <c r="D10063" s="12"/>
      <c r="E10063" s="12"/>
      <c r="H10063" s="11" t="str">
        <f ca="1">IFERROR(__xludf.DUMMYFUNCTION("IFERROR(SUBSTITUTE(SUBSTITUTE(REGEXEXTRACT(A10063, ""[^-]+- [^-]+- [^-]+ - (.+?)\.jpg""), "".jpg"", """"), ""-"", "", ""), """")"),"")</f>
        <v/>
      </c>
      <c r="L10063" s="12"/>
      <c r="M10063" s="13"/>
      <c r="N10063" s="2"/>
      <c r="O10063" s="20"/>
      <c r="P10063" s="42"/>
      <c r="R10063" s="23"/>
    </row>
    <row r="10064" spans="1:18" ht="12.75">
      <c r="A10064" s="12"/>
      <c r="D10064" s="12"/>
      <c r="E10064" s="12"/>
      <c r="H10064" s="11" t="str">
        <f ca="1">IFERROR(__xludf.DUMMYFUNCTION("IFERROR(SUBSTITUTE(SUBSTITUTE(REGEXEXTRACT(A10064, ""[^-]+- [^-]+- [^-]+ - (.+?)\.jpg""), "".jpg"", """"), ""-"", "", ""), """")"),"")</f>
        <v/>
      </c>
      <c r="L10064" s="12"/>
      <c r="M10064" s="13"/>
      <c r="N10064" s="2"/>
      <c r="O10064" s="20"/>
      <c r="P10064" s="42"/>
      <c r="R10064" s="23"/>
    </row>
    <row r="10065" spans="1:18" ht="12.75">
      <c r="A10065" s="12"/>
      <c r="D10065" s="12"/>
      <c r="E10065" s="12"/>
      <c r="H10065" s="11" t="str">
        <f ca="1">IFERROR(__xludf.DUMMYFUNCTION("IFERROR(SUBSTITUTE(SUBSTITUTE(REGEXEXTRACT(A10065, ""[^-]+- [^-]+- [^-]+ - (.+?)\.jpg""), "".jpg"", """"), ""-"", "", ""), """")"),"")</f>
        <v/>
      </c>
      <c r="L10065" s="12"/>
      <c r="M10065" s="13"/>
      <c r="N10065" s="2"/>
      <c r="O10065" s="20"/>
      <c r="P10065" s="42"/>
      <c r="R10065" s="23"/>
    </row>
    <row r="10066" spans="1:18" ht="12.75">
      <c r="A10066" s="12"/>
      <c r="D10066" s="12"/>
      <c r="E10066" s="12"/>
      <c r="H10066" s="11" t="str">
        <f ca="1">IFERROR(__xludf.DUMMYFUNCTION("IFERROR(SUBSTITUTE(SUBSTITUTE(REGEXEXTRACT(A10066, ""[^-]+- [^-]+- [^-]+ - (.+?)\.jpg""), "".jpg"", """"), ""-"", "", ""), """")"),"")</f>
        <v/>
      </c>
      <c r="L10066" s="12"/>
      <c r="M10066" s="13"/>
      <c r="N10066" s="2"/>
      <c r="O10066" s="20"/>
      <c r="P10066" s="42"/>
      <c r="R10066" s="23"/>
    </row>
    <row r="10067" spans="1:18" ht="12.75">
      <c r="A10067" s="12"/>
      <c r="D10067" s="12"/>
      <c r="E10067" s="12"/>
      <c r="H10067" s="11" t="str">
        <f ca="1">IFERROR(__xludf.DUMMYFUNCTION("IFERROR(SUBSTITUTE(SUBSTITUTE(REGEXEXTRACT(A10067, ""[^-]+- [^-]+- [^-]+ - (.+?)\.jpg""), "".jpg"", """"), ""-"", "", ""), """")"),"")</f>
        <v/>
      </c>
      <c r="L10067" s="12"/>
      <c r="M10067" s="13"/>
      <c r="N10067" s="2"/>
      <c r="O10067" s="20"/>
      <c r="P10067" s="42"/>
      <c r="R10067" s="23"/>
    </row>
    <row r="10068" spans="1:18" ht="12.75">
      <c r="A10068" s="12"/>
      <c r="D10068" s="12"/>
      <c r="E10068" s="12"/>
      <c r="H10068" s="11" t="str">
        <f ca="1">IFERROR(__xludf.DUMMYFUNCTION("IFERROR(SUBSTITUTE(SUBSTITUTE(REGEXEXTRACT(A10068, ""[^-]+- [^-]+- [^-]+ - (.+?)\.jpg""), "".jpg"", """"), ""-"", "", ""), """")"),"")</f>
        <v/>
      </c>
      <c r="L10068" s="12"/>
      <c r="M10068" s="13"/>
      <c r="N10068" s="2"/>
      <c r="O10068" s="20"/>
      <c r="P10068" s="42"/>
      <c r="R10068" s="23"/>
    </row>
    <row r="10069" spans="1:18" ht="12.75">
      <c r="A10069" s="12"/>
      <c r="D10069" s="12"/>
      <c r="E10069" s="12"/>
      <c r="H10069" s="11" t="str">
        <f ca="1">IFERROR(__xludf.DUMMYFUNCTION("IFERROR(SUBSTITUTE(SUBSTITUTE(REGEXEXTRACT(A10069, ""[^-]+- [^-]+- [^-]+ - (.+?)\.jpg""), "".jpg"", """"), ""-"", "", ""), """")"),"")</f>
        <v/>
      </c>
      <c r="L10069" s="12"/>
      <c r="M10069" s="13"/>
      <c r="N10069" s="2"/>
      <c r="O10069" s="20"/>
      <c r="P10069" s="42"/>
      <c r="R10069" s="23"/>
    </row>
    <row r="10070" spans="1:18" ht="12.75">
      <c r="A10070" s="12"/>
      <c r="D10070" s="12"/>
      <c r="E10070" s="12"/>
      <c r="H10070" s="11" t="str">
        <f ca="1">IFERROR(__xludf.DUMMYFUNCTION("IFERROR(SUBSTITUTE(SUBSTITUTE(REGEXEXTRACT(A10070, ""[^-]+- [^-]+- [^-]+ - (.+?)\.jpg""), "".jpg"", """"), ""-"", "", ""), """")"),"")</f>
        <v/>
      </c>
      <c r="L10070" s="12"/>
      <c r="M10070" s="13"/>
      <c r="N10070" s="2"/>
      <c r="O10070" s="20"/>
      <c r="P10070" s="42"/>
      <c r="R10070" s="23"/>
    </row>
    <row r="10071" spans="1:18" ht="12.75">
      <c r="A10071" s="12"/>
      <c r="D10071" s="12"/>
      <c r="E10071" s="12"/>
      <c r="H10071" s="11" t="str">
        <f ca="1">IFERROR(__xludf.DUMMYFUNCTION("IFERROR(SUBSTITUTE(SUBSTITUTE(REGEXEXTRACT(A10071, ""[^-]+- [^-]+- [^-]+ - (.+?)\.jpg""), "".jpg"", """"), ""-"", "", ""), """")"),"")</f>
        <v/>
      </c>
      <c r="L10071" s="12"/>
      <c r="M10071" s="13"/>
      <c r="N10071" s="2"/>
      <c r="O10071" s="20"/>
      <c r="P10071" s="42"/>
      <c r="R10071" s="23"/>
    </row>
    <row r="10072" spans="1:18" ht="12.75">
      <c r="A10072" s="12"/>
      <c r="D10072" s="12"/>
      <c r="E10072" s="12"/>
      <c r="H10072" s="11" t="str">
        <f ca="1">IFERROR(__xludf.DUMMYFUNCTION("IFERROR(SUBSTITUTE(SUBSTITUTE(REGEXEXTRACT(A10072, ""[^-]+- [^-]+- [^-]+ - (.+?)\.jpg""), "".jpg"", """"), ""-"", "", ""), """")"),"")</f>
        <v/>
      </c>
      <c r="L10072" s="12"/>
      <c r="M10072" s="13"/>
      <c r="N10072" s="2"/>
      <c r="O10072" s="20"/>
      <c r="P10072" s="42"/>
      <c r="R10072" s="23"/>
    </row>
    <row r="10073" spans="1:18" ht="12.75">
      <c r="A10073" s="12"/>
      <c r="D10073" s="12"/>
      <c r="E10073" s="12"/>
      <c r="H10073" s="11" t="str">
        <f ca="1">IFERROR(__xludf.DUMMYFUNCTION("IFERROR(SUBSTITUTE(SUBSTITUTE(REGEXEXTRACT(A10073, ""[^-]+- [^-]+- [^-]+ - (.+?)\.jpg""), "".jpg"", """"), ""-"", "", ""), """")"),"")</f>
        <v/>
      </c>
      <c r="L10073" s="12"/>
      <c r="M10073" s="13"/>
      <c r="N10073" s="2"/>
      <c r="O10073" s="20"/>
      <c r="P10073" s="42"/>
      <c r="R10073" s="23"/>
    </row>
    <row r="10074" spans="1:18" ht="12.75">
      <c r="A10074" s="12"/>
      <c r="D10074" s="12"/>
      <c r="E10074" s="12"/>
      <c r="H10074" s="11" t="str">
        <f ca="1">IFERROR(__xludf.DUMMYFUNCTION("IFERROR(SUBSTITUTE(SUBSTITUTE(REGEXEXTRACT(A10074, ""[^-]+- [^-]+- [^-]+ - (.+?)\.jpg""), "".jpg"", """"), ""-"", "", ""), """")"),"")</f>
        <v/>
      </c>
      <c r="L10074" s="12"/>
      <c r="M10074" s="13"/>
      <c r="N10074" s="2"/>
      <c r="O10074" s="20"/>
      <c r="P10074" s="42"/>
      <c r="R10074" s="23"/>
    </row>
    <row r="10075" spans="1:18" ht="12.75">
      <c r="A10075" s="12"/>
      <c r="D10075" s="12"/>
      <c r="E10075" s="12"/>
      <c r="H10075" s="11" t="str">
        <f ca="1">IFERROR(__xludf.DUMMYFUNCTION("IFERROR(SUBSTITUTE(SUBSTITUTE(REGEXEXTRACT(A10075, ""[^-]+- [^-]+- [^-]+ - (.+?)\.jpg""), "".jpg"", """"), ""-"", "", ""), """")"),"")</f>
        <v/>
      </c>
      <c r="L10075" s="12"/>
      <c r="M10075" s="13"/>
      <c r="N10075" s="2"/>
      <c r="O10075" s="20"/>
      <c r="P10075" s="42"/>
      <c r="R10075" s="23"/>
    </row>
    <row r="10076" spans="1:18" ht="12.75">
      <c r="A10076" s="12"/>
      <c r="D10076" s="12"/>
      <c r="E10076" s="12"/>
      <c r="H10076" s="11" t="str">
        <f ca="1">IFERROR(__xludf.DUMMYFUNCTION("IFERROR(SUBSTITUTE(SUBSTITUTE(REGEXEXTRACT(A10076, ""[^-]+- [^-]+- [^-]+ - (.+?)\.jpg""), "".jpg"", """"), ""-"", "", ""), """")"),"")</f>
        <v/>
      </c>
      <c r="L10076" s="12"/>
      <c r="M10076" s="13"/>
      <c r="N10076" s="2"/>
      <c r="O10076" s="20"/>
      <c r="P10076" s="42"/>
      <c r="R10076" s="23"/>
    </row>
    <row r="10077" spans="1:18" ht="12.75">
      <c r="A10077" s="12"/>
      <c r="D10077" s="12"/>
      <c r="E10077" s="12"/>
      <c r="H10077" s="11" t="str">
        <f ca="1">IFERROR(__xludf.DUMMYFUNCTION("IFERROR(SUBSTITUTE(SUBSTITUTE(REGEXEXTRACT(A10077, ""[^-]+- [^-]+- [^-]+ - (.+?)\.jpg""), "".jpg"", """"), ""-"", "", ""), """")"),"")</f>
        <v/>
      </c>
      <c r="L10077" s="12"/>
      <c r="M10077" s="13"/>
      <c r="N10077" s="2"/>
      <c r="O10077" s="20"/>
      <c r="P10077" s="42"/>
      <c r="R10077" s="23"/>
    </row>
    <row r="10078" spans="1:18" ht="12.75">
      <c r="A10078" s="12"/>
      <c r="D10078" s="12"/>
      <c r="E10078" s="12"/>
      <c r="H10078" s="11" t="str">
        <f ca="1">IFERROR(__xludf.DUMMYFUNCTION("IFERROR(SUBSTITUTE(SUBSTITUTE(REGEXEXTRACT(A10078, ""[^-]+- [^-]+- [^-]+ - (.+?)\.jpg""), "".jpg"", """"), ""-"", "", ""), """")"),"")</f>
        <v/>
      </c>
      <c r="L10078" s="12"/>
      <c r="M10078" s="13"/>
      <c r="N10078" s="2"/>
      <c r="O10078" s="20"/>
      <c r="P10078" s="42"/>
      <c r="R10078" s="23"/>
    </row>
    <row r="10079" spans="1:18" ht="12.75">
      <c r="A10079" s="12"/>
      <c r="D10079" s="12"/>
      <c r="E10079" s="12"/>
      <c r="H10079" s="11" t="str">
        <f ca="1">IFERROR(__xludf.DUMMYFUNCTION("IFERROR(SUBSTITUTE(SUBSTITUTE(REGEXEXTRACT(A10079, ""[^-]+- [^-]+- [^-]+ - (.+?)\.jpg""), "".jpg"", """"), ""-"", "", ""), """")"),"")</f>
        <v/>
      </c>
      <c r="L10079" s="12"/>
      <c r="M10079" s="13"/>
      <c r="N10079" s="2"/>
      <c r="O10079" s="20"/>
      <c r="P10079" s="42"/>
      <c r="R10079" s="23"/>
    </row>
    <row r="10080" spans="1:18" ht="12.75">
      <c r="A10080" s="12"/>
      <c r="D10080" s="12"/>
      <c r="E10080" s="12"/>
      <c r="H10080" s="11" t="str">
        <f ca="1">IFERROR(__xludf.DUMMYFUNCTION("IFERROR(SUBSTITUTE(SUBSTITUTE(REGEXEXTRACT(A10080, ""[^-]+- [^-]+- [^-]+ - (.+?)\.jpg""), "".jpg"", """"), ""-"", "", ""), """")"),"")</f>
        <v/>
      </c>
      <c r="L10080" s="12"/>
      <c r="M10080" s="13"/>
      <c r="N10080" s="2"/>
      <c r="O10080" s="20"/>
      <c r="P10080" s="42"/>
      <c r="R10080" s="23"/>
    </row>
    <row r="10081" spans="1:18" ht="12.75">
      <c r="A10081" s="12"/>
      <c r="D10081" s="12"/>
      <c r="E10081" s="12"/>
      <c r="H10081" s="11" t="str">
        <f ca="1">IFERROR(__xludf.DUMMYFUNCTION("IFERROR(SUBSTITUTE(SUBSTITUTE(REGEXEXTRACT(A10081, ""[^-]+- [^-]+- [^-]+ - (.+?)\.jpg""), "".jpg"", """"), ""-"", "", ""), """")"),"")</f>
        <v/>
      </c>
      <c r="L10081" s="12"/>
      <c r="M10081" s="13"/>
      <c r="N10081" s="2"/>
      <c r="O10081" s="20"/>
      <c r="P10081" s="42"/>
      <c r="R10081" s="23"/>
    </row>
    <row r="10082" spans="1:18" ht="12.75">
      <c r="A10082" s="12"/>
      <c r="D10082" s="12"/>
      <c r="E10082" s="12"/>
      <c r="H10082" s="11" t="str">
        <f ca="1">IFERROR(__xludf.DUMMYFUNCTION("IFERROR(SUBSTITUTE(SUBSTITUTE(REGEXEXTRACT(A10082, ""[^-]+- [^-]+- [^-]+ - (.+?)\.jpg""), "".jpg"", """"), ""-"", "", ""), """")"),"")</f>
        <v/>
      </c>
      <c r="L10082" s="12"/>
      <c r="M10082" s="13"/>
      <c r="N10082" s="2"/>
      <c r="O10082" s="20"/>
      <c r="P10082" s="42"/>
      <c r="R10082" s="23"/>
    </row>
    <row r="10083" spans="1:18" ht="12.75">
      <c r="A10083" s="12"/>
      <c r="D10083" s="12"/>
      <c r="E10083" s="12"/>
      <c r="H10083" s="11" t="str">
        <f ca="1">IFERROR(__xludf.DUMMYFUNCTION("IFERROR(SUBSTITUTE(SUBSTITUTE(REGEXEXTRACT(A10083, ""[^-]+- [^-]+- [^-]+ - (.+?)\.jpg""), "".jpg"", """"), ""-"", "", ""), """")"),"")</f>
        <v/>
      </c>
      <c r="L10083" s="12"/>
      <c r="M10083" s="13"/>
      <c r="N10083" s="2"/>
      <c r="O10083" s="20"/>
      <c r="P10083" s="42"/>
      <c r="R10083" s="23"/>
    </row>
    <row r="10084" spans="1:18" ht="12.75">
      <c r="A10084" s="12"/>
      <c r="D10084" s="12"/>
      <c r="E10084" s="12"/>
      <c r="H10084" s="11" t="str">
        <f ca="1">IFERROR(__xludf.DUMMYFUNCTION("IFERROR(SUBSTITUTE(SUBSTITUTE(REGEXEXTRACT(A10084, ""[^-]+- [^-]+- [^-]+ - (.+?)\.jpg""), "".jpg"", """"), ""-"", "", ""), """")"),"")</f>
        <v/>
      </c>
      <c r="L10084" s="12"/>
      <c r="M10084" s="13"/>
      <c r="N10084" s="2"/>
      <c r="O10084" s="20"/>
      <c r="P10084" s="42"/>
      <c r="R10084" s="23"/>
    </row>
    <row r="10085" spans="1:18" ht="12.75">
      <c r="A10085" s="12"/>
      <c r="D10085" s="12"/>
      <c r="E10085" s="12"/>
      <c r="H10085" s="11" t="str">
        <f ca="1">IFERROR(__xludf.DUMMYFUNCTION("IFERROR(SUBSTITUTE(SUBSTITUTE(REGEXEXTRACT(A10085, ""[^-]+- [^-]+- [^-]+ - (.+?)\.jpg""), "".jpg"", """"), ""-"", "", ""), """")"),"")</f>
        <v/>
      </c>
      <c r="L10085" s="12"/>
      <c r="M10085" s="13"/>
      <c r="N10085" s="2"/>
      <c r="O10085" s="20"/>
      <c r="P10085" s="42"/>
      <c r="R10085" s="23"/>
    </row>
    <row r="10086" spans="1:18" ht="12.75">
      <c r="A10086" s="12"/>
      <c r="D10086" s="12"/>
      <c r="E10086" s="12"/>
      <c r="H10086" s="11" t="str">
        <f ca="1">IFERROR(__xludf.DUMMYFUNCTION("IFERROR(SUBSTITUTE(SUBSTITUTE(REGEXEXTRACT(A10086, ""[^-]+- [^-]+- [^-]+ - (.+?)\.jpg""), "".jpg"", """"), ""-"", "", ""), """")"),"")</f>
        <v/>
      </c>
      <c r="L10086" s="12"/>
      <c r="M10086" s="13"/>
      <c r="N10086" s="2"/>
      <c r="O10086" s="20"/>
      <c r="P10086" s="42"/>
      <c r="R10086" s="23"/>
    </row>
    <row r="10087" spans="1:18" ht="12.75">
      <c r="A10087" s="12"/>
      <c r="D10087" s="12"/>
      <c r="E10087" s="12"/>
      <c r="H10087" s="11" t="str">
        <f ca="1">IFERROR(__xludf.DUMMYFUNCTION("IFERROR(SUBSTITUTE(SUBSTITUTE(REGEXEXTRACT(A10087, ""[^-]+- [^-]+- [^-]+ - (.+?)\.jpg""), "".jpg"", """"), ""-"", "", ""), """")"),"")</f>
        <v/>
      </c>
      <c r="L10087" s="12"/>
      <c r="M10087" s="13"/>
      <c r="N10087" s="2"/>
      <c r="O10087" s="20"/>
      <c r="P10087" s="42"/>
      <c r="R10087" s="23"/>
    </row>
    <row r="10088" spans="1:18" ht="12.75">
      <c r="A10088" s="12"/>
      <c r="D10088" s="12"/>
      <c r="E10088" s="12"/>
      <c r="H10088" s="11" t="str">
        <f ca="1">IFERROR(__xludf.DUMMYFUNCTION("IFERROR(SUBSTITUTE(SUBSTITUTE(REGEXEXTRACT(A10088, ""[^-]+- [^-]+- [^-]+ - (.+?)\.jpg""), "".jpg"", """"), ""-"", "", ""), """")"),"")</f>
        <v/>
      </c>
      <c r="L10088" s="12"/>
      <c r="M10088" s="13"/>
      <c r="N10088" s="2"/>
      <c r="O10088" s="20"/>
      <c r="P10088" s="42"/>
      <c r="R10088" s="23"/>
    </row>
    <row r="10089" spans="1:18" ht="12.75">
      <c r="A10089" s="12"/>
      <c r="D10089" s="12"/>
      <c r="E10089" s="12"/>
      <c r="H10089" s="11" t="str">
        <f ca="1">IFERROR(__xludf.DUMMYFUNCTION("IFERROR(SUBSTITUTE(SUBSTITUTE(REGEXEXTRACT(A10089, ""[^-]+- [^-]+- [^-]+ - (.+?)\.jpg""), "".jpg"", """"), ""-"", "", ""), """")"),"")</f>
        <v/>
      </c>
      <c r="L10089" s="12"/>
      <c r="M10089" s="13"/>
      <c r="N10089" s="2"/>
      <c r="O10089" s="20"/>
      <c r="P10089" s="42"/>
      <c r="R10089" s="23"/>
    </row>
    <row r="10090" spans="1:18" ht="12.75">
      <c r="A10090" s="12"/>
      <c r="D10090" s="12"/>
      <c r="E10090" s="12"/>
      <c r="H10090" s="11" t="str">
        <f ca="1">IFERROR(__xludf.DUMMYFUNCTION("IFERROR(SUBSTITUTE(SUBSTITUTE(REGEXEXTRACT(A10090, ""[^-]+- [^-]+- [^-]+ - (.+?)\.jpg""), "".jpg"", """"), ""-"", "", ""), """")"),"")</f>
        <v/>
      </c>
      <c r="L10090" s="12"/>
      <c r="M10090" s="13"/>
      <c r="N10090" s="2"/>
      <c r="O10090" s="20"/>
      <c r="P10090" s="42"/>
      <c r="R10090" s="23"/>
    </row>
    <row r="10091" spans="1:18" ht="12.75">
      <c r="A10091" s="12"/>
      <c r="D10091" s="12"/>
      <c r="E10091" s="12"/>
      <c r="H10091" s="11" t="str">
        <f ca="1">IFERROR(__xludf.DUMMYFUNCTION("IFERROR(SUBSTITUTE(SUBSTITUTE(REGEXEXTRACT(A10091, ""[^-]+- [^-]+- [^-]+ - (.+?)\.jpg""), "".jpg"", """"), ""-"", "", ""), """")"),"")</f>
        <v/>
      </c>
      <c r="L10091" s="12"/>
      <c r="M10091" s="13"/>
      <c r="N10091" s="2"/>
      <c r="O10091" s="20"/>
      <c r="P10091" s="42"/>
      <c r="R10091" s="23"/>
    </row>
    <row r="10092" spans="1:18" ht="12.75">
      <c r="A10092" s="12"/>
      <c r="D10092" s="12"/>
      <c r="E10092" s="12"/>
      <c r="H10092" s="11" t="str">
        <f ca="1">IFERROR(__xludf.DUMMYFUNCTION("IFERROR(SUBSTITUTE(SUBSTITUTE(REGEXEXTRACT(A10092, ""[^-]+- [^-]+- [^-]+ - (.+?)\.jpg""), "".jpg"", """"), ""-"", "", ""), """")"),"")</f>
        <v/>
      </c>
      <c r="L10092" s="12"/>
      <c r="M10092" s="13"/>
      <c r="N10092" s="2"/>
      <c r="O10092" s="20"/>
      <c r="P10092" s="42"/>
      <c r="R10092" s="23"/>
    </row>
    <row r="10093" spans="1:18" ht="12.75">
      <c r="A10093" s="12"/>
      <c r="D10093" s="12"/>
      <c r="E10093" s="12"/>
      <c r="H10093" s="11" t="str">
        <f ca="1">IFERROR(__xludf.DUMMYFUNCTION("IFERROR(SUBSTITUTE(SUBSTITUTE(REGEXEXTRACT(A10093, ""[^-]+- [^-]+- [^-]+ - (.+?)\.jpg""), "".jpg"", """"), ""-"", "", ""), """")"),"")</f>
        <v/>
      </c>
      <c r="L10093" s="12"/>
      <c r="M10093" s="13"/>
      <c r="N10093" s="2"/>
      <c r="O10093" s="20"/>
      <c r="P10093" s="42"/>
      <c r="R10093" s="23"/>
    </row>
    <row r="10094" spans="1:18" ht="12.75">
      <c r="A10094" s="12"/>
      <c r="D10094" s="12"/>
      <c r="E10094" s="12"/>
      <c r="H10094" s="11" t="str">
        <f ca="1">IFERROR(__xludf.DUMMYFUNCTION("IFERROR(SUBSTITUTE(SUBSTITUTE(REGEXEXTRACT(A10094, ""[^-]+- [^-]+- [^-]+ - (.+?)\.jpg""), "".jpg"", """"), ""-"", "", ""), """")"),"")</f>
        <v/>
      </c>
      <c r="L10094" s="12"/>
      <c r="M10094" s="13"/>
      <c r="N10094" s="2"/>
      <c r="O10094" s="20"/>
      <c r="P10094" s="42"/>
      <c r="R10094" s="23"/>
    </row>
    <row r="10095" spans="1:18" ht="12.75">
      <c r="A10095" s="12"/>
      <c r="D10095" s="12"/>
      <c r="E10095" s="12"/>
      <c r="H10095" s="11" t="str">
        <f ca="1">IFERROR(__xludf.DUMMYFUNCTION("IFERROR(SUBSTITUTE(SUBSTITUTE(REGEXEXTRACT(A10095, ""[^-]+- [^-]+- [^-]+ - (.+?)\.jpg""), "".jpg"", """"), ""-"", "", ""), """")"),"")</f>
        <v/>
      </c>
      <c r="L10095" s="12"/>
      <c r="M10095" s="13"/>
      <c r="N10095" s="2"/>
      <c r="O10095" s="20"/>
      <c r="P10095" s="42"/>
      <c r="R10095" s="23"/>
    </row>
    <row r="10096" spans="1:18" ht="12.75">
      <c r="A10096" s="12"/>
      <c r="D10096" s="12"/>
      <c r="E10096" s="12"/>
      <c r="H10096" s="11" t="str">
        <f ca="1">IFERROR(__xludf.DUMMYFUNCTION("IFERROR(SUBSTITUTE(SUBSTITUTE(REGEXEXTRACT(A10096, ""[^-]+- [^-]+- [^-]+ - (.+?)\.jpg""), "".jpg"", """"), ""-"", "", ""), """")"),"")</f>
        <v/>
      </c>
      <c r="L10096" s="12"/>
      <c r="M10096" s="13"/>
      <c r="N10096" s="2"/>
      <c r="O10096" s="20"/>
      <c r="P10096" s="42"/>
      <c r="R10096" s="23"/>
    </row>
    <row r="10097" spans="1:18" ht="12.75">
      <c r="A10097" s="12"/>
      <c r="D10097" s="12"/>
      <c r="E10097" s="12"/>
      <c r="H10097" s="11" t="str">
        <f ca="1">IFERROR(__xludf.DUMMYFUNCTION("IFERROR(SUBSTITUTE(SUBSTITUTE(REGEXEXTRACT(A10097, ""[^-]+- [^-]+- [^-]+ - (.+?)\.jpg""), "".jpg"", """"), ""-"", "", ""), """")"),"")</f>
        <v/>
      </c>
      <c r="L10097" s="12"/>
      <c r="M10097" s="13"/>
      <c r="N10097" s="2"/>
      <c r="O10097" s="20"/>
      <c r="P10097" s="42"/>
      <c r="R10097" s="23"/>
    </row>
    <row r="10098" spans="1:18" ht="12.75">
      <c r="A10098" s="12"/>
      <c r="D10098" s="12"/>
      <c r="E10098" s="12"/>
      <c r="H10098" s="11" t="str">
        <f ca="1">IFERROR(__xludf.DUMMYFUNCTION("IFERROR(SUBSTITUTE(SUBSTITUTE(REGEXEXTRACT(A10098, ""[^-]+- [^-]+- [^-]+ - (.+?)\.jpg""), "".jpg"", """"), ""-"", "", ""), """")"),"")</f>
        <v/>
      </c>
      <c r="L10098" s="12"/>
      <c r="M10098" s="13"/>
      <c r="N10098" s="2"/>
      <c r="O10098" s="20"/>
      <c r="P10098" s="42"/>
      <c r="R10098" s="23"/>
    </row>
    <row r="10099" spans="1:18" ht="12.75">
      <c r="A10099" s="12"/>
      <c r="D10099" s="12"/>
      <c r="E10099" s="12"/>
      <c r="H10099" s="11" t="str">
        <f ca="1">IFERROR(__xludf.DUMMYFUNCTION("IFERROR(SUBSTITUTE(SUBSTITUTE(REGEXEXTRACT(A10099, ""[^-]+- [^-]+- [^-]+ - (.+?)\.jpg""), "".jpg"", """"), ""-"", "", ""), """")"),"")</f>
        <v/>
      </c>
      <c r="L10099" s="12"/>
      <c r="M10099" s="13"/>
      <c r="N10099" s="2"/>
      <c r="O10099" s="20"/>
      <c r="P10099" s="42"/>
      <c r="R10099" s="23"/>
    </row>
    <row r="10100" spans="1:18" ht="12.75">
      <c r="A10100" s="12"/>
      <c r="D10100" s="12"/>
      <c r="E10100" s="12"/>
      <c r="H10100" s="11" t="str">
        <f ca="1">IFERROR(__xludf.DUMMYFUNCTION("IFERROR(SUBSTITUTE(SUBSTITUTE(REGEXEXTRACT(A10100, ""[^-]+- [^-]+- [^-]+ - (.+?)\.jpg""), "".jpg"", """"), ""-"", "", ""), """")"),"")</f>
        <v/>
      </c>
      <c r="L10100" s="12"/>
      <c r="M10100" s="13"/>
      <c r="N10100" s="2"/>
      <c r="O10100" s="20"/>
      <c r="P10100" s="42"/>
      <c r="R10100" s="23"/>
    </row>
    <row r="10101" spans="1:18" ht="12.75">
      <c r="A10101" s="12"/>
      <c r="D10101" s="12"/>
      <c r="E10101" s="12"/>
      <c r="H10101" s="11" t="str">
        <f ca="1">IFERROR(__xludf.DUMMYFUNCTION("IFERROR(SUBSTITUTE(SUBSTITUTE(REGEXEXTRACT(A10101, ""[^-]+- [^-]+- [^-]+ - (.+?)\.jpg""), "".jpg"", """"), ""-"", "", ""), """")"),"")</f>
        <v/>
      </c>
      <c r="L10101" s="12"/>
      <c r="M10101" s="13"/>
      <c r="N10101" s="2"/>
      <c r="O10101" s="20"/>
      <c r="P10101" s="42"/>
      <c r="R10101" s="23"/>
    </row>
    <row r="10102" spans="1:18" ht="12.75">
      <c r="A10102" s="12"/>
      <c r="D10102" s="12"/>
      <c r="E10102" s="12"/>
      <c r="H10102" s="11" t="str">
        <f ca="1">IFERROR(__xludf.DUMMYFUNCTION("IFERROR(SUBSTITUTE(SUBSTITUTE(REGEXEXTRACT(A10102, ""[^-]+- [^-]+- [^-]+ - (.+?)\.jpg""), "".jpg"", """"), ""-"", "", ""), """")"),"")</f>
        <v/>
      </c>
      <c r="L10102" s="12"/>
      <c r="M10102" s="13"/>
      <c r="N10102" s="2"/>
      <c r="O10102" s="20"/>
      <c r="P10102" s="42"/>
      <c r="R10102" s="23"/>
    </row>
    <row r="10103" spans="1:18" ht="12.75">
      <c r="A10103" s="12"/>
      <c r="D10103" s="12"/>
      <c r="E10103" s="12"/>
      <c r="H10103" s="11" t="str">
        <f ca="1">IFERROR(__xludf.DUMMYFUNCTION("IFERROR(SUBSTITUTE(SUBSTITUTE(REGEXEXTRACT(A10103, ""[^-]+- [^-]+- [^-]+ - (.+?)\.jpg""), "".jpg"", """"), ""-"", "", ""), """")"),"")</f>
        <v/>
      </c>
      <c r="L10103" s="12"/>
      <c r="M10103" s="13"/>
      <c r="N10103" s="2"/>
      <c r="O10103" s="20"/>
      <c r="P10103" s="42"/>
      <c r="R10103" s="23"/>
    </row>
    <row r="10104" spans="1:18" ht="12.75">
      <c r="A10104" s="12"/>
      <c r="D10104" s="12"/>
      <c r="E10104" s="12"/>
      <c r="H10104" s="11" t="str">
        <f ca="1">IFERROR(__xludf.DUMMYFUNCTION("IFERROR(SUBSTITUTE(SUBSTITUTE(REGEXEXTRACT(A10104, ""[^-]+- [^-]+- [^-]+ - (.+?)\.jpg""), "".jpg"", """"), ""-"", "", ""), """")"),"")</f>
        <v/>
      </c>
      <c r="L10104" s="12"/>
      <c r="M10104" s="13"/>
      <c r="N10104" s="2"/>
      <c r="O10104" s="20"/>
      <c r="P10104" s="42"/>
      <c r="R10104" s="23"/>
    </row>
    <row r="10105" spans="1:18" ht="12.75">
      <c r="A10105" s="12"/>
      <c r="D10105" s="12"/>
      <c r="E10105" s="12"/>
      <c r="H10105" s="11" t="str">
        <f ca="1">IFERROR(__xludf.DUMMYFUNCTION("IFERROR(SUBSTITUTE(SUBSTITUTE(REGEXEXTRACT(A10105, ""[^-]+- [^-]+- [^-]+ - (.+?)\.jpg""), "".jpg"", """"), ""-"", "", ""), """")"),"")</f>
        <v/>
      </c>
      <c r="L10105" s="12"/>
      <c r="M10105" s="13"/>
      <c r="N10105" s="2"/>
      <c r="O10105" s="20"/>
      <c r="P10105" s="42"/>
      <c r="R10105" s="23"/>
    </row>
    <row r="10106" spans="1:18" ht="12.75">
      <c r="A10106" s="12"/>
      <c r="D10106" s="12"/>
      <c r="E10106" s="12"/>
      <c r="H10106" s="11" t="str">
        <f ca="1">IFERROR(__xludf.DUMMYFUNCTION("IFERROR(SUBSTITUTE(SUBSTITUTE(REGEXEXTRACT(A10106, ""[^-]+- [^-]+- [^-]+ - (.+?)\.jpg""), "".jpg"", """"), ""-"", "", ""), """")"),"")</f>
        <v/>
      </c>
      <c r="L10106" s="12"/>
      <c r="M10106" s="13"/>
      <c r="N10106" s="2"/>
      <c r="O10106" s="20"/>
      <c r="P10106" s="42"/>
      <c r="R10106" s="23"/>
    </row>
    <row r="10107" spans="1:18" ht="12.75">
      <c r="A10107" s="12"/>
      <c r="D10107" s="12"/>
      <c r="E10107" s="12"/>
      <c r="H10107" s="11" t="str">
        <f ca="1">IFERROR(__xludf.DUMMYFUNCTION("IFERROR(SUBSTITUTE(SUBSTITUTE(REGEXEXTRACT(A10107, ""[^-]+- [^-]+- [^-]+ - (.+?)\.jpg""), "".jpg"", """"), ""-"", "", ""), """")"),"")</f>
        <v/>
      </c>
      <c r="L10107" s="12"/>
      <c r="M10107" s="13"/>
      <c r="N10107" s="2"/>
      <c r="O10107" s="20"/>
      <c r="P10107" s="42"/>
      <c r="R10107" s="23"/>
    </row>
    <row r="10108" spans="1:18" ht="12.75">
      <c r="A10108" s="12"/>
      <c r="D10108" s="12"/>
      <c r="E10108" s="12"/>
      <c r="H10108" s="11" t="str">
        <f ca="1">IFERROR(__xludf.DUMMYFUNCTION("IFERROR(SUBSTITUTE(SUBSTITUTE(REGEXEXTRACT(A10108, ""[^-]+- [^-]+- [^-]+ - (.+?)\.jpg""), "".jpg"", """"), ""-"", "", ""), """")"),"")</f>
        <v/>
      </c>
      <c r="L10108" s="12"/>
      <c r="M10108" s="13"/>
      <c r="N10108" s="2"/>
      <c r="O10108" s="20"/>
      <c r="P10108" s="42"/>
      <c r="R10108" s="23"/>
    </row>
    <row r="10109" spans="1:18" ht="12.75">
      <c r="A10109" s="12"/>
      <c r="D10109" s="12"/>
      <c r="E10109" s="12"/>
      <c r="H10109" s="11" t="str">
        <f ca="1">IFERROR(__xludf.DUMMYFUNCTION("IFERROR(SUBSTITUTE(SUBSTITUTE(REGEXEXTRACT(A10109, ""[^-]+- [^-]+- [^-]+ - (.+?)\.jpg""), "".jpg"", """"), ""-"", "", ""), """")"),"")</f>
        <v/>
      </c>
      <c r="L10109" s="12"/>
      <c r="M10109" s="13"/>
      <c r="N10109" s="2"/>
      <c r="O10109" s="20"/>
      <c r="P10109" s="42"/>
      <c r="R10109" s="23"/>
    </row>
    <row r="10110" spans="1:18" ht="12.75">
      <c r="A10110" s="12"/>
      <c r="D10110" s="12"/>
      <c r="E10110" s="12"/>
      <c r="H10110" s="11" t="str">
        <f ca="1">IFERROR(__xludf.DUMMYFUNCTION("IFERROR(SUBSTITUTE(SUBSTITUTE(REGEXEXTRACT(A10110, ""[^-]+- [^-]+- [^-]+ - (.+?)\.jpg""), "".jpg"", """"), ""-"", "", ""), """")"),"")</f>
        <v/>
      </c>
      <c r="L10110" s="12"/>
      <c r="M10110" s="13"/>
      <c r="N10110" s="2"/>
      <c r="O10110" s="20"/>
      <c r="P10110" s="42"/>
      <c r="R10110" s="23"/>
    </row>
    <row r="10111" spans="1:18" ht="12.75">
      <c r="A10111" s="12"/>
      <c r="D10111" s="12"/>
      <c r="E10111" s="12"/>
      <c r="H10111" s="11" t="str">
        <f ca="1">IFERROR(__xludf.DUMMYFUNCTION("IFERROR(SUBSTITUTE(SUBSTITUTE(REGEXEXTRACT(A10111, ""[^-]+- [^-]+- [^-]+ - (.+?)\.jpg""), "".jpg"", """"), ""-"", "", ""), """")"),"")</f>
        <v/>
      </c>
      <c r="L10111" s="12"/>
      <c r="M10111" s="13"/>
      <c r="N10111" s="2"/>
      <c r="O10111" s="20"/>
      <c r="P10111" s="42"/>
      <c r="R10111" s="23"/>
    </row>
    <row r="10112" spans="1:18" ht="12.75">
      <c r="A10112" s="12"/>
      <c r="D10112" s="12"/>
      <c r="E10112" s="12"/>
      <c r="H10112" s="11" t="str">
        <f ca="1">IFERROR(__xludf.DUMMYFUNCTION("IFERROR(SUBSTITUTE(SUBSTITUTE(REGEXEXTRACT(A10112, ""[^-]+- [^-]+- [^-]+ - (.+?)\.jpg""), "".jpg"", """"), ""-"", "", ""), """")"),"")</f>
        <v/>
      </c>
      <c r="L10112" s="12"/>
      <c r="M10112" s="13"/>
      <c r="N10112" s="2"/>
      <c r="O10112" s="20"/>
      <c r="P10112" s="42"/>
      <c r="R10112" s="23"/>
    </row>
    <row r="10113" spans="1:18" ht="12.75">
      <c r="A10113" s="12"/>
      <c r="D10113" s="12"/>
      <c r="E10113" s="12"/>
      <c r="H10113" s="11" t="str">
        <f ca="1">IFERROR(__xludf.DUMMYFUNCTION("IFERROR(SUBSTITUTE(SUBSTITUTE(REGEXEXTRACT(A10113, ""[^-]+- [^-]+- [^-]+ - (.+?)\.jpg""), "".jpg"", """"), ""-"", "", ""), """")"),"")</f>
        <v/>
      </c>
      <c r="L10113" s="12"/>
      <c r="M10113" s="13"/>
      <c r="N10113" s="2"/>
      <c r="O10113" s="20"/>
      <c r="P10113" s="42"/>
      <c r="R10113" s="23"/>
    </row>
    <row r="10114" spans="1:18" ht="12.75">
      <c r="A10114" s="12"/>
      <c r="D10114" s="12"/>
      <c r="E10114" s="12"/>
      <c r="H10114" s="11" t="str">
        <f ca="1">IFERROR(__xludf.DUMMYFUNCTION("IFERROR(SUBSTITUTE(SUBSTITUTE(REGEXEXTRACT(A10114, ""[^-]+- [^-]+- [^-]+ - (.+?)\.jpg""), "".jpg"", """"), ""-"", "", ""), """")"),"")</f>
        <v/>
      </c>
      <c r="L10114" s="12"/>
      <c r="M10114" s="13"/>
      <c r="N10114" s="2"/>
      <c r="O10114" s="20"/>
      <c r="P10114" s="42"/>
      <c r="R10114" s="23"/>
    </row>
    <row r="10115" spans="1:18" ht="12.75">
      <c r="A10115" s="12"/>
      <c r="D10115" s="12"/>
      <c r="E10115" s="12"/>
      <c r="H10115" s="11" t="str">
        <f ca="1">IFERROR(__xludf.DUMMYFUNCTION("IFERROR(SUBSTITUTE(SUBSTITUTE(REGEXEXTRACT(A10115, ""[^-]+- [^-]+- [^-]+ - (.+?)\.jpg""), "".jpg"", """"), ""-"", "", ""), """")"),"")</f>
        <v/>
      </c>
      <c r="L10115" s="12"/>
      <c r="M10115" s="13"/>
      <c r="N10115" s="2"/>
      <c r="O10115" s="20"/>
      <c r="P10115" s="42"/>
      <c r="R10115" s="23"/>
    </row>
    <row r="10116" spans="1:18" ht="12.75">
      <c r="A10116" s="12"/>
      <c r="D10116" s="12"/>
      <c r="E10116" s="12"/>
      <c r="H10116" s="11" t="str">
        <f ca="1">IFERROR(__xludf.DUMMYFUNCTION("IFERROR(SUBSTITUTE(SUBSTITUTE(REGEXEXTRACT(A10116, ""[^-]+- [^-]+- [^-]+ - (.+?)\.jpg""), "".jpg"", """"), ""-"", "", ""), """")"),"")</f>
        <v/>
      </c>
      <c r="L10116" s="12"/>
      <c r="M10116" s="13"/>
      <c r="N10116" s="2"/>
      <c r="O10116" s="20"/>
      <c r="P10116" s="42"/>
      <c r="R10116" s="23"/>
    </row>
    <row r="10117" spans="1:18" ht="12.75">
      <c r="A10117" s="12"/>
      <c r="D10117" s="12"/>
      <c r="E10117" s="12"/>
      <c r="H10117" s="11" t="str">
        <f ca="1">IFERROR(__xludf.DUMMYFUNCTION("IFERROR(SUBSTITUTE(SUBSTITUTE(REGEXEXTRACT(A10117, ""[^-]+- [^-]+- [^-]+ - (.+?)\.jpg""), "".jpg"", """"), ""-"", "", ""), """")"),"")</f>
        <v/>
      </c>
      <c r="L10117" s="12"/>
      <c r="M10117" s="13"/>
      <c r="N10117" s="2"/>
      <c r="O10117" s="20"/>
      <c r="P10117" s="42"/>
      <c r="R10117" s="23"/>
    </row>
    <row r="10118" spans="1:18" ht="12.75">
      <c r="A10118" s="12"/>
      <c r="D10118" s="12"/>
      <c r="E10118" s="12"/>
      <c r="H10118" s="11" t="str">
        <f ca="1">IFERROR(__xludf.DUMMYFUNCTION("IFERROR(SUBSTITUTE(SUBSTITUTE(REGEXEXTRACT(A10118, ""[^-]+- [^-]+- [^-]+ - (.+?)\.jpg""), "".jpg"", """"), ""-"", "", ""), """")"),"")</f>
        <v/>
      </c>
      <c r="L10118" s="12"/>
      <c r="M10118" s="13"/>
      <c r="N10118" s="2"/>
      <c r="O10118" s="20"/>
      <c r="P10118" s="42"/>
      <c r="R10118" s="23"/>
    </row>
    <row r="10119" spans="1:18" ht="12.75">
      <c r="A10119" s="12"/>
      <c r="D10119" s="12"/>
      <c r="E10119" s="12"/>
      <c r="H10119" s="11" t="str">
        <f ca="1">IFERROR(__xludf.DUMMYFUNCTION("IFERROR(SUBSTITUTE(SUBSTITUTE(REGEXEXTRACT(A10119, ""[^-]+- [^-]+- [^-]+ - (.+?)\.jpg""), "".jpg"", """"), ""-"", "", ""), """")"),"")</f>
        <v/>
      </c>
      <c r="L10119" s="12"/>
      <c r="M10119" s="13"/>
      <c r="N10119" s="2"/>
      <c r="O10119" s="20"/>
      <c r="P10119" s="42"/>
      <c r="R10119" s="23"/>
    </row>
    <row r="10120" spans="1:18" ht="12.75">
      <c r="A10120" s="12"/>
      <c r="D10120" s="12"/>
      <c r="E10120" s="12"/>
      <c r="H10120" s="11" t="str">
        <f ca="1">IFERROR(__xludf.DUMMYFUNCTION("IFERROR(SUBSTITUTE(SUBSTITUTE(REGEXEXTRACT(A10120, ""[^-]+- [^-]+- [^-]+ - (.+?)\.jpg""), "".jpg"", """"), ""-"", "", ""), """")"),"")</f>
        <v/>
      </c>
      <c r="L10120" s="12"/>
      <c r="M10120" s="13"/>
      <c r="N10120" s="2"/>
      <c r="O10120" s="20"/>
      <c r="P10120" s="42"/>
      <c r="R10120" s="23"/>
    </row>
    <row r="10121" spans="1:18" ht="12.75">
      <c r="A10121" s="12"/>
      <c r="D10121" s="12"/>
      <c r="E10121" s="12"/>
      <c r="H10121" s="11" t="str">
        <f ca="1">IFERROR(__xludf.DUMMYFUNCTION("IFERROR(SUBSTITUTE(SUBSTITUTE(REGEXEXTRACT(A10121, ""[^-]+- [^-]+- [^-]+ - (.+?)\.jpg""), "".jpg"", """"), ""-"", "", ""), """")"),"")</f>
        <v/>
      </c>
      <c r="L10121" s="12"/>
      <c r="M10121" s="13"/>
      <c r="N10121" s="2"/>
      <c r="O10121" s="20"/>
      <c r="P10121" s="42"/>
      <c r="R10121" s="23"/>
    </row>
    <row r="10122" spans="1:18" ht="12.75">
      <c r="A10122" s="12"/>
      <c r="D10122" s="12"/>
      <c r="E10122" s="12"/>
      <c r="H10122" s="11" t="str">
        <f ca="1">IFERROR(__xludf.DUMMYFUNCTION("IFERROR(SUBSTITUTE(SUBSTITUTE(REGEXEXTRACT(A10122, ""[^-]+- [^-]+- [^-]+ - (.+?)\.jpg""), "".jpg"", """"), ""-"", "", ""), """")"),"")</f>
        <v/>
      </c>
      <c r="L10122" s="12"/>
      <c r="M10122" s="13"/>
      <c r="N10122" s="2"/>
      <c r="O10122" s="20"/>
      <c r="P10122" s="42"/>
      <c r="R10122" s="23"/>
    </row>
    <row r="10123" spans="1:18" ht="12.75">
      <c r="A10123" s="12"/>
      <c r="D10123" s="12"/>
      <c r="E10123" s="12"/>
      <c r="H10123" s="11" t="str">
        <f ca="1">IFERROR(__xludf.DUMMYFUNCTION("IFERROR(SUBSTITUTE(SUBSTITUTE(REGEXEXTRACT(A10123, ""[^-]+- [^-]+- [^-]+ - (.+?)\.jpg""), "".jpg"", """"), ""-"", "", ""), """")"),"")</f>
        <v/>
      </c>
      <c r="L10123" s="12"/>
      <c r="M10123" s="13"/>
      <c r="N10123" s="2"/>
      <c r="O10123" s="20"/>
      <c r="P10123" s="42"/>
      <c r="R10123" s="23"/>
    </row>
    <row r="10124" spans="1:18" ht="12.75">
      <c r="A10124" s="12"/>
      <c r="D10124" s="12"/>
      <c r="E10124" s="12"/>
      <c r="H10124" s="11" t="str">
        <f ca="1">IFERROR(__xludf.DUMMYFUNCTION("IFERROR(SUBSTITUTE(SUBSTITUTE(REGEXEXTRACT(A10124, ""[^-]+- [^-]+- [^-]+ - (.+?)\.jpg""), "".jpg"", """"), ""-"", "", ""), """")"),"")</f>
        <v/>
      </c>
      <c r="L10124" s="12"/>
      <c r="M10124" s="13"/>
      <c r="N10124" s="2"/>
      <c r="O10124" s="20"/>
      <c r="P10124" s="42"/>
      <c r="R10124" s="23"/>
    </row>
    <row r="10125" spans="1:18" ht="12.75">
      <c r="A10125" s="12"/>
      <c r="D10125" s="12"/>
      <c r="E10125" s="12"/>
      <c r="H10125" s="11" t="str">
        <f ca="1">IFERROR(__xludf.DUMMYFUNCTION("IFERROR(SUBSTITUTE(SUBSTITUTE(REGEXEXTRACT(A10125, ""[^-]+- [^-]+- [^-]+ - (.+?)\.jpg""), "".jpg"", """"), ""-"", "", ""), """")"),"")</f>
        <v/>
      </c>
      <c r="L10125" s="12"/>
      <c r="M10125" s="13"/>
      <c r="N10125" s="2"/>
      <c r="O10125" s="20"/>
      <c r="P10125" s="42"/>
      <c r="R10125" s="23"/>
    </row>
    <row r="10126" spans="1:18" ht="12.75">
      <c r="A10126" s="12"/>
      <c r="D10126" s="12"/>
      <c r="E10126" s="12"/>
      <c r="H10126" s="11" t="str">
        <f ca="1">IFERROR(__xludf.DUMMYFUNCTION("IFERROR(SUBSTITUTE(SUBSTITUTE(REGEXEXTRACT(A10126, ""[^-]+- [^-]+- [^-]+ - (.+?)\.jpg""), "".jpg"", """"), ""-"", "", ""), """")"),"")</f>
        <v/>
      </c>
      <c r="L10126" s="12"/>
      <c r="M10126" s="13"/>
      <c r="N10126" s="2"/>
      <c r="O10126" s="20"/>
      <c r="P10126" s="42"/>
      <c r="R10126" s="23"/>
    </row>
    <row r="10127" spans="1:18" ht="12.75">
      <c r="A10127" s="12"/>
      <c r="D10127" s="12"/>
      <c r="E10127" s="12"/>
      <c r="H10127" s="11" t="str">
        <f ca="1">IFERROR(__xludf.DUMMYFUNCTION("IFERROR(SUBSTITUTE(SUBSTITUTE(REGEXEXTRACT(A10127, ""[^-]+- [^-]+- [^-]+ - (.+?)\.jpg""), "".jpg"", """"), ""-"", "", ""), """")"),"")</f>
        <v/>
      </c>
      <c r="L10127" s="12"/>
      <c r="M10127" s="13"/>
      <c r="N10127" s="2"/>
      <c r="O10127" s="20"/>
      <c r="P10127" s="42"/>
      <c r="R10127" s="23"/>
    </row>
    <row r="10128" spans="1:18" ht="12.75">
      <c r="A10128" s="12"/>
      <c r="D10128" s="12"/>
      <c r="E10128" s="12"/>
      <c r="H10128" s="11" t="str">
        <f ca="1">IFERROR(__xludf.DUMMYFUNCTION("IFERROR(SUBSTITUTE(SUBSTITUTE(REGEXEXTRACT(A10128, ""[^-]+- [^-]+- [^-]+ - (.+?)\.jpg""), "".jpg"", """"), ""-"", "", ""), """")"),"")</f>
        <v/>
      </c>
      <c r="L10128" s="12"/>
      <c r="M10128" s="13"/>
      <c r="N10128" s="2"/>
      <c r="O10128" s="20"/>
      <c r="P10128" s="42"/>
      <c r="R10128" s="23"/>
    </row>
    <row r="10129" spans="1:18" ht="12.75">
      <c r="A10129" s="12"/>
      <c r="D10129" s="12"/>
      <c r="E10129" s="12"/>
      <c r="H10129" s="11" t="str">
        <f ca="1">IFERROR(__xludf.DUMMYFUNCTION("IFERROR(SUBSTITUTE(SUBSTITUTE(REGEXEXTRACT(A10129, ""[^-]+- [^-]+- [^-]+ - (.+?)\.jpg""), "".jpg"", """"), ""-"", "", ""), """")"),"")</f>
        <v/>
      </c>
      <c r="L10129" s="12"/>
      <c r="M10129" s="13"/>
      <c r="N10129" s="2"/>
      <c r="O10129" s="20"/>
      <c r="P10129" s="42"/>
      <c r="R10129" s="23"/>
    </row>
    <row r="10130" spans="1:18" ht="12.75">
      <c r="A10130" s="12"/>
      <c r="D10130" s="12"/>
      <c r="E10130" s="12"/>
      <c r="H10130" s="11" t="str">
        <f ca="1">IFERROR(__xludf.DUMMYFUNCTION("IFERROR(SUBSTITUTE(SUBSTITUTE(REGEXEXTRACT(A10130, ""[^-]+- [^-]+- [^-]+ - (.+?)\.jpg""), "".jpg"", """"), ""-"", "", ""), """")"),"")</f>
        <v/>
      </c>
      <c r="L10130" s="12"/>
      <c r="M10130" s="13"/>
      <c r="N10130" s="2"/>
      <c r="O10130" s="20"/>
      <c r="P10130" s="42"/>
      <c r="R10130" s="23"/>
    </row>
    <row r="10131" spans="1:18" ht="12.75">
      <c r="A10131" s="12"/>
      <c r="D10131" s="12"/>
      <c r="E10131" s="12"/>
      <c r="H10131" s="11" t="str">
        <f ca="1">IFERROR(__xludf.DUMMYFUNCTION("IFERROR(SUBSTITUTE(SUBSTITUTE(REGEXEXTRACT(A10131, ""[^-]+- [^-]+- [^-]+ - (.+?)\.jpg""), "".jpg"", """"), ""-"", "", ""), """")"),"")</f>
        <v/>
      </c>
      <c r="L10131" s="12"/>
      <c r="M10131" s="13"/>
      <c r="N10131" s="2"/>
      <c r="O10131" s="20"/>
      <c r="P10131" s="42"/>
      <c r="R10131" s="23"/>
    </row>
    <row r="10132" spans="1:18" ht="12.75">
      <c r="A10132" s="12"/>
      <c r="D10132" s="12"/>
      <c r="E10132" s="12"/>
      <c r="H10132" s="11" t="str">
        <f ca="1">IFERROR(__xludf.DUMMYFUNCTION("IFERROR(SUBSTITUTE(SUBSTITUTE(REGEXEXTRACT(A10132, ""[^-]+- [^-]+- [^-]+ - (.+?)\.jpg""), "".jpg"", """"), ""-"", "", ""), """")"),"")</f>
        <v/>
      </c>
      <c r="L10132" s="12"/>
      <c r="M10132" s="13"/>
      <c r="N10132" s="2"/>
      <c r="O10132" s="20"/>
      <c r="P10132" s="42"/>
      <c r="R10132" s="23"/>
    </row>
    <row r="10133" spans="1:18" ht="12.75">
      <c r="A10133" s="12"/>
      <c r="D10133" s="12"/>
      <c r="E10133" s="12"/>
      <c r="H10133" s="11" t="str">
        <f ca="1">IFERROR(__xludf.DUMMYFUNCTION("IFERROR(SUBSTITUTE(SUBSTITUTE(REGEXEXTRACT(A10133, ""[^-]+- [^-]+- [^-]+ - (.+?)\.jpg""), "".jpg"", """"), ""-"", "", ""), """")"),"")</f>
        <v/>
      </c>
      <c r="L10133" s="12"/>
      <c r="M10133" s="13"/>
      <c r="N10133" s="2"/>
      <c r="O10133" s="20"/>
      <c r="P10133" s="42"/>
      <c r="R10133" s="23"/>
    </row>
    <row r="10134" spans="1:18" ht="12.75">
      <c r="A10134" s="12"/>
      <c r="D10134" s="12"/>
      <c r="E10134" s="12"/>
      <c r="H10134" s="11" t="str">
        <f ca="1">IFERROR(__xludf.DUMMYFUNCTION("IFERROR(SUBSTITUTE(SUBSTITUTE(REGEXEXTRACT(A10134, ""[^-]+- [^-]+- [^-]+ - (.+?)\.jpg""), "".jpg"", """"), ""-"", "", ""), """")"),"")</f>
        <v/>
      </c>
      <c r="L10134" s="12"/>
      <c r="M10134" s="13"/>
      <c r="N10134" s="2"/>
      <c r="O10134" s="20"/>
      <c r="P10134" s="42"/>
      <c r="R10134" s="23"/>
    </row>
    <row r="10135" spans="1:18" ht="12.75">
      <c r="A10135" s="12"/>
      <c r="D10135" s="12"/>
      <c r="E10135" s="12"/>
      <c r="H10135" s="11" t="str">
        <f ca="1">IFERROR(__xludf.DUMMYFUNCTION("IFERROR(SUBSTITUTE(SUBSTITUTE(REGEXEXTRACT(A10135, ""[^-]+- [^-]+- [^-]+ - (.+?)\.jpg""), "".jpg"", """"), ""-"", "", ""), """")"),"")</f>
        <v/>
      </c>
      <c r="L10135" s="12"/>
      <c r="M10135" s="13"/>
      <c r="N10135" s="2"/>
      <c r="O10135" s="20"/>
      <c r="P10135" s="42"/>
      <c r="R10135" s="23"/>
    </row>
    <row r="10136" spans="1:18" ht="12.75">
      <c r="A10136" s="12"/>
      <c r="D10136" s="12"/>
      <c r="E10136" s="12"/>
      <c r="H10136" s="11" t="str">
        <f ca="1">IFERROR(__xludf.DUMMYFUNCTION("IFERROR(SUBSTITUTE(SUBSTITUTE(REGEXEXTRACT(A10136, ""[^-]+- [^-]+- [^-]+ - (.+?)\.jpg""), "".jpg"", """"), ""-"", "", ""), """")"),"")</f>
        <v/>
      </c>
      <c r="L10136" s="12"/>
      <c r="M10136" s="13"/>
      <c r="N10136" s="2"/>
      <c r="O10136" s="20"/>
      <c r="P10136" s="42"/>
      <c r="R10136" s="23"/>
    </row>
    <row r="10137" spans="1:18" ht="12.75">
      <c r="A10137" s="12"/>
      <c r="D10137" s="12"/>
      <c r="E10137" s="12"/>
      <c r="H10137" s="11" t="str">
        <f ca="1">IFERROR(__xludf.DUMMYFUNCTION("IFERROR(SUBSTITUTE(SUBSTITUTE(REGEXEXTRACT(A10137, ""[^-]+- [^-]+- [^-]+ - (.+?)\.jpg""), "".jpg"", """"), ""-"", "", ""), """")"),"")</f>
        <v/>
      </c>
      <c r="L10137" s="12"/>
      <c r="M10137" s="13"/>
      <c r="N10137" s="2"/>
      <c r="O10137" s="20"/>
      <c r="P10137" s="42"/>
      <c r="R10137" s="23"/>
    </row>
    <row r="10138" spans="1:18" ht="12.75">
      <c r="A10138" s="12"/>
      <c r="D10138" s="12"/>
      <c r="E10138" s="12"/>
      <c r="H10138" s="11" t="str">
        <f ca="1">IFERROR(__xludf.DUMMYFUNCTION("IFERROR(SUBSTITUTE(SUBSTITUTE(REGEXEXTRACT(A10138, ""[^-]+- [^-]+- [^-]+ - (.+?)\.jpg""), "".jpg"", """"), ""-"", "", ""), """")"),"")</f>
        <v/>
      </c>
      <c r="L10138" s="12"/>
      <c r="M10138" s="13"/>
      <c r="N10138" s="2"/>
      <c r="O10138" s="20"/>
      <c r="P10138" s="42"/>
      <c r="R10138" s="23"/>
    </row>
    <row r="10139" spans="1:18" ht="12.75">
      <c r="A10139" s="12"/>
      <c r="D10139" s="12"/>
      <c r="E10139" s="12"/>
      <c r="H10139" s="11" t="str">
        <f ca="1">IFERROR(__xludf.DUMMYFUNCTION("IFERROR(SUBSTITUTE(SUBSTITUTE(REGEXEXTRACT(A10139, ""[^-]+- [^-]+- [^-]+ - (.+?)\.jpg""), "".jpg"", """"), ""-"", "", ""), """")"),"")</f>
        <v/>
      </c>
      <c r="L10139" s="12"/>
      <c r="M10139" s="13"/>
      <c r="N10139" s="2"/>
      <c r="O10139" s="20"/>
      <c r="P10139" s="42"/>
      <c r="R10139" s="23"/>
    </row>
    <row r="10140" spans="1:18" ht="12.75">
      <c r="A10140" s="12"/>
      <c r="D10140" s="12"/>
      <c r="E10140" s="12"/>
      <c r="H10140" s="11" t="str">
        <f ca="1">IFERROR(__xludf.DUMMYFUNCTION("IFERROR(SUBSTITUTE(SUBSTITUTE(REGEXEXTRACT(A10140, ""[^-]+- [^-]+- [^-]+ - (.+?)\.jpg""), "".jpg"", """"), ""-"", "", ""), """")"),"")</f>
        <v/>
      </c>
      <c r="L10140" s="12"/>
      <c r="M10140" s="13"/>
      <c r="N10140" s="2"/>
      <c r="O10140" s="20"/>
      <c r="P10140" s="42"/>
      <c r="R10140" s="23"/>
    </row>
    <row r="10141" spans="1:18" ht="12.75">
      <c r="A10141" s="12"/>
      <c r="D10141" s="12"/>
      <c r="E10141" s="12"/>
      <c r="H10141" s="11" t="str">
        <f ca="1">IFERROR(__xludf.DUMMYFUNCTION("IFERROR(SUBSTITUTE(SUBSTITUTE(REGEXEXTRACT(A10141, ""[^-]+- [^-]+- [^-]+ - (.+?)\.jpg""), "".jpg"", """"), ""-"", "", ""), """")"),"")</f>
        <v/>
      </c>
      <c r="L10141" s="12"/>
      <c r="M10141" s="13"/>
      <c r="N10141" s="2"/>
      <c r="O10141" s="20"/>
      <c r="P10141" s="42"/>
      <c r="R10141" s="23"/>
    </row>
    <row r="10142" spans="1:18" ht="12.75">
      <c r="A10142" s="12"/>
      <c r="D10142" s="12"/>
      <c r="E10142" s="12"/>
      <c r="H10142" s="11" t="str">
        <f ca="1">IFERROR(__xludf.DUMMYFUNCTION("IFERROR(SUBSTITUTE(SUBSTITUTE(REGEXEXTRACT(A10142, ""[^-]+- [^-]+- [^-]+ - (.+?)\.jpg""), "".jpg"", """"), ""-"", "", ""), """")"),"")</f>
        <v/>
      </c>
      <c r="L10142" s="12"/>
      <c r="M10142" s="13"/>
      <c r="N10142" s="2"/>
      <c r="O10142" s="20"/>
      <c r="P10142" s="42"/>
      <c r="R10142" s="23"/>
    </row>
    <row r="10143" spans="1:18" ht="12.75">
      <c r="A10143" s="12"/>
      <c r="D10143" s="12"/>
      <c r="E10143" s="12"/>
      <c r="H10143" s="11" t="str">
        <f ca="1">IFERROR(__xludf.DUMMYFUNCTION("IFERROR(SUBSTITUTE(SUBSTITUTE(REGEXEXTRACT(A10143, ""[^-]+- [^-]+- [^-]+ - (.+?)\.jpg""), "".jpg"", """"), ""-"", "", ""), """")"),"")</f>
        <v/>
      </c>
      <c r="L10143" s="12"/>
      <c r="M10143" s="13"/>
      <c r="N10143" s="2"/>
      <c r="O10143" s="20"/>
      <c r="P10143" s="42"/>
      <c r="R10143" s="23"/>
    </row>
    <row r="10144" spans="1:18" ht="12.75">
      <c r="A10144" s="12"/>
      <c r="D10144" s="12"/>
      <c r="E10144" s="12"/>
      <c r="H10144" s="11" t="str">
        <f ca="1">IFERROR(__xludf.DUMMYFUNCTION("IFERROR(SUBSTITUTE(SUBSTITUTE(REGEXEXTRACT(A10144, ""[^-]+- [^-]+- [^-]+ - (.+?)\.jpg""), "".jpg"", """"), ""-"", "", ""), """")"),"")</f>
        <v/>
      </c>
      <c r="L10144" s="12"/>
      <c r="M10144" s="13"/>
      <c r="N10144" s="2"/>
      <c r="O10144" s="20"/>
      <c r="P10144" s="42"/>
      <c r="R10144" s="23"/>
    </row>
    <row r="10145" spans="1:18" ht="12.75">
      <c r="A10145" s="12"/>
      <c r="D10145" s="12"/>
      <c r="E10145" s="12"/>
      <c r="H10145" s="11" t="str">
        <f ca="1">IFERROR(__xludf.DUMMYFUNCTION("IFERROR(SUBSTITUTE(SUBSTITUTE(REGEXEXTRACT(A10145, ""[^-]+- [^-]+- [^-]+ - (.+?)\.jpg""), "".jpg"", """"), ""-"", "", ""), """")"),"")</f>
        <v/>
      </c>
      <c r="L10145" s="12"/>
      <c r="M10145" s="13"/>
      <c r="N10145" s="2"/>
      <c r="O10145" s="20"/>
      <c r="P10145" s="42"/>
      <c r="R10145" s="23"/>
    </row>
    <row r="10146" spans="1:18" ht="12.75">
      <c r="A10146" s="12"/>
      <c r="D10146" s="12"/>
      <c r="E10146" s="12"/>
      <c r="H10146" s="11" t="str">
        <f ca="1">IFERROR(__xludf.DUMMYFUNCTION("IFERROR(SUBSTITUTE(SUBSTITUTE(REGEXEXTRACT(A10146, ""[^-]+- [^-]+- [^-]+ - (.+?)\.jpg""), "".jpg"", """"), ""-"", "", ""), """")"),"")</f>
        <v/>
      </c>
      <c r="L10146" s="12"/>
      <c r="M10146" s="13"/>
      <c r="N10146" s="2"/>
      <c r="O10146" s="20"/>
      <c r="P10146" s="42"/>
      <c r="R10146" s="23"/>
    </row>
    <row r="10147" spans="1:18" ht="12.75">
      <c r="A10147" s="12"/>
      <c r="D10147" s="12"/>
      <c r="E10147" s="12"/>
      <c r="H10147" s="11" t="str">
        <f ca="1">IFERROR(__xludf.DUMMYFUNCTION("IFERROR(SUBSTITUTE(SUBSTITUTE(REGEXEXTRACT(A10147, ""[^-]+- [^-]+- [^-]+ - (.+?)\.jpg""), "".jpg"", """"), ""-"", "", ""), """")"),"")</f>
        <v/>
      </c>
      <c r="L10147" s="12"/>
      <c r="M10147" s="13"/>
      <c r="N10147" s="2"/>
      <c r="O10147" s="20"/>
      <c r="P10147" s="42"/>
      <c r="R10147" s="23"/>
    </row>
    <row r="10148" spans="1:18" ht="12.75">
      <c r="A10148" s="12"/>
      <c r="D10148" s="12"/>
      <c r="E10148" s="12"/>
      <c r="H10148" s="11" t="str">
        <f ca="1">IFERROR(__xludf.DUMMYFUNCTION("IFERROR(SUBSTITUTE(SUBSTITUTE(REGEXEXTRACT(A10148, ""[^-]+- [^-]+- [^-]+ - (.+?)\.jpg""), "".jpg"", """"), ""-"", "", ""), """")"),"")</f>
        <v/>
      </c>
      <c r="L10148" s="12"/>
      <c r="M10148" s="13"/>
      <c r="N10148" s="2"/>
      <c r="O10148" s="20"/>
      <c r="P10148" s="42"/>
      <c r="R10148" s="23"/>
    </row>
    <row r="10149" spans="1:18" ht="12.75">
      <c r="A10149" s="12"/>
      <c r="D10149" s="12"/>
      <c r="E10149" s="12"/>
      <c r="H10149" s="11" t="str">
        <f ca="1">IFERROR(__xludf.DUMMYFUNCTION("IFERROR(SUBSTITUTE(SUBSTITUTE(REGEXEXTRACT(A10149, ""[^-]+- [^-]+- [^-]+ - (.+?)\.jpg""), "".jpg"", """"), ""-"", "", ""), """")"),"")</f>
        <v/>
      </c>
      <c r="L10149" s="12"/>
      <c r="M10149" s="13"/>
      <c r="N10149" s="2"/>
      <c r="O10149" s="20"/>
      <c r="P10149" s="42"/>
      <c r="R10149" s="23"/>
    </row>
    <row r="10150" spans="1:18" ht="12.75">
      <c r="A10150" s="12"/>
      <c r="D10150" s="12"/>
      <c r="E10150" s="12"/>
      <c r="H10150" s="11" t="str">
        <f ca="1">IFERROR(__xludf.DUMMYFUNCTION("IFERROR(SUBSTITUTE(SUBSTITUTE(REGEXEXTRACT(A10150, ""[^-]+- [^-]+- [^-]+ - (.+?)\.jpg""), "".jpg"", """"), ""-"", "", ""), """")"),"")</f>
        <v/>
      </c>
      <c r="L10150" s="12"/>
      <c r="M10150" s="13"/>
      <c r="N10150" s="2"/>
      <c r="O10150" s="20"/>
      <c r="P10150" s="42"/>
      <c r="R10150" s="23"/>
    </row>
    <row r="10151" spans="1:18" ht="12.75">
      <c r="A10151" s="12"/>
      <c r="D10151" s="12"/>
      <c r="E10151" s="12"/>
      <c r="H10151" s="11" t="str">
        <f ca="1">IFERROR(__xludf.DUMMYFUNCTION("IFERROR(SUBSTITUTE(SUBSTITUTE(REGEXEXTRACT(A10151, ""[^-]+- [^-]+- [^-]+ - (.+?)\.jpg""), "".jpg"", """"), ""-"", "", ""), """")"),"")</f>
        <v/>
      </c>
      <c r="L10151" s="12"/>
      <c r="M10151" s="13"/>
      <c r="N10151" s="2"/>
      <c r="O10151" s="20"/>
      <c r="P10151" s="42"/>
      <c r="R10151" s="23"/>
    </row>
    <row r="10152" spans="1:18" ht="12.75">
      <c r="A10152" s="12"/>
      <c r="D10152" s="12"/>
      <c r="E10152" s="12"/>
      <c r="H10152" s="11" t="str">
        <f ca="1">IFERROR(__xludf.DUMMYFUNCTION("IFERROR(SUBSTITUTE(SUBSTITUTE(REGEXEXTRACT(A10152, ""[^-]+- [^-]+- [^-]+ - (.+?)\.jpg""), "".jpg"", """"), ""-"", "", ""), """")"),"")</f>
        <v/>
      </c>
      <c r="L10152" s="12"/>
      <c r="M10152" s="13"/>
      <c r="N10152" s="2"/>
      <c r="O10152" s="20"/>
      <c r="P10152" s="42"/>
      <c r="R10152" s="23"/>
    </row>
    <row r="10153" spans="1:18" ht="12.75">
      <c r="A10153" s="12"/>
      <c r="D10153" s="12"/>
      <c r="E10153" s="12"/>
      <c r="H10153" s="11" t="str">
        <f ca="1">IFERROR(__xludf.DUMMYFUNCTION("IFERROR(SUBSTITUTE(SUBSTITUTE(REGEXEXTRACT(A10153, ""[^-]+- [^-]+- [^-]+ - (.+?)\.jpg""), "".jpg"", """"), ""-"", "", ""), """")"),"")</f>
        <v/>
      </c>
      <c r="L10153" s="12"/>
      <c r="M10153" s="13"/>
      <c r="N10153" s="2"/>
      <c r="O10153" s="20"/>
      <c r="P10153" s="42"/>
      <c r="R10153" s="23"/>
    </row>
    <row r="10154" spans="1:18" ht="12.75">
      <c r="A10154" s="12"/>
      <c r="D10154" s="12"/>
      <c r="E10154" s="12"/>
      <c r="H10154" s="11" t="str">
        <f ca="1">IFERROR(__xludf.DUMMYFUNCTION("IFERROR(SUBSTITUTE(SUBSTITUTE(REGEXEXTRACT(A10154, ""[^-]+- [^-]+- [^-]+ - (.+?)\.jpg""), "".jpg"", """"), ""-"", "", ""), """")"),"")</f>
        <v/>
      </c>
      <c r="L10154" s="12"/>
      <c r="M10154" s="13"/>
      <c r="N10154" s="2"/>
      <c r="O10154" s="20"/>
      <c r="P10154" s="42"/>
      <c r="R10154" s="23"/>
    </row>
    <row r="10155" spans="1:18" ht="12.75">
      <c r="A10155" s="12"/>
      <c r="D10155" s="12"/>
      <c r="E10155" s="12"/>
      <c r="H10155" s="11" t="str">
        <f ca="1">IFERROR(__xludf.DUMMYFUNCTION("IFERROR(SUBSTITUTE(SUBSTITUTE(REGEXEXTRACT(A10155, ""[^-]+- [^-]+- [^-]+ - (.+?)\.jpg""), "".jpg"", """"), ""-"", "", ""), """")"),"")</f>
        <v/>
      </c>
      <c r="L10155" s="12"/>
      <c r="M10155" s="13"/>
      <c r="N10155" s="2"/>
      <c r="O10155" s="20"/>
      <c r="P10155" s="42"/>
      <c r="R10155" s="23"/>
    </row>
    <row r="10156" spans="1:18" ht="12.75">
      <c r="A10156" s="12"/>
      <c r="D10156" s="12"/>
      <c r="E10156" s="12"/>
      <c r="H10156" s="11" t="str">
        <f ca="1">IFERROR(__xludf.DUMMYFUNCTION("IFERROR(SUBSTITUTE(SUBSTITUTE(REGEXEXTRACT(A10156, ""[^-]+- [^-]+- [^-]+ - (.+?)\.jpg""), "".jpg"", """"), ""-"", "", ""), """")"),"")</f>
        <v/>
      </c>
      <c r="L10156" s="12"/>
      <c r="M10156" s="13"/>
      <c r="N10156" s="2"/>
      <c r="O10156" s="20"/>
      <c r="P10156" s="42"/>
      <c r="R10156" s="23"/>
    </row>
    <row r="10157" spans="1:18" ht="12.75">
      <c r="A10157" s="12"/>
      <c r="D10157" s="12"/>
      <c r="E10157" s="12"/>
      <c r="H10157" s="11" t="str">
        <f ca="1">IFERROR(__xludf.DUMMYFUNCTION("IFERROR(SUBSTITUTE(SUBSTITUTE(REGEXEXTRACT(A10157, ""[^-]+- [^-]+- [^-]+ - (.+?)\.jpg""), "".jpg"", """"), ""-"", "", ""), """")"),"")</f>
        <v/>
      </c>
      <c r="L10157" s="12"/>
      <c r="M10157" s="13"/>
      <c r="N10157" s="2"/>
      <c r="O10157" s="20"/>
      <c r="P10157" s="42"/>
      <c r="R10157" s="23"/>
    </row>
    <row r="10158" spans="1:18" ht="12.75">
      <c r="A10158" s="12"/>
      <c r="D10158" s="12"/>
      <c r="E10158" s="12"/>
      <c r="H10158" s="11" t="str">
        <f ca="1">IFERROR(__xludf.DUMMYFUNCTION("IFERROR(SUBSTITUTE(SUBSTITUTE(REGEXEXTRACT(A10158, ""[^-]+- [^-]+- [^-]+ - (.+?)\.jpg""), "".jpg"", """"), ""-"", "", ""), """")"),"")</f>
        <v/>
      </c>
      <c r="L10158" s="12"/>
      <c r="M10158" s="13"/>
      <c r="N10158" s="2"/>
      <c r="O10158" s="20"/>
      <c r="P10158" s="42"/>
      <c r="R10158" s="23"/>
    </row>
    <row r="10159" spans="1:18" ht="12.75">
      <c r="A10159" s="12"/>
      <c r="D10159" s="12"/>
      <c r="E10159" s="12"/>
      <c r="H10159" s="11" t="str">
        <f ca="1">IFERROR(__xludf.DUMMYFUNCTION("IFERROR(SUBSTITUTE(SUBSTITUTE(REGEXEXTRACT(A10159, ""[^-]+- [^-]+- [^-]+ - (.+?)\.jpg""), "".jpg"", """"), ""-"", "", ""), """")"),"")</f>
        <v/>
      </c>
      <c r="L10159" s="12"/>
      <c r="M10159" s="13"/>
      <c r="N10159" s="2"/>
      <c r="O10159" s="20"/>
      <c r="P10159" s="42"/>
      <c r="R10159" s="23"/>
    </row>
    <row r="10160" spans="1:18" ht="12.75">
      <c r="A10160" s="12"/>
      <c r="D10160" s="12"/>
      <c r="E10160" s="12"/>
      <c r="H10160" s="11" t="str">
        <f ca="1">IFERROR(__xludf.DUMMYFUNCTION("IFERROR(SUBSTITUTE(SUBSTITUTE(REGEXEXTRACT(A10160, ""[^-]+- [^-]+- [^-]+ - (.+?)\.jpg""), "".jpg"", """"), ""-"", "", ""), """")"),"")</f>
        <v/>
      </c>
      <c r="L10160" s="12"/>
      <c r="M10160" s="13"/>
      <c r="N10160" s="2"/>
      <c r="O10160" s="20"/>
      <c r="P10160" s="42"/>
      <c r="R10160" s="23"/>
    </row>
    <row r="10161" spans="1:18" ht="12.75">
      <c r="A10161" s="12"/>
      <c r="D10161" s="12"/>
      <c r="E10161" s="12"/>
      <c r="H10161" s="11" t="str">
        <f ca="1">IFERROR(__xludf.DUMMYFUNCTION("IFERROR(SUBSTITUTE(SUBSTITUTE(REGEXEXTRACT(A10161, ""[^-]+- [^-]+- [^-]+ - (.+?)\.jpg""), "".jpg"", """"), ""-"", "", ""), """")"),"")</f>
        <v/>
      </c>
      <c r="L10161" s="12"/>
      <c r="M10161" s="13"/>
      <c r="N10161" s="2"/>
      <c r="O10161" s="20"/>
      <c r="P10161" s="42"/>
      <c r="R10161" s="23"/>
    </row>
    <row r="10162" spans="1:18" ht="12.75">
      <c r="A10162" s="12"/>
      <c r="D10162" s="12"/>
      <c r="E10162" s="12"/>
      <c r="H10162" s="11" t="str">
        <f ca="1">IFERROR(__xludf.DUMMYFUNCTION("IFERROR(SUBSTITUTE(SUBSTITUTE(REGEXEXTRACT(A10162, ""[^-]+- [^-]+- [^-]+ - (.+?)\.jpg""), "".jpg"", """"), ""-"", "", ""), """")"),"")</f>
        <v/>
      </c>
      <c r="L10162" s="12"/>
      <c r="M10162" s="13"/>
      <c r="N10162" s="2"/>
      <c r="O10162" s="20"/>
      <c r="P10162" s="42"/>
      <c r="R10162" s="23"/>
    </row>
    <row r="10163" spans="1:18" ht="12.75">
      <c r="A10163" s="12"/>
      <c r="D10163" s="12"/>
      <c r="E10163" s="12"/>
      <c r="H10163" s="11" t="str">
        <f ca="1">IFERROR(__xludf.DUMMYFUNCTION("IFERROR(SUBSTITUTE(SUBSTITUTE(REGEXEXTRACT(A10163, ""[^-]+- [^-]+- [^-]+ - (.+?)\.jpg""), "".jpg"", """"), ""-"", "", ""), """")"),"")</f>
        <v/>
      </c>
      <c r="L10163" s="12"/>
      <c r="M10163" s="13"/>
      <c r="N10163" s="2"/>
      <c r="O10163" s="20"/>
      <c r="P10163" s="42"/>
      <c r="R10163" s="23"/>
    </row>
    <row r="10164" spans="1:18" ht="12.75">
      <c r="A10164" s="12"/>
      <c r="D10164" s="12"/>
      <c r="E10164" s="12"/>
      <c r="H10164" s="11" t="str">
        <f ca="1">IFERROR(__xludf.DUMMYFUNCTION("IFERROR(SUBSTITUTE(SUBSTITUTE(REGEXEXTRACT(A10164, ""[^-]+- [^-]+- [^-]+ - (.+?)\.jpg""), "".jpg"", """"), ""-"", "", ""), """")"),"")</f>
        <v/>
      </c>
      <c r="L10164" s="12"/>
      <c r="M10164" s="13"/>
      <c r="N10164" s="2"/>
      <c r="O10164" s="20"/>
      <c r="P10164" s="42"/>
      <c r="R10164" s="23"/>
    </row>
    <row r="10165" spans="1:18" ht="12.75">
      <c r="A10165" s="12"/>
      <c r="D10165" s="12"/>
      <c r="E10165" s="12"/>
      <c r="H10165" s="11" t="str">
        <f ca="1">IFERROR(__xludf.DUMMYFUNCTION("IFERROR(SUBSTITUTE(SUBSTITUTE(REGEXEXTRACT(A10165, ""[^-]+- [^-]+- [^-]+ - (.+?)\.jpg""), "".jpg"", """"), ""-"", "", ""), """")"),"")</f>
        <v/>
      </c>
      <c r="L10165" s="12"/>
      <c r="M10165" s="13"/>
      <c r="N10165" s="2"/>
      <c r="O10165" s="20"/>
      <c r="P10165" s="42"/>
      <c r="R10165" s="23"/>
    </row>
    <row r="10166" spans="1:18" ht="12.75">
      <c r="A10166" s="12"/>
      <c r="D10166" s="12"/>
      <c r="E10166" s="12"/>
      <c r="H10166" s="11" t="str">
        <f ca="1">IFERROR(__xludf.DUMMYFUNCTION("IFERROR(SUBSTITUTE(SUBSTITUTE(REGEXEXTRACT(A10166, ""[^-]+- [^-]+- [^-]+ - (.+?)\.jpg""), "".jpg"", """"), ""-"", "", ""), """")"),"")</f>
        <v/>
      </c>
      <c r="L10166" s="12"/>
      <c r="M10166" s="13"/>
      <c r="N10166" s="2"/>
      <c r="O10166" s="20"/>
      <c r="P10166" s="42"/>
      <c r="R10166" s="23"/>
    </row>
    <row r="10167" spans="1:18" ht="12.75">
      <c r="A10167" s="12"/>
      <c r="D10167" s="12"/>
      <c r="E10167" s="12"/>
      <c r="H10167" s="11" t="str">
        <f ca="1">IFERROR(__xludf.DUMMYFUNCTION("IFERROR(SUBSTITUTE(SUBSTITUTE(REGEXEXTRACT(A10167, ""[^-]+- [^-]+- [^-]+ - (.+?)\.jpg""), "".jpg"", """"), ""-"", "", ""), """")"),"")</f>
        <v/>
      </c>
      <c r="L10167" s="12"/>
      <c r="M10167" s="13"/>
      <c r="N10167" s="2"/>
      <c r="O10167" s="20"/>
      <c r="P10167" s="42"/>
      <c r="R10167" s="23"/>
    </row>
    <row r="10168" spans="1:18" ht="12.75">
      <c r="A10168" s="12"/>
      <c r="D10168" s="12"/>
      <c r="E10168" s="12"/>
      <c r="H10168" s="11" t="str">
        <f ca="1">IFERROR(__xludf.DUMMYFUNCTION("IFERROR(SUBSTITUTE(SUBSTITUTE(REGEXEXTRACT(A10168, ""[^-]+- [^-]+- [^-]+ - (.+?)\.jpg""), "".jpg"", """"), ""-"", "", ""), """")"),"")</f>
        <v/>
      </c>
      <c r="L10168" s="12"/>
      <c r="M10168" s="13"/>
      <c r="N10168" s="2"/>
      <c r="O10168" s="20"/>
      <c r="P10168" s="42"/>
      <c r="R10168" s="23"/>
    </row>
    <row r="10169" spans="1:18" ht="12.75">
      <c r="A10169" s="12"/>
      <c r="D10169" s="12"/>
      <c r="E10169" s="12"/>
      <c r="H10169" s="11" t="str">
        <f ca="1">IFERROR(__xludf.DUMMYFUNCTION("IFERROR(SUBSTITUTE(SUBSTITUTE(REGEXEXTRACT(A10169, ""[^-]+- [^-]+- [^-]+ - (.+?)\.jpg""), "".jpg"", """"), ""-"", "", ""), """")"),"")</f>
        <v/>
      </c>
      <c r="L10169" s="12"/>
      <c r="M10169" s="13"/>
      <c r="N10169" s="2"/>
      <c r="O10169" s="20"/>
      <c r="P10169" s="42"/>
      <c r="R10169" s="23"/>
    </row>
    <row r="10170" spans="1:18" ht="12.75">
      <c r="A10170" s="12"/>
      <c r="D10170" s="12"/>
      <c r="E10170" s="12"/>
      <c r="H10170" s="11" t="str">
        <f ca="1">IFERROR(__xludf.DUMMYFUNCTION("IFERROR(SUBSTITUTE(SUBSTITUTE(REGEXEXTRACT(A10170, ""[^-]+- [^-]+- [^-]+ - (.+?)\.jpg""), "".jpg"", """"), ""-"", "", ""), """")"),"")</f>
        <v/>
      </c>
      <c r="L10170" s="12"/>
      <c r="M10170" s="13"/>
      <c r="N10170" s="2"/>
      <c r="O10170" s="20"/>
      <c r="P10170" s="42"/>
      <c r="R10170" s="23"/>
    </row>
    <row r="10171" spans="1:18" ht="12.75">
      <c r="A10171" s="12"/>
      <c r="D10171" s="12"/>
      <c r="E10171" s="12"/>
      <c r="H10171" s="11" t="str">
        <f ca="1">IFERROR(__xludf.DUMMYFUNCTION("IFERROR(SUBSTITUTE(SUBSTITUTE(REGEXEXTRACT(A10171, ""[^-]+- [^-]+- [^-]+ - (.+?)\.jpg""), "".jpg"", """"), ""-"", "", ""), """")"),"")</f>
        <v/>
      </c>
      <c r="L10171" s="12"/>
      <c r="M10171" s="13"/>
      <c r="N10171" s="2"/>
      <c r="O10171" s="20"/>
      <c r="P10171" s="42"/>
      <c r="R10171" s="23"/>
    </row>
    <row r="10172" spans="1:18" ht="12.75">
      <c r="A10172" s="12"/>
      <c r="D10172" s="12"/>
      <c r="E10172" s="12"/>
      <c r="H10172" s="11" t="str">
        <f ca="1">IFERROR(__xludf.DUMMYFUNCTION("IFERROR(SUBSTITUTE(SUBSTITUTE(REGEXEXTRACT(A10172, ""[^-]+- [^-]+- [^-]+ - (.+?)\.jpg""), "".jpg"", """"), ""-"", "", ""), """")"),"")</f>
        <v/>
      </c>
      <c r="L10172" s="12"/>
      <c r="M10172" s="13"/>
      <c r="N10172" s="2"/>
      <c r="O10172" s="20"/>
      <c r="P10172" s="42"/>
      <c r="R10172" s="23"/>
    </row>
    <row r="10173" spans="1:18" ht="12.75">
      <c r="A10173" s="12"/>
      <c r="D10173" s="12"/>
      <c r="E10173" s="12"/>
      <c r="H10173" s="11" t="str">
        <f ca="1">IFERROR(__xludf.DUMMYFUNCTION("IFERROR(SUBSTITUTE(SUBSTITUTE(REGEXEXTRACT(A10173, ""[^-]+- [^-]+- [^-]+ - (.+?)\.jpg""), "".jpg"", """"), ""-"", "", ""), """")"),"")</f>
        <v/>
      </c>
      <c r="L10173" s="12"/>
      <c r="M10173" s="13"/>
      <c r="N10173" s="2"/>
      <c r="O10173" s="20"/>
      <c r="P10173" s="42"/>
      <c r="R10173" s="23"/>
    </row>
    <row r="10174" spans="1:18" ht="12.75">
      <c r="A10174" s="12"/>
      <c r="D10174" s="12"/>
      <c r="E10174" s="12"/>
      <c r="H10174" s="11" t="str">
        <f ca="1">IFERROR(__xludf.DUMMYFUNCTION("IFERROR(SUBSTITUTE(SUBSTITUTE(REGEXEXTRACT(A10174, ""[^-]+- [^-]+- [^-]+ - (.+?)\.jpg""), "".jpg"", """"), ""-"", "", ""), """")"),"")</f>
        <v/>
      </c>
      <c r="L10174" s="12"/>
      <c r="M10174" s="13"/>
      <c r="N10174" s="2"/>
      <c r="O10174" s="20"/>
      <c r="P10174" s="42"/>
      <c r="R10174" s="23"/>
    </row>
    <row r="10175" spans="1:18" ht="12.75">
      <c r="A10175" s="12"/>
      <c r="D10175" s="12"/>
      <c r="E10175" s="12"/>
      <c r="H10175" s="11" t="str">
        <f ca="1">IFERROR(__xludf.DUMMYFUNCTION("IFERROR(SUBSTITUTE(SUBSTITUTE(REGEXEXTRACT(A10175, ""[^-]+- [^-]+- [^-]+ - (.+?)\.jpg""), "".jpg"", """"), ""-"", "", ""), """")"),"")</f>
        <v/>
      </c>
      <c r="L10175" s="12"/>
      <c r="M10175" s="13"/>
      <c r="N10175" s="2"/>
      <c r="O10175" s="20"/>
      <c r="P10175" s="42"/>
      <c r="R10175" s="23"/>
    </row>
    <row r="10176" spans="1:18" ht="12.75">
      <c r="A10176" s="12"/>
      <c r="D10176" s="12"/>
      <c r="E10176" s="12"/>
      <c r="H10176" s="11" t="str">
        <f ca="1">IFERROR(__xludf.DUMMYFUNCTION("IFERROR(SUBSTITUTE(SUBSTITUTE(REGEXEXTRACT(A10176, ""[^-]+- [^-]+- [^-]+ - (.+?)\.jpg""), "".jpg"", """"), ""-"", "", ""), """")"),"")</f>
        <v/>
      </c>
      <c r="L10176" s="12"/>
      <c r="M10176" s="13"/>
      <c r="N10176" s="2"/>
      <c r="O10176" s="20"/>
      <c r="P10176" s="42"/>
      <c r="R10176" s="23"/>
    </row>
    <row r="10177" spans="1:18" ht="12.75">
      <c r="A10177" s="12"/>
      <c r="D10177" s="12"/>
      <c r="E10177" s="12"/>
      <c r="H10177" s="11" t="str">
        <f ca="1">IFERROR(__xludf.DUMMYFUNCTION("IFERROR(SUBSTITUTE(SUBSTITUTE(REGEXEXTRACT(A10177, ""[^-]+- [^-]+- [^-]+ - (.+?)\.jpg""), "".jpg"", """"), ""-"", "", ""), """")"),"")</f>
        <v/>
      </c>
      <c r="L10177" s="12"/>
      <c r="M10177" s="13"/>
      <c r="N10177" s="2"/>
      <c r="O10177" s="20"/>
      <c r="P10177" s="42"/>
      <c r="R10177" s="23"/>
    </row>
    <row r="10178" spans="1:18" ht="12.75">
      <c r="A10178" s="12"/>
      <c r="D10178" s="12"/>
      <c r="E10178" s="12"/>
      <c r="H10178" s="11" t="str">
        <f ca="1">IFERROR(__xludf.DUMMYFUNCTION("IFERROR(SUBSTITUTE(SUBSTITUTE(REGEXEXTRACT(A10178, ""[^-]+- [^-]+- [^-]+ - (.+?)\.jpg""), "".jpg"", """"), ""-"", "", ""), """")"),"")</f>
        <v/>
      </c>
      <c r="L10178" s="12"/>
      <c r="M10178" s="13"/>
      <c r="N10178" s="2"/>
      <c r="O10178" s="20"/>
      <c r="P10178" s="42"/>
      <c r="R10178" s="23"/>
    </row>
    <row r="10179" spans="1:18" ht="12.75">
      <c r="A10179" s="12"/>
      <c r="D10179" s="12"/>
      <c r="E10179" s="12"/>
      <c r="H10179" s="11" t="str">
        <f ca="1">IFERROR(__xludf.DUMMYFUNCTION("IFERROR(SUBSTITUTE(SUBSTITUTE(REGEXEXTRACT(A10179, ""[^-]+- [^-]+- [^-]+ - (.+?)\.jpg""), "".jpg"", """"), ""-"", "", ""), """")"),"")</f>
        <v/>
      </c>
      <c r="L10179" s="12"/>
      <c r="M10179" s="13"/>
      <c r="N10179" s="2"/>
      <c r="O10179" s="20"/>
      <c r="P10179" s="42"/>
      <c r="R10179" s="23"/>
    </row>
    <row r="10180" spans="1:18" ht="12.75">
      <c r="A10180" s="12"/>
      <c r="D10180" s="12"/>
      <c r="E10180" s="12"/>
      <c r="H10180" s="11" t="str">
        <f ca="1">IFERROR(__xludf.DUMMYFUNCTION("IFERROR(SUBSTITUTE(SUBSTITUTE(REGEXEXTRACT(A10180, ""[^-]+- [^-]+- [^-]+ - (.+?)\.jpg""), "".jpg"", """"), ""-"", "", ""), """")"),"")</f>
        <v/>
      </c>
      <c r="L10180" s="12"/>
      <c r="M10180" s="13"/>
      <c r="N10180" s="2"/>
      <c r="O10180" s="20"/>
      <c r="P10180" s="42"/>
      <c r="R10180" s="23"/>
    </row>
    <row r="10181" spans="1:18" ht="12.75">
      <c r="A10181" s="12"/>
      <c r="D10181" s="12"/>
      <c r="E10181" s="12"/>
      <c r="H10181" s="11" t="str">
        <f ca="1">IFERROR(__xludf.DUMMYFUNCTION("IFERROR(SUBSTITUTE(SUBSTITUTE(REGEXEXTRACT(A10181, ""[^-]+- [^-]+- [^-]+ - (.+?)\.jpg""), "".jpg"", """"), ""-"", "", ""), """")"),"")</f>
        <v/>
      </c>
      <c r="L10181" s="12"/>
      <c r="M10181" s="13"/>
      <c r="N10181" s="2"/>
      <c r="O10181" s="20"/>
      <c r="P10181" s="42"/>
      <c r="R10181" s="23"/>
    </row>
    <row r="10182" spans="1:18" ht="12.75">
      <c r="A10182" s="12"/>
      <c r="D10182" s="12"/>
      <c r="E10182" s="12"/>
      <c r="H10182" s="11" t="str">
        <f ca="1">IFERROR(__xludf.DUMMYFUNCTION("IFERROR(SUBSTITUTE(SUBSTITUTE(REGEXEXTRACT(A10182, ""[^-]+- [^-]+- [^-]+ - (.+?)\.jpg""), "".jpg"", """"), ""-"", "", ""), """")"),"")</f>
        <v/>
      </c>
      <c r="L10182" s="12"/>
      <c r="M10182" s="13"/>
      <c r="N10182" s="2"/>
      <c r="O10182" s="20"/>
      <c r="P10182" s="42"/>
      <c r="R10182" s="23"/>
    </row>
    <row r="10183" spans="1:18" ht="12.75">
      <c r="A10183" s="12"/>
      <c r="D10183" s="12"/>
      <c r="E10183" s="12"/>
      <c r="H10183" s="11" t="str">
        <f ca="1">IFERROR(__xludf.DUMMYFUNCTION("IFERROR(SUBSTITUTE(SUBSTITUTE(REGEXEXTRACT(A10183, ""[^-]+- [^-]+- [^-]+ - (.+?)\.jpg""), "".jpg"", """"), ""-"", "", ""), """")"),"")</f>
        <v/>
      </c>
      <c r="L10183" s="12"/>
      <c r="M10183" s="13"/>
      <c r="N10183" s="2"/>
      <c r="O10183" s="20"/>
      <c r="P10183" s="42"/>
      <c r="R10183" s="23"/>
    </row>
    <row r="10184" spans="1:18" ht="12.75">
      <c r="A10184" s="12"/>
      <c r="D10184" s="12"/>
      <c r="E10184" s="12"/>
      <c r="H10184" s="11" t="str">
        <f ca="1">IFERROR(__xludf.DUMMYFUNCTION("IFERROR(SUBSTITUTE(SUBSTITUTE(REGEXEXTRACT(A10184, ""[^-]+- [^-]+- [^-]+ - (.+?)\.jpg""), "".jpg"", """"), ""-"", "", ""), """")"),"")</f>
        <v/>
      </c>
      <c r="L10184" s="12"/>
      <c r="M10184" s="13"/>
      <c r="N10184" s="2"/>
      <c r="O10184" s="20"/>
      <c r="P10184" s="42"/>
      <c r="R10184" s="23"/>
    </row>
    <row r="10185" spans="1:18" ht="12.75">
      <c r="A10185" s="12"/>
      <c r="D10185" s="12"/>
      <c r="E10185" s="12"/>
      <c r="H10185" s="11" t="str">
        <f ca="1">IFERROR(__xludf.DUMMYFUNCTION("IFERROR(SUBSTITUTE(SUBSTITUTE(REGEXEXTRACT(A10185, ""[^-]+- [^-]+- [^-]+ - (.+?)\.jpg""), "".jpg"", """"), ""-"", "", ""), """")"),"")</f>
        <v/>
      </c>
      <c r="L10185" s="12"/>
      <c r="M10185" s="13"/>
      <c r="N10185" s="2"/>
      <c r="O10185" s="20"/>
      <c r="P10185" s="42"/>
      <c r="R10185" s="23"/>
    </row>
    <row r="10186" spans="1:18" ht="12.75">
      <c r="A10186" s="12"/>
      <c r="D10186" s="12"/>
      <c r="E10186" s="12"/>
      <c r="H10186" s="11" t="str">
        <f ca="1">IFERROR(__xludf.DUMMYFUNCTION("IFERROR(SUBSTITUTE(SUBSTITUTE(REGEXEXTRACT(A10186, ""[^-]+- [^-]+- [^-]+ - (.+?)\.jpg""), "".jpg"", """"), ""-"", "", ""), """")"),"")</f>
        <v/>
      </c>
      <c r="L10186" s="12"/>
      <c r="M10186" s="13"/>
      <c r="N10186" s="2"/>
      <c r="O10186" s="20"/>
      <c r="P10186" s="42"/>
      <c r="R10186" s="23"/>
    </row>
    <row r="10187" spans="1:18" ht="12.75">
      <c r="A10187" s="12"/>
      <c r="D10187" s="12"/>
      <c r="E10187" s="12"/>
      <c r="H10187" s="11" t="str">
        <f ca="1">IFERROR(__xludf.DUMMYFUNCTION("IFERROR(SUBSTITUTE(SUBSTITUTE(REGEXEXTRACT(A10187, ""[^-]+- [^-]+- [^-]+ - (.+?)\.jpg""), "".jpg"", """"), ""-"", "", ""), """")"),"")</f>
        <v/>
      </c>
      <c r="L10187" s="12"/>
      <c r="M10187" s="13"/>
      <c r="N10187" s="2"/>
      <c r="O10187" s="20"/>
      <c r="P10187" s="42"/>
      <c r="R10187" s="23"/>
    </row>
    <row r="10188" spans="1:18" ht="12.75">
      <c r="A10188" s="12"/>
      <c r="D10188" s="12"/>
      <c r="E10188" s="12"/>
      <c r="H10188" s="11" t="str">
        <f ca="1">IFERROR(__xludf.DUMMYFUNCTION("IFERROR(SUBSTITUTE(SUBSTITUTE(REGEXEXTRACT(A10188, ""[^-]+- [^-]+- [^-]+ - (.+?)\.jpg""), "".jpg"", """"), ""-"", "", ""), """")"),"")</f>
        <v/>
      </c>
      <c r="L10188" s="12"/>
      <c r="M10188" s="13"/>
      <c r="N10188" s="2"/>
      <c r="O10188" s="20"/>
      <c r="P10188" s="42"/>
      <c r="R10188" s="23"/>
    </row>
    <row r="10189" spans="1:18" ht="12.75">
      <c r="A10189" s="12"/>
      <c r="D10189" s="12"/>
      <c r="E10189" s="12"/>
      <c r="H10189" s="11" t="str">
        <f ca="1">IFERROR(__xludf.DUMMYFUNCTION("IFERROR(SUBSTITUTE(SUBSTITUTE(REGEXEXTRACT(A10189, ""[^-]+- [^-]+- [^-]+ - (.+?)\.jpg""), "".jpg"", """"), ""-"", "", ""), """")"),"")</f>
        <v/>
      </c>
      <c r="L10189" s="12"/>
      <c r="M10189" s="13"/>
      <c r="N10189" s="2"/>
      <c r="O10189" s="20"/>
      <c r="P10189" s="42"/>
      <c r="R10189" s="23"/>
    </row>
    <row r="10190" spans="1:18" ht="12.75">
      <c r="A10190" s="12"/>
      <c r="D10190" s="12"/>
      <c r="E10190" s="12"/>
      <c r="H10190" s="11" t="str">
        <f ca="1">IFERROR(__xludf.DUMMYFUNCTION("IFERROR(SUBSTITUTE(SUBSTITUTE(REGEXEXTRACT(A10190, ""[^-]+- [^-]+- [^-]+ - (.+?)\.jpg""), "".jpg"", """"), ""-"", "", ""), """")"),"")</f>
        <v/>
      </c>
      <c r="L10190" s="12"/>
      <c r="M10190" s="13"/>
      <c r="N10190" s="2"/>
      <c r="O10190" s="20"/>
      <c r="P10190" s="42"/>
      <c r="R10190" s="23"/>
    </row>
    <row r="10191" spans="1:18" ht="12.75">
      <c r="A10191" s="12"/>
      <c r="D10191" s="12"/>
      <c r="E10191" s="12"/>
      <c r="H10191" s="11" t="str">
        <f ca="1">IFERROR(__xludf.DUMMYFUNCTION("IFERROR(SUBSTITUTE(SUBSTITUTE(REGEXEXTRACT(A10191, ""[^-]+- [^-]+- [^-]+ - (.+?)\.jpg""), "".jpg"", """"), ""-"", "", ""), """")"),"")</f>
        <v/>
      </c>
      <c r="L10191" s="12"/>
      <c r="M10191" s="13"/>
      <c r="N10191" s="2"/>
      <c r="O10191" s="20"/>
      <c r="P10191" s="42"/>
      <c r="R10191" s="23"/>
    </row>
    <row r="10192" spans="1:18" ht="12.75">
      <c r="A10192" s="12"/>
      <c r="D10192" s="12"/>
      <c r="E10192" s="12"/>
      <c r="H10192" s="11" t="str">
        <f ca="1">IFERROR(__xludf.DUMMYFUNCTION("IFERROR(SUBSTITUTE(SUBSTITUTE(REGEXEXTRACT(A10192, ""[^-]+- [^-]+- [^-]+ - (.+?)\.jpg""), "".jpg"", """"), ""-"", "", ""), """")"),"")</f>
        <v/>
      </c>
      <c r="L10192" s="12"/>
      <c r="M10192" s="13"/>
      <c r="N10192" s="2"/>
      <c r="O10192" s="20"/>
      <c r="P10192" s="42"/>
      <c r="R10192" s="23"/>
    </row>
    <row r="10193" spans="1:18" ht="12.75">
      <c r="A10193" s="12"/>
      <c r="D10193" s="12"/>
      <c r="E10193" s="12"/>
      <c r="H10193" s="11" t="str">
        <f ca="1">IFERROR(__xludf.DUMMYFUNCTION("IFERROR(SUBSTITUTE(SUBSTITUTE(REGEXEXTRACT(A10193, ""[^-]+- [^-]+- [^-]+ - (.+?)\.jpg""), "".jpg"", """"), ""-"", "", ""), """")"),"")</f>
        <v/>
      </c>
      <c r="L10193" s="12"/>
      <c r="M10193" s="13"/>
      <c r="N10193" s="2"/>
      <c r="O10193" s="20"/>
      <c r="P10193" s="42"/>
      <c r="R10193" s="23"/>
    </row>
    <row r="10194" spans="1:18" ht="12.75">
      <c r="A10194" s="12"/>
      <c r="D10194" s="12"/>
      <c r="E10194" s="12"/>
      <c r="H10194" s="11" t="str">
        <f ca="1">IFERROR(__xludf.DUMMYFUNCTION("IFERROR(SUBSTITUTE(SUBSTITUTE(REGEXEXTRACT(A10194, ""[^-]+- [^-]+- [^-]+ - (.+?)\.jpg""), "".jpg"", """"), ""-"", "", ""), """")"),"")</f>
        <v/>
      </c>
      <c r="L10194" s="12"/>
      <c r="M10194" s="13"/>
      <c r="N10194" s="2"/>
      <c r="O10194" s="20"/>
      <c r="P10194" s="42"/>
      <c r="R10194" s="23"/>
    </row>
    <row r="10195" spans="1:18" ht="12.75">
      <c r="A10195" s="12"/>
      <c r="D10195" s="12"/>
      <c r="E10195" s="12"/>
      <c r="H10195" s="11" t="str">
        <f ca="1">IFERROR(__xludf.DUMMYFUNCTION("IFERROR(SUBSTITUTE(SUBSTITUTE(REGEXEXTRACT(A10195, ""[^-]+- [^-]+- [^-]+ - (.+?)\.jpg""), "".jpg"", """"), ""-"", "", ""), """")"),"")</f>
        <v/>
      </c>
      <c r="L10195" s="12"/>
      <c r="M10195" s="13"/>
      <c r="N10195" s="2"/>
      <c r="O10195" s="20"/>
      <c r="P10195" s="42"/>
      <c r="R10195" s="23"/>
    </row>
    <row r="10196" spans="1:18" ht="12.75">
      <c r="A10196" s="12"/>
      <c r="D10196" s="12"/>
      <c r="E10196" s="12"/>
      <c r="H10196" s="11" t="str">
        <f ca="1">IFERROR(__xludf.DUMMYFUNCTION("IFERROR(SUBSTITUTE(SUBSTITUTE(REGEXEXTRACT(A10196, ""[^-]+- [^-]+- [^-]+ - (.+?)\.jpg""), "".jpg"", """"), ""-"", "", ""), """")"),"")</f>
        <v/>
      </c>
      <c r="L10196" s="12"/>
      <c r="M10196" s="13"/>
      <c r="N10196" s="2"/>
      <c r="O10196" s="20"/>
      <c r="P10196" s="42"/>
      <c r="R10196" s="23"/>
    </row>
    <row r="10197" spans="1:18" ht="12.75">
      <c r="A10197" s="12"/>
      <c r="D10197" s="12"/>
      <c r="E10197" s="12"/>
      <c r="H10197" s="11" t="str">
        <f ca="1">IFERROR(__xludf.DUMMYFUNCTION("IFERROR(SUBSTITUTE(SUBSTITUTE(REGEXEXTRACT(A10197, ""[^-]+- [^-]+- [^-]+ - (.+?)\.jpg""), "".jpg"", """"), ""-"", "", ""), """")"),"")</f>
        <v/>
      </c>
      <c r="L10197" s="12"/>
      <c r="M10197" s="13"/>
      <c r="N10197" s="2"/>
      <c r="O10197" s="20"/>
      <c r="P10197" s="42"/>
      <c r="R10197" s="23"/>
    </row>
    <row r="10198" spans="1:18" ht="12.75">
      <c r="A10198" s="12"/>
      <c r="D10198" s="12"/>
      <c r="E10198" s="12"/>
      <c r="H10198" s="11" t="str">
        <f ca="1">IFERROR(__xludf.DUMMYFUNCTION("IFERROR(SUBSTITUTE(SUBSTITUTE(REGEXEXTRACT(A10198, ""[^-]+- [^-]+- [^-]+ - (.+?)\.jpg""), "".jpg"", """"), ""-"", "", ""), """")"),"")</f>
        <v/>
      </c>
      <c r="L10198" s="12"/>
      <c r="M10198" s="13"/>
      <c r="N10198" s="2"/>
      <c r="O10198" s="20"/>
      <c r="P10198" s="42"/>
      <c r="R10198" s="23"/>
    </row>
    <row r="10199" spans="1:18" ht="12.75">
      <c r="A10199" s="12"/>
      <c r="D10199" s="12"/>
      <c r="E10199" s="12"/>
      <c r="H10199" s="11" t="str">
        <f ca="1">IFERROR(__xludf.DUMMYFUNCTION("IFERROR(SUBSTITUTE(SUBSTITUTE(REGEXEXTRACT(A10199, ""[^-]+- [^-]+- [^-]+ - (.+?)\.jpg""), "".jpg"", """"), ""-"", "", ""), """")"),"")</f>
        <v/>
      </c>
      <c r="L10199" s="12"/>
      <c r="M10199" s="13"/>
      <c r="N10199" s="2"/>
      <c r="O10199" s="20"/>
      <c r="P10199" s="42"/>
      <c r="R10199" s="23"/>
    </row>
    <row r="10200" spans="1:18" ht="12.75">
      <c r="A10200" s="12"/>
      <c r="D10200" s="12"/>
      <c r="E10200" s="12"/>
      <c r="H10200" s="11" t="str">
        <f ca="1">IFERROR(__xludf.DUMMYFUNCTION("IFERROR(SUBSTITUTE(SUBSTITUTE(REGEXEXTRACT(A10200, ""[^-]+- [^-]+- [^-]+ - (.+?)\.jpg""), "".jpg"", """"), ""-"", "", ""), """")"),"")</f>
        <v/>
      </c>
      <c r="L10200" s="12"/>
      <c r="M10200" s="13"/>
      <c r="N10200" s="2"/>
      <c r="O10200" s="20"/>
      <c r="P10200" s="42"/>
      <c r="R10200" s="23"/>
    </row>
    <row r="10201" spans="1:18" ht="12.75">
      <c r="A10201" s="12"/>
      <c r="D10201" s="12"/>
      <c r="E10201" s="12"/>
      <c r="H10201" s="11" t="str">
        <f ca="1">IFERROR(__xludf.DUMMYFUNCTION("IFERROR(SUBSTITUTE(SUBSTITUTE(REGEXEXTRACT(A10201, ""[^-]+- [^-]+- [^-]+ - (.+?)\.jpg""), "".jpg"", """"), ""-"", "", ""), """")"),"")</f>
        <v/>
      </c>
      <c r="L10201" s="12"/>
      <c r="M10201" s="13"/>
      <c r="N10201" s="2"/>
      <c r="O10201" s="20"/>
      <c r="P10201" s="42"/>
      <c r="R10201" s="23"/>
    </row>
    <row r="10202" spans="1:18" ht="12.75">
      <c r="A10202" s="12"/>
      <c r="D10202" s="12"/>
      <c r="E10202" s="12"/>
      <c r="H10202" s="11" t="str">
        <f ca="1">IFERROR(__xludf.DUMMYFUNCTION("IFERROR(SUBSTITUTE(SUBSTITUTE(REGEXEXTRACT(A10202, ""[^-]+- [^-]+- [^-]+ - (.+?)\.jpg""), "".jpg"", """"), ""-"", "", ""), """")"),"")</f>
        <v/>
      </c>
      <c r="L10202" s="12"/>
      <c r="M10202" s="13"/>
      <c r="N10202" s="2"/>
      <c r="O10202" s="20"/>
      <c r="P10202" s="42"/>
      <c r="R10202" s="23"/>
    </row>
    <row r="10203" spans="1:18" ht="12.75">
      <c r="A10203" s="12"/>
      <c r="D10203" s="12"/>
      <c r="E10203" s="12"/>
      <c r="H10203" s="11" t="str">
        <f ca="1">IFERROR(__xludf.DUMMYFUNCTION("IFERROR(SUBSTITUTE(SUBSTITUTE(REGEXEXTRACT(A10203, ""[^-]+- [^-]+- [^-]+ - (.+?)\.jpg""), "".jpg"", """"), ""-"", "", ""), """")"),"")</f>
        <v/>
      </c>
      <c r="L10203" s="12"/>
      <c r="M10203" s="13"/>
      <c r="N10203" s="2"/>
      <c r="O10203" s="20"/>
      <c r="P10203" s="42"/>
      <c r="R10203" s="23"/>
    </row>
    <row r="10204" spans="1:18" ht="12.75">
      <c r="A10204" s="12"/>
      <c r="D10204" s="12"/>
      <c r="E10204" s="12"/>
      <c r="H10204" s="11" t="str">
        <f ca="1">IFERROR(__xludf.DUMMYFUNCTION("IFERROR(SUBSTITUTE(SUBSTITUTE(REGEXEXTRACT(A10204, ""[^-]+- [^-]+- [^-]+ - (.+?)\.jpg""), "".jpg"", """"), ""-"", "", ""), """")"),"")</f>
        <v/>
      </c>
      <c r="L10204" s="12"/>
      <c r="M10204" s="13"/>
      <c r="N10204" s="2"/>
      <c r="O10204" s="20"/>
      <c r="P10204" s="42"/>
      <c r="R10204" s="23"/>
    </row>
    <row r="10205" spans="1:18" ht="12.75">
      <c r="A10205" s="12"/>
      <c r="D10205" s="12"/>
      <c r="E10205" s="12"/>
      <c r="H10205" s="11" t="str">
        <f ca="1">IFERROR(__xludf.DUMMYFUNCTION("IFERROR(SUBSTITUTE(SUBSTITUTE(REGEXEXTRACT(A10205, ""[^-]+- [^-]+- [^-]+ - (.+?)\.jpg""), "".jpg"", """"), ""-"", "", ""), """")"),"")</f>
        <v/>
      </c>
      <c r="L10205" s="12"/>
      <c r="M10205" s="13"/>
      <c r="N10205" s="2"/>
      <c r="O10205" s="20"/>
      <c r="P10205" s="42"/>
      <c r="R10205" s="23"/>
    </row>
    <row r="10206" spans="1:18" ht="12.75">
      <c r="A10206" s="12"/>
      <c r="D10206" s="12"/>
      <c r="E10206" s="12"/>
      <c r="H10206" s="11" t="str">
        <f ca="1">IFERROR(__xludf.DUMMYFUNCTION("IFERROR(SUBSTITUTE(SUBSTITUTE(REGEXEXTRACT(A10206, ""[^-]+- [^-]+- [^-]+ - (.+?)\.jpg""), "".jpg"", """"), ""-"", "", ""), """")"),"")</f>
        <v/>
      </c>
      <c r="L10206" s="12"/>
      <c r="M10206" s="13"/>
      <c r="N10206" s="2"/>
      <c r="O10206" s="20"/>
      <c r="P10206" s="42"/>
      <c r="R10206" s="23"/>
    </row>
    <row r="10207" spans="1:18" ht="12.75">
      <c r="A10207" s="12"/>
      <c r="D10207" s="12"/>
      <c r="E10207" s="12"/>
      <c r="H10207" s="11" t="str">
        <f ca="1">IFERROR(__xludf.DUMMYFUNCTION("IFERROR(SUBSTITUTE(SUBSTITUTE(REGEXEXTRACT(A10207, ""[^-]+- [^-]+- [^-]+ - (.+?)\.jpg""), "".jpg"", """"), ""-"", "", ""), """")"),"")</f>
        <v/>
      </c>
      <c r="L10207" s="12"/>
      <c r="M10207" s="13"/>
      <c r="N10207" s="2"/>
      <c r="O10207" s="20"/>
      <c r="P10207" s="42"/>
      <c r="R10207" s="23"/>
    </row>
    <row r="10208" spans="1:18" ht="12.75">
      <c r="A10208" s="12"/>
      <c r="D10208" s="12"/>
      <c r="E10208" s="12"/>
      <c r="H10208" s="11" t="str">
        <f ca="1">IFERROR(__xludf.DUMMYFUNCTION("IFERROR(SUBSTITUTE(SUBSTITUTE(REGEXEXTRACT(A10208, ""[^-]+- [^-]+- [^-]+ - (.+?)\.jpg""), "".jpg"", """"), ""-"", "", ""), """")"),"")</f>
        <v/>
      </c>
      <c r="L10208" s="12"/>
      <c r="M10208" s="13"/>
      <c r="N10208" s="2"/>
      <c r="O10208" s="20"/>
      <c r="P10208" s="42"/>
      <c r="R10208" s="23"/>
    </row>
    <row r="10209" spans="1:18" ht="12.75">
      <c r="A10209" s="12"/>
      <c r="D10209" s="12"/>
      <c r="E10209" s="12"/>
      <c r="H10209" s="11" t="str">
        <f ca="1">IFERROR(__xludf.DUMMYFUNCTION("IFERROR(SUBSTITUTE(SUBSTITUTE(REGEXEXTRACT(A10209, ""[^-]+- [^-]+- [^-]+ - (.+?)\.jpg""), "".jpg"", """"), ""-"", "", ""), """")"),"")</f>
        <v/>
      </c>
      <c r="L10209" s="12"/>
      <c r="M10209" s="13"/>
      <c r="N10209" s="2"/>
      <c r="O10209" s="20"/>
      <c r="P10209" s="42"/>
      <c r="R10209" s="23"/>
    </row>
    <row r="10210" spans="1:18" ht="12.75">
      <c r="A10210" s="12"/>
      <c r="D10210" s="12"/>
      <c r="E10210" s="12"/>
      <c r="H10210" s="11" t="str">
        <f ca="1">IFERROR(__xludf.DUMMYFUNCTION("IFERROR(SUBSTITUTE(SUBSTITUTE(REGEXEXTRACT(A10210, ""[^-]+- [^-]+- [^-]+ - (.+?)\.jpg""), "".jpg"", """"), ""-"", "", ""), """")"),"")</f>
        <v/>
      </c>
      <c r="L10210" s="12"/>
      <c r="M10210" s="13"/>
      <c r="N10210" s="2"/>
      <c r="O10210" s="20"/>
      <c r="P10210" s="42"/>
      <c r="R10210" s="23"/>
    </row>
    <row r="10211" spans="1:18" ht="12.75">
      <c r="A10211" s="12"/>
      <c r="D10211" s="12"/>
      <c r="E10211" s="12"/>
      <c r="H10211" s="11" t="str">
        <f ca="1">IFERROR(__xludf.DUMMYFUNCTION("IFERROR(SUBSTITUTE(SUBSTITUTE(REGEXEXTRACT(A10211, ""[^-]+- [^-]+- [^-]+ - (.+?)\.jpg""), "".jpg"", """"), ""-"", "", ""), """")"),"")</f>
        <v/>
      </c>
      <c r="L10211" s="12"/>
      <c r="M10211" s="13"/>
      <c r="N10211" s="2"/>
      <c r="O10211" s="20"/>
      <c r="P10211" s="42"/>
      <c r="R10211" s="23"/>
    </row>
    <row r="10212" spans="1:18" ht="12.75">
      <c r="A10212" s="12"/>
      <c r="D10212" s="12"/>
      <c r="E10212" s="12"/>
      <c r="H10212" s="11" t="str">
        <f ca="1">IFERROR(__xludf.DUMMYFUNCTION("IFERROR(SUBSTITUTE(SUBSTITUTE(REGEXEXTRACT(A10212, ""[^-]+- [^-]+- [^-]+ - (.+?)\.jpg""), "".jpg"", """"), ""-"", "", ""), """")"),"")</f>
        <v/>
      </c>
      <c r="L10212" s="12"/>
      <c r="M10212" s="13"/>
      <c r="N10212" s="2"/>
      <c r="O10212" s="20"/>
      <c r="P10212" s="42"/>
      <c r="R10212" s="23"/>
    </row>
    <row r="10213" spans="1:18" ht="12.75">
      <c r="A10213" s="12"/>
      <c r="D10213" s="12"/>
      <c r="E10213" s="12"/>
      <c r="H10213" s="11" t="str">
        <f ca="1">IFERROR(__xludf.DUMMYFUNCTION("IFERROR(SUBSTITUTE(SUBSTITUTE(REGEXEXTRACT(A10213, ""[^-]+- [^-]+- [^-]+ - (.+?)\.jpg""), "".jpg"", """"), ""-"", "", ""), """")"),"")</f>
        <v/>
      </c>
      <c r="L10213" s="12"/>
      <c r="M10213" s="13"/>
      <c r="N10213" s="2"/>
      <c r="O10213" s="20"/>
      <c r="P10213" s="42"/>
      <c r="R10213" s="23"/>
    </row>
    <row r="10214" spans="1:18" ht="12.75">
      <c r="A10214" s="12"/>
      <c r="D10214" s="12"/>
      <c r="E10214" s="12"/>
      <c r="H10214" s="11" t="str">
        <f ca="1">IFERROR(__xludf.DUMMYFUNCTION("IFERROR(SUBSTITUTE(SUBSTITUTE(REGEXEXTRACT(A10214, ""[^-]+- [^-]+- [^-]+ - (.+?)\.jpg""), "".jpg"", """"), ""-"", "", ""), """")"),"")</f>
        <v/>
      </c>
      <c r="L10214" s="12"/>
      <c r="M10214" s="13"/>
      <c r="N10214" s="2"/>
      <c r="O10214" s="20"/>
      <c r="P10214" s="42"/>
      <c r="R10214" s="23"/>
    </row>
    <row r="10215" spans="1:18" ht="12.75">
      <c r="A10215" s="12"/>
      <c r="D10215" s="12"/>
      <c r="E10215" s="12"/>
      <c r="H10215" s="11" t="str">
        <f ca="1">IFERROR(__xludf.DUMMYFUNCTION("IFERROR(SUBSTITUTE(SUBSTITUTE(REGEXEXTRACT(A10215, ""[^-]+- [^-]+- [^-]+ - (.+?)\.jpg""), "".jpg"", """"), ""-"", "", ""), """")"),"")</f>
        <v/>
      </c>
      <c r="L10215" s="12"/>
      <c r="M10215" s="13"/>
      <c r="N10215" s="2"/>
      <c r="O10215" s="20"/>
      <c r="P10215" s="42"/>
      <c r="R10215" s="23"/>
    </row>
    <row r="10216" spans="1:18" ht="12.75">
      <c r="A10216" s="12"/>
      <c r="D10216" s="12"/>
      <c r="E10216" s="12"/>
      <c r="H10216" s="11" t="str">
        <f ca="1">IFERROR(__xludf.DUMMYFUNCTION("IFERROR(SUBSTITUTE(SUBSTITUTE(REGEXEXTRACT(A10216, ""[^-]+- [^-]+- [^-]+ - (.+?)\.jpg""), "".jpg"", """"), ""-"", "", ""), """")"),"")</f>
        <v/>
      </c>
      <c r="L10216" s="12"/>
      <c r="M10216" s="13"/>
      <c r="N10216" s="2"/>
      <c r="O10216" s="20"/>
      <c r="P10216" s="42"/>
      <c r="R10216" s="23"/>
    </row>
    <row r="10217" spans="1:18" ht="12.75">
      <c r="A10217" s="12"/>
      <c r="D10217" s="12"/>
      <c r="E10217" s="12"/>
      <c r="H10217" s="11" t="str">
        <f ca="1">IFERROR(__xludf.DUMMYFUNCTION("IFERROR(SUBSTITUTE(SUBSTITUTE(REGEXEXTRACT(A10217, ""[^-]+- [^-]+- [^-]+ - (.+?)\.jpg""), "".jpg"", """"), ""-"", "", ""), """")"),"")</f>
        <v/>
      </c>
      <c r="L10217" s="12"/>
      <c r="M10217" s="13"/>
      <c r="N10217" s="2"/>
      <c r="O10217" s="20"/>
      <c r="P10217" s="42"/>
      <c r="R10217" s="23"/>
    </row>
    <row r="10218" spans="1:18" ht="12.75">
      <c r="A10218" s="12"/>
      <c r="D10218" s="12"/>
      <c r="E10218" s="12"/>
      <c r="H10218" s="11" t="str">
        <f ca="1">IFERROR(__xludf.DUMMYFUNCTION("IFERROR(SUBSTITUTE(SUBSTITUTE(REGEXEXTRACT(A10218, ""[^-]+- [^-]+- [^-]+ - (.+?)\.jpg""), "".jpg"", """"), ""-"", "", ""), """")"),"")</f>
        <v/>
      </c>
      <c r="L10218" s="12"/>
      <c r="M10218" s="13"/>
      <c r="N10218" s="2"/>
      <c r="O10218" s="20"/>
      <c r="P10218" s="42"/>
      <c r="R10218" s="23"/>
    </row>
    <row r="10219" spans="1:18" ht="12.75">
      <c r="A10219" s="12"/>
      <c r="D10219" s="12"/>
      <c r="E10219" s="12"/>
      <c r="H10219" s="11" t="str">
        <f ca="1">IFERROR(__xludf.DUMMYFUNCTION("IFERROR(SUBSTITUTE(SUBSTITUTE(REGEXEXTRACT(A10219, ""[^-]+- [^-]+- [^-]+ - (.+?)\.jpg""), "".jpg"", """"), ""-"", "", ""), """")"),"")</f>
        <v/>
      </c>
      <c r="L10219" s="12"/>
      <c r="M10219" s="13"/>
      <c r="N10219" s="2"/>
      <c r="O10219" s="20"/>
      <c r="P10219" s="42"/>
      <c r="R10219" s="23"/>
    </row>
    <row r="10220" spans="1:18" ht="12.75">
      <c r="A10220" s="12"/>
      <c r="D10220" s="12"/>
      <c r="E10220" s="12"/>
      <c r="H10220" s="11" t="str">
        <f ca="1">IFERROR(__xludf.DUMMYFUNCTION("IFERROR(SUBSTITUTE(SUBSTITUTE(REGEXEXTRACT(A10220, ""[^-]+- [^-]+- [^-]+ - (.+?)\.jpg""), "".jpg"", """"), ""-"", "", ""), """")"),"")</f>
        <v/>
      </c>
      <c r="L10220" s="12"/>
      <c r="M10220" s="13"/>
      <c r="N10220" s="2"/>
      <c r="O10220" s="20"/>
      <c r="P10220" s="42"/>
      <c r="R10220" s="23"/>
    </row>
    <row r="10221" spans="1:18" ht="12.75">
      <c r="A10221" s="12"/>
      <c r="D10221" s="12"/>
      <c r="E10221" s="12"/>
      <c r="H10221" s="11" t="str">
        <f ca="1">IFERROR(__xludf.DUMMYFUNCTION("IFERROR(SUBSTITUTE(SUBSTITUTE(REGEXEXTRACT(A10221, ""[^-]+- [^-]+- [^-]+ - (.+?)\.jpg""), "".jpg"", """"), ""-"", "", ""), """")"),"")</f>
        <v/>
      </c>
      <c r="L10221" s="12"/>
      <c r="M10221" s="13"/>
      <c r="N10221" s="2"/>
      <c r="O10221" s="20"/>
      <c r="P10221" s="42"/>
      <c r="R10221" s="23"/>
    </row>
    <row r="10222" spans="1:18" ht="12.75">
      <c r="A10222" s="12"/>
      <c r="D10222" s="12"/>
      <c r="E10222" s="12"/>
      <c r="H10222" s="11" t="str">
        <f ca="1">IFERROR(__xludf.DUMMYFUNCTION("IFERROR(SUBSTITUTE(SUBSTITUTE(REGEXEXTRACT(A10222, ""[^-]+- [^-]+- [^-]+ - (.+?)\.jpg""), "".jpg"", """"), ""-"", "", ""), """")"),"")</f>
        <v/>
      </c>
      <c r="L10222" s="12"/>
      <c r="M10222" s="13"/>
      <c r="N10222" s="2"/>
      <c r="O10222" s="20"/>
      <c r="P10222" s="42"/>
      <c r="R10222" s="23"/>
    </row>
    <row r="10223" spans="1:18" ht="12.75">
      <c r="A10223" s="12"/>
      <c r="D10223" s="12"/>
      <c r="E10223" s="12"/>
      <c r="H10223" s="11" t="str">
        <f ca="1">IFERROR(__xludf.DUMMYFUNCTION("IFERROR(SUBSTITUTE(SUBSTITUTE(REGEXEXTRACT(A10223, ""[^-]+- [^-]+- [^-]+ - (.+?)\.jpg""), "".jpg"", """"), ""-"", "", ""), """")"),"")</f>
        <v/>
      </c>
      <c r="L10223" s="12"/>
      <c r="M10223" s="13"/>
      <c r="N10223" s="2"/>
      <c r="O10223" s="20"/>
      <c r="P10223" s="42"/>
      <c r="R10223" s="23"/>
    </row>
    <row r="10224" spans="1:18" ht="12.75">
      <c r="A10224" s="12"/>
      <c r="D10224" s="12"/>
      <c r="E10224" s="12"/>
      <c r="H10224" s="11" t="str">
        <f ca="1">IFERROR(__xludf.DUMMYFUNCTION("IFERROR(SUBSTITUTE(SUBSTITUTE(REGEXEXTRACT(A10224, ""[^-]+- [^-]+- [^-]+ - (.+?)\.jpg""), "".jpg"", """"), ""-"", "", ""), """")"),"")</f>
        <v/>
      </c>
      <c r="L10224" s="12"/>
      <c r="M10224" s="13"/>
      <c r="N10224" s="2"/>
      <c r="O10224" s="20"/>
      <c r="P10224" s="42"/>
      <c r="R10224" s="23"/>
    </row>
    <row r="10225" spans="1:18" ht="12.75">
      <c r="A10225" s="12"/>
      <c r="D10225" s="12"/>
      <c r="E10225" s="12"/>
      <c r="H10225" s="11" t="str">
        <f ca="1">IFERROR(__xludf.DUMMYFUNCTION("IFERROR(SUBSTITUTE(SUBSTITUTE(REGEXEXTRACT(A10225, ""[^-]+- [^-]+- [^-]+ - (.+?)\.jpg""), "".jpg"", """"), ""-"", "", ""), """")"),"")</f>
        <v/>
      </c>
      <c r="L10225" s="12"/>
      <c r="M10225" s="13"/>
      <c r="N10225" s="2"/>
      <c r="O10225" s="20"/>
      <c r="P10225" s="42"/>
      <c r="R10225" s="23"/>
    </row>
    <row r="10226" spans="1:18" ht="12.75">
      <c r="A10226" s="12"/>
      <c r="D10226" s="12"/>
      <c r="E10226" s="12"/>
      <c r="H10226" s="11" t="str">
        <f ca="1">IFERROR(__xludf.DUMMYFUNCTION("IFERROR(SUBSTITUTE(SUBSTITUTE(REGEXEXTRACT(A10226, ""[^-]+- [^-]+- [^-]+ - (.+?)\.jpg""), "".jpg"", """"), ""-"", "", ""), """")"),"")</f>
        <v/>
      </c>
      <c r="L10226" s="12"/>
      <c r="M10226" s="13"/>
      <c r="N10226" s="2"/>
      <c r="O10226" s="20"/>
      <c r="P10226" s="42"/>
      <c r="R10226" s="23"/>
    </row>
    <row r="10227" spans="1:18" ht="12.75">
      <c r="A10227" s="12"/>
      <c r="D10227" s="12"/>
      <c r="E10227" s="12"/>
      <c r="H10227" s="11" t="str">
        <f ca="1">IFERROR(__xludf.DUMMYFUNCTION("IFERROR(SUBSTITUTE(SUBSTITUTE(REGEXEXTRACT(A10227, ""[^-]+- [^-]+- [^-]+ - (.+?)\.jpg""), "".jpg"", """"), ""-"", "", ""), """")"),"")</f>
        <v/>
      </c>
      <c r="L10227" s="12"/>
      <c r="M10227" s="13"/>
      <c r="N10227" s="2"/>
      <c r="O10227" s="20"/>
      <c r="P10227" s="42"/>
      <c r="R10227" s="23"/>
    </row>
    <row r="10228" spans="1:18" ht="12.75">
      <c r="A10228" s="12"/>
      <c r="D10228" s="12"/>
      <c r="E10228" s="12"/>
      <c r="H10228" s="11" t="str">
        <f ca="1">IFERROR(__xludf.DUMMYFUNCTION("IFERROR(SUBSTITUTE(SUBSTITUTE(REGEXEXTRACT(A10228, ""[^-]+- [^-]+- [^-]+ - (.+?)\.jpg""), "".jpg"", """"), ""-"", "", ""), """")"),"")</f>
        <v/>
      </c>
      <c r="L10228" s="12"/>
      <c r="M10228" s="13"/>
      <c r="N10228" s="2"/>
      <c r="O10228" s="20"/>
      <c r="P10228" s="42"/>
      <c r="R10228" s="23"/>
    </row>
    <row r="10229" spans="1:18" ht="12.75">
      <c r="A10229" s="12"/>
      <c r="D10229" s="12"/>
      <c r="E10229" s="12"/>
      <c r="H10229" s="11" t="str">
        <f ca="1">IFERROR(__xludf.DUMMYFUNCTION("IFERROR(SUBSTITUTE(SUBSTITUTE(REGEXEXTRACT(A10229, ""[^-]+- [^-]+- [^-]+ - (.+?)\.jpg""), "".jpg"", """"), ""-"", "", ""), """")"),"")</f>
        <v/>
      </c>
      <c r="L10229" s="12"/>
      <c r="M10229" s="13"/>
      <c r="N10229" s="2"/>
      <c r="O10229" s="20"/>
      <c r="P10229" s="42"/>
      <c r="R10229" s="23"/>
    </row>
    <row r="10230" spans="1:18" ht="12.75">
      <c r="A10230" s="12"/>
      <c r="D10230" s="12"/>
      <c r="E10230" s="12"/>
      <c r="H10230" s="11" t="str">
        <f ca="1">IFERROR(__xludf.DUMMYFUNCTION("IFERROR(SUBSTITUTE(SUBSTITUTE(REGEXEXTRACT(A10230, ""[^-]+- [^-]+- [^-]+ - (.+?)\.jpg""), "".jpg"", """"), ""-"", "", ""), """")"),"")</f>
        <v/>
      </c>
      <c r="L10230" s="12"/>
      <c r="M10230" s="13"/>
      <c r="N10230" s="2"/>
      <c r="O10230" s="20"/>
      <c r="P10230" s="42"/>
      <c r="R10230" s="23"/>
    </row>
    <row r="10231" spans="1:18" ht="12.75">
      <c r="A10231" s="12"/>
      <c r="D10231" s="12"/>
      <c r="E10231" s="12"/>
      <c r="H10231" s="11" t="str">
        <f ca="1">IFERROR(__xludf.DUMMYFUNCTION("IFERROR(SUBSTITUTE(SUBSTITUTE(REGEXEXTRACT(A10231, ""[^-]+- [^-]+- [^-]+ - (.+?)\.jpg""), "".jpg"", """"), ""-"", "", ""), """")"),"")</f>
        <v/>
      </c>
      <c r="L10231" s="12"/>
      <c r="M10231" s="13"/>
      <c r="N10231" s="2"/>
      <c r="O10231" s="20"/>
      <c r="P10231" s="42"/>
      <c r="R10231" s="23"/>
    </row>
    <row r="10232" spans="1:18" ht="12.75">
      <c r="A10232" s="12"/>
      <c r="D10232" s="12"/>
      <c r="E10232" s="12"/>
      <c r="H10232" s="11" t="str">
        <f ca="1">IFERROR(__xludf.DUMMYFUNCTION("IFERROR(SUBSTITUTE(SUBSTITUTE(REGEXEXTRACT(A10232, ""[^-]+- [^-]+- [^-]+ - (.+?)\.jpg""), "".jpg"", """"), ""-"", "", ""), """")"),"")</f>
        <v/>
      </c>
      <c r="L10232" s="12"/>
      <c r="M10232" s="13"/>
      <c r="N10232" s="2"/>
      <c r="O10232" s="20"/>
      <c r="P10232" s="42"/>
      <c r="R10232" s="23"/>
    </row>
    <row r="10233" spans="1:18" ht="12.75">
      <c r="A10233" s="12"/>
      <c r="D10233" s="12"/>
      <c r="E10233" s="12"/>
      <c r="H10233" s="11" t="str">
        <f ca="1">IFERROR(__xludf.DUMMYFUNCTION("IFERROR(SUBSTITUTE(SUBSTITUTE(REGEXEXTRACT(A10233, ""[^-]+- [^-]+- [^-]+ - (.+?)\.jpg""), "".jpg"", """"), ""-"", "", ""), """")"),"")</f>
        <v/>
      </c>
      <c r="L10233" s="12"/>
      <c r="M10233" s="13"/>
      <c r="N10233" s="2"/>
      <c r="O10233" s="20"/>
      <c r="P10233" s="42"/>
      <c r="R10233" s="23"/>
    </row>
    <row r="10234" spans="1:18" ht="12.75">
      <c r="A10234" s="12"/>
      <c r="D10234" s="12"/>
      <c r="E10234" s="12"/>
      <c r="H10234" s="11" t="str">
        <f ca="1">IFERROR(__xludf.DUMMYFUNCTION("IFERROR(SUBSTITUTE(SUBSTITUTE(REGEXEXTRACT(A10234, ""[^-]+- [^-]+- [^-]+ - (.+?)\.jpg""), "".jpg"", """"), ""-"", "", ""), """")"),"")</f>
        <v/>
      </c>
      <c r="L10234" s="12"/>
      <c r="M10234" s="13"/>
      <c r="N10234" s="2"/>
      <c r="O10234" s="20"/>
      <c r="P10234" s="42"/>
      <c r="R10234" s="23"/>
    </row>
    <row r="10235" spans="1:18" ht="12.75">
      <c r="A10235" s="12"/>
      <c r="D10235" s="12"/>
      <c r="E10235" s="12"/>
      <c r="H10235" s="11" t="str">
        <f ca="1">IFERROR(__xludf.DUMMYFUNCTION("IFERROR(SUBSTITUTE(SUBSTITUTE(REGEXEXTRACT(A10235, ""[^-]+- [^-]+- [^-]+ - (.+?)\.jpg""), "".jpg"", """"), ""-"", "", ""), """")"),"")</f>
        <v/>
      </c>
      <c r="L10235" s="12"/>
      <c r="M10235" s="13"/>
      <c r="N10235" s="2"/>
      <c r="O10235" s="20"/>
      <c r="P10235" s="42"/>
      <c r="R10235" s="23"/>
    </row>
    <row r="10236" spans="1:18" ht="12.75">
      <c r="A10236" s="12"/>
      <c r="D10236" s="12"/>
      <c r="E10236" s="12"/>
      <c r="H10236" s="11" t="str">
        <f ca="1">IFERROR(__xludf.DUMMYFUNCTION("IFERROR(SUBSTITUTE(SUBSTITUTE(REGEXEXTRACT(A10236, ""[^-]+- [^-]+- [^-]+ - (.+?)\.jpg""), "".jpg"", """"), ""-"", "", ""), """")"),"")</f>
        <v/>
      </c>
      <c r="L10236" s="12"/>
      <c r="M10236" s="13"/>
      <c r="N10236" s="2"/>
      <c r="O10236" s="20"/>
      <c r="P10236" s="42"/>
      <c r="R10236" s="23"/>
    </row>
    <row r="10237" spans="1:18" ht="12.75">
      <c r="A10237" s="12"/>
      <c r="D10237" s="12"/>
      <c r="E10237" s="12"/>
      <c r="H10237" s="11" t="str">
        <f ca="1">IFERROR(__xludf.DUMMYFUNCTION("IFERROR(SUBSTITUTE(SUBSTITUTE(REGEXEXTRACT(A10237, ""[^-]+- [^-]+- [^-]+ - (.+?)\.jpg""), "".jpg"", """"), ""-"", "", ""), """")"),"")</f>
        <v/>
      </c>
      <c r="L10237" s="12"/>
      <c r="M10237" s="13"/>
      <c r="N10237" s="2"/>
      <c r="O10237" s="20"/>
      <c r="P10237" s="42"/>
      <c r="R10237" s="23"/>
    </row>
    <row r="10238" spans="1:18" ht="12.75">
      <c r="A10238" s="12"/>
      <c r="D10238" s="12"/>
      <c r="E10238" s="12"/>
      <c r="H10238" s="11" t="str">
        <f ca="1">IFERROR(__xludf.DUMMYFUNCTION("IFERROR(SUBSTITUTE(SUBSTITUTE(REGEXEXTRACT(A10238, ""[^-]+- [^-]+- [^-]+ - (.+?)\.jpg""), "".jpg"", """"), ""-"", "", ""), """")"),"")</f>
        <v/>
      </c>
      <c r="L10238" s="12"/>
      <c r="M10238" s="13"/>
      <c r="N10238" s="2"/>
      <c r="O10238" s="20"/>
      <c r="P10238" s="42"/>
      <c r="R10238" s="23"/>
    </row>
    <row r="10239" spans="1:18" ht="12.75">
      <c r="A10239" s="12"/>
      <c r="D10239" s="12"/>
      <c r="E10239" s="12"/>
      <c r="H10239" s="11" t="str">
        <f ca="1">IFERROR(__xludf.DUMMYFUNCTION("IFERROR(SUBSTITUTE(SUBSTITUTE(REGEXEXTRACT(A10239, ""[^-]+- [^-]+- [^-]+ - (.+?)\.jpg""), "".jpg"", """"), ""-"", "", ""), """")"),"")</f>
        <v/>
      </c>
      <c r="L10239" s="12"/>
      <c r="M10239" s="13"/>
      <c r="N10239" s="2"/>
      <c r="O10239" s="20"/>
      <c r="P10239" s="42"/>
      <c r="R10239" s="23"/>
    </row>
    <row r="10240" spans="1:18" ht="12.75">
      <c r="A10240" s="12"/>
      <c r="D10240" s="12"/>
      <c r="E10240" s="12"/>
      <c r="H10240" s="11" t="str">
        <f ca="1">IFERROR(__xludf.DUMMYFUNCTION("IFERROR(SUBSTITUTE(SUBSTITUTE(REGEXEXTRACT(A10240, ""[^-]+- [^-]+- [^-]+ - (.+?)\.jpg""), "".jpg"", """"), ""-"", "", ""), """")"),"")</f>
        <v/>
      </c>
      <c r="L10240" s="12"/>
      <c r="M10240" s="13"/>
      <c r="N10240" s="2"/>
      <c r="O10240" s="20"/>
      <c r="P10240" s="42"/>
      <c r="R10240" s="23"/>
    </row>
    <row r="10241" spans="1:18" ht="12.75">
      <c r="A10241" s="12"/>
      <c r="D10241" s="12"/>
      <c r="E10241" s="12"/>
      <c r="H10241" s="11" t="str">
        <f ca="1">IFERROR(__xludf.DUMMYFUNCTION("IFERROR(SUBSTITUTE(SUBSTITUTE(REGEXEXTRACT(A10241, ""[^-]+- [^-]+- [^-]+ - (.+?)\.jpg""), "".jpg"", """"), ""-"", "", ""), """")"),"")</f>
        <v/>
      </c>
      <c r="L10241" s="12"/>
      <c r="M10241" s="13"/>
      <c r="N10241" s="2"/>
      <c r="O10241" s="20"/>
      <c r="P10241" s="42"/>
      <c r="R10241" s="23"/>
    </row>
    <row r="10242" spans="1:18" ht="12.75">
      <c r="A10242" s="12"/>
      <c r="D10242" s="12"/>
      <c r="E10242" s="12"/>
      <c r="H10242" s="11" t="str">
        <f ca="1">IFERROR(__xludf.DUMMYFUNCTION("IFERROR(SUBSTITUTE(SUBSTITUTE(REGEXEXTRACT(A10242, ""[^-]+- [^-]+- [^-]+ - (.+?)\.jpg""), "".jpg"", """"), ""-"", "", ""), """")"),"")</f>
        <v/>
      </c>
      <c r="L10242" s="12"/>
      <c r="M10242" s="13"/>
      <c r="N10242" s="2"/>
      <c r="O10242" s="20"/>
      <c r="P10242" s="42"/>
      <c r="R10242" s="23"/>
    </row>
    <row r="10243" spans="1:18" ht="12.75">
      <c r="A10243" s="12"/>
      <c r="D10243" s="12"/>
      <c r="E10243" s="12"/>
      <c r="H10243" s="11" t="str">
        <f ca="1">IFERROR(__xludf.DUMMYFUNCTION("IFERROR(SUBSTITUTE(SUBSTITUTE(REGEXEXTRACT(A10243, ""[^-]+- [^-]+- [^-]+ - (.+?)\.jpg""), "".jpg"", """"), ""-"", "", ""), """")"),"")</f>
        <v/>
      </c>
      <c r="L10243" s="12"/>
      <c r="M10243" s="13"/>
      <c r="N10243" s="2"/>
      <c r="O10243" s="20"/>
      <c r="P10243" s="42"/>
      <c r="R10243" s="23"/>
    </row>
    <row r="10244" spans="1:18" ht="12.75">
      <c r="A10244" s="12"/>
      <c r="D10244" s="12"/>
      <c r="E10244" s="12"/>
      <c r="H10244" s="11" t="str">
        <f ca="1">IFERROR(__xludf.DUMMYFUNCTION("IFERROR(SUBSTITUTE(SUBSTITUTE(REGEXEXTRACT(A10244, ""[^-]+- [^-]+- [^-]+ - (.+?)\.jpg""), "".jpg"", """"), ""-"", "", ""), """")"),"")</f>
        <v/>
      </c>
      <c r="L10244" s="12"/>
      <c r="M10244" s="13"/>
      <c r="N10244" s="2"/>
      <c r="O10244" s="20"/>
      <c r="P10244" s="42"/>
      <c r="R10244" s="23"/>
    </row>
    <row r="10245" spans="1:18" ht="12.75">
      <c r="A10245" s="12"/>
      <c r="D10245" s="12"/>
      <c r="E10245" s="12"/>
      <c r="H10245" s="11" t="str">
        <f ca="1">IFERROR(__xludf.DUMMYFUNCTION("IFERROR(SUBSTITUTE(SUBSTITUTE(REGEXEXTRACT(A10245, ""[^-]+- [^-]+- [^-]+ - (.+?)\.jpg""), "".jpg"", """"), ""-"", "", ""), """")"),"")</f>
        <v/>
      </c>
      <c r="L10245" s="12"/>
      <c r="M10245" s="13"/>
      <c r="N10245" s="2"/>
      <c r="O10245" s="20"/>
      <c r="P10245" s="42"/>
      <c r="R10245" s="23"/>
    </row>
    <row r="10246" spans="1:18" ht="12.75">
      <c r="A10246" s="12"/>
      <c r="D10246" s="12"/>
      <c r="E10246" s="12"/>
      <c r="H10246" s="11" t="str">
        <f ca="1">IFERROR(__xludf.DUMMYFUNCTION("IFERROR(SUBSTITUTE(SUBSTITUTE(REGEXEXTRACT(A10246, ""[^-]+- [^-]+- [^-]+ - (.+?)\.jpg""), "".jpg"", """"), ""-"", "", ""), """")"),"")</f>
        <v/>
      </c>
      <c r="L10246" s="12"/>
      <c r="M10246" s="13"/>
      <c r="N10246" s="2"/>
      <c r="O10246" s="20"/>
      <c r="P10246" s="42"/>
      <c r="R10246" s="23"/>
    </row>
    <row r="10247" spans="1:18" ht="12.75">
      <c r="A10247" s="12"/>
      <c r="D10247" s="12"/>
      <c r="E10247" s="12"/>
      <c r="H10247" s="11" t="str">
        <f ca="1">IFERROR(__xludf.DUMMYFUNCTION("IFERROR(SUBSTITUTE(SUBSTITUTE(REGEXEXTRACT(A10247, ""[^-]+- [^-]+- [^-]+ - (.+?)\.jpg""), "".jpg"", """"), ""-"", "", ""), """")"),"")</f>
        <v/>
      </c>
      <c r="L10247" s="12"/>
      <c r="M10247" s="13"/>
      <c r="N10247" s="2"/>
      <c r="O10247" s="20"/>
      <c r="P10247" s="42"/>
      <c r="R10247" s="23"/>
    </row>
    <row r="10248" spans="1:18" ht="12.75">
      <c r="A10248" s="12"/>
      <c r="D10248" s="12"/>
      <c r="E10248" s="12"/>
      <c r="H10248" s="11" t="str">
        <f ca="1">IFERROR(__xludf.DUMMYFUNCTION("IFERROR(SUBSTITUTE(SUBSTITUTE(REGEXEXTRACT(A10248, ""[^-]+- [^-]+- [^-]+ - (.+?)\.jpg""), "".jpg"", """"), ""-"", "", ""), """")"),"")</f>
        <v/>
      </c>
      <c r="L10248" s="12"/>
      <c r="M10248" s="13"/>
      <c r="N10248" s="2"/>
      <c r="O10248" s="20"/>
      <c r="P10248" s="42"/>
      <c r="R10248" s="23"/>
    </row>
    <row r="10249" spans="1:18" ht="12.75">
      <c r="A10249" s="12"/>
      <c r="D10249" s="12"/>
      <c r="E10249" s="12"/>
      <c r="H10249" s="11" t="str">
        <f ca="1">IFERROR(__xludf.DUMMYFUNCTION("IFERROR(SUBSTITUTE(SUBSTITUTE(REGEXEXTRACT(A10249, ""[^-]+- [^-]+- [^-]+ - (.+?)\.jpg""), "".jpg"", """"), ""-"", "", ""), """")"),"")</f>
        <v/>
      </c>
      <c r="L10249" s="12"/>
      <c r="M10249" s="13"/>
      <c r="N10249" s="2"/>
      <c r="O10249" s="20"/>
      <c r="P10249" s="42"/>
      <c r="R10249" s="23"/>
    </row>
    <row r="10250" spans="1:18" ht="12.75">
      <c r="A10250" s="12"/>
      <c r="D10250" s="12"/>
      <c r="E10250" s="12"/>
      <c r="H10250" s="11" t="str">
        <f ca="1">IFERROR(__xludf.DUMMYFUNCTION("IFERROR(SUBSTITUTE(SUBSTITUTE(REGEXEXTRACT(A10250, ""[^-]+- [^-]+- [^-]+ - (.+?)\.jpg""), "".jpg"", """"), ""-"", "", ""), """")"),"")</f>
        <v/>
      </c>
      <c r="L10250" s="12"/>
      <c r="M10250" s="13"/>
      <c r="N10250" s="2"/>
      <c r="O10250" s="20"/>
      <c r="P10250" s="42"/>
      <c r="R10250" s="23"/>
    </row>
    <row r="10251" spans="1:18" ht="12.75">
      <c r="A10251" s="12"/>
      <c r="D10251" s="12"/>
      <c r="E10251" s="12"/>
      <c r="H10251" s="11" t="str">
        <f ca="1">IFERROR(__xludf.DUMMYFUNCTION("IFERROR(SUBSTITUTE(SUBSTITUTE(REGEXEXTRACT(A10251, ""[^-]+- [^-]+- [^-]+ - (.+?)\.jpg""), "".jpg"", """"), ""-"", "", ""), """")"),"")</f>
        <v/>
      </c>
      <c r="L10251" s="12"/>
      <c r="M10251" s="13"/>
      <c r="N10251" s="2"/>
      <c r="O10251" s="20"/>
      <c r="P10251" s="42"/>
      <c r="R10251" s="23"/>
    </row>
    <row r="10252" spans="1:18" ht="12.75">
      <c r="A10252" s="12"/>
      <c r="D10252" s="12"/>
      <c r="E10252" s="12"/>
      <c r="H10252" s="11" t="str">
        <f ca="1">IFERROR(__xludf.DUMMYFUNCTION("IFERROR(SUBSTITUTE(SUBSTITUTE(REGEXEXTRACT(A10252, ""[^-]+- [^-]+- [^-]+ - (.+?)\.jpg""), "".jpg"", """"), ""-"", "", ""), """")"),"")</f>
        <v/>
      </c>
      <c r="L10252" s="12"/>
      <c r="M10252" s="13"/>
      <c r="N10252" s="2"/>
      <c r="O10252" s="20"/>
      <c r="P10252" s="42"/>
      <c r="R10252" s="23"/>
    </row>
    <row r="10253" spans="1:18" ht="12.75">
      <c r="A10253" s="12"/>
      <c r="D10253" s="12"/>
      <c r="E10253" s="12"/>
      <c r="H10253" s="11" t="str">
        <f ca="1">IFERROR(__xludf.DUMMYFUNCTION("IFERROR(SUBSTITUTE(SUBSTITUTE(REGEXEXTRACT(A10253, ""[^-]+- [^-]+- [^-]+ - (.+?)\.jpg""), "".jpg"", """"), ""-"", "", ""), """")"),"")</f>
        <v/>
      </c>
      <c r="L10253" s="12"/>
      <c r="M10253" s="13"/>
      <c r="N10253" s="2"/>
      <c r="O10253" s="20"/>
      <c r="P10253" s="42"/>
      <c r="R10253" s="23"/>
    </row>
    <row r="10254" spans="1:18" ht="12.75">
      <c r="A10254" s="12"/>
      <c r="D10254" s="12"/>
      <c r="E10254" s="12"/>
      <c r="H10254" s="11" t="str">
        <f ca="1">IFERROR(__xludf.DUMMYFUNCTION("IFERROR(SUBSTITUTE(SUBSTITUTE(REGEXEXTRACT(A10254, ""[^-]+- [^-]+- [^-]+ - (.+?)\.jpg""), "".jpg"", """"), ""-"", "", ""), """")"),"")</f>
        <v/>
      </c>
      <c r="L10254" s="12"/>
      <c r="M10254" s="13"/>
      <c r="N10254" s="2"/>
      <c r="O10254" s="20"/>
      <c r="P10254" s="42"/>
      <c r="R10254" s="23"/>
    </row>
    <row r="10255" spans="1:18" ht="12.75">
      <c r="A10255" s="12"/>
      <c r="D10255" s="12"/>
      <c r="E10255" s="12"/>
      <c r="H10255" s="11" t="str">
        <f ca="1">IFERROR(__xludf.DUMMYFUNCTION("IFERROR(SUBSTITUTE(SUBSTITUTE(REGEXEXTRACT(A10255, ""[^-]+- [^-]+- [^-]+ - (.+?)\.jpg""), "".jpg"", """"), ""-"", "", ""), """")"),"")</f>
        <v/>
      </c>
      <c r="L10255" s="12"/>
      <c r="M10255" s="13"/>
      <c r="N10255" s="2"/>
      <c r="O10255" s="20"/>
      <c r="P10255" s="42"/>
      <c r="R10255" s="23"/>
    </row>
    <row r="10256" spans="1:18" ht="12.75">
      <c r="A10256" s="12"/>
      <c r="D10256" s="12"/>
      <c r="E10256" s="12"/>
      <c r="H10256" s="11" t="str">
        <f ca="1">IFERROR(__xludf.DUMMYFUNCTION("IFERROR(SUBSTITUTE(SUBSTITUTE(REGEXEXTRACT(A10256, ""[^-]+- [^-]+- [^-]+ - (.+?)\.jpg""), "".jpg"", """"), ""-"", "", ""), """")"),"")</f>
        <v/>
      </c>
      <c r="L10256" s="12"/>
      <c r="M10256" s="13"/>
      <c r="N10256" s="2"/>
      <c r="O10256" s="20"/>
      <c r="P10256" s="42"/>
      <c r="R10256" s="23"/>
    </row>
    <row r="10257" spans="1:18" ht="12.75">
      <c r="A10257" s="12"/>
      <c r="D10257" s="12"/>
      <c r="E10257" s="12"/>
      <c r="H10257" s="11" t="str">
        <f ca="1">IFERROR(__xludf.DUMMYFUNCTION("IFERROR(SUBSTITUTE(SUBSTITUTE(REGEXEXTRACT(A10257, ""[^-]+- [^-]+- [^-]+ - (.+?)\.jpg""), "".jpg"", """"), ""-"", "", ""), """")"),"")</f>
        <v/>
      </c>
      <c r="L10257" s="12"/>
      <c r="M10257" s="13"/>
      <c r="N10257" s="2"/>
      <c r="O10257" s="20"/>
      <c r="P10257" s="42"/>
      <c r="R10257" s="23"/>
    </row>
    <row r="10258" spans="1:18" ht="12.75">
      <c r="A10258" s="12"/>
      <c r="D10258" s="12"/>
      <c r="E10258" s="12"/>
      <c r="H10258" s="11" t="str">
        <f ca="1">IFERROR(__xludf.DUMMYFUNCTION("IFERROR(SUBSTITUTE(SUBSTITUTE(REGEXEXTRACT(A10258, ""[^-]+- [^-]+- [^-]+ - (.+?)\.jpg""), "".jpg"", """"), ""-"", "", ""), """")"),"")</f>
        <v/>
      </c>
      <c r="L10258" s="12"/>
      <c r="M10258" s="13"/>
      <c r="N10258" s="2"/>
      <c r="O10258" s="20"/>
      <c r="P10258" s="42"/>
      <c r="R10258" s="23"/>
    </row>
    <row r="10259" spans="1:18" ht="12.75">
      <c r="A10259" s="12"/>
      <c r="D10259" s="12"/>
      <c r="E10259" s="12"/>
      <c r="H10259" s="11" t="str">
        <f ca="1">IFERROR(__xludf.DUMMYFUNCTION("IFERROR(SUBSTITUTE(SUBSTITUTE(REGEXEXTRACT(A10259, ""[^-]+- [^-]+- [^-]+ - (.+?)\.jpg""), "".jpg"", """"), ""-"", "", ""), """")"),"")</f>
        <v/>
      </c>
      <c r="L10259" s="12"/>
      <c r="M10259" s="13"/>
      <c r="N10259" s="2"/>
      <c r="O10259" s="20"/>
      <c r="P10259" s="42"/>
      <c r="R10259" s="23"/>
    </row>
    <row r="10260" spans="1:18" ht="12.75">
      <c r="A10260" s="12"/>
      <c r="D10260" s="12"/>
      <c r="E10260" s="12"/>
      <c r="H10260" s="11" t="str">
        <f ca="1">IFERROR(__xludf.DUMMYFUNCTION("IFERROR(SUBSTITUTE(SUBSTITUTE(REGEXEXTRACT(A10260, ""[^-]+- [^-]+- [^-]+ - (.+?)\.jpg""), "".jpg"", """"), ""-"", "", ""), """")"),"")</f>
        <v/>
      </c>
      <c r="L10260" s="12"/>
      <c r="M10260" s="13"/>
      <c r="N10260" s="2"/>
      <c r="O10260" s="20"/>
      <c r="P10260" s="42"/>
      <c r="R10260" s="23"/>
    </row>
    <row r="10261" spans="1:18" ht="12.75">
      <c r="A10261" s="12"/>
      <c r="D10261" s="12"/>
      <c r="E10261" s="12"/>
      <c r="H10261" s="11" t="str">
        <f ca="1">IFERROR(__xludf.DUMMYFUNCTION("IFERROR(SUBSTITUTE(SUBSTITUTE(REGEXEXTRACT(A10261, ""[^-]+- [^-]+- [^-]+ - (.+?)\.jpg""), "".jpg"", """"), ""-"", "", ""), """")"),"")</f>
        <v/>
      </c>
      <c r="L10261" s="12"/>
      <c r="M10261" s="13"/>
      <c r="N10261" s="2"/>
      <c r="O10261" s="20"/>
      <c r="P10261" s="42"/>
      <c r="R10261" s="23"/>
    </row>
    <row r="10262" spans="1:18" ht="12.75">
      <c r="A10262" s="12"/>
      <c r="D10262" s="12"/>
      <c r="E10262" s="12"/>
      <c r="H10262" s="11" t="str">
        <f ca="1">IFERROR(__xludf.DUMMYFUNCTION("IFERROR(SUBSTITUTE(SUBSTITUTE(REGEXEXTRACT(A10262, ""[^-]+- [^-]+- [^-]+ - (.+?)\.jpg""), "".jpg"", """"), ""-"", "", ""), """")"),"")</f>
        <v/>
      </c>
      <c r="L10262" s="12"/>
      <c r="M10262" s="13"/>
      <c r="N10262" s="2"/>
      <c r="O10262" s="20"/>
      <c r="P10262" s="42"/>
      <c r="R10262" s="23"/>
    </row>
    <row r="10263" spans="1:18" ht="12.75">
      <c r="A10263" s="12"/>
      <c r="D10263" s="12"/>
      <c r="E10263" s="12"/>
      <c r="H10263" s="11" t="str">
        <f ca="1">IFERROR(__xludf.DUMMYFUNCTION("IFERROR(SUBSTITUTE(SUBSTITUTE(REGEXEXTRACT(A10263, ""[^-]+- [^-]+- [^-]+ - (.+?)\.jpg""), "".jpg"", """"), ""-"", "", ""), """")"),"")</f>
        <v/>
      </c>
      <c r="L10263" s="12"/>
      <c r="M10263" s="13"/>
      <c r="N10263" s="2"/>
      <c r="O10263" s="20"/>
      <c r="P10263" s="42"/>
      <c r="R10263" s="23"/>
    </row>
    <row r="10264" spans="1:18" ht="12.75">
      <c r="A10264" s="12"/>
      <c r="D10264" s="12"/>
      <c r="E10264" s="12"/>
      <c r="H10264" s="11" t="str">
        <f ca="1">IFERROR(__xludf.DUMMYFUNCTION("IFERROR(SUBSTITUTE(SUBSTITUTE(REGEXEXTRACT(A10264, ""[^-]+- [^-]+- [^-]+ - (.+?)\.jpg""), "".jpg"", """"), ""-"", "", ""), """")"),"")</f>
        <v/>
      </c>
      <c r="L10264" s="12"/>
      <c r="M10264" s="13"/>
      <c r="N10264" s="2"/>
      <c r="O10264" s="20"/>
      <c r="P10264" s="42"/>
      <c r="R10264" s="23"/>
    </row>
    <row r="10265" spans="1:18" ht="12.75">
      <c r="A10265" s="12"/>
      <c r="D10265" s="12"/>
      <c r="E10265" s="12"/>
      <c r="H10265" s="11" t="str">
        <f ca="1">IFERROR(__xludf.DUMMYFUNCTION("IFERROR(SUBSTITUTE(SUBSTITUTE(REGEXEXTRACT(A10265, ""[^-]+- [^-]+- [^-]+ - (.+?)\.jpg""), "".jpg"", """"), ""-"", "", ""), """")"),"")</f>
        <v/>
      </c>
      <c r="L10265" s="12"/>
      <c r="M10265" s="13"/>
      <c r="N10265" s="2"/>
      <c r="O10265" s="20"/>
      <c r="P10265" s="42"/>
      <c r="R10265" s="23"/>
    </row>
    <row r="10266" spans="1:18" ht="12.75">
      <c r="A10266" s="12"/>
      <c r="D10266" s="12"/>
      <c r="E10266" s="12"/>
      <c r="H10266" s="11" t="str">
        <f ca="1">IFERROR(__xludf.DUMMYFUNCTION("IFERROR(SUBSTITUTE(SUBSTITUTE(REGEXEXTRACT(A10266, ""[^-]+- [^-]+- [^-]+ - (.+?)\.jpg""), "".jpg"", """"), ""-"", "", ""), """")"),"")</f>
        <v/>
      </c>
      <c r="L10266" s="12"/>
      <c r="M10266" s="13"/>
      <c r="N10266" s="2"/>
      <c r="O10266" s="20"/>
      <c r="P10266" s="42"/>
      <c r="R10266" s="23"/>
    </row>
    <row r="10267" spans="1:18" ht="12.75">
      <c r="A10267" s="12"/>
      <c r="D10267" s="12"/>
      <c r="E10267" s="12"/>
      <c r="H10267" s="11" t="str">
        <f ca="1">IFERROR(__xludf.DUMMYFUNCTION("IFERROR(SUBSTITUTE(SUBSTITUTE(REGEXEXTRACT(A10267, ""[^-]+- [^-]+- [^-]+ - (.+?)\.jpg""), "".jpg"", """"), ""-"", "", ""), """")"),"")</f>
        <v/>
      </c>
      <c r="L10267" s="12"/>
      <c r="M10267" s="13"/>
      <c r="N10267" s="2"/>
      <c r="O10267" s="20"/>
      <c r="P10267" s="42"/>
      <c r="R10267" s="23"/>
    </row>
    <row r="10268" spans="1:18" ht="12.75">
      <c r="A10268" s="12"/>
      <c r="D10268" s="12"/>
      <c r="E10268" s="12"/>
      <c r="H10268" s="11" t="str">
        <f ca="1">IFERROR(__xludf.DUMMYFUNCTION("IFERROR(SUBSTITUTE(SUBSTITUTE(REGEXEXTRACT(A10268, ""[^-]+- [^-]+- [^-]+ - (.+?)\.jpg""), "".jpg"", """"), ""-"", "", ""), """")"),"")</f>
        <v/>
      </c>
      <c r="L10268" s="12"/>
      <c r="M10268" s="13"/>
      <c r="N10268" s="2"/>
      <c r="O10268" s="20"/>
      <c r="P10268" s="42"/>
      <c r="R10268" s="23"/>
    </row>
    <row r="10269" spans="1:18" ht="12.75">
      <c r="A10269" s="12"/>
      <c r="D10269" s="12"/>
      <c r="E10269" s="12"/>
      <c r="H10269" s="11" t="str">
        <f ca="1">IFERROR(__xludf.DUMMYFUNCTION("IFERROR(SUBSTITUTE(SUBSTITUTE(REGEXEXTRACT(A10269, ""[^-]+- [^-]+- [^-]+ - (.+?)\.jpg""), "".jpg"", """"), ""-"", "", ""), """")"),"")</f>
        <v/>
      </c>
      <c r="L10269" s="12"/>
      <c r="M10269" s="13"/>
      <c r="N10269" s="2"/>
      <c r="O10269" s="20"/>
      <c r="P10269" s="42"/>
      <c r="R10269" s="23"/>
    </row>
    <row r="10270" spans="1:18" ht="12.75">
      <c r="A10270" s="12"/>
      <c r="D10270" s="12"/>
      <c r="E10270" s="12"/>
      <c r="H10270" s="11" t="str">
        <f ca="1">IFERROR(__xludf.DUMMYFUNCTION("IFERROR(SUBSTITUTE(SUBSTITUTE(REGEXEXTRACT(A10270, ""[^-]+- [^-]+- [^-]+ - (.+?)\.jpg""), "".jpg"", """"), ""-"", "", ""), """")"),"")</f>
        <v/>
      </c>
      <c r="L10270" s="12"/>
      <c r="M10270" s="13"/>
      <c r="N10270" s="2"/>
      <c r="O10270" s="20"/>
      <c r="P10270" s="42"/>
      <c r="R10270" s="23"/>
    </row>
    <row r="10271" spans="1:18" ht="12.75">
      <c r="A10271" s="12"/>
      <c r="D10271" s="12"/>
      <c r="E10271" s="12"/>
      <c r="H10271" s="11" t="str">
        <f ca="1">IFERROR(__xludf.DUMMYFUNCTION("IFERROR(SUBSTITUTE(SUBSTITUTE(REGEXEXTRACT(A10271, ""[^-]+- [^-]+- [^-]+ - (.+?)\.jpg""), "".jpg"", """"), ""-"", "", ""), """")"),"")</f>
        <v/>
      </c>
      <c r="L10271" s="12"/>
      <c r="M10271" s="13"/>
      <c r="N10271" s="2"/>
      <c r="O10271" s="20"/>
      <c r="P10271" s="42"/>
      <c r="R10271" s="23"/>
    </row>
    <row r="10272" spans="1:18" ht="12.75">
      <c r="A10272" s="12"/>
      <c r="D10272" s="12"/>
      <c r="E10272" s="12"/>
      <c r="H10272" s="11" t="str">
        <f ca="1">IFERROR(__xludf.DUMMYFUNCTION("IFERROR(SUBSTITUTE(SUBSTITUTE(REGEXEXTRACT(A10272, ""[^-]+- [^-]+- [^-]+ - (.+?)\.jpg""), "".jpg"", """"), ""-"", "", ""), """")"),"")</f>
        <v/>
      </c>
      <c r="L10272" s="12"/>
      <c r="M10272" s="13"/>
      <c r="N10272" s="2"/>
      <c r="O10272" s="20"/>
      <c r="P10272" s="42"/>
      <c r="R10272" s="23"/>
    </row>
    <row r="10273" spans="1:18" ht="12.75">
      <c r="A10273" s="12"/>
      <c r="D10273" s="12"/>
      <c r="E10273" s="12"/>
      <c r="H10273" s="11" t="str">
        <f ca="1">IFERROR(__xludf.DUMMYFUNCTION("IFERROR(SUBSTITUTE(SUBSTITUTE(REGEXEXTRACT(A10273, ""[^-]+- [^-]+- [^-]+ - (.+?)\.jpg""), "".jpg"", """"), ""-"", "", ""), """")"),"")</f>
        <v/>
      </c>
      <c r="L10273" s="12"/>
      <c r="M10273" s="13"/>
      <c r="N10273" s="2"/>
      <c r="O10273" s="20"/>
      <c r="P10273" s="42"/>
      <c r="R10273" s="23"/>
    </row>
    <row r="10274" spans="1:18" ht="12.75">
      <c r="A10274" s="12"/>
      <c r="D10274" s="12"/>
      <c r="E10274" s="12"/>
      <c r="H10274" s="11" t="str">
        <f ca="1">IFERROR(__xludf.DUMMYFUNCTION("IFERROR(SUBSTITUTE(SUBSTITUTE(REGEXEXTRACT(A10274, ""[^-]+- [^-]+- [^-]+ - (.+?)\.jpg""), "".jpg"", """"), ""-"", "", ""), """")"),"")</f>
        <v/>
      </c>
      <c r="L10274" s="12"/>
      <c r="M10274" s="13"/>
      <c r="N10274" s="2"/>
      <c r="O10274" s="20"/>
      <c r="P10274" s="42"/>
      <c r="R10274" s="23"/>
    </row>
    <row r="10275" spans="1:18" ht="12.75">
      <c r="A10275" s="12"/>
      <c r="D10275" s="12"/>
      <c r="E10275" s="12"/>
      <c r="H10275" s="11" t="str">
        <f ca="1">IFERROR(__xludf.DUMMYFUNCTION("IFERROR(SUBSTITUTE(SUBSTITUTE(REGEXEXTRACT(A10275, ""[^-]+- [^-]+- [^-]+ - (.+?)\.jpg""), "".jpg"", """"), ""-"", "", ""), """")"),"")</f>
        <v/>
      </c>
      <c r="L10275" s="12"/>
      <c r="M10275" s="13"/>
      <c r="N10275" s="2"/>
      <c r="O10275" s="20"/>
      <c r="P10275" s="42"/>
      <c r="R10275" s="23"/>
    </row>
    <row r="10276" spans="1:18" ht="12.75">
      <c r="A10276" s="12"/>
      <c r="D10276" s="12"/>
      <c r="E10276" s="12"/>
      <c r="H10276" s="11" t="str">
        <f ca="1">IFERROR(__xludf.DUMMYFUNCTION("IFERROR(SUBSTITUTE(SUBSTITUTE(REGEXEXTRACT(A10276, ""[^-]+- [^-]+- [^-]+ - (.+?)\.jpg""), "".jpg"", """"), ""-"", "", ""), """")"),"")</f>
        <v/>
      </c>
      <c r="L10276" s="12"/>
      <c r="M10276" s="13"/>
      <c r="N10276" s="2"/>
      <c r="O10276" s="20"/>
      <c r="P10276" s="42"/>
      <c r="R10276" s="23"/>
    </row>
    <row r="10277" spans="1:18" ht="12.75">
      <c r="A10277" s="12"/>
      <c r="D10277" s="12"/>
      <c r="E10277" s="12"/>
      <c r="H10277" s="11" t="str">
        <f ca="1">IFERROR(__xludf.DUMMYFUNCTION("IFERROR(SUBSTITUTE(SUBSTITUTE(REGEXEXTRACT(A10277, ""[^-]+- [^-]+- [^-]+ - (.+?)\.jpg""), "".jpg"", """"), ""-"", "", ""), """")"),"")</f>
        <v/>
      </c>
      <c r="L10277" s="12"/>
      <c r="M10277" s="13"/>
      <c r="N10277" s="2"/>
      <c r="O10277" s="20"/>
      <c r="P10277" s="42"/>
      <c r="R10277" s="23"/>
    </row>
    <row r="10278" spans="1:18" ht="12.75">
      <c r="A10278" s="12"/>
      <c r="D10278" s="12"/>
      <c r="E10278" s="12"/>
      <c r="H10278" s="11" t="str">
        <f ca="1">IFERROR(__xludf.DUMMYFUNCTION("IFERROR(SUBSTITUTE(SUBSTITUTE(REGEXEXTRACT(A10278, ""[^-]+- [^-]+- [^-]+ - (.+?)\.jpg""), "".jpg"", """"), ""-"", "", ""), """")"),"")</f>
        <v/>
      </c>
      <c r="L10278" s="12"/>
      <c r="M10278" s="13"/>
      <c r="N10278" s="2"/>
      <c r="O10278" s="20"/>
      <c r="P10278" s="42"/>
      <c r="R10278" s="23"/>
    </row>
    <row r="10279" spans="1:18" ht="12.75">
      <c r="A10279" s="12"/>
      <c r="D10279" s="12"/>
      <c r="E10279" s="12"/>
      <c r="H10279" s="11" t="str">
        <f ca="1">IFERROR(__xludf.DUMMYFUNCTION("IFERROR(SUBSTITUTE(SUBSTITUTE(REGEXEXTRACT(A10279, ""[^-]+- [^-]+- [^-]+ - (.+?)\.jpg""), "".jpg"", """"), ""-"", "", ""), """")"),"")</f>
        <v/>
      </c>
      <c r="L10279" s="12"/>
      <c r="M10279" s="13"/>
      <c r="N10279" s="2"/>
      <c r="O10279" s="20"/>
      <c r="P10279" s="42"/>
      <c r="R10279" s="23"/>
    </row>
    <row r="10280" spans="1:18" ht="12.75">
      <c r="A10280" s="12"/>
      <c r="D10280" s="12"/>
      <c r="E10280" s="12"/>
      <c r="H10280" s="11" t="str">
        <f ca="1">IFERROR(__xludf.DUMMYFUNCTION("IFERROR(SUBSTITUTE(SUBSTITUTE(REGEXEXTRACT(A10280, ""[^-]+- [^-]+- [^-]+ - (.+?)\.jpg""), "".jpg"", """"), ""-"", "", ""), """")"),"")</f>
        <v/>
      </c>
      <c r="L10280" s="12"/>
      <c r="M10280" s="13"/>
      <c r="N10280" s="2"/>
      <c r="O10280" s="20"/>
      <c r="P10280" s="42"/>
      <c r="R10280" s="23"/>
    </row>
    <row r="10281" spans="1:18" ht="12.75">
      <c r="A10281" s="12"/>
      <c r="D10281" s="12"/>
      <c r="E10281" s="12"/>
      <c r="H10281" s="11" t="str">
        <f ca="1">IFERROR(__xludf.DUMMYFUNCTION("IFERROR(SUBSTITUTE(SUBSTITUTE(REGEXEXTRACT(A10281, ""[^-]+- [^-]+- [^-]+ - (.+?)\.jpg""), "".jpg"", """"), ""-"", "", ""), """")"),"")</f>
        <v/>
      </c>
      <c r="L10281" s="12"/>
      <c r="M10281" s="13"/>
      <c r="N10281" s="2"/>
      <c r="O10281" s="20"/>
      <c r="P10281" s="42"/>
      <c r="R10281" s="23"/>
    </row>
    <row r="10282" spans="1:18" ht="12.75">
      <c r="A10282" s="12"/>
      <c r="D10282" s="12"/>
      <c r="E10282" s="12"/>
      <c r="H10282" s="11" t="str">
        <f ca="1">IFERROR(__xludf.DUMMYFUNCTION("IFERROR(SUBSTITUTE(SUBSTITUTE(REGEXEXTRACT(A10282, ""[^-]+- [^-]+- [^-]+ - (.+?)\.jpg""), "".jpg"", """"), ""-"", "", ""), """")"),"")</f>
        <v/>
      </c>
      <c r="L10282" s="12"/>
      <c r="M10282" s="13"/>
      <c r="N10282" s="2"/>
      <c r="O10282" s="20"/>
      <c r="P10282" s="42"/>
      <c r="R10282" s="23"/>
    </row>
    <row r="10283" spans="1:18" ht="12.75">
      <c r="A10283" s="12"/>
      <c r="D10283" s="12"/>
      <c r="E10283" s="12"/>
      <c r="H10283" s="11" t="str">
        <f ca="1">IFERROR(__xludf.DUMMYFUNCTION("IFERROR(SUBSTITUTE(SUBSTITUTE(REGEXEXTRACT(A10283, ""[^-]+- [^-]+- [^-]+ - (.+?)\.jpg""), "".jpg"", """"), ""-"", "", ""), """")"),"")</f>
        <v/>
      </c>
      <c r="L10283" s="12"/>
      <c r="M10283" s="13"/>
      <c r="N10283" s="2"/>
      <c r="O10283" s="20"/>
      <c r="P10283" s="42"/>
      <c r="R10283" s="23"/>
    </row>
    <row r="10284" spans="1:18" ht="12.75">
      <c r="A10284" s="12"/>
      <c r="D10284" s="12"/>
      <c r="E10284" s="12"/>
      <c r="H10284" s="11" t="str">
        <f ca="1">IFERROR(__xludf.DUMMYFUNCTION("IFERROR(SUBSTITUTE(SUBSTITUTE(REGEXEXTRACT(A10284, ""[^-]+- [^-]+- [^-]+ - (.+?)\.jpg""), "".jpg"", """"), ""-"", "", ""), """")"),"")</f>
        <v/>
      </c>
      <c r="L10284" s="12"/>
      <c r="M10284" s="13"/>
      <c r="N10284" s="2"/>
      <c r="O10284" s="20"/>
      <c r="P10284" s="42"/>
      <c r="R10284" s="23"/>
    </row>
    <row r="10285" spans="1:18" ht="12.75">
      <c r="A10285" s="12"/>
      <c r="D10285" s="12"/>
      <c r="E10285" s="12"/>
      <c r="H10285" s="11" t="str">
        <f ca="1">IFERROR(__xludf.DUMMYFUNCTION("IFERROR(SUBSTITUTE(SUBSTITUTE(REGEXEXTRACT(A10285, ""[^-]+- [^-]+- [^-]+ - (.+?)\.jpg""), "".jpg"", """"), ""-"", "", ""), """")"),"")</f>
        <v/>
      </c>
      <c r="L10285" s="12"/>
      <c r="M10285" s="13"/>
      <c r="N10285" s="2"/>
      <c r="O10285" s="20"/>
      <c r="P10285" s="42"/>
      <c r="R10285" s="23"/>
    </row>
    <row r="10286" spans="1:18" ht="12.75">
      <c r="A10286" s="12"/>
      <c r="D10286" s="12"/>
      <c r="E10286" s="12"/>
      <c r="H10286" s="11" t="str">
        <f ca="1">IFERROR(__xludf.DUMMYFUNCTION("IFERROR(SUBSTITUTE(SUBSTITUTE(REGEXEXTRACT(A10286, ""[^-]+- [^-]+- [^-]+ - (.+?)\.jpg""), "".jpg"", """"), ""-"", "", ""), """")"),"")</f>
        <v/>
      </c>
      <c r="L10286" s="12"/>
      <c r="M10286" s="13"/>
      <c r="N10286" s="2"/>
      <c r="O10286" s="20"/>
      <c r="P10286" s="42"/>
      <c r="R10286" s="23"/>
    </row>
    <row r="10287" spans="1:18" ht="12.75">
      <c r="A10287" s="12"/>
      <c r="D10287" s="12"/>
      <c r="E10287" s="12"/>
      <c r="H10287" s="11" t="str">
        <f ca="1">IFERROR(__xludf.DUMMYFUNCTION("IFERROR(SUBSTITUTE(SUBSTITUTE(REGEXEXTRACT(A10287, ""[^-]+- [^-]+- [^-]+ - (.+?)\.jpg""), "".jpg"", """"), ""-"", "", ""), """")"),"")</f>
        <v/>
      </c>
      <c r="L10287" s="12"/>
      <c r="M10287" s="13"/>
      <c r="N10287" s="2"/>
      <c r="O10287" s="20"/>
      <c r="P10287" s="42"/>
      <c r="R10287" s="23"/>
    </row>
    <row r="10288" spans="1:18" ht="12.75">
      <c r="A10288" s="12"/>
      <c r="D10288" s="12"/>
      <c r="E10288" s="12"/>
      <c r="H10288" s="11" t="str">
        <f ca="1">IFERROR(__xludf.DUMMYFUNCTION("IFERROR(SUBSTITUTE(SUBSTITUTE(REGEXEXTRACT(A10288, ""[^-]+- [^-]+- [^-]+ - (.+?)\.jpg""), "".jpg"", """"), ""-"", "", ""), """")"),"")</f>
        <v/>
      </c>
      <c r="L10288" s="12"/>
      <c r="M10288" s="13"/>
      <c r="N10288" s="2"/>
      <c r="O10288" s="20"/>
      <c r="P10288" s="42"/>
      <c r="R10288" s="23"/>
    </row>
    <row r="10289" spans="1:18" ht="12.75">
      <c r="A10289" s="12"/>
      <c r="D10289" s="12"/>
      <c r="E10289" s="12"/>
      <c r="H10289" s="11" t="str">
        <f ca="1">IFERROR(__xludf.DUMMYFUNCTION("IFERROR(SUBSTITUTE(SUBSTITUTE(REGEXEXTRACT(A10289, ""[^-]+- [^-]+- [^-]+ - (.+?)\.jpg""), "".jpg"", """"), ""-"", "", ""), """")"),"")</f>
        <v/>
      </c>
      <c r="L10289" s="12"/>
      <c r="M10289" s="13"/>
      <c r="N10289" s="2"/>
      <c r="O10289" s="20"/>
      <c r="P10289" s="42"/>
      <c r="R10289" s="23"/>
    </row>
    <row r="10290" spans="1:18" ht="12.75">
      <c r="A10290" s="12"/>
      <c r="D10290" s="12"/>
      <c r="E10290" s="12"/>
      <c r="H10290" s="11" t="str">
        <f ca="1">IFERROR(__xludf.DUMMYFUNCTION("IFERROR(SUBSTITUTE(SUBSTITUTE(REGEXEXTRACT(A10290, ""[^-]+- [^-]+- [^-]+ - (.+?)\.jpg""), "".jpg"", """"), ""-"", "", ""), """")"),"")</f>
        <v/>
      </c>
      <c r="L10290" s="12"/>
      <c r="M10290" s="13"/>
      <c r="N10290" s="2"/>
      <c r="O10290" s="20"/>
      <c r="P10290" s="42"/>
      <c r="R10290" s="23"/>
    </row>
    <row r="10291" spans="1:18" ht="12.75">
      <c r="A10291" s="12"/>
      <c r="D10291" s="12"/>
      <c r="E10291" s="12"/>
      <c r="H10291" s="11" t="str">
        <f ca="1">IFERROR(__xludf.DUMMYFUNCTION("IFERROR(SUBSTITUTE(SUBSTITUTE(REGEXEXTRACT(A10291, ""[^-]+- [^-]+- [^-]+ - (.+?)\.jpg""), "".jpg"", """"), ""-"", "", ""), """")"),"")</f>
        <v/>
      </c>
      <c r="L10291" s="12"/>
      <c r="M10291" s="13"/>
      <c r="N10291" s="2"/>
      <c r="O10291" s="20"/>
      <c r="P10291" s="42"/>
      <c r="R10291" s="23"/>
    </row>
    <row r="10292" spans="1:18" ht="12.75">
      <c r="A10292" s="12"/>
      <c r="D10292" s="12"/>
      <c r="E10292" s="12"/>
      <c r="H10292" s="11" t="str">
        <f ca="1">IFERROR(__xludf.DUMMYFUNCTION("IFERROR(SUBSTITUTE(SUBSTITUTE(REGEXEXTRACT(A10292, ""[^-]+- [^-]+- [^-]+ - (.+?)\.jpg""), "".jpg"", """"), ""-"", "", ""), """")"),"")</f>
        <v/>
      </c>
      <c r="L10292" s="12"/>
      <c r="M10292" s="13"/>
      <c r="N10292" s="2"/>
      <c r="O10292" s="20"/>
      <c r="P10292" s="42"/>
      <c r="R10292" s="23"/>
    </row>
    <row r="10293" spans="1:18" ht="12.75">
      <c r="A10293" s="12"/>
      <c r="D10293" s="12"/>
      <c r="E10293" s="12"/>
      <c r="H10293" s="11" t="str">
        <f ca="1">IFERROR(__xludf.DUMMYFUNCTION("IFERROR(SUBSTITUTE(SUBSTITUTE(REGEXEXTRACT(A10293, ""[^-]+- [^-]+- [^-]+ - (.+?)\.jpg""), "".jpg"", """"), ""-"", "", ""), """")"),"")</f>
        <v/>
      </c>
      <c r="L10293" s="12"/>
      <c r="M10293" s="13"/>
      <c r="N10293" s="2"/>
      <c r="O10293" s="20"/>
      <c r="P10293" s="42"/>
      <c r="R10293" s="23"/>
    </row>
    <row r="10294" spans="1:18" ht="12.75">
      <c r="A10294" s="12"/>
      <c r="D10294" s="12"/>
      <c r="E10294" s="12"/>
      <c r="H10294" s="11" t="str">
        <f ca="1">IFERROR(__xludf.DUMMYFUNCTION("IFERROR(SUBSTITUTE(SUBSTITUTE(REGEXEXTRACT(A10294, ""[^-]+- [^-]+- [^-]+ - (.+?)\.jpg""), "".jpg"", """"), ""-"", "", ""), """")"),"")</f>
        <v/>
      </c>
      <c r="L10294" s="12"/>
      <c r="M10294" s="13"/>
      <c r="N10294" s="2"/>
      <c r="O10294" s="20"/>
      <c r="P10294" s="42"/>
      <c r="R10294" s="23"/>
    </row>
    <row r="10295" spans="1:18" ht="12.75">
      <c r="A10295" s="12"/>
      <c r="D10295" s="12"/>
      <c r="E10295" s="12"/>
      <c r="H10295" s="11" t="str">
        <f ca="1">IFERROR(__xludf.DUMMYFUNCTION("IFERROR(SUBSTITUTE(SUBSTITUTE(REGEXEXTRACT(A10295, ""[^-]+- [^-]+- [^-]+ - (.+?)\.jpg""), "".jpg"", """"), ""-"", "", ""), """")"),"")</f>
        <v/>
      </c>
      <c r="L10295" s="12"/>
      <c r="M10295" s="13"/>
      <c r="N10295" s="2"/>
      <c r="O10295" s="20"/>
      <c r="P10295" s="42"/>
      <c r="R10295" s="23"/>
    </row>
    <row r="10296" spans="1:18" ht="12.75">
      <c r="A10296" s="12"/>
      <c r="D10296" s="12"/>
      <c r="E10296" s="12"/>
      <c r="H10296" s="11" t="str">
        <f ca="1">IFERROR(__xludf.DUMMYFUNCTION("IFERROR(SUBSTITUTE(SUBSTITUTE(REGEXEXTRACT(A10296, ""[^-]+- [^-]+- [^-]+ - (.+?)\.jpg""), "".jpg"", """"), ""-"", "", ""), """")"),"")</f>
        <v/>
      </c>
      <c r="L10296" s="12"/>
      <c r="M10296" s="13"/>
      <c r="N10296" s="2"/>
      <c r="O10296" s="20"/>
      <c r="P10296" s="42"/>
      <c r="R10296" s="23"/>
    </row>
    <row r="10297" spans="1:18" ht="12.75">
      <c r="A10297" s="12"/>
      <c r="D10297" s="12"/>
      <c r="E10297" s="12"/>
      <c r="H10297" s="11" t="str">
        <f ca="1">IFERROR(__xludf.DUMMYFUNCTION("IFERROR(SUBSTITUTE(SUBSTITUTE(REGEXEXTRACT(A10297, ""[^-]+- [^-]+- [^-]+ - (.+?)\.jpg""), "".jpg"", """"), ""-"", "", ""), """")"),"")</f>
        <v/>
      </c>
      <c r="L10297" s="12"/>
      <c r="M10297" s="13"/>
      <c r="N10297" s="2"/>
      <c r="O10297" s="20"/>
      <c r="P10297" s="42"/>
      <c r="R10297" s="23"/>
    </row>
    <row r="10298" spans="1:18" ht="12.75">
      <c r="A10298" s="12"/>
      <c r="D10298" s="12"/>
      <c r="E10298" s="12"/>
      <c r="H10298" s="11" t="str">
        <f ca="1">IFERROR(__xludf.DUMMYFUNCTION("IFERROR(SUBSTITUTE(SUBSTITUTE(REGEXEXTRACT(A10298, ""[^-]+- [^-]+- [^-]+ - (.+?)\.jpg""), "".jpg"", """"), ""-"", "", ""), """")"),"")</f>
        <v/>
      </c>
      <c r="L10298" s="12"/>
      <c r="M10298" s="13"/>
      <c r="N10298" s="2"/>
      <c r="O10298" s="20"/>
      <c r="P10298" s="42"/>
      <c r="R10298" s="23"/>
    </row>
    <row r="10299" spans="1:18" ht="12.75">
      <c r="A10299" s="12"/>
      <c r="D10299" s="12"/>
      <c r="E10299" s="12"/>
      <c r="H10299" s="11" t="str">
        <f ca="1">IFERROR(__xludf.DUMMYFUNCTION("IFERROR(SUBSTITUTE(SUBSTITUTE(REGEXEXTRACT(A10299, ""[^-]+- [^-]+- [^-]+ - (.+?)\.jpg""), "".jpg"", """"), ""-"", "", ""), """")"),"")</f>
        <v/>
      </c>
      <c r="L10299" s="12"/>
      <c r="M10299" s="13"/>
      <c r="N10299" s="2"/>
      <c r="O10299" s="20"/>
      <c r="P10299" s="42"/>
      <c r="R10299" s="23"/>
    </row>
    <row r="10300" spans="1:18" ht="12.75">
      <c r="A10300" s="12"/>
      <c r="D10300" s="12"/>
      <c r="E10300" s="12"/>
      <c r="H10300" s="11" t="str">
        <f ca="1">IFERROR(__xludf.DUMMYFUNCTION("IFERROR(SUBSTITUTE(SUBSTITUTE(REGEXEXTRACT(A10300, ""[^-]+- [^-]+- [^-]+ - (.+?)\.jpg""), "".jpg"", """"), ""-"", "", ""), """")"),"")</f>
        <v/>
      </c>
      <c r="L10300" s="12"/>
      <c r="M10300" s="13"/>
      <c r="N10300" s="2"/>
      <c r="O10300" s="20"/>
      <c r="P10300" s="42"/>
      <c r="R10300" s="23"/>
    </row>
    <row r="10301" spans="1:18" ht="12.75">
      <c r="A10301" s="12"/>
      <c r="D10301" s="12"/>
      <c r="E10301" s="12"/>
      <c r="H10301" s="11" t="str">
        <f ca="1">IFERROR(__xludf.DUMMYFUNCTION("IFERROR(SUBSTITUTE(SUBSTITUTE(REGEXEXTRACT(A10301, ""[^-]+- [^-]+- [^-]+ - (.+?)\.jpg""), "".jpg"", """"), ""-"", "", ""), """")"),"")</f>
        <v/>
      </c>
      <c r="L10301" s="12"/>
      <c r="M10301" s="13"/>
      <c r="N10301" s="2"/>
      <c r="O10301" s="20"/>
      <c r="P10301" s="42"/>
      <c r="R10301" s="23"/>
    </row>
    <row r="10302" spans="1:18" ht="12.75">
      <c r="A10302" s="12"/>
      <c r="D10302" s="12"/>
      <c r="E10302" s="12"/>
      <c r="H10302" s="11" t="str">
        <f ca="1">IFERROR(__xludf.DUMMYFUNCTION("IFERROR(SUBSTITUTE(SUBSTITUTE(REGEXEXTRACT(A10302, ""[^-]+- [^-]+- [^-]+ - (.+?)\.jpg""), "".jpg"", """"), ""-"", "", ""), """")"),"")</f>
        <v/>
      </c>
      <c r="L10302" s="12"/>
      <c r="M10302" s="13"/>
      <c r="N10302" s="2"/>
      <c r="O10302" s="20"/>
      <c r="P10302" s="42"/>
      <c r="R10302" s="23"/>
    </row>
    <row r="10303" spans="1:18" ht="12.75">
      <c r="A10303" s="12"/>
      <c r="D10303" s="12"/>
      <c r="E10303" s="12"/>
      <c r="H10303" s="11" t="str">
        <f ca="1">IFERROR(__xludf.DUMMYFUNCTION("IFERROR(SUBSTITUTE(SUBSTITUTE(REGEXEXTRACT(A10303, ""[^-]+- [^-]+- [^-]+ - (.+?)\.jpg""), "".jpg"", """"), ""-"", "", ""), """")"),"")</f>
        <v/>
      </c>
      <c r="L10303" s="12"/>
      <c r="M10303" s="13"/>
      <c r="N10303" s="2"/>
      <c r="O10303" s="20"/>
      <c r="P10303" s="42"/>
      <c r="R10303" s="23"/>
    </row>
    <row r="10304" spans="1:18" ht="12.75">
      <c r="A10304" s="12"/>
      <c r="D10304" s="12"/>
      <c r="E10304" s="12"/>
      <c r="H10304" s="11" t="str">
        <f ca="1">IFERROR(__xludf.DUMMYFUNCTION("IFERROR(SUBSTITUTE(SUBSTITUTE(REGEXEXTRACT(A10304, ""[^-]+- [^-]+- [^-]+ - (.+?)\.jpg""), "".jpg"", """"), ""-"", "", ""), """")"),"")</f>
        <v/>
      </c>
      <c r="L10304" s="12"/>
      <c r="M10304" s="13"/>
      <c r="N10304" s="2"/>
      <c r="O10304" s="20"/>
      <c r="P10304" s="42"/>
      <c r="R10304" s="23"/>
    </row>
    <row r="10305" spans="1:18" ht="12.75">
      <c r="A10305" s="12"/>
      <c r="D10305" s="12"/>
      <c r="E10305" s="12"/>
      <c r="H10305" s="11" t="str">
        <f ca="1">IFERROR(__xludf.DUMMYFUNCTION("IFERROR(SUBSTITUTE(SUBSTITUTE(REGEXEXTRACT(A10305, ""[^-]+- [^-]+- [^-]+ - (.+?)\.jpg""), "".jpg"", """"), ""-"", "", ""), """")"),"")</f>
        <v/>
      </c>
      <c r="L10305" s="12"/>
      <c r="M10305" s="13"/>
      <c r="N10305" s="2"/>
      <c r="O10305" s="20"/>
      <c r="P10305" s="42"/>
      <c r="R10305" s="23"/>
    </row>
    <row r="10306" spans="1:18" ht="12.75">
      <c r="A10306" s="12"/>
      <c r="D10306" s="12"/>
      <c r="E10306" s="12"/>
      <c r="H10306" s="11" t="str">
        <f ca="1">IFERROR(__xludf.DUMMYFUNCTION("IFERROR(SUBSTITUTE(SUBSTITUTE(REGEXEXTRACT(A10306, ""[^-]+- [^-]+- [^-]+ - (.+?)\.jpg""), "".jpg"", """"), ""-"", "", ""), """")"),"")</f>
        <v/>
      </c>
      <c r="L10306" s="12"/>
      <c r="M10306" s="13"/>
      <c r="N10306" s="2"/>
      <c r="O10306" s="20"/>
      <c r="P10306" s="42"/>
      <c r="R10306" s="23"/>
    </row>
    <row r="10307" spans="1:18" ht="12.75">
      <c r="A10307" s="12"/>
      <c r="D10307" s="12"/>
      <c r="E10307" s="12"/>
      <c r="H10307" s="11" t="str">
        <f ca="1">IFERROR(__xludf.DUMMYFUNCTION("IFERROR(SUBSTITUTE(SUBSTITUTE(REGEXEXTRACT(A10307, ""[^-]+- [^-]+- [^-]+ - (.+?)\.jpg""), "".jpg"", """"), ""-"", "", ""), """")"),"")</f>
        <v/>
      </c>
      <c r="L10307" s="12"/>
      <c r="M10307" s="13"/>
      <c r="N10307" s="2"/>
      <c r="O10307" s="20"/>
      <c r="P10307" s="42"/>
      <c r="R10307" s="23"/>
    </row>
    <row r="10308" spans="1:18" ht="12.75">
      <c r="A10308" s="12"/>
      <c r="D10308" s="12"/>
      <c r="E10308" s="12"/>
      <c r="H10308" s="11" t="str">
        <f ca="1">IFERROR(__xludf.DUMMYFUNCTION("IFERROR(SUBSTITUTE(SUBSTITUTE(REGEXEXTRACT(A10308, ""[^-]+- [^-]+- [^-]+ - (.+?)\.jpg""), "".jpg"", """"), ""-"", "", ""), """")"),"")</f>
        <v/>
      </c>
      <c r="L10308" s="12"/>
      <c r="M10308" s="13"/>
      <c r="N10308" s="2"/>
      <c r="O10308" s="20"/>
      <c r="P10308" s="42"/>
      <c r="R10308" s="23"/>
    </row>
    <row r="10309" spans="1:18" ht="12.75">
      <c r="A10309" s="12"/>
      <c r="D10309" s="12"/>
      <c r="E10309" s="12"/>
      <c r="H10309" s="11" t="str">
        <f ca="1">IFERROR(__xludf.DUMMYFUNCTION("IFERROR(SUBSTITUTE(SUBSTITUTE(REGEXEXTRACT(A10309, ""[^-]+- [^-]+- [^-]+ - (.+?)\.jpg""), "".jpg"", """"), ""-"", "", ""), """")"),"")</f>
        <v/>
      </c>
      <c r="L10309" s="12"/>
      <c r="M10309" s="13"/>
      <c r="N10309" s="2"/>
      <c r="O10309" s="20"/>
      <c r="P10309" s="42"/>
      <c r="R10309" s="23"/>
    </row>
    <row r="10310" spans="1:18" ht="12.75">
      <c r="A10310" s="12"/>
      <c r="D10310" s="12"/>
      <c r="E10310" s="12"/>
      <c r="H10310" s="11" t="str">
        <f ca="1">IFERROR(__xludf.DUMMYFUNCTION("IFERROR(SUBSTITUTE(SUBSTITUTE(REGEXEXTRACT(A10310, ""[^-]+- [^-]+- [^-]+ - (.+?)\.jpg""), "".jpg"", """"), ""-"", "", ""), """")"),"")</f>
        <v/>
      </c>
      <c r="L10310" s="12"/>
      <c r="M10310" s="13"/>
      <c r="N10310" s="2"/>
      <c r="O10310" s="20"/>
      <c r="P10310" s="42"/>
      <c r="R10310" s="23"/>
    </row>
    <row r="10311" spans="1:18" ht="12.75">
      <c r="A10311" s="12"/>
      <c r="D10311" s="12"/>
      <c r="E10311" s="12"/>
      <c r="H10311" s="11" t="str">
        <f ca="1">IFERROR(__xludf.DUMMYFUNCTION("IFERROR(SUBSTITUTE(SUBSTITUTE(REGEXEXTRACT(A10311, ""[^-]+- [^-]+- [^-]+ - (.+?)\.jpg""), "".jpg"", """"), ""-"", "", ""), """")"),"")</f>
        <v/>
      </c>
      <c r="L10311" s="12"/>
      <c r="M10311" s="13"/>
      <c r="N10311" s="2"/>
      <c r="O10311" s="20"/>
      <c r="P10311" s="42"/>
      <c r="R10311" s="23"/>
    </row>
    <row r="10312" spans="1:18" ht="12.75">
      <c r="A10312" s="12"/>
      <c r="D10312" s="12"/>
      <c r="E10312" s="12"/>
      <c r="H10312" s="11" t="str">
        <f ca="1">IFERROR(__xludf.DUMMYFUNCTION("IFERROR(SUBSTITUTE(SUBSTITUTE(REGEXEXTRACT(A10312, ""[^-]+- [^-]+- [^-]+ - (.+?)\.jpg""), "".jpg"", """"), ""-"", "", ""), """")"),"")</f>
        <v/>
      </c>
      <c r="L10312" s="12"/>
      <c r="M10312" s="13"/>
      <c r="N10312" s="2"/>
      <c r="O10312" s="20"/>
      <c r="P10312" s="42"/>
      <c r="R10312" s="23"/>
    </row>
    <row r="10313" spans="1:18" ht="12.75">
      <c r="A10313" s="12"/>
      <c r="D10313" s="12"/>
      <c r="E10313" s="12"/>
      <c r="H10313" s="11" t="str">
        <f ca="1">IFERROR(__xludf.DUMMYFUNCTION("IFERROR(SUBSTITUTE(SUBSTITUTE(REGEXEXTRACT(A10313, ""[^-]+- [^-]+- [^-]+ - (.+?)\.jpg""), "".jpg"", """"), ""-"", "", ""), """")"),"")</f>
        <v/>
      </c>
      <c r="L10313" s="12"/>
      <c r="M10313" s="13"/>
      <c r="N10313" s="2"/>
      <c r="O10313" s="20"/>
      <c r="P10313" s="42"/>
      <c r="R10313" s="23"/>
    </row>
    <row r="10314" spans="1:18" ht="12.75">
      <c r="A10314" s="12"/>
      <c r="D10314" s="12"/>
      <c r="E10314" s="12"/>
      <c r="H10314" s="11" t="str">
        <f ca="1">IFERROR(__xludf.DUMMYFUNCTION("IFERROR(SUBSTITUTE(SUBSTITUTE(REGEXEXTRACT(A10314, ""[^-]+- [^-]+- [^-]+ - (.+?)\.jpg""), "".jpg"", """"), ""-"", "", ""), """")"),"")</f>
        <v/>
      </c>
      <c r="L10314" s="12"/>
      <c r="M10314" s="13"/>
      <c r="N10314" s="2"/>
      <c r="O10314" s="20"/>
      <c r="P10314" s="42"/>
      <c r="R10314" s="23"/>
    </row>
    <row r="10315" spans="1:18" ht="12.75">
      <c r="A10315" s="12"/>
      <c r="D10315" s="12"/>
      <c r="E10315" s="12"/>
      <c r="H10315" s="11" t="str">
        <f ca="1">IFERROR(__xludf.DUMMYFUNCTION("IFERROR(SUBSTITUTE(SUBSTITUTE(REGEXEXTRACT(A10315, ""[^-]+- [^-]+- [^-]+ - (.+?)\.jpg""), "".jpg"", """"), ""-"", "", ""), """")"),"")</f>
        <v/>
      </c>
      <c r="L10315" s="12"/>
      <c r="M10315" s="13"/>
      <c r="N10315" s="2"/>
      <c r="O10315" s="20"/>
      <c r="P10315" s="42"/>
      <c r="R10315" s="23"/>
    </row>
    <row r="10316" spans="1:18" ht="12.75">
      <c r="A10316" s="12"/>
      <c r="D10316" s="12"/>
      <c r="E10316" s="12"/>
      <c r="H10316" s="11" t="str">
        <f ca="1">IFERROR(__xludf.DUMMYFUNCTION("IFERROR(SUBSTITUTE(SUBSTITUTE(REGEXEXTRACT(A10316, ""[^-]+- [^-]+- [^-]+ - (.+?)\.jpg""), "".jpg"", """"), ""-"", "", ""), """")"),"")</f>
        <v/>
      </c>
      <c r="L10316" s="12"/>
      <c r="M10316" s="13"/>
      <c r="N10316" s="2"/>
      <c r="O10316" s="20"/>
      <c r="P10316" s="42"/>
      <c r="R10316" s="23"/>
    </row>
    <row r="10317" spans="1:18" ht="12.75">
      <c r="A10317" s="12"/>
      <c r="D10317" s="12"/>
      <c r="E10317" s="12"/>
      <c r="H10317" s="11" t="str">
        <f ca="1">IFERROR(__xludf.DUMMYFUNCTION("IFERROR(SUBSTITUTE(SUBSTITUTE(REGEXEXTRACT(A10317, ""[^-]+- [^-]+- [^-]+ - (.+?)\.jpg""), "".jpg"", """"), ""-"", "", ""), """")"),"")</f>
        <v/>
      </c>
      <c r="L10317" s="12"/>
      <c r="M10317" s="13"/>
      <c r="N10317" s="2"/>
      <c r="O10317" s="20"/>
      <c r="P10317" s="42"/>
      <c r="R10317" s="23"/>
    </row>
    <row r="10318" spans="1:18" ht="12.75">
      <c r="A10318" s="12"/>
      <c r="D10318" s="12"/>
      <c r="E10318" s="12"/>
      <c r="H10318" s="11" t="str">
        <f ca="1">IFERROR(__xludf.DUMMYFUNCTION("IFERROR(SUBSTITUTE(SUBSTITUTE(REGEXEXTRACT(A10318, ""[^-]+- [^-]+- [^-]+ - (.+?)\.jpg""), "".jpg"", """"), ""-"", "", ""), """")"),"")</f>
        <v/>
      </c>
      <c r="L10318" s="12"/>
      <c r="M10318" s="13"/>
      <c r="N10318" s="2"/>
      <c r="O10318" s="20"/>
      <c r="P10318" s="42"/>
      <c r="R10318" s="23"/>
    </row>
    <row r="10319" spans="1:18" ht="12.75">
      <c r="A10319" s="12"/>
      <c r="D10319" s="12"/>
      <c r="E10319" s="12"/>
      <c r="H10319" s="11" t="str">
        <f ca="1">IFERROR(__xludf.DUMMYFUNCTION("IFERROR(SUBSTITUTE(SUBSTITUTE(REGEXEXTRACT(A10319, ""[^-]+- [^-]+- [^-]+ - (.+?)\.jpg""), "".jpg"", """"), ""-"", "", ""), """")"),"")</f>
        <v/>
      </c>
      <c r="L10319" s="12"/>
      <c r="M10319" s="13"/>
      <c r="N10319" s="2"/>
      <c r="O10319" s="20"/>
      <c r="P10319" s="42"/>
      <c r="R10319" s="23"/>
    </row>
    <row r="10320" spans="1:18" ht="12.75">
      <c r="A10320" s="12"/>
      <c r="D10320" s="12"/>
      <c r="E10320" s="12"/>
      <c r="H10320" s="11" t="str">
        <f ca="1">IFERROR(__xludf.DUMMYFUNCTION("IFERROR(SUBSTITUTE(SUBSTITUTE(REGEXEXTRACT(A10320, ""[^-]+- [^-]+- [^-]+ - (.+?)\.jpg""), "".jpg"", """"), ""-"", "", ""), """")"),"")</f>
        <v/>
      </c>
      <c r="L10320" s="12"/>
      <c r="M10320" s="13"/>
      <c r="N10320" s="2"/>
      <c r="O10320" s="20"/>
      <c r="P10320" s="42"/>
      <c r="R10320" s="23"/>
    </row>
    <row r="10321" spans="1:18" ht="12.75">
      <c r="A10321" s="12"/>
      <c r="D10321" s="12"/>
      <c r="E10321" s="12"/>
      <c r="H10321" s="11" t="str">
        <f ca="1">IFERROR(__xludf.DUMMYFUNCTION("IFERROR(SUBSTITUTE(SUBSTITUTE(REGEXEXTRACT(A10321, ""[^-]+- [^-]+- [^-]+ - (.+?)\.jpg""), "".jpg"", """"), ""-"", "", ""), """")"),"")</f>
        <v/>
      </c>
      <c r="L10321" s="12"/>
      <c r="M10321" s="13"/>
      <c r="N10321" s="2"/>
      <c r="O10321" s="20"/>
      <c r="P10321" s="42"/>
      <c r="R10321" s="23"/>
    </row>
    <row r="10322" spans="1:18" ht="12.75">
      <c r="A10322" s="12"/>
      <c r="D10322" s="12"/>
      <c r="E10322" s="12"/>
      <c r="H10322" s="11" t="str">
        <f ca="1">IFERROR(__xludf.DUMMYFUNCTION("IFERROR(SUBSTITUTE(SUBSTITUTE(REGEXEXTRACT(A10322, ""[^-]+- [^-]+- [^-]+ - (.+?)\.jpg""), "".jpg"", """"), ""-"", "", ""), """")"),"")</f>
        <v/>
      </c>
      <c r="L10322" s="12"/>
      <c r="M10322" s="13"/>
      <c r="N10322" s="2"/>
      <c r="O10322" s="20"/>
      <c r="P10322" s="42"/>
      <c r="R10322" s="23"/>
    </row>
    <row r="10323" spans="1:18" ht="12.75">
      <c r="A10323" s="12"/>
      <c r="D10323" s="12"/>
      <c r="E10323" s="12"/>
      <c r="H10323" s="11" t="str">
        <f ca="1">IFERROR(__xludf.DUMMYFUNCTION("IFERROR(SUBSTITUTE(SUBSTITUTE(REGEXEXTRACT(A10323, ""[^-]+- [^-]+- [^-]+ - (.+?)\.jpg""), "".jpg"", """"), ""-"", "", ""), """")"),"")</f>
        <v/>
      </c>
      <c r="L10323" s="12"/>
      <c r="M10323" s="13"/>
      <c r="N10323" s="2"/>
      <c r="O10323" s="20"/>
      <c r="P10323" s="42"/>
      <c r="R10323" s="23"/>
    </row>
    <row r="10324" spans="1:18" ht="12.75">
      <c r="A10324" s="12"/>
      <c r="D10324" s="12"/>
      <c r="E10324" s="12"/>
      <c r="H10324" s="11" t="str">
        <f ca="1">IFERROR(__xludf.DUMMYFUNCTION("IFERROR(SUBSTITUTE(SUBSTITUTE(REGEXEXTRACT(A10324, ""[^-]+- [^-]+- [^-]+ - (.+?)\.jpg""), "".jpg"", """"), ""-"", "", ""), """")"),"")</f>
        <v/>
      </c>
      <c r="L10324" s="12"/>
      <c r="M10324" s="13"/>
      <c r="N10324" s="2"/>
      <c r="O10324" s="20"/>
      <c r="P10324" s="42"/>
      <c r="R10324" s="23"/>
    </row>
    <row r="10325" spans="1:18" ht="12.75">
      <c r="A10325" s="12"/>
      <c r="D10325" s="12"/>
      <c r="E10325" s="12"/>
      <c r="H10325" s="11" t="str">
        <f ca="1">IFERROR(__xludf.DUMMYFUNCTION("IFERROR(SUBSTITUTE(SUBSTITUTE(REGEXEXTRACT(A10325, ""[^-]+- [^-]+- [^-]+ - (.+?)\.jpg""), "".jpg"", """"), ""-"", "", ""), """")"),"")</f>
        <v/>
      </c>
      <c r="L10325" s="12"/>
      <c r="M10325" s="13"/>
      <c r="N10325" s="2"/>
      <c r="O10325" s="20"/>
      <c r="P10325" s="42"/>
      <c r="R10325" s="23"/>
    </row>
    <row r="10326" spans="1:18" ht="12.75">
      <c r="A10326" s="12"/>
      <c r="D10326" s="12"/>
      <c r="E10326" s="12"/>
      <c r="H10326" s="11" t="str">
        <f ca="1">IFERROR(__xludf.DUMMYFUNCTION("IFERROR(SUBSTITUTE(SUBSTITUTE(REGEXEXTRACT(A10326, ""[^-]+- [^-]+- [^-]+ - (.+?)\.jpg""), "".jpg"", """"), ""-"", "", ""), """")"),"")</f>
        <v/>
      </c>
      <c r="L10326" s="12"/>
      <c r="M10326" s="13"/>
      <c r="N10326" s="2"/>
      <c r="O10326" s="20"/>
      <c r="P10326" s="42"/>
      <c r="R10326" s="23"/>
    </row>
    <row r="10327" spans="1:18" ht="12.75">
      <c r="A10327" s="12"/>
      <c r="D10327" s="12"/>
      <c r="E10327" s="12"/>
      <c r="H10327" s="11" t="str">
        <f ca="1">IFERROR(__xludf.DUMMYFUNCTION("IFERROR(SUBSTITUTE(SUBSTITUTE(REGEXEXTRACT(A10327, ""[^-]+- [^-]+- [^-]+ - (.+?)\.jpg""), "".jpg"", """"), ""-"", "", ""), """")"),"")</f>
        <v/>
      </c>
      <c r="L10327" s="12"/>
      <c r="M10327" s="13"/>
      <c r="N10327" s="2"/>
      <c r="O10327" s="20"/>
      <c r="P10327" s="42"/>
      <c r="R10327" s="23"/>
    </row>
    <row r="10328" spans="1:18" ht="12.75">
      <c r="A10328" s="12"/>
      <c r="D10328" s="12"/>
      <c r="E10328" s="12"/>
      <c r="H10328" s="11" t="str">
        <f ca="1">IFERROR(__xludf.DUMMYFUNCTION("IFERROR(SUBSTITUTE(SUBSTITUTE(REGEXEXTRACT(A10328, ""[^-]+- [^-]+- [^-]+ - (.+?)\.jpg""), "".jpg"", """"), ""-"", "", ""), """")"),"")</f>
        <v/>
      </c>
      <c r="L10328" s="12"/>
      <c r="M10328" s="13"/>
      <c r="N10328" s="2"/>
      <c r="O10328" s="20"/>
      <c r="P10328" s="42"/>
      <c r="R10328" s="23"/>
    </row>
    <row r="10329" spans="1:18" ht="12.75">
      <c r="A10329" s="12"/>
      <c r="D10329" s="12"/>
      <c r="E10329" s="12"/>
      <c r="H10329" s="11" t="str">
        <f ca="1">IFERROR(__xludf.DUMMYFUNCTION("IFERROR(SUBSTITUTE(SUBSTITUTE(REGEXEXTRACT(A10329, ""[^-]+- [^-]+- [^-]+ - (.+?)\.jpg""), "".jpg"", """"), ""-"", "", ""), """")"),"")</f>
        <v/>
      </c>
      <c r="L10329" s="12"/>
      <c r="M10329" s="13"/>
      <c r="N10329" s="2"/>
      <c r="O10329" s="20"/>
      <c r="P10329" s="42"/>
      <c r="R10329" s="23"/>
    </row>
    <row r="10330" spans="1:18" ht="12.75">
      <c r="A10330" s="12"/>
      <c r="D10330" s="12"/>
      <c r="E10330" s="12"/>
      <c r="H10330" s="11" t="str">
        <f ca="1">IFERROR(__xludf.DUMMYFUNCTION("IFERROR(SUBSTITUTE(SUBSTITUTE(REGEXEXTRACT(A10330, ""[^-]+- [^-]+- [^-]+ - (.+?)\.jpg""), "".jpg"", """"), ""-"", "", ""), """")"),"")</f>
        <v/>
      </c>
      <c r="L10330" s="12"/>
      <c r="M10330" s="13"/>
      <c r="N10330" s="2"/>
      <c r="O10330" s="20"/>
      <c r="P10330" s="42"/>
      <c r="R10330" s="23"/>
    </row>
    <row r="10331" spans="1:18" ht="12.75">
      <c r="A10331" s="12"/>
      <c r="D10331" s="12"/>
      <c r="E10331" s="12"/>
      <c r="H10331" s="11" t="str">
        <f ca="1">IFERROR(__xludf.DUMMYFUNCTION("IFERROR(SUBSTITUTE(SUBSTITUTE(REGEXEXTRACT(A10331, ""[^-]+- [^-]+- [^-]+ - (.+?)\.jpg""), "".jpg"", """"), ""-"", "", ""), """")"),"")</f>
        <v/>
      </c>
      <c r="L10331" s="12"/>
      <c r="M10331" s="13"/>
      <c r="N10331" s="2"/>
      <c r="O10331" s="20"/>
      <c r="P10331" s="42"/>
      <c r="R10331" s="23"/>
    </row>
    <row r="10332" spans="1:18" ht="12.75">
      <c r="A10332" s="12"/>
      <c r="D10332" s="12"/>
      <c r="E10332" s="12"/>
      <c r="H10332" s="11" t="str">
        <f ca="1">IFERROR(__xludf.DUMMYFUNCTION("IFERROR(SUBSTITUTE(SUBSTITUTE(REGEXEXTRACT(A10332, ""[^-]+- [^-]+- [^-]+ - (.+?)\.jpg""), "".jpg"", """"), ""-"", "", ""), """")"),"")</f>
        <v/>
      </c>
      <c r="L10332" s="12"/>
      <c r="M10332" s="13"/>
      <c r="N10332" s="2"/>
      <c r="O10332" s="20"/>
      <c r="P10332" s="42"/>
      <c r="R10332" s="23"/>
    </row>
    <row r="10333" spans="1:18" ht="12.75">
      <c r="A10333" s="12"/>
      <c r="D10333" s="12"/>
      <c r="E10333" s="12"/>
      <c r="H10333" s="11" t="str">
        <f ca="1">IFERROR(__xludf.DUMMYFUNCTION("IFERROR(SUBSTITUTE(SUBSTITUTE(REGEXEXTRACT(A10333, ""[^-]+- [^-]+- [^-]+ - (.+?)\.jpg""), "".jpg"", """"), ""-"", "", ""), """")"),"")</f>
        <v/>
      </c>
      <c r="L10333" s="12"/>
      <c r="M10333" s="13"/>
      <c r="N10333" s="2"/>
      <c r="O10333" s="20"/>
      <c r="P10333" s="42"/>
      <c r="R10333" s="23"/>
    </row>
    <row r="10334" spans="1:18" ht="12.75">
      <c r="A10334" s="12"/>
      <c r="D10334" s="12"/>
      <c r="E10334" s="12"/>
      <c r="H10334" s="11" t="str">
        <f ca="1">IFERROR(__xludf.DUMMYFUNCTION("IFERROR(SUBSTITUTE(SUBSTITUTE(REGEXEXTRACT(A10334, ""[^-]+- [^-]+- [^-]+ - (.+?)\.jpg""), "".jpg"", """"), ""-"", "", ""), """")"),"")</f>
        <v/>
      </c>
      <c r="L10334" s="12"/>
      <c r="M10334" s="13"/>
      <c r="N10334" s="2"/>
      <c r="O10334" s="20"/>
      <c r="P10334" s="42"/>
      <c r="R10334" s="23"/>
    </row>
    <row r="10335" spans="1:18" ht="12.75">
      <c r="A10335" s="12"/>
      <c r="D10335" s="12"/>
      <c r="E10335" s="12"/>
      <c r="H10335" s="11" t="str">
        <f ca="1">IFERROR(__xludf.DUMMYFUNCTION("IFERROR(SUBSTITUTE(SUBSTITUTE(REGEXEXTRACT(A10335, ""[^-]+- [^-]+- [^-]+ - (.+?)\.jpg""), "".jpg"", """"), ""-"", "", ""), """")"),"")</f>
        <v/>
      </c>
      <c r="L10335" s="12"/>
      <c r="M10335" s="13"/>
      <c r="N10335" s="2"/>
      <c r="O10335" s="20"/>
      <c r="P10335" s="42"/>
      <c r="R10335" s="23"/>
    </row>
    <row r="10336" spans="1:18" ht="12.75">
      <c r="A10336" s="12"/>
      <c r="D10336" s="12"/>
      <c r="E10336" s="12"/>
      <c r="H10336" s="11" t="str">
        <f ca="1">IFERROR(__xludf.DUMMYFUNCTION("IFERROR(SUBSTITUTE(SUBSTITUTE(REGEXEXTRACT(A10336, ""[^-]+- [^-]+- [^-]+ - (.+?)\.jpg""), "".jpg"", """"), ""-"", "", ""), """")"),"")</f>
        <v/>
      </c>
      <c r="L10336" s="12"/>
      <c r="M10336" s="13"/>
      <c r="N10336" s="2"/>
      <c r="O10336" s="20"/>
      <c r="P10336" s="42"/>
      <c r="R10336" s="23"/>
    </row>
    <row r="10337" spans="1:18" ht="12.75">
      <c r="A10337" s="12"/>
      <c r="D10337" s="12"/>
      <c r="E10337" s="12"/>
      <c r="H10337" s="11" t="str">
        <f ca="1">IFERROR(__xludf.DUMMYFUNCTION("IFERROR(SUBSTITUTE(SUBSTITUTE(REGEXEXTRACT(A10337, ""[^-]+- [^-]+- [^-]+ - (.+?)\.jpg""), "".jpg"", """"), ""-"", "", ""), """")"),"")</f>
        <v/>
      </c>
      <c r="L10337" s="12"/>
      <c r="M10337" s="13"/>
      <c r="N10337" s="2"/>
      <c r="O10337" s="20"/>
      <c r="P10337" s="42"/>
      <c r="R10337" s="23"/>
    </row>
    <row r="10338" spans="1:18" ht="12.75">
      <c r="A10338" s="12"/>
      <c r="D10338" s="12"/>
      <c r="E10338" s="12"/>
      <c r="H10338" s="11" t="str">
        <f ca="1">IFERROR(__xludf.DUMMYFUNCTION("IFERROR(SUBSTITUTE(SUBSTITUTE(REGEXEXTRACT(A10338, ""[^-]+- [^-]+- [^-]+ - (.+?)\.jpg""), "".jpg"", """"), ""-"", "", ""), """")"),"")</f>
        <v/>
      </c>
      <c r="L10338" s="12"/>
      <c r="M10338" s="13"/>
      <c r="N10338" s="2"/>
      <c r="O10338" s="20"/>
      <c r="P10338" s="42"/>
      <c r="R10338" s="23"/>
    </row>
    <row r="10339" spans="1:18" ht="12.75">
      <c r="A10339" s="12"/>
      <c r="D10339" s="12"/>
      <c r="E10339" s="12"/>
      <c r="H10339" s="11" t="str">
        <f ca="1">IFERROR(__xludf.DUMMYFUNCTION("IFERROR(SUBSTITUTE(SUBSTITUTE(REGEXEXTRACT(A10339, ""[^-]+- [^-]+- [^-]+ - (.+?)\.jpg""), "".jpg"", """"), ""-"", "", ""), """")"),"")</f>
        <v/>
      </c>
      <c r="L10339" s="12"/>
      <c r="M10339" s="13"/>
      <c r="N10339" s="2"/>
      <c r="O10339" s="20"/>
      <c r="P10339" s="42"/>
      <c r="R10339" s="23"/>
    </row>
    <row r="10340" spans="1:18" ht="12.75">
      <c r="A10340" s="12"/>
      <c r="D10340" s="12"/>
      <c r="E10340" s="12"/>
      <c r="H10340" s="11" t="str">
        <f ca="1">IFERROR(__xludf.DUMMYFUNCTION("IFERROR(SUBSTITUTE(SUBSTITUTE(REGEXEXTRACT(A10340, ""[^-]+- [^-]+- [^-]+ - (.+?)\.jpg""), "".jpg"", """"), ""-"", "", ""), """")"),"")</f>
        <v/>
      </c>
      <c r="L10340" s="12"/>
      <c r="M10340" s="13"/>
      <c r="N10340" s="2"/>
      <c r="O10340" s="20"/>
      <c r="P10340" s="42"/>
      <c r="R10340" s="23"/>
    </row>
    <row r="10341" spans="1:18" ht="12.75">
      <c r="A10341" s="12"/>
      <c r="D10341" s="12"/>
      <c r="E10341" s="12"/>
      <c r="H10341" s="11" t="str">
        <f ca="1">IFERROR(__xludf.DUMMYFUNCTION("IFERROR(SUBSTITUTE(SUBSTITUTE(REGEXEXTRACT(A10341, ""[^-]+- [^-]+- [^-]+ - (.+?)\.jpg""), "".jpg"", """"), ""-"", "", ""), """")"),"")</f>
        <v/>
      </c>
      <c r="L10341" s="12"/>
      <c r="M10341" s="13"/>
      <c r="N10341" s="2"/>
      <c r="O10341" s="20"/>
      <c r="P10341" s="42"/>
      <c r="R10341" s="23"/>
    </row>
    <row r="10342" spans="1:18" ht="12.75">
      <c r="A10342" s="12"/>
      <c r="D10342" s="12"/>
      <c r="E10342" s="12"/>
      <c r="H10342" s="11" t="str">
        <f ca="1">IFERROR(__xludf.DUMMYFUNCTION("IFERROR(SUBSTITUTE(SUBSTITUTE(REGEXEXTRACT(A10342, ""[^-]+- [^-]+- [^-]+ - (.+?)\.jpg""), "".jpg"", """"), ""-"", "", ""), """")"),"")</f>
        <v/>
      </c>
      <c r="L10342" s="12"/>
      <c r="M10342" s="13"/>
      <c r="N10342" s="2"/>
      <c r="O10342" s="20"/>
      <c r="P10342" s="42"/>
      <c r="R10342" s="23"/>
    </row>
    <row r="10343" spans="1:18" ht="12.75">
      <c r="A10343" s="12"/>
      <c r="D10343" s="12"/>
      <c r="E10343" s="12"/>
      <c r="H10343" s="11" t="str">
        <f ca="1">IFERROR(__xludf.DUMMYFUNCTION("IFERROR(SUBSTITUTE(SUBSTITUTE(REGEXEXTRACT(A10343, ""[^-]+- [^-]+- [^-]+ - (.+?)\.jpg""), "".jpg"", """"), ""-"", "", ""), """")"),"")</f>
        <v/>
      </c>
      <c r="L10343" s="12"/>
      <c r="M10343" s="13"/>
      <c r="N10343" s="2"/>
      <c r="O10343" s="20"/>
      <c r="P10343" s="42"/>
      <c r="R10343" s="23"/>
    </row>
    <row r="10344" spans="1:18" ht="12.75">
      <c r="A10344" s="12"/>
      <c r="D10344" s="12"/>
      <c r="E10344" s="12"/>
      <c r="H10344" s="11" t="str">
        <f ca="1">IFERROR(__xludf.DUMMYFUNCTION("IFERROR(SUBSTITUTE(SUBSTITUTE(REGEXEXTRACT(A10344, ""[^-]+- [^-]+- [^-]+ - (.+?)\.jpg""), "".jpg"", """"), ""-"", "", ""), """")"),"")</f>
        <v/>
      </c>
      <c r="L10344" s="12"/>
      <c r="M10344" s="13"/>
      <c r="N10344" s="2"/>
      <c r="O10344" s="20"/>
      <c r="P10344" s="42"/>
      <c r="R10344" s="23"/>
    </row>
    <row r="10345" spans="1:18" ht="12.75">
      <c r="A10345" s="12"/>
      <c r="D10345" s="12"/>
      <c r="E10345" s="12"/>
      <c r="H10345" s="11" t="str">
        <f ca="1">IFERROR(__xludf.DUMMYFUNCTION("IFERROR(SUBSTITUTE(SUBSTITUTE(REGEXEXTRACT(A10345, ""[^-]+- [^-]+- [^-]+ - (.+?)\.jpg""), "".jpg"", """"), ""-"", "", ""), """")"),"")</f>
        <v/>
      </c>
      <c r="L10345" s="12"/>
      <c r="M10345" s="13"/>
      <c r="N10345" s="2"/>
      <c r="O10345" s="20"/>
      <c r="P10345" s="42"/>
      <c r="R10345" s="23"/>
    </row>
    <row r="10346" spans="1:18" ht="12.75">
      <c r="A10346" s="12"/>
      <c r="D10346" s="12"/>
      <c r="E10346" s="12"/>
      <c r="H10346" s="11" t="str">
        <f ca="1">IFERROR(__xludf.DUMMYFUNCTION("IFERROR(SUBSTITUTE(SUBSTITUTE(REGEXEXTRACT(A10346, ""[^-]+- [^-]+- [^-]+ - (.+?)\.jpg""), "".jpg"", """"), ""-"", "", ""), """")"),"")</f>
        <v/>
      </c>
      <c r="L10346" s="12"/>
      <c r="M10346" s="13"/>
      <c r="N10346" s="2"/>
      <c r="O10346" s="20"/>
      <c r="P10346" s="42"/>
      <c r="R10346" s="23"/>
    </row>
    <row r="10347" spans="1:18" ht="12.75">
      <c r="A10347" s="12"/>
      <c r="D10347" s="12"/>
      <c r="E10347" s="12"/>
      <c r="H10347" s="11" t="str">
        <f ca="1">IFERROR(__xludf.DUMMYFUNCTION("IFERROR(SUBSTITUTE(SUBSTITUTE(REGEXEXTRACT(A10347, ""[^-]+- [^-]+- [^-]+ - (.+?)\.jpg""), "".jpg"", """"), ""-"", "", ""), """")"),"")</f>
        <v/>
      </c>
      <c r="L10347" s="12"/>
      <c r="M10347" s="13"/>
      <c r="N10347" s="2"/>
      <c r="O10347" s="20"/>
      <c r="P10347" s="42"/>
      <c r="R10347" s="23"/>
    </row>
    <row r="10348" spans="1:18" ht="12.75">
      <c r="A10348" s="12"/>
      <c r="D10348" s="12"/>
      <c r="E10348" s="12"/>
      <c r="H10348" s="11" t="str">
        <f ca="1">IFERROR(__xludf.DUMMYFUNCTION("IFERROR(SUBSTITUTE(SUBSTITUTE(REGEXEXTRACT(A10348, ""[^-]+- [^-]+- [^-]+ - (.+?)\.jpg""), "".jpg"", """"), ""-"", "", ""), """")"),"")</f>
        <v/>
      </c>
      <c r="L10348" s="12"/>
      <c r="M10348" s="13"/>
      <c r="N10348" s="2"/>
      <c r="O10348" s="20"/>
      <c r="P10348" s="42"/>
      <c r="R10348" s="23"/>
    </row>
    <row r="10349" spans="1:18" ht="12.75">
      <c r="A10349" s="12"/>
      <c r="D10349" s="12"/>
      <c r="E10349" s="12"/>
      <c r="H10349" s="11" t="str">
        <f ca="1">IFERROR(__xludf.DUMMYFUNCTION("IFERROR(SUBSTITUTE(SUBSTITUTE(REGEXEXTRACT(A10349, ""[^-]+- [^-]+- [^-]+ - (.+?)\.jpg""), "".jpg"", """"), ""-"", "", ""), """")"),"")</f>
        <v/>
      </c>
      <c r="L10349" s="12"/>
      <c r="M10349" s="13"/>
      <c r="N10349" s="2"/>
      <c r="O10349" s="20"/>
      <c r="P10349" s="42"/>
      <c r="R10349" s="23"/>
    </row>
    <row r="10350" spans="1:18" ht="12.75">
      <c r="A10350" s="12"/>
      <c r="D10350" s="12"/>
      <c r="E10350" s="12"/>
      <c r="H10350" s="11" t="str">
        <f ca="1">IFERROR(__xludf.DUMMYFUNCTION("IFERROR(SUBSTITUTE(SUBSTITUTE(REGEXEXTRACT(A10350, ""[^-]+- [^-]+- [^-]+ - (.+?)\.jpg""), "".jpg"", """"), ""-"", "", ""), """")"),"")</f>
        <v/>
      </c>
      <c r="L10350" s="12"/>
      <c r="M10350" s="13"/>
      <c r="N10350" s="2"/>
      <c r="O10350" s="20"/>
      <c r="P10350" s="42"/>
      <c r="R10350" s="23"/>
    </row>
    <row r="10351" spans="1:18" ht="12.75">
      <c r="A10351" s="12"/>
      <c r="D10351" s="12"/>
      <c r="E10351" s="12"/>
      <c r="H10351" s="11" t="str">
        <f ca="1">IFERROR(__xludf.DUMMYFUNCTION("IFERROR(SUBSTITUTE(SUBSTITUTE(REGEXEXTRACT(A10351, ""[^-]+- [^-]+- [^-]+ - (.+?)\.jpg""), "".jpg"", """"), ""-"", "", ""), """")"),"")</f>
        <v/>
      </c>
      <c r="L10351" s="12"/>
      <c r="M10351" s="13"/>
      <c r="N10351" s="2"/>
      <c r="O10351" s="20"/>
      <c r="P10351" s="42"/>
      <c r="R10351" s="23"/>
    </row>
    <row r="10352" spans="1:18" ht="12.75">
      <c r="A10352" s="12"/>
      <c r="D10352" s="12"/>
      <c r="E10352" s="12"/>
      <c r="H10352" s="11" t="str">
        <f ca="1">IFERROR(__xludf.DUMMYFUNCTION("IFERROR(SUBSTITUTE(SUBSTITUTE(REGEXEXTRACT(A10352, ""[^-]+- [^-]+- [^-]+ - (.+?)\.jpg""), "".jpg"", """"), ""-"", "", ""), """")"),"")</f>
        <v/>
      </c>
      <c r="L10352" s="12"/>
      <c r="M10352" s="13"/>
      <c r="N10352" s="2"/>
      <c r="O10352" s="20"/>
      <c r="P10352" s="42"/>
      <c r="R10352" s="23"/>
    </row>
    <row r="10353" spans="1:18" ht="12.75">
      <c r="A10353" s="12"/>
      <c r="D10353" s="12"/>
      <c r="E10353" s="12"/>
      <c r="H10353" s="11" t="str">
        <f ca="1">IFERROR(__xludf.DUMMYFUNCTION("IFERROR(SUBSTITUTE(SUBSTITUTE(REGEXEXTRACT(A10353, ""[^-]+- [^-]+- [^-]+ - (.+?)\.jpg""), "".jpg"", """"), ""-"", "", ""), """")"),"")</f>
        <v/>
      </c>
      <c r="L10353" s="12"/>
      <c r="M10353" s="13"/>
      <c r="N10353" s="2"/>
      <c r="O10353" s="20"/>
      <c r="P10353" s="42"/>
      <c r="R10353" s="23"/>
    </row>
    <row r="10354" spans="1:18" ht="12.75">
      <c r="A10354" s="12"/>
      <c r="D10354" s="12"/>
      <c r="E10354" s="12"/>
      <c r="H10354" s="11" t="str">
        <f ca="1">IFERROR(__xludf.DUMMYFUNCTION("IFERROR(SUBSTITUTE(SUBSTITUTE(REGEXEXTRACT(A10354, ""[^-]+- [^-]+- [^-]+ - (.+?)\.jpg""), "".jpg"", """"), ""-"", "", ""), """")"),"")</f>
        <v/>
      </c>
      <c r="L10354" s="12"/>
      <c r="M10354" s="13"/>
      <c r="N10354" s="2"/>
      <c r="O10354" s="20"/>
      <c r="P10354" s="42"/>
      <c r="R10354" s="23"/>
    </row>
    <row r="10355" spans="1:18" ht="12.75">
      <c r="A10355" s="12"/>
      <c r="D10355" s="12"/>
      <c r="E10355" s="12"/>
      <c r="H10355" s="11" t="str">
        <f ca="1">IFERROR(__xludf.DUMMYFUNCTION("IFERROR(SUBSTITUTE(SUBSTITUTE(REGEXEXTRACT(A10355, ""[^-]+- [^-]+- [^-]+ - (.+?)\.jpg""), "".jpg"", """"), ""-"", "", ""), """")"),"")</f>
        <v/>
      </c>
      <c r="L10355" s="12"/>
      <c r="M10355" s="13"/>
      <c r="N10355" s="2"/>
      <c r="O10355" s="20"/>
      <c r="P10355" s="42"/>
      <c r="R10355" s="23"/>
    </row>
    <row r="10356" spans="1:18" ht="12.75">
      <c r="A10356" s="12"/>
      <c r="D10356" s="12"/>
      <c r="E10356" s="12"/>
      <c r="H10356" s="11" t="str">
        <f ca="1">IFERROR(__xludf.DUMMYFUNCTION("IFERROR(SUBSTITUTE(SUBSTITUTE(REGEXEXTRACT(A10356, ""[^-]+- [^-]+- [^-]+ - (.+?)\.jpg""), "".jpg"", """"), ""-"", "", ""), """")"),"")</f>
        <v/>
      </c>
      <c r="L10356" s="12"/>
      <c r="M10356" s="13"/>
      <c r="N10356" s="2"/>
      <c r="O10356" s="20"/>
      <c r="P10356" s="42"/>
      <c r="R10356" s="23"/>
    </row>
    <row r="10357" spans="1:18" ht="12.75">
      <c r="A10357" s="12"/>
      <c r="D10357" s="12"/>
      <c r="E10357" s="12"/>
      <c r="H10357" s="11" t="str">
        <f ca="1">IFERROR(__xludf.DUMMYFUNCTION("IFERROR(SUBSTITUTE(SUBSTITUTE(REGEXEXTRACT(A10357, ""[^-]+- [^-]+- [^-]+ - (.+?)\.jpg""), "".jpg"", """"), ""-"", "", ""), """")"),"")</f>
        <v/>
      </c>
      <c r="L10357" s="12"/>
      <c r="M10357" s="13"/>
      <c r="N10357" s="2"/>
      <c r="O10357" s="20"/>
      <c r="P10357" s="42"/>
      <c r="R10357" s="23"/>
    </row>
    <row r="10358" spans="1:18" ht="12.75">
      <c r="A10358" s="12"/>
      <c r="D10358" s="12"/>
      <c r="E10358" s="12"/>
      <c r="H10358" s="11" t="str">
        <f ca="1">IFERROR(__xludf.DUMMYFUNCTION("IFERROR(SUBSTITUTE(SUBSTITUTE(REGEXEXTRACT(A10358, ""[^-]+- [^-]+- [^-]+ - (.+?)\.jpg""), "".jpg"", """"), ""-"", "", ""), """")"),"")</f>
        <v/>
      </c>
      <c r="L10358" s="12"/>
      <c r="M10358" s="13"/>
      <c r="N10358" s="2"/>
      <c r="O10358" s="20"/>
      <c r="P10358" s="42"/>
      <c r="R10358" s="23"/>
    </row>
    <row r="10359" spans="1:18" ht="12.75">
      <c r="A10359" s="12"/>
      <c r="D10359" s="12"/>
      <c r="E10359" s="12"/>
      <c r="H10359" s="11" t="str">
        <f ca="1">IFERROR(__xludf.DUMMYFUNCTION("IFERROR(SUBSTITUTE(SUBSTITUTE(REGEXEXTRACT(A10359, ""[^-]+- [^-]+- [^-]+ - (.+?)\.jpg""), "".jpg"", """"), ""-"", "", ""), """")"),"")</f>
        <v/>
      </c>
      <c r="L10359" s="12"/>
      <c r="M10359" s="13"/>
      <c r="N10359" s="2"/>
      <c r="O10359" s="20"/>
      <c r="P10359" s="42"/>
      <c r="R10359" s="23"/>
    </row>
    <row r="10360" spans="1:18" ht="12.75">
      <c r="A10360" s="12"/>
      <c r="D10360" s="12"/>
      <c r="E10360" s="12"/>
      <c r="H10360" s="11" t="str">
        <f ca="1">IFERROR(__xludf.DUMMYFUNCTION("IFERROR(SUBSTITUTE(SUBSTITUTE(REGEXEXTRACT(A10360, ""[^-]+- [^-]+- [^-]+ - (.+?)\.jpg""), "".jpg"", """"), ""-"", "", ""), """")"),"")</f>
        <v/>
      </c>
      <c r="L10360" s="12"/>
      <c r="M10360" s="13"/>
      <c r="N10360" s="2"/>
      <c r="O10360" s="20"/>
      <c r="P10360" s="42"/>
      <c r="R10360" s="23"/>
    </row>
    <row r="10361" spans="1:18" ht="12.75">
      <c r="A10361" s="12"/>
      <c r="D10361" s="12"/>
      <c r="E10361" s="12"/>
      <c r="H10361" s="11" t="str">
        <f ca="1">IFERROR(__xludf.DUMMYFUNCTION("IFERROR(SUBSTITUTE(SUBSTITUTE(REGEXEXTRACT(A10361, ""[^-]+- [^-]+- [^-]+ - (.+?)\.jpg""), "".jpg"", """"), ""-"", "", ""), """")"),"")</f>
        <v/>
      </c>
      <c r="L10361" s="12"/>
      <c r="M10361" s="13"/>
      <c r="N10361" s="2"/>
      <c r="O10361" s="20"/>
      <c r="P10361" s="42"/>
      <c r="R10361" s="23"/>
    </row>
    <row r="10362" spans="1:18" ht="12.75">
      <c r="A10362" s="12"/>
      <c r="D10362" s="12"/>
      <c r="E10362" s="12"/>
      <c r="H10362" s="11" t="str">
        <f ca="1">IFERROR(__xludf.DUMMYFUNCTION("IFERROR(SUBSTITUTE(SUBSTITUTE(REGEXEXTRACT(A10362, ""[^-]+- [^-]+- [^-]+ - (.+?)\.jpg""), "".jpg"", """"), ""-"", "", ""), """")"),"")</f>
        <v/>
      </c>
      <c r="L10362" s="12"/>
      <c r="M10362" s="13"/>
      <c r="N10362" s="2"/>
      <c r="O10362" s="20"/>
      <c r="P10362" s="42"/>
      <c r="R10362" s="23"/>
    </row>
    <row r="10363" spans="1:18" ht="12.75">
      <c r="A10363" s="12"/>
      <c r="D10363" s="12"/>
      <c r="E10363" s="12"/>
      <c r="H10363" s="11" t="str">
        <f ca="1">IFERROR(__xludf.DUMMYFUNCTION("IFERROR(SUBSTITUTE(SUBSTITUTE(REGEXEXTRACT(A10363, ""[^-]+- [^-]+- [^-]+ - (.+?)\.jpg""), "".jpg"", """"), ""-"", "", ""), """")"),"")</f>
        <v/>
      </c>
      <c r="L10363" s="12"/>
      <c r="M10363" s="13"/>
      <c r="N10363" s="2"/>
      <c r="O10363" s="20"/>
      <c r="P10363" s="42"/>
      <c r="R10363" s="23"/>
    </row>
    <row r="10364" spans="1:18" ht="12.75">
      <c r="A10364" s="12"/>
      <c r="D10364" s="12"/>
      <c r="E10364" s="12"/>
      <c r="H10364" s="11" t="str">
        <f ca="1">IFERROR(__xludf.DUMMYFUNCTION("IFERROR(SUBSTITUTE(SUBSTITUTE(REGEXEXTRACT(A10364, ""[^-]+- [^-]+- [^-]+ - (.+?)\.jpg""), "".jpg"", """"), ""-"", "", ""), """")"),"")</f>
        <v/>
      </c>
      <c r="L10364" s="12"/>
      <c r="M10364" s="13"/>
      <c r="N10364" s="2"/>
      <c r="O10364" s="20"/>
      <c r="P10364" s="42"/>
      <c r="R10364" s="23"/>
    </row>
    <row r="10365" spans="1:18" ht="12.75">
      <c r="A10365" s="12"/>
      <c r="D10365" s="12"/>
      <c r="E10365" s="12"/>
      <c r="H10365" s="11" t="str">
        <f ca="1">IFERROR(__xludf.DUMMYFUNCTION("IFERROR(SUBSTITUTE(SUBSTITUTE(REGEXEXTRACT(A10365, ""[^-]+- [^-]+- [^-]+ - (.+?)\.jpg""), "".jpg"", """"), ""-"", "", ""), """")"),"")</f>
        <v/>
      </c>
      <c r="L10365" s="12"/>
      <c r="M10365" s="13"/>
      <c r="N10365" s="2"/>
      <c r="O10365" s="20"/>
      <c r="P10365" s="42"/>
      <c r="R10365" s="23"/>
    </row>
    <row r="10366" spans="1:18" ht="12.75">
      <c r="A10366" s="12"/>
      <c r="D10366" s="12"/>
      <c r="E10366" s="12"/>
      <c r="H10366" s="11" t="str">
        <f ca="1">IFERROR(__xludf.DUMMYFUNCTION("IFERROR(SUBSTITUTE(SUBSTITUTE(REGEXEXTRACT(A10366, ""[^-]+- [^-]+- [^-]+ - (.+?)\.jpg""), "".jpg"", """"), ""-"", "", ""), """")"),"")</f>
        <v/>
      </c>
      <c r="L10366" s="12"/>
      <c r="M10366" s="13"/>
      <c r="N10366" s="2"/>
      <c r="O10366" s="20"/>
      <c r="P10366" s="42"/>
      <c r="R10366" s="23"/>
    </row>
    <row r="10367" spans="1:18" ht="12.75">
      <c r="A10367" s="12"/>
      <c r="D10367" s="12"/>
      <c r="E10367" s="12"/>
      <c r="H10367" s="11" t="str">
        <f ca="1">IFERROR(__xludf.DUMMYFUNCTION("IFERROR(SUBSTITUTE(SUBSTITUTE(REGEXEXTRACT(A10367, ""[^-]+- [^-]+- [^-]+ - (.+?)\.jpg""), "".jpg"", """"), ""-"", "", ""), """")"),"")</f>
        <v/>
      </c>
      <c r="L10367" s="12"/>
      <c r="M10367" s="13"/>
      <c r="N10367" s="2"/>
      <c r="O10367" s="20"/>
      <c r="P10367" s="42"/>
      <c r="R10367" s="23"/>
    </row>
    <row r="10368" spans="1:18" ht="12.75">
      <c r="A10368" s="12"/>
      <c r="D10368" s="12"/>
      <c r="E10368" s="12"/>
      <c r="H10368" s="11" t="str">
        <f ca="1">IFERROR(__xludf.DUMMYFUNCTION("IFERROR(SUBSTITUTE(SUBSTITUTE(REGEXEXTRACT(A10368, ""[^-]+- [^-]+- [^-]+ - (.+?)\.jpg""), "".jpg"", """"), ""-"", "", ""), """")"),"")</f>
        <v/>
      </c>
      <c r="L10368" s="12"/>
      <c r="M10368" s="13"/>
      <c r="N10368" s="2"/>
      <c r="O10368" s="20"/>
      <c r="P10368" s="42"/>
      <c r="R10368" s="23"/>
    </row>
    <row r="10369" spans="1:18" ht="12.75">
      <c r="A10369" s="12"/>
      <c r="D10369" s="12"/>
      <c r="E10369" s="12"/>
      <c r="H10369" s="11" t="str">
        <f ca="1">IFERROR(__xludf.DUMMYFUNCTION("IFERROR(SUBSTITUTE(SUBSTITUTE(REGEXEXTRACT(A10369, ""[^-]+- [^-]+- [^-]+ - (.+?)\.jpg""), "".jpg"", """"), ""-"", "", ""), """")"),"")</f>
        <v/>
      </c>
      <c r="L10369" s="12"/>
      <c r="M10369" s="13"/>
      <c r="N10369" s="2"/>
      <c r="O10369" s="20"/>
      <c r="P10369" s="42"/>
      <c r="R10369" s="23"/>
    </row>
    <row r="10370" spans="1:18" ht="12.75">
      <c r="A10370" s="12"/>
      <c r="D10370" s="12"/>
      <c r="E10370" s="12"/>
      <c r="H10370" s="11" t="str">
        <f ca="1">IFERROR(__xludf.DUMMYFUNCTION("IFERROR(SUBSTITUTE(SUBSTITUTE(REGEXEXTRACT(A10370, ""[^-]+- [^-]+- [^-]+ - (.+?)\.jpg""), "".jpg"", """"), ""-"", "", ""), """")"),"")</f>
        <v/>
      </c>
      <c r="L10370" s="12"/>
      <c r="M10370" s="13"/>
      <c r="N10370" s="2"/>
      <c r="O10370" s="20"/>
      <c r="P10370" s="42"/>
      <c r="R10370" s="23"/>
    </row>
    <row r="10371" spans="1:18" ht="12.75">
      <c r="A10371" s="12"/>
      <c r="D10371" s="12"/>
      <c r="E10371" s="12"/>
      <c r="H10371" s="11" t="str">
        <f ca="1">IFERROR(__xludf.DUMMYFUNCTION("IFERROR(SUBSTITUTE(SUBSTITUTE(REGEXEXTRACT(A10371, ""[^-]+- [^-]+- [^-]+ - (.+?)\.jpg""), "".jpg"", """"), ""-"", "", ""), """")"),"")</f>
        <v/>
      </c>
      <c r="L10371" s="12"/>
      <c r="M10371" s="13"/>
      <c r="N10371" s="2"/>
      <c r="O10371" s="20"/>
      <c r="P10371" s="42"/>
      <c r="R10371" s="23"/>
    </row>
    <row r="10372" spans="1:18" ht="12.75">
      <c r="A10372" s="12"/>
      <c r="D10372" s="12"/>
      <c r="E10372" s="12"/>
      <c r="H10372" s="11" t="str">
        <f ca="1">IFERROR(__xludf.DUMMYFUNCTION("IFERROR(SUBSTITUTE(SUBSTITUTE(REGEXEXTRACT(A10372, ""[^-]+- [^-]+- [^-]+ - (.+?)\.jpg""), "".jpg"", """"), ""-"", "", ""), """")"),"")</f>
        <v/>
      </c>
      <c r="L10372" s="12"/>
      <c r="M10372" s="13"/>
      <c r="N10372" s="2"/>
      <c r="O10372" s="20"/>
      <c r="P10372" s="42"/>
      <c r="R10372" s="23"/>
    </row>
    <row r="10373" spans="1:18" ht="12.75">
      <c r="A10373" s="12"/>
      <c r="D10373" s="12"/>
      <c r="E10373" s="12"/>
      <c r="H10373" s="11" t="str">
        <f ca="1">IFERROR(__xludf.DUMMYFUNCTION("IFERROR(SUBSTITUTE(SUBSTITUTE(REGEXEXTRACT(A10373, ""[^-]+- [^-]+- [^-]+ - (.+?)\.jpg""), "".jpg"", """"), ""-"", "", ""), """")"),"")</f>
        <v/>
      </c>
      <c r="L10373" s="12"/>
      <c r="M10373" s="13"/>
      <c r="N10373" s="2"/>
      <c r="O10373" s="20"/>
      <c r="P10373" s="42"/>
      <c r="R10373" s="23"/>
    </row>
    <row r="10374" spans="1:18" ht="12.75">
      <c r="A10374" s="12"/>
      <c r="D10374" s="12"/>
      <c r="E10374" s="12"/>
      <c r="H10374" s="11" t="str">
        <f ca="1">IFERROR(__xludf.DUMMYFUNCTION("IFERROR(SUBSTITUTE(SUBSTITUTE(REGEXEXTRACT(A10374, ""[^-]+- [^-]+- [^-]+ - (.+?)\.jpg""), "".jpg"", """"), ""-"", "", ""), """")"),"")</f>
        <v/>
      </c>
      <c r="L10374" s="12"/>
      <c r="M10374" s="13"/>
      <c r="N10374" s="2"/>
      <c r="O10374" s="20"/>
      <c r="P10374" s="42"/>
      <c r="R10374" s="23"/>
    </row>
    <row r="10375" spans="1:18" ht="12.75">
      <c r="A10375" s="12"/>
      <c r="D10375" s="12"/>
      <c r="E10375" s="12"/>
      <c r="H10375" s="11" t="str">
        <f ca="1">IFERROR(__xludf.DUMMYFUNCTION("IFERROR(SUBSTITUTE(SUBSTITUTE(REGEXEXTRACT(A10375, ""[^-]+- [^-]+- [^-]+ - (.+?)\.jpg""), "".jpg"", """"), ""-"", "", ""), """")"),"")</f>
        <v/>
      </c>
      <c r="L10375" s="12"/>
      <c r="M10375" s="13"/>
      <c r="N10375" s="2"/>
      <c r="O10375" s="20"/>
      <c r="P10375" s="42"/>
      <c r="R10375" s="23"/>
    </row>
    <row r="10376" spans="1:18" ht="12.75">
      <c r="A10376" s="12"/>
      <c r="D10376" s="12"/>
      <c r="E10376" s="12"/>
      <c r="H10376" s="11" t="str">
        <f ca="1">IFERROR(__xludf.DUMMYFUNCTION("IFERROR(SUBSTITUTE(SUBSTITUTE(REGEXEXTRACT(A10376, ""[^-]+- [^-]+- [^-]+ - (.+?)\.jpg""), "".jpg"", """"), ""-"", "", ""), """")"),"")</f>
        <v/>
      </c>
      <c r="L10376" s="12"/>
      <c r="M10376" s="13"/>
      <c r="N10376" s="2"/>
      <c r="O10376" s="20"/>
      <c r="P10376" s="42"/>
      <c r="R10376" s="23"/>
    </row>
    <row r="10377" spans="1:18" ht="12.75">
      <c r="A10377" s="12"/>
      <c r="D10377" s="12"/>
      <c r="E10377" s="12"/>
      <c r="H10377" s="11" t="str">
        <f ca="1">IFERROR(__xludf.DUMMYFUNCTION("IFERROR(SUBSTITUTE(SUBSTITUTE(REGEXEXTRACT(A10377, ""[^-]+- [^-]+- [^-]+ - (.+?)\.jpg""), "".jpg"", """"), ""-"", "", ""), """")"),"")</f>
        <v/>
      </c>
      <c r="L10377" s="12"/>
      <c r="M10377" s="13"/>
      <c r="N10377" s="2"/>
      <c r="O10377" s="20"/>
      <c r="P10377" s="42"/>
      <c r="R10377" s="23"/>
    </row>
    <row r="10378" spans="1:18" ht="12.75">
      <c r="A10378" s="12"/>
      <c r="D10378" s="12"/>
      <c r="E10378" s="12"/>
      <c r="H10378" s="11" t="str">
        <f ca="1">IFERROR(__xludf.DUMMYFUNCTION("IFERROR(SUBSTITUTE(SUBSTITUTE(REGEXEXTRACT(A10378, ""[^-]+- [^-]+- [^-]+ - (.+?)\.jpg""), "".jpg"", """"), ""-"", "", ""), """")"),"")</f>
        <v/>
      </c>
      <c r="L10378" s="12"/>
      <c r="M10378" s="13"/>
      <c r="N10378" s="2"/>
      <c r="O10378" s="20"/>
      <c r="P10378" s="42"/>
      <c r="R10378" s="23"/>
    </row>
    <row r="10379" spans="1:18" ht="12.75">
      <c r="A10379" s="12"/>
      <c r="D10379" s="12"/>
      <c r="E10379" s="12"/>
      <c r="H10379" s="11" t="str">
        <f ca="1">IFERROR(__xludf.DUMMYFUNCTION("IFERROR(SUBSTITUTE(SUBSTITUTE(REGEXEXTRACT(A10379, ""[^-]+- [^-]+- [^-]+ - (.+?)\.jpg""), "".jpg"", """"), ""-"", "", ""), """")"),"")</f>
        <v/>
      </c>
      <c r="L10379" s="12"/>
      <c r="M10379" s="13"/>
      <c r="N10379" s="2"/>
      <c r="O10379" s="20"/>
      <c r="P10379" s="42"/>
      <c r="R10379" s="23"/>
    </row>
    <row r="10380" spans="1:18" ht="12.75">
      <c r="A10380" s="12"/>
      <c r="D10380" s="12"/>
      <c r="E10380" s="12"/>
      <c r="H10380" s="11" t="str">
        <f ca="1">IFERROR(__xludf.DUMMYFUNCTION("IFERROR(SUBSTITUTE(SUBSTITUTE(REGEXEXTRACT(A10380, ""[^-]+- [^-]+- [^-]+ - (.+?)\.jpg""), "".jpg"", """"), ""-"", "", ""), """")"),"")</f>
        <v/>
      </c>
      <c r="L10380" s="12"/>
      <c r="M10380" s="13"/>
      <c r="N10380" s="2"/>
      <c r="O10380" s="20"/>
      <c r="P10380" s="42"/>
      <c r="R10380" s="23"/>
    </row>
    <row r="10381" spans="1:18" ht="12.75">
      <c r="A10381" s="12"/>
      <c r="D10381" s="12"/>
      <c r="E10381" s="12"/>
      <c r="H10381" s="11" t="str">
        <f ca="1">IFERROR(__xludf.DUMMYFUNCTION("IFERROR(SUBSTITUTE(SUBSTITUTE(REGEXEXTRACT(A10381, ""[^-]+- [^-]+- [^-]+ - (.+?)\.jpg""), "".jpg"", """"), ""-"", "", ""), """")"),"")</f>
        <v/>
      </c>
      <c r="L10381" s="12"/>
      <c r="M10381" s="13"/>
      <c r="N10381" s="2"/>
      <c r="O10381" s="20"/>
      <c r="P10381" s="42"/>
      <c r="R10381" s="23"/>
    </row>
    <row r="10382" spans="1:18" ht="12.75">
      <c r="A10382" s="12"/>
      <c r="D10382" s="12"/>
      <c r="E10382" s="12"/>
      <c r="H10382" s="11" t="str">
        <f ca="1">IFERROR(__xludf.DUMMYFUNCTION("IFERROR(SUBSTITUTE(SUBSTITUTE(REGEXEXTRACT(A10382, ""[^-]+- [^-]+- [^-]+ - (.+?)\.jpg""), "".jpg"", """"), ""-"", "", ""), """")"),"")</f>
        <v/>
      </c>
      <c r="L10382" s="12"/>
      <c r="M10382" s="13"/>
      <c r="N10382" s="2"/>
      <c r="O10382" s="20"/>
      <c r="P10382" s="42"/>
      <c r="R10382" s="23"/>
    </row>
    <row r="10383" spans="1:18" ht="12.75">
      <c r="A10383" s="12"/>
      <c r="D10383" s="12"/>
      <c r="E10383" s="12"/>
      <c r="H10383" s="11" t="str">
        <f ca="1">IFERROR(__xludf.DUMMYFUNCTION("IFERROR(SUBSTITUTE(SUBSTITUTE(REGEXEXTRACT(A10383, ""[^-]+- [^-]+- [^-]+ - (.+?)\.jpg""), "".jpg"", """"), ""-"", "", ""), """")"),"")</f>
        <v/>
      </c>
      <c r="L10383" s="12"/>
      <c r="M10383" s="13"/>
      <c r="N10383" s="2"/>
      <c r="O10383" s="20"/>
      <c r="P10383" s="42"/>
      <c r="R10383" s="23"/>
    </row>
    <row r="10384" spans="1:18" ht="12.75">
      <c r="A10384" s="12"/>
      <c r="D10384" s="12"/>
      <c r="E10384" s="12"/>
      <c r="H10384" s="11" t="str">
        <f ca="1">IFERROR(__xludf.DUMMYFUNCTION("IFERROR(SUBSTITUTE(SUBSTITUTE(REGEXEXTRACT(A10384, ""[^-]+- [^-]+- [^-]+ - (.+?)\.jpg""), "".jpg"", """"), ""-"", "", ""), """")"),"")</f>
        <v/>
      </c>
      <c r="L10384" s="12"/>
      <c r="M10384" s="13"/>
      <c r="N10384" s="2"/>
      <c r="O10384" s="20"/>
      <c r="P10384" s="42"/>
      <c r="R10384" s="23"/>
    </row>
    <row r="10385" spans="1:18" ht="12.75">
      <c r="A10385" s="12"/>
      <c r="D10385" s="12"/>
      <c r="E10385" s="12"/>
      <c r="H10385" s="11" t="str">
        <f ca="1">IFERROR(__xludf.DUMMYFUNCTION("IFERROR(SUBSTITUTE(SUBSTITUTE(REGEXEXTRACT(A10385, ""[^-]+- [^-]+- [^-]+ - (.+?)\.jpg""), "".jpg"", """"), ""-"", "", ""), """")"),"")</f>
        <v/>
      </c>
      <c r="L10385" s="12"/>
      <c r="M10385" s="13"/>
      <c r="N10385" s="2"/>
      <c r="O10385" s="20"/>
      <c r="P10385" s="42"/>
      <c r="R10385" s="23"/>
    </row>
    <row r="10386" spans="1:18" ht="12.75">
      <c r="A10386" s="12"/>
      <c r="D10386" s="12"/>
      <c r="E10386" s="12"/>
      <c r="H10386" s="11" t="str">
        <f ca="1">IFERROR(__xludf.DUMMYFUNCTION("IFERROR(SUBSTITUTE(SUBSTITUTE(REGEXEXTRACT(A10386, ""[^-]+- [^-]+- [^-]+ - (.+?)\.jpg""), "".jpg"", """"), ""-"", "", ""), """")"),"")</f>
        <v/>
      </c>
      <c r="L10386" s="12"/>
      <c r="M10386" s="13"/>
      <c r="N10386" s="2"/>
      <c r="O10386" s="20"/>
      <c r="P10386" s="42"/>
      <c r="R10386" s="23"/>
    </row>
    <row r="10387" spans="1:18" ht="12.75">
      <c r="A10387" s="12"/>
      <c r="D10387" s="12"/>
      <c r="E10387" s="12"/>
      <c r="H10387" s="11" t="str">
        <f ca="1">IFERROR(__xludf.DUMMYFUNCTION("IFERROR(SUBSTITUTE(SUBSTITUTE(REGEXEXTRACT(A10387, ""[^-]+- [^-]+- [^-]+ - (.+?)\.jpg""), "".jpg"", """"), ""-"", "", ""), """")"),"")</f>
        <v/>
      </c>
      <c r="L10387" s="12"/>
      <c r="M10387" s="13"/>
      <c r="N10387" s="2"/>
      <c r="O10387" s="20"/>
      <c r="P10387" s="42"/>
      <c r="R10387" s="23"/>
    </row>
    <row r="10388" spans="1:18" ht="12.75">
      <c r="A10388" s="12"/>
      <c r="D10388" s="12"/>
      <c r="E10388" s="12"/>
      <c r="H10388" s="11" t="str">
        <f ca="1">IFERROR(__xludf.DUMMYFUNCTION("IFERROR(SUBSTITUTE(SUBSTITUTE(REGEXEXTRACT(A10388, ""[^-]+- [^-]+- [^-]+ - (.+?)\.jpg""), "".jpg"", """"), ""-"", "", ""), """")"),"")</f>
        <v/>
      </c>
      <c r="L10388" s="12"/>
      <c r="M10388" s="13"/>
      <c r="N10388" s="2"/>
      <c r="O10388" s="20"/>
      <c r="P10388" s="42"/>
      <c r="R10388" s="23"/>
    </row>
    <row r="10389" spans="1:18" ht="12.75">
      <c r="A10389" s="12"/>
      <c r="D10389" s="12"/>
      <c r="E10389" s="12"/>
      <c r="H10389" s="11" t="str">
        <f ca="1">IFERROR(__xludf.DUMMYFUNCTION("IFERROR(SUBSTITUTE(SUBSTITUTE(REGEXEXTRACT(A10389, ""[^-]+- [^-]+- [^-]+ - (.+?)\.jpg""), "".jpg"", """"), ""-"", "", ""), """")"),"")</f>
        <v/>
      </c>
      <c r="L10389" s="12"/>
      <c r="M10389" s="13"/>
      <c r="N10389" s="2"/>
      <c r="O10389" s="20"/>
      <c r="P10389" s="42"/>
      <c r="R10389" s="23"/>
    </row>
    <row r="10390" spans="1:18" ht="12.75">
      <c r="A10390" s="12"/>
      <c r="D10390" s="12"/>
      <c r="E10390" s="12"/>
      <c r="H10390" s="11" t="str">
        <f ca="1">IFERROR(__xludf.DUMMYFUNCTION("IFERROR(SUBSTITUTE(SUBSTITUTE(REGEXEXTRACT(A10390, ""[^-]+- [^-]+- [^-]+ - (.+?)\.jpg""), "".jpg"", """"), ""-"", "", ""), """")"),"")</f>
        <v/>
      </c>
      <c r="L10390" s="12"/>
      <c r="M10390" s="13"/>
      <c r="N10390" s="2"/>
      <c r="O10390" s="20"/>
      <c r="P10390" s="42"/>
      <c r="R10390" s="23"/>
    </row>
    <row r="10391" spans="1:18" ht="12.75">
      <c r="A10391" s="12"/>
      <c r="D10391" s="12"/>
      <c r="E10391" s="12"/>
      <c r="H10391" s="11" t="str">
        <f ca="1">IFERROR(__xludf.DUMMYFUNCTION("IFERROR(SUBSTITUTE(SUBSTITUTE(REGEXEXTRACT(A10391, ""[^-]+- [^-]+- [^-]+ - (.+?)\.jpg""), "".jpg"", """"), ""-"", "", ""), """")"),"")</f>
        <v/>
      </c>
      <c r="L10391" s="12"/>
      <c r="M10391" s="13"/>
      <c r="N10391" s="2"/>
      <c r="O10391" s="20"/>
      <c r="P10391" s="42"/>
      <c r="R10391" s="23"/>
    </row>
    <row r="10392" spans="1:18" ht="12.75">
      <c r="A10392" s="12"/>
      <c r="D10392" s="12"/>
      <c r="E10392" s="12"/>
      <c r="H10392" s="11" t="str">
        <f ca="1">IFERROR(__xludf.DUMMYFUNCTION("IFERROR(SUBSTITUTE(SUBSTITUTE(REGEXEXTRACT(A10392, ""[^-]+- [^-]+- [^-]+ - (.+?)\.jpg""), "".jpg"", """"), ""-"", "", ""), """")"),"")</f>
        <v/>
      </c>
      <c r="L10392" s="12"/>
      <c r="M10392" s="13"/>
      <c r="N10392" s="2"/>
      <c r="O10392" s="20"/>
      <c r="P10392" s="42"/>
      <c r="R10392" s="23"/>
    </row>
    <row r="10393" spans="1:18" ht="12.75">
      <c r="A10393" s="12"/>
      <c r="D10393" s="12"/>
      <c r="E10393" s="12"/>
      <c r="H10393" s="11" t="str">
        <f ca="1">IFERROR(__xludf.DUMMYFUNCTION("IFERROR(SUBSTITUTE(SUBSTITUTE(REGEXEXTRACT(A10393, ""[^-]+- [^-]+- [^-]+ - (.+?)\.jpg""), "".jpg"", """"), ""-"", "", ""), """")"),"")</f>
        <v/>
      </c>
      <c r="L10393" s="12"/>
      <c r="M10393" s="13"/>
      <c r="N10393" s="2"/>
      <c r="O10393" s="20"/>
      <c r="P10393" s="42"/>
      <c r="R10393" s="23"/>
    </row>
    <row r="10394" spans="1:18" ht="12.75">
      <c r="A10394" s="12"/>
      <c r="D10394" s="12"/>
      <c r="E10394" s="12"/>
      <c r="H10394" s="11" t="str">
        <f ca="1">IFERROR(__xludf.DUMMYFUNCTION("IFERROR(SUBSTITUTE(SUBSTITUTE(REGEXEXTRACT(A10394, ""[^-]+- [^-]+- [^-]+ - (.+?)\.jpg""), "".jpg"", """"), ""-"", "", ""), """")"),"")</f>
        <v/>
      </c>
      <c r="L10394" s="12"/>
      <c r="M10394" s="13"/>
      <c r="N10394" s="2"/>
      <c r="O10394" s="20"/>
      <c r="P10394" s="42"/>
      <c r="R10394" s="23"/>
    </row>
    <row r="10395" spans="1:18" ht="12.75">
      <c r="A10395" s="12"/>
      <c r="D10395" s="12"/>
      <c r="E10395" s="12"/>
      <c r="H10395" s="11" t="str">
        <f ca="1">IFERROR(__xludf.DUMMYFUNCTION("IFERROR(SUBSTITUTE(SUBSTITUTE(REGEXEXTRACT(A10395, ""[^-]+- [^-]+- [^-]+ - (.+?)\.jpg""), "".jpg"", """"), ""-"", "", ""), """")"),"")</f>
        <v/>
      </c>
      <c r="L10395" s="12"/>
      <c r="M10395" s="13"/>
      <c r="N10395" s="2"/>
      <c r="O10395" s="20"/>
      <c r="P10395" s="42"/>
      <c r="R10395" s="23"/>
    </row>
    <row r="10396" spans="1:18" ht="12.75">
      <c r="A10396" s="12"/>
      <c r="D10396" s="12"/>
      <c r="E10396" s="12"/>
      <c r="H10396" s="11" t="str">
        <f ca="1">IFERROR(__xludf.DUMMYFUNCTION("IFERROR(SUBSTITUTE(SUBSTITUTE(REGEXEXTRACT(A10396, ""[^-]+- [^-]+- [^-]+ - (.+?)\.jpg""), "".jpg"", """"), ""-"", "", ""), """")"),"")</f>
        <v/>
      </c>
      <c r="L10396" s="12"/>
      <c r="M10396" s="13"/>
      <c r="N10396" s="2"/>
      <c r="O10396" s="20"/>
      <c r="P10396" s="42"/>
      <c r="R10396" s="23"/>
    </row>
    <row r="10397" spans="1:18" ht="12.75">
      <c r="A10397" s="12"/>
      <c r="D10397" s="12"/>
      <c r="E10397" s="12"/>
      <c r="H10397" s="11" t="str">
        <f ca="1">IFERROR(__xludf.DUMMYFUNCTION("IFERROR(SUBSTITUTE(SUBSTITUTE(REGEXEXTRACT(A10397, ""[^-]+- [^-]+- [^-]+ - (.+?)\.jpg""), "".jpg"", """"), ""-"", "", ""), """")"),"")</f>
        <v/>
      </c>
      <c r="L10397" s="12"/>
      <c r="M10397" s="13"/>
      <c r="N10397" s="2"/>
      <c r="O10397" s="20"/>
      <c r="P10397" s="42"/>
      <c r="R10397" s="23"/>
    </row>
    <row r="10398" spans="1:18" ht="12.75">
      <c r="A10398" s="12"/>
      <c r="D10398" s="12"/>
      <c r="E10398" s="12"/>
      <c r="H10398" s="11" t="str">
        <f ca="1">IFERROR(__xludf.DUMMYFUNCTION("IFERROR(SUBSTITUTE(SUBSTITUTE(REGEXEXTRACT(A10398, ""[^-]+- [^-]+- [^-]+ - (.+?)\.jpg""), "".jpg"", """"), ""-"", "", ""), """")"),"")</f>
        <v/>
      </c>
      <c r="L10398" s="12"/>
      <c r="M10398" s="13"/>
      <c r="N10398" s="2"/>
      <c r="O10398" s="20"/>
      <c r="P10398" s="42"/>
      <c r="R10398" s="23"/>
    </row>
    <row r="10399" spans="1:18" ht="12.75">
      <c r="A10399" s="12"/>
      <c r="D10399" s="12"/>
      <c r="E10399" s="12"/>
      <c r="H10399" s="11" t="str">
        <f ca="1">IFERROR(__xludf.DUMMYFUNCTION("IFERROR(SUBSTITUTE(SUBSTITUTE(REGEXEXTRACT(A10399, ""[^-]+- [^-]+- [^-]+ - (.+?)\.jpg""), "".jpg"", """"), ""-"", "", ""), """")"),"")</f>
        <v/>
      </c>
      <c r="L10399" s="12"/>
      <c r="M10399" s="13"/>
      <c r="N10399" s="2"/>
      <c r="O10399" s="20"/>
      <c r="P10399" s="42"/>
      <c r="R10399" s="23"/>
    </row>
    <row r="10400" spans="1:18" ht="12.75">
      <c r="A10400" s="12"/>
      <c r="D10400" s="12"/>
      <c r="E10400" s="12"/>
      <c r="H10400" s="11" t="str">
        <f ca="1">IFERROR(__xludf.DUMMYFUNCTION("IFERROR(SUBSTITUTE(SUBSTITUTE(REGEXEXTRACT(A10400, ""[^-]+- [^-]+- [^-]+ - (.+?)\.jpg""), "".jpg"", """"), ""-"", "", ""), """")"),"")</f>
        <v/>
      </c>
      <c r="L10400" s="12"/>
      <c r="M10400" s="13"/>
      <c r="N10400" s="2"/>
      <c r="O10400" s="20"/>
      <c r="P10400" s="42"/>
      <c r="R10400" s="23"/>
    </row>
    <row r="10401" spans="1:18" ht="12.75">
      <c r="A10401" s="12"/>
      <c r="D10401" s="12"/>
      <c r="E10401" s="12"/>
      <c r="H10401" s="11" t="str">
        <f ca="1">IFERROR(__xludf.DUMMYFUNCTION("IFERROR(SUBSTITUTE(SUBSTITUTE(REGEXEXTRACT(A10401, ""[^-]+- [^-]+- [^-]+ - (.+?)\.jpg""), "".jpg"", """"), ""-"", "", ""), """")"),"")</f>
        <v/>
      </c>
      <c r="L10401" s="12"/>
      <c r="M10401" s="13"/>
      <c r="N10401" s="2"/>
      <c r="O10401" s="20"/>
      <c r="P10401" s="42"/>
      <c r="R10401" s="23"/>
    </row>
    <row r="10402" spans="1:18" ht="12.75">
      <c r="A10402" s="12"/>
      <c r="D10402" s="12"/>
      <c r="E10402" s="12"/>
      <c r="H10402" s="11" t="str">
        <f ca="1">IFERROR(__xludf.DUMMYFUNCTION("IFERROR(SUBSTITUTE(SUBSTITUTE(REGEXEXTRACT(A10402, ""[^-]+- [^-]+- [^-]+ - (.+?)\.jpg""), "".jpg"", """"), ""-"", "", ""), """")"),"")</f>
        <v/>
      </c>
      <c r="L10402" s="12"/>
      <c r="M10402" s="13"/>
      <c r="N10402" s="2"/>
      <c r="O10402" s="20"/>
      <c r="P10402" s="42"/>
      <c r="R10402" s="23"/>
    </row>
    <row r="10403" spans="1:18" ht="12.75">
      <c r="A10403" s="12"/>
      <c r="D10403" s="12"/>
      <c r="E10403" s="12"/>
      <c r="H10403" s="11" t="str">
        <f ca="1">IFERROR(__xludf.DUMMYFUNCTION("IFERROR(SUBSTITUTE(SUBSTITUTE(REGEXEXTRACT(A10403, ""[^-]+- [^-]+- [^-]+ - (.+?)\.jpg""), "".jpg"", """"), ""-"", "", ""), """")"),"")</f>
        <v/>
      </c>
      <c r="L10403" s="12"/>
      <c r="M10403" s="13"/>
      <c r="N10403" s="2"/>
      <c r="O10403" s="20"/>
      <c r="P10403" s="42"/>
      <c r="R10403" s="23"/>
    </row>
    <row r="10404" spans="1:18" ht="12.75">
      <c r="A10404" s="12"/>
      <c r="D10404" s="12"/>
      <c r="E10404" s="12"/>
      <c r="H10404" s="11" t="str">
        <f ca="1">IFERROR(__xludf.DUMMYFUNCTION("IFERROR(SUBSTITUTE(SUBSTITUTE(REGEXEXTRACT(A10404, ""[^-]+- [^-]+- [^-]+ - (.+?)\.jpg""), "".jpg"", """"), ""-"", "", ""), """")"),"")</f>
        <v/>
      </c>
      <c r="L10404" s="12"/>
      <c r="M10404" s="13"/>
      <c r="N10404" s="2"/>
      <c r="O10404" s="20"/>
      <c r="P10404" s="42"/>
      <c r="R10404" s="23"/>
    </row>
    <row r="10405" spans="1:18" ht="12.75">
      <c r="A10405" s="12"/>
      <c r="D10405" s="12"/>
      <c r="E10405" s="12"/>
      <c r="H10405" s="11" t="str">
        <f ca="1">IFERROR(__xludf.DUMMYFUNCTION("IFERROR(SUBSTITUTE(SUBSTITUTE(REGEXEXTRACT(A10405, ""[^-]+- [^-]+- [^-]+ - (.+?)\.jpg""), "".jpg"", """"), ""-"", "", ""), """")"),"")</f>
        <v/>
      </c>
      <c r="L10405" s="12"/>
      <c r="M10405" s="13"/>
      <c r="N10405" s="2"/>
      <c r="O10405" s="20"/>
      <c r="P10405" s="42"/>
      <c r="R10405" s="23"/>
    </row>
    <row r="10406" spans="1:18" ht="12.75">
      <c r="A10406" s="12"/>
      <c r="D10406" s="12"/>
      <c r="E10406" s="12"/>
      <c r="H10406" s="11" t="str">
        <f ca="1">IFERROR(__xludf.DUMMYFUNCTION("IFERROR(SUBSTITUTE(SUBSTITUTE(REGEXEXTRACT(A10406, ""[^-]+- [^-]+- [^-]+ - (.+?)\.jpg""), "".jpg"", """"), ""-"", "", ""), """")"),"")</f>
        <v/>
      </c>
      <c r="L10406" s="12"/>
      <c r="M10406" s="13"/>
      <c r="N10406" s="2"/>
      <c r="O10406" s="20"/>
      <c r="P10406" s="42"/>
      <c r="R10406" s="23"/>
    </row>
    <row r="10407" spans="1:18" ht="12.75">
      <c r="A10407" s="12"/>
      <c r="D10407" s="12"/>
      <c r="E10407" s="12"/>
      <c r="H10407" s="11" t="str">
        <f ca="1">IFERROR(__xludf.DUMMYFUNCTION("IFERROR(SUBSTITUTE(SUBSTITUTE(REGEXEXTRACT(A10407, ""[^-]+- [^-]+- [^-]+ - (.+?)\.jpg""), "".jpg"", """"), ""-"", "", ""), """")"),"")</f>
        <v/>
      </c>
      <c r="L10407" s="12"/>
      <c r="M10407" s="13"/>
      <c r="N10407" s="2"/>
      <c r="O10407" s="20"/>
      <c r="P10407" s="42"/>
      <c r="R10407" s="23"/>
    </row>
    <row r="10408" spans="1:18" ht="12.75">
      <c r="A10408" s="12"/>
      <c r="D10408" s="12"/>
      <c r="E10408" s="12"/>
      <c r="H10408" s="11" t="str">
        <f ca="1">IFERROR(__xludf.DUMMYFUNCTION("IFERROR(SUBSTITUTE(SUBSTITUTE(REGEXEXTRACT(A10408, ""[^-]+- [^-]+- [^-]+ - (.+?)\.jpg""), "".jpg"", """"), ""-"", "", ""), """")"),"")</f>
        <v/>
      </c>
      <c r="L10408" s="12"/>
      <c r="M10408" s="13"/>
      <c r="N10408" s="2"/>
      <c r="O10408" s="20"/>
      <c r="P10408" s="42"/>
      <c r="R10408" s="23"/>
    </row>
    <row r="10409" spans="1:18" ht="12.75">
      <c r="A10409" s="12"/>
      <c r="D10409" s="12"/>
      <c r="E10409" s="12"/>
      <c r="H10409" s="11" t="str">
        <f ca="1">IFERROR(__xludf.DUMMYFUNCTION("IFERROR(SUBSTITUTE(SUBSTITUTE(REGEXEXTRACT(A10409, ""[^-]+- [^-]+- [^-]+ - (.+?)\.jpg""), "".jpg"", """"), ""-"", "", ""), """")"),"")</f>
        <v/>
      </c>
      <c r="L10409" s="12"/>
      <c r="M10409" s="13"/>
      <c r="N10409" s="2"/>
      <c r="O10409" s="20"/>
      <c r="P10409" s="42"/>
      <c r="R10409" s="23"/>
    </row>
    <row r="10410" spans="1:18" ht="12.75">
      <c r="A10410" s="12"/>
      <c r="D10410" s="12"/>
      <c r="E10410" s="12"/>
      <c r="H10410" s="11" t="str">
        <f ca="1">IFERROR(__xludf.DUMMYFUNCTION("IFERROR(SUBSTITUTE(SUBSTITUTE(REGEXEXTRACT(A10410, ""[^-]+- [^-]+- [^-]+ - (.+?)\.jpg""), "".jpg"", """"), ""-"", "", ""), """")"),"")</f>
        <v/>
      </c>
      <c r="L10410" s="12"/>
      <c r="M10410" s="13"/>
      <c r="N10410" s="2"/>
      <c r="O10410" s="20"/>
      <c r="P10410" s="42"/>
      <c r="R10410" s="23"/>
    </row>
    <row r="10411" spans="1:18" ht="12.75">
      <c r="A10411" s="12"/>
      <c r="D10411" s="12"/>
      <c r="E10411" s="12"/>
      <c r="H10411" s="11" t="str">
        <f ca="1">IFERROR(__xludf.DUMMYFUNCTION("IFERROR(SUBSTITUTE(SUBSTITUTE(REGEXEXTRACT(A10411, ""[^-]+- [^-]+- [^-]+ - (.+?)\.jpg""), "".jpg"", """"), ""-"", "", ""), """")"),"")</f>
        <v/>
      </c>
      <c r="L10411" s="12"/>
      <c r="M10411" s="13"/>
      <c r="N10411" s="2"/>
      <c r="O10411" s="20"/>
      <c r="P10411" s="42"/>
      <c r="R10411" s="23"/>
    </row>
    <row r="10412" spans="1:18" ht="12.75">
      <c r="A10412" s="12"/>
      <c r="D10412" s="12"/>
      <c r="E10412" s="12"/>
      <c r="H10412" s="11" t="str">
        <f ca="1">IFERROR(__xludf.DUMMYFUNCTION("IFERROR(SUBSTITUTE(SUBSTITUTE(REGEXEXTRACT(A10412, ""[^-]+- [^-]+- [^-]+ - (.+?)\.jpg""), "".jpg"", """"), ""-"", "", ""), """")"),"")</f>
        <v/>
      </c>
      <c r="L10412" s="12"/>
      <c r="M10412" s="13"/>
      <c r="N10412" s="2"/>
      <c r="O10412" s="20"/>
      <c r="P10412" s="42"/>
      <c r="R10412" s="23"/>
    </row>
    <row r="10413" spans="1:18" ht="12.75">
      <c r="A10413" s="12"/>
      <c r="D10413" s="12"/>
      <c r="E10413" s="12"/>
      <c r="H10413" s="11" t="str">
        <f ca="1">IFERROR(__xludf.DUMMYFUNCTION("IFERROR(SUBSTITUTE(SUBSTITUTE(REGEXEXTRACT(A10413, ""[^-]+- [^-]+- [^-]+ - (.+?)\.jpg""), "".jpg"", """"), ""-"", "", ""), """")"),"")</f>
        <v/>
      </c>
      <c r="L10413" s="12"/>
      <c r="M10413" s="13"/>
      <c r="N10413" s="2"/>
      <c r="O10413" s="20"/>
      <c r="P10413" s="42"/>
      <c r="R10413" s="23"/>
    </row>
    <row r="10414" spans="1:18" ht="12.75">
      <c r="A10414" s="12"/>
      <c r="D10414" s="12"/>
      <c r="E10414" s="12"/>
      <c r="H10414" s="11" t="str">
        <f ca="1">IFERROR(__xludf.DUMMYFUNCTION("IFERROR(SUBSTITUTE(SUBSTITUTE(REGEXEXTRACT(A10414, ""[^-]+- [^-]+- [^-]+ - (.+?)\.jpg""), "".jpg"", """"), ""-"", "", ""), """")"),"")</f>
        <v/>
      </c>
      <c r="L10414" s="12"/>
      <c r="M10414" s="13"/>
      <c r="N10414" s="2"/>
      <c r="O10414" s="20"/>
      <c r="P10414" s="42"/>
      <c r="R10414" s="23"/>
    </row>
    <row r="10415" spans="1:18" ht="12.75">
      <c r="A10415" s="12"/>
      <c r="D10415" s="12"/>
      <c r="E10415" s="12"/>
      <c r="H10415" s="11" t="str">
        <f ca="1">IFERROR(__xludf.DUMMYFUNCTION("IFERROR(SUBSTITUTE(SUBSTITUTE(REGEXEXTRACT(A10415, ""[^-]+- [^-]+- [^-]+ - (.+?)\.jpg""), "".jpg"", """"), ""-"", "", ""), """")"),"")</f>
        <v/>
      </c>
      <c r="L10415" s="12"/>
      <c r="M10415" s="13"/>
      <c r="N10415" s="2"/>
      <c r="O10415" s="20"/>
      <c r="P10415" s="42"/>
      <c r="R10415" s="23"/>
    </row>
    <row r="10416" spans="1:18" ht="12.75">
      <c r="A10416" s="12"/>
      <c r="D10416" s="12"/>
      <c r="E10416" s="12"/>
      <c r="H10416" s="11" t="str">
        <f ca="1">IFERROR(__xludf.DUMMYFUNCTION("IFERROR(SUBSTITUTE(SUBSTITUTE(REGEXEXTRACT(A10416, ""[^-]+- [^-]+- [^-]+ - (.+?)\.jpg""), "".jpg"", """"), ""-"", "", ""), """")"),"")</f>
        <v/>
      </c>
      <c r="L10416" s="12"/>
      <c r="M10416" s="13"/>
      <c r="N10416" s="2"/>
      <c r="O10416" s="20"/>
      <c r="P10416" s="42"/>
      <c r="R10416" s="23"/>
    </row>
    <row r="10417" spans="1:18" ht="12.75">
      <c r="A10417" s="12"/>
      <c r="D10417" s="12"/>
      <c r="E10417" s="12"/>
      <c r="H10417" s="11" t="str">
        <f ca="1">IFERROR(__xludf.DUMMYFUNCTION("IFERROR(SUBSTITUTE(SUBSTITUTE(REGEXEXTRACT(A10417, ""[^-]+- [^-]+- [^-]+ - (.+?)\.jpg""), "".jpg"", """"), ""-"", "", ""), """")"),"")</f>
        <v/>
      </c>
      <c r="L10417" s="12"/>
      <c r="M10417" s="13"/>
      <c r="N10417" s="2"/>
      <c r="O10417" s="20"/>
      <c r="P10417" s="42"/>
      <c r="R10417" s="23"/>
    </row>
    <row r="10418" spans="1:18" ht="12.75">
      <c r="A10418" s="12"/>
      <c r="D10418" s="12"/>
      <c r="E10418" s="12"/>
      <c r="H10418" s="11" t="str">
        <f ca="1">IFERROR(__xludf.DUMMYFUNCTION("IFERROR(SUBSTITUTE(SUBSTITUTE(REGEXEXTRACT(A10418, ""[^-]+- [^-]+- [^-]+ - (.+?)\.jpg""), "".jpg"", """"), ""-"", "", ""), """")"),"")</f>
        <v/>
      </c>
      <c r="L10418" s="12"/>
      <c r="M10418" s="13"/>
      <c r="N10418" s="2"/>
      <c r="O10418" s="20"/>
      <c r="P10418" s="42"/>
      <c r="R10418" s="23"/>
    </row>
    <row r="10419" spans="1:18" ht="12.75">
      <c r="A10419" s="12"/>
      <c r="D10419" s="12"/>
      <c r="E10419" s="12"/>
      <c r="H10419" s="11" t="str">
        <f ca="1">IFERROR(__xludf.DUMMYFUNCTION("IFERROR(SUBSTITUTE(SUBSTITUTE(REGEXEXTRACT(A10419, ""[^-]+- [^-]+- [^-]+ - (.+?)\.jpg""), "".jpg"", """"), ""-"", "", ""), """")"),"")</f>
        <v/>
      </c>
      <c r="L10419" s="12"/>
      <c r="M10419" s="13"/>
      <c r="N10419" s="2"/>
      <c r="O10419" s="20"/>
      <c r="P10419" s="42"/>
      <c r="R10419" s="23"/>
    </row>
    <row r="10420" spans="1:18" ht="12.75">
      <c r="A10420" s="12"/>
      <c r="D10420" s="12"/>
      <c r="E10420" s="12"/>
      <c r="H10420" s="11" t="str">
        <f ca="1">IFERROR(__xludf.DUMMYFUNCTION("IFERROR(SUBSTITUTE(SUBSTITUTE(REGEXEXTRACT(A10420, ""[^-]+- [^-]+- [^-]+ - (.+?)\.jpg""), "".jpg"", """"), ""-"", "", ""), """")"),"")</f>
        <v/>
      </c>
      <c r="L10420" s="12"/>
      <c r="M10420" s="13"/>
      <c r="N10420" s="2"/>
      <c r="O10420" s="20"/>
      <c r="P10420" s="42"/>
      <c r="R10420" s="23"/>
    </row>
    <row r="10421" spans="1:18" ht="12.75">
      <c r="A10421" s="12"/>
      <c r="D10421" s="12"/>
      <c r="E10421" s="12"/>
      <c r="H10421" s="11" t="str">
        <f ca="1">IFERROR(__xludf.DUMMYFUNCTION("IFERROR(SUBSTITUTE(SUBSTITUTE(REGEXEXTRACT(A10421, ""[^-]+- [^-]+- [^-]+ - (.+?)\.jpg""), "".jpg"", """"), ""-"", "", ""), """")"),"")</f>
        <v/>
      </c>
      <c r="L10421" s="12"/>
      <c r="M10421" s="13"/>
      <c r="N10421" s="2"/>
      <c r="O10421" s="20"/>
      <c r="P10421" s="42"/>
      <c r="R10421" s="23"/>
    </row>
    <row r="10422" spans="1:18" ht="12.75">
      <c r="A10422" s="12"/>
      <c r="D10422" s="12"/>
      <c r="E10422" s="12"/>
      <c r="H10422" s="11" t="str">
        <f ca="1">IFERROR(__xludf.DUMMYFUNCTION("IFERROR(SUBSTITUTE(SUBSTITUTE(REGEXEXTRACT(A10422, ""[^-]+- [^-]+- [^-]+ - (.+?)\.jpg""), "".jpg"", """"), ""-"", "", ""), """")"),"")</f>
        <v/>
      </c>
      <c r="L10422" s="12"/>
      <c r="M10422" s="13"/>
      <c r="N10422" s="2"/>
      <c r="O10422" s="20"/>
      <c r="P10422" s="42"/>
      <c r="R10422" s="23"/>
    </row>
    <row r="10423" spans="1:18" ht="12.75">
      <c r="A10423" s="12"/>
      <c r="D10423" s="12"/>
      <c r="E10423" s="12"/>
      <c r="H10423" s="11" t="str">
        <f ca="1">IFERROR(__xludf.DUMMYFUNCTION("IFERROR(SUBSTITUTE(SUBSTITUTE(REGEXEXTRACT(A10423, ""[^-]+- [^-]+- [^-]+ - (.+?)\.jpg""), "".jpg"", """"), ""-"", "", ""), """")"),"")</f>
        <v/>
      </c>
      <c r="L10423" s="12"/>
      <c r="M10423" s="13"/>
      <c r="N10423" s="2"/>
      <c r="O10423" s="20"/>
      <c r="P10423" s="42"/>
      <c r="R10423" s="23"/>
    </row>
    <row r="10424" spans="1:18" ht="12.75">
      <c r="A10424" s="12"/>
      <c r="D10424" s="12"/>
      <c r="E10424" s="12"/>
      <c r="H10424" s="11" t="str">
        <f ca="1">IFERROR(__xludf.DUMMYFUNCTION("IFERROR(SUBSTITUTE(SUBSTITUTE(REGEXEXTRACT(A10424, ""[^-]+- [^-]+- [^-]+ - (.+?)\.jpg""), "".jpg"", """"), ""-"", "", ""), """")"),"")</f>
        <v/>
      </c>
      <c r="L10424" s="12"/>
      <c r="M10424" s="13"/>
      <c r="N10424" s="2"/>
      <c r="O10424" s="20"/>
      <c r="P10424" s="42"/>
      <c r="R10424" s="23"/>
    </row>
    <row r="10425" spans="1:18" ht="12.75">
      <c r="A10425" s="12"/>
      <c r="D10425" s="12"/>
      <c r="E10425" s="12"/>
      <c r="H10425" s="11" t="str">
        <f ca="1">IFERROR(__xludf.DUMMYFUNCTION("IFERROR(SUBSTITUTE(SUBSTITUTE(REGEXEXTRACT(A10425, ""[^-]+- [^-]+- [^-]+ - (.+?)\.jpg""), "".jpg"", """"), ""-"", "", ""), """")"),"")</f>
        <v/>
      </c>
      <c r="L10425" s="12"/>
      <c r="M10425" s="13"/>
      <c r="N10425" s="2"/>
      <c r="O10425" s="20"/>
      <c r="P10425" s="42"/>
      <c r="R10425" s="23"/>
    </row>
    <row r="10426" spans="1:18" ht="12.75">
      <c r="A10426" s="12"/>
      <c r="D10426" s="12"/>
      <c r="E10426" s="12"/>
      <c r="H10426" s="11" t="str">
        <f ca="1">IFERROR(__xludf.DUMMYFUNCTION("IFERROR(SUBSTITUTE(SUBSTITUTE(REGEXEXTRACT(A10426, ""[^-]+- [^-]+- [^-]+ - (.+?)\.jpg""), "".jpg"", """"), ""-"", "", ""), """")"),"")</f>
        <v/>
      </c>
      <c r="L10426" s="12"/>
      <c r="M10426" s="13"/>
      <c r="N10426" s="2"/>
      <c r="O10426" s="20"/>
      <c r="P10426" s="42"/>
      <c r="R10426" s="23"/>
    </row>
    <row r="10427" spans="1:18" ht="12.75">
      <c r="A10427" s="12"/>
      <c r="D10427" s="12"/>
      <c r="E10427" s="12"/>
      <c r="H10427" s="11" t="str">
        <f ca="1">IFERROR(__xludf.DUMMYFUNCTION("IFERROR(SUBSTITUTE(SUBSTITUTE(REGEXEXTRACT(A10427, ""[^-]+- [^-]+- [^-]+ - (.+?)\.jpg""), "".jpg"", """"), ""-"", "", ""), """")"),"")</f>
        <v/>
      </c>
      <c r="L10427" s="12"/>
      <c r="M10427" s="13"/>
      <c r="N10427" s="2"/>
      <c r="O10427" s="20"/>
      <c r="P10427" s="42"/>
      <c r="R10427" s="23"/>
    </row>
    <row r="10428" spans="1:18" ht="12.75">
      <c r="A10428" s="12"/>
      <c r="D10428" s="12"/>
      <c r="E10428" s="12"/>
      <c r="H10428" s="11" t="str">
        <f ca="1">IFERROR(__xludf.DUMMYFUNCTION("IFERROR(SUBSTITUTE(SUBSTITUTE(REGEXEXTRACT(A10428, ""[^-]+- [^-]+- [^-]+ - (.+?)\.jpg""), "".jpg"", """"), ""-"", "", ""), """")"),"")</f>
        <v/>
      </c>
      <c r="L10428" s="12"/>
      <c r="M10428" s="13"/>
      <c r="N10428" s="2"/>
      <c r="O10428" s="20"/>
      <c r="P10428" s="42"/>
      <c r="R10428" s="23"/>
    </row>
    <row r="10429" spans="1:18" ht="12.75">
      <c r="A10429" s="12"/>
      <c r="D10429" s="12"/>
      <c r="E10429" s="12"/>
      <c r="H10429" s="11" t="str">
        <f ca="1">IFERROR(__xludf.DUMMYFUNCTION("IFERROR(SUBSTITUTE(SUBSTITUTE(REGEXEXTRACT(A10429, ""[^-]+- [^-]+- [^-]+ - (.+?)\.jpg""), "".jpg"", """"), ""-"", "", ""), """")"),"")</f>
        <v/>
      </c>
      <c r="L10429" s="12"/>
      <c r="M10429" s="13"/>
      <c r="N10429" s="2"/>
      <c r="O10429" s="20"/>
      <c r="P10429" s="42"/>
      <c r="R10429" s="23"/>
    </row>
    <row r="10430" spans="1:18" ht="12.75">
      <c r="A10430" s="12"/>
      <c r="D10430" s="12"/>
      <c r="E10430" s="12"/>
      <c r="H10430" s="11" t="str">
        <f ca="1">IFERROR(__xludf.DUMMYFUNCTION("IFERROR(SUBSTITUTE(SUBSTITUTE(REGEXEXTRACT(A10430, ""[^-]+- [^-]+- [^-]+ - (.+?)\.jpg""), "".jpg"", """"), ""-"", "", ""), """")"),"")</f>
        <v/>
      </c>
      <c r="L10430" s="12"/>
      <c r="M10430" s="13"/>
      <c r="N10430" s="2"/>
      <c r="O10430" s="20"/>
      <c r="P10430" s="42"/>
      <c r="R10430" s="23"/>
    </row>
    <row r="10431" spans="1:18" ht="12.75">
      <c r="A10431" s="12"/>
      <c r="D10431" s="12"/>
      <c r="E10431" s="12"/>
      <c r="H10431" s="11" t="str">
        <f ca="1">IFERROR(__xludf.DUMMYFUNCTION("IFERROR(SUBSTITUTE(SUBSTITUTE(REGEXEXTRACT(A10431, ""[^-]+- [^-]+- [^-]+ - (.+?)\.jpg""), "".jpg"", """"), ""-"", "", ""), """")"),"")</f>
        <v/>
      </c>
      <c r="L10431" s="12"/>
      <c r="M10431" s="13"/>
      <c r="N10431" s="2"/>
      <c r="O10431" s="20"/>
      <c r="P10431" s="42"/>
      <c r="R10431" s="23"/>
    </row>
    <row r="10432" spans="1:18" ht="12.75">
      <c r="A10432" s="12"/>
      <c r="D10432" s="12"/>
      <c r="E10432" s="12"/>
      <c r="H10432" s="11" t="str">
        <f ca="1">IFERROR(__xludf.DUMMYFUNCTION("IFERROR(SUBSTITUTE(SUBSTITUTE(REGEXEXTRACT(A10432, ""[^-]+- [^-]+- [^-]+ - (.+?)\.jpg""), "".jpg"", """"), ""-"", "", ""), """")"),"")</f>
        <v/>
      </c>
      <c r="L10432" s="12"/>
      <c r="M10432" s="13"/>
      <c r="N10432" s="2"/>
      <c r="O10432" s="20"/>
      <c r="P10432" s="42"/>
      <c r="R10432" s="23"/>
    </row>
    <row r="10433" spans="1:18" ht="12.75">
      <c r="A10433" s="12"/>
      <c r="D10433" s="12"/>
      <c r="E10433" s="12"/>
      <c r="H10433" s="11" t="str">
        <f ca="1">IFERROR(__xludf.DUMMYFUNCTION("IFERROR(SUBSTITUTE(SUBSTITUTE(REGEXEXTRACT(A10433, ""[^-]+- [^-]+- [^-]+ - (.+?)\.jpg""), "".jpg"", """"), ""-"", "", ""), """")"),"")</f>
        <v/>
      </c>
      <c r="L10433" s="12"/>
      <c r="M10433" s="13"/>
      <c r="N10433" s="2"/>
      <c r="O10433" s="20"/>
      <c r="P10433" s="42"/>
      <c r="R10433" s="23"/>
    </row>
    <row r="10434" spans="1:18" ht="12.75">
      <c r="A10434" s="12"/>
      <c r="D10434" s="12"/>
      <c r="E10434" s="12"/>
      <c r="H10434" s="11" t="str">
        <f ca="1">IFERROR(__xludf.DUMMYFUNCTION("IFERROR(SUBSTITUTE(SUBSTITUTE(REGEXEXTRACT(A10434, ""[^-]+- [^-]+- [^-]+ - (.+?)\.jpg""), "".jpg"", """"), ""-"", "", ""), """")"),"")</f>
        <v/>
      </c>
      <c r="L10434" s="12"/>
      <c r="M10434" s="13"/>
      <c r="N10434" s="2"/>
      <c r="O10434" s="20"/>
      <c r="P10434" s="42"/>
      <c r="R10434" s="23"/>
    </row>
    <row r="10435" spans="1:18" ht="12.75">
      <c r="A10435" s="12"/>
      <c r="D10435" s="12"/>
      <c r="E10435" s="12"/>
      <c r="H10435" s="11" t="str">
        <f ca="1">IFERROR(__xludf.DUMMYFUNCTION("IFERROR(SUBSTITUTE(SUBSTITUTE(REGEXEXTRACT(A10435, ""[^-]+- [^-]+- [^-]+ - (.+?)\.jpg""), "".jpg"", """"), ""-"", "", ""), """")"),"")</f>
        <v/>
      </c>
      <c r="L10435" s="12"/>
      <c r="M10435" s="13"/>
      <c r="N10435" s="2"/>
      <c r="O10435" s="20"/>
      <c r="P10435" s="42"/>
      <c r="R10435" s="23"/>
    </row>
    <row r="10436" spans="1:18" ht="12.75">
      <c r="A10436" s="12"/>
      <c r="D10436" s="12"/>
      <c r="E10436" s="12"/>
      <c r="H10436" s="11" t="str">
        <f ca="1">IFERROR(__xludf.DUMMYFUNCTION("IFERROR(SUBSTITUTE(SUBSTITUTE(REGEXEXTRACT(A10436, ""[^-]+- [^-]+- [^-]+ - (.+?)\.jpg""), "".jpg"", """"), ""-"", "", ""), """")"),"")</f>
        <v/>
      </c>
      <c r="L10436" s="12"/>
      <c r="M10436" s="13"/>
      <c r="N10436" s="2"/>
      <c r="O10436" s="20"/>
      <c r="P10436" s="42"/>
      <c r="R10436" s="23"/>
    </row>
    <row r="10437" spans="1:18" ht="12.75">
      <c r="A10437" s="12"/>
      <c r="D10437" s="12"/>
      <c r="E10437" s="12"/>
      <c r="H10437" s="11" t="str">
        <f ca="1">IFERROR(__xludf.DUMMYFUNCTION("IFERROR(SUBSTITUTE(SUBSTITUTE(REGEXEXTRACT(A10437, ""[^-]+- [^-]+- [^-]+ - (.+?)\.jpg""), "".jpg"", """"), ""-"", "", ""), """")"),"")</f>
        <v/>
      </c>
      <c r="L10437" s="12"/>
      <c r="M10437" s="13"/>
      <c r="N10437" s="2"/>
      <c r="O10437" s="20"/>
      <c r="P10437" s="42"/>
      <c r="R10437" s="23"/>
    </row>
    <row r="10438" spans="1:18" ht="12.75">
      <c r="A10438" s="12"/>
      <c r="D10438" s="12"/>
      <c r="E10438" s="12"/>
      <c r="H10438" s="11" t="str">
        <f ca="1">IFERROR(__xludf.DUMMYFUNCTION("IFERROR(SUBSTITUTE(SUBSTITUTE(REGEXEXTRACT(A10438, ""[^-]+- [^-]+- [^-]+ - (.+?)\.jpg""), "".jpg"", """"), ""-"", "", ""), """")"),"")</f>
        <v/>
      </c>
      <c r="L10438" s="12"/>
      <c r="M10438" s="13"/>
      <c r="N10438" s="2"/>
      <c r="O10438" s="20"/>
      <c r="P10438" s="42"/>
      <c r="R10438" s="23"/>
    </row>
    <row r="10439" spans="1:18" ht="12.75">
      <c r="A10439" s="12"/>
      <c r="D10439" s="12"/>
      <c r="E10439" s="12"/>
      <c r="H10439" s="11" t="str">
        <f ca="1">IFERROR(__xludf.DUMMYFUNCTION("IFERROR(SUBSTITUTE(SUBSTITUTE(REGEXEXTRACT(A10439, ""[^-]+- [^-]+- [^-]+ - (.+?)\.jpg""), "".jpg"", """"), ""-"", "", ""), """")"),"")</f>
        <v/>
      </c>
      <c r="L10439" s="12"/>
      <c r="M10439" s="13"/>
      <c r="N10439" s="2"/>
      <c r="O10439" s="20"/>
      <c r="P10439" s="42"/>
      <c r="R10439" s="23"/>
    </row>
    <row r="10440" spans="1:18" ht="12.75">
      <c r="A10440" s="12"/>
      <c r="D10440" s="12"/>
      <c r="E10440" s="12"/>
      <c r="H10440" s="11" t="str">
        <f ca="1">IFERROR(__xludf.DUMMYFUNCTION("IFERROR(SUBSTITUTE(SUBSTITUTE(REGEXEXTRACT(A10440, ""[^-]+- [^-]+- [^-]+ - (.+?)\.jpg""), "".jpg"", """"), ""-"", "", ""), """")"),"")</f>
        <v/>
      </c>
      <c r="L10440" s="12"/>
      <c r="M10440" s="13"/>
      <c r="N10440" s="2"/>
      <c r="O10440" s="20"/>
      <c r="P10440" s="42"/>
      <c r="R10440" s="23"/>
    </row>
    <row r="10441" spans="1:18" ht="12.75">
      <c r="A10441" s="12"/>
      <c r="D10441" s="12"/>
      <c r="E10441" s="12"/>
      <c r="H10441" s="11" t="str">
        <f ca="1">IFERROR(__xludf.DUMMYFUNCTION("IFERROR(SUBSTITUTE(SUBSTITUTE(REGEXEXTRACT(A10441, ""[^-]+- [^-]+- [^-]+ - (.+?)\.jpg""), "".jpg"", """"), ""-"", "", ""), """")"),"")</f>
        <v/>
      </c>
      <c r="L10441" s="12"/>
      <c r="M10441" s="13"/>
      <c r="N10441" s="2"/>
      <c r="O10441" s="20"/>
      <c r="P10441" s="42"/>
      <c r="R10441" s="23"/>
    </row>
    <row r="10442" spans="1:18" ht="12.75">
      <c r="A10442" s="12"/>
      <c r="D10442" s="12"/>
      <c r="E10442" s="12"/>
      <c r="H10442" s="11" t="str">
        <f ca="1">IFERROR(__xludf.DUMMYFUNCTION("IFERROR(SUBSTITUTE(SUBSTITUTE(REGEXEXTRACT(A10442, ""[^-]+- [^-]+- [^-]+ - (.+?)\.jpg""), "".jpg"", """"), ""-"", "", ""), """")"),"")</f>
        <v/>
      </c>
      <c r="L10442" s="12"/>
      <c r="M10442" s="13"/>
      <c r="N10442" s="2"/>
      <c r="O10442" s="20"/>
      <c r="P10442" s="42"/>
      <c r="R10442" s="23"/>
    </row>
    <row r="10443" spans="1:18" ht="12.75">
      <c r="A10443" s="12"/>
      <c r="D10443" s="12"/>
      <c r="E10443" s="12"/>
      <c r="H10443" s="11" t="str">
        <f ca="1">IFERROR(__xludf.DUMMYFUNCTION("IFERROR(SUBSTITUTE(SUBSTITUTE(REGEXEXTRACT(A10443, ""[^-]+- [^-]+- [^-]+ - (.+?)\.jpg""), "".jpg"", """"), ""-"", "", ""), """")"),"")</f>
        <v/>
      </c>
      <c r="L10443" s="12"/>
      <c r="M10443" s="13"/>
      <c r="N10443" s="2"/>
      <c r="O10443" s="20"/>
      <c r="P10443" s="42"/>
      <c r="R10443" s="23"/>
    </row>
    <row r="10444" spans="1:18" ht="12.75">
      <c r="A10444" s="12"/>
      <c r="D10444" s="12"/>
      <c r="E10444" s="12"/>
      <c r="H10444" s="11" t="str">
        <f ca="1">IFERROR(__xludf.DUMMYFUNCTION("IFERROR(SUBSTITUTE(SUBSTITUTE(REGEXEXTRACT(A10444, ""[^-]+- [^-]+- [^-]+ - (.+?)\.jpg""), "".jpg"", """"), ""-"", "", ""), """")"),"")</f>
        <v/>
      </c>
      <c r="L10444" s="12"/>
      <c r="M10444" s="13"/>
      <c r="N10444" s="2"/>
      <c r="O10444" s="20"/>
      <c r="P10444" s="42"/>
      <c r="R10444" s="23"/>
    </row>
    <row r="10445" spans="1:18" ht="12.75">
      <c r="A10445" s="12"/>
      <c r="D10445" s="12"/>
      <c r="E10445" s="12"/>
      <c r="H10445" s="11" t="str">
        <f ca="1">IFERROR(__xludf.DUMMYFUNCTION("IFERROR(SUBSTITUTE(SUBSTITUTE(REGEXEXTRACT(A10445, ""[^-]+- [^-]+- [^-]+ - (.+?)\.jpg""), "".jpg"", """"), ""-"", "", ""), """")"),"")</f>
        <v/>
      </c>
      <c r="L10445" s="12"/>
      <c r="M10445" s="13"/>
      <c r="N10445" s="2"/>
      <c r="O10445" s="20"/>
      <c r="P10445" s="42"/>
      <c r="R10445" s="23"/>
    </row>
    <row r="10446" spans="1:18" ht="12.75">
      <c r="A10446" s="12"/>
      <c r="D10446" s="12"/>
      <c r="E10446" s="12"/>
      <c r="H10446" s="11" t="str">
        <f ca="1">IFERROR(__xludf.DUMMYFUNCTION("IFERROR(SUBSTITUTE(SUBSTITUTE(REGEXEXTRACT(A10446, ""[^-]+- [^-]+- [^-]+ - (.+?)\.jpg""), "".jpg"", """"), ""-"", "", ""), """")"),"")</f>
        <v/>
      </c>
      <c r="L10446" s="12"/>
      <c r="M10446" s="13"/>
      <c r="N10446" s="2"/>
      <c r="O10446" s="20"/>
      <c r="P10446" s="42"/>
      <c r="R10446" s="23"/>
    </row>
    <row r="10447" spans="1:18" ht="12.75">
      <c r="A10447" s="12"/>
      <c r="D10447" s="12"/>
      <c r="E10447" s="12"/>
      <c r="H10447" s="11" t="str">
        <f ca="1">IFERROR(__xludf.DUMMYFUNCTION("IFERROR(SUBSTITUTE(SUBSTITUTE(REGEXEXTRACT(A10447, ""[^-]+- [^-]+- [^-]+ - (.+?)\.jpg""), "".jpg"", """"), ""-"", "", ""), """")"),"")</f>
        <v/>
      </c>
      <c r="L10447" s="12"/>
      <c r="M10447" s="13"/>
      <c r="N10447" s="2"/>
      <c r="O10447" s="20"/>
      <c r="P10447" s="42"/>
      <c r="R10447" s="23"/>
    </row>
    <row r="10448" spans="1:18" ht="12.75">
      <c r="A10448" s="12"/>
      <c r="D10448" s="12"/>
      <c r="E10448" s="12"/>
      <c r="H10448" s="11" t="str">
        <f ca="1">IFERROR(__xludf.DUMMYFUNCTION("IFERROR(SUBSTITUTE(SUBSTITUTE(REGEXEXTRACT(A10448, ""[^-]+- [^-]+- [^-]+ - (.+?)\.jpg""), "".jpg"", """"), ""-"", "", ""), """")"),"")</f>
        <v/>
      </c>
      <c r="L10448" s="12"/>
      <c r="M10448" s="13"/>
      <c r="N10448" s="2"/>
      <c r="O10448" s="20"/>
      <c r="P10448" s="42"/>
      <c r="R10448" s="23"/>
    </row>
    <row r="10449" spans="1:18" ht="12.75">
      <c r="A10449" s="12"/>
      <c r="D10449" s="12"/>
      <c r="E10449" s="12"/>
      <c r="H10449" s="11" t="str">
        <f ca="1">IFERROR(__xludf.DUMMYFUNCTION("IFERROR(SUBSTITUTE(SUBSTITUTE(REGEXEXTRACT(A10449, ""[^-]+- [^-]+- [^-]+ - (.+?)\.jpg""), "".jpg"", """"), ""-"", "", ""), """")"),"")</f>
        <v/>
      </c>
      <c r="L10449" s="12"/>
      <c r="M10449" s="13"/>
      <c r="N10449" s="2"/>
      <c r="O10449" s="20"/>
      <c r="P10449" s="42"/>
      <c r="R10449" s="23"/>
    </row>
    <row r="10450" spans="1:18" ht="12.75">
      <c r="A10450" s="12"/>
      <c r="D10450" s="12"/>
      <c r="E10450" s="12"/>
      <c r="H10450" s="11" t="str">
        <f ca="1">IFERROR(__xludf.DUMMYFUNCTION("IFERROR(SUBSTITUTE(SUBSTITUTE(REGEXEXTRACT(A10450, ""[^-]+- [^-]+- [^-]+ - (.+?)\.jpg""), "".jpg"", """"), ""-"", "", ""), """")"),"")</f>
        <v/>
      </c>
      <c r="L10450" s="12"/>
      <c r="M10450" s="13"/>
      <c r="N10450" s="2"/>
      <c r="O10450" s="20"/>
      <c r="P10450" s="42"/>
      <c r="R10450" s="23"/>
    </row>
    <row r="10451" spans="1:18" ht="12.75">
      <c r="A10451" s="12"/>
      <c r="D10451" s="12"/>
      <c r="E10451" s="12"/>
      <c r="H10451" s="11" t="str">
        <f ca="1">IFERROR(__xludf.DUMMYFUNCTION("IFERROR(SUBSTITUTE(SUBSTITUTE(REGEXEXTRACT(A10451, ""[^-]+- [^-]+- [^-]+ - (.+?)\.jpg""), "".jpg"", """"), ""-"", "", ""), """")"),"")</f>
        <v/>
      </c>
      <c r="L10451" s="12"/>
      <c r="M10451" s="13"/>
      <c r="N10451" s="2"/>
      <c r="O10451" s="20"/>
      <c r="P10451" s="42"/>
      <c r="R10451" s="23"/>
    </row>
    <row r="10452" spans="1:18" ht="12.75">
      <c r="A10452" s="12"/>
      <c r="D10452" s="12"/>
      <c r="E10452" s="12"/>
      <c r="H10452" s="11" t="str">
        <f ca="1">IFERROR(__xludf.DUMMYFUNCTION("IFERROR(SUBSTITUTE(SUBSTITUTE(REGEXEXTRACT(A10452, ""[^-]+- [^-]+- [^-]+ - (.+?)\.jpg""), "".jpg"", """"), ""-"", "", ""), """")"),"")</f>
        <v/>
      </c>
      <c r="L10452" s="12"/>
      <c r="M10452" s="13"/>
      <c r="N10452" s="2"/>
      <c r="O10452" s="20"/>
      <c r="P10452" s="42"/>
      <c r="R10452" s="23"/>
    </row>
    <row r="10453" spans="1:18" ht="12.75">
      <c r="A10453" s="12"/>
      <c r="D10453" s="12"/>
      <c r="E10453" s="12"/>
      <c r="H10453" s="11" t="str">
        <f ca="1">IFERROR(__xludf.DUMMYFUNCTION("IFERROR(SUBSTITUTE(SUBSTITUTE(REGEXEXTRACT(A10453, ""[^-]+- [^-]+- [^-]+ - (.+?)\.jpg""), "".jpg"", """"), ""-"", "", ""), """")"),"")</f>
        <v/>
      </c>
      <c r="L10453" s="12"/>
      <c r="M10453" s="13"/>
      <c r="N10453" s="2"/>
      <c r="O10453" s="20"/>
      <c r="P10453" s="42"/>
      <c r="R10453" s="23"/>
    </row>
    <row r="10454" spans="1:18" ht="12.75">
      <c r="A10454" s="12"/>
      <c r="D10454" s="12"/>
      <c r="E10454" s="12"/>
      <c r="H10454" s="11" t="str">
        <f ca="1">IFERROR(__xludf.DUMMYFUNCTION("IFERROR(SUBSTITUTE(SUBSTITUTE(REGEXEXTRACT(A10454, ""[^-]+- [^-]+- [^-]+ - (.+?)\.jpg""), "".jpg"", """"), ""-"", "", ""), """")"),"")</f>
        <v/>
      </c>
      <c r="L10454" s="12"/>
      <c r="M10454" s="13"/>
      <c r="N10454" s="2"/>
      <c r="O10454" s="20"/>
      <c r="P10454" s="42"/>
      <c r="R10454" s="23"/>
    </row>
    <row r="10455" spans="1:18" ht="12.75">
      <c r="A10455" s="12"/>
      <c r="D10455" s="12"/>
      <c r="E10455" s="12"/>
      <c r="H10455" s="11" t="str">
        <f ca="1">IFERROR(__xludf.DUMMYFUNCTION("IFERROR(SUBSTITUTE(SUBSTITUTE(REGEXEXTRACT(A10455, ""[^-]+- [^-]+- [^-]+ - (.+?)\.jpg""), "".jpg"", """"), ""-"", "", ""), """")"),"")</f>
        <v/>
      </c>
      <c r="L10455" s="12"/>
      <c r="M10455" s="13"/>
      <c r="N10455" s="2"/>
      <c r="O10455" s="20"/>
      <c r="P10455" s="42"/>
      <c r="R10455" s="23"/>
    </row>
    <row r="10456" spans="1:18" ht="12.75">
      <c r="A10456" s="12"/>
      <c r="D10456" s="12"/>
      <c r="E10456" s="12"/>
      <c r="H10456" s="11" t="str">
        <f ca="1">IFERROR(__xludf.DUMMYFUNCTION("IFERROR(SUBSTITUTE(SUBSTITUTE(REGEXEXTRACT(A10456, ""[^-]+- [^-]+- [^-]+ - (.+?)\.jpg""), "".jpg"", """"), ""-"", "", ""), """")"),"")</f>
        <v/>
      </c>
      <c r="L10456" s="12"/>
      <c r="M10456" s="13"/>
      <c r="N10456" s="2"/>
      <c r="O10456" s="20"/>
      <c r="P10456" s="42"/>
      <c r="R10456" s="23"/>
    </row>
    <row r="10457" spans="1:18" ht="12.75">
      <c r="A10457" s="12"/>
      <c r="D10457" s="12"/>
      <c r="E10457" s="12"/>
      <c r="H10457" s="11" t="str">
        <f ca="1">IFERROR(__xludf.DUMMYFUNCTION("IFERROR(SUBSTITUTE(SUBSTITUTE(REGEXEXTRACT(A10457, ""[^-]+- [^-]+- [^-]+ - (.+?)\.jpg""), "".jpg"", """"), ""-"", "", ""), """")"),"")</f>
        <v/>
      </c>
      <c r="L10457" s="12"/>
      <c r="M10457" s="13"/>
      <c r="N10457" s="2"/>
      <c r="O10457" s="20"/>
      <c r="P10457" s="42"/>
      <c r="R10457" s="23"/>
    </row>
    <row r="10458" spans="1:18" ht="12.75">
      <c r="A10458" s="12"/>
      <c r="D10458" s="12"/>
      <c r="E10458" s="12"/>
      <c r="H10458" s="11" t="str">
        <f ca="1">IFERROR(__xludf.DUMMYFUNCTION("IFERROR(SUBSTITUTE(SUBSTITUTE(REGEXEXTRACT(A10458, ""[^-]+- [^-]+- [^-]+ - (.+?)\.jpg""), "".jpg"", """"), ""-"", "", ""), """")"),"")</f>
        <v/>
      </c>
      <c r="L10458" s="12"/>
      <c r="M10458" s="13"/>
      <c r="N10458" s="2"/>
      <c r="O10458" s="20"/>
      <c r="P10458" s="42"/>
      <c r="R10458" s="23"/>
    </row>
    <row r="10459" spans="1:18" ht="12.75">
      <c r="A10459" s="12"/>
      <c r="D10459" s="12"/>
      <c r="E10459" s="12"/>
      <c r="H10459" s="11" t="str">
        <f ca="1">IFERROR(__xludf.DUMMYFUNCTION("IFERROR(SUBSTITUTE(SUBSTITUTE(REGEXEXTRACT(A10459, ""[^-]+- [^-]+- [^-]+ - (.+?)\.jpg""), "".jpg"", """"), ""-"", "", ""), """")"),"")</f>
        <v/>
      </c>
      <c r="L10459" s="12"/>
      <c r="M10459" s="13"/>
      <c r="N10459" s="2"/>
      <c r="O10459" s="20"/>
      <c r="P10459" s="42"/>
      <c r="R10459" s="23"/>
    </row>
    <row r="10460" spans="1:18" ht="12.75">
      <c r="A10460" s="12"/>
      <c r="D10460" s="12"/>
      <c r="E10460" s="12"/>
      <c r="H10460" s="11" t="str">
        <f ca="1">IFERROR(__xludf.DUMMYFUNCTION("IFERROR(SUBSTITUTE(SUBSTITUTE(REGEXEXTRACT(A10460, ""[^-]+- [^-]+- [^-]+ - (.+?)\.jpg""), "".jpg"", """"), ""-"", "", ""), """")"),"")</f>
        <v/>
      </c>
      <c r="L10460" s="12"/>
      <c r="M10460" s="13"/>
      <c r="N10460" s="2"/>
      <c r="O10460" s="20"/>
      <c r="P10460" s="42"/>
      <c r="R10460" s="23"/>
    </row>
    <row r="10461" spans="1:18" ht="12.75">
      <c r="A10461" s="12"/>
      <c r="D10461" s="12"/>
      <c r="E10461" s="12"/>
      <c r="H10461" s="11" t="str">
        <f ca="1">IFERROR(__xludf.DUMMYFUNCTION("IFERROR(SUBSTITUTE(SUBSTITUTE(REGEXEXTRACT(A10461, ""[^-]+- [^-]+- [^-]+ - (.+?)\.jpg""), "".jpg"", """"), ""-"", "", ""), """")"),"")</f>
        <v/>
      </c>
      <c r="L10461" s="12"/>
      <c r="M10461" s="13"/>
      <c r="N10461" s="2"/>
      <c r="O10461" s="20"/>
      <c r="P10461" s="42"/>
      <c r="R10461" s="23"/>
    </row>
    <row r="10462" spans="1:18" ht="12.75">
      <c r="A10462" s="12"/>
      <c r="D10462" s="12"/>
      <c r="E10462" s="12"/>
      <c r="H10462" s="11" t="str">
        <f ca="1">IFERROR(__xludf.DUMMYFUNCTION("IFERROR(SUBSTITUTE(SUBSTITUTE(REGEXEXTRACT(A10462, ""[^-]+- [^-]+- [^-]+ - (.+?)\.jpg""), "".jpg"", """"), ""-"", "", ""), """")"),"")</f>
        <v/>
      </c>
      <c r="L10462" s="12"/>
      <c r="M10462" s="13"/>
      <c r="N10462" s="2"/>
      <c r="O10462" s="20"/>
      <c r="P10462" s="42"/>
      <c r="R10462" s="23"/>
    </row>
    <row r="10463" spans="1:18" ht="12.75">
      <c r="A10463" s="12"/>
      <c r="D10463" s="12"/>
      <c r="E10463" s="12"/>
      <c r="H10463" s="11" t="str">
        <f ca="1">IFERROR(__xludf.DUMMYFUNCTION("IFERROR(SUBSTITUTE(SUBSTITUTE(REGEXEXTRACT(A10463, ""[^-]+- [^-]+- [^-]+ - (.+?)\.jpg""), "".jpg"", """"), ""-"", "", ""), """")"),"")</f>
        <v/>
      </c>
      <c r="L10463" s="12"/>
      <c r="M10463" s="13"/>
      <c r="N10463" s="2"/>
      <c r="O10463" s="20"/>
      <c r="P10463" s="42"/>
      <c r="R10463" s="23"/>
    </row>
    <row r="10464" spans="1:18" ht="12.75">
      <c r="A10464" s="12"/>
      <c r="D10464" s="12"/>
      <c r="E10464" s="12"/>
      <c r="H10464" s="11" t="str">
        <f ca="1">IFERROR(__xludf.DUMMYFUNCTION("IFERROR(SUBSTITUTE(SUBSTITUTE(REGEXEXTRACT(A10464, ""[^-]+- [^-]+- [^-]+ - (.+?)\.jpg""), "".jpg"", """"), ""-"", "", ""), """")"),"")</f>
        <v/>
      </c>
      <c r="L10464" s="12"/>
      <c r="M10464" s="13"/>
      <c r="N10464" s="2"/>
      <c r="O10464" s="20"/>
      <c r="P10464" s="42"/>
      <c r="R10464" s="23"/>
    </row>
    <row r="10465" spans="1:18" ht="12.75">
      <c r="A10465" s="12"/>
      <c r="D10465" s="12"/>
      <c r="E10465" s="12"/>
      <c r="H10465" s="11" t="str">
        <f ca="1">IFERROR(__xludf.DUMMYFUNCTION("IFERROR(SUBSTITUTE(SUBSTITUTE(REGEXEXTRACT(A10465, ""[^-]+- [^-]+- [^-]+ - (.+?)\.jpg""), "".jpg"", """"), ""-"", "", ""), """")"),"")</f>
        <v/>
      </c>
      <c r="L10465" s="12"/>
      <c r="M10465" s="13"/>
      <c r="N10465" s="2"/>
      <c r="O10465" s="20"/>
      <c r="P10465" s="42"/>
      <c r="R10465" s="23"/>
    </row>
    <row r="10466" spans="1:18" ht="12.75">
      <c r="A10466" s="12"/>
      <c r="D10466" s="12"/>
      <c r="E10466" s="12"/>
      <c r="H10466" s="11" t="str">
        <f ca="1">IFERROR(__xludf.DUMMYFUNCTION("IFERROR(SUBSTITUTE(SUBSTITUTE(REGEXEXTRACT(A10466, ""[^-]+- [^-]+- [^-]+ - (.+?)\.jpg""), "".jpg"", """"), ""-"", "", ""), """")"),"")</f>
        <v/>
      </c>
      <c r="L10466" s="12"/>
      <c r="M10466" s="13"/>
      <c r="N10466" s="2"/>
      <c r="O10466" s="20"/>
      <c r="P10466" s="42"/>
      <c r="R10466" s="23"/>
    </row>
    <row r="10467" spans="1:18" ht="12.75">
      <c r="A10467" s="12"/>
      <c r="D10467" s="12"/>
      <c r="E10467" s="12"/>
      <c r="H10467" s="11" t="str">
        <f ca="1">IFERROR(__xludf.DUMMYFUNCTION("IFERROR(SUBSTITUTE(SUBSTITUTE(REGEXEXTRACT(A10467, ""[^-]+- [^-]+- [^-]+ - (.+?)\.jpg""), "".jpg"", """"), ""-"", "", ""), """")"),"")</f>
        <v/>
      </c>
      <c r="L10467" s="12"/>
      <c r="M10467" s="13"/>
      <c r="N10467" s="2"/>
      <c r="O10467" s="20"/>
      <c r="P10467" s="42"/>
      <c r="R10467" s="23"/>
    </row>
    <row r="10468" spans="1:18" ht="12.75">
      <c r="A10468" s="12"/>
      <c r="D10468" s="12"/>
      <c r="E10468" s="12"/>
      <c r="H10468" s="11" t="str">
        <f ca="1">IFERROR(__xludf.DUMMYFUNCTION("IFERROR(SUBSTITUTE(SUBSTITUTE(REGEXEXTRACT(A10468, ""[^-]+- [^-]+- [^-]+ - (.+?)\.jpg""), "".jpg"", """"), ""-"", "", ""), """")"),"")</f>
        <v/>
      </c>
      <c r="L10468" s="12"/>
      <c r="M10468" s="13"/>
      <c r="N10468" s="2"/>
      <c r="O10468" s="20"/>
      <c r="P10468" s="42"/>
      <c r="R10468" s="23"/>
    </row>
    <row r="10469" spans="1:18" ht="12.75">
      <c r="A10469" s="12"/>
      <c r="D10469" s="12"/>
      <c r="E10469" s="12"/>
      <c r="H10469" s="11" t="str">
        <f ca="1">IFERROR(__xludf.DUMMYFUNCTION("IFERROR(SUBSTITUTE(SUBSTITUTE(REGEXEXTRACT(A10469, ""[^-]+- [^-]+- [^-]+ - (.+?)\.jpg""), "".jpg"", """"), ""-"", "", ""), """")"),"")</f>
        <v/>
      </c>
      <c r="L10469" s="12"/>
      <c r="M10469" s="13"/>
      <c r="N10469" s="2"/>
      <c r="O10469" s="20"/>
      <c r="P10469" s="42"/>
      <c r="R10469" s="23"/>
    </row>
    <row r="10470" spans="1:18" ht="12.75">
      <c r="A10470" s="12"/>
      <c r="D10470" s="12"/>
      <c r="E10470" s="12"/>
      <c r="H10470" s="11" t="str">
        <f ca="1">IFERROR(__xludf.DUMMYFUNCTION("IFERROR(SUBSTITUTE(SUBSTITUTE(REGEXEXTRACT(A10470, ""[^-]+- [^-]+- [^-]+ - (.+?)\.jpg""), "".jpg"", """"), ""-"", "", ""), """")"),"")</f>
        <v/>
      </c>
      <c r="L10470" s="12"/>
      <c r="M10470" s="13"/>
      <c r="N10470" s="2"/>
      <c r="O10470" s="20"/>
      <c r="P10470" s="42"/>
      <c r="R10470" s="23"/>
    </row>
    <row r="10471" spans="1:18" ht="12.75">
      <c r="A10471" s="12"/>
      <c r="D10471" s="12"/>
      <c r="E10471" s="12"/>
      <c r="H10471" s="11" t="str">
        <f ca="1">IFERROR(__xludf.DUMMYFUNCTION("IFERROR(SUBSTITUTE(SUBSTITUTE(REGEXEXTRACT(A10471, ""[^-]+- [^-]+- [^-]+ - (.+?)\.jpg""), "".jpg"", """"), ""-"", "", ""), """")"),"")</f>
        <v/>
      </c>
      <c r="L10471" s="12"/>
      <c r="M10471" s="13"/>
      <c r="N10471" s="2"/>
      <c r="O10471" s="20"/>
      <c r="P10471" s="42"/>
      <c r="R10471" s="23"/>
    </row>
    <row r="10472" spans="1:18" ht="12.75">
      <c r="A10472" s="12"/>
      <c r="D10472" s="12"/>
      <c r="E10472" s="12"/>
      <c r="H10472" s="11" t="str">
        <f ca="1">IFERROR(__xludf.DUMMYFUNCTION("IFERROR(SUBSTITUTE(SUBSTITUTE(REGEXEXTRACT(A10472, ""[^-]+- [^-]+- [^-]+ - (.+?)\.jpg""), "".jpg"", """"), ""-"", "", ""), """")"),"")</f>
        <v/>
      </c>
      <c r="L10472" s="12"/>
      <c r="M10472" s="13"/>
      <c r="N10472" s="2"/>
      <c r="O10472" s="20"/>
      <c r="P10472" s="42"/>
      <c r="R10472" s="23"/>
    </row>
    <row r="10473" spans="1:18" ht="12.75">
      <c r="A10473" s="12"/>
      <c r="D10473" s="12"/>
      <c r="E10473" s="12"/>
      <c r="H10473" s="11" t="str">
        <f ca="1">IFERROR(__xludf.DUMMYFUNCTION("IFERROR(SUBSTITUTE(SUBSTITUTE(REGEXEXTRACT(A10473, ""[^-]+- [^-]+- [^-]+ - (.+?)\.jpg""), "".jpg"", """"), ""-"", "", ""), """")"),"")</f>
        <v/>
      </c>
      <c r="L10473" s="12"/>
      <c r="M10473" s="13"/>
      <c r="N10473" s="2"/>
      <c r="O10473" s="20"/>
      <c r="P10473" s="42"/>
      <c r="R10473" s="23"/>
    </row>
    <row r="10474" spans="1:18" ht="12.75">
      <c r="A10474" s="12"/>
      <c r="D10474" s="12"/>
      <c r="E10474" s="12"/>
      <c r="H10474" s="11" t="str">
        <f ca="1">IFERROR(__xludf.DUMMYFUNCTION("IFERROR(SUBSTITUTE(SUBSTITUTE(REGEXEXTRACT(A10474, ""[^-]+- [^-]+- [^-]+ - (.+?)\.jpg""), "".jpg"", """"), ""-"", "", ""), """")"),"")</f>
        <v/>
      </c>
      <c r="L10474" s="12"/>
      <c r="M10474" s="13"/>
      <c r="N10474" s="2"/>
      <c r="O10474" s="20"/>
      <c r="P10474" s="42"/>
      <c r="R10474" s="23"/>
    </row>
    <row r="10475" spans="1:18" ht="12.75">
      <c r="A10475" s="12"/>
      <c r="D10475" s="12"/>
      <c r="E10475" s="12"/>
      <c r="H10475" s="11" t="str">
        <f ca="1">IFERROR(__xludf.DUMMYFUNCTION("IFERROR(SUBSTITUTE(SUBSTITUTE(REGEXEXTRACT(A10475, ""[^-]+- [^-]+- [^-]+ - (.+?)\.jpg""), "".jpg"", """"), ""-"", "", ""), """")"),"")</f>
        <v/>
      </c>
      <c r="L10475" s="12"/>
      <c r="M10475" s="13"/>
      <c r="N10475" s="2"/>
      <c r="O10475" s="20"/>
      <c r="P10475" s="42"/>
      <c r="R10475" s="23"/>
    </row>
    <row r="10476" spans="1:18" ht="12.75">
      <c r="A10476" s="12"/>
      <c r="D10476" s="12"/>
      <c r="E10476" s="12"/>
      <c r="H10476" s="11" t="str">
        <f ca="1">IFERROR(__xludf.DUMMYFUNCTION("IFERROR(SUBSTITUTE(SUBSTITUTE(REGEXEXTRACT(A10476, ""[^-]+- [^-]+- [^-]+ - (.+?)\.jpg""), "".jpg"", """"), ""-"", "", ""), """")"),"")</f>
        <v/>
      </c>
      <c r="L10476" s="12"/>
      <c r="M10476" s="13"/>
      <c r="N10476" s="2"/>
      <c r="O10476" s="20"/>
      <c r="P10476" s="42"/>
      <c r="R10476" s="23"/>
    </row>
    <row r="10477" spans="1:18" ht="12.75">
      <c r="A10477" s="12"/>
      <c r="D10477" s="12"/>
      <c r="E10477" s="12"/>
      <c r="H10477" s="11" t="str">
        <f ca="1">IFERROR(__xludf.DUMMYFUNCTION("IFERROR(SUBSTITUTE(SUBSTITUTE(REGEXEXTRACT(A10477, ""[^-]+- [^-]+- [^-]+ - (.+?)\.jpg""), "".jpg"", """"), ""-"", "", ""), """")"),"")</f>
        <v/>
      </c>
      <c r="L10477" s="12"/>
      <c r="M10477" s="13"/>
      <c r="N10477" s="2"/>
      <c r="O10477" s="20"/>
      <c r="P10477" s="42"/>
      <c r="R10477" s="23"/>
    </row>
    <row r="10478" spans="1:18" ht="12.75">
      <c r="A10478" s="12"/>
      <c r="D10478" s="12"/>
      <c r="E10478" s="12"/>
      <c r="H10478" s="11" t="str">
        <f ca="1">IFERROR(__xludf.DUMMYFUNCTION("IFERROR(SUBSTITUTE(SUBSTITUTE(REGEXEXTRACT(A10478, ""[^-]+- [^-]+- [^-]+ - (.+?)\.jpg""), "".jpg"", """"), ""-"", "", ""), """")"),"")</f>
        <v/>
      </c>
      <c r="L10478" s="12"/>
      <c r="M10478" s="13"/>
      <c r="N10478" s="2"/>
      <c r="O10478" s="20"/>
      <c r="P10478" s="42"/>
      <c r="R10478" s="23"/>
    </row>
    <row r="10479" spans="1:18" ht="12.75">
      <c r="A10479" s="12"/>
      <c r="D10479" s="12"/>
      <c r="E10479" s="12"/>
      <c r="H10479" s="11" t="str">
        <f ca="1">IFERROR(__xludf.DUMMYFUNCTION("IFERROR(SUBSTITUTE(SUBSTITUTE(REGEXEXTRACT(A10479, ""[^-]+- [^-]+- [^-]+ - (.+?)\.jpg""), "".jpg"", """"), ""-"", "", ""), """")"),"")</f>
        <v/>
      </c>
      <c r="L10479" s="12"/>
      <c r="M10479" s="13"/>
      <c r="N10479" s="2"/>
      <c r="O10479" s="20"/>
      <c r="P10479" s="42"/>
      <c r="R10479" s="23"/>
    </row>
    <row r="10480" spans="1:18" ht="12.75">
      <c r="A10480" s="12"/>
      <c r="D10480" s="12"/>
      <c r="E10480" s="12"/>
      <c r="H10480" s="11" t="str">
        <f ca="1">IFERROR(__xludf.DUMMYFUNCTION("IFERROR(SUBSTITUTE(SUBSTITUTE(REGEXEXTRACT(A10480, ""[^-]+- [^-]+- [^-]+ - (.+?)\.jpg""), "".jpg"", """"), ""-"", "", ""), """")"),"")</f>
        <v/>
      </c>
      <c r="L10480" s="12"/>
      <c r="M10480" s="13"/>
      <c r="N10480" s="2"/>
      <c r="O10480" s="20"/>
      <c r="P10480" s="42"/>
      <c r="R10480" s="23"/>
    </row>
    <row r="10481" spans="1:18" ht="12.75">
      <c r="A10481" s="12"/>
      <c r="D10481" s="12"/>
      <c r="E10481" s="12"/>
      <c r="H10481" s="11" t="str">
        <f ca="1">IFERROR(__xludf.DUMMYFUNCTION("IFERROR(SUBSTITUTE(SUBSTITUTE(REGEXEXTRACT(A10481, ""[^-]+- [^-]+- [^-]+ - (.+?)\.jpg""), "".jpg"", """"), ""-"", "", ""), """")"),"")</f>
        <v/>
      </c>
      <c r="L10481" s="12"/>
      <c r="M10481" s="13"/>
      <c r="N10481" s="2"/>
      <c r="O10481" s="20"/>
      <c r="P10481" s="42"/>
      <c r="R10481" s="23"/>
    </row>
    <row r="10482" spans="1:18" ht="12.75">
      <c r="A10482" s="12"/>
      <c r="D10482" s="12"/>
      <c r="E10482" s="12"/>
      <c r="H10482" s="11" t="str">
        <f ca="1">IFERROR(__xludf.DUMMYFUNCTION("IFERROR(SUBSTITUTE(SUBSTITUTE(REGEXEXTRACT(A10482, ""[^-]+- [^-]+- [^-]+ - (.+?)\.jpg""), "".jpg"", """"), ""-"", "", ""), """")"),"")</f>
        <v/>
      </c>
      <c r="L10482" s="12"/>
      <c r="M10482" s="13"/>
      <c r="N10482" s="2"/>
      <c r="O10482" s="20"/>
      <c r="P10482" s="42"/>
      <c r="R10482" s="23"/>
    </row>
    <row r="10483" spans="1:18" ht="12.75">
      <c r="A10483" s="12"/>
      <c r="D10483" s="12"/>
      <c r="E10483" s="12"/>
      <c r="H10483" s="11" t="str">
        <f ca="1">IFERROR(__xludf.DUMMYFUNCTION("IFERROR(SUBSTITUTE(SUBSTITUTE(REGEXEXTRACT(A10483, ""[^-]+- [^-]+- [^-]+ - (.+?)\.jpg""), "".jpg"", """"), ""-"", "", ""), """")"),"")</f>
        <v/>
      </c>
      <c r="L10483" s="12"/>
      <c r="M10483" s="13"/>
      <c r="N10483" s="2"/>
      <c r="O10483" s="20"/>
      <c r="P10483" s="42"/>
      <c r="R10483" s="23"/>
    </row>
    <row r="10484" spans="1:18" ht="12.75">
      <c r="A10484" s="12"/>
      <c r="D10484" s="12"/>
      <c r="E10484" s="12"/>
      <c r="H10484" s="11" t="str">
        <f ca="1">IFERROR(__xludf.DUMMYFUNCTION("IFERROR(SUBSTITUTE(SUBSTITUTE(REGEXEXTRACT(A10484, ""[^-]+- [^-]+- [^-]+ - (.+?)\.jpg""), "".jpg"", """"), ""-"", "", ""), """")"),"")</f>
        <v/>
      </c>
      <c r="L10484" s="12"/>
      <c r="M10484" s="13"/>
      <c r="N10484" s="2"/>
      <c r="O10484" s="20"/>
      <c r="P10484" s="42"/>
      <c r="R10484" s="23"/>
    </row>
    <row r="10485" spans="1:18" ht="12.75">
      <c r="A10485" s="12"/>
      <c r="D10485" s="12"/>
      <c r="E10485" s="12"/>
      <c r="H10485" s="11" t="str">
        <f ca="1">IFERROR(__xludf.DUMMYFUNCTION("IFERROR(SUBSTITUTE(SUBSTITUTE(REGEXEXTRACT(A10485, ""[^-]+- [^-]+- [^-]+ - (.+?)\.jpg""), "".jpg"", """"), ""-"", "", ""), """")"),"")</f>
        <v/>
      </c>
      <c r="L10485" s="12"/>
      <c r="M10485" s="13"/>
      <c r="N10485" s="2"/>
      <c r="O10485" s="20"/>
      <c r="P10485" s="42"/>
      <c r="R10485" s="23"/>
    </row>
    <row r="10486" spans="1:18" ht="12.75">
      <c r="A10486" s="12"/>
      <c r="D10486" s="12"/>
      <c r="E10486" s="12"/>
      <c r="H10486" s="11" t="str">
        <f ca="1">IFERROR(__xludf.DUMMYFUNCTION("IFERROR(SUBSTITUTE(SUBSTITUTE(REGEXEXTRACT(A10486, ""[^-]+- [^-]+- [^-]+ - (.+?)\.jpg""), "".jpg"", """"), ""-"", "", ""), """")"),"")</f>
        <v/>
      </c>
      <c r="L10486" s="12"/>
      <c r="M10486" s="13"/>
      <c r="N10486" s="2"/>
      <c r="O10486" s="20"/>
      <c r="P10486" s="42"/>
      <c r="R10486" s="23"/>
    </row>
    <row r="10487" spans="1:18" ht="12.75">
      <c r="A10487" s="12"/>
      <c r="D10487" s="12"/>
      <c r="E10487" s="12"/>
      <c r="H10487" s="11" t="str">
        <f ca="1">IFERROR(__xludf.DUMMYFUNCTION("IFERROR(SUBSTITUTE(SUBSTITUTE(REGEXEXTRACT(A10487, ""[^-]+- [^-]+- [^-]+ - (.+?)\.jpg""), "".jpg"", """"), ""-"", "", ""), """")"),"")</f>
        <v/>
      </c>
      <c r="L10487" s="12"/>
      <c r="M10487" s="13"/>
      <c r="N10487" s="2"/>
      <c r="O10487" s="20"/>
      <c r="P10487" s="42"/>
      <c r="R10487" s="23"/>
    </row>
    <row r="10488" spans="1:18" ht="12.75">
      <c r="A10488" s="12"/>
      <c r="D10488" s="12"/>
      <c r="E10488" s="12"/>
      <c r="H10488" s="11" t="str">
        <f ca="1">IFERROR(__xludf.DUMMYFUNCTION("IFERROR(SUBSTITUTE(SUBSTITUTE(REGEXEXTRACT(A10488, ""[^-]+- [^-]+- [^-]+ - (.+?)\.jpg""), "".jpg"", """"), ""-"", "", ""), """")"),"")</f>
        <v/>
      </c>
      <c r="L10488" s="12"/>
      <c r="M10488" s="13"/>
      <c r="N10488" s="2"/>
      <c r="O10488" s="20"/>
      <c r="P10488" s="42"/>
      <c r="R10488" s="23"/>
    </row>
    <row r="10489" spans="1:18" ht="12.75">
      <c r="A10489" s="12"/>
      <c r="D10489" s="12"/>
      <c r="E10489" s="12"/>
      <c r="H10489" s="11" t="str">
        <f ca="1">IFERROR(__xludf.DUMMYFUNCTION("IFERROR(SUBSTITUTE(SUBSTITUTE(REGEXEXTRACT(A10489, ""[^-]+- [^-]+- [^-]+ - (.+?)\.jpg""), "".jpg"", """"), ""-"", "", ""), """")"),"")</f>
        <v/>
      </c>
      <c r="L10489" s="12"/>
      <c r="M10489" s="13"/>
      <c r="N10489" s="2"/>
      <c r="O10489" s="20"/>
      <c r="P10489" s="42"/>
      <c r="R10489" s="23"/>
    </row>
    <row r="10490" spans="1:18" ht="12.75">
      <c r="A10490" s="12"/>
      <c r="D10490" s="12"/>
      <c r="E10490" s="12"/>
      <c r="H10490" s="11" t="str">
        <f ca="1">IFERROR(__xludf.DUMMYFUNCTION("IFERROR(SUBSTITUTE(SUBSTITUTE(REGEXEXTRACT(A10490, ""[^-]+- [^-]+- [^-]+ - (.+?)\.jpg""), "".jpg"", """"), ""-"", "", ""), """")"),"")</f>
        <v/>
      </c>
      <c r="L10490" s="12"/>
      <c r="M10490" s="13"/>
      <c r="N10490" s="2"/>
      <c r="O10490" s="20"/>
      <c r="P10490" s="42"/>
      <c r="R10490" s="23"/>
    </row>
    <row r="10491" spans="1:18" ht="12.75">
      <c r="A10491" s="12"/>
      <c r="D10491" s="12"/>
      <c r="E10491" s="12"/>
      <c r="H10491" s="11" t="str">
        <f ca="1">IFERROR(__xludf.DUMMYFUNCTION("IFERROR(SUBSTITUTE(SUBSTITUTE(REGEXEXTRACT(A10491, ""[^-]+- [^-]+- [^-]+ - (.+?)\.jpg""), "".jpg"", """"), ""-"", "", ""), """")"),"")</f>
        <v/>
      </c>
      <c r="L10491" s="12"/>
      <c r="M10491" s="13"/>
      <c r="N10491" s="2"/>
      <c r="O10491" s="20"/>
      <c r="P10491" s="42"/>
      <c r="R10491" s="23"/>
    </row>
    <row r="10492" spans="1:18" ht="12.75">
      <c r="A10492" s="12"/>
      <c r="D10492" s="12"/>
      <c r="E10492" s="12"/>
      <c r="H10492" s="11" t="str">
        <f ca="1">IFERROR(__xludf.DUMMYFUNCTION("IFERROR(SUBSTITUTE(SUBSTITUTE(REGEXEXTRACT(A10492, ""[^-]+- [^-]+- [^-]+ - (.+?)\.jpg""), "".jpg"", """"), ""-"", "", ""), """")"),"")</f>
        <v/>
      </c>
      <c r="L10492" s="12"/>
      <c r="M10492" s="13"/>
      <c r="N10492" s="2"/>
      <c r="O10492" s="20"/>
      <c r="P10492" s="42"/>
      <c r="R10492" s="23"/>
    </row>
    <row r="10493" spans="1:18" ht="12.75">
      <c r="A10493" s="12"/>
      <c r="D10493" s="12"/>
      <c r="E10493" s="12"/>
      <c r="H10493" s="11" t="str">
        <f ca="1">IFERROR(__xludf.DUMMYFUNCTION("IFERROR(SUBSTITUTE(SUBSTITUTE(REGEXEXTRACT(A10493, ""[^-]+- [^-]+- [^-]+ - (.+?)\.jpg""), "".jpg"", """"), ""-"", "", ""), """")"),"")</f>
        <v/>
      </c>
      <c r="L10493" s="12"/>
      <c r="M10493" s="13"/>
      <c r="N10493" s="2"/>
      <c r="O10493" s="20"/>
      <c r="P10493" s="42"/>
      <c r="R10493" s="23"/>
    </row>
    <row r="10494" spans="1:18" ht="12.75">
      <c r="A10494" s="12"/>
      <c r="D10494" s="12"/>
      <c r="E10494" s="12"/>
      <c r="H10494" s="11" t="str">
        <f ca="1">IFERROR(__xludf.DUMMYFUNCTION("IFERROR(SUBSTITUTE(SUBSTITUTE(REGEXEXTRACT(A10494, ""[^-]+- [^-]+- [^-]+ - (.+?)\.jpg""), "".jpg"", """"), ""-"", "", ""), """")"),"")</f>
        <v/>
      </c>
      <c r="L10494" s="12"/>
      <c r="M10494" s="13"/>
      <c r="N10494" s="2"/>
      <c r="O10494" s="20"/>
      <c r="P10494" s="42"/>
      <c r="R10494" s="23"/>
    </row>
    <row r="10495" spans="1:18" ht="12.75">
      <c r="A10495" s="12"/>
      <c r="D10495" s="12"/>
      <c r="E10495" s="12"/>
      <c r="H10495" s="11" t="str">
        <f ca="1">IFERROR(__xludf.DUMMYFUNCTION("IFERROR(SUBSTITUTE(SUBSTITUTE(REGEXEXTRACT(A10495, ""[^-]+- [^-]+- [^-]+ - (.+?)\.jpg""), "".jpg"", """"), ""-"", "", ""), """")"),"")</f>
        <v/>
      </c>
      <c r="L10495" s="12"/>
      <c r="M10495" s="13"/>
      <c r="N10495" s="2"/>
      <c r="O10495" s="20"/>
      <c r="P10495" s="42"/>
      <c r="R10495" s="23"/>
    </row>
    <row r="10496" spans="1:18" ht="12.75">
      <c r="A10496" s="12"/>
      <c r="D10496" s="12"/>
      <c r="E10496" s="12"/>
      <c r="H10496" s="11" t="str">
        <f ca="1">IFERROR(__xludf.DUMMYFUNCTION("IFERROR(SUBSTITUTE(SUBSTITUTE(REGEXEXTRACT(A10496, ""[^-]+- [^-]+- [^-]+ - (.+?)\.jpg""), "".jpg"", """"), ""-"", "", ""), """")"),"")</f>
        <v/>
      </c>
      <c r="L10496" s="12"/>
      <c r="M10496" s="13"/>
      <c r="N10496" s="2"/>
      <c r="O10496" s="20"/>
      <c r="P10496" s="42"/>
      <c r="R10496" s="23"/>
    </row>
    <row r="10497" spans="1:18" ht="12.75">
      <c r="A10497" s="12"/>
      <c r="D10497" s="12"/>
      <c r="E10497" s="12"/>
      <c r="H10497" s="11" t="str">
        <f ca="1">IFERROR(__xludf.DUMMYFUNCTION("IFERROR(SUBSTITUTE(SUBSTITUTE(REGEXEXTRACT(A10497, ""[^-]+- [^-]+- [^-]+ - (.+?)\.jpg""), "".jpg"", """"), ""-"", "", ""), """")"),"")</f>
        <v/>
      </c>
      <c r="L10497" s="12"/>
      <c r="M10497" s="13"/>
      <c r="N10497" s="2"/>
      <c r="O10497" s="20"/>
      <c r="P10497" s="42"/>
      <c r="R10497" s="23"/>
    </row>
    <row r="10498" spans="1:18" ht="12.75">
      <c r="A10498" s="12"/>
      <c r="D10498" s="12"/>
      <c r="E10498" s="12"/>
      <c r="H10498" s="11" t="str">
        <f ca="1">IFERROR(__xludf.DUMMYFUNCTION("IFERROR(SUBSTITUTE(SUBSTITUTE(REGEXEXTRACT(A10498, ""[^-]+- [^-]+- [^-]+ - (.+?)\.jpg""), "".jpg"", """"), ""-"", "", ""), """")"),"")</f>
        <v/>
      </c>
      <c r="L10498" s="12"/>
      <c r="M10498" s="13"/>
      <c r="N10498" s="2"/>
      <c r="O10498" s="20"/>
      <c r="P10498" s="42"/>
      <c r="R10498" s="23"/>
    </row>
    <row r="10499" spans="1:18" ht="12.75">
      <c r="A10499" s="12"/>
      <c r="D10499" s="12"/>
      <c r="E10499" s="12"/>
      <c r="H10499" s="11" t="str">
        <f ca="1">IFERROR(__xludf.DUMMYFUNCTION("IFERROR(SUBSTITUTE(SUBSTITUTE(REGEXEXTRACT(A10499, ""[^-]+- [^-]+- [^-]+ - (.+?)\.jpg""), "".jpg"", """"), ""-"", "", ""), """")"),"")</f>
        <v/>
      </c>
      <c r="L10499" s="12"/>
      <c r="M10499" s="13"/>
      <c r="N10499" s="2"/>
      <c r="O10499" s="20"/>
      <c r="P10499" s="42"/>
      <c r="R10499" s="23"/>
    </row>
    <row r="10500" spans="1:18" ht="12.75">
      <c r="A10500" s="12"/>
      <c r="D10500" s="12"/>
      <c r="E10500" s="12"/>
      <c r="H10500" s="11" t="str">
        <f ca="1">IFERROR(__xludf.DUMMYFUNCTION("IFERROR(SUBSTITUTE(SUBSTITUTE(REGEXEXTRACT(A10500, ""[^-]+- [^-]+- [^-]+ - (.+?)\.jpg""), "".jpg"", """"), ""-"", "", ""), """")"),"")</f>
        <v/>
      </c>
      <c r="L10500" s="12"/>
      <c r="M10500" s="13"/>
      <c r="N10500" s="2"/>
      <c r="O10500" s="20"/>
      <c r="P10500" s="42"/>
      <c r="R10500" s="23"/>
    </row>
    <row r="10501" spans="1:18" ht="12.75">
      <c r="A10501" s="12"/>
      <c r="D10501" s="12"/>
      <c r="E10501" s="12"/>
      <c r="H10501" s="11" t="str">
        <f ca="1">IFERROR(__xludf.DUMMYFUNCTION("IFERROR(SUBSTITUTE(SUBSTITUTE(REGEXEXTRACT(A10501, ""[^-]+- [^-]+- [^-]+ - (.+?)\.jpg""), "".jpg"", """"), ""-"", "", ""), """")"),"")</f>
        <v/>
      </c>
      <c r="L10501" s="12"/>
      <c r="M10501" s="13"/>
      <c r="N10501" s="2"/>
      <c r="O10501" s="20"/>
      <c r="P10501" s="42"/>
      <c r="R10501" s="23"/>
    </row>
    <row r="10502" spans="1:18" ht="12.75">
      <c r="A10502" s="12"/>
      <c r="D10502" s="12"/>
      <c r="E10502" s="12"/>
      <c r="H10502" s="11" t="str">
        <f ca="1">IFERROR(__xludf.DUMMYFUNCTION("IFERROR(SUBSTITUTE(SUBSTITUTE(REGEXEXTRACT(A10502, ""[^-]+- [^-]+- [^-]+ - (.+?)\.jpg""), "".jpg"", """"), ""-"", "", ""), """")"),"")</f>
        <v/>
      </c>
      <c r="L10502" s="12"/>
      <c r="M10502" s="13"/>
      <c r="N10502" s="2"/>
      <c r="O10502" s="20"/>
      <c r="P10502" s="42"/>
      <c r="R10502" s="23"/>
    </row>
    <row r="10503" spans="1:18" ht="12.75">
      <c r="A10503" s="12"/>
      <c r="D10503" s="12"/>
      <c r="E10503" s="12"/>
      <c r="H10503" s="11" t="str">
        <f ca="1">IFERROR(__xludf.DUMMYFUNCTION("IFERROR(SUBSTITUTE(SUBSTITUTE(REGEXEXTRACT(A10503, ""[^-]+- [^-]+- [^-]+ - (.+?)\.jpg""), "".jpg"", """"), ""-"", "", ""), """")"),"")</f>
        <v/>
      </c>
      <c r="L10503" s="12"/>
      <c r="M10503" s="13"/>
      <c r="N10503" s="2"/>
      <c r="O10503" s="20"/>
      <c r="P10503" s="42"/>
      <c r="R10503" s="23"/>
    </row>
    <row r="10504" spans="1:18" ht="12.75">
      <c r="A10504" s="12"/>
      <c r="D10504" s="12"/>
      <c r="E10504" s="12"/>
      <c r="H10504" s="11" t="str">
        <f ca="1">IFERROR(__xludf.DUMMYFUNCTION("IFERROR(SUBSTITUTE(SUBSTITUTE(REGEXEXTRACT(A10504, ""[^-]+- [^-]+- [^-]+ - (.+?)\.jpg""), "".jpg"", """"), ""-"", "", ""), """")"),"")</f>
        <v/>
      </c>
      <c r="L10504" s="12"/>
      <c r="M10504" s="13"/>
      <c r="N10504" s="2"/>
      <c r="O10504" s="20"/>
      <c r="P10504" s="42"/>
      <c r="R10504" s="23"/>
    </row>
    <row r="10505" spans="1:18" ht="12.75">
      <c r="A10505" s="12"/>
      <c r="D10505" s="12"/>
      <c r="E10505" s="12"/>
      <c r="H10505" s="11" t="str">
        <f ca="1">IFERROR(__xludf.DUMMYFUNCTION("IFERROR(SUBSTITUTE(SUBSTITUTE(REGEXEXTRACT(A10505, ""[^-]+- [^-]+- [^-]+ - (.+?)\.jpg""), "".jpg"", """"), ""-"", "", ""), """")"),"")</f>
        <v/>
      </c>
      <c r="L10505" s="12"/>
      <c r="M10505" s="13"/>
      <c r="N10505" s="2"/>
      <c r="O10505" s="20"/>
      <c r="P10505" s="42"/>
      <c r="R10505" s="23"/>
    </row>
    <row r="10506" spans="1:18" ht="12.75">
      <c r="A10506" s="12"/>
      <c r="D10506" s="12"/>
      <c r="E10506" s="12"/>
      <c r="H10506" s="11" t="str">
        <f ca="1">IFERROR(__xludf.DUMMYFUNCTION("IFERROR(SUBSTITUTE(SUBSTITUTE(REGEXEXTRACT(A10506, ""[^-]+- [^-]+- [^-]+ - (.+?)\.jpg""), "".jpg"", """"), ""-"", "", ""), """")"),"")</f>
        <v/>
      </c>
      <c r="L10506" s="12"/>
      <c r="M10506" s="13"/>
      <c r="N10506" s="2"/>
      <c r="O10506" s="20"/>
      <c r="P10506" s="42"/>
      <c r="R10506" s="23"/>
    </row>
    <row r="10507" spans="1:18" ht="12.75">
      <c r="A10507" s="12"/>
      <c r="D10507" s="12"/>
      <c r="E10507" s="12"/>
      <c r="H10507" s="11" t="str">
        <f ca="1">IFERROR(__xludf.DUMMYFUNCTION("IFERROR(SUBSTITUTE(SUBSTITUTE(REGEXEXTRACT(A10507, ""[^-]+- [^-]+- [^-]+ - (.+?)\.jpg""), "".jpg"", """"), ""-"", "", ""), """")"),"")</f>
        <v/>
      </c>
      <c r="L10507" s="12"/>
      <c r="M10507" s="13"/>
      <c r="N10507" s="2"/>
      <c r="O10507" s="20"/>
      <c r="P10507" s="42"/>
      <c r="R10507" s="23"/>
    </row>
    <row r="10508" spans="1:18" ht="12.75">
      <c r="A10508" s="12"/>
      <c r="D10508" s="12"/>
      <c r="E10508" s="12"/>
      <c r="H10508" s="11" t="str">
        <f ca="1">IFERROR(__xludf.DUMMYFUNCTION("IFERROR(SUBSTITUTE(SUBSTITUTE(REGEXEXTRACT(A10508, ""[^-]+- [^-]+- [^-]+ - (.+?)\.jpg""), "".jpg"", """"), ""-"", "", ""), """")"),"")</f>
        <v/>
      </c>
      <c r="L10508" s="12"/>
      <c r="M10508" s="13"/>
      <c r="N10508" s="2"/>
      <c r="O10508" s="20"/>
      <c r="P10508" s="42"/>
      <c r="R10508" s="23"/>
    </row>
    <row r="10509" spans="1:18" ht="12.75">
      <c r="A10509" s="12"/>
      <c r="D10509" s="12"/>
      <c r="E10509" s="12"/>
      <c r="H10509" s="11" t="str">
        <f ca="1">IFERROR(__xludf.DUMMYFUNCTION("IFERROR(SUBSTITUTE(SUBSTITUTE(REGEXEXTRACT(A10509, ""[^-]+- [^-]+- [^-]+ - (.+?)\.jpg""), "".jpg"", """"), ""-"", "", ""), """")"),"")</f>
        <v/>
      </c>
      <c r="L10509" s="12"/>
      <c r="M10509" s="13"/>
      <c r="N10509" s="2"/>
      <c r="O10509" s="20"/>
      <c r="P10509" s="42"/>
      <c r="R10509" s="23"/>
    </row>
    <row r="10510" spans="1:18" ht="12.75">
      <c r="A10510" s="12"/>
      <c r="D10510" s="12"/>
      <c r="E10510" s="12"/>
      <c r="H10510" s="11" t="str">
        <f ca="1">IFERROR(__xludf.DUMMYFUNCTION("IFERROR(SUBSTITUTE(SUBSTITUTE(REGEXEXTRACT(A10510, ""[^-]+- [^-]+- [^-]+ - (.+?)\.jpg""), "".jpg"", """"), ""-"", "", ""), """")"),"")</f>
        <v/>
      </c>
      <c r="L10510" s="12"/>
      <c r="M10510" s="13"/>
      <c r="N10510" s="2"/>
      <c r="O10510" s="20"/>
      <c r="P10510" s="42"/>
      <c r="R10510" s="23"/>
    </row>
    <row r="10511" spans="1:18" ht="12.75">
      <c r="A10511" s="12"/>
      <c r="D10511" s="12"/>
      <c r="E10511" s="12"/>
      <c r="H10511" s="11" t="str">
        <f ca="1">IFERROR(__xludf.DUMMYFUNCTION("IFERROR(SUBSTITUTE(SUBSTITUTE(REGEXEXTRACT(A10511, ""[^-]+- [^-]+- [^-]+ - (.+?)\.jpg""), "".jpg"", """"), ""-"", "", ""), """")"),"")</f>
        <v/>
      </c>
      <c r="L10511" s="12"/>
      <c r="M10511" s="13"/>
      <c r="N10511" s="2"/>
      <c r="O10511" s="20"/>
      <c r="P10511" s="42"/>
      <c r="R10511" s="23"/>
    </row>
    <row r="10512" spans="1:18" ht="12.75">
      <c r="A10512" s="12"/>
      <c r="D10512" s="12"/>
      <c r="E10512" s="12"/>
      <c r="H10512" s="11" t="str">
        <f ca="1">IFERROR(__xludf.DUMMYFUNCTION("IFERROR(SUBSTITUTE(SUBSTITUTE(REGEXEXTRACT(A10512, ""[^-]+- [^-]+- [^-]+ - (.+?)\.jpg""), "".jpg"", """"), ""-"", "", ""), """")"),"")</f>
        <v/>
      </c>
      <c r="L10512" s="12"/>
      <c r="M10512" s="13"/>
      <c r="N10512" s="2"/>
      <c r="O10512" s="20"/>
      <c r="P10512" s="42"/>
      <c r="R10512" s="23"/>
    </row>
    <row r="10513" spans="1:18" ht="12.75">
      <c r="A10513" s="12"/>
      <c r="D10513" s="12"/>
      <c r="E10513" s="12"/>
      <c r="H10513" s="11" t="str">
        <f ca="1">IFERROR(__xludf.DUMMYFUNCTION("IFERROR(SUBSTITUTE(SUBSTITUTE(REGEXEXTRACT(A10513, ""[^-]+- [^-]+- [^-]+ - (.+?)\.jpg""), "".jpg"", """"), ""-"", "", ""), """")"),"")</f>
        <v/>
      </c>
      <c r="L10513" s="12"/>
      <c r="M10513" s="13"/>
      <c r="N10513" s="2"/>
      <c r="O10513" s="20"/>
      <c r="P10513" s="42"/>
      <c r="R10513" s="23"/>
    </row>
    <row r="10514" spans="1:18" ht="12.75">
      <c r="A10514" s="12"/>
      <c r="D10514" s="12"/>
      <c r="E10514" s="12"/>
      <c r="H10514" s="11" t="str">
        <f ca="1">IFERROR(__xludf.DUMMYFUNCTION("IFERROR(SUBSTITUTE(SUBSTITUTE(REGEXEXTRACT(A10514, ""[^-]+- [^-]+- [^-]+ - (.+?)\.jpg""), "".jpg"", """"), ""-"", "", ""), """")"),"")</f>
        <v/>
      </c>
      <c r="L10514" s="12"/>
      <c r="M10514" s="13"/>
      <c r="N10514" s="2"/>
      <c r="O10514" s="20"/>
      <c r="P10514" s="42"/>
      <c r="R10514" s="23"/>
    </row>
    <row r="10515" spans="1:18" ht="12.75">
      <c r="A10515" s="12"/>
      <c r="D10515" s="12"/>
      <c r="E10515" s="12"/>
      <c r="H10515" s="11" t="str">
        <f ca="1">IFERROR(__xludf.DUMMYFUNCTION("IFERROR(SUBSTITUTE(SUBSTITUTE(REGEXEXTRACT(A10515, ""[^-]+- [^-]+- [^-]+ - (.+?)\.jpg""), "".jpg"", """"), ""-"", "", ""), """")"),"")</f>
        <v/>
      </c>
      <c r="L10515" s="12"/>
      <c r="M10515" s="13"/>
      <c r="N10515" s="2"/>
      <c r="O10515" s="20"/>
      <c r="P10515" s="42"/>
      <c r="R10515" s="23"/>
    </row>
    <row r="10516" spans="1:18" ht="12.75">
      <c r="A10516" s="12"/>
      <c r="D10516" s="12"/>
      <c r="E10516" s="12"/>
      <c r="H10516" s="11" t="str">
        <f ca="1">IFERROR(__xludf.DUMMYFUNCTION("IFERROR(SUBSTITUTE(SUBSTITUTE(REGEXEXTRACT(A10516, ""[^-]+- [^-]+- [^-]+ - (.+?)\.jpg""), "".jpg"", """"), ""-"", "", ""), """")"),"")</f>
        <v/>
      </c>
      <c r="L10516" s="12"/>
      <c r="M10516" s="13"/>
      <c r="N10516" s="2"/>
      <c r="O10516" s="20"/>
      <c r="P10516" s="42"/>
      <c r="R10516" s="23"/>
    </row>
    <row r="10517" spans="1:18" ht="12.75">
      <c r="A10517" s="12"/>
      <c r="D10517" s="12"/>
      <c r="E10517" s="12"/>
      <c r="H10517" s="11" t="str">
        <f ca="1">IFERROR(__xludf.DUMMYFUNCTION("IFERROR(SUBSTITUTE(SUBSTITUTE(REGEXEXTRACT(A10517, ""[^-]+- [^-]+- [^-]+ - (.+?)\.jpg""), "".jpg"", """"), ""-"", "", ""), """")"),"")</f>
        <v/>
      </c>
      <c r="L10517" s="12"/>
      <c r="M10517" s="13"/>
      <c r="N10517" s="2"/>
      <c r="O10517" s="20"/>
      <c r="P10517" s="42"/>
      <c r="R10517" s="23"/>
    </row>
    <row r="10518" spans="1:18" ht="12.75">
      <c r="A10518" s="12"/>
      <c r="D10518" s="12"/>
      <c r="E10518" s="12"/>
      <c r="H10518" s="11" t="str">
        <f ca="1">IFERROR(__xludf.DUMMYFUNCTION("IFERROR(SUBSTITUTE(SUBSTITUTE(REGEXEXTRACT(A10518, ""[^-]+- [^-]+- [^-]+ - (.+?)\.jpg""), "".jpg"", """"), ""-"", "", ""), """")"),"")</f>
        <v/>
      </c>
      <c r="L10518" s="12"/>
      <c r="M10518" s="13"/>
      <c r="N10518" s="2"/>
      <c r="O10518" s="20"/>
      <c r="P10518" s="42"/>
      <c r="R10518" s="23"/>
    </row>
    <row r="10519" spans="1:18" ht="12.75">
      <c r="A10519" s="12"/>
      <c r="D10519" s="12"/>
      <c r="E10519" s="12"/>
      <c r="H10519" s="11" t="str">
        <f ca="1">IFERROR(__xludf.DUMMYFUNCTION("IFERROR(SUBSTITUTE(SUBSTITUTE(REGEXEXTRACT(A10519, ""[^-]+- [^-]+- [^-]+ - (.+?)\.jpg""), "".jpg"", """"), ""-"", "", ""), """")"),"")</f>
        <v/>
      </c>
      <c r="L10519" s="12"/>
      <c r="M10519" s="13"/>
      <c r="N10519" s="2"/>
      <c r="O10519" s="20"/>
      <c r="P10519" s="42"/>
      <c r="R10519" s="23"/>
    </row>
    <row r="10520" spans="1:18" ht="12.75">
      <c r="A10520" s="12"/>
      <c r="D10520" s="12"/>
      <c r="E10520" s="12"/>
      <c r="H10520" s="11" t="str">
        <f ca="1">IFERROR(__xludf.DUMMYFUNCTION("IFERROR(SUBSTITUTE(SUBSTITUTE(REGEXEXTRACT(A10520, ""[^-]+- [^-]+- [^-]+ - (.+?)\.jpg""), "".jpg"", """"), ""-"", "", ""), """")"),"")</f>
        <v/>
      </c>
      <c r="L10520" s="12"/>
      <c r="M10520" s="13"/>
      <c r="N10520" s="2"/>
      <c r="O10520" s="20"/>
      <c r="P10520" s="42"/>
      <c r="R10520" s="23"/>
    </row>
    <row r="10521" spans="1:18" ht="12.75">
      <c r="A10521" s="12"/>
      <c r="D10521" s="12"/>
      <c r="E10521" s="12"/>
      <c r="H10521" s="11" t="str">
        <f ca="1">IFERROR(__xludf.DUMMYFUNCTION("IFERROR(SUBSTITUTE(SUBSTITUTE(REGEXEXTRACT(A10521, ""[^-]+- [^-]+- [^-]+ - (.+?)\.jpg""), "".jpg"", """"), ""-"", "", ""), """")"),"")</f>
        <v/>
      </c>
      <c r="L10521" s="12"/>
      <c r="M10521" s="13"/>
      <c r="N10521" s="2"/>
      <c r="O10521" s="20"/>
      <c r="P10521" s="42"/>
      <c r="R10521" s="23"/>
    </row>
    <row r="10522" spans="1:18" ht="12.75">
      <c r="A10522" s="12"/>
      <c r="D10522" s="12"/>
      <c r="E10522" s="12"/>
      <c r="H10522" s="11" t="str">
        <f ca="1">IFERROR(__xludf.DUMMYFUNCTION("IFERROR(SUBSTITUTE(SUBSTITUTE(REGEXEXTRACT(A10522, ""[^-]+- [^-]+- [^-]+ - (.+?)\.jpg""), "".jpg"", """"), ""-"", "", ""), """")"),"")</f>
        <v/>
      </c>
      <c r="L10522" s="12"/>
      <c r="M10522" s="13"/>
      <c r="N10522" s="2"/>
      <c r="O10522" s="20"/>
      <c r="P10522" s="42"/>
      <c r="R10522" s="23"/>
    </row>
    <row r="10523" spans="1:18" ht="12.75">
      <c r="A10523" s="12"/>
      <c r="D10523" s="12"/>
      <c r="E10523" s="12"/>
      <c r="H10523" s="11" t="str">
        <f ca="1">IFERROR(__xludf.DUMMYFUNCTION("IFERROR(SUBSTITUTE(SUBSTITUTE(REGEXEXTRACT(A10523, ""[^-]+- [^-]+- [^-]+ - (.+?)\.jpg""), "".jpg"", """"), ""-"", "", ""), """")"),"")</f>
        <v/>
      </c>
      <c r="L10523" s="12"/>
      <c r="M10523" s="13"/>
      <c r="N10523" s="2"/>
      <c r="O10523" s="20"/>
      <c r="P10523" s="42"/>
      <c r="R10523" s="23"/>
    </row>
    <row r="10524" spans="1:18" ht="12.75">
      <c r="A10524" s="12"/>
      <c r="D10524" s="12"/>
      <c r="E10524" s="12"/>
      <c r="H10524" s="11" t="str">
        <f ca="1">IFERROR(__xludf.DUMMYFUNCTION("IFERROR(SUBSTITUTE(SUBSTITUTE(REGEXEXTRACT(A10524, ""[^-]+- [^-]+- [^-]+ - (.+?)\.jpg""), "".jpg"", """"), ""-"", "", ""), """")"),"")</f>
        <v/>
      </c>
      <c r="L10524" s="12"/>
      <c r="M10524" s="13"/>
      <c r="N10524" s="2"/>
      <c r="O10524" s="20"/>
      <c r="P10524" s="42"/>
      <c r="R10524" s="23"/>
    </row>
    <row r="10525" spans="1:18" ht="12.75">
      <c r="A10525" s="12"/>
      <c r="D10525" s="12"/>
      <c r="E10525" s="12"/>
      <c r="H10525" s="11" t="str">
        <f ca="1">IFERROR(__xludf.DUMMYFUNCTION("IFERROR(SUBSTITUTE(SUBSTITUTE(REGEXEXTRACT(A10525, ""[^-]+- [^-]+- [^-]+ - (.+?)\.jpg""), "".jpg"", """"), ""-"", "", ""), """")"),"")</f>
        <v/>
      </c>
      <c r="L10525" s="12"/>
      <c r="M10525" s="13"/>
      <c r="N10525" s="2"/>
      <c r="O10525" s="20"/>
      <c r="P10525" s="42"/>
      <c r="R10525" s="23"/>
    </row>
    <row r="10526" spans="1:18" ht="12.75">
      <c r="A10526" s="12"/>
      <c r="D10526" s="12"/>
      <c r="E10526" s="12"/>
      <c r="H10526" s="11" t="str">
        <f ca="1">IFERROR(__xludf.DUMMYFUNCTION("IFERROR(SUBSTITUTE(SUBSTITUTE(REGEXEXTRACT(A10526, ""[^-]+- [^-]+- [^-]+ - (.+?)\.jpg""), "".jpg"", """"), ""-"", "", ""), """")"),"")</f>
        <v/>
      </c>
      <c r="L10526" s="12"/>
      <c r="M10526" s="13"/>
      <c r="N10526" s="2"/>
      <c r="O10526" s="20"/>
      <c r="P10526" s="42"/>
      <c r="R10526" s="23"/>
    </row>
    <row r="10527" spans="1:18" ht="12.75">
      <c r="A10527" s="12"/>
      <c r="D10527" s="12"/>
      <c r="E10527" s="12"/>
      <c r="H10527" s="11" t="str">
        <f ca="1">IFERROR(__xludf.DUMMYFUNCTION("IFERROR(SUBSTITUTE(SUBSTITUTE(REGEXEXTRACT(A10527, ""[^-]+- [^-]+- [^-]+ - (.+?)\.jpg""), "".jpg"", """"), ""-"", "", ""), """")"),"")</f>
        <v/>
      </c>
      <c r="L10527" s="12"/>
      <c r="M10527" s="13"/>
      <c r="N10527" s="2"/>
      <c r="O10527" s="20"/>
      <c r="P10527" s="42"/>
      <c r="R10527" s="23"/>
    </row>
    <row r="10528" spans="1:18" ht="12.75">
      <c r="A10528" s="12"/>
      <c r="D10528" s="12"/>
      <c r="E10528" s="12"/>
      <c r="H10528" s="11" t="str">
        <f ca="1">IFERROR(__xludf.DUMMYFUNCTION("IFERROR(SUBSTITUTE(SUBSTITUTE(REGEXEXTRACT(A10528, ""[^-]+- [^-]+- [^-]+ - (.+?)\.jpg""), "".jpg"", """"), ""-"", "", ""), """")"),"")</f>
        <v/>
      </c>
      <c r="L10528" s="12"/>
      <c r="M10528" s="13"/>
      <c r="N10528" s="2"/>
      <c r="O10528" s="20"/>
      <c r="P10528" s="42"/>
      <c r="R10528" s="23"/>
    </row>
    <row r="10529" spans="1:18" ht="12.75">
      <c r="A10529" s="12"/>
      <c r="D10529" s="12"/>
      <c r="E10529" s="12"/>
      <c r="H10529" s="11" t="str">
        <f ca="1">IFERROR(__xludf.DUMMYFUNCTION("IFERROR(SUBSTITUTE(SUBSTITUTE(REGEXEXTRACT(A10529, ""[^-]+- [^-]+- [^-]+ - (.+?)\.jpg""), "".jpg"", """"), ""-"", "", ""), """")"),"")</f>
        <v/>
      </c>
      <c r="L10529" s="12"/>
      <c r="M10529" s="13"/>
      <c r="N10529" s="2"/>
      <c r="O10529" s="20"/>
      <c r="P10529" s="42"/>
      <c r="R10529" s="23"/>
    </row>
    <row r="10530" spans="1:18" ht="12.75">
      <c r="A10530" s="12"/>
      <c r="D10530" s="12"/>
      <c r="E10530" s="12"/>
      <c r="H10530" s="11" t="str">
        <f ca="1">IFERROR(__xludf.DUMMYFUNCTION("IFERROR(SUBSTITUTE(SUBSTITUTE(REGEXEXTRACT(A10530, ""[^-]+- [^-]+- [^-]+ - (.+?)\.jpg""), "".jpg"", """"), ""-"", "", ""), """")"),"")</f>
        <v/>
      </c>
      <c r="L10530" s="12"/>
      <c r="M10530" s="13"/>
      <c r="N10530" s="2"/>
      <c r="O10530" s="20"/>
      <c r="P10530" s="42"/>
      <c r="R10530" s="23"/>
    </row>
    <row r="10531" spans="1:18" ht="12.75">
      <c r="A10531" s="12"/>
      <c r="D10531" s="12"/>
      <c r="E10531" s="12"/>
      <c r="H10531" s="11" t="str">
        <f ca="1">IFERROR(__xludf.DUMMYFUNCTION("IFERROR(SUBSTITUTE(SUBSTITUTE(REGEXEXTRACT(A10531, ""[^-]+- [^-]+- [^-]+ - (.+?)\.jpg""), "".jpg"", """"), ""-"", "", ""), """")"),"")</f>
        <v/>
      </c>
      <c r="L10531" s="12"/>
      <c r="M10531" s="13"/>
      <c r="N10531" s="2"/>
      <c r="O10531" s="20"/>
      <c r="P10531" s="42"/>
      <c r="R10531" s="23"/>
    </row>
    <row r="10532" spans="1:18" ht="12.75">
      <c r="A10532" s="12"/>
      <c r="D10532" s="12"/>
      <c r="E10532" s="12"/>
      <c r="H10532" s="11" t="str">
        <f ca="1">IFERROR(__xludf.DUMMYFUNCTION("IFERROR(SUBSTITUTE(SUBSTITUTE(REGEXEXTRACT(A10532, ""[^-]+- [^-]+- [^-]+ - (.+?)\.jpg""), "".jpg"", """"), ""-"", "", ""), """")"),"")</f>
        <v/>
      </c>
      <c r="L10532" s="12"/>
      <c r="M10532" s="13"/>
      <c r="N10532" s="2"/>
      <c r="O10532" s="20"/>
      <c r="P10532" s="42"/>
      <c r="R10532" s="23"/>
    </row>
    <row r="10533" spans="1:18" ht="12.75">
      <c r="A10533" s="12"/>
      <c r="D10533" s="12"/>
      <c r="E10533" s="12"/>
      <c r="H10533" s="11" t="str">
        <f ca="1">IFERROR(__xludf.DUMMYFUNCTION("IFERROR(SUBSTITUTE(SUBSTITUTE(REGEXEXTRACT(A10533, ""[^-]+- [^-]+- [^-]+ - (.+?)\.jpg""), "".jpg"", """"), ""-"", "", ""), """")"),"")</f>
        <v/>
      </c>
      <c r="L10533" s="12"/>
      <c r="M10533" s="13"/>
      <c r="N10533" s="2"/>
      <c r="O10533" s="20"/>
      <c r="P10533" s="42"/>
      <c r="R10533" s="23"/>
    </row>
    <row r="10534" spans="1:18" ht="12.75">
      <c r="A10534" s="12"/>
      <c r="D10534" s="12"/>
      <c r="E10534" s="12"/>
      <c r="H10534" s="11" t="str">
        <f ca="1">IFERROR(__xludf.DUMMYFUNCTION("IFERROR(SUBSTITUTE(SUBSTITUTE(REGEXEXTRACT(A10534, ""[^-]+- [^-]+- [^-]+ - (.+?)\.jpg""), "".jpg"", """"), ""-"", "", ""), """")"),"")</f>
        <v/>
      </c>
      <c r="L10534" s="12"/>
      <c r="M10534" s="13"/>
      <c r="N10534" s="2"/>
      <c r="O10534" s="20"/>
      <c r="P10534" s="42"/>
      <c r="R10534" s="23"/>
    </row>
    <row r="10535" spans="1:18" ht="12.75">
      <c r="A10535" s="12"/>
      <c r="D10535" s="12"/>
      <c r="E10535" s="12"/>
      <c r="H10535" s="11" t="str">
        <f ca="1">IFERROR(__xludf.DUMMYFUNCTION("IFERROR(SUBSTITUTE(SUBSTITUTE(REGEXEXTRACT(A10535, ""[^-]+- [^-]+- [^-]+ - (.+?)\.jpg""), "".jpg"", """"), ""-"", "", ""), """")"),"")</f>
        <v/>
      </c>
      <c r="L10535" s="12"/>
      <c r="M10535" s="13"/>
      <c r="N10535" s="2"/>
      <c r="O10535" s="20"/>
      <c r="P10535" s="42"/>
      <c r="R10535" s="23"/>
    </row>
    <row r="10536" spans="1:18" ht="12.75">
      <c r="A10536" s="12"/>
      <c r="D10536" s="12"/>
      <c r="E10536" s="12"/>
      <c r="H10536" s="11" t="str">
        <f ca="1">IFERROR(__xludf.DUMMYFUNCTION("IFERROR(SUBSTITUTE(SUBSTITUTE(REGEXEXTRACT(A10536, ""[^-]+- [^-]+- [^-]+ - (.+?)\.jpg""), "".jpg"", """"), ""-"", "", ""), """")"),"")</f>
        <v/>
      </c>
      <c r="L10536" s="12"/>
      <c r="M10536" s="13"/>
      <c r="N10536" s="2"/>
      <c r="O10536" s="20"/>
      <c r="P10536" s="42"/>
      <c r="R10536" s="23"/>
    </row>
    <row r="10537" spans="1:18" ht="12.75">
      <c r="A10537" s="12"/>
      <c r="D10537" s="12"/>
      <c r="E10537" s="12"/>
      <c r="H10537" s="11" t="str">
        <f ca="1">IFERROR(__xludf.DUMMYFUNCTION("IFERROR(SUBSTITUTE(SUBSTITUTE(REGEXEXTRACT(A10537, ""[^-]+- [^-]+- [^-]+ - (.+?)\.jpg""), "".jpg"", """"), ""-"", "", ""), """")"),"")</f>
        <v/>
      </c>
      <c r="L10537" s="12"/>
      <c r="M10537" s="13"/>
      <c r="N10537" s="2"/>
      <c r="O10537" s="20"/>
      <c r="P10537" s="42"/>
      <c r="R10537" s="23"/>
    </row>
    <row r="10538" spans="1:18" ht="12.75">
      <c r="A10538" s="12"/>
      <c r="D10538" s="12"/>
      <c r="E10538" s="12"/>
      <c r="H10538" s="11" t="str">
        <f ca="1">IFERROR(__xludf.DUMMYFUNCTION("IFERROR(SUBSTITUTE(SUBSTITUTE(REGEXEXTRACT(A10538, ""[^-]+- [^-]+- [^-]+ - (.+?)\.jpg""), "".jpg"", """"), ""-"", "", ""), """")"),"")</f>
        <v/>
      </c>
      <c r="L10538" s="12"/>
      <c r="M10538" s="13"/>
      <c r="N10538" s="2"/>
      <c r="O10538" s="20"/>
      <c r="P10538" s="42"/>
      <c r="R10538" s="23"/>
    </row>
    <row r="10539" spans="1:18" ht="12.75">
      <c r="A10539" s="12"/>
      <c r="D10539" s="12"/>
      <c r="E10539" s="12"/>
      <c r="H10539" s="11" t="str">
        <f ca="1">IFERROR(__xludf.DUMMYFUNCTION("IFERROR(SUBSTITUTE(SUBSTITUTE(REGEXEXTRACT(A10539, ""[^-]+- [^-]+- [^-]+ - (.+?)\.jpg""), "".jpg"", """"), ""-"", "", ""), """")"),"")</f>
        <v/>
      </c>
      <c r="L10539" s="12"/>
      <c r="M10539" s="13"/>
      <c r="N10539" s="2"/>
      <c r="O10539" s="20"/>
      <c r="P10539" s="42"/>
      <c r="R10539" s="23"/>
    </row>
    <row r="10540" spans="1:18" ht="12.75">
      <c r="A10540" s="12"/>
      <c r="D10540" s="12"/>
      <c r="E10540" s="12"/>
      <c r="H10540" s="11" t="str">
        <f ca="1">IFERROR(__xludf.DUMMYFUNCTION("IFERROR(SUBSTITUTE(SUBSTITUTE(REGEXEXTRACT(A10540, ""[^-]+- [^-]+- [^-]+ - (.+?)\.jpg""), "".jpg"", """"), ""-"", "", ""), """")"),"")</f>
        <v/>
      </c>
      <c r="L10540" s="12"/>
      <c r="M10540" s="13"/>
      <c r="N10540" s="2"/>
      <c r="O10540" s="20"/>
      <c r="P10540" s="42"/>
      <c r="R10540" s="23"/>
    </row>
    <row r="10541" spans="1:18" ht="12.75">
      <c r="A10541" s="12"/>
      <c r="D10541" s="12"/>
      <c r="E10541" s="12"/>
      <c r="H10541" s="11" t="str">
        <f ca="1">IFERROR(__xludf.DUMMYFUNCTION("IFERROR(SUBSTITUTE(SUBSTITUTE(REGEXEXTRACT(A10541, ""[^-]+- [^-]+- [^-]+ - (.+?)\.jpg""), "".jpg"", """"), ""-"", "", ""), """")"),"")</f>
        <v/>
      </c>
      <c r="L10541" s="12"/>
      <c r="M10541" s="13"/>
      <c r="N10541" s="2"/>
      <c r="O10541" s="20"/>
      <c r="P10541" s="42"/>
      <c r="R10541" s="23"/>
    </row>
    <row r="10542" spans="1:18" ht="12.75">
      <c r="A10542" s="12"/>
      <c r="D10542" s="12"/>
      <c r="E10542" s="12"/>
      <c r="H10542" s="11" t="str">
        <f ca="1">IFERROR(__xludf.DUMMYFUNCTION("IFERROR(SUBSTITUTE(SUBSTITUTE(REGEXEXTRACT(A10542, ""[^-]+- [^-]+- [^-]+ - (.+?)\.jpg""), "".jpg"", """"), ""-"", "", ""), """")"),"")</f>
        <v/>
      </c>
      <c r="L10542" s="12"/>
      <c r="M10542" s="13"/>
      <c r="N10542" s="2"/>
      <c r="O10542" s="20"/>
      <c r="P10542" s="42"/>
      <c r="R10542" s="23"/>
    </row>
    <row r="10543" spans="1:18" ht="12.75">
      <c r="A10543" s="12"/>
      <c r="D10543" s="12"/>
      <c r="E10543" s="12"/>
      <c r="H10543" s="11" t="str">
        <f ca="1">IFERROR(__xludf.DUMMYFUNCTION("IFERROR(SUBSTITUTE(SUBSTITUTE(REGEXEXTRACT(A10543, ""[^-]+- [^-]+- [^-]+ - (.+?)\.jpg""), "".jpg"", """"), ""-"", "", ""), """")"),"")</f>
        <v/>
      </c>
      <c r="L10543" s="12"/>
      <c r="M10543" s="13"/>
      <c r="N10543" s="2"/>
      <c r="O10543" s="20"/>
      <c r="P10543" s="42"/>
      <c r="R10543" s="23"/>
    </row>
    <row r="10544" spans="1:18" ht="12.75">
      <c r="A10544" s="12"/>
      <c r="D10544" s="12"/>
      <c r="E10544" s="12"/>
      <c r="H10544" s="11" t="str">
        <f ca="1">IFERROR(__xludf.DUMMYFUNCTION("IFERROR(SUBSTITUTE(SUBSTITUTE(REGEXEXTRACT(A10544, ""[^-]+- [^-]+- [^-]+ - (.+?)\.jpg""), "".jpg"", """"), ""-"", "", ""), """")"),"")</f>
        <v/>
      </c>
      <c r="L10544" s="12"/>
      <c r="M10544" s="13"/>
      <c r="N10544" s="2"/>
      <c r="O10544" s="20"/>
      <c r="P10544" s="42"/>
      <c r="R10544" s="23"/>
    </row>
    <row r="10545" spans="1:18" ht="12.75">
      <c r="A10545" s="12"/>
      <c r="D10545" s="12"/>
      <c r="E10545" s="12"/>
      <c r="H10545" s="11" t="str">
        <f ca="1">IFERROR(__xludf.DUMMYFUNCTION("IFERROR(SUBSTITUTE(SUBSTITUTE(REGEXEXTRACT(A10545, ""[^-]+- [^-]+- [^-]+ - (.+?)\.jpg""), "".jpg"", """"), ""-"", "", ""), """")"),"")</f>
        <v/>
      </c>
      <c r="L10545" s="12"/>
      <c r="M10545" s="13"/>
      <c r="N10545" s="2"/>
      <c r="O10545" s="20"/>
      <c r="P10545" s="42"/>
      <c r="R10545" s="23"/>
    </row>
    <row r="10546" spans="1:18" ht="12.75">
      <c r="A10546" s="12"/>
      <c r="D10546" s="12"/>
      <c r="E10546" s="12"/>
      <c r="H10546" s="11" t="str">
        <f ca="1">IFERROR(__xludf.DUMMYFUNCTION("IFERROR(SUBSTITUTE(SUBSTITUTE(REGEXEXTRACT(A10546, ""[^-]+- [^-]+- [^-]+ - (.+?)\.jpg""), "".jpg"", """"), ""-"", "", ""), """")"),"")</f>
        <v/>
      </c>
      <c r="L10546" s="12"/>
      <c r="M10546" s="13"/>
      <c r="N10546" s="2"/>
      <c r="O10546" s="20"/>
      <c r="P10546" s="42"/>
      <c r="R10546" s="23"/>
    </row>
    <row r="10547" spans="1:18" ht="12.75">
      <c r="A10547" s="12"/>
      <c r="D10547" s="12"/>
      <c r="E10547" s="12"/>
      <c r="H10547" s="11" t="str">
        <f ca="1">IFERROR(__xludf.DUMMYFUNCTION("IFERROR(SUBSTITUTE(SUBSTITUTE(REGEXEXTRACT(A10547, ""[^-]+- [^-]+- [^-]+ - (.+?)\.jpg""), "".jpg"", """"), ""-"", "", ""), """")"),"")</f>
        <v/>
      </c>
      <c r="L10547" s="12"/>
      <c r="M10547" s="13"/>
      <c r="N10547" s="2"/>
      <c r="O10547" s="20"/>
      <c r="P10547" s="42"/>
      <c r="R10547" s="23"/>
    </row>
    <row r="10548" spans="1:18" ht="12.75">
      <c r="A10548" s="12"/>
      <c r="D10548" s="12"/>
      <c r="E10548" s="12"/>
      <c r="H10548" s="11" t="str">
        <f ca="1">IFERROR(__xludf.DUMMYFUNCTION("IFERROR(SUBSTITUTE(SUBSTITUTE(REGEXEXTRACT(A10548, ""[^-]+- [^-]+- [^-]+ - (.+?)\.jpg""), "".jpg"", """"), ""-"", "", ""), """")"),"")</f>
        <v/>
      </c>
      <c r="L10548" s="12"/>
      <c r="M10548" s="13"/>
      <c r="N10548" s="2"/>
      <c r="O10548" s="20"/>
      <c r="P10548" s="42"/>
      <c r="R10548" s="23"/>
    </row>
    <row r="10549" spans="1:18" ht="12.75">
      <c r="A10549" s="12"/>
      <c r="D10549" s="12"/>
      <c r="E10549" s="12"/>
      <c r="H10549" s="11" t="str">
        <f ca="1">IFERROR(__xludf.DUMMYFUNCTION("IFERROR(SUBSTITUTE(SUBSTITUTE(REGEXEXTRACT(A10549, ""[^-]+- [^-]+- [^-]+ - (.+?)\.jpg""), "".jpg"", """"), ""-"", "", ""), """")"),"")</f>
        <v/>
      </c>
      <c r="L10549" s="12"/>
      <c r="M10549" s="13"/>
      <c r="N10549" s="2"/>
      <c r="O10549" s="20"/>
      <c r="P10549" s="42"/>
      <c r="R10549" s="23"/>
    </row>
    <row r="10550" spans="1:18" ht="12.75">
      <c r="A10550" s="12"/>
      <c r="D10550" s="12"/>
      <c r="E10550" s="12"/>
      <c r="H10550" s="11" t="str">
        <f ca="1">IFERROR(__xludf.DUMMYFUNCTION("IFERROR(SUBSTITUTE(SUBSTITUTE(REGEXEXTRACT(A10550, ""[^-]+- [^-]+- [^-]+ - (.+?)\.jpg""), "".jpg"", """"), ""-"", "", ""), """")"),"")</f>
        <v/>
      </c>
      <c r="L10550" s="12"/>
      <c r="M10550" s="13"/>
      <c r="N10550" s="2"/>
      <c r="O10550" s="20"/>
      <c r="P10550" s="42"/>
      <c r="R10550" s="23"/>
    </row>
    <row r="10551" spans="1:18" ht="12.75">
      <c r="A10551" s="12"/>
      <c r="D10551" s="12"/>
      <c r="E10551" s="12"/>
      <c r="H10551" s="11" t="str">
        <f ca="1">IFERROR(__xludf.DUMMYFUNCTION("IFERROR(SUBSTITUTE(SUBSTITUTE(REGEXEXTRACT(A10551, ""[^-]+- [^-]+- [^-]+ - (.+?)\.jpg""), "".jpg"", """"), ""-"", "", ""), """")"),"")</f>
        <v/>
      </c>
      <c r="L10551" s="12"/>
      <c r="M10551" s="13"/>
      <c r="N10551" s="2"/>
      <c r="O10551" s="20"/>
      <c r="P10551" s="42"/>
      <c r="R10551" s="23"/>
    </row>
    <row r="10552" spans="1:18" ht="12.75">
      <c r="A10552" s="12"/>
      <c r="D10552" s="12"/>
      <c r="E10552" s="12"/>
      <c r="H10552" s="11" t="str">
        <f ca="1">IFERROR(__xludf.DUMMYFUNCTION("IFERROR(SUBSTITUTE(SUBSTITUTE(REGEXEXTRACT(A10552, ""[^-]+- [^-]+- [^-]+ - (.+?)\.jpg""), "".jpg"", """"), ""-"", "", ""), """")"),"")</f>
        <v/>
      </c>
      <c r="L10552" s="12"/>
      <c r="M10552" s="13"/>
      <c r="N10552" s="2"/>
      <c r="O10552" s="20"/>
      <c r="P10552" s="42"/>
      <c r="R10552" s="23"/>
    </row>
    <row r="10553" spans="1:18" ht="12.75">
      <c r="A10553" s="12"/>
      <c r="D10553" s="12"/>
      <c r="E10553" s="12"/>
      <c r="H10553" s="11" t="str">
        <f ca="1">IFERROR(__xludf.DUMMYFUNCTION("IFERROR(SUBSTITUTE(SUBSTITUTE(REGEXEXTRACT(A10553, ""[^-]+- [^-]+- [^-]+ - (.+?)\.jpg""), "".jpg"", """"), ""-"", "", ""), """")"),"")</f>
        <v/>
      </c>
      <c r="L10553" s="12"/>
      <c r="M10553" s="13"/>
      <c r="N10553" s="2"/>
      <c r="O10553" s="20"/>
      <c r="P10553" s="42"/>
      <c r="R10553" s="23"/>
    </row>
    <row r="10554" spans="1:18" ht="12.75">
      <c r="A10554" s="12"/>
      <c r="D10554" s="12"/>
      <c r="E10554" s="12"/>
      <c r="H10554" s="11" t="str">
        <f ca="1">IFERROR(__xludf.DUMMYFUNCTION("IFERROR(SUBSTITUTE(SUBSTITUTE(REGEXEXTRACT(A10554, ""[^-]+- [^-]+- [^-]+ - (.+?)\.jpg""), "".jpg"", """"), ""-"", "", ""), """")"),"")</f>
        <v/>
      </c>
      <c r="L10554" s="12"/>
      <c r="M10554" s="13"/>
      <c r="N10554" s="2"/>
      <c r="O10554" s="20"/>
      <c r="P10554" s="42"/>
      <c r="R10554" s="23"/>
    </row>
    <row r="10555" spans="1:18" ht="12.75">
      <c r="A10555" s="12"/>
      <c r="D10555" s="12"/>
      <c r="E10555" s="12"/>
      <c r="H10555" s="11" t="str">
        <f ca="1">IFERROR(__xludf.DUMMYFUNCTION("IFERROR(SUBSTITUTE(SUBSTITUTE(REGEXEXTRACT(A10555, ""[^-]+- [^-]+- [^-]+ - (.+?)\.jpg""), "".jpg"", """"), ""-"", "", ""), """")"),"")</f>
        <v/>
      </c>
      <c r="L10555" s="12"/>
      <c r="M10555" s="13"/>
      <c r="N10555" s="2"/>
      <c r="O10555" s="20"/>
      <c r="P10555" s="42"/>
      <c r="R10555" s="23"/>
    </row>
    <row r="10556" spans="1:18" ht="12.75">
      <c r="A10556" s="12"/>
      <c r="D10556" s="12"/>
      <c r="E10556" s="12"/>
      <c r="H10556" s="11" t="str">
        <f ca="1">IFERROR(__xludf.DUMMYFUNCTION("IFERROR(SUBSTITUTE(SUBSTITUTE(REGEXEXTRACT(A10556, ""[^-]+- [^-]+- [^-]+ - (.+?)\.jpg""), "".jpg"", """"), ""-"", "", ""), """")"),"")</f>
        <v/>
      </c>
      <c r="L10556" s="12"/>
      <c r="M10556" s="13"/>
      <c r="N10556" s="2"/>
      <c r="O10556" s="20"/>
      <c r="P10556" s="42"/>
      <c r="R10556" s="23"/>
    </row>
    <row r="10557" spans="1:18" ht="12.75">
      <c r="A10557" s="12"/>
      <c r="D10557" s="12"/>
      <c r="E10557" s="12"/>
      <c r="H10557" s="11" t="str">
        <f ca="1">IFERROR(__xludf.DUMMYFUNCTION("IFERROR(SUBSTITUTE(SUBSTITUTE(REGEXEXTRACT(A10557, ""[^-]+- [^-]+- [^-]+ - (.+?)\.jpg""), "".jpg"", """"), ""-"", "", ""), """")"),"")</f>
        <v/>
      </c>
      <c r="L10557" s="12"/>
      <c r="M10557" s="13"/>
      <c r="N10557" s="2"/>
      <c r="O10557" s="20"/>
      <c r="P10557" s="42"/>
      <c r="R10557" s="23"/>
    </row>
    <row r="10558" spans="1:18" ht="12.75">
      <c r="A10558" s="12"/>
      <c r="D10558" s="12"/>
      <c r="E10558" s="12"/>
      <c r="H10558" s="11" t="str">
        <f ca="1">IFERROR(__xludf.DUMMYFUNCTION("IFERROR(SUBSTITUTE(SUBSTITUTE(REGEXEXTRACT(A10558, ""[^-]+- [^-]+- [^-]+ - (.+?)\.jpg""), "".jpg"", """"), ""-"", "", ""), """")"),"")</f>
        <v/>
      </c>
      <c r="L10558" s="12"/>
      <c r="M10558" s="13"/>
      <c r="N10558" s="2"/>
      <c r="O10558" s="20"/>
      <c r="P10558" s="42"/>
      <c r="R10558" s="23"/>
    </row>
    <row r="10559" spans="1:18" ht="12.75">
      <c r="A10559" s="12"/>
      <c r="D10559" s="12"/>
      <c r="E10559" s="12"/>
      <c r="H10559" s="11" t="str">
        <f ca="1">IFERROR(__xludf.DUMMYFUNCTION("IFERROR(SUBSTITUTE(SUBSTITUTE(REGEXEXTRACT(A10559, ""[^-]+- [^-]+- [^-]+ - (.+?)\.jpg""), "".jpg"", """"), ""-"", "", ""), """")"),"")</f>
        <v/>
      </c>
      <c r="L10559" s="12"/>
      <c r="M10559" s="13"/>
      <c r="N10559" s="2"/>
      <c r="O10559" s="20"/>
      <c r="P10559" s="42"/>
      <c r="R10559" s="23"/>
    </row>
    <row r="10560" spans="1:18" ht="12.75">
      <c r="A10560" s="12"/>
      <c r="D10560" s="12"/>
      <c r="E10560" s="12"/>
      <c r="H10560" s="11" t="str">
        <f ca="1">IFERROR(__xludf.DUMMYFUNCTION("IFERROR(SUBSTITUTE(SUBSTITUTE(REGEXEXTRACT(A10560, ""[^-]+- [^-]+- [^-]+ - (.+?)\.jpg""), "".jpg"", """"), ""-"", "", ""), """")"),"")</f>
        <v/>
      </c>
      <c r="L10560" s="12"/>
      <c r="M10560" s="13"/>
      <c r="N10560" s="2"/>
      <c r="O10560" s="20"/>
      <c r="P10560" s="42"/>
      <c r="R10560" s="23"/>
    </row>
    <row r="10561" spans="1:18" ht="12.75">
      <c r="A10561" s="12"/>
      <c r="D10561" s="12"/>
      <c r="E10561" s="12"/>
      <c r="H10561" s="11" t="str">
        <f ca="1">IFERROR(__xludf.DUMMYFUNCTION("IFERROR(SUBSTITUTE(SUBSTITUTE(REGEXEXTRACT(A10561, ""[^-]+- [^-]+- [^-]+ - (.+?)\.jpg""), "".jpg"", """"), ""-"", "", ""), """")"),"")</f>
        <v/>
      </c>
      <c r="L10561" s="12"/>
      <c r="M10561" s="13"/>
      <c r="N10561" s="2"/>
      <c r="O10561" s="20"/>
      <c r="P10561" s="42"/>
      <c r="R10561" s="23"/>
    </row>
    <row r="10562" spans="1:18" ht="12.75">
      <c r="A10562" s="12"/>
      <c r="D10562" s="12"/>
      <c r="E10562" s="12"/>
      <c r="H10562" s="11" t="str">
        <f ca="1">IFERROR(__xludf.DUMMYFUNCTION("IFERROR(SUBSTITUTE(SUBSTITUTE(REGEXEXTRACT(A10562, ""[^-]+- [^-]+- [^-]+ - (.+?)\.jpg""), "".jpg"", """"), ""-"", "", ""), """")"),"")</f>
        <v/>
      </c>
      <c r="L10562" s="12"/>
      <c r="M10562" s="13"/>
      <c r="N10562" s="2"/>
      <c r="O10562" s="20"/>
      <c r="P10562" s="42"/>
      <c r="R10562" s="23"/>
    </row>
    <row r="10563" spans="1:18" ht="12.75">
      <c r="A10563" s="12"/>
      <c r="D10563" s="12"/>
      <c r="E10563" s="12"/>
      <c r="H10563" s="11" t="str">
        <f ca="1">IFERROR(__xludf.DUMMYFUNCTION("IFERROR(SUBSTITUTE(SUBSTITUTE(REGEXEXTRACT(A10563, ""[^-]+- [^-]+- [^-]+ - (.+?)\.jpg""), "".jpg"", """"), ""-"", "", ""), """")"),"")</f>
        <v/>
      </c>
      <c r="L10563" s="12"/>
      <c r="M10563" s="13"/>
      <c r="N10563" s="2"/>
      <c r="O10563" s="20"/>
      <c r="P10563" s="42"/>
      <c r="R10563" s="23"/>
    </row>
    <row r="10564" spans="1:18" ht="12.75">
      <c r="A10564" s="12"/>
      <c r="D10564" s="12"/>
      <c r="E10564" s="12"/>
      <c r="H10564" s="11" t="str">
        <f ca="1">IFERROR(__xludf.DUMMYFUNCTION("IFERROR(SUBSTITUTE(SUBSTITUTE(REGEXEXTRACT(A10564, ""[^-]+- [^-]+- [^-]+ - (.+?)\.jpg""), "".jpg"", """"), ""-"", "", ""), """")"),"")</f>
        <v/>
      </c>
      <c r="L10564" s="12"/>
      <c r="M10564" s="13"/>
      <c r="N10564" s="2"/>
      <c r="O10564" s="20"/>
      <c r="P10564" s="42"/>
      <c r="R10564" s="23"/>
    </row>
    <row r="10565" spans="1:18" ht="12.75">
      <c r="A10565" s="12"/>
      <c r="D10565" s="12"/>
      <c r="E10565" s="12"/>
      <c r="H10565" s="11" t="str">
        <f ca="1">IFERROR(__xludf.DUMMYFUNCTION("IFERROR(SUBSTITUTE(SUBSTITUTE(REGEXEXTRACT(A10565, ""[^-]+- [^-]+- [^-]+ - (.+?)\.jpg""), "".jpg"", """"), ""-"", "", ""), """")"),"")</f>
        <v/>
      </c>
      <c r="L10565" s="12"/>
      <c r="M10565" s="13"/>
      <c r="N10565" s="2"/>
      <c r="O10565" s="20"/>
      <c r="P10565" s="42"/>
      <c r="R10565" s="23"/>
    </row>
    <row r="10566" spans="1:18" ht="12.75">
      <c r="A10566" s="12"/>
      <c r="D10566" s="12"/>
      <c r="E10566" s="12"/>
      <c r="H10566" s="11" t="str">
        <f ca="1">IFERROR(__xludf.DUMMYFUNCTION("IFERROR(SUBSTITUTE(SUBSTITUTE(REGEXEXTRACT(A10566, ""[^-]+- [^-]+- [^-]+ - (.+?)\.jpg""), "".jpg"", """"), ""-"", "", ""), """")"),"")</f>
        <v/>
      </c>
      <c r="L10566" s="12"/>
      <c r="M10566" s="13"/>
      <c r="N10566" s="2"/>
      <c r="O10566" s="20"/>
      <c r="P10566" s="42"/>
      <c r="R10566" s="23"/>
    </row>
    <row r="10567" spans="1:18" ht="12.75">
      <c r="A10567" s="12"/>
      <c r="D10567" s="12"/>
      <c r="E10567" s="12"/>
      <c r="H10567" s="11" t="str">
        <f ca="1">IFERROR(__xludf.DUMMYFUNCTION("IFERROR(SUBSTITUTE(SUBSTITUTE(REGEXEXTRACT(A10567, ""[^-]+- [^-]+- [^-]+ - (.+?)\.jpg""), "".jpg"", """"), ""-"", "", ""), """")"),"")</f>
        <v/>
      </c>
      <c r="L10567" s="12"/>
      <c r="M10567" s="13"/>
      <c r="N10567" s="2"/>
      <c r="O10567" s="20"/>
      <c r="P10567" s="42"/>
      <c r="R10567" s="23"/>
    </row>
    <row r="10568" spans="1:18" ht="12.75">
      <c r="A10568" s="12"/>
      <c r="D10568" s="12"/>
      <c r="E10568" s="12"/>
      <c r="H10568" s="11" t="str">
        <f ca="1">IFERROR(__xludf.DUMMYFUNCTION("IFERROR(SUBSTITUTE(SUBSTITUTE(REGEXEXTRACT(A10568, ""[^-]+- [^-]+- [^-]+ - (.+?)\.jpg""), "".jpg"", """"), ""-"", "", ""), """")"),"")</f>
        <v/>
      </c>
      <c r="L10568" s="12"/>
      <c r="M10568" s="13"/>
      <c r="N10568" s="2"/>
      <c r="O10568" s="20"/>
      <c r="P10568" s="42"/>
      <c r="R10568" s="23"/>
    </row>
    <row r="10569" spans="1:18" ht="12.75">
      <c r="A10569" s="12"/>
      <c r="D10569" s="12"/>
      <c r="E10569" s="12"/>
      <c r="H10569" s="11" t="str">
        <f ca="1">IFERROR(__xludf.DUMMYFUNCTION("IFERROR(SUBSTITUTE(SUBSTITUTE(REGEXEXTRACT(A10569, ""[^-]+- [^-]+- [^-]+ - (.+?)\.jpg""), "".jpg"", """"), ""-"", "", ""), """")"),"")</f>
        <v/>
      </c>
      <c r="L10569" s="12"/>
      <c r="M10569" s="13"/>
      <c r="N10569" s="2"/>
      <c r="O10569" s="20"/>
      <c r="P10569" s="42"/>
      <c r="R10569" s="23"/>
    </row>
    <row r="10570" spans="1:18" ht="12.75">
      <c r="A10570" s="12"/>
      <c r="D10570" s="12"/>
      <c r="E10570" s="12"/>
      <c r="H10570" s="11" t="str">
        <f ca="1">IFERROR(__xludf.DUMMYFUNCTION("IFERROR(SUBSTITUTE(SUBSTITUTE(REGEXEXTRACT(A10570, ""[^-]+- [^-]+- [^-]+ - (.+?)\.jpg""), "".jpg"", """"), ""-"", "", ""), """")"),"")</f>
        <v/>
      </c>
      <c r="L10570" s="12"/>
      <c r="M10570" s="13"/>
      <c r="N10570" s="2"/>
      <c r="O10570" s="20"/>
      <c r="P10570" s="42"/>
      <c r="R10570" s="23"/>
    </row>
    <row r="10571" spans="1:18" ht="12.75">
      <c r="A10571" s="12"/>
      <c r="D10571" s="12"/>
      <c r="E10571" s="12"/>
      <c r="H10571" s="11" t="str">
        <f ca="1">IFERROR(__xludf.DUMMYFUNCTION("IFERROR(SUBSTITUTE(SUBSTITUTE(REGEXEXTRACT(A10571, ""[^-]+- [^-]+- [^-]+ - (.+?)\.jpg""), "".jpg"", """"), ""-"", "", ""), """")"),"")</f>
        <v/>
      </c>
      <c r="L10571" s="12"/>
      <c r="M10571" s="13"/>
      <c r="N10571" s="2"/>
      <c r="O10571" s="20"/>
      <c r="P10571" s="42"/>
      <c r="R10571" s="23"/>
    </row>
    <row r="10572" spans="1:18" ht="12.75">
      <c r="A10572" s="12"/>
      <c r="D10572" s="12"/>
      <c r="E10572" s="12"/>
      <c r="H10572" s="11" t="str">
        <f ca="1">IFERROR(__xludf.DUMMYFUNCTION("IFERROR(SUBSTITUTE(SUBSTITUTE(REGEXEXTRACT(A10572, ""[^-]+- [^-]+- [^-]+ - (.+?)\.jpg""), "".jpg"", """"), ""-"", "", ""), """")"),"")</f>
        <v/>
      </c>
      <c r="L10572" s="12"/>
      <c r="M10572" s="13"/>
      <c r="N10572" s="2"/>
      <c r="O10572" s="20"/>
      <c r="P10572" s="42"/>
      <c r="R10572" s="23"/>
    </row>
    <row r="10573" spans="1:18" ht="12.75">
      <c r="A10573" s="12"/>
      <c r="D10573" s="12"/>
      <c r="E10573" s="12"/>
      <c r="H10573" s="11" t="str">
        <f ca="1">IFERROR(__xludf.DUMMYFUNCTION("IFERROR(SUBSTITUTE(SUBSTITUTE(REGEXEXTRACT(A10573, ""[^-]+- [^-]+- [^-]+ - (.+?)\.jpg""), "".jpg"", """"), ""-"", "", ""), """")"),"")</f>
        <v/>
      </c>
      <c r="L10573" s="12"/>
      <c r="M10573" s="13"/>
      <c r="N10573" s="2"/>
      <c r="O10573" s="20"/>
      <c r="P10573" s="42"/>
      <c r="R10573" s="23"/>
    </row>
    <row r="10574" spans="1:18" ht="12.75">
      <c r="A10574" s="12"/>
      <c r="D10574" s="12"/>
      <c r="E10574" s="12"/>
      <c r="H10574" s="11" t="str">
        <f ca="1">IFERROR(__xludf.DUMMYFUNCTION("IFERROR(SUBSTITUTE(SUBSTITUTE(REGEXEXTRACT(A10574, ""[^-]+- [^-]+- [^-]+ - (.+?)\.jpg""), "".jpg"", """"), ""-"", "", ""), """")"),"")</f>
        <v/>
      </c>
      <c r="L10574" s="12"/>
      <c r="M10574" s="13"/>
      <c r="N10574" s="2"/>
      <c r="O10574" s="20"/>
      <c r="P10574" s="42"/>
      <c r="R10574" s="23"/>
    </row>
    <row r="10575" spans="1:18" ht="12.75">
      <c r="A10575" s="12"/>
      <c r="D10575" s="12"/>
      <c r="E10575" s="12"/>
      <c r="H10575" s="11" t="str">
        <f ca="1">IFERROR(__xludf.DUMMYFUNCTION("IFERROR(SUBSTITUTE(SUBSTITUTE(REGEXEXTRACT(A10575, ""[^-]+- [^-]+- [^-]+ - (.+?)\.jpg""), "".jpg"", """"), ""-"", "", ""), """")"),"")</f>
        <v/>
      </c>
      <c r="L10575" s="12"/>
      <c r="M10575" s="13"/>
      <c r="N10575" s="2"/>
      <c r="O10575" s="20"/>
      <c r="P10575" s="42"/>
      <c r="R10575" s="23"/>
    </row>
    <row r="10576" spans="1:18" ht="12.75">
      <c r="A10576" s="12"/>
      <c r="D10576" s="12"/>
      <c r="E10576" s="12"/>
      <c r="H10576" s="11" t="str">
        <f ca="1">IFERROR(__xludf.DUMMYFUNCTION("IFERROR(SUBSTITUTE(SUBSTITUTE(REGEXEXTRACT(A10576, ""[^-]+- [^-]+- [^-]+ - (.+?)\.jpg""), "".jpg"", """"), ""-"", "", ""), """")"),"")</f>
        <v/>
      </c>
      <c r="L10576" s="12"/>
      <c r="M10576" s="13"/>
      <c r="N10576" s="2"/>
      <c r="O10576" s="20"/>
      <c r="P10576" s="42"/>
      <c r="R10576" s="23"/>
    </row>
    <row r="10577" spans="1:18" ht="12.75">
      <c r="A10577" s="12"/>
      <c r="D10577" s="12"/>
      <c r="E10577" s="12"/>
      <c r="H10577" s="11" t="str">
        <f ca="1">IFERROR(__xludf.DUMMYFUNCTION("IFERROR(SUBSTITUTE(SUBSTITUTE(REGEXEXTRACT(A10577, ""[^-]+- [^-]+- [^-]+ - (.+?)\.jpg""), "".jpg"", """"), ""-"", "", ""), """")"),"")</f>
        <v/>
      </c>
      <c r="L10577" s="12"/>
      <c r="M10577" s="13"/>
      <c r="N10577" s="2"/>
      <c r="O10577" s="20"/>
      <c r="P10577" s="42"/>
      <c r="R10577" s="23"/>
    </row>
    <row r="10578" spans="1:18" ht="12.75">
      <c r="A10578" s="12"/>
      <c r="D10578" s="12"/>
      <c r="E10578" s="12"/>
      <c r="H10578" s="11" t="str">
        <f ca="1">IFERROR(__xludf.DUMMYFUNCTION("IFERROR(SUBSTITUTE(SUBSTITUTE(REGEXEXTRACT(A10578, ""[^-]+- [^-]+- [^-]+ - (.+?)\.jpg""), "".jpg"", """"), ""-"", "", ""), """")"),"")</f>
        <v/>
      </c>
      <c r="L10578" s="12"/>
      <c r="M10578" s="13"/>
      <c r="N10578" s="2"/>
      <c r="O10578" s="20"/>
      <c r="P10578" s="42"/>
      <c r="R10578" s="23"/>
    </row>
    <row r="10579" spans="1:18" ht="12.75">
      <c r="A10579" s="12"/>
      <c r="D10579" s="12"/>
      <c r="E10579" s="12"/>
      <c r="H10579" s="11" t="str">
        <f ca="1">IFERROR(__xludf.DUMMYFUNCTION("IFERROR(SUBSTITUTE(SUBSTITUTE(REGEXEXTRACT(A10579, ""[^-]+- [^-]+- [^-]+ - (.+?)\.jpg""), "".jpg"", """"), ""-"", "", ""), """")"),"")</f>
        <v/>
      </c>
      <c r="L10579" s="12"/>
      <c r="M10579" s="13"/>
      <c r="N10579" s="2"/>
      <c r="O10579" s="20"/>
      <c r="P10579" s="42"/>
      <c r="R10579" s="23"/>
    </row>
    <row r="10580" spans="1:18" ht="12.75">
      <c r="A10580" s="12"/>
      <c r="D10580" s="12"/>
      <c r="E10580" s="12"/>
      <c r="H10580" s="11" t="str">
        <f ca="1">IFERROR(__xludf.DUMMYFUNCTION("IFERROR(SUBSTITUTE(SUBSTITUTE(REGEXEXTRACT(A10580, ""[^-]+- [^-]+- [^-]+ - (.+?)\.jpg""), "".jpg"", """"), ""-"", "", ""), """")"),"")</f>
        <v/>
      </c>
      <c r="L10580" s="12"/>
      <c r="M10580" s="13"/>
      <c r="N10580" s="2"/>
      <c r="O10580" s="20"/>
      <c r="P10580" s="42"/>
      <c r="R10580" s="23"/>
    </row>
    <row r="10581" spans="1:18" ht="12.75">
      <c r="A10581" s="12"/>
      <c r="D10581" s="12"/>
      <c r="E10581" s="12"/>
      <c r="H10581" s="11" t="str">
        <f ca="1">IFERROR(__xludf.DUMMYFUNCTION("IFERROR(SUBSTITUTE(SUBSTITUTE(REGEXEXTRACT(A10581, ""[^-]+- [^-]+- [^-]+ - (.+?)\.jpg""), "".jpg"", """"), ""-"", "", ""), """")"),"")</f>
        <v/>
      </c>
      <c r="L10581" s="12"/>
      <c r="M10581" s="13"/>
      <c r="N10581" s="2"/>
      <c r="O10581" s="20"/>
      <c r="P10581" s="42"/>
      <c r="R10581" s="23"/>
    </row>
    <row r="10582" spans="1:18" ht="12.75">
      <c r="A10582" s="12"/>
      <c r="D10582" s="12"/>
      <c r="E10582" s="12"/>
      <c r="H10582" s="11" t="str">
        <f ca="1">IFERROR(__xludf.DUMMYFUNCTION("IFERROR(SUBSTITUTE(SUBSTITUTE(REGEXEXTRACT(A10582, ""[^-]+- [^-]+- [^-]+ - (.+?)\.jpg""), "".jpg"", """"), ""-"", "", ""), """")"),"")</f>
        <v/>
      </c>
      <c r="L10582" s="12"/>
      <c r="M10582" s="13"/>
      <c r="N10582" s="2"/>
      <c r="O10582" s="20"/>
      <c r="P10582" s="42"/>
      <c r="R10582" s="23"/>
    </row>
    <row r="10583" spans="1:18" ht="12.75">
      <c r="A10583" s="12"/>
      <c r="D10583" s="12"/>
      <c r="E10583" s="12"/>
      <c r="H10583" s="11" t="str">
        <f ca="1">IFERROR(__xludf.DUMMYFUNCTION("IFERROR(SUBSTITUTE(SUBSTITUTE(REGEXEXTRACT(A10583, ""[^-]+- [^-]+- [^-]+ - (.+?)\.jpg""), "".jpg"", """"), ""-"", "", ""), """")"),"")</f>
        <v/>
      </c>
      <c r="L10583" s="12"/>
      <c r="M10583" s="13"/>
      <c r="N10583" s="2"/>
      <c r="O10583" s="20"/>
      <c r="P10583" s="42"/>
      <c r="R10583" s="23"/>
    </row>
    <row r="10584" spans="1:18" ht="12.75">
      <c r="A10584" s="12"/>
      <c r="D10584" s="12"/>
      <c r="E10584" s="12"/>
      <c r="H10584" s="11" t="str">
        <f ca="1">IFERROR(__xludf.DUMMYFUNCTION("IFERROR(SUBSTITUTE(SUBSTITUTE(REGEXEXTRACT(A10584, ""[^-]+- [^-]+- [^-]+ - (.+?)\.jpg""), "".jpg"", """"), ""-"", "", ""), """")"),"")</f>
        <v/>
      </c>
      <c r="L10584" s="12"/>
      <c r="M10584" s="13"/>
      <c r="N10584" s="2"/>
      <c r="O10584" s="20"/>
      <c r="P10584" s="42"/>
      <c r="R10584" s="23"/>
    </row>
    <row r="10585" spans="1:18" ht="12.75">
      <c r="A10585" s="12"/>
      <c r="D10585" s="12"/>
      <c r="E10585" s="12"/>
      <c r="H10585" s="11" t="str">
        <f ca="1">IFERROR(__xludf.DUMMYFUNCTION("IFERROR(SUBSTITUTE(SUBSTITUTE(REGEXEXTRACT(A10585, ""[^-]+- [^-]+- [^-]+ - (.+?)\.jpg""), "".jpg"", """"), ""-"", "", ""), """")"),"")</f>
        <v/>
      </c>
      <c r="L10585" s="12"/>
      <c r="M10585" s="13"/>
      <c r="N10585" s="2"/>
      <c r="O10585" s="20"/>
      <c r="P10585" s="42"/>
      <c r="R10585" s="23"/>
    </row>
    <row r="10586" spans="1:18" ht="12.75">
      <c r="A10586" s="12"/>
      <c r="D10586" s="12"/>
      <c r="E10586" s="12"/>
      <c r="H10586" s="11" t="str">
        <f ca="1">IFERROR(__xludf.DUMMYFUNCTION("IFERROR(SUBSTITUTE(SUBSTITUTE(REGEXEXTRACT(A10586, ""[^-]+- [^-]+- [^-]+ - (.+?)\.jpg""), "".jpg"", """"), ""-"", "", ""), """")"),"")</f>
        <v/>
      </c>
      <c r="L10586" s="12"/>
      <c r="M10586" s="13"/>
      <c r="N10586" s="2"/>
      <c r="O10586" s="20"/>
      <c r="P10586" s="42"/>
      <c r="R10586" s="23"/>
    </row>
    <row r="10587" spans="1:18" ht="12.75">
      <c r="A10587" s="12"/>
      <c r="D10587" s="12"/>
      <c r="E10587" s="12"/>
      <c r="H10587" s="11" t="str">
        <f ca="1">IFERROR(__xludf.DUMMYFUNCTION("IFERROR(SUBSTITUTE(SUBSTITUTE(REGEXEXTRACT(A10587, ""[^-]+- [^-]+- [^-]+ - (.+?)\.jpg""), "".jpg"", """"), ""-"", "", ""), """")"),"")</f>
        <v/>
      </c>
      <c r="L10587" s="12"/>
      <c r="M10587" s="13"/>
      <c r="N10587" s="2"/>
      <c r="O10587" s="20"/>
      <c r="P10587" s="42"/>
      <c r="R10587" s="23"/>
    </row>
    <row r="10588" spans="1:18" ht="12.75">
      <c r="A10588" s="12"/>
      <c r="D10588" s="12"/>
      <c r="E10588" s="12"/>
      <c r="H10588" s="11" t="str">
        <f ca="1">IFERROR(__xludf.DUMMYFUNCTION("IFERROR(SUBSTITUTE(SUBSTITUTE(REGEXEXTRACT(A10588, ""[^-]+- [^-]+- [^-]+ - (.+?)\.jpg""), "".jpg"", """"), ""-"", "", ""), """")"),"")</f>
        <v/>
      </c>
      <c r="L10588" s="12"/>
      <c r="M10588" s="13"/>
      <c r="N10588" s="2"/>
      <c r="O10588" s="20"/>
      <c r="P10588" s="42"/>
      <c r="R10588" s="23"/>
    </row>
    <row r="10589" spans="1:18" ht="12.75">
      <c r="A10589" s="12"/>
      <c r="D10589" s="12"/>
      <c r="E10589" s="12"/>
      <c r="H10589" s="11" t="str">
        <f ca="1">IFERROR(__xludf.DUMMYFUNCTION("IFERROR(SUBSTITUTE(SUBSTITUTE(REGEXEXTRACT(A10589, ""[^-]+- [^-]+- [^-]+ - (.+?)\.jpg""), "".jpg"", """"), ""-"", "", ""), """")"),"")</f>
        <v/>
      </c>
      <c r="L10589" s="12"/>
      <c r="M10589" s="13"/>
      <c r="N10589" s="2"/>
      <c r="O10589" s="20"/>
      <c r="P10589" s="42"/>
      <c r="R10589" s="23"/>
    </row>
    <row r="10590" spans="1:18" ht="12.75">
      <c r="A10590" s="12"/>
      <c r="D10590" s="12"/>
      <c r="E10590" s="12"/>
      <c r="H10590" s="11" t="str">
        <f ca="1">IFERROR(__xludf.DUMMYFUNCTION("IFERROR(SUBSTITUTE(SUBSTITUTE(REGEXEXTRACT(A10590, ""[^-]+- [^-]+- [^-]+ - (.+?)\.jpg""), "".jpg"", """"), ""-"", "", ""), """")"),"")</f>
        <v/>
      </c>
      <c r="L10590" s="12"/>
      <c r="M10590" s="13"/>
      <c r="N10590" s="2"/>
      <c r="O10590" s="20"/>
      <c r="P10590" s="42"/>
      <c r="R10590" s="23"/>
    </row>
    <row r="10591" spans="1:18" ht="12.75">
      <c r="A10591" s="12"/>
      <c r="D10591" s="12"/>
      <c r="E10591" s="12"/>
      <c r="H10591" s="11" t="str">
        <f ca="1">IFERROR(__xludf.DUMMYFUNCTION("IFERROR(SUBSTITUTE(SUBSTITUTE(REGEXEXTRACT(A10591, ""[^-]+- [^-]+- [^-]+ - (.+?)\.jpg""), "".jpg"", """"), ""-"", "", ""), """")"),"")</f>
        <v/>
      </c>
      <c r="L10591" s="12"/>
      <c r="M10591" s="13"/>
      <c r="N10591" s="2"/>
      <c r="O10591" s="20"/>
      <c r="P10591" s="42"/>
      <c r="R10591" s="23"/>
    </row>
    <row r="10592" spans="1:18" ht="12.75">
      <c r="A10592" s="12"/>
      <c r="D10592" s="12"/>
      <c r="E10592" s="12"/>
      <c r="H10592" s="11" t="str">
        <f ca="1">IFERROR(__xludf.DUMMYFUNCTION("IFERROR(SUBSTITUTE(SUBSTITUTE(REGEXEXTRACT(A10592, ""[^-]+- [^-]+- [^-]+ - (.+?)\.jpg""), "".jpg"", """"), ""-"", "", ""), """")"),"")</f>
        <v/>
      </c>
      <c r="L10592" s="12"/>
      <c r="M10592" s="13"/>
      <c r="N10592" s="2"/>
      <c r="O10592" s="20"/>
      <c r="P10592" s="42"/>
      <c r="R10592" s="23"/>
    </row>
    <row r="10593" spans="1:18" ht="12.75">
      <c r="A10593" s="12"/>
      <c r="D10593" s="12"/>
      <c r="E10593" s="12"/>
      <c r="H10593" s="11" t="str">
        <f ca="1">IFERROR(__xludf.DUMMYFUNCTION("IFERROR(SUBSTITUTE(SUBSTITUTE(REGEXEXTRACT(A10593, ""[^-]+- [^-]+- [^-]+ - (.+?)\.jpg""), "".jpg"", """"), ""-"", "", ""), """")"),"")</f>
        <v/>
      </c>
      <c r="L10593" s="12"/>
      <c r="M10593" s="13"/>
      <c r="N10593" s="2"/>
      <c r="O10593" s="20"/>
      <c r="P10593" s="42"/>
      <c r="R10593" s="23"/>
    </row>
    <row r="10594" spans="1:18" ht="12.75">
      <c r="A10594" s="12"/>
      <c r="D10594" s="12"/>
      <c r="E10594" s="12"/>
      <c r="H10594" s="11" t="str">
        <f ca="1">IFERROR(__xludf.DUMMYFUNCTION("IFERROR(SUBSTITUTE(SUBSTITUTE(REGEXEXTRACT(A10594, ""[^-]+- [^-]+- [^-]+ - (.+?)\.jpg""), "".jpg"", """"), ""-"", "", ""), """")"),"")</f>
        <v/>
      </c>
      <c r="L10594" s="12"/>
      <c r="M10594" s="13"/>
      <c r="N10594" s="2"/>
      <c r="O10594" s="20"/>
      <c r="P10594" s="42"/>
      <c r="R10594" s="23"/>
    </row>
    <row r="10595" spans="1:18" ht="12.75">
      <c r="A10595" s="12"/>
      <c r="D10595" s="12"/>
      <c r="E10595" s="12"/>
      <c r="H10595" s="11" t="str">
        <f ca="1">IFERROR(__xludf.DUMMYFUNCTION("IFERROR(SUBSTITUTE(SUBSTITUTE(REGEXEXTRACT(A10595, ""[^-]+- [^-]+- [^-]+ - (.+?)\.jpg""), "".jpg"", """"), ""-"", "", ""), """")"),"")</f>
        <v/>
      </c>
      <c r="L10595" s="12"/>
      <c r="M10595" s="13"/>
      <c r="N10595" s="2"/>
      <c r="O10595" s="20"/>
      <c r="P10595" s="42"/>
      <c r="R10595" s="23"/>
    </row>
    <row r="10596" spans="1:18" ht="12.75">
      <c r="A10596" s="12"/>
      <c r="D10596" s="12"/>
      <c r="E10596" s="12"/>
      <c r="H10596" s="11" t="str">
        <f ca="1">IFERROR(__xludf.DUMMYFUNCTION("IFERROR(SUBSTITUTE(SUBSTITUTE(REGEXEXTRACT(A10596, ""[^-]+- [^-]+- [^-]+ - (.+?)\.jpg""), "".jpg"", """"), ""-"", "", ""), """")"),"")</f>
        <v/>
      </c>
      <c r="L10596" s="12"/>
      <c r="M10596" s="13"/>
      <c r="N10596" s="2"/>
      <c r="O10596" s="20"/>
      <c r="P10596" s="42"/>
      <c r="R10596" s="23"/>
    </row>
    <row r="10597" spans="1:18" ht="12.75">
      <c r="A10597" s="12"/>
      <c r="D10597" s="12"/>
      <c r="E10597" s="12"/>
      <c r="H10597" s="11" t="str">
        <f ca="1">IFERROR(__xludf.DUMMYFUNCTION("IFERROR(SUBSTITUTE(SUBSTITUTE(REGEXEXTRACT(A10597, ""[^-]+- [^-]+- [^-]+ - (.+?)\.jpg""), "".jpg"", """"), ""-"", "", ""), """")"),"")</f>
        <v/>
      </c>
      <c r="L10597" s="12"/>
      <c r="M10597" s="13"/>
      <c r="N10597" s="2"/>
      <c r="O10597" s="20"/>
      <c r="P10597" s="42"/>
      <c r="R10597" s="23"/>
    </row>
    <row r="10598" spans="1:18" ht="12.75">
      <c r="A10598" s="12"/>
      <c r="D10598" s="12"/>
      <c r="E10598" s="12"/>
      <c r="H10598" s="11" t="str">
        <f ca="1">IFERROR(__xludf.DUMMYFUNCTION("IFERROR(SUBSTITUTE(SUBSTITUTE(REGEXEXTRACT(A10598, ""[^-]+- [^-]+- [^-]+ - (.+?)\.jpg""), "".jpg"", """"), ""-"", "", ""), """")"),"")</f>
        <v/>
      </c>
      <c r="L10598" s="12"/>
      <c r="M10598" s="13"/>
      <c r="N10598" s="2"/>
      <c r="O10598" s="20"/>
      <c r="P10598" s="42"/>
      <c r="R10598" s="23"/>
    </row>
    <row r="10599" spans="1:18" ht="12.75">
      <c r="A10599" s="12"/>
      <c r="D10599" s="12"/>
      <c r="E10599" s="12"/>
      <c r="H10599" s="11" t="str">
        <f ca="1">IFERROR(__xludf.DUMMYFUNCTION("IFERROR(SUBSTITUTE(SUBSTITUTE(REGEXEXTRACT(A10599, ""[^-]+- [^-]+- [^-]+ - (.+?)\.jpg""), "".jpg"", """"), ""-"", "", ""), """")"),"")</f>
        <v/>
      </c>
      <c r="L10599" s="12"/>
      <c r="M10599" s="13"/>
      <c r="N10599" s="2"/>
      <c r="O10599" s="20"/>
      <c r="P10599" s="42"/>
      <c r="R10599" s="23"/>
    </row>
    <row r="10600" spans="1:18" ht="12.75">
      <c r="A10600" s="12"/>
      <c r="D10600" s="12"/>
      <c r="E10600" s="12"/>
      <c r="H10600" s="11" t="str">
        <f ca="1">IFERROR(__xludf.DUMMYFUNCTION("IFERROR(SUBSTITUTE(SUBSTITUTE(REGEXEXTRACT(A10600, ""[^-]+- [^-]+- [^-]+ - (.+?)\.jpg""), "".jpg"", """"), ""-"", "", ""), """")"),"")</f>
        <v/>
      </c>
      <c r="L10600" s="12"/>
      <c r="M10600" s="13"/>
      <c r="N10600" s="2"/>
      <c r="O10600" s="20"/>
      <c r="P10600" s="42"/>
      <c r="R10600" s="23"/>
    </row>
    <row r="10601" spans="1:18" ht="12.75">
      <c r="A10601" s="12"/>
      <c r="D10601" s="12"/>
      <c r="E10601" s="12"/>
      <c r="H10601" s="11" t="str">
        <f ca="1">IFERROR(__xludf.DUMMYFUNCTION("IFERROR(SUBSTITUTE(SUBSTITUTE(REGEXEXTRACT(A10601, ""[^-]+- [^-]+- [^-]+ - (.+?)\.jpg""), "".jpg"", """"), ""-"", "", ""), """")"),"")</f>
        <v/>
      </c>
      <c r="L10601" s="12"/>
      <c r="M10601" s="13"/>
      <c r="N10601" s="2"/>
      <c r="O10601" s="20"/>
      <c r="P10601" s="42"/>
      <c r="R10601" s="23"/>
    </row>
    <row r="10602" spans="1:18" ht="12.75">
      <c r="A10602" s="12"/>
      <c r="D10602" s="12"/>
      <c r="E10602" s="12"/>
      <c r="H10602" s="11" t="str">
        <f ca="1">IFERROR(__xludf.DUMMYFUNCTION("IFERROR(SUBSTITUTE(SUBSTITUTE(REGEXEXTRACT(A10602, ""[^-]+- [^-]+- [^-]+ - (.+?)\.jpg""), "".jpg"", """"), ""-"", "", ""), """")"),"")</f>
        <v/>
      </c>
      <c r="L10602" s="12"/>
      <c r="M10602" s="13"/>
      <c r="N10602" s="2"/>
      <c r="O10602" s="20"/>
      <c r="P10602" s="42"/>
      <c r="R10602" s="23"/>
    </row>
    <row r="10603" spans="1:18" ht="12.75">
      <c r="A10603" s="12"/>
      <c r="D10603" s="12"/>
      <c r="E10603" s="12"/>
      <c r="H10603" s="11" t="str">
        <f ca="1">IFERROR(__xludf.DUMMYFUNCTION("IFERROR(SUBSTITUTE(SUBSTITUTE(REGEXEXTRACT(A10603, ""[^-]+- [^-]+- [^-]+ - (.+?)\.jpg""), "".jpg"", """"), ""-"", "", ""), """")"),"")</f>
        <v/>
      </c>
      <c r="L10603" s="12"/>
      <c r="M10603" s="13"/>
      <c r="N10603" s="2"/>
      <c r="O10603" s="20"/>
      <c r="P10603" s="42"/>
      <c r="R10603" s="23"/>
    </row>
    <row r="10604" spans="1:18" ht="12.75">
      <c r="A10604" s="12"/>
      <c r="D10604" s="12"/>
      <c r="E10604" s="12"/>
      <c r="H10604" s="11" t="str">
        <f ca="1">IFERROR(__xludf.DUMMYFUNCTION("IFERROR(SUBSTITUTE(SUBSTITUTE(REGEXEXTRACT(A10604, ""[^-]+- [^-]+- [^-]+ - (.+?)\.jpg""), "".jpg"", """"), ""-"", "", ""), """")"),"")</f>
        <v/>
      </c>
      <c r="L10604" s="12"/>
      <c r="M10604" s="13"/>
      <c r="N10604" s="2"/>
      <c r="O10604" s="20"/>
      <c r="P10604" s="42"/>
      <c r="R10604" s="23"/>
    </row>
    <row r="10605" spans="1:18" ht="12.75">
      <c r="A10605" s="12"/>
      <c r="D10605" s="12"/>
      <c r="E10605" s="12"/>
      <c r="H10605" s="11" t="str">
        <f ca="1">IFERROR(__xludf.DUMMYFUNCTION("IFERROR(SUBSTITUTE(SUBSTITUTE(REGEXEXTRACT(A10605, ""[^-]+- [^-]+- [^-]+ - (.+?)\.jpg""), "".jpg"", """"), ""-"", "", ""), """")"),"")</f>
        <v/>
      </c>
      <c r="L10605" s="12"/>
      <c r="M10605" s="13"/>
      <c r="N10605" s="2"/>
      <c r="O10605" s="20"/>
      <c r="P10605" s="42"/>
      <c r="R10605" s="23"/>
    </row>
    <row r="10606" spans="1:18" ht="12.75">
      <c r="A10606" s="12"/>
      <c r="D10606" s="12"/>
      <c r="E10606" s="12"/>
      <c r="H10606" s="11" t="str">
        <f ca="1">IFERROR(__xludf.DUMMYFUNCTION("IFERROR(SUBSTITUTE(SUBSTITUTE(REGEXEXTRACT(A10606, ""[^-]+- [^-]+- [^-]+ - (.+?)\.jpg""), "".jpg"", """"), ""-"", "", ""), """")"),"")</f>
        <v/>
      </c>
      <c r="L10606" s="12"/>
      <c r="M10606" s="13"/>
      <c r="N10606" s="2"/>
      <c r="O10606" s="20"/>
      <c r="P10606" s="42"/>
      <c r="R10606" s="23"/>
    </row>
    <row r="10607" spans="1:18" ht="12.75">
      <c r="A10607" s="12"/>
      <c r="D10607" s="12"/>
      <c r="E10607" s="12"/>
      <c r="H10607" s="11" t="str">
        <f ca="1">IFERROR(__xludf.DUMMYFUNCTION("IFERROR(SUBSTITUTE(SUBSTITUTE(REGEXEXTRACT(A10607, ""[^-]+- [^-]+- [^-]+ - (.+?)\.jpg""), "".jpg"", """"), ""-"", "", ""), """")"),"")</f>
        <v/>
      </c>
      <c r="L10607" s="12"/>
      <c r="M10607" s="13"/>
      <c r="N10607" s="2"/>
      <c r="O10607" s="20"/>
      <c r="P10607" s="42"/>
      <c r="R10607" s="23"/>
    </row>
    <row r="10608" spans="1:18" ht="12.75">
      <c r="A10608" s="12"/>
      <c r="D10608" s="12"/>
      <c r="E10608" s="12"/>
      <c r="H10608" s="11" t="str">
        <f ca="1">IFERROR(__xludf.DUMMYFUNCTION("IFERROR(SUBSTITUTE(SUBSTITUTE(REGEXEXTRACT(A10608, ""[^-]+- [^-]+- [^-]+ - (.+?)\.jpg""), "".jpg"", """"), ""-"", "", ""), """")"),"")</f>
        <v/>
      </c>
      <c r="L10608" s="12"/>
      <c r="M10608" s="13"/>
      <c r="N10608" s="2"/>
      <c r="O10608" s="20"/>
      <c r="P10608" s="42"/>
      <c r="R10608" s="23"/>
    </row>
    <row r="10609" spans="1:18" ht="12.75">
      <c r="A10609" s="12"/>
      <c r="D10609" s="12"/>
      <c r="E10609" s="12"/>
      <c r="H10609" s="11" t="str">
        <f ca="1">IFERROR(__xludf.DUMMYFUNCTION("IFERROR(SUBSTITUTE(SUBSTITUTE(REGEXEXTRACT(A10609, ""[^-]+- [^-]+- [^-]+ - (.+?)\.jpg""), "".jpg"", """"), ""-"", "", ""), """")"),"")</f>
        <v/>
      </c>
      <c r="L10609" s="12"/>
      <c r="M10609" s="13"/>
      <c r="N10609" s="2"/>
      <c r="O10609" s="20"/>
      <c r="P10609" s="42"/>
      <c r="R10609" s="23"/>
    </row>
    <row r="10610" spans="1:18" ht="12.75">
      <c r="A10610" s="12"/>
      <c r="D10610" s="12"/>
      <c r="E10610" s="12"/>
      <c r="H10610" s="11" t="str">
        <f ca="1">IFERROR(__xludf.DUMMYFUNCTION("IFERROR(SUBSTITUTE(SUBSTITUTE(REGEXEXTRACT(A10610, ""[^-]+- [^-]+- [^-]+ - (.+?)\.jpg""), "".jpg"", """"), ""-"", "", ""), """")"),"")</f>
        <v/>
      </c>
      <c r="L10610" s="12"/>
      <c r="M10610" s="13"/>
      <c r="N10610" s="2"/>
      <c r="O10610" s="20"/>
      <c r="P10610" s="42"/>
      <c r="R10610" s="23"/>
    </row>
    <row r="10611" spans="1:18" ht="12.75">
      <c r="A10611" s="12"/>
      <c r="D10611" s="12"/>
      <c r="E10611" s="12"/>
      <c r="H10611" s="11" t="str">
        <f ca="1">IFERROR(__xludf.DUMMYFUNCTION("IFERROR(SUBSTITUTE(SUBSTITUTE(REGEXEXTRACT(A10611, ""[^-]+- [^-]+- [^-]+ - (.+?)\.jpg""), "".jpg"", """"), ""-"", "", ""), """")"),"")</f>
        <v/>
      </c>
      <c r="L10611" s="12"/>
      <c r="M10611" s="13"/>
      <c r="N10611" s="2"/>
      <c r="O10611" s="20"/>
      <c r="P10611" s="42"/>
      <c r="R10611" s="23"/>
    </row>
    <row r="10612" spans="1:18" ht="12.75">
      <c r="A10612" s="12"/>
      <c r="D10612" s="12"/>
      <c r="E10612" s="12"/>
      <c r="H10612" s="11" t="str">
        <f ca="1">IFERROR(__xludf.DUMMYFUNCTION("IFERROR(SUBSTITUTE(SUBSTITUTE(REGEXEXTRACT(A10612, ""[^-]+- [^-]+- [^-]+ - (.+?)\.jpg""), "".jpg"", """"), ""-"", "", ""), """")"),"")</f>
        <v/>
      </c>
      <c r="L10612" s="12"/>
      <c r="M10612" s="13"/>
      <c r="N10612" s="2"/>
      <c r="O10612" s="20"/>
      <c r="P10612" s="42"/>
      <c r="R10612" s="23"/>
    </row>
    <row r="10613" spans="1:18" ht="12.75">
      <c r="A10613" s="12"/>
      <c r="D10613" s="12"/>
      <c r="E10613" s="12"/>
      <c r="H10613" s="11" t="str">
        <f ca="1">IFERROR(__xludf.DUMMYFUNCTION("IFERROR(SUBSTITUTE(SUBSTITUTE(REGEXEXTRACT(A10613, ""[^-]+- [^-]+- [^-]+ - (.+?)\.jpg""), "".jpg"", """"), ""-"", "", ""), """")"),"")</f>
        <v/>
      </c>
      <c r="L10613" s="12"/>
      <c r="M10613" s="13"/>
      <c r="N10613" s="2"/>
      <c r="O10613" s="20"/>
      <c r="P10613" s="42"/>
      <c r="R10613" s="23"/>
    </row>
    <row r="10614" spans="1:18" ht="12.75">
      <c r="A10614" s="12"/>
      <c r="D10614" s="12"/>
      <c r="E10614" s="12"/>
      <c r="H10614" s="11" t="str">
        <f ca="1">IFERROR(__xludf.DUMMYFUNCTION("IFERROR(SUBSTITUTE(SUBSTITUTE(REGEXEXTRACT(A10614, ""[^-]+- [^-]+- [^-]+ - (.+?)\.jpg""), "".jpg"", """"), ""-"", "", ""), """")"),"")</f>
        <v/>
      </c>
      <c r="L10614" s="12"/>
      <c r="M10614" s="13"/>
      <c r="N10614" s="2"/>
      <c r="O10614" s="20"/>
      <c r="P10614" s="42"/>
      <c r="R10614" s="23"/>
    </row>
    <row r="10615" spans="1:18" ht="12.75">
      <c r="A10615" s="12"/>
      <c r="D10615" s="12"/>
      <c r="E10615" s="12"/>
      <c r="H10615" s="11" t="str">
        <f ca="1">IFERROR(__xludf.DUMMYFUNCTION("IFERROR(SUBSTITUTE(SUBSTITUTE(REGEXEXTRACT(A10615, ""[^-]+- [^-]+- [^-]+ - (.+?)\.jpg""), "".jpg"", """"), ""-"", "", ""), """")"),"")</f>
        <v/>
      </c>
      <c r="L10615" s="12"/>
      <c r="M10615" s="13"/>
      <c r="N10615" s="2"/>
      <c r="O10615" s="20"/>
      <c r="P10615" s="42"/>
      <c r="R10615" s="23"/>
    </row>
    <row r="10616" spans="1:18" ht="12.75">
      <c r="A10616" s="12"/>
      <c r="D10616" s="12"/>
      <c r="E10616" s="12"/>
      <c r="H10616" s="11" t="str">
        <f ca="1">IFERROR(__xludf.DUMMYFUNCTION("IFERROR(SUBSTITUTE(SUBSTITUTE(REGEXEXTRACT(A10616, ""[^-]+- [^-]+- [^-]+ - (.+?)\.jpg""), "".jpg"", """"), ""-"", "", ""), """")"),"")</f>
        <v/>
      </c>
      <c r="L10616" s="12"/>
      <c r="M10616" s="13"/>
      <c r="N10616" s="2"/>
      <c r="O10616" s="20"/>
      <c r="P10616" s="42"/>
      <c r="R10616" s="23"/>
    </row>
    <row r="10617" spans="1:18" ht="12.75">
      <c r="A10617" s="12"/>
      <c r="D10617" s="12"/>
      <c r="E10617" s="12"/>
      <c r="H10617" s="11" t="str">
        <f ca="1">IFERROR(__xludf.DUMMYFUNCTION("IFERROR(SUBSTITUTE(SUBSTITUTE(REGEXEXTRACT(A10617, ""[^-]+- [^-]+- [^-]+ - (.+?)\.jpg""), "".jpg"", """"), ""-"", "", ""), """")"),"")</f>
        <v/>
      </c>
      <c r="L10617" s="12"/>
      <c r="M10617" s="13"/>
      <c r="N10617" s="2"/>
      <c r="O10617" s="20"/>
      <c r="P10617" s="42"/>
      <c r="R10617" s="23"/>
    </row>
    <row r="10618" spans="1:18" ht="12.75">
      <c r="A10618" s="12"/>
      <c r="D10618" s="12"/>
      <c r="E10618" s="12"/>
      <c r="H10618" s="11" t="str">
        <f ca="1">IFERROR(__xludf.DUMMYFUNCTION("IFERROR(SUBSTITUTE(SUBSTITUTE(REGEXEXTRACT(A10618, ""[^-]+- [^-]+- [^-]+ - (.+?)\.jpg""), "".jpg"", """"), ""-"", "", ""), """")"),"")</f>
        <v/>
      </c>
      <c r="L10618" s="12"/>
      <c r="M10618" s="13"/>
      <c r="N10618" s="2"/>
      <c r="O10618" s="20"/>
      <c r="P10618" s="42"/>
      <c r="R10618" s="23"/>
    </row>
    <row r="10619" spans="1:18" ht="12.75">
      <c r="A10619" s="12"/>
      <c r="D10619" s="12"/>
      <c r="E10619" s="12"/>
      <c r="H10619" s="11" t="str">
        <f ca="1">IFERROR(__xludf.DUMMYFUNCTION("IFERROR(SUBSTITUTE(SUBSTITUTE(REGEXEXTRACT(A10619, ""[^-]+- [^-]+- [^-]+ - (.+?)\.jpg""), "".jpg"", """"), ""-"", "", ""), """")"),"")</f>
        <v/>
      </c>
      <c r="L10619" s="12"/>
      <c r="M10619" s="13"/>
      <c r="N10619" s="2"/>
      <c r="O10619" s="20"/>
      <c r="P10619" s="42"/>
      <c r="R10619" s="23"/>
    </row>
    <row r="10620" spans="1:18" ht="12.75">
      <c r="A10620" s="12"/>
      <c r="D10620" s="12"/>
      <c r="E10620" s="12"/>
      <c r="H10620" s="11" t="str">
        <f ca="1">IFERROR(__xludf.DUMMYFUNCTION("IFERROR(SUBSTITUTE(SUBSTITUTE(REGEXEXTRACT(A10620, ""[^-]+- [^-]+- [^-]+ - (.+?)\.jpg""), "".jpg"", """"), ""-"", "", ""), """")"),"")</f>
        <v/>
      </c>
      <c r="L10620" s="12"/>
      <c r="M10620" s="13"/>
      <c r="N10620" s="2"/>
      <c r="O10620" s="20"/>
      <c r="P10620" s="42"/>
      <c r="R10620" s="23"/>
    </row>
    <row r="10621" spans="1:18" ht="12.75">
      <c r="A10621" s="12"/>
      <c r="D10621" s="12"/>
      <c r="E10621" s="12"/>
      <c r="H10621" s="11" t="str">
        <f ca="1">IFERROR(__xludf.DUMMYFUNCTION("IFERROR(SUBSTITUTE(SUBSTITUTE(REGEXEXTRACT(A10621, ""[^-]+- [^-]+- [^-]+ - (.+?)\.jpg""), "".jpg"", """"), ""-"", "", ""), """")"),"")</f>
        <v/>
      </c>
      <c r="L10621" s="12"/>
      <c r="M10621" s="13"/>
      <c r="N10621" s="2"/>
      <c r="O10621" s="20"/>
      <c r="P10621" s="42"/>
      <c r="R10621" s="23"/>
    </row>
    <row r="10622" spans="1:18" ht="12.75">
      <c r="A10622" s="12"/>
      <c r="D10622" s="12"/>
      <c r="E10622" s="12"/>
      <c r="H10622" s="11" t="str">
        <f ca="1">IFERROR(__xludf.DUMMYFUNCTION("IFERROR(SUBSTITUTE(SUBSTITUTE(REGEXEXTRACT(A10622, ""[^-]+- [^-]+- [^-]+ - (.+?)\.jpg""), "".jpg"", """"), ""-"", "", ""), """")"),"")</f>
        <v/>
      </c>
      <c r="L10622" s="12"/>
      <c r="M10622" s="13"/>
      <c r="N10622" s="2"/>
      <c r="O10622" s="20"/>
      <c r="P10622" s="42"/>
      <c r="R10622" s="23"/>
    </row>
    <row r="10623" spans="1:18" ht="12.75">
      <c r="A10623" s="12"/>
      <c r="D10623" s="12"/>
      <c r="E10623" s="12"/>
      <c r="H10623" s="11" t="str">
        <f ca="1">IFERROR(__xludf.DUMMYFUNCTION("IFERROR(SUBSTITUTE(SUBSTITUTE(REGEXEXTRACT(A10623, ""[^-]+- [^-]+- [^-]+ - (.+?)\.jpg""), "".jpg"", """"), ""-"", "", ""), """")"),"")</f>
        <v/>
      </c>
      <c r="L10623" s="12"/>
      <c r="M10623" s="13"/>
      <c r="N10623" s="2"/>
      <c r="O10623" s="20"/>
      <c r="P10623" s="42"/>
      <c r="R10623" s="23"/>
    </row>
    <row r="10624" spans="1:18" ht="12.75">
      <c r="A10624" s="12"/>
      <c r="D10624" s="12"/>
      <c r="E10624" s="12"/>
      <c r="H10624" s="11" t="str">
        <f ca="1">IFERROR(__xludf.DUMMYFUNCTION("IFERROR(SUBSTITUTE(SUBSTITUTE(REGEXEXTRACT(A10624, ""[^-]+- [^-]+- [^-]+ - (.+?)\.jpg""), "".jpg"", """"), ""-"", "", ""), """")"),"")</f>
        <v/>
      </c>
      <c r="L10624" s="12"/>
      <c r="M10624" s="13"/>
      <c r="N10624" s="2"/>
      <c r="O10624" s="20"/>
      <c r="P10624" s="42"/>
      <c r="R10624" s="23"/>
    </row>
    <row r="10625" spans="1:18" ht="12.75">
      <c r="A10625" s="12"/>
      <c r="D10625" s="12"/>
      <c r="E10625" s="12"/>
      <c r="H10625" s="11" t="str">
        <f ca="1">IFERROR(__xludf.DUMMYFUNCTION("IFERROR(SUBSTITUTE(SUBSTITUTE(REGEXEXTRACT(A10625, ""[^-]+- [^-]+- [^-]+ - (.+?)\.jpg""), "".jpg"", """"), ""-"", "", ""), """")"),"")</f>
        <v/>
      </c>
      <c r="L10625" s="12"/>
      <c r="M10625" s="13"/>
      <c r="N10625" s="2"/>
      <c r="O10625" s="20"/>
      <c r="P10625" s="42"/>
      <c r="R10625" s="23"/>
    </row>
    <row r="10626" spans="1:18" ht="12.75">
      <c r="A10626" s="12"/>
      <c r="D10626" s="12"/>
      <c r="E10626" s="12"/>
      <c r="H10626" s="11" t="str">
        <f ca="1">IFERROR(__xludf.DUMMYFUNCTION("IFERROR(SUBSTITUTE(SUBSTITUTE(REGEXEXTRACT(A10626, ""[^-]+- [^-]+- [^-]+ - (.+?)\.jpg""), "".jpg"", """"), ""-"", "", ""), """")"),"")</f>
        <v/>
      </c>
      <c r="L10626" s="12"/>
      <c r="M10626" s="13"/>
      <c r="N10626" s="2"/>
      <c r="O10626" s="20"/>
      <c r="P10626" s="42"/>
      <c r="R10626" s="23"/>
    </row>
    <row r="10627" spans="1:18" ht="12.75">
      <c r="A10627" s="12"/>
      <c r="D10627" s="12"/>
      <c r="E10627" s="12"/>
      <c r="H10627" s="11" t="str">
        <f ca="1">IFERROR(__xludf.DUMMYFUNCTION("IFERROR(SUBSTITUTE(SUBSTITUTE(REGEXEXTRACT(A10627, ""[^-]+- [^-]+- [^-]+ - (.+?)\.jpg""), "".jpg"", """"), ""-"", "", ""), """")"),"")</f>
        <v/>
      </c>
      <c r="L10627" s="12"/>
      <c r="M10627" s="13"/>
      <c r="N10627" s="2"/>
      <c r="O10627" s="20"/>
      <c r="P10627" s="42"/>
      <c r="R10627" s="23"/>
    </row>
    <row r="10628" spans="1:18" ht="12.75">
      <c r="A10628" s="12"/>
      <c r="D10628" s="12"/>
      <c r="E10628" s="12"/>
      <c r="H10628" s="11" t="str">
        <f ca="1">IFERROR(__xludf.DUMMYFUNCTION("IFERROR(SUBSTITUTE(SUBSTITUTE(REGEXEXTRACT(A10628, ""[^-]+- [^-]+- [^-]+ - (.+?)\.jpg""), "".jpg"", """"), ""-"", "", ""), """")"),"")</f>
        <v/>
      </c>
      <c r="L10628" s="12"/>
      <c r="M10628" s="13"/>
      <c r="N10628" s="2"/>
      <c r="O10628" s="20"/>
      <c r="P10628" s="42"/>
      <c r="R10628" s="23"/>
    </row>
    <row r="10629" spans="1:18" ht="12.75">
      <c r="A10629" s="12"/>
      <c r="D10629" s="12"/>
      <c r="E10629" s="12"/>
      <c r="H10629" s="11" t="str">
        <f ca="1">IFERROR(__xludf.DUMMYFUNCTION("IFERROR(SUBSTITUTE(SUBSTITUTE(REGEXEXTRACT(A10629, ""[^-]+- [^-]+- [^-]+ - (.+?)\.jpg""), "".jpg"", """"), ""-"", "", ""), """")"),"")</f>
        <v/>
      </c>
      <c r="L10629" s="12"/>
      <c r="M10629" s="13"/>
      <c r="N10629" s="2"/>
      <c r="O10629" s="20"/>
      <c r="P10629" s="42"/>
      <c r="R10629" s="23"/>
    </row>
    <row r="10630" spans="1:18" ht="12.75">
      <c r="A10630" s="12"/>
      <c r="D10630" s="12"/>
      <c r="E10630" s="12"/>
      <c r="H10630" s="11" t="str">
        <f ca="1">IFERROR(__xludf.DUMMYFUNCTION("IFERROR(SUBSTITUTE(SUBSTITUTE(REGEXEXTRACT(A10630, ""[^-]+- [^-]+- [^-]+ - (.+?)\.jpg""), "".jpg"", """"), ""-"", "", ""), """")"),"")</f>
        <v/>
      </c>
      <c r="L10630" s="12"/>
      <c r="M10630" s="13"/>
      <c r="N10630" s="2"/>
      <c r="O10630" s="20"/>
      <c r="P10630" s="42"/>
      <c r="R10630" s="23"/>
    </row>
    <row r="10631" spans="1:18" ht="12.75">
      <c r="A10631" s="12"/>
      <c r="D10631" s="12"/>
      <c r="E10631" s="12"/>
      <c r="H10631" s="11" t="str">
        <f ca="1">IFERROR(__xludf.DUMMYFUNCTION("IFERROR(SUBSTITUTE(SUBSTITUTE(REGEXEXTRACT(A10631, ""[^-]+- [^-]+- [^-]+ - (.+?)\.jpg""), "".jpg"", """"), ""-"", "", ""), """")"),"")</f>
        <v/>
      </c>
      <c r="L10631" s="12"/>
      <c r="M10631" s="13"/>
      <c r="N10631" s="2"/>
      <c r="O10631" s="20"/>
      <c r="P10631" s="42"/>
      <c r="R10631" s="23"/>
    </row>
    <row r="10632" spans="1:18" ht="12.75">
      <c r="A10632" s="12"/>
      <c r="D10632" s="12"/>
      <c r="E10632" s="12"/>
      <c r="H10632" s="11" t="str">
        <f ca="1">IFERROR(__xludf.DUMMYFUNCTION("IFERROR(SUBSTITUTE(SUBSTITUTE(REGEXEXTRACT(A10632, ""[^-]+- [^-]+- [^-]+ - (.+?)\.jpg""), "".jpg"", """"), ""-"", "", ""), """")"),"")</f>
        <v/>
      </c>
      <c r="L10632" s="12"/>
      <c r="M10632" s="13"/>
      <c r="N10632" s="2"/>
      <c r="O10632" s="20"/>
      <c r="P10632" s="42"/>
      <c r="R10632" s="23"/>
    </row>
    <row r="10633" spans="1:18" ht="12.75">
      <c r="A10633" s="12"/>
      <c r="D10633" s="12"/>
      <c r="E10633" s="12"/>
      <c r="H10633" s="11" t="str">
        <f ca="1">IFERROR(__xludf.DUMMYFUNCTION("IFERROR(SUBSTITUTE(SUBSTITUTE(REGEXEXTRACT(A10633, ""[^-]+- [^-]+- [^-]+ - (.+?)\.jpg""), "".jpg"", """"), ""-"", "", ""), """")"),"")</f>
        <v/>
      </c>
      <c r="L10633" s="12"/>
      <c r="M10633" s="13"/>
      <c r="N10633" s="2"/>
      <c r="O10633" s="20"/>
      <c r="P10633" s="42"/>
      <c r="R10633" s="23"/>
    </row>
    <row r="10634" spans="1:18" ht="12.75">
      <c r="A10634" s="12"/>
      <c r="D10634" s="12"/>
      <c r="E10634" s="12"/>
      <c r="H10634" s="11" t="str">
        <f ca="1">IFERROR(__xludf.DUMMYFUNCTION("IFERROR(SUBSTITUTE(SUBSTITUTE(REGEXEXTRACT(A10634, ""[^-]+- [^-]+- [^-]+ - (.+?)\.jpg""), "".jpg"", """"), ""-"", "", ""), """")"),"")</f>
        <v/>
      </c>
      <c r="L10634" s="12"/>
      <c r="M10634" s="13"/>
      <c r="N10634" s="2"/>
      <c r="O10634" s="20"/>
      <c r="P10634" s="42"/>
      <c r="R10634" s="23"/>
    </row>
    <row r="10635" spans="1:18" ht="12.75">
      <c r="A10635" s="12"/>
      <c r="D10635" s="12"/>
      <c r="E10635" s="12"/>
      <c r="H10635" s="11" t="str">
        <f ca="1">IFERROR(__xludf.DUMMYFUNCTION("IFERROR(SUBSTITUTE(SUBSTITUTE(REGEXEXTRACT(A10635, ""[^-]+- [^-]+- [^-]+ - (.+?)\.jpg""), "".jpg"", """"), ""-"", "", ""), """")"),"")</f>
        <v/>
      </c>
      <c r="L10635" s="12"/>
      <c r="M10635" s="13"/>
      <c r="N10635" s="2"/>
      <c r="O10635" s="20"/>
      <c r="P10635" s="42"/>
      <c r="R10635" s="23"/>
    </row>
    <row r="10636" spans="1:18" ht="12.75">
      <c r="A10636" s="12"/>
      <c r="D10636" s="12"/>
      <c r="E10636" s="12"/>
      <c r="H10636" s="11" t="str">
        <f ca="1">IFERROR(__xludf.DUMMYFUNCTION("IFERROR(SUBSTITUTE(SUBSTITUTE(REGEXEXTRACT(A10636, ""[^-]+- [^-]+- [^-]+ - (.+?)\.jpg""), "".jpg"", """"), ""-"", "", ""), """")"),"")</f>
        <v/>
      </c>
      <c r="L10636" s="12"/>
      <c r="M10636" s="13"/>
      <c r="N10636" s="2"/>
      <c r="O10636" s="20"/>
      <c r="P10636" s="42"/>
      <c r="R10636" s="23"/>
    </row>
    <row r="10637" spans="1:18" ht="12.75">
      <c r="A10637" s="12"/>
      <c r="D10637" s="12"/>
      <c r="E10637" s="12"/>
      <c r="H10637" s="11" t="str">
        <f ca="1">IFERROR(__xludf.DUMMYFUNCTION("IFERROR(SUBSTITUTE(SUBSTITUTE(REGEXEXTRACT(A10637, ""[^-]+- [^-]+- [^-]+ - (.+?)\.jpg""), "".jpg"", """"), ""-"", "", ""), """")"),"")</f>
        <v/>
      </c>
      <c r="L10637" s="12"/>
      <c r="M10637" s="13"/>
      <c r="N10637" s="2"/>
      <c r="O10637" s="20"/>
      <c r="P10637" s="42"/>
      <c r="R10637" s="23"/>
    </row>
    <row r="10638" spans="1:18" ht="12.75">
      <c r="A10638" s="12"/>
      <c r="D10638" s="12"/>
      <c r="E10638" s="12"/>
      <c r="H10638" s="11" t="str">
        <f ca="1">IFERROR(__xludf.DUMMYFUNCTION("IFERROR(SUBSTITUTE(SUBSTITUTE(REGEXEXTRACT(A10638, ""[^-]+- [^-]+- [^-]+ - (.+?)\.jpg""), "".jpg"", """"), ""-"", "", ""), """")"),"")</f>
        <v/>
      </c>
      <c r="L10638" s="12"/>
      <c r="M10638" s="13"/>
      <c r="N10638" s="2"/>
      <c r="O10638" s="20"/>
      <c r="P10638" s="42"/>
      <c r="R10638" s="23"/>
    </row>
    <row r="10639" spans="1:18" ht="12.75">
      <c r="A10639" s="12"/>
      <c r="D10639" s="12"/>
      <c r="E10639" s="12"/>
      <c r="H10639" s="11" t="str">
        <f ca="1">IFERROR(__xludf.DUMMYFUNCTION("IFERROR(SUBSTITUTE(SUBSTITUTE(REGEXEXTRACT(A10639, ""[^-]+- [^-]+- [^-]+ - (.+?)\.jpg""), "".jpg"", """"), ""-"", "", ""), """")"),"")</f>
        <v/>
      </c>
      <c r="L10639" s="12"/>
      <c r="M10639" s="13"/>
      <c r="N10639" s="2"/>
      <c r="O10639" s="20"/>
      <c r="P10639" s="42"/>
      <c r="R10639" s="23"/>
    </row>
    <row r="10640" spans="1:18" ht="12.75">
      <c r="A10640" s="12"/>
      <c r="D10640" s="12"/>
      <c r="E10640" s="12"/>
      <c r="H10640" s="11" t="str">
        <f ca="1">IFERROR(__xludf.DUMMYFUNCTION("IFERROR(SUBSTITUTE(SUBSTITUTE(REGEXEXTRACT(A10640, ""[^-]+- [^-]+- [^-]+ - (.+?)\.jpg""), "".jpg"", """"), ""-"", "", ""), """")"),"")</f>
        <v/>
      </c>
      <c r="L10640" s="12"/>
      <c r="M10640" s="13"/>
      <c r="N10640" s="2"/>
      <c r="O10640" s="20"/>
      <c r="P10640" s="42"/>
      <c r="R10640" s="23"/>
    </row>
    <row r="10641" spans="1:18" ht="12.75">
      <c r="A10641" s="12"/>
      <c r="D10641" s="12"/>
      <c r="E10641" s="12"/>
      <c r="H10641" s="11" t="str">
        <f ca="1">IFERROR(__xludf.DUMMYFUNCTION("IFERROR(SUBSTITUTE(SUBSTITUTE(REGEXEXTRACT(A10641, ""[^-]+- [^-]+- [^-]+ - (.+?)\.jpg""), "".jpg"", """"), ""-"", "", ""), """")"),"")</f>
        <v/>
      </c>
      <c r="L10641" s="12"/>
      <c r="M10641" s="13"/>
      <c r="N10641" s="2"/>
      <c r="O10641" s="20"/>
      <c r="P10641" s="42"/>
      <c r="R10641" s="23"/>
    </row>
    <row r="10642" spans="1:18" ht="12.75">
      <c r="A10642" s="12"/>
      <c r="D10642" s="12"/>
      <c r="E10642" s="12"/>
      <c r="H10642" s="11" t="str">
        <f ca="1">IFERROR(__xludf.DUMMYFUNCTION("IFERROR(SUBSTITUTE(SUBSTITUTE(REGEXEXTRACT(A10642, ""[^-]+- [^-]+- [^-]+ - (.+?)\.jpg""), "".jpg"", """"), ""-"", "", ""), """")"),"")</f>
        <v/>
      </c>
      <c r="L10642" s="12"/>
      <c r="M10642" s="13"/>
      <c r="N10642" s="2"/>
      <c r="O10642" s="20"/>
      <c r="P10642" s="42"/>
      <c r="R10642" s="23"/>
    </row>
    <row r="10643" spans="1:18" ht="12.75">
      <c r="A10643" s="12"/>
      <c r="D10643" s="12"/>
      <c r="E10643" s="12"/>
      <c r="H10643" s="11" t="str">
        <f ca="1">IFERROR(__xludf.DUMMYFUNCTION("IFERROR(SUBSTITUTE(SUBSTITUTE(REGEXEXTRACT(A10643, ""[^-]+- [^-]+- [^-]+ - (.+?)\.jpg""), "".jpg"", """"), ""-"", "", ""), """")"),"")</f>
        <v/>
      </c>
      <c r="L10643" s="12"/>
      <c r="M10643" s="13"/>
      <c r="N10643" s="2"/>
      <c r="O10643" s="20"/>
      <c r="P10643" s="42"/>
      <c r="R10643" s="23"/>
    </row>
    <row r="10644" spans="1:18" ht="12.75">
      <c r="A10644" s="12"/>
      <c r="D10644" s="12"/>
      <c r="E10644" s="12"/>
      <c r="H10644" s="11" t="str">
        <f ca="1">IFERROR(__xludf.DUMMYFUNCTION("IFERROR(SUBSTITUTE(SUBSTITUTE(REGEXEXTRACT(A10644, ""[^-]+- [^-]+- [^-]+ - (.+?)\.jpg""), "".jpg"", """"), ""-"", "", ""), """")"),"")</f>
        <v/>
      </c>
      <c r="L10644" s="12"/>
      <c r="M10644" s="13"/>
      <c r="N10644" s="2"/>
      <c r="O10644" s="20"/>
      <c r="P10644" s="42"/>
      <c r="R10644" s="23"/>
    </row>
    <row r="10645" spans="1:18" ht="12.75">
      <c r="A10645" s="12"/>
      <c r="D10645" s="12"/>
      <c r="E10645" s="12"/>
      <c r="H10645" s="11" t="str">
        <f ca="1">IFERROR(__xludf.DUMMYFUNCTION("IFERROR(SUBSTITUTE(SUBSTITUTE(REGEXEXTRACT(A10645, ""[^-]+- [^-]+- [^-]+ - (.+?)\.jpg""), "".jpg"", """"), ""-"", "", ""), """")"),"")</f>
        <v/>
      </c>
      <c r="L10645" s="12"/>
      <c r="M10645" s="13"/>
      <c r="N10645" s="2"/>
      <c r="O10645" s="20"/>
      <c r="P10645" s="42"/>
      <c r="R10645" s="23"/>
    </row>
    <row r="10646" spans="1:18" ht="12.75">
      <c r="A10646" s="12"/>
      <c r="D10646" s="12"/>
      <c r="E10646" s="12"/>
      <c r="H10646" s="11" t="str">
        <f ca="1">IFERROR(__xludf.DUMMYFUNCTION("IFERROR(SUBSTITUTE(SUBSTITUTE(REGEXEXTRACT(A10646, ""[^-]+- [^-]+- [^-]+ - (.+?)\.jpg""), "".jpg"", """"), ""-"", "", ""), """")"),"")</f>
        <v/>
      </c>
      <c r="L10646" s="12"/>
      <c r="M10646" s="13"/>
      <c r="N10646" s="2"/>
      <c r="O10646" s="20"/>
      <c r="P10646" s="42"/>
      <c r="R10646" s="23"/>
    </row>
    <row r="10647" spans="1:18" ht="12.75">
      <c r="A10647" s="12"/>
      <c r="D10647" s="12"/>
      <c r="E10647" s="12"/>
      <c r="H10647" s="11" t="str">
        <f ca="1">IFERROR(__xludf.DUMMYFUNCTION("IFERROR(SUBSTITUTE(SUBSTITUTE(REGEXEXTRACT(A10647, ""[^-]+- [^-]+- [^-]+ - (.+?)\.jpg""), "".jpg"", """"), ""-"", "", ""), """")"),"")</f>
        <v/>
      </c>
      <c r="L10647" s="12"/>
      <c r="M10647" s="13"/>
      <c r="N10647" s="2"/>
      <c r="O10647" s="20"/>
      <c r="P10647" s="42"/>
      <c r="R10647" s="23"/>
    </row>
    <row r="10648" spans="1:18" ht="12.75">
      <c r="A10648" s="12"/>
      <c r="D10648" s="12"/>
      <c r="E10648" s="12"/>
      <c r="H10648" s="11" t="str">
        <f ca="1">IFERROR(__xludf.DUMMYFUNCTION("IFERROR(SUBSTITUTE(SUBSTITUTE(REGEXEXTRACT(A10648, ""[^-]+- [^-]+- [^-]+ - (.+?)\.jpg""), "".jpg"", """"), ""-"", "", ""), """")"),"")</f>
        <v/>
      </c>
      <c r="L10648" s="12"/>
      <c r="M10648" s="13"/>
      <c r="N10648" s="2"/>
      <c r="O10648" s="20"/>
      <c r="P10648" s="42"/>
      <c r="R10648" s="23"/>
    </row>
    <row r="10649" spans="1:18" ht="12.75">
      <c r="A10649" s="12"/>
      <c r="D10649" s="12"/>
      <c r="E10649" s="12"/>
      <c r="H10649" s="11" t="str">
        <f ca="1">IFERROR(__xludf.DUMMYFUNCTION("IFERROR(SUBSTITUTE(SUBSTITUTE(REGEXEXTRACT(A10649, ""[^-]+- [^-]+- [^-]+ - (.+?)\.jpg""), "".jpg"", """"), ""-"", "", ""), """")"),"")</f>
        <v/>
      </c>
      <c r="L10649" s="12"/>
      <c r="M10649" s="13"/>
      <c r="N10649" s="2"/>
      <c r="O10649" s="20"/>
      <c r="P10649" s="42"/>
      <c r="R10649" s="23"/>
    </row>
    <row r="10650" spans="1:18" ht="12.75">
      <c r="A10650" s="12"/>
      <c r="D10650" s="12"/>
      <c r="E10650" s="12"/>
      <c r="H10650" s="11" t="str">
        <f ca="1">IFERROR(__xludf.DUMMYFUNCTION("IFERROR(SUBSTITUTE(SUBSTITUTE(REGEXEXTRACT(A10650, ""[^-]+- [^-]+- [^-]+ - (.+?)\.jpg""), "".jpg"", """"), ""-"", "", ""), """")"),"")</f>
        <v/>
      </c>
      <c r="L10650" s="12"/>
      <c r="M10650" s="13"/>
      <c r="N10650" s="2"/>
      <c r="O10650" s="20"/>
      <c r="P10650" s="42"/>
      <c r="R10650" s="23"/>
    </row>
    <row r="10651" spans="1:18" ht="12.75">
      <c r="A10651" s="12"/>
      <c r="D10651" s="12"/>
      <c r="E10651" s="12"/>
      <c r="H10651" s="11" t="str">
        <f ca="1">IFERROR(__xludf.DUMMYFUNCTION("IFERROR(SUBSTITUTE(SUBSTITUTE(REGEXEXTRACT(A10651, ""[^-]+- [^-]+- [^-]+ - (.+?)\.jpg""), "".jpg"", """"), ""-"", "", ""), """")"),"")</f>
        <v/>
      </c>
      <c r="L10651" s="12"/>
      <c r="M10651" s="13"/>
      <c r="N10651" s="2"/>
      <c r="O10651" s="20"/>
      <c r="P10651" s="42"/>
      <c r="R10651" s="23"/>
    </row>
    <row r="10652" spans="1:18" ht="12.75">
      <c r="A10652" s="12"/>
      <c r="D10652" s="12"/>
      <c r="E10652" s="12"/>
      <c r="H10652" s="11" t="str">
        <f ca="1">IFERROR(__xludf.DUMMYFUNCTION("IFERROR(SUBSTITUTE(SUBSTITUTE(REGEXEXTRACT(A10652, ""[^-]+- [^-]+- [^-]+ - (.+?)\.jpg""), "".jpg"", """"), ""-"", "", ""), """")"),"")</f>
        <v/>
      </c>
      <c r="L10652" s="12"/>
      <c r="M10652" s="13"/>
      <c r="N10652" s="2"/>
      <c r="O10652" s="20"/>
      <c r="P10652" s="42"/>
      <c r="R10652" s="23"/>
    </row>
    <row r="10653" spans="1:18" ht="12.75">
      <c r="A10653" s="12"/>
      <c r="D10653" s="12"/>
      <c r="E10653" s="12"/>
      <c r="H10653" s="11" t="str">
        <f ca="1">IFERROR(__xludf.DUMMYFUNCTION("IFERROR(SUBSTITUTE(SUBSTITUTE(REGEXEXTRACT(A10653, ""[^-]+- [^-]+- [^-]+ - (.+?)\.jpg""), "".jpg"", """"), ""-"", "", ""), """")"),"")</f>
        <v/>
      </c>
      <c r="L10653" s="12"/>
      <c r="M10653" s="13"/>
      <c r="N10653" s="2"/>
      <c r="O10653" s="20"/>
      <c r="P10653" s="42"/>
      <c r="R10653" s="23"/>
    </row>
    <row r="10654" spans="1:18" ht="12.75">
      <c r="A10654" s="12"/>
      <c r="D10654" s="12"/>
      <c r="E10654" s="12"/>
      <c r="H10654" s="11" t="str">
        <f ca="1">IFERROR(__xludf.DUMMYFUNCTION("IFERROR(SUBSTITUTE(SUBSTITUTE(REGEXEXTRACT(A10654, ""[^-]+- [^-]+- [^-]+ - (.+?)\.jpg""), "".jpg"", """"), ""-"", "", ""), """")"),"")</f>
        <v/>
      </c>
      <c r="L10654" s="12"/>
      <c r="M10654" s="13"/>
      <c r="N10654" s="2"/>
      <c r="O10654" s="20"/>
      <c r="P10654" s="42"/>
      <c r="R10654" s="23"/>
    </row>
    <row r="10655" spans="1:18" ht="12.75">
      <c r="A10655" s="12"/>
      <c r="D10655" s="12"/>
      <c r="E10655" s="12"/>
      <c r="H10655" s="11" t="str">
        <f ca="1">IFERROR(__xludf.DUMMYFUNCTION("IFERROR(SUBSTITUTE(SUBSTITUTE(REGEXEXTRACT(A10655, ""[^-]+- [^-]+- [^-]+ - (.+?)\.jpg""), "".jpg"", """"), ""-"", "", ""), """")"),"")</f>
        <v/>
      </c>
      <c r="L10655" s="12"/>
      <c r="M10655" s="13"/>
      <c r="N10655" s="2"/>
      <c r="O10655" s="20"/>
      <c r="P10655" s="42"/>
      <c r="R10655" s="23"/>
    </row>
    <row r="10656" spans="1:18" ht="12.75">
      <c r="A10656" s="12"/>
      <c r="D10656" s="12"/>
      <c r="E10656" s="12"/>
      <c r="H10656" s="11" t="str">
        <f ca="1">IFERROR(__xludf.DUMMYFUNCTION("IFERROR(SUBSTITUTE(SUBSTITUTE(REGEXEXTRACT(A10656, ""[^-]+- [^-]+- [^-]+ - (.+?)\.jpg""), "".jpg"", """"), ""-"", "", ""), """")"),"")</f>
        <v/>
      </c>
      <c r="L10656" s="12"/>
      <c r="M10656" s="13"/>
      <c r="N10656" s="2"/>
      <c r="O10656" s="20"/>
      <c r="P10656" s="42"/>
      <c r="R10656" s="23"/>
    </row>
    <row r="10657" spans="1:18" ht="12.75">
      <c r="A10657" s="12"/>
      <c r="D10657" s="12"/>
      <c r="E10657" s="12"/>
      <c r="H10657" s="11" t="str">
        <f ca="1">IFERROR(__xludf.DUMMYFUNCTION("IFERROR(SUBSTITUTE(SUBSTITUTE(REGEXEXTRACT(A10657, ""[^-]+- [^-]+- [^-]+ - (.+?)\.jpg""), "".jpg"", """"), ""-"", "", ""), """")"),"")</f>
        <v/>
      </c>
      <c r="L10657" s="12"/>
      <c r="M10657" s="13"/>
      <c r="N10657" s="2"/>
      <c r="O10657" s="20"/>
      <c r="P10657" s="42"/>
      <c r="R10657" s="23"/>
    </row>
    <row r="10658" spans="1:18" ht="12.75">
      <c r="A10658" s="12"/>
      <c r="D10658" s="12"/>
      <c r="E10658" s="12"/>
      <c r="H10658" s="11" t="str">
        <f ca="1">IFERROR(__xludf.DUMMYFUNCTION("IFERROR(SUBSTITUTE(SUBSTITUTE(REGEXEXTRACT(A10658, ""[^-]+- [^-]+- [^-]+ - (.+?)\.jpg""), "".jpg"", """"), ""-"", "", ""), """")"),"")</f>
        <v/>
      </c>
      <c r="L10658" s="12"/>
      <c r="M10658" s="13"/>
      <c r="N10658" s="2"/>
      <c r="O10658" s="20"/>
      <c r="P10658" s="42"/>
      <c r="R10658" s="23"/>
    </row>
    <row r="10659" spans="1:18" ht="12.75">
      <c r="A10659" s="12"/>
      <c r="D10659" s="12"/>
      <c r="E10659" s="12"/>
      <c r="H10659" s="11" t="str">
        <f ca="1">IFERROR(__xludf.DUMMYFUNCTION("IFERROR(SUBSTITUTE(SUBSTITUTE(REGEXEXTRACT(A10659, ""[^-]+- [^-]+- [^-]+ - (.+?)\.jpg""), "".jpg"", """"), ""-"", "", ""), """")"),"")</f>
        <v/>
      </c>
      <c r="L10659" s="12"/>
      <c r="M10659" s="13"/>
      <c r="N10659" s="2"/>
      <c r="O10659" s="20"/>
      <c r="P10659" s="42"/>
      <c r="R10659" s="23"/>
    </row>
    <row r="10660" spans="1:18" ht="12.75">
      <c r="A10660" s="12"/>
      <c r="D10660" s="12"/>
      <c r="E10660" s="12"/>
      <c r="H10660" s="11" t="str">
        <f ca="1">IFERROR(__xludf.DUMMYFUNCTION("IFERROR(SUBSTITUTE(SUBSTITUTE(REGEXEXTRACT(A10660, ""[^-]+- [^-]+- [^-]+ - (.+?)\.jpg""), "".jpg"", """"), ""-"", "", ""), """")"),"")</f>
        <v/>
      </c>
      <c r="L10660" s="12"/>
      <c r="M10660" s="13"/>
      <c r="N10660" s="2"/>
      <c r="O10660" s="20"/>
      <c r="P10660" s="42"/>
      <c r="R10660" s="23"/>
    </row>
    <row r="10661" spans="1:18" ht="12.75">
      <c r="A10661" s="12"/>
      <c r="D10661" s="12"/>
      <c r="E10661" s="12"/>
      <c r="H10661" s="11" t="str">
        <f ca="1">IFERROR(__xludf.DUMMYFUNCTION("IFERROR(SUBSTITUTE(SUBSTITUTE(REGEXEXTRACT(A10661, ""[^-]+- [^-]+- [^-]+ - (.+?)\.jpg""), "".jpg"", """"), ""-"", "", ""), """")"),"")</f>
        <v/>
      </c>
      <c r="L10661" s="12"/>
      <c r="M10661" s="13"/>
      <c r="N10661" s="2"/>
      <c r="O10661" s="20"/>
      <c r="P10661" s="42"/>
      <c r="R10661" s="23"/>
    </row>
    <row r="10662" spans="1:18" ht="12.75">
      <c r="A10662" s="12"/>
      <c r="D10662" s="12"/>
      <c r="E10662" s="12"/>
      <c r="H10662" s="11" t="str">
        <f ca="1">IFERROR(__xludf.DUMMYFUNCTION("IFERROR(SUBSTITUTE(SUBSTITUTE(REGEXEXTRACT(A10662, ""[^-]+- [^-]+- [^-]+ - (.+?)\.jpg""), "".jpg"", """"), ""-"", "", ""), """")"),"")</f>
        <v/>
      </c>
      <c r="L10662" s="12"/>
      <c r="M10662" s="13"/>
      <c r="N10662" s="2"/>
      <c r="O10662" s="20"/>
      <c r="P10662" s="42"/>
      <c r="R10662" s="23"/>
    </row>
    <row r="10663" spans="1:18" ht="12.75">
      <c r="A10663" s="12"/>
      <c r="D10663" s="12"/>
      <c r="E10663" s="12"/>
      <c r="H10663" s="11" t="str">
        <f ca="1">IFERROR(__xludf.DUMMYFUNCTION("IFERROR(SUBSTITUTE(SUBSTITUTE(REGEXEXTRACT(A10663, ""[^-]+- [^-]+- [^-]+ - (.+?)\.jpg""), "".jpg"", """"), ""-"", "", ""), """")"),"")</f>
        <v/>
      </c>
      <c r="L10663" s="12"/>
      <c r="M10663" s="13"/>
      <c r="N10663" s="2"/>
      <c r="O10663" s="20"/>
      <c r="P10663" s="42"/>
      <c r="R10663" s="23"/>
    </row>
    <row r="10664" spans="1:18" ht="12.75">
      <c r="A10664" s="12"/>
      <c r="D10664" s="12"/>
      <c r="E10664" s="12"/>
      <c r="H10664" s="11" t="str">
        <f ca="1">IFERROR(__xludf.DUMMYFUNCTION("IFERROR(SUBSTITUTE(SUBSTITUTE(REGEXEXTRACT(A10664, ""[^-]+- [^-]+- [^-]+ - (.+?)\.jpg""), "".jpg"", """"), ""-"", "", ""), """")"),"")</f>
        <v/>
      </c>
      <c r="L10664" s="12"/>
      <c r="M10664" s="13"/>
      <c r="N10664" s="2"/>
      <c r="O10664" s="20"/>
      <c r="P10664" s="42"/>
      <c r="R10664" s="23"/>
    </row>
    <row r="10665" spans="1:18" ht="12.75">
      <c r="A10665" s="12"/>
      <c r="D10665" s="12"/>
      <c r="E10665" s="12"/>
      <c r="H10665" s="11" t="str">
        <f ca="1">IFERROR(__xludf.DUMMYFUNCTION("IFERROR(SUBSTITUTE(SUBSTITUTE(REGEXEXTRACT(A10665, ""[^-]+- [^-]+- [^-]+ - (.+?)\.jpg""), "".jpg"", """"), ""-"", "", ""), """")"),"")</f>
        <v/>
      </c>
      <c r="L10665" s="12"/>
      <c r="M10665" s="13"/>
      <c r="N10665" s="2"/>
      <c r="O10665" s="20"/>
      <c r="P10665" s="42"/>
      <c r="R10665" s="23"/>
    </row>
    <row r="10666" spans="1:18" ht="12.75">
      <c r="A10666" s="12"/>
      <c r="D10666" s="12"/>
      <c r="E10666" s="12"/>
      <c r="H10666" s="11" t="str">
        <f ca="1">IFERROR(__xludf.DUMMYFUNCTION("IFERROR(SUBSTITUTE(SUBSTITUTE(REGEXEXTRACT(A10666, ""[^-]+- [^-]+- [^-]+ - (.+?)\.jpg""), "".jpg"", """"), ""-"", "", ""), """")"),"")</f>
        <v/>
      </c>
      <c r="L10666" s="12"/>
      <c r="M10666" s="13"/>
      <c r="N10666" s="2"/>
      <c r="O10666" s="20"/>
      <c r="P10666" s="42"/>
      <c r="R10666" s="23"/>
    </row>
    <row r="10667" spans="1:18" ht="12.75">
      <c r="A10667" s="12"/>
      <c r="D10667" s="12"/>
      <c r="E10667" s="12"/>
      <c r="H10667" s="11" t="str">
        <f ca="1">IFERROR(__xludf.DUMMYFUNCTION("IFERROR(SUBSTITUTE(SUBSTITUTE(REGEXEXTRACT(A10667, ""[^-]+- [^-]+- [^-]+ - (.+?)\.jpg""), "".jpg"", """"), ""-"", "", ""), """")"),"")</f>
        <v/>
      </c>
      <c r="L10667" s="12"/>
      <c r="M10667" s="13"/>
      <c r="N10667" s="2"/>
      <c r="O10667" s="20"/>
      <c r="P10667" s="42"/>
      <c r="R10667" s="23"/>
    </row>
    <row r="10668" spans="1:18" ht="12.75">
      <c r="A10668" s="12"/>
      <c r="D10668" s="12"/>
      <c r="E10668" s="12"/>
      <c r="H10668" s="11" t="str">
        <f ca="1">IFERROR(__xludf.DUMMYFUNCTION("IFERROR(SUBSTITUTE(SUBSTITUTE(REGEXEXTRACT(A10668, ""[^-]+- [^-]+- [^-]+ - (.+?)\.jpg""), "".jpg"", """"), ""-"", "", ""), """")"),"")</f>
        <v/>
      </c>
      <c r="L10668" s="12"/>
      <c r="M10668" s="13"/>
      <c r="N10668" s="2"/>
      <c r="O10668" s="20"/>
      <c r="P10668" s="42"/>
      <c r="R10668" s="23"/>
    </row>
    <row r="10669" spans="1:18" ht="12.75">
      <c r="A10669" s="12"/>
      <c r="D10669" s="12"/>
      <c r="E10669" s="12"/>
      <c r="H10669" s="11" t="str">
        <f ca="1">IFERROR(__xludf.DUMMYFUNCTION("IFERROR(SUBSTITUTE(SUBSTITUTE(REGEXEXTRACT(A10669, ""[^-]+- [^-]+- [^-]+ - (.+?)\.jpg""), "".jpg"", """"), ""-"", "", ""), """")"),"")</f>
        <v/>
      </c>
      <c r="L10669" s="12"/>
      <c r="M10669" s="13"/>
      <c r="N10669" s="2"/>
      <c r="O10669" s="20"/>
      <c r="P10669" s="42"/>
      <c r="R10669" s="23"/>
    </row>
    <row r="10670" spans="1:18" ht="12.75">
      <c r="A10670" s="12"/>
      <c r="D10670" s="12"/>
      <c r="E10670" s="12"/>
      <c r="H10670" s="11" t="str">
        <f ca="1">IFERROR(__xludf.DUMMYFUNCTION("IFERROR(SUBSTITUTE(SUBSTITUTE(REGEXEXTRACT(A10670, ""[^-]+- [^-]+- [^-]+ - (.+?)\.jpg""), "".jpg"", """"), ""-"", "", ""), """")"),"")</f>
        <v/>
      </c>
      <c r="L10670" s="12"/>
      <c r="M10670" s="13"/>
      <c r="N10670" s="2"/>
      <c r="O10670" s="20"/>
      <c r="P10670" s="42"/>
      <c r="R10670" s="23"/>
    </row>
    <row r="10671" spans="1:18" ht="12.75">
      <c r="A10671" s="12"/>
      <c r="D10671" s="12"/>
      <c r="E10671" s="12"/>
      <c r="H10671" s="11" t="str">
        <f ca="1">IFERROR(__xludf.DUMMYFUNCTION("IFERROR(SUBSTITUTE(SUBSTITUTE(REGEXEXTRACT(A10671, ""[^-]+- [^-]+- [^-]+ - (.+?)\.jpg""), "".jpg"", """"), ""-"", "", ""), """")"),"")</f>
        <v/>
      </c>
      <c r="L10671" s="12"/>
      <c r="M10671" s="13"/>
      <c r="N10671" s="2"/>
      <c r="O10671" s="20"/>
      <c r="P10671" s="42"/>
      <c r="R10671" s="23"/>
    </row>
    <row r="10672" spans="1:18" ht="12.75">
      <c r="A10672" s="12"/>
      <c r="D10672" s="12"/>
      <c r="E10672" s="12"/>
      <c r="H10672" s="11" t="str">
        <f ca="1">IFERROR(__xludf.DUMMYFUNCTION("IFERROR(SUBSTITUTE(SUBSTITUTE(REGEXEXTRACT(A10672, ""[^-]+- [^-]+- [^-]+ - (.+?)\.jpg""), "".jpg"", """"), ""-"", "", ""), """")"),"")</f>
        <v/>
      </c>
      <c r="L10672" s="12"/>
      <c r="M10672" s="13"/>
      <c r="N10672" s="2"/>
      <c r="O10672" s="20"/>
      <c r="P10672" s="42"/>
      <c r="R10672" s="23"/>
    </row>
    <row r="10673" spans="1:18" ht="12.75">
      <c r="A10673" s="12"/>
      <c r="D10673" s="12"/>
      <c r="E10673" s="12"/>
      <c r="H10673" s="11" t="str">
        <f ca="1">IFERROR(__xludf.DUMMYFUNCTION("IFERROR(SUBSTITUTE(SUBSTITUTE(REGEXEXTRACT(A10673, ""[^-]+- [^-]+- [^-]+ - (.+?)\.jpg""), "".jpg"", """"), ""-"", "", ""), """")"),"")</f>
        <v/>
      </c>
      <c r="L10673" s="12"/>
      <c r="M10673" s="13"/>
      <c r="N10673" s="2"/>
      <c r="O10673" s="20"/>
      <c r="P10673" s="42"/>
      <c r="R10673" s="23"/>
    </row>
    <row r="10674" spans="1:18" ht="12.75">
      <c r="A10674" s="12"/>
      <c r="D10674" s="12"/>
      <c r="E10674" s="12"/>
      <c r="H10674" s="11" t="str">
        <f ca="1">IFERROR(__xludf.DUMMYFUNCTION("IFERROR(SUBSTITUTE(SUBSTITUTE(REGEXEXTRACT(A10674, ""[^-]+- [^-]+- [^-]+ - (.+?)\.jpg""), "".jpg"", """"), ""-"", "", ""), """")"),"")</f>
        <v/>
      </c>
      <c r="L10674" s="12"/>
      <c r="M10674" s="13"/>
      <c r="N10674" s="2"/>
      <c r="O10674" s="20"/>
      <c r="P10674" s="42"/>
      <c r="R10674" s="23"/>
    </row>
    <row r="10675" spans="1:18" ht="12.75">
      <c r="A10675" s="12"/>
      <c r="D10675" s="12"/>
      <c r="E10675" s="12"/>
      <c r="H10675" s="11" t="str">
        <f ca="1">IFERROR(__xludf.DUMMYFUNCTION("IFERROR(SUBSTITUTE(SUBSTITUTE(REGEXEXTRACT(A10675, ""[^-]+- [^-]+- [^-]+ - (.+?)\.jpg""), "".jpg"", """"), ""-"", "", ""), """")"),"")</f>
        <v/>
      </c>
      <c r="L10675" s="12"/>
      <c r="M10675" s="13"/>
      <c r="N10675" s="2"/>
      <c r="O10675" s="20"/>
      <c r="P10675" s="42"/>
      <c r="R10675" s="23"/>
    </row>
    <row r="10676" spans="1:18" ht="12.75">
      <c r="A10676" s="12"/>
      <c r="D10676" s="12"/>
      <c r="E10676" s="12"/>
      <c r="H10676" s="11" t="str">
        <f ca="1">IFERROR(__xludf.DUMMYFUNCTION("IFERROR(SUBSTITUTE(SUBSTITUTE(REGEXEXTRACT(A10676, ""[^-]+- [^-]+- [^-]+ - (.+?)\.jpg""), "".jpg"", """"), ""-"", "", ""), """")"),"")</f>
        <v/>
      </c>
      <c r="L10676" s="12"/>
      <c r="M10676" s="13"/>
      <c r="N10676" s="2"/>
      <c r="O10676" s="20"/>
      <c r="P10676" s="42"/>
      <c r="R10676" s="23"/>
    </row>
    <row r="10677" spans="1:18" ht="12.75">
      <c r="A10677" s="12"/>
      <c r="D10677" s="12"/>
      <c r="E10677" s="12"/>
      <c r="H10677" s="11" t="str">
        <f ca="1">IFERROR(__xludf.DUMMYFUNCTION("IFERROR(SUBSTITUTE(SUBSTITUTE(REGEXEXTRACT(A10677, ""[^-]+- [^-]+- [^-]+ - (.+?)\.jpg""), "".jpg"", """"), ""-"", "", ""), """")"),"")</f>
        <v/>
      </c>
      <c r="L10677" s="12"/>
      <c r="M10677" s="13"/>
      <c r="N10677" s="2"/>
      <c r="O10677" s="20"/>
      <c r="P10677" s="42"/>
      <c r="R10677" s="23"/>
    </row>
    <row r="10678" spans="1:18" ht="12.75">
      <c r="A10678" s="12"/>
      <c r="D10678" s="12"/>
      <c r="E10678" s="12"/>
      <c r="H10678" s="11" t="str">
        <f ca="1">IFERROR(__xludf.DUMMYFUNCTION("IFERROR(SUBSTITUTE(SUBSTITUTE(REGEXEXTRACT(A10678, ""[^-]+- [^-]+- [^-]+ - (.+?)\.jpg""), "".jpg"", """"), ""-"", "", ""), """")"),"")</f>
        <v/>
      </c>
      <c r="L10678" s="12"/>
      <c r="M10678" s="13"/>
      <c r="N10678" s="2"/>
      <c r="O10678" s="20"/>
      <c r="P10678" s="42"/>
      <c r="R10678" s="23"/>
    </row>
    <row r="10679" spans="1:18" ht="12.75">
      <c r="A10679" s="12"/>
      <c r="D10679" s="12"/>
      <c r="E10679" s="12"/>
      <c r="H10679" s="11" t="str">
        <f ca="1">IFERROR(__xludf.DUMMYFUNCTION("IFERROR(SUBSTITUTE(SUBSTITUTE(REGEXEXTRACT(A10679, ""[^-]+- [^-]+- [^-]+ - (.+?)\.jpg""), "".jpg"", """"), ""-"", "", ""), """")"),"")</f>
        <v/>
      </c>
      <c r="L10679" s="12"/>
      <c r="M10679" s="13"/>
      <c r="N10679" s="2"/>
      <c r="O10679" s="20"/>
      <c r="P10679" s="42"/>
      <c r="R10679" s="23"/>
    </row>
    <row r="10680" spans="1:18" ht="12.75">
      <c r="A10680" s="12"/>
      <c r="D10680" s="12"/>
      <c r="E10680" s="12"/>
      <c r="H10680" s="11" t="str">
        <f ca="1">IFERROR(__xludf.DUMMYFUNCTION("IFERROR(SUBSTITUTE(SUBSTITUTE(REGEXEXTRACT(A10680, ""[^-]+- [^-]+- [^-]+ - (.+?)\.jpg""), "".jpg"", """"), ""-"", "", ""), """")"),"")</f>
        <v/>
      </c>
      <c r="L10680" s="12"/>
      <c r="M10680" s="13"/>
      <c r="N10680" s="2"/>
      <c r="O10680" s="20"/>
      <c r="P10680" s="42"/>
      <c r="R10680" s="23"/>
    </row>
    <row r="10681" spans="1:18" ht="12.75">
      <c r="A10681" s="12"/>
      <c r="D10681" s="12"/>
      <c r="E10681" s="12"/>
      <c r="H10681" s="11" t="str">
        <f ca="1">IFERROR(__xludf.DUMMYFUNCTION("IFERROR(SUBSTITUTE(SUBSTITUTE(REGEXEXTRACT(A10681, ""[^-]+- [^-]+- [^-]+ - (.+?)\.jpg""), "".jpg"", """"), ""-"", "", ""), """")"),"")</f>
        <v/>
      </c>
      <c r="L10681" s="12"/>
      <c r="M10681" s="13"/>
      <c r="N10681" s="2"/>
      <c r="O10681" s="20"/>
      <c r="P10681" s="42"/>
      <c r="R10681" s="23"/>
    </row>
    <row r="10682" spans="1:18" ht="12.75">
      <c r="A10682" s="12"/>
      <c r="D10682" s="12"/>
      <c r="E10682" s="12"/>
      <c r="H10682" s="11" t="str">
        <f ca="1">IFERROR(__xludf.DUMMYFUNCTION("IFERROR(SUBSTITUTE(SUBSTITUTE(REGEXEXTRACT(A10682, ""[^-]+- [^-]+- [^-]+ - (.+?)\.jpg""), "".jpg"", """"), ""-"", "", ""), """")"),"")</f>
        <v/>
      </c>
      <c r="L10682" s="12"/>
      <c r="M10682" s="13"/>
      <c r="N10682" s="2"/>
      <c r="O10682" s="20"/>
      <c r="P10682" s="42"/>
      <c r="R10682" s="23"/>
    </row>
    <row r="10683" spans="1:18" ht="12.75">
      <c r="A10683" s="12"/>
      <c r="D10683" s="12"/>
      <c r="E10683" s="12"/>
      <c r="H10683" s="11" t="str">
        <f ca="1">IFERROR(__xludf.DUMMYFUNCTION("IFERROR(SUBSTITUTE(SUBSTITUTE(REGEXEXTRACT(A10683, ""[^-]+- [^-]+- [^-]+ - (.+?)\.jpg""), "".jpg"", """"), ""-"", "", ""), """")"),"")</f>
        <v/>
      </c>
      <c r="L10683" s="12"/>
      <c r="M10683" s="13"/>
      <c r="N10683" s="2"/>
      <c r="O10683" s="20"/>
      <c r="P10683" s="42"/>
      <c r="R10683" s="23"/>
    </row>
    <row r="10684" spans="1:18" ht="12.75">
      <c r="A10684" s="12"/>
      <c r="D10684" s="12"/>
      <c r="E10684" s="12"/>
      <c r="H10684" s="11" t="str">
        <f ca="1">IFERROR(__xludf.DUMMYFUNCTION("IFERROR(SUBSTITUTE(SUBSTITUTE(REGEXEXTRACT(A10684, ""[^-]+- [^-]+- [^-]+ - (.+?)\.jpg""), "".jpg"", """"), ""-"", "", ""), """")"),"")</f>
        <v/>
      </c>
      <c r="L10684" s="12"/>
      <c r="M10684" s="13"/>
      <c r="N10684" s="2"/>
      <c r="O10684" s="20"/>
      <c r="P10684" s="42"/>
      <c r="R10684" s="23"/>
    </row>
    <row r="10685" spans="1:18" ht="12.75">
      <c r="A10685" s="12"/>
      <c r="D10685" s="12"/>
      <c r="E10685" s="12"/>
      <c r="H10685" s="11" t="str">
        <f ca="1">IFERROR(__xludf.DUMMYFUNCTION("IFERROR(SUBSTITUTE(SUBSTITUTE(REGEXEXTRACT(A10685, ""[^-]+- [^-]+- [^-]+ - (.+?)\.jpg""), "".jpg"", """"), ""-"", "", ""), """")"),"")</f>
        <v/>
      </c>
      <c r="L10685" s="12"/>
      <c r="M10685" s="13"/>
      <c r="N10685" s="2"/>
      <c r="O10685" s="20"/>
      <c r="P10685" s="42"/>
      <c r="R10685" s="23"/>
    </row>
    <row r="10686" spans="1:18" ht="12.75">
      <c r="A10686" s="12"/>
      <c r="D10686" s="12"/>
      <c r="E10686" s="12"/>
      <c r="H10686" s="11" t="str">
        <f ca="1">IFERROR(__xludf.DUMMYFUNCTION("IFERROR(SUBSTITUTE(SUBSTITUTE(REGEXEXTRACT(A10686, ""[^-]+- [^-]+- [^-]+ - (.+?)\.jpg""), "".jpg"", """"), ""-"", "", ""), """")"),"")</f>
        <v/>
      </c>
      <c r="L10686" s="12"/>
      <c r="M10686" s="13"/>
      <c r="N10686" s="2"/>
      <c r="O10686" s="20"/>
      <c r="P10686" s="42"/>
      <c r="R10686" s="23"/>
    </row>
    <row r="10687" spans="1:18" ht="12.75">
      <c r="A10687" s="12"/>
      <c r="D10687" s="12"/>
      <c r="E10687" s="12"/>
      <c r="H10687" s="11" t="str">
        <f ca="1">IFERROR(__xludf.DUMMYFUNCTION("IFERROR(SUBSTITUTE(SUBSTITUTE(REGEXEXTRACT(A10687, ""[^-]+- [^-]+- [^-]+ - (.+?)\.jpg""), "".jpg"", """"), ""-"", "", ""), """")"),"")</f>
        <v/>
      </c>
      <c r="L10687" s="12"/>
      <c r="M10687" s="13"/>
      <c r="N10687" s="2"/>
      <c r="O10687" s="20"/>
      <c r="P10687" s="42"/>
      <c r="R10687" s="23"/>
    </row>
    <row r="10688" spans="1:18" ht="12.75">
      <c r="A10688" s="12"/>
      <c r="D10688" s="12"/>
      <c r="E10688" s="12"/>
      <c r="H10688" s="11" t="str">
        <f ca="1">IFERROR(__xludf.DUMMYFUNCTION("IFERROR(SUBSTITUTE(SUBSTITUTE(REGEXEXTRACT(A10688, ""[^-]+- [^-]+- [^-]+ - (.+?)\.jpg""), "".jpg"", """"), ""-"", "", ""), """")"),"")</f>
        <v/>
      </c>
      <c r="L10688" s="12"/>
      <c r="M10688" s="13"/>
      <c r="N10688" s="2"/>
      <c r="O10688" s="20"/>
      <c r="P10688" s="42"/>
      <c r="R10688" s="23"/>
    </row>
    <row r="10689" spans="1:18" ht="12.75">
      <c r="A10689" s="12"/>
      <c r="D10689" s="12"/>
      <c r="E10689" s="12"/>
      <c r="H10689" s="11" t="str">
        <f ca="1">IFERROR(__xludf.DUMMYFUNCTION("IFERROR(SUBSTITUTE(SUBSTITUTE(REGEXEXTRACT(A10689, ""[^-]+- [^-]+- [^-]+ - (.+?)\.jpg""), "".jpg"", """"), ""-"", "", ""), """")"),"")</f>
        <v/>
      </c>
      <c r="L10689" s="12"/>
      <c r="M10689" s="13"/>
      <c r="N10689" s="2"/>
      <c r="O10689" s="20"/>
      <c r="P10689" s="42"/>
      <c r="R10689" s="23"/>
    </row>
    <row r="10690" spans="1:18" ht="12.75">
      <c r="A10690" s="12"/>
      <c r="D10690" s="12"/>
      <c r="E10690" s="12"/>
      <c r="H10690" s="11" t="str">
        <f ca="1">IFERROR(__xludf.DUMMYFUNCTION("IFERROR(SUBSTITUTE(SUBSTITUTE(REGEXEXTRACT(A10690, ""[^-]+- [^-]+- [^-]+ - (.+?)\.jpg""), "".jpg"", """"), ""-"", "", ""), """")"),"")</f>
        <v/>
      </c>
      <c r="L10690" s="12"/>
      <c r="M10690" s="13"/>
      <c r="N10690" s="2"/>
      <c r="O10690" s="20"/>
      <c r="P10690" s="42"/>
      <c r="R10690" s="23"/>
    </row>
    <row r="10691" spans="1:18" ht="12.75">
      <c r="A10691" s="12"/>
      <c r="D10691" s="12"/>
      <c r="E10691" s="12"/>
      <c r="H10691" s="11" t="str">
        <f ca="1">IFERROR(__xludf.DUMMYFUNCTION("IFERROR(SUBSTITUTE(SUBSTITUTE(REGEXEXTRACT(A10691, ""[^-]+- [^-]+- [^-]+ - (.+?)\.jpg""), "".jpg"", """"), ""-"", "", ""), """")"),"")</f>
        <v/>
      </c>
      <c r="L10691" s="12"/>
      <c r="M10691" s="13"/>
      <c r="N10691" s="2"/>
      <c r="O10691" s="20"/>
      <c r="P10691" s="42"/>
      <c r="R10691" s="23"/>
    </row>
    <row r="10692" spans="1:18" ht="12.75">
      <c r="A10692" s="12"/>
      <c r="D10692" s="12"/>
      <c r="E10692" s="12"/>
      <c r="H10692" s="11" t="str">
        <f ca="1">IFERROR(__xludf.DUMMYFUNCTION("IFERROR(SUBSTITUTE(SUBSTITUTE(REGEXEXTRACT(A10692, ""[^-]+- [^-]+- [^-]+ - (.+?)\.jpg""), "".jpg"", """"), ""-"", "", ""), """")"),"")</f>
        <v/>
      </c>
      <c r="L10692" s="12"/>
      <c r="M10692" s="13"/>
      <c r="N10692" s="2"/>
      <c r="O10692" s="20"/>
      <c r="P10692" s="42"/>
      <c r="R10692" s="23"/>
    </row>
    <row r="10693" spans="1:18" ht="12.75">
      <c r="A10693" s="12"/>
      <c r="D10693" s="12"/>
      <c r="E10693" s="12"/>
      <c r="H10693" s="11" t="str">
        <f ca="1">IFERROR(__xludf.DUMMYFUNCTION("IFERROR(SUBSTITUTE(SUBSTITUTE(REGEXEXTRACT(A10693, ""[^-]+- [^-]+- [^-]+ - (.+?)\.jpg""), "".jpg"", """"), ""-"", "", ""), """")"),"")</f>
        <v/>
      </c>
      <c r="L10693" s="12"/>
      <c r="M10693" s="13"/>
      <c r="N10693" s="2"/>
      <c r="O10693" s="20"/>
      <c r="P10693" s="42"/>
      <c r="R10693" s="23"/>
    </row>
    <row r="10694" spans="1:18" ht="12.75">
      <c r="A10694" s="12"/>
      <c r="D10694" s="12"/>
      <c r="E10694" s="12"/>
      <c r="H10694" s="11" t="str">
        <f ca="1">IFERROR(__xludf.DUMMYFUNCTION("IFERROR(SUBSTITUTE(SUBSTITUTE(REGEXEXTRACT(A10694, ""[^-]+- [^-]+- [^-]+ - (.+?)\.jpg""), "".jpg"", """"), ""-"", "", ""), """")"),"")</f>
        <v/>
      </c>
      <c r="L10694" s="12"/>
      <c r="M10694" s="13"/>
      <c r="N10694" s="2"/>
      <c r="O10694" s="20"/>
      <c r="P10694" s="42"/>
      <c r="R10694" s="23"/>
    </row>
    <row r="10695" spans="1:18" ht="12.75">
      <c r="A10695" s="12"/>
      <c r="D10695" s="12"/>
      <c r="E10695" s="12"/>
      <c r="H10695" s="11" t="str">
        <f ca="1">IFERROR(__xludf.DUMMYFUNCTION("IFERROR(SUBSTITUTE(SUBSTITUTE(REGEXEXTRACT(A10695, ""[^-]+- [^-]+- [^-]+ - (.+?)\.jpg""), "".jpg"", """"), ""-"", "", ""), """")"),"")</f>
        <v/>
      </c>
      <c r="L10695" s="12"/>
      <c r="M10695" s="13"/>
      <c r="N10695" s="2"/>
      <c r="O10695" s="20"/>
      <c r="P10695" s="42"/>
      <c r="R10695" s="23"/>
    </row>
    <row r="10696" spans="1:18" ht="12.75">
      <c r="A10696" s="12"/>
      <c r="D10696" s="12"/>
      <c r="E10696" s="12"/>
      <c r="H10696" s="11" t="str">
        <f ca="1">IFERROR(__xludf.DUMMYFUNCTION("IFERROR(SUBSTITUTE(SUBSTITUTE(REGEXEXTRACT(A10696, ""[^-]+- [^-]+- [^-]+ - (.+?)\.jpg""), "".jpg"", """"), ""-"", "", ""), """")"),"")</f>
        <v/>
      </c>
      <c r="L10696" s="12"/>
      <c r="M10696" s="13"/>
      <c r="N10696" s="2"/>
      <c r="O10696" s="20"/>
      <c r="P10696" s="42"/>
      <c r="R10696" s="23"/>
    </row>
    <row r="10697" spans="1:18" ht="12.75">
      <c r="A10697" s="12"/>
      <c r="D10697" s="12"/>
      <c r="E10697" s="12"/>
      <c r="H10697" s="11" t="str">
        <f ca="1">IFERROR(__xludf.DUMMYFUNCTION("IFERROR(SUBSTITUTE(SUBSTITUTE(REGEXEXTRACT(A10697, ""[^-]+- [^-]+- [^-]+ - (.+?)\.jpg""), "".jpg"", """"), ""-"", "", ""), """")"),"")</f>
        <v/>
      </c>
      <c r="L10697" s="12"/>
      <c r="M10697" s="13"/>
      <c r="N10697" s="2"/>
      <c r="O10697" s="20"/>
      <c r="P10697" s="42"/>
      <c r="R10697" s="23"/>
    </row>
    <row r="10698" spans="1:18" ht="12.75">
      <c r="A10698" s="12"/>
      <c r="D10698" s="12"/>
      <c r="E10698" s="12"/>
      <c r="H10698" s="11" t="str">
        <f ca="1">IFERROR(__xludf.DUMMYFUNCTION("IFERROR(SUBSTITUTE(SUBSTITUTE(REGEXEXTRACT(A10698, ""[^-]+- [^-]+- [^-]+ - (.+?)\.jpg""), "".jpg"", """"), ""-"", "", ""), """")"),"")</f>
        <v/>
      </c>
      <c r="L10698" s="12"/>
      <c r="M10698" s="13"/>
      <c r="N10698" s="2"/>
      <c r="O10698" s="20"/>
      <c r="P10698" s="42"/>
      <c r="R10698" s="23"/>
    </row>
    <row r="10699" spans="1:18" ht="12.75">
      <c r="A10699" s="12"/>
      <c r="D10699" s="12"/>
      <c r="E10699" s="12"/>
      <c r="H10699" s="11" t="str">
        <f ca="1">IFERROR(__xludf.DUMMYFUNCTION("IFERROR(SUBSTITUTE(SUBSTITUTE(REGEXEXTRACT(A10699, ""[^-]+- [^-]+- [^-]+ - (.+?)\.jpg""), "".jpg"", """"), ""-"", "", ""), """")"),"")</f>
        <v/>
      </c>
      <c r="L10699" s="12"/>
      <c r="M10699" s="13"/>
      <c r="N10699" s="2"/>
      <c r="O10699" s="20"/>
      <c r="P10699" s="42"/>
      <c r="R10699" s="23"/>
    </row>
    <row r="10700" spans="1:18" ht="12.75">
      <c r="A10700" s="12"/>
      <c r="D10700" s="12"/>
      <c r="E10700" s="12"/>
      <c r="H10700" s="11" t="str">
        <f ca="1">IFERROR(__xludf.DUMMYFUNCTION("IFERROR(SUBSTITUTE(SUBSTITUTE(REGEXEXTRACT(A10700, ""[^-]+- [^-]+- [^-]+ - (.+?)\.jpg""), "".jpg"", """"), ""-"", "", ""), """")"),"")</f>
        <v/>
      </c>
      <c r="L10700" s="12"/>
      <c r="M10700" s="13"/>
      <c r="N10700" s="2"/>
      <c r="O10700" s="20"/>
      <c r="P10700" s="42"/>
      <c r="R10700" s="23"/>
    </row>
    <row r="10701" spans="1:18" ht="12.75">
      <c r="A10701" s="12"/>
      <c r="D10701" s="12"/>
      <c r="E10701" s="12"/>
      <c r="H10701" s="11" t="str">
        <f ca="1">IFERROR(__xludf.DUMMYFUNCTION("IFERROR(SUBSTITUTE(SUBSTITUTE(REGEXEXTRACT(A10701, ""[^-]+- [^-]+- [^-]+ - (.+?)\.jpg""), "".jpg"", """"), ""-"", "", ""), """")"),"")</f>
        <v/>
      </c>
      <c r="L10701" s="12"/>
      <c r="M10701" s="13"/>
      <c r="N10701" s="2"/>
      <c r="O10701" s="20"/>
      <c r="P10701" s="42"/>
      <c r="R10701" s="23"/>
    </row>
    <row r="10702" spans="1:18" ht="12.75">
      <c r="A10702" s="12"/>
      <c r="D10702" s="12"/>
      <c r="E10702" s="12"/>
      <c r="H10702" s="11" t="str">
        <f ca="1">IFERROR(__xludf.DUMMYFUNCTION("IFERROR(SUBSTITUTE(SUBSTITUTE(REGEXEXTRACT(A10702, ""[^-]+- [^-]+- [^-]+ - (.+?)\.jpg""), "".jpg"", """"), ""-"", "", ""), """")"),"")</f>
        <v/>
      </c>
      <c r="L10702" s="12"/>
      <c r="M10702" s="13"/>
      <c r="N10702" s="2"/>
      <c r="O10702" s="20"/>
      <c r="P10702" s="42"/>
      <c r="R10702" s="23"/>
    </row>
    <row r="10703" spans="1:18" ht="12.75">
      <c r="A10703" s="12"/>
      <c r="D10703" s="12"/>
      <c r="E10703" s="12"/>
      <c r="H10703" s="11" t="str">
        <f ca="1">IFERROR(__xludf.DUMMYFUNCTION("IFERROR(SUBSTITUTE(SUBSTITUTE(REGEXEXTRACT(A10703, ""[^-]+- [^-]+- [^-]+ - (.+?)\.jpg""), "".jpg"", """"), ""-"", "", ""), """")"),"")</f>
        <v/>
      </c>
      <c r="L10703" s="12"/>
      <c r="M10703" s="13"/>
      <c r="N10703" s="2"/>
      <c r="O10703" s="20"/>
      <c r="P10703" s="42"/>
      <c r="R10703" s="23"/>
    </row>
    <row r="10704" spans="1:18" ht="12.75">
      <c r="A10704" s="12"/>
      <c r="D10704" s="12"/>
      <c r="E10704" s="12"/>
      <c r="H10704" s="11" t="str">
        <f ca="1">IFERROR(__xludf.DUMMYFUNCTION("IFERROR(SUBSTITUTE(SUBSTITUTE(REGEXEXTRACT(A10704, ""[^-]+- [^-]+- [^-]+ - (.+?)\.jpg""), "".jpg"", """"), ""-"", "", ""), """")"),"")</f>
        <v/>
      </c>
      <c r="L10704" s="12"/>
      <c r="M10704" s="13"/>
      <c r="N10704" s="2"/>
      <c r="O10704" s="20"/>
      <c r="P10704" s="42"/>
      <c r="R10704" s="23"/>
    </row>
    <row r="10705" spans="1:18" ht="12.75">
      <c r="A10705" s="12"/>
      <c r="D10705" s="12"/>
      <c r="E10705" s="12"/>
      <c r="H10705" s="11" t="str">
        <f ca="1">IFERROR(__xludf.DUMMYFUNCTION("IFERROR(SUBSTITUTE(SUBSTITUTE(REGEXEXTRACT(A10705, ""[^-]+- [^-]+- [^-]+ - (.+?)\.jpg""), "".jpg"", """"), ""-"", "", ""), """")"),"")</f>
        <v/>
      </c>
      <c r="L10705" s="12"/>
      <c r="M10705" s="13"/>
      <c r="N10705" s="2"/>
      <c r="O10705" s="20"/>
      <c r="P10705" s="42"/>
      <c r="R10705" s="23"/>
    </row>
    <row r="10706" spans="1:18" ht="12.75">
      <c r="A10706" s="12"/>
      <c r="D10706" s="12"/>
      <c r="E10706" s="12"/>
      <c r="H10706" s="11" t="str">
        <f ca="1">IFERROR(__xludf.DUMMYFUNCTION("IFERROR(SUBSTITUTE(SUBSTITUTE(REGEXEXTRACT(A10706, ""[^-]+- [^-]+- [^-]+ - (.+?)\.jpg""), "".jpg"", """"), ""-"", "", ""), """")"),"")</f>
        <v/>
      </c>
      <c r="L10706" s="12"/>
      <c r="M10706" s="13"/>
      <c r="N10706" s="2"/>
      <c r="O10706" s="20"/>
      <c r="P10706" s="42"/>
      <c r="R10706" s="23"/>
    </row>
    <row r="10707" spans="1:18" ht="12.75">
      <c r="A10707" s="12"/>
      <c r="D10707" s="12"/>
      <c r="E10707" s="12"/>
      <c r="H10707" s="11" t="str">
        <f ca="1">IFERROR(__xludf.DUMMYFUNCTION("IFERROR(SUBSTITUTE(SUBSTITUTE(REGEXEXTRACT(A10707, ""[^-]+- [^-]+- [^-]+ - (.+?)\.jpg""), "".jpg"", """"), ""-"", "", ""), """")"),"")</f>
        <v/>
      </c>
      <c r="L10707" s="12"/>
      <c r="M10707" s="13"/>
      <c r="N10707" s="2"/>
      <c r="O10707" s="20"/>
      <c r="P10707" s="42"/>
      <c r="R10707" s="23"/>
    </row>
    <row r="10708" spans="1:18" ht="12.75">
      <c r="A10708" s="12"/>
      <c r="D10708" s="12"/>
      <c r="E10708" s="12"/>
      <c r="H10708" s="11" t="str">
        <f ca="1">IFERROR(__xludf.DUMMYFUNCTION("IFERROR(SUBSTITUTE(SUBSTITUTE(REGEXEXTRACT(A10708, ""[^-]+- [^-]+- [^-]+ - (.+?)\.jpg""), "".jpg"", """"), ""-"", "", ""), """")"),"")</f>
        <v/>
      </c>
      <c r="L10708" s="12"/>
      <c r="M10708" s="13"/>
      <c r="N10708" s="2"/>
      <c r="O10708" s="20"/>
      <c r="P10708" s="42"/>
      <c r="R10708" s="23"/>
    </row>
    <row r="10709" spans="1:18" ht="12.75">
      <c r="A10709" s="12"/>
      <c r="D10709" s="12"/>
      <c r="E10709" s="12"/>
      <c r="H10709" s="11" t="str">
        <f ca="1">IFERROR(__xludf.DUMMYFUNCTION("IFERROR(SUBSTITUTE(SUBSTITUTE(REGEXEXTRACT(A10709, ""[^-]+- [^-]+- [^-]+ - (.+?)\.jpg""), "".jpg"", """"), ""-"", "", ""), """")"),"")</f>
        <v/>
      </c>
      <c r="L10709" s="12"/>
      <c r="M10709" s="13"/>
      <c r="N10709" s="2"/>
      <c r="O10709" s="20"/>
      <c r="P10709" s="42"/>
      <c r="R10709" s="23"/>
    </row>
    <row r="10710" spans="1:18" ht="12.75">
      <c r="A10710" s="12"/>
      <c r="D10710" s="12"/>
      <c r="E10710" s="12"/>
      <c r="H10710" s="11" t="str">
        <f ca="1">IFERROR(__xludf.DUMMYFUNCTION("IFERROR(SUBSTITUTE(SUBSTITUTE(REGEXEXTRACT(A10710, ""[^-]+- [^-]+- [^-]+ - (.+?)\.jpg""), "".jpg"", """"), ""-"", "", ""), """")"),"")</f>
        <v/>
      </c>
      <c r="L10710" s="12"/>
      <c r="M10710" s="13"/>
      <c r="N10710" s="2"/>
      <c r="O10710" s="20"/>
      <c r="P10710" s="42"/>
      <c r="R10710" s="23"/>
    </row>
    <row r="10711" spans="1:18" ht="12.75">
      <c r="A10711" s="12"/>
      <c r="D10711" s="12"/>
      <c r="E10711" s="12"/>
      <c r="H10711" s="11" t="str">
        <f ca="1">IFERROR(__xludf.DUMMYFUNCTION("IFERROR(SUBSTITUTE(SUBSTITUTE(REGEXEXTRACT(A10711, ""[^-]+- [^-]+- [^-]+ - (.+?)\.jpg""), "".jpg"", """"), ""-"", "", ""), """")"),"")</f>
        <v/>
      </c>
      <c r="L10711" s="12"/>
      <c r="M10711" s="13"/>
      <c r="N10711" s="2"/>
      <c r="O10711" s="20"/>
      <c r="P10711" s="42"/>
      <c r="R10711" s="23"/>
    </row>
    <row r="10712" spans="1:18" ht="12.75">
      <c r="A10712" s="12"/>
      <c r="D10712" s="12"/>
      <c r="E10712" s="12"/>
      <c r="H10712" s="11" t="str">
        <f ca="1">IFERROR(__xludf.DUMMYFUNCTION("IFERROR(SUBSTITUTE(SUBSTITUTE(REGEXEXTRACT(A10712, ""[^-]+- [^-]+- [^-]+ - (.+?)\.jpg""), "".jpg"", """"), ""-"", "", ""), """")"),"")</f>
        <v/>
      </c>
      <c r="L10712" s="12"/>
      <c r="M10712" s="13"/>
      <c r="N10712" s="2"/>
      <c r="O10712" s="20"/>
      <c r="P10712" s="42"/>
      <c r="R10712" s="23"/>
    </row>
    <row r="10713" spans="1:18" ht="12.75">
      <c r="A10713" s="12"/>
      <c r="D10713" s="12"/>
      <c r="E10713" s="12"/>
      <c r="H10713" s="11" t="str">
        <f ca="1">IFERROR(__xludf.DUMMYFUNCTION("IFERROR(SUBSTITUTE(SUBSTITUTE(REGEXEXTRACT(A10713, ""[^-]+- [^-]+- [^-]+ - (.+?)\.jpg""), "".jpg"", """"), ""-"", "", ""), """")"),"")</f>
        <v/>
      </c>
      <c r="L10713" s="12"/>
      <c r="M10713" s="13"/>
      <c r="N10713" s="2"/>
      <c r="O10713" s="20"/>
      <c r="P10713" s="42"/>
      <c r="R10713" s="23"/>
    </row>
    <row r="10714" spans="1:18" ht="12.75">
      <c r="A10714" s="12"/>
      <c r="D10714" s="12"/>
      <c r="E10714" s="12"/>
      <c r="H10714" s="11" t="str">
        <f ca="1">IFERROR(__xludf.DUMMYFUNCTION("IFERROR(SUBSTITUTE(SUBSTITUTE(REGEXEXTRACT(A10714, ""[^-]+- [^-]+- [^-]+ - (.+?)\.jpg""), "".jpg"", """"), ""-"", "", ""), """")"),"")</f>
        <v/>
      </c>
      <c r="L10714" s="12"/>
      <c r="M10714" s="13"/>
      <c r="N10714" s="2"/>
      <c r="O10714" s="20"/>
      <c r="P10714" s="42"/>
      <c r="R10714" s="23"/>
    </row>
    <row r="10715" spans="1:18" ht="12.75">
      <c r="A10715" s="12"/>
      <c r="D10715" s="12"/>
      <c r="E10715" s="12"/>
      <c r="H10715" s="11" t="str">
        <f ca="1">IFERROR(__xludf.DUMMYFUNCTION("IFERROR(SUBSTITUTE(SUBSTITUTE(REGEXEXTRACT(A10715, ""[^-]+- [^-]+- [^-]+ - (.+?)\.jpg""), "".jpg"", """"), ""-"", "", ""), """")"),"")</f>
        <v/>
      </c>
      <c r="L10715" s="12"/>
      <c r="M10715" s="13"/>
      <c r="N10715" s="2"/>
      <c r="O10715" s="20"/>
      <c r="P10715" s="42"/>
      <c r="R10715" s="23"/>
    </row>
    <row r="10716" spans="1:18" ht="12.75">
      <c r="A10716" s="12"/>
      <c r="D10716" s="12"/>
      <c r="E10716" s="12"/>
      <c r="H10716" s="11" t="str">
        <f ca="1">IFERROR(__xludf.DUMMYFUNCTION("IFERROR(SUBSTITUTE(SUBSTITUTE(REGEXEXTRACT(A10716, ""[^-]+- [^-]+- [^-]+ - (.+?)\.jpg""), "".jpg"", """"), ""-"", "", ""), """")"),"")</f>
        <v/>
      </c>
      <c r="L10716" s="12"/>
      <c r="M10716" s="13"/>
      <c r="N10716" s="2"/>
      <c r="O10716" s="20"/>
      <c r="P10716" s="42"/>
      <c r="R10716" s="23"/>
    </row>
    <row r="10717" spans="1:18" ht="12.75">
      <c r="A10717" s="12"/>
      <c r="D10717" s="12"/>
      <c r="E10717" s="12"/>
      <c r="H10717" s="11" t="str">
        <f ca="1">IFERROR(__xludf.DUMMYFUNCTION("IFERROR(SUBSTITUTE(SUBSTITUTE(REGEXEXTRACT(A10717, ""[^-]+- [^-]+- [^-]+ - (.+?)\.jpg""), "".jpg"", """"), ""-"", "", ""), """")"),"")</f>
        <v/>
      </c>
      <c r="L10717" s="12"/>
      <c r="M10717" s="13"/>
      <c r="N10717" s="2"/>
      <c r="O10717" s="20"/>
      <c r="P10717" s="42"/>
      <c r="R10717" s="23"/>
    </row>
    <row r="10718" spans="1:18" ht="12.75">
      <c r="A10718" s="12"/>
      <c r="D10718" s="12"/>
      <c r="E10718" s="12"/>
      <c r="H10718" s="11" t="str">
        <f ca="1">IFERROR(__xludf.DUMMYFUNCTION("IFERROR(SUBSTITUTE(SUBSTITUTE(REGEXEXTRACT(A10718, ""[^-]+- [^-]+- [^-]+ - (.+?)\.jpg""), "".jpg"", """"), ""-"", "", ""), """")"),"")</f>
        <v/>
      </c>
      <c r="L10718" s="12"/>
      <c r="M10718" s="13"/>
      <c r="N10718" s="2"/>
      <c r="O10718" s="20"/>
      <c r="P10718" s="42"/>
      <c r="R10718" s="23"/>
    </row>
    <row r="10719" spans="1:18" ht="12.75">
      <c r="A10719" s="12"/>
      <c r="D10719" s="12"/>
      <c r="E10719" s="12"/>
      <c r="H10719" s="11" t="str">
        <f ca="1">IFERROR(__xludf.DUMMYFUNCTION("IFERROR(SUBSTITUTE(SUBSTITUTE(REGEXEXTRACT(A10719, ""[^-]+- [^-]+- [^-]+ - (.+?)\.jpg""), "".jpg"", """"), ""-"", "", ""), """")"),"")</f>
        <v/>
      </c>
      <c r="L10719" s="12"/>
      <c r="M10719" s="13"/>
      <c r="N10719" s="2"/>
      <c r="O10719" s="20"/>
      <c r="P10719" s="42"/>
      <c r="R10719" s="23"/>
    </row>
    <row r="10720" spans="1:18" ht="12.75">
      <c r="A10720" s="12"/>
      <c r="D10720" s="12"/>
      <c r="E10720" s="12"/>
      <c r="H10720" s="11" t="str">
        <f ca="1">IFERROR(__xludf.DUMMYFUNCTION("IFERROR(SUBSTITUTE(SUBSTITUTE(REGEXEXTRACT(A10720, ""[^-]+- [^-]+- [^-]+ - (.+?)\.jpg""), "".jpg"", """"), ""-"", "", ""), """")"),"")</f>
        <v/>
      </c>
      <c r="L10720" s="12"/>
      <c r="M10720" s="13"/>
      <c r="N10720" s="2"/>
      <c r="O10720" s="20"/>
      <c r="P10720" s="42"/>
      <c r="R10720" s="23"/>
    </row>
    <row r="10721" spans="1:18" ht="12.75">
      <c r="A10721" s="12"/>
      <c r="D10721" s="12"/>
      <c r="E10721" s="12"/>
      <c r="H10721" s="11" t="str">
        <f ca="1">IFERROR(__xludf.DUMMYFUNCTION("IFERROR(SUBSTITUTE(SUBSTITUTE(REGEXEXTRACT(A10721, ""[^-]+- [^-]+- [^-]+ - (.+?)\.jpg""), "".jpg"", """"), ""-"", "", ""), """")"),"")</f>
        <v/>
      </c>
      <c r="L10721" s="12"/>
      <c r="M10721" s="13"/>
      <c r="N10721" s="2"/>
      <c r="O10721" s="20"/>
      <c r="P10721" s="42"/>
      <c r="R10721" s="23"/>
    </row>
    <row r="10722" spans="1:18" ht="12.75">
      <c r="A10722" s="12"/>
      <c r="D10722" s="12"/>
      <c r="E10722" s="12"/>
      <c r="H10722" s="11" t="str">
        <f ca="1">IFERROR(__xludf.DUMMYFUNCTION("IFERROR(SUBSTITUTE(SUBSTITUTE(REGEXEXTRACT(A10722, ""[^-]+- [^-]+- [^-]+ - (.+?)\.jpg""), "".jpg"", """"), ""-"", "", ""), """")"),"")</f>
        <v/>
      </c>
      <c r="L10722" s="12"/>
      <c r="M10722" s="13"/>
      <c r="N10722" s="2"/>
      <c r="O10722" s="20"/>
      <c r="P10722" s="42"/>
      <c r="R10722" s="23"/>
    </row>
    <row r="10723" spans="1:18" ht="12.75">
      <c r="A10723" s="12"/>
      <c r="D10723" s="12"/>
      <c r="E10723" s="12"/>
      <c r="H10723" s="11" t="str">
        <f ca="1">IFERROR(__xludf.DUMMYFUNCTION("IFERROR(SUBSTITUTE(SUBSTITUTE(REGEXEXTRACT(A10723, ""[^-]+- [^-]+- [^-]+ - (.+?)\.jpg""), "".jpg"", """"), ""-"", "", ""), """")"),"")</f>
        <v/>
      </c>
      <c r="L10723" s="12"/>
      <c r="M10723" s="13"/>
      <c r="N10723" s="2"/>
      <c r="O10723" s="20"/>
      <c r="P10723" s="42"/>
      <c r="R10723" s="23"/>
    </row>
    <row r="10724" spans="1:18" ht="12.75">
      <c r="A10724" s="12"/>
      <c r="D10724" s="12"/>
      <c r="E10724" s="12"/>
      <c r="H10724" s="11" t="str">
        <f ca="1">IFERROR(__xludf.DUMMYFUNCTION("IFERROR(SUBSTITUTE(SUBSTITUTE(REGEXEXTRACT(A10724, ""[^-]+- [^-]+- [^-]+ - (.+?)\.jpg""), "".jpg"", """"), ""-"", "", ""), """")"),"")</f>
        <v/>
      </c>
      <c r="L10724" s="12"/>
      <c r="M10724" s="13"/>
      <c r="N10724" s="2"/>
      <c r="O10724" s="20"/>
      <c r="P10724" s="42"/>
      <c r="R10724" s="23"/>
    </row>
    <row r="10725" spans="1:18" ht="12.75">
      <c r="A10725" s="12"/>
      <c r="D10725" s="12"/>
      <c r="E10725" s="12"/>
      <c r="H10725" s="11" t="str">
        <f ca="1">IFERROR(__xludf.DUMMYFUNCTION("IFERROR(SUBSTITUTE(SUBSTITUTE(REGEXEXTRACT(A10725, ""[^-]+- [^-]+- [^-]+ - (.+?)\.jpg""), "".jpg"", """"), ""-"", "", ""), """")"),"")</f>
        <v/>
      </c>
      <c r="L10725" s="12"/>
      <c r="M10725" s="13"/>
      <c r="N10725" s="2"/>
      <c r="O10725" s="20"/>
      <c r="P10725" s="42"/>
      <c r="R10725" s="23"/>
    </row>
    <row r="10726" spans="1:18" ht="12.75">
      <c r="A10726" s="12"/>
      <c r="D10726" s="12"/>
      <c r="E10726" s="12"/>
      <c r="H10726" s="11" t="str">
        <f ca="1">IFERROR(__xludf.DUMMYFUNCTION("IFERROR(SUBSTITUTE(SUBSTITUTE(REGEXEXTRACT(A10726, ""[^-]+- [^-]+- [^-]+ - (.+?)\.jpg""), "".jpg"", """"), ""-"", "", ""), """")"),"")</f>
        <v/>
      </c>
      <c r="L10726" s="12"/>
      <c r="M10726" s="13"/>
      <c r="N10726" s="2"/>
      <c r="O10726" s="20"/>
      <c r="P10726" s="42"/>
      <c r="R10726" s="23"/>
    </row>
    <row r="10727" spans="1:18" ht="12.75">
      <c r="A10727" s="12"/>
      <c r="D10727" s="12"/>
      <c r="E10727" s="12"/>
      <c r="H10727" s="11" t="str">
        <f ca="1">IFERROR(__xludf.DUMMYFUNCTION("IFERROR(SUBSTITUTE(SUBSTITUTE(REGEXEXTRACT(A10727, ""[^-]+- [^-]+- [^-]+ - (.+?)\.jpg""), "".jpg"", """"), ""-"", "", ""), """")"),"")</f>
        <v/>
      </c>
      <c r="L10727" s="12"/>
      <c r="M10727" s="13"/>
      <c r="N10727" s="2"/>
      <c r="O10727" s="20"/>
      <c r="P10727" s="42"/>
      <c r="R10727" s="23"/>
    </row>
    <row r="10728" spans="1:18" ht="12.75">
      <c r="A10728" s="12"/>
      <c r="D10728" s="12"/>
      <c r="E10728" s="12"/>
      <c r="H10728" s="11" t="str">
        <f ca="1">IFERROR(__xludf.DUMMYFUNCTION("IFERROR(SUBSTITUTE(SUBSTITUTE(REGEXEXTRACT(A10728, ""[^-]+- [^-]+- [^-]+ - (.+?)\.jpg""), "".jpg"", """"), ""-"", "", ""), """")"),"")</f>
        <v/>
      </c>
      <c r="L10728" s="12"/>
      <c r="M10728" s="13"/>
      <c r="N10728" s="2"/>
      <c r="O10728" s="20"/>
      <c r="P10728" s="42"/>
      <c r="R10728" s="23"/>
    </row>
    <row r="10729" spans="1:18" ht="12.75">
      <c r="A10729" s="12"/>
      <c r="D10729" s="12"/>
      <c r="E10729" s="12"/>
      <c r="H10729" s="11" t="str">
        <f ca="1">IFERROR(__xludf.DUMMYFUNCTION("IFERROR(SUBSTITUTE(SUBSTITUTE(REGEXEXTRACT(A10729, ""[^-]+- [^-]+- [^-]+ - (.+?)\.jpg""), "".jpg"", """"), ""-"", "", ""), """")"),"")</f>
        <v/>
      </c>
      <c r="L10729" s="12"/>
      <c r="M10729" s="13"/>
      <c r="N10729" s="2"/>
      <c r="O10729" s="20"/>
      <c r="P10729" s="42"/>
      <c r="R10729" s="23"/>
    </row>
    <row r="10730" spans="1:18" ht="12.75">
      <c r="A10730" s="12"/>
      <c r="D10730" s="12"/>
      <c r="E10730" s="12"/>
      <c r="H10730" s="11" t="str">
        <f ca="1">IFERROR(__xludf.DUMMYFUNCTION("IFERROR(SUBSTITUTE(SUBSTITUTE(REGEXEXTRACT(A10730, ""[^-]+- [^-]+- [^-]+ - (.+?)\.jpg""), "".jpg"", """"), ""-"", "", ""), """")"),"")</f>
        <v/>
      </c>
      <c r="L10730" s="12"/>
      <c r="M10730" s="13"/>
      <c r="N10730" s="2"/>
      <c r="O10730" s="20"/>
      <c r="P10730" s="42"/>
      <c r="R10730" s="23"/>
    </row>
    <row r="10731" spans="1:18" ht="12.75">
      <c r="A10731" s="12"/>
      <c r="D10731" s="12"/>
      <c r="E10731" s="12"/>
      <c r="H10731" s="11" t="str">
        <f ca="1">IFERROR(__xludf.DUMMYFUNCTION("IFERROR(SUBSTITUTE(SUBSTITUTE(REGEXEXTRACT(A10731, ""[^-]+- [^-]+- [^-]+ - (.+?)\.jpg""), "".jpg"", """"), ""-"", "", ""), """")"),"")</f>
        <v/>
      </c>
      <c r="L10731" s="12"/>
      <c r="M10731" s="13"/>
      <c r="N10731" s="2"/>
      <c r="O10731" s="20"/>
      <c r="P10731" s="42"/>
      <c r="R10731" s="23"/>
    </row>
    <row r="10732" spans="1:18" ht="12.75">
      <c r="A10732" s="12"/>
      <c r="D10732" s="12"/>
      <c r="E10732" s="12"/>
      <c r="H10732" s="11" t="str">
        <f ca="1">IFERROR(__xludf.DUMMYFUNCTION("IFERROR(SUBSTITUTE(SUBSTITUTE(REGEXEXTRACT(A10732, ""[^-]+- [^-]+- [^-]+ - (.+?)\.jpg""), "".jpg"", """"), ""-"", "", ""), """")"),"")</f>
        <v/>
      </c>
      <c r="L10732" s="12"/>
      <c r="M10732" s="13"/>
      <c r="N10732" s="2"/>
      <c r="O10732" s="20"/>
      <c r="P10732" s="42"/>
      <c r="R10732" s="23"/>
    </row>
    <row r="10733" spans="1:18" ht="12.75">
      <c r="A10733" s="12"/>
      <c r="D10733" s="12"/>
      <c r="E10733" s="12"/>
      <c r="H10733" s="11" t="str">
        <f ca="1">IFERROR(__xludf.DUMMYFUNCTION("IFERROR(SUBSTITUTE(SUBSTITUTE(REGEXEXTRACT(A10733, ""[^-]+- [^-]+- [^-]+ - (.+?)\.jpg""), "".jpg"", """"), ""-"", "", ""), """")"),"")</f>
        <v/>
      </c>
      <c r="L10733" s="12"/>
      <c r="M10733" s="13"/>
      <c r="N10733" s="2"/>
      <c r="O10733" s="20"/>
      <c r="P10733" s="42"/>
      <c r="R10733" s="23"/>
    </row>
    <row r="10734" spans="1:18" ht="12.75">
      <c r="A10734" s="12"/>
      <c r="D10734" s="12"/>
      <c r="E10734" s="12"/>
      <c r="H10734" s="11" t="str">
        <f ca="1">IFERROR(__xludf.DUMMYFUNCTION("IFERROR(SUBSTITUTE(SUBSTITUTE(REGEXEXTRACT(A10734, ""[^-]+- [^-]+- [^-]+ - (.+?)\.jpg""), "".jpg"", """"), ""-"", "", ""), """")"),"")</f>
        <v/>
      </c>
      <c r="L10734" s="12"/>
      <c r="M10734" s="13"/>
      <c r="N10734" s="2"/>
      <c r="O10734" s="20"/>
      <c r="P10734" s="42"/>
      <c r="R10734" s="23"/>
    </row>
    <row r="10735" spans="1:18" ht="12.75">
      <c r="A10735" s="12"/>
      <c r="D10735" s="12"/>
      <c r="E10735" s="12"/>
      <c r="H10735" s="11" t="str">
        <f ca="1">IFERROR(__xludf.DUMMYFUNCTION("IFERROR(SUBSTITUTE(SUBSTITUTE(REGEXEXTRACT(A10735, ""[^-]+- [^-]+- [^-]+ - (.+?)\.jpg""), "".jpg"", """"), ""-"", "", ""), """")"),"")</f>
        <v/>
      </c>
      <c r="L10735" s="12"/>
      <c r="M10735" s="13"/>
      <c r="N10735" s="2"/>
      <c r="O10735" s="20"/>
      <c r="P10735" s="42"/>
      <c r="R10735" s="23"/>
    </row>
    <row r="10736" spans="1:18" ht="12.75">
      <c r="A10736" s="12"/>
      <c r="D10736" s="12"/>
      <c r="E10736" s="12"/>
      <c r="H10736" s="11" t="str">
        <f ca="1">IFERROR(__xludf.DUMMYFUNCTION("IFERROR(SUBSTITUTE(SUBSTITUTE(REGEXEXTRACT(A10736, ""[^-]+- [^-]+- [^-]+ - (.+?)\.jpg""), "".jpg"", """"), ""-"", "", ""), """")"),"")</f>
        <v/>
      </c>
      <c r="L10736" s="12"/>
      <c r="M10736" s="13"/>
      <c r="N10736" s="2"/>
      <c r="O10736" s="20"/>
      <c r="P10736" s="42"/>
      <c r="R10736" s="23"/>
    </row>
    <row r="10737" spans="1:18" ht="12.75">
      <c r="A10737" s="12"/>
      <c r="D10737" s="12"/>
      <c r="E10737" s="12"/>
      <c r="H10737" s="11" t="str">
        <f ca="1">IFERROR(__xludf.DUMMYFUNCTION("IFERROR(SUBSTITUTE(SUBSTITUTE(REGEXEXTRACT(A10737, ""[^-]+- [^-]+- [^-]+ - (.+?)\.jpg""), "".jpg"", """"), ""-"", "", ""), """")"),"")</f>
        <v/>
      </c>
      <c r="L10737" s="12"/>
      <c r="M10737" s="13"/>
      <c r="N10737" s="2"/>
      <c r="O10737" s="20"/>
      <c r="P10737" s="42"/>
      <c r="R10737" s="23"/>
    </row>
    <row r="10738" spans="1:18" ht="12.75">
      <c r="A10738" s="12"/>
      <c r="D10738" s="12"/>
      <c r="E10738" s="12"/>
      <c r="H10738" s="11" t="str">
        <f ca="1">IFERROR(__xludf.DUMMYFUNCTION("IFERROR(SUBSTITUTE(SUBSTITUTE(REGEXEXTRACT(A10738, ""[^-]+- [^-]+- [^-]+ - (.+?)\.jpg""), "".jpg"", """"), ""-"", "", ""), """")"),"")</f>
        <v/>
      </c>
      <c r="L10738" s="12"/>
      <c r="M10738" s="13"/>
      <c r="N10738" s="2"/>
      <c r="O10738" s="20"/>
      <c r="P10738" s="42"/>
      <c r="R10738" s="23"/>
    </row>
    <row r="10739" spans="1:18" ht="12.75">
      <c r="A10739" s="12"/>
      <c r="D10739" s="12"/>
      <c r="E10739" s="12"/>
      <c r="H10739" s="11" t="str">
        <f ca="1">IFERROR(__xludf.DUMMYFUNCTION("IFERROR(SUBSTITUTE(SUBSTITUTE(REGEXEXTRACT(A10739, ""[^-]+- [^-]+- [^-]+ - (.+?)\.jpg""), "".jpg"", """"), ""-"", "", ""), """")"),"")</f>
        <v/>
      </c>
      <c r="L10739" s="12"/>
      <c r="M10739" s="13"/>
      <c r="N10739" s="2"/>
      <c r="O10739" s="20"/>
      <c r="P10739" s="42"/>
      <c r="R10739" s="23"/>
    </row>
    <row r="10740" spans="1:18" ht="12.75">
      <c r="A10740" s="12"/>
      <c r="D10740" s="12"/>
      <c r="E10740" s="12"/>
      <c r="H10740" s="11" t="str">
        <f ca="1">IFERROR(__xludf.DUMMYFUNCTION("IFERROR(SUBSTITUTE(SUBSTITUTE(REGEXEXTRACT(A10740, ""[^-]+- [^-]+- [^-]+ - (.+?)\.jpg""), "".jpg"", """"), ""-"", "", ""), """")"),"")</f>
        <v/>
      </c>
      <c r="L10740" s="12"/>
      <c r="M10740" s="13"/>
      <c r="N10740" s="2"/>
      <c r="O10740" s="20"/>
      <c r="P10740" s="42"/>
      <c r="R10740" s="23"/>
    </row>
    <row r="10741" spans="1:18" ht="12.75">
      <c r="A10741" s="12"/>
      <c r="D10741" s="12"/>
      <c r="E10741" s="12"/>
      <c r="H10741" s="11" t="str">
        <f ca="1">IFERROR(__xludf.DUMMYFUNCTION("IFERROR(SUBSTITUTE(SUBSTITUTE(REGEXEXTRACT(A10741, ""[^-]+- [^-]+- [^-]+ - (.+?)\.jpg""), "".jpg"", """"), ""-"", "", ""), """")"),"")</f>
        <v/>
      </c>
      <c r="L10741" s="12"/>
      <c r="M10741" s="13"/>
      <c r="N10741" s="2"/>
      <c r="O10741" s="20"/>
      <c r="P10741" s="42"/>
      <c r="R10741" s="23"/>
    </row>
    <row r="10742" spans="1:18" ht="12.75">
      <c r="A10742" s="12"/>
      <c r="D10742" s="12"/>
      <c r="E10742" s="12"/>
      <c r="H10742" s="11" t="str">
        <f ca="1">IFERROR(__xludf.DUMMYFUNCTION("IFERROR(SUBSTITUTE(SUBSTITUTE(REGEXEXTRACT(A10742, ""[^-]+- [^-]+- [^-]+ - (.+?)\.jpg""), "".jpg"", """"), ""-"", "", ""), """")"),"")</f>
        <v/>
      </c>
      <c r="L10742" s="12"/>
      <c r="M10742" s="13"/>
      <c r="N10742" s="2"/>
      <c r="O10742" s="20"/>
      <c r="P10742" s="42"/>
      <c r="R10742" s="23"/>
    </row>
    <row r="10743" spans="1:18" ht="12.75">
      <c r="A10743" s="12"/>
      <c r="D10743" s="12"/>
      <c r="E10743" s="12"/>
      <c r="H10743" s="11" t="str">
        <f ca="1">IFERROR(__xludf.DUMMYFUNCTION("IFERROR(SUBSTITUTE(SUBSTITUTE(REGEXEXTRACT(A10743, ""[^-]+- [^-]+- [^-]+ - (.+?)\.jpg""), "".jpg"", """"), ""-"", "", ""), """")"),"")</f>
        <v/>
      </c>
      <c r="L10743" s="12"/>
      <c r="M10743" s="13"/>
      <c r="N10743" s="2"/>
      <c r="O10743" s="20"/>
      <c r="P10743" s="42"/>
      <c r="R10743" s="23"/>
    </row>
    <row r="10744" spans="1:18" ht="12.75">
      <c r="A10744" s="12"/>
      <c r="D10744" s="12"/>
      <c r="E10744" s="12"/>
      <c r="H10744" s="11" t="str">
        <f ca="1">IFERROR(__xludf.DUMMYFUNCTION("IFERROR(SUBSTITUTE(SUBSTITUTE(REGEXEXTRACT(A10744, ""[^-]+- [^-]+- [^-]+ - (.+?)\.jpg""), "".jpg"", """"), ""-"", "", ""), """")"),"")</f>
        <v/>
      </c>
      <c r="L10744" s="12"/>
      <c r="M10744" s="13"/>
      <c r="N10744" s="2"/>
      <c r="O10744" s="20"/>
      <c r="P10744" s="42"/>
      <c r="R10744" s="23"/>
    </row>
    <row r="10745" spans="1:18" ht="12.75">
      <c r="A10745" s="12"/>
      <c r="D10745" s="12"/>
      <c r="E10745" s="12"/>
      <c r="H10745" s="11" t="str">
        <f ca="1">IFERROR(__xludf.DUMMYFUNCTION("IFERROR(SUBSTITUTE(SUBSTITUTE(REGEXEXTRACT(A10745, ""[^-]+- [^-]+- [^-]+ - (.+?)\.jpg""), "".jpg"", """"), ""-"", "", ""), """")"),"")</f>
        <v/>
      </c>
      <c r="L10745" s="12"/>
      <c r="M10745" s="13"/>
      <c r="N10745" s="2"/>
      <c r="O10745" s="20"/>
      <c r="P10745" s="42"/>
      <c r="R10745" s="23"/>
    </row>
    <row r="10746" spans="1:18" ht="12.75">
      <c r="A10746" s="12"/>
      <c r="D10746" s="12"/>
      <c r="E10746" s="12"/>
      <c r="H10746" s="11" t="str">
        <f ca="1">IFERROR(__xludf.DUMMYFUNCTION("IFERROR(SUBSTITUTE(SUBSTITUTE(REGEXEXTRACT(A10746, ""[^-]+- [^-]+- [^-]+ - (.+?)\.jpg""), "".jpg"", """"), ""-"", "", ""), """")"),"")</f>
        <v/>
      </c>
      <c r="L10746" s="12"/>
      <c r="M10746" s="13"/>
      <c r="N10746" s="2"/>
      <c r="O10746" s="20"/>
      <c r="P10746" s="42"/>
      <c r="R10746" s="23"/>
    </row>
    <row r="10747" spans="1:18" ht="12.75">
      <c r="A10747" s="12"/>
      <c r="D10747" s="12"/>
      <c r="E10747" s="12"/>
      <c r="H10747" s="11" t="str">
        <f ca="1">IFERROR(__xludf.DUMMYFUNCTION("IFERROR(SUBSTITUTE(SUBSTITUTE(REGEXEXTRACT(A10747, ""[^-]+- [^-]+- [^-]+ - (.+?)\.jpg""), "".jpg"", """"), ""-"", "", ""), """")"),"")</f>
        <v/>
      </c>
      <c r="L10747" s="12"/>
      <c r="M10747" s="13"/>
      <c r="N10747" s="2"/>
      <c r="O10747" s="20"/>
      <c r="P10747" s="42"/>
      <c r="R10747" s="23"/>
    </row>
    <row r="10748" spans="1:18" ht="12.75">
      <c r="A10748" s="12"/>
      <c r="D10748" s="12"/>
      <c r="E10748" s="12"/>
      <c r="H10748" s="11" t="str">
        <f ca="1">IFERROR(__xludf.DUMMYFUNCTION("IFERROR(SUBSTITUTE(SUBSTITUTE(REGEXEXTRACT(A10748, ""[^-]+- [^-]+- [^-]+ - (.+?)\.jpg""), "".jpg"", """"), ""-"", "", ""), """")"),"")</f>
        <v/>
      </c>
      <c r="L10748" s="12"/>
      <c r="M10748" s="13"/>
      <c r="N10748" s="2"/>
      <c r="O10748" s="20"/>
      <c r="P10748" s="42"/>
      <c r="R10748" s="23"/>
    </row>
    <row r="10749" spans="1:18" ht="12.75">
      <c r="A10749" s="12"/>
      <c r="D10749" s="12"/>
      <c r="E10749" s="12"/>
      <c r="H10749" s="11" t="str">
        <f ca="1">IFERROR(__xludf.DUMMYFUNCTION("IFERROR(SUBSTITUTE(SUBSTITUTE(REGEXEXTRACT(A10749, ""[^-]+- [^-]+- [^-]+ - (.+?)\.jpg""), "".jpg"", """"), ""-"", "", ""), """")"),"")</f>
        <v/>
      </c>
      <c r="L10749" s="12"/>
      <c r="M10749" s="13"/>
      <c r="N10749" s="2"/>
      <c r="O10749" s="20"/>
      <c r="P10749" s="42"/>
      <c r="R10749" s="23"/>
    </row>
    <row r="10750" spans="1:18" ht="12.75">
      <c r="A10750" s="12"/>
      <c r="D10750" s="12"/>
      <c r="E10750" s="12"/>
      <c r="H10750" s="11" t="str">
        <f ca="1">IFERROR(__xludf.DUMMYFUNCTION("IFERROR(SUBSTITUTE(SUBSTITUTE(REGEXEXTRACT(A10750, ""[^-]+- [^-]+- [^-]+ - (.+?)\.jpg""), "".jpg"", """"), ""-"", "", ""), """")"),"")</f>
        <v/>
      </c>
      <c r="L10750" s="12"/>
      <c r="M10750" s="13"/>
      <c r="N10750" s="2"/>
      <c r="O10750" s="20"/>
      <c r="P10750" s="42"/>
      <c r="R10750" s="23"/>
    </row>
    <row r="10751" spans="1:18" ht="12.75">
      <c r="A10751" s="12"/>
      <c r="D10751" s="12"/>
      <c r="E10751" s="12"/>
      <c r="H10751" s="11" t="str">
        <f ca="1">IFERROR(__xludf.DUMMYFUNCTION("IFERROR(SUBSTITUTE(SUBSTITUTE(REGEXEXTRACT(A10751, ""[^-]+- [^-]+- [^-]+ - (.+?)\.jpg""), "".jpg"", """"), ""-"", "", ""), """")"),"")</f>
        <v/>
      </c>
      <c r="L10751" s="12"/>
      <c r="M10751" s="13"/>
      <c r="N10751" s="2"/>
      <c r="O10751" s="20"/>
      <c r="P10751" s="42"/>
      <c r="R10751" s="23"/>
    </row>
    <row r="10752" spans="1:18" ht="12.75">
      <c r="A10752" s="12"/>
      <c r="D10752" s="12"/>
      <c r="E10752" s="12"/>
      <c r="H10752" s="11" t="str">
        <f ca="1">IFERROR(__xludf.DUMMYFUNCTION("IFERROR(SUBSTITUTE(SUBSTITUTE(REGEXEXTRACT(A10752, ""[^-]+- [^-]+- [^-]+ - (.+?)\.jpg""), "".jpg"", """"), ""-"", "", ""), """")"),"")</f>
        <v/>
      </c>
      <c r="L10752" s="12"/>
      <c r="M10752" s="13"/>
      <c r="N10752" s="2"/>
      <c r="O10752" s="20"/>
      <c r="P10752" s="42"/>
      <c r="R10752" s="23"/>
    </row>
    <row r="10753" spans="1:18" ht="12.75">
      <c r="A10753" s="12"/>
      <c r="D10753" s="12"/>
      <c r="E10753" s="12"/>
      <c r="H10753" s="11" t="str">
        <f ca="1">IFERROR(__xludf.DUMMYFUNCTION("IFERROR(SUBSTITUTE(SUBSTITUTE(REGEXEXTRACT(A10753, ""[^-]+- [^-]+- [^-]+ - (.+?)\.jpg""), "".jpg"", """"), ""-"", "", ""), """")"),"")</f>
        <v/>
      </c>
      <c r="L10753" s="12"/>
      <c r="M10753" s="13"/>
      <c r="N10753" s="2"/>
      <c r="O10753" s="20"/>
      <c r="P10753" s="42"/>
      <c r="R10753" s="23"/>
    </row>
    <row r="10754" spans="1:18" ht="12.75">
      <c r="A10754" s="12"/>
      <c r="D10754" s="12"/>
      <c r="E10754" s="12"/>
      <c r="H10754" s="11" t="str">
        <f ca="1">IFERROR(__xludf.DUMMYFUNCTION("IFERROR(SUBSTITUTE(SUBSTITUTE(REGEXEXTRACT(A10754, ""[^-]+- [^-]+- [^-]+ - (.+?)\.jpg""), "".jpg"", """"), ""-"", "", ""), """")"),"")</f>
        <v/>
      </c>
      <c r="L10754" s="12"/>
      <c r="M10754" s="13"/>
      <c r="N10754" s="2"/>
      <c r="O10754" s="20"/>
      <c r="P10754" s="42"/>
      <c r="R10754" s="23"/>
    </row>
    <row r="10755" spans="1:18" ht="12.75">
      <c r="A10755" s="12"/>
      <c r="D10755" s="12"/>
      <c r="E10755" s="12"/>
      <c r="H10755" s="11" t="str">
        <f ca="1">IFERROR(__xludf.DUMMYFUNCTION("IFERROR(SUBSTITUTE(SUBSTITUTE(REGEXEXTRACT(A10755, ""[^-]+- [^-]+- [^-]+ - (.+?)\.jpg""), "".jpg"", """"), ""-"", "", ""), """")"),"")</f>
        <v/>
      </c>
      <c r="L10755" s="12"/>
      <c r="M10755" s="13"/>
      <c r="N10755" s="2"/>
      <c r="O10755" s="20"/>
      <c r="P10755" s="42"/>
      <c r="R10755" s="23"/>
    </row>
    <row r="10756" spans="1:18" ht="12.75">
      <c r="A10756" s="12"/>
      <c r="D10756" s="12"/>
      <c r="E10756" s="12"/>
      <c r="H10756" s="11" t="str">
        <f ca="1">IFERROR(__xludf.DUMMYFUNCTION("IFERROR(SUBSTITUTE(SUBSTITUTE(REGEXEXTRACT(A10756, ""[^-]+- [^-]+- [^-]+ - (.+?)\.jpg""), "".jpg"", """"), ""-"", "", ""), """")"),"")</f>
        <v/>
      </c>
      <c r="L10756" s="12"/>
      <c r="M10756" s="13"/>
      <c r="N10756" s="2"/>
      <c r="O10756" s="20"/>
      <c r="P10756" s="42"/>
      <c r="R10756" s="23"/>
    </row>
    <row r="10757" spans="1:18" ht="12.75">
      <c r="A10757" s="12"/>
      <c r="D10757" s="12"/>
      <c r="E10757" s="12"/>
      <c r="H10757" s="11" t="str">
        <f ca="1">IFERROR(__xludf.DUMMYFUNCTION("IFERROR(SUBSTITUTE(SUBSTITUTE(REGEXEXTRACT(A10757, ""[^-]+- [^-]+- [^-]+ - (.+?)\.jpg""), "".jpg"", """"), ""-"", "", ""), """")"),"")</f>
        <v/>
      </c>
      <c r="L10757" s="12"/>
      <c r="M10757" s="13"/>
      <c r="N10757" s="2"/>
      <c r="O10757" s="20"/>
      <c r="P10757" s="42"/>
      <c r="R10757" s="23"/>
    </row>
    <row r="10758" spans="1:18" ht="12.75">
      <c r="A10758" s="12"/>
      <c r="D10758" s="12"/>
      <c r="E10758" s="12"/>
      <c r="H10758" s="11" t="str">
        <f ca="1">IFERROR(__xludf.DUMMYFUNCTION("IFERROR(SUBSTITUTE(SUBSTITUTE(REGEXEXTRACT(A10758, ""[^-]+- [^-]+- [^-]+ - (.+?)\.jpg""), "".jpg"", """"), ""-"", "", ""), """")"),"")</f>
        <v/>
      </c>
      <c r="L10758" s="12"/>
      <c r="M10758" s="13"/>
      <c r="N10758" s="2"/>
      <c r="O10758" s="20"/>
      <c r="P10758" s="42"/>
      <c r="R10758" s="23"/>
    </row>
    <row r="10759" spans="1:18" ht="12.75">
      <c r="A10759" s="12"/>
      <c r="D10759" s="12"/>
      <c r="E10759" s="12"/>
      <c r="H10759" s="11" t="str">
        <f ca="1">IFERROR(__xludf.DUMMYFUNCTION("IFERROR(SUBSTITUTE(SUBSTITUTE(REGEXEXTRACT(A10759, ""[^-]+- [^-]+- [^-]+ - (.+?)\.jpg""), "".jpg"", """"), ""-"", "", ""), """")"),"")</f>
        <v/>
      </c>
      <c r="L10759" s="12"/>
      <c r="M10759" s="13"/>
      <c r="N10759" s="2"/>
      <c r="O10759" s="20"/>
      <c r="P10759" s="42"/>
      <c r="R10759" s="23"/>
    </row>
    <row r="10760" spans="1:18" ht="12.75">
      <c r="A10760" s="12"/>
      <c r="D10760" s="12"/>
      <c r="E10760" s="12"/>
      <c r="H10760" s="11" t="str">
        <f ca="1">IFERROR(__xludf.DUMMYFUNCTION("IFERROR(SUBSTITUTE(SUBSTITUTE(REGEXEXTRACT(A10760, ""[^-]+- [^-]+- [^-]+ - (.+?)\.jpg""), "".jpg"", """"), ""-"", "", ""), """")"),"")</f>
        <v/>
      </c>
      <c r="L10760" s="12"/>
      <c r="M10760" s="13"/>
      <c r="N10760" s="2"/>
      <c r="O10760" s="20"/>
      <c r="P10760" s="42"/>
      <c r="R10760" s="23"/>
    </row>
    <row r="10761" spans="1:18" ht="12.75">
      <c r="A10761" s="12"/>
      <c r="D10761" s="12"/>
      <c r="E10761" s="12"/>
      <c r="H10761" s="11" t="str">
        <f ca="1">IFERROR(__xludf.DUMMYFUNCTION("IFERROR(SUBSTITUTE(SUBSTITUTE(REGEXEXTRACT(A10761, ""[^-]+- [^-]+- [^-]+ - (.+?)\.jpg""), "".jpg"", """"), ""-"", "", ""), """")"),"")</f>
        <v/>
      </c>
      <c r="L10761" s="12"/>
      <c r="M10761" s="13"/>
      <c r="N10761" s="2"/>
      <c r="O10761" s="20"/>
      <c r="P10761" s="42"/>
      <c r="R10761" s="23"/>
    </row>
    <row r="10762" spans="1:18" ht="12.75">
      <c r="A10762" s="12"/>
      <c r="D10762" s="12"/>
      <c r="E10762" s="12"/>
      <c r="H10762" s="11" t="str">
        <f ca="1">IFERROR(__xludf.DUMMYFUNCTION("IFERROR(SUBSTITUTE(SUBSTITUTE(REGEXEXTRACT(A10762, ""[^-]+- [^-]+- [^-]+ - (.+?)\.jpg""), "".jpg"", """"), ""-"", "", ""), """")"),"")</f>
        <v/>
      </c>
      <c r="L10762" s="12"/>
      <c r="M10762" s="13"/>
      <c r="N10762" s="2"/>
      <c r="O10762" s="20"/>
      <c r="P10762" s="42"/>
      <c r="R10762" s="23"/>
    </row>
    <row r="10763" spans="1:18" ht="12.75">
      <c r="A10763" s="12"/>
      <c r="D10763" s="12"/>
      <c r="E10763" s="12"/>
      <c r="H10763" s="11" t="str">
        <f ca="1">IFERROR(__xludf.DUMMYFUNCTION("IFERROR(SUBSTITUTE(SUBSTITUTE(REGEXEXTRACT(A10763, ""[^-]+- [^-]+- [^-]+ - (.+?)\.jpg""), "".jpg"", """"), ""-"", "", ""), """")"),"")</f>
        <v/>
      </c>
      <c r="L10763" s="12"/>
      <c r="M10763" s="13"/>
      <c r="N10763" s="2"/>
      <c r="O10763" s="20"/>
      <c r="P10763" s="42"/>
      <c r="R10763" s="23"/>
    </row>
    <row r="10764" spans="1:18" ht="12.75">
      <c r="A10764" s="12"/>
      <c r="D10764" s="12"/>
      <c r="E10764" s="12"/>
      <c r="H10764" s="11" t="str">
        <f ca="1">IFERROR(__xludf.DUMMYFUNCTION("IFERROR(SUBSTITUTE(SUBSTITUTE(REGEXEXTRACT(A10764, ""[^-]+- [^-]+- [^-]+ - (.+?)\.jpg""), "".jpg"", """"), ""-"", "", ""), """")"),"")</f>
        <v/>
      </c>
      <c r="L10764" s="12"/>
      <c r="M10764" s="13"/>
      <c r="N10764" s="2"/>
      <c r="O10764" s="20"/>
      <c r="P10764" s="42"/>
      <c r="R10764" s="23"/>
    </row>
    <row r="10765" spans="1:18" ht="12.75">
      <c r="A10765" s="12"/>
      <c r="D10765" s="12"/>
      <c r="E10765" s="12"/>
      <c r="H10765" s="11" t="str">
        <f ca="1">IFERROR(__xludf.DUMMYFUNCTION("IFERROR(SUBSTITUTE(SUBSTITUTE(REGEXEXTRACT(A10765, ""[^-]+- [^-]+- [^-]+ - (.+?)\.jpg""), "".jpg"", """"), ""-"", "", ""), """")"),"")</f>
        <v/>
      </c>
      <c r="L10765" s="12"/>
      <c r="M10765" s="13"/>
      <c r="N10765" s="2"/>
      <c r="O10765" s="20"/>
      <c r="P10765" s="42"/>
      <c r="R10765" s="23"/>
    </row>
    <row r="10766" spans="1:18" ht="12.75">
      <c r="A10766" s="12"/>
      <c r="D10766" s="12"/>
      <c r="E10766" s="12"/>
      <c r="H10766" s="11" t="str">
        <f ca="1">IFERROR(__xludf.DUMMYFUNCTION("IFERROR(SUBSTITUTE(SUBSTITUTE(REGEXEXTRACT(A10766, ""[^-]+- [^-]+- [^-]+ - (.+?)\.jpg""), "".jpg"", """"), ""-"", "", ""), """")"),"")</f>
        <v/>
      </c>
      <c r="L10766" s="12"/>
      <c r="M10766" s="13"/>
      <c r="N10766" s="2"/>
      <c r="O10766" s="20"/>
      <c r="P10766" s="42"/>
      <c r="R10766" s="23"/>
    </row>
    <row r="10767" spans="1:18" ht="12.75">
      <c r="A10767" s="12"/>
      <c r="D10767" s="12"/>
      <c r="E10767" s="12"/>
      <c r="H10767" s="11" t="str">
        <f ca="1">IFERROR(__xludf.DUMMYFUNCTION("IFERROR(SUBSTITUTE(SUBSTITUTE(REGEXEXTRACT(A10767, ""[^-]+- [^-]+- [^-]+ - (.+?)\.jpg""), "".jpg"", """"), ""-"", "", ""), """")"),"")</f>
        <v/>
      </c>
      <c r="L10767" s="12"/>
      <c r="M10767" s="13"/>
      <c r="N10767" s="2"/>
      <c r="O10767" s="20"/>
      <c r="P10767" s="42"/>
      <c r="R10767" s="23"/>
    </row>
    <row r="10768" spans="1:18" ht="12.75">
      <c r="A10768" s="12"/>
      <c r="D10768" s="12"/>
      <c r="E10768" s="12"/>
      <c r="H10768" s="11" t="str">
        <f ca="1">IFERROR(__xludf.DUMMYFUNCTION("IFERROR(SUBSTITUTE(SUBSTITUTE(REGEXEXTRACT(A10768, ""[^-]+- [^-]+- [^-]+ - (.+?)\.jpg""), "".jpg"", """"), ""-"", "", ""), """")"),"")</f>
        <v/>
      </c>
      <c r="L10768" s="12"/>
      <c r="M10768" s="13"/>
      <c r="N10768" s="2"/>
      <c r="O10768" s="20"/>
      <c r="P10768" s="42"/>
      <c r="R10768" s="23"/>
    </row>
    <row r="10769" spans="1:18" ht="12.75">
      <c r="A10769" s="12"/>
      <c r="D10769" s="12"/>
      <c r="E10769" s="12"/>
      <c r="H10769" s="11" t="str">
        <f ca="1">IFERROR(__xludf.DUMMYFUNCTION("IFERROR(SUBSTITUTE(SUBSTITUTE(REGEXEXTRACT(A10769, ""[^-]+- [^-]+- [^-]+ - (.+?)\.jpg""), "".jpg"", """"), ""-"", "", ""), """")"),"")</f>
        <v/>
      </c>
      <c r="L10769" s="12"/>
      <c r="M10769" s="13"/>
      <c r="N10769" s="2"/>
      <c r="O10769" s="20"/>
      <c r="P10769" s="42"/>
      <c r="R10769" s="23"/>
    </row>
    <row r="10770" spans="1:18" ht="12.75">
      <c r="A10770" s="12"/>
      <c r="D10770" s="12"/>
      <c r="E10770" s="12"/>
      <c r="H10770" s="11" t="str">
        <f ca="1">IFERROR(__xludf.DUMMYFUNCTION("IFERROR(SUBSTITUTE(SUBSTITUTE(REGEXEXTRACT(A10770, ""[^-]+- [^-]+- [^-]+ - (.+?)\.jpg""), "".jpg"", """"), ""-"", "", ""), """")"),"")</f>
        <v/>
      </c>
      <c r="L10770" s="12"/>
      <c r="M10770" s="13"/>
      <c r="N10770" s="2"/>
      <c r="O10770" s="20"/>
      <c r="P10770" s="42"/>
      <c r="R10770" s="23"/>
    </row>
    <row r="10771" spans="1:18" ht="12.75">
      <c r="A10771" s="12"/>
      <c r="D10771" s="12"/>
      <c r="E10771" s="12"/>
      <c r="H10771" s="11" t="str">
        <f ca="1">IFERROR(__xludf.DUMMYFUNCTION("IFERROR(SUBSTITUTE(SUBSTITUTE(REGEXEXTRACT(A10771, ""[^-]+- [^-]+- [^-]+ - (.+?)\.jpg""), "".jpg"", """"), ""-"", "", ""), """")"),"")</f>
        <v/>
      </c>
      <c r="L10771" s="12"/>
      <c r="M10771" s="13"/>
      <c r="N10771" s="2"/>
      <c r="O10771" s="20"/>
      <c r="P10771" s="42"/>
      <c r="R10771" s="23"/>
    </row>
    <row r="10772" spans="1:18" ht="12.75">
      <c r="A10772" s="12"/>
      <c r="D10772" s="12"/>
      <c r="E10772" s="12"/>
      <c r="H10772" s="11" t="str">
        <f ca="1">IFERROR(__xludf.DUMMYFUNCTION("IFERROR(SUBSTITUTE(SUBSTITUTE(REGEXEXTRACT(A10772, ""[^-]+- [^-]+- [^-]+ - (.+?)\.jpg""), "".jpg"", """"), ""-"", "", ""), """")"),"")</f>
        <v/>
      </c>
      <c r="L10772" s="12"/>
      <c r="M10772" s="13"/>
      <c r="N10772" s="2"/>
      <c r="O10772" s="20"/>
      <c r="P10772" s="42"/>
      <c r="R10772" s="23"/>
    </row>
    <row r="10773" spans="1:18" ht="12.75">
      <c r="A10773" s="12"/>
      <c r="D10773" s="12"/>
      <c r="E10773" s="12"/>
      <c r="H10773" s="11" t="str">
        <f ca="1">IFERROR(__xludf.DUMMYFUNCTION("IFERROR(SUBSTITUTE(SUBSTITUTE(REGEXEXTRACT(A10773, ""[^-]+- [^-]+- [^-]+ - (.+?)\.jpg""), "".jpg"", """"), ""-"", "", ""), """")"),"")</f>
        <v/>
      </c>
      <c r="L10773" s="12"/>
      <c r="M10773" s="13"/>
      <c r="N10773" s="2"/>
      <c r="O10773" s="20"/>
      <c r="P10773" s="42"/>
      <c r="R10773" s="23"/>
    </row>
    <row r="10774" spans="1:18" ht="12.75">
      <c r="A10774" s="12"/>
      <c r="D10774" s="12"/>
      <c r="E10774" s="12"/>
      <c r="H10774" s="11" t="str">
        <f ca="1">IFERROR(__xludf.DUMMYFUNCTION("IFERROR(SUBSTITUTE(SUBSTITUTE(REGEXEXTRACT(A10774, ""[^-]+- [^-]+- [^-]+ - (.+?)\.jpg""), "".jpg"", """"), ""-"", "", ""), """")"),"")</f>
        <v/>
      </c>
      <c r="L10774" s="12"/>
      <c r="M10774" s="13"/>
      <c r="N10774" s="2"/>
      <c r="O10774" s="20"/>
      <c r="P10774" s="42"/>
      <c r="R10774" s="23"/>
    </row>
    <row r="10775" spans="1:18" ht="12.75">
      <c r="A10775" s="12"/>
      <c r="D10775" s="12"/>
      <c r="E10775" s="12"/>
      <c r="H10775" s="11" t="str">
        <f ca="1">IFERROR(__xludf.DUMMYFUNCTION("IFERROR(SUBSTITUTE(SUBSTITUTE(REGEXEXTRACT(A10775, ""[^-]+- [^-]+- [^-]+ - (.+?)\.jpg""), "".jpg"", """"), ""-"", "", ""), """")"),"")</f>
        <v/>
      </c>
      <c r="L10775" s="12"/>
      <c r="M10775" s="13"/>
      <c r="N10775" s="2"/>
      <c r="O10775" s="20"/>
      <c r="P10775" s="42"/>
      <c r="R10775" s="23"/>
    </row>
    <row r="10776" spans="1:18" ht="12.75">
      <c r="A10776" s="12"/>
      <c r="D10776" s="12"/>
      <c r="E10776" s="12"/>
      <c r="H10776" s="11" t="str">
        <f ca="1">IFERROR(__xludf.DUMMYFUNCTION("IFERROR(SUBSTITUTE(SUBSTITUTE(REGEXEXTRACT(A10776, ""[^-]+- [^-]+- [^-]+ - (.+?)\.jpg""), "".jpg"", """"), ""-"", "", ""), """")"),"")</f>
        <v/>
      </c>
      <c r="L10776" s="12"/>
      <c r="M10776" s="13"/>
      <c r="N10776" s="2"/>
      <c r="O10776" s="20"/>
      <c r="P10776" s="42"/>
      <c r="R10776" s="23"/>
    </row>
    <row r="10777" spans="1:18" ht="12.75">
      <c r="A10777" s="12"/>
      <c r="D10777" s="12"/>
      <c r="E10777" s="12"/>
      <c r="H10777" s="11" t="str">
        <f ca="1">IFERROR(__xludf.DUMMYFUNCTION("IFERROR(SUBSTITUTE(SUBSTITUTE(REGEXEXTRACT(A10777, ""[^-]+- [^-]+- [^-]+ - (.+?)\.jpg""), "".jpg"", """"), ""-"", "", ""), """")"),"")</f>
        <v/>
      </c>
      <c r="L10777" s="12"/>
      <c r="M10777" s="13"/>
      <c r="N10777" s="2"/>
      <c r="O10777" s="20"/>
      <c r="P10777" s="42"/>
      <c r="R10777" s="23"/>
    </row>
    <row r="10778" spans="1:18" ht="12.75">
      <c r="A10778" s="12"/>
      <c r="D10778" s="12"/>
      <c r="E10778" s="12"/>
      <c r="H10778" s="11" t="str">
        <f ca="1">IFERROR(__xludf.DUMMYFUNCTION("IFERROR(SUBSTITUTE(SUBSTITUTE(REGEXEXTRACT(A10778, ""[^-]+- [^-]+- [^-]+ - (.+?)\.jpg""), "".jpg"", """"), ""-"", "", ""), """")"),"")</f>
        <v/>
      </c>
      <c r="L10778" s="12"/>
      <c r="M10778" s="13"/>
      <c r="N10778" s="2"/>
      <c r="O10778" s="20"/>
      <c r="P10778" s="42"/>
      <c r="R10778" s="23"/>
    </row>
    <row r="10779" spans="1:18" ht="12.75">
      <c r="A10779" s="12"/>
      <c r="D10779" s="12"/>
      <c r="E10779" s="12"/>
      <c r="H10779" s="11" t="str">
        <f ca="1">IFERROR(__xludf.DUMMYFUNCTION("IFERROR(SUBSTITUTE(SUBSTITUTE(REGEXEXTRACT(A10779, ""[^-]+- [^-]+- [^-]+ - (.+?)\.jpg""), "".jpg"", """"), ""-"", "", ""), """")"),"")</f>
        <v/>
      </c>
      <c r="L10779" s="12"/>
      <c r="M10779" s="13"/>
      <c r="N10779" s="2"/>
      <c r="O10779" s="20"/>
      <c r="P10779" s="42"/>
      <c r="R10779" s="23"/>
    </row>
    <row r="10780" spans="1:18" ht="12.75">
      <c r="A10780" s="12"/>
      <c r="D10780" s="12"/>
      <c r="E10780" s="12"/>
      <c r="H10780" s="11" t="str">
        <f ca="1">IFERROR(__xludf.DUMMYFUNCTION("IFERROR(SUBSTITUTE(SUBSTITUTE(REGEXEXTRACT(A10780, ""[^-]+- [^-]+- [^-]+ - (.+?)\.jpg""), "".jpg"", """"), ""-"", "", ""), """")"),"")</f>
        <v/>
      </c>
      <c r="L10780" s="12"/>
      <c r="M10780" s="13"/>
      <c r="N10780" s="2"/>
      <c r="O10780" s="20"/>
      <c r="P10780" s="42"/>
      <c r="R10780" s="23"/>
    </row>
    <row r="10781" spans="1:18" ht="12.75">
      <c r="A10781" s="12"/>
      <c r="D10781" s="12"/>
      <c r="E10781" s="12"/>
      <c r="H10781" s="11" t="str">
        <f ca="1">IFERROR(__xludf.DUMMYFUNCTION("IFERROR(SUBSTITUTE(SUBSTITUTE(REGEXEXTRACT(A10781, ""[^-]+- [^-]+- [^-]+ - (.+?)\.jpg""), "".jpg"", """"), ""-"", "", ""), """")"),"")</f>
        <v/>
      </c>
      <c r="L10781" s="12"/>
      <c r="M10781" s="13"/>
      <c r="N10781" s="2"/>
      <c r="O10781" s="20"/>
      <c r="P10781" s="42"/>
      <c r="R10781" s="23"/>
    </row>
    <row r="10782" spans="1:18" ht="12.75">
      <c r="A10782" s="12"/>
      <c r="D10782" s="12"/>
      <c r="E10782" s="12"/>
      <c r="H10782" s="11" t="str">
        <f ca="1">IFERROR(__xludf.DUMMYFUNCTION("IFERROR(SUBSTITUTE(SUBSTITUTE(REGEXEXTRACT(A10782, ""[^-]+- [^-]+- [^-]+ - (.+?)\.jpg""), "".jpg"", """"), ""-"", "", ""), """")"),"")</f>
        <v/>
      </c>
      <c r="L10782" s="12"/>
      <c r="M10782" s="13"/>
      <c r="N10782" s="2"/>
      <c r="O10782" s="20"/>
      <c r="P10782" s="42"/>
      <c r="R10782" s="23"/>
    </row>
    <row r="10783" spans="1:18" ht="12.75">
      <c r="A10783" s="12"/>
      <c r="D10783" s="12"/>
      <c r="E10783" s="12"/>
      <c r="H10783" s="11" t="str">
        <f ca="1">IFERROR(__xludf.DUMMYFUNCTION("IFERROR(SUBSTITUTE(SUBSTITUTE(REGEXEXTRACT(A10783, ""[^-]+- [^-]+- [^-]+ - (.+?)\.jpg""), "".jpg"", """"), ""-"", "", ""), """")"),"")</f>
        <v/>
      </c>
      <c r="L10783" s="12"/>
      <c r="M10783" s="13"/>
      <c r="N10783" s="2"/>
      <c r="O10783" s="20"/>
      <c r="P10783" s="42"/>
      <c r="R10783" s="23"/>
    </row>
    <row r="10784" spans="1:18" ht="12.75">
      <c r="A10784" s="12"/>
      <c r="D10784" s="12"/>
      <c r="E10784" s="12"/>
      <c r="H10784" s="11" t="str">
        <f ca="1">IFERROR(__xludf.DUMMYFUNCTION("IFERROR(SUBSTITUTE(SUBSTITUTE(REGEXEXTRACT(A10784, ""[^-]+- [^-]+- [^-]+ - (.+?)\.jpg""), "".jpg"", """"), ""-"", "", ""), """")"),"")</f>
        <v/>
      </c>
      <c r="L10784" s="12"/>
      <c r="M10784" s="13"/>
      <c r="N10784" s="2"/>
      <c r="O10784" s="20"/>
      <c r="P10784" s="42"/>
      <c r="R10784" s="23"/>
    </row>
    <row r="10785" spans="1:18" ht="12.75">
      <c r="A10785" s="12"/>
      <c r="D10785" s="12"/>
      <c r="E10785" s="12"/>
      <c r="H10785" s="11" t="str">
        <f ca="1">IFERROR(__xludf.DUMMYFUNCTION("IFERROR(SUBSTITUTE(SUBSTITUTE(REGEXEXTRACT(A10785, ""[^-]+- [^-]+- [^-]+ - (.+?)\.jpg""), "".jpg"", """"), ""-"", "", ""), """")"),"")</f>
        <v/>
      </c>
      <c r="L10785" s="12"/>
      <c r="M10785" s="13"/>
      <c r="N10785" s="2"/>
      <c r="O10785" s="20"/>
      <c r="P10785" s="42"/>
      <c r="R10785" s="23"/>
    </row>
    <row r="10786" spans="1:18" ht="12.75">
      <c r="A10786" s="12"/>
      <c r="D10786" s="12"/>
      <c r="E10786" s="12"/>
      <c r="H10786" s="11" t="str">
        <f ca="1">IFERROR(__xludf.DUMMYFUNCTION("IFERROR(SUBSTITUTE(SUBSTITUTE(REGEXEXTRACT(A10786, ""[^-]+- [^-]+- [^-]+ - (.+?)\.jpg""), "".jpg"", """"), ""-"", "", ""), """")"),"")</f>
        <v/>
      </c>
      <c r="L10786" s="12"/>
      <c r="M10786" s="13"/>
      <c r="N10786" s="2"/>
      <c r="O10786" s="20"/>
      <c r="P10786" s="42"/>
      <c r="R10786" s="23"/>
    </row>
    <row r="10787" spans="1:18" ht="12.75">
      <c r="A10787" s="12"/>
      <c r="D10787" s="12"/>
      <c r="E10787" s="12"/>
      <c r="H10787" s="11" t="str">
        <f ca="1">IFERROR(__xludf.DUMMYFUNCTION("IFERROR(SUBSTITUTE(SUBSTITUTE(REGEXEXTRACT(A10787, ""[^-]+- [^-]+- [^-]+ - (.+?)\.jpg""), "".jpg"", """"), ""-"", "", ""), """")"),"")</f>
        <v/>
      </c>
      <c r="L10787" s="12"/>
      <c r="M10787" s="13"/>
      <c r="N10787" s="2"/>
      <c r="O10787" s="20"/>
      <c r="P10787" s="42"/>
      <c r="R10787" s="23"/>
    </row>
    <row r="10788" spans="1:18" ht="12.75">
      <c r="A10788" s="12"/>
      <c r="D10788" s="12"/>
      <c r="E10788" s="12"/>
      <c r="H10788" s="11" t="str">
        <f ca="1">IFERROR(__xludf.DUMMYFUNCTION("IFERROR(SUBSTITUTE(SUBSTITUTE(REGEXEXTRACT(A10788, ""[^-]+- [^-]+- [^-]+ - (.+?)\.jpg""), "".jpg"", """"), ""-"", "", ""), """")"),"")</f>
        <v/>
      </c>
      <c r="L10788" s="12"/>
      <c r="M10788" s="13"/>
      <c r="N10788" s="2"/>
      <c r="O10788" s="20"/>
      <c r="P10788" s="42"/>
      <c r="R10788" s="23"/>
    </row>
    <row r="10789" spans="1:18" ht="12.75">
      <c r="A10789" s="12"/>
      <c r="D10789" s="12"/>
      <c r="E10789" s="12"/>
      <c r="H10789" s="11" t="str">
        <f ca="1">IFERROR(__xludf.DUMMYFUNCTION("IFERROR(SUBSTITUTE(SUBSTITUTE(REGEXEXTRACT(A10789, ""[^-]+- [^-]+- [^-]+ - (.+?)\.jpg""), "".jpg"", """"), ""-"", "", ""), """")"),"")</f>
        <v/>
      </c>
      <c r="L10789" s="12"/>
      <c r="M10789" s="13"/>
      <c r="N10789" s="2"/>
      <c r="O10789" s="20"/>
      <c r="P10789" s="42"/>
      <c r="R10789" s="23"/>
    </row>
    <row r="10790" spans="1:18" ht="12.75">
      <c r="A10790" s="12"/>
      <c r="D10790" s="12"/>
      <c r="E10790" s="12"/>
      <c r="H10790" s="11" t="str">
        <f ca="1">IFERROR(__xludf.DUMMYFUNCTION("IFERROR(SUBSTITUTE(SUBSTITUTE(REGEXEXTRACT(A10790, ""[^-]+- [^-]+- [^-]+ - (.+?)\.jpg""), "".jpg"", """"), ""-"", "", ""), """")"),"")</f>
        <v/>
      </c>
      <c r="L10790" s="12"/>
      <c r="M10790" s="13"/>
      <c r="N10790" s="2"/>
      <c r="O10790" s="20"/>
      <c r="P10790" s="42"/>
      <c r="R10790" s="23"/>
    </row>
    <row r="10791" spans="1:18" ht="12.75">
      <c r="A10791" s="12"/>
      <c r="D10791" s="12"/>
      <c r="E10791" s="12"/>
      <c r="H10791" s="11" t="str">
        <f ca="1">IFERROR(__xludf.DUMMYFUNCTION("IFERROR(SUBSTITUTE(SUBSTITUTE(REGEXEXTRACT(A10791, ""[^-]+- [^-]+- [^-]+ - (.+?)\.jpg""), "".jpg"", """"), ""-"", "", ""), """")"),"")</f>
        <v/>
      </c>
      <c r="L10791" s="12"/>
      <c r="M10791" s="13"/>
      <c r="N10791" s="2"/>
      <c r="O10791" s="20"/>
      <c r="P10791" s="42"/>
      <c r="R10791" s="23"/>
    </row>
    <row r="10792" spans="1:18" ht="12.75">
      <c r="A10792" s="12"/>
      <c r="D10792" s="12"/>
      <c r="E10792" s="12"/>
      <c r="H10792" s="11" t="str">
        <f ca="1">IFERROR(__xludf.DUMMYFUNCTION("IFERROR(SUBSTITUTE(SUBSTITUTE(REGEXEXTRACT(A10792, ""[^-]+- [^-]+- [^-]+ - (.+?)\.jpg""), "".jpg"", """"), ""-"", "", ""), """")"),"")</f>
        <v/>
      </c>
      <c r="L10792" s="12"/>
      <c r="M10792" s="13"/>
      <c r="N10792" s="2"/>
      <c r="O10792" s="20"/>
      <c r="P10792" s="42"/>
      <c r="R10792" s="23"/>
    </row>
    <row r="10793" spans="1:18" ht="12.75">
      <c r="A10793" s="12"/>
      <c r="D10793" s="12"/>
      <c r="E10793" s="12"/>
      <c r="H10793" s="11" t="str">
        <f ca="1">IFERROR(__xludf.DUMMYFUNCTION("IFERROR(SUBSTITUTE(SUBSTITUTE(REGEXEXTRACT(A10793, ""[^-]+- [^-]+- [^-]+ - (.+?)\.jpg""), "".jpg"", """"), ""-"", "", ""), """")"),"")</f>
        <v/>
      </c>
      <c r="L10793" s="12"/>
      <c r="M10793" s="13"/>
      <c r="N10793" s="2"/>
      <c r="O10793" s="20"/>
      <c r="P10793" s="42"/>
      <c r="R10793" s="23"/>
    </row>
    <row r="10794" spans="1:18" ht="12.75">
      <c r="A10794" s="12"/>
      <c r="D10794" s="12"/>
      <c r="E10794" s="12"/>
      <c r="H10794" s="11" t="str">
        <f ca="1">IFERROR(__xludf.DUMMYFUNCTION("IFERROR(SUBSTITUTE(SUBSTITUTE(REGEXEXTRACT(A10794, ""[^-]+- [^-]+- [^-]+ - (.+?)\.jpg""), "".jpg"", """"), ""-"", "", ""), """")"),"")</f>
        <v/>
      </c>
      <c r="L10794" s="12"/>
      <c r="M10794" s="13"/>
      <c r="N10794" s="2"/>
      <c r="O10794" s="20"/>
      <c r="P10794" s="42"/>
      <c r="R10794" s="23"/>
    </row>
    <row r="10795" spans="1:18" ht="12.75">
      <c r="A10795" s="12"/>
      <c r="D10795" s="12"/>
      <c r="E10795" s="12"/>
      <c r="H10795" s="11" t="str">
        <f ca="1">IFERROR(__xludf.DUMMYFUNCTION("IFERROR(SUBSTITUTE(SUBSTITUTE(REGEXEXTRACT(A10795, ""[^-]+- [^-]+- [^-]+ - (.+?)\.jpg""), "".jpg"", """"), ""-"", "", ""), """")"),"")</f>
        <v/>
      </c>
      <c r="L10795" s="12"/>
      <c r="M10795" s="13"/>
      <c r="N10795" s="2"/>
      <c r="O10795" s="20"/>
      <c r="P10795" s="42"/>
      <c r="R10795" s="23"/>
    </row>
    <row r="10796" spans="1:18" ht="12.75">
      <c r="A10796" s="12"/>
      <c r="D10796" s="12"/>
      <c r="E10796" s="12"/>
      <c r="H10796" s="11" t="str">
        <f ca="1">IFERROR(__xludf.DUMMYFUNCTION("IFERROR(SUBSTITUTE(SUBSTITUTE(REGEXEXTRACT(A10796, ""[^-]+- [^-]+- [^-]+ - (.+?)\.jpg""), "".jpg"", """"), ""-"", "", ""), """")"),"")</f>
        <v/>
      </c>
      <c r="L10796" s="12"/>
      <c r="M10796" s="13"/>
      <c r="N10796" s="2"/>
      <c r="O10796" s="20"/>
      <c r="P10796" s="42"/>
      <c r="R10796" s="23"/>
    </row>
    <row r="10797" spans="1:18" ht="12.75">
      <c r="A10797" s="12"/>
      <c r="D10797" s="12"/>
      <c r="E10797" s="12"/>
      <c r="H10797" s="11" t="str">
        <f ca="1">IFERROR(__xludf.DUMMYFUNCTION("IFERROR(SUBSTITUTE(SUBSTITUTE(REGEXEXTRACT(A10797, ""[^-]+- [^-]+- [^-]+ - (.+?)\.jpg""), "".jpg"", """"), ""-"", "", ""), """")"),"")</f>
        <v/>
      </c>
      <c r="L10797" s="12"/>
      <c r="M10797" s="13"/>
      <c r="N10797" s="2"/>
      <c r="O10797" s="20"/>
      <c r="P10797" s="42"/>
      <c r="R10797" s="23"/>
    </row>
    <row r="10798" spans="1:18" ht="12.75">
      <c r="A10798" s="12"/>
      <c r="D10798" s="12"/>
      <c r="E10798" s="12"/>
      <c r="H10798" s="11" t="str">
        <f ca="1">IFERROR(__xludf.DUMMYFUNCTION("IFERROR(SUBSTITUTE(SUBSTITUTE(REGEXEXTRACT(A10798, ""[^-]+- [^-]+- [^-]+ - (.+?)\.jpg""), "".jpg"", """"), ""-"", "", ""), """")"),"")</f>
        <v/>
      </c>
      <c r="L10798" s="12"/>
      <c r="M10798" s="13"/>
      <c r="N10798" s="2"/>
      <c r="O10798" s="20"/>
      <c r="P10798" s="42"/>
      <c r="R10798" s="23"/>
    </row>
    <row r="10799" spans="1:18" ht="12.75">
      <c r="A10799" s="12"/>
      <c r="D10799" s="12"/>
      <c r="E10799" s="12"/>
      <c r="H10799" s="11" t="str">
        <f ca="1">IFERROR(__xludf.DUMMYFUNCTION("IFERROR(SUBSTITUTE(SUBSTITUTE(REGEXEXTRACT(A10799, ""[^-]+- [^-]+- [^-]+ - (.+?)\.jpg""), "".jpg"", """"), ""-"", "", ""), """")"),"")</f>
        <v/>
      </c>
      <c r="L10799" s="12"/>
      <c r="M10799" s="13"/>
      <c r="N10799" s="2"/>
      <c r="O10799" s="20"/>
      <c r="P10799" s="42"/>
      <c r="R10799" s="23"/>
    </row>
    <row r="10800" spans="1:18" ht="12.75">
      <c r="A10800" s="12"/>
      <c r="D10800" s="12"/>
      <c r="E10800" s="12"/>
      <c r="H10800" s="11" t="str">
        <f ca="1">IFERROR(__xludf.DUMMYFUNCTION("IFERROR(SUBSTITUTE(SUBSTITUTE(REGEXEXTRACT(A10800, ""[^-]+- [^-]+- [^-]+ - (.+?)\.jpg""), "".jpg"", """"), ""-"", "", ""), """")"),"")</f>
        <v/>
      </c>
      <c r="L10800" s="12"/>
      <c r="M10800" s="13"/>
      <c r="N10800" s="2"/>
      <c r="O10800" s="20"/>
      <c r="P10800" s="42"/>
      <c r="R10800" s="23"/>
    </row>
    <row r="10801" spans="1:18" ht="12.75">
      <c r="A10801" s="12"/>
      <c r="D10801" s="12"/>
      <c r="E10801" s="12"/>
      <c r="H10801" s="11" t="str">
        <f ca="1">IFERROR(__xludf.DUMMYFUNCTION("IFERROR(SUBSTITUTE(SUBSTITUTE(REGEXEXTRACT(A10801, ""[^-]+- [^-]+- [^-]+ - (.+?)\.jpg""), "".jpg"", """"), ""-"", "", ""), """")"),"")</f>
        <v/>
      </c>
      <c r="L10801" s="12"/>
      <c r="M10801" s="13"/>
      <c r="N10801" s="2"/>
      <c r="O10801" s="20"/>
      <c r="P10801" s="42"/>
      <c r="R10801" s="23"/>
    </row>
    <row r="10802" spans="1:18" ht="12.75">
      <c r="A10802" s="12"/>
      <c r="D10802" s="12"/>
      <c r="E10802" s="12"/>
      <c r="H10802" s="11" t="str">
        <f ca="1">IFERROR(__xludf.DUMMYFUNCTION("IFERROR(SUBSTITUTE(SUBSTITUTE(REGEXEXTRACT(A10802, ""[^-]+- [^-]+- [^-]+ - (.+?)\.jpg""), "".jpg"", """"), ""-"", "", ""), """")"),"")</f>
        <v/>
      </c>
      <c r="L10802" s="12"/>
      <c r="M10802" s="13"/>
      <c r="N10802" s="2"/>
      <c r="O10802" s="20"/>
      <c r="P10802" s="42"/>
      <c r="R10802" s="23"/>
    </row>
    <row r="10803" spans="1:18" ht="12.75">
      <c r="A10803" s="12"/>
      <c r="D10803" s="12"/>
      <c r="E10803" s="12"/>
      <c r="H10803" s="11" t="str">
        <f ca="1">IFERROR(__xludf.DUMMYFUNCTION("IFERROR(SUBSTITUTE(SUBSTITUTE(REGEXEXTRACT(A10803, ""[^-]+- [^-]+- [^-]+ - (.+?)\.jpg""), "".jpg"", """"), ""-"", "", ""), """")"),"")</f>
        <v/>
      </c>
      <c r="L10803" s="12"/>
      <c r="M10803" s="13"/>
      <c r="N10803" s="2"/>
      <c r="O10803" s="20"/>
      <c r="P10803" s="42"/>
      <c r="R10803" s="23"/>
    </row>
    <row r="10804" spans="1:18" ht="12.75">
      <c r="A10804" s="12"/>
      <c r="D10804" s="12"/>
      <c r="E10804" s="12"/>
      <c r="H10804" s="11" t="str">
        <f ca="1">IFERROR(__xludf.DUMMYFUNCTION("IFERROR(SUBSTITUTE(SUBSTITUTE(REGEXEXTRACT(A10804, ""[^-]+- [^-]+- [^-]+ - (.+?)\.jpg""), "".jpg"", """"), ""-"", "", ""), """")"),"")</f>
        <v/>
      </c>
      <c r="L10804" s="12"/>
      <c r="M10804" s="13"/>
      <c r="N10804" s="2"/>
      <c r="O10804" s="20"/>
      <c r="P10804" s="42"/>
      <c r="R10804" s="23"/>
    </row>
    <row r="10805" spans="1:18" ht="12.75">
      <c r="A10805" s="12"/>
      <c r="D10805" s="12"/>
      <c r="E10805" s="12"/>
      <c r="H10805" s="11" t="str">
        <f ca="1">IFERROR(__xludf.DUMMYFUNCTION("IFERROR(SUBSTITUTE(SUBSTITUTE(REGEXEXTRACT(A10805, ""[^-]+- [^-]+- [^-]+ - (.+?)\.jpg""), "".jpg"", """"), ""-"", "", ""), """")"),"")</f>
        <v/>
      </c>
      <c r="L10805" s="12"/>
      <c r="M10805" s="13"/>
      <c r="N10805" s="2"/>
      <c r="O10805" s="20"/>
      <c r="P10805" s="42"/>
      <c r="R10805" s="23"/>
    </row>
    <row r="10806" spans="1:18" ht="12.75">
      <c r="A10806" s="12"/>
      <c r="D10806" s="12"/>
      <c r="E10806" s="12"/>
      <c r="H10806" s="11" t="str">
        <f ca="1">IFERROR(__xludf.DUMMYFUNCTION("IFERROR(SUBSTITUTE(SUBSTITUTE(REGEXEXTRACT(A10806, ""[^-]+- [^-]+- [^-]+ - (.+?)\.jpg""), "".jpg"", """"), ""-"", "", ""), """")"),"")</f>
        <v/>
      </c>
      <c r="L10806" s="12"/>
      <c r="M10806" s="13"/>
      <c r="N10806" s="2"/>
      <c r="O10806" s="20"/>
      <c r="P10806" s="42"/>
      <c r="R10806" s="23"/>
    </row>
    <row r="10807" spans="1:18" ht="12.75">
      <c r="A10807" s="12"/>
      <c r="D10807" s="12"/>
      <c r="E10807" s="12"/>
      <c r="H10807" s="11" t="str">
        <f ca="1">IFERROR(__xludf.DUMMYFUNCTION("IFERROR(SUBSTITUTE(SUBSTITUTE(REGEXEXTRACT(A10807, ""[^-]+- [^-]+- [^-]+ - (.+?)\.jpg""), "".jpg"", """"), ""-"", "", ""), """")"),"")</f>
        <v/>
      </c>
      <c r="L10807" s="12"/>
      <c r="M10807" s="13"/>
      <c r="N10807" s="2"/>
      <c r="O10807" s="20"/>
      <c r="P10807" s="42"/>
      <c r="R10807" s="23"/>
    </row>
    <row r="10808" spans="1:18" ht="12.75">
      <c r="A10808" s="12"/>
      <c r="D10808" s="12"/>
      <c r="E10808" s="12"/>
      <c r="H10808" s="11" t="str">
        <f ca="1">IFERROR(__xludf.DUMMYFUNCTION("IFERROR(SUBSTITUTE(SUBSTITUTE(REGEXEXTRACT(A10808, ""[^-]+- [^-]+- [^-]+ - (.+?)\.jpg""), "".jpg"", """"), ""-"", "", ""), """")"),"")</f>
        <v/>
      </c>
      <c r="L10808" s="12"/>
      <c r="M10808" s="13"/>
      <c r="N10808" s="2"/>
      <c r="O10808" s="20"/>
      <c r="P10808" s="42"/>
      <c r="R10808" s="23"/>
    </row>
    <row r="10809" spans="1:18" ht="12.75">
      <c r="A10809" s="12"/>
      <c r="D10809" s="12"/>
      <c r="E10809" s="12"/>
      <c r="H10809" s="11" t="str">
        <f ca="1">IFERROR(__xludf.DUMMYFUNCTION("IFERROR(SUBSTITUTE(SUBSTITUTE(REGEXEXTRACT(A10809, ""[^-]+- [^-]+- [^-]+ - (.+?)\.jpg""), "".jpg"", """"), ""-"", "", ""), """")"),"")</f>
        <v/>
      </c>
      <c r="L10809" s="12"/>
      <c r="M10809" s="13"/>
      <c r="N10809" s="2"/>
      <c r="O10809" s="20"/>
      <c r="P10809" s="42"/>
      <c r="R10809" s="23"/>
    </row>
    <row r="10810" spans="1:18" ht="12.75">
      <c r="A10810" s="12"/>
      <c r="D10810" s="12"/>
      <c r="E10810" s="12"/>
      <c r="H10810" s="11" t="str">
        <f ca="1">IFERROR(__xludf.DUMMYFUNCTION("IFERROR(SUBSTITUTE(SUBSTITUTE(REGEXEXTRACT(A10810, ""[^-]+- [^-]+- [^-]+ - (.+?)\.jpg""), "".jpg"", """"), ""-"", "", ""), """")"),"")</f>
        <v/>
      </c>
      <c r="L10810" s="12"/>
      <c r="M10810" s="13"/>
      <c r="N10810" s="2"/>
      <c r="O10810" s="20"/>
      <c r="P10810" s="42"/>
      <c r="R10810" s="23"/>
    </row>
    <row r="10811" spans="1:18" ht="12.75">
      <c r="A10811" s="12"/>
      <c r="D10811" s="12"/>
      <c r="E10811" s="12"/>
      <c r="H10811" s="11" t="str">
        <f ca="1">IFERROR(__xludf.DUMMYFUNCTION("IFERROR(SUBSTITUTE(SUBSTITUTE(REGEXEXTRACT(A10811, ""[^-]+- [^-]+- [^-]+ - (.+?)\.jpg""), "".jpg"", """"), ""-"", "", ""), """")"),"")</f>
        <v/>
      </c>
      <c r="L10811" s="12"/>
      <c r="M10811" s="13"/>
      <c r="N10811" s="2"/>
      <c r="O10811" s="20"/>
      <c r="P10811" s="42"/>
      <c r="R10811" s="23"/>
    </row>
    <row r="10812" spans="1:18" ht="12.75">
      <c r="A10812" s="12"/>
      <c r="D10812" s="12"/>
      <c r="E10812" s="12"/>
      <c r="H10812" s="11" t="str">
        <f ca="1">IFERROR(__xludf.DUMMYFUNCTION("IFERROR(SUBSTITUTE(SUBSTITUTE(REGEXEXTRACT(A10812, ""[^-]+- [^-]+- [^-]+ - (.+?)\.jpg""), "".jpg"", """"), ""-"", "", ""), """")"),"")</f>
        <v/>
      </c>
      <c r="L10812" s="12"/>
      <c r="M10812" s="13"/>
      <c r="N10812" s="2"/>
      <c r="O10812" s="20"/>
      <c r="P10812" s="42"/>
      <c r="R10812" s="23"/>
    </row>
    <row r="10813" spans="1:18" ht="12.75">
      <c r="A10813" s="12"/>
      <c r="D10813" s="12"/>
      <c r="E10813" s="12"/>
      <c r="H10813" s="11" t="str">
        <f ca="1">IFERROR(__xludf.DUMMYFUNCTION("IFERROR(SUBSTITUTE(SUBSTITUTE(REGEXEXTRACT(A10813, ""[^-]+- [^-]+- [^-]+ - (.+?)\.jpg""), "".jpg"", """"), ""-"", "", ""), """")"),"")</f>
        <v/>
      </c>
      <c r="L10813" s="12"/>
      <c r="M10813" s="13"/>
      <c r="N10813" s="2"/>
      <c r="O10813" s="20"/>
      <c r="P10813" s="42"/>
      <c r="R10813" s="23"/>
    </row>
    <row r="10814" spans="1:18" ht="12.75">
      <c r="A10814" s="12"/>
      <c r="D10814" s="12"/>
      <c r="E10814" s="12"/>
      <c r="H10814" s="11" t="str">
        <f ca="1">IFERROR(__xludf.DUMMYFUNCTION("IFERROR(SUBSTITUTE(SUBSTITUTE(REGEXEXTRACT(A10814, ""[^-]+- [^-]+- [^-]+ - (.+?)\.jpg""), "".jpg"", """"), ""-"", "", ""), """")"),"")</f>
        <v/>
      </c>
      <c r="L10814" s="12"/>
      <c r="M10814" s="13"/>
      <c r="N10814" s="2"/>
      <c r="O10814" s="20"/>
      <c r="P10814" s="42"/>
      <c r="R10814" s="23"/>
    </row>
    <row r="10815" spans="1:18" ht="12.75">
      <c r="A10815" s="12"/>
      <c r="D10815" s="12"/>
      <c r="E10815" s="12"/>
      <c r="H10815" s="11" t="str">
        <f ca="1">IFERROR(__xludf.DUMMYFUNCTION("IFERROR(SUBSTITUTE(SUBSTITUTE(REGEXEXTRACT(A10815, ""[^-]+- [^-]+- [^-]+ - (.+?)\.jpg""), "".jpg"", """"), ""-"", "", ""), """")"),"")</f>
        <v/>
      </c>
      <c r="L10815" s="12"/>
      <c r="M10815" s="13"/>
      <c r="N10815" s="2"/>
      <c r="O10815" s="20"/>
      <c r="P10815" s="42"/>
      <c r="R10815" s="23"/>
    </row>
    <row r="10816" spans="1:18" ht="12.75">
      <c r="A10816" s="12"/>
      <c r="D10816" s="12"/>
      <c r="E10816" s="12"/>
      <c r="H10816" s="11" t="str">
        <f ca="1">IFERROR(__xludf.DUMMYFUNCTION("IFERROR(SUBSTITUTE(SUBSTITUTE(REGEXEXTRACT(A10816, ""[^-]+- [^-]+- [^-]+ - (.+?)\.jpg""), "".jpg"", """"), ""-"", "", ""), """")"),"")</f>
        <v/>
      </c>
      <c r="L10816" s="12"/>
      <c r="M10816" s="13"/>
      <c r="N10816" s="2"/>
      <c r="O10816" s="20"/>
      <c r="P10816" s="42"/>
      <c r="R10816" s="23"/>
    </row>
    <row r="10817" spans="1:18" ht="12.75">
      <c r="A10817" s="12"/>
      <c r="D10817" s="12"/>
      <c r="E10817" s="12"/>
      <c r="H10817" s="11" t="str">
        <f ca="1">IFERROR(__xludf.DUMMYFUNCTION("IFERROR(SUBSTITUTE(SUBSTITUTE(REGEXEXTRACT(A10817, ""[^-]+- [^-]+- [^-]+ - (.+?)\.jpg""), "".jpg"", """"), ""-"", "", ""), """")"),"")</f>
        <v/>
      </c>
      <c r="L10817" s="12"/>
      <c r="M10817" s="13"/>
      <c r="N10817" s="2"/>
      <c r="O10817" s="20"/>
      <c r="P10817" s="42"/>
      <c r="R10817" s="23"/>
    </row>
    <row r="10818" spans="1:18" ht="12.75">
      <c r="A10818" s="12"/>
      <c r="D10818" s="12"/>
      <c r="E10818" s="12"/>
      <c r="H10818" s="11" t="str">
        <f ca="1">IFERROR(__xludf.DUMMYFUNCTION("IFERROR(SUBSTITUTE(SUBSTITUTE(REGEXEXTRACT(A10818, ""[^-]+- [^-]+- [^-]+ - (.+?)\.jpg""), "".jpg"", """"), ""-"", "", ""), """")"),"")</f>
        <v/>
      </c>
      <c r="L10818" s="12"/>
      <c r="M10818" s="13"/>
      <c r="N10818" s="2"/>
      <c r="O10818" s="20"/>
      <c r="P10818" s="42"/>
      <c r="R10818" s="23"/>
    </row>
    <row r="10819" spans="1:18" ht="12.75">
      <c r="A10819" s="12"/>
      <c r="D10819" s="12"/>
      <c r="E10819" s="12"/>
      <c r="H10819" s="11" t="str">
        <f ca="1">IFERROR(__xludf.DUMMYFUNCTION("IFERROR(SUBSTITUTE(SUBSTITUTE(REGEXEXTRACT(A10819, ""[^-]+- [^-]+- [^-]+ - (.+?)\.jpg""), "".jpg"", """"), ""-"", "", ""), """")"),"")</f>
        <v/>
      </c>
      <c r="L10819" s="12"/>
      <c r="M10819" s="13"/>
      <c r="N10819" s="2"/>
      <c r="O10819" s="20"/>
      <c r="P10819" s="42"/>
      <c r="R10819" s="23"/>
    </row>
    <row r="10820" spans="1:18" ht="12.75">
      <c r="A10820" s="12"/>
      <c r="D10820" s="12"/>
      <c r="E10820" s="12"/>
      <c r="H10820" s="11" t="str">
        <f ca="1">IFERROR(__xludf.DUMMYFUNCTION("IFERROR(SUBSTITUTE(SUBSTITUTE(REGEXEXTRACT(A10820, ""[^-]+- [^-]+- [^-]+ - (.+?)\.jpg""), "".jpg"", """"), ""-"", "", ""), """")"),"")</f>
        <v/>
      </c>
      <c r="L10820" s="12"/>
      <c r="M10820" s="13"/>
      <c r="N10820" s="2"/>
      <c r="O10820" s="20"/>
      <c r="P10820" s="42"/>
      <c r="R10820" s="23"/>
    </row>
    <row r="10821" spans="1:18" ht="12.75">
      <c r="A10821" s="12"/>
      <c r="D10821" s="12"/>
      <c r="E10821" s="12"/>
      <c r="H10821" s="11" t="str">
        <f ca="1">IFERROR(__xludf.DUMMYFUNCTION("IFERROR(SUBSTITUTE(SUBSTITUTE(REGEXEXTRACT(A10821, ""[^-]+- [^-]+- [^-]+ - (.+?)\.jpg""), "".jpg"", """"), ""-"", "", ""), """")"),"")</f>
        <v/>
      </c>
      <c r="L10821" s="12"/>
      <c r="M10821" s="13"/>
      <c r="N10821" s="2"/>
      <c r="O10821" s="20"/>
      <c r="P10821" s="42"/>
      <c r="R10821" s="23"/>
    </row>
    <row r="10822" spans="1:18" ht="12.75">
      <c r="A10822" s="12"/>
      <c r="D10822" s="12"/>
      <c r="E10822" s="12"/>
      <c r="H10822" s="11" t="str">
        <f ca="1">IFERROR(__xludf.DUMMYFUNCTION("IFERROR(SUBSTITUTE(SUBSTITUTE(REGEXEXTRACT(A10822, ""[^-]+- [^-]+- [^-]+ - (.+?)\.jpg""), "".jpg"", """"), ""-"", "", ""), """")"),"")</f>
        <v/>
      </c>
      <c r="L10822" s="12"/>
      <c r="M10822" s="13"/>
      <c r="N10822" s="2"/>
      <c r="O10822" s="20"/>
      <c r="P10822" s="42"/>
      <c r="R10822" s="23"/>
    </row>
    <row r="10823" spans="1:18" ht="12.75">
      <c r="A10823" s="12"/>
      <c r="D10823" s="12"/>
      <c r="E10823" s="12"/>
      <c r="H10823" s="11" t="str">
        <f ca="1">IFERROR(__xludf.DUMMYFUNCTION("IFERROR(SUBSTITUTE(SUBSTITUTE(REGEXEXTRACT(A10823, ""[^-]+- [^-]+- [^-]+ - (.+?)\.jpg""), "".jpg"", """"), ""-"", "", ""), """")"),"")</f>
        <v/>
      </c>
      <c r="L10823" s="12"/>
      <c r="M10823" s="13"/>
      <c r="N10823" s="2"/>
      <c r="O10823" s="20"/>
      <c r="P10823" s="42"/>
      <c r="R10823" s="23"/>
    </row>
    <row r="10824" spans="1:18" ht="12.75">
      <c r="A10824" s="12"/>
      <c r="D10824" s="12"/>
      <c r="E10824" s="12"/>
      <c r="H10824" s="11" t="str">
        <f ca="1">IFERROR(__xludf.DUMMYFUNCTION("IFERROR(SUBSTITUTE(SUBSTITUTE(REGEXEXTRACT(A10824, ""[^-]+- [^-]+- [^-]+ - (.+?)\.jpg""), "".jpg"", """"), ""-"", "", ""), """")"),"")</f>
        <v/>
      </c>
      <c r="L10824" s="12"/>
      <c r="M10824" s="13"/>
      <c r="N10824" s="2"/>
      <c r="O10824" s="20"/>
      <c r="P10824" s="42"/>
      <c r="R10824" s="23"/>
    </row>
    <row r="10825" spans="1:18" ht="12.75">
      <c r="A10825" s="12"/>
      <c r="D10825" s="12"/>
      <c r="E10825" s="12"/>
      <c r="H10825" s="11" t="str">
        <f ca="1">IFERROR(__xludf.DUMMYFUNCTION("IFERROR(SUBSTITUTE(SUBSTITUTE(REGEXEXTRACT(A10825, ""[^-]+- [^-]+- [^-]+ - (.+?)\.jpg""), "".jpg"", """"), ""-"", "", ""), """")"),"")</f>
        <v/>
      </c>
      <c r="L10825" s="12"/>
      <c r="M10825" s="13"/>
      <c r="N10825" s="2"/>
      <c r="O10825" s="20"/>
      <c r="P10825" s="42"/>
      <c r="R10825" s="23"/>
    </row>
    <row r="10826" spans="1:18" ht="12.75">
      <c r="A10826" s="12"/>
      <c r="D10826" s="12"/>
      <c r="E10826" s="12"/>
      <c r="H10826" s="11" t="str">
        <f ca="1">IFERROR(__xludf.DUMMYFUNCTION("IFERROR(SUBSTITUTE(SUBSTITUTE(REGEXEXTRACT(A10826, ""[^-]+- [^-]+- [^-]+ - (.+?)\.jpg""), "".jpg"", """"), ""-"", "", ""), """")"),"")</f>
        <v/>
      </c>
      <c r="L10826" s="12"/>
      <c r="M10826" s="13"/>
      <c r="N10826" s="2"/>
      <c r="O10826" s="20"/>
      <c r="P10826" s="42"/>
      <c r="R10826" s="23"/>
    </row>
    <row r="10827" spans="1:18" ht="12.75">
      <c r="A10827" s="12"/>
      <c r="D10827" s="12"/>
      <c r="E10827" s="12"/>
      <c r="H10827" s="11" t="str">
        <f ca="1">IFERROR(__xludf.DUMMYFUNCTION("IFERROR(SUBSTITUTE(SUBSTITUTE(REGEXEXTRACT(A10827, ""[^-]+- [^-]+- [^-]+ - (.+?)\.jpg""), "".jpg"", """"), ""-"", "", ""), """")"),"")</f>
        <v/>
      </c>
      <c r="L10827" s="12"/>
      <c r="M10827" s="13"/>
      <c r="N10827" s="2"/>
      <c r="O10827" s="20"/>
      <c r="P10827" s="42"/>
      <c r="R10827" s="23"/>
    </row>
    <row r="10828" spans="1:18" ht="12.75">
      <c r="A10828" s="12"/>
      <c r="D10828" s="12"/>
      <c r="E10828" s="12"/>
      <c r="H10828" s="11" t="str">
        <f ca="1">IFERROR(__xludf.DUMMYFUNCTION("IFERROR(SUBSTITUTE(SUBSTITUTE(REGEXEXTRACT(A10828, ""[^-]+- [^-]+- [^-]+ - (.+?)\.jpg""), "".jpg"", """"), ""-"", "", ""), """")"),"")</f>
        <v/>
      </c>
      <c r="L10828" s="12"/>
      <c r="M10828" s="13"/>
      <c r="N10828" s="2"/>
      <c r="O10828" s="20"/>
      <c r="P10828" s="42"/>
      <c r="R10828" s="23"/>
    </row>
    <row r="10829" spans="1:18" ht="12.75">
      <c r="A10829" s="12"/>
      <c r="D10829" s="12"/>
      <c r="E10829" s="12"/>
      <c r="H10829" s="11" t="str">
        <f ca="1">IFERROR(__xludf.DUMMYFUNCTION("IFERROR(SUBSTITUTE(SUBSTITUTE(REGEXEXTRACT(A10829, ""[^-]+- [^-]+- [^-]+ - (.+?)\.jpg""), "".jpg"", """"), ""-"", "", ""), """")"),"")</f>
        <v/>
      </c>
      <c r="L10829" s="12"/>
      <c r="M10829" s="13"/>
      <c r="N10829" s="2"/>
      <c r="O10829" s="20"/>
      <c r="P10829" s="42"/>
      <c r="R10829" s="23"/>
    </row>
    <row r="10830" spans="1:18" ht="12.75">
      <c r="A10830" s="12"/>
      <c r="D10830" s="12"/>
      <c r="E10830" s="12"/>
      <c r="H10830" s="11" t="str">
        <f ca="1">IFERROR(__xludf.DUMMYFUNCTION("IFERROR(SUBSTITUTE(SUBSTITUTE(REGEXEXTRACT(A10830, ""[^-]+- [^-]+- [^-]+ - (.+?)\.jpg""), "".jpg"", """"), ""-"", "", ""), """")"),"")</f>
        <v/>
      </c>
      <c r="L10830" s="12"/>
      <c r="M10830" s="13"/>
      <c r="N10830" s="2"/>
      <c r="O10830" s="20"/>
      <c r="P10830" s="42"/>
      <c r="R10830" s="23"/>
    </row>
    <row r="10831" spans="1:18" ht="12.75">
      <c r="A10831" s="12"/>
      <c r="D10831" s="12"/>
      <c r="E10831" s="12"/>
      <c r="H10831" s="11" t="str">
        <f ca="1">IFERROR(__xludf.DUMMYFUNCTION("IFERROR(SUBSTITUTE(SUBSTITUTE(REGEXEXTRACT(A10831, ""[^-]+- [^-]+- [^-]+ - (.+?)\.jpg""), "".jpg"", """"), ""-"", "", ""), """")"),"")</f>
        <v/>
      </c>
      <c r="L10831" s="12"/>
      <c r="M10831" s="13"/>
      <c r="N10831" s="2"/>
      <c r="O10831" s="20"/>
      <c r="P10831" s="42"/>
      <c r="R10831" s="23"/>
    </row>
    <row r="10832" spans="1:18" ht="12.75">
      <c r="A10832" s="12"/>
      <c r="D10832" s="12"/>
      <c r="E10832" s="12"/>
      <c r="H10832" s="11" t="str">
        <f ca="1">IFERROR(__xludf.DUMMYFUNCTION("IFERROR(SUBSTITUTE(SUBSTITUTE(REGEXEXTRACT(A10832, ""[^-]+- [^-]+- [^-]+ - (.+?)\.jpg""), "".jpg"", """"), ""-"", "", ""), """")"),"")</f>
        <v/>
      </c>
      <c r="L10832" s="12"/>
      <c r="M10832" s="13"/>
      <c r="N10832" s="2"/>
      <c r="O10832" s="20"/>
      <c r="P10832" s="42"/>
      <c r="R10832" s="23"/>
    </row>
    <row r="10833" spans="1:18" ht="12.75">
      <c r="A10833" s="12"/>
      <c r="D10833" s="12"/>
      <c r="E10833" s="12"/>
      <c r="H10833" s="11" t="str">
        <f ca="1">IFERROR(__xludf.DUMMYFUNCTION("IFERROR(SUBSTITUTE(SUBSTITUTE(REGEXEXTRACT(A10833, ""[^-]+- [^-]+- [^-]+ - (.+?)\.jpg""), "".jpg"", """"), ""-"", "", ""), """")"),"")</f>
        <v/>
      </c>
      <c r="L10833" s="12"/>
      <c r="M10833" s="13"/>
      <c r="N10833" s="2"/>
      <c r="O10833" s="20"/>
      <c r="P10833" s="42"/>
      <c r="R10833" s="23"/>
    </row>
    <row r="10834" spans="1:18" ht="12.75">
      <c r="A10834" s="12"/>
      <c r="D10834" s="12"/>
      <c r="E10834" s="12"/>
      <c r="H10834" s="11" t="str">
        <f ca="1">IFERROR(__xludf.DUMMYFUNCTION("IFERROR(SUBSTITUTE(SUBSTITUTE(REGEXEXTRACT(A10834, ""[^-]+- [^-]+- [^-]+ - (.+?)\.jpg""), "".jpg"", """"), ""-"", "", ""), """")"),"")</f>
        <v/>
      </c>
      <c r="L10834" s="12"/>
      <c r="M10834" s="13"/>
      <c r="N10834" s="2"/>
      <c r="O10834" s="20"/>
      <c r="P10834" s="42"/>
      <c r="R10834" s="23"/>
    </row>
    <row r="10835" spans="1:18" ht="12.75">
      <c r="A10835" s="12"/>
      <c r="D10835" s="12"/>
      <c r="E10835" s="12"/>
      <c r="H10835" s="11" t="str">
        <f ca="1">IFERROR(__xludf.DUMMYFUNCTION("IFERROR(SUBSTITUTE(SUBSTITUTE(REGEXEXTRACT(A10835, ""[^-]+- [^-]+- [^-]+ - (.+?)\.jpg""), "".jpg"", """"), ""-"", "", ""), """")"),"")</f>
        <v/>
      </c>
      <c r="L10835" s="12"/>
      <c r="M10835" s="13"/>
      <c r="N10835" s="2"/>
      <c r="O10835" s="20"/>
      <c r="P10835" s="42"/>
      <c r="R10835" s="23"/>
    </row>
    <row r="10836" spans="1:18" ht="12.75">
      <c r="A10836" s="12"/>
      <c r="D10836" s="12"/>
      <c r="E10836" s="12"/>
      <c r="H10836" s="11" t="str">
        <f ca="1">IFERROR(__xludf.DUMMYFUNCTION("IFERROR(SUBSTITUTE(SUBSTITUTE(REGEXEXTRACT(A10836, ""[^-]+- [^-]+- [^-]+ - (.+?)\.jpg""), "".jpg"", """"), ""-"", "", ""), """")"),"")</f>
        <v/>
      </c>
      <c r="L10836" s="12"/>
      <c r="M10836" s="13"/>
      <c r="N10836" s="2"/>
      <c r="O10836" s="20"/>
      <c r="P10836" s="42"/>
      <c r="R10836" s="23"/>
    </row>
    <row r="10837" spans="1:18" ht="12.75">
      <c r="A10837" s="12"/>
      <c r="D10837" s="12"/>
      <c r="E10837" s="12"/>
      <c r="H10837" s="11" t="str">
        <f ca="1">IFERROR(__xludf.DUMMYFUNCTION("IFERROR(SUBSTITUTE(SUBSTITUTE(REGEXEXTRACT(A10837, ""[^-]+- [^-]+- [^-]+ - (.+?)\.jpg""), "".jpg"", """"), ""-"", "", ""), """")"),"")</f>
        <v/>
      </c>
      <c r="L10837" s="12"/>
      <c r="M10837" s="13"/>
      <c r="N10837" s="2"/>
      <c r="O10837" s="20"/>
      <c r="P10837" s="42"/>
      <c r="R10837" s="23"/>
    </row>
    <row r="10838" spans="1:18" ht="12.75">
      <c r="A10838" s="12"/>
      <c r="D10838" s="12"/>
      <c r="E10838" s="12"/>
      <c r="H10838" s="11" t="str">
        <f ca="1">IFERROR(__xludf.DUMMYFUNCTION("IFERROR(SUBSTITUTE(SUBSTITUTE(REGEXEXTRACT(A10838, ""[^-]+- [^-]+- [^-]+ - (.+?)\.jpg""), "".jpg"", """"), ""-"", "", ""), """")"),"")</f>
        <v/>
      </c>
      <c r="L10838" s="12"/>
      <c r="M10838" s="13"/>
      <c r="N10838" s="2"/>
      <c r="O10838" s="20"/>
      <c r="P10838" s="42"/>
      <c r="R10838" s="23"/>
    </row>
    <row r="10839" spans="1:18" ht="12.75">
      <c r="A10839" s="12"/>
      <c r="D10839" s="12"/>
      <c r="E10839" s="12"/>
      <c r="H10839" s="11" t="str">
        <f ca="1">IFERROR(__xludf.DUMMYFUNCTION("IFERROR(SUBSTITUTE(SUBSTITUTE(REGEXEXTRACT(A10839, ""[^-]+- [^-]+- [^-]+ - (.+?)\.jpg""), "".jpg"", """"), ""-"", "", ""), """")"),"")</f>
        <v/>
      </c>
      <c r="L10839" s="12"/>
      <c r="M10839" s="13"/>
      <c r="N10839" s="2"/>
      <c r="O10839" s="20"/>
      <c r="P10839" s="42"/>
      <c r="R10839" s="23"/>
    </row>
    <row r="10840" spans="1:18" ht="12.75">
      <c r="A10840" s="12"/>
      <c r="D10840" s="12"/>
      <c r="E10840" s="12"/>
      <c r="H10840" s="11" t="str">
        <f ca="1">IFERROR(__xludf.DUMMYFUNCTION("IFERROR(SUBSTITUTE(SUBSTITUTE(REGEXEXTRACT(A10840, ""[^-]+- [^-]+- [^-]+ - (.+?)\.jpg""), "".jpg"", """"), ""-"", "", ""), """")"),"")</f>
        <v/>
      </c>
      <c r="L10840" s="12"/>
      <c r="M10840" s="13"/>
      <c r="N10840" s="2"/>
      <c r="O10840" s="20"/>
      <c r="P10840" s="42"/>
      <c r="R10840" s="23"/>
    </row>
    <row r="10841" spans="1:18" ht="12.75">
      <c r="A10841" s="12"/>
      <c r="D10841" s="12"/>
      <c r="E10841" s="12"/>
      <c r="H10841" s="11" t="str">
        <f ca="1">IFERROR(__xludf.DUMMYFUNCTION("IFERROR(SUBSTITUTE(SUBSTITUTE(REGEXEXTRACT(A10841, ""[^-]+- [^-]+- [^-]+ - (.+?)\.jpg""), "".jpg"", """"), ""-"", "", ""), """")"),"")</f>
        <v/>
      </c>
      <c r="L10841" s="12"/>
      <c r="M10841" s="13"/>
      <c r="N10841" s="2"/>
      <c r="O10841" s="20"/>
      <c r="P10841" s="42"/>
      <c r="R10841" s="23"/>
    </row>
    <row r="10842" spans="1:18" ht="12.75">
      <c r="A10842" s="12"/>
      <c r="D10842" s="12"/>
      <c r="E10842" s="12"/>
      <c r="H10842" s="11" t="str">
        <f ca="1">IFERROR(__xludf.DUMMYFUNCTION("IFERROR(SUBSTITUTE(SUBSTITUTE(REGEXEXTRACT(A10842, ""[^-]+- [^-]+- [^-]+ - (.+?)\.jpg""), "".jpg"", """"), ""-"", "", ""), """")"),"")</f>
        <v/>
      </c>
      <c r="L10842" s="12"/>
      <c r="M10842" s="13"/>
      <c r="N10842" s="2"/>
      <c r="O10842" s="20"/>
      <c r="P10842" s="42"/>
      <c r="R10842" s="23"/>
    </row>
    <row r="10843" spans="1:18" ht="12.75">
      <c r="A10843" s="12"/>
      <c r="D10843" s="12"/>
      <c r="E10843" s="12"/>
      <c r="H10843" s="11" t="str">
        <f ca="1">IFERROR(__xludf.DUMMYFUNCTION("IFERROR(SUBSTITUTE(SUBSTITUTE(REGEXEXTRACT(A10843, ""[^-]+- [^-]+- [^-]+ - (.+?)\.jpg""), "".jpg"", """"), ""-"", "", ""), """")"),"")</f>
        <v/>
      </c>
      <c r="L10843" s="12"/>
      <c r="M10843" s="13"/>
      <c r="N10843" s="2"/>
      <c r="O10843" s="20"/>
      <c r="P10843" s="42"/>
      <c r="R10843" s="23"/>
    </row>
    <row r="10844" spans="1:18" ht="12.75">
      <c r="A10844" s="12"/>
      <c r="D10844" s="12"/>
      <c r="E10844" s="12"/>
      <c r="H10844" s="11" t="str">
        <f ca="1">IFERROR(__xludf.DUMMYFUNCTION("IFERROR(SUBSTITUTE(SUBSTITUTE(REGEXEXTRACT(A10844, ""[^-]+- [^-]+- [^-]+ - (.+?)\.jpg""), "".jpg"", """"), ""-"", "", ""), """")"),"")</f>
        <v/>
      </c>
      <c r="L10844" s="12"/>
      <c r="M10844" s="13"/>
      <c r="N10844" s="2"/>
      <c r="O10844" s="20"/>
      <c r="P10844" s="42"/>
      <c r="R10844" s="23"/>
    </row>
    <row r="10845" spans="1:18" ht="12.75">
      <c r="A10845" s="12"/>
      <c r="D10845" s="12"/>
      <c r="E10845" s="12"/>
      <c r="H10845" s="11" t="str">
        <f ca="1">IFERROR(__xludf.DUMMYFUNCTION("IFERROR(SUBSTITUTE(SUBSTITUTE(REGEXEXTRACT(A10845, ""[^-]+- [^-]+- [^-]+ - (.+?)\.jpg""), "".jpg"", """"), ""-"", "", ""), """")"),"")</f>
        <v/>
      </c>
      <c r="L10845" s="12"/>
      <c r="M10845" s="13"/>
      <c r="N10845" s="2"/>
      <c r="O10845" s="20"/>
      <c r="P10845" s="42"/>
      <c r="R10845" s="23"/>
    </row>
    <row r="10846" spans="1:18" ht="12.75">
      <c r="A10846" s="12"/>
      <c r="D10846" s="12"/>
      <c r="E10846" s="12"/>
      <c r="H10846" s="11" t="str">
        <f ca="1">IFERROR(__xludf.DUMMYFUNCTION("IFERROR(SUBSTITUTE(SUBSTITUTE(REGEXEXTRACT(A10846, ""[^-]+- [^-]+- [^-]+ - (.+?)\.jpg""), "".jpg"", """"), ""-"", "", ""), """")"),"")</f>
        <v/>
      </c>
      <c r="L10846" s="12"/>
      <c r="M10846" s="13"/>
      <c r="N10846" s="2"/>
      <c r="O10846" s="20"/>
      <c r="P10846" s="42"/>
      <c r="R10846" s="23"/>
    </row>
    <row r="10847" spans="1:18" ht="12.75">
      <c r="A10847" s="12"/>
      <c r="D10847" s="12"/>
      <c r="E10847" s="12"/>
      <c r="H10847" s="11" t="str">
        <f ca="1">IFERROR(__xludf.DUMMYFUNCTION("IFERROR(SUBSTITUTE(SUBSTITUTE(REGEXEXTRACT(A10847, ""[^-]+- [^-]+- [^-]+ - (.+?)\.jpg""), "".jpg"", """"), ""-"", "", ""), """")"),"")</f>
        <v/>
      </c>
      <c r="L10847" s="12"/>
      <c r="M10847" s="13"/>
      <c r="N10847" s="2"/>
      <c r="O10847" s="20"/>
      <c r="P10847" s="42"/>
      <c r="R10847" s="23"/>
    </row>
    <row r="10848" spans="1:18" ht="12.75">
      <c r="A10848" s="12"/>
      <c r="D10848" s="12"/>
      <c r="E10848" s="12"/>
      <c r="H10848" s="11" t="str">
        <f ca="1">IFERROR(__xludf.DUMMYFUNCTION("IFERROR(SUBSTITUTE(SUBSTITUTE(REGEXEXTRACT(A10848, ""[^-]+- [^-]+- [^-]+ - (.+?)\.jpg""), "".jpg"", """"), ""-"", "", ""), """")"),"")</f>
        <v/>
      </c>
      <c r="L10848" s="12"/>
      <c r="M10848" s="13"/>
      <c r="N10848" s="2"/>
      <c r="O10848" s="20"/>
      <c r="P10848" s="42"/>
      <c r="R10848" s="23"/>
    </row>
    <row r="10849" spans="1:18" ht="12.75">
      <c r="A10849" s="12"/>
      <c r="D10849" s="12"/>
      <c r="E10849" s="12"/>
      <c r="H10849" s="11" t="str">
        <f ca="1">IFERROR(__xludf.DUMMYFUNCTION("IFERROR(SUBSTITUTE(SUBSTITUTE(REGEXEXTRACT(A10849, ""[^-]+- [^-]+- [^-]+ - (.+?)\.jpg""), "".jpg"", """"), ""-"", "", ""), """")"),"")</f>
        <v/>
      </c>
      <c r="L10849" s="12"/>
      <c r="M10849" s="13"/>
      <c r="N10849" s="2"/>
      <c r="O10849" s="20"/>
      <c r="P10849" s="42"/>
      <c r="R10849" s="23"/>
    </row>
    <row r="10850" spans="1:18" ht="12.75">
      <c r="A10850" s="12"/>
      <c r="D10850" s="12"/>
      <c r="E10850" s="12"/>
      <c r="H10850" s="11" t="str">
        <f ca="1">IFERROR(__xludf.DUMMYFUNCTION("IFERROR(SUBSTITUTE(SUBSTITUTE(REGEXEXTRACT(A10850, ""[^-]+- [^-]+- [^-]+ - (.+?)\.jpg""), "".jpg"", """"), ""-"", "", ""), """")"),"")</f>
        <v/>
      </c>
      <c r="L10850" s="12"/>
      <c r="M10850" s="13"/>
      <c r="N10850" s="2"/>
      <c r="O10850" s="20"/>
      <c r="P10850" s="42"/>
      <c r="R10850" s="23"/>
    </row>
    <row r="10851" spans="1:18" ht="12.75">
      <c r="A10851" s="12"/>
      <c r="D10851" s="12"/>
      <c r="E10851" s="12"/>
      <c r="H10851" s="11" t="str">
        <f ca="1">IFERROR(__xludf.DUMMYFUNCTION("IFERROR(SUBSTITUTE(SUBSTITUTE(REGEXEXTRACT(A10851, ""[^-]+- [^-]+- [^-]+ - (.+?)\.jpg""), "".jpg"", """"), ""-"", "", ""), """")"),"")</f>
        <v/>
      </c>
      <c r="L10851" s="12"/>
      <c r="M10851" s="13"/>
      <c r="N10851" s="2"/>
      <c r="O10851" s="20"/>
      <c r="P10851" s="42"/>
      <c r="R10851" s="23"/>
    </row>
    <row r="10852" spans="1:18" ht="12.75">
      <c r="A10852" s="12"/>
      <c r="D10852" s="12"/>
      <c r="E10852" s="12"/>
      <c r="H10852" s="11" t="str">
        <f ca="1">IFERROR(__xludf.DUMMYFUNCTION("IFERROR(SUBSTITUTE(SUBSTITUTE(REGEXEXTRACT(A10852, ""[^-]+- [^-]+- [^-]+ - (.+?)\.jpg""), "".jpg"", """"), ""-"", "", ""), """")"),"")</f>
        <v/>
      </c>
      <c r="L10852" s="12"/>
      <c r="M10852" s="13"/>
      <c r="N10852" s="2"/>
      <c r="O10852" s="20"/>
      <c r="P10852" s="42"/>
      <c r="R10852" s="23"/>
    </row>
    <row r="10853" spans="1:18" ht="12.75">
      <c r="A10853" s="12"/>
      <c r="D10853" s="12"/>
      <c r="E10853" s="12"/>
      <c r="H10853" s="11" t="str">
        <f ca="1">IFERROR(__xludf.DUMMYFUNCTION("IFERROR(SUBSTITUTE(SUBSTITUTE(REGEXEXTRACT(A10853, ""[^-]+- [^-]+- [^-]+ - (.+?)\.jpg""), "".jpg"", """"), ""-"", "", ""), """")"),"")</f>
        <v/>
      </c>
      <c r="L10853" s="12"/>
      <c r="M10853" s="13"/>
      <c r="N10853" s="2"/>
      <c r="O10853" s="20"/>
      <c r="P10853" s="42"/>
      <c r="R10853" s="23"/>
    </row>
    <row r="10854" spans="1:18" ht="12.75">
      <c r="A10854" s="12"/>
      <c r="D10854" s="12"/>
      <c r="E10854" s="12"/>
      <c r="H10854" s="11" t="str">
        <f ca="1">IFERROR(__xludf.DUMMYFUNCTION("IFERROR(SUBSTITUTE(SUBSTITUTE(REGEXEXTRACT(A10854, ""[^-]+- [^-]+- [^-]+ - (.+?)\.jpg""), "".jpg"", """"), ""-"", "", ""), """")"),"")</f>
        <v/>
      </c>
      <c r="L10854" s="12"/>
      <c r="M10854" s="13"/>
      <c r="N10854" s="2"/>
      <c r="O10854" s="20"/>
      <c r="P10854" s="42"/>
      <c r="R10854" s="23"/>
    </row>
    <row r="10855" spans="1:18" ht="12.75">
      <c r="A10855" s="12"/>
      <c r="D10855" s="12"/>
      <c r="E10855" s="12"/>
      <c r="H10855" s="11" t="str">
        <f ca="1">IFERROR(__xludf.DUMMYFUNCTION("IFERROR(SUBSTITUTE(SUBSTITUTE(REGEXEXTRACT(A10855, ""[^-]+- [^-]+- [^-]+ - (.+?)\.jpg""), "".jpg"", """"), ""-"", "", ""), """")"),"")</f>
        <v/>
      </c>
      <c r="L10855" s="12"/>
      <c r="M10855" s="13"/>
      <c r="N10855" s="2"/>
      <c r="O10855" s="20"/>
      <c r="P10855" s="42"/>
      <c r="R10855" s="23"/>
    </row>
    <row r="10856" spans="1:18" ht="12.75">
      <c r="A10856" s="12"/>
      <c r="D10856" s="12"/>
      <c r="E10856" s="12"/>
      <c r="H10856" s="11" t="str">
        <f ca="1">IFERROR(__xludf.DUMMYFUNCTION("IFERROR(SUBSTITUTE(SUBSTITUTE(REGEXEXTRACT(A10856, ""[^-]+- [^-]+- [^-]+ - (.+?)\.jpg""), "".jpg"", """"), ""-"", "", ""), """")"),"")</f>
        <v/>
      </c>
      <c r="L10856" s="12"/>
      <c r="M10856" s="13"/>
      <c r="N10856" s="2"/>
      <c r="O10856" s="20"/>
      <c r="P10856" s="42"/>
      <c r="R10856" s="23"/>
    </row>
    <row r="10857" spans="1:18" ht="12.75">
      <c r="A10857" s="12"/>
      <c r="D10857" s="12"/>
      <c r="E10857" s="12"/>
      <c r="H10857" s="11" t="str">
        <f ca="1">IFERROR(__xludf.DUMMYFUNCTION("IFERROR(SUBSTITUTE(SUBSTITUTE(REGEXEXTRACT(A10857, ""[^-]+- [^-]+- [^-]+ - (.+?)\.jpg""), "".jpg"", """"), ""-"", "", ""), """")"),"")</f>
        <v/>
      </c>
      <c r="L10857" s="12"/>
      <c r="M10857" s="13"/>
      <c r="N10857" s="2"/>
      <c r="O10857" s="20"/>
      <c r="P10857" s="42"/>
      <c r="R10857" s="23"/>
    </row>
    <row r="10858" spans="1:18" ht="12.75">
      <c r="A10858" s="12"/>
      <c r="D10858" s="12"/>
      <c r="E10858" s="12"/>
      <c r="H10858" s="11" t="str">
        <f ca="1">IFERROR(__xludf.DUMMYFUNCTION("IFERROR(SUBSTITUTE(SUBSTITUTE(REGEXEXTRACT(A10858, ""[^-]+- [^-]+- [^-]+ - (.+?)\.jpg""), "".jpg"", """"), ""-"", "", ""), """")"),"")</f>
        <v/>
      </c>
      <c r="L10858" s="12"/>
      <c r="M10858" s="13"/>
      <c r="N10858" s="2"/>
      <c r="O10858" s="20"/>
      <c r="P10858" s="42"/>
      <c r="R10858" s="23"/>
    </row>
    <row r="10859" spans="1:18" ht="12.75">
      <c r="A10859" s="12"/>
      <c r="D10859" s="12"/>
      <c r="E10859" s="12"/>
      <c r="H10859" s="11" t="str">
        <f ca="1">IFERROR(__xludf.DUMMYFUNCTION("IFERROR(SUBSTITUTE(SUBSTITUTE(REGEXEXTRACT(A10859, ""[^-]+- [^-]+- [^-]+ - (.+?)\.jpg""), "".jpg"", """"), ""-"", "", ""), """")"),"")</f>
        <v/>
      </c>
      <c r="L10859" s="12"/>
      <c r="M10859" s="13"/>
      <c r="N10859" s="2"/>
      <c r="O10859" s="20"/>
      <c r="P10859" s="42"/>
      <c r="R10859" s="23"/>
    </row>
    <row r="10860" spans="1:18" ht="12.75">
      <c r="A10860" s="12"/>
      <c r="D10860" s="12"/>
      <c r="E10860" s="12"/>
      <c r="H10860" s="11" t="str">
        <f ca="1">IFERROR(__xludf.DUMMYFUNCTION("IFERROR(SUBSTITUTE(SUBSTITUTE(REGEXEXTRACT(A10860, ""[^-]+- [^-]+- [^-]+ - (.+?)\.jpg""), "".jpg"", """"), ""-"", "", ""), """")"),"")</f>
        <v/>
      </c>
      <c r="L10860" s="12"/>
      <c r="M10860" s="13"/>
      <c r="N10860" s="2"/>
      <c r="O10860" s="20"/>
      <c r="P10860" s="42"/>
      <c r="R10860" s="23"/>
    </row>
    <row r="10861" spans="1:18" ht="12.75">
      <c r="A10861" s="12"/>
      <c r="D10861" s="12"/>
      <c r="E10861" s="12"/>
      <c r="H10861" s="11" t="str">
        <f ca="1">IFERROR(__xludf.DUMMYFUNCTION("IFERROR(SUBSTITUTE(SUBSTITUTE(REGEXEXTRACT(A10861, ""[^-]+- [^-]+- [^-]+ - (.+?)\.jpg""), "".jpg"", """"), ""-"", "", ""), """")"),"")</f>
        <v/>
      </c>
      <c r="L10861" s="12"/>
      <c r="M10861" s="13"/>
      <c r="N10861" s="2"/>
      <c r="O10861" s="20"/>
      <c r="P10861" s="42"/>
      <c r="R10861" s="23"/>
    </row>
    <row r="10862" spans="1:18" ht="12.75">
      <c r="A10862" s="12"/>
      <c r="D10862" s="12"/>
      <c r="E10862" s="12"/>
      <c r="H10862" s="11" t="str">
        <f ca="1">IFERROR(__xludf.DUMMYFUNCTION("IFERROR(SUBSTITUTE(SUBSTITUTE(REGEXEXTRACT(A10862, ""[^-]+- [^-]+- [^-]+ - (.+?)\.jpg""), "".jpg"", """"), ""-"", "", ""), """")"),"")</f>
        <v/>
      </c>
      <c r="L10862" s="12"/>
      <c r="M10862" s="13"/>
      <c r="N10862" s="2"/>
      <c r="O10862" s="20"/>
      <c r="P10862" s="42"/>
      <c r="R10862" s="23"/>
    </row>
    <row r="10863" spans="1:18" ht="12.75">
      <c r="A10863" s="12"/>
      <c r="D10863" s="12"/>
      <c r="E10863" s="12"/>
      <c r="H10863" s="11" t="str">
        <f ca="1">IFERROR(__xludf.DUMMYFUNCTION("IFERROR(SUBSTITUTE(SUBSTITUTE(REGEXEXTRACT(A10863, ""[^-]+- [^-]+- [^-]+ - (.+?)\.jpg""), "".jpg"", """"), ""-"", "", ""), """")"),"")</f>
        <v/>
      </c>
      <c r="L10863" s="12"/>
      <c r="M10863" s="13"/>
      <c r="N10863" s="2"/>
      <c r="O10863" s="20"/>
      <c r="P10863" s="42"/>
      <c r="R10863" s="23"/>
    </row>
    <row r="10864" spans="1:18" ht="12.75">
      <c r="A10864" s="12"/>
      <c r="D10864" s="12"/>
      <c r="E10864" s="12"/>
      <c r="H10864" s="11" t="str">
        <f ca="1">IFERROR(__xludf.DUMMYFUNCTION("IFERROR(SUBSTITUTE(SUBSTITUTE(REGEXEXTRACT(A10864, ""[^-]+- [^-]+- [^-]+ - (.+?)\.jpg""), "".jpg"", """"), ""-"", "", ""), """")"),"")</f>
        <v/>
      </c>
      <c r="L10864" s="12"/>
      <c r="M10864" s="13"/>
      <c r="N10864" s="2"/>
      <c r="O10864" s="20"/>
      <c r="P10864" s="42"/>
      <c r="R10864" s="23"/>
    </row>
    <row r="10865" spans="1:18" ht="12.75">
      <c r="A10865" s="12"/>
      <c r="D10865" s="12"/>
      <c r="E10865" s="12"/>
      <c r="H10865" s="11" t="str">
        <f ca="1">IFERROR(__xludf.DUMMYFUNCTION("IFERROR(SUBSTITUTE(SUBSTITUTE(REGEXEXTRACT(A10865, ""[^-]+- [^-]+- [^-]+ - (.+?)\.jpg""), "".jpg"", """"), ""-"", "", ""), """")"),"")</f>
        <v/>
      </c>
      <c r="L10865" s="12"/>
      <c r="M10865" s="13"/>
      <c r="N10865" s="2"/>
      <c r="O10865" s="20"/>
      <c r="P10865" s="42"/>
      <c r="R10865" s="23"/>
    </row>
    <row r="10866" spans="1:18" ht="12.75">
      <c r="A10866" s="12"/>
      <c r="D10866" s="12"/>
      <c r="E10866" s="12"/>
      <c r="H10866" s="11" t="str">
        <f ca="1">IFERROR(__xludf.DUMMYFUNCTION("IFERROR(SUBSTITUTE(SUBSTITUTE(REGEXEXTRACT(A10866, ""[^-]+- [^-]+- [^-]+ - (.+?)\.jpg""), "".jpg"", """"), ""-"", "", ""), """")"),"")</f>
        <v/>
      </c>
      <c r="L10866" s="12"/>
      <c r="M10866" s="13"/>
      <c r="N10866" s="2"/>
      <c r="O10866" s="20"/>
      <c r="P10866" s="42"/>
      <c r="R10866" s="23"/>
    </row>
    <row r="10867" spans="1:18" ht="12.75">
      <c r="A10867" s="12"/>
      <c r="D10867" s="12"/>
      <c r="E10867" s="12"/>
      <c r="H10867" s="11" t="str">
        <f ca="1">IFERROR(__xludf.DUMMYFUNCTION("IFERROR(SUBSTITUTE(SUBSTITUTE(REGEXEXTRACT(A10867, ""[^-]+- [^-]+- [^-]+ - (.+?)\.jpg""), "".jpg"", """"), ""-"", "", ""), """")"),"")</f>
        <v/>
      </c>
      <c r="L10867" s="12"/>
      <c r="M10867" s="13"/>
      <c r="N10867" s="2"/>
      <c r="O10867" s="20"/>
      <c r="P10867" s="42"/>
      <c r="R10867" s="23"/>
    </row>
    <row r="10868" spans="1:18" ht="12.75">
      <c r="A10868" s="12"/>
      <c r="D10868" s="12"/>
      <c r="E10868" s="12"/>
      <c r="H10868" s="11" t="str">
        <f ca="1">IFERROR(__xludf.DUMMYFUNCTION("IFERROR(SUBSTITUTE(SUBSTITUTE(REGEXEXTRACT(A10868, ""[^-]+- [^-]+- [^-]+ - (.+?)\.jpg""), "".jpg"", """"), ""-"", "", ""), """")"),"")</f>
        <v/>
      </c>
      <c r="L10868" s="12"/>
      <c r="M10868" s="13"/>
      <c r="N10868" s="2"/>
      <c r="O10868" s="20"/>
      <c r="P10868" s="42"/>
      <c r="R10868" s="23"/>
    </row>
    <row r="10869" spans="1:18" ht="12.75">
      <c r="A10869" s="12"/>
      <c r="D10869" s="12"/>
      <c r="E10869" s="12"/>
      <c r="H10869" s="11" t="str">
        <f ca="1">IFERROR(__xludf.DUMMYFUNCTION("IFERROR(SUBSTITUTE(SUBSTITUTE(REGEXEXTRACT(A10869, ""[^-]+- [^-]+- [^-]+ - (.+?)\.jpg""), "".jpg"", """"), ""-"", "", ""), """")"),"")</f>
        <v/>
      </c>
      <c r="L10869" s="12"/>
      <c r="M10869" s="13"/>
      <c r="N10869" s="2"/>
      <c r="O10869" s="20"/>
      <c r="P10869" s="42"/>
      <c r="R10869" s="23"/>
    </row>
    <row r="10870" spans="1:18" ht="12.75">
      <c r="A10870" s="12"/>
      <c r="D10870" s="12"/>
      <c r="E10870" s="12"/>
      <c r="H10870" s="11" t="str">
        <f ca="1">IFERROR(__xludf.DUMMYFUNCTION("IFERROR(SUBSTITUTE(SUBSTITUTE(REGEXEXTRACT(A10870, ""[^-]+- [^-]+- [^-]+ - (.+?)\.jpg""), "".jpg"", """"), ""-"", "", ""), """")"),"")</f>
        <v/>
      </c>
      <c r="L10870" s="12"/>
      <c r="M10870" s="13"/>
      <c r="N10870" s="2"/>
      <c r="O10870" s="20"/>
      <c r="P10870" s="42"/>
      <c r="R10870" s="23"/>
    </row>
    <row r="10871" spans="1:18" ht="12.75">
      <c r="A10871" s="12"/>
      <c r="D10871" s="12"/>
      <c r="E10871" s="12"/>
      <c r="H10871" s="11" t="str">
        <f ca="1">IFERROR(__xludf.DUMMYFUNCTION("IFERROR(SUBSTITUTE(SUBSTITUTE(REGEXEXTRACT(A10871, ""[^-]+- [^-]+- [^-]+ - (.+?)\.jpg""), "".jpg"", """"), ""-"", "", ""), """")"),"")</f>
        <v/>
      </c>
      <c r="L10871" s="12"/>
      <c r="M10871" s="13"/>
      <c r="N10871" s="2"/>
      <c r="O10871" s="20"/>
      <c r="P10871" s="42"/>
      <c r="R10871" s="23"/>
    </row>
    <row r="10872" spans="1:18" ht="12.75">
      <c r="A10872" s="12"/>
      <c r="D10872" s="12"/>
      <c r="E10872" s="12"/>
      <c r="H10872" s="11" t="str">
        <f ca="1">IFERROR(__xludf.DUMMYFUNCTION("IFERROR(SUBSTITUTE(SUBSTITUTE(REGEXEXTRACT(A10872, ""[^-]+- [^-]+- [^-]+ - (.+?)\.jpg""), "".jpg"", """"), ""-"", "", ""), """")"),"")</f>
        <v/>
      </c>
      <c r="L10872" s="12"/>
      <c r="M10872" s="13"/>
      <c r="N10872" s="2"/>
      <c r="O10872" s="20"/>
      <c r="P10872" s="42"/>
      <c r="R10872" s="23"/>
    </row>
    <row r="10873" spans="1:18" ht="12.75">
      <c r="A10873" s="12"/>
      <c r="D10873" s="12"/>
      <c r="E10873" s="12"/>
      <c r="H10873" s="11" t="str">
        <f ca="1">IFERROR(__xludf.DUMMYFUNCTION("IFERROR(SUBSTITUTE(SUBSTITUTE(REGEXEXTRACT(A10873, ""[^-]+- [^-]+- [^-]+ - (.+?)\.jpg""), "".jpg"", """"), ""-"", "", ""), """")"),"")</f>
        <v/>
      </c>
      <c r="L10873" s="12"/>
      <c r="M10873" s="13"/>
      <c r="N10873" s="2"/>
      <c r="O10873" s="20"/>
      <c r="P10873" s="42"/>
      <c r="R10873" s="23"/>
    </row>
    <row r="10874" spans="1:18" ht="12.75">
      <c r="A10874" s="12"/>
      <c r="D10874" s="12"/>
      <c r="E10874" s="12"/>
      <c r="H10874" s="11" t="str">
        <f ca="1">IFERROR(__xludf.DUMMYFUNCTION("IFERROR(SUBSTITUTE(SUBSTITUTE(REGEXEXTRACT(A10874, ""[^-]+- [^-]+- [^-]+ - (.+?)\.jpg""), "".jpg"", """"), ""-"", "", ""), """")"),"")</f>
        <v/>
      </c>
      <c r="L10874" s="12"/>
      <c r="M10874" s="13"/>
      <c r="N10874" s="2"/>
      <c r="O10874" s="20"/>
      <c r="P10874" s="42"/>
      <c r="R10874" s="23"/>
    </row>
    <row r="10875" spans="1:18" ht="12.75">
      <c r="A10875" s="12"/>
      <c r="D10875" s="12"/>
      <c r="E10875" s="12"/>
      <c r="H10875" s="11" t="str">
        <f ca="1">IFERROR(__xludf.DUMMYFUNCTION("IFERROR(SUBSTITUTE(SUBSTITUTE(REGEXEXTRACT(A10875, ""[^-]+- [^-]+- [^-]+ - (.+?)\.jpg""), "".jpg"", """"), ""-"", "", ""), """")"),"")</f>
        <v/>
      </c>
      <c r="L10875" s="12"/>
      <c r="M10875" s="13"/>
      <c r="N10875" s="2"/>
      <c r="O10875" s="20"/>
      <c r="P10875" s="42"/>
      <c r="R10875" s="23"/>
    </row>
    <row r="10876" spans="1:18" ht="12.75">
      <c r="A10876" s="12"/>
      <c r="D10876" s="12"/>
      <c r="E10876" s="12"/>
      <c r="H10876" s="11" t="str">
        <f ca="1">IFERROR(__xludf.DUMMYFUNCTION("IFERROR(SUBSTITUTE(SUBSTITUTE(REGEXEXTRACT(A10876, ""[^-]+- [^-]+- [^-]+ - (.+?)\.jpg""), "".jpg"", """"), ""-"", "", ""), """")"),"")</f>
        <v/>
      </c>
      <c r="L10876" s="12"/>
      <c r="M10876" s="13"/>
      <c r="N10876" s="2"/>
      <c r="O10876" s="20"/>
      <c r="P10876" s="42"/>
      <c r="R10876" s="23"/>
    </row>
    <row r="10877" spans="1:18" ht="12.75">
      <c r="A10877" s="12"/>
      <c r="D10877" s="12"/>
      <c r="E10877" s="12"/>
      <c r="H10877" s="11" t="str">
        <f ca="1">IFERROR(__xludf.DUMMYFUNCTION("IFERROR(SUBSTITUTE(SUBSTITUTE(REGEXEXTRACT(A10877, ""[^-]+- [^-]+- [^-]+ - (.+?)\.jpg""), "".jpg"", """"), ""-"", "", ""), """")"),"")</f>
        <v/>
      </c>
      <c r="L10877" s="12"/>
      <c r="M10877" s="13"/>
      <c r="N10877" s="2"/>
      <c r="O10877" s="20"/>
      <c r="P10877" s="42"/>
      <c r="R10877" s="23"/>
    </row>
    <row r="10878" spans="1:18" ht="12.75">
      <c r="A10878" s="12"/>
      <c r="D10878" s="12"/>
      <c r="E10878" s="12"/>
      <c r="H10878" s="11" t="str">
        <f ca="1">IFERROR(__xludf.DUMMYFUNCTION("IFERROR(SUBSTITUTE(SUBSTITUTE(REGEXEXTRACT(A10878, ""[^-]+- [^-]+- [^-]+ - (.+?)\.jpg""), "".jpg"", """"), ""-"", "", ""), """")"),"")</f>
        <v/>
      </c>
      <c r="L10878" s="12"/>
      <c r="M10878" s="13"/>
      <c r="N10878" s="2"/>
      <c r="O10878" s="20"/>
      <c r="P10878" s="42"/>
      <c r="R10878" s="23"/>
    </row>
    <row r="10879" spans="1:18" ht="12.75">
      <c r="A10879" s="12"/>
      <c r="D10879" s="12"/>
      <c r="E10879" s="12"/>
      <c r="H10879" s="11" t="str">
        <f ca="1">IFERROR(__xludf.DUMMYFUNCTION("IFERROR(SUBSTITUTE(SUBSTITUTE(REGEXEXTRACT(A10879, ""[^-]+- [^-]+- [^-]+ - (.+?)\.jpg""), "".jpg"", """"), ""-"", "", ""), """")"),"")</f>
        <v/>
      </c>
      <c r="L10879" s="12"/>
      <c r="M10879" s="13"/>
      <c r="N10879" s="2"/>
      <c r="O10879" s="20"/>
      <c r="P10879" s="42"/>
      <c r="R10879" s="23"/>
    </row>
    <row r="10880" spans="1:18" ht="12.75">
      <c r="A10880" s="12"/>
      <c r="D10880" s="12"/>
      <c r="E10880" s="12"/>
      <c r="H10880" s="11" t="str">
        <f ca="1">IFERROR(__xludf.DUMMYFUNCTION("IFERROR(SUBSTITUTE(SUBSTITUTE(REGEXEXTRACT(A10880, ""[^-]+- [^-]+- [^-]+ - (.+?)\.jpg""), "".jpg"", """"), ""-"", "", ""), """")"),"")</f>
        <v/>
      </c>
      <c r="L10880" s="12"/>
      <c r="M10880" s="13"/>
      <c r="N10880" s="2"/>
      <c r="O10880" s="20"/>
      <c r="P10880" s="42"/>
      <c r="R10880" s="23"/>
    </row>
    <row r="10881" spans="1:18" ht="12.75">
      <c r="A10881" s="12"/>
      <c r="D10881" s="12"/>
      <c r="E10881" s="12"/>
      <c r="H10881" s="11" t="str">
        <f ca="1">IFERROR(__xludf.DUMMYFUNCTION("IFERROR(SUBSTITUTE(SUBSTITUTE(REGEXEXTRACT(A10881, ""[^-]+- [^-]+- [^-]+ - (.+?)\.jpg""), "".jpg"", """"), ""-"", "", ""), """")"),"")</f>
        <v/>
      </c>
      <c r="L10881" s="12"/>
      <c r="M10881" s="13"/>
      <c r="N10881" s="2"/>
      <c r="O10881" s="20"/>
      <c r="P10881" s="42"/>
      <c r="R10881" s="23"/>
    </row>
    <row r="10882" spans="1:18" ht="12.75">
      <c r="A10882" s="12"/>
      <c r="D10882" s="12"/>
      <c r="E10882" s="12"/>
      <c r="H10882" s="11" t="str">
        <f ca="1">IFERROR(__xludf.DUMMYFUNCTION("IFERROR(SUBSTITUTE(SUBSTITUTE(REGEXEXTRACT(A10882, ""[^-]+- [^-]+- [^-]+ - (.+?)\.jpg""), "".jpg"", """"), ""-"", "", ""), """")"),"")</f>
        <v/>
      </c>
      <c r="L10882" s="12"/>
      <c r="M10882" s="13"/>
      <c r="N10882" s="2"/>
      <c r="O10882" s="20"/>
      <c r="P10882" s="42"/>
      <c r="R10882" s="23"/>
    </row>
    <row r="10883" spans="1:18" ht="12.75">
      <c r="A10883" s="12"/>
      <c r="D10883" s="12"/>
      <c r="E10883" s="12"/>
      <c r="H10883" s="11" t="str">
        <f ca="1">IFERROR(__xludf.DUMMYFUNCTION("IFERROR(SUBSTITUTE(SUBSTITUTE(REGEXEXTRACT(A10883, ""[^-]+- [^-]+- [^-]+ - (.+?)\.jpg""), "".jpg"", """"), ""-"", "", ""), """")"),"")</f>
        <v/>
      </c>
      <c r="L10883" s="12"/>
      <c r="M10883" s="13"/>
      <c r="N10883" s="2"/>
      <c r="O10883" s="20"/>
      <c r="P10883" s="42"/>
      <c r="R10883" s="23"/>
    </row>
    <row r="10884" spans="1:18" ht="12.75">
      <c r="A10884" s="12"/>
      <c r="D10884" s="12"/>
      <c r="E10884" s="12"/>
      <c r="H10884" s="11" t="str">
        <f ca="1">IFERROR(__xludf.DUMMYFUNCTION("IFERROR(SUBSTITUTE(SUBSTITUTE(REGEXEXTRACT(A10884, ""[^-]+- [^-]+- [^-]+ - (.+?)\.jpg""), "".jpg"", """"), ""-"", "", ""), """")"),"")</f>
        <v/>
      </c>
      <c r="L10884" s="12"/>
      <c r="M10884" s="13"/>
      <c r="N10884" s="2"/>
      <c r="O10884" s="20"/>
      <c r="P10884" s="42"/>
      <c r="R10884" s="23"/>
    </row>
    <row r="10885" spans="1:18" ht="12.75">
      <c r="A10885" s="12"/>
      <c r="D10885" s="12"/>
      <c r="E10885" s="12"/>
      <c r="H10885" s="11" t="str">
        <f ca="1">IFERROR(__xludf.DUMMYFUNCTION("IFERROR(SUBSTITUTE(SUBSTITUTE(REGEXEXTRACT(A10885, ""[^-]+- [^-]+- [^-]+ - (.+?)\.jpg""), "".jpg"", """"), ""-"", "", ""), """")"),"")</f>
        <v/>
      </c>
      <c r="L10885" s="12"/>
      <c r="M10885" s="13"/>
      <c r="N10885" s="2"/>
      <c r="O10885" s="20"/>
      <c r="P10885" s="42"/>
      <c r="R10885" s="23"/>
    </row>
    <row r="10886" spans="1:18" ht="12.75">
      <c r="A10886" s="12"/>
      <c r="D10886" s="12"/>
      <c r="E10886" s="12"/>
      <c r="H10886" s="11" t="str">
        <f ca="1">IFERROR(__xludf.DUMMYFUNCTION("IFERROR(SUBSTITUTE(SUBSTITUTE(REGEXEXTRACT(A10886, ""[^-]+- [^-]+- [^-]+ - (.+?)\.jpg""), "".jpg"", """"), ""-"", "", ""), """")"),"")</f>
        <v/>
      </c>
      <c r="L10886" s="12"/>
      <c r="M10886" s="13"/>
      <c r="N10886" s="2"/>
      <c r="O10886" s="20"/>
      <c r="P10886" s="42"/>
      <c r="R10886" s="23"/>
    </row>
    <row r="10887" spans="1:18" ht="12.75">
      <c r="A10887" s="12"/>
      <c r="D10887" s="12"/>
      <c r="E10887" s="12"/>
      <c r="H10887" s="11" t="str">
        <f ca="1">IFERROR(__xludf.DUMMYFUNCTION("IFERROR(SUBSTITUTE(SUBSTITUTE(REGEXEXTRACT(A10887, ""[^-]+- [^-]+- [^-]+ - (.+?)\.jpg""), "".jpg"", """"), ""-"", "", ""), """")"),"")</f>
        <v/>
      </c>
      <c r="L10887" s="12"/>
      <c r="M10887" s="13"/>
      <c r="N10887" s="2"/>
      <c r="O10887" s="20"/>
      <c r="P10887" s="42"/>
      <c r="R10887" s="23"/>
    </row>
    <row r="10888" spans="1:18" ht="12.75">
      <c r="A10888" s="12"/>
      <c r="D10888" s="12"/>
      <c r="E10888" s="12"/>
      <c r="H10888" s="11" t="str">
        <f ca="1">IFERROR(__xludf.DUMMYFUNCTION("IFERROR(SUBSTITUTE(SUBSTITUTE(REGEXEXTRACT(A10888, ""[^-]+- [^-]+- [^-]+ - (.+?)\.jpg""), "".jpg"", """"), ""-"", "", ""), """")"),"")</f>
        <v/>
      </c>
      <c r="L10888" s="12"/>
      <c r="M10888" s="13"/>
      <c r="N10888" s="2"/>
      <c r="O10888" s="20"/>
      <c r="P10888" s="42"/>
      <c r="R10888" s="23"/>
    </row>
    <row r="10889" spans="1:18" ht="12.75">
      <c r="A10889" s="12"/>
      <c r="D10889" s="12"/>
      <c r="E10889" s="12"/>
      <c r="H10889" s="11" t="str">
        <f ca="1">IFERROR(__xludf.DUMMYFUNCTION("IFERROR(SUBSTITUTE(SUBSTITUTE(REGEXEXTRACT(A10889, ""[^-]+- [^-]+- [^-]+ - (.+?)\.jpg""), "".jpg"", """"), ""-"", "", ""), """")"),"")</f>
        <v/>
      </c>
      <c r="L10889" s="12"/>
      <c r="M10889" s="13"/>
      <c r="N10889" s="2"/>
      <c r="O10889" s="20"/>
      <c r="P10889" s="42"/>
      <c r="R10889" s="23"/>
    </row>
    <row r="10890" spans="1:18" ht="12.75">
      <c r="A10890" s="12"/>
      <c r="D10890" s="12"/>
      <c r="E10890" s="12"/>
      <c r="H10890" s="11" t="str">
        <f ca="1">IFERROR(__xludf.DUMMYFUNCTION("IFERROR(SUBSTITUTE(SUBSTITUTE(REGEXEXTRACT(A10890, ""[^-]+- [^-]+- [^-]+ - (.+?)\.jpg""), "".jpg"", """"), ""-"", "", ""), """")"),"")</f>
        <v/>
      </c>
      <c r="L10890" s="12"/>
      <c r="M10890" s="13"/>
      <c r="N10890" s="2"/>
      <c r="O10890" s="20"/>
      <c r="P10890" s="42"/>
      <c r="R10890" s="23"/>
    </row>
    <row r="10891" spans="1:18" ht="12.75">
      <c r="A10891" s="12"/>
      <c r="D10891" s="12"/>
      <c r="E10891" s="12"/>
      <c r="H10891" s="11" t="str">
        <f ca="1">IFERROR(__xludf.DUMMYFUNCTION("IFERROR(SUBSTITUTE(SUBSTITUTE(REGEXEXTRACT(A10891, ""[^-]+- [^-]+- [^-]+ - (.+?)\.jpg""), "".jpg"", """"), ""-"", "", ""), """")"),"")</f>
        <v/>
      </c>
      <c r="L10891" s="12"/>
      <c r="M10891" s="13"/>
      <c r="N10891" s="2"/>
      <c r="O10891" s="20"/>
      <c r="P10891" s="42"/>
      <c r="R10891" s="23"/>
    </row>
    <row r="10892" spans="1:18" ht="12.75">
      <c r="A10892" s="12"/>
      <c r="D10892" s="12"/>
      <c r="E10892" s="12"/>
      <c r="H10892" s="11" t="str">
        <f ca="1">IFERROR(__xludf.DUMMYFUNCTION("IFERROR(SUBSTITUTE(SUBSTITUTE(REGEXEXTRACT(A10892, ""[^-]+- [^-]+- [^-]+ - (.+?)\.jpg""), "".jpg"", """"), ""-"", "", ""), """")"),"")</f>
        <v/>
      </c>
      <c r="L10892" s="12"/>
      <c r="M10892" s="13"/>
      <c r="N10892" s="2"/>
      <c r="O10892" s="20"/>
      <c r="P10892" s="42"/>
      <c r="R10892" s="23"/>
    </row>
    <row r="10893" spans="1:18" ht="12.75">
      <c r="A10893" s="12"/>
      <c r="D10893" s="12"/>
      <c r="E10893" s="12"/>
      <c r="H10893" s="11" t="str">
        <f ca="1">IFERROR(__xludf.DUMMYFUNCTION("IFERROR(SUBSTITUTE(SUBSTITUTE(REGEXEXTRACT(A10893, ""[^-]+- [^-]+- [^-]+ - (.+?)\.jpg""), "".jpg"", """"), ""-"", "", ""), """")"),"")</f>
        <v/>
      </c>
      <c r="L10893" s="12"/>
      <c r="M10893" s="13"/>
      <c r="N10893" s="2"/>
      <c r="O10893" s="20"/>
      <c r="P10893" s="42"/>
      <c r="R10893" s="23"/>
    </row>
    <row r="10894" spans="1:18" ht="12.75">
      <c r="A10894" s="12"/>
      <c r="D10894" s="12"/>
      <c r="E10894" s="12"/>
      <c r="H10894" s="11" t="str">
        <f ca="1">IFERROR(__xludf.DUMMYFUNCTION("IFERROR(SUBSTITUTE(SUBSTITUTE(REGEXEXTRACT(A10894, ""[^-]+- [^-]+- [^-]+ - (.+?)\.jpg""), "".jpg"", """"), ""-"", "", ""), """")"),"")</f>
        <v/>
      </c>
      <c r="L10894" s="12"/>
      <c r="M10894" s="13"/>
      <c r="N10894" s="2"/>
      <c r="O10894" s="20"/>
      <c r="P10894" s="42"/>
      <c r="R10894" s="23"/>
    </row>
    <row r="10895" spans="1:18" ht="12.75">
      <c r="A10895" s="12"/>
      <c r="D10895" s="12"/>
      <c r="E10895" s="12"/>
      <c r="H10895" s="11" t="str">
        <f ca="1">IFERROR(__xludf.DUMMYFUNCTION("IFERROR(SUBSTITUTE(SUBSTITUTE(REGEXEXTRACT(A10895, ""[^-]+- [^-]+- [^-]+ - (.+?)\.jpg""), "".jpg"", """"), ""-"", "", ""), """")"),"")</f>
        <v/>
      </c>
      <c r="L10895" s="12"/>
      <c r="M10895" s="13"/>
      <c r="N10895" s="2"/>
      <c r="O10895" s="20"/>
      <c r="P10895" s="42"/>
      <c r="R10895" s="23"/>
    </row>
    <row r="10896" spans="1:18" ht="12.75">
      <c r="A10896" s="12"/>
      <c r="D10896" s="12"/>
      <c r="E10896" s="12"/>
      <c r="H10896" s="11" t="str">
        <f ca="1">IFERROR(__xludf.DUMMYFUNCTION("IFERROR(SUBSTITUTE(SUBSTITUTE(REGEXEXTRACT(A10896, ""[^-]+- [^-]+- [^-]+ - (.+?)\.jpg""), "".jpg"", """"), ""-"", "", ""), """")"),"")</f>
        <v/>
      </c>
      <c r="L10896" s="12"/>
      <c r="M10896" s="13"/>
      <c r="N10896" s="2"/>
      <c r="O10896" s="20"/>
      <c r="P10896" s="42"/>
      <c r="R10896" s="23"/>
    </row>
    <row r="10897" spans="1:18" ht="12.75">
      <c r="A10897" s="12"/>
      <c r="D10897" s="12"/>
      <c r="E10897" s="12"/>
      <c r="H10897" s="11" t="str">
        <f ca="1">IFERROR(__xludf.DUMMYFUNCTION("IFERROR(SUBSTITUTE(SUBSTITUTE(REGEXEXTRACT(A10897, ""[^-]+- [^-]+- [^-]+ - (.+?)\.jpg""), "".jpg"", """"), ""-"", "", ""), """")"),"")</f>
        <v/>
      </c>
      <c r="L10897" s="12"/>
      <c r="M10897" s="13"/>
      <c r="N10897" s="2"/>
      <c r="O10897" s="20"/>
      <c r="P10897" s="42"/>
      <c r="R10897" s="23"/>
    </row>
    <row r="10898" spans="1:18" ht="12.75">
      <c r="A10898" s="12"/>
      <c r="D10898" s="12"/>
      <c r="E10898" s="12"/>
      <c r="H10898" s="11" t="str">
        <f ca="1">IFERROR(__xludf.DUMMYFUNCTION("IFERROR(SUBSTITUTE(SUBSTITUTE(REGEXEXTRACT(A10898, ""[^-]+- [^-]+- [^-]+ - (.+?)\.jpg""), "".jpg"", """"), ""-"", "", ""), """")"),"")</f>
        <v/>
      </c>
      <c r="L10898" s="12"/>
      <c r="M10898" s="13"/>
      <c r="N10898" s="2"/>
      <c r="O10898" s="20"/>
      <c r="P10898" s="42"/>
      <c r="R10898" s="23"/>
    </row>
    <row r="10899" spans="1:18" ht="12.75">
      <c r="A10899" s="12"/>
      <c r="D10899" s="12"/>
      <c r="E10899" s="12"/>
      <c r="H10899" s="11" t="str">
        <f ca="1">IFERROR(__xludf.DUMMYFUNCTION("IFERROR(SUBSTITUTE(SUBSTITUTE(REGEXEXTRACT(A10899, ""[^-]+- [^-]+- [^-]+ - (.+?)\.jpg""), "".jpg"", """"), ""-"", "", ""), """")"),"")</f>
        <v/>
      </c>
      <c r="L10899" s="12"/>
      <c r="M10899" s="13"/>
      <c r="N10899" s="2"/>
      <c r="O10899" s="20"/>
      <c r="P10899" s="42"/>
      <c r="R10899" s="23"/>
    </row>
    <row r="10900" spans="1:18" ht="12.75">
      <c r="A10900" s="12"/>
      <c r="D10900" s="12"/>
      <c r="E10900" s="12"/>
      <c r="H10900" s="11" t="str">
        <f ca="1">IFERROR(__xludf.DUMMYFUNCTION("IFERROR(SUBSTITUTE(SUBSTITUTE(REGEXEXTRACT(A10900, ""[^-]+- [^-]+- [^-]+ - (.+?)\.jpg""), "".jpg"", """"), ""-"", "", ""), """")"),"")</f>
        <v/>
      </c>
      <c r="L10900" s="12"/>
      <c r="M10900" s="13"/>
      <c r="N10900" s="2"/>
      <c r="O10900" s="20"/>
      <c r="P10900" s="42"/>
      <c r="R10900" s="23"/>
    </row>
    <row r="10901" spans="1:18" ht="12.75">
      <c r="A10901" s="12"/>
      <c r="D10901" s="12"/>
      <c r="E10901" s="12"/>
      <c r="H10901" s="11" t="str">
        <f ca="1">IFERROR(__xludf.DUMMYFUNCTION("IFERROR(SUBSTITUTE(SUBSTITUTE(REGEXEXTRACT(A10901, ""[^-]+- [^-]+- [^-]+ - (.+?)\.jpg""), "".jpg"", """"), ""-"", "", ""), """")"),"")</f>
        <v/>
      </c>
      <c r="L10901" s="12"/>
      <c r="M10901" s="13"/>
      <c r="N10901" s="2"/>
      <c r="O10901" s="20"/>
      <c r="P10901" s="42"/>
      <c r="R10901" s="23"/>
    </row>
    <row r="10902" spans="1:18" ht="12.75">
      <c r="A10902" s="12"/>
      <c r="D10902" s="12"/>
      <c r="E10902" s="12"/>
      <c r="H10902" s="11" t="str">
        <f ca="1">IFERROR(__xludf.DUMMYFUNCTION("IFERROR(SUBSTITUTE(SUBSTITUTE(REGEXEXTRACT(A10902, ""[^-]+- [^-]+- [^-]+ - (.+?)\.jpg""), "".jpg"", """"), ""-"", "", ""), """")"),"")</f>
        <v/>
      </c>
      <c r="L10902" s="12"/>
      <c r="M10902" s="13"/>
      <c r="N10902" s="2"/>
      <c r="O10902" s="20"/>
      <c r="P10902" s="42"/>
      <c r="R10902" s="23"/>
    </row>
    <row r="10903" spans="1:18" ht="12.75">
      <c r="A10903" s="12"/>
      <c r="D10903" s="12"/>
      <c r="E10903" s="12"/>
      <c r="H10903" s="11" t="str">
        <f ca="1">IFERROR(__xludf.DUMMYFUNCTION("IFERROR(SUBSTITUTE(SUBSTITUTE(REGEXEXTRACT(A10903, ""[^-]+- [^-]+- [^-]+ - (.+?)\.jpg""), "".jpg"", """"), ""-"", "", ""), """")"),"")</f>
        <v/>
      </c>
      <c r="L10903" s="12"/>
      <c r="M10903" s="13"/>
      <c r="N10903" s="2"/>
      <c r="O10903" s="20"/>
      <c r="P10903" s="42"/>
      <c r="R10903" s="23"/>
    </row>
    <row r="10904" spans="1:18" ht="12.75">
      <c r="A10904" s="12"/>
      <c r="D10904" s="12"/>
      <c r="E10904" s="12"/>
      <c r="H10904" s="11" t="str">
        <f ca="1">IFERROR(__xludf.DUMMYFUNCTION("IFERROR(SUBSTITUTE(SUBSTITUTE(REGEXEXTRACT(A10904, ""[^-]+- [^-]+- [^-]+ - (.+?)\.jpg""), "".jpg"", """"), ""-"", "", ""), """")"),"")</f>
        <v/>
      </c>
      <c r="L10904" s="12"/>
      <c r="M10904" s="13"/>
      <c r="N10904" s="2"/>
      <c r="O10904" s="20"/>
      <c r="P10904" s="42"/>
      <c r="R10904" s="23"/>
    </row>
    <row r="10905" spans="1:18" ht="12.75">
      <c r="A10905" s="12"/>
      <c r="D10905" s="12"/>
      <c r="E10905" s="12"/>
      <c r="H10905" s="11" t="str">
        <f ca="1">IFERROR(__xludf.DUMMYFUNCTION("IFERROR(SUBSTITUTE(SUBSTITUTE(REGEXEXTRACT(A10905, ""[^-]+- [^-]+- [^-]+ - (.+?)\.jpg""), "".jpg"", """"), ""-"", "", ""), """")"),"")</f>
        <v/>
      </c>
      <c r="L10905" s="12"/>
      <c r="M10905" s="13"/>
      <c r="N10905" s="2"/>
      <c r="O10905" s="20"/>
      <c r="P10905" s="42"/>
      <c r="R10905" s="23"/>
    </row>
    <row r="10906" spans="1:18" ht="12.75">
      <c r="A10906" s="12"/>
      <c r="D10906" s="12"/>
      <c r="E10906" s="12"/>
      <c r="H10906" s="11" t="str">
        <f ca="1">IFERROR(__xludf.DUMMYFUNCTION("IFERROR(SUBSTITUTE(SUBSTITUTE(REGEXEXTRACT(A10906, ""[^-]+- [^-]+- [^-]+ - (.+?)\.jpg""), "".jpg"", """"), ""-"", "", ""), """")"),"")</f>
        <v/>
      </c>
      <c r="L10906" s="12"/>
      <c r="M10906" s="13"/>
      <c r="N10906" s="2"/>
      <c r="O10906" s="20"/>
      <c r="P10906" s="42"/>
      <c r="R10906" s="23"/>
    </row>
    <row r="10907" spans="1:18" ht="12.75">
      <c r="A10907" s="12"/>
      <c r="D10907" s="12"/>
      <c r="E10907" s="12"/>
      <c r="H10907" s="11" t="str">
        <f ca="1">IFERROR(__xludf.DUMMYFUNCTION("IFERROR(SUBSTITUTE(SUBSTITUTE(REGEXEXTRACT(A10907, ""[^-]+- [^-]+- [^-]+ - (.+?)\.jpg""), "".jpg"", """"), ""-"", "", ""), """")"),"")</f>
        <v/>
      </c>
      <c r="L10907" s="12"/>
      <c r="M10907" s="13"/>
      <c r="N10907" s="2"/>
      <c r="O10907" s="20"/>
      <c r="P10907" s="42"/>
      <c r="R10907" s="23"/>
    </row>
    <row r="10908" spans="1:18" ht="12.75">
      <c r="A10908" s="12"/>
      <c r="D10908" s="12"/>
      <c r="E10908" s="12"/>
      <c r="H10908" s="11" t="str">
        <f ca="1">IFERROR(__xludf.DUMMYFUNCTION("IFERROR(SUBSTITUTE(SUBSTITUTE(REGEXEXTRACT(A10908, ""[^-]+- [^-]+- [^-]+ - (.+?)\.jpg""), "".jpg"", """"), ""-"", "", ""), """")"),"")</f>
        <v/>
      </c>
      <c r="L10908" s="12"/>
      <c r="M10908" s="13"/>
      <c r="N10908" s="2"/>
      <c r="O10908" s="20"/>
      <c r="P10908" s="42"/>
      <c r="R10908" s="23"/>
    </row>
    <row r="10909" spans="1:18" ht="12.75">
      <c r="A10909" s="12"/>
      <c r="D10909" s="12"/>
      <c r="E10909" s="12"/>
      <c r="H10909" s="11" t="str">
        <f ca="1">IFERROR(__xludf.DUMMYFUNCTION("IFERROR(SUBSTITUTE(SUBSTITUTE(REGEXEXTRACT(A10909, ""[^-]+- [^-]+- [^-]+ - (.+?)\.jpg""), "".jpg"", """"), ""-"", "", ""), """")"),"")</f>
        <v/>
      </c>
      <c r="L10909" s="12"/>
      <c r="M10909" s="13"/>
      <c r="N10909" s="2"/>
      <c r="O10909" s="20"/>
      <c r="P10909" s="42"/>
      <c r="R10909" s="23"/>
    </row>
    <row r="10910" spans="1:18" ht="12.75">
      <c r="A10910" s="12"/>
      <c r="D10910" s="12"/>
      <c r="E10910" s="12"/>
      <c r="H10910" s="11" t="str">
        <f ca="1">IFERROR(__xludf.DUMMYFUNCTION("IFERROR(SUBSTITUTE(SUBSTITUTE(REGEXEXTRACT(A10910, ""[^-]+- [^-]+- [^-]+ - (.+?)\.jpg""), "".jpg"", """"), ""-"", "", ""), """")"),"")</f>
        <v/>
      </c>
      <c r="L10910" s="12"/>
      <c r="M10910" s="13"/>
      <c r="N10910" s="2"/>
      <c r="O10910" s="20"/>
      <c r="P10910" s="42"/>
      <c r="R10910" s="23"/>
    </row>
    <row r="10911" spans="1:18" ht="12.75">
      <c r="A10911" s="12"/>
      <c r="D10911" s="12"/>
      <c r="E10911" s="12"/>
      <c r="H10911" s="11" t="str">
        <f ca="1">IFERROR(__xludf.DUMMYFUNCTION("IFERROR(SUBSTITUTE(SUBSTITUTE(REGEXEXTRACT(A10911, ""[^-]+- [^-]+- [^-]+ - (.+?)\.jpg""), "".jpg"", """"), ""-"", "", ""), """")"),"")</f>
        <v/>
      </c>
      <c r="L10911" s="12"/>
      <c r="M10911" s="13"/>
      <c r="N10911" s="2"/>
      <c r="O10911" s="20"/>
      <c r="P10911" s="42"/>
      <c r="R10911" s="23"/>
    </row>
    <row r="10912" spans="1:18" ht="12.75">
      <c r="A10912" s="12"/>
      <c r="D10912" s="12"/>
      <c r="E10912" s="12"/>
      <c r="H10912" s="11" t="str">
        <f ca="1">IFERROR(__xludf.DUMMYFUNCTION("IFERROR(SUBSTITUTE(SUBSTITUTE(REGEXEXTRACT(A10912, ""[^-]+- [^-]+- [^-]+ - (.+?)\.jpg""), "".jpg"", """"), ""-"", "", ""), """")"),"")</f>
        <v/>
      </c>
      <c r="L10912" s="12"/>
      <c r="M10912" s="13"/>
      <c r="N10912" s="2"/>
      <c r="O10912" s="20"/>
      <c r="P10912" s="42"/>
      <c r="R10912" s="23"/>
    </row>
    <row r="10913" spans="1:18" ht="12.75">
      <c r="A10913" s="12"/>
      <c r="D10913" s="12"/>
      <c r="E10913" s="12"/>
      <c r="H10913" s="11" t="str">
        <f ca="1">IFERROR(__xludf.DUMMYFUNCTION("IFERROR(SUBSTITUTE(SUBSTITUTE(REGEXEXTRACT(A10913, ""[^-]+- [^-]+- [^-]+ - (.+?)\.jpg""), "".jpg"", """"), ""-"", "", ""), """")"),"")</f>
        <v/>
      </c>
      <c r="L10913" s="12"/>
      <c r="M10913" s="13"/>
      <c r="N10913" s="2"/>
      <c r="O10913" s="20"/>
      <c r="P10913" s="42"/>
      <c r="R10913" s="23"/>
    </row>
    <row r="10914" spans="1:18" ht="12.75">
      <c r="A10914" s="12"/>
      <c r="D10914" s="12"/>
      <c r="E10914" s="12"/>
      <c r="H10914" s="11" t="str">
        <f ca="1">IFERROR(__xludf.DUMMYFUNCTION("IFERROR(SUBSTITUTE(SUBSTITUTE(REGEXEXTRACT(A10914, ""[^-]+- [^-]+- [^-]+ - (.+?)\.jpg""), "".jpg"", """"), ""-"", "", ""), """")"),"")</f>
        <v/>
      </c>
      <c r="L10914" s="12"/>
      <c r="M10914" s="13"/>
      <c r="N10914" s="2"/>
      <c r="O10914" s="20"/>
      <c r="P10914" s="42"/>
      <c r="R10914" s="23"/>
    </row>
    <row r="10915" spans="1:18" ht="12.75">
      <c r="A10915" s="12"/>
      <c r="D10915" s="12"/>
      <c r="E10915" s="12"/>
      <c r="H10915" s="11" t="str">
        <f ca="1">IFERROR(__xludf.DUMMYFUNCTION("IFERROR(SUBSTITUTE(SUBSTITUTE(REGEXEXTRACT(A10915, ""[^-]+- [^-]+- [^-]+ - (.+?)\.jpg""), "".jpg"", """"), ""-"", "", ""), """")"),"")</f>
        <v/>
      </c>
      <c r="L10915" s="12"/>
      <c r="M10915" s="13"/>
      <c r="N10915" s="2"/>
      <c r="O10915" s="20"/>
      <c r="P10915" s="42"/>
      <c r="R10915" s="23"/>
    </row>
    <row r="10916" spans="1:18" ht="12.75">
      <c r="A10916" s="12"/>
      <c r="D10916" s="12"/>
      <c r="E10916" s="12"/>
      <c r="H10916" s="11" t="str">
        <f ca="1">IFERROR(__xludf.DUMMYFUNCTION("IFERROR(SUBSTITUTE(SUBSTITUTE(REGEXEXTRACT(A10916, ""[^-]+- [^-]+- [^-]+ - (.+?)\.jpg""), "".jpg"", """"), ""-"", "", ""), """")"),"")</f>
        <v/>
      </c>
      <c r="L10916" s="12"/>
      <c r="M10916" s="13"/>
      <c r="N10916" s="2"/>
      <c r="O10916" s="20"/>
      <c r="P10916" s="42"/>
      <c r="R10916" s="23"/>
    </row>
    <row r="10917" spans="1:18" ht="12.75">
      <c r="A10917" s="12"/>
      <c r="D10917" s="12"/>
      <c r="E10917" s="12"/>
      <c r="H10917" s="11" t="str">
        <f ca="1">IFERROR(__xludf.DUMMYFUNCTION("IFERROR(SUBSTITUTE(SUBSTITUTE(REGEXEXTRACT(A10917, ""[^-]+- [^-]+- [^-]+ - (.+?)\.jpg""), "".jpg"", """"), ""-"", "", ""), """")"),"")</f>
        <v/>
      </c>
      <c r="L10917" s="12"/>
      <c r="M10917" s="13"/>
      <c r="N10917" s="2"/>
      <c r="O10917" s="20"/>
      <c r="P10917" s="42"/>
      <c r="R10917" s="23"/>
    </row>
    <row r="10918" spans="1:18" ht="12.75">
      <c r="A10918" s="12"/>
      <c r="D10918" s="12"/>
      <c r="E10918" s="12"/>
      <c r="H10918" s="11" t="str">
        <f ca="1">IFERROR(__xludf.DUMMYFUNCTION("IFERROR(SUBSTITUTE(SUBSTITUTE(REGEXEXTRACT(A10918, ""[^-]+- [^-]+- [^-]+ - (.+?)\.jpg""), "".jpg"", """"), ""-"", "", ""), """")"),"")</f>
        <v/>
      </c>
      <c r="L10918" s="12"/>
      <c r="M10918" s="13"/>
      <c r="N10918" s="2"/>
      <c r="O10918" s="20"/>
      <c r="P10918" s="42"/>
      <c r="R10918" s="23"/>
    </row>
    <row r="10919" spans="1:18" ht="12.75">
      <c r="A10919" s="12"/>
      <c r="D10919" s="12"/>
      <c r="E10919" s="12"/>
      <c r="H10919" s="11" t="str">
        <f ca="1">IFERROR(__xludf.DUMMYFUNCTION("IFERROR(SUBSTITUTE(SUBSTITUTE(REGEXEXTRACT(A10919, ""[^-]+- [^-]+- [^-]+ - (.+?)\.jpg""), "".jpg"", """"), ""-"", "", ""), """")"),"")</f>
        <v/>
      </c>
      <c r="L10919" s="12"/>
      <c r="M10919" s="13"/>
      <c r="N10919" s="2"/>
      <c r="O10919" s="20"/>
      <c r="P10919" s="42"/>
      <c r="R10919" s="23"/>
    </row>
    <row r="10920" spans="1:18" ht="12.75">
      <c r="A10920" s="12"/>
      <c r="D10920" s="12"/>
      <c r="E10920" s="12"/>
      <c r="H10920" s="11" t="str">
        <f ca="1">IFERROR(__xludf.DUMMYFUNCTION("IFERROR(SUBSTITUTE(SUBSTITUTE(REGEXEXTRACT(A10920, ""[^-]+- [^-]+- [^-]+ - (.+?)\.jpg""), "".jpg"", """"), ""-"", "", ""), """")"),"")</f>
        <v/>
      </c>
      <c r="L10920" s="12"/>
      <c r="M10920" s="13"/>
      <c r="N10920" s="2"/>
      <c r="O10920" s="20"/>
      <c r="P10920" s="42"/>
      <c r="R10920" s="23"/>
    </row>
    <row r="10921" spans="1:18" ht="12.75">
      <c r="A10921" s="12"/>
      <c r="D10921" s="12"/>
      <c r="E10921" s="12"/>
      <c r="H10921" s="11" t="str">
        <f ca="1">IFERROR(__xludf.DUMMYFUNCTION("IFERROR(SUBSTITUTE(SUBSTITUTE(REGEXEXTRACT(A10921, ""[^-]+- [^-]+- [^-]+ - (.+?)\.jpg""), "".jpg"", """"), ""-"", "", ""), """")"),"")</f>
        <v/>
      </c>
      <c r="L10921" s="12"/>
      <c r="M10921" s="13"/>
      <c r="N10921" s="2"/>
      <c r="O10921" s="20"/>
      <c r="P10921" s="42"/>
      <c r="R10921" s="23"/>
    </row>
    <row r="10922" spans="1:18" ht="12.75">
      <c r="A10922" s="12"/>
      <c r="D10922" s="12"/>
      <c r="E10922" s="12"/>
      <c r="H10922" s="11" t="str">
        <f ca="1">IFERROR(__xludf.DUMMYFUNCTION("IFERROR(SUBSTITUTE(SUBSTITUTE(REGEXEXTRACT(A10922, ""[^-]+- [^-]+- [^-]+ - (.+?)\.jpg""), "".jpg"", """"), ""-"", "", ""), """")"),"")</f>
        <v/>
      </c>
      <c r="L10922" s="12"/>
      <c r="M10922" s="13"/>
      <c r="N10922" s="2"/>
      <c r="O10922" s="20"/>
      <c r="P10922" s="42"/>
      <c r="R10922" s="23"/>
    </row>
    <row r="10923" spans="1:18" ht="12.75">
      <c r="A10923" s="12"/>
      <c r="D10923" s="12"/>
      <c r="E10923" s="12"/>
      <c r="H10923" s="11" t="str">
        <f ca="1">IFERROR(__xludf.DUMMYFUNCTION("IFERROR(SUBSTITUTE(SUBSTITUTE(REGEXEXTRACT(A10923, ""[^-]+- [^-]+- [^-]+ - (.+?)\.jpg""), "".jpg"", """"), ""-"", "", ""), """")"),"")</f>
        <v/>
      </c>
      <c r="L10923" s="12"/>
      <c r="M10923" s="13"/>
      <c r="N10923" s="2"/>
      <c r="O10923" s="20"/>
      <c r="P10923" s="42"/>
      <c r="R10923" s="23"/>
    </row>
    <row r="10924" spans="1:18" ht="12.75">
      <c r="A10924" s="12"/>
      <c r="D10924" s="12"/>
      <c r="E10924" s="12"/>
      <c r="H10924" s="11" t="str">
        <f ca="1">IFERROR(__xludf.DUMMYFUNCTION("IFERROR(SUBSTITUTE(SUBSTITUTE(REGEXEXTRACT(A10924, ""[^-]+- [^-]+- [^-]+ - (.+?)\.jpg""), "".jpg"", """"), ""-"", "", ""), """")"),"")</f>
        <v/>
      </c>
      <c r="L10924" s="12"/>
      <c r="M10924" s="13"/>
      <c r="N10924" s="2"/>
      <c r="O10924" s="20"/>
      <c r="P10924" s="42"/>
      <c r="R10924" s="23"/>
    </row>
    <row r="10925" spans="1:18" ht="12.75">
      <c r="A10925" s="12"/>
      <c r="D10925" s="12"/>
      <c r="E10925" s="12"/>
      <c r="H10925" s="11" t="str">
        <f ca="1">IFERROR(__xludf.DUMMYFUNCTION("IFERROR(SUBSTITUTE(SUBSTITUTE(REGEXEXTRACT(A10925, ""[^-]+- [^-]+- [^-]+ - (.+?)\.jpg""), "".jpg"", """"), ""-"", "", ""), """")"),"")</f>
        <v/>
      </c>
      <c r="L10925" s="12"/>
      <c r="M10925" s="13"/>
      <c r="N10925" s="2"/>
      <c r="O10925" s="20"/>
      <c r="P10925" s="42"/>
      <c r="R10925" s="23"/>
    </row>
    <row r="10926" spans="1:18" ht="12.75">
      <c r="A10926" s="12"/>
      <c r="D10926" s="12"/>
      <c r="E10926" s="12"/>
      <c r="H10926" s="11" t="str">
        <f ca="1">IFERROR(__xludf.DUMMYFUNCTION("IFERROR(SUBSTITUTE(SUBSTITUTE(REGEXEXTRACT(A10926, ""[^-]+- [^-]+- [^-]+ - (.+?)\.jpg""), "".jpg"", """"), ""-"", "", ""), """")"),"")</f>
        <v/>
      </c>
      <c r="L10926" s="12"/>
      <c r="M10926" s="13"/>
      <c r="N10926" s="2"/>
      <c r="O10926" s="20"/>
      <c r="P10926" s="42"/>
      <c r="R10926" s="23"/>
    </row>
    <row r="10927" spans="1:18" ht="12.75">
      <c r="A10927" s="12"/>
      <c r="D10927" s="12"/>
      <c r="E10927" s="12"/>
      <c r="H10927" s="11" t="str">
        <f ca="1">IFERROR(__xludf.DUMMYFUNCTION("IFERROR(SUBSTITUTE(SUBSTITUTE(REGEXEXTRACT(A10927, ""[^-]+- [^-]+- [^-]+ - (.+?)\.jpg""), "".jpg"", """"), ""-"", "", ""), """")"),"")</f>
        <v/>
      </c>
      <c r="L10927" s="12"/>
      <c r="M10927" s="13"/>
      <c r="N10927" s="2"/>
      <c r="O10927" s="20"/>
      <c r="P10927" s="42"/>
      <c r="R10927" s="23"/>
    </row>
    <row r="10928" spans="1:18" ht="12.75">
      <c r="A10928" s="12"/>
      <c r="D10928" s="12"/>
      <c r="E10928" s="12"/>
      <c r="H10928" s="11" t="str">
        <f ca="1">IFERROR(__xludf.DUMMYFUNCTION("IFERROR(SUBSTITUTE(SUBSTITUTE(REGEXEXTRACT(A10928, ""[^-]+- [^-]+- [^-]+ - (.+?)\.jpg""), "".jpg"", """"), ""-"", "", ""), """")"),"")</f>
        <v/>
      </c>
      <c r="L10928" s="12"/>
      <c r="M10928" s="13"/>
      <c r="N10928" s="2"/>
      <c r="O10928" s="20"/>
      <c r="P10928" s="42"/>
      <c r="R10928" s="23"/>
    </row>
    <row r="10929" spans="1:18" ht="12.75">
      <c r="A10929" s="12"/>
      <c r="D10929" s="12"/>
      <c r="E10929" s="12"/>
      <c r="H10929" s="11" t="str">
        <f ca="1">IFERROR(__xludf.DUMMYFUNCTION("IFERROR(SUBSTITUTE(SUBSTITUTE(REGEXEXTRACT(A10929, ""[^-]+- [^-]+- [^-]+ - (.+?)\.jpg""), "".jpg"", """"), ""-"", "", ""), """")"),"")</f>
        <v/>
      </c>
      <c r="L10929" s="12"/>
      <c r="M10929" s="13"/>
      <c r="N10929" s="2"/>
      <c r="O10929" s="20"/>
      <c r="P10929" s="42"/>
      <c r="R10929" s="23"/>
    </row>
    <row r="10930" spans="1:18" ht="12.75">
      <c r="A10930" s="12"/>
      <c r="D10930" s="12"/>
      <c r="E10930" s="12"/>
      <c r="H10930" s="11" t="str">
        <f ca="1">IFERROR(__xludf.DUMMYFUNCTION("IFERROR(SUBSTITUTE(SUBSTITUTE(REGEXEXTRACT(A10930, ""[^-]+- [^-]+- [^-]+ - (.+?)\.jpg""), "".jpg"", """"), ""-"", "", ""), """")"),"")</f>
        <v/>
      </c>
      <c r="L10930" s="12"/>
      <c r="M10930" s="13"/>
      <c r="N10930" s="2"/>
      <c r="O10930" s="20"/>
      <c r="P10930" s="42"/>
      <c r="R10930" s="23"/>
    </row>
    <row r="10931" spans="1:18" ht="12.75">
      <c r="A10931" s="12"/>
      <c r="D10931" s="12"/>
      <c r="E10931" s="12"/>
      <c r="H10931" s="11" t="str">
        <f ca="1">IFERROR(__xludf.DUMMYFUNCTION("IFERROR(SUBSTITUTE(SUBSTITUTE(REGEXEXTRACT(A10931, ""[^-]+- [^-]+- [^-]+ - (.+?)\.jpg""), "".jpg"", """"), ""-"", "", ""), """")"),"")</f>
        <v/>
      </c>
      <c r="L10931" s="12"/>
      <c r="M10931" s="13"/>
      <c r="N10931" s="2"/>
      <c r="O10931" s="20"/>
      <c r="P10931" s="42"/>
      <c r="R10931" s="23"/>
    </row>
    <row r="10932" spans="1:18" ht="12.75">
      <c r="A10932" s="12"/>
      <c r="D10932" s="12"/>
      <c r="E10932" s="12"/>
      <c r="H10932" s="11" t="str">
        <f ca="1">IFERROR(__xludf.DUMMYFUNCTION("IFERROR(SUBSTITUTE(SUBSTITUTE(REGEXEXTRACT(A10932, ""[^-]+- [^-]+- [^-]+ - (.+?)\.jpg""), "".jpg"", """"), ""-"", "", ""), """")"),"")</f>
        <v/>
      </c>
      <c r="L10932" s="12"/>
      <c r="M10932" s="13"/>
      <c r="N10932" s="2"/>
      <c r="O10932" s="20"/>
      <c r="P10932" s="42"/>
      <c r="R10932" s="23"/>
    </row>
    <row r="10933" spans="1:18" ht="12.75">
      <c r="A10933" s="12"/>
      <c r="D10933" s="12"/>
      <c r="E10933" s="12"/>
      <c r="H10933" s="11" t="str">
        <f ca="1">IFERROR(__xludf.DUMMYFUNCTION("IFERROR(SUBSTITUTE(SUBSTITUTE(REGEXEXTRACT(A10933, ""[^-]+- [^-]+- [^-]+ - (.+?)\.jpg""), "".jpg"", """"), ""-"", "", ""), """")"),"")</f>
        <v/>
      </c>
      <c r="L10933" s="12"/>
      <c r="M10933" s="13"/>
      <c r="N10933" s="2"/>
      <c r="O10933" s="20"/>
      <c r="P10933" s="42"/>
      <c r="R10933" s="23"/>
    </row>
    <row r="10934" spans="1:18" ht="12.75">
      <c r="A10934" s="12"/>
      <c r="D10934" s="12"/>
      <c r="E10934" s="12"/>
      <c r="H10934" s="11" t="str">
        <f ca="1">IFERROR(__xludf.DUMMYFUNCTION("IFERROR(SUBSTITUTE(SUBSTITUTE(REGEXEXTRACT(A10934, ""[^-]+- [^-]+- [^-]+ - (.+?)\.jpg""), "".jpg"", """"), ""-"", "", ""), """")"),"")</f>
        <v/>
      </c>
      <c r="L10934" s="12"/>
      <c r="M10934" s="13"/>
      <c r="N10934" s="2"/>
      <c r="O10934" s="20"/>
      <c r="P10934" s="42"/>
      <c r="R10934" s="23"/>
    </row>
    <row r="10935" spans="1:18" ht="12.75">
      <c r="A10935" s="12"/>
      <c r="D10935" s="12"/>
      <c r="E10935" s="12"/>
      <c r="H10935" s="11" t="str">
        <f ca="1">IFERROR(__xludf.DUMMYFUNCTION("IFERROR(SUBSTITUTE(SUBSTITUTE(REGEXEXTRACT(A10935, ""[^-]+- [^-]+- [^-]+ - (.+?)\.jpg""), "".jpg"", """"), ""-"", "", ""), """")"),"")</f>
        <v/>
      </c>
      <c r="L10935" s="12"/>
      <c r="M10935" s="13"/>
      <c r="N10935" s="2"/>
      <c r="O10935" s="20"/>
      <c r="P10935" s="42"/>
      <c r="R10935" s="23"/>
    </row>
    <row r="10936" spans="1:18" ht="12.75">
      <c r="A10936" s="12"/>
      <c r="D10936" s="12"/>
      <c r="E10936" s="12"/>
      <c r="H10936" s="11" t="str">
        <f ca="1">IFERROR(__xludf.DUMMYFUNCTION("IFERROR(SUBSTITUTE(SUBSTITUTE(REGEXEXTRACT(A10936, ""[^-]+- [^-]+- [^-]+ - (.+?)\.jpg""), "".jpg"", """"), ""-"", "", ""), """")"),"")</f>
        <v/>
      </c>
      <c r="L10936" s="12"/>
      <c r="M10936" s="13"/>
      <c r="N10936" s="2"/>
      <c r="O10936" s="20"/>
      <c r="P10936" s="42"/>
      <c r="R10936" s="23"/>
    </row>
    <row r="10937" spans="1:18" ht="12.75">
      <c r="A10937" s="12"/>
      <c r="D10937" s="12"/>
      <c r="E10937" s="12"/>
      <c r="H10937" s="11" t="str">
        <f ca="1">IFERROR(__xludf.DUMMYFUNCTION("IFERROR(SUBSTITUTE(SUBSTITUTE(REGEXEXTRACT(A10937, ""[^-]+- [^-]+- [^-]+ - (.+?)\.jpg""), "".jpg"", """"), ""-"", "", ""), """")"),"")</f>
        <v/>
      </c>
      <c r="L10937" s="12"/>
      <c r="M10937" s="13"/>
      <c r="N10937" s="2"/>
      <c r="O10937" s="20"/>
      <c r="P10937" s="42"/>
      <c r="R10937" s="23"/>
    </row>
    <row r="10938" spans="1:18" ht="12.75">
      <c r="A10938" s="12"/>
      <c r="D10938" s="12"/>
      <c r="E10938" s="12"/>
      <c r="H10938" s="11" t="str">
        <f ca="1">IFERROR(__xludf.DUMMYFUNCTION("IFERROR(SUBSTITUTE(SUBSTITUTE(REGEXEXTRACT(A10938, ""[^-]+- [^-]+- [^-]+ - (.+?)\.jpg""), "".jpg"", """"), ""-"", "", ""), """")"),"")</f>
        <v/>
      </c>
      <c r="L10938" s="12"/>
      <c r="M10938" s="13"/>
      <c r="N10938" s="2"/>
      <c r="O10938" s="20"/>
      <c r="P10938" s="42"/>
      <c r="R10938" s="23"/>
    </row>
    <row r="10939" spans="1:18" ht="12.75">
      <c r="A10939" s="12"/>
      <c r="D10939" s="12"/>
      <c r="E10939" s="12"/>
      <c r="H10939" s="11" t="str">
        <f ca="1">IFERROR(__xludf.DUMMYFUNCTION("IFERROR(SUBSTITUTE(SUBSTITUTE(REGEXEXTRACT(A10939, ""[^-]+- [^-]+- [^-]+ - (.+?)\.jpg""), "".jpg"", """"), ""-"", "", ""), """")"),"")</f>
        <v/>
      </c>
      <c r="L10939" s="12"/>
      <c r="M10939" s="13"/>
      <c r="N10939" s="2"/>
      <c r="O10939" s="20"/>
      <c r="P10939" s="42"/>
      <c r="R10939" s="23"/>
    </row>
    <row r="10940" spans="1:18" ht="12.75">
      <c r="A10940" s="12"/>
      <c r="D10940" s="12"/>
      <c r="E10940" s="12"/>
      <c r="H10940" s="11" t="str">
        <f ca="1">IFERROR(__xludf.DUMMYFUNCTION("IFERROR(SUBSTITUTE(SUBSTITUTE(REGEXEXTRACT(A10940, ""[^-]+- [^-]+- [^-]+ - (.+?)\.jpg""), "".jpg"", """"), ""-"", "", ""), """")"),"")</f>
        <v/>
      </c>
      <c r="L10940" s="12"/>
      <c r="M10940" s="13"/>
      <c r="N10940" s="2"/>
      <c r="O10940" s="20"/>
      <c r="P10940" s="42"/>
      <c r="R10940" s="23"/>
    </row>
    <row r="10941" spans="1:18" ht="12.75">
      <c r="A10941" s="12"/>
      <c r="D10941" s="12"/>
      <c r="E10941" s="12"/>
      <c r="H10941" s="11" t="str">
        <f ca="1">IFERROR(__xludf.DUMMYFUNCTION("IFERROR(SUBSTITUTE(SUBSTITUTE(REGEXEXTRACT(A10941, ""[^-]+- [^-]+- [^-]+ - (.+?)\.jpg""), "".jpg"", """"), ""-"", "", ""), """")"),"")</f>
        <v/>
      </c>
      <c r="L10941" s="12"/>
      <c r="M10941" s="13"/>
      <c r="N10941" s="2"/>
      <c r="O10941" s="20"/>
      <c r="P10941" s="42"/>
      <c r="R10941" s="23"/>
    </row>
    <row r="10942" spans="1:18" ht="12.75">
      <c r="A10942" s="12"/>
      <c r="D10942" s="12"/>
      <c r="E10942" s="12"/>
      <c r="H10942" s="11" t="str">
        <f ca="1">IFERROR(__xludf.DUMMYFUNCTION("IFERROR(SUBSTITUTE(SUBSTITUTE(REGEXEXTRACT(A10942, ""[^-]+- [^-]+- [^-]+ - (.+?)\.jpg""), "".jpg"", """"), ""-"", "", ""), """")"),"")</f>
        <v/>
      </c>
      <c r="L10942" s="12"/>
      <c r="M10942" s="13"/>
      <c r="N10942" s="2"/>
      <c r="O10942" s="20"/>
      <c r="P10942" s="42"/>
      <c r="R10942" s="23"/>
    </row>
    <row r="10943" spans="1:18" ht="12.75">
      <c r="A10943" s="12"/>
      <c r="D10943" s="12"/>
      <c r="E10943" s="12"/>
      <c r="H10943" s="11" t="str">
        <f ca="1">IFERROR(__xludf.DUMMYFUNCTION("IFERROR(SUBSTITUTE(SUBSTITUTE(REGEXEXTRACT(A10943, ""[^-]+- [^-]+- [^-]+ - (.+?)\.jpg""), "".jpg"", """"), ""-"", "", ""), """")"),"")</f>
        <v/>
      </c>
      <c r="L10943" s="12"/>
      <c r="M10943" s="13"/>
      <c r="N10943" s="2"/>
      <c r="O10943" s="20"/>
      <c r="P10943" s="42"/>
      <c r="R10943" s="23"/>
    </row>
    <row r="10944" spans="1:18" ht="12.75">
      <c r="A10944" s="12"/>
      <c r="D10944" s="12"/>
      <c r="E10944" s="12"/>
      <c r="H10944" s="11" t="str">
        <f ca="1">IFERROR(__xludf.DUMMYFUNCTION("IFERROR(SUBSTITUTE(SUBSTITUTE(REGEXEXTRACT(A10944, ""[^-]+- [^-]+- [^-]+ - (.+?)\.jpg""), "".jpg"", """"), ""-"", "", ""), """")"),"")</f>
        <v/>
      </c>
      <c r="L10944" s="12"/>
      <c r="M10944" s="13"/>
      <c r="N10944" s="2"/>
      <c r="O10944" s="20"/>
      <c r="P10944" s="42"/>
      <c r="R10944" s="23"/>
    </row>
    <row r="10945" spans="1:18" ht="12.75">
      <c r="A10945" s="12"/>
      <c r="D10945" s="12"/>
      <c r="E10945" s="12"/>
      <c r="H10945" s="11" t="str">
        <f ca="1">IFERROR(__xludf.DUMMYFUNCTION("IFERROR(SUBSTITUTE(SUBSTITUTE(REGEXEXTRACT(A10945, ""[^-]+- [^-]+- [^-]+ - (.+?)\.jpg""), "".jpg"", """"), ""-"", "", ""), """")"),"")</f>
        <v/>
      </c>
      <c r="L10945" s="12"/>
      <c r="M10945" s="13"/>
      <c r="N10945" s="2"/>
      <c r="O10945" s="20"/>
      <c r="P10945" s="42"/>
      <c r="R10945" s="23"/>
    </row>
    <row r="10946" spans="1:18" ht="12.75">
      <c r="A10946" s="12"/>
      <c r="D10946" s="12"/>
      <c r="E10946" s="12"/>
      <c r="H10946" s="11" t="str">
        <f ca="1">IFERROR(__xludf.DUMMYFUNCTION("IFERROR(SUBSTITUTE(SUBSTITUTE(REGEXEXTRACT(A10946, ""[^-]+- [^-]+- [^-]+ - (.+?)\.jpg""), "".jpg"", """"), ""-"", "", ""), """")"),"")</f>
        <v/>
      </c>
      <c r="L10946" s="12"/>
      <c r="M10946" s="13"/>
      <c r="N10946" s="2"/>
      <c r="O10946" s="20"/>
      <c r="P10946" s="42"/>
      <c r="R10946" s="23"/>
    </row>
    <row r="10947" spans="1:18" ht="12.75">
      <c r="A10947" s="12"/>
      <c r="D10947" s="12"/>
      <c r="E10947" s="12"/>
      <c r="H10947" s="11" t="str">
        <f ca="1">IFERROR(__xludf.DUMMYFUNCTION("IFERROR(SUBSTITUTE(SUBSTITUTE(REGEXEXTRACT(A10947, ""[^-]+- [^-]+- [^-]+ - (.+?)\.jpg""), "".jpg"", """"), ""-"", "", ""), """")"),"")</f>
        <v/>
      </c>
      <c r="L10947" s="12"/>
      <c r="M10947" s="13"/>
      <c r="N10947" s="2"/>
      <c r="O10947" s="20"/>
      <c r="P10947" s="42"/>
      <c r="R10947" s="23"/>
    </row>
    <row r="10948" spans="1:18" ht="12.75">
      <c r="A10948" s="12"/>
      <c r="D10948" s="12"/>
      <c r="E10948" s="12"/>
      <c r="H10948" s="11" t="str">
        <f ca="1">IFERROR(__xludf.DUMMYFUNCTION("IFERROR(SUBSTITUTE(SUBSTITUTE(REGEXEXTRACT(A10948, ""[^-]+- [^-]+- [^-]+ - (.+?)\.jpg""), "".jpg"", """"), ""-"", "", ""), """")"),"")</f>
        <v/>
      </c>
      <c r="L10948" s="12"/>
      <c r="M10948" s="13"/>
      <c r="N10948" s="2"/>
      <c r="O10948" s="20"/>
      <c r="P10948" s="42"/>
      <c r="R10948" s="23"/>
    </row>
    <row r="10949" spans="1:18" ht="12.75">
      <c r="A10949" s="12"/>
      <c r="D10949" s="12"/>
      <c r="E10949" s="12"/>
      <c r="H10949" s="11" t="str">
        <f ca="1">IFERROR(__xludf.DUMMYFUNCTION("IFERROR(SUBSTITUTE(SUBSTITUTE(REGEXEXTRACT(A10949, ""[^-]+- [^-]+- [^-]+ - (.+?)\.jpg""), "".jpg"", """"), ""-"", "", ""), """")"),"")</f>
        <v/>
      </c>
      <c r="L10949" s="12"/>
      <c r="M10949" s="13"/>
      <c r="N10949" s="2"/>
      <c r="O10949" s="20"/>
      <c r="P10949" s="42"/>
      <c r="R10949" s="23"/>
    </row>
    <row r="10950" spans="1:18" ht="12.75">
      <c r="A10950" s="12"/>
      <c r="D10950" s="12"/>
      <c r="E10950" s="12"/>
      <c r="H10950" s="11" t="str">
        <f ca="1">IFERROR(__xludf.DUMMYFUNCTION("IFERROR(SUBSTITUTE(SUBSTITUTE(REGEXEXTRACT(A10950, ""[^-]+- [^-]+- [^-]+ - (.+?)\.jpg""), "".jpg"", """"), ""-"", "", ""), """")"),"")</f>
        <v/>
      </c>
      <c r="L10950" s="12"/>
      <c r="M10950" s="13"/>
      <c r="N10950" s="2"/>
      <c r="O10950" s="20"/>
      <c r="P10950" s="42"/>
      <c r="R10950" s="23"/>
    </row>
    <row r="10951" spans="1:18" ht="12.75">
      <c r="A10951" s="12"/>
      <c r="D10951" s="12"/>
      <c r="E10951" s="12"/>
      <c r="H10951" s="11" t="str">
        <f ca="1">IFERROR(__xludf.DUMMYFUNCTION("IFERROR(SUBSTITUTE(SUBSTITUTE(REGEXEXTRACT(A10951, ""[^-]+- [^-]+- [^-]+ - (.+?)\.jpg""), "".jpg"", """"), ""-"", "", ""), """")"),"")</f>
        <v/>
      </c>
      <c r="L10951" s="12"/>
      <c r="M10951" s="13"/>
      <c r="N10951" s="2"/>
      <c r="O10951" s="20"/>
      <c r="P10951" s="42"/>
      <c r="R10951" s="23"/>
    </row>
    <row r="10952" spans="1:18" ht="12.75">
      <c r="A10952" s="12"/>
      <c r="D10952" s="12"/>
      <c r="E10952" s="12"/>
      <c r="H10952" s="11" t="str">
        <f ca="1">IFERROR(__xludf.DUMMYFUNCTION("IFERROR(SUBSTITUTE(SUBSTITUTE(REGEXEXTRACT(A10952, ""[^-]+- [^-]+- [^-]+ - (.+?)\.jpg""), "".jpg"", """"), ""-"", "", ""), """")"),"")</f>
        <v/>
      </c>
      <c r="L10952" s="12"/>
      <c r="M10952" s="13"/>
      <c r="N10952" s="2"/>
      <c r="O10952" s="20"/>
      <c r="P10952" s="42"/>
      <c r="R10952" s="23"/>
    </row>
    <row r="10953" spans="1:18" ht="12.75">
      <c r="A10953" s="12"/>
      <c r="D10953" s="12"/>
      <c r="E10953" s="12"/>
      <c r="H10953" s="11" t="str">
        <f ca="1">IFERROR(__xludf.DUMMYFUNCTION("IFERROR(SUBSTITUTE(SUBSTITUTE(REGEXEXTRACT(A10953, ""[^-]+- [^-]+- [^-]+ - (.+?)\.jpg""), "".jpg"", """"), ""-"", "", ""), """")"),"")</f>
        <v/>
      </c>
      <c r="L10953" s="12"/>
      <c r="M10953" s="13"/>
      <c r="N10953" s="2"/>
      <c r="O10953" s="20"/>
      <c r="P10953" s="42"/>
      <c r="R10953" s="23"/>
    </row>
    <row r="10954" spans="1:18" ht="12.75">
      <c r="A10954" s="12"/>
      <c r="D10954" s="12"/>
      <c r="E10954" s="12"/>
      <c r="H10954" s="11" t="str">
        <f ca="1">IFERROR(__xludf.DUMMYFUNCTION("IFERROR(SUBSTITUTE(SUBSTITUTE(REGEXEXTRACT(A10954, ""[^-]+- [^-]+- [^-]+ - (.+?)\.jpg""), "".jpg"", """"), ""-"", "", ""), """")"),"")</f>
        <v/>
      </c>
      <c r="L10954" s="12"/>
      <c r="M10954" s="13"/>
      <c r="N10954" s="2"/>
      <c r="O10954" s="20"/>
      <c r="P10954" s="42"/>
      <c r="R10954" s="23"/>
    </row>
    <row r="10955" spans="1:18" ht="12.75">
      <c r="A10955" s="12"/>
      <c r="D10955" s="12"/>
      <c r="E10955" s="12"/>
      <c r="H10955" s="11" t="str">
        <f ca="1">IFERROR(__xludf.DUMMYFUNCTION("IFERROR(SUBSTITUTE(SUBSTITUTE(REGEXEXTRACT(A10955, ""[^-]+- [^-]+- [^-]+ - (.+?)\.jpg""), "".jpg"", """"), ""-"", "", ""), """")"),"")</f>
        <v/>
      </c>
      <c r="L10955" s="12"/>
      <c r="M10955" s="13"/>
      <c r="N10955" s="2"/>
      <c r="O10955" s="20"/>
      <c r="P10955" s="42"/>
      <c r="R10955" s="23"/>
    </row>
    <row r="10956" spans="1:18" ht="12.75">
      <c r="A10956" s="12"/>
      <c r="D10956" s="12"/>
      <c r="E10956" s="12"/>
      <c r="H10956" s="11" t="str">
        <f ca="1">IFERROR(__xludf.DUMMYFUNCTION("IFERROR(SUBSTITUTE(SUBSTITUTE(REGEXEXTRACT(A10956, ""[^-]+- [^-]+- [^-]+ - (.+?)\.jpg""), "".jpg"", """"), ""-"", "", ""), """")"),"")</f>
        <v/>
      </c>
      <c r="L10956" s="12"/>
      <c r="M10956" s="13"/>
      <c r="N10956" s="2"/>
      <c r="O10956" s="20"/>
      <c r="P10956" s="42"/>
      <c r="R10956" s="23"/>
    </row>
    <row r="10957" spans="1:18" ht="12.75">
      <c r="A10957" s="12"/>
      <c r="D10957" s="12"/>
      <c r="E10957" s="12"/>
      <c r="H10957" s="11" t="str">
        <f ca="1">IFERROR(__xludf.DUMMYFUNCTION("IFERROR(SUBSTITUTE(SUBSTITUTE(REGEXEXTRACT(A10957, ""[^-]+- [^-]+- [^-]+ - (.+?)\.jpg""), "".jpg"", """"), ""-"", "", ""), """")"),"")</f>
        <v/>
      </c>
      <c r="L10957" s="12"/>
      <c r="M10957" s="13"/>
      <c r="N10957" s="2"/>
      <c r="O10957" s="20"/>
      <c r="P10957" s="42"/>
      <c r="R10957" s="23"/>
    </row>
    <row r="10958" spans="1:18" ht="12.75">
      <c r="A10958" s="12"/>
      <c r="D10958" s="12"/>
      <c r="E10958" s="12"/>
      <c r="H10958" s="11" t="str">
        <f ca="1">IFERROR(__xludf.DUMMYFUNCTION("IFERROR(SUBSTITUTE(SUBSTITUTE(REGEXEXTRACT(A10958, ""[^-]+- [^-]+- [^-]+ - (.+?)\.jpg""), "".jpg"", """"), ""-"", "", ""), """")"),"")</f>
        <v/>
      </c>
      <c r="L10958" s="12"/>
      <c r="M10958" s="13"/>
      <c r="N10958" s="2"/>
      <c r="O10958" s="20"/>
      <c r="P10958" s="42"/>
      <c r="R10958" s="23"/>
    </row>
    <row r="10959" spans="1:18" ht="12.75">
      <c r="A10959" s="12"/>
      <c r="D10959" s="12"/>
      <c r="E10959" s="12"/>
      <c r="H10959" s="11" t="str">
        <f ca="1">IFERROR(__xludf.DUMMYFUNCTION("IFERROR(SUBSTITUTE(SUBSTITUTE(REGEXEXTRACT(A10959, ""[^-]+- [^-]+- [^-]+ - (.+?)\.jpg""), "".jpg"", """"), ""-"", "", ""), """")"),"")</f>
        <v/>
      </c>
      <c r="L10959" s="12"/>
      <c r="M10959" s="13"/>
      <c r="N10959" s="2"/>
      <c r="O10959" s="20"/>
      <c r="P10959" s="42"/>
      <c r="R10959" s="23"/>
    </row>
    <row r="10960" spans="1:18" ht="12.75">
      <c r="A10960" s="12"/>
      <c r="D10960" s="12"/>
      <c r="E10960" s="12"/>
      <c r="H10960" s="11" t="str">
        <f ca="1">IFERROR(__xludf.DUMMYFUNCTION("IFERROR(SUBSTITUTE(SUBSTITUTE(REGEXEXTRACT(A10960, ""[^-]+- [^-]+- [^-]+ - (.+?)\.jpg""), "".jpg"", """"), ""-"", "", ""), """")"),"")</f>
        <v/>
      </c>
      <c r="L10960" s="12"/>
      <c r="M10960" s="13"/>
      <c r="N10960" s="2"/>
      <c r="O10960" s="20"/>
      <c r="P10960" s="42"/>
      <c r="R10960" s="23"/>
    </row>
    <row r="10961" spans="1:18" ht="12.75">
      <c r="A10961" s="12"/>
      <c r="D10961" s="12"/>
      <c r="E10961" s="12"/>
      <c r="H10961" s="11" t="str">
        <f ca="1">IFERROR(__xludf.DUMMYFUNCTION("IFERROR(SUBSTITUTE(SUBSTITUTE(REGEXEXTRACT(A10961, ""[^-]+- [^-]+- [^-]+ - (.+?)\.jpg""), "".jpg"", """"), ""-"", "", ""), """")"),"")</f>
        <v/>
      </c>
      <c r="L10961" s="12"/>
      <c r="M10961" s="13"/>
      <c r="N10961" s="2"/>
      <c r="O10961" s="20"/>
      <c r="P10961" s="42"/>
      <c r="R10961" s="23"/>
    </row>
    <row r="10962" spans="1:18" ht="12.75">
      <c r="A10962" s="12"/>
      <c r="D10962" s="12"/>
      <c r="E10962" s="12"/>
      <c r="H10962" s="11" t="str">
        <f ca="1">IFERROR(__xludf.DUMMYFUNCTION("IFERROR(SUBSTITUTE(SUBSTITUTE(REGEXEXTRACT(A10962, ""[^-]+- [^-]+- [^-]+ - (.+?)\.jpg""), "".jpg"", """"), ""-"", "", ""), """")"),"")</f>
        <v/>
      </c>
      <c r="L10962" s="12"/>
      <c r="M10962" s="13"/>
      <c r="N10962" s="2"/>
      <c r="O10962" s="20"/>
      <c r="P10962" s="42"/>
      <c r="R10962" s="23"/>
    </row>
    <row r="10963" spans="1:18" ht="12.75">
      <c r="A10963" s="12"/>
      <c r="D10963" s="12"/>
      <c r="E10963" s="12"/>
      <c r="H10963" s="11" t="str">
        <f ca="1">IFERROR(__xludf.DUMMYFUNCTION("IFERROR(SUBSTITUTE(SUBSTITUTE(REGEXEXTRACT(A10963, ""[^-]+- [^-]+- [^-]+ - (.+?)\.jpg""), "".jpg"", """"), ""-"", "", ""), """")"),"")</f>
        <v/>
      </c>
      <c r="L10963" s="12"/>
      <c r="M10963" s="13"/>
      <c r="N10963" s="2"/>
      <c r="O10963" s="20"/>
      <c r="P10963" s="42"/>
      <c r="R10963" s="23"/>
    </row>
    <row r="10964" spans="1:18" ht="12.75">
      <c r="A10964" s="12"/>
      <c r="D10964" s="12"/>
      <c r="E10964" s="12"/>
      <c r="H10964" s="11" t="str">
        <f ca="1">IFERROR(__xludf.DUMMYFUNCTION("IFERROR(SUBSTITUTE(SUBSTITUTE(REGEXEXTRACT(A10964, ""[^-]+- [^-]+- [^-]+ - (.+?)\.jpg""), "".jpg"", """"), ""-"", "", ""), """")"),"")</f>
        <v/>
      </c>
      <c r="L10964" s="12"/>
      <c r="M10964" s="13"/>
      <c r="N10964" s="2"/>
      <c r="O10964" s="20"/>
      <c r="P10964" s="42"/>
      <c r="R10964" s="23"/>
    </row>
    <row r="10965" spans="1:18" ht="12.75">
      <c r="A10965" s="12"/>
      <c r="D10965" s="12"/>
      <c r="E10965" s="12"/>
      <c r="H10965" s="11" t="str">
        <f ca="1">IFERROR(__xludf.DUMMYFUNCTION("IFERROR(SUBSTITUTE(SUBSTITUTE(REGEXEXTRACT(A10965, ""[^-]+- [^-]+- [^-]+ - (.+?)\.jpg""), "".jpg"", """"), ""-"", "", ""), """")"),"")</f>
        <v/>
      </c>
      <c r="L10965" s="12"/>
      <c r="M10965" s="13"/>
      <c r="N10965" s="2"/>
      <c r="O10965" s="20"/>
      <c r="P10965" s="42"/>
      <c r="R10965" s="23"/>
    </row>
    <row r="10966" spans="1:18" ht="12.75">
      <c r="A10966" s="12"/>
      <c r="D10966" s="12"/>
      <c r="E10966" s="12"/>
      <c r="H10966" s="11" t="str">
        <f ca="1">IFERROR(__xludf.DUMMYFUNCTION("IFERROR(SUBSTITUTE(SUBSTITUTE(REGEXEXTRACT(A10966, ""[^-]+- [^-]+- [^-]+ - (.+?)\.jpg""), "".jpg"", """"), ""-"", "", ""), """")"),"")</f>
        <v/>
      </c>
      <c r="L10966" s="12"/>
      <c r="M10966" s="13"/>
      <c r="N10966" s="2"/>
      <c r="O10966" s="20"/>
      <c r="P10966" s="42"/>
      <c r="R10966" s="23"/>
    </row>
    <row r="10967" spans="1:18" ht="12.75">
      <c r="A10967" s="12"/>
      <c r="D10967" s="12"/>
      <c r="E10967" s="12"/>
      <c r="H10967" s="11" t="str">
        <f ca="1">IFERROR(__xludf.DUMMYFUNCTION("IFERROR(SUBSTITUTE(SUBSTITUTE(REGEXEXTRACT(A10967, ""[^-]+- [^-]+- [^-]+ - (.+?)\.jpg""), "".jpg"", """"), ""-"", "", ""), """")"),"")</f>
        <v/>
      </c>
      <c r="L10967" s="12"/>
      <c r="M10967" s="13"/>
      <c r="N10967" s="2"/>
      <c r="O10967" s="20"/>
      <c r="P10967" s="42"/>
      <c r="R10967" s="23"/>
    </row>
    <row r="10968" spans="1:18" ht="12.75">
      <c r="A10968" s="12"/>
      <c r="D10968" s="12"/>
      <c r="E10968" s="12"/>
      <c r="H10968" s="11" t="str">
        <f ca="1">IFERROR(__xludf.DUMMYFUNCTION("IFERROR(SUBSTITUTE(SUBSTITUTE(REGEXEXTRACT(A10968, ""[^-]+- [^-]+- [^-]+ - (.+?)\.jpg""), "".jpg"", """"), ""-"", "", ""), """")"),"")</f>
        <v/>
      </c>
      <c r="L10968" s="12"/>
      <c r="M10968" s="13"/>
      <c r="N10968" s="2"/>
      <c r="O10968" s="20"/>
      <c r="P10968" s="42"/>
      <c r="R10968" s="23"/>
    </row>
    <row r="10969" spans="1:18" ht="12.75">
      <c r="A10969" s="12"/>
      <c r="D10969" s="12"/>
      <c r="E10969" s="12"/>
      <c r="H10969" s="11" t="str">
        <f ca="1">IFERROR(__xludf.DUMMYFUNCTION("IFERROR(SUBSTITUTE(SUBSTITUTE(REGEXEXTRACT(A10969, ""[^-]+- [^-]+- [^-]+ - (.+?)\.jpg""), "".jpg"", """"), ""-"", "", ""), """")"),"")</f>
        <v/>
      </c>
      <c r="L10969" s="12"/>
      <c r="M10969" s="13"/>
      <c r="N10969" s="2"/>
      <c r="O10969" s="20"/>
      <c r="P10969" s="42"/>
      <c r="R10969" s="23"/>
    </row>
    <row r="10970" spans="1:18" ht="12.75">
      <c r="A10970" s="12"/>
      <c r="D10970" s="12"/>
      <c r="E10970" s="12"/>
      <c r="H10970" s="11" t="str">
        <f ca="1">IFERROR(__xludf.DUMMYFUNCTION("IFERROR(SUBSTITUTE(SUBSTITUTE(REGEXEXTRACT(A10970, ""[^-]+- [^-]+- [^-]+ - (.+?)\.jpg""), "".jpg"", """"), ""-"", "", ""), """")"),"")</f>
        <v/>
      </c>
      <c r="L10970" s="12"/>
      <c r="M10970" s="13"/>
      <c r="N10970" s="2"/>
      <c r="O10970" s="20"/>
      <c r="P10970" s="42"/>
      <c r="R10970" s="23"/>
    </row>
    <row r="10971" spans="1:18" ht="12.75">
      <c r="A10971" s="12"/>
      <c r="D10971" s="12"/>
      <c r="E10971" s="12"/>
      <c r="H10971" s="11" t="str">
        <f ca="1">IFERROR(__xludf.DUMMYFUNCTION("IFERROR(SUBSTITUTE(SUBSTITUTE(REGEXEXTRACT(A10971, ""[^-]+- [^-]+- [^-]+ - (.+?)\.jpg""), "".jpg"", """"), ""-"", "", ""), """")"),"")</f>
        <v/>
      </c>
      <c r="L10971" s="12"/>
      <c r="M10971" s="13"/>
      <c r="N10971" s="2"/>
      <c r="O10971" s="20"/>
      <c r="P10971" s="42"/>
      <c r="R10971" s="23"/>
    </row>
    <row r="10972" spans="1:18" ht="12.75">
      <c r="A10972" s="12"/>
      <c r="D10972" s="12"/>
      <c r="E10972" s="12"/>
      <c r="H10972" s="11" t="str">
        <f ca="1">IFERROR(__xludf.DUMMYFUNCTION("IFERROR(SUBSTITUTE(SUBSTITUTE(REGEXEXTRACT(A10972, ""[^-]+- [^-]+- [^-]+ - (.+?)\.jpg""), "".jpg"", """"), ""-"", "", ""), """")"),"")</f>
        <v/>
      </c>
      <c r="L10972" s="12"/>
      <c r="M10972" s="13"/>
      <c r="N10972" s="2"/>
      <c r="O10972" s="20"/>
      <c r="P10972" s="42"/>
      <c r="R10972" s="23"/>
    </row>
    <row r="10973" spans="1:18" ht="12.75">
      <c r="A10973" s="12"/>
      <c r="D10973" s="12"/>
      <c r="E10973" s="12"/>
      <c r="H10973" s="11" t="str">
        <f ca="1">IFERROR(__xludf.DUMMYFUNCTION("IFERROR(SUBSTITUTE(SUBSTITUTE(REGEXEXTRACT(A10973, ""[^-]+- [^-]+- [^-]+ - (.+?)\.jpg""), "".jpg"", """"), ""-"", "", ""), """")"),"")</f>
        <v/>
      </c>
      <c r="L10973" s="12"/>
      <c r="M10973" s="13"/>
      <c r="N10973" s="2"/>
      <c r="O10973" s="20"/>
      <c r="P10973" s="42"/>
      <c r="R10973" s="23"/>
    </row>
    <row r="10974" spans="1:18" ht="12.75">
      <c r="A10974" s="12"/>
      <c r="D10974" s="12"/>
      <c r="E10974" s="12"/>
      <c r="H10974" s="11" t="str">
        <f ca="1">IFERROR(__xludf.DUMMYFUNCTION("IFERROR(SUBSTITUTE(SUBSTITUTE(REGEXEXTRACT(A10974, ""[^-]+- [^-]+- [^-]+ - (.+?)\.jpg""), "".jpg"", """"), ""-"", "", ""), """")"),"")</f>
        <v/>
      </c>
      <c r="L10974" s="12"/>
      <c r="M10974" s="13"/>
      <c r="N10974" s="2"/>
      <c r="O10974" s="20"/>
      <c r="P10974" s="42"/>
      <c r="R10974" s="23"/>
    </row>
    <row r="10975" spans="1:18" ht="12.75">
      <c r="A10975" s="12"/>
      <c r="D10975" s="12"/>
      <c r="E10975" s="12"/>
      <c r="H10975" s="11" t="str">
        <f ca="1">IFERROR(__xludf.DUMMYFUNCTION("IFERROR(SUBSTITUTE(SUBSTITUTE(REGEXEXTRACT(A10975, ""[^-]+- [^-]+- [^-]+ - (.+?)\.jpg""), "".jpg"", """"), ""-"", "", ""), """")"),"")</f>
        <v/>
      </c>
      <c r="L10975" s="12"/>
      <c r="M10975" s="13"/>
      <c r="N10975" s="2"/>
      <c r="O10975" s="20"/>
      <c r="P10975" s="42"/>
      <c r="R10975" s="23"/>
    </row>
    <row r="10976" spans="1:18" ht="12.75">
      <c r="A10976" s="12"/>
      <c r="D10976" s="12"/>
      <c r="E10976" s="12"/>
      <c r="H10976" s="11" t="str">
        <f ca="1">IFERROR(__xludf.DUMMYFUNCTION("IFERROR(SUBSTITUTE(SUBSTITUTE(REGEXEXTRACT(A10976, ""[^-]+- [^-]+- [^-]+ - (.+?)\.jpg""), "".jpg"", """"), ""-"", "", ""), """")"),"")</f>
        <v/>
      </c>
      <c r="L10976" s="12"/>
      <c r="M10976" s="13"/>
      <c r="N10976" s="2"/>
      <c r="O10976" s="20"/>
      <c r="P10976" s="42"/>
      <c r="R10976" s="23"/>
    </row>
    <row r="10977" spans="1:18" ht="12.75">
      <c r="A10977" s="12"/>
      <c r="D10977" s="12"/>
      <c r="E10977" s="12"/>
      <c r="H10977" s="11" t="str">
        <f ca="1">IFERROR(__xludf.DUMMYFUNCTION("IFERROR(SUBSTITUTE(SUBSTITUTE(REGEXEXTRACT(A10977, ""[^-]+- [^-]+- [^-]+ - (.+?)\.jpg""), "".jpg"", """"), ""-"", "", ""), """")"),"")</f>
        <v/>
      </c>
      <c r="L10977" s="12"/>
      <c r="M10977" s="13"/>
      <c r="N10977" s="2"/>
      <c r="O10977" s="20"/>
      <c r="P10977" s="42"/>
      <c r="R10977" s="23"/>
    </row>
    <row r="10978" spans="1:18" ht="12.75">
      <c r="A10978" s="12"/>
      <c r="D10978" s="12"/>
      <c r="E10978" s="12"/>
      <c r="H10978" s="11" t="str">
        <f ca="1">IFERROR(__xludf.DUMMYFUNCTION("IFERROR(SUBSTITUTE(SUBSTITUTE(REGEXEXTRACT(A10978, ""[^-]+- [^-]+- [^-]+ - (.+?)\.jpg""), "".jpg"", """"), ""-"", "", ""), """")"),"")</f>
        <v/>
      </c>
      <c r="L10978" s="12"/>
      <c r="M10978" s="13"/>
      <c r="N10978" s="2"/>
      <c r="O10978" s="20"/>
      <c r="P10978" s="42"/>
      <c r="R10978" s="23"/>
    </row>
    <row r="10979" spans="1:18" ht="12.75">
      <c r="A10979" s="12"/>
      <c r="D10979" s="12"/>
      <c r="E10979" s="12"/>
      <c r="H10979" s="11" t="str">
        <f ca="1">IFERROR(__xludf.DUMMYFUNCTION("IFERROR(SUBSTITUTE(SUBSTITUTE(REGEXEXTRACT(A10979, ""[^-]+- [^-]+- [^-]+ - (.+?)\.jpg""), "".jpg"", """"), ""-"", "", ""), """")"),"")</f>
        <v/>
      </c>
      <c r="L10979" s="12"/>
      <c r="M10979" s="13"/>
      <c r="N10979" s="2"/>
      <c r="O10979" s="20"/>
      <c r="P10979" s="42"/>
      <c r="R10979" s="23"/>
    </row>
    <row r="10980" spans="1:18" ht="12.75">
      <c r="A10980" s="12"/>
      <c r="D10980" s="12"/>
      <c r="E10980" s="12"/>
      <c r="H10980" s="11" t="str">
        <f ca="1">IFERROR(__xludf.DUMMYFUNCTION("IFERROR(SUBSTITUTE(SUBSTITUTE(REGEXEXTRACT(A10980, ""[^-]+- [^-]+- [^-]+ - (.+?)\.jpg""), "".jpg"", """"), ""-"", "", ""), """")"),"")</f>
        <v/>
      </c>
      <c r="L10980" s="12"/>
      <c r="M10980" s="13"/>
      <c r="N10980" s="2"/>
      <c r="O10980" s="20"/>
      <c r="P10980" s="42"/>
      <c r="R10980" s="23"/>
    </row>
    <row r="10981" spans="1:18" ht="12.75">
      <c r="A10981" s="12"/>
      <c r="D10981" s="12"/>
      <c r="E10981" s="12"/>
      <c r="H10981" s="11" t="str">
        <f ca="1">IFERROR(__xludf.DUMMYFUNCTION("IFERROR(SUBSTITUTE(SUBSTITUTE(REGEXEXTRACT(A10981, ""[^-]+- [^-]+- [^-]+ - (.+?)\.jpg""), "".jpg"", """"), ""-"", "", ""), """")"),"")</f>
        <v/>
      </c>
      <c r="L10981" s="12"/>
      <c r="M10981" s="13"/>
      <c r="N10981" s="2"/>
      <c r="O10981" s="20"/>
      <c r="P10981" s="42"/>
      <c r="R10981" s="23"/>
    </row>
    <row r="10982" spans="1:18" ht="12.75">
      <c r="A10982" s="12"/>
      <c r="D10982" s="12"/>
      <c r="E10982" s="12"/>
      <c r="H10982" s="11" t="str">
        <f ca="1">IFERROR(__xludf.DUMMYFUNCTION("IFERROR(SUBSTITUTE(SUBSTITUTE(REGEXEXTRACT(A10982, ""[^-]+- [^-]+- [^-]+ - (.+?)\.jpg""), "".jpg"", """"), ""-"", "", ""), """")"),"")</f>
        <v/>
      </c>
      <c r="L10982" s="12"/>
      <c r="M10982" s="13"/>
      <c r="N10982" s="2"/>
      <c r="O10982" s="20"/>
      <c r="P10982" s="42"/>
      <c r="R10982" s="23"/>
    </row>
    <row r="10983" spans="1:18" ht="12.75">
      <c r="A10983" s="12"/>
      <c r="D10983" s="12"/>
      <c r="E10983" s="12"/>
      <c r="H10983" s="11" t="str">
        <f ca="1">IFERROR(__xludf.DUMMYFUNCTION("IFERROR(SUBSTITUTE(SUBSTITUTE(REGEXEXTRACT(A10983, ""[^-]+- [^-]+- [^-]+ - (.+?)\.jpg""), "".jpg"", """"), ""-"", "", ""), """")"),"")</f>
        <v/>
      </c>
      <c r="L10983" s="12"/>
      <c r="M10983" s="13"/>
      <c r="N10983" s="2"/>
      <c r="O10983" s="20"/>
      <c r="P10983" s="42"/>
      <c r="R10983" s="23"/>
    </row>
    <row r="10984" spans="1:18" ht="12.75">
      <c r="A10984" s="12"/>
      <c r="D10984" s="12"/>
      <c r="E10984" s="12"/>
      <c r="H10984" s="11" t="str">
        <f ca="1">IFERROR(__xludf.DUMMYFUNCTION("IFERROR(SUBSTITUTE(SUBSTITUTE(REGEXEXTRACT(A10984, ""[^-]+- [^-]+- [^-]+ - (.+?)\.jpg""), "".jpg"", """"), ""-"", "", ""), """")"),"")</f>
        <v/>
      </c>
      <c r="L10984" s="12"/>
      <c r="M10984" s="13"/>
      <c r="N10984" s="2"/>
      <c r="O10984" s="20"/>
      <c r="P10984" s="42"/>
      <c r="R10984" s="23"/>
    </row>
    <row r="10985" spans="1:18" ht="12.75">
      <c r="A10985" s="12"/>
      <c r="D10985" s="12"/>
      <c r="E10985" s="12"/>
      <c r="H10985" s="11" t="str">
        <f ca="1">IFERROR(__xludf.DUMMYFUNCTION("IFERROR(SUBSTITUTE(SUBSTITUTE(REGEXEXTRACT(A10985, ""[^-]+- [^-]+- [^-]+ - (.+?)\.jpg""), "".jpg"", """"), ""-"", "", ""), """")"),"")</f>
        <v/>
      </c>
      <c r="L10985" s="12"/>
      <c r="M10985" s="13"/>
      <c r="N10985" s="2"/>
      <c r="O10985" s="20"/>
      <c r="P10985" s="42"/>
      <c r="R10985" s="23"/>
    </row>
    <row r="10986" spans="1:18" ht="12.75">
      <c r="A10986" s="12"/>
      <c r="D10986" s="12"/>
      <c r="E10986" s="12"/>
      <c r="H10986" s="11" t="str">
        <f ca="1">IFERROR(__xludf.DUMMYFUNCTION("IFERROR(SUBSTITUTE(SUBSTITUTE(REGEXEXTRACT(A10986, ""[^-]+- [^-]+- [^-]+ - (.+?)\.jpg""), "".jpg"", """"), ""-"", "", ""), """")"),"")</f>
        <v/>
      </c>
      <c r="L10986" s="12"/>
      <c r="M10986" s="13"/>
      <c r="N10986" s="2"/>
      <c r="O10986" s="20"/>
      <c r="P10986" s="42"/>
      <c r="R10986" s="23"/>
    </row>
    <row r="10987" spans="1:18" ht="12.75">
      <c r="A10987" s="12"/>
      <c r="D10987" s="12"/>
      <c r="E10987" s="12"/>
      <c r="H10987" s="11" t="str">
        <f ca="1">IFERROR(__xludf.DUMMYFUNCTION("IFERROR(SUBSTITUTE(SUBSTITUTE(REGEXEXTRACT(A10987, ""[^-]+- [^-]+- [^-]+ - (.+?)\.jpg""), "".jpg"", """"), ""-"", "", ""), """")"),"")</f>
        <v/>
      </c>
      <c r="L10987" s="12"/>
      <c r="M10987" s="13"/>
      <c r="N10987" s="2"/>
      <c r="O10987" s="20"/>
      <c r="P10987" s="42"/>
      <c r="R10987" s="23"/>
    </row>
    <row r="10988" spans="1:18" ht="12.75">
      <c r="A10988" s="12"/>
      <c r="D10988" s="12"/>
      <c r="E10988" s="12"/>
      <c r="H10988" s="11" t="str">
        <f ca="1">IFERROR(__xludf.DUMMYFUNCTION("IFERROR(SUBSTITUTE(SUBSTITUTE(REGEXEXTRACT(A10988, ""[^-]+- [^-]+- [^-]+ - (.+?)\.jpg""), "".jpg"", """"), ""-"", "", ""), """")"),"")</f>
        <v/>
      </c>
      <c r="L10988" s="12"/>
      <c r="M10988" s="13"/>
      <c r="N10988" s="2"/>
      <c r="O10988" s="20"/>
      <c r="P10988" s="42"/>
      <c r="R10988" s="23"/>
    </row>
    <row r="10989" spans="1:18" ht="12.75">
      <c r="A10989" s="12"/>
      <c r="D10989" s="12"/>
      <c r="E10989" s="12"/>
      <c r="H10989" s="11" t="str">
        <f ca="1">IFERROR(__xludf.DUMMYFUNCTION("IFERROR(SUBSTITUTE(SUBSTITUTE(REGEXEXTRACT(A10989, ""[^-]+- [^-]+- [^-]+ - (.+?)\.jpg""), "".jpg"", """"), ""-"", "", ""), """")"),"")</f>
        <v/>
      </c>
      <c r="L10989" s="12"/>
      <c r="M10989" s="13"/>
      <c r="N10989" s="2"/>
      <c r="O10989" s="20"/>
      <c r="P10989" s="42"/>
      <c r="R10989" s="23"/>
    </row>
    <row r="10990" spans="1:18" ht="12.75">
      <c r="A10990" s="12"/>
      <c r="D10990" s="12"/>
      <c r="E10990" s="12"/>
      <c r="H10990" s="11" t="str">
        <f ca="1">IFERROR(__xludf.DUMMYFUNCTION("IFERROR(SUBSTITUTE(SUBSTITUTE(REGEXEXTRACT(A10990, ""[^-]+- [^-]+- [^-]+ - (.+?)\.jpg""), "".jpg"", """"), ""-"", "", ""), """")"),"")</f>
        <v/>
      </c>
      <c r="L10990" s="12"/>
      <c r="M10990" s="13"/>
      <c r="N10990" s="2"/>
      <c r="O10990" s="20"/>
      <c r="P10990" s="42"/>
      <c r="R10990" s="23"/>
    </row>
    <row r="10991" spans="1:18" ht="12.75">
      <c r="A10991" s="12"/>
      <c r="D10991" s="12"/>
      <c r="E10991" s="12"/>
      <c r="H10991" s="11" t="str">
        <f ca="1">IFERROR(__xludf.DUMMYFUNCTION("IFERROR(SUBSTITUTE(SUBSTITUTE(REGEXEXTRACT(A10991, ""[^-]+- [^-]+- [^-]+ - (.+?)\.jpg""), "".jpg"", """"), ""-"", "", ""), """")"),"")</f>
        <v/>
      </c>
      <c r="L10991" s="12"/>
      <c r="M10991" s="13"/>
      <c r="N10991" s="2"/>
      <c r="O10991" s="20"/>
      <c r="P10991" s="42"/>
      <c r="R10991" s="23"/>
    </row>
    <row r="10992" spans="1:18" ht="12.75">
      <c r="A10992" s="12"/>
      <c r="D10992" s="12"/>
      <c r="E10992" s="12"/>
      <c r="H10992" s="11" t="str">
        <f ca="1">IFERROR(__xludf.DUMMYFUNCTION("IFERROR(SUBSTITUTE(SUBSTITUTE(REGEXEXTRACT(A10992, ""[^-]+- [^-]+- [^-]+ - (.+?)\.jpg""), "".jpg"", """"), ""-"", "", ""), """")"),"")</f>
        <v/>
      </c>
      <c r="L10992" s="12"/>
      <c r="M10992" s="13"/>
      <c r="N10992" s="2"/>
      <c r="O10992" s="20"/>
      <c r="P10992" s="42"/>
      <c r="R10992" s="23"/>
    </row>
    <row r="10993" spans="1:18" ht="12.75">
      <c r="A10993" s="12"/>
      <c r="D10993" s="12"/>
      <c r="E10993" s="12"/>
      <c r="H10993" s="11" t="str">
        <f ca="1">IFERROR(__xludf.DUMMYFUNCTION("IFERROR(SUBSTITUTE(SUBSTITUTE(REGEXEXTRACT(A10993, ""[^-]+- [^-]+- [^-]+ - (.+?)\.jpg""), "".jpg"", """"), ""-"", "", ""), """")"),"")</f>
        <v/>
      </c>
      <c r="L10993" s="12"/>
      <c r="M10993" s="13"/>
      <c r="N10993" s="2"/>
      <c r="O10993" s="20"/>
      <c r="P10993" s="42"/>
      <c r="R10993" s="23"/>
    </row>
    <row r="10994" spans="1:18" ht="12.75">
      <c r="A10994" s="12"/>
      <c r="D10994" s="12"/>
      <c r="E10994" s="12"/>
      <c r="H10994" s="11" t="str">
        <f ca="1">IFERROR(__xludf.DUMMYFUNCTION("IFERROR(SUBSTITUTE(SUBSTITUTE(REGEXEXTRACT(A10994, ""[^-]+- [^-]+- [^-]+ - (.+?)\.jpg""), "".jpg"", """"), ""-"", "", ""), """")"),"")</f>
        <v/>
      </c>
      <c r="L10994" s="12"/>
      <c r="M10994" s="13"/>
      <c r="N10994" s="2"/>
      <c r="O10994" s="20"/>
      <c r="P10994" s="42"/>
      <c r="R10994" s="23"/>
    </row>
    <row r="10995" spans="1:18" ht="12.75">
      <c r="A10995" s="12"/>
      <c r="D10995" s="12"/>
      <c r="E10995" s="12"/>
      <c r="H10995" s="11" t="str">
        <f ca="1">IFERROR(__xludf.DUMMYFUNCTION("IFERROR(SUBSTITUTE(SUBSTITUTE(REGEXEXTRACT(A10995, ""[^-]+- [^-]+- [^-]+ - (.+?)\.jpg""), "".jpg"", """"), ""-"", "", ""), """")"),"")</f>
        <v/>
      </c>
      <c r="L10995" s="12"/>
      <c r="M10995" s="13"/>
      <c r="N10995" s="2"/>
      <c r="O10995" s="20"/>
      <c r="P10995" s="42"/>
      <c r="R10995" s="23"/>
    </row>
    <row r="10996" spans="1:18" ht="12.75">
      <c r="A10996" s="12"/>
      <c r="D10996" s="12"/>
      <c r="E10996" s="12"/>
      <c r="H10996" s="11" t="str">
        <f ca="1">IFERROR(__xludf.DUMMYFUNCTION("IFERROR(SUBSTITUTE(SUBSTITUTE(REGEXEXTRACT(A10996, ""[^-]+- [^-]+- [^-]+ - (.+?)\.jpg""), "".jpg"", """"), ""-"", "", ""), """")"),"")</f>
        <v/>
      </c>
      <c r="L10996" s="12"/>
      <c r="M10996" s="13"/>
      <c r="N10996" s="2"/>
      <c r="O10996" s="20"/>
      <c r="P10996" s="42"/>
      <c r="R10996" s="23"/>
    </row>
    <row r="10997" spans="1:18" ht="12.75">
      <c r="A10997" s="12"/>
      <c r="D10997" s="12"/>
      <c r="E10997" s="12"/>
      <c r="H10997" s="11" t="str">
        <f ca="1">IFERROR(__xludf.DUMMYFUNCTION("IFERROR(SUBSTITUTE(SUBSTITUTE(REGEXEXTRACT(A10997, ""[^-]+- [^-]+- [^-]+ - (.+?)\.jpg""), "".jpg"", """"), ""-"", "", ""), """")"),"")</f>
        <v/>
      </c>
      <c r="L10997" s="12"/>
      <c r="M10997" s="13"/>
      <c r="N10997" s="2"/>
      <c r="O10997" s="20"/>
      <c r="P10997" s="42"/>
      <c r="R10997" s="23"/>
    </row>
    <row r="10998" spans="1:18" ht="12.75">
      <c r="A10998" s="12"/>
      <c r="D10998" s="12"/>
      <c r="E10998" s="12"/>
      <c r="H10998" s="11" t="str">
        <f ca="1">IFERROR(__xludf.DUMMYFUNCTION("IFERROR(SUBSTITUTE(SUBSTITUTE(REGEXEXTRACT(A10998, ""[^-]+- [^-]+- [^-]+ - (.+?)\.jpg""), "".jpg"", """"), ""-"", "", ""), """")"),"")</f>
        <v/>
      </c>
      <c r="L10998" s="12"/>
      <c r="M10998" s="13"/>
      <c r="N10998" s="2"/>
      <c r="O10998" s="20"/>
      <c r="P10998" s="42"/>
      <c r="R10998" s="23"/>
    </row>
    <row r="10999" spans="1:18" ht="12.75">
      <c r="A10999" s="12"/>
      <c r="D10999" s="12"/>
      <c r="E10999" s="12"/>
      <c r="H10999" s="11" t="str">
        <f ca="1">IFERROR(__xludf.DUMMYFUNCTION("IFERROR(SUBSTITUTE(SUBSTITUTE(REGEXEXTRACT(A10999, ""[^-]+- [^-]+- [^-]+ - (.+?)\.jpg""), "".jpg"", """"), ""-"", "", ""), """")"),"")</f>
        <v/>
      </c>
      <c r="L10999" s="12"/>
      <c r="M10999" s="13"/>
      <c r="N10999" s="2"/>
      <c r="O10999" s="20"/>
      <c r="P10999" s="42"/>
      <c r="R10999" s="23"/>
    </row>
    <row r="11000" spans="1:18" ht="12.75">
      <c r="A11000" s="12"/>
      <c r="D11000" s="12"/>
      <c r="E11000" s="12"/>
      <c r="H11000" s="11" t="str">
        <f ca="1">IFERROR(__xludf.DUMMYFUNCTION("IFERROR(SUBSTITUTE(SUBSTITUTE(REGEXEXTRACT(A11000, ""[^-]+- [^-]+- [^-]+ - (.+?)\.jpg""), "".jpg"", """"), ""-"", "", ""), """")"),"")</f>
        <v/>
      </c>
      <c r="L11000" s="12"/>
      <c r="M11000" s="13"/>
      <c r="N11000" s="2"/>
      <c r="O11000" s="20"/>
      <c r="P11000" s="42"/>
      <c r="R11000" s="23"/>
    </row>
    <row r="11001" spans="1:18" ht="12.75">
      <c r="A11001" s="12"/>
      <c r="D11001" s="12"/>
      <c r="E11001" s="12"/>
      <c r="H11001" s="11" t="str">
        <f ca="1">IFERROR(__xludf.DUMMYFUNCTION("IFERROR(SUBSTITUTE(SUBSTITUTE(REGEXEXTRACT(A11001, ""[^-]+- [^-]+- [^-]+ - (.+?)\.jpg""), "".jpg"", """"), ""-"", "", ""), """")"),"")</f>
        <v/>
      </c>
      <c r="L11001" s="12"/>
      <c r="M11001" s="13"/>
      <c r="N11001" s="2"/>
      <c r="O11001" s="20"/>
      <c r="P11001" s="42"/>
      <c r="R11001" s="23"/>
    </row>
    <row r="11002" spans="1:18" ht="12.75">
      <c r="A11002" s="12"/>
      <c r="D11002" s="12"/>
      <c r="E11002" s="12"/>
      <c r="H11002" s="11" t="str">
        <f ca="1">IFERROR(__xludf.DUMMYFUNCTION("IFERROR(SUBSTITUTE(SUBSTITUTE(REGEXEXTRACT(A11002, ""[^-]+- [^-]+- [^-]+ - (.+?)\.jpg""), "".jpg"", """"), ""-"", "", ""), """")"),"")</f>
        <v/>
      </c>
      <c r="L11002" s="12"/>
      <c r="M11002" s="13"/>
      <c r="N11002" s="2"/>
      <c r="O11002" s="20"/>
      <c r="P11002" s="42"/>
      <c r="R11002" s="23"/>
    </row>
    <row r="11003" spans="1:18" ht="12.75">
      <c r="A11003" s="12"/>
      <c r="D11003" s="12"/>
      <c r="E11003" s="12"/>
      <c r="H11003" s="11" t="str">
        <f ca="1">IFERROR(__xludf.DUMMYFUNCTION("IFERROR(SUBSTITUTE(SUBSTITUTE(REGEXEXTRACT(A11003, ""[^-]+- [^-]+- [^-]+ - (.+?)\.jpg""), "".jpg"", """"), ""-"", "", ""), """")"),"")</f>
        <v/>
      </c>
      <c r="L11003" s="12"/>
      <c r="M11003" s="13"/>
      <c r="N11003" s="2"/>
      <c r="O11003" s="20"/>
      <c r="P11003" s="42"/>
      <c r="R11003" s="23"/>
    </row>
    <row r="11004" spans="1:18" ht="12.75">
      <c r="A11004" s="12"/>
      <c r="D11004" s="12"/>
      <c r="E11004" s="12"/>
      <c r="H11004" s="11" t="str">
        <f ca="1">IFERROR(__xludf.DUMMYFUNCTION("IFERROR(SUBSTITUTE(SUBSTITUTE(REGEXEXTRACT(A11004, ""[^-]+- [^-]+- [^-]+ - (.+?)\.jpg""), "".jpg"", """"), ""-"", "", ""), """")"),"")</f>
        <v/>
      </c>
      <c r="L11004" s="12"/>
      <c r="M11004" s="13"/>
      <c r="N11004" s="2"/>
      <c r="O11004" s="20"/>
      <c r="P11004" s="42"/>
      <c r="R11004" s="23"/>
    </row>
    <row r="11005" spans="1:18" ht="12.75">
      <c r="A11005" s="12"/>
      <c r="D11005" s="12"/>
      <c r="E11005" s="12"/>
      <c r="H11005" s="11" t="str">
        <f ca="1">IFERROR(__xludf.DUMMYFUNCTION("IFERROR(SUBSTITUTE(SUBSTITUTE(REGEXEXTRACT(A11005, ""[^-]+- [^-]+- [^-]+ - (.+?)\.jpg""), "".jpg"", """"), ""-"", "", ""), """")"),"")</f>
        <v/>
      </c>
      <c r="L11005" s="12"/>
      <c r="M11005" s="13"/>
      <c r="N11005" s="2"/>
      <c r="O11005" s="20"/>
      <c r="P11005" s="42"/>
      <c r="R11005" s="23"/>
    </row>
    <row r="11006" spans="1:18" ht="12.75">
      <c r="A11006" s="12"/>
      <c r="D11006" s="12"/>
      <c r="E11006" s="12"/>
      <c r="H11006" s="11" t="str">
        <f ca="1">IFERROR(__xludf.DUMMYFUNCTION("IFERROR(SUBSTITUTE(SUBSTITUTE(REGEXEXTRACT(A11006, ""[^-]+- [^-]+- [^-]+ - (.+?)\.jpg""), "".jpg"", """"), ""-"", "", ""), """")"),"")</f>
        <v/>
      </c>
      <c r="L11006" s="12"/>
      <c r="M11006" s="13"/>
      <c r="N11006" s="2"/>
      <c r="O11006" s="20"/>
      <c r="P11006" s="42"/>
      <c r="R11006" s="23"/>
    </row>
    <row r="11007" spans="1:18" ht="12.75">
      <c r="A11007" s="12"/>
      <c r="D11007" s="12"/>
      <c r="E11007" s="12"/>
      <c r="H11007" s="11" t="str">
        <f ca="1">IFERROR(__xludf.DUMMYFUNCTION("IFERROR(SUBSTITUTE(SUBSTITUTE(REGEXEXTRACT(A11007, ""[^-]+- [^-]+- [^-]+ - (.+?)\.jpg""), "".jpg"", """"), ""-"", "", ""), """")"),"")</f>
        <v/>
      </c>
      <c r="L11007" s="12"/>
      <c r="M11007" s="13"/>
      <c r="N11007" s="2"/>
      <c r="O11007" s="20"/>
      <c r="P11007" s="42"/>
      <c r="R11007" s="23"/>
    </row>
    <row r="11008" spans="1:18" ht="12.75">
      <c r="A11008" s="12"/>
      <c r="D11008" s="12"/>
      <c r="E11008" s="12"/>
      <c r="H11008" s="11" t="str">
        <f ca="1">IFERROR(__xludf.DUMMYFUNCTION("IFERROR(SUBSTITUTE(SUBSTITUTE(REGEXEXTRACT(A11008, ""[^-]+- [^-]+- [^-]+ - (.+?)\.jpg""), "".jpg"", """"), ""-"", "", ""), """")"),"")</f>
        <v/>
      </c>
      <c r="L11008" s="12"/>
      <c r="M11008" s="13"/>
      <c r="N11008" s="2"/>
      <c r="O11008" s="20"/>
      <c r="P11008" s="42"/>
      <c r="R11008" s="23"/>
    </row>
    <row r="11009" spans="1:18" ht="12.75">
      <c r="A11009" s="12"/>
      <c r="D11009" s="12"/>
      <c r="E11009" s="12"/>
      <c r="H11009" s="11" t="str">
        <f ca="1">IFERROR(__xludf.DUMMYFUNCTION("IFERROR(SUBSTITUTE(SUBSTITUTE(REGEXEXTRACT(A11009, ""[^-]+- [^-]+- [^-]+ - (.+?)\.jpg""), "".jpg"", """"), ""-"", "", ""), """")"),"")</f>
        <v/>
      </c>
      <c r="L11009" s="12"/>
      <c r="M11009" s="13"/>
      <c r="N11009" s="2"/>
      <c r="O11009" s="20"/>
      <c r="P11009" s="42"/>
      <c r="R11009" s="23"/>
    </row>
    <row r="11010" spans="1:18" ht="12.75">
      <c r="A11010" s="12"/>
      <c r="D11010" s="12"/>
      <c r="E11010" s="12"/>
      <c r="H11010" s="11" t="str">
        <f ca="1">IFERROR(__xludf.DUMMYFUNCTION("IFERROR(SUBSTITUTE(SUBSTITUTE(REGEXEXTRACT(A11010, ""[^-]+- [^-]+- [^-]+ - (.+?)\.jpg""), "".jpg"", """"), ""-"", "", ""), """")"),"")</f>
        <v/>
      </c>
      <c r="L11010" s="12"/>
      <c r="M11010" s="13"/>
      <c r="N11010" s="2"/>
      <c r="O11010" s="20"/>
      <c r="P11010" s="42"/>
      <c r="R11010" s="23"/>
    </row>
    <row r="11011" spans="1:18" ht="12.75">
      <c r="A11011" s="12"/>
      <c r="D11011" s="12"/>
      <c r="E11011" s="12"/>
      <c r="H11011" s="11" t="str">
        <f ca="1">IFERROR(__xludf.DUMMYFUNCTION("IFERROR(SUBSTITUTE(SUBSTITUTE(REGEXEXTRACT(A11011, ""[^-]+- [^-]+- [^-]+ - (.+?)\.jpg""), "".jpg"", """"), ""-"", "", ""), """")"),"")</f>
        <v/>
      </c>
      <c r="L11011" s="12"/>
      <c r="M11011" s="13"/>
      <c r="N11011" s="2"/>
      <c r="O11011" s="20"/>
      <c r="P11011" s="42"/>
      <c r="R11011" s="23"/>
    </row>
    <row r="11012" spans="1:18" ht="12.75">
      <c r="A11012" s="12"/>
      <c r="D11012" s="12"/>
      <c r="E11012" s="12"/>
      <c r="H11012" s="11" t="str">
        <f ca="1">IFERROR(__xludf.DUMMYFUNCTION("IFERROR(SUBSTITUTE(SUBSTITUTE(REGEXEXTRACT(A11012, ""[^-]+- [^-]+- [^-]+ - (.+?)\.jpg""), "".jpg"", """"), ""-"", "", ""), """")"),"")</f>
        <v/>
      </c>
      <c r="L11012" s="12"/>
      <c r="M11012" s="13"/>
      <c r="N11012" s="2"/>
      <c r="O11012" s="20"/>
      <c r="P11012" s="42"/>
      <c r="R11012" s="23"/>
    </row>
    <row r="11013" spans="1:18" ht="12.75">
      <c r="A11013" s="12"/>
      <c r="D11013" s="12"/>
      <c r="E11013" s="12"/>
      <c r="H11013" s="11" t="str">
        <f ca="1">IFERROR(__xludf.DUMMYFUNCTION("IFERROR(SUBSTITUTE(SUBSTITUTE(REGEXEXTRACT(A11013, ""[^-]+- [^-]+- [^-]+ - (.+?)\.jpg""), "".jpg"", """"), ""-"", "", ""), """")"),"")</f>
        <v/>
      </c>
      <c r="L11013" s="12"/>
      <c r="M11013" s="13"/>
      <c r="N11013" s="2"/>
      <c r="O11013" s="20"/>
      <c r="P11013" s="42"/>
      <c r="R11013" s="23"/>
    </row>
    <row r="11014" spans="1:18" ht="12.75">
      <c r="A11014" s="12"/>
      <c r="D11014" s="12"/>
      <c r="E11014" s="12"/>
      <c r="H11014" s="11" t="str">
        <f ca="1">IFERROR(__xludf.DUMMYFUNCTION("IFERROR(SUBSTITUTE(SUBSTITUTE(REGEXEXTRACT(A11014, ""[^-]+- [^-]+- [^-]+ - (.+?)\.jpg""), "".jpg"", """"), ""-"", "", ""), """")"),"")</f>
        <v/>
      </c>
      <c r="L11014" s="12"/>
      <c r="M11014" s="13"/>
      <c r="N11014" s="2"/>
      <c r="O11014" s="20"/>
      <c r="P11014" s="42"/>
      <c r="R11014" s="23"/>
    </row>
    <row r="11015" spans="1:18" ht="12.75">
      <c r="A11015" s="12"/>
      <c r="D11015" s="12"/>
      <c r="E11015" s="12"/>
      <c r="H11015" s="11" t="str">
        <f ca="1">IFERROR(__xludf.DUMMYFUNCTION("IFERROR(SUBSTITUTE(SUBSTITUTE(REGEXEXTRACT(A11015, ""[^-]+- [^-]+- [^-]+ - (.+?)\.jpg""), "".jpg"", """"), ""-"", "", ""), """")"),"")</f>
        <v/>
      </c>
      <c r="L11015" s="12"/>
      <c r="M11015" s="13"/>
      <c r="N11015" s="2"/>
      <c r="O11015" s="20"/>
      <c r="P11015" s="42"/>
      <c r="R11015" s="23"/>
    </row>
    <row r="11016" spans="1:18" ht="12.75">
      <c r="A11016" s="12"/>
      <c r="D11016" s="12"/>
      <c r="E11016" s="12"/>
      <c r="H11016" s="11" t="str">
        <f ca="1">IFERROR(__xludf.DUMMYFUNCTION("IFERROR(SUBSTITUTE(SUBSTITUTE(REGEXEXTRACT(A11016, ""[^-]+- [^-]+- [^-]+ - (.+?)\.jpg""), "".jpg"", """"), ""-"", "", ""), """")"),"")</f>
        <v/>
      </c>
      <c r="L11016" s="12"/>
      <c r="M11016" s="13"/>
      <c r="N11016" s="2"/>
      <c r="O11016" s="20"/>
      <c r="P11016" s="42"/>
      <c r="R11016" s="23"/>
    </row>
    <row r="11017" spans="1:18" ht="12.75">
      <c r="A11017" s="12"/>
      <c r="D11017" s="12"/>
      <c r="E11017" s="12"/>
      <c r="H11017" s="11" t="str">
        <f ca="1">IFERROR(__xludf.DUMMYFUNCTION("IFERROR(SUBSTITUTE(SUBSTITUTE(REGEXEXTRACT(A11017, ""[^-]+- [^-]+- [^-]+ - (.+?)\.jpg""), "".jpg"", """"), ""-"", "", ""), """")"),"")</f>
        <v/>
      </c>
      <c r="L11017" s="12"/>
      <c r="M11017" s="13"/>
      <c r="N11017" s="2"/>
      <c r="O11017" s="20"/>
      <c r="P11017" s="42"/>
      <c r="R11017" s="23"/>
    </row>
    <row r="11018" spans="1:18" ht="12.75">
      <c r="A11018" s="12"/>
      <c r="D11018" s="12"/>
      <c r="E11018" s="12"/>
      <c r="H11018" s="11" t="str">
        <f ca="1">IFERROR(__xludf.DUMMYFUNCTION("IFERROR(SUBSTITUTE(SUBSTITUTE(REGEXEXTRACT(A11018, ""[^-]+- [^-]+- [^-]+ - (.+?)\.jpg""), "".jpg"", """"), ""-"", "", ""), """")"),"")</f>
        <v/>
      </c>
      <c r="L11018" s="12"/>
      <c r="M11018" s="13"/>
      <c r="N11018" s="2"/>
      <c r="O11018" s="20"/>
      <c r="P11018" s="42"/>
      <c r="R11018" s="23"/>
    </row>
    <row r="11019" spans="1:18" ht="12.75">
      <c r="A11019" s="12"/>
      <c r="D11019" s="12"/>
      <c r="E11019" s="12"/>
      <c r="H11019" s="11" t="str">
        <f ca="1">IFERROR(__xludf.DUMMYFUNCTION("IFERROR(SUBSTITUTE(SUBSTITUTE(REGEXEXTRACT(A11019, ""[^-]+- [^-]+- [^-]+ - (.+?)\.jpg""), "".jpg"", """"), ""-"", "", ""), """")"),"")</f>
        <v/>
      </c>
      <c r="L11019" s="12"/>
      <c r="M11019" s="13"/>
      <c r="N11019" s="2"/>
      <c r="O11019" s="20"/>
      <c r="P11019" s="42"/>
      <c r="R11019" s="23"/>
    </row>
    <row r="11020" spans="1:18" ht="12.75">
      <c r="A11020" s="12"/>
      <c r="D11020" s="12"/>
      <c r="E11020" s="12"/>
      <c r="H11020" s="11" t="str">
        <f ca="1">IFERROR(__xludf.DUMMYFUNCTION("IFERROR(SUBSTITUTE(SUBSTITUTE(REGEXEXTRACT(A11020, ""[^-]+- [^-]+- [^-]+ - (.+?)\.jpg""), "".jpg"", """"), ""-"", "", ""), """")"),"")</f>
        <v/>
      </c>
      <c r="L11020" s="12"/>
      <c r="M11020" s="13"/>
      <c r="N11020" s="2"/>
      <c r="O11020" s="20"/>
      <c r="P11020" s="42"/>
      <c r="R11020" s="23"/>
    </row>
    <row r="11021" spans="1:18" ht="12.75">
      <c r="A11021" s="12"/>
      <c r="D11021" s="12"/>
      <c r="E11021" s="12"/>
      <c r="H11021" s="11" t="str">
        <f ca="1">IFERROR(__xludf.DUMMYFUNCTION("IFERROR(SUBSTITUTE(SUBSTITUTE(REGEXEXTRACT(A11021, ""[^-]+- [^-]+- [^-]+ - (.+?)\.jpg""), "".jpg"", """"), ""-"", "", ""), """")"),"")</f>
        <v/>
      </c>
      <c r="L11021" s="12"/>
      <c r="M11021" s="13"/>
      <c r="N11021" s="2"/>
      <c r="O11021" s="20"/>
      <c r="P11021" s="42"/>
      <c r="R11021" s="23"/>
    </row>
    <row r="11022" spans="1:18" ht="12.75">
      <c r="A11022" s="12"/>
      <c r="D11022" s="12"/>
      <c r="E11022" s="12"/>
      <c r="H11022" s="11" t="str">
        <f ca="1">IFERROR(__xludf.DUMMYFUNCTION("IFERROR(SUBSTITUTE(SUBSTITUTE(REGEXEXTRACT(A11022, ""[^-]+- [^-]+- [^-]+ - (.+?)\.jpg""), "".jpg"", """"), ""-"", "", ""), """")"),"")</f>
        <v/>
      </c>
      <c r="L11022" s="12"/>
      <c r="M11022" s="13"/>
      <c r="N11022" s="2"/>
      <c r="O11022" s="20"/>
      <c r="P11022" s="42"/>
      <c r="R11022" s="23"/>
    </row>
    <row r="11023" spans="1:18" ht="12.75">
      <c r="A11023" s="12"/>
      <c r="D11023" s="12"/>
      <c r="E11023" s="12"/>
      <c r="H11023" s="11" t="str">
        <f ca="1">IFERROR(__xludf.DUMMYFUNCTION("IFERROR(SUBSTITUTE(SUBSTITUTE(REGEXEXTRACT(A11023, ""[^-]+- [^-]+- [^-]+ - (.+?)\.jpg""), "".jpg"", """"), ""-"", "", ""), """")"),"")</f>
        <v/>
      </c>
      <c r="L11023" s="12"/>
      <c r="M11023" s="13"/>
      <c r="N11023" s="2"/>
      <c r="O11023" s="20"/>
      <c r="P11023" s="42"/>
      <c r="R11023" s="23"/>
    </row>
    <row r="11024" spans="1:18" ht="12.75">
      <c r="A11024" s="12"/>
      <c r="D11024" s="12"/>
      <c r="E11024" s="12"/>
      <c r="H11024" s="11" t="str">
        <f ca="1">IFERROR(__xludf.DUMMYFUNCTION("IFERROR(SUBSTITUTE(SUBSTITUTE(REGEXEXTRACT(A11024, ""[^-]+- [^-]+- [^-]+ - (.+?)\.jpg""), "".jpg"", """"), ""-"", "", ""), """")"),"")</f>
        <v/>
      </c>
      <c r="L11024" s="12"/>
      <c r="M11024" s="13"/>
      <c r="N11024" s="2"/>
      <c r="O11024" s="20"/>
      <c r="P11024" s="42"/>
      <c r="R11024" s="23"/>
    </row>
    <row r="11025" spans="1:18" ht="12.75">
      <c r="A11025" s="12"/>
      <c r="D11025" s="12"/>
      <c r="E11025" s="12"/>
      <c r="H11025" s="11" t="str">
        <f ca="1">IFERROR(__xludf.DUMMYFUNCTION("IFERROR(SUBSTITUTE(SUBSTITUTE(REGEXEXTRACT(A11025, ""[^-]+- [^-]+- [^-]+ - (.+?)\.jpg""), "".jpg"", """"), ""-"", "", ""), """")"),"")</f>
        <v/>
      </c>
      <c r="L11025" s="12"/>
      <c r="M11025" s="13"/>
      <c r="N11025" s="2"/>
      <c r="O11025" s="20"/>
      <c r="P11025" s="42"/>
      <c r="R11025" s="23"/>
    </row>
    <row r="11026" spans="1:18" ht="12.75">
      <c r="A11026" s="12"/>
      <c r="D11026" s="12"/>
      <c r="E11026" s="12"/>
      <c r="H11026" s="11" t="str">
        <f ca="1">IFERROR(__xludf.DUMMYFUNCTION("IFERROR(SUBSTITUTE(SUBSTITUTE(REGEXEXTRACT(A11026, ""[^-]+- [^-]+- [^-]+ - (.+?)\.jpg""), "".jpg"", """"), ""-"", "", ""), """")"),"")</f>
        <v/>
      </c>
      <c r="L11026" s="12"/>
      <c r="M11026" s="13"/>
      <c r="N11026" s="2"/>
      <c r="O11026" s="20"/>
      <c r="P11026" s="42"/>
      <c r="R11026" s="23"/>
    </row>
    <row r="11027" spans="1:18" ht="12.75">
      <c r="A11027" s="12"/>
      <c r="D11027" s="12"/>
      <c r="E11027" s="12"/>
      <c r="H11027" s="11" t="str">
        <f ca="1">IFERROR(__xludf.DUMMYFUNCTION("IFERROR(SUBSTITUTE(SUBSTITUTE(REGEXEXTRACT(A11027, ""[^-]+- [^-]+- [^-]+ - (.+?)\.jpg""), "".jpg"", """"), ""-"", "", ""), """")"),"")</f>
        <v/>
      </c>
      <c r="L11027" s="12"/>
      <c r="M11027" s="13"/>
      <c r="N11027" s="2"/>
      <c r="O11027" s="20"/>
      <c r="P11027" s="42"/>
      <c r="R11027" s="23"/>
    </row>
    <row r="11028" spans="1:18" ht="12.75">
      <c r="A11028" s="12"/>
      <c r="D11028" s="12"/>
      <c r="E11028" s="12"/>
      <c r="H11028" s="11" t="str">
        <f ca="1">IFERROR(__xludf.DUMMYFUNCTION("IFERROR(SUBSTITUTE(SUBSTITUTE(REGEXEXTRACT(A11028, ""[^-]+- [^-]+- [^-]+ - (.+?)\.jpg""), "".jpg"", """"), ""-"", "", ""), """")"),"")</f>
        <v/>
      </c>
      <c r="L11028" s="12"/>
      <c r="M11028" s="13"/>
      <c r="N11028" s="2"/>
      <c r="O11028" s="20"/>
      <c r="P11028" s="42"/>
      <c r="R11028" s="23"/>
    </row>
    <row r="11029" spans="1:18" ht="12.75">
      <c r="A11029" s="12"/>
      <c r="D11029" s="12"/>
      <c r="E11029" s="12"/>
      <c r="H11029" s="11" t="str">
        <f ca="1">IFERROR(__xludf.DUMMYFUNCTION("IFERROR(SUBSTITUTE(SUBSTITUTE(REGEXEXTRACT(A11029, ""[^-]+- [^-]+- [^-]+ - (.+?)\.jpg""), "".jpg"", """"), ""-"", "", ""), """")"),"")</f>
        <v/>
      </c>
      <c r="L11029" s="12"/>
      <c r="M11029" s="13"/>
      <c r="N11029" s="2"/>
      <c r="O11029" s="20"/>
      <c r="P11029" s="42"/>
      <c r="R11029" s="23"/>
    </row>
    <row r="11030" spans="1:18" ht="12.75">
      <c r="A11030" s="12"/>
      <c r="D11030" s="12"/>
      <c r="E11030" s="12"/>
      <c r="H11030" s="11" t="str">
        <f ca="1">IFERROR(__xludf.DUMMYFUNCTION("IFERROR(SUBSTITUTE(SUBSTITUTE(REGEXEXTRACT(A11030, ""[^-]+- [^-]+- [^-]+ - (.+?)\.jpg""), "".jpg"", """"), ""-"", "", ""), """")"),"")</f>
        <v/>
      </c>
      <c r="L11030" s="12"/>
      <c r="M11030" s="13"/>
      <c r="N11030" s="2"/>
      <c r="O11030" s="20"/>
      <c r="P11030" s="42"/>
      <c r="R11030" s="23"/>
    </row>
    <row r="11031" spans="1:18" ht="12.75">
      <c r="A11031" s="12"/>
      <c r="D11031" s="12"/>
      <c r="E11031" s="12"/>
      <c r="H11031" s="11" t="str">
        <f ca="1">IFERROR(__xludf.DUMMYFUNCTION("IFERROR(SUBSTITUTE(SUBSTITUTE(REGEXEXTRACT(A11031, ""[^-]+- [^-]+- [^-]+ - (.+?)\.jpg""), "".jpg"", """"), ""-"", "", ""), """")"),"")</f>
        <v/>
      </c>
      <c r="L11031" s="12"/>
      <c r="M11031" s="13"/>
      <c r="N11031" s="2"/>
      <c r="O11031" s="20"/>
      <c r="P11031" s="42"/>
      <c r="R11031" s="23"/>
    </row>
    <row r="11032" spans="1:18" ht="12.75">
      <c r="A11032" s="12"/>
      <c r="D11032" s="12"/>
      <c r="E11032" s="12"/>
      <c r="H11032" s="11" t="str">
        <f ca="1">IFERROR(__xludf.DUMMYFUNCTION("IFERROR(SUBSTITUTE(SUBSTITUTE(REGEXEXTRACT(A11032, ""[^-]+- [^-]+- [^-]+ - (.+?)\.jpg""), "".jpg"", """"), ""-"", "", ""), """")"),"")</f>
        <v/>
      </c>
      <c r="L11032" s="12"/>
      <c r="M11032" s="13"/>
      <c r="N11032" s="2"/>
      <c r="O11032" s="20"/>
      <c r="P11032" s="42"/>
      <c r="R11032" s="23"/>
    </row>
    <row r="11033" spans="1:18" ht="12.75">
      <c r="A11033" s="12"/>
      <c r="D11033" s="12"/>
      <c r="E11033" s="12"/>
      <c r="H11033" s="11" t="str">
        <f ca="1">IFERROR(__xludf.DUMMYFUNCTION("IFERROR(SUBSTITUTE(SUBSTITUTE(REGEXEXTRACT(A11033, ""[^-]+- [^-]+- [^-]+ - (.+?)\.jpg""), "".jpg"", """"), ""-"", "", ""), """")"),"")</f>
        <v/>
      </c>
      <c r="L11033" s="12"/>
      <c r="M11033" s="13"/>
      <c r="N11033" s="2"/>
      <c r="O11033" s="20"/>
      <c r="P11033" s="42"/>
      <c r="R11033" s="23"/>
    </row>
    <row r="11034" spans="1:18" ht="12.75">
      <c r="A11034" s="12"/>
      <c r="D11034" s="12"/>
      <c r="E11034" s="12"/>
      <c r="H11034" s="11" t="str">
        <f ca="1">IFERROR(__xludf.DUMMYFUNCTION("IFERROR(SUBSTITUTE(SUBSTITUTE(REGEXEXTRACT(A11034, ""[^-]+- [^-]+- [^-]+ - (.+?)\.jpg""), "".jpg"", """"), ""-"", "", ""), """")"),"")</f>
        <v/>
      </c>
      <c r="L11034" s="12"/>
      <c r="M11034" s="13"/>
      <c r="N11034" s="2"/>
      <c r="O11034" s="20"/>
      <c r="P11034" s="42"/>
      <c r="R11034" s="23"/>
    </row>
    <row r="11035" spans="1:18" ht="12.75">
      <c r="A11035" s="12"/>
      <c r="D11035" s="12"/>
      <c r="E11035" s="12"/>
      <c r="H11035" s="11" t="str">
        <f ca="1">IFERROR(__xludf.DUMMYFUNCTION("IFERROR(SUBSTITUTE(SUBSTITUTE(REGEXEXTRACT(A11035, ""[^-]+- [^-]+- [^-]+ - (.+?)\.jpg""), "".jpg"", """"), ""-"", "", ""), """")"),"")</f>
        <v/>
      </c>
      <c r="L11035" s="12"/>
      <c r="M11035" s="13"/>
      <c r="N11035" s="2"/>
      <c r="O11035" s="20"/>
      <c r="P11035" s="42"/>
      <c r="R11035" s="23"/>
    </row>
    <row r="11036" spans="1:18" ht="12.75">
      <c r="A11036" s="12"/>
      <c r="D11036" s="12"/>
      <c r="E11036" s="12"/>
      <c r="H11036" s="11" t="str">
        <f ca="1">IFERROR(__xludf.DUMMYFUNCTION("IFERROR(SUBSTITUTE(SUBSTITUTE(REGEXEXTRACT(A11036, ""[^-]+- [^-]+- [^-]+ - (.+?)\.jpg""), "".jpg"", """"), ""-"", "", ""), """")"),"")</f>
        <v/>
      </c>
      <c r="L11036" s="12"/>
      <c r="M11036" s="13"/>
      <c r="N11036" s="2"/>
      <c r="O11036" s="20"/>
      <c r="P11036" s="42"/>
      <c r="R11036" s="23"/>
    </row>
    <row r="11037" spans="1:18" ht="12.75">
      <c r="A11037" s="12"/>
      <c r="D11037" s="12"/>
      <c r="E11037" s="12"/>
      <c r="H11037" s="11" t="str">
        <f ca="1">IFERROR(__xludf.DUMMYFUNCTION("IFERROR(SUBSTITUTE(SUBSTITUTE(REGEXEXTRACT(A11037, ""[^-]+- [^-]+- [^-]+ - (.+?)\.jpg""), "".jpg"", """"), ""-"", "", ""), """")"),"")</f>
        <v/>
      </c>
      <c r="L11037" s="12"/>
      <c r="M11037" s="13"/>
      <c r="N11037" s="2"/>
      <c r="O11037" s="20"/>
      <c r="P11037" s="42"/>
      <c r="R11037" s="23"/>
    </row>
    <row r="11038" spans="1:18" ht="12.75">
      <c r="A11038" s="12"/>
      <c r="D11038" s="12"/>
      <c r="E11038" s="12"/>
      <c r="H11038" s="11" t="str">
        <f ca="1">IFERROR(__xludf.DUMMYFUNCTION("IFERROR(SUBSTITUTE(SUBSTITUTE(REGEXEXTRACT(A11038, ""[^-]+- [^-]+- [^-]+ - (.+?)\.jpg""), "".jpg"", """"), ""-"", "", ""), """")"),"")</f>
        <v/>
      </c>
      <c r="L11038" s="12"/>
      <c r="M11038" s="13"/>
      <c r="N11038" s="2"/>
      <c r="O11038" s="20"/>
      <c r="P11038" s="42"/>
      <c r="R11038" s="23"/>
    </row>
    <row r="11039" spans="1:18" ht="12.75">
      <c r="A11039" s="12"/>
      <c r="D11039" s="12"/>
      <c r="E11039" s="12"/>
      <c r="H11039" s="11" t="str">
        <f ca="1">IFERROR(__xludf.DUMMYFUNCTION("IFERROR(SUBSTITUTE(SUBSTITUTE(REGEXEXTRACT(A11039, ""[^-]+- [^-]+- [^-]+ - (.+?)\.jpg""), "".jpg"", """"), ""-"", "", ""), """")"),"")</f>
        <v/>
      </c>
      <c r="L11039" s="12"/>
      <c r="M11039" s="13"/>
      <c r="N11039" s="2"/>
      <c r="O11039" s="20"/>
      <c r="P11039" s="42"/>
      <c r="R11039" s="23"/>
    </row>
    <row r="11040" spans="1:18" ht="12.75">
      <c r="A11040" s="12"/>
      <c r="D11040" s="12"/>
      <c r="E11040" s="12"/>
      <c r="H11040" s="11" t="str">
        <f ca="1">IFERROR(__xludf.DUMMYFUNCTION("IFERROR(SUBSTITUTE(SUBSTITUTE(REGEXEXTRACT(A11040, ""[^-]+- [^-]+- [^-]+ - (.+?)\.jpg""), "".jpg"", """"), ""-"", "", ""), """")"),"")</f>
        <v/>
      </c>
      <c r="L11040" s="12"/>
      <c r="M11040" s="13"/>
      <c r="N11040" s="2"/>
      <c r="O11040" s="20"/>
      <c r="P11040" s="42"/>
      <c r="R11040" s="23"/>
    </row>
    <row r="11041" spans="1:18" ht="12.75">
      <c r="A11041" s="12"/>
      <c r="D11041" s="12"/>
      <c r="E11041" s="12"/>
      <c r="H11041" s="11" t="str">
        <f ca="1">IFERROR(__xludf.DUMMYFUNCTION("IFERROR(SUBSTITUTE(SUBSTITUTE(REGEXEXTRACT(A11041, ""[^-]+- [^-]+- [^-]+ - (.+?)\.jpg""), "".jpg"", """"), ""-"", "", ""), """")"),"")</f>
        <v/>
      </c>
      <c r="L11041" s="12"/>
      <c r="M11041" s="13"/>
      <c r="N11041" s="2"/>
      <c r="O11041" s="20"/>
      <c r="P11041" s="42"/>
      <c r="R11041" s="23"/>
    </row>
    <row r="11042" spans="1:18" ht="12.75">
      <c r="A11042" s="12"/>
      <c r="D11042" s="12"/>
      <c r="E11042" s="12"/>
      <c r="H11042" s="11" t="str">
        <f ca="1">IFERROR(__xludf.DUMMYFUNCTION("IFERROR(SUBSTITUTE(SUBSTITUTE(REGEXEXTRACT(A11042, ""[^-]+- [^-]+- [^-]+ - (.+?)\.jpg""), "".jpg"", """"), ""-"", "", ""), """")"),"")</f>
        <v/>
      </c>
      <c r="L11042" s="12"/>
      <c r="M11042" s="13"/>
      <c r="N11042" s="2"/>
      <c r="O11042" s="20"/>
      <c r="P11042" s="42"/>
      <c r="R11042" s="23"/>
    </row>
    <row r="11043" spans="1:18" ht="12.75">
      <c r="A11043" s="12"/>
      <c r="D11043" s="12"/>
      <c r="E11043" s="12"/>
      <c r="H11043" s="11" t="str">
        <f ca="1">IFERROR(__xludf.DUMMYFUNCTION("IFERROR(SUBSTITUTE(SUBSTITUTE(REGEXEXTRACT(A11043, ""[^-]+- [^-]+- [^-]+ - (.+?)\.jpg""), "".jpg"", """"), ""-"", "", ""), """")"),"")</f>
        <v/>
      </c>
      <c r="L11043" s="12"/>
      <c r="M11043" s="13"/>
      <c r="N11043" s="2"/>
      <c r="O11043" s="20"/>
      <c r="P11043" s="42"/>
      <c r="R11043" s="23"/>
    </row>
    <row r="11044" spans="1:18" ht="12.75">
      <c r="A11044" s="12"/>
      <c r="D11044" s="12"/>
      <c r="E11044" s="12"/>
      <c r="H11044" s="11" t="str">
        <f ca="1">IFERROR(__xludf.DUMMYFUNCTION("IFERROR(SUBSTITUTE(SUBSTITUTE(REGEXEXTRACT(A11044, ""[^-]+- [^-]+- [^-]+ - (.+?)\.jpg""), "".jpg"", """"), ""-"", "", ""), """")"),"")</f>
        <v/>
      </c>
      <c r="L11044" s="12"/>
      <c r="M11044" s="13"/>
      <c r="N11044" s="2"/>
      <c r="O11044" s="20"/>
      <c r="P11044" s="42"/>
      <c r="R11044" s="23"/>
    </row>
    <row r="11045" spans="1:18" ht="12.75">
      <c r="A11045" s="12"/>
      <c r="D11045" s="12"/>
      <c r="E11045" s="12"/>
      <c r="H11045" s="11" t="str">
        <f ca="1">IFERROR(__xludf.DUMMYFUNCTION("IFERROR(SUBSTITUTE(SUBSTITUTE(REGEXEXTRACT(A11045, ""[^-]+- [^-]+- [^-]+ - (.+?)\.jpg""), "".jpg"", """"), ""-"", "", ""), """")"),"")</f>
        <v/>
      </c>
      <c r="L11045" s="12"/>
      <c r="M11045" s="13"/>
      <c r="N11045" s="2"/>
      <c r="O11045" s="20"/>
      <c r="P11045" s="42"/>
      <c r="R11045" s="23"/>
    </row>
    <row r="11046" spans="1:18" ht="12.75">
      <c r="A11046" s="12"/>
      <c r="D11046" s="12"/>
      <c r="E11046" s="12"/>
      <c r="H11046" s="11" t="str">
        <f ca="1">IFERROR(__xludf.DUMMYFUNCTION("IFERROR(SUBSTITUTE(SUBSTITUTE(REGEXEXTRACT(A11046, ""[^-]+- [^-]+- [^-]+ - (.+?)\.jpg""), "".jpg"", """"), ""-"", "", ""), """")"),"")</f>
        <v/>
      </c>
      <c r="L11046" s="12"/>
      <c r="M11046" s="13"/>
      <c r="N11046" s="2"/>
      <c r="O11046" s="20"/>
      <c r="P11046" s="42"/>
      <c r="R11046" s="23"/>
    </row>
    <row r="11047" spans="1:18" ht="12.75">
      <c r="A11047" s="12"/>
      <c r="D11047" s="12"/>
      <c r="E11047" s="12"/>
      <c r="H11047" s="11" t="str">
        <f ca="1">IFERROR(__xludf.DUMMYFUNCTION("IFERROR(SUBSTITUTE(SUBSTITUTE(REGEXEXTRACT(A11047, ""[^-]+- [^-]+- [^-]+ - (.+?)\.jpg""), "".jpg"", """"), ""-"", "", ""), """")"),"")</f>
        <v/>
      </c>
      <c r="L11047" s="12"/>
      <c r="M11047" s="13"/>
      <c r="N11047" s="2"/>
      <c r="O11047" s="20"/>
      <c r="P11047" s="42"/>
      <c r="R11047" s="23"/>
    </row>
    <row r="11048" spans="1:18" ht="12.75">
      <c r="A11048" s="12"/>
      <c r="D11048" s="12"/>
      <c r="E11048" s="12"/>
      <c r="H11048" s="11" t="str">
        <f ca="1">IFERROR(__xludf.DUMMYFUNCTION("IFERROR(SUBSTITUTE(SUBSTITUTE(REGEXEXTRACT(A11048, ""[^-]+- [^-]+- [^-]+ - (.+?)\.jpg""), "".jpg"", """"), ""-"", "", ""), """")"),"")</f>
        <v/>
      </c>
      <c r="L11048" s="12"/>
      <c r="M11048" s="13"/>
      <c r="N11048" s="2"/>
      <c r="O11048" s="20"/>
      <c r="P11048" s="42"/>
      <c r="R11048" s="23"/>
    </row>
    <row r="11049" spans="1:18" ht="12.75">
      <c r="A11049" s="12"/>
      <c r="D11049" s="12"/>
      <c r="E11049" s="12"/>
      <c r="H11049" s="11" t="str">
        <f ca="1">IFERROR(__xludf.DUMMYFUNCTION("IFERROR(SUBSTITUTE(SUBSTITUTE(REGEXEXTRACT(A11049, ""[^-]+- [^-]+- [^-]+ - (.+?)\.jpg""), "".jpg"", """"), ""-"", "", ""), """")"),"")</f>
        <v/>
      </c>
      <c r="L11049" s="12"/>
      <c r="M11049" s="13"/>
      <c r="N11049" s="2"/>
      <c r="O11049" s="20"/>
      <c r="P11049" s="42"/>
      <c r="R11049" s="23"/>
    </row>
    <row r="11050" spans="1:18" ht="12.75">
      <c r="A11050" s="12"/>
      <c r="D11050" s="12"/>
      <c r="E11050" s="12"/>
      <c r="H11050" s="11" t="str">
        <f ca="1">IFERROR(__xludf.DUMMYFUNCTION("IFERROR(SUBSTITUTE(SUBSTITUTE(REGEXEXTRACT(A11050, ""[^-]+- [^-]+- [^-]+ - (.+?)\.jpg""), "".jpg"", """"), ""-"", "", ""), """")"),"")</f>
        <v/>
      </c>
      <c r="L11050" s="12"/>
      <c r="M11050" s="13"/>
      <c r="N11050" s="2"/>
      <c r="O11050" s="20"/>
      <c r="P11050" s="42"/>
      <c r="R11050" s="23"/>
    </row>
    <row r="11051" spans="1:18" ht="12.75">
      <c r="A11051" s="12"/>
      <c r="D11051" s="12"/>
      <c r="E11051" s="12"/>
      <c r="H11051" s="11" t="str">
        <f ca="1">IFERROR(__xludf.DUMMYFUNCTION("IFERROR(SUBSTITUTE(SUBSTITUTE(REGEXEXTRACT(A11051, ""[^-]+- [^-]+- [^-]+ - (.+?)\.jpg""), "".jpg"", """"), ""-"", "", ""), """")"),"")</f>
        <v/>
      </c>
      <c r="L11051" s="12"/>
      <c r="M11051" s="13"/>
      <c r="N11051" s="2"/>
      <c r="O11051" s="20"/>
      <c r="P11051" s="42"/>
      <c r="R11051" s="23"/>
    </row>
    <row r="11052" spans="1:18" ht="12.75">
      <c r="A11052" s="12"/>
      <c r="D11052" s="12"/>
      <c r="E11052" s="12"/>
      <c r="H11052" s="11" t="str">
        <f ca="1">IFERROR(__xludf.DUMMYFUNCTION("IFERROR(SUBSTITUTE(SUBSTITUTE(REGEXEXTRACT(A11052, ""[^-]+- [^-]+- [^-]+ - (.+?)\.jpg""), "".jpg"", """"), ""-"", "", ""), """")"),"")</f>
        <v/>
      </c>
      <c r="L11052" s="12"/>
      <c r="M11052" s="13"/>
      <c r="N11052" s="2"/>
      <c r="O11052" s="20"/>
      <c r="P11052" s="42"/>
      <c r="R11052" s="23"/>
    </row>
    <row r="11053" spans="1:18" ht="12.75">
      <c r="A11053" s="12"/>
      <c r="D11053" s="12"/>
      <c r="E11053" s="12"/>
      <c r="H11053" s="11" t="str">
        <f ca="1">IFERROR(__xludf.DUMMYFUNCTION("IFERROR(SUBSTITUTE(SUBSTITUTE(REGEXEXTRACT(A11053, ""[^-]+- [^-]+- [^-]+ - (.+?)\.jpg""), "".jpg"", """"), ""-"", "", ""), """")"),"")</f>
        <v/>
      </c>
      <c r="L11053" s="12"/>
      <c r="M11053" s="13"/>
      <c r="N11053" s="2"/>
      <c r="O11053" s="20"/>
      <c r="P11053" s="42"/>
      <c r="R11053" s="23"/>
    </row>
    <row r="11054" spans="1:18" ht="12.75">
      <c r="A11054" s="12"/>
      <c r="D11054" s="12"/>
      <c r="E11054" s="12"/>
      <c r="H11054" s="11" t="str">
        <f ca="1">IFERROR(__xludf.DUMMYFUNCTION("IFERROR(SUBSTITUTE(SUBSTITUTE(REGEXEXTRACT(A11054, ""[^-]+- [^-]+- [^-]+ - (.+?)\.jpg""), "".jpg"", """"), ""-"", "", ""), """")"),"")</f>
        <v/>
      </c>
      <c r="L11054" s="12"/>
      <c r="M11054" s="13"/>
      <c r="N11054" s="2"/>
      <c r="O11054" s="20"/>
      <c r="P11054" s="42"/>
      <c r="R11054" s="23"/>
    </row>
    <row r="11055" spans="1:18" ht="12.75">
      <c r="A11055" s="12"/>
      <c r="D11055" s="12"/>
      <c r="E11055" s="12"/>
      <c r="H11055" s="11" t="str">
        <f ca="1">IFERROR(__xludf.DUMMYFUNCTION("IFERROR(SUBSTITUTE(SUBSTITUTE(REGEXEXTRACT(A11055, ""[^-]+- [^-]+- [^-]+ - (.+?)\.jpg""), "".jpg"", """"), ""-"", "", ""), """")"),"")</f>
        <v/>
      </c>
      <c r="L11055" s="12"/>
      <c r="M11055" s="13"/>
      <c r="N11055" s="2"/>
      <c r="O11055" s="20"/>
      <c r="P11055" s="42"/>
      <c r="R11055" s="23"/>
    </row>
    <row r="11056" spans="1:18" ht="12.75">
      <c r="A11056" s="12"/>
      <c r="D11056" s="12"/>
      <c r="E11056" s="12"/>
      <c r="H11056" s="11" t="str">
        <f ca="1">IFERROR(__xludf.DUMMYFUNCTION("IFERROR(SUBSTITUTE(SUBSTITUTE(REGEXEXTRACT(A11056, ""[^-]+- [^-]+- [^-]+ - (.+?)\.jpg""), "".jpg"", """"), ""-"", "", ""), """")"),"")</f>
        <v/>
      </c>
      <c r="L11056" s="12"/>
      <c r="M11056" s="13"/>
      <c r="N11056" s="2"/>
      <c r="O11056" s="20"/>
      <c r="P11056" s="42"/>
      <c r="R11056" s="23"/>
    </row>
    <row r="11057" spans="1:18" ht="12.75">
      <c r="A11057" s="12"/>
      <c r="D11057" s="12"/>
      <c r="E11057" s="12"/>
      <c r="H11057" s="11" t="str">
        <f ca="1">IFERROR(__xludf.DUMMYFUNCTION("IFERROR(SUBSTITUTE(SUBSTITUTE(REGEXEXTRACT(A11057, ""[^-]+- [^-]+- [^-]+ - (.+?)\.jpg""), "".jpg"", """"), ""-"", "", ""), """")"),"")</f>
        <v/>
      </c>
      <c r="L11057" s="12"/>
      <c r="M11057" s="13"/>
      <c r="N11057" s="2"/>
      <c r="O11057" s="20"/>
      <c r="P11057" s="42"/>
      <c r="R11057" s="23"/>
    </row>
    <row r="11058" spans="1:18" ht="12.75">
      <c r="A11058" s="12"/>
      <c r="D11058" s="12"/>
      <c r="E11058" s="12"/>
      <c r="H11058" s="11" t="str">
        <f ca="1">IFERROR(__xludf.DUMMYFUNCTION("IFERROR(SUBSTITUTE(SUBSTITUTE(REGEXEXTRACT(A11058, ""[^-]+- [^-]+- [^-]+ - (.+?)\.jpg""), "".jpg"", """"), ""-"", "", ""), """")"),"")</f>
        <v/>
      </c>
      <c r="L11058" s="12"/>
      <c r="M11058" s="13"/>
      <c r="N11058" s="2"/>
      <c r="O11058" s="20"/>
      <c r="P11058" s="42"/>
      <c r="R11058" s="23"/>
    </row>
    <row r="11059" spans="1:18" ht="12.75">
      <c r="A11059" s="12"/>
      <c r="D11059" s="12"/>
      <c r="E11059" s="12"/>
      <c r="H11059" s="11" t="str">
        <f ca="1">IFERROR(__xludf.DUMMYFUNCTION("IFERROR(SUBSTITUTE(SUBSTITUTE(REGEXEXTRACT(A11059, ""[^-]+- [^-]+- [^-]+ - (.+?)\.jpg""), "".jpg"", """"), ""-"", "", ""), """")"),"")</f>
        <v/>
      </c>
      <c r="L11059" s="12"/>
      <c r="M11059" s="13"/>
      <c r="N11059" s="2"/>
      <c r="O11059" s="20"/>
      <c r="P11059" s="42"/>
      <c r="R11059" s="23"/>
    </row>
    <row r="11060" spans="1:18" ht="12.75">
      <c r="A11060" s="12"/>
      <c r="D11060" s="12"/>
      <c r="E11060" s="12"/>
      <c r="H11060" s="11" t="str">
        <f ca="1">IFERROR(__xludf.DUMMYFUNCTION("IFERROR(SUBSTITUTE(SUBSTITUTE(REGEXEXTRACT(A11060, ""[^-]+- [^-]+- [^-]+ - (.+?)\.jpg""), "".jpg"", """"), ""-"", "", ""), """")"),"")</f>
        <v/>
      </c>
      <c r="L11060" s="12"/>
      <c r="M11060" s="13"/>
      <c r="N11060" s="2"/>
      <c r="O11060" s="20"/>
      <c r="P11060" s="42"/>
      <c r="R11060" s="23"/>
    </row>
    <row r="11061" spans="1:18" ht="12.75">
      <c r="A11061" s="12"/>
      <c r="D11061" s="12"/>
      <c r="E11061" s="12"/>
      <c r="H11061" s="11" t="str">
        <f ca="1">IFERROR(__xludf.DUMMYFUNCTION("IFERROR(SUBSTITUTE(SUBSTITUTE(REGEXEXTRACT(A11061, ""[^-]+- [^-]+- [^-]+ - (.+?)\.jpg""), "".jpg"", """"), ""-"", "", ""), """")"),"")</f>
        <v/>
      </c>
      <c r="L11061" s="12"/>
      <c r="M11061" s="13"/>
      <c r="N11061" s="2"/>
      <c r="O11061" s="20"/>
      <c r="P11061" s="42"/>
      <c r="R11061" s="23"/>
    </row>
    <row r="11062" spans="1:18" ht="12.75">
      <c r="A11062" s="12"/>
      <c r="D11062" s="12"/>
      <c r="E11062" s="12"/>
      <c r="H11062" s="11" t="str">
        <f ca="1">IFERROR(__xludf.DUMMYFUNCTION("IFERROR(SUBSTITUTE(SUBSTITUTE(REGEXEXTRACT(A11062, ""[^-]+- [^-]+- [^-]+ - (.+?)\.jpg""), "".jpg"", """"), ""-"", "", ""), """")"),"")</f>
        <v/>
      </c>
      <c r="L11062" s="12"/>
      <c r="M11062" s="13"/>
      <c r="N11062" s="2"/>
      <c r="O11062" s="20"/>
      <c r="P11062" s="42"/>
      <c r="R11062" s="23"/>
    </row>
    <row r="11063" spans="1:18" ht="12.75">
      <c r="A11063" s="12"/>
      <c r="D11063" s="12"/>
      <c r="E11063" s="12"/>
      <c r="H11063" s="11" t="str">
        <f ca="1">IFERROR(__xludf.DUMMYFUNCTION("IFERROR(SUBSTITUTE(SUBSTITUTE(REGEXEXTRACT(A11063, ""[^-]+- [^-]+- [^-]+ - (.+?)\.jpg""), "".jpg"", """"), ""-"", "", ""), """")"),"")</f>
        <v/>
      </c>
      <c r="L11063" s="12"/>
      <c r="M11063" s="13"/>
      <c r="N11063" s="2"/>
      <c r="O11063" s="20"/>
      <c r="P11063" s="42"/>
      <c r="R11063" s="23"/>
    </row>
    <row r="11064" spans="1:18" ht="12.75">
      <c r="A11064" s="12"/>
      <c r="D11064" s="12"/>
      <c r="E11064" s="12"/>
      <c r="H11064" s="11" t="str">
        <f ca="1">IFERROR(__xludf.DUMMYFUNCTION("IFERROR(SUBSTITUTE(SUBSTITUTE(REGEXEXTRACT(A11064, ""[^-]+- [^-]+- [^-]+ - (.+?)\.jpg""), "".jpg"", """"), ""-"", "", ""), """")"),"")</f>
        <v/>
      </c>
      <c r="L11064" s="12"/>
      <c r="M11064" s="13"/>
      <c r="N11064" s="2"/>
      <c r="O11064" s="20"/>
      <c r="P11064" s="42"/>
      <c r="R11064" s="23"/>
    </row>
    <row r="11065" spans="1:18" ht="12.75">
      <c r="A11065" s="12"/>
      <c r="D11065" s="12"/>
      <c r="E11065" s="12"/>
      <c r="H11065" s="11" t="str">
        <f ca="1">IFERROR(__xludf.DUMMYFUNCTION("IFERROR(SUBSTITUTE(SUBSTITUTE(REGEXEXTRACT(A11065, ""[^-]+- [^-]+- [^-]+ - (.+?)\.jpg""), "".jpg"", """"), ""-"", "", ""), """")"),"")</f>
        <v/>
      </c>
      <c r="L11065" s="12"/>
      <c r="M11065" s="13"/>
      <c r="N11065" s="2"/>
      <c r="O11065" s="20"/>
      <c r="P11065" s="42"/>
      <c r="R11065" s="23"/>
    </row>
    <row r="11066" spans="1:18" ht="12.75">
      <c r="A11066" s="12"/>
      <c r="D11066" s="12"/>
      <c r="E11066" s="12"/>
      <c r="H11066" s="11" t="str">
        <f ca="1">IFERROR(__xludf.DUMMYFUNCTION("IFERROR(SUBSTITUTE(SUBSTITUTE(REGEXEXTRACT(A11066, ""[^-]+- [^-]+- [^-]+ - (.+?)\.jpg""), "".jpg"", """"), ""-"", "", ""), """")"),"")</f>
        <v/>
      </c>
      <c r="L11066" s="12"/>
      <c r="M11066" s="13"/>
      <c r="N11066" s="2"/>
      <c r="O11066" s="20"/>
      <c r="P11066" s="42"/>
      <c r="R11066" s="23"/>
    </row>
    <row r="11067" spans="1:18" ht="12.75">
      <c r="A11067" s="12"/>
      <c r="D11067" s="12"/>
      <c r="E11067" s="12"/>
      <c r="H11067" s="11" t="str">
        <f ca="1">IFERROR(__xludf.DUMMYFUNCTION("IFERROR(SUBSTITUTE(SUBSTITUTE(REGEXEXTRACT(A11067, ""[^-]+- [^-]+- [^-]+ - (.+?)\.jpg""), "".jpg"", """"), ""-"", "", ""), """")"),"")</f>
        <v/>
      </c>
      <c r="L11067" s="12"/>
      <c r="M11067" s="13"/>
      <c r="N11067" s="2"/>
      <c r="O11067" s="20"/>
      <c r="P11067" s="42"/>
      <c r="R11067" s="23"/>
    </row>
    <row r="11068" spans="1:18" ht="12.75">
      <c r="A11068" s="12"/>
      <c r="D11068" s="12"/>
      <c r="E11068" s="12"/>
      <c r="H11068" s="11" t="str">
        <f ca="1">IFERROR(__xludf.DUMMYFUNCTION("IFERROR(SUBSTITUTE(SUBSTITUTE(REGEXEXTRACT(A11068, ""[^-]+- [^-]+- [^-]+ - (.+?)\.jpg""), "".jpg"", """"), ""-"", "", ""), """")"),"")</f>
        <v/>
      </c>
      <c r="L11068" s="12"/>
      <c r="M11068" s="13"/>
      <c r="N11068" s="2"/>
      <c r="O11068" s="20"/>
      <c r="P11068" s="42"/>
      <c r="R11068" s="23"/>
    </row>
    <row r="11069" spans="1:18" ht="12.75">
      <c r="A11069" s="12"/>
      <c r="D11069" s="12"/>
      <c r="E11069" s="12"/>
      <c r="H11069" s="11" t="str">
        <f ca="1">IFERROR(__xludf.DUMMYFUNCTION("IFERROR(SUBSTITUTE(SUBSTITUTE(REGEXEXTRACT(A11069, ""[^-]+- [^-]+- [^-]+ - (.+?)\.jpg""), "".jpg"", """"), ""-"", "", ""), """")"),"")</f>
        <v/>
      </c>
      <c r="L11069" s="12"/>
      <c r="M11069" s="13"/>
      <c r="N11069" s="2"/>
      <c r="O11069" s="20"/>
      <c r="P11069" s="42"/>
      <c r="R11069" s="23"/>
    </row>
    <row r="11070" spans="1:18" ht="12.75">
      <c r="A11070" s="12"/>
      <c r="D11070" s="12"/>
      <c r="E11070" s="12"/>
      <c r="H11070" s="11" t="str">
        <f ca="1">IFERROR(__xludf.DUMMYFUNCTION("IFERROR(SUBSTITUTE(SUBSTITUTE(REGEXEXTRACT(A11070, ""[^-]+- [^-]+- [^-]+ - (.+?)\.jpg""), "".jpg"", """"), ""-"", "", ""), """")"),"")</f>
        <v/>
      </c>
      <c r="L11070" s="12"/>
      <c r="M11070" s="13"/>
      <c r="N11070" s="2"/>
      <c r="O11070" s="20"/>
      <c r="P11070" s="42"/>
      <c r="R11070" s="23"/>
    </row>
    <row r="11071" spans="1:18" ht="12.75">
      <c r="A11071" s="12"/>
      <c r="D11071" s="12"/>
      <c r="E11071" s="12"/>
      <c r="H11071" s="11" t="str">
        <f ca="1">IFERROR(__xludf.DUMMYFUNCTION("IFERROR(SUBSTITUTE(SUBSTITUTE(REGEXEXTRACT(A11071, ""[^-]+- [^-]+- [^-]+ - (.+?)\.jpg""), "".jpg"", """"), ""-"", "", ""), """")"),"")</f>
        <v/>
      </c>
      <c r="L11071" s="12"/>
      <c r="M11071" s="13"/>
      <c r="N11071" s="2"/>
      <c r="O11071" s="20"/>
      <c r="P11071" s="42"/>
      <c r="R11071" s="23"/>
    </row>
    <row r="11072" spans="1:18" ht="12.75">
      <c r="A11072" s="12"/>
      <c r="D11072" s="12"/>
      <c r="E11072" s="12"/>
      <c r="H11072" s="11" t="str">
        <f ca="1">IFERROR(__xludf.DUMMYFUNCTION("IFERROR(SUBSTITUTE(SUBSTITUTE(REGEXEXTRACT(A11072, ""[^-]+- [^-]+- [^-]+ - (.+?)\.jpg""), "".jpg"", """"), ""-"", "", ""), """")"),"")</f>
        <v/>
      </c>
      <c r="L11072" s="12"/>
      <c r="M11072" s="13"/>
      <c r="N11072" s="2"/>
      <c r="O11072" s="20"/>
      <c r="P11072" s="42"/>
      <c r="R11072" s="23"/>
    </row>
    <row r="11073" spans="1:18" ht="12.75">
      <c r="A11073" s="12"/>
      <c r="D11073" s="12"/>
      <c r="E11073" s="12"/>
      <c r="H11073" s="11" t="str">
        <f ca="1">IFERROR(__xludf.DUMMYFUNCTION("IFERROR(SUBSTITUTE(SUBSTITUTE(REGEXEXTRACT(A11073, ""[^-]+- [^-]+- [^-]+ - (.+?)\.jpg""), "".jpg"", """"), ""-"", "", ""), """")"),"")</f>
        <v/>
      </c>
      <c r="L11073" s="12"/>
      <c r="M11073" s="13"/>
      <c r="N11073" s="2"/>
      <c r="O11073" s="20"/>
      <c r="P11073" s="42"/>
      <c r="R11073" s="23"/>
    </row>
    <row r="11074" spans="1:18" ht="12.75">
      <c r="A11074" s="12"/>
      <c r="D11074" s="12"/>
      <c r="E11074" s="12"/>
      <c r="H11074" s="11" t="str">
        <f ca="1">IFERROR(__xludf.DUMMYFUNCTION("IFERROR(SUBSTITUTE(SUBSTITUTE(REGEXEXTRACT(A11074, ""[^-]+- [^-]+- [^-]+ - (.+?)\.jpg""), "".jpg"", """"), ""-"", "", ""), """")"),"")</f>
        <v/>
      </c>
      <c r="L11074" s="12"/>
      <c r="M11074" s="13"/>
      <c r="N11074" s="2"/>
      <c r="O11074" s="20"/>
      <c r="P11074" s="42"/>
      <c r="R11074" s="23"/>
    </row>
    <row r="11075" spans="1:18" ht="12.75">
      <c r="A11075" s="12"/>
      <c r="D11075" s="12"/>
      <c r="E11075" s="12"/>
      <c r="H11075" s="11" t="str">
        <f ca="1">IFERROR(__xludf.DUMMYFUNCTION("IFERROR(SUBSTITUTE(SUBSTITUTE(REGEXEXTRACT(A11075, ""[^-]+- [^-]+- [^-]+ - (.+?)\.jpg""), "".jpg"", """"), ""-"", "", ""), """")"),"")</f>
        <v/>
      </c>
      <c r="L11075" s="12"/>
      <c r="M11075" s="13"/>
      <c r="N11075" s="2"/>
      <c r="O11075" s="20"/>
      <c r="P11075" s="42"/>
      <c r="R11075" s="23"/>
    </row>
    <row r="11076" spans="1:18" ht="12.75">
      <c r="A11076" s="12"/>
      <c r="D11076" s="12"/>
      <c r="E11076" s="12"/>
      <c r="H11076" s="11" t="str">
        <f ca="1">IFERROR(__xludf.DUMMYFUNCTION("IFERROR(SUBSTITUTE(SUBSTITUTE(REGEXEXTRACT(A11076, ""[^-]+- [^-]+- [^-]+ - (.+?)\.jpg""), "".jpg"", """"), ""-"", "", ""), """")"),"")</f>
        <v/>
      </c>
      <c r="L11076" s="12"/>
      <c r="M11076" s="13"/>
      <c r="N11076" s="2"/>
      <c r="O11076" s="20"/>
      <c r="P11076" s="42"/>
      <c r="R11076" s="23"/>
    </row>
    <row r="11077" spans="1:18" ht="12.75">
      <c r="A11077" s="12"/>
      <c r="D11077" s="12"/>
      <c r="E11077" s="12"/>
      <c r="H11077" s="11" t="str">
        <f ca="1">IFERROR(__xludf.DUMMYFUNCTION("IFERROR(SUBSTITUTE(SUBSTITUTE(REGEXEXTRACT(A11077, ""[^-]+- [^-]+- [^-]+ - (.+?)\.jpg""), "".jpg"", """"), ""-"", "", ""), """")"),"")</f>
        <v/>
      </c>
      <c r="L11077" s="12"/>
      <c r="M11077" s="13"/>
      <c r="N11077" s="2"/>
      <c r="O11077" s="20"/>
      <c r="P11077" s="42"/>
      <c r="R11077" s="23"/>
    </row>
    <row r="11078" spans="1:18" ht="12.75">
      <c r="A11078" s="12"/>
      <c r="D11078" s="12"/>
      <c r="E11078" s="12"/>
      <c r="H11078" s="11" t="str">
        <f ca="1">IFERROR(__xludf.DUMMYFUNCTION("IFERROR(SUBSTITUTE(SUBSTITUTE(REGEXEXTRACT(A11078, ""[^-]+- [^-]+- [^-]+ - (.+?)\.jpg""), "".jpg"", """"), ""-"", "", ""), """")"),"")</f>
        <v/>
      </c>
      <c r="L11078" s="12"/>
      <c r="M11078" s="13"/>
      <c r="N11078" s="2"/>
      <c r="O11078" s="20"/>
      <c r="P11078" s="42"/>
      <c r="R11078" s="23"/>
    </row>
    <row r="11079" spans="1:18" ht="12.75">
      <c r="A11079" s="12"/>
      <c r="D11079" s="12"/>
      <c r="E11079" s="12"/>
      <c r="H11079" s="11" t="str">
        <f ca="1">IFERROR(__xludf.DUMMYFUNCTION("IFERROR(SUBSTITUTE(SUBSTITUTE(REGEXEXTRACT(A11079, ""[^-]+- [^-]+- [^-]+ - (.+?)\.jpg""), "".jpg"", """"), ""-"", "", ""), """")"),"")</f>
        <v/>
      </c>
      <c r="L11079" s="12"/>
      <c r="M11079" s="13"/>
      <c r="N11079" s="2"/>
      <c r="O11079" s="20"/>
      <c r="P11079" s="42"/>
      <c r="R11079" s="23"/>
    </row>
    <row r="11080" spans="1:18" ht="12.75">
      <c r="A11080" s="12"/>
      <c r="D11080" s="12"/>
      <c r="E11080" s="12"/>
      <c r="H11080" s="11" t="str">
        <f ca="1">IFERROR(__xludf.DUMMYFUNCTION("IFERROR(SUBSTITUTE(SUBSTITUTE(REGEXEXTRACT(A11080, ""[^-]+- [^-]+- [^-]+ - (.+?)\.jpg""), "".jpg"", """"), ""-"", "", ""), """")"),"")</f>
        <v/>
      </c>
      <c r="L11080" s="12"/>
      <c r="M11080" s="13"/>
      <c r="N11080" s="2"/>
      <c r="O11080" s="20"/>
      <c r="P11080" s="42"/>
      <c r="R11080" s="23"/>
    </row>
    <row r="11081" spans="1:18" ht="12.75">
      <c r="A11081" s="12"/>
      <c r="D11081" s="12"/>
      <c r="E11081" s="12"/>
      <c r="H11081" s="11" t="str">
        <f ca="1">IFERROR(__xludf.DUMMYFUNCTION("IFERROR(SUBSTITUTE(SUBSTITUTE(REGEXEXTRACT(A11081, ""[^-]+- [^-]+- [^-]+ - (.+?)\.jpg""), "".jpg"", """"), ""-"", "", ""), """")"),"")</f>
        <v/>
      </c>
      <c r="L11081" s="12"/>
      <c r="M11081" s="13"/>
      <c r="N11081" s="2"/>
      <c r="O11081" s="20"/>
      <c r="P11081" s="42"/>
      <c r="R11081" s="23"/>
    </row>
    <row r="11082" spans="1:18" ht="12.75">
      <c r="A11082" s="12"/>
      <c r="D11082" s="12"/>
      <c r="E11082" s="12"/>
      <c r="H11082" s="11" t="str">
        <f ca="1">IFERROR(__xludf.DUMMYFUNCTION("IFERROR(SUBSTITUTE(SUBSTITUTE(REGEXEXTRACT(A11082, ""[^-]+- [^-]+- [^-]+ - (.+?)\.jpg""), "".jpg"", """"), ""-"", "", ""), """")"),"")</f>
        <v/>
      </c>
      <c r="L11082" s="12"/>
      <c r="M11082" s="13"/>
      <c r="N11082" s="2"/>
      <c r="O11082" s="20"/>
      <c r="P11082" s="42"/>
      <c r="R11082" s="23"/>
    </row>
    <row r="11083" spans="1:18" ht="12.75">
      <c r="A11083" s="12"/>
      <c r="D11083" s="12"/>
      <c r="E11083" s="12"/>
      <c r="H11083" s="11" t="str">
        <f ca="1">IFERROR(__xludf.DUMMYFUNCTION("IFERROR(SUBSTITUTE(SUBSTITUTE(REGEXEXTRACT(A11083, ""[^-]+- [^-]+- [^-]+ - (.+?)\.jpg""), "".jpg"", """"), ""-"", "", ""), """")"),"")</f>
        <v/>
      </c>
      <c r="L11083" s="12"/>
      <c r="M11083" s="13"/>
      <c r="N11083" s="2"/>
      <c r="O11083" s="20"/>
      <c r="P11083" s="42"/>
      <c r="R11083" s="23"/>
    </row>
    <row r="11084" spans="1:18" ht="12.75">
      <c r="A11084" s="12"/>
      <c r="D11084" s="12"/>
      <c r="E11084" s="12"/>
      <c r="H11084" s="11" t="str">
        <f ca="1">IFERROR(__xludf.DUMMYFUNCTION("IFERROR(SUBSTITUTE(SUBSTITUTE(REGEXEXTRACT(A11084, ""[^-]+- [^-]+- [^-]+ - (.+?)\.jpg""), "".jpg"", """"), ""-"", "", ""), """")"),"")</f>
        <v/>
      </c>
      <c r="L11084" s="12"/>
      <c r="M11084" s="13"/>
      <c r="N11084" s="2"/>
      <c r="O11084" s="20"/>
      <c r="P11084" s="42"/>
      <c r="R11084" s="23"/>
    </row>
    <row r="11085" spans="1:18" ht="12.75">
      <c r="A11085" s="12"/>
      <c r="D11085" s="12"/>
      <c r="E11085" s="12"/>
      <c r="H11085" s="11" t="str">
        <f ca="1">IFERROR(__xludf.DUMMYFUNCTION("IFERROR(SUBSTITUTE(SUBSTITUTE(REGEXEXTRACT(A11085, ""[^-]+- [^-]+- [^-]+ - (.+?)\.jpg""), "".jpg"", """"), ""-"", "", ""), """")"),"")</f>
        <v/>
      </c>
      <c r="L11085" s="12"/>
      <c r="M11085" s="13"/>
      <c r="N11085" s="2"/>
      <c r="O11085" s="20"/>
      <c r="P11085" s="42"/>
      <c r="R11085" s="23"/>
    </row>
    <row r="11086" spans="1:18" ht="12.75">
      <c r="A11086" s="12"/>
      <c r="D11086" s="12"/>
      <c r="E11086" s="12"/>
      <c r="H11086" s="11" t="str">
        <f ca="1">IFERROR(__xludf.DUMMYFUNCTION("IFERROR(SUBSTITUTE(SUBSTITUTE(REGEXEXTRACT(A11086, ""[^-]+- [^-]+- [^-]+ - (.+?)\.jpg""), "".jpg"", """"), ""-"", "", ""), """")"),"")</f>
        <v/>
      </c>
      <c r="L11086" s="12"/>
      <c r="M11086" s="13"/>
      <c r="N11086" s="2"/>
      <c r="O11086" s="20"/>
      <c r="P11086" s="42"/>
      <c r="R11086" s="23"/>
    </row>
    <row r="11087" spans="1:18" ht="12.75">
      <c r="A11087" s="12"/>
      <c r="D11087" s="12"/>
      <c r="E11087" s="12"/>
      <c r="H11087" s="11" t="str">
        <f ca="1">IFERROR(__xludf.DUMMYFUNCTION("IFERROR(SUBSTITUTE(SUBSTITUTE(REGEXEXTRACT(A11087, ""[^-]+- [^-]+- [^-]+ - (.+?)\.jpg""), "".jpg"", """"), ""-"", "", ""), """")"),"")</f>
        <v/>
      </c>
      <c r="L11087" s="12"/>
      <c r="M11087" s="13"/>
      <c r="N11087" s="2"/>
      <c r="O11087" s="20"/>
      <c r="P11087" s="42"/>
      <c r="R11087" s="23"/>
    </row>
    <row r="11088" spans="1:18" ht="12.75">
      <c r="A11088" s="12"/>
      <c r="D11088" s="12"/>
      <c r="E11088" s="12"/>
      <c r="H11088" s="11" t="str">
        <f ca="1">IFERROR(__xludf.DUMMYFUNCTION("IFERROR(SUBSTITUTE(SUBSTITUTE(REGEXEXTRACT(A11088, ""[^-]+- [^-]+- [^-]+ - (.+?)\.jpg""), "".jpg"", """"), ""-"", "", ""), """")"),"")</f>
        <v/>
      </c>
      <c r="L11088" s="12"/>
      <c r="M11088" s="13"/>
      <c r="N11088" s="2"/>
      <c r="O11088" s="20"/>
      <c r="P11088" s="42"/>
      <c r="R11088" s="23"/>
    </row>
    <row r="11089" spans="1:18" ht="12.75">
      <c r="A11089" s="12"/>
      <c r="D11089" s="12"/>
      <c r="E11089" s="12"/>
      <c r="H11089" s="11" t="str">
        <f ca="1">IFERROR(__xludf.DUMMYFUNCTION("IFERROR(SUBSTITUTE(SUBSTITUTE(REGEXEXTRACT(A11089, ""[^-]+- [^-]+- [^-]+ - (.+?)\.jpg""), "".jpg"", """"), ""-"", "", ""), """")"),"")</f>
        <v/>
      </c>
      <c r="L11089" s="12"/>
      <c r="M11089" s="13"/>
      <c r="N11089" s="2"/>
      <c r="O11089" s="20"/>
      <c r="P11089" s="42"/>
      <c r="R11089" s="23"/>
    </row>
    <row r="11090" spans="1:18" ht="12.75">
      <c r="A11090" s="12"/>
      <c r="D11090" s="12"/>
      <c r="E11090" s="12"/>
      <c r="H11090" s="11" t="str">
        <f ca="1">IFERROR(__xludf.DUMMYFUNCTION("IFERROR(SUBSTITUTE(SUBSTITUTE(REGEXEXTRACT(A11090, ""[^-]+- [^-]+- [^-]+ - (.+?)\.jpg""), "".jpg"", """"), ""-"", "", ""), """")"),"")</f>
        <v/>
      </c>
      <c r="L11090" s="12"/>
      <c r="M11090" s="13"/>
      <c r="N11090" s="2"/>
      <c r="O11090" s="20"/>
      <c r="P11090" s="42"/>
      <c r="R11090" s="23"/>
    </row>
    <row r="11091" spans="1:18" ht="12.75">
      <c r="A11091" s="12"/>
      <c r="D11091" s="12"/>
      <c r="E11091" s="12"/>
      <c r="H11091" s="11" t="str">
        <f ca="1">IFERROR(__xludf.DUMMYFUNCTION("IFERROR(SUBSTITUTE(SUBSTITUTE(REGEXEXTRACT(A11091, ""[^-]+- [^-]+- [^-]+ - (.+?)\.jpg""), "".jpg"", """"), ""-"", "", ""), """")"),"")</f>
        <v/>
      </c>
      <c r="L11091" s="12"/>
      <c r="M11091" s="13"/>
      <c r="N11091" s="2"/>
      <c r="O11091" s="20"/>
      <c r="P11091" s="42"/>
      <c r="R11091" s="23"/>
    </row>
    <row r="11092" spans="1:18" ht="12.75">
      <c r="A11092" s="12"/>
      <c r="D11092" s="12"/>
      <c r="E11092" s="12"/>
      <c r="H11092" s="11" t="str">
        <f ca="1">IFERROR(__xludf.DUMMYFUNCTION("IFERROR(SUBSTITUTE(SUBSTITUTE(REGEXEXTRACT(A11092, ""[^-]+- [^-]+- [^-]+ - (.+?)\.jpg""), "".jpg"", """"), ""-"", "", ""), """")"),"")</f>
        <v/>
      </c>
      <c r="L11092" s="12"/>
      <c r="M11092" s="13"/>
      <c r="N11092" s="2"/>
      <c r="O11092" s="20"/>
      <c r="P11092" s="42"/>
      <c r="R11092" s="23"/>
    </row>
    <row r="11093" spans="1:18" ht="12.75">
      <c r="A11093" s="12"/>
      <c r="D11093" s="12"/>
      <c r="E11093" s="12"/>
      <c r="H11093" s="11" t="str">
        <f ca="1">IFERROR(__xludf.DUMMYFUNCTION("IFERROR(SUBSTITUTE(SUBSTITUTE(REGEXEXTRACT(A11093, ""[^-]+- [^-]+- [^-]+ - (.+?)\.jpg""), "".jpg"", """"), ""-"", "", ""), """")"),"")</f>
        <v/>
      </c>
      <c r="L11093" s="12"/>
      <c r="M11093" s="13"/>
      <c r="N11093" s="2"/>
      <c r="O11093" s="20"/>
      <c r="P11093" s="42"/>
      <c r="R11093" s="23"/>
    </row>
    <row r="11094" spans="1:18" ht="12.75">
      <c r="A11094" s="12"/>
      <c r="D11094" s="12"/>
      <c r="E11094" s="12"/>
      <c r="H11094" s="11" t="str">
        <f ca="1">IFERROR(__xludf.DUMMYFUNCTION("IFERROR(SUBSTITUTE(SUBSTITUTE(REGEXEXTRACT(A11094, ""[^-]+- [^-]+- [^-]+ - (.+?)\.jpg""), "".jpg"", """"), ""-"", "", ""), """")"),"")</f>
        <v/>
      </c>
      <c r="L11094" s="12"/>
      <c r="M11094" s="13"/>
      <c r="N11094" s="2"/>
      <c r="O11094" s="20"/>
      <c r="P11094" s="42"/>
      <c r="R11094" s="23"/>
    </row>
    <row r="11095" spans="1:18" ht="12.75">
      <c r="A11095" s="12"/>
      <c r="D11095" s="12"/>
      <c r="E11095" s="12"/>
      <c r="H11095" s="11" t="str">
        <f ca="1">IFERROR(__xludf.DUMMYFUNCTION("IFERROR(SUBSTITUTE(SUBSTITUTE(REGEXEXTRACT(A11095, ""[^-]+- [^-]+- [^-]+ - (.+?)\.jpg""), "".jpg"", """"), ""-"", "", ""), """")"),"")</f>
        <v/>
      </c>
      <c r="L11095" s="12"/>
      <c r="M11095" s="13"/>
      <c r="N11095" s="2"/>
      <c r="O11095" s="20"/>
      <c r="P11095" s="42"/>
      <c r="R11095" s="23"/>
    </row>
    <row r="11096" spans="1:18" ht="12.75">
      <c r="A11096" s="12"/>
      <c r="D11096" s="12"/>
      <c r="E11096" s="12"/>
      <c r="H11096" s="11" t="str">
        <f ca="1">IFERROR(__xludf.DUMMYFUNCTION("IFERROR(SUBSTITUTE(SUBSTITUTE(REGEXEXTRACT(A11096, ""[^-]+- [^-]+- [^-]+ - (.+?)\.jpg""), "".jpg"", """"), ""-"", "", ""), """")"),"")</f>
        <v/>
      </c>
      <c r="L11096" s="12"/>
      <c r="M11096" s="13"/>
      <c r="N11096" s="2"/>
      <c r="O11096" s="20"/>
      <c r="P11096" s="42"/>
      <c r="R11096" s="23"/>
    </row>
    <row r="11097" spans="1:18" ht="12.75">
      <c r="A11097" s="12"/>
      <c r="D11097" s="12"/>
      <c r="E11097" s="12"/>
      <c r="H11097" s="11" t="str">
        <f ca="1">IFERROR(__xludf.DUMMYFUNCTION("IFERROR(SUBSTITUTE(SUBSTITUTE(REGEXEXTRACT(A11097, ""[^-]+- [^-]+- [^-]+ - (.+?)\.jpg""), "".jpg"", """"), ""-"", "", ""), """")"),"")</f>
        <v/>
      </c>
      <c r="L11097" s="12"/>
      <c r="M11097" s="13"/>
      <c r="N11097" s="2"/>
      <c r="O11097" s="20"/>
      <c r="P11097" s="42"/>
      <c r="R11097" s="23"/>
    </row>
    <row r="11098" spans="1:18" ht="12.75">
      <c r="A11098" s="12"/>
      <c r="D11098" s="12"/>
      <c r="E11098" s="12"/>
      <c r="H11098" s="11" t="str">
        <f ca="1">IFERROR(__xludf.DUMMYFUNCTION("IFERROR(SUBSTITUTE(SUBSTITUTE(REGEXEXTRACT(A11098, ""[^-]+- [^-]+- [^-]+ - (.+?)\.jpg""), "".jpg"", """"), ""-"", "", ""), """")"),"")</f>
        <v/>
      </c>
      <c r="L11098" s="12"/>
      <c r="M11098" s="13"/>
      <c r="N11098" s="2"/>
      <c r="O11098" s="20"/>
      <c r="P11098" s="42"/>
      <c r="R11098" s="23"/>
    </row>
    <row r="11099" spans="1:18" ht="12.75">
      <c r="A11099" s="12"/>
      <c r="D11099" s="12"/>
      <c r="E11099" s="12"/>
      <c r="H11099" s="11" t="str">
        <f ca="1">IFERROR(__xludf.DUMMYFUNCTION("IFERROR(SUBSTITUTE(SUBSTITUTE(REGEXEXTRACT(A11099, ""[^-]+- [^-]+- [^-]+ - (.+?)\.jpg""), "".jpg"", """"), ""-"", "", ""), """")"),"")</f>
        <v/>
      </c>
      <c r="L11099" s="12"/>
      <c r="M11099" s="13"/>
      <c r="N11099" s="2"/>
      <c r="O11099" s="20"/>
      <c r="P11099" s="42"/>
      <c r="R11099" s="23"/>
    </row>
    <row r="11100" spans="1:18" ht="12.75">
      <c r="A11100" s="12"/>
      <c r="D11100" s="12"/>
      <c r="E11100" s="12"/>
      <c r="H11100" s="11" t="str">
        <f ca="1">IFERROR(__xludf.DUMMYFUNCTION("IFERROR(SUBSTITUTE(SUBSTITUTE(REGEXEXTRACT(A11100, ""[^-]+- [^-]+- [^-]+ - (.+?)\.jpg""), "".jpg"", """"), ""-"", "", ""), """")"),"")</f>
        <v/>
      </c>
      <c r="L11100" s="12"/>
      <c r="M11100" s="13"/>
      <c r="N11100" s="2"/>
      <c r="O11100" s="20"/>
      <c r="P11100" s="42"/>
      <c r="R11100" s="23"/>
    </row>
    <row r="11101" spans="1:18" ht="12.75">
      <c r="A11101" s="12"/>
      <c r="D11101" s="12"/>
      <c r="E11101" s="12"/>
      <c r="H11101" s="11" t="str">
        <f ca="1">IFERROR(__xludf.DUMMYFUNCTION("IFERROR(SUBSTITUTE(SUBSTITUTE(REGEXEXTRACT(A11101, ""[^-]+- [^-]+- [^-]+ - (.+?)\.jpg""), "".jpg"", """"), ""-"", "", ""), """")"),"")</f>
        <v/>
      </c>
      <c r="L11101" s="12"/>
      <c r="M11101" s="13"/>
      <c r="N11101" s="2"/>
      <c r="O11101" s="20"/>
      <c r="P11101" s="42"/>
      <c r="R11101" s="23"/>
    </row>
    <row r="11102" spans="1:18" ht="12.75">
      <c r="A11102" s="12"/>
      <c r="D11102" s="12"/>
      <c r="E11102" s="12"/>
      <c r="H11102" s="11" t="str">
        <f ca="1">IFERROR(__xludf.DUMMYFUNCTION("IFERROR(SUBSTITUTE(SUBSTITUTE(REGEXEXTRACT(A11102, ""[^-]+- [^-]+- [^-]+ - (.+?)\.jpg""), "".jpg"", """"), ""-"", "", ""), """")"),"")</f>
        <v/>
      </c>
      <c r="L11102" s="12"/>
      <c r="M11102" s="13"/>
      <c r="N11102" s="2"/>
      <c r="O11102" s="20"/>
      <c r="P11102" s="42"/>
      <c r="R11102" s="23"/>
    </row>
    <row r="11103" spans="1:18" ht="12.75">
      <c r="A11103" s="12"/>
      <c r="D11103" s="12"/>
      <c r="E11103" s="12"/>
      <c r="H11103" s="11" t="str">
        <f ca="1">IFERROR(__xludf.DUMMYFUNCTION("IFERROR(SUBSTITUTE(SUBSTITUTE(REGEXEXTRACT(A11103, ""[^-]+- [^-]+- [^-]+ - (.+?)\.jpg""), "".jpg"", """"), ""-"", "", ""), """")"),"")</f>
        <v/>
      </c>
      <c r="L11103" s="12"/>
      <c r="M11103" s="13"/>
      <c r="N11103" s="2"/>
      <c r="O11103" s="20"/>
      <c r="P11103" s="42"/>
      <c r="R11103" s="23"/>
    </row>
    <row r="11104" spans="1:18" ht="12.75">
      <c r="A11104" s="12"/>
      <c r="D11104" s="12"/>
      <c r="E11104" s="12"/>
      <c r="H11104" s="11" t="str">
        <f ca="1">IFERROR(__xludf.DUMMYFUNCTION("IFERROR(SUBSTITUTE(SUBSTITUTE(REGEXEXTRACT(A11104, ""[^-]+- [^-]+- [^-]+ - (.+?)\.jpg""), "".jpg"", """"), ""-"", "", ""), """")"),"")</f>
        <v/>
      </c>
      <c r="L11104" s="12"/>
      <c r="M11104" s="13"/>
      <c r="N11104" s="2"/>
      <c r="O11104" s="20"/>
      <c r="P11104" s="42"/>
      <c r="R11104" s="23"/>
    </row>
    <row r="11105" spans="1:18" ht="12.75">
      <c r="A11105" s="12"/>
      <c r="D11105" s="12"/>
      <c r="E11105" s="12"/>
      <c r="H11105" s="11" t="str">
        <f ca="1">IFERROR(__xludf.DUMMYFUNCTION("IFERROR(SUBSTITUTE(SUBSTITUTE(REGEXEXTRACT(A11105, ""[^-]+- [^-]+- [^-]+ - (.+?)\.jpg""), "".jpg"", """"), ""-"", "", ""), """")"),"")</f>
        <v/>
      </c>
      <c r="L11105" s="12"/>
      <c r="M11105" s="13"/>
      <c r="N11105" s="2"/>
      <c r="O11105" s="20"/>
      <c r="P11105" s="42"/>
      <c r="R11105" s="23"/>
    </row>
    <row r="11106" spans="1:18" ht="12.75">
      <c r="A11106" s="12"/>
      <c r="D11106" s="12"/>
      <c r="E11106" s="12"/>
      <c r="H11106" s="11" t="str">
        <f ca="1">IFERROR(__xludf.DUMMYFUNCTION("IFERROR(SUBSTITUTE(SUBSTITUTE(REGEXEXTRACT(A11106, ""[^-]+- [^-]+- [^-]+ - (.+?)\.jpg""), "".jpg"", """"), ""-"", "", ""), """")"),"")</f>
        <v/>
      </c>
      <c r="L11106" s="12"/>
      <c r="M11106" s="13"/>
      <c r="N11106" s="2"/>
      <c r="O11106" s="20"/>
      <c r="P11106" s="42"/>
      <c r="R11106" s="23"/>
    </row>
    <row r="11107" spans="1:18" ht="12.75">
      <c r="A11107" s="12"/>
      <c r="D11107" s="12"/>
      <c r="E11107" s="12"/>
      <c r="H11107" s="11" t="str">
        <f ca="1">IFERROR(__xludf.DUMMYFUNCTION("IFERROR(SUBSTITUTE(SUBSTITUTE(REGEXEXTRACT(A11107, ""[^-]+- [^-]+- [^-]+ - (.+?)\.jpg""), "".jpg"", """"), ""-"", "", ""), """")"),"")</f>
        <v/>
      </c>
      <c r="L11107" s="12"/>
      <c r="M11107" s="13"/>
      <c r="N11107" s="2"/>
      <c r="O11107" s="20"/>
      <c r="P11107" s="42"/>
      <c r="R11107" s="23"/>
    </row>
    <row r="11108" spans="1:18" ht="12.75">
      <c r="A11108" s="12"/>
      <c r="D11108" s="12"/>
      <c r="E11108" s="12"/>
      <c r="H11108" s="11" t="str">
        <f ca="1">IFERROR(__xludf.DUMMYFUNCTION("IFERROR(SUBSTITUTE(SUBSTITUTE(REGEXEXTRACT(A11108, ""[^-]+- [^-]+- [^-]+ - (.+?)\.jpg""), "".jpg"", """"), ""-"", "", ""), """")"),"")</f>
        <v/>
      </c>
      <c r="L11108" s="12"/>
      <c r="M11108" s="13"/>
      <c r="N11108" s="2"/>
      <c r="O11108" s="20"/>
      <c r="P11108" s="42"/>
      <c r="R11108" s="23"/>
    </row>
    <row r="11109" spans="1:18" ht="12.75">
      <c r="A11109" s="12"/>
      <c r="D11109" s="12"/>
      <c r="E11109" s="12"/>
      <c r="H11109" s="11" t="str">
        <f ca="1">IFERROR(__xludf.DUMMYFUNCTION("IFERROR(SUBSTITUTE(SUBSTITUTE(REGEXEXTRACT(A11109, ""[^-]+- [^-]+- [^-]+ - (.+?)\.jpg""), "".jpg"", """"), ""-"", "", ""), """")"),"")</f>
        <v/>
      </c>
      <c r="L11109" s="12"/>
      <c r="M11109" s="13"/>
      <c r="N11109" s="2"/>
      <c r="O11109" s="20"/>
      <c r="P11109" s="42"/>
      <c r="R11109" s="23"/>
    </row>
    <row r="11110" spans="1:18" ht="12.75">
      <c r="A11110" s="12"/>
      <c r="D11110" s="12"/>
      <c r="E11110" s="12"/>
      <c r="H11110" s="11" t="str">
        <f ca="1">IFERROR(__xludf.DUMMYFUNCTION("IFERROR(SUBSTITUTE(SUBSTITUTE(REGEXEXTRACT(A11110, ""[^-]+- [^-]+- [^-]+ - (.+?)\.jpg""), "".jpg"", """"), ""-"", "", ""), """")"),"")</f>
        <v/>
      </c>
      <c r="L11110" s="12"/>
      <c r="M11110" s="13"/>
      <c r="N11110" s="2"/>
      <c r="O11110" s="20"/>
      <c r="P11110" s="42"/>
      <c r="R11110" s="23"/>
    </row>
    <row r="11111" spans="1:18" ht="12.75">
      <c r="A11111" s="12"/>
      <c r="D11111" s="12"/>
      <c r="E11111" s="12"/>
      <c r="H11111" s="11" t="str">
        <f ca="1">IFERROR(__xludf.DUMMYFUNCTION("IFERROR(SUBSTITUTE(SUBSTITUTE(REGEXEXTRACT(A11111, ""[^-]+- [^-]+- [^-]+ - (.+?)\.jpg""), "".jpg"", """"), ""-"", "", ""), """")"),"")</f>
        <v/>
      </c>
      <c r="L11111" s="12"/>
      <c r="M11111" s="13"/>
      <c r="N11111" s="2"/>
      <c r="O11111" s="20"/>
      <c r="P11111" s="42"/>
      <c r="R11111" s="23"/>
    </row>
    <row r="11112" spans="1:18" ht="12.75">
      <c r="A11112" s="12"/>
      <c r="D11112" s="12"/>
      <c r="E11112" s="12"/>
      <c r="H11112" s="11" t="str">
        <f ca="1">IFERROR(__xludf.DUMMYFUNCTION("IFERROR(SUBSTITUTE(SUBSTITUTE(REGEXEXTRACT(A11112, ""[^-]+- [^-]+- [^-]+ - (.+?)\.jpg""), "".jpg"", """"), ""-"", "", ""), """")"),"")</f>
        <v/>
      </c>
      <c r="L11112" s="12"/>
      <c r="M11112" s="13"/>
      <c r="N11112" s="2"/>
      <c r="O11112" s="20"/>
      <c r="P11112" s="42"/>
      <c r="R11112" s="23"/>
    </row>
    <row r="11113" spans="1:18" ht="12.75">
      <c r="A11113" s="12"/>
      <c r="D11113" s="12"/>
      <c r="E11113" s="12"/>
      <c r="H11113" s="11" t="str">
        <f ca="1">IFERROR(__xludf.DUMMYFUNCTION("IFERROR(SUBSTITUTE(SUBSTITUTE(REGEXEXTRACT(A11113, ""[^-]+- [^-]+- [^-]+ - (.+?)\.jpg""), "".jpg"", """"), ""-"", "", ""), """")"),"")</f>
        <v/>
      </c>
      <c r="L11113" s="12"/>
      <c r="M11113" s="13"/>
      <c r="N11113" s="2"/>
      <c r="O11113" s="20"/>
      <c r="P11113" s="42"/>
      <c r="R11113" s="23"/>
    </row>
    <row r="11114" spans="1:18" ht="12.75">
      <c r="A11114" s="12"/>
      <c r="D11114" s="12"/>
      <c r="E11114" s="12"/>
      <c r="H11114" s="11" t="str">
        <f ca="1">IFERROR(__xludf.DUMMYFUNCTION("IFERROR(SUBSTITUTE(SUBSTITUTE(REGEXEXTRACT(A11114, ""[^-]+- [^-]+- [^-]+ - (.+?)\.jpg""), "".jpg"", """"), ""-"", "", ""), """")"),"")</f>
        <v/>
      </c>
      <c r="L11114" s="12"/>
      <c r="M11114" s="13"/>
      <c r="N11114" s="2"/>
      <c r="O11114" s="20"/>
      <c r="P11114" s="42"/>
      <c r="R11114" s="23"/>
    </row>
    <row r="11115" spans="1:18" ht="12.75">
      <c r="A11115" s="12"/>
      <c r="D11115" s="12"/>
      <c r="E11115" s="12"/>
      <c r="H11115" s="11" t="str">
        <f ca="1">IFERROR(__xludf.DUMMYFUNCTION("IFERROR(SUBSTITUTE(SUBSTITUTE(REGEXEXTRACT(A11115, ""[^-]+- [^-]+- [^-]+ - (.+?)\.jpg""), "".jpg"", """"), ""-"", "", ""), """")"),"")</f>
        <v/>
      </c>
      <c r="L11115" s="12"/>
      <c r="M11115" s="13"/>
      <c r="N11115" s="2"/>
      <c r="O11115" s="20"/>
      <c r="P11115" s="42"/>
      <c r="R11115" s="23"/>
    </row>
    <row r="11116" spans="1:18" ht="12.75">
      <c r="A11116" s="12"/>
      <c r="D11116" s="12"/>
      <c r="E11116" s="12"/>
      <c r="H11116" s="11" t="str">
        <f ca="1">IFERROR(__xludf.DUMMYFUNCTION("IFERROR(SUBSTITUTE(SUBSTITUTE(REGEXEXTRACT(A11116, ""[^-]+- [^-]+- [^-]+ - (.+?)\.jpg""), "".jpg"", """"), ""-"", "", ""), """")"),"")</f>
        <v/>
      </c>
      <c r="L11116" s="12"/>
      <c r="M11116" s="13"/>
      <c r="N11116" s="2"/>
      <c r="O11116" s="20"/>
      <c r="P11116" s="42"/>
      <c r="R11116" s="23"/>
    </row>
    <row r="11117" spans="1:18" ht="12.75">
      <c r="A11117" s="12"/>
      <c r="D11117" s="12"/>
      <c r="E11117" s="12"/>
      <c r="H11117" s="11" t="str">
        <f ca="1">IFERROR(__xludf.DUMMYFUNCTION("IFERROR(SUBSTITUTE(SUBSTITUTE(REGEXEXTRACT(A11117, ""[^-]+- [^-]+- [^-]+ - (.+?)\.jpg""), "".jpg"", """"), ""-"", "", ""), """")"),"")</f>
        <v/>
      </c>
      <c r="L11117" s="12"/>
      <c r="M11117" s="13"/>
      <c r="N11117" s="2"/>
      <c r="O11117" s="20"/>
      <c r="P11117" s="42"/>
      <c r="R11117" s="23"/>
    </row>
    <row r="11118" spans="1:18" ht="12.75">
      <c r="A11118" s="12"/>
      <c r="D11118" s="12"/>
      <c r="E11118" s="12"/>
      <c r="H11118" s="11" t="str">
        <f ca="1">IFERROR(__xludf.DUMMYFUNCTION("IFERROR(SUBSTITUTE(SUBSTITUTE(REGEXEXTRACT(A11118, ""[^-]+- [^-]+- [^-]+ - (.+?)\.jpg""), "".jpg"", """"), ""-"", "", ""), """")"),"")</f>
        <v/>
      </c>
      <c r="L11118" s="12"/>
      <c r="M11118" s="13"/>
      <c r="N11118" s="2"/>
      <c r="O11118" s="20"/>
      <c r="P11118" s="42"/>
      <c r="R11118" s="23"/>
    </row>
    <row r="11119" spans="1:18" ht="12.75">
      <c r="A11119" s="12"/>
      <c r="D11119" s="12"/>
      <c r="E11119" s="12"/>
      <c r="H11119" s="11" t="str">
        <f ca="1">IFERROR(__xludf.DUMMYFUNCTION("IFERROR(SUBSTITUTE(SUBSTITUTE(REGEXEXTRACT(A11119, ""[^-]+- [^-]+- [^-]+ - (.+?)\.jpg""), "".jpg"", """"), ""-"", "", ""), """")"),"")</f>
        <v/>
      </c>
      <c r="L11119" s="12"/>
      <c r="M11119" s="13"/>
      <c r="N11119" s="2"/>
      <c r="O11119" s="20"/>
      <c r="P11119" s="42"/>
      <c r="R11119" s="23"/>
    </row>
    <row r="11120" spans="1:18" ht="12.75">
      <c r="A11120" s="12"/>
      <c r="D11120" s="12"/>
      <c r="E11120" s="12"/>
      <c r="H11120" s="11" t="str">
        <f ca="1">IFERROR(__xludf.DUMMYFUNCTION("IFERROR(SUBSTITUTE(SUBSTITUTE(REGEXEXTRACT(A11120, ""[^-]+- [^-]+- [^-]+ - (.+?)\.jpg""), "".jpg"", """"), ""-"", "", ""), """")"),"")</f>
        <v/>
      </c>
      <c r="L11120" s="12"/>
      <c r="M11120" s="13"/>
      <c r="N11120" s="2"/>
      <c r="O11120" s="20"/>
      <c r="P11120" s="42"/>
      <c r="R11120" s="23"/>
    </row>
    <row r="11121" spans="1:18" ht="12.75">
      <c r="A11121" s="12"/>
      <c r="D11121" s="12"/>
      <c r="E11121" s="12"/>
      <c r="H11121" s="11" t="str">
        <f ca="1">IFERROR(__xludf.DUMMYFUNCTION("IFERROR(SUBSTITUTE(SUBSTITUTE(REGEXEXTRACT(A11121, ""[^-]+- [^-]+- [^-]+ - (.+?)\.jpg""), "".jpg"", """"), ""-"", "", ""), """")"),"")</f>
        <v/>
      </c>
      <c r="L11121" s="12"/>
      <c r="M11121" s="13"/>
      <c r="N11121" s="2"/>
      <c r="O11121" s="20"/>
      <c r="P11121" s="42"/>
      <c r="R11121" s="23"/>
    </row>
    <row r="11122" spans="1:18" ht="12.75">
      <c r="A11122" s="12"/>
      <c r="D11122" s="12"/>
      <c r="E11122" s="12"/>
      <c r="H11122" s="11" t="str">
        <f ca="1">IFERROR(__xludf.DUMMYFUNCTION("IFERROR(SUBSTITUTE(SUBSTITUTE(REGEXEXTRACT(A11122, ""[^-]+- [^-]+- [^-]+ - (.+?)\.jpg""), "".jpg"", """"), ""-"", "", ""), """")"),"")</f>
        <v/>
      </c>
      <c r="L11122" s="12"/>
      <c r="M11122" s="13"/>
      <c r="N11122" s="2"/>
      <c r="O11122" s="20"/>
      <c r="P11122" s="42"/>
      <c r="R11122" s="23"/>
    </row>
    <row r="11123" spans="1:18" ht="12.75">
      <c r="A11123" s="12"/>
      <c r="D11123" s="12"/>
      <c r="E11123" s="12"/>
      <c r="H11123" s="11" t="str">
        <f ca="1">IFERROR(__xludf.DUMMYFUNCTION("IFERROR(SUBSTITUTE(SUBSTITUTE(REGEXEXTRACT(A11123, ""[^-]+- [^-]+- [^-]+ - (.+?)\.jpg""), "".jpg"", """"), ""-"", "", ""), """")"),"")</f>
        <v/>
      </c>
      <c r="L11123" s="12"/>
      <c r="M11123" s="13"/>
      <c r="N11123" s="2"/>
      <c r="O11123" s="20"/>
      <c r="P11123" s="42"/>
      <c r="R11123" s="23"/>
    </row>
    <row r="11124" spans="1:18" ht="12.75">
      <c r="A11124" s="12"/>
      <c r="D11124" s="12"/>
      <c r="E11124" s="12"/>
      <c r="H11124" s="11" t="str">
        <f ca="1">IFERROR(__xludf.DUMMYFUNCTION("IFERROR(SUBSTITUTE(SUBSTITUTE(REGEXEXTRACT(A11124, ""[^-]+- [^-]+- [^-]+ - (.+?)\.jpg""), "".jpg"", """"), ""-"", "", ""), """")"),"")</f>
        <v/>
      </c>
      <c r="L11124" s="12"/>
      <c r="M11124" s="13"/>
      <c r="N11124" s="2"/>
      <c r="O11124" s="20"/>
      <c r="P11124" s="42"/>
      <c r="R11124" s="23"/>
    </row>
    <row r="11125" spans="1:18" ht="12.75">
      <c r="A11125" s="12"/>
      <c r="D11125" s="12"/>
      <c r="E11125" s="12"/>
      <c r="H11125" s="11" t="str">
        <f ca="1">IFERROR(__xludf.DUMMYFUNCTION("IFERROR(SUBSTITUTE(SUBSTITUTE(REGEXEXTRACT(A11125, ""[^-]+- [^-]+- [^-]+ - (.+?)\.jpg""), "".jpg"", """"), ""-"", "", ""), """")"),"")</f>
        <v/>
      </c>
      <c r="L11125" s="12"/>
      <c r="M11125" s="13"/>
      <c r="N11125" s="2"/>
      <c r="O11125" s="20"/>
      <c r="P11125" s="42"/>
      <c r="R11125" s="23"/>
    </row>
    <row r="11126" spans="1:18" ht="12.75">
      <c r="A11126" s="12"/>
      <c r="D11126" s="12"/>
      <c r="E11126" s="12"/>
      <c r="H11126" s="11" t="str">
        <f ca="1">IFERROR(__xludf.DUMMYFUNCTION("IFERROR(SUBSTITUTE(SUBSTITUTE(REGEXEXTRACT(A11126, ""[^-]+- [^-]+- [^-]+ - (.+?)\.jpg""), "".jpg"", """"), ""-"", "", ""), """")"),"")</f>
        <v/>
      </c>
      <c r="L11126" s="12"/>
      <c r="M11126" s="13"/>
      <c r="N11126" s="2"/>
      <c r="O11126" s="20"/>
      <c r="P11126" s="42"/>
      <c r="R11126" s="23"/>
    </row>
    <row r="11127" spans="1:18" ht="12.75">
      <c r="A11127" s="12"/>
      <c r="D11127" s="12"/>
      <c r="E11127" s="12"/>
      <c r="H11127" s="11" t="str">
        <f ca="1">IFERROR(__xludf.DUMMYFUNCTION("IFERROR(SUBSTITUTE(SUBSTITUTE(REGEXEXTRACT(A11127, ""[^-]+- [^-]+- [^-]+ - (.+?)\.jpg""), "".jpg"", """"), ""-"", "", ""), """")"),"")</f>
        <v/>
      </c>
      <c r="L11127" s="12"/>
      <c r="M11127" s="13"/>
      <c r="N11127" s="2"/>
      <c r="O11127" s="20"/>
      <c r="P11127" s="42"/>
      <c r="R11127" s="23"/>
    </row>
    <row r="11128" spans="1:18" ht="12.75">
      <c r="A11128" s="12"/>
      <c r="D11128" s="12"/>
      <c r="E11128" s="12"/>
      <c r="H11128" s="11" t="str">
        <f ca="1">IFERROR(__xludf.DUMMYFUNCTION("IFERROR(SUBSTITUTE(SUBSTITUTE(REGEXEXTRACT(A11128, ""[^-]+- [^-]+- [^-]+ - (.+?)\.jpg""), "".jpg"", """"), ""-"", "", ""), """")"),"")</f>
        <v/>
      </c>
      <c r="L11128" s="12"/>
      <c r="M11128" s="13"/>
      <c r="N11128" s="2"/>
      <c r="O11128" s="20"/>
      <c r="P11128" s="42"/>
      <c r="R11128" s="23"/>
    </row>
    <row r="11129" spans="1:18" ht="12.75">
      <c r="A11129" s="12"/>
      <c r="D11129" s="12"/>
      <c r="E11129" s="12"/>
      <c r="H11129" s="11" t="str">
        <f ca="1">IFERROR(__xludf.DUMMYFUNCTION("IFERROR(SUBSTITUTE(SUBSTITUTE(REGEXEXTRACT(A11129, ""[^-]+- [^-]+- [^-]+ - (.+?)\.jpg""), "".jpg"", """"), ""-"", "", ""), """")"),"")</f>
        <v/>
      </c>
      <c r="L11129" s="12"/>
      <c r="M11129" s="13"/>
      <c r="N11129" s="2"/>
      <c r="O11129" s="20"/>
      <c r="P11129" s="42"/>
      <c r="R11129" s="23"/>
    </row>
    <row r="11130" spans="1:18" ht="12.75">
      <c r="A11130" s="12"/>
      <c r="D11130" s="12"/>
      <c r="E11130" s="12"/>
      <c r="H11130" s="11" t="str">
        <f ca="1">IFERROR(__xludf.DUMMYFUNCTION("IFERROR(SUBSTITUTE(SUBSTITUTE(REGEXEXTRACT(A11130, ""[^-]+- [^-]+- [^-]+ - (.+?)\.jpg""), "".jpg"", """"), ""-"", "", ""), """")"),"")</f>
        <v/>
      </c>
      <c r="L11130" s="12"/>
      <c r="M11130" s="13"/>
      <c r="N11130" s="2"/>
      <c r="O11130" s="20"/>
      <c r="P11130" s="42"/>
      <c r="R11130" s="23"/>
    </row>
    <row r="11131" spans="1:18" ht="12.75">
      <c r="A11131" s="12"/>
      <c r="D11131" s="12"/>
      <c r="E11131" s="12"/>
      <c r="H11131" s="11" t="str">
        <f ca="1">IFERROR(__xludf.DUMMYFUNCTION("IFERROR(SUBSTITUTE(SUBSTITUTE(REGEXEXTRACT(A11131, ""[^-]+- [^-]+- [^-]+ - (.+?)\.jpg""), "".jpg"", """"), ""-"", "", ""), """")"),"")</f>
        <v/>
      </c>
      <c r="L11131" s="12"/>
      <c r="M11131" s="13"/>
      <c r="N11131" s="2"/>
      <c r="O11131" s="20"/>
      <c r="P11131" s="42"/>
      <c r="R11131" s="23"/>
    </row>
    <row r="11132" spans="1:18" ht="12.75">
      <c r="A11132" s="12"/>
      <c r="D11132" s="12"/>
      <c r="E11132" s="12"/>
      <c r="H11132" s="11" t="str">
        <f ca="1">IFERROR(__xludf.DUMMYFUNCTION("IFERROR(SUBSTITUTE(SUBSTITUTE(REGEXEXTRACT(A11132, ""[^-]+- [^-]+- [^-]+ - (.+?)\.jpg""), "".jpg"", """"), ""-"", "", ""), """")"),"")</f>
        <v/>
      </c>
      <c r="L11132" s="12"/>
      <c r="M11132" s="13"/>
      <c r="N11132" s="2"/>
      <c r="O11132" s="20"/>
      <c r="P11132" s="42"/>
      <c r="R11132" s="23"/>
    </row>
    <row r="11133" spans="1:18" ht="12.75">
      <c r="A11133" s="12"/>
      <c r="D11133" s="12"/>
      <c r="E11133" s="12"/>
      <c r="H11133" s="11" t="str">
        <f ca="1">IFERROR(__xludf.DUMMYFUNCTION("IFERROR(SUBSTITUTE(SUBSTITUTE(REGEXEXTRACT(A11133, ""[^-]+- [^-]+- [^-]+ - (.+?)\.jpg""), "".jpg"", """"), ""-"", "", ""), """")"),"")</f>
        <v/>
      </c>
      <c r="L11133" s="12"/>
      <c r="M11133" s="13"/>
      <c r="N11133" s="2"/>
      <c r="O11133" s="20"/>
      <c r="P11133" s="42"/>
      <c r="R11133" s="23"/>
    </row>
    <row r="11134" spans="1:18" ht="12.75">
      <c r="A11134" s="12"/>
      <c r="D11134" s="12"/>
      <c r="E11134" s="12"/>
      <c r="H11134" s="11" t="str">
        <f ca="1">IFERROR(__xludf.DUMMYFUNCTION("IFERROR(SUBSTITUTE(SUBSTITUTE(REGEXEXTRACT(A11134, ""[^-]+- [^-]+- [^-]+ - (.+?)\.jpg""), "".jpg"", """"), ""-"", "", ""), """")"),"")</f>
        <v/>
      </c>
      <c r="L11134" s="12"/>
      <c r="M11134" s="13"/>
      <c r="N11134" s="2"/>
      <c r="O11134" s="20"/>
      <c r="P11134" s="42"/>
      <c r="R11134" s="23"/>
    </row>
    <row r="11135" spans="1:18" ht="12.75">
      <c r="A11135" s="12"/>
      <c r="D11135" s="12"/>
      <c r="E11135" s="12"/>
      <c r="H11135" s="11" t="str">
        <f ca="1">IFERROR(__xludf.DUMMYFUNCTION("IFERROR(SUBSTITUTE(SUBSTITUTE(REGEXEXTRACT(A11135, ""[^-]+- [^-]+- [^-]+ - (.+?)\.jpg""), "".jpg"", """"), ""-"", "", ""), """")"),"")</f>
        <v/>
      </c>
      <c r="L11135" s="12"/>
      <c r="M11135" s="13"/>
      <c r="N11135" s="2"/>
      <c r="O11135" s="20"/>
      <c r="P11135" s="42"/>
      <c r="R11135" s="23"/>
    </row>
    <row r="11136" spans="1:18" ht="12.75">
      <c r="A11136" s="12"/>
      <c r="D11136" s="12"/>
      <c r="E11136" s="12"/>
      <c r="H11136" s="11" t="str">
        <f ca="1">IFERROR(__xludf.DUMMYFUNCTION("IFERROR(SUBSTITUTE(SUBSTITUTE(REGEXEXTRACT(A11136, ""[^-]+- [^-]+- [^-]+ - (.+?)\.jpg""), "".jpg"", """"), ""-"", "", ""), """")"),"")</f>
        <v/>
      </c>
      <c r="L11136" s="12"/>
      <c r="M11136" s="13"/>
      <c r="N11136" s="2"/>
      <c r="O11136" s="20"/>
      <c r="P11136" s="42"/>
      <c r="R11136" s="23"/>
    </row>
    <row r="11137" spans="1:18" ht="12.75">
      <c r="A11137" s="12"/>
      <c r="D11137" s="12"/>
      <c r="E11137" s="12"/>
      <c r="H11137" s="11" t="str">
        <f ca="1">IFERROR(__xludf.DUMMYFUNCTION("IFERROR(SUBSTITUTE(SUBSTITUTE(REGEXEXTRACT(A11137, ""[^-]+- [^-]+- [^-]+ - (.+?)\.jpg""), "".jpg"", """"), ""-"", "", ""), """")"),"")</f>
        <v/>
      </c>
      <c r="L11137" s="12"/>
      <c r="M11137" s="13"/>
      <c r="N11137" s="2"/>
      <c r="O11137" s="20"/>
      <c r="P11137" s="42"/>
      <c r="R11137" s="23"/>
    </row>
    <row r="11138" spans="1:18" ht="12.75">
      <c r="A11138" s="12"/>
      <c r="D11138" s="12"/>
      <c r="E11138" s="12"/>
      <c r="H11138" s="11" t="str">
        <f ca="1">IFERROR(__xludf.DUMMYFUNCTION("IFERROR(SUBSTITUTE(SUBSTITUTE(REGEXEXTRACT(A11138, ""[^-]+- [^-]+- [^-]+ - (.+?)\.jpg""), "".jpg"", """"), ""-"", "", ""), """")"),"")</f>
        <v/>
      </c>
      <c r="L11138" s="12"/>
      <c r="M11138" s="13"/>
      <c r="N11138" s="2"/>
      <c r="O11138" s="20"/>
      <c r="P11138" s="42"/>
      <c r="R11138" s="23"/>
    </row>
    <row r="11139" spans="1:18" ht="12.75">
      <c r="A11139" s="12"/>
      <c r="D11139" s="12"/>
      <c r="E11139" s="12"/>
      <c r="H11139" s="11" t="str">
        <f ca="1">IFERROR(__xludf.DUMMYFUNCTION("IFERROR(SUBSTITUTE(SUBSTITUTE(REGEXEXTRACT(A11139, ""[^-]+- [^-]+- [^-]+ - (.+?)\.jpg""), "".jpg"", """"), ""-"", "", ""), """")"),"")</f>
        <v/>
      </c>
      <c r="L11139" s="12"/>
      <c r="M11139" s="13"/>
      <c r="N11139" s="2"/>
      <c r="O11139" s="20"/>
      <c r="P11139" s="42"/>
      <c r="R11139" s="23"/>
    </row>
    <row r="11140" spans="1:18" ht="12.75">
      <c r="A11140" s="12"/>
      <c r="D11140" s="12"/>
      <c r="E11140" s="12"/>
      <c r="H11140" s="11" t="str">
        <f ca="1">IFERROR(__xludf.DUMMYFUNCTION("IFERROR(SUBSTITUTE(SUBSTITUTE(REGEXEXTRACT(A11140, ""[^-]+- [^-]+- [^-]+ - (.+?)\.jpg""), "".jpg"", """"), ""-"", "", ""), """")"),"")</f>
        <v/>
      </c>
      <c r="L11140" s="12"/>
      <c r="M11140" s="13"/>
      <c r="N11140" s="2"/>
      <c r="O11140" s="20"/>
      <c r="P11140" s="42"/>
      <c r="R11140" s="23"/>
    </row>
    <row r="11141" spans="1:18" ht="12.75">
      <c r="A11141" s="12"/>
      <c r="D11141" s="12"/>
      <c r="E11141" s="12"/>
      <c r="H11141" s="11" t="str">
        <f ca="1">IFERROR(__xludf.DUMMYFUNCTION("IFERROR(SUBSTITUTE(SUBSTITUTE(REGEXEXTRACT(A11141, ""[^-]+- [^-]+- [^-]+ - (.+?)\.jpg""), "".jpg"", """"), ""-"", "", ""), """")"),"")</f>
        <v/>
      </c>
      <c r="L11141" s="12"/>
      <c r="M11141" s="13"/>
      <c r="N11141" s="2"/>
      <c r="O11141" s="20"/>
      <c r="P11141" s="42"/>
      <c r="R11141" s="23"/>
    </row>
    <row r="11142" spans="1:18" ht="12.75">
      <c r="A11142" s="12"/>
      <c r="D11142" s="12"/>
      <c r="E11142" s="12"/>
      <c r="H11142" s="11" t="str">
        <f ca="1">IFERROR(__xludf.DUMMYFUNCTION("IFERROR(SUBSTITUTE(SUBSTITUTE(REGEXEXTRACT(A11142, ""[^-]+- [^-]+- [^-]+ - (.+?)\.jpg""), "".jpg"", """"), ""-"", "", ""), """")"),"")</f>
        <v/>
      </c>
      <c r="L11142" s="12"/>
      <c r="M11142" s="13"/>
      <c r="N11142" s="2"/>
      <c r="O11142" s="20"/>
      <c r="P11142" s="42"/>
      <c r="R11142" s="23"/>
    </row>
    <row r="11143" spans="1:18" ht="12.75">
      <c r="A11143" s="12"/>
      <c r="D11143" s="12"/>
      <c r="E11143" s="12"/>
      <c r="H11143" s="11" t="str">
        <f ca="1">IFERROR(__xludf.DUMMYFUNCTION("IFERROR(SUBSTITUTE(SUBSTITUTE(REGEXEXTRACT(A11143, ""[^-]+- [^-]+- [^-]+ - (.+?)\.jpg""), "".jpg"", """"), ""-"", "", ""), """")"),"")</f>
        <v/>
      </c>
      <c r="L11143" s="12"/>
      <c r="M11143" s="13"/>
      <c r="N11143" s="2"/>
      <c r="O11143" s="20"/>
      <c r="P11143" s="42"/>
      <c r="R11143" s="23"/>
    </row>
    <row r="11144" spans="1:18" ht="12.75">
      <c r="A11144" s="12"/>
      <c r="D11144" s="12"/>
      <c r="E11144" s="12"/>
      <c r="H11144" s="11" t="str">
        <f ca="1">IFERROR(__xludf.DUMMYFUNCTION("IFERROR(SUBSTITUTE(SUBSTITUTE(REGEXEXTRACT(A11144, ""[^-]+- [^-]+- [^-]+ - (.+?)\.jpg""), "".jpg"", """"), ""-"", "", ""), """")"),"")</f>
        <v/>
      </c>
      <c r="L11144" s="12"/>
      <c r="M11144" s="13"/>
      <c r="N11144" s="2"/>
      <c r="O11144" s="20"/>
      <c r="P11144" s="42"/>
      <c r="R11144" s="23"/>
    </row>
    <row r="11145" spans="1:18" ht="12.75">
      <c r="A11145" s="12"/>
      <c r="D11145" s="12"/>
      <c r="E11145" s="12"/>
      <c r="H11145" s="11" t="str">
        <f ca="1">IFERROR(__xludf.DUMMYFUNCTION("IFERROR(SUBSTITUTE(SUBSTITUTE(REGEXEXTRACT(A11145, ""[^-]+- [^-]+- [^-]+ - (.+?)\.jpg""), "".jpg"", """"), ""-"", "", ""), """")"),"")</f>
        <v/>
      </c>
      <c r="L11145" s="12"/>
      <c r="M11145" s="13"/>
      <c r="N11145" s="2"/>
      <c r="O11145" s="20"/>
      <c r="P11145" s="42"/>
      <c r="R11145" s="23"/>
    </row>
    <row r="11146" spans="1:18" ht="12.75">
      <c r="A11146" s="12"/>
      <c r="D11146" s="12"/>
      <c r="E11146" s="12"/>
      <c r="H11146" s="11" t="str">
        <f ca="1">IFERROR(__xludf.DUMMYFUNCTION("IFERROR(SUBSTITUTE(SUBSTITUTE(REGEXEXTRACT(A11146, ""[^-]+- [^-]+- [^-]+ - (.+?)\.jpg""), "".jpg"", """"), ""-"", "", ""), """")"),"")</f>
        <v/>
      </c>
      <c r="L11146" s="12"/>
      <c r="M11146" s="13"/>
      <c r="N11146" s="2"/>
      <c r="O11146" s="20"/>
      <c r="P11146" s="42"/>
      <c r="R11146" s="23"/>
    </row>
    <row r="11147" spans="1:18" ht="12.75">
      <c r="A11147" s="12"/>
      <c r="D11147" s="12"/>
      <c r="E11147" s="12"/>
      <c r="H11147" s="11" t="str">
        <f ca="1">IFERROR(__xludf.DUMMYFUNCTION("IFERROR(SUBSTITUTE(SUBSTITUTE(REGEXEXTRACT(A11147, ""[^-]+- [^-]+- [^-]+ - (.+?)\.jpg""), "".jpg"", """"), ""-"", "", ""), """")"),"")</f>
        <v/>
      </c>
      <c r="L11147" s="12"/>
      <c r="M11147" s="13"/>
      <c r="N11147" s="2"/>
      <c r="O11147" s="20"/>
      <c r="P11147" s="42"/>
      <c r="R11147" s="23"/>
    </row>
    <row r="11148" spans="1:18" ht="12.75">
      <c r="A11148" s="12"/>
      <c r="D11148" s="12"/>
      <c r="E11148" s="12"/>
      <c r="H11148" s="11" t="str">
        <f ca="1">IFERROR(__xludf.DUMMYFUNCTION("IFERROR(SUBSTITUTE(SUBSTITUTE(REGEXEXTRACT(A11148, ""[^-]+- [^-]+- [^-]+ - (.+?)\.jpg""), "".jpg"", """"), ""-"", "", ""), """")"),"")</f>
        <v/>
      </c>
      <c r="L11148" s="12"/>
      <c r="M11148" s="13"/>
      <c r="N11148" s="2"/>
      <c r="O11148" s="20"/>
      <c r="P11148" s="42"/>
      <c r="R11148" s="23"/>
    </row>
    <row r="11149" spans="1:18" ht="12.75">
      <c r="A11149" s="12"/>
      <c r="D11149" s="12"/>
      <c r="E11149" s="12"/>
      <c r="H11149" s="11" t="str">
        <f ca="1">IFERROR(__xludf.DUMMYFUNCTION("IFERROR(SUBSTITUTE(SUBSTITUTE(REGEXEXTRACT(A11149, ""[^-]+- [^-]+- [^-]+ - (.+?)\.jpg""), "".jpg"", """"), ""-"", "", ""), """")"),"")</f>
        <v/>
      </c>
      <c r="L11149" s="12"/>
      <c r="M11149" s="13"/>
      <c r="N11149" s="2"/>
      <c r="O11149" s="20"/>
      <c r="P11149" s="42"/>
      <c r="R11149" s="23"/>
    </row>
    <row r="11150" spans="1:18" ht="12.75">
      <c r="A11150" s="12"/>
      <c r="D11150" s="12"/>
      <c r="E11150" s="12"/>
      <c r="H11150" s="11" t="str">
        <f ca="1">IFERROR(__xludf.DUMMYFUNCTION("IFERROR(SUBSTITUTE(SUBSTITUTE(REGEXEXTRACT(A11150, ""[^-]+- [^-]+- [^-]+ - (.+?)\.jpg""), "".jpg"", """"), ""-"", "", ""), """")"),"")</f>
        <v/>
      </c>
      <c r="L11150" s="12"/>
      <c r="M11150" s="13"/>
      <c r="N11150" s="2"/>
      <c r="O11150" s="20"/>
      <c r="P11150" s="42"/>
      <c r="R11150" s="23"/>
    </row>
    <row r="11151" spans="1:18" ht="12.75">
      <c r="A11151" s="12"/>
      <c r="D11151" s="12"/>
      <c r="E11151" s="12"/>
      <c r="H11151" s="11" t="str">
        <f ca="1">IFERROR(__xludf.DUMMYFUNCTION("IFERROR(SUBSTITUTE(SUBSTITUTE(REGEXEXTRACT(A11151, ""[^-]+- [^-]+- [^-]+ - (.+?)\.jpg""), "".jpg"", """"), ""-"", "", ""), """")"),"")</f>
        <v/>
      </c>
      <c r="L11151" s="12"/>
      <c r="M11151" s="13"/>
      <c r="N11151" s="2"/>
      <c r="O11151" s="20"/>
      <c r="P11151" s="42"/>
      <c r="R11151" s="23"/>
    </row>
    <row r="11152" spans="1:18" ht="12.75">
      <c r="A11152" s="12"/>
      <c r="D11152" s="12"/>
      <c r="E11152" s="12"/>
      <c r="H11152" s="11" t="str">
        <f ca="1">IFERROR(__xludf.DUMMYFUNCTION("IFERROR(SUBSTITUTE(SUBSTITUTE(REGEXEXTRACT(A11152, ""[^-]+- [^-]+- [^-]+ - (.+?)\.jpg""), "".jpg"", """"), ""-"", "", ""), """")"),"")</f>
        <v/>
      </c>
      <c r="L11152" s="12"/>
      <c r="M11152" s="13"/>
      <c r="N11152" s="2"/>
      <c r="O11152" s="20"/>
      <c r="P11152" s="42"/>
      <c r="R11152" s="23"/>
    </row>
    <row r="11153" spans="1:18" ht="12.75">
      <c r="A11153" s="12"/>
      <c r="D11153" s="12"/>
      <c r="E11153" s="12"/>
      <c r="H11153" s="11" t="str">
        <f ca="1">IFERROR(__xludf.DUMMYFUNCTION("IFERROR(SUBSTITUTE(SUBSTITUTE(REGEXEXTRACT(A11153, ""[^-]+- [^-]+- [^-]+ - (.+?)\.jpg""), "".jpg"", """"), ""-"", "", ""), """")"),"")</f>
        <v/>
      </c>
      <c r="L11153" s="12"/>
      <c r="M11153" s="13"/>
      <c r="N11153" s="2"/>
      <c r="O11153" s="20"/>
      <c r="P11153" s="42"/>
      <c r="R11153" s="23"/>
    </row>
    <row r="11154" spans="1:18" ht="12.75">
      <c r="A11154" s="12"/>
      <c r="D11154" s="12"/>
      <c r="E11154" s="12"/>
      <c r="H11154" s="11" t="str">
        <f ca="1">IFERROR(__xludf.DUMMYFUNCTION("IFERROR(SUBSTITUTE(SUBSTITUTE(REGEXEXTRACT(A11154, ""[^-]+- [^-]+- [^-]+ - (.+?)\.jpg""), "".jpg"", """"), ""-"", "", ""), """")"),"")</f>
        <v/>
      </c>
      <c r="L11154" s="12"/>
      <c r="M11154" s="13"/>
      <c r="N11154" s="2"/>
      <c r="O11154" s="20"/>
      <c r="P11154" s="42"/>
      <c r="R11154" s="23"/>
    </row>
    <row r="11155" spans="1:18" ht="12.75">
      <c r="A11155" s="12"/>
      <c r="D11155" s="12"/>
      <c r="E11155" s="12"/>
      <c r="H11155" s="11" t="str">
        <f ca="1">IFERROR(__xludf.DUMMYFUNCTION("IFERROR(SUBSTITUTE(SUBSTITUTE(REGEXEXTRACT(A11155, ""[^-]+- [^-]+- [^-]+ - (.+?)\.jpg""), "".jpg"", """"), ""-"", "", ""), """")"),"")</f>
        <v/>
      </c>
      <c r="L11155" s="12"/>
      <c r="M11155" s="13"/>
      <c r="N11155" s="2"/>
      <c r="O11155" s="20"/>
      <c r="P11155" s="42"/>
      <c r="R11155" s="23"/>
    </row>
    <row r="11156" spans="1:18" ht="12.75">
      <c r="A11156" s="12"/>
      <c r="D11156" s="12"/>
      <c r="E11156" s="12"/>
      <c r="H11156" s="11" t="str">
        <f ca="1">IFERROR(__xludf.DUMMYFUNCTION("IFERROR(SUBSTITUTE(SUBSTITUTE(REGEXEXTRACT(A11156, ""[^-]+- [^-]+- [^-]+ - (.+?)\.jpg""), "".jpg"", """"), ""-"", "", ""), """")"),"")</f>
        <v/>
      </c>
      <c r="L11156" s="12"/>
      <c r="M11156" s="13"/>
      <c r="N11156" s="2"/>
      <c r="O11156" s="20"/>
      <c r="P11156" s="42"/>
      <c r="R11156" s="23"/>
    </row>
    <row r="11157" spans="1:18" ht="12.75">
      <c r="A11157" s="12"/>
      <c r="D11157" s="12"/>
      <c r="E11157" s="12"/>
      <c r="H11157" s="11" t="str">
        <f ca="1">IFERROR(__xludf.DUMMYFUNCTION("IFERROR(SUBSTITUTE(SUBSTITUTE(REGEXEXTRACT(A11157, ""[^-]+- [^-]+- [^-]+ - (.+?)\.jpg""), "".jpg"", """"), ""-"", "", ""), """")"),"")</f>
        <v/>
      </c>
      <c r="L11157" s="12"/>
      <c r="M11157" s="13"/>
      <c r="N11157" s="2"/>
      <c r="O11157" s="20"/>
      <c r="P11157" s="42"/>
      <c r="R11157" s="23"/>
    </row>
    <row r="11158" spans="1:18" ht="12.75">
      <c r="A11158" s="12"/>
      <c r="D11158" s="12"/>
      <c r="E11158" s="12"/>
      <c r="H11158" s="11" t="str">
        <f ca="1">IFERROR(__xludf.DUMMYFUNCTION("IFERROR(SUBSTITUTE(SUBSTITUTE(REGEXEXTRACT(A11158, ""[^-]+- [^-]+- [^-]+ - (.+?)\.jpg""), "".jpg"", """"), ""-"", "", ""), """")"),"")</f>
        <v/>
      </c>
      <c r="L11158" s="12"/>
      <c r="M11158" s="13"/>
      <c r="N11158" s="2"/>
      <c r="O11158" s="20"/>
      <c r="P11158" s="42"/>
      <c r="R11158" s="23"/>
    </row>
    <row r="11159" spans="1:18" ht="12.75">
      <c r="A11159" s="12"/>
      <c r="D11159" s="12"/>
      <c r="E11159" s="12"/>
      <c r="H11159" s="11" t="str">
        <f ca="1">IFERROR(__xludf.DUMMYFUNCTION("IFERROR(SUBSTITUTE(SUBSTITUTE(REGEXEXTRACT(A11159, ""[^-]+- [^-]+- [^-]+ - (.+?)\.jpg""), "".jpg"", """"), ""-"", "", ""), """")"),"")</f>
        <v/>
      </c>
      <c r="L11159" s="12"/>
      <c r="M11159" s="13"/>
      <c r="N11159" s="2"/>
      <c r="O11159" s="20"/>
      <c r="P11159" s="42"/>
      <c r="R11159" s="23"/>
    </row>
    <row r="11160" spans="1:18" ht="12.75">
      <c r="A11160" s="12"/>
      <c r="D11160" s="12"/>
      <c r="E11160" s="12"/>
      <c r="H11160" s="11" t="str">
        <f ca="1">IFERROR(__xludf.DUMMYFUNCTION("IFERROR(SUBSTITUTE(SUBSTITUTE(REGEXEXTRACT(A11160, ""[^-]+- [^-]+- [^-]+ - (.+?)\.jpg""), "".jpg"", """"), ""-"", "", ""), """")"),"")</f>
        <v/>
      </c>
      <c r="L11160" s="12"/>
      <c r="M11160" s="13"/>
      <c r="N11160" s="2"/>
      <c r="O11160" s="20"/>
      <c r="P11160" s="42"/>
      <c r="R11160" s="23"/>
    </row>
    <row r="11161" spans="1:18" ht="12.75">
      <c r="A11161" s="12"/>
      <c r="D11161" s="12"/>
      <c r="E11161" s="12"/>
      <c r="H11161" s="11" t="str">
        <f ca="1">IFERROR(__xludf.DUMMYFUNCTION("IFERROR(SUBSTITUTE(SUBSTITUTE(REGEXEXTRACT(A11161, ""[^-]+- [^-]+- [^-]+ - (.+?)\.jpg""), "".jpg"", """"), ""-"", "", ""), """")"),"")</f>
        <v/>
      </c>
      <c r="L11161" s="12"/>
      <c r="M11161" s="13"/>
      <c r="N11161" s="2"/>
      <c r="O11161" s="20"/>
      <c r="P11161" s="42"/>
      <c r="R11161" s="23"/>
    </row>
    <row r="11162" spans="1:18" ht="12.75">
      <c r="A11162" s="12"/>
      <c r="D11162" s="12"/>
      <c r="E11162" s="12"/>
      <c r="H11162" s="11" t="str">
        <f ca="1">IFERROR(__xludf.DUMMYFUNCTION("IFERROR(SUBSTITUTE(SUBSTITUTE(REGEXEXTRACT(A11162, ""[^-]+- [^-]+- [^-]+ - (.+?)\.jpg""), "".jpg"", """"), ""-"", "", ""), """")"),"")</f>
        <v/>
      </c>
      <c r="L11162" s="12"/>
      <c r="M11162" s="13"/>
      <c r="N11162" s="2"/>
      <c r="O11162" s="20"/>
      <c r="P11162" s="42"/>
      <c r="R11162" s="23"/>
    </row>
    <row r="11163" spans="1:18" ht="12.75">
      <c r="A11163" s="12"/>
      <c r="D11163" s="12"/>
      <c r="E11163" s="12"/>
      <c r="H11163" s="11" t="str">
        <f ca="1">IFERROR(__xludf.DUMMYFUNCTION("IFERROR(SUBSTITUTE(SUBSTITUTE(REGEXEXTRACT(A11163, ""[^-]+- [^-]+- [^-]+ - (.+?)\.jpg""), "".jpg"", """"), ""-"", "", ""), """")"),"")</f>
        <v/>
      </c>
      <c r="L11163" s="12"/>
      <c r="M11163" s="13"/>
      <c r="N11163" s="2"/>
      <c r="O11163" s="20"/>
      <c r="P11163" s="42"/>
      <c r="R11163" s="23"/>
    </row>
    <row r="11164" spans="1:18" ht="12.75">
      <c r="A11164" s="12"/>
      <c r="D11164" s="12"/>
      <c r="E11164" s="12"/>
      <c r="H11164" s="11" t="str">
        <f ca="1">IFERROR(__xludf.DUMMYFUNCTION("IFERROR(SUBSTITUTE(SUBSTITUTE(REGEXEXTRACT(A11164, ""[^-]+- [^-]+- [^-]+ - (.+?)\.jpg""), "".jpg"", """"), ""-"", "", ""), """")"),"")</f>
        <v/>
      </c>
      <c r="L11164" s="12"/>
      <c r="M11164" s="13"/>
      <c r="N11164" s="2"/>
      <c r="O11164" s="20"/>
      <c r="P11164" s="42"/>
      <c r="R11164" s="23"/>
    </row>
    <row r="11165" spans="1:18" ht="12.75">
      <c r="A11165" s="12"/>
      <c r="D11165" s="12"/>
      <c r="E11165" s="12"/>
      <c r="H11165" s="11" t="str">
        <f ca="1">IFERROR(__xludf.DUMMYFUNCTION("IFERROR(SUBSTITUTE(SUBSTITUTE(REGEXEXTRACT(A11165, ""[^-]+- [^-]+- [^-]+ - (.+?)\.jpg""), "".jpg"", """"), ""-"", "", ""), """")"),"")</f>
        <v/>
      </c>
      <c r="L11165" s="12"/>
      <c r="M11165" s="13"/>
      <c r="N11165" s="2"/>
      <c r="O11165" s="20"/>
      <c r="P11165" s="42"/>
      <c r="R11165" s="23"/>
    </row>
    <row r="11166" spans="1:18" ht="12.75">
      <c r="A11166" s="12"/>
      <c r="D11166" s="12"/>
      <c r="E11166" s="12"/>
      <c r="H11166" s="11" t="str">
        <f ca="1">IFERROR(__xludf.DUMMYFUNCTION("IFERROR(SUBSTITUTE(SUBSTITUTE(REGEXEXTRACT(A11166, ""[^-]+- [^-]+- [^-]+ - (.+?)\.jpg""), "".jpg"", """"), ""-"", "", ""), """")"),"")</f>
        <v/>
      </c>
      <c r="L11166" s="12"/>
      <c r="M11166" s="13"/>
      <c r="N11166" s="2"/>
      <c r="O11166" s="20"/>
      <c r="P11166" s="42"/>
      <c r="R11166" s="23"/>
    </row>
    <row r="11167" spans="1:18" ht="12.75">
      <c r="A11167" s="12"/>
      <c r="D11167" s="12"/>
      <c r="E11167" s="12"/>
      <c r="H11167" s="11" t="str">
        <f ca="1">IFERROR(__xludf.DUMMYFUNCTION("IFERROR(SUBSTITUTE(SUBSTITUTE(REGEXEXTRACT(A11167, ""[^-]+- [^-]+- [^-]+ - (.+?)\.jpg""), "".jpg"", """"), ""-"", "", ""), """")"),"")</f>
        <v/>
      </c>
      <c r="L11167" s="12"/>
      <c r="M11167" s="13"/>
      <c r="N11167" s="2"/>
      <c r="O11167" s="20"/>
      <c r="P11167" s="42"/>
      <c r="R11167" s="23"/>
    </row>
    <row r="11168" spans="1:18" ht="12.75">
      <c r="A11168" s="12"/>
      <c r="D11168" s="12"/>
      <c r="E11168" s="12"/>
      <c r="H11168" s="11" t="str">
        <f ca="1">IFERROR(__xludf.DUMMYFUNCTION("IFERROR(SUBSTITUTE(SUBSTITUTE(REGEXEXTRACT(A11168, ""[^-]+- [^-]+- [^-]+ - (.+?)\.jpg""), "".jpg"", """"), ""-"", "", ""), """")"),"")</f>
        <v/>
      </c>
      <c r="L11168" s="12"/>
      <c r="M11168" s="13"/>
      <c r="N11168" s="2"/>
      <c r="O11168" s="20"/>
      <c r="P11168" s="42"/>
      <c r="R11168" s="23"/>
    </row>
    <row r="11169" spans="1:18" ht="12.75">
      <c r="A11169" s="12"/>
      <c r="D11169" s="12"/>
      <c r="E11169" s="12"/>
      <c r="H11169" s="11" t="str">
        <f ca="1">IFERROR(__xludf.DUMMYFUNCTION("IFERROR(SUBSTITUTE(SUBSTITUTE(REGEXEXTRACT(A11169, ""[^-]+- [^-]+- [^-]+ - (.+?)\.jpg""), "".jpg"", """"), ""-"", "", ""), """")"),"")</f>
        <v/>
      </c>
      <c r="L11169" s="12"/>
      <c r="M11169" s="13"/>
      <c r="N11169" s="2"/>
      <c r="O11169" s="20"/>
      <c r="P11169" s="42"/>
      <c r="R11169" s="23"/>
    </row>
    <row r="11170" spans="1:18" ht="12.75">
      <c r="A11170" s="12"/>
      <c r="D11170" s="12"/>
      <c r="E11170" s="12"/>
      <c r="H11170" s="11" t="str">
        <f ca="1">IFERROR(__xludf.DUMMYFUNCTION("IFERROR(SUBSTITUTE(SUBSTITUTE(REGEXEXTRACT(A11170, ""[^-]+- [^-]+- [^-]+ - (.+?)\.jpg""), "".jpg"", """"), ""-"", "", ""), """")"),"")</f>
        <v/>
      </c>
      <c r="L11170" s="12"/>
      <c r="M11170" s="13"/>
      <c r="N11170" s="2"/>
      <c r="O11170" s="20"/>
      <c r="P11170" s="42"/>
      <c r="R11170" s="23"/>
    </row>
    <row r="11171" spans="1:18" ht="12.75">
      <c r="A11171" s="12"/>
      <c r="D11171" s="12"/>
      <c r="E11171" s="12"/>
      <c r="H11171" s="11" t="str">
        <f ca="1">IFERROR(__xludf.DUMMYFUNCTION("IFERROR(SUBSTITUTE(SUBSTITUTE(REGEXEXTRACT(A11171, ""[^-]+- [^-]+- [^-]+ - (.+?)\.jpg""), "".jpg"", """"), ""-"", "", ""), """")"),"")</f>
        <v/>
      </c>
      <c r="L11171" s="12"/>
      <c r="M11171" s="13"/>
      <c r="N11171" s="2"/>
      <c r="O11171" s="20"/>
      <c r="P11171" s="42"/>
      <c r="R11171" s="23"/>
    </row>
    <row r="11172" spans="1:18" ht="12.75">
      <c r="A11172" s="12"/>
      <c r="D11172" s="12"/>
      <c r="E11172" s="12"/>
      <c r="H11172" s="11" t="str">
        <f ca="1">IFERROR(__xludf.DUMMYFUNCTION("IFERROR(SUBSTITUTE(SUBSTITUTE(REGEXEXTRACT(A11172, ""[^-]+- [^-]+- [^-]+ - (.+?)\.jpg""), "".jpg"", """"), ""-"", "", ""), """")"),"")</f>
        <v/>
      </c>
      <c r="L11172" s="12"/>
      <c r="M11172" s="13"/>
      <c r="N11172" s="2"/>
      <c r="O11172" s="20"/>
      <c r="P11172" s="42"/>
      <c r="R11172" s="23"/>
    </row>
    <row r="11173" spans="1:18" ht="12.75">
      <c r="A11173" s="12"/>
      <c r="D11173" s="12"/>
      <c r="E11173" s="12"/>
      <c r="H11173" s="11" t="str">
        <f ca="1">IFERROR(__xludf.DUMMYFUNCTION("IFERROR(SUBSTITUTE(SUBSTITUTE(REGEXEXTRACT(A11173, ""[^-]+- [^-]+- [^-]+ - (.+?)\.jpg""), "".jpg"", """"), ""-"", "", ""), """")"),"")</f>
        <v/>
      </c>
      <c r="L11173" s="12"/>
      <c r="M11173" s="13"/>
      <c r="N11173" s="2"/>
      <c r="O11173" s="20"/>
      <c r="P11173" s="42"/>
      <c r="R11173" s="23"/>
    </row>
    <row r="11174" spans="1:18" ht="12.75">
      <c r="A11174" s="12"/>
      <c r="D11174" s="12"/>
      <c r="E11174" s="12"/>
      <c r="H11174" s="11" t="str">
        <f ca="1">IFERROR(__xludf.DUMMYFUNCTION("IFERROR(SUBSTITUTE(SUBSTITUTE(REGEXEXTRACT(A11174, ""[^-]+- [^-]+- [^-]+ - (.+?)\.jpg""), "".jpg"", """"), ""-"", "", ""), """")"),"")</f>
        <v/>
      </c>
      <c r="L11174" s="12"/>
      <c r="M11174" s="13"/>
      <c r="N11174" s="2"/>
      <c r="O11174" s="20"/>
      <c r="P11174" s="42"/>
      <c r="R11174" s="23"/>
    </row>
    <row r="11175" spans="1:18" ht="12.75">
      <c r="A11175" s="12"/>
      <c r="D11175" s="12"/>
      <c r="E11175" s="12"/>
      <c r="H11175" s="11" t="str">
        <f ca="1">IFERROR(__xludf.DUMMYFUNCTION("IFERROR(SUBSTITUTE(SUBSTITUTE(REGEXEXTRACT(A11175, ""[^-]+- [^-]+- [^-]+ - (.+?)\.jpg""), "".jpg"", """"), ""-"", "", ""), """")"),"")</f>
        <v/>
      </c>
      <c r="L11175" s="12"/>
      <c r="M11175" s="13"/>
      <c r="N11175" s="2"/>
      <c r="O11175" s="20"/>
      <c r="P11175" s="42"/>
      <c r="R11175" s="23"/>
    </row>
    <row r="11176" spans="1:18" ht="12.75">
      <c r="A11176" s="12"/>
      <c r="D11176" s="12"/>
      <c r="E11176" s="12"/>
      <c r="H11176" s="11" t="str">
        <f ca="1">IFERROR(__xludf.DUMMYFUNCTION("IFERROR(SUBSTITUTE(SUBSTITUTE(REGEXEXTRACT(A11176, ""[^-]+- [^-]+- [^-]+ - (.+?)\.jpg""), "".jpg"", """"), ""-"", "", ""), """")"),"")</f>
        <v/>
      </c>
      <c r="L11176" s="12"/>
      <c r="M11176" s="13"/>
      <c r="N11176" s="2"/>
      <c r="O11176" s="20"/>
      <c r="P11176" s="42"/>
      <c r="R11176" s="23"/>
    </row>
    <row r="11177" spans="1:18" ht="12.75">
      <c r="A11177" s="12"/>
      <c r="D11177" s="12"/>
      <c r="E11177" s="12"/>
      <c r="H11177" s="11" t="str">
        <f ca="1">IFERROR(__xludf.DUMMYFUNCTION("IFERROR(SUBSTITUTE(SUBSTITUTE(REGEXEXTRACT(A11177, ""[^-]+- [^-]+- [^-]+ - (.+?)\.jpg""), "".jpg"", """"), ""-"", "", ""), """")"),"")</f>
        <v/>
      </c>
      <c r="L11177" s="12"/>
      <c r="M11177" s="13"/>
      <c r="N11177" s="2"/>
      <c r="O11177" s="20"/>
      <c r="P11177" s="42"/>
      <c r="R11177" s="23"/>
    </row>
    <row r="11178" spans="1:18" ht="12.75">
      <c r="A11178" s="12"/>
      <c r="D11178" s="12"/>
      <c r="E11178" s="12"/>
      <c r="H11178" s="11" t="str">
        <f ca="1">IFERROR(__xludf.DUMMYFUNCTION("IFERROR(SUBSTITUTE(SUBSTITUTE(REGEXEXTRACT(A11178, ""[^-]+- [^-]+- [^-]+ - (.+?)\.jpg""), "".jpg"", """"), ""-"", "", ""), """")"),"")</f>
        <v/>
      </c>
      <c r="L11178" s="12"/>
      <c r="M11178" s="13"/>
      <c r="N11178" s="2"/>
      <c r="O11178" s="20"/>
      <c r="P11178" s="42"/>
      <c r="R11178" s="23"/>
    </row>
    <row r="11179" spans="1:18" ht="12.75">
      <c r="A11179" s="12"/>
      <c r="D11179" s="12"/>
      <c r="E11179" s="12"/>
      <c r="H11179" s="11" t="str">
        <f ca="1">IFERROR(__xludf.DUMMYFUNCTION("IFERROR(SUBSTITUTE(SUBSTITUTE(REGEXEXTRACT(A11179, ""[^-]+- [^-]+- [^-]+ - (.+?)\.jpg""), "".jpg"", """"), ""-"", "", ""), """")"),"")</f>
        <v/>
      </c>
      <c r="L11179" s="12"/>
      <c r="M11179" s="13"/>
      <c r="N11179" s="2"/>
      <c r="O11179" s="20"/>
      <c r="P11179" s="42"/>
      <c r="R11179" s="23"/>
    </row>
    <row r="11180" spans="1:18" ht="12.75">
      <c r="A11180" s="12"/>
      <c r="D11180" s="12"/>
      <c r="E11180" s="12"/>
      <c r="H11180" s="11" t="str">
        <f ca="1">IFERROR(__xludf.DUMMYFUNCTION("IFERROR(SUBSTITUTE(SUBSTITUTE(REGEXEXTRACT(A11180, ""[^-]+- [^-]+- [^-]+ - (.+?)\.jpg""), "".jpg"", """"), ""-"", "", ""), """")"),"")</f>
        <v/>
      </c>
      <c r="L11180" s="12"/>
      <c r="M11180" s="13"/>
      <c r="N11180" s="2"/>
      <c r="O11180" s="20"/>
      <c r="P11180" s="42"/>
      <c r="R11180" s="23"/>
    </row>
    <row r="11181" spans="1:18" ht="12.75">
      <c r="A11181" s="12"/>
      <c r="D11181" s="12"/>
      <c r="E11181" s="12"/>
      <c r="H11181" s="11" t="str">
        <f ca="1">IFERROR(__xludf.DUMMYFUNCTION("IFERROR(SUBSTITUTE(SUBSTITUTE(REGEXEXTRACT(A11181, ""[^-]+- [^-]+- [^-]+ - (.+?)\.jpg""), "".jpg"", """"), ""-"", "", ""), """")"),"")</f>
        <v/>
      </c>
      <c r="L11181" s="12"/>
      <c r="M11181" s="13"/>
      <c r="N11181" s="2"/>
      <c r="O11181" s="20"/>
      <c r="P11181" s="42"/>
      <c r="R11181" s="23"/>
    </row>
    <row r="11182" spans="1:18" ht="12.75">
      <c r="A11182" s="12"/>
      <c r="D11182" s="12"/>
      <c r="E11182" s="12"/>
      <c r="H11182" s="11" t="str">
        <f ca="1">IFERROR(__xludf.DUMMYFUNCTION("IFERROR(SUBSTITUTE(SUBSTITUTE(REGEXEXTRACT(A11182, ""[^-]+- [^-]+- [^-]+ - (.+?)\.jpg""), "".jpg"", """"), ""-"", "", ""), """")"),"")</f>
        <v/>
      </c>
      <c r="L11182" s="12"/>
      <c r="M11182" s="13"/>
      <c r="N11182" s="2"/>
      <c r="O11182" s="20"/>
      <c r="P11182" s="42"/>
      <c r="R11182" s="23"/>
    </row>
    <row r="11183" spans="1:18" ht="12.75">
      <c r="A11183" s="12"/>
      <c r="D11183" s="12"/>
      <c r="E11183" s="12"/>
      <c r="H11183" s="11" t="str">
        <f ca="1">IFERROR(__xludf.DUMMYFUNCTION("IFERROR(SUBSTITUTE(SUBSTITUTE(REGEXEXTRACT(A11183, ""[^-]+- [^-]+- [^-]+ - (.+?)\.jpg""), "".jpg"", """"), ""-"", "", ""), """")"),"")</f>
        <v/>
      </c>
      <c r="L11183" s="12"/>
      <c r="M11183" s="13"/>
      <c r="N11183" s="2"/>
      <c r="O11183" s="20"/>
      <c r="P11183" s="42"/>
      <c r="R11183" s="23"/>
    </row>
    <row r="11184" spans="1:18" ht="12.75">
      <c r="A11184" s="12"/>
      <c r="D11184" s="12"/>
      <c r="E11184" s="12"/>
      <c r="H11184" s="11" t="str">
        <f ca="1">IFERROR(__xludf.DUMMYFUNCTION("IFERROR(SUBSTITUTE(SUBSTITUTE(REGEXEXTRACT(A11184, ""[^-]+- [^-]+- [^-]+ - (.+?)\.jpg""), "".jpg"", """"), ""-"", "", ""), """")"),"")</f>
        <v/>
      </c>
      <c r="L11184" s="12"/>
      <c r="M11184" s="13"/>
      <c r="N11184" s="2"/>
      <c r="O11184" s="20"/>
      <c r="P11184" s="42"/>
      <c r="R11184" s="23"/>
    </row>
    <row r="11185" spans="1:18" ht="12.75">
      <c r="A11185" s="12"/>
      <c r="D11185" s="12"/>
      <c r="E11185" s="12"/>
      <c r="H11185" s="11" t="str">
        <f ca="1">IFERROR(__xludf.DUMMYFUNCTION("IFERROR(SUBSTITUTE(SUBSTITUTE(REGEXEXTRACT(A11185, ""[^-]+- [^-]+- [^-]+ - (.+?)\.jpg""), "".jpg"", """"), ""-"", "", ""), """")"),"")</f>
        <v/>
      </c>
      <c r="L11185" s="12"/>
      <c r="M11185" s="13"/>
      <c r="N11185" s="2"/>
      <c r="O11185" s="20"/>
      <c r="P11185" s="42"/>
      <c r="R11185" s="23"/>
    </row>
    <row r="11186" spans="1:18" ht="12.75">
      <c r="A11186" s="12"/>
      <c r="D11186" s="12"/>
      <c r="E11186" s="12"/>
      <c r="H11186" s="11" t="str">
        <f ca="1">IFERROR(__xludf.DUMMYFUNCTION("IFERROR(SUBSTITUTE(SUBSTITUTE(REGEXEXTRACT(A11186, ""[^-]+- [^-]+- [^-]+ - (.+?)\.jpg""), "".jpg"", """"), ""-"", "", ""), """")"),"")</f>
        <v/>
      </c>
      <c r="L11186" s="12"/>
      <c r="M11186" s="13"/>
      <c r="N11186" s="2"/>
      <c r="O11186" s="20"/>
      <c r="P11186" s="42"/>
      <c r="R11186" s="23"/>
    </row>
    <row r="11187" spans="1:18" ht="12.75">
      <c r="A11187" s="12"/>
      <c r="D11187" s="12"/>
      <c r="E11187" s="12"/>
      <c r="H11187" s="11" t="str">
        <f ca="1">IFERROR(__xludf.DUMMYFUNCTION("IFERROR(SUBSTITUTE(SUBSTITUTE(REGEXEXTRACT(A11187, ""[^-]+- [^-]+- [^-]+ - (.+?)\.jpg""), "".jpg"", """"), ""-"", "", ""), """")"),"")</f>
        <v/>
      </c>
      <c r="L11187" s="12"/>
      <c r="M11187" s="13"/>
      <c r="N11187" s="2"/>
      <c r="O11187" s="20"/>
      <c r="P11187" s="42"/>
      <c r="R11187" s="23"/>
    </row>
    <row r="11188" spans="1:18" ht="12.75">
      <c r="A11188" s="12"/>
      <c r="D11188" s="12"/>
      <c r="E11188" s="12"/>
      <c r="H11188" s="11" t="str">
        <f ca="1">IFERROR(__xludf.DUMMYFUNCTION("IFERROR(SUBSTITUTE(SUBSTITUTE(REGEXEXTRACT(A11188, ""[^-]+- [^-]+- [^-]+ - (.+?)\.jpg""), "".jpg"", """"), ""-"", "", ""), """")"),"")</f>
        <v/>
      </c>
      <c r="L11188" s="12"/>
      <c r="M11188" s="13"/>
      <c r="N11188" s="2"/>
      <c r="O11188" s="20"/>
      <c r="P11188" s="42"/>
      <c r="R11188" s="23"/>
    </row>
    <row r="11189" spans="1:18" ht="12.75">
      <c r="A11189" s="12"/>
      <c r="D11189" s="12"/>
      <c r="E11189" s="12"/>
      <c r="H11189" s="11" t="str">
        <f ca="1">IFERROR(__xludf.DUMMYFUNCTION("IFERROR(SUBSTITUTE(SUBSTITUTE(REGEXEXTRACT(A11189, ""[^-]+- [^-]+- [^-]+ - (.+?)\.jpg""), "".jpg"", """"), ""-"", "", ""), """")"),"")</f>
        <v/>
      </c>
      <c r="L11189" s="12"/>
      <c r="M11189" s="13"/>
      <c r="N11189" s="2"/>
      <c r="O11189" s="20"/>
      <c r="P11189" s="42"/>
      <c r="R11189" s="23"/>
    </row>
    <row r="11190" spans="1:18" ht="12.75">
      <c r="A11190" s="12"/>
      <c r="D11190" s="12"/>
      <c r="E11190" s="12"/>
      <c r="H11190" s="11" t="str">
        <f ca="1">IFERROR(__xludf.DUMMYFUNCTION("IFERROR(SUBSTITUTE(SUBSTITUTE(REGEXEXTRACT(A11190, ""[^-]+- [^-]+- [^-]+ - (.+?)\.jpg""), "".jpg"", """"), ""-"", "", ""), """")"),"")</f>
        <v/>
      </c>
      <c r="L11190" s="12"/>
      <c r="M11190" s="13"/>
      <c r="N11190" s="2"/>
      <c r="O11190" s="20"/>
      <c r="P11190" s="42"/>
      <c r="R11190" s="23"/>
    </row>
    <row r="11191" spans="1:18" ht="12.75">
      <c r="A11191" s="12"/>
      <c r="D11191" s="12"/>
      <c r="E11191" s="12"/>
      <c r="H11191" s="11" t="str">
        <f ca="1">IFERROR(__xludf.DUMMYFUNCTION("IFERROR(SUBSTITUTE(SUBSTITUTE(REGEXEXTRACT(A11191, ""[^-]+- [^-]+- [^-]+ - (.+?)\.jpg""), "".jpg"", """"), ""-"", "", ""), """")"),"")</f>
        <v/>
      </c>
      <c r="L11191" s="12"/>
      <c r="M11191" s="13"/>
      <c r="N11191" s="2"/>
      <c r="O11191" s="20"/>
      <c r="P11191" s="42"/>
      <c r="R11191" s="23"/>
    </row>
    <row r="11192" spans="1:18" ht="12.75">
      <c r="A11192" s="12"/>
      <c r="D11192" s="12"/>
      <c r="E11192" s="12"/>
      <c r="H11192" s="11" t="str">
        <f ca="1">IFERROR(__xludf.DUMMYFUNCTION("IFERROR(SUBSTITUTE(SUBSTITUTE(REGEXEXTRACT(A11192, ""[^-]+- [^-]+- [^-]+ - (.+?)\.jpg""), "".jpg"", """"), ""-"", "", ""), """")"),"")</f>
        <v/>
      </c>
      <c r="L11192" s="12"/>
      <c r="M11192" s="13"/>
      <c r="N11192" s="2"/>
      <c r="O11192" s="20"/>
      <c r="P11192" s="42"/>
      <c r="R11192" s="23"/>
    </row>
    <row r="11193" spans="1:18" ht="12.75">
      <c r="A11193" s="12"/>
      <c r="D11193" s="12"/>
      <c r="E11193" s="12"/>
      <c r="H11193" s="11" t="str">
        <f ca="1">IFERROR(__xludf.DUMMYFUNCTION("IFERROR(SUBSTITUTE(SUBSTITUTE(REGEXEXTRACT(A11193, ""[^-]+- [^-]+- [^-]+ - (.+?)\.jpg""), "".jpg"", """"), ""-"", "", ""), """")"),"")</f>
        <v/>
      </c>
      <c r="L11193" s="12"/>
      <c r="M11193" s="13"/>
      <c r="N11193" s="2"/>
      <c r="O11193" s="20"/>
      <c r="P11193" s="42"/>
      <c r="R11193" s="23"/>
    </row>
    <row r="11194" spans="1:18" ht="12.75">
      <c r="A11194" s="12"/>
      <c r="D11194" s="12"/>
      <c r="E11194" s="12"/>
      <c r="H11194" s="11" t="str">
        <f ca="1">IFERROR(__xludf.DUMMYFUNCTION("IFERROR(SUBSTITUTE(SUBSTITUTE(REGEXEXTRACT(A11194, ""[^-]+- [^-]+- [^-]+ - (.+?)\.jpg""), "".jpg"", """"), ""-"", "", ""), """")"),"")</f>
        <v/>
      </c>
      <c r="L11194" s="12"/>
      <c r="M11194" s="13"/>
      <c r="N11194" s="2"/>
      <c r="O11194" s="20"/>
      <c r="P11194" s="42"/>
      <c r="R11194" s="23"/>
    </row>
    <row r="11195" spans="1:18" ht="12.75">
      <c r="A11195" s="12"/>
      <c r="D11195" s="12"/>
      <c r="E11195" s="12"/>
      <c r="H11195" s="11" t="str">
        <f ca="1">IFERROR(__xludf.DUMMYFUNCTION("IFERROR(SUBSTITUTE(SUBSTITUTE(REGEXEXTRACT(A11195, ""[^-]+- [^-]+- [^-]+ - (.+?)\.jpg""), "".jpg"", """"), ""-"", "", ""), """")"),"")</f>
        <v/>
      </c>
      <c r="L11195" s="12"/>
      <c r="M11195" s="13"/>
      <c r="N11195" s="2"/>
      <c r="O11195" s="20"/>
      <c r="P11195" s="42"/>
      <c r="R11195" s="23"/>
    </row>
    <row r="11196" spans="1:18" ht="12.75">
      <c r="A11196" s="12"/>
      <c r="D11196" s="12"/>
      <c r="E11196" s="12"/>
      <c r="H11196" s="11" t="str">
        <f ca="1">IFERROR(__xludf.DUMMYFUNCTION("IFERROR(SUBSTITUTE(SUBSTITUTE(REGEXEXTRACT(A11196, ""[^-]+- [^-]+- [^-]+ - (.+?)\.jpg""), "".jpg"", """"), ""-"", "", ""), """")"),"")</f>
        <v/>
      </c>
      <c r="L11196" s="12"/>
      <c r="M11196" s="13"/>
      <c r="N11196" s="2"/>
      <c r="O11196" s="20"/>
      <c r="P11196" s="42"/>
      <c r="R11196" s="23"/>
    </row>
    <row r="11197" spans="1:18" ht="12.75">
      <c r="A11197" s="12"/>
      <c r="D11197" s="12"/>
      <c r="E11197" s="12"/>
      <c r="H11197" s="11" t="str">
        <f ca="1">IFERROR(__xludf.DUMMYFUNCTION("IFERROR(SUBSTITUTE(SUBSTITUTE(REGEXEXTRACT(A11197, ""[^-]+- [^-]+- [^-]+ - (.+?)\.jpg""), "".jpg"", """"), ""-"", "", ""), """")"),"")</f>
        <v/>
      </c>
      <c r="L11197" s="12"/>
      <c r="M11197" s="13"/>
      <c r="N11197" s="2"/>
      <c r="O11197" s="20"/>
      <c r="P11197" s="42"/>
      <c r="R11197" s="23"/>
    </row>
    <row r="11198" spans="1:18" ht="12.75">
      <c r="A11198" s="12"/>
      <c r="D11198" s="12"/>
      <c r="E11198" s="12"/>
      <c r="H11198" s="11" t="str">
        <f ca="1">IFERROR(__xludf.DUMMYFUNCTION("IFERROR(SUBSTITUTE(SUBSTITUTE(REGEXEXTRACT(A11198, ""[^-]+- [^-]+- [^-]+ - (.+?)\.jpg""), "".jpg"", """"), ""-"", "", ""), """")"),"")</f>
        <v/>
      </c>
      <c r="L11198" s="12"/>
      <c r="M11198" s="13"/>
      <c r="N11198" s="2"/>
      <c r="O11198" s="20"/>
      <c r="P11198" s="42"/>
      <c r="R11198" s="23"/>
    </row>
    <row r="11199" spans="1:18" ht="12.75">
      <c r="A11199" s="12"/>
      <c r="D11199" s="12"/>
      <c r="E11199" s="12"/>
      <c r="H11199" s="11" t="str">
        <f ca="1">IFERROR(__xludf.DUMMYFUNCTION("IFERROR(SUBSTITUTE(SUBSTITUTE(REGEXEXTRACT(A11199, ""[^-]+- [^-]+- [^-]+ - (.+?)\.jpg""), "".jpg"", """"), ""-"", "", ""), """")"),"")</f>
        <v/>
      </c>
      <c r="L11199" s="12"/>
      <c r="M11199" s="13"/>
      <c r="N11199" s="2"/>
      <c r="O11199" s="20"/>
      <c r="P11199" s="42"/>
      <c r="R11199" s="23"/>
    </row>
    <row r="11200" spans="1:18" ht="12.75">
      <c r="A11200" s="12"/>
      <c r="D11200" s="12"/>
      <c r="E11200" s="12"/>
      <c r="H11200" s="11" t="str">
        <f ca="1">IFERROR(__xludf.DUMMYFUNCTION("IFERROR(SUBSTITUTE(SUBSTITUTE(REGEXEXTRACT(A11200, ""[^-]+- [^-]+- [^-]+ - (.+?)\.jpg""), "".jpg"", """"), ""-"", "", ""), """")"),"")</f>
        <v/>
      </c>
      <c r="L11200" s="12"/>
      <c r="M11200" s="13"/>
      <c r="N11200" s="2"/>
      <c r="O11200" s="20"/>
      <c r="P11200" s="42"/>
      <c r="R11200" s="23"/>
    </row>
    <row r="11201" spans="1:18" ht="12.75">
      <c r="A11201" s="12"/>
      <c r="D11201" s="12"/>
      <c r="E11201" s="12"/>
      <c r="H11201" s="11" t="str">
        <f ca="1">IFERROR(__xludf.DUMMYFUNCTION("IFERROR(SUBSTITUTE(SUBSTITUTE(REGEXEXTRACT(A11201, ""[^-]+- [^-]+- [^-]+ - (.+?)\.jpg""), "".jpg"", """"), ""-"", "", ""), """")"),"")</f>
        <v/>
      </c>
      <c r="L11201" s="12"/>
      <c r="M11201" s="13"/>
      <c r="N11201" s="2"/>
      <c r="O11201" s="20"/>
      <c r="P11201" s="42"/>
      <c r="R11201" s="23"/>
    </row>
    <row r="11202" spans="1:18" ht="12.75">
      <c r="A11202" s="12"/>
      <c r="D11202" s="12"/>
      <c r="E11202" s="12"/>
      <c r="H11202" s="11" t="str">
        <f ca="1">IFERROR(__xludf.DUMMYFUNCTION("IFERROR(SUBSTITUTE(SUBSTITUTE(REGEXEXTRACT(A11202, ""[^-]+- [^-]+- [^-]+ - (.+?)\.jpg""), "".jpg"", """"), ""-"", "", ""), """")"),"")</f>
        <v/>
      </c>
      <c r="L11202" s="12"/>
      <c r="M11202" s="13"/>
      <c r="N11202" s="2"/>
      <c r="O11202" s="20"/>
      <c r="P11202" s="42"/>
      <c r="R11202" s="23"/>
    </row>
    <row r="11203" spans="1:18" ht="12.75">
      <c r="A11203" s="12"/>
      <c r="D11203" s="12"/>
      <c r="E11203" s="12"/>
      <c r="H11203" s="11" t="str">
        <f ca="1">IFERROR(__xludf.DUMMYFUNCTION("IFERROR(SUBSTITUTE(SUBSTITUTE(REGEXEXTRACT(A11203, ""[^-]+- [^-]+- [^-]+ - (.+?)\.jpg""), "".jpg"", """"), ""-"", "", ""), """")"),"")</f>
        <v/>
      </c>
      <c r="L11203" s="12"/>
      <c r="M11203" s="13"/>
      <c r="N11203" s="2"/>
      <c r="O11203" s="20"/>
      <c r="P11203" s="42"/>
      <c r="R11203" s="23"/>
    </row>
    <row r="11204" spans="1:18" ht="12.75">
      <c r="A11204" s="12"/>
      <c r="D11204" s="12"/>
      <c r="E11204" s="12"/>
      <c r="H11204" s="11" t="str">
        <f ca="1">IFERROR(__xludf.DUMMYFUNCTION("IFERROR(SUBSTITUTE(SUBSTITUTE(REGEXEXTRACT(A11204, ""[^-]+- [^-]+- [^-]+ - (.+?)\.jpg""), "".jpg"", """"), ""-"", "", ""), """")"),"")</f>
        <v/>
      </c>
      <c r="L11204" s="12"/>
      <c r="M11204" s="13"/>
      <c r="N11204" s="2"/>
      <c r="O11204" s="20"/>
      <c r="P11204" s="42"/>
      <c r="R11204" s="23"/>
    </row>
    <row r="11205" spans="1:18" ht="12.75">
      <c r="A11205" s="12"/>
      <c r="D11205" s="12"/>
      <c r="E11205" s="12"/>
      <c r="H11205" s="11" t="str">
        <f ca="1">IFERROR(__xludf.DUMMYFUNCTION("IFERROR(SUBSTITUTE(SUBSTITUTE(REGEXEXTRACT(A11205, ""[^-]+- [^-]+- [^-]+ - (.+?)\.jpg""), "".jpg"", """"), ""-"", "", ""), """")"),"")</f>
        <v/>
      </c>
      <c r="L11205" s="12"/>
      <c r="M11205" s="13"/>
      <c r="N11205" s="2"/>
      <c r="O11205" s="20"/>
      <c r="P11205" s="42"/>
      <c r="R11205" s="23"/>
    </row>
    <row r="11206" spans="1:18" ht="12.75">
      <c r="A11206" s="12"/>
      <c r="D11206" s="12"/>
      <c r="E11206" s="12"/>
      <c r="H11206" s="11" t="str">
        <f ca="1">IFERROR(__xludf.DUMMYFUNCTION("IFERROR(SUBSTITUTE(SUBSTITUTE(REGEXEXTRACT(A11206, ""[^-]+- [^-]+- [^-]+ - (.+?)\.jpg""), "".jpg"", """"), ""-"", "", ""), """")"),"")</f>
        <v/>
      </c>
      <c r="L11206" s="12"/>
      <c r="M11206" s="13"/>
      <c r="N11206" s="2"/>
      <c r="O11206" s="20"/>
      <c r="P11206" s="42"/>
      <c r="R11206" s="23"/>
    </row>
    <row r="11207" spans="1:18" ht="12.75">
      <c r="A11207" s="12"/>
      <c r="D11207" s="12"/>
      <c r="E11207" s="12"/>
      <c r="H11207" s="11" t="str">
        <f ca="1">IFERROR(__xludf.DUMMYFUNCTION("IFERROR(SUBSTITUTE(SUBSTITUTE(REGEXEXTRACT(A11207, ""[^-]+- [^-]+- [^-]+ - (.+?)\.jpg""), "".jpg"", """"), ""-"", "", ""), """")"),"")</f>
        <v/>
      </c>
      <c r="L11207" s="12"/>
      <c r="M11207" s="13"/>
      <c r="N11207" s="2"/>
      <c r="O11207" s="20"/>
      <c r="P11207" s="42"/>
      <c r="R11207" s="23"/>
    </row>
    <row r="11208" spans="1:18" ht="12.75">
      <c r="A11208" s="12"/>
      <c r="D11208" s="12"/>
      <c r="E11208" s="12"/>
      <c r="H11208" s="11" t="str">
        <f ca="1">IFERROR(__xludf.DUMMYFUNCTION("IFERROR(SUBSTITUTE(SUBSTITUTE(REGEXEXTRACT(A11208, ""[^-]+- [^-]+- [^-]+ - (.+?)\.jpg""), "".jpg"", """"), ""-"", "", ""), """")"),"")</f>
        <v/>
      </c>
      <c r="L11208" s="12"/>
      <c r="M11208" s="13"/>
      <c r="N11208" s="2"/>
      <c r="O11208" s="20"/>
      <c r="P11208" s="42"/>
      <c r="R11208" s="23"/>
    </row>
    <row r="11209" spans="1:18" ht="12.75">
      <c r="A11209" s="12"/>
      <c r="D11209" s="12"/>
      <c r="E11209" s="12"/>
      <c r="H11209" s="11" t="str">
        <f ca="1">IFERROR(__xludf.DUMMYFUNCTION("IFERROR(SUBSTITUTE(SUBSTITUTE(REGEXEXTRACT(A11209, ""[^-]+- [^-]+- [^-]+ - (.+?)\.jpg""), "".jpg"", """"), ""-"", "", ""), """")"),"")</f>
        <v/>
      </c>
      <c r="L11209" s="12"/>
      <c r="M11209" s="13"/>
      <c r="N11209" s="2"/>
      <c r="O11209" s="20"/>
      <c r="P11209" s="42"/>
      <c r="R11209" s="23"/>
    </row>
    <row r="11210" spans="1:18" ht="12.75">
      <c r="A11210" s="12"/>
      <c r="D11210" s="12"/>
      <c r="E11210" s="12"/>
      <c r="H11210" s="11" t="str">
        <f ca="1">IFERROR(__xludf.DUMMYFUNCTION("IFERROR(SUBSTITUTE(SUBSTITUTE(REGEXEXTRACT(A11210, ""[^-]+- [^-]+- [^-]+ - (.+?)\.jpg""), "".jpg"", """"), ""-"", "", ""), """")"),"")</f>
        <v/>
      </c>
      <c r="L11210" s="12"/>
      <c r="M11210" s="13"/>
      <c r="N11210" s="2"/>
      <c r="O11210" s="20"/>
      <c r="P11210" s="42"/>
      <c r="R11210" s="23"/>
    </row>
    <row r="11211" spans="1:18" ht="12.75">
      <c r="A11211" s="12"/>
      <c r="D11211" s="12"/>
      <c r="E11211" s="12"/>
      <c r="H11211" s="11" t="str">
        <f ca="1">IFERROR(__xludf.DUMMYFUNCTION("IFERROR(SUBSTITUTE(SUBSTITUTE(REGEXEXTRACT(A11211, ""[^-]+- [^-]+- [^-]+ - (.+?)\.jpg""), "".jpg"", """"), ""-"", "", ""), """")"),"")</f>
        <v/>
      </c>
      <c r="L11211" s="12"/>
      <c r="M11211" s="13"/>
      <c r="N11211" s="2"/>
      <c r="O11211" s="20"/>
      <c r="P11211" s="42"/>
      <c r="R11211" s="23"/>
    </row>
    <row r="11212" spans="1:18" ht="12.75">
      <c r="A11212" s="12"/>
      <c r="D11212" s="12"/>
      <c r="E11212" s="12"/>
      <c r="H11212" s="11" t="str">
        <f ca="1">IFERROR(__xludf.DUMMYFUNCTION("IFERROR(SUBSTITUTE(SUBSTITUTE(REGEXEXTRACT(A11212, ""[^-]+- [^-]+- [^-]+ - (.+?)\.jpg""), "".jpg"", """"), ""-"", "", ""), """")"),"")</f>
        <v/>
      </c>
      <c r="L11212" s="12"/>
      <c r="M11212" s="13"/>
      <c r="N11212" s="2"/>
      <c r="O11212" s="20"/>
      <c r="P11212" s="42"/>
      <c r="R11212" s="23"/>
    </row>
    <row r="11213" spans="1:18" ht="12.75">
      <c r="A11213" s="12"/>
      <c r="D11213" s="12"/>
      <c r="E11213" s="12"/>
      <c r="H11213" s="11" t="str">
        <f ca="1">IFERROR(__xludf.DUMMYFUNCTION("IFERROR(SUBSTITUTE(SUBSTITUTE(REGEXEXTRACT(A11213, ""[^-]+- [^-]+- [^-]+ - (.+?)\.jpg""), "".jpg"", """"), ""-"", "", ""), """")"),"")</f>
        <v/>
      </c>
      <c r="L11213" s="12"/>
      <c r="M11213" s="13"/>
      <c r="N11213" s="2"/>
      <c r="O11213" s="20"/>
      <c r="P11213" s="42"/>
      <c r="R11213" s="23"/>
    </row>
    <row r="11214" spans="1:18" ht="12.75">
      <c r="A11214" s="12"/>
      <c r="D11214" s="12"/>
      <c r="E11214" s="12"/>
      <c r="H11214" s="11" t="str">
        <f ca="1">IFERROR(__xludf.DUMMYFUNCTION("IFERROR(SUBSTITUTE(SUBSTITUTE(REGEXEXTRACT(A11214, ""[^-]+- [^-]+- [^-]+ - (.+?)\.jpg""), "".jpg"", """"), ""-"", "", ""), """")"),"")</f>
        <v/>
      </c>
      <c r="L11214" s="12"/>
      <c r="M11214" s="13"/>
      <c r="N11214" s="2"/>
      <c r="O11214" s="20"/>
      <c r="P11214" s="42"/>
      <c r="R11214" s="23"/>
    </row>
    <row r="11215" spans="1:18" ht="12.75">
      <c r="A11215" s="12"/>
      <c r="D11215" s="12"/>
      <c r="E11215" s="12"/>
      <c r="H11215" s="11" t="str">
        <f ca="1">IFERROR(__xludf.DUMMYFUNCTION("IFERROR(SUBSTITUTE(SUBSTITUTE(REGEXEXTRACT(A11215, ""[^-]+- [^-]+- [^-]+ - (.+?)\.jpg""), "".jpg"", """"), ""-"", "", ""), """")"),"")</f>
        <v/>
      </c>
      <c r="L11215" s="12"/>
      <c r="M11215" s="13"/>
      <c r="N11215" s="2"/>
      <c r="O11215" s="20"/>
      <c r="P11215" s="42"/>
      <c r="R11215" s="23"/>
    </row>
    <row r="11216" spans="1:18" ht="12.75">
      <c r="A11216" s="12"/>
      <c r="D11216" s="12"/>
      <c r="E11216" s="12"/>
      <c r="H11216" s="11" t="str">
        <f ca="1">IFERROR(__xludf.DUMMYFUNCTION("IFERROR(SUBSTITUTE(SUBSTITUTE(REGEXEXTRACT(A11216, ""[^-]+- [^-]+- [^-]+ - (.+?)\.jpg""), "".jpg"", """"), ""-"", "", ""), """")"),"")</f>
        <v/>
      </c>
      <c r="L11216" s="12"/>
      <c r="M11216" s="13"/>
      <c r="N11216" s="2"/>
      <c r="O11216" s="20"/>
      <c r="P11216" s="42"/>
      <c r="R11216" s="23"/>
    </row>
    <row r="11217" spans="1:18" ht="12.75">
      <c r="A11217" s="12"/>
      <c r="D11217" s="12"/>
      <c r="E11217" s="12"/>
      <c r="H11217" s="11" t="str">
        <f ca="1">IFERROR(__xludf.DUMMYFUNCTION("IFERROR(SUBSTITUTE(SUBSTITUTE(REGEXEXTRACT(A11217, ""[^-]+- [^-]+- [^-]+ - (.+?)\.jpg""), "".jpg"", """"), ""-"", "", ""), """")"),"")</f>
        <v/>
      </c>
      <c r="L11217" s="12"/>
      <c r="M11217" s="13"/>
      <c r="N11217" s="2"/>
      <c r="O11217" s="20"/>
      <c r="P11217" s="42"/>
      <c r="R11217" s="23"/>
    </row>
    <row r="11218" spans="1:18" ht="12.75">
      <c r="A11218" s="12"/>
      <c r="D11218" s="12"/>
      <c r="E11218" s="12"/>
      <c r="H11218" s="11" t="str">
        <f ca="1">IFERROR(__xludf.DUMMYFUNCTION("IFERROR(SUBSTITUTE(SUBSTITUTE(REGEXEXTRACT(A11218, ""[^-]+- [^-]+- [^-]+ - (.+?)\.jpg""), "".jpg"", """"), ""-"", "", ""), """")"),"")</f>
        <v/>
      </c>
      <c r="L11218" s="12"/>
      <c r="M11218" s="13"/>
      <c r="N11218" s="2"/>
      <c r="O11218" s="20"/>
      <c r="P11218" s="42"/>
      <c r="R11218" s="23"/>
    </row>
    <row r="11219" spans="1:18" ht="12.75">
      <c r="A11219" s="12"/>
      <c r="D11219" s="12"/>
      <c r="E11219" s="12"/>
      <c r="H11219" s="11" t="str">
        <f ca="1">IFERROR(__xludf.DUMMYFUNCTION("IFERROR(SUBSTITUTE(SUBSTITUTE(REGEXEXTRACT(A11219, ""[^-]+- [^-]+- [^-]+ - (.+?)\.jpg""), "".jpg"", """"), ""-"", "", ""), """")"),"")</f>
        <v/>
      </c>
      <c r="L11219" s="12"/>
      <c r="M11219" s="13"/>
      <c r="N11219" s="2"/>
      <c r="O11219" s="20"/>
      <c r="P11219" s="42"/>
      <c r="R11219" s="23"/>
    </row>
    <row r="11220" spans="1:18" ht="12.75">
      <c r="A11220" s="12"/>
      <c r="D11220" s="12"/>
      <c r="E11220" s="12"/>
      <c r="H11220" s="11" t="str">
        <f ca="1">IFERROR(__xludf.DUMMYFUNCTION("IFERROR(SUBSTITUTE(SUBSTITUTE(REGEXEXTRACT(A11220, ""[^-]+- [^-]+- [^-]+ - (.+?)\.jpg""), "".jpg"", """"), ""-"", "", ""), """")"),"")</f>
        <v/>
      </c>
      <c r="L11220" s="12"/>
      <c r="M11220" s="13"/>
      <c r="N11220" s="2"/>
      <c r="O11220" s="20"/>
      <c r="P11220" s="42"/>
      <c r="R11220" s="23"/>
    </row>
    <row r="11221" spans="1:18" ht="12.75">
      <c r="A11221" s="12"/>
      <c r="D11221" s="12"/>
      <c r="E11221" s="12"/>
      <c r="H11221" s="11" t="str">
        <f ca="1">IFERROR(__xludf.DUMMYFUNCTION("IFERROR(SUBSTITUTE(SUBSTITUTE(REGEXEXTRACT(A11221, ""[^-]+- [^-]+- [^-]+ - (.+?)\.jpg""), "".jpg"", """"), ""-"", "", ""), """")"),"")</f>
        <v/>
      </c>
      <c r="L11221" s="12"/>
      <c r="M11221" s="13"/>
      <c r="N11221" s="2"/>
      <c r="O11221" s="20"/>
      <c r="P11221" s="42"/>
      <c r="R11221" s="23"/>
    </row>
    <row r="11222" spans="1:18" ht="12.75">
      <c r="A11222" s="12"/>
      <c r="D11222" s="12"/>
      <c r="E11222" s="12"/>
      <c r="H11222" s="11" t="str">
        <f ca="1">IFERROR(__xludf.DUMMYFUNCTION("IFERROR(SUBSTITUTE(SUBSTITUTE(REGEXEXTRACT(A11222, ""[^-]+- [^-]+- [^-]+ - (.+?)\.jpg""), "".jpg"", """"), ""-"", "", ""), """")"),"")</f>
        <v/>
      </c>
      <c r="L11222" s="12"/>
      <c r="M11222" s="13"/>
      <c r="N11222" s="2"/>
      <c r="O11222" s="20"/>
      <c r="P11222" s="42"/>
      <c r="R11222" s="23"/>
    </row>
    <row r="11223" spans="1:18" ht="12.75">
      <c r="A11223" s="12"/>
      <c r="D11223" s="12"/>
      <c r="E11223" s="12"/>
      <c r="H11223" s="11" t="str">
        <f ca="1">IFERROR(__xludf.DUMMYFUNCTION("IFERROR(SUBSTITUTE(SUBSTITUTE(REGEXEXTRACT(A11223, ""[^-]+- [^-]+- [^-]+ - (.+?)\.jpg""), "".jpg"", """"), ""-"", "", ""), """")"),"")</f>
        <v/>
      </c>
      <c r="L11223" s="12"/>
      <c r="M11223" s="13"/>
      <c r="N11223" s="2"/>
      <c r="O11223" s="20"/>
      <c r="P11223" s="42"/>
      <c r="R11223" s="23"/>
    </row>
    <row r="11224" spans="1:18" ht="12.75">
      <c r="A11224" s="12"/>
      <c r="D11224" s="12"/>
      <c r="E11224" s="12"/>
      <c r="H11224" s="11" t="str">
        <f ca="1">IFERROR(__xludf.DUMMYFUNCTION("IFERROR(SUBSTITUTE(SUBSTITUTE(REGEXEXTRACT(A11224, ""[^-]+- [^-]+- [^-]+ - (.+?)\.jpg""), "".jpg"", """"), ""-"", "", ""), """")"),"")</f>
        <v/>
      </c>
      <c r="L11224" s="12"/>
      <c r="M11224" s="13"/>
      <c r="N11224" s="2"/>
      <c r="O11224" s="20"/>
      <c r="P11224" s="42"/>
      <c r="R11224" s="23"/>
    </row>
    <row r="11225" spans="1:18" ht="12.75">
      <c r="A11225" s="12"/>
      <c r="D11225" s="12"/>
      <c r="E11225" s="12"/>
      <c r="H11225" s="11" t="str">
        <f ca="1">IFERROR(__xludf.DUMMYFUNCTION("IFERROR(SUBSTITUTE(SUBSTITUTE(REGEXEXTRACT(A11225, ""[^-]+- [^-]+- [^-]+ - (.+?)\.jpg""), "".jpg"", """"), ""-"", "", ""), """")"),"")</f>
        <v/>
      </c>
      <c r="L11225" s="12"/>
      <c r="M11225" s="13"/>
      <c r="N11225" s="2"/>
      <c r="O11225" s="20"/>
      <c r="P11225" s="42"/>
      <c r="R11225" s="23"/>
    </row>
    <row r="11226" spans="1:18" ht="12.75">
      <c r="A11226" s="12"/>
      <c r="D11226" s="12"/>
      <c r="E11226" s="12"/>
      <c r="H11226" s="11" t="str">
        <f ca="1">IFERROR(__xludf.DUMMYFUNCTION("IFERROR(SUBSTITUTE(SUBSTITUTE(REGEXEXTRACT(A11226, ""[^-]+- [^-]+- [^-]+ - (.+?)\.jpg""), "".jpg"", """"), ""-"", "", ""), """")"),"")</f>
        <v/>
      </c>
      <c r="L11226" s="12"/>
      <c r="M11226" s="13"/>
      <c r="N11226" s="2"/>
      <c r="O11226" s="20"/>
      <c r="P11226" s="42"/>
      <c r="R11226" s="23"/>
    </row>
    <row r="11227" spans="1:18" ht="12.75">
      <c r="A11227" s="12"/>
      <c r="D11227" s="12"/>
      <c r="E11227" s="12"/>
      <c r="H11227" s="11" t="str">
        <f ca="1">IFERROR(__xludf.DUMMYFUNCTION("IFERROR(SUBSTITUTE(SUBSTITUTE(REGEXEXTRACT(A11227, ""[^-]+- [^-]+- [^-]+ - (.+?)\.jpg""), "".jpg"", """"), ""-"", "", ""), """")"),"")</f>
        <v/>
      </c>
      <c r="L11227" s="12"/>
      <c r="M11227" s="13"/>
      <c r="N11227" s="2"/>
      <c r="O11227" s="20"/>
      <c r="P11227" s="42"/>
      <c r="R11227" s="23"/>
    </row>
    <row r="11228" spans="1:18" ht="12.75">
      <c r="A11228" s="12"/>
      <c r="D11228" s="12"/>
      <c r="E11228" s="12"/>
      <c r="H11228" s="11" t="str">
        <f ca="1">IFERROR(__xludf.DUMMYFUNCTION("IFERROR(SUBSTITUTE(SUBSTITUTE(REGEXEXTRACT(A11228, ""[^-]+- [^-]+- [^-]+ - (.+?)\.jpg""), "".jpg"", """"), ""-"", "", ""), """")"),"")</f>
        <v/>
      </c>
      <c r="L11228" s="12"/>
      <c r="M11228" s="13"/>
      <c r="N11228" s="2"/>
      <c r="O11228" s="20"/>
      <c r="P11228" s="42"/>
      <c r="R11228" s="23"/>
    </row>
    <row r="11229" spans="1:18" ht="12.75">
      <c r="A11229" s="12"/>
      <c r="D11229" s="12"/>
      <c r="E11229" s="12"/>
      <c r="H11229" s="11" t="str">
        <f ca="1">IFERROR(__xludf.DUMMYFUNCTION("IFERROR(SUBSTITUTE(SUBSTITUTE(REGEXEXTRACT(A11229, ""[^-]+- [^-]+- [^-]+ - (.+?)\.jpg""), "".jpg"", """"), ""-"", "", ""), """")"),"")</f>
        <v/>
      </c>
      <c r="L11229" s="12"/>
      <c r="M11229" s="13"/>
      <c r="N11229" s="2"/>
      <c r="O11229" s="20"/>
      <c r="P11229" s="42"/>
      <c r="R11229" s="23"/>
    </row>
    <row r="11230" spans="1:18" ht="12.75">
      <c r="A11230" s="12"/>
      <c r="D11230" s="12"/>
      <c r="E11230" s="12"/>
      <c r="H11230" s="11" t="str">
        <f ca="1">IFERROR(__xludf.DUMMYFUNCTION("IFERROR(SUBSTITUTE(SUBSTITUTE(REGEXEXTRACT(A11230, ""[^-]+- [^-]+- [^-]+ - (.+?)\.jpg""), "".jpg"", """"), ""-"", "", ""), """")"),"")</f>
        <v/>
      </c>
      <c r="L11230" s="12"/>
      <c r="M11230" s="13"/>
      <c r="N11230" s="2"/>
      <c r="O11230" s="20"/>
      <c r="P11230" s="42"/>
      <c r="R11230" s="23"/>
    </row>
    <row r="11231" spans="1:18" ht="12.75">
      <c r="A11231" s="12"/>
      <c r="D11231" s="12"/>
      <c r="E11231" s="12"/>
      <c r="H11231" s="11" t="str">
        <f ca="1">IFERROR(__xludf.DUMMYFUNCTION("IFERROR(SUBSTITUTE(SUBSTITUTE(REGEXEXTRACT(A11231, ""[^-]+- [^-]+- [^-]+ - (.+?)\.jpg""), "".jpg"", """"), ""-"", "", ""), """")"),"")</f>
        <v/>
      </c>
      <c r="L11231" s="12"/>
      <c r="M11231" s="13"/>
      <c r="N11231" s="2"/>
      <c r="O11231" s="20"/>
      <c r="P11231" s="42"/>
      <c r="R11231" s="23"/>
    </row>
    <row r="11232" spans="1:18" ht="12.75">
      <c r="A11232" s="12"/>
      <c r="D11232" s="12"/>
      <c r="E11232" s="12"/>
      <c r="H11232" s="11" t="str">
        <f ca="1">IFERROR(__xludf.DUMMYFUNCTION("IFERROR(SUBSTITUTE(SUBSTITUTE(REGEXEXTRACT(A11232, ""[^-]+- [^-]+- [^-]+ - (.+?)\.jpg""), "".jpg"", """"), ""-"", "", ""), """")"),"")</f>
        <v/>
      </c>
      <c r="L11232" s="12"/>
      <c r="M11232" s="13"/>
      <c r="N11232" s="2"/>
      <c r="O11232" s="20"/>
      <c r="P11232" s="42"/>
      <c r="R11232" s="23"/>
    </row>
    <row r="11233" spans="1:18" ht="12.75">
      <c r="A11233" s="12"/>
      <c r="D11233" s="12"/>
      <c r="E11233" s="12"/>
      <c r="H11233" s="11" t="str">
        <f ca="1">IFERROR(__xludf.DUMMYFUNCTION("IFERROR(SUBSTITUTE(SUBSTITUTE(REGEXEXTRACT(A11233, ""[^-]+- [^-]+- [^-]+ - (.+?)\.jpg""), "".jpg"", """"), ""-"", "", ""), """")"),"")</f>
        <v/>
      </c>
      <c r="L11233" s="12"/>
      <c r="M11233" s="13"/>
      <c r="N11233" s="2"/>
      <c r="O11233" s="20"/>
      <c r="P11233" s="42"/>
      <c r="R11233" s="23"/>
    </row>
    <row r="11234" spans="1:18" ht="12.75">
      <c r="A11234" s="12"/>
      <c r="D11234" s="12"/>
      <c r="E11234" s="12"/>
      <c r="H11234" s="11" t="str">
        <f ca="1">IFERROR(__xludf.DUMMYFUNCTION("IFERROR(SUBSTITUTE(SUBSTITUTE(REGEXEXTRACT(A11234, ""[^-]+- [^-]+- [^-]+ - (.+?)\.jpg""), "".jpg"", """"), ""-"", "", ""), """")"),"")</f>
        <v/>
      </c>
      <c r="L11234" s="12"/>
      <c r="M11234" s="13"/>
      <c r="N11234" s="2"/>
      <c r="O11234" s="20"/>
      <c r="P11234" s="42"/>
      <c r="R11234" s="23"/>
    </row>
    <row r="11235" spans="1:18" ht="12.75">
      <c r="A11235" s="12"/>
      <c r="D11235" s="12"/>
      <c r="E11235" s="12"/>
      <c r="H11235" s="11" t="str">
        <f ca="1">IFERROR(__xludf.DUMMYFUNCTION("IFERROR(SUBSTITUTE(SUBSTITUTE(REGEXEXTRACT(A11235, ""[^-]+- [^-]+- [^-]+ - (.+?)\.jpg""), "".jpg"", """"), ""-"", "", ""), """")"),"")</f>
        <v/>
      </c>
      <c r="L11235" s="12"/>
      <c r="M11235" s="13"/>
      <c r="N11235" s="2"/>
      <c r="O11235" s="20"/>
      <c r="P11235" s="42"/>
      <c r="R11235" s="23"/>
    </row>
    <row r="11236" spans="1:18" ht="12.75">
      <c r="A11236" s="12"/>
      <c r="D11236" s="12"/>
      <c r="E11236" s="12"/>
      <c r="H11236" s="11" t="str">
        <f ca="1">IFERROR(__xludf.DUMMYFUNCTION("IFERROR(SUBSTITUTE(SUBSTITUTE(REGEXEXTRACT(A11236, ""[^-]+- [^-]+- [^-]+ - (.+?)\.jpg""), "".jpg"", """"), ""-"", "", ""), """")"),"")</f>
        <v/>
      </c>
      <c r="L11236" s="12"/>
      <c r="M11236" s="13"/>
      <c r="N11236" s="2"/>
      <c r="O11236" s="20"/>
      <c r="P11236" s="42"/>
      <c r="R11236" s="23"/>
    </row>
    <row r="11237" spans="1:18" ht="12.75">
      <c r="A11237" s="12"/>
      <c r="D11237" s="12"/>
      <c r="E11237" s="12"/>
      <c r="H11237" s="11" t="str">
        <f ca="1">IFERROR(__xludf.DUMMYFUNCTION("IFERROR(SUBSTITUTE(SUBSTITUTE(REGEXEXTRACT(A11237, ""[^-]+- [^-]+- [^-]+ - (.+?)\.jpg""), "".jpg"", """"), ""-"", "", ""), """")"),"")</f>
        <v/>
      </c>
      <c r="L11237" s="12"/>
      <c r="M11237" s="13"/>
      <c r="N11237" s="2"/>
      <c r="O11237" s="20"/>
      <c r="P11237" s="42"/>
      <c r="R11237" s="23"/>
    </row>
    <row r="11238" spans="1:18" ht="12.75">
      <c r="A11238" s="12"/>
      <c r="D11238" s="12"/>
      <c r="E11238" s="12"/>
      <c r="H11238" s="11" t="str">
        <f ca="1">IFERROR(__xludf.DUMMYFUNCTION("IFERROR(SUBSTITUTE(SUBSTITUTE(REGEXEXTRACT(A11238, ""[^-]+- [^-]+- [^-]+ - (.+?)\.jpg""), "".jpg"", """"), ""-"", "", ""), """")"),"")</f>
        <v/>
      </c>
      <c r="L11238" s="12"/>
      <c r="M11238" s="13"/>
      <c r="N11238" s="2"/>
      <c r="O11238" s="20"/>
      <c r="P11238" s="42"/>
      <c r="R11238" s="23"/>
    </row>
    <row r="11239" spans="1:18" ht="12.75">
      <c r="A11239" s="12"/>
      <c r="D11239" s="12"/>
      <c r="E11239" s="12"/>
      <c r="H11239" s="11" t="str">
        <f ca="1">IFERROR(__xludf.DUMMYFUNCTION("IFERROR(SUBSTITUTE(SUBSTITUTE(REGEXEXTRACT(A11239, ""[^-]+- [^-]+- [^-]+ - (.+?)\.jpg""), "".jpg"", """"), ""-"", "", ""), """")"),"")</f>
        <v/>
      </c>
      <c r="L11239" s="12"/>
      <c r="M11239" s="13"/>
      <c r="N11239" s="2"/>
      <c r="O11239" s="20"/>
      <c r="P11239" s="42"/>
      <c r="R11239" s="23"/>
    </row>
    <row r="11240" spans="1:18" ht="12.75">
      <c r="A11240" s="12"/>
      <c r="D11240" s="12"/>
      <c r="E11240" s="12"/>
      <c r="H11240" s="11" t="str">
        <f ca="1">IFERROR(__xludf.DUMMYFUNCTION("IFERROR(SUBSTITUTE(SUBSTITUTE(REGEXEXTRACT(A11240, ""[^-]+- [^-]+- [^-]+ - (.+?)\.jpg""), "".jpg"", """"), ""-"", "", ""), """")"),"")</f>
        <v/>
      </c>
      <c r="L11240" s="12"/>
      <c r="M11240" s="13"/>
      <c r="N11240" s="2"/>
      <c r="O11240" s="20"/>
      <c r="P11240" s="42"/>
      <c r="R11240" s="23"/>
    </row>
    <row r="11241" spans="1:18" ht="12.75">
      <c r="A11241" s="12"/>
      <c r="D11241" s="12"/>
      <c r="E11241" s="12"/>
      <c r="H11241" s="11" t="str">
        <f ca="1">IFERROR(__xludf.DUMMYFUNCTION("IFERROR(SUBSTITUTE(SUBSTITUTE(REGEXEXTRACT(A11241, ""[^-]+- [^-]+- [^-]+ - (.+?)\.jpg""), "".jpg"", """"), ""-"", "", ""), """")"),"")</f>
        <v/>
      </c>
      <c r="L11241" s="12"/>
      <c r="M11241" s="13"/>
      <c r="N11241" s="2"/>
      <c r="O11241" s="20"/>
      <c r="P11241" s="42"/>
      <c r="R11241" s="23"/>
    </row>
    <row r="11242" spans="1:18" ht="12.75">
      <c r="A11242" s="12"/>
      <c r="D11242" s="12"/>
      <c r="E11242" s="12"/>
      <c r="H11242" s="11" t="str">
        <f ca="1">IFERROR(__xludf.DUMMYFUNCTION("IFERROR(SUBSTITUTE(SUBSTITUTE(REGEXEXTRACT(A11242, ""[^-]+- [^-]+- [^-]+ - (.+?)\.jpg""), "".jpg"", """"), ""-"", "", ""), """")"),"")</f>
        <v/>
      </c>
      <c r="L11242" s="12"/>
      <c r="M11242" s="13"/>
      <c r="N11242" s="2"/>
      <c r="O11242" s="20"/>
      <c r="P11242" s="42"/>
      <c r="R11242" s="23"/>
    </row>
    <row r="11243" spans="1:18" ht="12.75">
      <c r="A11243" s="12"/>
      <c r="D11243" s="12"/>
      <c r="E11243" s="12"/>
      <c r="H11243" s="11" t="str">
        <f ca="1">IFERROR(__xludf.DUMMYFUNCTION("IFERROR(SUBSTITUTE(SUBSTITUTE(REGEXEXTRACT(A11243, ""[^-]+- [^-]+- [^-]+ - (.+?)\.jpg""), "".jpg"", """"), ""-"", "", ""), """")"),"")</f>
        <v/>
      </c>
      <c r="L11243" s="12"/>
      <c r="M11243" s="13"/>
      <c r="N11243" s="2"/>
      <c r="O11243" s="20"/>
      <c r="P11243" s="42"/>
      <c r="R11243" s="23"/>
    </row>
    <row r="11244" spans="1:18" ht="12.75">
      <c r="A11244" s="12"/>
      <c r="D11244" s="12"/>
      <c r="E11244" s="12"/>
      <c r="H11244" s="11" t="str">
        <f ca="1">IFERROR(__xludf.DUMMYFUNCTION("IFERROR(SUBSTITUTE(SUBSTITUTE(REGEXEXTRACT(A11244, ""[^-]+- [^-]+- [^-]+ - (.+?)\.jpg""), "".jpg"", """"), ""-"", "", ""), """")"),"")</f>
        <v/>
      </c>
      <c r="L11244" s="12"/>
      <c r="M11244" s="13"/>
      <c r="N11244" s="2"/>
      <c r="O11244" s="20"/>
      <c r="P11244" s="42"/>
      <c r="R11244" s="23"/>
    </row>
    <row r="11245" spans="1:18" ht="12.75">
      <c r="A11245" s="12"/>
      <c r="D11245" s="12"/>
      <c r="E11245" s="12"/>
      <c r="H11245" s="11" t="str">
        <f ca="1">IFERROR(__xludf.DUMMYFUNCTION("IFERROR(SUBSTITUTE(SUBSTITUTE(REGEXEXTRACT(A11245, ""[^-]+- [^-]+- [^-]+ - (.+?)\.jpg""), "".jpg"", """"), ""-"", "", ""), """")"),"")</f>
        <v/>
      </c>
      <c r="L11245" s="12"/>
      <c r="M11245" s="13"/>
      <c r="N11245" s="2"/>
      <c r="O11245" s="20"/>
      <c r="P11245" s="42"/>
      <c r="R11245" s="23"/>
    </row>
    <row r="11246" spans="1:18" ht="12.75">
      <c r="A11246" s="12"/>
      <c r="D11246" s="12"/>
      <c r="E11246" s="12"/>
      <c r="H11246" s="11" t="str">
        <f ca="1">IFERROR(__xludf.DUMMYFUNCTION("IFERROR(SUBSTITUTE(SUBSTITUTE(REGEXEXTRACT(A11246, ""[^-]+- [^-]+- [^-]+ - (.+?)\.jpg""), "".jpg"", """"), ""-"", "", ""), """")"),"")</f>
        <v/>
      </c>
      <c r="L11246" s="12"/>
      <c r="M11246" s="13"/>
      <c r="N11246" s="2"/>
      <c r="O11246" s="20"/>
      <c r="P11246" s="42"/>
      <c r="R11246" s="23"/>
    </row>
    <row r="11247" spans="1:18" ht="12.75">
      <c r="A11247" s="12"/>
      <c r="D11247" s="12"/>
      <c r="E11247" s="12"/>
      <c r="H11247" s="11" t="str">
        <f ca="1">IFERROR(__xludf.DUMMYFUNCTION("IFERROR(SUBSTITUTE(SUBSTITUTE(REGEXEXTRACT(A11247, ""[^-]+- [^-]+- [^-]+ - (.+?)\.jpg""), "".jpg"", """"), ""-"", "", ""), """")"),"")</f>
        <v/>
      </c>
      <c r="L11247" s="12"/>
      <c r="M11247" s="13"/>
      <c r="N11247" s="2"/>
      <c r="O11247" s="20"/>
      <c r="P11247" s="42"/>
      <c r="R11247" s="23"/>
    </row>
    <row r="11248" spans="1:18" ht="12.75">
      <c r="A11248" s="12"/>
      <c r="D11248" s="12"/>
      <c r="E11248" s="12"/>
      <c r="H11248" s="11" t="str">
        <f ca="1">IFERROR(__xludf.DUMMYFUNCTION("IFERROR(SUBSTITUTE(SUBSTITUTE(REGEXEXTRACT(A11248, ""[^-]+- [^-]+- [^-]+ - (.+?)\.jpg""), "".jpg"", """"), ""-"", "", ""), """")"),"")</f>
        <v/>
      </c>
      <c r="L11248" s="12"/>
      <c r="M11248" s="13"/>
      <c r="N11248" s="2"/>
      <c r="O11248" s="20"/>
      <c r="P11248" s="42"/>
      <c r="R11248" s="23"/>
    </row>
    <row r="11249" spans="1:18" ht="12.75">
      <c r="A11249" s="12"/>
      <c r="D11249" s="12"/>
      <c r="E11249" s="12"/>
      <c r="H11249" s="11" t="str">
        <f ca="1">IFERROR(__xludf.DUMMYFUNCTION("IFERROR(SUBSTITUTE(SUBSTITUTE(REGEXEXTRACT(A11249, ""[^-]+- [^-]+- [^-]+ - (.+?)\.jpg""), "".jpg"", """"), ""-"", "", ""), """")"),"")</f>
        <v/>
      </c>
      <c r="L11249" s="12"/>
      <c r="M11249" s="13"/>
      <c r="N11249" s="2"/>
      <c r="O11249" s="20"/>
      <c r="P11249" s="42"/>
      <c r="R11249" s="23"/>
    </row>
    <row r="11250" spans="1:18" ht="12.75">
      <c r="A11250" s="12"/>
      <c r="D11250" s="12"/>
      <c r="E11250" s="12"/>
      <c r="H11250" s="11" t="str">
        <f ca="1">IFERROR(__xludf.DUMMYFUNCTION("IFERROR(SUBSTITUTE(SUBSTITUTE(REGEXEXTRACT(A11250, ""[^-]+- [^-]+- [^-]+ - (.+?)\.jpg""), "".jpg"", """"), ""-"", "", ""), """")"),"")</f>
        <v/>
      </c>
      <c r="L11250" s="12"/>
      <c r="M11250" s="13"/>
      <c r="N11250" s="2"/>
      <c r="O11250" s="20"/>
      <c r="P11250" s="42"/>
      <c r="R11250" s="23"/>
    </row>
    <row r="11251" spans="1:18" ht="12.75">
      <c r="A11251" s="12"/>
      <c r="D11251" s="12"/>
      <c r="E11251" s="12"/>
      <c r="H11251" s="11" t="str">
        <f ca="1">IFERROR(__xludf.DUMMYFUNCTION("IFERROR(SUBSTITUTE(SUBSTITUTE(REGEXEXTRACT(A11251, ""[^-]+- [^-]+- [^-]+ - (.+?)\.jpg""), "".jpg"", """"), ""-"", "", ""), """")"),"")</f>
        <v/>
      </c>
      <c r="L11251" s="12"/>
      <c r="M11251" s="13"/>
      <c r="N11251" s="2"/>
      <c r="O11251" s="20"/>
      <c r="P11251" s="42"/>
      <c r="R11251" s="23"/>
    </row>
    <row r="11252" spans="1:18" ht="12.75">
      <c r="A11252" s="12"/>
      <c r="D11252" s="12"/>
      <c r="E11252" s="12"/>
      <c r="H11252" s="11" t="str">
        <f ca="1">IFERROR(__xludf.DUMMYFUNCTION("IFERROR(SUBSTITUTE(SUBSTITUTE(REGEXEXTRACT(A11252, ""[^-]+- [^-]+- [^-]+ - (.+?)\.jpg""), "".jpg"", """"), ""-"", "", ""), """")"),"")</f>
        <v/>
      </c>
      <c r="L11252" s="12"/>
      <c r="M11252" s="13"/>
      <c r="N11252" s="2"/>
      <c r="O11252" s="20"/>
      <c r="P11252" s="42"/>
      <c r="R11252" s="23"/>
    </row>
    <row r="11253" spans="1:18" ht="12.75">
      <c r="A11253" s="12"/>
      <c r="D11253" s="12"/>
      <c r="E11253" s="12"/>
      <c r="H11253" s="11" t="str">
        <f ca="1">IFERROR(__xludf.DUMMYFUNCTION("IFERROR(SUBSTITUTE(SUBSTITUTE(REGEXEXTRACT(A11253, ""[^-]+- [^-]+- [^-]+ - (.+?)\.jpg""), "".jpg"", """"), ""-"", "", ""), """")"),"")</f>
        <v/>
      </c>
      <c r="L11253" s="12"/>
      <c r="M11253" s="13"/>
      <c r="N11253" s="2"/>
      <c r="O11253" s="20"/>
      <c r="P11253" s="42"/>
      <c r="R11253" s="23"/>
    </row>
    <row r="11254" spans="1:18" ht="12.75">
      <c r="A11254" s="12"/>
      <c r="D11254" s="12"/>
      <c r="E11254" s="12"/>
      <c r="H11254" s="11" t="str">
        <f ca="1">IFERROR(__xludf.DUMMYFUNCTION("IFERROR(SUBSTITUTE(SUBSTITUTE(REGEXEXTRACT(A11254, ""[^-]+- [^-]+- [^-]+ - (.+?)\.jpg""), "".jpg"", """"), ""-"", "", ""), """")"),"")</f>
        <v/>
      </c>
      <c r="L11254" s="12"/>
      <c r="M11254" s="13"/>
      <c r="N11254" s="2"/>
      <c r="O11254" s="20"/>
      <c r="P11254" s="42"/>
      <c r="R11254" s="23"/>
    </row>
    <row r="11255" spans="1:18" ht="12.75">
      <c r="A11255" s="12"/>
      <c r="D11255" s="12"/>
      <c r="E11255" s="12"/>
      <c r="H11255" s="11" t="str">
        <f ca="1">IFERROR(__xludf.DUMMYFUNCTION("IFERROR(SUBSTITUTE(SUBSTITUTE(REGEXEXTRACT(A11255, ""[^-]+- [^-]+- [^-]+ - (.+?)\.jpg""), "".jpg"", """"), ""-"", "", ""), """")"),"")</f>
        <v/>
      </c>
      <c r="L11255" s="12"/>
      <c r="M11255" s="13"/>
      <c r="N11255" s="2"/>
      <c r="O11255" s="20"/>
      <c r="P11255" s="42"/>
      <c r="R11255" s="23"/>
    </row>
    <row r="11256" spans="1:18" ht="12.75">
      <c r="A11256" s="12"/>
      <c r="D11256" s="12"/>
      <c r="E11256" s="12"/>
      <c r="H11256" s="11" t="str">
        <f ca="1">IFERROR(__xludf.DUMMYFUNCTION("IFERROR(SUBSTITUTE(SUBSTITUTE(REGEXEXTRACT(A11256, ""[^-]+- [^-]+- [^-]+ - (.+?)\.jpg""), "".jpg"", """"), ""-"", "", ""), """")"),"")</f>
        <v/>
      </c>
      <c r="L11256" s="12"/>
      <c r="M11256" s="13"/>
      <c r="N11256" s="2"/>
      <c r="O11256" s="20"/>
      <c r="P11256" s="42"/>
      <c r="R11256" s="23"/>
    </row>
    <row r="11257" spans="1:18" ht="12.75">
      <c r="A11257" s="12"/>
      <c r="D11257" s="12"/>
      <c r="E11257" s="12"/>
      <c r="H11257" s="11" t="str">
        <f ca="1">IFERROR(__xludf.DUMMYFUNCTION("IFERROR(SUBSTITUTE(SUBSTITUTE(REGEXEXTRACT(A11257, ""[^-]+- [^-]+- [^-]+ - (.+?)\.jpg""), "".jpg"", """"), ""-"", "", ""), """")"),"")</f>
        <v/>
      </c>
      <c r="L11257" s="12"/>
      <c r="M11257" s="13"/>
      <c r="N11257" s="2"/>
      <c r="O11257" s="20"/>
      <c r="P11257" s="42"/>
      <c r="R11257" s="23"/>
    </row>
    <row r="11258" spans="1:18" ht="12.75">
      <c r="A11258" s="12"/>
      <c r="D11258" s="12"/>
      <c r="E11258" s="12"/>
      <c r="H11258" s="11" t="str">
        <f ca="1">IFERROR(__xludf.DUMMYFUNCTION("IFERROR(SUBSTITUTE(SUBSTITUTE(REGEXEXTRACT(A11258, ""[^-]+- [^-]+- [^-]+ - (.+?)\.jpg""), "".jpg"", """"), ""-"", "", ""), """")"),"")</f>
        <v/>
      </c>
      <c r="L11258" s="12"/>
      <c r="M11258" s="13"/>
      <c r="N11258" s="2"/>
      <c r="O11258" s="20"/>
      <c r="P11258" s="42"/>
      <c r="R11258" s="23"/>
    </row>
    <row r="11259" spans="1:18" ht="12.75">
      <c r="A11259" s="12"/>
      <c r="D11259" s="12"/>
      <c r="E11259" s="12"/>
      <c r="H11259" s="11" t="str">
        <f ca="1">IFERROR(__xludf.DUMMYFUNCTION("IFERROR(SUBSTITUTE(SUBSTITUTE(REGEXEXTRACT(A11259, ""[^-]+- [^-]+- [^-]+ - (.+?)\.jpg""), "".jpg"", """"), ""-"", "", ""), """")"),"")</f>
        <v/>
      </c>
      <c r="L11259" s="12"/>
      <c r="M11259" s="13"/>
      <c r="N11259" s="2"/>
      <c r="O11259" s="20"/>
      <c r="P11259" s="42"/>
      <c r="R11259" s="23"/>
    </row>
    <row r="11260" spans="1:18" ht="12.75">
      <c r="A11260" s="12"/>
      <c r="D11260" s="12"/>
      <c r="E11260" s="12"/>
      <c r="H11260" s="11" t="str">
        <f ca="1">IFERROR(__xludf.DUMMYFUNCTION("IFERROR(SUBSTITUTE(SUBSTITUTE(REGEXEXTRACT(A11260, ""[^-]+- [^-]+- [^-]+ - (.+?)\.jpg""), "".jpg"", """"), ""-"", "", ""), """")"),"")</f>
        <v/>
      </c>
      <c r="L11260" s="12"/>
      <c r="M11260" s="13"/>
      <c r="N11260" s="2"/>
      <c r="O11260" s="20"/>
      <c r="P11260" s="42"/>
      <c r="R11260" s="23"/>
    </row>
    <row r="11261" spans="1:18" ht="12.75">
      <c r="A11261" s="12"/>
      <c r="D11261" s="12"/>
      <c r="E11261" s="12"/>
      <c r="H11261" s="11" t="str">
        <f ca="1">IFERROR(__xludf.DUMMYFUNCTION("IFERROR(SUBSTITUTE(SUBSTITUTE(REGEXEXTRACT(A11261, ""[^-]+- [^-]+- [^-]+ - (.+?)\.jpg""), "".jpg"", """"), ""-"", "", ""), """")"),"")</f>
        <v/>
      </c>
      <c r="L11261" s="12"/>
      <c r="M11261" s="13"/>
      <c r="N11261" s="2"/>
      <c r="O11261" s="20"/>
      <c r="P11261" s="42"/>
      <c r="R11261" s="23"/>
    </row>
    <row r="11262" spans="1:18" ht="12.75">
      <c r="A11262" s="12"/>
      <c r="D11262" s="12"/>
      <c r="E11262" s="12"/>
      <c r="H11262" s="11" t="str">
        <f ca="1">IFERROR(__xludf.DUMMYFUNCTION("IFERROR(SUBSTITUTE(SUBSTITUTE(REGEXEXTRACT(A11262, ""[^-]+- [^-]+- [^-]+ - (.+?)\.jpg""), "".jpg"", """"), ""-"", "", ""), """")"),"")</f>
        <v/>
      </c>
      <c r="L11262" s="12"/>
      <c r="M11262" s="13"/>
      <c r="N11262" s="2"/>
      <c r="O11262" s="20"/>
      <c r="P11262" s="42"/>
      <c r="R11262" s="23"/>
    </row>
    <row r="11263" spans="1:18" ht="12.75">
      <c r="A11263" s="12"/>
      <c r="D11263" s="12"/>
      <c r="E11263" s="12"/>
      <c r="H11263" s="11" t="str">
        <f ca="1">IFERROR(__xludf.DUMMYFUNCTION("IFERROR(SUBSTITUTE(SUBSTITUTE(REGEXEXTRACT(A11263, ""[^-]+- [^-]+- [^-]+ - (.+?)\.jpg""), "".jpg"", """"), ""-"", "", ""), """")"),"")</f>
        <v/>
      </c>
      <c r="L11263" s="12"/>
      <c r="M11263" s="13"/>
      <c r="N11263" s="2"/>
      <c r="O11263" s="20"/>
      <c r="P11263" s="42"/>
      <c r="R11263" s="23"/>
    </row>
    <row r="11264" spans="1:18" ht="12.75">
      <c r="A11264" s="12"/>
      <c r="D11264" s="12"/>
      <c r="E11264" s="12"/>
      <c r="H11264" s="11" t="str">
        <f ca="1">IFERROR(__xludf.DUMMYFUNCTION("IFERROR(SUBSTITUTE(SUBSTITUTE(REGEXEXTRACT(A11264, ""[^-]+- [^-]+- [^-]+ - (.+?)\.jpg""), "".jpg"", """"), ""-"", "", ""), """")"),"")</f>
        <v/>
      </c>
      <c r="L11264" s="12"/>
      <c r="M11264" s="13"/>
      <c r="N11264" s="2"/>
      <c r="O11264" s="20"/>
      <c r="P11264" s="42"/>
      <c r="R11264" s="23"/>
    </row>
    <row r="11265" spans="1:18" ht="12.75">
      <c r="A11265" s="12"/>
      <c r="D11265" s="12"/>
      <c r="E11265" s="12"/>
      <c r="H11265" s="11" t="str">
        <f ca="1">IFERROR(__xludf.DUMMYFUNCTION("IFERROR(SUBSTITUTE(SUBSTITUTE(REGEXEXTRACT(A11265, ""[^-]+- [^-]+- [^-]+ - (.+?)\.jpg""), "".jpg"", """"), ""-"", "", ""), """")"),"")</f>
        <v/>
      </c>
      <c r="L11265" s="12"/>
      <c r="M11265" s="13"/>
      <c r="N11265" s="2"/>
      <c r="O11265" s="20"/>
      <c r="P11265" s="42"/>
      <c r="R11265" s="23"/>
    </row>
    <row r="11266" spans="1:18" ht="12.75">
      <c r="A11266" s="12"/>
      <c r="D11266" s="12"/>
      <c r="E11266" s="12"/>
      <c r="H11266" s="11" t="str">
        <f ca="1">IFERROR(__xludf.DUMMYFUNCTION("IFERROR(SUBSTITUTE(SUBSTITUTE(REGEXEXTRACT(A11266, ""[^-]+- [^-]+- [^-]+ - (.+?)\.jpg""), "".jpg"", """"), ""-"", "", ""), """")"),"")</f>
        <v/>
      </c>
      <c r="L11266" s="12"/>
      <c r="M11266" s="13"/>
      <c r="N11266" s="2"/>
      <c r="O11266" s="20"/>
      <c r="P11266" s="42"/>
      <c r="R11266" s="23"/>
    </row>
    <row r="11267" spans="1:18" ht="12.75">
      <c r="A11267" s="12"/>
      <c r="D11267" s="12"/>
      <c r="E11267" s="12"/>
      <c r="H11267" s="11" t="str">
        <f ca="1">IFERROR(__xludf.DUMMYFUNCTION("IFERROR(SUBSTITUTE(SUBSTITUTE(REGEXEXTRACT(A11267, ""[^-]+- [^-]+- [^-]+ - (.+?)\.jpg""), "".jpg"", """"), ""-"", "", ""), """")"),"")</f>
        <v/>
      </c>
      <c r="L11267" s="12"/>
      <c r="M11267" s="13"/>
      <c r="N11267" s="2"/>
      <c r="O11267" s="20"/>
      <c r="P11267" s="42"/>
      <c r="R11267" s="23"/>
    </row>
    <row r="11268" spans="1:18" ht="12.75">
      <c r="A11268" s="12"/>
      <c r="D11268" s="12"/>
      <c r="E11268" s="12"/>
      <c r="H11268" s="11" t="str">
        <f ca="1">IFERROR(__xludf.DUMMYFUNCTION("IFERROR(SUBSTITUTE(SUBSTITUTE(REGEXEXTRACT(A11268, ""[^-]+- [^-]+- [^-]+ - (.+?)\.jpg""), "".jpg"", """"), ""-"", "", ""), """")"),"")</f>
        <v/>
      </c>
      <c r="L11268" s="12"/>
      <c r="M11268" s="13"/>
      <c r="N11268" s="2"/>
      <c r="O11268" s="20"/>
      <c r="P11268" s="42"/>
      <c r="R11268" s="23"/>
    </row>
    <row r="11269" spans="1:18" ht="12.75">
      <c r="A11269" s="12"/>
      <c r="D11269" s="12"/>
      <c r="E11269" s="12"/>
      <c r="H11269" s="11" t="str">
        <f ca="1">IFERROR(__xludf.DUMMYFUNCTION("IFERROR(SUBSTITUTE(SUBSTITUTE(REGEXEXTRACT(A11269, ""[^-]+- [^-]+- [^-]+ - (.+?)\.jpg""), "".jpg"", """"), ""-"", "", ""), """")"),"")</f>
        <v/>
      </c>
      <c r="L11269" s="12"/>
      <c r="M11269" s="13"/>
      <c r="N11269" s="2"/>
      <c r="O11269" s="20"/>
      <c r="P11269" s="42"/>
      <c r="R11269" s="23"/>
    </row>
    <row r="11270" spans="1:18" ht="12.75">
      <c r="A11270" s="12"/>
      <c r="D11270" s="12"/>
      <c r="E11270" s="12"/>
      <c r="H11270" s="11" t="str">
        <f ca="1">IFERROR(__xludf.DUMMYFUNCTION("IFERROR(SUBSTITUTE(SUBSTITUTE(REGEXEXTRACT(A11270, ""[^-]+- [^-]+- [^-]+ - (.+?)\.jpg""), "".jpg"", """"), ""-"", "", ""), """")"),"")</f>
        <v/>
      </c>
      <c r="L11270" s="12"/>
      <c r="M11270" s="13"/>
      <c r="N11270" s="2"/>
      <c r="O11270" s="20"/>
      <c r="P11270" s="42"/>
      <c r="R11270" s="23"/>
    </row>
    <row r="11271" spans="1:18" ht="12.75">
      <c r="A11271" s="12"/>
      <c r="D11271" s="12"/>
      <c r="E11271" s="12"/>
      <c r="H11271" s="11" t="str">
        <f ca="1">IFERROR(__xludf.DUMMYFUNCTION("IFERROR(SUBSTITUTE(SUBSTITUTE(REGEXEXTRACT(A11271, ""[^-]+- [^-]+- [^-]+ - (.+?)\.jpg""), "".jpg"", """"), ""-"", "", ""), """")"),"")</f>
        <v/>
      </c>
      <c r="L11271" s="12"/>
      <c r="M11271" s="13"/>
      <c r="N11271" s="2"/>
      <c r="O11271" s="20"/>
      <c r="P11271" s="42"/>
      <c r="R11271" s="23"/>
    </row>
    <row r="11272" spans="1:18" ht="12.75">
      <c r="A11272" s="12"/>
      <c r="D11272" s="12"/>
      <c r="E11272" s="12"/>
      <c r="H11272" s="11" t="str">
        <f ca="1">IFERROR(__xludf.DUMMYFUNCTION("IFERROR(SUBSTITUTE(SUBSTITUTE(REGEXEXTRACT(A11272, ""[^-]+- [^-]+- [^-]+ - (.+?)\.jpg""), "".jpg"", """"), ""-"", "", ""), """")"),"")</f>
        <v/>
      </c>
      <c r="L11272" s="12"/>
      <c r="M11272" s="13"/>
      <c r="N11272" s="2"/>
      <c r="O11272" s="20"/>
      <c r="P11272" s="42"/>
      <c r="R11272" s="23"/>
    </row>
    <row r="11273" spans="1:18" ht="12.75">
      <c r="A11273" s="12"/>
      <c r="D11273" s="12"/>
      <c r="E11273" s="12"/>
      <c r="H11273" s="11" t="str">
        <f ca="1">IFERROR(__xludf.DUMMYFUNCTION("IFERROR(SUBSTITUTE(SUBSTITUTE(REGEXEXTRACT(A11273, ""[^-]+- [^-]+- [^-]+ - (.+?)\.jpg""), "".jpg"", """"), ""-"", "", ""), """")"),"")</f>
        <v/>
      </c>
      <c r="L11273" s="12"/>
      <c r="M11273" s="13"/>
      <c r="N11273" s="2"/>
      <c r="O11273" s="20"/>
      <c r="P11273" s="42"/>
      <c r="R11273" s="23"/>
    </row>
    <row r="11274" spans="1:18" ht="12.75">
      <c r="A11274" s="12"/>
      <c r="D11274" s="12"/>
      <c r="E11274" s="12"/>
      <c r="H11274" s="11" t="str">
        <f ca="1">IFERROR(__xludf.DUMMYFUNCTION("IFERROR(SUBSTITUTE(SUBSTITUTE(REGEXEXTRACT(A11274, ""[^-]+- [^-]+- [^-]+ - (.+?)\.jpg""), "".jpg"", """"), ""-"", "", ""), """")"),"")</f>
        <v/>
      </c>
      <c r="L11274" s="12"/>
      <c r="M11274" s="13"/>
      <c r="N11274" s="2"/>
      <c r="O11274" s="20"/>
      <c r="P11274" s="42"/>
      <c r="R11274" s="23"/>
    </row>
    <row r="11275" spans="1:18" ht="12.75">
      <c r="A11275" s="12"/>
      <c r="D11275" s="12"/>
      <c r="E11275" s="12"/>
      <c r="H11275" s="11" t="str">
        <f ca="1">IFERROR(__xludf.DUMMYFUNCTION("IFERROR(SUBSTITUTE(SUBSTITUTE(REGEXEXTRACT(A11275, ""[^-]+- [^-]+- [^-]+ - (.+?)\.jpg""), "".jpg"", """"), ""-"", "", ""), """")"),"")</f>
        <v/>
      </c>
      <c r="L11275" s="12"/>
      <c r="M11275" s="13"/>
      <c r="N11275" s="2"/>
      <c r="O11275" s="20"/>
      <c r="P11275" s="42"/>
      <c r="R11275" s="23"/>
    </row>
    <row r="11276" spans="1:18" ht="12.75">
      <c r="A11276" s="12"/>
      <c r="D11276" s="12"/>
      <c r="E11276" s="12"/>
      <c r="H11276" s="11" t="str">
        <f ca="1">IFERROR(__xludf.DUMMYFUNCTION("IFERROR(SUBSTITUTE(SUBSTITUTE(REGEXEXTRACT(A11276, ""[^-]+- [^-]+- [^-]+ - (.+?)\.jpg""), "".jpg"", """"), ""-"", "", ""), """")"),"")</f>
        <v/>
      </c>
      <c r="L11276" s="12"/>
      <c r="M11276" s="13"/>
      <c r="N11276" s="2"/>
      <c r="O11276" s="20"/>
      <c r="P11276" s="42"/>
      <c r="R11276" s="23"/>
    </row>
    <row r="11277" spans="1:18" ht="12.75">
      <c r="A11277" s="12"/>
      <c r="D11277" s="12"/>
      <c r="E11277" s="12"/>
      <c r="H11277" s="11" t="str">
        <f ca="1">IFERROR(__xludf.DUMMYFUNCTION("IFERROR(SUBSTITUTE(SUBSTITUTE(REGEXEXTRACT(A11277, ""[^-]+- [^-]+- [^-]+ - (.+?)\.jpg""), "".jpg"", """"), ""-"", "", ""), """")"),"")</f>
        <v/>
      </c>
      <c r="L11277" s="12"/>
      <c r="M11277" s="13"/>
      <c r="N11277" s="2"/>
      <c r="O11277" s="20"/>
      <c r="P11277" s="42"/>
      <c r="R11277" s="23"/>
    </row>
    <row r="11278" spans="1:18" ht="12.75">
      <c r="A11278" s="12"/>
      <c r="D11278" s="12"/>
      <c r="E11278" s="12"/>
      <c r="H11278" s="11" t="str">
        <f ca="1">IFERROR(__xludf.DUMMYFUNCTION("IFERROR(SUBSTITUTE(SUBSTITUTE(REGEXEXTRACT(A11278, ""[^-]+- [^-]+- [^-]+ - (.+?)\.jpg""), "".jpg"", """"), ""-"", "", ""), """")"),"")</f>
        <v/>
      </c>
      <c r="L11278" s="12"/>
      <c r="M11278" s="13"/>
      <c r="N11278" s="2"/>
      <c r="O11278" s="20"/>
      <c r="P11278" s="42"/>
      <c r="R11278" s="23"/>
    </row>
    <row r="11279" spans="1:18" ht="12.75">
      <c r="A11279" s="12"/>
      <c r="D11279" s="12"/>
      <c r="E11279" s="12"/>
      <c r="H11279" s="11" t="str">
        <f ca="1">IFERROR(__xludf.DUMMYFUNCTION("IFERROR(SUBSTITUTE(SUBSTITUTE(REGEXEXTRACT(A11279, ""[^-]+- [^-]+- [^-]+ - (.+?)\.jpg""), "".jpg"", """"), ""-"", "", ""), """")"),"")</f>
        <v/>
      </c>
      <c r="L11279" s="12"/>
      <c r="M11279" s="13"/>
      <c r="N11279" s="2"/>
      <c r="O11279" s="20"/>
      <c r="P11279" s="42"/>
      <c r="R11279" s="23"/>
    </row>
    <row r="11280" spans="1:18" ht="12.75">
      <c r="A11280" s="12"/>
      <c r="D11280" s="12"/>
      <c r="E11280" s="12"/>
      <c r="H11280" s="11" t="str">
        <f ca="1">IFERROR(__xludf.DUMMYFUNCTION("IFERROR(SUBSTITUTE(SUBSTITUTE(REGEXEXTRACT(A11280, ""[^-]+- [^-]+- [^-]+ - (.+?)\.jpg""), "".jpg"", """"), ""-"", "", ""), """")"),"")</f>
        <v/>
      </c>
      <c r="L11280" s="12"/>
      <c r="M11280" s="13"/>
      <c r="N11280" s="2"/>
      <c r="O11280" s="20"/>
      <c r="P11280" s="42"/>
      <c r="R11280" s="23"/>
    </row>
    <row r="11281" spans="1:18" ht="12.75">
      <c r="A11281" s="12"/>
      <c r="D11281" s="12"/>
      <c r="E11281" s="12"/>
      <c r="H11281" s="11" t="str">
        <f ca="1">IFERROR(__xludf.DUMMYFUNCTION("IFERROR(SUBSTITUTE(SUBSTITUTE(REGEXEXTRACT(A11281, ""[^-]+- [^-]+- [^-]+ - (.+?)\.jpg""), "".jpg"", """"), ""-"", "", ""), """")"),"")</f>
        <v/>
      </c>
      <c r="L11281" s="12"/>
      <c r="M11281" s="13"/>
      <c r="N11281" s="2"/>
      <c r="O11281" s="20"/>
      <c r="P11281" s="42"/>
      <c r="R11281" s="23"/>
    </row>
    <row r="11282" spans="1:18" ht="12.75">
      <c r="A11282" s="12"/>
      <c r="D11282" s="12"/>
      <c r="E11282" s="12"/>
      <c r="H11282" s="11" t="str">
        <f ca="1">IFERROR(__xludf.DUMMYFUNCTION("IFERROR(SUBSTITUTE(SUBSTITUTE(REGEXEXTRACT(A11282, ""[^-]+- [^-]+- [^-]+ - (.+?)\.jpg""), "".jpg"", """"), ""-"", "", ""), """")"),"")</f>
        <v/>
      </c>
      <c r="L11282" s="12"/>
      <c r="M11282" s="13"/>
      <c r="N11282" s="2"/>
      <c r="O11282" s="20"/>
      <c r="P11282" s="42"/>
      <c r="R11282" s="23"/>
    </row>
    <row r="11283" spans="1:18" ht="12.75">
      <c r="A11283" s="12"/>
      <c r="D11283" s="12"/>
      <c r="E11283" s="12"/>
      <c r="H11283" s="11" t="str">
        <f ca="1">IFERROR(__xludf.DUMMYFUNCTION("IFERROR(SUBSTITUTE(SUBSTITUTE(REGEXEXTRACT(A11283, ""[^-]+- [^-]+- [^-]+ - (.+?)\.jpg""), "".jpg"", """"), ""-"", "", ""), """")"),"")</f>
        <v/>
      </c>
      <c r="L11283" s="12"/>
      <c r="M11283" s="13"/>
      <c r="N11283" s="2"/>
      <c r="O11283" s="20"/>
      <c r="P11283" s="42"/>
      <c r="R11283" s="23"/>
    </row>
    <row r="11284" spans="1:18" ht="12.75">
      <c r="A11284" s="12"/>
      <c r="D11284" s="12"/>
      <c r="E11284" s="12"/>
      <c r="H11284" s="11" t="str">
        <f ca="1">IFERROR(__xludf.DUMMYFUNCTION("IFERROR(SUBSTITUTE(SUBSTITUTE(REGEXEXTRACT(A11284, ""[^-]+- [^-]+- [^-]+ - (.+?)\.jpg""), "".jpg"", """"), ""-"", "", ""), """")"),"")</f>
        <v/>
      </c>
      <c r="L11284" s="12"/>
      <c r="M11284" s="13"/>
      <c r="N11284" s="2"/>
      <c r="O11284" s="20"/>
      <c r="P11284" s="42"/>
      <c r="R11284" s="23"/>
    </row>
    <row r="11285" spans="1:18" ht="12.75">
      <c r="A11285" s="12"/>
      <c r="D11285" s="12"/>
      <c r="E11285" s="12"/>
      <c r="H11285" s="11" t="str">
        <f ca="1">IFERROR(__xludf.DUMMYFUNCTION("IFERROR(SUBSTITUTE(SUBSTITUTE(REGEXEXTRACT(A11285, ""[^-]+- [^-]+- [^-]+ - (.+?)\.jpg""), "".jpg"", """"), ""-"", "", ""), """")"),"")</f>
        <v/>
      </c>
      <c r="L11285" s="12"/>
      <c r="M11285" s="13"/>
      <c r="N11285" s="2"/>
      <c r="O11285" s="20"/>
      <c r="P11285" s="42"/>
      <c r="R11285" s="23"/>
    </row>
    <row r="11286" spans="1:18" ht="12.75">
      <c r="A11286" s="12"/>
      <c r="D11286" s="12"/>
      <c r="E11286" s="12"/>
      <c r="H11286" s="11" t="str">
        <f ca="1">IFERROR(__xludf.DUMMYFUNCTION("IFERROR(SUBSTITUTE(SUBSTITUTE(REGEXEXTRACT(A11286, ""[^-]+- [^-]+- [^-]+ - (.+?)\.jpg""), "".jpg"", """"), ""-"", "", ""), """")"),"")</f>
        <v/>
      </c>
      <c r="L11286" s="12"/>
      <c r="M11286" s="13"/>
      <c r="N11286" s="2"/>
      <c r="O11286" s="20"/>
      <c r="P11286" s="42"/>
      <c r="R11286" s="23"/>
    </row>
    <row r="11287" spans="1:18" ht="12.75">
      <c r="A11287" s="12"/>
      <c r="D11287" s="12"/>
      <c r="E11287" s="12"/>
      <c r="H11287" s="11" t="str">
        <f ca="1">IFERROR(__xludf.DUMMYFUNCTION("IFERROR(SUBSTITUTE(SUBSTITUTE(REGEXEXTRACT(A11287, ""[^-]+- [^-]+- [^-]+ - (.+?)\.jpg""), "".jpg"", """"), ""-"", "", ""), """")"),"")</f>
        <v/>
      </c>
      <c r="L11287" s="12"/>
      <c r="M11287" s="13"/>
      <c r="N11287" s="2"/>
      <c r="O11287" s="20"/>
      <c r="P11287" s="42"/>
      <c r="R11287" s="23"/>
    </row>
    <row r="11288" spans="1:18" ht="12.75">
      <c r="A11288" s="12"/>
      <c r="D11288" s="12"/>
      <c r="E11288" s="12"/>
      <c r="H11288" s="11" t="str">
        <f ca="1">IFERROR(__xludf.DUMMYFUNCTION("IFERROR(SUBSTITUTE(SUBSTITUTE(REGEXEXTRACT(A11288, ""[^-]+- [^-]+- [^-]+ - (.+?)\.jpg""), "".jpg"", """"), ""-"", "", ""), """")"),"")</f>
        <v/>
      </c>
      <c r="L11288" s="12"/>
      <c r="M11288" s="13"/>
      <c r="N11288" s="2"/>
      <c r="O11288" s="20"/>
      <c r="P11288" s="42"/>
      <c r="R11288" s="23"/>
    </row>
    <row r="11289" spans="1:18" ht="12.75">
      <c r="A11289" s="12"/>
      <c r="D11289" s="12"/>
      <c r="E11289" s="12"/>
      <c r="H11289" s="11" t="str">
        <f ca="1">IFERROR(__xludf.DUMMYFUNCTION("IFERROR(SUBSTITUTE(SUBSTITUTE(REGEXEXTRACT(A11289, ""[^-]+- [^-]+- [^-]+ - (.+?)\.jpg""), "".jpg"", """"), ""-"", "", ""), """")"),"")</f>
        <v/>
      </c>
      <c r="L11289" s="12"/>
      <c r="M11289" s="13"/>
      <c r="N11289" s="2"/>
      <c r="O11289" s="20"/>
      <c r="P11289" s="42"/>
      <c r="R11289" s="23"/>
    </row>
    <row r="11290" spans="1:18" ht="12.75">
      <c r="A11290" s="12"/>
      <c r="D11290" s="12"/>
      <c r="E11290" s="12"/>
      <c r="H11290" s="11" t="str">
        <f ca="1">IFERROR(__xludf.DUMMYFUNCTION("IFERROR(SUBSTITUTE(SUBSTITUTE(REGEXEXTRACT(A11290, ""[^-]+- [^-]+- [^-]+ - (.+?)\.jpg""), "".jpg"", """"), ""-"", "", ""), """")"),"")</f>
        <v/>
      </c>
      <c r="L11290" s="12"/>
      <c r="M11290" s="13"/>
      <c r="N11290" s="2"/>
      <c r="O11290" s="20"/>
      <c r="P11290" s="42"/>
      <c r="R11290" s="23"/>
    </row>
    <row r="11291" spans="1:18" ht="12.75">
      <c r="A11291" s="12"/>
      <c r="D11291" s="12"/>
      <c r="E11291" s="12"/>
      <c r="H11291" s="11" t="str">
        <f ca="1">IFERROR(__xludf.DUMMYFUNCTION("IFERROR(SUBSTITUTE(SUBSTITUTE(REGEXEXTRACT(A11291, ""[^-]+- [^-]+- [^-]+ - (.+?)\.jpg""), "".jpg"", """"), ""-"", "", ""), """")"),"")</f>
        <v/>
      </c>
      <c r="L11291" s="12"/>
      <c r="M11291" s="13"/>
      <c r="N11291" s="2"/>
      <c r="O11291" s="20"/>
      <c r="P11291" s="42"/>
      <c r="R11291" s="23"/>
    </row>
    <row r="11292" spans="1:18" ht="12.75">
      <c r="A11292" s="12"/>
      <c r="D11292" s="12"/>
      <c r="E11292" s="12"/>
      <c r="H11292" s="11" t="str">
        <f ca="1">IFERROR(__xludf.DUMMYFUNCTION("IFERROR(SUBSTITUTE(SUBSTITUTE(REGEXEXTRACT(A11292, ""[^-]+- [^-]+- [^-]+ - (.+?)\.jpg""), "".jpg"", """"), ""-"", "", ""), """")"),"")</f>
        <v/>
      </c>
      <c r="L11292" s="12"/>
      <c r="M11292" s="13"/>
      <c r="N11292" s="2"/>
      <c r="O11292" s="20"/>
      <c r="P11292" s="42"/>
      <c r="R11292" s="23"/>
    </row>
    <row r="11293" spans="1:18" ht="12.75">
      <c r="A11293" s="12"/>
      <c r="D11293" s="12"/>
      <c r="E11293" s="12"/>
      <c r="H11293" s="11" t="str">
        <f ca="1">IFERROR(__xludf.DUMMYFUNCTION("IFERROR(SUBSTITUTE(SUBSTITUTE(REGEXEXTRACT(A11293, ""[^-]+- [^-]+- [^-]+ - (.+?)\.jpg""), "".jpg"", """"), ""-"", "", ""), """")"),"")</f>
        <v/>
      </c>
      <c r="L11293" s="12"/>
      <c r="M11293" s="13"/>
      <c r="N11293" s="2"/>
      <c r="O11293" s="20"/>
      <c r="P11293" s="42"/>
      <c r="R11293" s="23"/>
    </row>
    <row r="11294" spans="1:18" ht="12.75">
      <c r="A11294" s="12"/>
      <c r="D11294" s="12"/>
      <c r="E11294" s="12"/>
      <c r="H11294" s="11" t="str">
        <f ca="1">IFERROR(__xludf.DUMMYFUNCTION("IFERROR(SUBSTITUTE(SUBSTITUTE(REGEXEXTRACT(A11294, ""[^-]+- [^-]+- [^-]+ - (.+?)\.jpg""), "".jpg"", """"), ""-"", "", ""), """")"),"")</f>
        <v/>
      </c>
      <c r="L11294" s="12"/>
      <c r="M11294" s="13"/>
      <c r="N11294" s="2"/>
      <c r="O11294" s="20"/>
      <c r="P11294" s="42"/>
      <c r="R11294" s="23"/>
    </row>
    <row r="11295" spans="1:18" ht="12.75">
      <c r="A11295" s="12"/>
      <c r="D11295" s="12"/>
      <c r="E11295" s="12"/>
      <c r="H11295" s="11" t="str">
        <f ca="1">IFERROR(__xludf.DUMMYFUNCTION("IFERROR(SUBSTITUTE(SUBSTITUTE(REGEXEXTRACT(A11295, ""[^-]+- [^-]+- [^-]+ - (.+?)\.jpg""), "".jpg"", """"), ""-"", "", ""), """")"),"")</f>
        <v/>
      </c>
      <c r="L11295" s="12"/>
      <c r="M11295" s="13"/>
      <c r="N11295" s="2"/>
      <c r="O11295" s="20"/>
      <c r="P11295" s="42"/>
      <c r="R11295" s="23"/>
    </row>
    <row r="11296" spans="1:18" ht="12.75">
      <c r="A11296" s="12"/>
      <c r="D11296" s="12"/>
      <c r="E11296" s="12"/>
      <c r="H11296" s="11" t="str">
        <f ca="1">IFERROR(__xludf.DUMMYFUNCTION("IFERROR(SUBSTITUTE(SUBSTITUTE(REGEXEXTRACT(A11296, ""[^-]+- [^-]+- [^-]+ - (.+?)\.jpg""), "".jpg"", """"), ""-"", "", ""), """")"),"")</f>
        <v/>
      </c>
      <c r="L11296" s="12"/>
      <c r="M11296" s="13"/>
      <c r="N11296" s="2"/>
      <c r="O11296" s="20"/>
      <c r="P11296" s="42"/>
      <c r="R11296" s="23"/>
    </row>
    <row r="11297" spans="1:18" ht="12.75">
      <c r="A11297" s="12"/>
      <c r="D11297" s="12"/>
      <c r="E11297" s="12"/>
      <c r="H11297" s="11" t="str">
        <f ca="1">IFERROR(__xludf.DUMMYFUNCTION("IFERROR(SUBSTITUTE(SUBSTITUTE(REGEXEXTRACT(A11297, ""[^-]+- [^-]+- [^-]+ - (.+?)\.jpg""), "".jpg"", """"), ""-"", "", ""), """")"),"")</f>
        <v/>
      </c>
      <c r="L11297" s="12"/>
      <c r="M11297" s="13"/>
      <c r="N11297" s="2"/>
      <c r="O11297" s="20"/>
      <c r="P11297" s="42"/>
      <c r="R11297" s="23"/>
    </row>
    <row r="11298" spans="1:18" ht="12.75">
      <c r="A11298" s="12"/>
      <c r="D11298" s="12"/>
      <c r="E11298" s="12"/>
      <c r="H11298" s="11" t="str">
        <f ca="1">IFERROR(__xludf.DUMMYFUNCTION("IFERROR(SUBSTITUTE(SUBSTITUTE(REGEXEXTRACT(A11298, ""[^-]+- [^-]+- [^-]+ - (.+?)\.jpg""), "".jpg"", """"), ""-"", "", ""), """")"),"")</f>
        <v/>
      </c>
      <c r="L11298" s="12"/>
      <c r="M11298" s="13"/>
      <c r="N11298" s="2"/>
      <c r="O11298" s="20"/>
      <c r="P11298" s="42"/>
      <c r="R11298" s="23"/>
    </row>
    <row r="11299" spans="1:18" ht="12.75">
      <c r="A11299" s="12"/>
      <c r="D11299" s="12"/>
      <c r="E11299" s="12"/>
      <c r="H11299" s="11" t="str">
        <f ca="1">IFERROR(__xludf.DUMMYFUNCTION("IFERROR(SUBSTITUTE(SUBSTITUTE(REGEXEXTRACT(A11299, ""[^-]+- [^-]+- [^-]+ - (.+?)\.jpg""), "".jpg"", """"), ""-"", "", ""), """")"),"")</f>
        <v/>
      </c>
      <c r="L11299" s="12"/>
      <c r="M11299" s="13"/>
      <c r="N11299" s="2"/>
      <c r="O11299" s="20"/>
      <c r="P11299" s="42"/>
      <c r="R11299" s="23"/>
    </row>
    <row r="11300" spans="1:18" ht="12.75">
      <c r="A11300" s="12"/>
      <c r="D11300" s="12"/>
      <c r="E11300" s="12"/>
      <c r="H11300" s="11" t="str">
        <f ca="1">IFERROR(__xludf.DUMMYFUNCTION("IFERROR(SUBSTITUTE(SUBSTITUTE(REGEXEXTRACT(A11300, ""[^-]+- [^-]+- [^-]+ - (.+?)\.jpg""), "".jpg"", """"), ""-"", "", ""), """")"),"")</f>
        <v/>
      </c>
      <c r="L11300" s="12"/>
      <c r="M11300" s="13"/>
      <c r="N11300" s="2"/>
      <c r="O11300" s="20"/>
      <c r="P11300" s="42"/>
      <c r="R11300" s="23"/>
    </row>
    <row r="11301" spans="1:18" ht="12.75">
      <c r="A11301" s="12"/>
      <c r="D11301" s="12"/>
      <c r="E11301" s="12"/>
      <c r="H11301" s="11" t="str">
        <f ca="1">IFERROR(__xludf.DUMMYFUNCTION("IFERROR(SUBSTITUTE(SUBSTITUTE(REGEXEXTRACT(A11301, ""[^-]+- [^-]+- [^-]+ - (.+?)\.jpg""), "".jpg"", """"), ""-"", "", ""), """")"),"")</f>
        <v/>
      </c>
      <c r="L11301" s="12"/>
      <c r="M11301" s="13"/>
      <c r="N11301" s="2"/>
      <c r="O11301" s="20"/>
      <c r="P11301" s="42"/>
      <c r="R11301" s="23"/>
    </row>
    <row r="11302" spans="1:18" ht="12.75">
      <c r="A11302" s="12"/>
      <c r="D11302" s="12"/>
      <c r="E11302" s="12"/>
      <c r="H11302" s="11" t="str">
        <f ca="1">IFERROR(__xludf.DUMMYFUNCTION("IFERROR(SUBSTITUTE(SUBSTITUTE(REGEXEXTRACT(A11302, ""[^-]+- [^-]+- [^-]+ - (.+?)\.jpg""), "".jpg"", """"), ""-"", "", ""), """")"),"")</f>
        <v/>
      </c>
      <c r="L11302" s="12"/>
      <c r="M11302" s="13"/>
      <c r="N11302" s="2"/>
      <c r="O11302" s="20"/>
      <c r="P11302" s="42"/>
      <c r="R11302" s="23"/>
    </row>
    <row r="11303" spans="1:18" ht="12.75">
      <c r="A11303" s="12"/>
      <c r="D11303" s="12"/>
      <c r="E11303" s="12"/>
      <c r="H11303" s="11" t="str">
        <f ca="1">IFERROR(__xludf.DUMMYFUNCTION("IFERROR(SUBSTITUTE(SUBSTITUTE(REGEXEXTRACT(A11303, ""[^-]+- [^-]+- [^-]+ - (.+?)\.jpg""), "".jpg"", """"), ""-"", "", ""), """")"),"")</f>
        <v/>
      </c>
      <c r="L11303" s="12"/>
      <c r="M11303" s="13"/>
      <c r="N11303" s="2"/>
      <c r="O11303" s="20"/>
      <c r="P11303" s="42"/>
      <c r="R11303" s="23"/>
    </row>
    <row r="11304" spans="1:18" ht="12.75">
      <c r="A11304" s="12"/>
      <c r="D11304" s="12"/>
      <c r="E11304" s="12"/>
      <c r="H11304" s="11" t="str">
        <f ca="1">IFERROR(__xludf.DUMMYFUNCTION("IFERROR(SUBSTITUTE(SUBSTITUTE(REGEXEXTRACT(A11304, ""[^-]+- [^-]+- [^-]+ - (.+?)\.jpg""), "".jpg"", """"), ""-"", "", ""), """")"),"")</f>
        <v/>
      </c>
      <c r="L11304" s="12"/>
      <c r="M11304" s="13"/>
      <c r="N11304" s="2"/>
      <c r="O11304" s="20"/>
      <c r="P11304" s="42"/>
      <c r="R11304" s="23"/>
    </row>
    <row r="11305" spans="1:18" ht="12.75">
      <c r="A11305" s="12"/>
      <c r="D11305" s="12"/>
      <c r="E11305" s="12"/>
      <c r="H11305" s="11" t="str">
        <f ca="1">IFERROR(__xludf.DUMMYFUNCTION("IFERROR(SUBSTITUTE(SUBSTITUTE(REGEXEXTRACT(A11305, ""[^-]+- [^-]+- [^-]+ - (.+?)\.jpg""), "".jpg"", """"), ""-"", "", ""), """")"),"")</f>
        <v/>
      </c>
      <c r="L11305" s="12"/>
      <c r="M11305" s="13"/>
      <c r="N11305" s="2"/>
      <c r="O11305" s="20"/>
      <c r="P11305" s="42"/>
      <c r="R11305" s="23"/>
    </row>
    <row r="11306" spans="1:18" ht="12.75">
      <c r="A11306" s="12"/>
      <c r="D11306" s="12"/>
      <c r="E11306" s="12"/>
      <c r="H11306" s="11" t="str">
        <f ca="1">IFERROR(__xludf.DUMMYFUNCTION("IFERROR(SUBSTITUTE(SUBSTITUTE(REGEXEXTRACT(A11306, ""[^-]+- [^-]+- [^-]+ - (.+?)\.jpg""), "".jpg"", """"), ""-"", "", ""), """")"),"")</f>
        <v/>
      </c>
      <c r="L11306" s="12"/>
      <c r="M11306" s="13"/>
      <c r="N11306" s="2"/>
      <c r="O11306" s="20"/>
      <c r="P11306" s="42"/>
      <c r="R11306" s="23"/>
    </row>
    <row r="11307" spans="1:18" ht="12.75">
      <c r="A11307" s="12"/>
      <c r="D11307" s="12"/>
      <c r="E11307" s="12"/>
      <c r="H11307" s="11" t="str">
        <f ca="1">IFERROR(__xludf.DUMMYFUNCTION("IFERROR(SUBSTITUTE(SUBSTITUTE(REGEXEXTRACT(A11307, ""[^-]+- [^-]+- [^-]+ - (.+?)\.jpg""), "".jpg"", """"), ""-"", "", ""), """")"),"")</f>
        <v/>
      </c>
      <c r="L11307" s="12"/>
      <c r="M11307" s="13"/>
      <c r="N11307" s="2"/>
      <c r="O11307" s="20"/>
      <c r="P11307" s="42"/>
      <c r="R11307" s="23"/>
    </row>
    <row r="11308" spans="1:18" ht="12.75">
      <c r="A11308" s="12"/>
      <c r="D11308" s="12"/>
      <c r="E11308" s="12"/>
      <c r="H11308" s="11" t="str">
        <f ca="1">IFERROR(__xludf.DUMMYFUNCTION("IFERROR(SUBSTITUTE(SUBSTITUTE(REGEXEXTRACT(A11308, ""[^-]+- [^-]+- [^-]+ - (.+?)\.jpg""), "".jpg"", """"), ""-"", "", ""), """")"),"")</f>
        <v/>
      </c>
      <c r="L11308" s="12"/>
      <c r="M11308" s="13"/>
      <c r="N11308" s="2"/>
      <c r="O11308" s="20"/>
      <c r="P11308" s="42"/>
      <c r="R11308" s="23"/>
    </row>
    <row r="11309" spans="1:18" ht="12.75">
      <c r="A11309" s="12"/>
      <c r="D11309" s="12"/>
      <c r="E11309" s="12"/>
      <c r="H11309" s="11" t="str">
        <f ca="1">IFERROR(__xludf.DUMMYFUNCTION("IFERROR(SUBSTITUTE(SUBSTITUTE(REGEXEXTRACT(A11309, ""[^-]+- [^-]+- [^-]+ - (.+?)\.jpg""), "".jpg"", """"), ""-"", "", ""), """")"),"")</f>
        <v/>
      </c>
      <c r="L11309" s="12"/>
      <c r="M11309" s="13"/>
      <c r="N11309" s="2"/>
      <c r="O11309" s="20"/>
      <c r="P11309" s="42"/>
      <c r="R11309" s="23"/>
    </row>
    <row r="11310" spans="1:18" ht="12.75">
      <c r="A11310" s="12"/>
      <c r="D11310" s="12"/>
      <c r="E11310" s="12"/>
      <c r="H11310" s="11" t="str">
        <f ca="1">IFERROR(__xludf.DUMMYFUNCTION("IFERROR(SUBSTITUTE(SUBSTITUTE(REGEXEXTRACT(A11310, ""[^-]+- [^-]+- [^-]+ - (.+?)\.jpg""), "".jpg"", """"), ""-"", "", ""), """")"),"")</f>
        <v/>
      </c>
      <c r="L11310" s="12"/>
      <c r="M11310" s="13"/>
      <c r="N11310" s="2"/>
      <c r="O11310" s="20"/>
      <c r="P11310" s="42"/>
      <c r="R11310" s="23"/>
    </row>
    <row r="11311" spans="1:18" ht="12.75">
      <c r="A11311" s="12"/>
      <c r="D11311" s="12"/>
      <c r="E11311" s="12"/>
      <c r="H11311" s="11" t="str">
        <f ca="1">IFERROR(__xludf.DUMMYFUNCTION("IFERROR(SUBSTITUTE(SUBSTITUTE(REGEXEXTRACT(A11311, ""[^-]+- [^-]+- [^-]+ - (.+?)\.jpg""), "".jpg"", """"), ""-"", "", ""), """")"),"")</f>
        <v/>
      </c>
      <c r="L11311" s="12"/>
      <c r="M11311" s="13"/>
      <c r="N11311" s="2"/>
      <c r="O11311" s="20"/>
      <c r="P11311" s="42"/>
      <c r="R11311" s="23"/>
    </row>
    <row r="11312" spans="1:18" ht="12.75">
      <c r="A11312" s="12"/>
      <c r="D11312" s="12"/>
      <c r="E11312" s="12"/>
      <c r="H11312" s="11" t="str">
        <f ca="1">IFERROR(__xludf.DUMMYFUNCTION("IFERROR(SUBSTITUTE(SUBSTITUTE(REGEXEXTRACT(A11312, ""[^-]+- [^-]+- [^-]+ - (.+?)\.jpg""), "".jpg"", """"), ""-"", "", ""), """")"),"")</f>
        <v/>
      </c>
      <c r="L11312" s="12"/>
      <c r="M11312" s="13"/>
      <c r="N11312" s="2"/>
      <c r="O11312" s="20"/>
      <c r="P11312" s="42"/>
      <c r="R11312" s="23"/>
    </row>
    <row r="11313" spans="1:18" ht="12.75">
      <c r="A11313" s="12"/>
      <c r="D11313" s="12"/>
      <c r="E11313" s="12"/>
      <c r="H11313" s="11" t="str">
        <f ca="1">IFERROR(__xludf.DUMMYFUNCTION("IFERROR(SUBSTITUTE(SUBSTITUTE(REGEXEXTRACT(A11313, ""[^-]+- [^-]+- [^-]+ - (.+?)\.jpg""), "".jpg"", """"), ""-"", "", ""), """")"),"")</f>
        <v/>
      </c>
      <c r="L11313" s="12"/>
      <c r="M11313" s="13"/>
      <c r="N11313" s="2"/>
      <c r="O11313" s="20"/>
      <c r="P11313" s="42"/>
      <c r="R11313" s="23"/>
    </row>
    <row r="11314" spans="1:18" ht="12.75">
      <c r="A11314" s="12"/>
      <c r="D11314" s="12"/>
      <c r="E11314" s="12"/>
      <c r="H11314" s="11" t="str">
        <f ca="1">IFERROR(__xludf.DUMMYFUNCTION("IFERROR(SUBSTITUTE(SUBSTITUTE(REGEXEXTRACT(A11314, ""[^-]+- [^-]+- [^-]+ - (.+?)\.jpg""), "".jpg"", """"), ""-"", "", ""), """")"),"")</f>
        <v/>
      </c>
      <c r="L11314" s="12"/>
      <c r="M11314" s="13"/>
      <c r="N11314" s="2"/>
      <c r="O11314" s="20"/>
      <c r="P11314" s="42"/>
      <c r="R11314" s="23"/>
    </row>
    <row r="11315" spans="1:18" ht="12.75">
      <c r="A11315" s="12"/>
      <c r="D11315" s="12"/>
      <c r="E11315" s="12"/>
      <c r="H11315" s="11" t="str">
        <f ca="1">IFERROR(__xludf.DUMMYFUNCTION("IFERROR(SUBSTITUTE(SUBSTITUTE(REGEXEXTRACT(A11315, ""[^-]+- [^-]+- [^-]+ - (.+?)\.jpg""), "".jpg"", """"), ""-"", "", ""), """")"),"")</f>
        <v/>
      </c>
      <c r="L11315" s="12"/>
      <c r="M11315" s="13"/>
      <c r="N11315" s="2"/>
      <c r="O11315" s="20"/>
      <c r="P11315" s="42"/>
      <c r="R11315" s="23"/>
    </row>
    <row r="11316" spans="1:18" ht="12.75">
      <c r="A11316" s="12"/>
      <c r="D11316" s="12"/>
      <c r="E11316" s="12"/>
      <c r="H11316" s="11" t="str">
        <f ca="1">IFERROR(__xludf.DUMMYFUNCTION("IFERROR(SUBSTITUTE(SUBSTITUTE(REGEXEXTRACT(A11316, ""[^-]+- [^-]+- [^-]+ - (.+?)\.jpg""), "".jpg"", """"), ""-"", "", ""), """")"),"")</f>
        <v/>
      </c>
      <c r="L11316" s="12"/>
      <c r="M11316" s="13"/>
      <c r="N11316" s="2"/>
      <c r="O11316" s="20"/>
      <c r="P11316" s="42"/>
      <c r="R11316" s="23"/>
    </row>
    <row r="11317" spans="1:18" ht="12.75">
      <c r="A11317" s="12"/>
      <c r="D11317" s="12"/>
      <c r="E11317" s="12"/>
      <c r="H11317" s="11" t="str">
        <f ca="1">IFERROR(__xludf.DUMMYFUNCTION("IFERROR(SUBSTITUTE(SUBSTITUTE(REGEXEXTRACT(A11317, ""[^-]+- [^-]+- [^-]+ - (.+?)\.jpg""), "".jpg"", """"), ""-"", "", ""), """")"),"")</f>
        <v/>
      </c>
      <c r="L11317" s="12"/>
      <c r="M11317" s="13"/>
      <c r="N11317" s="2"/>
      <c r="O11317" s="20"/>
      <c r="P11317" s="42"/>
      <c r="R11317" s="23"/>
    </row>
    <row r="11318" spans="1:18" ht="12.75">
      <c r="A11318" s="12"/>
      <c r="D11318" s="12"/>
      <c r="E11318" s="12"/>
      <c r="H11318" s="11" t="str">
        <f ca="1">IFERROR(__xludf.DUMMYFUNCTION("IFERROR(SUBSTITUTE(SUBSTITUTE(REGEXEXTRACT(A11318, ""[^-]+- [^-]+- [^-]+ - (.+?)\.jpg""), "".jpg"", """"), ""-"", "", ""), """")"),"")</f>
        <v/>
      </c>
      <c r="L11318" s="12"/>
      <c r="M11318" s="13"/>
      <c r="N11318" s="2"/>
      <c r="O11318" s="20"/>
      <c r="P11318" s="42"/>
      <c r="R11318" s="23"/>
    </row>
    <row r="11319" spans="1:18" ht="12.75">
      <c r="A11319" s="12"/>
      <c r="D11319" s="12"/>
      <c r="E11319" s="12"/>
      <c r="H11319" s="11" t="str">
        <f ca="1">IFERROR(__xludf.DUMMYFUNCTION("IFERROR(SUBSTITUTE(SUBSTITUTE(REGEXEXTRACT(A11319, ""[^-]+- [^-]+- [^-]+ - (.+?)\.jpg""), "".jpg"", """"), ""-"", "", ""), """")"),"")</f>
        <v/>
      </c>
      <c r="L11319" s="12"/>
      <c r="M11319" s="13"/>
      <c r="N11319" s="2"/>
      <c r="O11319" s="20"/>
      <c r="P11319" s="42"/>
      <c r="R11319" s="23"/>
    </row>
    <row r="11320" spans="1:18" ht="12.75">
      <c r="A11320" s="12"/>
      <c r="D11320" s="12"/>
      <c r="E11320" s="12"/>
      <c r="H11320" s="11" t="str">
        <f ca="1">IFERROR(__xludf.DUMMYFUNCTION("IFERROR(SUBSTITUTE(SUBSTITUTE(REGEXEXTRACT(A11320, ""[^-]+- [^-]+- [^-]+ - (.+?)\.jpg""), "".jpg"", """"), ""-"", "", ""), """")"),"")</f>
        <v/>
      </c>
      <c r="L11320" s="12"/>
      <c r="M11320" s="13"/>
      <c r="N11320" s="2"/>
      <c r="O11320" s="20"/>
      <c r="P11320" s="42"/>
      <c r="R11320" s="23"/>
    </row>
    <row r="11321" spans="1:18" ht="12.75">
      <c r="A11321" s="12"/>
      <c r="D11321" s="12"/>
      <c r="E11321" s="12"/>
      <c r="H11321" s="11" t="str">
        <f ca="1">IFERROR(__xludf.DUMMYFUNCTION("IFERROR(SUBSTITUTE(SUBSTITUTE(REGEXEXTRACT(A11321, ""[^-]+- [^-]+- [^-]+ - (.+?)\.jpg""), "".jpg"", """"), ""-"", "", ""), """")"),"")</f>
        <v/>
      </c>
      <c r="L11321" s="12"/>
      <c r="M11321" s="13"/>
      <c r="N11321" s="2"/>
      <c r="O11321" s="20"/>
      <c r="P11321" s="42"/>
      <c r="R11321" s="23"/>
    </row>
    <row r="11322" spans="1:18" ht="12.75">
      <c r="A11322" s="12"/>
      <c r="D11322" s="12"/>
      <c r="E11322" s="12"/>
      <c r="H11322" s="11" t="str">
        <f ca="1">IFERROR(__xludf.DUMMYFUNCTION("IFERROR(SUBSTITUTE(SUBSTITUTE(REGEXEXTRACT(A11322, ""[^-]+- [^-]+- [^-]+ - (.+?)\.jpg""), "".jpg"", """"), ""-"", "", ""), """")"),"")</f>
        <v/>
      </c>
      <c r="L11322" s="12"/>
      <c r="M11322" s="13"/>
      <c r="N11322" s="2"/>
      <c r="O11322" s="20"/>
      <c r="P11322" s="42"/>
      <c r="R11322" s="23"/>
    </row>
    <row r="11323" spans="1:18" ht="12.75">
      <c r="A11323" s="12"/>
      <c r="D11323" s="12"/>
      <c r="E11323" s="12"/>
      <c r="H11323" s="11" t="str">
        <f ca="1">IFERROR(__xludf.DUMMYFUNCTION("IFERROR(SUBSTITUTE(SUBSTITUTE(REGEXEXTRACT(A11323, ""[^-]+- [^-]+- [^-]+ - (.+?)\.jpg""), "".jpg"", """"), ""-"", "", ""), """")"),"")</f>
        <v/>
      </c>
      <c r="L11323" s="12"/>
      <c r="M11323" s="13"/>
      <c r="N11323" s="2"/>
      <c r="O11323" s="20"/>
      <c r="P11323" s="42"/>
      <c r="R11323" s="23"/>
    </row>
    <row r="11324" spans="1:18" ht="12.75">
      <c r="A11324" s="12"/>
      <c r="D11324" s="12"/>
      <c r="E11324" s="12"/>
      <c r="H11324" s="11" t="str">
        <f ca="1">IFERROR(__xludf.DUMMYFUNCTION("IFERROR(SUBSTITUTE(SUBSTITUTE(REGEXEXTRACT(A11324, ""[^-]+- [^-]+- [^-]+ - (.+?)\.jpg""), "".jpg"", """"), ""-"", "", ""), """")"),"")</f>
        <v/>
      </c>
      <c r="L11324" s="12"/>
      <c r="M11324" s="13"/>
      <c r="N11324" s="2"/>
      <c r="O11324" s="20"/>
      <c r="P11324" s="42"/>
      <c r="R11324" s="23"/>
    </row>
    <row r="11325" spans="1:18" ht="12.75">
      <c r="A11325" s="12"/>
      <c r="D11325" s="12"/>
      <c r="E11325" s="12"/>
      <c r="H11325" s="11" t="str">
        <f ca="1">IFERROR(__xludf.DUMMYFUNCTION("IFERROR(SUBSTITUTE(SUBSTITUTE(REGEXEXTRACT(A11325, ""[^-]+- [^-]+- [^-]+ - (.+?)\.jpg""), "".jpg"", """"), ""-"", "", ""), """")"),"")</f>
        <v/>
      </c>
      <c r="L11325" s="12"/>
      <c r="M11325" s="13"/>
      <c r="N11325" s="2"/>
      <c r="O11325" s="20"/>
      <c r="P11325" s="42"/>
      <c r="R11325" s="23"/>
    </row>
    <row r="11326" spans="1:18" ht="12.75">
      <c r="A11326" s="12"/>
      <c r="D11326" s="12"/>
      <c r="E11326" s="12"/>
      <c r="H11326" s="11" t="str">
        <f ca="1">IFERROR(__xludf.DUMMYFUNCTION("IFERROR(SUBSTITUTE(SUBSTITUTE(REGEXEXTRACT(A11326, ""[^-]+- [^-]+- [^-]+ - (.+?)\.jpg""), "".jpg"", """"), ""-"", "", ""), """")"),"")</f>
        <v/>
      </c>
      <c r="L11326" s="12"/>
      <c r="M11326" s="13"/>
      <c r="N11326" s="2"/>
      <c r="O11326" s="20"/>
      <c r="P11326" s="42"/>
      <c r="R11326" s="23"/>
    </row>
    <row r="11327" spans="1:18" ht="12.75">
      <c r="A11327" s="12"/>
      <c r="D11327" s="12"/>
      <c r="E11327" s="12"/>
      <c r="H11327" s="11" t="str">
        <f ca="1">IFERROR(__xludf.DUMMYFUNCTION("IFERROR(SUBSTITUTE(SUBSTITUTE(REGEXEXTRACT(A11327, ""[^-]+- [^-]+- [^-]+ - (.+?)\.jpg""), "".jpg"", """"), ""-"", "", ""), """")"),"")</f>
        <v/>
      </c>
      <c r="L11327" s="12"/>
      <c r="M11327" s="13"/>
      <c r="N11327" s="2"/>
      <c r="O11327" s="20"/>
      <c r="P11327" s="42"/>
      <c r="R11327" s="23"/>
    </row>
    <row r="11328" spans="1:18" ht="12.75">
      <c r="A11328" s="12"/>
      <c r="D11328" s="12"/>
      <c r="E11328" s="12"/>
      <c r="H11328" s="11" t="str">
        <f ca="1">IFERROR(__xludf.DUMMYFUNCTION("IFERROR(SUBSTITUTE(SUBSTITUTE(REGEXEXTRACT(A11328, ""[^-]+- [^-]+- [^-]+ - (.+?)\.jpg""), "".jpg"", """"), ""-"", "", ""), """")"),"")</f>
        <v/>
      </c>
      <c r="L11328" s="12"/>
      <c r="M11328" s="13"/>
      <c r="N11328" s="2"/>
      <c r="O11328" s="20"/>
      <c r="P11328" s="42"/>
      <c r="R11328" s="23"/>
    </row>
    <row r="11329" spans="1:18" ht="12.75">
      <c r="A11329" s="12"/>
      <c r="D11329" s="12"/>
      <c r="E11329" s="12"/>
      <c r="H11329" s="11" t="str">
        <f ca="1">IFERROR(__xludf.DUMMYFUNCTION("IFERROR(SUBSTITUTE(SUBSTITUTE(REGEXEXTRACT(A11329, ""[^-]+- [^-]+- [^-]+ - (.+?)\.jpg""), "".jpg"", """"), ""-"", "", ""), """")"),"")</f>
        <v/>
      </c>
      <c r="L11329" s="12"/>
      <c r="M11329" s="13"/>
      <c r="N11329" s="2"/>
      <c r="O11329" s="20"/>
      <c r="P11329" s="42"/>
      <c r="R11329" s="23"/>
    </row>
    <row r="11330" spans="1:18" ht="12.75">
      <c r="A11330" s="12"/>
      <c r="D11330" s="12"/>
      <c r="E11330" s="12"/>
      <c r="H11330" s="11" t="str">
        <f ca="1">IFERROR(__xludf.DUMMYFUNCTION("IFERROR(SUBSTITUTE(SUBSTITUTE(REGEXEXTRACT(A11330, ""[^-]+- [^-]+- [^-]+ - (.+?)\.jpg""), "".jpg"", """"), ""-"", "", ""), """")"),"")</f>
        <v/>
      </c>
      <c r="L11330" s="12"/>
      <c r="M11330" s="13"/>
      <c r="N11330" s="2"/>
      <c r="O11330" s="20"/>
      <c r="P11330" s="42"/>
      <c r="R11330" s="23"/>
    </row>
    <row r="11331" spans="1:18" ht="12.75">
      <c r="A11331" s="12"/>
      <c r="D11331" s="12"/>
      <c r="E11331" s="12"/>
      <c r="H11331" s="11" t="str">
        <f ca="1">IFERROR(__xludf.DUMMYFUNCTION("IFERROR(SUBSTITUTE(SUBSTITUTE(REGEXEXTRACT(A11331, ""[^-]+- [^-]+- [^-]+ - (.+?)\.jpg""), "".jpg"", """"), ""-"", "", ""), """")"),"")</f>
        <v/>
      </c>
      <c r="L11331" s="12"/>
      <c r="M11331" s="13"/>
      <c r="N11331" s="2"/>
      <c r="O11331" s="20"/>
      <c r="P11331" s="42"/>
      <c r="R11331" s="23"/>
    </row>
    <row r="11332" spans="1:18" ht="12.75">
      <c r="A11332" s="12"/>
      <c r="D11332" s="12"/>
      <c r="E11332" s="12"/>
      <c r="H11332" s="11" t="str">
        <f ca="1">IFERROR(__xludf.DUMMYFUNCTION("IFERROR(SUBSTITUTE(SUBSTITUTE(REGEXEXTRACT(A11332, ""[^-]+- [^-]+- [^-]+ - (.+?)\.jpg""), "".jpg"", """"), ""-"", "", ""), """")"),"")</f>
        <v/>
      </c>
      <c r="L11332" s="12"/>
      <c r="M11332" s="13"/>
      <c r="N11332" s="2"/>
      <c r="O11332" s="20"/>
      <c r="P11332" s="42"/>
      <c r="R11332" s="23"/>
    </row>
    <row r="11333" spans="1:18" ht="12.75">
      <c r="A11333" s="12"/>
      <c r="D11333" s="12"/>
      <c r="E11333" s="12"/>
      <c r="H11333" s="11" t="str">
        <f ca="1">IFERROR(__xludf.DUMMYFUNCTION("IFERROR(SUBSTITUTE(SUBSTITUTE(REGEXEXTRACT(A11333, ""[^-]+- [^-]+- [^-]+ - (.+?)\.jpg""), "".jpg"", """"), ""-"", "", ""), """")"),"")</f>
        <v/>
      </c>
      <c r="L11333" s="12"/>
      <c r="M11333" s="13"/>
      <c r="N11333" s="2"/>
      <c r="O11333" s="20"/>
      <c r="P11333" s="42"/>
      <c r="R11333" s="23"/>
    </row>
    <row r="11334" spans="1:18" ht="12.75">
      <c r="A11334" s="12"/>
      <c r="D11334" s="12"/>
      <c r="E11334" s="12"/>
      <c r="H11334" s="11" t="str">
        <f ca="1">IFERROR(__xludf.DUMMYFUNCTION("IFERROR(SUBSTITUTE(SUBSTITUTE(REGEXEXTRACT(A11334, ""[^-]+- [^-]+- [^-]+ - (.+?)\.jpg""), "".jpg"", """"), ""-"", "", ""), """")"),"")</f>
        <v/>
      </c>
      <c r="L11334" s="12"/>
      <c r="M11334" s="13"/>
      <c r="N11334" s="2"/>
      <c r="O11334" s="20"/>
      <c r="P11334" s="42"/>
      <c r="R11334" s="23"/>
    </row>
    <row r="11335" spans="1:18" ht="12.75">
      <c r="A11335" s="12"/>
      <c r="D11335" s="12"/>
      <c r="E11335" s="12"/>
      <c r="H11335" s="11" t="str">
        <f ca="1">IFERROR(__xludf.DUMMYFUNCTION("IFERROR(SUBSTITUTE(SUBSTITUTE(REGEXEXTRACT(A11335, ""[^-]+- [^-]+- [^-]+ - (.+?)\.jpg""), "".jpg"", """"), ""-"", "", ""), """")"),"")</f>
        <v/>
      </c>
      <c r="L11335" s="12"/>
      <c r="M11335" s="13"/>
      <c r="N11335" s="2"/>
      <c r="O11335" s="20"/>
      <c r="P11335" s="42"/>
      <c r="R11335" s="23"/>
    </row>
    <row r="11336" spans="1:18" ht="12.75">
      <c r="A11336" s="12"/>
      <c r="D11336" s="12"/>
      <c r="E11336" s="12"/>
      <c r="H11336" s="11" t="str">
        <f ca="1">IFERROR(__xludf.DUMMYFUNCTION("IFERROR(SUBSTITUTE(SUBSTITUTE(REGEXEXTRACT(A11336, ""[^-]+- [^-]+- [^-]+ - (.+?)\.jpg""), "".jpg"", """"), ""-"", "", ""), """")"),"")</f>
        <v/>
      </c>
      <c r="L11336" s="12"/>
      <c r="M11336" s="13"/>
      <c r="N11336" s="2"/>
      <c r="O11336" s="20"/>
      <c r="P11336" s="42"/>
      <c r="R11336" s="23"/>
    </row>
    <row r="11337" spans="1:18" ht="12.75">
      <c r="A11337" s="12"/>
      <c r="D11337" s="12"/>
      <c r="E11337" s="12"/>
      <c r="H11337" s="11" t="str">
        <f ca="1">IFERROR(__xludf.DUMMYFUNCTION("IFERROR(SUBSTITUTE(SUBSTITUTE(REGEXEXTRACT(A11337, ""[^-]+- [^-]+- [^-]+ - (.+?)\.jpg""), "".jpg"", """"), ""-"", "", ""), """")"),"")</f>
        <v/>
      </c>
      <c r="L11337" s="12"/>
      <c r="M11337" s="13"/>
      <c r="N11337" s="2"/>
      <c r="O11337" s="20"/>
      <c r="P11337" s="42"/>
      <c r="R11337" s="23"/>
    </row>
    <row r="11338" spans="1:18" ht="12.75">
      <c r="A11338" s="12"/>
      <c r="D11338" s="12"/>
      <c r="E11338" s="12"/>
      <c r="H11338" s="11" t="str">
        <f ca="1">IFERROR(__xludf.DUMMYFUNCTION("IFERROR(SUBSTITUTE(SUBSTITUTE(REGEXEXTRACT(A11338, ""[^-]+- [^-]+- [^-]+ - (.+?)\.jpg""), "".jpg"", """"), ""-"", "", ""), """")"),"")</f>
        <v/>
      </c>
      <c r="L11338" s="12"/>
      <c r="M11338" s="13"/>
      <c r="N11338" s="2"/>
      <c r="O11338" s="20"/>
      <c r="P11338" s="42"/>
      <c r="R11338" s="23"/>
    </row>
    <row r="11339" spans="1:18" ht="12.75">
      <c r="A11339" s="12"/>
      <c r="D11339" s="12"/>
      <c r="E11339" s="12"/>
      <c r="H11339" s="11" t="str">
        <f ca="1">IFERROR(__xludf.DUMMYFUNCTION("IFERROR(SUBSTITUTE(SUBSTITUTE(REGEXEXTRACT(A11339, ""[^-]+- [^-]+- [^-]+ - (.+?)\.jpg""), "".jpg"", """"), ""-"", "", ""), """")"),"")</f>
        <v/>
      </c>
      <c r="L11339" s="12"/>
      <c r="M11339" s="13"/>
      <c r="N11339" s="2"/>
      <c r="O11339" s="20"/>
      <c r="P11339" s="42"/>
      <c r="R11339" s="23"/>
    </row>
    <row r="11340" spans="1:18" ht="12.75">
      <c r="A11340" s="12"/>
      <c r="D11340" s="12"/>
      <c r="E11340" s="12"/>
      <c r="H11340" s="11" t="str">
        <f ca="1">IFERROR(__xludf.DUMMYFUNCTION("IFERROR(SUBSTITUTE(SUBSTITUTE(REGEXEXTRACT(A11340, ""[^-]+- [^-]+- [^-]+ - (.+?)\.jpg""), "".jpg"", """"), ""-"", "", ""), """")"),"")</f>
        <v/>
      </c>
      <c r="L11340" s="12"/>
      <c r="M11340" s="13"/>
      <c r="N11340" s="2"/>
      <c r="O11340" s="20"/>
      <c r="P11340" s="42"/>
      <c r="R11340" s="23"/>
    </row>
    <row r="11341" spans="1:18" ht="12.75">
      <c r="A11341" s="12"/>
      <c r="D11341" s="12"/>
      <c r="E11341" s="12"/>
      <c r="H11341" s="11" t="str">
        <f ca="1">IFERROR(__xludf.DUMMYFUNCTION("IFERROR(SUBSTITUTE(SUBSTITUTE(REGEXEXTRACT(A11341, ""[^-]+- [^-]+- [^-]+ - (.+?)\.jpg""), "".jpg"", """"), ""-"", "", ""), """")"),"")</f>
        <v/>
      </c>
      <c r="L11341" s="12"/>
      <c r="M11341" s="13"/>
      <c r="N11341" s="2"/>
      <c r="O11341" s="20"/>
      <c r="P11341" s="42"/>
      <c r="R11341" s="23"/>
    </row>
    <row r="11342" spans="1:18" ht="12.75">
      <c r="A11342" s="12"/>
      <c r="D11342" s="12"/>
      <c r="E11342" s="12"/>
      <c r="H11342" s="11" t="str">
        <f ca="1">IFERROR(__xludf.DUMMYFUNCTION("IFERROR(SUBSTITUTE(SUBSTITUTE(REGEXEXTRACT(A11342, ""[^-]+- [^-]+- [^-]+ - (.+?)\.jpg""), "".jpg"", """"), ""-"", "", ""), """")"),"")</f>
        <v/>
      </c>
      <c r="L11342" s="12"/>
      <c r="M11342" s="13"/>
      <c r="N11342" s="2"/>
      <c r="O11342" s="20"/>
      <c r="P11342" s="42"/>
      <c r="R11342" s="23"/>
    </row>
    <row r="11343" spans="1:18" ht="12.75">
      <c r="A11343" s="12"/>
      <c r="D11343" s="12"/>
      <c r="E11343" s="12"/>
      <c r="H11343" s="11" t="str">
        <f ca="1">IFERROR(__xludf.DUMMYFUNCTION("IFERROR(SUBSTITUTE(SUBSTITUTE(REGEXEXTRACT(A11343, ""[^-]+- [^-]+- [^-]+ - (.+?)\.jpg""), "".jpg"", """"), ""-"", "", ""), """")"),"")</f>
        <v/>
      </c>
      <c r="L11343" s="12"/>
      <c r="M11343" s="13"/>
      <c r="N11343" s="2"/>
      <c r="O11343" s="20"/>
      <c r="P11343" s="42"/>
      <c r="R11343" s="23"/>
    </row>
    <row r="11344" spans="1:18" ht="12.75">
      <c r="A11344" s="12"/>
      <c r="D11344" s="12"/>
      <c r="E11344" s="12"/>
      <c r="H11344" s="11" t="str">
        <f ca="1">IFERROR(__xludf.DUMMYFUNCTION("IFERROR(SUBSTITUTE(SUBSTITUTE(REGEXEXTRACT(A11344, ""[^-]+- [^-]+- [^-]+ - (.+?)\.jpg""), "".jpg"", """"), ""-"", "", ""), """")"),"")</f>
        <v/>
      </c>
      <c r="L11344" s="12"/>
      <c r="M11344" s="13"/>
      <c r="N11344" s="2"/>
      <c r="O11344" s="20"/>
      <c r="P11344" s="42"/>
      <c r="R11344" s="23"/>
    </row>
    <row r="11345" spans="1:18" ht="12.75">
      <c r="A11345" s="12"/>
      <c r="D11345" s="12"/>
      <c r="E11345" s="12"/>
      <c r="H11345" s="11" t="str">
        <f ca="1">IFERROR(__xludf.DUMMYFUNCTION("IFERROR(SUBSTITUTE(SUBSTITUTE(REGEXEXTRACT(A11345, ""[^-]+- [^-]+- [^-]+ - (.+?)\.jpg""), "".jpg"", """"), ""-"", "", ""), """")"),"")</f>
        <v/>
      </c>
      <c r="L11345" s="12"/>
      <c r="M11345" s="13"/>
      <c r="N11345" s="2"/>
      <c r="O11345" s="20"/>
      <c r="P11345" s="42"/>
      <c r="R11345" s="23"/>
    </row>
    <row r="11346" spans="1:18" ht="12.75">
      <c r="A11346" s="12"/>
      <c r="D11346" s="12"/>
      <c r="E11346" s="12"/>
      <c r="H11346" s="11" t="str">
        <f ca="1">IFERROR(__xludf.DUMMYFUNCTION("IFERROR(SUBSTITUTE(SUBSTITUTE(REGEXEXTRACT(A11346, ""[^-]+- [^-]+- [^-]+ - (.+?)\.jpg""), "".jpg"", """"), ""-"", "", ""), """")"),"")</f>
        <v/>
      </c>
      <c r="L11346" s="12"/>
      <c r="M11346" s="13"/>
      <c r="N11346" s="2"/>
      <c r="O11346" s="20"/>
      <c r="P11346" s="42"/>
      <c r="R11346" s="23"/>
    </row>
    <row r="11347" spans="1:18" ht="12.75">
      <c r="A11347" s="12"/>
      <c r="D11347" s="12"/>
      <c r="E11347" s="12"/>
      <c r="H11347" s="11" t="str">
        <f ca="1">IFERROR(__xludf.DUMMYFUNCTION("IFERROR(SUBSTITUTE(SUBSTITUTE(REGEXEXTRACT(A11347, ""[^-]+- [^-]+- [^-]+ - (.+?)\.jpg""), "".jpg"", """"), ""-"", "", ""), """")"),"")</f>
        <v/>
      </c>
      <c r="L11347" s="12"/>
      <c r="M11347" s="13"/>
      <c r="N11347" s="2"/>
      <c r="O11347" s="20"/>
      <c r="P11347" s="42"/>
      <c r="R11347" s="23"/>
    </row>
    <row r="11348" spans="1:18" ht="12.75">
      <c r="A11348" s="12"/>
      <c r="D11348" s="12"/>
      <c r="E11348" s="12"/>
      <c r="H11348" s="11" t="str">
        <f ca="1">IFERROR(__xludf.DUMMYFUNCTION("IFERROR(SUBSTITUTE(SUBSTITUTE(REGEXEXTRACT(A11348, ""[^-]+- [^-]+- [^-]+ - (.+?)\.jpg""), "".jpg"", """"), ""-"", "", ""), """")"),"")</f>
        <v/>
      </c>
      <c r="L11348" s="12"/>
      <c r="M11348" s="13"/>
      <c r="N11348" s="2"/>
      <c r="O11348" s="20"/>
      <c r="P11348" s="42"/>
      <c r="R11348" s="23"/>
    </row>
    <row r="11349" spans="1:18" ht="12.75">
      <c r="A11349" s="12"/>
      <c r="D11349" s="12"/>
      <c r="E11349" s="12"/>
      <c r="H11349" s="11" t="str">
        <f ca="1">IFERROR(__xludf.DUMMYFUNCTION("IFERROR(SUBSTITUTE(SUBSTITUTE(REGEXEXTRACT(A11349, ""[^-]+- [^-]+- [^-]+ - (.+?)\.jpg""), "".jpg"", """"), ""-"", "", ""), """")"),"")</f>
        <v/>
      </c>
      <c r="L11349" s="12"/>
      <c r="M11349" s="13"/>
      <c r="N11349" s="2"/>
      <c r="O11349" s="20"/>
      <c r="P11349" s="42"/>
      <c r="R11349" s="23"/>
    </row>
    <row r="11350" spans="1:18" ht="12.75">
      <c r="A11350" s="12"/>
      <c r="D11350" s="12"/>
      <c r="E11350" s="12"/>
      <c r="H11350" s="11" t="str">
        <f ca="1">IFERROR(__xludf.DUMMYFUNCTION("IFERROR(SUBSTITUTE(SUBSTITUTE(REGEXEXTRACT(A11350, ""[^-]+- [^-]+- [^-]+ - (.+?)\.jpg""), "".jpg"", """"), ""-"", "", ""), """")"),"")</f>
        <v/>
      </c>
      <c r="L11350" s="12"/>
      <c r="M11350" s="13"/>
      <c r="N11350" s="2"/>
      <c r="O11350" s="20"/>
      <c r="P11350" s="42"/>
      <c r="R11350" s="23"/>
    </row>
    <row r="11351" spans="1:18" ht="12.75">
      <c r="A11351" s="12"/>
      <c r="D11351" s="12"/>
      <c r="E11351" s="12"/>
      <c r="H11351" s="11" t="str">
        <f ca="1">IFERROR(__xludf.DUMMYFUNCTION("IFERROR(SUBSTITUTE(SUBSTITUTE(REGEXEXTRACT(A11351, ""[^-]+- [^-]+- [^-]+ - (.+?)\.jpg""), "".jpg"", """"), ""-"", "", ""), """")"),"")</f>
        <v/>
      </c>
      <c r="L11351" s="12"/>
      <c r="M11351" s="13"/>
      <c r="N11351" s="2"/>
      <c r="O11351" s="20"/>
      <c r="P11351" s="42"/>
      <c r="R11351" s="23"/>
    </row>
    <row r="11352" spans="1:18" ht="12.75">
      <c r="A11352" s="12"/>
      <c r="D11352" s="12"/>
      <c r="E11352" s="12"/>
      <c r="H11352" s="11" t="str">
        <f ca="1">IFERROR(__xludf.DUMMYFUNCTION("IFERROR(SUBSTITUTE(SUBSTITUTE(REGEXEXTRACT(A11352, ""[^-]+- [^-]+- [^-]+ - (.+?)\.jpg""), "".jpg"", """"), ""-"", "", ""), """")"),"")</f>
        <v/>
      </c>
      <c r="L11352" s="12"/>
      <c r="M11352" s="13"/>
      <c r="N11352" s="2"/>
      <c r="O11352" s="20"/>
      <c r="P11352" s="42"/>
      <c r="R11352" s="23"/>
    </row>
    <row r="11353" spans="1:18" ht="12.75">
      <c r="A11353" s="12"/>
      <c r="D11353" s="12"/>
      <c r="E11353" s="12"/>
      <c r="H11353" s="11" t="str">
        <f ca="1">IFERROR(__xludf.DUMMYFUNCTION("IFERROR(SUBSTITUTE(SUBSTITUTE(REGEXEXTRACT(A11353, ""[^-]+- [^-]+- [^-]+ - (.+?)\.jpg""), "".jpg"", """"), ""-"", "", ""), """")"),"")</f>
        <v/>
      </c>
      <c r="L11353" s="12"/>
      <c r="M11353" s="13"/>
      <c r="N11353" s="2"/>
      <c r="O11353" s="20"/>
      <c r="P11353" s="42"/>
      <c r="R11353" s="23"/>
    </row>
    <row r="11354" spans="1:18" ht="12.75">
      <c r="A11354" s="12"/>
      <c r="D11354" s="12"/>
      <c r="E11354" s="12"/>
      <c r="H11354" s="11" t="str">
        <f ca="1">IFERROR(__xludf.DUMMYFUNCTION("IFERROR(SUBSTITUTE(SUBSTITUTE(REGEXEXTRACT(A11354, ""[^-]+- [^-]+- [^-]+ - (.+?)\.jpg""), "".jpg"", """"), ""-"", "", ""), """")"),"")</f>
        <v/>
      </c>
      <c r="L11354" s="12"/>
      <c r="M11354" s="13"/>
      <c r="N11354" s="2"/>
      <c r="O11354" s="20"/>
      <c r="P11354" s="42"/>
      <c r="R11354" s="23"/>
    </row>
    <row r="11355" spans="1:18" ht="12.75">
      <c r="A11355" s="12"/>
      <c r="D11355" s="12"/>
      <c r="E11355" s="12"/>
      <c r="H11355" s="11" t="str">
        <f ca="1">IFERROR(__xludf.DUMMYFUNCTION("IFERROR(SUBSTITUTE(SUBSTITUTE(REGEXEXTRACT(A11355, ""[^-]+- [^-]+- [^-]+ - (.+?)\.jpg""), "".jpg"", """"), ""-"", "", ""), """")"),"")</f>
        <v/>
      </c>
      <c r="L11355" s="12"/>
      <c r="M11355" s="13"/>
      <c r="N11355" s="2"/>
      <c r="O11355" s="20"/>
      <c r="P11355" s="42"/>
      <c r="R11355" s="23"/>
    </row>
    <row r="11356" spans="1:18" ht="12.75">
      <c r="A11356" s="12"/>
      <c r="D11356" s="12"/>
      <c r="E11356" s="12"/>
      <c r="H11356" s="11" t="str">
        <f ca="1">IFERROR(__xludf.DUMMYFUNCTION("IFERROR(SUBSTITUTE(SUBSTITUTE(REGEXEXTRACT(A11356, ""[^-]+- [^-]+- [^-]+ - (.+?)\.jpg""), "".jpg"", """"), ""-"", "", ""), """")"),"")</f>
        <v/>
      </c>
      <c r="L11356" s="12"/>
      <c r="M11356" s="13"/>
      <c r="N11356" s="2"/>
      <c r="O11356" s="20"/>
      <c r="P11356" s="42"/>
      <c r="R11356" s="23"/>
    </row>
    <row r="11357" spans="1:18" ht="12.75">
      <c r="A11357" s="12"/>
      <c r="D11357" s="12"/>
      <c r="E11357" s="12"/>
      <c r="H11357" s="11" t="str">
        <f ca="1">IFERROR(__xludf.DUMMYFUNCTION("IFERROR(SUBSTITUTE(SUBSTITUTE(REGEXEXTRACT(A11357, ""[^-]+- [^-]+- [^-]+ - (.+?)\.jpg""), "".jpg"", """"), ""-"", "", ""), """")"),"")</f>
        <v/>
      </c>
      <c r="L11357" s="12"/>
      <c r="M11357" s="13"/>
      <c r="N11357" s="2"/>
      <c r="O11357" s="20"/>
      <c r="P11357" s="42"/>
      <c r="R11357" s="23"/>
    </row>
    <row r="11358" spans="1:18" ht="12.75">
      <c r="A11358" s="12"/>
      <c r="D11358" s="12"/>
      <c r="E11358" s="12"/>
      <c r="H11358" s="11" t="str">
        <f ca="1">IFERROR(__xludf.DUMMYFUNCTION("IFERROR(SUBSTITUTE(SUBSTITUTE(REGEXEXTRACT(A11358, ""[^-]+- [^-]+- [^-]+ - (.+?)\.jpg""), "".jpg"", """"), ""-"", "", ""), """")"),"")</f>
        <v/>
      </c>
      <c r="L11358" s="12"/>
      <c r="M11358" s="13"/>
      <c r="N11358" s="2"/>
      <c r="O11358" s="20"/>
      <c r="P11358" s="42"/>
      <c r="R11358" s="23"/>
    </row>
    <row r="11359" spans="1:18" ht="12.75">
      <c r="A11359" s="12"/>
      <c r="D11359" s="12"/>
      <c r="E11359" s="12"/>
      <c r="H11359" s="11" t="str">
        <f ca="1">IFERROR(__xludf.DUMMYFUNCTION("IFERROR(SUBSTITUTE(SUBSTITUTE(REGEXEXTRACT(A11359, ""[^-]+- [^-]+- [^-]+ - (.+?)\.jpg""), "".jpg"", """"), ""-"", "", ""), """")"),"")</f>
        <v/>
      </c>
      <c r="L11359" s="12"/>
      <c r="M11359" s="13"/>
      <c r="N11359" s="2"/>
      <c r="O11359" s="20"/>
      <c r="P11359" s="42"/>
      <c r="R11359" s="23"/>
    </row>
    <row r="11360" spans="1:18" ht="12.75">
      <c r="A11360" s="12"/>
      <c r="D11360" s="12"/>
      <c r="E11360" s="12"/>
      <c r="H11360" s="11" t="str">
        <f ca="1">IFERROR(__xludf.DUMMYFUNCTION("IFERROR(SUBSTITUTE(SUBSTITUTE(REGEXEXTRACT(A11360, ""[^-]+- [^-]+- [^-]+ - (.+?)\.jpg""), "".jpg"", """"), ""-"", "", ""), """")"),"")</f>
        <v/>
      </c>
      <c r="L11360" s="12"/>
      <c r="M11360" s="13"/>
      <c r="N11360" s="2"/>
      <c r="O11360" s="20"/>
      <c r="P11360" s="42"/>
      <c r="R11360" s="23"/>
    </row>
    <row r="11361" spans="1:18" ht="12.75">
      <c r="A11361" s="12"/>
      <c r="D11361" s="12"/>
      <c r="E11361" s="12"/>
      <c r="H11361" s="11" t="str">
        <f ca="1">IFERROR(__xludf.DUMMYFUNCTION("IFERROR(SUBSTITUTE(SUBSTITUTE(REGEXEXTRACT(A11361, ""[^-]+- [^-]+- [^-]+ - (.+?)\.jpg""), "".jpg"", """"), ""-"", "", ""), """")"),"")</f>
        <v/>
      </c>
      <c r="L11361" s="12"/>
      <c r="M11361" s="13"/>
      <c r="N11361" s="2"/>
      <c r="O11361" s="20"/>
      <c r="P11361" s="42"/>
      <c r="R11361" s="23"/>
    </row>
    <row r="11362" spans="1:18" ht="12.75">
      <c r="A11362" s="12"/>
      <c r="D11362" s="12"/>
      <c r="E11362" s="12"/>
      <c r="H11362" s="11" t="str">
        <f ca="1">IFERROR(__xludf.DUMMYFUNCTION("IFERROR(SUBSTITUTE(SUBSTITUTE(REGEXEXTRACT(A11362, ""[^-]+- [^-]+- [^-]+ - (.+?)\.jpg""), "".jpg"", """"), ""-"", "", ""), """")"),"")</f>
        <v/>
      </c>
      <c r="L11362" s="12"/>
      <c r="M11362" s="13"/>
      <c r="N11362" s="2"/>
      <c r="O11362" s="20"/>
      <c r="P11362" s="42"/>
      <c r="R11362" s="23"/>
    </row>
    <row r="11363" spans="1:18" ht="12.75">
      <c r="A11363" s="12"/>
      <c r="D11363" s="12"/>
      <c r="E11363" s="12"/>
      <c r="H11363" s="11" t="str">
        <f ca="1">IFERROR(__xludf.DUMMYFUNCTION("IFERROR(SUBSTITUTE(SUBSTITUTE(REGEXEXTRACT(A11363, ""[^-]+- [^-]+- [^-]+ - (.+?)\.jpg""), "".jpg"", """"), ""-"", "", ""), """")"),"")</f>
        <v/>
      </c>
      <c r="L11363" s="12"/>
      <c r="M11363" s="13"/>
      <c r="N11363" s="2"/>
      <c r="O11363" s="20"/>
      <c r="P11363" s="42"/>
      <c r="R11363" s="23"/>
    </row>
    <row r="11364" spans="1:18" ht="12.75">
      <c r="A11364" s="12"/>
      <c r="D11364" s="12"/>
      <c r="E11364" s="12"/>
      <c r="H11364" s="11" t="str">
        <f ca="1">IFERROR(__xludf.DUMMYFUNCTION("IFERROR(SUBSTITUTE(SUBSTITUTE(REGEXEXTRACT(A11364, ""[^-]+- [^-]+- [^-]+ - (.+?)\.jpg""), "".jpg"", """"), ""-"", "", ""), """")"),"")</f>
        <v/>
      </c>
      <c r="L11364" s="12"/>
      <c r="M11364" s="13"/>
      <c r="N11364" s="2"/>
      <c r="O11364" s="20"/>
      <c r="P11364" s="42"/>
      <c r="R11364" s="23"/>
    </row>
    <row r="11365" spans="1:18" ht="12.75">
      <c r="A11365" s="12"/>
      <c r="D11365" s="12"/>
      <c r="E11365" s="12"/>
      <c r="H11365" s="11" t="str">
        <f ca="1">IFERROR(__xludf.DUMMYFUNCTION("IFERROR(SUBSTITUTE(SUBSTITUTE(REGEXEXTRACT(A11365, ""[^-]+- [^-]+- [^-]+ - (.+?)\.jpg""), "".jpg"", """"), ""-"", "", ""), """")"),"")</f>
        <v/>
      </c>
      <c r="L11365" s="12"/>
      <c r="M11365" s="13"/>
      <c r="N11365" s="2"/>
      <c r="O11365" s="20"/>
      <c r="P11365" s="42"/>
      <c r="R11365" s="23"/>
    </row>
    <row r="11366" spans="1:18" ht="12.75">
      <c r="A11366" s="12"/>
      <c r="D11366" s="12"/>
      <c r="E11366" s="12"/>
      <c r="H11366" s="11" t="str">
        <f ca="1">IFERROR(__xludf.DUMMYFUNCTION("IFERROR(SUBSTITUTE(SUBSTITUTE(REGEXEXTRACT(A11366, ""[^-]+- [^-]+- [^-]+ - (.+?)\.jpg""), "".jpg"", """"), ""-"", "", ""), """")"),"")</f>
        <v/>
      </c>
      <c r="L11366" s="12"/>
      <c r="M11366" s="13"/>
      <c r="N11366" s="2"/>
      <c r="O11366" s="20"/>
      <c r="P11366" s="42"/>
      <c r="R11366" s="23"/>
    </row>
    <row r="11367" spans="1:18" ht="12.75">
      <c r="A11367" s="12"/>
      <c r="D11367" s="12"/>
      <c r="E11367" s="12"/>
      <c r="H11367" s="11" t="str">
        <f ca="1">IFERROR(__xludf.DUMMYFUNCTION("IFERROR(SUBSTITUTE(SUBSTITUTE(REGEXEXTRACT(A11367, ""[^-]+- [^-]+- [^-]+ - (.+?)\.jpg""), "".jpg"", """"), ""-"", "", ""), """")"),"")</f>
        <v/>
      </c>
      <c r="L11367" s="12"/>
      <c r="M11367" s="13"/>
      <c r="N11367" s="2"/>
      <c r="O11367" s="20"/>
      <c r="P11367" s="42"/>
      <c r="R11367" s="23"/>
    </row>
    <row r="11368" spans="1:18" ht="12.75">
      <c r="A11368" s="12"/>
      <c r="D11368" s="12"/>
      <c r="E11368" s="12"/>
      <c r="H11368" s="11" t="str">
        <f ca="1">IFERROR(__xludf.DUMMYFUNCTION("IFERROR(SUBSTITUTE(SUBSTITUTE(REGEXEXTRACT(A11368, ""[^-]+- [^-]+- [^-]+ - (.+?)\.jpg""), "".jpg"", """"), ""-"", "", ""), """")"),"")</f>
        <v/>
      </c>
      <c r="L11368" s="12"/>
      <c r="M11368" s="13"/>
      <c r="N11368" s="2"/>
      <c r="O11368" s="20"/>
      <c r="P11368" s="42"/>
      <c r="R11368" s="23"/>
    </row>
    <row r="11369" spans="1:18" ht="12.75">
      <c r="A11369" s="12"/>
      <c r="D11369" s="12"/>
      <c r="E11369" s="12"/>
      <c r="H11369" s="11" t="str">
        <f ca="1">IFERROR(__xludf.DUMMYFUNCTION("IFERROR(SUBSTITUTE(SUBSTITUTE(REGEXEXTRACT(A11369, ""[^-]+- [^-]+- [^-]+ - (.+?)\.jpg""), "".jpg"", """"), ""-"", "", ""), """")"),"")</f>
        <v/>
      </c>
      <c r="L11369" s="12"/>
      <c r="M11369" s="13"/>
      <c r="N11369" s="2"/>
      <c r="O11369" s="20"/>
      <c r="P11369" s="42"/>
      <c r="R11369" s="23"/>
    </row>
    <row r="11370" spans="1:18" ht="12.75">
      <c r="A11370" s="12"/>
      <c r="D11370" s="12"/>
      <c r="E11370" s="12"/>
      <c r="H11370" s="11" t="str">
        <f ca="1">IFERROR(__xludf.DUMMYFUNCTION("IFERROR(SUBSTITUTE(SUBSTITUTE(REGEXEXTRACT(A11370, ""[^-]+- [^-]+- [^-]+ - (.+?)\.jpg""), "".jpg"", """"), ""-"", "", ""), """")"),"")</f>
        <v/>
      </c>
      <c r="L11370" s="12"/>
      <c r="M11370" s="13"/>
      <c r="N11370" s="2"/>
      <c r="O11370" s="20"/>
      <c r="P11370" s="42"/>
      <c r="R11370" s="23"/>
    </row>
    <row r="11371" spans="1:18" ht="12.75">
      <c r="A11371" s="12"/>
      <c r="D11371" s="12"/>
      <c r="E11371" s="12"/>
      <c r="H11371" s="11" t="str">
        <f ca="1">IFERROR(__xludf.DUMMYFUNCTION("IFERROR(SUBSTITUTE(SUBSTITUTE(REGEXEXTRACT(A11371, ""[^-]+- [^-]+- [^-]+ - (.+?)\.jpg""), "".jpg"", """"), ""-"", "", ""), """")"),"")</f>
        <v/>
      </c>
      <c r="L11371" s="12"/>
      <c r="M11371" s="13"/>
      <c r="N11371" s="2"/>
      <c r="O11371" s="20"/>
      <c r="P11371" s="42"/>
      <c r="R11371" s="23"/>
    </row>
    <row r="11372" spans="1:18" ht="12.75">
      <c r="A11372" s="12"/>
      <c r="D11372" s="12"/>
      <c r="E11372" s="12"/>
      <c r="H11372" s="11" t="str">
        <f ca="1">IFERROR(__xludf.DUMMYFUNCTION("IFERROR(SUBSTITUTE(SUBSTITUTE(REGEXEXTRACT(A11372, ""[^-]+- [^-]+- [^-]+ - (.+?)\.jpg""), "".jpg"", """"), ""-"", "", ""), """")"),"")</f>
        <v/>
      </c>
      <c r="L11372" s="12"/>
      <c r="M11372" s="13"/>
      <c r="N11372" s="2"/>
      <c r="O11372" s="20"/>
      <c r="P11372" s="42"/>
      <c r="R11372" s="23"/>
    </row>
    <row r="11373" spans="1:18" ht="12.75">
      <c r="A11373" s="12"/>
      <c r="D11373" s="12"/>
      <c r="E11373" s="12"/>
      <c r="H11373" s="11" t="str">
        <f ca="1">IFERROR(__xludf.DUMMYFUNCTION("IFERROR(SUBSTITUTE(SUBSTITUTE(REGEXEXTRACT(A11373, ""[^-]+- [^-]+- [^-]+ - (.+?)\.jpg""), "".jpg"", """"), ""-"", "", ""), """")"),"")</f>
        <v/>
      </c>
      <c r="L11373" s="12"/>
      <c r="M11373" s="13"/>
      <c r="N11373" s="2"/>
      <c r="O11373" s="20"/>
      <c r="P11373" s="42"/>
      <c r="R11373" s="23"/>
    </row>
    <row r="11374" spans="1:18" ht="12.75">
      <c r="A11374" s="12"/>
      <c r="D11374" s="12"/>
      <c r="E11374" s="12"/>
      <c r="H11374" s="11" t="str">
        <f ca="1">IFERROR(__xludf.DUMMYFUNCTION("IFERROR(SUBSTITUTE(SUBSTITUTE(REGEXEXTRACT(A11374, ""[^-]+- [^-]+- [^-]+ - (.+?)\.jpg""), "".jpg"", """"), ""-"", "", ""), """")"),"")</f>
        <v/>
      </c>
      <c r="L11374" s="12"/>
      <c r="M11374" s="13"/>
      <c r="N11374" s="2"/>
      <c r="O11374" s="20"/>
      <c r="P11374" s="42"/>
      <c r="R11374" s="23"/>
    </row>
    <row r="11375" spans="1:18" ht="12.75">
      <c r="A11375" s="12"/>
      <c r="D11375" s="12"/>
      <c r="E11375" s="12"/>
      <c r="H11375" s="11" t="str">
        <f ca="1">IFERROR(__xludf.DUMMYFUNCTION("IFERROR(SUBSTITUTE(SUBSTITUTE(REGEXEXTRACT(A11375, ""[^-]+- [^-]+- [^-]+ - (.+?)\.jpg""), "".jpg"", """"), ""-"", "", ""), """")"),"")</f>
        <v/>
      </c>
      <c r="L11375" s="12"/>
      <c r="M11375" s="13"/>
      <c r="N11375" s="2"/>
      <c r="O11375" s="20"/>
      <c r="P11375" s="42"/>
      <c r="R11375" s="23"/>
    </row>
    <row r="11376" spans="1:18" ht="12.75">
      <c r="A11376" s="12"/>
      <c r="D11376" s="12"/>
      <c r="E11376" s="12"/>
      <c r="H11376" s="11" t="str">
        <f ca="1">IFERROR(__xludf.DUMMYFUNCTION("IFERROR(SUBSTITUTE(SUBSTITUTE(REGEXEXTRACT(A11376, ""[^-]+- [^-]+- [^-]+ - (.+?)\.jpg""), "".jpg"", """"), ""-"", "", ""), """")"),"")</f>
        <v/>
      </c>
      <c r="L11376" s="12"/>
      <c r="M11376" s="13"/>
      <c r="N11376" s="2"/>
      <c r="O11376" s="20"/>
      <c r="P11376" s="42"/>
      <c r="R11376" s="23"/>
    </row>
    <row r="11377" spans="1:18" ht="12.75">
      <c r="A11377" s="12"/>
      <c r="D11377" s="12"/>
      <c r="E11377" s="12"/>
      <c r="H11377" s="11" t="str">
        <f ca="1">IFERROR(__xludf.DUMMYFUNCTION("IFERROR(SUBSTITUTE(SUBSTITUTE(REGEXEXTRACT(A11377, ""[^-]+- [^-]+- [^-]+ - (.+?)\.jpg""), "".jpg"", """"), ""-"", "", ""), """")"),"")</f>
        <v/>
      </c>
      <c r="L11377" s="12"/>
      <c r="M11377" s="13"/>
      <c r="N11377" s="2"/>
      <c r="O11377" s="20"/>
      <c r="P11377" s="42"/>
      <c r="R11377" s="23"/>
    </row>
    <row r="11378" spans="1:18" ht="12.75">
      <c r="A11378" s="12"/>
      <c r="D11378" s="12"/>
      <c r="E11378" s="12"/>
      <c r="H11378" s="11" t="str">
        <f ca="1">IFERROR(__xludf.DUMMYFUNCTION("IFERROR(SUBSTITUTE(SUBSTITUTE(REGEXEXTRACT(A11378, ""[^-]+- [^-]+- [^-]+ - (.+?)\.jpg""), "".jpg"", """"), ""-"", "", ""), """")"),"")</f>
        <v/>
      </c>
      <c r="L11378" s="12"/>
      <c r="M11378" s="13"/>
      <c r="N11378" s="2"/>
      <c r="O11378" s="20"/>
      <c r="P11378" s="42"/>
      <c r="R11378" s="23"/>
    </row>
    <row r="11379" spans="1:18" ht="12.75">
      <c r="A11379" s="12"/>
      <c r="D11379" s="12"/>
      <c r="E11379" s="12"/>
      <c r="H11379" s="11" t="str">
        <f ca="1">IFERROR(__xludf.DUMMYFUNCTION("IFERROR(SUBSTITUTE(SUBSTITUTE(REGEXEXTRACT(A11379, ""[^-]+- [^-]+- [^-]+ - (.+?)\.jpg""), "".jpg"", """"), ""-"", "", ""), """")"),"")</f>
        <v/>
      </c>
      <c r="L11379" s="12"/>
      <c r="M11379" s="13"/>
      <c r="N11379" s="2"/>
      <c r="O11379" s="20"/>
      <c r="P11379" s="42"/>
      <c r="R11379" s="23"/>
    </row>
    <row r="11380" spans="1:18" ht="12.75">
      <c r="A11380" s="12"/>
      <c r="D11380" s="12"/>
      <c r="E11380" s="12"/>
      <c r="H11380" s="11" t="str">
        <f ca="1">IFERROR(__xludf.DUMMYFUNCTION("IFERROR(SUBSTITUTE(SUBSTITUTE(REGEXEXTRACT(A11380, ""[^-]+- [^-]+- [^-]+ - (.+?)\.jpg""), "".jpg"", """"), ""-"", "", ""), """")"),"")</f>
        <v/>
      </c>
      <c r="L11380" s="12"/>
      <c r="M11380" s="13"/>
      <c r="N11380" s="2"/>
      <c r="O11380" s="20"/>
      <c r="P11380" s="42"/>
      <c r="R11380" s="23"/>
    </row>
    <row r="11381" spans="1:18" ht="12.75">
      <c r="A11381" s="12"/>
      <c r="D11381" s="12"/>
      <c r="E11381" s="12"/>
      <c r="H11381" s="11" t="str">
        <f ca="1">IFERROR(__xludf.DUMMYFUNCTION("IFERROR(SUBSTITUTE(SUBSTITUTE(REGEXEXTRACT(A11381, ""[^-]+- [^-]+- [^-]+ - (.+?)\.jpg""), "".jpg"", """"), ""-"", "", ""), """")"),"")</f>
        <v/>
      </c>
      <c r="L11381" s="12"/>
      <c r="M11381" s="13"/>
      <c r="N11381" s="2"/>
      <c r="O11381" s="20"/>
      <c r="P11381" s="42"/>
      <c r="R11381" s="23"/>
    </row>
    <row r="11382" spans="1:18" ht="12.75">
      <c r="A11382" s="12"/>
      <c r="D11382" s="12"/>
      <c r="E11382" s="12"/>
      <c r="H11382" s="11" t="str">
        <f ca="1">IFERROR(__xludf.DUMMYFUNCTION("IFERROR(SUBSTITUTE(SUBSTITUTE(REGEXEXTRACT(A11382, ""[^-]+- [^-]+- [^-]+ - (.+?)\.jpg""), "".jpg"", """"), ""-"", "", ""), """")"),"")</f>
        <v/>
      </c>
      <c r="L11382" s="12"/>
      <c r="M11382" s="13"/>
      <c r="N11382" s="2"/>
      <c r="O11382" s="20"/>
      <c r="P11382" s="42"/>
      <c r="R11382" s="23"/>
    </row>
    <row r="11383" spans="1:18" ht="12.75">
      <c r="A11383" s="12"/>
      <c r="D11383" s="12"/>
      <c r="E11383" s="12"/>
      <c r="H11383" s="11" t="str">
        <f ca="1">IFERROR(__xludf.DUMMYFUNCTION("IFERROR(SUBSTITUTE(SUBSTITUTE(REGEXEXTRACT(A11383, ""[^-]+- [^-]+- [^-]+ - (.+?)\.jpg""), "".jpg"", """"), ""-"", "", ""), """")"),"")</f>
        <v/>
      </c>
      <c r="L11383" s="12"/>
      <c r="M11383" s="13"/>
      <c r="N11383" s="2"/>
      <c r="O11383" s="20"/>
      <c r="P11383" s="42"/>
      <c r="R11383" s="23"/>
    </row>
    <row r="11384" spans="1:18" ht="12.75">
      <c r="A11384" s="12"/>
      <c r="D11384" s="12"/>
      <c r="E11384" s="12"/>
      <c r="H11384" s="11" t="str">
        <f ca="1">IFERROR(__xludf.DUMMYFUNCTION("IFERROR(SUBSTITUTE(SUBSTITUTE(REGEXEXTRACT(A11384, ""[^-]+- [^-]+- [^-]+ - (.+?)\.jpg""), "".jpg"", """"), ""-"", "", ""), """")"),"")</f>
        <v/>
      </c>
      <c r="L11384" s="12"/>
      <c r="M11384" s="13"/>
      <c r="N11384" s="2"/>
      <c r="O11384" s="20"/>
      <c r="P11384" s="42"/>
      <c r="R11384" s="23"/>
    </row>
    <row r="11385" spans="1:18" ht="12.75">
      <c r="A11385" s="12"/>
      <c r="D11385" s="12"/>
      <c r="E11385" s="12"/>
      <c r="H11385" s="11" t="str">
        <f ca="1">IFERROR(__xludf.DUMMYFUNCTION("IFERROR(SUBSTITUTE(SUBSTITUTE(REGEXEXTRACT(A11385, ""[^-]+- [^-]+- [^-]+ - (.+?)\.jpg""), "".jpg"", """"), ""-"", "", ""), """")"),"")</f>
        <v/>
      </c>
      <c r="L11385" s="12"/>
      <c r="M11385" s="13"/>
      <c r="N11385" s="2"/>
      <c r="O11385" s="20"/>
      <c r="P11385" s="42"/>
      <c r="R11385" s="23"/>
    </row>
    <row r="11386" spans="1:18" ht="12.75">
      <c r="A11386" s="12"/>
      <c r="D11386" s="12"/>
      <c r="E11386" s="12"/>
      <c r="H11386" s="11" t="str">
        <f ca="1">IFERROR(__xludf.DUMMYFUNCTION("IFERROR(SUBSTITUTE(SUBSTITUTE(REGEXEXTRACT(A11386, ""[^-]+- [^-]+- [^-]+ - (.+?)\.jpg""), "".jpg"", """"), ""-"", "", ""), """")"),"")</f>
        <v/>
      </c>
      <c r="L11386" s="12"/>
      <c r="M11386" s="13"/>
      <c r="N11386" s="2"/>
      <c r="O11386" s="20"/>
      <c r="P11386" s="42"/>
      <c r="R11386" s="23"/>
    </row>
    <row r="11387" spans="1:18" ht="12.75">
      <c r="A11387" s="12"/>
      <c r="D11387" s="12"/>
      <c r="E11387" s="12"/>
      <c r="H11387" s="11" t="str">
        <f ca="1">IFERROR(__xludf.DUMMYFUNCTION("IFERROR(SUBSTITUTE(SUBSTITUTE(REGEXEXTRACT(A11387, ""[^-]+- [^-]+- [^-]+ - (.+?)\.jpg""), "".jpg"", """"), ""-"", "", ""), """")"),"")</f>
        <v/>
      </c>
      <c r="L11387" s="12"/>
      <c r="M11387" s="13"/>
      <c r="N11387" s="2"/>
      <c r="O11387" s="20"/>
      <c r="P11387" s="42"/>
      <c r="R11387" s="23"/>
    </row>
    <row r="11388" spans="1:18" ht="12.75">
      <c r="A11388" s="12"/>
      <c r="D11388" s="12"/>
      <c r="E11388" s="12"/>
      <c r="H11388" s="11" t="str">
        <f ca="1">IFERROR(__xludf.DUMMYFUNCTION("IFERROR(SUBSTITUTE(SUBSTITUTE(REGEXEXTRACT(A11388, ""[^-]+- [^-]+- [^-]+ - (.+?)\.jpg""), "".jpg"", """"), ""-"", "", ""), """")"),"")</f>
        <v/>
      </c>
      <c r="L11388" s="12"/>
      <c r="M11388" s="13"/>
      <c r="N11388" s="2"/>
      <c r="O11388" s="20"/>
      <c r="P11388" s="42"/>
      <c r="R11388" s="23"/>
    </row>
    <row r="11389" spans="1:18" ht="12.75">
      <c r="A11389" s="12"/>
      <c r="D11389" s="12"/>
      <c r="E11389" s="12"/>
      <c r="H11389" s="11" t="str">
        <f ca="1">IFERROR(__xludf.DUMMYFUNCTION("IFERROR(SUBSTITUTE(SUBSTITUTE(REGEXEXTRACT(A11389, ""[^-]+- [^-]+- [^-]+ - (.+?)\.jpg""), "".jpg"", """"), ""-"", "", ""), """")"),"")</f>
        <v/>
      </c>
      <c r="L11389" s="12"/>
      <c r="M11389" s="13"/>
      <c r="N11389" s="2"/>
      <c r="O11389" s="20"/>
      <c r="P11389" s="42"/>
      <c r="R11389" s="23"/>
    </row>
    <row r="11390" spans="1:18" ht="12.75">
      <c r="A11390" s="12"/>
      <c r="D11390" s="12"/>
      <c r="E11390" s="12"/>
      <c r="H11390" s="11" t="str">
        <f ca="1">IFERROR(__xludf.DUMMYFUNCTION("IFERROR(SUBSTITUTE(SUBSTITUTE(REGEXEXTRACT(A11390, ""[^-]+- [^-]+- [^-]+ - (.+?)\.jpg""), "".jpg"", """"), ""-"", "", ""), """")"),"")</f>
        <v/>
      </c>
      <c r="L11390" s="12"/>
      <c r="M11390" s="13"/>
      <c r="N11390" s="2"/>
      <c r="O11390" s="20"/>
      <c r="P11390" s="42"/>
      <c r="R11390" s="23"/>
    </row>
    <row r="11391" spans="1:18" ht="12.75">
      <c r="A11391" s="12"/>
      <c r="D11391" s="12"/>
      <c r="E11391" s="12"/>
      <c r="H11391" s="11" t="str">
        <f ca="1">IFERROR(__xludf.DUMMYFUNCTION("IFERROR(SUBSTITUTE(SUBSTITUTE(REGEXEXTRACT(A11391, ""[^-]+- [^-]+- [^-]+ - (.+?)\.jpg""), "".jpg"", """"), ""-"", "", ""), """")"),"")</f>
        <v/>
      </c>
      <c r="L11391" s="12"/>
      <c r="M11391" s="13"/>
      <c r="N11391" s="2"/>
      <c r="O11391" s="20"/>
      <c r="P11391" s="42"/>
      <c r="R11391" s="23"/>
    </row>
    <row r="11392" spans="1:18" ht="12.75">
      <c r="A11392" s="12"/>
      <c r="D11392" s="12"/>
      <c r="E11392" s="12"/>
      <c r="H11392" s="11" t="str">
        <f ca="1">IFERROR(__xludf.DUMMYFUNCTION("IFERROR(SUBSTITUTE(SUBSTITUTE(REGEXEXTRACT(A11392, ""[^-]+- [^-]+- [^-]+ - (.+?)\.jpg""), "".jpg"", """"), ""-"", "", ""), """")"),"")</f>
        <v/>
      </c>
      <c r="L11392" s="12"/>
      <c r="M11392" s="13"/>
      <c r="N11392" s="2"/>
      <c r="O11392" s="20"/>
      <c r="P11392" s="42"/>
      <c r="R11392" s="23"/>
    </row>
    <row r="11393" spans="1:18" ht="12.75">
      <c r="A11393" s="12"/>
      <c r="D11393" s="12"/>
      <c r="E11393" s="12"/>
      <c r="H11393" s="11" t="str">
        <f ca="1">IFERROR(__xludf.DUMMYFUNCTION("IFERROR(SUBSTITUTE(SUBSTITUTE(REGEXEXTRACT(A11393, ""[^-]+- [^-]+- [^-]+ - (.+?)\.jpg""), "".jpg"", """"), ""-"", "", ""), """")"),"")</f>
        <v/>
      </c>
      <c r="L11393" s="12"/>
      <c r="M11393" s="13"/>
      <c r="N11393" s="2"/>
      <c r="O11393" s="20"/>
      <c r="P11393" s="42"/>
      <c r="R11393" s="23"/>
    </row>
    <row r="11394" spans="1:18" ht="12.75">
      <c r="A11394" s="12"/>
      <c r="D11394" s="12"/>
      <c r="E11394" s="12"/>
      <c r="H11394" s="11" t="str">
        <f ca="1">IFERROR(__xludf.DUMMYFUNCTION("IFERROR(SUBSTITUTE(SUBSTITUTE(REGEXEXTRACT(A11394, ""[^-]+- [^-]+- [^-]+ - (.+?)\.jpg""), "".jpg"", """"), ""-"", "", ""), """")"),"")</f>
        <v/>
      </c>
      <c r="L11394" s="12"/>
      <c r="M11394" s="13"/>
      <c r="N11394" s="2"/>
      <c r="O11394" s="20"/>
      <c r="P11394" s="42"/>
      <c r="R11394" s="23"/>
    </row>
    <row r="11395" spans="1:18" ht="12.75">
      <c r="A11395" s="12"/>
      <c r="D11395" s="12"/>
      <c r="E11395" s="12"/>
      <c r="H11395" s="11" t="str">
        <f ca="1">IFERROR(__xludf.DUMMYFUNCTION("IFERROR(SUBSTITUTE(SUBSTITUTE(REGEXEXTRACT(A11395, ""[^-]+- [^-]+- [^-]+ - (.+?)\.jpg""), "".jpg"", """"), ""-"", "", ""), """")"),"")</f>
        <v/>
      </c>
      <c r="L11395" s="12"/>
      <c r="M11395" s="13"/>
      <c r="N11395" s="2"/>
      <c r="O11395" s="20"/>
      <c r="P11395" s="42"/>
      <c r="R11395" s="23"/>
    </row>
    <row r="11396" spans="1:18" ht="12.75">
      <c r="A11396" s="12"/>
      <c r="D11396" s="12"/>
      <c r="E11396" s="12"/>
      <c r="H11396" s="11" t="str">
        <f ca="1">IFERROR(__xludf.DUMMYFUNCTION("IFERROR(SUBSTITUTE(SUBSTITUTE(REGEXEXTRACT(A11396, ""[^-]+- [^-]+- [^-]+ - (.+?)\.jpg""), "".jpg"", """"), ""-"", "", ""), """")"),"")</f>
        <v/>
      </c>
      <c r="L11396" s="12"/>
      <c r="M11396" s="13"/>
      <c r="N11396" s="2"/>
      <c r="O11396" s="20"/>
      <c r="P11396" s="42"/>
      <c r="R11396" s="23"/>
    </row>
    <row r="11397" spans="1:18" ht="12.75">
      <c r="A11397" s="12"/>
      <c r="D11397" s="12"/>
      <c r="E11397" s="12"/>
      <c r="H11397" s="11" t="str">
        <f ca="1">IFERROR(__xludf.DUMMYFUNCTION("IFERROR(SUBSTITUTE(SUBSTITUTE(REGEXEXTRACT(A11397, ""[^-]+- [^-]+- [^-]+ - (.+?)\.jpg""), "".jpg"", """"), ""-"", "", ""), """")"),"")</f>
        <v/>
      </c>
      <c r="L11397" s="12"/>
      <c r="M11397" s="13"/>
      <c r="N11397" s="2"/>
      <c r="O11397" s="20"/>
      <c r="P11397" s="42"/>
      <c r="R11397" s="23"/>
    </row>
    <row r="11398" spans="1:18" ht="12.75">
      <c r="A11398" s="12"/>
      <c r="D11398" s="12"/>
      <c r="E11398" s="12"/>
      <c r="H11398" s="11" t="str">
        <f ca="1">IFERROR(__xludf.DUMMYFUNCTION("IFERROR(SUBSTITUTE(SUBSTITUTE(REGEXEXTRACT(A11398, ""[^-]+- [^-]+- [^-]+ - (.+?)\.jpg""), "".jpg"", """"), ""-"", "", ""), """")"),"")</f>
        <v/>
      </c>
      <c r="L11398" s="12"/>
      <c r="M11398" s="13"/>
      <c r="N11398" s="2"/>
      <c r="O11398" s="20"/>
      <c r="P11398" s="42"/>
      <c r="R11398" s="23"/>
    </row>
    <row r="11399" spans="1:18" ht="12.75">
      <c r="A11399" s="12"/>
      <c r="D11399" s="12"/>
      <c r="E11399" s="12"/>
      <c r="H11399" s="11" t="str">
        <f ca="1">IFERROR(__xludf.DUMMYFUNCTION("IFERROR(SUBSTITUTE(SUBSTITUTE(REGEXEXTRACT(A11399, ""[^-]+- [^-]+- [^-]+ - (.+?)\.jpg""), "".jpg"", """"), ""-"", "", ""), """")"),"")</f>
        <v/>
      </c>
      <c r="L11399" s="12"/>
      <c r="M11399" s="13"/>
      <c r="N11399" s="2"/>
      <c r="O11399" s="20"/>
      <c r="P11399" s="42"/>
      <c r="R11399" s="23"/>
    </row>
    <row r="11400" spans="1:18" ht="12.75">
      <c r="A11400" s="12"/>
      <c r="D11400" s="12"/>
      <c r="E11400" s="12"/>
      <c r="H11400" s="11" t="str">
        <f ca="1">IFERROR(__xludf.DUMMYFUNCTION("IFERROR(SUBSTITUTE(SUBSTITUTE(REGEXEXTRACT(A11400, ""[^-]+- [^-]+- [^-]+ - (.+?)\.jpg""), "".jpg"", """"), ""-"", "", ""), """")"),"")</f>
        <v/>
      </c>
      <c r="L11400" s="12"/>
      <c r="M11400" s="13"/>
      <c r="N11400" s="2"/>
      <c r="O11400" s="20"/>
      <c r="P11400" s="42"/>
      <c r="R11400" s="23"/>
    </row>
    <row r="11401" spans="1:18" ht="12.75">
      <c r="A11401" s="12"/>
      <c r="D11401" s="12"/>
      <c r="E11401" s="12"/>
      <c r="H11401" s="11" t="str">
        <f ca="1">IFERROR(__xludf.DUMMYFUNCTION("IFERROR(SUBSTITUTE(SUBSTITUTE(REGEXEXTRACT(A11401, ""[^-]+- [^-]+- [^-]+ - (.+?)\.jpg""), "".jpg"", """"), ""-"", "", ""), """")"),"")</f>
        <v/>
      </c>
      <c r="L11401" s="12"/>
      <c r="M11401" s="13"/>
      <c r="N11401" s="2"/>
      <c r="O11401" s="20"/>
      <c r="P11401" s="42"/>
      <c r="R11401" s="23"/>
    </row>
    <row r="11402" spans="1:18" ht="12.75">
      <c r="A11402" s="12"/>
      <c r="D11402" s="12"/>
      <c r="E11402" s="12"/>
      <c r="H11402" s="11" t="str">
        <f ca="1">IFERROR(__xludf.DUMMYFUNCTION("IFERROR(SUBSTITUTE(SUBSTITUTE(REGEXEXTRACT(A11402, ""[^-]+- [^-]+- [^-]+ - (.+?)\.jpg""), "".jpg"", """"), ""-"", "", ""), """")"),"")</f>
        <v/>
      </c>
      <c r="L11402" s="12"/>
      <c r="M11402" s="13"/>
      <c r="N11402" s="2"/>
      <c r="O11402" s="20"/>
      <c r="P11402" s="42"/>
      <c r="R11402" s="23"/>
    </row>
    <row r="11403" spans="1:18" ht="12.75">
      <c r="A11403" s="12"/>
      <c r="D11403" s="12"/>
      <c r="E11403" s="12"/>
      <c r="H11403" s="11" t="str">
        <f ca="1">IFERROR(__xludf.DUMMYFUNCTION("IFERROR(SUBSTITUTE(SUBSTITUTE(REGEXEXTRACT(A11403, ""[^-]+- [^-]+- [^-]+ - (.+?)\.jpg""), "".jpg"", """"), ""-"", "", ""), """")"),"")</f>
        <v/>
      </c>
      <c r="L11403" s="12"/>
      <c r="M11403" s="13"/>
      <c r="N11403" s="2"/>
      <c r="O11403" s="20"/>
      <c r="P11403" s="42"/>
      <c r="R11403" s="23"/>
    </row>
    <row r="11404" spans="1:18" ht="12.75">
      <c r="A11404" s="12"/>
      <c r="D11404" s="12"/>
      <c r="E11404" s="12"/>
      <c r="H11404" s="11" t="str">
        <f ca="1">IFERROR(__xludf.DUMMYFUNCTION("IFERROR(SUBSTITUTE(SUBSTITUTE(REGEXEXTRACT(A11404, ""[^-]+- [^-]+- [^-]+ - (.+?)\.jpg""), "".jpg"", """"), ""-"", "", ""), """")"),"")</f>
        <v/>
      </c>
      <c r="L11404" s="12"/>
      <c r="M11404" s="13"/>
      <c r="N11404" s="2"/>
      <c r="O11404" s="20"/>
      <c r="P11404" s="42"/>
      <c r="R11404" s="23"/>
    </row>
    <row r="11405" spans="1:18" ht="12.75">
      <c r="A11405" s="12"/>
      <c r="D11405" s="12"/>
      <c r="E11405" s="12"/>
      <c r="H11405" s="11" t="str">
        <f ca="1">IFERROR(__xludf.DUMMYFUNCTION("IFERROR(SUBSTITUTE(SUBSTITUTE(REGEXEXTRACT(A11405, ""[^-]+- [^-]+- [^-]+ - (.+?)\.jpg""), "".jpg"", """"), ""-"", "", ""), """")"),"")</f>
        <v/>
      </c>
      <c r="L11405" s="12"/>
      <c r="M11405" s="13"/>
      <c r="N11405" s="2"/>
      <c r="O11405" s="20"/>
      <c r="P11405" s="42"/>
      <c r="R11405" s="23"/>
    </row>
    <row r="11406" spans="1:18" ht="12.75">
      <c r="A11406" s="12"/>
      <c r="D11406" s="12"/>
      <c r="E11406" s="12"/>
      <c r="H11406" s="11" t="str">
        <f ca="1">IFERROR(__xludf.DUMMYFUNCTION("IFERROR(SUBSTITUTE(SUBSTITUTE(REGEXEXTRACT(A11406, ""[^-]+- [^-]+- [^-]+ - (.+?)\.jpg""), "".jpg"", """"), ""-"", "", ""), """")"),"")</f>
        <v/>
      </c>
      <c r="L11406" s="12"/>
      <c r="M11406" s="13"/>
      <c r="N11406" s="2"/>
      <c r="O11406" s="20"/>
      <c r="P11406" s="42"/>
      <c r="R11406" s="23"/>
    </row>
    <row r="11407" spans="1:18" ht="12.75">
      <c r="A11407" s="12"/>
      <c r="D11407" s="12"/>
      <c r="E11407" s="12"/>
      <c r="H11407" s="11" t="str">
        <f ca="1">IFERROR(__xludf.DUMMYFUNCTION("IFERROR(SUBSTITUTE(SUBSTITUTE(REGEXEXTRACT(A11407, ""[^-]+- [^-]+- [^-]+ - (.+?)\.jpg""), "".jpg"", """"), ""-"", "", ""), """")"),"")</f>
        <v/>
      </c>
      <c r="L11407" s="12"/>
      <c r="M11407" s="13"/>
      <c r="N11407" s="2"/>
      <c r="O11407" s="20"/>
      <c r="P11407" s="42"/>
      <c r="R11407" s="23"/>
    </row>
    <row r="11408" spans="1:18" ht="12.75">
      <c r="A11408" s="12"/>
      <c r="D11408" s="12"/>
      <c r="E11408" s="12"/>
      <c r="H11408" s="11" t="str">
        <f ca="1">IFERROR(__xludf.DUMMYFUNCTION("IFERROR(SUBSTITUTE(SUBSTITUTE(REGEXEXTRACT(A11408, ""[^-]+- [^-]+- [^-]+ - (.+?)\.jpg""), "".jpg"", """"), ""-"", "", ""), """")"),"")</f>
        <v/>
      </c>
      <c r="L11408" s="12"/>
      <c r="M11408" s="13"/>
      <c r="N11408" s="2"/>
      <c r="O11408" s="20"/>
      <c r="P11408" s="42"/>
      <c r="R11408" s="23"/>
    </row>
    <row r="11409" spans="1:18" ht="12.75">
      <c r="A11409" s="12"/>
      <c r="D11409" s="12"/>
      <c r="E11409" s="12"/>
      <c r="H11409" s="11" t="str">
        <f ca="1">IFERROR(__xludf.DUMMYFUNCTION("IFERROR(SUBSTITUTE(SUBSTITUTE(REGEXEXTRACT(A11409, ""[^-]+- [^-]+- [^-]+ - (.+?)\.jpg""), "".jpg"", """"), ""-"", "", ""), """")"),"")</f>
        <v/>
      </c>
      <c r="L11409" s="12"/>
      <c r="M11409" s="13"/>
      <c r="N11409" s="2"/>
      <c r="O11409" s="20"/>
      <c r="P11409" s="42"/>
      <c r="R11409" s="23"/>
    </row>
    <row r="11410" spans="1:18" ht="12.75">
      <c r="A11410" s="12"/>
      <c r="D11410" s="12"/>
      <c r="E11410" s="12"/>
      <c r="H11410" s="11" t="str">
        <f ca="1">IFERROR(__xludf.DUMMYFUNCTION("IFERROR(SUBSTITUTE(SUBSTITUTE(REGEXEXTRACT(A11410, ""[^-]+- [^-]+- [^-]+ - (.+?)\.jpg""), "".jpg"", """"), ""-"", "", ""), """")"),"")</f>
        <v/>
      </c>
      <c r="L11410" s="12"/>
      <c r="M11410" s="13"/>
      <c r="N11410" s="2"/>
      <c r="O11410" s="20"/>
      <c r="P11410" s="42"/>
      <c r="R11410" s="23"/>
    </row>
    <row r="11411" spans="1:18" ht="12.75">
      <c r="A11411" s="12"/>
      <c r="D11411" s="12"/>
      <c r="E11411" s="12"/>
      <c r="H11411" s="11" t="str">
        <f ca="1">IFERROR(__xludf.DUMMYFUNCTION("IFERROR(SUBSTITUTE(SUBSTITUTE(REGEXEXTRACT(A11411, ""[^-]+- [^-]+- [^-]+ - (.+?)\.jpg""), "".jpg"", """"), ""-"", "", ""), """")"),"")</f>
        <v/>
      </c>
      <c r="L11411" s="12"/>
      <c r="M11411" s="13"/>
      <c r="N11411" s="2"/>
      <c r="O11411" s="20"/>
      <c r="P11411" s="42"/>
      <c r="R11411" s="23"/>
    </row>
    <row r="11412" spans="1:18" ht="12.75">
      <c r="A11412" s="12"/>
      <c r="D11412" s="12"/>
      <c r="E11412" s="12"/>
      <c r="H11412" s="11" t="str">
        <f ca="1">IFERROR(__xludf.DUMMYFUNCTION("IFERROR(SUBSTITUTE(SUBSTITUTE(REGEXEXTRACT(A11412, ""[^-]+- [^-]+- [^-]+ - (.+?)\.jpg""), "".jpg"", """"), ""-"", "", ""), """")"),"")</f>
        <v/>
      </c>
      <c r="L11412" s="12"/>
      <c r="M11412" s="13"/>
      <c r="N11412" s="2"/>
      <c r="O11412" s="20"/>
      <c r="P11412" s="42"/>
      <c r="R11412" s="23"/>
    </row>
    <row r="11413" spans="1:18" ht="12.75">
      <c r="A11413" s="12"/>
      <c r="D11413" s="12"/>
      <c r="E11413" s="12"/>
      <c r="H11413" s="11" t="str">
        <f ca="1">IFERROR(__xludf.DUMMYFUNCTION("IFERROR(SUBSTITUTE(SUBSTITUTE(REGEXEXTRACT(A11413, ""[^-]+- [^-]+- [^-]+ - (.+?)\.jpg""), "".jpg"", """"), ""-"", "", ""), """")"),"")</f>
        <v/>
      </c>
      <c r="L11413" s="12"/>
      <c r="M11413" s="13"/>
      <c r="N11413" s="2"/>
      <c r="O11413" s="20"/>
      <c r="P11413" s="42"/>
      <c r="R11413" s="23"/>
    </row>
    <row r="11414" spans="1:18" ht="12.75">
      <c r="A11414" s="12"/>
      <c r="D11414" s="12"/>
      <c r="E11414" s="12"/>
      <c r="H11414" s="11" t="str">
        <f ca="1">IFERROR(__xludf.DUMMYFUNCTION("IFERROR(SUBSTITUTE(SUBSTITUTE(REGEXEXTRACT(A11414, ""[^-]+- [^-]+- [^-]+ - (.+?)\.jpg""), "".jpg"", """"), ""-"", "", ""), """")"),"")</f>
        <v/>
      </c>
      <c r="L11414" s="12"/>
      <c r="M11414" s="13"/>
      <c r="N11414" s="2"/>
      <c r="O11414" s="20"/>
      <c r="P11414" s="42"/>
      <c r="R11414" s="23"/>
    </row>
    <row r="11415" spans="1:18" ht="12.75">
      <c r="A11415" s="12"/>
      <c r="D11415" s="12"/>
      <c r="E11415" s="12"/>
      <c r="H11415" s="11" t="str">
        <f ca="1">IFERROR(__xludf.DUMMYFUNCTION("IFERROR(SUBSTITUTE(SUBSTITUTE(REGEXEXTRACT(A11415, ""[^-]+- [^-]+- [^-]+ - (.+?)\.jpg""), "".jpg"", """"), ""-"", "", ""), """")"),"")</f>
        <v/>
      </c>
      <c r="L11415" s="12"/>
      <c r="M11415" s="13"/>
      <c r="N11415" s="2"/>
      <c r="O11415" s="20"/>
      <c r="P11415" s="42"/>
      <c r="R11415" s="23"/>
    </row>
    <row r="11416" spans="1:18" ht="12.75">
      <c r="A11416" s="12"/>
      <c r="D11416" s="12"/>
      <c r="E11416" s="12"/>
      <c r="H11416" s="11" t="str">
        <f ca="1">IFERROR(__xludf.DUMMYFUNCTION("IFERROR(SUBSTITUTE(SUBSTITUTE(REGEXEXTRACT(A11416, ""[^-]+- [^-]+- [^-]+ - (.+?)\.jpg""), "".jpg"", """"), ""-"", "", ""), """")"),"")</f>
        <v/>
      </c>
      <c r="L11416" s="12"/>
      <c r="M11416" s="13"/>
      <c r="N11416" s="2"/>
      <c r="O11416" s="20"/>
      <c r="P11416" s="42"/>
      <c r="R11416" s="23"/>
    </row>
    <row r="11417" spans="1:18" ht="12.75">
      <c r="A11417" s="12"/>
      <c r="D11417" s="12"/>
      <c r="E11417" s="12"/>
      <c r="H11417" s="11" t="str">
        <f ca="1">IFERROR(__xludf.DUMMYFUNCTION("IFERROR(SUBSTITUTE(SUBSTITUTE(REGEXEXTRACT(A11417, ""[^-]+- [^-]+- [^-]+ - (.+?)\.jpg""), "".jpg"", """"), ""-"", "", ""), """")"),"")</f>
        <v/>
      </c>
      <c r="L11417" s="12"/>
      <c r="M11417" s="13"/>
      <c r="N11417" s="2"/>
      <c r="O11417" s="20"/>
      <c r="P11417" s="42"/>
      <c r="R11417" s="23"/>
    </row>
    <row r="11418" spans="1:18" ht="12.75">
      <c r="A11418" s="12"/>
      <c r="D11418" s="12"/>
      <c r="E11418" s="12"/>
      <c r="H11418" s="11" t="str">
        <f ca="1">IFERROR(__xludf.DUMMYFUNCTION("IFERROR(SUBSTITUTE(SUBSTITUTE(REGEXEXTRACT(A11418, ""[^-]+- [^-]+- [^-]+ - (.+?)\.jpg""), "".jpg"", """"), ""-"", "", ""), """")"),"")</f>
        <v/>
      </c>
      <c r="L11418" s="12"/>
      <c r="M11418" s="13"/>
      <c r="N11418" s="2"/>
      <c r="O11418" s="20"/>
      <c r="P11418" s="42"/>
      <c r="R11418" s="23"/>
    </row>
    <row r="11419" spans="1:18" ht="12.75">
      <c r="A11419" s="12"/>
      <c r="D11419" s="12"/>
      <c r="E11419" s="12"/>
      <c r="H11419" s="11" t="str">
        <f ca="1">IFERROR(__xludf.DUMMYFUNCTION("IFERROR(SUBSTITUTE(SUBSTITUTE(REGEXEXTRACT(A11419, ""[^-]+- [^-]+- [^-]+ - (.+?)\.jpg""), "".jpg"", """"), ""-"", "", ""), """")"),"")</f>
        <v/>
      </c>
      <c r="L11419" s="12"/>
      <c r="M11419" s="13"/>
      <c r="N11419" s="2"/>
      <c r="O11419" s="20"/>
      <c r="P11419" s="42"/>
      <c r="R11419" s="23"/>
    </row>
    <row r="11420" spans="1:18" ht="12.75">
      <c r="A11420" s="12"/>
      <c r="D11420" s="12"/>
      <c r="E11420" s="12"/>
      <c r="H11420" s="11" t="str">
        <f ca="1">IFERROR(__xludf.DUMMYFUNCTION("IFERROR(SUBSTITUTE(SUBSTITUTE(REGEXEXTRACT(A11420, ""[^-]+- [^-]+- [^-]+ - (.+?)\.jpg""), "".jpg"", """"), ""-"", "", ""), """")"),"")</f>
        <v/>
      </c>
      <c r="L11420" s="12"/>
      <c r="M11420" s="13"/>
      <c r="N11420" s="2"/>
      <c r="O11420" s="20"/>
      <c r="P11420" s="42"/>
      <c r="R11420" s="23"/>
    </row>
    <row r="11421" spans="1:18" ht="12.75">
      <c r="A11421" s="12"/>
      <c r="D11421" s="12"/>
      <c r="E11421" s="12"/>
      <c r="H11421" s="11" t="str">
        <f ca="1">IFERROR(__xludf.DUMMYFUNCTION("IFERROR(SUBSTITUTE(SUBSTITUTE(REGEXEXTRACT(A11421, ""[^-]+- [^-]+- [^-]+ - (.+?)\.jpg""), "".jpg"", """"), ""-"", "", ""), """")"),"")</f>
        <v/>
      </c>
      <c r="L11421" s="12"/>
      <c r="M11421" s="13"/>
      <c r="N11421" s="2"/>
      <c r="O11421" s="20"/>
      <c r="P11421" s="42"/>
      <c r="R11421" s="23"/>
    </row>
    <row r="11422" spans="1:18" ht="12.75">
      <c r="A11422" s="12"/>
      <c r="D11422" s="12"/>
      <c r="E11422" s="12"/>
      <c r="H11422" s="11" t="str">
        <f ca="1">IFERROR(__xludf.DUMMYFUNCTION("IFERROR(SUBSTITUTE(SUBSTITUTE(REGEXEXTRACT(A11422, ""[^-]+- [^-]+- [^-]+ - (.+?)\.jpg""), "".jpg"", """"), ""-"", "", ""), """")"),"")</f>
        <v/>
      </c>
      <c r="L11422" s="12"/>
      <c r="M11422" s="13"/>
      <c r="N11422" s="2"/>
      <c r="O11422" s="20"/>
      <c r="P11422" s="42"/>
      <c r="R11422" s="23"/>
    </row>
    <row r="11423" spans="1:18" ht="12.75">
      <c r="A11423" s="12"/>
      <c r="D11423" s="12"/>
      <c r="E11423" s="12"/>
      <c r="H11423" s="11" t="str">
        <f ca="1">IFERROR(__xludf.DUMMYFUNCTION("IFERROR(SUBSTITUTE(SUBSTITUTE(REGEXEXTRACT(A11423, ""[^-]+- [^-]+- [^-]+ - (.+?)\.jpg""), "".jpg"", """"), ""-"", "", ""), """")"),"")</f>
        <v/>
      </c>
      <c r="L11423" s="12"/>
      <c r="M11423" s="13"/>
      <c r="N11423" s="2"/>
      <c r="O11423" s="20"/>
      <c r="P11423" s="42"/>
      <c r="R11423" s="23"/>
    </row>
    <row r="11424" spans="1:18" ht="12.75">
      <c r="A11424" s="12"/>
      <c r="D11424" s="12"/>
      <c r="E11424" s="12"/>
      <c r="H11424" s="11" t="str">
        <f ca="1">IFERROR(__xludf.DUMMYFUNCTION("IFERROR(SUBSTITUTE(SUBSTITUTE(REGEXEXTRACT(A11424, ""[^-]+- [^-]+- [^-]+ - (.+?)\.jpg""), "".jpg"", """"), ""-"", "", ""), """")"),"")</f>
        <v/>
      </c>
      <c r="L11424" s="12"/>
      <c r="M11424" s="13"/>
      <c r="N11424" s="2"/>
      <c r="O11424" s="20"/>
      <c r="P11424" s="42"/>
      <c r="R11424" s="23"/>
    </row>
    <row r="11425" spans="1:18" ht="12.75">
      <c r="A11425" s="12"/>
      <c r="D11425" s="12"/>
      <c r="E11425" s="12"/>
      <c r="H11425" s="11" t="str">
        <f ca="1">IFERROR(__xludf.DUMMYFUNCTION("IFERROR(SUBSTITUTE(SUBSTITUTE(REGEXEXTRACT(A11425, ""[^-]+- [^-]+- [^-]+ - (.+?)\.jpg""), "".jpg"", """"), ""-"", "", ""), """")"),"")</f>
        <v/>
      </c>
      <c r="L11425" s="12"/>
      <c r="M11425" s="13"/>
      <c r="N11425" s="2"/>
      <c r="O11425" s="20"/>
      <c r="P11425" s="42"/>
      <c r="R11425" s="23"/>
    </row>
    <row r="11426" spans="1:18" ht="12.75">
      <c r="A11426" s="12"/>
      <c r="D11426" s="12"/>
      <c r="E11426" s="12"/>
      <c r="H11426" s="11" t="str">
        <f ca="1">IFERROR(__xludf.DUMMYFUNCTION("IFERROR(SUBSTITUTE(SUBSTITUTE(REGEXEXTRACT(A11426, ""[^-]+- [^-]+- [^-]+ - (.+?)\.jpg""), "".jpg"", """"), ""-"", "", ""), """")"),"")</f>
        <v/>
      </c>
      <c r="L11426" s="12"/>
      <c r="M11426" s="13"/>
      <c r="N11426" s="2"/>
      <c r="O11426" s="20"/>
      <c r="P11426" s="42"/>
      <c r="R11426" s="23"/>
    </row>
    <row r="11427" spans="1:18" ht="12.75">
      <c r="A11427" s="12"/>
      <c r="D11427" s="12"/>
      <c r="E11427" s="12"/>
      <c r="H11427" s="11" t="str">
        <f ca="1">IFERROR(__xludf.DUMMYFUNCTION("IFERROR(SUBSTITUTE(SUBSTITUTE(REGEXEXTRACT(A11427, ""[^-]+- [^-]+- [^-]+ - (.+?)\.jpg""), "".jpg"", """"), ""-"", "", ""), """")"),"")</f>
        <v/>
      </c>
      <c r="L11427" s="12"/>
      <c r="M11427" s="13"/>
      <c r="N11427" s="2"/>
      <c r="O11427" s="20"/>
      <c r="P11427" s="42"/>
      <c r="R11427" s="23"/>
    </row>
    <row r="11428" spans="1:18" ht="12.75">
      <c r="A11428" s="12"/>
      <c r="D11428" s="12"/>
      <c r="E11428" s="12"/>
      <c r="H11428" s="11" t="str">
        <f ca="1">IFERROR(__xludf.DUMMYFUNCTION("IFERROR(SUBSTITUTE(SUBSTITUTE(REGEXEXTRACT(A11428, ""[^-]+- [^-]+- [^-]+ - (.+?)\.jpg""), "".jpg"", """"), ""-"", "", ""), """")"),"")</f>
        <v/>
      </c>
      <c r="L11428" s="12"/>
      <c r="M11428" s="13"/>
      <c r="N11428" s="2"/>
      <c r="O11428" s="20"/>
      <c r="P11428" s="42"/>
      <c r="R11428" s="23"/>
    </row>
    <row r="11429" spans="1:18" ht="12.75">
      <c r="A11429" s="12"/>
      <c r="D11429" s="12"/>
      <c r="E11429" s="12"/>
      <c r="H11429" s="11" t="str">
        <f ca="1">IFERROR(__xludf.DUMMYFUNCTION("IFERROR(SUBSTITUTE(SUBSTITUTE(REGEXEXTRACT(A11429, ""[^-]+- [^-]+- [^-]+ - (.+?)\.jpg""), "".jpg"", """"), ""-"", "", ""), """")"),"")</f>
        <v/>
      </c>
      <c r="L11429" s="12"/>
      <c r="M11429" s="13"/>
      <c r="N11429" s="2"/>
      <c r="O11429" s="20"/>
      <c r="P11429" s="42"/>
      <c r="R11429" s="23"/>
    </row>
    <row r="11430" spans="1:18" ht="12.75">
      <c r="A11430" s="12"/>
      <c r="D11430" s="12"/>
      <c r="E11430" s="12"/>
      <c r="H11430" s="11" t="str">
        <f ca="1">IFERROR(__xludf.DUMMYFUNCTION("IFERROR(SUBSTITUTE(SUBSTITUTE(REGEXEXTRACT(A11430, ""[^-]+- [^-]+- [^-]+ - (.+?)\.jpg""), "".jpg"", """"), ""-"", "", ""), """")"),"")</f>
        <v/>
      </c>
      <c r="L11430" s="12"/>
      <c r="M11430" s="13"/>
      <c r="N11430" s="2"/>
      <c r="O11430" s="20"/>
      <c r="P11430" s="42"/>
      <c r="R11430" s="23"/>
    </row>
    <row r="11431" spans="1:18" ht="12.75">
      <c r="A11431" s="12"/>
      <c r="D11431" s="12"/>
      <c r="E11431" s="12"/>
      <c r="H11431" s="11" t="str">
        <f ca="1">IFERROR(__xludf.DUMMYFUNCTION("IFERROR(SUBSTITUTE(SUBSTITUTE(REGEXEXTRACT(A11431, ""[^-]+- [^-]+- [^-]+ - (.+?)\.jpg""), "".jpg"", """"), ""-"", "", ""), """")"),"")</f>
        <v/>
      </c>
      <c r="L11431" s="12"/>
      <c r="M11431" s="13"/>
      <c r="N11431" s="2"/>
      <c r="O11431" s="20"/>
      <c r="P11431" s="42"/>
      <c r="R11431" s="23"/>
    </row>
    <row r="11432" spans="1:18" ht="12.75">
      <c r="A11432" s="12"/>
      <c r="D11432" s="12"/>
      <c r="E11432" s="12"/>
      <c r="H11432" s="11" t="str">
        <f ca="1">IFERROR(__xludf.DUMMYFUNCTION("IFERROR(SUBSTITUTE(SUBSTITUTE(REGEXEXTRACT(A11432, ""[^-]+- [^-]+- [^-]+ - (.+?)\.jpg""), "".jpg"", """"), ""-"", "", ""), """")"),"")</f>
        <v/>
      </c>
      <c r="L11432" s="12"/>
      <c r="M11432" s="13"/>
      <c r="N11432" s="2"/>
      <c r="O11432" s="20"/>
      <c r="P11432" s="42"/>
      <c r="R11432" s="23"/>
    </row>
    <row r="11433" spans="1:18" ht="12.75">
      <c r="A11433" s="12"/>
      <c r="D11433" s="12"/>
      <c r="E11433" s="12"/>
      <c r="H11433" s="11" t="str">
        <f ca="1">IFERROR(__xludf.DUMMYFUNCTION("IFERROR(SUBSTITUTE(SUBSTITUTE(REGEXEXTRACT(A11433, ""[^-]+- [^-]+- [^-]+ - (.+?)\.jpg""), "".jpg"", """"), ""-"", "", ""), """")"),"")</f>
        <v/>
      </c>
      <c r="L11433" s="12"/>
      <c r="M11433" s="13"/>
      <c r="N11433" s="2"/>
      <c r="O11433" s="20"/>
      <c r="P11433" s="42"/>
      <c r="R11433" s="23"/>
    </row>
    <row r="11434" spans="1:18" ht="12.75">
      <c r="A11434" s="12"/>
      <c r="D11434" s="12"/>
      <c r="E11434" s="12"/>
      <c r="H11434" s="11" t="str">
        <f ca="1">IFERROR(__xludf.DUMMYFUNCTION("IFERROR(SUBSTITUTE(SUBSTITUTE(REGEXEXTRACT(A11434, ""[^-]+- [^-]+- [^-]+ - (.+?)\.jpg""), "".jpg"", """"), ""-"", "", ""), """")"),"")</f>
        <v/>
      </c>
      <c r="L11434" s="12"/>
      <c r="M11434" s="13"/>
      <c r="N11434" s="2"/>
      <c r="O11434" s="20"/>
      <c r="P11434" s="42"/>
      <c r="R11434" s="23"/>
    </row>
    <row r="11435" spans="1:18" ht="12.75">
      <c r="A11435" s="12"/>
      <c r="D11435" s="12"/>
      <c r="E11435" s="12"/>
      <c r="H11435" s="11" t="str">
        <f ca="1">IFERROR(__xludf.DUMMYFUNCTION("IFERROR(SUBSTITUTE(SUBSTITUTE(REGEXEXTRACT(A11435, ""[^-]+- [^-]+- [^-]+ - (.+?)\.jpg""), "".jpg"", """"), ""-"", "", ""), """")"),"")</f>
        <v/>
      </c>
      <c r="L11435" s="12"/>
      <c r="M11435" s="13"/>
      <c r="N11435" s="2"/>
      <c r="O11435" s="20"/>
      <c r="P11435" s="42"/>
      <c r="R11435" s="23"/>
    </row>
    <row r="11436" spans="1:18" ht="12.75">
      <c r="A11436" s="12"/>
      <c r="D11436" s="12"/>
      <c r="E11436" s="12"/>
      <c r="H11436" s="11" t="str">
        <f ca="1">IFERROR(__xludf.DUMMYFUNCTION("IFERROR(SUBSTITUTE(SUBSTITUTE(REGEXEXTRACT(A11436, ""[^-]+- [^-]+- [^-]+ - (.+?)\.jpg""), "".jpg"", """"), ""-"", "", ""), """")"),"")</f>
        <v/>
      </c>
      <c r="L11436" s="12"/>
      <c r="M11436" s="13"/>
      <c r="N11436" s="2"/>
      <c r="O11436" s="20"/>
      <c r="P11436" s="42"/>
      <c r="R11436" s="23"/>
    </row>
    <row r="11437" spans="1:18" ht="12.75">
      <c r="A11437" s="12"/>
      <c r="D11437" s="12"/>
      <c r="E11437" s="12"/>
      <c r="H11437" s="11" t="str">
        <f ca="1">IFERROR(__xludf.DUMMYFUNCTION("IFERROR(SUBSTITUTE(SUBSTITUTE(REGEXEXTRACT(A11437, ""[^-]+- [^-]+- [^-]+ - (.+?)\.jpg""), "".jpg"", """"), ""-"", "", ""), """")"),"")</f>
        <v/>
      </c>
      <c r="L11437" s="12"/>
      <c r="M11437" s="13"/>
      <c r="N11437" s="2"/>
      <c r="O11437" s="20"/>
      <c r="P11437" s="42"/>
      <c r="R11437" s="23"/>
    </row>
    <row r="11438" spans="1:18" ht="12.75">
      <c r="A11438" s="12"/>
      <c r="D11438" s="12"/>
      <c r="E11438" s="12"/>
      <c r="H11438" s="11" t="str">
        <f ca="1">IFERROR(__xludf.DUMMYFUNCTION("IFERROR(SUBSTITUTE(SUBSTITUTE(REGEXEXTRACT(A11438, ""[^-]+- [^-]+- [^-]+ - (.+?)\.jpg""), "".jpg"", """"), ""-"", "", ""), """")"),"")</f>
        <v/>
      </c>
      <c r="L11438" s="12"/>
      <c r="M11438" s="13"/>
      <c r="N11438" s="2"/>
      <c r="O11438" s="20"/>
      <c r="P11438" s="42"/>
      <c r="R11438" s="23"/>
    </row>
    <row r="11439" spans="1:18" ht="12.75">
      <c r="A11439" s="12"/>
      <c r="D11439" s="12"/>
      <c r="E11439" s="12"/>
      <c r="H11439" s="11" t="str">
        <f ca="1">IFERROR(__xludf.DUMMYFUNCTION("IFERROR(SUBSTITUTE(SUBSTITUTE(REGEXEXTRACT(A11439, ""[^-]+- [^-]+- [^-]+ - (.+?)\.jpg""), "".jpg"", """"), ""-"", "", ""), """")"),"")</f>
        <v/>
      </c>
      <c r="L11439" s="12"/>
      <c r="M11439" s="13"/>
      <c r="N11439" s="2"/>
      <c r="O11439" s="20"/>
      <c r="P11439" s="42"/>
      <c r="R11439" s="23"/>
    </row>
    <row r="11440" spans="1:18" ht="12.75">
      <c r="A11440" s="12"/>
      <c r="D11440" s="12"/>
      <c r="E11440" s="12"/>
      <c r="H11440" s="11" t="str">
        <f ca="1">IFERROR(__xludf.DUMMYFUNCTION("IFERROR(SUBSTITUTE(SUBSTITUTE(REGEXEXTRACT(A11440, ""[^-]+- [^-]+- [^-]+ - (.+?)\.jpg""), "".jpg"", """"), ""-"", "", ""), """")"),"")</f>
        <v/>
      </c>
      <c r="L11440" s="12"/>
      <c r="M11440" s="13"/>
      <c r="N11440" s="2"/>
      <c r="O11440" s="20"/>
      <c r="P11440" s="42"/>
      <c r="R11440" s="23"/>
    </row>
    <row r="11441" spans="1:18" ht="12.75">
      <c r="A11441" s="12"/>
      <c r="D11441" s="12"/>
      <c r="E11441" s="12"/>
      <c r="H11441" s="11" t="str">
        <f ca="1">IFERROR(__xludf.DUMMYFUNCTION("IFERROR(SUBSTITUTE(SUBSTITUTE(REGEXEXTRACT(A11441, ""[^-]+- [^-]+- [^-]+ - (.+?)\.jpg""), "".jpg"", """"), ""-"", "", ""), """")"),"")</f>
        <v/>
      </c>
      <c r="L11441" s="12"/>
      <c r="M11441" s="13"/>
      <c r="N11441" s="2"/>
      <c r="O11441" s="20"/>
      <c r="P11441" s="42"/>
      <c r="R11441" s="23"/>
    </row>
    <row r="11442" spans="1:18" ht="12.75">
      <c r="A11442" s="12"/>
      <c r="D11442" s="12"/>
      <c r="E11442" s="12"/>
      <c r="H11442" s="11" t="str">
        <f ca="1">IFERROR(__xludf.DUMMYFUNCTION("IFERROR(SUBSTITUTE(SUBSTITUTE(REGEXEXTRACT(A11442, ""[^-]+- [^-]+- [^-]+ - (.+?)\.jpg""), "".jpg"", """"), ""-"", "", ""), """")"),"")</f>
        <v/>
      </c>
      <c r="L11442" s="12"/>
      <c r="M11442" s="13"/>
      <c r="N11442" s="2"/>
      <c r="O11442" s="20"/>
      <c r="P11442" s="42"/>
      <c r="R11442" s="23"/>
    </row>
    <row r="11443" spans="1:18" ht="12.75">
      <c r="A11443" s="12"/>
      <c r="D11443" s="12"/>
      <c r="E11443" s="12"/>
      <c r="H11443" s="11" t="str">
        <f ca="1">IFERROR(__xludf.DUMMYFUNCTION("IFERROR(SUBSTITUTE(SUBSTITUTE(REGEXEXTRACT(A11443, ""[^-]+- [^-]+- [^-]+ - (.+?)\.jpg""), "".jpg"", """"), ""-"", "", ""), """")"),"")</f>
        <v/>
      </c>
      <c r="L11443" s="12"/>
      <c r="M11443" s="13"/>
      <c r="N11443" s="2"/>
      <c r="O11443" s="20"/>
      <c r="P11443" s="42"/>
      <c r="R11443" s="23"/>
    </row>
    <row r="11444" spans="1:18" ht="12.75">
      <c r="A11444" s="12"/>
      <c r="D11444" s="12"/>
      <c r="E11444" s="12"/>
      <c r="H11444" s="11" t="str">
        <f ca="1">IFERROR(__xludf.DUMMYFUNCTION("IFERROR(SUBSTITUTE(SUBSTITUTE(REGEXEXTRACT(A11444, ""[^-]+- [^-]+- [^-]+ - (.+?)\.jpg""), "".jpg"", """"), ""-"", "", ""), """")"),"")</f>
        <v/>
      </c>
      <c r="L11444" s="12"/>
      <c r="M11444" s="13"/>
      <c r="N11444" s="2"/>
      <c r="O11444" s="20"/>
      <c r="P11444" s="42"/>
      <c r="R11444" s="23"/>
    </row>
    <row r="11445" spans="1:18" ht="12.75">
      <c r="A11445" s="12"/>
      <c r="D11445" s="12"/>
      <c r="E11445" s="12"/>
      <c r="H11445" s="11" t="str">
        <f ca="1">IFERROR(__xludf.DUMMYFUNCTION("IFERROR(SUBSTITUTE(SUBSTITUTE(REGEXEXTRACT(A11445, ""[^-]+- [^-]+- [^-]+ - (.+?)\.jpg""), "".jpg"", """"), ""-"", "", ""), """")"),"")</f>
        <v/>
      </c>
      <c r="L11445" s="12"/>
      <c r="M11445" s="13"/>
      <c r="N11445" s="2"/>
      <c r="O11445" s="20"/>
      <c r="P11445" s="42"/>
      <c r="R11445" s="23"/>
    </row>
    <row r="11446" spans="1:18" ht="12.75">
      <c r="A11446" s="12"/>
      <c r="D11446" s="12"/>
      <c r="E11446" s="12"/>
      <c r="H11446" s="11" t="str">
        <f ca="1">IFERROR(__xludf.DUMMYFUNCTION("IFERROR(SUBSTITUTE(SUBSTITUTE(REGEXEXTRACT(A11446, ""[^-]+- [^-]+- [^-]+ - (.+?)\.jpg""), "".jpg"", """"), ""-"", "", ""), """")"),"")</f>
        <v/>
      </c>
      <c r="L11446" s="12"/>
      <c r="M11446" s="13"/>
      <c r="N11446" s="2"/>
      <c r="O11446" s="20"/>
      <c r="P11446" s="42"/>
      <c r="R11446" s="23"/>
    </row>
    <row r="11447" spans="1:18" ht="12.75">
      <c r="A11447" s="12"/>
      <c r="D11447" s="12"/>
      <c r="E11447" s="12"/>
      <c r="H11447" s="11" t="str">
        <f ca="1">IFERROR(__xludf.DUMMYFUNCTION("IFERROR(SUBSTITUTE(SUBSTITUTE(REGEXEXTRACT(A11447, ""[^-]+- [^-]+- [^-]+ - (.+?)\.jpg""), "".jpg"", """"), ""-"", "", ""), """")"),"")</f>
        <v/>
      </c>
      <c r="L11447" s="12"/>
      <c r="M11447" s="13"/>
      <c r="N11447" s="2"/>
      <c r="O11447" s="20"/>
      <c r="P11447" s="42"/>
      <c r="R11447" s="23"/>
    </row>
    <row r="11448" spans="1:18" ht="12.75">
      <c r="A11448" s="12"/>
      <c r="D11448" s="12"/>
      <c r="E11448" s="12"/>
      <c r="H11448" s="11" t="str">
        <f ca="1">IFERROR(__xludf.DUMMYFUNCTION("IFERROR(SUBSTITUTE(SUBSTITUTE(REGEXEXTRACT(A11448, ""[^-]+- [^-]+- [^-]+ - (.+?)\.jpg""), "".jpg"", """"), ""-"", "", ""), """")"),"")</f>
        <v/>
      </c>
      <c r="L11448" s="12"/>
      <c r="M11448" s="13"/>
      <c r="N11448" s="2"/>
      <c r="O11448" s="20"/>
      <c r="P11448" s="42"/>
      <c r="R11448" s="23"/>
    </row>
    <row r="11449" spans="1:18" ht="12.75">
      <c r="A11449" s="12"/>
      <c r="D11449" s="12"/>
      <c r="E11449" s="12"/>
      <c r="H11449" s="11" t="str">
        <f ca="1">IFERROR(__xludf.DUMMYFUNCTION("IFERROR(SUBSTITUTE(SUBSTITUTE(REGEXEXTRACT(A11449, ""[^-]+- [^-]+- [^-]+ - (.+?)\.jpg""), "".jpg"", """"), ""-"", "", ""), """")"),"")</f>
        <v/>
      </c>
      <c r="L11449" s="12"/>
      <c r="M11449" s="13"/>
      <c r="N11449" s="2"/>
      <c r="O11449" s="20"/>
      <c r="P11449" s="42"/>
      <c r="R11449" s="23"/>
    </row>
    <row r="11450" spans="1:18" ht="12.75">
      <c r="A11450" s="12"/>
      <c r="D11450" s="12"/>
      <c r="E11450" s="12"/>
      <c r="H11450" s="11" t="str">
        <f ca="1">IFERROR(__xludf.DUMMYFUNCTION("IFERROR(SUBSTITUTE(SUBSTITUTE(REGEXEXTRACT(A11450, ""[^-]+- [^-]+- [^-]+ - (.+?)\.jpg""), "".jpg"", """"), ""-"", "", ""), """")"),"")</f>
        <v/>
      </c>
      <c r="L11450" s="12"/>
      <c r="M11450" s="13"/>
      <c r="N11450" s="2"/>
      <c r="O11450" s="20"/>
      <c r="P11450" s="42"/>
      <c r="R11450" s="23"/>
    </row>
    <row r="11451" spans="1:18" ht="12.75">
      <c r="A11451" s="12"/>
      <c r="D11451" s="12"/>
      <c r="E11451" s="12"/>
      <c r="H11451" s="11" t="str">
        <f ca="1">IFERROR(__xludf.DUMMYFUNCTION("IFERROR(SUBSTITUTE(SUBSTITUTE(REGEXEXTRACT(A11451, ""[^-]+- [^-]+- [^-]+ - (.+?)\.jpg""), "".jpg"", """"), ""-"", "", ""), """")"),"")</f>
        <v/>
      </c>
      <c r="L11451" s="12"/>
      <c r="M11451" s="13"/>
      <c r="N11451" s="2"/>
      <c r="O11451" s="20"/>
      <c r="P11451" s="42"/>
      <c r="R11451" s="23"/>
    </row>
    <row r="11452" spans="1:18" ht="12.75">
      <c r="A11452" s="12"/>
      <c r="D11452" s="12"/>
      <c r="E11452" s="12"/>
      <c r="H11452" s="11" t="str">
        <f ca="1">IFERROR(__xludf.DUMMYFUNCTION("IFERROR(SUBSTITUTE(SUBSTITUTE(REGEXEXTRACT(A11452, ""[^-]+- [^-]+- [^-]+ - (.+?)\.jpg""), "".jpg"", """"), ""-"", "", ""), """")"),"")</f>
        <v/>
      </c>
      <c r="L11452" s="12"/>
      <c r="M11452" s="13"/>
      <c r="N11452" s="2"/>
      <c r="O11452" s="20"/>
      <c r="P11452" s="42"/>
      <c r="R11452" s="23"/>
    </row>
    <row r="11453" spans="1:18" ht="12.75">
      <c r="A11453" s="12"/>
      <c r="D11453" s="12"/>
      <c r="E11453" s="12"/>
      <c r="H11453" s="11" t="str">
        <f ca="1">IFERROR(__xludf.DUMMYFUNCTION("IFERROR(SUBSTITUTE(SUBSTITUTE(REGEXEXTRACT(A11453, ""[^-]+- [^-]+- [^-]+ - (.+?)\.jpg""), "".jpg"", """"), ""-"", "", ""), """")"),"")</f>
        <v/>
      </c>
      <c r="L11453" s="12"/>
      <c r="M11453" s="13"/>
      <c r="N11453" s="2"/>
      <c r="O11453" s="20"/>
      <c r="P11453" s="42"/>
      <c r="R11453" s="23"/>
    </row>
    <row r="11454" spans="1:18" ht="12.75">
      <c r="A11454" s="12"/>
      <c r="D11454" s="12"/>
      <c r="E11454" s="12"/>
      <c r="H11454" s="11" t="str">
        <f ca="1">IFERROR(__xludf.DUMMYFUNCTION("IFERROR(SUBSTITUTE(SUBSTITUTE(REGEXEXTRACT(A11454, ""[^-]+- [^-]+- [^-]+ - (.+?)\.jpg""), "".jpg"", """"), ""-"", "", ""), """")"),"")</f>
        <v/>
      </c>
      <c r="L11454" s="12"/>
      <c r="M11454" s="13"/>
      <c r="N11454" s="2"/>
      <c r="O11454" s="20"/>
      <c r="P11454" s="42"/>
      <c r="R11454" s="23"/>
    </row>
    <row r="11455" spans="1:18" ht="12.75">
      <c r="A11455" s="12"/>
      <c r="D11455" s="12"/>
      <c r="E11455" s="12"/>
      <c r="H11455" s="11" t="str">
        <f ca="1">IFERROR(__xludf.DUMMYFUNCTION("IFERROR(SUBSTITUTE(SUBSTITUTE(REGEXEXTRACT(A11455, ""[^-]+- [^-]+- [^-]+ - (.+?)\.jpg""), "".jpg"", """"), ""-"", "", ""), """")"),"")</f>
        <v/>
      </c>
      <c r="L11455" s="12"/>
      <c r="M11455" s="13"/>
      <c r="N11455" s="2"/>
      <c r="O11455" s="20"/>
      <c r="P11455" s="42"/>
      <c r="R11455" s="23"/>
    </row>
    <row r="11456" spans="1:18" ht="12.75">
      <c r="A11456" s="12"/>
      <c r="D11456" s="12"/>
      <c r="E11456" s="12"/>
      <c r="H11456" s="11" t="str">
        <f ca="1">IFERROR(__xludf.DUMMYFUNCTION("IFERROR(SUBSTITUTE(SUBSTITUTE(REGEXEXTRACT(A11456, ""[^-]+- [^-]+- [^-]+ - (.+?)\.jpg""), "".jpg"", """"), ""-"", "", ""), """")"),"")</f>
        <v/>
      </c>
      <c r="L11456" s="12"/>
      <c r="M11456" s="13"/>
      <c r="N11456" s="2"/>
      <c r="O11456" s="20"/>
      <c r="P11456" s="42"/>
      <c r="R11456" s="23"/>
    </row>
    <row r="11457" spans="1:18" ht="12.75">
      <c r="A11457" s="12"/>
      <c r="D11457" s="12"/>
      <c r="E11457" s="12"/>
      <c r="H11457" s="11" t="str">
        <f ca="1">IFERROR(__xludf.DUMMYFUNCTION("IFERROR(SUBSTITUTE(SUBSTITUTE(REGEXEXTRACT(A11457, ""[^-]+- [^-]+- [^-]+ - (.+?)\.jpg""), "".jpg"", """"), ""-"", "", ""), """")"),"")</f>
        <v/>
      </c>
      <c r="L11457" s="12"/>
      <c r="M11457" s="13"/>
      <c r="N11457" s="2"/>
      <c r="O11457" s="20"/>
      <c r="P11457" s="42"/>
      <c r="R11457" s="23"/>
    </row>
    <row r="11458" spans="1:18" ht="12.75">
      <c r="A11458" s="12"/>
      <c r="D11458" s="12"/>
      <c r="E11458" s="12"/>
      <c r="H11458" s="11" t="str">
        <f ca="1">IFERROR(__xludf.DUMMYFUNCTION("IFERROR(SUBSTITUTE(SUBSTITUTE(REGEXEXTRACT(A11458, ""[^-]+- [^-]+- [^-]+ - (.+?)\.jpg""), "".jpg"", """"), ""-"", "", ""), """")"),"")</f>
        <v/>
      </c>
      <c r="L11458" s="12"/>
      <c r="M11458" s="13"/>
      <c r="N11458" s="2"/>
      <c r="O11458" s="20"/>
      <c r="P11458" s="42"/>
      <c r="R11458" s="23"/>
    </row>
    <row r="11459" spans="1:18" ht="12.75">
      <c r="A11459" s="12"/>
      <c r="D11459" s="12"/>
      <c r="E11459" s="12"/>
      <c r="H11459" s="11" t="str">
        <f ca="1">IFERROR(__xludf.DUMMYFUNCTION("IFERROR(SUBSTITUTE(SUBSTITUTE(REGEXEXTRACT(A11459, ""[^-]+- [^-]+- [^-]+ - (.+?)\.jpg""), "".jpg"", """"), ""-"", "", ""), """")"),"")</f>
        <v/>
      </c>
      <c r="L11459" s="12"/>
      <c r="M11459" s="13"/>
      <c r="N11459" s="2"/>
      <c r="O11459" s="20"/>
      <c r="P11459" s="42"/>
      <c r="R11459" s="23"/>
    </row>
    <row r="11460" spans="1:18" ht="12.75">
      <c r="A11460" s="12"/>
      <c r="D11460" s="12"/>
      <c r="E11460" s="12"/>
      <c r="H11460" s="11" t="str">
        <f ca="1">IFERROR(__xludf.DUMMYFUNCTION("IFERROR(SUBSTITUTE(SUBSTITUTE(REGEXEXTRACT(A11460, ""[^-]+- [^-]+- [^-]+ - (.+?)\.jpg""), "".jpg"", """"), ""-"", "", ""), """")"),"")</f>
        <v/>
      </c>
      <c r="L11460" s="12"/>
      <c r="M11460" s="13"/>
      <c r="N11460" s="2"/>
      <c r="O11460" s="20"/>
      <c r="P11460" s="42"/>
      <c r="R11460" s="23"/>
    </row>
    <row r="11461" spans="1:18" ht="12.75">
      <c r="A11461" s="12"/>
      <c r="D11461" s="12"/>
      <c r="E11461" s="12"/>
      <c r="H11461" s="11" t="str">
        <f ca="1">IFERROR(__xludf.DUMMYFUNCTION("IFERROR(SUBSTITUTE(SUBSTITUTE(REGEXEXTRACT(A11461, ""[^-]+- [^-]+- [^-]+ - (.+?)\.jpg""), "".jpg"", """"), ""-"", "", ""), """")"),"")</f>
        <v/>
      </c>
      <c r="L11461" s="12"/>
      <c r="M11461" s="13"/>
      <c r="N11461" s="2"/>
      <c r="O11461" s="20"/>
      <c r="P11461" s="42"/>
      <c r="R11461" s="23"/>
    </row>
    <row r="11462" spans="1:18" ht="12.75">
      <c r="A11462" s="12"/>
      <c r="D11462" s="12"/>
      <c r="E11462" s="12"/>
      <c r="H11462" s="11" t="str">
        <f ca="1">IFERROR(__xludf.DUMMYFUNCTION("IFERROR(SUBSTITUTE(SUBSTITUTE(REGEXEXTRACT(A11462, ""[^-]+- [^-]+- [^-]+ - (.+?)\.jpg""), "".jpg"", """"), ""-"", "", ""), """")"),"")</f>
        <v/>
      </c>
      <c r="L11462" s="12"/>
      <c r="M11462" s="13"/>
      <c r="N11462" s="2"/>
      <c r="O11462" s="20"/>
      <c r="P11462" s="42"/>
      <c r="R11462" s="23"/>
    </row>
    <row r="11463" spans="1:18" ht="12.75">
      <c r="A11463" s="12"/>
      <c r="D11463" s="12"/>
      <c r="E11463" s="12"/>
      <c r="H11463" s="11" t="str">
        <f ca="1">IFERROR(__xludf.DUMMYFUNCTION("IFERROR(SUBSTITUTE(SUBSTITUTE(REGEXEXTRACT(A11463, ""[^-]+- [^-]+- [^-]+ - (.+?)\.jpg""), "".jpg"", """"), ""-"", "", ""), """")"),"")</f>
        <v/>
      </c>
      <c r="L11463" s="12"/>
      <c r="M11463" s="13"/>
      <c r="N11463" s="2"/>
      <c r="O11463" s="20"/>
      <c r="P11463" s="42"/>
      <c r="R11463" s="23"/>
    </row>
    <row r="11464" spans="1:18" ht="12.75">
      <c r="A11464" s="12"/>
      <c r="D11464" s="12"/>
      <c r="E11464" s="12"/>
      <c r="H11464" s="11" t="str">
        <f ca="1">IFERROR(__xludf.DUMMYFUNCTION("IFERROR(SUBSTITUTE(SUBSTITUTE(REGEXEXTRACT(A11464, ""[^-]+- [^-]+- [^-]+ - (.+?)\.jpg""), "".jpg"", """"), ""-"", "", ""), """")"),"")</f>
        <v/>
      </c>
      <c r="L11464" s="12"/>
      <c r="M11464" s="13"/>
      <c r="N11464" s="2"/>
      <c r="O11464" s="20"/>
      <c r="P11464" s="42"/>
      <c r="R11464" s="23"/>
    </row>
    <row r="11465" spans="1:18" ht="12.75">
      <c r="A11465" s="12"/>
      <c r="D11465" s="12"/>
      <c r="E11465" s="12"/>
      <c r="H11465" s="11" t="str">
        <f ca="1">IFERROR(__xludf.DUMMYFUNCTION("IFERROR(SUBSTITUTE(SUBSTITUTE(REGEXEXTRACT(A11465, ""[^-]+- [^-]+- [^-]+ - (.+?)\.jpg""), "".jpg"", """"), ""-"", "", ""), """")"),"")</f>
        <v/>
      </c>
      <c r="L11465" s="12"/>
      <c r="M11465" s="13"/>
      <c r="N11465" s="2"/>
      <c r="O11465" s="20"/>
      <c r="P11465" s="42"/>
      <c r="R11465" s="23"/>
    </row>
    <row r="11466" spans="1:18" ht="12.75">
      <c r="A11466" s="12"/>
      <c r="D11466" s="12"/>
      <c r="E11466" s="12"/>
      <c r="H11466" s="11" t="str">
        <f ca="1">IFERROR(__xludf.DUMMYFUNCTION("IFERROR(SUBSTITUTE(SUBSTITUTE(REGEXEXTRACT(A11466, ""[^-]+- [^-]+- [^-]+ - (.+?)\.jpg""), "".jpg"", """"), ""-"", "", ""), """")"),"")</f>
        <v/>
      </c>
      <c r="L11466" s="12"/>
      <c r="M11466" s="13"/>
      <c r="N11466" s="2"/>
      <c r="O11466" s="20"/>
      <c r="P11466" s="42"/>
      <c r="R11466" s="23"/>
    </row>
    <row r="11467" spans="1:18" ht="12.75">
      <c r="A11467" s="12"/>
      <c r="D11467" s="12"/>
      <c r="E11467" s="12"/>
      <c r="H11467" s="11" t="str">
        <f ca="1">IFERROR(__xludf.DUMMYFUNCTION("IFERROR(SUBSTITUTE(SUBSTITUTE(REGEXEXTRACT(A11467, ""[^-]+- [^-]+- [^-]+ - (.+?)\.jpg""), "".jpg"", """"), ""-"", "", ""), """")"),"")</f>
        <v/>
      </c>
      <c r="L11467" s="12"/>
      <c r="M11467" s="13"/>
      <c r="N11467" s="2"/>
      <c r="O11467" s="20"/>
      <c r="P11467" s="42"/>
      <c r="R11467" s="23"/>
    </row>
    <row r="11468" spans="1:18" ht="12.75">
      <c r="A11468" s="12"/>
      <c r="D11468" s="12"/>
      <c r="E11468" s="12"/>
      <c r="H11468" s="11" t="str">
        <f ca="1">IFERROR(__xludf.DUMMYFUNCTION("IFERROR(SUBSTITUTE(SUBSTITUTE(REGEXEXTRACT(A11468, ""[^-]+- [^-]+- [^-]+ - (.+?)\.jpg""), "".jpg"", """"), ""-"", "", ""), """")"),"")</f>
        <v/>
      </c>
      <c r="L11468" s="12"/>
      <c r="M11468" s="13"/>
      <c r="N11468" s="2"/>
      <c r="O11468" s="20"/>
      <c r="P11468" s="42"/>
      <c r="R11468" s="23"/>
    </row>
    <row r="11469" spans="1:18" ht="12.75">
      <c r="A11469" s="12"/>
      <c r="D11469" s="12"/>
      <c r="E11469" s="12"/>
      <c r="H11469" s="11" t="str">
        <f ca="1">IFERROR(__xludf.DUMMYFUNCTION("IFERROR(SUBSTITUTE(SUBSTITUTE(REGEXEXTRACT(A11469, ""[^-]+- [^-]+- [^-]+ - (.+?)\.jpg""), "".jpg"", """"), ""-"", "", ""), """")"),"")</f>
        <v/>
      </c>
      <c r="L11469" s="12"/>
      <c r="M11469" s="13"/>
      <c r="N11469" s="2"/>
      <c r="O11469" s="20"/>
      <c r="P11469" s="42"/>
      <c r="R11469" s="23"/>
    </row>
    <row r="11470" spans="1:18" ht="12.75">
      <c r="A11470" s="12"/>
      <c r="D11470" s="12"/>
      <c r="E11470" s="12"/>
      <c r="H11470" s="11" t="str">
        <f ca="1">IFERROR(__xludf.DUMMYFUNCTION("IFERROR(SUBSTITUTE(SUBSTITUTE(REGEXEXTRACT(A11470, ""[^-]+- [^-]+- [^-]+ - (.+?)\.jpg""), "".jpg"", """"), ""-"", "", ""), """")"),"")</f>
        <v/>
      </c>
      <c r="L11470" s="12"/>
      <c r="M11470" s="13"/>
      <c r="N11470" s="2"/>
      <c r="O11470" s="20"/>
      <c r="P11470" s="42"/>
      <c r="R11470" s="23"/>
    </row>
    <row r="11471" spans="1:18" ht="12.75">
      <c r="A11471" s="12"/>
      <c r="D11471" s="12"/>
      <c r="E11471" s="12"/>
      <c r="H11471" s="11" t="str">
        <f ca="1">IFERROR(__xludf.DUMMYFUNCTION("IFERROR(SUBSTITUTE(SUBSTITUTE(REGEXEXTRACT(A11471, ""[^-]+- [^-]+- [^-]+ - (.+?)\.jpg""), "".jpg"", """"), ""-"", "", ""), """")"),"")</f>
        <v/>
      </c>
      <c r="L11471" s="12"/>
      <c r="M11471" s="13"/>
      <c r="N11471" s="2"/>
      <c r="O11471" s="20"/>
      <c r="P11471" s="42"/>
      <c r="R11471" s="23"/>
    </row>
    <row r="11472" spans="1:18" ht="12.75">
      <c r="A11472" s="12"/>
      <c r="D11472" s="12"/>
      <c r="E11472" s="12"/>
      <c r="H11472" s="11" t="str">
        <f ca="1">IFERROR(__xludf.DUMMYFUNCTION("IFERROR(SUBSTITUTE(SUBSTITUTE(REGEXEXTRACT(A11472, ""[^-]+- [^-]+- [^-]+ - (.+?)\.jpg""), "".jpg"", """"), ""-"", "", ""), """")"),"")</f>
        <v/>
      </c>
      <c r="L11472" s="12"/>
      <c r="M11472" s="13"/>
      <c r="N11472" s="2"/>
      <c r="O11472" s="20"/>
      <c r="P11472" s="42"/>
      <c r="R11472" s="23"/>
    </row>
    <row r="11473" spans="1:18" ht="12.75">
      <c r="A11473" s="12"/>
      <c r="D11473" s="12"/>
      <c r="E11473" s="12"/>
      <c r="H11473" s="11" t="str">
        <f ca="1">IFERROR(__xludf.DUMMYFUNCTION("IFERROR(SUBSTITUTE(SUBSTITUTE(REGEXEXTRACT(A11473, ""[^-]+- [^-]+- [^-]+ - (.+?)\.jpg""), "".jpg"", """"), ""-"", "", ""), """")"),"")</f>
        <v/>
      </c>
      <c r="L11473" s="12"/>
      <c r="M11473" s="13"/>
      <c r="N11473" s="2"/>
      <c r="O11473" s="20"/>
      <c r="P11473" s="42"/>
      <c r="R11473" s="23"/>
    </row>
    <row r="11474" spans="1:18" ht="12.75">
      <c r="A11474" s="12"/>
      <c r="D11474" s="12"/>
      <c r="E11474" s="12"/>
      <c r="H11474" s="11" t="str">
        <f ca="1">IFERROR(__xludf.DUMMYFUNCTION("IFERROR(SUBSTITUTE(SUBSTITUTE(REGEXEXTRACT(A11474, ""[^-]+- [^-]+- [^-]+ - (.+?)\.jpg""), "".jpg"", """"), ""-"", "", ""), """")"),"")</f>
        <v/>
      </c>
      <c r="L11474" s="12"/>
      <c r="M11474" s="13"/>
      <c r="N11474" s="2"/>
      <c r="O11474" s="20"/>
      <c r="P11474" s="42"/>
      <c r="R11474" s="23"/>
    </row>
    <row r="11475" spans="1:18" ht="12.75">
      <c r="A11475" s="12"/>
      <c r="D11475" s="12"/>
      <c r="E11475" s="12"/>
      <c r="H11475" s="11" t="str">
        <f ca="1">IFERROR(__xludf.DUMMYFUNCTION("IFERROR(SUBSTITUTE(SUBSTITUTE(REGEXEXTRACT(A11475, ""[^-]+- [^-]+- [^-]+ - (.+?)\.jpg""), "".jpg"", """"), ""-"", "", ""), """")"),"")</f>
        <v/>
      </c>
      <c r="L11475" s="12"/>
      <c r="M11475" s="13"/>
      <c r="N11475" s="2"/>
      <c r="O11475" s="20"/>
      <c r="P11475" s="42"/>
      <c r="R11475" s="23"/>
    </row>
    <row r="11476" spans="1:18" ht="12.75">
      <c r="A11476" s="12"/>
      <c r="D11476" s="12"/>
      <c r="E11476" s="12"/>
      <c r="H11476" s="11" t="str">
        <f ca="1">IFERROR(__xludf.DUMMYFUNCTION("IFERROR(SUBSTITUTE(SUBSTITUTE(REGEXEXTRACT(A11476, ""[^-]+- [^-]+- [^-]+ - (.+?)\.jpg""), "".jpg"", """"), ""-"", "", ""), """")"),"")</f>
        <v/>
      </c>
      <c r="L11476" s="12"/>
      <c r="M11476" s="13"/>
      <c r="N11476" s="2"/>
      <c r="O11476" s="20"/>
      <c r="P11476" s="42"/>
      <c r="R11476" s="23"/>
    </row>
    <row r="11477" spans="1:18" ht="12.75">
      <c r="A11477" s="12"/>
      <c r="D11477" s="12"/>
      <c r="E11477" s="12"/>
      <c r="H11477" s="11" t="str">
        <f ca="1">IFERROR(__xludf.DUMMYFUNCTION("IFERROR(SUBSTITUTE(SUBSTITUTE(REGEXEXTRACT(A11477, ""[^-]+- [^-]+- [^-]+ - (.+?)\.jpg""), "".jpg"", """"), ""-"", "", ""), """")"),"")</f>
        <v/>
      </c>
      <c r="L11477" s="12"/>
      <c r="M11477" s="13"/>
      <c r="N11477" s="2"/>
      <c r="O11477" s="20"/>
      <c r="P11477" s="42"/>
      <c r="R11477" s="23"/>
    </row>
    <row r="11478" spans="1:18" ht="12.75">
      <c r="A11478" s="12"/>
      <c r="D11478" s="12"/>
      <c r="E11478" s="12"/>
      <c r="H11478" s="11" t="str">
        <f ca="1">IFERROR(__xludf.DUMMYFUNCTION("IFERROR(SUBSTITUTE(SUBSTITUTE(REGEXEXTRACT(A11478, ""[^-]+- [^-]+- [^-]+ - (.+?)\.jpg""), "".jpg"", """"), ""-"", "", ""), """")"),"")</f>
        <v/>
      </c>
      <c r="L11478" s="12"/>
      <c r="M11478" s="13"/>
      <c r="N11478" s="2"/>
      <c r="O11478" s="20"/>
      <c r="P11478" s="42"/>
      <c r="R11478" s="23"/>
    </row>
    <row r="11479" spans="1:18" ht="12.75">
      <c r="A11479" s="12"/>
      <c r="D11479" s="12"/>
      <c r="E11479" s="12"/>
      <c r="H11479" s="11" t="str">
        <f ca="1">IFERROR(__xludf.DUMMYFUNCTION("IFERROR(SUBSTITUTE(SUBSTITUTE(REGEXEXTRACT(A11479, ""[^-]+- [^-]+- [^-]+ - (.+?)\.jpg""), "".jpg"", """"), ""-"", "", ""), """")"),"")</f>
        <v/>
      </c>
      <c r="L11479" s="12"/>
      <c r="M11479" s="13"/>
      <c r="N11479" s="2"/>
      <c r="O11479" s="20"/>
      <c r="P11479" s="42"/>
      <c r="R11479" s="23"/>
    </row>
    <row r="11480" spans="1:18" ht="12.75">
      <c r="A11480" s="12"/>
      <c r="D11480" s="12"/>
      <c r="E11480" s="12"/>
      <c r="H11480" s="11" t="str">
        <f ca="1">IFERROR(__xludf.DUMMYFUNCTION("IFERROR(SUBSTITUTE(SUBSTITUTE(REGEXEXTRACT(A11480, ""[^-]+- [^-]+- [^-]+ - (.+?)\.jpg""), "".jpg"", """"), ""-"", "", ""), """")"),"")</f>
        <v/>
      </c>
      <c r="L11480" s="12"/>
      <c r="M11480" s="13"/>
      <c r="N11480" s="2"/>
      <c r="O11480" s="20"/>
      <c r="P11480" s="42"/>
      <c r="R11480" s="23"/>
    </row>
    <row r="11481" spans="1:18" ht="12.75">
      <c r="A11481" s="12"/>
      <c r="D11481" s="12"/>
      <c r="E11481" s="12"/>
      <c r="H11481" s="11" t="str">
        <f ca="1">IFERROR(__xludf.DUMMYFUNCTION("IFERROR(SUBSTITUTE(SUBSTITUTE(REGEXEXTRACT(A11481, ""[^-]+- [^-]+- [^-]+ - (.+?)\.jpg""), "".jpg"", """"), ""-"", "", ""), """")"),"")</f>
        <v/>
      </c>
      <c r="L11481" s="12"/>
      <c r="M11481" s="13"/>
      <c r="N11481" s="2"/>
      <c r="O11481" s="20"/>
      <c r="P11481" s="42"/>
      <c r="R11481" s="23"/>
    </row>
    <row r="11482" spans="1:18" ht="12.75">
      <c r="A11482" s="12"/>
      <c r="D11482" s="12"/>
      <c r="E11482" s="12"/>
      <c r="H11482" s="11" t="str">
        <f ca="1">IFERROR(__xludf.DUMMYFUNCTION("IFERROR(SUBSTITUTE(SUBSTITUTE(REGEXEXTRACT(A11482, ""[^-]+- [^-]+- [^-]+ - (.+?)\.jpg""), "".jpg"", """"), ""-"", "", ""), """")"),"")</f>
        <v/>
      </c>
      <c r="L11482" s="12"/>
      <c r="M11482" s="13"/>
      <c r="N11482" s="2"/>
      <c r="O11482" s="20"/>
      <c r="P11482" s="42"/>
      <c r="R11482" s="23"/>
    </row>
    <row r="11483" spans="1:18" ht="12.75">
      <c r="A11483" s="12"/>
      <c r="D11483" s="12"/>
      <c r="E11483" s="12"/>
      <c r="H11483" s="11" t="str">
        <f ca="1">IFERROR(__xludf.DUMMYFUNCTION("IFERROR(SUBSTITUTE(SUBSTITUTE(REGEXEXTRACT(A11483, ""[^-]+- [^-]+- [^-]+ - (.+?)\.jpg""), "".jpg"", """"), ""-"", "", ""), """")"),"")</f>
        <v/>
      </c>
      <c r="L11483" s="12"/>
      <c r="M11483" s="13"/>
      <c r="N11483" s="2"/>
      <c r="O11483" s="20"/>
      <c r="P11483" s="42"/>
      <c r="R11483" s="23"/>
    </row>
    <row r="11484" spans="1:18" ht="12.75">
      <c r="A11484" s="12"/>
      <c r="D11484" s="12"/>
      <c r="E11484" s="12"/>
      <c r="H11484" s="11" t="str">
        <f ca="1">IFERROR(__xludf.DUMMYFUNCTION("IFERROR(SUBSTITUTE(SUBSTITUTE(REGEXEXTRACT(A11484, ""[^-]+- [^-]+- [^-]+ - (.+?)\.jpg""), "".jpg"", """"), ""-"", "", ""), """")"),"")</f>
        <v/>
      </c>
      <c r="L11484" s="12"/>
      <c r="M11484" s="13"/>
      <c r="N11484" s="2"/>
      <c r="O11484" s="20"/>
      <c r="P11484" s="42"/>
      <c r="R11484" s="23"/>
    </row>
    <row r="11485" spans="1:18" ht="12.75">
      <c r="A11485" s="12"/>
      <c r="D11485" s="12"/>
      <c r="E11485" s="12"/>
      <c r="H11485" s="11" t="str">
        <f ca="1">IFERROR(__xludf.DUMMYFUNCTION("IFERROR(SUBSTITUTE(SUBSTITUTE(REGEXEXTRACT(A11485, ""[^-]+- [^-]+- [^-]+ - (.+?)\.jpg""), "".jpg"", """"), ""-"", "", ""), """")"),"")</f>
        <v/>
      </c>
      <c r="L11485" s="12"/>
      <c r="M11485" s="13"/>
      <c r="N11485" s="2"/>
      <c r="O11485" s="20"/>
      <c r="P11485" s="42"/>
      <c r="R11485" s="23"/>
    </row>
    <row r="11486" spans="1:18" ht="12.75">
      <c r="A11486" s="12"/>
      <c r="D11486" s="12"/>
      <c r="E11486" s="12"/>
      <c r="H11486" s="11" t="str">
        <f ca="1">IFERROR(__xludf.DUMMYFUNCTION("IFERROR(SUBSTITUTE(SUBSTITUTE(REGEXEXTRACT(A11486, ""[^-]+- [^-]+- [^-]+ - (.+?)\.jpg""), "".jpg"", """"), ""-"", "", ""), """")"),"")</f>
        <v/>
      </c>
      <c r="L11486" s="12"/>
      <c r="M11486" s="13"/>
      <c r="N11486" s="2"/>
      <c r="O11486" s="20"/>
      <c r="P11486" s="42"/>
      <c r="R11486" s="23"/>
    </row>
    <row r="11487" spans="1:18" ht="12.75">
      <c r="A11487" s="12"/>
      <c r="D11487" s="12"/>
      <c r="E11487" s="12"/>
      <c r="H11487" s="11" t="str">
        <f ca="1">IFERROR(__xludf.DUMMYFUNCTION("IFERROR(SUBSTITUTE(SUBSTITUTE(REGEXEXTRACT(A11487, ""[^-]+- [^-]+- [^-]+ - (.+?)\.jpg""), "".jpg"", """"), ""-"", "", ""), """")"),"")</f>
        <v/>
      </c>
      <c r="L11487" s="12"/>
      <c r="M11487" s="13"/>
      <c r="N11487" s="2"/>
      <c r="O11487" s="20"/>
      <c r="P11487" s="42"/>
      <c r="R11487" s="23"/>
    </row>
    <row r="11488" spans="1:18" ht="12.75">
      <c r="A11488" s="12"/>
      <c r="D11488" s="12"/>
      <c r="E11488" s="12"/>
      <c r="H11488" s="11" t="str">
        <f ca="1">IFERROR(__xludf.DUMMYFUNCTION("IFERROR(SUBSTITUTE(SUBSTITUTE(REGEXEXTRACT(A11488, ""[^-]+- [^-]+- [^-]+ - (.+?)\.jpg""), "".jpg"", """"), ""-"", "", ""), """")"),"")</f>
        <v/>
      </c>
      <c r="L11488" s="12"/>
      <c r="M11488" s="13"/>
      <c r="N11488" s="2"/>
      <c r="O11488" s="20"/>
      <c r="P11488" s="42"/>
      <c r="R11488" s="23"/>
    </row>
    <row r="11489" spans="1:18" ht="12.75">
      <c r="A11489" s="12"/>
      <c r="D11489" s="12"/>
      <c r="E11489" s="12"/>
      <c r="H11489" s="11" t="str">
        <f ca="1">IFERROR(__xludf.DUMMYFUNCTION("IFERROR(SUBSTITUTE(SUBSTITUTE(REGEXEXTRACT(A11489, ""[^-]+- [^-]+- [^-]+ - (.+?)\.jpg""), "".jpg"", """"), ""-"", "", ""), """")"),"")</f>
        <v/>
      </c>
      <c r="L11489" s="12"/>
      <c r="M11489" s="13"/>
      <c r="N11489" s="2"/>
      <c r="O11489" s="20"/>
      <c r="P11489" s="42"/>
      <c r="R11489" s="23"/>
    </row>
    <row r="11490" spans="1:18" ht="12.75">
      <c r="A11490" s="12"/>
      <c r="D11490" s="12"/>
      <c r="E11490" s="12"/>
      <c r="H11490" s="11" t="str">
        <f ca="1">IFERROR(__xludf.DUMMYFUNCTION("IFERROR(SUBSTITUTE(SUBSTITUTE(REGEXEXTRACT(A11490, ""[^-]+- [^-]+- [^-]+ - (.+?)\.jpg""), "".jpg"", """"), ""-"", "", ""), """")"),"")</f>
        <v/>
      </c>
      <c r="L11490" s="12"/>
      <c r="M11490" s="13"/>
      <c r="N11490" s="2"/>
      <c r="O11490" s="20"/>
      <c r="P11490" s="42"/>
      <c r="R11490" s="23"/>
    </row>
    <row r="11491" spans="1:18" ht="12.75">
      <c r="A11491" s="12"/>
      <c r="D11491" s="12"/>
      <c r="E11491" s="12"/>
      <c r="H11491" s="11" t="str">
        <f ca="1">IFERROR(__xludf.DUMMYFUNCTION("IFERROR(SUBSTITUTE(SUBSTITUTE(REGEXEXTRACT(A11491, ""[^-]+- [^-]+- [^-]+ - (.+?)\.jpg""), "".jpg"", """"), ""-"", "", ""), """")"),"")</f>
        <v/>
      </c>
      <c r="L11491" s="12"/>
      <c r="M11491" s="13"/>
      <c r="N11491" s="2"/>
      <c r="O11491" s="20"/>
      <c r="P11491" s="42"/>
      <c r="R11491" s="23"/>
    </row>
    <row r="11492" spans="1:18" ht="12.75">
      <c r="A11492" s="12"/>
      <c r="D11492" s="12"/>
      <c r="E11492" s="12"/>
      <c r="H11492" s="11" t="str">
        <f ca="1">IFERROR(__xludf.DUMMYFUNCTION("IFERROR(SUBSTITUTE(SUBSTITUTE(REGEXEXTRACT(A11492, ""[^-]+- [^-]+- [^-]+ - (.+?)\.jpg""), "".jpg"", """"), ""-"", "", ""), """")"),"")</f>
        <v/>
      </c>
      <c r="L11492" s="12"/>
      <c r="M11492" s="13"/>
      <c r="N11492" s="2"/>
      <c r="O11492" s="20"/>
      <c r="P11492" s="42"/>
      <c r="R11492" s="23"/>
    </row>
    <row r="11493" spans="1:18" ht="12.75">
      <c r="A11493" s="12"/>
      <c r="D11493" s="12"/>
      <c r="E11493" s="12"/>
      <c r="H11493" s="11" t="str">
        <f ca="1">IFERROR(__xludf.DUMMYFUNCTION("IFERROR(SUBSTITUTE(SUBSTITUTE(REGEXEXTRACT(A11493, ""[^-]+- [^-]+- [^-]+ - (.+?)\.jpg""), "".jpg"", """"), ""-"", "", ""), """")"),"")</f>
        <v/>
      </c>
      <c r="L11493" s="12"/>
      <c r="M11493" s="13"/>
      <c r="N11493" s="2"/>
      <c r="O11493" s="20"/>
      <c r="P11493" s="42"/>
      <c r="R11493" s="23"/>
    </row>
    <row r="11494" spans="1:18" ht="12.75">
      <c r="A11494" s="12"/>
      <c r="D11494" s="12"/>
      <c r="E11494" s="12"/>
      <c r="H11494" s="11" t="str">
        <f ca="1">IFERROR(__xludf.DUMMYFUNCTION("IFERROR(SUBSTITUTE(SUBSTITUTE(REGEXEXTRACT(A11494, ""[^-]+- [^-]+- [^-]+ - (.+?)\.jpg""), "".jpg"", """"), ""-"", "", ""), """")"),"")</f>
        <v/>
      </c>
      <c r="L11494" s="12"/>
      <c r="M11494" s="13"/>
      <c r="N11494" s="2"/>
      <c r="O11494" s="20"/>
      <c r="P11494" s="42"/>
      <c r="R11494" s="23"/>
    </row>
    <row r="11495" spans="1:18" ht="12.75">
      <c r="A11495" s="12"/>
      <c r="D11495" s="12"/>
      <c r="E11495" s="12"/>
      <c r="H11495" s="11" t="str">
        <f ca="1">IFERROR(__xludf.DUMMYFUNCTION("IFERROR(SUBSTITUTE(SUBSTITUTE(REGEXEXTRACT(A11495, ""[^-]+- [^-]+- [^-]+ - (.+?)\.jpg""), "".jpg"", """"), ""-"", "", ""), """")"),"")</f>
        <v/>
      </c>
      <c r="L11495" s="12"/>
      <c r="M11495" s="13"/>
      <c r="N11495" s="2"/>
      <c r="O11495" s="20"/>
      <c r="P11495" s="42"/>
      <c r="R11495" s="23"/>
    </row>
    <row r="11496" spans="1:18" ht="12.75">
      <c r="A11496" s="12"/>
      <c r="D11496" s="12"/>
      <c r="E11496" s="12"/>
      <c r="H11496" s="11" t="str">
        <f ca="1">IFERROR(__xludf.DUMMYFUNCTION("IFERROR(SUBSTITUTE(SUBSTITUTE(REGEXEXTRACT(A11496, ""[^-]+- [^-]+- [^-]+ - (.+?)\.jpg""), "".jpg"", """"), ""-"", "", ""), """")"),"")</f>
        <v/>
      </c>
      <c r="L11496" s="12"/>
      <c r="M11496" s="13"/>
      <c r="N11496" s="2"/>
      <c r="O11496" s="20"/>
      <c r="P11496" s="42"/>
      <c r="R11496" s="23"/>
    </row>
    <row r="11497" spans="1:18" ht="12.75">
      <c r="A11497" s="12"/>
      <c r="D11497" s="12"/>
      <c r="E11497" s="12"/>
      <c r="H11497" s="11" t="str">
        <f ca="1">IFERROR(__xludf.DUMMYFUNCTION("IFERROR(SUBSTITUTE(SUBSTITUTE(REGEXEXTRACT(A11497, ""[^-]+- [^-]+- [^-]+ - (.+?)\.jpg""), "".jpg"", """"), ""-"", "", ""), """")"),"")</f>
        <v/>
      </c>
      <c r="L11497" s="12"/>
      <c r="M11497" s="13"/>
      <c r="N11497" s="2"/>
      <c r="O11497" s="20"/>
      <c r="P11497" s="42"/>
      <c r="R11497" s="23"/>
    </row>
    <row r="11498" spans="1:18" ht="12.75">
      <c r="A11498" s="12"/>
      <c r="D11498" s="12"/>
      <c r="E11498" s="12"/>
      <c r="H11498" s="11" t="str">
        <f ca="1">IFERROR(__xludf.DUMMYFUNCTION("IFERROR(SUBSTITUTE(SUBSTITUTE(REGEXEXTRACT(A11498, ""[^-]+- [^-]+- [^-]+ - (.+?)\.jpg""), "".jpg"", """"), ""-"", "", ""), """")"),"")</f>
        <v/>
      </c>
      <c r="L11498" s="12"/>
      <c r="M11498" s="13"/>
      <c r="N11498" s="2"/>
      <c r="O11498" s="20"/>
      <c r="P11498" s="42"/>
      <c r="R11498" s="23"/>
    </row>
    <row r="11499" spans="1:18" ht="12.75">
      <c r="A11499" s="12"/>
      <c r="D11499" s="12"/>
      <c r="E11499" s="12"/>
      <c r="H11499" s="11" t="str">
        <f ca="1">IFERROR(__xludf.DUMMYFUNCTION("IFERROR(SUBSTITUTE(SUBSTITUTE(REGEXEXTRACT(A11499, ""[^-]+- [^-]+- [^-]+ - (.+?)\.jpg""), "".jpg"", """"), ""-"", "", ""), """")"),"")</f>
        <v/>
      </c>
      <c r="L11499" s="12"/>
      <c r="M11499" s="13"/>
      <c r="N11499" s="2"/>
      <c r="O11499" s="20"/>
      <c r="P11499" s="42"/>
      <c r="R11499" s="23"/>
    </row>
    <row r="11500" spans="1:18" ht="12.75">
      <c r="A11500" s="12"/>
      <c r="D11500" s="12"/>
      <c r="E11500" s="12"/>
      <c r="H11500" s="11" t="str">
        <f ca="1">IFERROR(__xludf.DUMMYFUNCTION("IFERROR(SUBSTITUTE(SUBSTITUTE(REGEXEXTRACT(A11500, ""[^-]+- [^-]+- [^-]+ - (.+?)\.jpg""), "".jpg"", """"), ""-"", "", ""), """")"),"")</f>
        <v/>
      </c>
      <c r="L11500" s="12"/>
      <c r="M11500" s="13"/>
      <c r="N11500" s="2"/>
      <c r="O11500" s="20"/>
      <c r="P11500" s="42"/>
      <c r="R11500" s="23"/>
    </row>
    <row r="11501" spans="1:18" ht="12.75">
      <c r="A11501" s="12"/>
      <c r="D11501" s="12"/>
      <c r="E11501" s="12"/>
      <c r="H11501" s="11" t="str">
        <f ca="1">IFERROR(__xludf.DUMMYFUNCTION("IFERROR(SUBSTITUTE(SUBSTITUTE(REGEXEXTRACT(A11501, ""[^-]+- [^-]+- [^-]+ - (.+?)\.jpg""), "".jpg"", """"), ""-"", "", ""), """")"),"")</f>
        <v/>
      </c>
      <c r="L11501" s="12"/>
      <c r="M11501" s="13"/>
      <c r="N11501" s="2"/>
      <c r="O11501" s="20"/>
      <c r="P11501" s="42"/>
      <c r="R11501" s="23"/>
    </row>
    <row r="11502" spans="1:18" ht="12.75">
      <c r="A11502" s="12"/>
      <c r="D11502" s="12"/>
      <c r="E11502" s="12"/>
      <c r="H11502" s="11" t="str">
        <f ca="1">IFERROR(__xludf.DUMMYFUNCTION("IFERROR(SUBSTITUTE(SUBSTITUTE(REGEXEXTRACT(A11502, ""[^-]+- [^-]+- [^-]+ - (.+?)\.jpg""), "".jpg"", """"), ""-"", "", ""), """")"),"")</f>
        <v/>
      </c>
      <c r="L11502" s="12"/>
      <c r="M11502" s="13"/>
      <c r="N11502" s="2"/>
      <c r="O11502" s="20"/>
      <c r="P11502" s="42"/>
      <c r="R11502" s="23"/>
    </row>
    <row r="11503" spans="1:18" ht="12.75">
      <c r="A11503" s="12"/>
      <c r="D11503" s="12"/>
      <c r="E11503" s="12"/>
      <c r="H11503" s="11" t="str">
        <f ca="1">IFERROR(__xludf.DUMMYFUNCTION("IFERROR(SUBSTITUTE(SUBSTITUTE(REGEXEXTRACT(A11503, ""[^-]+- [^-]+- [^-]+ - (.+?)\.jpg""), "".jpg"", """"), ""-"", "", ""), """")"),"")</f>
        <v/>
      </c>
      <c r="L11503" s="12"/>
      <c r="M11503" s="13"/>
      <c r="N11503" s="2"/>
      <c r="O11503" s="20"/>
      <c r="P11503" s="42"/>
      <c r="R11503" s="23"/>
    </row>
    <row r="11504" spans="1:18" ht="12.75">
      <c r="A11504" s="12"/>
      <c r="D11504" s="12"/>
      <c r="E11504" s="12"/>
      <c r="H11504" s="11" t="str">
        <f ca="1">IFERROR(__xludf.DUMMYFUNCTION("IFERROR(SUBSTITUTE(SUBSTITUTE(REGEXEXTRACT(A11504, ""[^-]+- [^-]+- [^-]+ - (.+?)\.jpg""), "".jpg"", """"), ""-"", "", ""), """")"),"")</f>
        <v/>
      </c>
      <c r="L11504" s="12"/>
      <c r="M11504" s="13"/>
      <c r="N11504" s="2"/>
      <c r="O11504" s="20"/>
      <c r="P11504" s="42"/>
      <c r="R11504" s="23"/>
    </row>
    <row r="11505" spans="1:18" ht="12.75">
      <c r="A11505" s="12"/>
      <c r="D11505" s="12"/>
      <c r="E11505" s="12"/>
      <c r="H11505" s="11" t="str">
        <f ca="1">IFERROR(__xludf.DUMMYFUNCTION("IFERROR(SUBSTITUTE(SUBSTITUTE(REGEXEXTRACT(A11505, ""[^-]+- [^-]+- [^-]+ - (.+?)\.jpg""), "".jpg"", """"), ""-"", "", ""), """")"),"")</f>
        <v/>
      </c>
      <c r="L11505" s="12"/>
      <c r="M11505" s="13"/>
      <c r="N11505" s="2"/>
      <c r="O11505" s="20"/>
      <c r="P11505" s="42"/>
      <c r="R11505" s="23"/>
    </row>
    <row r="11506" spans="1:18" ht="12.75">
      <c r="A11506" s="12"/>
      <c r="D11506" s="12"/>
      <c r="E11506" s="12"/>
      <c r="H11506" s="11" t="str">
        <f ca="1">IFERROR(__xludf.DUMMYFUNCTION("IFERROR(SUBSTITUTE(SUBSTITUTE(REGEXEXTRACT(A11506, ""[^-]+- [^-]+- [^-]+ - (.+?)\.jpg""), "".jpg"", """"), ""-"", "", ""), """")"),"")</f>
        <v/>
      </c>
      <c r="L11506" s="12"/>
      <c r="M11506" s="13"/>
      <c r="N11506" s="2"/>
      <c r="O11506" s="20"/>
      <c r="P11506" s="42"/>
      <c r="R11506" s="23"/>
    </row>
    <row r="11507" spans="1:18" ht="12.75">
      <c r="A11507" s="12"/>
      <c r="D11507" s="12"/>
      <c r="E11507" s="12"/>
      <c r="H11507" s="11" t="str">
        <f ca="1">IFERROR(__xludf.DUMMYFUNCTION("IFERROR(SUBSTITUTE(SUBSTITUTE(REGEXEXTRACT(A11507, ""[^-]+- [^-]+- [^-]+ - (.+?)\.jpg""), "".jpg"", """"), ""-"", "", ""), """")"),"")</f>
        <v/>
      </c>
      <c r="L11507" s="12"/>
      <c r="M11507" s="13"/>
      <c r="N11507" s="2"/>
      <c r="O11507" s="20"/>
      <c r="P11507" s="42"/>
      <c r="R11507" s="23"/>
    </row>
    <row r="11508" spans="1:18" ht="12.75">
      <c r="A11508" s="12"/>
      <c r="D11508" s="12"/>
      <c r="E11508" s="12"/>
      <c r="H11508" s="11" t="str">
        <f ca="1">IFERROR(__xludf.DUMMYFUNCTION("IFERROR(SUBSTITUTE(SUBSTITUTE(REGEXEXTRACT(A11508, ""[^-]+- [^-]+- [^-]+ - (.+?)\.jpg""), "".jpg"", """"), ""-"", "", ""), """")"),"")</f>
        <v/>
      </c>
      <c r="L11508" s="12"/>
      <c r="M11508" s="13"/>
      <c r="N11508" s="2"/>
      <c r="O11508" s="20"/>
      <c r="P11508" s="42"/>
      <c r="R11508" s="23"/>
    </row>
    <row r="11509" spans="1:18" ht="12.75">
      <c r="A11509" s="12"/>
      <c r="D11509" s="12"/>
      <c r="E11509" s="12"/>
      <c r="H11509" s="11" t="str">
        <f ca="1">IFERROR(__xludf.DUMMYFUNCTION("IFERROR(SUBSTITUTE(SUBSTITUTE(REGEXEXTRACT(A11509, ""[^-]+- [^-]+- [^-]+ - (.+?)\.jpg""), "".jpg"", """"), ""-"", "", ""), """")"),"")</f>
        <v/>
      </c>
      <c r="L11509" s="12"/>
      <c r="M11509" s="13"/>
      <c r="N11509" s="2"/>
      <c r="O11509" s="20"/>
      <c r="P11509" s="42"/>
      <c r="R11509" s="23"/>
    </row>
    <row r="11510" spans="1:18" ht="12.75">
      <c r="A11510" s="12"/>
      <c r="D11510" s="12"/>
      <c r="E11510" s="12"/>
      <c r="H11510" s="11" t="str">
        <f ca="1">IFERROR(__xludf.DUMMYFUNCTION("IFERROR(SUBSTITUTE(SUBSTITUTE(REGEXEXTRACT(A11510, ""[^-]+- [^-]+- [^-]+ - (.+?)\.jpg""), "".jpg"", """"), ""-"", "", ""), """")"),"")</f>
        <v/>
      </c>
      <c r="L11510" s="12"/>
      <c r="M11510" s="13"/>
      <c r="N11510" s="2"/>
      <c r="O11510" s="20"/>
      <c r="P11510" s="42"/>
      <c r="R11510" s="23"/>
    </row>
    <row r="11511" spans="1:18" ht="12.75">
      <c r="A11511" s="12"/>
      <c r="D11511" s="12"/>
      <c r="E11511" s="12"/>
      <c r="H11511" s="11" t="str">
        <f ca="1">IFERROR(__xludf.DUMMYFUNCTION("IFERROR(SUBSTITUTE(SUBSTITUTE(REGEXEXTRACT(A11511, ""[^-]+- [^-]+- [^-]+ - (.+?)\.jpg""), "".jpg"", """"), ""-"", "", ""), """")"),"")</f>
        <v/>
      </c>
      <c r="L11511" s="12"/>
      <c r="M11511" s="13"/>
      <c r="N11511" s="2"/>
      <c r="O11511" s="20"/>
      <c r="P11511" s="42"/>
      <c r="R11511" s="23"/>
    </row>
    <row r="11512" spans="1:18" ht="12.75">
      <c r="A11512" s="12"/>
      <c r="D11512" s="12"/>
      <c r="E11512" s="12"/>
      <c r="H11512" s="11" t="str">
        <f ca="1">IFERROR(__xludf.DUMMYFUNCTION("IFERROR(SUBSTITUTE(SUBSTITUTE(REGEXEXTRACT(A11512, ""[^-]+- [^-]+- [^-]+ - (.+?)\.jpg""), "".jpg"", """"), ""-"", "", ""), """")"),"")</f>
        <v/>
      </c>
      <c r="L11512" s="12"/>
      <c r="M11512" s="13"/>
      <c r="N11512" s="2"/>
      <c r="O11512" s="20"/>
      <c r="P11512" s="42"/>
      <c r="R11512" s="23"/>
    </row>
    <row r="11513" spans="1:18" ht="12.75">
      <c r="A11513" s="12"/>
      <c r="D11513" s="12"/>
      <c r="E11513" s="12"/>
      <c r="H11513" s="11" t="str">
        <f ca="1">IFERROR(__xludf.DUMMYFUNCTION("IFERROR(SUBSTITUTE(SUBSTITUTE(REGEXEXTRACT(A11513, ""[^-]+- [^-]+- [^-]+ - (.+?)\.jpg""), "".jpg"", """"), ""-"", "", ""), """")"),"")</f>
        <v/>
      </c>
      <c r="L11513" s="12"/>
      <c r="M11513" s="13"/>
      <c r="N11513" s="2"/>
      <c r="O11513" s="20"/>
      <c r="P11513" s="42"/>
      <c r="R11513" s="23"/>
    </row>
    <row r="11514" spans="1:18" ht="12.75">
      <c r="A11514" s="12"/>
      <c r="D11514" s="12"/>
      <c r="E11514" s="12"/>
      <c r="H11514" s="11" t="str">
        <f ca="1">IFERROR(__xludf.DUMMYFUNCTION("IFERROR(SUBSTITUTE(SUBSTITUTE(REGEXEXTRACT(A11514, ""[^-]+- [^-]+- [^-]+ - (.+?)\.jpg""), "".jpg"", """"), ""-"", "", ""), """")"),"")</f>
        <v/>
      </c>
      <c r="L11514" s="12"/>
      <c r="M11514" s="13"/>
      <c r="N11514" s="2"/>
      <c r="O11514" s="20"/>
      <c r="P11514" s="42"/>
      <c r="R11514" s="23"/>
    </row>
    <row r="11515" spans="1:18" ht="12.75">
      <c r="A11515" s="12"/>
      <c r="D11515" s="12"/>
      <c r="E11515" s="12"/>
      <c r="H11515" s="11" t="str">
        <f ca="1">IFERROR(__xludf.DUMMYFUNCTION("IFERROR(SUBSTITUTE(SUBSTITUTE(REGEXEXTRACT(A11515, ""[^-]+- [^-]+- [^-]+ - (.+?)\.jpg""), "".jpg"", """"), ""-"", "", ""), """")"),"")</f>
        <v/>
      </c>
      <c r="L11515" s="12"/>
      <c r="M11515" s="13"/>
      <c r="N11515" s="2"/>
      <c r="O11515" s="20"/>
      <c r="P11515" s="42"/>
      <c r="R11515" s="23"/>
    </row>
    <row r="11516" spans="1:18" ht="12.75">
      <c r="A11516" s="12"/>
      <c r="D11516" s="12"/>
      <c r="E11516" s="12"/>
      <c r="H11516" s="11" t="str">
        <f ca="1">IFERROR(__xludf.DUMMYFUNCTION("IFERROR(SUBSTITUTE(SUBSTITUTE(REGEXEXTRACT(A11516, ""[^-]+- [^-]+- [^-]+ - (.+?)\.jpg""), "".jpg"", """"), ""-"", "", ""), """")"),"")</f>
        <v/>
      </c>
      <c r="L11516" s="12"/>
      <c r="M11516" s="13"/>
      <c r="N11516" s="2"/>
      <c r="O11516" s="20"/>
      <c r="P11516" s="42"/>
      <c r="R11516" s="23"/>
    </row>
    <row r="11517" spans="1:18" ht="12.75">
      <c r="A11517" s="12"/>
      <c r="D11517" s="12"/>
      <c r="E11517" s="12"/>
      <c r="H11517" s="11" t="str">
        <f ca="1">IFERROR(__xludf.DUMMYFUNCTION("IFERROR(SUBSTITUTE(SUBSTITUTE(REGEXEXTRACT(A11517, ""[^-]+- [^-]+- [^-]+ - (.+?)\.jpg""), "".jpg"", """"), ""-"", "", ""), """")"),"")</f>
        <v/>
      </c>
      <c r="L11517" s="12"/>
      <c r="M11517" s="13"/>
      <c r="N11517" s="2"/>
      <c r="O11517" s="20"/>
      <c r="P11517" s="42"/>
      <c r="R11517" s="23"/>
    </row>
    <row r="11518" spans="1:18" ht="12.75">
      <c r="A11518" s="12"/>
      <c r="D11518" s="12"/>
      <c r="E11518" s="12"/>
      <c r="H11518" s="11" t="str">
        <f ca="1">IFERROR(__xludf.DUMMYFUNCTION("IFERROR(SUBSTITUTE(SUBSTITUTE(REGEXEXTRACT(A11518, ""[^-]+- [^-]+- [^-]+ - (.+?)\.jpg""), "".jpg"", """"), ""-"", "", ""), """")"),"")</f>
        <v/>
      </c>
      <c r="L11518" s="12"/>
      <c r="M11518" s="13"/>
      <c r="N11518" s="2"/>
      <c r="O11518" s="20"/>
      <c r="P11518" s="42"/>
      <c r="R11518" s="23"/>
    </row>
    <row r="11519" spans="1:18" ht="12.75">
      <c r="A11519" s="12"/>
      <c r="D11519" s="12"/>
      <c r="E11519" s="12"/>
      <c r="H11519" s="11" t="str">
        <f ca="1">IFERROR(__xludf.DUMMYFUNCTION("IFERROR(SUBSTITUTE(SUBSTITUTE(REGEXEXTRACT(A11519, ""[^-]+- [^-]+- [^-]+ - (.+?)\.jpg""), "".jpg"", """"), ""-"", "", ""), """")"),"")</f>
        <v/>
      </c>
      <c r="L11519" s="12"/>
      <c r="M11519" s="13"/>
      <c r="N11519" s="2"/>
      <c r="O11519" s="20"/>
      <c r="P11519" s="42"/>
      <c r="R11519" s="23"/>
    </row>
    <row r="11520" spans="1:18" ht="12.75">
      <c r="A11520" s="12"/>
      <c r="D11520" s="12"/>
      <c r="E11520" s="12"/>
      <c r="H11520" s="11" t="str">
        <f ca="1">IFERROR(__xludf.DUMMYFUNCTION("IFERROR(SUBSTITUTE(SUBSTITUTE(REGEXEXTRACT(A11520, ""[^-]+- [^-]+- [^-]+ - (.+?)\.jpg""), "".jpg"", """"), ""-"", "", ""), """")"),"")</f>
        <v/>
      </c>
      <c r="L11520" s="12"/>
      <c r="M11520" s="13"/>
      <c r="N11520" s="2"/>
      <c r="O11520" s="20"/>
      <c r="P11520" s="42"/>
      <c r="R11520" s="23"/>
    </row>
    <row r="11521" spans="1:18" ht="12.75">
      <c r="A11521" s="12"/>
      <c r="D11521" s="12"/>
      <c r="E11521" s="12"/>
      <c r="H11521" s="11" t="str">
        <f ca="1">IFERROR(__xludf.DUMMYFUNCTION("IFERROR(SUBSTITUTE(SUBSTITUTE(REGEXEXTRACT(A11521, ""[^-]+- [^-]+- [^-]+ - (.+?)\.jpg""), "".jpg"", """"), ""-"", "", ""), """")"),"")</f>
        <v/>
      </c>
      <c r="L11521" s="12"/>
      <c r="M11521" s="13"/>
      <c r="N11521" s="2"/>
      <c r="O11521" s="20"/>
      <c r="P11521" s="42"/>
      <c r="R11521" s="23"/>
    </row>
    <row r="11522" spans="1:18" ht="12.75">
      <c r="A11522" s="12"/>
      <c r="D11522" s="12"/>
      <c r="E11522" s="12"/>
      <c r="H11522" s="11" t="str">
        <f ca="1">IFERROR(__xludf.DUMMYFUNCTION("IFERROR(SUBSTITUTE(SUBSTITUTE(REGEXEXTRACT(A11522, ""[^-]+- [^-]+- [^-]+ - (.+?)\.jpg""), "".jpg"", """"), ""-"", "", ""), """")"),"")</f>
        <v/>
      </c>
      <c r="L11522" s="12"/>
      <c r="M11522" s="13"/>
      <c r="N11522" s="2"/>
      <c r="O11522" s="20"/>
      <c r="P11522" s="42"/>
      <c r="R11522" s="23"/>
    </row>
    <row r="11523" spans="1:18" ht="12.75">
      <c r="A11523" s="12"/>
      <c r="D11523" s="12"/>
      <c r="E11523" s="12"/>
      <c r="H11523" s="11" t="str">
        <f ca="1">IFERROR(__xludf.DUMMYFUNCTION("IFERROR(SUBSTITUTE(SUBSTITUTE(REGEXEXTRACT(A11523, ""[^-]+- [^-]+- [^-]+ - (.+?)\.jpg""), "".jpg"", """"), ""-"", "", ""), """")"),"")</f>
        <v/>
      </c>
      <c r="L11523" s="12"/>
      <c r="M11523" s="13"/>
      <c r="N11523" s="2"/>
      <c r="O11523" s="20"/>
      <c r="P11523" s="42"/>
      <c r="R11523" s="23"/>
    </row>
    <row r="11524" spans="1:18" ht="12.75">
      <c r="A11524" s="12"/>
      <c r="D11524" s="12"/>
      <c r="E11524" s="12"/>
      <c r="H11524" s="11" t="str">
        <f ca="1">IFERROR(__xludf.DUMMYFUNCTION("IFERROR(SUBSTITUTE(SUBSTITUTE(REGEXEXTRACT(A11524, ""[^-]+- [^-]+- [^-]+ - (.+?)\.jpg""), "".jpg"", """"), ""-"", "", ""), """")"),"")</f>
        <v/>
      </c>
      <c r="L11524" s="12"/>
      <c r="M11524" s="13"/>
      <c r="N11524" s="2"/>
      <c r="O11524" s="20"/>
      <c r="P11524" s="42"/>
      <c r="R11524" s="23"/>
    </row>
    <row r="11525" spans="1:18" ht="12.75">
      <c r="A11525" s="12"/>
      <c r="D11525" s="12"/>
      <c r="E11525" s="12"/>
      <c r="H11525" s="11" t="str">
        <f ca="1">IFERROR(__xludf.DUMMYFUNCTION("IFERROR(SUBSTITUTE(SUBSTITUTE(REGEXEXTRACT(A11525, ""[^-]+- [^-]+- [^-]+ - (.+?)\.jpg""), "".jpg"", """"), ""-"", "", ""), """")"),"")</f>
        <v/>
      </c>
      <c r="L11525" s="12"/>
      <c r="M11525" s="13"/>
      <c r="N11525" s="2"/>
      <c r="O11525" s="20"/>
      <c r="P11525" s="42"/>
      <c r="R11525" s="23"/>
    </row>
    <row r="11526" spans="1:18" ht="12.75">
      <c r="A11526" s="12"/>
      <c r="D11526" s="12"/>
      <c r="E11526" s="12"/>
      <c r="H11526" s="11" t="str">
        <f ca="1">IFERROR(__xludf.DUMMYFUNCTION("IFERROR(SUBSTITUTE(SUBSTITUTE(REGEXEXTRACT(A11526, ""[^-]+- [^-]+- [^-]+ - (.+?)\.jpg""), "".jpg"", """"), ""-"", "", ""), """")"),"")</f>
        <v/>
      </c>
      <c r="L11526" s="12"/>
      <c r="M11526" s="13"/>
      <c r="N11526" s="2"/>
      <c r="O11526" s="20"/>
      <c r="P11526" s="42"/>
      <c r="R11526" s="23"/>
    </row>
    <row r="11527" spans="1:18" ht="12.75">
      <c r="A11527" s="12"/>
      <c r="D11527" s="12"/>
      <c r="E11527" s="12"/>
      <c r="H11527" s="11" t="str">
        <f ca="1">IFERROR(__xludf.DUMMYFUNCTION("IFERROR(SUBSTITUTE(SUBSTITUTE(REGEXEXTRACT(A11527, ""[^-]+- [^-]+- [^-]+ - (.+?)\.jpg""), "".jpg"", """"), ""-"", "", ""), """")"),"")</f>
        <v/>
      </c>
      <c r="L11527" s="12"/>
      <c r="M11527" s="13"/>
      <c r="N11527" s="2"/>
      <c r="O11527" s="20"/>
      <c r="P11527" s="42"/>
      <c r="R11527" s="23"/>
    </row>
    <row r="11528" spans="1:18" ht="12.75">
      <c r="A11528" s="12"/>
      <c r="D11528" s="12"/>
      <c r="E11528" s="12"/>
      <c r="H11528" s="11" t="str">
        <f ca="1">IFERROR(__xludf.DUMMYFUNCTION("IFERROR(SUBSTITUTE(SUBSTITUTE(REGEXEXTRACT(A11528, ""[^-]+- [^-]+- [^-]+ - (.+?)\.jpg""), "".jpg"", """"), ""-"", "", ""), """")"),"")</f>
        <v/>
      </c>
      <c r="L11528" s="12"/>
      <c r="M11528" s="13"/>
      <c r="N11528" s="2"/>
      <c r="O11528" s="20"/>
      <c r="P11528" s="42"/>
      <c r="R11528" s="23"/>
    </row>
    <row r="11529" spans="1:18" ht="12.75">
      <c r="A11529" s="12"/>
      <c r="D11529" s="12"/>
      <c r="E11529" s="12"/>
      <c r="H11529" s="11" t="str">
        <f ca="1">IFERROR(__xludf.DUMMYFUNCTION("IFERROR(SUBSTITUTE(SUBSTITUTE(REGEXEXTRACT(A11529, ""[^-]+- [^-]+- [^-]+ - (.+?)\.jpg""), "".jpg"", """"), ""-"", "", ""), """")"),"")</f>
        <v/>
      </c>
      <c r="L11529" s="12"/>
      <c r="M11529" s="13"/>
      <c r="N11529" s="2"/>
      <c r="O11529" s="20"/>
      <c r="P11529" s="42"/>
      <c r="R11529" s="23"/>
    </row>
    <row r="11530" spans="1:18" ht="12.75">
      <c r="A11530" s="12"/>
      <c r="D11530" s="12"/>
      <c r="E11530" s="12"/>
      <c r="H11530" s="11" t="str">
        <f ca="1">IFERROR(__xludf.DUMMYFUNCTION("IFERROR(SUBSTITUTE(SUBSTITUTE(REGEXEXTRACT(A11530, ""[^-]+- [^-]+- [^-]+ - (.+?)\.jpg""), "".jpg"", """"), ""-"", "", ""), """")"),"")</f>
        <v/>
      </c>
      <c r="L11530" s="12"/>
      <c r="M11530" s="13"/>
      <c r="N11530" s="2"/>
      <c r="O11530" s="20"/>
      <c r="P11530" s="42"/>
      <c r="R11530" s="23"/>
    </row>
    <row r="11531" spans="1:18" ht="12.75">
      <c r="A11531" s="12"/>
      <c r="D11531" s="12"/>
      <c r="E11531" s="12"/>
      <c r="H11531" s="11" t="str">
        <f ca="1">IFERROR(__xludf.DUMMYFUNCTION("IFERROR(SUBSTITUTE(SUBSTITUTE(REGEXEXTRACT(A11531, ""[^-]+- [^-]+- [^-]+ - (.+?)\.jpg""), "".jpg"", """"), ""-"", "", ""), """")"),"")</f>
        <v/>
      </c>
      <c r="L11531" s="12"/>
      <c r="M11531" s="13"/>
      <c r="N11531" s="2"/>
      <c r="O11531" s="20"/>
      <c r="P11531" s="42"/>
      <c r="R11531" s="23"/>
    </row>
    <row r="11532" spans="1:18" ht="12.75">
      <c r="A11532" s="12"/>
      <c r="D11532" s="12"/>
      <c r="E11532" s="12"/>
      <c r="H11532" s="11" t="str">
        <f ca="1">IFERROR(__xludf.DUMMYFUNCTION("IFERROR(SUBSTITUTE(SUBSTITUTE(REGEXEXTRACT(A11532, ""[^-]+- [^-]+- [^-]+ - (.+?)\.jpg""), "".jpg"", """"), ""-"", "", ""), """")"),"")</f>
        <v/>
      </c>
      <c r="L11532" s="12"/>
      <c r="M11532" s="13"/>
      <c r="N11532" s="2"/>
      <c r="O11532" s="20"/>
      <c r="P11532" s="42"/>
      <c r="R11532" s="23"/>
    </row>
    <row r="11533" spans="1:18" ht="12.75">
      <c r="A11533" s="12"/>
      <c r="D11533" s="12"/>
      <c r="E11533" s="12"/>
      <c r="H11533" s="11" t="str">
        <f ca="1">IFERROR(__xludf.DUMMYFUNCTION("IFERROR(SUBSTITUTE(SUBSTITUTE(REGEXEXTRACT(A11533, ""[^-]+- [^-]+- [^-]+ - (.+?)\.jpg""), "".jpg"", """"), ""-"", "", ""), """")"),"")</f>
        <v/>
      </c>
      <c r="L11533" s="12"/>
      <c r="M11533" s="13"/>
      <c r="N11533" s="2"/>
      <c r="O11533" s="20"/>
      <c r="P11533" s="42"/>
      <c r="R11533" s="23"/>
    </row>
    <row r="11534" spans="1:18" ht="12.75">
      <c r="A11534" s="12"/>
      <c r="D11534" s="12"/>
      <c r="E11534" s="12"/>
      <c r="H11534" s="11" t="str">
        <f ca="1">IFERROR(__xludf.DUMMYFUNCTION("IFERROR(SUBSTITUTE(SUBSTITUTE(REGEXEXTRACT(A11534, ""[^-]+- [^-]+- [^-]+ - (.+?)\.jpg""), "".jpg"", """"), ""-"", "", ""), """")"),"")</f>
        <v/>
      </c>
      <c r="L11534" s="12"/>
      <c r="M11534" s="13"/>
      <c r="N11534" s="2"/>
      <c r="O11534" s="20"/>
      <c r="P11534" s="42"/>
      <c r="R11534" s="23"/>
    </row>
    <row r="11535" spans="1:18" ht="12.75">
      <c r="A11535" s="12"/>
      <c r="D11535" s="12"/>
      <c r="E11535" s="12"/>
      <c r="H11535" s="11" t="str">
        <f ca="1">IFERROR(__xludf.DUMMYFUNCTION("IFERROR(SUBSTITUTE(SUBSTITUTE(REGEXEXTRACT(A11535, ""[^-]+- [^-]+- [^-]+ - (.+?)\.jpg""), "".jpg"", """"), ""-"", "", ""), """")"),"")</f>
        <v/>
      </c>
      <c r="L11535" s="12"/>
      <c r="M11535" s="13"/>
      <c r="N11535" s="2"/>
      <c r="O11535" s="20"/>
      <c r="P11535" s="42"/>
      <c r="R11535" s="23"/>
    </row>
    <row r="11536" spans="1:18" ht="12.75">
      <c r="A11536" s="12"/>
      <c r="D11536" s="12"/>
      <c r="E11536" s="12"/>
      <c r="H11536" s="11" t="str">
        <f ca="1">IFERROR(__xludf.DUMMYFUNCTION("IFERROR(SUBSTITUTE(SUBSTITUTE(REGEXEXTRACT(A11536, ""[^-]+- [^-]+- [^-]+ - (.+?)\.jpg""), "".jpg"", """"), ""-"", "", ""), """")"),"")</f>
        <v/>
      </c>
      <c r="L11536" s="12"/>
      <c r="M11536" s="13"/>
      <c r="N11536" s="2"/>
      <c r="O11536" s="20"/>
      <c r="P11536" s="42"/>
      <c r="R11536" s="23"/>
    </row>
    <row r="11537" spans="1:18" ht="12.75">
      <c r="A11537" s="12"/>
      <c r="D11537" s="12"/>
      <c r="E11537" s="12"/>
      <c r="H11537" s="11" t="str">
        <f ca="1">IFERROR(__xludf.DUMMYFUNCTION("IFERROR(SUBSTITUTE(SUBSTITUTE(REGEXEXTRACT(A11537, ""[^-]+- [^-]+- [^-]+ - (.+?)\.jpg""), "".jpg"", """"), ""-"", "", ""), """")"),"")</f>
        <v/>
      </c>
      <c r="L11537" s="12"/>
      <c r="M11537" s="13"/>
      <c r="N11537" s="2"/>
      <c r="O11537" s="20"/>
      <c r="P11537" s="42"/>
      <c r="R11537" s="23"/>
    </row>
    <row r="11538" spans="1:18" ht="12.75">
      <c r="A11538" s="12"/>
      <c r="D11538" s="12"/>
      <c r="E11538" s="12"/>
      <c r="H11538" s="11" t="str">
        <f ca="1">IFERROR(__xludf.DUMMYFUNCTION("IFERROR(SUBSTITUTE(SUBSTITUTE(REGEXEXTRACT(A11538, ""[^-]+- [^-]+- [^-]+ - (.+?)\.jpg""), "".jpg"", """"), ""-"", "", ""), """")"),"")</f>
        <v/>
      </c>
      <c r="L11538" s="12"/>
      <c r="M11538" s="13"/>
      <c r="N11538" s="2"/>
      <c r="O11538" s="20"/>
      <c r="P11538" s="42"/>
      <c r="R11538" s="23"/>
    </row>
    <row r="11539" spans="1:18" ht="12.75">
      <c r="A11539" s="12"/>
      <c r="D11539" s="12"/>
      <c r="E11539" s="12"/>
      <c r="H11539" s="11" t="str">
        <f ca="1">IFERROR(__xludf.DUMMYFUNCTION("IFERROR(SUBSTITUTE(SUBSTITUTE(REGEXEXTRACT(A11539, ""[^-]+- [^-]+- [^-]+ - (.+?)\.jpg""), "".jpg"", """"), ""-"", "", ""), """")"),"")</f>
        <v/>
      </c>
      <c r="L11539" s="12"/>
      <c r="M11539" s="13"/>
      <c r="N11539" s="2"/>
      <c r="O11539" s="20"/>
      <c r="P11539" s="42"/>
      <c r="R11539" s="23"/>
    </row>
    <row r="11540" spans="1:18" ht="12.75">
      <c r="A11540" s="12"/>
      <c r="D11540" s="12"/>
      <c r="E11540" s="12"/>
      <c r="H11540" s="11" t="str">
        <f ca="1">IFERROR(__xludf.DUMMYFUNCTION("IFERROR(SUBSTITUTE(SUBSTITUTE(REGEXEXTRACT(A11540, ""[^-]+- [^-]+- [^-]+ - (.+?)\.jpg""), "".jpg"", """"), ""-"", "", ""), """")"),"")</f>
        <v/>
      </c>
      <c r="L11540" s="12"/>
      <c r="M11540" s="13"/>
      <c r="N11540" s="2"/>
      <c r="O11540" s="20"/>
      <c r="P11540" s="42"/>
      <c r="R11540" s="23"/>
    </row>
    <row r="11541" spans="1:18" ht="12.75">
      <c r="A11541" s="12"/>
      <c r="D11541" s="12"/>
      <c r="E11541" s="12"/>
      <c r="H11541" s="11" t="str">
        <f ca="1">IFERROR(__xludf.DUMMYFUNCTION("IFERROR(SUBSTITUTE(SUBSTITUTE(REGEXEXTRACT(A11541, ""[^-]+- [^-]+- [^-]+ - (.+?)\.jpg""), "".jpg"", """"), ""-"", "", ""), """")"),"")</f>
        <v/>
      </c>
      <c r="L11541" s="12"/>
      <c r="M11541" s="13"/>
      <c r="N11541" s="2"/>
      <c r="O11541" s="20"/>
      <c r="P11541" s="42"/>
      <c r="R11541" s="23"/>
    </row>
    <row r="11542" spans="1:18" ht="12.75">
      <c r="A11542" s="12"/>
      <c r="D11542" s="12"/>
      <c r="E11542" s="12"/>
      <c r="H11542" s="11" t="str">
        <f ca="1">IFERROR(__xludf.DUMMYFUNCTION("IFERROR(SUBSTITUTE(SUBSTITUTE(REGEXEXTRACT(A11542, ""[^-]+- [^-]+- [^-]+ - (.+?)\.jpg""), "".jpg"", """"), ""-"", "", ""), """")"),"")</f>
        <v/>
      </c>
      <c r="L11542" s="12"/>
      <c r="M11542" s="13"/>
      <c r="N11542" s="2"/>
      <c r="O11542" s="20"/>
      <c r="P11542" s="42"/>
      <c r="R11542" s="23"/>
    </row>
    <row r="11543" spans="1:18" ht="12.75">
      <c r="A11543" s="12"/>
      <c r="D11543" s="12"/>
      <c r="E11543" s="12"/>
      <c r="H11543" s="11" t="str">
        <f ca="1">IFERROR(__xludf.DUMMYFUNCTION("IFERROR(SUBSTITUTE(SUBSTITUTE(REGEXEXTRACT(A11543, ""[^-]+- [^-]+- [^-]+ - (.+?)\.jpg""), "".jpg"", """"), ""-"", "", ""), """")"),"")</f>
        <v/>
      </c>
      <c r="L11543" s="12"/>
      <c r="M11543" s="13"/>
      <c r="N11543" s="2"/>
      <c r="O11543" s="20"/>
      <c r="P11543" s="42"/>
      <c r="R11543" s="23"/>
    </row>
    <row r="11544" spans="1:18" ht="12.75">
      <c r="A11544" s="12"/>
      <c r="D11544" s="12"/>
      <c r="E11544" s="12"/>
      <c r="H11544" s="11" t="str">
        <f ca="1">IFERROR(__xludf.DUMMYFUNCTION("IFERROR(SUBSTITUTE(SUBSTITUTE(REGEXEXTRACT(A11544, ""[^-]+- [^-]+- [^-]+ - (.+?)\.jpg""), "".jpg"", """"), ""-"", "", ""), """")"),"")</f>
        <v/>
      </c>
      <c r="L11544" s="12"/>
      <c r="M11544" s="13"/>
      <c r="N11544" s="2"/>
      <c r="O11544" s="20"/>
      <c r="P11544" s="42"/>
      <c r="R11544" s="23"/>
    </row>
    <row r="11545" spans="1:18" ht="12.75">
      <c r="A11545" s="12"/>
      <c r="D11545" s="12"/>
      <c r="E11545" s="12"/>
      <c r="H11545" s="11" t="str">
        <f ca="1">IFERROR(__xludf.DUMMYFUNCTION("IFERROR(SUBSTITUTE(SUBSTITUTE(REGEXEXTRACT(A11545, ""[^-]+- [^-]+- [^-]+ - (.+?)\.jpg""), "".jpg"", """"), ""-"", "", ""), """")"),"")</f>
        <v/>
      </c>
      <c r="L11545" s="12"/>
      <c r="M11545" s="13"/>
      <c r="N11545" s="2"/>
      <c r="O11545" s="20"/>
      <c r="P11545" s="42"/>
      <c r="R11545" s="23"/>
    </row>
    <row r="11546" spans="1:18" ht="12.75">
      <c r="A11546" s="12"/>
      <c r="D11546" s="12"/>
      <c r="E11546" s="12"/>
      <c r="H11546" s="11" t="str">
        <f ca="1">IFERROR(__xludf.DUMMYFUNCTION("IFERROR(SUBSTITUTE(SUBSTITUTE(REGEXEXTRACT(A11546, ""[^-]+- [^-]+- [^-]+ - (.+?)\.jpg""), "".jpg"", """"), ""-"", "", ""), """")"),"")</f>
        <v/>
      </c>
      <c r="L11546" s="12"/>
      <c r="M11546" s="13"/>
      <c r="N11546" s="2"/>
      <c r="O11546" s="20"/>
      <c r="P11546" s="42"/>
      <c r="R11546" s="23"/>
    </row>
    <row r="11547" spans="1:18" ht="12.75">
      <c r="A11547" s="12"/>
      <c r="D11547" s="12"/>
      <c r="E11547" s="12"/>
      <c r="H11547" s="11" t="str">
        <f ca="1">IFERROR(__xludf.DUMMYFUNCTION("IFERROR(SUBSTITUTE(SUBSTITUTE(REGEXEXTRACT(A11547, ""[^-]+- [^-]+- [^-]+ - (.+?)\.jpg""), "".jpg"", """"), ""-"", "", ""), """")"),"")</f>
        <v/>
      </c>
      <c r="L11547" s="12"/>
      <c r="M11547" s="13"/>
      <c r="N11547" s="2"/>
      <c r="O11547" s="20"/>
      <c r="P11547" s="42"/>
      <c r="R11547" s="23"/>
    </row>
    <row r="11548" spans="1:18" ht="12.75">
      <c r="A11548" s="12"/>
      <c r="D11548" s="12"/>
      <c r="E11548" s="12"/>
      <c r="H11548" s="11" t="str">
        <f ca="1">IFERROR(__xludf.DUMMYFUNCTION("IFERROR(SUBSTITUTE(SUBSTITUTE(REGEXEXTRACT(A11548, ""[^-]+- [^-]+- [^-]+ - (.+?)\.jpg""), "".jpg"", """"), ""-"", "", ""), """")"),"")</f>
        <v/>
      </c>
      <c r="L11548" s="12"/>
      <c r="M11548" s="13"/>
      <c r="N11548" s="2"/>
      <c r="O11548" s="20"/>
      <c r="P11548" s="42"/>
      <c r="R11548" s="23"/>
    </row>
    <row r="11549" spans="1:18" ht="12.75">
      <c r="A11549" s="12"/>
      <c r="D11549" s="12"/>
      <c r="E11549" s="12"/>
      <c r="H11549" s="11" t="str">
        <f ca="1">IFERROR(__xludf.DUMMYFUNCTION("IFERROR(SUBSTITUTE(SUBSTITUTE(REGEXEXTRACT(A11549, ""[^-]+- [^-]+- [^-]+ - (.+?)\.jpg""), "".jpg"", """"), ""-"", "", ""), """")"),"")</f>
        <v/>
      </c>
      <c r="L11549" s="12"/>
      <c r="M11549" s="13"/>
      <c r="N11549" s="2"/>
      <c r="O11549" s="20"/>
      <c r="P11549" s="42"/>
      <c r="R11549" s="23"/>
    </row>
    <row r="11550" spans="1:18" ht="12.75">
      <c r="A11550" s="12"/>
      <c r="D11550" s="12"/>
      <c r="E11550" s="12"/>
      <c r="H11550" s="11" t="str">
        <f ca="1">IFERROR(__xludf.DUMMYFUNCTION("IFERROR(SUBSTITUTE(SUBSTITUTE(REGEXEXTRACT(A11550, ""[^-]+- [^-]+- [^-]+ - (.+?)\.jpg""), "".jpg"", """"), ""-"", "", ""), """")"),"")</f>
        <v/>
      </c>
      <c r="L11550" s="12"/>
      <c r="M11550" s="13"/>
      <c r="N11550" s="2"/>
      <c r="O11550" s="20"/>
      <c r="P11550" s="42"/>
      <c r="R11550" s="23"/>
    </row>
    <row r="11551" spans="1:18" ht="12.75">
      <c r="A11551" s="12"/>
      <c r="D11551" s="12"/>
      <c r="E11551" s="12"/>
      <c r="H11551" s="11" t="str">
        <f ca="1">IFERROR(__xludf.DUMMYFUNCTION("IFERROR(SUBSTITUTE(SUBSTITUTE(REGEXEXTRACT(A11551, ""[^-]+- [^-]+- [^-]+ - (.+?)\.jpg""), "".jpg"", """"), ""-"", "", ""), """")"),"")</f>
        <v/>
      </c>
      <c r="L11551" s="12"/>
      <c r="M11551" s="13"/>
      <c r="N11551" s="2"/>
      <c r="O11551" s="20"/>
      <c r="P11551" s="42"/>
      <c r="R11551" s="23"/>
    </row>
    <row r="11552" spans="1:18" ht="12.75">
      <c r="A11552" s="12"/>
      <c r="D11552" s="12"/>
      <c r="E11552" s="12"/>
      <c r="H11552" s="11" t="str">
        <f ca="1">IFERROR(__xludf.DUMMYFUNCTION("IFERROR(SUBSTITUTE(SUBSTITUTE(REGEXEXTRACT(A11552, ""[^-]+- [^-]+- [^-]+ - (.+?)\.jpg""), "".jpg"", """"), ""-"", "", ""), """")"),"")</f>
        <v/>
      </c>
      <c r="L11552" s="12"/>
      <c r="M11552" s="13"/>
      <c r="N11552" s="2"/>
      <c r="O11552" s="20"/>
      <c r="P11552" s="42"/>
      <c r="R11552" s="23"/>
    </row>
    <row r="11553" spans="1:18" ht="12.75">
      <c r="A11553" s="12"/>
      <c r="D11553" s="12"/>
      <c r="E11553" s="12"/>
      <c r="H11553" s="11" t="str">
        <f ca="1">IFERROR(__xludf.DUMMYFUNCTION("IFERROR(SUBSTITUTE(SUBSTITUTE(REGEXEXTRACT(A11553, ""[^-]+- [^-]+- [^-]+ - (.+?)\.jpg""), "".jpg"", """"), ""-"", "", ""), """")"),"")</f>
        <v/>
      </c>
      <c r="L11553" s="12"/>
      <c r="M11553" s="13"/>
      <c r="N11553" s="2"/>
      <c r="O11553" s="20"/>
      <c r="P11553" s="42"/>
      <c r="R11553" s="23"/>
    </row>
    <row r="11554" spans="1:18" ht="12.75">
      <c r="A11554" s="12"/>
      <c r="D11554" s="12"/>
      <c r="E11554" s="12"/>
      <c r="H11554" s="11" t="str">
        <f ca="1">IFERROR(__xludf.DUMMYFUNCTION("IFERROR(SUBSTITUTE(SUBSTITUTE(REGEXEXTRACT(A11554, ""[^-]+- [^-]+- [^-]+ - (.+?)\.jpg""), "".jpg"", """"), ""-"", "", ""), """")"),"")</f>
        <v/>
      </c>
      <c r="L11554" s="12"/>
      <c r="M11554" s="13"/>
      <c r="N11554" s="2"/>
      <c r="O11554" s="20"/>
      <c r="P11554" s="42"/>
      <c r="R11554" s="23"/>
    </row>
    <row r="11555" spans="1:18" ht="12.75">
      <c r="A11555" s="12"/>
      <c r="D11555" s="12"/>
      <c r="E11555" s="12"/>
      <c r="H11555" s="11" t="str">
        <f ca="1">IFERROR(__xludf.DUMMYFUNCTION("IFERROR(SUBSTITUTE(SUBSTITUTE(REGEXEXTRACT(A11555, ""[^-]+- [^-]+- [^-]+ - (.+?)\.jpg""), "".jpg"", """"), ""-"", "", ""), """")"),"")</f>
        <v/>
      </c>
      <c r="L11555" s="12"/>
      <c r="M11555" s="13"/>
      <c r="N11555" s="2"/>
      <c r="O11555" s="20"/>
      <c r="P11555" s="42"/>
      <c r="R11555" s="23"/>
    </row>
    <row r="11556" spans="1:18" ht="12.75">
      <c r="A11556" s="12"/>
      <c r="D11556" s="12"/>
      <c r="E11556" s="12"/>
      <c r="H11556" s="11" t="str">
        <f ca="1">IFERROR(__xludf.DUMMYFUNCTION("IFERROR(SUBSTITUTE(SUBSTITUTE(REGEXEXTRACT(A11556, ""[^-]+- [^-]+- [^-]+ - (.+?)\.jpg""), "".jpg"", """"), ""-"", "", ""), """")"),"")</f>
        <v/>
      </c>
      <c r="L11556" s="12"/>
      <c r="M11556" s="13"/>
      <c r="N11556" s="2"/>
      <c r="O11556" s="20"/>
      <c r="P11556" s="42"/>
      <c r="R11556" s="23"/>
    </row>
    <row r="11557" spans="1:18" ht="12.75">
      <c r="A11557" s="12"/>
      <c r="D11557" s="12"/>
      <c r="E11557" s="12"/>
      <c r="H11557" s="11" t="str">
        <f ca="1">IFERROR(__xludf.DUMMYFUNCTION("IFERROR(SUBSTITUTE(SUBSTITUTE(REGEXEXTRACT(A11557, ""[^-]+- [^-]+- [^-]+ - (.+?)\.jpg""), "".jpg"", """"), ""-"", "", ""), """")"),"")</f>
        <v/>
      </c>
      <c r="L11557" s="12"/>
      <c r="M11557" s="13"/>
      <c r="N11557" s="2"/>
      <c r="O11557" s="20"/>
      <c r="P11557" s="42"/>
      <c r="R11557" s="23"/>
    </row>
    <row r="11558" spans="1:18" ht="12.75">
      <c r="A11558" s="12"/>
      <c r="D11558" s="12"/>
      <c r="E11558" s="12"/>
      <c r="H11558" s="11" t="str">
        <f ca="1">IFERROR(__xludf.DUMMYFUNCTION("IFERROR(SUBSTITUTE(SUBSTITUTE(REGEXEXTRACT(A11558, ""[^-]+- [^-]+- [^-]+ - (.+?)\.jpg""), "".jpg"", """"), ""-"", "", ""), """")"),"")</f>
        <v/>
      </c>
      <c r="L11558" s="12"/>
      <c r="M11558" s="13"/>
      <c r="N11558" s="2"/>
      <c r="O11558" s="20"/>
      <c r="P11558" s="42"/>
      <c r="R11558" s="23"/>
    </row>
    <row r="11559" spans="1:18" ht="12.75">
      <c r="A11559" s="12"/>
      <c r="D11559" s="12"/>
      <c r="E11559" s="12"/>
      <c r="H11559" s="11" t="str">
        <f ca="1">IFERROR(__xludf.DUMMYFUNCTION("IFERROR(SUBSTITUTE(SUBSTITUTE(REGEXEXTRACT(A11559, ""[^-]+- [^-]+- [^-]+ - (.+?)\.jpg""), "".jpg"", """"), ""-"", "", ""), """")"),"")</f>
        <v/>
      </c>
      <c r="L11559" s="12"/>
      <c r="M11559" s="13"/>
      <c r="N11559" s="2"/>
      <c r="O11559" s="20"/>
      <c r="P11559" s="42"/>
      <c r="R11559" s="23"/>
    </row>
    <row r="11560" spans="1:18" ht="12.75">
      <c r="A11560" s="12"/>
      <c r="D11560" s="12"/>
      <c r="E11560" s="12"/>
      <c r="H11560" s="11" t="str">
        <f ca="1">IFERROR(__xludf.DUMMYFUNCTION("IFERROR(SUBSTITUTE(SUBSTITUTE(REGEXEXTRACT(A11560, ""[^-]+- [^-]+- [^-]+ - (.+?)\.jpg""), "".jpg"", """"), ""-"", "", ""), """")"),"")</f>
        <v/>
      </c>
      <c r="L11560" s="12"/>
      <c r="M11560" s="13"/>
      <c r="N11560" s="2"/>
      <c r="O11560" s="20"/>
      <c r="P11560" s="42"/>
      <c r="R11560" s="23"/>
    </row>
    <row r="11561" spans="1:18" ht="12.75">
      <c r="A11561" s="12"/>
      <c r="D11561" s="12"/>
      <c r="E11561" s="12"/>
      <c r="H11561" s="11" t="str">
        <f ca="1">IFERROR(__xludf.DUMMYFUNCTION("IFERROR(SUBSTITUTE(SUBSTITUTE(REGEXEXTRACT(A11561, ""[^-]+- [^-]+- [^-]+ - (.+?)\.jpg""), "".jpg"", """"), ""-"", "", ""), """")"),"")</f>
        <v/>
      </c>
      <c r="L11561" s="12"/>
      <c r="M11561" s="13"/>
      <c r="N11561" s="2"/>
      <c r="O11561" s="20"/>
      <c r="P11561" s="42"/>
      <c r="R11561" s="23"/>
    </row>
    <row r="11562" spans="1:18" ht="12.75">
      <c r="A11562" s="12"/>
      <c r="D11562" s="12"/>
      <c r="E11562" s="12"/>
      <c r="H11562" s="11" t="str">
        <f ca="1">IFERROR(__xludf.DUMMYFUNCTION("IFERROR(SUBSTITUTE(SUBSTITUTE(REGEXEXTRACT(A11562, ""[^-]+- [^-]+- [^-]+ - (.+?)\.jpg""), "".jpg"", """"), ""-"", "", ""), """")"),"")</f>
        <v/>
      </c>
      <c r="L11562" s="12"/>
      <c r="M11562" s="13"/>
      <c r="N11562" s="2"/>
      <c r="O11562" s="20"/>
      <c r="P11562" s="42"/>
      <c r="R11562" s="23"/>
    </row>
    <row r="11563" spans="1:18" ht="12.75">
      <c r="A11563" s="12"/>
      <c r="D11563" s="12"/>
      <c r="E11563" s="12"/>
      <c r="H11563" s="11" t="str">
        <f ca="1">IFERROR(__xludf.DUMMYFUNCTION("IFERROR(SUBSTITUTE(SUBSTITUTE(REGEXEXTRACT(A11563, ""[^-]+- [^-]+- [^-]+ - (.+?)\.jpg""), "".jpg"", """"), ""-"", "", ""), """")"),"")</f>
        <v/>
      </c>
      <c r="L11563" s="12"/>
      <c r="M11563" s="13"/>
      <c r="N11563" s="2"/>
      <c r="O11563" s="20"/>
      <c r="P11563" s="42"/>
      <c r="R11563" s="23"/>
    </row>
    <row r="11564" spans="1:18" ht="12.75">
      <c r="A11564" s="12"/>
      <c r="D11564" s="12"/>
      <c r="E11564" s="12"/>
      <c r="H11564" s="11" t="str">
        <f ca="1">IFERROR(__xludf.DUMMYFUNCTION("IFERROR(SUBSTITUTE(SUBSTITUTE(REGEXEXTRACT(A11564, ""[^-]+- [^-]+- [^-]+ - (.+?)\.jpg""), "".jpg"", """"), ""-"", "", ""), """")"),"")</f>
        <v/>
      </c>
      <c r="L11564" s="12"/>
      <c r="M11564" s="13"/>
      <c r="N11564" s="2"/>
      <c r="O11564" s="20"/>
      <c r="P11564" s="42"/>
      <c r="R11564" s="23"/>
    </row>
    <row r="11565" spans="1:18" ht="12.75">
      <c r="A11565" s="12"/>
      <c r="D11565" s="12"/>
      <c r="E11565" s="12"/>
      <c r="H11565" s="11" t="str">
        <f ca="1">IFERROR(__xludf.DUMMYFUNCTION("IFERROR(SUBSTITUTE(SUBSTITUTE(REGEXEXTRACT(A11565, ""[^-]+- [^-]+- [^-]+ - (.+?)\.jpg""), "".jpg"", """"), ""-"", "", ""), """")"),"")</f>
        <v/>
      </c>
      <c r="L11565" s="12"/>
      <c r="M11565" s="13"/>
      <c r="N11565" s="2"/>
      <c r="O11565" s="20"/>
      <c r="P11565" s="42"/>
      <c r="R11565" s="23"/>
    </row>
    <row r="11566" spans="1:18" ht="12.75">
      <c r="A11566" s="12"/>
      <c r="D11566" s="12"/>
      <c r="E11566" s="12"/>
      <c r="H11566" s="11" t="str">
        <f ca="1">IFERROR(__xludf.DUMMYFUNCTION("IFERROR(SUBSTITUTE(SUBSTITUTE(REGEXEXTRACT(A11566, ""[^-]+- [^-]+- [^-]+ - (.+?)\.jpg""), "".jpg"", """"), ""-"", "", ""), """")"),"")</f>
        <v/>
      </c>
      <c r="L11566" s="12"/>
      <c r="M11566" s="13"/>
      <c r="N11566" s="2"/>
      <c r="O11566" s="20"/>
      <c r="P11566" s="42"/>
      <c r="R11566" s="23"/>
    </row>
    <row r="11567" spans="1:18" ht="12.75">
      <c r="A11567" s="12"/>
      <c r="D11567" s="12"/>
      <c r="E11567" s="12"/>
      <c r="H11567" s="11" t="str">
        <f ca="1">IFERROR(__xludf.DUMMYFUNCTION("IFERROR(SUBSTITUTE(SUBSTITUTE(REGEXEXTRACT(A11567, ""[^-]+- [^-]+- [^-]+ - (.+?)\.jpg""), "".jpg"", """"), ""-"", "", ""), """")"),"")</f>
        <v/>
      </c>
      <c r="L11567" s="12"/>
      <c r="M11567" s="13"/>
      <c r="N11567" s="2"/>
      <c r="O11567" s="20"/>
      <c r="P11567" s="42"/>
      <c r="R11567" s="23"/>
    </row>
    <row r="11568" spans="1:18" ht="12.75">
      <c r="A11568" s="12"/>
      <c r="D11568" s="12"/>
      <c r="E11568" s="12"/>
      <c r="H11568" s="11" t="str">
        <f ca="1">IFERROR(__xludf.DUMMYFUNCTION("IFERROR(SUBSTITUTE(SUBSTITUTE(REGEXEXTRACT(A11568, ""[^-]+- [^-]+- [^-]+ - (.+?)\.jpg""), "".jpg"", """"), ""-"", "", ""), """")"),"")</f>
        <v/>
      </c>
      <c r="L11568" s="12"/>
      <c r="M11568" s="13"/>
      <c r="N11568" s="2"/>
      <c r="O11568" s="20"/>
      <c r="P11568" s="42"/>
      <c r="R11568" s="23"/>
    </row>
    <row r="11569" spans="1:18" ht="12.75">
      <c r="A11569" s="12"/>
      <c r="D11569" s="12"/>
      <c r="E11569" s="12"/>
      <c r="H11569" s="11" t="str">
        <f ca="1">IFERROR(__xludf.DUMMYFUNCTION("IFERROR(SUBSTITUTE(SUBSTITUTE(REGEXEXTRACT(A11569, ""[^-]+- [^-]+- [^-]+ - (.+?)\.jpg""), "".jpg"", """"), ""-"", "", ""), """")"),"")</f>
        <v/>
      </c>
      <c r="L11569" s="12"/>
      <c r="M11569" s="13"/>
      <c r="N11569" s="2"/>
      <c r="O11569" s="20"/>
      <c r="P11569" s="42"/>
      <c r="R11569" s="23"/>
    </row>
    <row r="11570" spans="1:18" ht="12.75">
      <c r="A11570" s="12"/>
      <c r="D11570" s="12"/>
      <c r="E11570" s="12"/>
      <c r="H11570" s="11" t="str">
        <f ca="1">IFERROR(__xludf.DUMMYFUNCTION("IFERROR(SUBSTITUTE(SUBSTITUTE(REGEXEXTRACT(A11570, ""[^-]+- [^-]+- [^-]+ - (.+?)\.jpg""), "".jpg"", """"), ""-"", "", ""), """")"),"")</f>
        <v/>
      </c>
      <c r="L11570" s="12"/>
      <c r="M11570" s="13"/>
      <c r="N11570" s="2"/>
      <c r="O11570" s="20"/>
      <c r="P11570" s="42"/>
      <c r="R11570" s="23"/>
    </row>
    <row r="11571" spans="1:18" ht="12.75">
      <c r="A11571" s="12"/>
      <c r="D11571" s="12"/>
      <c r="E11571" s="12"/>
      <c r="H11571" s="11" t="str">
        <f ca="1">IFERROR(__xludf.DUMMYFUNCTION("IFERROR(SUBSTITUTE(SUBSTITUTE(REGEXEXTRACT(A11571, ""[^-]+- [^-]+- [^-]+ - (.+?)\.jpg""), "".jpg"", """"), ""-"", "", ""), """")"),"")</f>
        <v/>
      </c>
      <c r="L11571" s="12"/>
      <c r="M11571" s="13"/>
      <c r="N11571" s="2"/>
      <c r="O11571" s="20"/>
      <c r="P11571" s="42"/>
      <c r="R11571" s="23"/>
    </row>
    <row r="11572" spans="1:18" ht="12.75">
      <c r="A11572" s="12"/>
      <c r="D11572" s="12"/>
      <c r="E11572" s="12"/>
      <c r="H11572" s="11" t="str">
        <f ca="1">IFERROR(__xludf.DUMMYFUNCTION("IFERROR(SUBSTITUTE(SUBSTITUTE(REGEXEXTRACT(A11572, ""[^-]+- [^-]+- [^-]+ - (.+?)\.jpg""), "".jpg"", """"), ""-"", "", ""), """")"),"")</f>
        <v/>
      </c>
      <c r="L11572" s="12"/>
      <c r="M11572" s="13"/>
      <c r="N11572" s="2"/>
      <c r="O11572" s="20"/>
      <c r="P11572" s="42"/>
      <c r="R11572" s="23"/>
    </row>
    <row r="11573" spans="1:18" ht="12.75">
      <c r="A11573" s="12"/>
      <c r="D11573" s="12"/>
      <c r="E11573" s="12"/>
      <c r="H11573" s="11" t="str">
        <f ca="1">IFERROR(__xludf.DUMMYFUNCTION("IFERROR(SUBSTITUTE(SUBSTITUTE(REGEXEXTRACT(A11573, ""[^-]+- [^-]+- [^-]+ - (.+?)\.jpg""), "".jpg"", """"), ""-"", "", ""), """")"),"")</f>
        <v/>
      </c>
      <c r="L11573" s="12"/>
      <c r="M11573" s="13"/>
      <c r="N11573" s="2"/>
      <c r="O11573" s="20"/>
      <c r="P11573" s="42"/>
      <c r="R11573" s="23"/>
    </row>
    <row r="11574" spans="1:18" ht="12.75">
      <c r="A11574" s="12"/>
      <c r="D11574" s="12"/>
      <c r="E11574" s="12"/>
      <c r="H11574" s="11" t="str">
        <f ca="1">IFERROR(__xludf.DUMMYFUNCTION("IFERROR(SUBSTITUTE(SUBSTITUTE(REGEXEXTRACT(A11574, ""[^-]+- [^-]+- [^-]+ - (.+?)\.jpg""), "".jpg"", """"), ""-"", "", ""), """")"),"")</f>
        <v/>
      </c>
      <c r="L11574" s="12"/>
      <c r="M11574" s="13"/>
      <c r="N11574" s="2"/>
      <c r="O11574" s="20"/>
      <c r="P11574" s="42"/>
      <c r="R11574" s="23"/>
    </row>
    <row r="11575" spans="1:18" ht="12.75">
      <c r="A11575" s="12"/>
      <c r="D11575" s="12"/>
      <c r="E11575" s="12"/>
      <c r="H11575" s="11" t="str">
        <f ca="1">IFERROR(__xludf.DUMMYFUNCTION("IFERROR(SUBSTITUTE(SUBSTITUTE(REGEXEXTRACT(A11575, ""[^-]+- [^-]+- [^-]+ - (.+?)\.jpg""), "".jpg"", """"), ""-"", "", ""), """")"),"")</f>
        <v/>
      </c>
      <c r="L11575" s="12"/>
      <c r="M11575" s="13"/>
      <c r="N11575" s="2"/>
      <c r="O11575" s="20"/>
      <c r="P11575" s="42"/>
      <c r="R11575" s="23"/>
    </row>
    <row r="11576" spans="1:18" ht="12.75">
      <c r="A11576" s="12"/>
      <c r="D11576" s="12"/>
      <c r="E11576" s="12"/>
      <c r="H11576" s="11" t="str">
        <f ca="1">IFERROR(__xludf.DUMMYFUNCTION("IFERROR(SUBSTITUTE(SUBSTITUTE(REGEXEXTRACT(A11576, ""[^-]+- [^-]+- [^-]+ - (.+?)\.jpg""), "".jpg"", """"), ""-"", "", ""), """")"),"")</f>
        <v/>
      </c>
      <c r="L11576" s="12"/>
      <c r="M11576" s="13"/>
      <c r="N11576" s="2"/>
      <c r="O11576" s="20"/>
      <c r="P11576" s="42"/>
      <c r="R11576" s="23"/>
    </row>
    <row r="11577" spans="1:18" ht="12.75">
      <c r="A11577" s="12"/>
      <c r="D11577" s="12"/>
      <c r="E11577" s="12"/>
      <c r="H11577" s="11" t="str">
        <f ca="1">IFERROR(__xludf.DUMMYFUNCTION("IFERROR(SUBSTITUTE(SUBSTITUTE(REGEXEXTRACT(A11577, ""[^-]+- [^-]+- [^-]+ - (.+?)\.jpg""), "".jpg"", """"), ""-"", "", ""), """")"),"")</f>
        <v/>
      </c>
      <c r="L11577" s="12"/>
      <c r="M11577" s="13"/>
      <c r="N11577" s="2"/>
      <c r="O11577" s="20"/>
      <c r="P11577" s="42"/>
      <c r="R11577" s="23"/>
    </row>
    <row r="11578" spans="1:18" ht="12.75">
      <c r="A11578" s="12"/>
      <c r="D11578" s="12"/>
      <c r="E11578" s="12"/>
      <c r="H11578" s="11" t="str">
        <f ca="1">IFERROR(__xludf.DUMMYFUNCTION("IFERROR(SUBSTITUTE(SUBSTITUTE(REGEXEXTRACT(A11578, ""[^-]+- [^-]+- [^-]+ - (.+?)\.jpg""), "".jpg"", """"), ""-"", "", ""), """")"),"")</f>
        <v/>
      </c>
      <c r="L11578" s="12"/>
      <c r="M11578" s="13"/>
      <c r="N11578" s="2"/>
      <c r="O11578" s="20"/>
      <c r="P11578" s="42"/>
      <c r="R11578" s="23"/>
    </row>
    <row r="11579" spans="1:18" ht="12.75">
      <c r="A11579" s="12"/>
      <c r="D11579" s="12"/>
      <c r="E11579" s="12"/>
      <c r="H11579" s="11" t="str">
        <f ca="1">IFERROR(__xludf.DUMMYFUNCTION("IFERROR(SUBSTITUTE(SUBSTITUTE(REGEXEXTRACT(A11579, ""[^-]+- [^-]+- [^-]+ - (.+?)\.jpg""), "".jpg"", """"), ""-"", "", ""), """")"),"")</f>
        <v/>
      </c>
      <c r="L11579" s="12"/>
      <c r="M11579" s="13"/>
      <c r="N11579" s="2"/>
      <c r="O11579" s="20"/>
      <c r="P11579" s="42"/>
      <c r="R11579" s="23"/>
    </row>
    <row r="11580" spans="1:18" ht="12.75">
      <c r="A11580" s="12"/>
      <c r="D11580" s="12"/>
      <c r="E11580" s="12"/>
      <c r="H11580" s="11" t="str">
        <f ca="1">IFERROR(__xludf.DUMMYFUNCTION("IFERROR(SUBSTITUTE(SUBSTITUTE(REGEXEXTRACT(A11580, ""[^-]+- [^-]+- [^-]+ - (.+?)\.jpg""), "".jpg"", """"), ""-"", "", ""), """")"),"")</f>
        <v/>
      </c>
      <c r="L11580" s="12"/>
      <c r="M11580" s="13"/>
      <c r="N11580" s="2"/>
      <c r="O11580" s="20"/>
      <c r="P11580" s="42"/>
      <c r="R11580" s="23"/>
    </row>
    <row r="11581" spans="1:18" ht="12.75">
      <c r="A11581" s="12"/>
      <c r="D11581" s="12"/>
      <c r="E11581" s="12"/>
      <c r="H11581" s="11" t="str">
        <f ca="1">IFERROR(__xludf.DUMMYFUNCTION("IFERROR(SUBSTITUTE(SUBSTITUTE(REGEXEXTRACT(A11581, ""[^-]+- [^-]+- [^-]+ - (.+?)\.jpg""), "".jpg"", """"), ""-"", "", ""), """")"),"")</f>
        <v/>
      </c>
      <c r="L11581" s="12"/>
      <c r="M11581" s="13"/>
      <c r="N11581" s="2"/>
      <c r="O11581" s="20"/>
      <c r="P11581" s="42"/>
      <c r="R11581" s="23"/>
    </row>
    <row r="11582" spans="1:18" ht="12.75">
      <c r="A11582" s="12"/>
      <c r="D11582" s="12"/>
      <c r="E11582" s="12"/>
      <c r="H11582" s="11" t="str">
        <f ca="1">IFERROR(__xludf.DUMMYFUNCTION("IFERROR(SUBSTITUTE(SUBSTITUTE(REGEXEXTRACT(A11582, ""[^-]+- [^-]+- [^-]+ - (.+?)\.jpg""), "".jpg"", """"), ""-"", "", ""), """")"),"")</f>
        <v/>
      </c>
      <c r="L11582" s="12"/>
      <c r="M11582" s="13"/>
      <c r="N11582" s="2"/>
      <c r="O11582" s="20"/>
      <c r="P11582" s="42"/>
      <c r="R11582" s="23"/>
    </row>
    <row r="11583" spans="1:18" ht="12.75">
      <c r="A11583" s="12"/>
      <c r="D11583" s="12"/>
      <c r="E11583" s="12"/>
      <c r="H11583" s="11" t="str">
        <f ca="1">IFERROR(__xludf.DUMMYFUNCTION("IFERROR(SUBSTITUTE(SUBSTITUTE(REGEXEXTRACT(A11583, ""[^-]+- [^-]+- [^-]+ - (.+?)\.jpg""), "".jpg"", """"), ""-"", "", ""), """")"),"")</f>
        <v/>
      </c>
      <c r="L11583" s="12"/>
      <c r="M11583" s="13"/>
      <c r="N11583" s="2"/>
      <c r="O11583" s="20"/>
      <c r="P11583" s="42"/>
      <c r="R11583" s="23"/>
    </row>
    <row r="11584" spans="1:18" ht="12.75">
      <c r="A11584" s="12"/>
      <c r="D11584" s="12"/>
      <c r="E11584" s="12"/>
      <c r="H11584" s="11" t="str">
        <f ca="1">IFERROR(__xludf.DUMMYFUNCTION("IFERROR(SUBSTITUTE(SUBSTITUTE(REGEXEXTRACT(A11584, ""[^-]+- [^-]+- [^-]+ - (.+?)\.jpg""), "".jpg"", """"), ""-"", "", ""), """")"),"")</f>
        <v/>
      </c>
      <c r="L11584" s="12"/>
      <c r="M11584" s="13"/>
      <c r="N11584" s="2"/>
      <c r="O11584" s="20"/>
      <c r="P11584" s="42"/>
      <c r="R11584" s="23"/>
    </row>
    <row r="11585" spans="1:18" ht="12.75">
      <c r="A11585" s="12"/>
      <c r="D11585" s="12"/>
      <c r="E11585" s="12"/>
      <c r="H11585" s="11" t="str">
        <f ca="1">IFERROR(__xludf.DUMMYFUNCTION("IFERROR(SUBSTITUTE(SUBSTITUTE(REGEXEXTRACT(A11585, ""[^-]+- [^-]+- [^-]+ - (.+?)\.jpg""), "".jpg"", """"), ""-"", "", ""), """")"),"")</f>
        <v/>
      </c>
      <c r="L11585" s="12"/>
      <c r="M11585" s="13"/>
      <c r="N11585" s="2"/>
      <c r="O11585" s="20"/>
      <c r="P11585" s="42"/>
      <c r="R11585" s="23"/>
    </row>
    <row r="11586" spans="1:18" ht="12.75">
      <c r="A11586" s="12"/>
      <c r="D11586" s="12"/>
      <c r="E11586" s="12"/>
      <c r="H11586" s="11" t="str">
        <f ca="1">IFERROR(__xludf.DUMMYFUNCTION("IFERROR(SUBSTITUTE(SUBSTITUTE(REGEXEXTRACT(A11586, ""[^-]+- [^-]+- [^-]+ - (.+?)\.jpg""), "".jpg"", """"), ""-"", "", ""), """")"),"")</f>
        <v/>
      </c>
      <c r="L11586" s="12"/>
      <c r="M11586" s="13"/>
      <c r="N11586" s="2"/>
      <c r="O11586" s="20"/>
      <c r="P11586" s="42"/>
      <c r="R11586" s="23"/>
    </row>
    <row r="11587" spans="1:18" ht="12.75">
      <c r="A11587" s="12"/>
      <c r="D11587" s="12"/>
      <c r="E11587" s="12"/>
      <c r="H11587" s="11" t="str">
        <f ca="1">IFERROR(__xludf.DUMMYFUNCTION("IFERROR(SUBSTITUTE(SUBSTITUTE(REGEXEXTRACT(A11587, ""[^-]+- [^-]+- [^-]+ - (.+?)\.jpg""), "".jpg"", """"), ""-"", "", ""), """")"),"")</f>
        <v/>
      </c>
      <c r="L11587" s="12"/>
      <c r="M11587" s="13"/>
      <c r="N11587" s="2"/>
      <c r="O11587" s="20"/>
      <c r="P11587" s="42"/>
      <c r="R11587" s="23"/>
    </row>
    <row r="11588" spans="1:18" ht="12.75">
      <c r="A11588" s="12"/>
      <c r="D11588" s="12"/>
      <c r="E11588" s="12"/>
      <c r="H11588" s="11" t="str">
        <f ca="1">IFERROR(__xludf.DUMMYFUNCTION("IFERROR(SUBSTITUTE(SUBSTITUTE(REGEXEXTRACT(A11588, ""[^-]+- [^-]+- [^-]+ - (.+?)\.jpg""), "".jpg"", """"), ""-"", "", ""), """")"),"")</f>
        <v/>
      </c>
      <c r="L11588" s="12"/>
      <c r="M11588" s="13"/>
      <c r="N11588" s="2"/>
      <c r="O11588" s="20"/>
      <c r="P11588" s="42"/>
      <c r="R11588" s="23"/>
    </row>
    <row r="11589" spans="1:18" ht="12.75">
      <c r="A11589" s="12"/>
      <c r="D11589" s="12"/>
      <c r="E11589" s="12"/>
      <c r="H11589" s="11" t="str">
        <f ca="1">IFERROR(__xludf.DUMMYFUNCTION("IFERROR(SUBSTITUTE(SUBSTITUTE(REGEXEXTRACT(A11589, ""[^-]+- [^-]+- [^-]+ - (.+?)\.jpg""), "".jpg"", """"), ""-"", "", ""), """")"),"")</f>
        <v/>
      </c>
      <c r="L11589" s="12"/>
      <c r="M11589" s="13"/>
      <c r="N11589" s="2"/>
      <c r="O11589" s="20"/>
      <c r="P11589" s="42"/>
      <c r="R11589" s="23"/>
    </row>
    <row r="11590" spans="1:18" ht="12.75">
      <c r="A11590" s="12"/>
      <c r="D11590" s="12"/>
      <c r="E11590" s="12"/>
      <c r="H11590" s="11" t="str">
        <f ca="1">IFERROR(__xludf.DUMMYFUNCTION("IFERROR(SUBSTITUTE(SUBSTITUTE(REGEXEXTRACT(A11590, ""[^-]+- [^-]+- [^-]+ - (.+?)\.jpg""), "".jpg"", """"), ""-"", "", ""), """")"),"")</f>
        <v/>
      </c>
      <c r="L11590" s="12"/>
      <c r="M11590" s="13"/>
      <c r="N11590" s="2"/>
      <c r="O11590" s="20"/>
      <c r="P11590" s="42"/>
      <c r="R11590" s="23"/>
    </row>
    <row r="11591" spans="1:18" ht="12.75">
      <c r="A11591" s="12"/>
      <c r="D11591" s="12"/>
      <c r="E11591" s="12"/>
      <c r="H11591" s="11" t="str">
        <f ca="1">IFERROR(__xludf.DUMMYFUNCTION("IFERROR(SUBSTITUTE(SUBSTITUTE(REGEXEXTRACT(A11591, ""[^-]+- [^-]+- [^-]+ - (.+?)\.jpg""), "".jpg"", """"), ""-"", "", ""), """")"),"")</f>
        <v/>
      </c>
      <c r="L11591" s="12"/>
      <c r="M11591" s="13"/>
      <c r="N11591" s="2"/>
      <c r="O11591" s="20"/>
      <c r="P11591" s="42"/>
      <c r="R11591" s="23"/>
    </row>
    <row r="11592" spans="1:18" ht="12.75">
      <c r="A11592" s="12"/>
      <c r="D11592" s="12"/>
      <c r="E11592" s="12"/>
      <c r="H11592" s="11" t="str">
        <f ca="1">IFERROR(__xludf.DUMMYFUNCTION("IFERROR(SUBSTITUTE(SUBSTITUTE(REGEXEXTRACT(A11592, ""[^-]+- [^-]+- [^-]+ - (.+?)\.jpg""), "".jpg"", """"), ""-"", "", ""), """")"),"")</f>
        <v/>
      </c>
      <c r="L11592" s="12"/>
      <c r="M11592" s="13"/>
      <c r="N11592" s="2"/>
      <c r="O11592" s="20"/>
      <c r="P11592" s="42"/>
      <c r="R11592" s="23"/>
    </row>
    <row r="11593" spans="1:18" ht="12.75">
      <c r="A11593" s="12"/>
      <c r="D11593" s="12"/>
      <c r="E11593" s="12"/>
      <c r="H11593" s="11" t="str">
        <f ca="1">IFERROR(__xludf.DUMMYFUNCTION("IFERROR(SUBSTITUTE(SUBSTITUTE(REGEXEXTRACT(A11593, ""[^-]+- [^-]+- [^-]+ - (.+?)\.jpg""), "".jpg"", """"), ""-"", "", ""), """")"),"")</f>
        <v/>
      </c>
      <c r="L11593" s="12"/>
      <c r="M11593" s="13"/>
      <c r="N11593" s="2"/>
      <c r="O11593" s="20"/>
      <c r="P11593" s="42"/>
      <c r="R11593" s="23"/>
    </row>
    <row r="11594" spans="1:18" ht="12.75">
      <c r="A11594" s="12"/>
      <c r="D11594" s="12"/>
      <c r="E11594" s="12"/>
      <c r="H11594" s="11" t="str">
        <f ca="1">IFERROR(__xludf.DUMMYFUNCTION("IFERROR(SUBSTITUTE(SUBSTITUTE(REGEXEXTRACT(A11594, ""[^-]+- [^-]+- [^-]+ - (.+?)\.jpg""), "".jpg"", """"), ""-"", "", ""), """")"),"")</f>
        <v/>
      </c>
      <c r="L11594" s="12"/>
      <c r="M11594" s="13"/>
      <c r="N11594" s="2"/>
      <c r="O11594" s="20"/>
      <c r="P11594" s="42"/>
      <c r="R11594" s="23"/>
    </row>
    <row r="11595" spans="1:18" ht="12.75">
      <c r="A11595" s="12"/>
      <c r="D11595" s="12"/>
      <c r="E11595" s="12"/>
      <c r="H11595" s="11" t="str">
        <f ca="1">IFERROR(__xludf.DUMMYFUNCTION("IFERROR(SUBSTITUTE(SUBSTITUTE(REGEXEXTRACT(A11595, ""[^-]+- [^-]+- [^-]+ - (.+?)\.jpg""), "".jpg"", """"), ""-"", "", ""), """")"),"")</f>
        <v/>
      </c>
      <c r="L11595" s="12"/>
      <c r="M11595" s="13"/>
      <c r="N11595" s="2"/>
      <c r="O11595" s="20"/>
      <c r="P11595" s="42"/>
      <c r="R11595" s="23"/>
    </row>
    <row r="11596" spans="1:18" ht="12.75">
      <c r="A11596" s="12"/>
      <c r="D11596" s="12"/>
      <c r="E11596" s="12"/>
      <c r="H11596" s="11" t="str">
        <f ca="1">IFERROR(__xludf.DUMMYFUNCTION("IFERROR(SUBSTITUTE(SUBSTITUTE(REGEXEXTRACT(A11596, ""[^-]+- [^-]+- [^-]+ - (.+?)\.jpg""), "".jpg"", """"), ""-"", "", ""), """")"),"")</f>
        <v/>
      </c>
      <c r="L11596" s="12"/>
      <c r="M11596" s="13"/>
      <c r="N11596" s="2"/>
      <c r="O11596" s="20"/>
      <c r="P11596" s="42"/>
      <c r="R11596" s="23"/>
    </row>
    <row r="11597" spans="1:18" ht="12.75">
      <c r="A11597" s="12"/>
      <c r="D11597" s="12"/>
      <c r="E11597" s="12"/>
      <c r="H11597" s="11" t="str">
        <f ca="1">IFERROR(__xludf.DUMMYFUNCTION("IFERROR(SUBSTITUTE(SUBSTITUTE(REGEXEXTRACT(A11597, ""[^-]+- [^-]+- [^-]+ - (.+?)\.jpg""), "".jpg"", """"), ""-"", "", ""), """")"),"")</f>
        <v/>
      </c>
      <c r="L11597" s="12"/>
      <c r="M11597" s="13"/>
      <c r="N11597" s="2"/>
      <c r="O11597" s="20"/>
      <c r="P11597" s="42"/>
      <c r="R11597" s="23"/>
    </row>
    <row r="11598" spans="1:18" ht="12.75">
      <c r="A11598" s="12"/>
      <c r="D11598" s="12"/>
      <c r="E11598" s="12"/>
      <c r="H11598" s="11" t="str">
        <f ca="1">IFERROR(__xludf.DUMMYFUNCTION("IFERROR(SUBSTITUTE(SUBSTITUTE(REGEXEXTRACT(A11598, ""[^-]+- [^-]+- [^-]+ - (.+?)\.jpg""), "".jpg"", """"), ""-"", "", ""), """")"),"")</f>
        <v/>
      </c>
      <c r="L11598" s="12"/>
      <c r="M11598" s="13"/>
      <c r="N11598" s="2"/>
      <c r="O11598" s="20"/>
      <c r="P11598" s="42"/>
      <c r="R11598" s="23"/>
    </row>
    <row r="11599" spans="1:18" ht="12.75">
      <c r="A11599" s="12"/>
      <c r="D11599" s="12"/>
      <c r="E11599" s="12"/>
      <c r="H11599" s="11" t="str">
        <f ca="1">IFERROR(__xludf.DUMMYFUNCTION("IFERROR(SUBSTITUTE(SUBSTITUTE(REGEXEXTRACT(A11599, ""[^-]+- [^-]+- [^-]+ - (.+?)\.jpg""), "".jpg"", """"), ""-"", "", ""), """")"),"")</f>
        <v/>
      </c>
      <c r="L11599" s="12"/>
      <c r="M11599" s="13"/>
      <c r="N11599" s="2"/>
      <c r="O11599" s="20"/>
      <c r="P11599" s="42"/>
      <c r="R11599" s="23"/>
    </row>
    <row r="11600" spans="1:18" ht="12.75">
      <c r="A11600" s="12"/>
      <c r="D11600" s="12"/>
      <c r="E11600" s="12"/>
      <c r="H11600" s="11" t="str">
        <f ca="1">IFERROR(__xludf.DUMMYFUNCTION("IFERROR(SUBSTITUTE(SUBSTITUTE(REGEXEXTRACT(A11600, ""[^-]+- [^-]+- [^-]+ - (.+?)\.jpg""), "".jpg"", """"), ""-"", "", ""), """")"),"")</f>
        <v/>
      </c>
      <c r="L11600" s="12"/>
      <c r="M11600" s="13"/>
      <c r="N11600" s="2"/>
      <c r="O11600" s="20"/>
      <c r="P11600" s="42"/>
      <c r="R11600" s="23"/>
    </row>
    <row r="11601" spans="1:18" ht="12.75">
      <c r="A11601" s="12"/>
      <c r="D11601" s="12"/>
      <c r="E11601" s="12"/>
      <c r="H11601" s="11" t="str">
        <f ca="1">IFERROR(__xludf.DUMMYFUNCTION("IFERROR(SUBSTITUTE(SUBSTITUTE(REGEXEXTRACT(A11601, ""[^-]+- [^-]+- [^-]+ - (.+?)\.jpg""), "".jpg"", """"), ""-"", "", ""), """")"),"")</f>
        <v/>
      </c>
      <c r="L11601" s="12"/>
      <c r="M11601" s="13"/>
      <c r="N11601" s="2"/>
      <c r="O11601" s="20"/>
      <c r="P11601" s="42"/>
      <c r="R11601" s="23"/>
    </row>
    <row r="11602" spans="1:18" ht="12.75">
      <c r="A11602" s="12"/>
      <c r="D11602" s="12"/>
      <c r="E11602" s="12"/>
      <c r="H11602" s="11" t="str">
        <f ca="1">IFERROR(__xludf.DUMMYFUNCTION("IFERROR(SUBSTITUTE(SUBSTITUTE(REGEXEXTRACT(A11602, ""[^-]+- [^-]+- [^-]+ - (.+?)\.jpg""), "".jpg"", """"), ""-"", "", ""), """")"),"")</f>
        <v/>
      </c>
      <c r="L11602" s="12"/>
      <c r="M11602" s="13"/>
      <c r="N11602" s="2"/>
      <c r="O11602" s="20"/>
      <c r="P11602" s="42"/>
      <c r="R11602" s="23"/>
    </row>
    <row r="11603" spans="1:18" ht="12.75">
      <c r="A11603" s="12"/>
      <c r="D11603" s="12"/>
      <c r="E11603" s="12"/>
      <c r="H11603" s="11" t="str">
        <f ca="1">IFERROR(__xludf.DUMMYFUNCTION("IFERROR(SUBSTITUTE(SUBSTITUTE(REGEXEXTRACT(A11603, ""[^-]+- [^-]+- [^-]+ - (.+?)\.jpg""), "".jpg"", """"), ""-"", "", ""), """")"),"")</f>
        <v/>
      </c>
      <c r="L11603" s="12"/>
      <c r="M11603" s="13"/>
      <c r="N11603" s="2"/>
      <c r="O11603" s="20"/>
      <c r="P11603" s="42"/>
      <c r="R11603" s="23"/>
    </row>
    <row r="11604" spans="1:18" ht="12.75">
      <c r="A11604" s="12"/>
      <c r="D11604" s="12"/>
      <c r="E11604" s="12"/>
      <c r="H11604" s="11" t="str">
        <f ca="1">IFERROR(__xludf.DUMMYFUNCTION("IFERROR(SUBSTITUTE(SUBSTITUTE(REGEXEXTRACT(A11604, ""[^-]+- [^-]+- [^-]+ - (.+?)\.jpg""), "".jpg"", """"), ""-"", "", ""), """")"),"")</f>
        <v/>
      </c>
      <c r="L11604" s="12"/>
      <c r="M11604" s="13"/>
      <c r="N11604" s="2"/>
      <c r="O11604" s="20"/>
      <c r="P11604" s="42"/>
      <c r="R11604" s="23"/>
    </row>
    <row r="11605" spans="1:18" ht="12.75">
      <c r="A11605" s="12"/>
      <c r="D11605" s="12"/>
      <c r="E11605" s="12"/>
      <c r="H11605" s="11" t="str">
        <f ca="1">IFERROR(__xludf.DUMMYFUNCTION("IFERROR(SUBSTITUTE(SUBSTITUTE(REGEXEXTRACT(A11605, ""[^-]+- [^-]+- [^-]+ - (.+?)\.jpg""), "".jpg"", """"), ""-"", "", ""), """")"),"")</f>
        <v/>
      </c>
      <c r="L11605" s="12"/>
      <c r="M11605" s="13"/>
      <c r="N11605" s="2"/>
      <c r="O11605" s="20"/>
      <c r="P11605" s="42"/>
      <c r="R11605" s="23"/>
    </row>
    <row r="11606" spans="1:18" ht="12.75">
      <c r="A11606" s="12"/>
      <c r="D11606" s="12"/>
      <c r="E11606" s="12"/>
      <c r="H11606" s="11" t="str">
        <f ca="1">IFERROR(__xludf.DUMMYFUNCTION("IFERROR(SUBSTITUTE(SUBSTITUTE(REGEXEXTRACT(A11606, ""[^-]+- [^-]+- [^-]+ - (.+?)\.jpg""), "".jpg"", """"), ""-"", "", ""), """")"),"")</f>
        <v/>
      </c>
      <c r="L11606" s="12"/>
      <c r="M11606" s="13"/>
      <c r="N11606" s="2"/>
      <c r="O11606" s="20"/>
      <c r="P11606" s="42"/>
      <c r="R11606" s="23"/>
    </row>
    <row r="11607" spans="1:18" ht="12.75">
      <c r="A11607" s="12"/>
      <c r="D11607" s="12"/>
      <c r="E11607" s="12"/>
      <c r="H11607" s="11" t="str">
        <f ca="1">IFERROR(__xludf.DUMMYFUNCTION("IFERROR(SUBSTITUTE(SUBSTITUTE(REGEXEXTRACT(A11607, ""[^-]+- [^-]+- [^-]+ - (.+?)\.jpg""), "".jpg"", """"), ""-"", "", ""), """")"),"")</f>
        <v/>
      </c>
      <c r="L11607" s="12"/>
      <c r="M11607" s="13"/>
      <c r="N11607" s="2"/>
      <c r="O11607" s="20"/>
      <c r="P11607" s="42"/>
      <c r="R11607" s="23"/>
    </row>
    <row r="11608" spans="1:18" ht="12.75">
      <c r="A11608" s="12"/>
      <c r="D11608" s="12"/>
      <c r="E11608" s="12"/>
      <c r="H11608" s="11" t="str">
        <f ca="1">IFERROR(__xludf.DUMMYFUNCTION("IFERROR(SUBSTITUTE(SUBSTITUTE(REGEXEXTRACT(A11608, ""[^-]+- [^-]+- [^-]+ - (.+?)\.jpg""), "".jpg"", """"), ""-"", "", ""), """")"),"")</f>
        <v/>
      </c>
      <c r="L11608" s="12"/>
      <c r="M11608" s="13"/>
      <c r="N11608" s="2"/>
      <c r="O11608" s="20"/>
      <c r="P11608" s="42"/>
      <c r="R11608" s="23"/>
    </row>
    <row r="11609" spans="1:18" ht="12.75">
      <c r="A11609" s="12"/>
      <c r="D11609" s="12"/>
      <c r="E11609" s="12"/>
      <c r="H11609" s="11" t="str">
        <f ca="1">IFERROR(__xludf.DUMMYFUNCTION("IFERROR(SUBSTITUTE(SUBSTITUTE(REGEXEXTRACT(A11609, ""[^-]+- [^-]+- [^-]+ - (.+?)\.jpg""), "".jpg"", """"), ""-"", "", ""), """")"),"")</f>
        <v/>
      </c>
      <c r="L11609" s="12"/>
      <c r="M11609" s="13"/>
      <c r="N11609" s="2"/>
      <c r="O11609" s="20"/>
      <c r="P11609" s="42"/>
      <c r="R11609" s="23"/>
    </row>
    <row r="11610" spans="1:18" ht="12.75">
      <c r="A11610" s="12"/>
      <c r="D11610" s="12"/>
      <c r="E11610" s="12"/>
      <c r="H11610" s="11" t="str">
        <f ca="1">IFERROR(__xludf.DUMMYFUNCTION("IFERROR(SUBSTITUTE(SUBSTITUTE(REGEXEXTRACT(A11610, ""[^-]+- [^-]+- [^-]+ - (.+?)\.jpg""), "".jpg"", """"), ""-"", "", ""), """")"),"")</f>
        <v/>
      </c>
      <c r="L11610" s="12"/>
      <c r="M11610" s="13"/>
      <c r="N11610" s="2"/>
      <c r="O11610" s="20"/>
      <c r="P11610" s="42"/>
      <c r="R11610" s="23"/>
    </row>
    <row r="11611" spans="1:18" ht="12.75">
      <c r="A11611" s="12"/>
      <c r="D11611" s="12"/>
      <c r="E11611" s="12"/>
      <c r="H11611" s="11" t="str">
        <f ca="1">IFERROR(__xludf.DUMMYFUNCTION("IFERROR(SUBSTITUTE(SUBSTITUTE(REGEXEXTRACT(A11611, ""[^-]+- [^-]+- [^-]+ - (.+?)\.jpg""), "".jpg"", """"), ""-"", "", ""), """")"),"")</f>
        <v/>
      </c>
      <c r="L11611" s="12"/>
      <c r="M11611" s="13"/>
      <c r="N11611" s="2"/>
      <c r="O11611" s="20"/>
      <c r="P11611" s="42"/>
      <c r="R11611" s="23"/>
    </row>
    <row r="11612" spans="1:18" ht="12.75">
      <c r="A11612" s="12"/>
      <c r="D11612" s="12"/>
      <c r="E11612" s="12"/>
      <c r="H11612" s="11" t="str">
        <f ca="1">IFERROR(__xludf.DUMMYFUNCTION("IFERROR(SUBSTITUTE(SUBSTITUTE(REGEXEXTRACT(A11612, ""[^-]+- [^-]+- [^-]+ - (.+?)\.jpg""), "".jpg"", """"), ""-"", "", ""), """")"),"")</f>
        <v/>
      </c>
      <c r="L11612" s="12"/>
      <c r="M11612" s="13"/>
      <c r="N11612" s="2"/>
      <c r="O11612" s="20"/>
      <c r="P11612" s="42"/>
      <c r="R11612" s="23"/>
    </row>
    <row r="11613" spans="1:18" ht="12.75">
      <c r="A11613" s="12"/>
      <c r="D11613" s="12"/>
      <c r="E11613" s="12"/>
      <c r="H11613" s="11" t="str">
        <f ca="1">IFERROR(__xludf.DUMMYFUNCTION("IFERROR(SUBSTITUTE(SUBSTITUTE(REGEXEXTRACT(A11613, ""[^-]+- [^-]+- [^-]+ - (.+?)\.jpg""), "".jpg"", """"), ""-"", "", ""), """")"),"")</f>
        <v/>
      </c>
      <c r="L11613" s="12"/>
      <c r="M11613" s="13"/>
      <c r="N11613" s="2"/>
      <c r="O11613" s="20"/>
      <c r="P11613" s="42"/>
      <c r="R11613" s="23"/>
    </row>
    <row r="11614" spans="1:18" ht="12.75">
      <c r="A11614" s="12"/>
      <c r="D11614" s="12"/>
      <c r="E11614" s="12"/>
      <c r="H11614" s="11" t="str">
        <f ca="1">IFERROR(__xludf.DUMMYFUNCTION("IFERROR(SUBSTITUTE(SUBSTITUTE(REGEXEXTRACT(A11614, ""[^-]+- [^-]+- [^-]+ - (.+?)\.jpg""), "".jpg"", """"), ""-"", "", ""), """")"),"")</f>
        <v/>
      </c>
      <c r="L11614" s="12"/>
      <c r="M11614" s="13"/>
      <c r="N11614" s="2"/>
      <c r="O11614" s="20"/>
      <c r="P11614" s="42"/>
      <c r="R11614" s="23"/>
    </row>
    <row r="11615" spans="1:18" ht="12.75">
      <c r="A11615" s="12"/>
      <c r="D11615" s="12"/>
      <c r="E11615" s="12"/>
      <c r="H11615" s="11" t="str">
        <f ca="1">IFERROR(__xludf.DUMMYFUNCTION("IFERROR(SUBSTITUTE(SUBSTITUTE(REGEXEXTRACT(A11615, ""[^-]+- [^-]+- [^-]+ - (.+?)\.jpg""), "".jpg"", """"), ""-"", "", ""), """")"),"")</f>
        <v/>
      </c>
      <c r="L11615" s="12"/>
      <c r="M11615" s="13"/>
      <c r="N11615" s="2"/>
      <c r="O11615" s="20"/>
      <c r="P11615" s="42"/>
      <c r="R11615" s="23"/>
    </row>
    <row r="11616" spans="1:18" ht="12.75">
      <c r="A11616" s="12"/>
      <c r="D11616" s="12"/>
      <c r="E11616" s="12"/>
      <c r="H11616" s="11" t="str">
        <f ca="1">IFERROR(__xludf.DUMMYFUNCTION("IFERROR(SUBSTITUTE(SUBSTITUTE(REGEXEXTRACT(A11616, ""[^-]+- [^-]+- [^-]+ - (.+?)\.jpg""), "".jpg"", """"), ""-"", "", ""), """")"),"")</f>
        <v/>
      </c>
      <c r="L11616" s="12"/>
      <c r="M11616" s="13"/>
      <c r="N11616" s="2"/>
      <c r="O11616" s="20"/>
      <c r="P11616" s="42"/>
      <c r="R11616" s="23"/>
    </row>
    <row r="11617" spans="1:18" ht="12.75">
      <c r="A11617" s="12"/>
      <c r="D11617" s="12"/>
      <c r="E11617" s="12"/>
      <c r="H11617" s="11" t="str">
        <f ca="1">IFERROR(__xludf.DUMMYFUNCTION("IFERROR(SUBSTITUTE(SUBSTITUTE(REGEXEXTRACT(A11617, ""[^-]+- [^-]+- [^-]+ - (.+?)\.jpg""), "".jpg"", """"), ""-"", "", ""), """")"),"")</f>
        <v/>
      </c>
      <c r="L11617" s="12"/>
      <c r="M11617" s="13"/>
      <c r="N11617" s="2"/>
      <c r="O11617" s="20"/>
      <c r="P11617" s="42"/>
      <c r="R11617" s="23"/>
    </row>
    <row r="11618" spans="1:18" ht="12.75">
      <c r="A11618" s="12"/>
      <c r="D11618" s="12"/>
      <c r="E11618" s="12"/>
      <c r="H11618" s="11" t="str">
        <f ca="1">IFERROR(__xludf.DUMMYFUNCTION("IFERROR(SUBSTITUTE(SUBSTITUTE(REGEXEXTRACT(A11618, ""[^-]+- [^-]+- [^-]+ - (.+?)\.jpg""), "".jpg"", """"), ""-"", "", ""), """")"),"")</f>
        <v/>
      </c>
      <c r="L11618" s="12"/>
      <c r="M11618" s="13"/>
      <c r="N11618" s="2"/>
      <c r="O11618" s="20"/>
      <c r="P11618" s="42"/>
      <c r="R11618" s="23"/>
    </row>
    <row r="11619" spans="1:18" ht="12.75">
      <c r="A11619" s="12"/>
      <c r="D11619" s="12"/>
      <c r="E11619" s="12"/>
      <c r="H11619" s="11" t="str">
        <f ca="1">IFERROR(__xludf.DUMMYFUNCTION("IFERROR(SUBSTITUTE(SUBSTITUTE(REGEXEXTRACT(A11619, ""[^-]+- [^-]+- [^-]+ - (.+?)\.jpg""), "".jpg"", """"), ""-"", "", ""), """")"),"")</f>
        <v/>
      </c>
      <c r="L11619" s="12"/>
      <c r="M11619" s="13"/>
      <c r="N11619" s="2"/>
      <c r="O11619" s="20"/>
      <c r="P11619" s="42"/>
      <c r="R11619" s="23"/>
    </row>
    <row r="11620" spans="1:18" ht="12.75">
      <c r="A11620" s="12"/>
      <c r="D11620" s="12"/>
      <c r="E11620" s="12"/>
      <c r="H11620" s="11" t="str">
        <f ca="1">IFERROR(__xludf.DUMMYFUNCTION("IFERROR(SUBSTITUTE(SUBSTITUTE(REGEXEXTRACT(A11620, ""[^-]+- [^-]+- [^-]+ - (.+?)\.jpg""), "".jpg"", """"), ""-"", "", ""), """")"),"")</f>
        <v/>
      </c>
      <c r="L11620" s="12"/>
      <c r="M11620" s="13"/>
      <c r="N11620" s="2"/>
      <c r="O11620" s="20"/>
      <c r="P11620" s="42"/>
      <c r="R11620" s="23"/>
    </row>
    <row r="11621" spans="1:18" ht="12.75">
      <c r="A11621" s="12"/>
      <c r="D11621" s="12"/>
      <c r="E11621" s="12"/>
      <c r="H11621" s="11" t="str">
        <f ca="1">IFERROR(__xludf.DUMMYFUNCTION("IFERROR(SUBSTITUTE(SUBSTITUTE(REGEXEXTRACT(A11621, ""[^-]+- [^-]+- [^-]+ - (.+?)\.jpg""), "".jpg"", """"), ""-"", "", ""), """")"),"")</f>
        <v/>
      </c>
      <c r="L11621" s="12"/>
      <c r="M11621" s="13"/>
      <c r="N11621" s="2"/>
      <c r="O11621" s="20"/>
      <c r="P11621" s="42"/>
      <c r="R11621" s="23"/>
    </row>
    <row r="11622" spans="1:18" ht="12.75">
      <c r="A11622" s="12"/>
      <c r="D11622" s="12"/>
      <c r="E11622" s="12"/>
      <c r="H11622" s="11" t="str">
        <f ca="1">IFERROR(__xludf.DUMMYFUNCTION("IFERROR(SUBSTITUTE(SUBSTITUTE(REGEXEXTRACT(A11622, ""[^-]+- [^-]+- [^-]+ - (.+?)\.jpg""), "".jpg"", """"), ""-"", "", ""), """")"),"")</f>
        <v/>
      </c>
      <c r="L11622" s="12"/>
      <c r="M11622" s="13"/>
      <c r="N11622" s="2"/>
      <c r="O11622" s="20"/>
      <c r="P11622" s="42"/>
      <c r="R11622" s="23"/>
    </row>
    <row r="11623" spans="1:18" ht="12.75">
      <c r="A11623" s="12"/>
      <c r="D11623" s="12"/>
      <c r="E11623" s="12"/>
      <c r="H11623" s="11" t="str">
        <f ca="1">IFERROR(__xludf.DUMMYFUNCTION("IFERROR(SUBSTITUTE(SUBSTITUTE(REGEXEXTRACT(A11623, ""[^-]+- [^-]+- [^-]+ - (.+?)\.jpg""), "".jpg"", """"), ""-"", "", ""), """")"),"")</f>
        <v/>
      </c>
      <c r="L11623" s="12"/>
      <c r="M11623" s="13"/>
      <c r="N11623" s="2"/>
      <c r="O11623" s="20"/>
      <c r="P11623" s="42"/>
      <c r="R11623" s="23"/>
    </row>
    <row r="11624" spans="1:18" ht="12.75">
      <c r="A11624" s="12"/>
      <c r="D11624" s="12"/>
      <c r="E11624" s="12"/>
      <c r="H11624" s="11" t="str">
        <f ca="1">IFERROR(__xludf.DUMMYFUNCTION("IFERROR(SUBSTITUTE(SUBSTITUTE(REGEXEXTRACT(A11624, ""[^-]+- [^-]+- [^-]+ - (.+?)\.jpg""), "".jpg"", """"), ""-"", "", ""), """")"),"")</f>
        <v/>
      </c>
      <c r="L11624" s="12"/>
      <c r="M11624" s="13"/>
      <c r="N11624" s="2"/>
      <c r="O11624" s="20"/>
      <c r="P11624" s="42"/>
      <c r="R11624" s="23"/>
    </row>
    <row r="11625" spans="1:18" ht="12.75">
      <c r="A11625" s="12"/>
      <c r="D11625" s="12"/>
      <c r="E11625" s="12"/>
      <c r="H11625" s="11" t="str">
        <f ca="1">IFERROR(__xludf.DUMMYFUNCTION("IFERROR(SUBSTITUTE(SUBSTITUTE(REGEXEXTRACT(A11625, ""[^-]+- [^-]+- [^-]+ - (.+?)\.jpg""), "".jpg"", """"), ""-"", "", ""), """")"),"")</f>
        <v/>
      </c>
      <c r="L11625" s="12"/>
      <c r="M11625" s="13"/>
      <c r="N11625" s="2"/>
      <c r="O11625" s="20"/>
      <c r="P11625" s="42"/>
      <c r="R11625" s="23"/>
    </row>
    <row r="11626" spans="1:18" ht="12.75">
      <c r="A11626" s="12"/>
      <c r="D11626" s="12"/>
      <c r="E11626" s="12"/>
      <c r="H11626" s="11" t="str">
        <f ca="1">IFERROR(__xludf.DUMMYFUNCTION("IFERROR(SUBSTITUTE(SUBSTITUTE(REGEXEXTRACT(A11626, ""[^-]+- [^-]+- [^-]+ - (.+?)\.jpg""), "".jpg"", """"), ""-"", "", ""), """")"),"")</f>
        <v/>
      </c>
      <c r="L11626" s="12"/>
      <c r="M11626" s="13"/>
      <c r="N11626" s="2"/>
      <c r="O11626" s="20"/>
      <c r="P11626" s="42"/>
      <c r="R11626" s="23"/>
    </row>
    <row r="11627" spans="1:18" ht="12.75">
      <c r="A11627" s="12"/>
      <c r="D11627" s="12"/>
      <c r="E11627" s="12"/>
      <c r="H11627" s="11" t="str">
        <f ca="1">IFERROR(__xludf.DUMMYFUNCTION("IFERROR(SUBSTITUTE(SUBSTITUTE(REGEXEXTRACT(A11627, ""[^-]+- [^-]+- [^-]+ - (.+?)\.jpg""), "".jpg"", """"), ""-"", "", ""), """")"),"")</f>
        <v/>
      </c>
      <c r="L11627" s="12"/>
      <c r="M11627" s="13"/>
      <c r="N11627" s="2"/>
      <c r="O11627" s="20"/>
      <c r="P11627" s="42"/>
      <c r="R11627" s="23"/>
    </row>
    <row r="11628" spans="1:18" ht="12.75">
      <c r="A11628" s="12"/>
      <c r="D11628" s="12"/>
      <c r="E11628" s="12"/>
      <c r="H11628" s="11" t="str">
        <f ca="1">IFERROR(__xludf.DUMMYFUNCTION("IFERROR(SUBSTITUTE(SUBSTITUTE(REGEXEXTRACT(A11628, ""[^-]+- [^-]+- [^-]+ - (.+?)\.jpg""), "".jpg"", """"), ""-"", "", ""), """")"),"")</f>
        <v/>
      </c>
      <c r="L11628" s="12"/>
      <c r="M11628" s="13"/>
      <c r="N11628" s="2"/>
      <c r="O11628" s="20"/>
      <c r="P11628" s="42"/>
      <c r="R11628" s="23"/>
    </row>
    <row r="11629" spans="1:18" ht="12.75">
      <c r="A11629" s="12"/>
      <c r="D11629" s="12"/>
      <c r="E11629" s="12"/>
      <c r="H11629" s="11" t="str">
        <f ca="1">IFERROR(__xludf.DUMMYFUNCTION("IFERROR(SUBSTITUTE(SUBSTITUTE(REGEXEXTRACT(A11629, ""[^-]+- [^-]+- [^-]+ - (.+?)\.jpg""), "".jpg"", """"), ""-"", "", ""), """")"),"")</f>
        <v/>
      </c>
      <c r="L11629" s="12"/>
      <c r="M11629" s="13"/>
      <c r="N11629" s="2"/>
      <c r="O11629" s="20"/>
      <c r="P11629" s="42"/>
      <c r="R11629" s="23"/>
    </row>
    <row r="11630" spans="1:18" ht="12.75">
      <c r="A11630" s="12"/>
      <c r="D11630" s="12"/>
      <c r="E11630" s="12"/>
      <c r="H11630" s="11" t="str">
        <f ca="1">IFERROR(__xludf.DUMMYFUNCTION("IFERROR(SUBSTITUTE(SUBSTITUTE(REGEXEXTRACT(A11630, ""[^-]+- [^-]+- [^-]+ - (.+?)\.jpg""), "".jpg"", """"), ""-"", "", ""), """")"),"")</f>
        <v/>
      </c>
      <c r="L11630" s="12"/>
      <c r="M11630" s="13"/>
      <c r="N11630" s="2"/>
      <c r="O11630" s="20"/>
      <c r="P11630" s="42"/>
      <c r="R11630" s="23"/>
    </row>
    <row r="11631" spans="1:18" ht="12.75">
      <c r="A11631" s="12"/>
      <c r="D11631" s="12"/>
      <c r="E11631" s="12"/>
      <c r="H11631" s="11" t="str">
        <f ca="1">IFERROR(__xludf.DUMMYFUNCTION("IFERROR(SUBSTITUTE(SUBSTITUTE(REGEXEXTRACT(A11631, ""[^-]+- [^-]+- [^-]+ - (.+?)\.jpg""), "".jpg"", """"), ""-"", "", ""), """")"),"")</f>
        <v/>
      </c>
      <c r="L11631" s="12"/>
      <c r="M11631" s="13"/>
      <c r="N11631" s="2"/>
      <c r="O11631" s="20"/>
      <c r="P11631" s="42"/>
      <c r="R11631" s="23"/>
    </row>
    <row r="11632" spans="1:18" ht="12.75">
      <c r="A11632" s="12"/>
      <c r="D11632" s="12"/>
      <c r="E11632" s="12"/>
      <c r="H11632" s="11" t="str">
        <f ca="1">IFERROR(__xludf.DUMMYFUNCTION("IFERROR(SUBSTITUTE(SUBSTITUTE(REGEXEXTRACT(A11632, ""[^-]+- [^-]+- [^-]+ - (.+?)\.jpg""), "".jpg"", """"), ""-"", "", ""), """")"),"")</f>
        <v/>
      </c>
      <c r="L11632" s="12"/>
      <c r="M11632" s="13"/>
      <c r="N11632" s="2"/>
      <c r="O11632" s="20"/>
      <c r="P11632" s="42"/>
      <c r="R11632" s="23"/>
    </row>
    <row r="11633" spans="1:18" ht="12.75">
      <c r="A11633" s="12"/>
      <c r="D11633" s="12"/>
      <c r="E11633" s="12"/>
      <c r="H11633" s="11" t="str">
        <f ca="1">IFERROR(__xludf.DUMMYFUNCTION("IFERROR(SUBSTITUTE(SUBSTITUTE(REGEXEXTRACT(A11633, ""[^-]+- [^-]+- [^-]+ - (.+?)\.jpg""), "".jpg"", """"), ""-"", "", ""), """")"),"")</f>
        <v/>
      </c>
      <c r="L11633" s="12"/>
      <c r="M11633" s="13"/>
      <c r="N11633" s="2"/>
      <c r="O11633" s="20"/>
      <c r="P11633" s="42"/>
      <c r="R11633" s="23"/>
    </row>
    <row r="11634" spans="1:18" ht="12.75">
      <c r="A11634" s="12"/>
      <c r="D11634" s="12"/>
      <c r="E11634" s="12"/>
      <c r="H11634" s="11" t="str">
        <f ca="1">IFERROR(__xludf.DUMMYFUNCTION("IFERROR(SUBSTITUTE(SUBSTITUTE(REGEXEXTRACT(A11634, ""[^-]+- [^-]+- [^-]+ - (.+?)\.jpg""), "".jpg"", """"), ""-"", "", ""), """")"),"")</f>
        <v/>
      </c>
      <c r="L11634" s="12"/>
      <c r="M11634" s="13"/>
      <c r="N11634" s="2"/>
      <c r="O11634" s="20"/>
      <c r="P11634" s="42"/>
      <c r="R11634" s="23"/>
    </row>
    <row r="11635" spans="1:18" ht="12.75">
      <c r="A11635" s="12"/>
      <c r="D11635" s="12"/>
      <c r="E11635" s="12"/>
      <c r="H11635" s="11" t="str">
        <f ca="1">IFERROR(__xludf.DUMMYFUNCTION("IFERROR(SUBSTITUTE(SUBSTITUTE(REGEXEXTRACT(A11635, ""[^-]+- [^-]+- [^-]+ - (.+?)\.jpg""), "".jpg"", """"), ""-"", "", ""), """")"),"")</f>
        <v/>
      </c>
      <c r="L11635" s="12"/>
      <c r="M11635" s="13"/>
      <c r="N11635" s="2"/>
      <c r="O11635" s="20"/>
      <c r="P11635" s="42"/>
      <c r="R11635" s="23"/>
    </row>
    <row r="11636" spans="1:18" ht="12.75">
      <c r="A11636" s="12"/>
      <c r="D11636" s="12"/>
      <c r="E11636" s="12"/>
      <c r="H11636" s="11" t="str">
        <f ca="1">IFERROR(__xludf.DUMMYFUNCTION("IFERROR(SUBSTITUTE(SUBSTITUTE(REGEXEXTRACT(A11636, ""[^-]+- [^-]+- [^-]+ - (.+?)\.jpg""), "".jpg"", """"), ""-"", "", ""), """")"),"")</f>
        <v/>
      </c>
      <c r="L11636" s="12"/>
      <c r="M11636" s="13"/>
      <c r="N11636" s="2"/>
      <c r="O11636" s="20"/>
      <c r="P11636" s="42"/>
      <c r="R11636" s="23"/>
    </row>
    <row r="11637" spans="1:18" ht="12.75">
      <c r="A11637" s="12"/>
      <c r="D11637" s="12"/>
      <c r="E11637" s="12"/>
      <c r="H11637" s="11" t="str">
        <f ca="1">IFERROR(__xludf.DUMMYFUNCTION("IFERROR(SUBSTITUTE(SUBSTITUTE(REGEXEXTRACT(A11637, ""[^-]+- [^-]+- [^-]+ - (.+?)\.jpg""), "".jpg"", """"), ""-"", "", ""), """")"),"")</f>
        <v/>
      </c>
      <c r="L11637" s="12"/>
      <c r="M11637" s="13"/>
      <c r="N11637" s="2"/>
      <c r="O11637" s="20"/>
      <c r="P11637" s="42"/>
      <c r="R11637" s="23"/>
    </row>
    <row r="11638" spans="1:18" ht="12.75">
      <c r="A11638" s="12"/>
      <c r="D11638" s="12"/>
      <c r="E11638" s="12"/>
      <c r="H11638" s="11" t="str">
        <f ca="1">IFERROR(__xludf.DUMMYFUNCTION("IFERROR(SUBSTITUTE(SUBSTITUTE(REGEXEXTRACT(A11638, ""[^-]+- [^-]+- [^-]+ - (.+?)\.jpg""), "".jpg"", """"), ""-"", "", ""), """")"),"")</f>
        <v/>
      </c>
      <c r="L11638" s="12"/>
      <c r="M11638" s="13"/>
      <c r="N11638" s="2"/>
      <c r="O11638" s="20"/>
      <c r="P11638" s="42"/>
      <c r="R11638" s="23"/>
    </row>
    <row r="11639" spans="1:18" ht="12.75">
      <c r="A11639" s="12"/>
      <c r="D11639" s="12"/>
      <c r="E11639" s="12"/>
      <c r="H11639" s="11" t="str">
        <f ca="1">IFERROR(__xludf.DUMMYFUNCTION("IFERROR(SUBSTITUTE(SUBSTITUTE(REGEXEXTRACT(A11639, ""[^-]+- [^-]+- [^-]+ - (.+?)\.jpg""), "".jpg"", """"), ""-"", "", ""), """")"),"")</f>
        <v/>
      </c>
      <c r="L11639" s="12"/>
      <c r="M11639" s="13"/>
      <c r="N11639" s="2"/>
      <c r="O11639" s="20"/>
      <c r="P11639" s="42"/>
      <c r="R11639" s="23"/>
    </row>
    <row r="11640" spans="1:18" ht="12.75">
      <c r="A11640" s="12"/>
      <c r="D11640" s="12"/>
      <c r="E11640" s="12"/>
      <c r="H11640" s="11" t="str">
        <f ca="1">IFERROR(__xludf.DUMMYFUNCTION("IFERROR(SUBSTITUTE(SUBSTITUTE(REGEXEXTRACT(A11640, ""[^-]+- [^-]+- [^-]+ - (.+?)\.jpg""), "".jpg"", """"), ""-"", "", ""), """")"),"")</f>
        <v/>
      </c>
      <c r="L11640" s="12"/>
      <c r="M11640" s="13"/>
      <c r="N11640" s="2"/>
      <c r="O11640" s="20"/>
      <c r="P11640" s="42"/>
      <c r="R11640" s="23"/>
    </row>
    <row r="11641" spans="1:18" ht="12.75">
      <c r="A11641" s="12"/>
      <c r="D11641" s="12"/>
      <c r="E11641" s="12"/>
      <c r="H11641" s="11" t="str">
        <f ca="1">IFERROR(__xludf.DUMMYFUNCTION("IFERROR(SUBSTITUTE(SUBSTITUTE(REGEXEXTRACT(A11641, ""[^-]+- [^-]+- [^-]+ - (.+?)\.jpg""), "".jpg"", """"), ""-"", "", ""), """")"),"")</f>
        <v/>
      </c>
      <c r="L11641" s="12"/>
      <c r="M11641" s="13"/>
      <c r="N11641" s="2"/>
      <c r="O11641" s="20"/>
      <c r="P11641" s="42"/>
      <c r="R11641" s="23"/>
    </row>
    <row r="11642" spans="1:18" ht="12.75">
      <c r="A11642" s="12"/>
      <c r="D11642" s="12"/>
      <c r="E11642" s="12"/>
      <c r="H11642" s="11" t="str">
        <f ca="1">IFERROR(__xludf.DUMMYFUNCTION("IFERROR(SUBSTITUTE(SUBSTITUTE(REGEXEXTRACT(A11642, ""[^-]+- [^-]+- [^-]+ - (.+?)\.jpg""), "".jpg"", """"), ""-"", "", ""), """")"),"")</f>
        <v/>
      </c>
      <c r="L11642" s="12"/>
      <c r="M11642" s="13"/>
      <c r="N11642" s="2"/>
      <c r="O11642" s="20"/>
      <c r="P11642" s="42"/>
      <c r="R11642" s="23"/>
    </row>
    <row r="11643" spans="1:18" ht="12.75">
      <c r="A11643" s="12"/>
      <c r="D11643" s="12"/>
      <c r="E11643" s="12"/>
      <c r="H11643" s="11" t="str">
        <f ca="1">IFERROR(__xludf.DUMMYFUNCTION("IFERROR(SUBSTITUTE(SUBSTITUTE(REGEXEXTRACT(A11643, ""[^-]+- [^-]+- [^-]+ - (.+?)\.jpg""), "".jpg"", """"), ""-"", "", ""), """")"),"")</f>
        <v/>
      </c>
      <c r="L11643" s="12"/>
      <c r="M11643" s="13"/>
      <c r="N11643" s="2"/>
      <c r="O11643" s="20"/>
      <c r="P11643" s="42"/>
      <c r="R11643" s="23"/>
    </row>
    <row r="11644" spans="1:18" ht="12.75">
      <c r="A11644" s="12"/>
      <c r="D11644" s="12"/>
      <c r="E11644" s="12"/>
      <c r="H11644" s="11" t="str">
        <f ca="1">IFERROR(__xludf.DUMMYFUNCTION("IFERROR(SUBSTITUTE(SUBSTITUTE(REGEXEXTRACT(A11644, ""[^-]+- [^-]+- [^-]+ - (.+?)\.jpg""), "".jpg"", """"), ""-"", "", ""), """")"),"")</f>
        <v/>
      </c>
      <c r="L11644" s="12"/>
      <c r="M11644" s="13"/>
      <c r="N11644" s="2"/>
      <c r="O11644" s="20"/>
      <c r="P11644" s="42"/>
      <c r="R11644" s="23"/>
    </row>
    <row r="11645" spans="1:18" ht="12.75">
      <c r="A11645" s="12"/>
      <c r="D11645" s="12"/>
      <c r="E11645" s="12"/>
      <c r="H11645" s="11" t="str">
        <f ca="1">IFERROR(__xludf.DUMMYFUNCTION("IFERROR(SUBSTITUTE(SUBSTITUTE(REGEXEXTRACT(A11645, ""[^-]+- [^-]+- [^-]+ - (.+?)\.jpg""), "".jpg"", """"), ""-"", "", ""), """")"),"")</f>
        <v/>
      </c>
      <c r="L11645" s="12"/>
      <c r="M11645" s="13"/>
      <c r="N11645" s="2"/>
      <c r="O11645" s="20"/>
      <c r="P11645" s="42"/>
      <c r="R11645" s="23"/>
    </row>
    <row r="11646" spans="1:18" ht="12.75">
      <c r="A11646" s="12"/>
      <c r="D11646" s="12"/>
      <c r="E11646" s="12"/>
      <c r="H11646" s="11" t="str">
        <f ca="1">IFERROR(__xludf.DUMMYFUNCTION("IFERROR(SUBSTITUTE(SUBSTITUTE(REGEXEXTRACT(A11646, ""[^-]+- [^-]+- [^-]+ - (.+?)\.jpg""), "".jpg"", """"), ""-"", "", ""), """")"),"")</f>
        <v/>
      </c>
      <c r="L11646" s="12"/>
      <c r="M11646" s="13"/>
      <c r="N11646" s="2"/>
      <c r="O11646" s="20"/>
      <c r="P11646" s="42"/>
      <c r="R11646" s="23"/>
    </row>
    <row r="11647" spans="1:18" ht="12.75">
      <c r="A11647" s="12"/>
      <c r="D11647" s="12"/>
      <c r="E11647" s="12"/>
      <c r="H11647" s="11" t="str">
        <f ca="1">IFERROR(__xludf.DUMMYFUNCTION("IFERROR(SUBSTITUTE(SUBSTITUTE(REGEXEXTRACT(A11647, ""[^-]+- [^-]+- [^-]+ - (.+?)\.jpg""), "".jpg"", """"), ""-"", "", ""), """")"),"")</f>
        <v/>
      </c>
      <c r="L11647" s="12"/>
      <c r="M11647" s="13"/>
      <c r="N11647" s="2"/>
      <c r="O11647" s="20"/>
      <c r="P11647" s="42"/>
      <c r="R11647" s="23"/>
    </row>
    <row r="11648" spans="1:18" ht="12.75">
      <c r="A11648" s="12"/>
      <c r="D11648" s="12"/>
      <c r="E11648" s="12"/>
      <c r="H11648" s="11" t="str">
        <f ca="1">IFERROR(__xludf.DUMMYFUNCTION("IFERROR(SUBSTITUTE(SUBSTITUTE(REGEXEXTRACT(A11648, ""[^-]+- [^-]+- [^-]+ - (.+?)\.jpg""), "".jpg"", """"), ""-"", "", ""), """")"),"")</f>
        <v/>
      </c>
      <c r="L11648" s="12"/>
      <c r="M11648" s="13"/>
      <c r="N11648" s="2"/>
      <c r="O11648" s="20"/>
      <c r="P11648" s="42"/>
      <c r="R11648" s="23"/>
    </row>
    <row r="11649" spans="1:18" ht="12.75">
      <c r="A11649" s="12"/>
      <c r="D11649" s="12"/>
      <c r="E11649" s="12"/>
      <c r="H11649" s="11" t="str">
        <f ca="1">IFERROR(__xludf.DUMMYFUNCTION("IFERROR(SUBSTITUTE(SUBSTITUTE(REGEXEXTRACT(A11649, ""[^-]+- [^-]+- [^-]+ - (.+?)\.jpg""), "".jpg"", """"), ""-"", "", ""), """")"),"")</f>
        <v/>
      </c>
      <c r="L11649" s="12"/>
      <c r="M11649" s="13"/>
      <c r="N11649" s="2"/>
      <c r="O11649" s="20"/>
      <c r="P11649" s="42"/>
      <c r="R11649" s="23"/>
    </row>
    <row r="11650" spans="1:18" ht="12.75">
      <c r="A11650" s="12"/>
      <c r="D11650" s="12"/>
      <c r="E11650" s="12"/>
      <c r="H11650" s="11" t="str">
        <f ca="1">IFERROR(__xludf.DUMMYFUNCTION("IFERROR(SUBSTITUTE(SUBSTITUTE(REGEXEXTRACT(A11650, ""[^-]+- [^-]+- [^-]+ - (.+?)\.jpg""), "".jpg"", """"), ""-"", "", ""), """")"),"")</f>
        <v/>
      </c>
      <c r="L11650" s="12"/>
      <c r="M11650" s="13"/>
      <c r="N11650" s="2"/>
      <c r="O11650" s="20"/>
      <c r="P11650" s="42"/>
      <c r="R11650" s="23"/>
    </row>
    <row r="11651" spans="1:18" ht="12.75">
      <c r="A11651" s="12"/>
      <c r="D11651" s="12"/>
      <c r="E11651" s="12"/>
      <c r="H11651" s="11" t="str">
        <f ca="1">IFERROR(__xludf.DUMMYFUNCTION("IFERROR(SUBSTITUTE(SUBSTITUTE(REGEXEXTRACT(A11651, ""[^-]+- [^-]+- [^-]+ - (.+?)\.jpg""), "".jpg"", """"), ""-"", "", ""), """")"),"")</f>
        <v/>
      </c>
      <c r="L11651" s="12"/>
      <c r="M11651" s="13"/>
      <c r="N11651" s="2"/>
      <c r="O11651" s="20"/>
      <c r="P11651" s="42"/>
      <c r="R11651" s="23"/>
    </row>
    <row r="11652" spans="1:18" ht="12.75">
      <c r="A11652" s="12"/>
      <c r="D11652" s="12"/>
      <c r="E11652" s="12"/>
      <c r="H11652" s="11" t="str">
        <f ca="1">IFERROR(__xludf.DUMMYFUNCTION("IFERROR(SUBSTITUTE(SUBSTITUTE(REGEXEXTRACT(A11652, ""[^-]+- [^-]+- [^-]+ - (.+?)\.jpg""), "".jpg"", """"), ""-"", "", ""), """")"),"")</f>
        <v/>
      </c>
      <c r="L11652" s="12"/>
      <c r="M11652" s="13"/>
      <c r="N11652" s="2"/>
      <c r="O11652" s="20"/>
      <c r="P11652" s="42"/>
      <c r="R11652" s="23"/>
    </row>
    <row r="11653" spans="1:18" ht="12.75">
      <c r="A11653" s="12"/>
      <c r="D11653" s="12"/>
      <c r="E11653" s="12"/>
      <c r="H11653" s="11" t="str">
        <f ca="1">IFERROR(__xludf.DUMMYFUNCTION("IFERROR(SUBSTITUTE(SUBSTITUTE(REGEXEXTRACT(A11653, ""[^-]+- [^-]+- [^-]+ - (.+?)\.jpg""), "".jpg"", """"), ""-"", "", ""), """")"),"")</f>
        <v/>
      </c>
      <c r="L11653" s="12"/>
      <c r="M11653" s="13"/>
      <c r="N11653" s="2"/>
      <c r="O11653" s="20"/>
      <c r="P11653" s="42"/>
      <c r="R11653" s="23"/>
    </row>
    <row r="11654" spans="1:18" ht="12.75">
      <c r="A11654" s="12"/>
      <c r="D11654" s="12"/>
      <c r="E11654" s="12"/>
      <c r="H11654" s="11" t="str">
        <f ca="1">IFERROR(__xludf.DUMMYFUNCTION("IFERROR(SUBSTITUTE(SUBSTITUTE(REGEXEXTRACT(A11654, ""[^-]+- [^-]+- [^-]+ - (.+?)\.jpg""), "".jpg"", """"), ""-"", "", ""), """")"),"")</f>
        <v/>
      </c>
      <c r="L11654" s="12"/>
      <c r="M11654" s="13"/>
      <c r="N11654" s="2"/>
      <c r="O11654" s="20"/>
      <c r="P11654" s="42"/>
      <c r="R11654" s="23"/>
    </row>
    <row r="11655" spans="1:18" ht="12.75">
      <c r="A11655" s="12"/>
      <c r="D11655" s="12"/>
      <c r="E11655" s="12"/>
      <c r="H11655" s="11" t="str">
        <f ca="1">IFERROR(__xludf.DUMMYFUNCTION("IFERROR(SUBSTITUTE(SUBSTITUTE(REGEXEXTRACT(A11655, ""[^-]+- [^-]+- [^-]+ - (.+?)\.jpg""), "".jpg"", """"), ""-"", "", ""), """")"),"")</f>
        <v/>
      </c>
      <c r="L11655" s="12"/>
      <c r="M11655" s="13"/>
      <c r="N11655" s="2"/>
      <c r="O11655" s="20"/>
      <c r="P11655" s="42"/>
      <c r="R11655" s="23"/>
    </row>
    <row r="11656" spans="1:18" ht="12.75">
      <c r="A11656" s="12"/>
      <c r="D11656" s="12"/>
      <c r="E11656" s="12"/>
      <c r="H11656" s="11" t="str">
        <f ca="1">IFERROR(__xludf.DUMMYFUNCTION("IFERROR(SUBSTITUTE(SUBSTITUTE(REGEXEXTRACT(A11656, ""[^-]+- [^-]+- [^-]+ - (.+?)\.jpg""), "".jpg"", """"), ""-"", "", ""), """")"),"")</f>
        <v/>
      </c>
      <c r="L11656" s="12"/>
      <c r="M11656" s="13"/>
      <c r="N11656" s="2"/>
      <c r="O11656" s="20"/>
      <c r="P11656" s="42"/>
      <c r="R11656" s="23"/>
    </row>
    <row r="11657" spans="1:18" ht="12.75">
      <c r="A11657" s="12"/>
      <c r="D11657" s="12"/>
      <c r="E11657" s="12"/>
      <c r="H11657" s="11" t="str">
        <f ca="1">IFERROR(__xludf.DUMMYFUNCTION("IFERROR(SUBSTITUTE(SUBSTITUTE(REGEXEXTRACT(A11657, ""[^-]+- [^-]+- [^-]+ - (.+?)\.jpg""), "".jpg"", """"), ""-"", "", ""), """")"),"")</f>
        <v/>
      </c>
      <c r="L11657" s="12"/>
      <c r="M11657" s="13"/>
      <c r="N11657" s="2"/>
      <c r="O11657" s="20"/>
      <c r="P11657" s="42"/>
      <c r="R11657" s="23"/>
    </row>
    <row r="11658" spans="1:18" ht="12.75">
      <c r="A11658" s="12"/>
      <c r="D11658" s="12"/>
      <c r="E11658" s="12"/>
      <c r="H11658" s="11" t="str">
        <f ca="1">IFERROR(__xludf.DUMMYFUNCTION("IFERROR(SUBSTITUTE(SUBSTITUTE(REGEXEXTRACT(A11658, ""[^-]+- [^-]+- [^-]+ - (.+?)\.jpg""), "".jpg"", """"), ""-"", "", ""), """")"),"")</f>
        <v/>
      </c>
      <c r="L11658" s="12"/>
      <c r="M11658" s="13"/>
      <c r="N11658" s="2"/>
      <c r="O11658" s="20"/>
      <c r="P11658" s="42"/>
      <c r="R11658" s="23"/>
    </row>
    <row r="11659" spans="1:18" ht="12.75">
      <c r="A11659" s="12"/>
      <c r="D11659" s="12"/>
      <c r="E11659" s="12"/>
      <c r="H11659" s="11" t="str">
        <f ca="1">IFERROR(__xludf.DUMMYFUNCTION("IFERROR(SUBSTITUTE(SUBSTITUTE(REGEXEXTRACT(A11659, ""[^-]+- [^-]+- [^-]+ - (.+?)\.jpg""), "".jpg"", """"), ""-"", "", ""), """")"),"")</f>
        <v/>
      </c>
      <c r="L11659" s="12"/>
      <c r="M11659" s="13"/>
      <c r="N11659" s="2"/>
      <c r="O11659" s="20"/>
      <c r="P11659" s="42"/>
      <c r="R11659" s="23"/>
    </row>
    <row r="11660" spans="1:18" ht="12.75">
      <c r="A11660" s="12"/>
      <c r="D11660" s="12"/>
      <c r="E11660" s="12"/>
      <c r="H11660" s="11" t="str">
        <f ca="1">IFERROR(__xludf.DUMMYFUNCTION("IFERROR(SUBSTITUTE(SUBSTITUTE(REGEXEXTRACT(A11660, ""[^-]+- [^-]+- [^-]+ - (.+?)\.jpg""), "".jpg"", """"), ""-"", "", ""), """")"),"")</f>
        <v/>
      </c>
      <c r="L11660" s="12"/>
      <c r="M11660" s="13"/>
      <c r="N11660" s="2"/>
      <c r="O11660" s="20"/>
      <c r="P11660" s="42"/>
      <c r="R11660" s="23"/>
    </row>
    <row r="11661" spans="1:18" ht="12.75">
      <c r="A11661" s="12"/>
      <c r="D11661" s="12"/>
      <c r="E11661" s="12"/>
      <c r="H11661" s="11" t="str">
        <f ca="1">IFERROR(__xludf.DUMMYFUNCTION("IFERROR(SUBSTITUTE(SUBSTITUTE(REGEXEXTRACT(A11661, ""[^-]+- [^-]+- [^-]+ - (.+?)\.jpg""), "".jpg"", """"), ""-"", "", ""), """")"),"")</f>
        <v/>
      </c>
      <c r="L11661" s="12"/>
      <c r="M11661" s="13"/>
      <c r="N11661" s="2"/>
      <c r="O11661" s="20"/>
      <c r="P11661" s="42"/>
      <c r="R11661" s="23"/>
    </row>
    <row r="11662" spans="1:18" ht="12.75">
      <c r="A11662" s="12"/>
      <c r="D11662" s="12"/>
      <c r="E11662" s="12"/>
      <c r="H11662" s="11" t="str">
        <f ca="1">IFERROR(__xludf.DUMMYFUNCTION("IFERROR(SUBSTITUTE(SUBSTITUTE(REGEXEXTRACT(A11662, ""[^-]+- [^-]+- [^-]+ - (.+?)\.jpg""), "".jpg"", """"), ""-"", "", ""), """")"),"")</f>
        <v/>
      </c>
      <c r="L11662" s="12"/>
      <c r="M11662" s="13"/>
      <c r="N11662" s="2"/>
      <c r="O11662" s="20"/>
      <c r="P11662" s="42"/>
      <c r="R11662" s="23"/>
    </row>
    <row r="11663" spans="1:18" ht="12.75">
      <c r="A11663" s="12"/>
      <c r="D11663" s="12"/>
      <c r="E11663" s="12"/>
      <c r="H11663" s="11" t="str">
        <f ca="1">IFERROR(__xludf.DUMMYFUNCTION("IFERROR(SUBSTITUTE(SUBSTITUTE(REGEXEXTRACT(A11663, ""[^-]+- [^-]+- [^-]+ - (.+?)\.jpg""), "".jpg"", """"), ""-"", "", ""), """")"),"")</f>
        <v/>
      </c>
      <c r="L11663" s="12"/>
      <c r="M11663" s="13"/>
      <c r="N11663" s="2"/>
      <c r="O11663" s="20"/>
      <c r="P11663" s="42"/>
      <c r="R11663" s="23"/>
    </row>
    <row r="11664" spans="1:18" ht="12.75">
      <c r="A11664" s="12"/>
      <c r="D11664" s="12"/>
      <c r="E11664" s="12"/>
      <c r="H11664" s="11" t="str">
        <f ca="1">IFERROR(__xludf.DUMMYFUNCTION("IFERROR(SUBSTITUTE(SUBSTITUTE(REGEXEXTRACT(A11664, ""[^-]+- [^-]+- [^-]+ - (.+?)\.jpg""), "".jpg"", """"), ""-"", "", ""), """")"),"")</f>
        <v/>
      </c>
      <c r="L11664" s="12"/>
      <c r="M11664" s="13"/>
      <c r="N11664" s="2"/>
      <c r="O11664" s="20"/>
      <c r="P11664" s="42"/>
      <c r="R11664" s="23"/>
    </row>
    <row r="11665" spans="1:18" ht="12.75">
      <c r="A11665" s="12"/>
      <c r="D11665" s="12"/>
      <c r="E11665" s="12"/>
      <c r="H11665" s="11" t="str">
        <f ca="1">IFERROR(__xludf.DUMMYFUNCTION("IFERROR(SUBSTITUTE(SUBSTITUTE(REGEXEXTRACT(A11665, ""[^-]+- [^-]+- [^-]+ - (.+?)\.jpg""), "".jpg"", """"), ""-"", "", ""), """")"),"")</f>
        <v/>
      </c>
      <c r="L11665" s="12"/>
      <c r="M11665" s="13"/>
      <c r="N11665" s="2"/>
      <c r="O11665" s="20"/>
      <c r="P11665" s="42"/>
      <c r="R11665" s="23"/>
    </row>
    <row r="11666" spans="1:18" ht="12.75">
      <c r="A11666" s="12"/>
      <c r="D11666" s="12"/>
      <c r="E11666" s="12"/>
      <c r="H11666" s="11" t="str">
        <f ca="1">IFERROR(__xludf.DUMMYFUNCTION("IFERROR(SUBSTITUTE(SUBSTITUTE(REGEXEXTRACT(A11666, ""[^-]+- [^-]+- [^-]+ - (.+?)\.jpg""), "".jpg"", """"), ""-"", "", ""), """")"),"")</f>
        <v/>
      </c>
      <c r="L11666" s="12"/>
      <c r="M11666" s="13"/>
      <c r="N11666" s="2"/>
      <c r="O11666" s="20"/>
      <c r="P11666" s="42"/>
      <c r="R11666" s="23"/>
    </row>
    <row r="11667" spans="1:18" ht="12.75">
      <c r="A11667" s="12"/>
      <c r="D11667" s="12"/>
      <c r="E11667" s="12"/>
      <c r="H11667" s="11" t="str">
        <f ca="1">IFERROR(__xludf.DUMMYFUNCTION("IFERROR(SUBSTITUTE(SUBSTITUTE(REGEXEXTRACT(A11667, ""[^-]+- [^-]+- [^-]+ - (.+?)\.jpg""), "".jpg"", """"), ""-"", "", ""), """")"),"")</f>
        <v/>
      </c>
      <c r="L11667" s="12"/>
      <c r="M11667" s="13"/>
      <c r="N11667" s="2"/>
      <c r="O11667" s="20"/>
      <c r="P11667" s="42"/>
      <c r="R11667" s="23"/>
    </row>
    <row r="11668" spans="1:18" ht="12.75">
      <c r="A11668" s="12"/>
      <c r="D11668" s="12"/>
      <c r="E11668" s="12"/>
      <c r="H11668" s="11" t="str">
        <f ca="1">IFERROR(__xludf.DUMMYFUNCTION("IFERROR(SUBSTITUTE(SUBSTITUTE(REGEXEXTRACT(A11668, ""[^-]+- [^-]+- [^-]+ - (.+?)\.jpg""), "".jpg"", """"), ""-"", "", ""), """")"),"")</f>
        <v/>
      </c>
      <c r="L11668" s="12"/>
      <c r="M11668" s="13"/>
      <c r="N11668" s="2"/>
      <c r="O11668" s="20"/>
      <c r="P11668" s="42"/>
      <c r="R11668" s="23"/>
    </row>
    <row r="11669" spans="1:18" ht="12.75">
      <c r="A11669" s="12"/>
      <c r="D11669" s="12"/>
      <c r="E11669" s="12"/>
      <c r="H11669" s="11" t="str">
        <f ca="1">IFERROR(__xludf.DUMMYFUNCTION("IFERROR(SUBSTITUTE(SUBSTITUTE(REGEXEXTRACT(A11669, ""[^-]+- [^-]+- [^-]+ - (.+?)\.jpg""), "".jpg"", """"), ""-"", "", ""), """")"),"")</f>
        <v/>
      </c>
      <c r="L11669" s="12"/>
      <c r="M11669" s="13"/>
      <c r="N11669" s="2"/>
      <c r="O11669" s="20"/>
      <c r="P11669" s="42"/>
      <c r="R11669" s="23"/>
    </row>
    <row r="11670" spans="1:18" ht="12.75">
      <c r="A11670" s="12"/>
      <c r="D11670" s="12"/>
      <c r="E11670" s="12"/>
      <c r="H11670" s="11" t="str">
        <f ca="1">IFERROR(__xludf.DUMMYFUNCTION("IFERROR(SUBSTITUTE(SUBSTITUTE(REGEXEXTRACT(A11670, ""[^-]+- [^-]+- [^-]+ - (.+?)\.jpg""), "".jpg"", """"), ""-"", "", ""), """")"),"")</f>
        <v/>
      </c>
      <c r="L11670" s="12"/>
      <c r="M11670" s="13"/>
      <c r="N11670" s="2"/>
      <c r="O11670" s="20"/>
      <c r="P11670" s="42"/>
      <c r="R11670" s="23"/>
    </row>
    <row r="11671" spans="1:18" ht="12.75">
      <c r="A11671" s="12"/>
      <c r="D11671" s="12"/>
      <c r="E11671" s="12"/>
      <c r="H11671" s="11" t="str">
        <f ca="1">IFERROR(__xludf.DUMMYFUNCTION("IFERROR(SUBSTITUTE(SUBSTITUTE(REGEXEXTRACT(A11671, ""[^-]+- [^-]+- [^-]+ - (.+?)\.jpg""), "".jpg"", """"), ""-"", "", ""), """")"),"")</f>
        <v/>
      </c>
      <c r="L11671" s="12"/>
      <c r="M11671" s="13"/>
      <c r="N11671" s="2"/>
      <c r="O11671" s="20"/>
      <c r="P11671" s="42"/>
      <c r="R11671" s="23"/>
    </row>
    <row r="11672" spans="1:18" ht="12.75">
      <c r="A11672" s="12"/>
      <c r="D11672" s="12"/>
      <c r="E11672" s="12"/>
      <c r="H11672" s="11" t="str">
        <f ca="1">IFERROR(__xludf.DUMMYFUNCTION("IFERROR(SUBSTITUTE(SUBSTITUTE(REGEXEXTRACT(A11672, ""[^-]+- [^-]+- [^-]+ - (.+?)\.jpg""), "".jpg"", """"), ""-"", "", ""), """")"),"")</f>
        <v/>
      </c>
      <c r="L11672" s="12"/>
      <c r="M11672" s="13"/>
      <c r="N11672" s="2"/>
      <c r="O11672" s="20"/>
      <c r="P11672" s="42"/>
      <c r="R11672" s="23"/>
    </row>
    <row r="11673" spans="1:18" ht="12.75">
      <c r="A11673" s="12"/>
      <c r="D11673" s="12"/>
      <c r="E11673" s="12"/>
      <c r="H11673" s="11" t="str">
        <f ca="1">IFERROR(__xludf.DUMMYFUNCTION("IFERROR(SUBSTITUTE(SUBSTITUTE(REGEXEXTRACT(A11673, ""[^-]+- [^-]+- [^-]+ - (.+?)\.jpg""), "".jpg"", """"), ""-"", "", ""), """")"),"")</f>
        <v/>
      </c>
      <c r="L11673" s="12"/>
      <c r="M11673" s="13"/>
      <c r="N11673" s="2"/>
      <c r="O11673" s="20"/>
      <c r="P11673" s="42"/>
      <c r="R11673" s="23"/>
    </row>
    <row r="11674" spans="1:18" ht="12.75">
      <c r="A11674" s="12"/>
      <c r="D11674" s="12"/>
      <c r="E11674" s="12"/>
      <c r="H11674" s="11" t="str">
        <f ca="1">IFERROR(__xludf.DUMMYFUNCTION("IFERROR(SUBSTITUTE(SUBSTITUTE(REGEXEXTRACT(A11674, ""[^-]+- [^-]+- [^-]+ - (.+?)\.jpg""), "".jpg"", """"), ""-"", "", ""), """")"),"")</f>
        <v/>
      </c>
      <c r="L11674" s="12"/>
      <c r="M11674" s="13"/>
      <c r="N11674" s="2"/>
      <c r="O11674" s="20"/>
      <c r="P11674" s="42"/>
      <c r="R11674" s="23"/>
    </row>
    <row r="11675" spans="1:18" ht="12.75">
      <c r="A11675" s="12"/>
      <c r="D11675" s="12"/>
      <c r="E11675" s="12"/>
      <c r="H11675" s="11" t="str">
        <f ca="1">IFERROR(__xludf.DUMMYFUNCTION("IFERROR(SUBSTITUTE(SUBSTITUTE(REGEXEXTRACT(A11675, ""[^-]+- [^-]+- [^-]+ - (.+?)\.jpg""), "".jpg"", """"), ""-"", "", ""), """")"),"")</f>
        <v/>
      </c>
      <c r="L11675" s="12"/>
      <c r="M11675" s="13"/>
      <c r="N11675" s="2"/>
      <c r="O11675" s="20"/>
      <c r="P11675" s="42"/>
      <c r="R11675" s="23"/>
    </row>
    <row r="11676" spans="1:18" ht="12.75">
      <c r="A11676" s="12"/>
      <c r="D11676" s="12"/>
      <c r="E11676" s="12"/>
      <c r="H11676" s="11" t="str">
        <f ca="1">IFERROR(__xludf.DUMMYFUNCTION("IFERROR(SUBSTITUTE(SUBSTITUTE(REGEXEXTRACT(A11676, ""[^-]+- [^-]+- [^-]+ - (.+?)\.jpg""), "".jpg"", """"), ""-"", "", ""), """")"),"")</f>
        <v/>
      </c>
      <c r="L11676" s="12"/>
      <c r="M11676" s="13"/>
      <c r="N11676" s="2"/>
      <c r="O11676" s="20"/>
      <c r="P11676" s="42"/>
      <c r="R11676" s="23"/>
    </row>
    <row r="11677" spans="1:18" ht="12.75">
      <c r="A11677" s="12"/>
      <c r="D11677" s="12"/>
      <c r="E11677" s="12"/>
      <c r="H11677" s="11" t="str">
        <f ca="1">IFERROR(__xludf.DUMMYFUNCTION("IFERROR(SUBSTITUTE(SUBSTITUTE(REGEXEXTRACT(A11677, ""[^-]+- [^-]+- [^-]+ - (.+?)\.jpg""), "".jpg"", """"), ""-"", "", ""), """")"),"")</f>
        <v/>
      </c>
      <c r="L11677" s="12"/>
      <c r="M11677" s="13"/>
      <c r="N11677" s="2"/>
      <c r="O11677" s="20"/>
      <c r="P11677" s="42"/>
      <c r="R11677" s="23"/>
    </row>
    <row r="11678" spans="1:18" ht="12.75">
      <c r="A11678" s="12"/>
      <c r="D11678" s="12"/>
      <c r="E11678" s="12"/>
      <c r="H11678" s="11" t="str">
        <f ca="1">IFERROR(__xludf.DUMMYFUNCTION("IFERROR(SUBSTITUTE(SUBSTITUTE(REGEXEXTRACT(A11678, ""[^-]+- [^-]+- [^-]+ - (.+?)\.jpg""), "".jpg"", """"), ""-"", "", ""), """")"),"")</f>
        <v/>
      </c>
      <c r="L11678" s="12"/>
      <c r="M11678" s="13"/>
      <c r="N11678" s="2"/>
      <c r="O11678" s="20"/>
      <c r="P11678" s="42"/>
      <c r="R11678" s="23"/>
    </row>
    <row r="11679" spans="1:18" ht="12.75">
      <c r="A11679" s="12"/>
      <c r="D11679" s="12"/>
      <c r="E11679" s="12"/>
      <c r="H11679" s="11" t="str">
        <f ca="1">IFERROR(__xludf.DUMMYFUNCTION("IFERROR(SUBSTITUTE(SUBSTITUTE(REGEXEXTRACT(A11679, ""[^-]+- [^-]+- [^-]+ - (.+?)\.jpg""), "".jpg"", """"), ""-"", "", ""), """")"),"")</f>
        <v/>
      </c>
      <c r="L11679" s="12"/>
      <c r="M11679" s="13"/>
      <c r="N11679" s="2"/>
      <c r="O11679" s="20"/>
      <c r="P11679" s="42"/>
      <c r="R11679" s="23"/>
    </row>
    <row r="11680" spans="1:18" ht="12.75">
      <c r="A11680" s="12"/>
      <c r="D11680" s="12"/>
      <c r="E11680" s="12"/>
      <c r="H11680" s="11" t="str">
        <f ca="1">IFERROR(__xludf.DUMMYFUNCTION("IFERROR(SUBSTITUTE(SUBSTITUTE(REGEXEXTRACT(A11680, ""[^-]+- [^-]+- [^-]+ - (.+?)\.jpg""), "".jpg"", """"), ""-"", "", ""), """")"),"")</f>
        <v/>
      </c>
      <c r="L11680" s="12"/>
      <c r="M11680" s="13"/>
      <c r="N11680" s="2"/>
      <c r="O11680" s="20"/>
      <c r="P11680" s="42"/>
      <c r="R11680" s="23"/>
    </row>
    <row r="11681" spans="1:18" ht="12.75">
      <c r="A11681" s="12"/>
      <c r="D11681" s="12"/>
      <c r="E11681" s="12"/>
      <c r="H11681" s="11" t="str">
        <f ca="1">IFERROR(__xludf.DUMMYFUNCTION("IFERROR(SUBSTITUTE(SUBSTITUTE(REGEXEXTRACT(A11681, ""[^-]+- [^-]+- [^-]+ - (.+?)\.jpg""), "".jpg"", """"), ""-"", "", ""), """")"),"")</f>
        <v/>
      </c>
      <c r="L11681" s="12"/>
      <c r="M11681" s="13"/>
      <c r="N11681" s="2"/>
      <c r="O11681" s="20"/>
      <c r="P11681" s="42"/>
      <c r="R11681" s="23"/>
    </row>
    <row r="11682" spans="1:18" ht="12.75">
      <c r="A11682" s="12"/>
      <c r="D11682" s="12"/>
      <c r="E11682" s="12"/>
      <c r="H11682" s="11" t="str">
        <f ca="1">IFERROR(__xludf.DUMMYFUNCTION("IFERROR(SUBSTITUTE(SUBSTITUTE(REGEXEXTRACT(A11682, ""[^-]+- [^-]+- [^-]+ - (.+?)\.jpg""), "".jpg"", """"), ""-"", "", ""), """")"),"")</f>
        <v/>
      </c>
      <c r="L11682" s="12"/>
      <c r="M11682" s="13"/>
      <c r="N11682" s="2"/>
      <c r="O11682" s="20"/>
      <c r="P11682" s="42"/>
      <c r="R11682" s="23"/>
    </row>
    <row r="11683" spans="1:18" ht="12.75">
      <c r="A11683" s="12"/>
      <c r="D11683" s="12"/>
      <c r="E11683" s="12"/>
      <c r="H11683" s="11" t="str">
        <f ca="1">IFERROR(__xludf.DUMMYFUNCTION("IFERROR(SUBSTITUTE(SUBSTITUTE(REGEXEXTRACT(A11683, ""[^-]+- [^-]+- [^-]+ - (.+?)\.jpg""), "".jpg"", """"), ""-"", "", ""), """")"),"")</f>
        <v/>
      </c>
      <c r="L11683" s="12"/>
      <c r="M11683" s="13"/>
      <c r="N11683" s="2"/>
      <c r="O11683" s="20"/>
      <c r="P11683" s="42"/>
      <c r="R11683" s="23"/>
    </row>
    <row r="11684" spans="1:18" ht="12.75">
      <c r="A11684" s="12"/>
      <c r="D11684" s="12"/>
      <c r="E11684" s="12"/>
      <c r="H11684" s="11" t="str">
        <f ca="1">IFERROR(__xludf.DUMMYFUNCTION("IFERROR(SUBSTITUTE(SUBSTITUTE(REGEXEXTRACT(A11684, ""[^-]+- [^-]+- [^-]+ - (.+?)\.jpg""), "".jpg"", """"), ""-"", "", ""), """")"),"")</f>
        <v/>
      </c>
      <c r="L11684" s="12"/>
      <c r="M11684" s="13"/>
      <c r="N11684" s="2"/>
      <c r="O11684" s="20"/>
      <c r="P11684" s="42"/>
      <c r="R11684" s="23"/>
    </row>
    <row r="11685" spans="1:18" ht="12.75">
      <c r="A11685" s="12"/>
      <c r="D11685" s="12"/>
      <c r="E11685" s="12"/>
      <c r="H11685" s="11" t="str">
        <f ca="1">IFERROR(__xludf.DUMMYFUNCTION("IFERROR(SUBSTITUTE(SUBSTITUTE(REGEXEXTRACT(A11685, ""[^-]+- [^-]+- [^-]+ - (.+?)\.jpg""), "".jpg"", """"), ""-"", "", ""), """")"),"")</f>
        <v/>
      </c>
      <c r="L11685" s="12"/>
      <c r="M11685" s="13"/>
      <c r="N11685" s="2"/>
      <c r="O11685" s="20"/>
      <c r="P11685" s="42"/>
      <c r="R11685" s="23"/>
    </row>
    <row r="11686" spans="1:18" ht="12.75">
      <c r="A11686" s="12"/>
      <c r="D11686" s="12"/>
      <c r="E11686" s="12"/>
      <c r="H11686" s="11" t="str">
        <f ca="1">IFERROR(__xludf.DUMMYFUNCTION("IFERROR(SUBSTITUTE(SUBSTITUTE(REGEXEXTRACT(A11686, ""[^-]+- [^-]+- [^-]+ - (.+?)\.jpg""), "".jpg"", """"), ""-"", "", ""), """")"),"")</f>
        <v/>
      </c>
      <c r="L11686" s="12"/>
      <c r="M11686" s="13"/>
      <c r="N11686" s="2"/>
      <c r="O11686" s="20"/>
      <c r="P11686" s="42"/>
      <c r="R11686" s="23"/>
    </row>
    <row r="11687" spans="1:18" ht="12.75">
      <c r="A11687" s="12"/>
      <c r="D11687" s="12"/>
      <c r="E11687" s="12"/>
      <c r="H11687" s="11" t="str">
        <f ca="1">IFERROR(__xludf.DUMMYFUNCTION("IFERROR(SUBSTITUTE(SUBSTITUTE(REGEXEXTRACT(A11687, ""[^-]+- [^-]+- [^-]+ - (.+?)\.jpg""), "".jpg"", """"), ""-"", "", ""), """")"),"")</f>
        <v/>
      </c>
      <c r="L11687" s="12"/>
      <c r="M11687" s="13"/>
      <c r="N11687" s="2"/>
      <c r="O11687" s="20"/>
      <c r="P11687" s="42"/>
      <c r="R11687" s="23"/>
    </row>
    <row r="11688" spans="1:18" ht="12.75">
      <c r="A11688" s="12"/>
      <c r="D11688" s="12"/>
      <c r="E11688" s="12"/>
      <c r="H11688" s="11" t="str">
        <f ca="1">IFERROR(__xludf.DUMMYFUNCTION("IFERROR(SUBSTITUTE(SUBSTITUTE(REGEXEXTRACT(A11688, ""[^-]+- [^-]+- [^-]+ - (.+?)\.jpg""), "".jpg"", """"), ""-"", "", ""), """")"),"")</f>
        <v/>
      </c>
      <c r="L11688" s="12"/>
      <c r="M11688" s="13"/>
      <c r="N11688" s="2"/>
      <c r="O11688" s="20"/>
      <c r="P11688" s="42"/>
      <c r="R11688" s="23"/>
    </row>
    <row r="11689" spans="1:18" ht="12.75">
      <c r="A11689" s="12"/>
      <c r="D11689" s="12"/>
      <c r="E11689" s="12"/>
      <c r="H11689" s="11" t="str">
        <f ca="1">IFERROR(__xludf.DUMMYFUNCTION("IFERROR(SUBSTITUTE(SUBSTITUTE(REGEXEXTRACT(A11689, ""[^-]+- [^-]+- [^-]+ - (.+?)\.jpg""), "".jpg"", """"), ""-"", "", ""), """")"),"")</f>
        <v/>
      </c>
      <c r="L11689" s="12"/>
      <c r="M11689" s="13"/>
      <c r="N11689" s="2"/>
      <c r="O11689" s="20"/>
      <c r="P11689" s="42"/>
      <c r="R11689" s="23"/>
    </row>
    <row r="11690" spans="1:18" ht="12.75">
      <c r="A11690" s="12"/>
      <c r="D11690" s="12"/>
      <c r="E11690" s="12"/>
      <c r="H11690" s="11" t="str">
        <f ca="1">IFERROR(__xludf.DUMMYFUNCTION("IFERROR(SUBSTITUTE(SUBSTITUTE(REGEXEXTRACT(A11690, ""[^-]+- [^-]+- [^-]+ - (.+?)\.jpg""), "".jpg"", """"), ""-"", "", ""), """")"),"")</f>
        <v/>
      </c>
      <c r="L11690" s="12"/>
      <c r="M11690" s="13"/>
      <c r="N11690" s="2"/>
      <c r="O11690" s="20"/>
      <c r="P11690" s="42"/>
      <c r="R11690" s="23"/>
    </row>
    <row r="11691" spans="1:18" ht="12.75">
      <c r="A11691" s="12"/>
      <c r="D11691" s="12"/>
      <c r="E11691" s="12"/>
      <c r="H11691" s="11" t="str">
        <f ca="1">IFERROR(__xludf.DUMMYFUNCTION("IFERROR(SUBSTITUTE(SUBSTITUTE(REGEXEXTRACT(A11691, ""[^-]+- [^-]+- [^-]+ - (.+?)\.jpg""), "".jpg"", """"), ""-"", "", ""), """")"),"")</f>
        <v/>
      </c>
      <c r="L11691" s="12"/>
      <c r="M11691" s="13"/>
      <c r="N11691" s="2"/>
      <c r="O11691" s="20"/>
      <c r="P11691" s="42"/>
      <c r="R11691" s="23"/>
    </row>
    <row r="11692" spans="1:18" ht="12.75">
      <c r="A11692" s="12"/>
      <c r="D11692" s="12"/>
      <c r="E11692" s="12"/>
      <c r="H11692" s="11" t="str">
        <f ca="1">IFERROR(__xludf.DUMMYFUNCTION("IFERROR(SUBSTITUTE(SUBSTITUTE(REGEXEXTRACT(A11692, ""[^-]+- [^-]+- [^-]+ - (.+?)\.jpg""), "".jpg"", """"), ""-"", "", ""), """")"),"")</f>
        <v/>
      </c>
      <c r="L11692" s="12"/>
      <c r="M11692" s="13"/>
      <c r="N11692" s="2"/>
      <c r="O11692" s="20"/>
      <c r="P11692" s="42"/>
      <c r="R11692" s="23"/>
    </row>
    <row r="11693" spans="1:18" ht="12.75">
      <c r="A11693" s="12"/>
      <c r="D11693" s="12"/>
      <c r="E11693" s="12"/>
      <c r="H11693" s="11" t="str">
        <f ca="1">IFERROR(__xludf.DUMMYFUNCTION("IFERROR(SUBSTITUTE(SUBSTITUTE(REGEXEXTRACT(A11693, ""[^-]+- [^-]+- [^-]+ - (.+?)\.jpg""), "".jpg"", """"), ""-"", "", ""), """")"),"")</f>
        <v/>
      </c>
      <c r="L11693" s="12"/>
      <c r="M11693" s="13"/>
      <c r="N11693" s="2"/>
      <c r="O11693" s="20"/>
      <c r="P11693" s="42"/>
      <c r="R11693" s="23"/>
    </row>
    <row r="11694" spans="1:18" ht="12.75">
      <c r="A11694" s="12"/>
      <c r="D11694" s="12"/>
      <c r="E11694" s="12"/>
      <c r="H11694" s="11" t="str">
        <f ca="1">IFERROR(__xludf.DUMMYFUNCTION("IFERROR(SUBSTITUTE(SUBSTITUTE(REGEXEXTRACT(A11694, ""[^-]+- [^-]+- [^-]+ - (.+?)\.jpg""), "".jpg"", """"), ""-"", "", ""), """")"),"")</f>
        <v/>
      </c>
      <c r="L11694" s="12"/>
      <c r="M11694" s="13"/>
      <c r="N11694" s="2"/>
      <c r="O11694" s="20"/>
      <c r="P11694" s="42"/>
      <c r="R11694" s="23"/>
    </row>
    <row r="11695" spans="1:18" ht="12.75">
      <c r="A11695" s="12"/>
      <c r="D11695" s="12"/>
      <c r="E11695" s="12"/>
      <c r="H11695" s="11" t="str">
        <f ca="1">IFERROR(__xludf.DUMMYFUNCTION("IFERROR(SUBSTITUTE(SUBSTITUTE(REGEXEXTRACT(A11695, ""[^-]+- [^-]+- [^-]+ - (.+?)\.jpg""), "".jpg"", """"), ""-"", "", ""), """")"),"")</f>
        <v/>
      </c>
      <c r="L11695" s="12"/>
      <c r="M11695" s="13"/>
      <c r="N11695" s="2"/>
      <c r="O11695" s="20"/>
      <c r="P11695" s="42"/>
      <c r="R11695" s="23"/>
    </row>
    <row r="11696" spans="1:18" ht="12.75">
      <c r="A11696" s="12"/>
      <c r="D11696" s="12"/>
      <c r="E11696" s="12"/>
      <c r="H11696" s="11" t="str">
        <f ca="1">IFERROR(__xludf.DUMMYFUNCTION("IFERROR(SUBSTITUTE(SUBSTITUTE(REGEXEXTRACT(A11696, ""[^-]+- [^-]+- [^-]+ - (.+?)\.jpg""), "".jpg"", """"), ""-"", "", ""), """")"),"")</f>
        <v/>
      </c>
      <c r="L11696" s="12"/>
      <c r="M11696" s="13"/>
      <c r="N11696" s="2"/>
      <c r="O11696" s="20"/>
      <c r="P11696" s="42"/>
      <c r="R11696" s="23"/>
    </row>
    <row r="11697" spans="1:18" ht="12.75">
      <c r="A11697" s="12"/>
      <c r="D11697" s="12"/>
      <c r="E11697" s="12"/>
      <c r="H11697" s="11" t="str">
        <f ca="1">IFERROR(__xludf.DUMMYFUNCTION("IFERROR(SUBSTITUTE(SUBSTITUTE(REGEXEXTRACT(A11697, ""[^-]+- [^-]+- [^-]+ - (.+?)\.jpg""), "".jpg"", """"), ""-"", "", ""), """")"),"")</f>
        <v/>
      </c>
      <c r="L11697" s="12"/>
      <c r="M11697" s="13"/>
      <c r="N11697" s="2"/>
      <c r="O11697" s="20"/>
      <c r="P11697" s="42"/>
      <c r="R11697" s="23"/>
    </row>
    <row r="11698" spans="1:18" ht="12.75">
      <c r="A11698" s="12"/>
      <c r="D11698" s="12"/>
      <c r="E11698" s="12"/>
      <c r="H11698" s="11" t="str">
        <f ca="1">IFERROR(__xludf.DUMMYFUNCTION("IFERROR(SUBSTITUTE(SUBSTITUTE(REGEXEXTRACT(A11698, ""[^-]+- [^-]+- [^-]+ - (.+?)\.jpg""), "".jpg"", """"), ""-"", "", ""), """")"),"")</f>
        <v/>
      </c>
      <c r="L11698" s="12"/>
      <c r="M11698" s="13"/>
      <c r="N11698" s="2"/>
      <c r="O11698" s="20"/>
      <c r="P11698" s="42"/>
      <c r="R11698" s="23"/>
    </row>
    <row r="11699" spans="1:18" ht="12.75">
      <c r="A11699" s="12"/>
      <c r="D11699" s="12"/>
      <c r="E11699" s="12"/>
      <c r="H11699" s="11" t="str">
        <f ca="1">IFERROR(__xludf.DUMMYFUNCTION("IFERROR(SUBSTITUTE(SUBSTITUTE(REGEXEXTRACT(A11699, ""[^-]+- [^-]+- [^-]+ - (.+?)\.jpg""), "".jpg"", """"), ""-"", "", ""), """")"),"")</f>
        <v/>
      </c>
      <c r="L11699" s="12"/>
      <c r="M11699" s="13"/>
      <c r="N11699" s="2"/>
      <c r="O11699" s="20"/>
      <c r="P11699" s="42"/>
      <c r="R11699" s="23"/>
    </row>
    <row r="11700" spans="1:18" ht="12.75">
      <c r="A11700" s="12"/>
      <c r="D11700" s="12"/>
      <c r="E11700" s="12"/>
      <c r="H11700" s="11" t="str">
        <f ca="1">IFERROR(__xludf.DUMMYFUNCTION("IFERROR(SUBSTITUTE(SUBSTITUTE(REGEXEXTRACT(A11700, ""[^-]+- [^-]+- [^-]+ - (.+?)\.jpg""), "".jpg"", """"), ""-"", "", ""), """")"),"")</f>
        <v/>
      </c>
      <c r="L11700" s="12"/>
      <c r="M11700" s="13"/>
      <c r="N11700" s="2"/>
      <c r="O11700" s="20"/>
      <c r="P11700" s="42"/>
      <c r="R11700" s="23"/>
    </row>
    <row r="11701" spans="1:18" ht="12.75">
      <c r="A11701" s="12"/>
      <c r="D11701" s="12"/>
      <c r="E11701" s="12"/>
      <c r="H11701" s="11" t="str">
        <f ca="1">IFERROR(__xludf.DUMMYFUNCTION("IFERROR(SUBSTITUTE(SUBSTITUTE(REGEXEXTRACT(A11701, ""[^-]+- [^-]+- [^-]+ - (.+?)\.jpg""), "".jpg"", """"), ""-"", "", ""), """")"),"")</f>
        <v/>
      </c>
      <c r="L11701" s="12"/>
      <c r="M11701" s="13"/>
      <c r="N11701" s="2"/>
      <c r="O11701" s="20"/>
      <c r="P11701" s="42"/>
      <c r="R11701" s="23"/>
    </row>
    <row r="11702" spans="1:18" ht="12.75">
      <c r="A11702" s="12"/>
      <c r="D11702" s="12"/>
      <c r="E11702" s="12"/>
      <c r="H11702" s="11" t="str">
        <f ca="1">IFERROR(__xludf.DUMMYFUNCTION("IFERROR(SUBSTITUTE(SUBSTITUTE(REGEXEXTRACT(A11702, ""[^-]+- [^-]+- [^-]+ - (.+?)\.jpg""), "".jpg"", """"), ""-"", "", ""), """")"),"")</f>
        <v/>
      </c>
      <c r="L11702" s="12"/>
      <c r="M11702" s="13"/>
      <c r="N11702" s="2"/>
      <c r="O11702" s="20"/>
      <c r="P11702" s="42"/>
      <c r="R11702" s="23"/>
    </row>
    <row r="11703" spans="1:18" ht="12.75">
      <c r="A11703" s="12"/>
      <c r="D11703" s="12"/>
      <c r="E11703" s="12"/>
      <c r="H11703" s="11" t="str">
        <f ca="1">IFERROR(__xludf.DUMMYFUNCTION("IFERROR(SUBSTITUTE(SUBSTITUTE(REGEXEXTRACT(A11703, ""[^-]+- [^-]+- [^-]+ - (.+?)\.jpg""), "".jpg"", """"), ""-"", "", ""), """")"),"")</f>
        <v/>
      </c>
      <c r="L11703" s="12"/>
      <c r="M11703" s="13"/>
      <c r="N11703" s="2"/>
      <c r="O11703" s="20"/>
      <c r="P11703" s="42"/>
      <c r="R11703" s="23"/>
    </row>
    <row r="11704" spans="1:18" ht="12.75">
      <c r="A11704" s="12"/>
      <c r="D11704" s="12"/>
      <c r="E11704" s="12"/>
      <c r="H11704" s="11" t="str">
        <f ca="1">IFERROR(__xludf.DUMMYFUNCTION("IFERROR(SUBSTITUTE(SUBSTITUTE(REGEXEXTRACT(A11704, ""[^-]+- [^-]+- [^-]+ - (.+?)\.jpg""), "".jpg"", """"), ""-"", "", ""), """")"),"")</f>
        <v/>
      </c>
      <c r="L11704" s="12"/>
      <c r="M11704" s="13"/>
      <c r="N11704" s="2"/>
      <c r="O11704" s="20"/>
      <c r="P11704" s="42"/>
      <c r="R11704" s="23"/>
    </row>
    <row r="11705" spans="1:18" ht="12.75">
      <c r="A11705" s="12"/>
      <c r="D11705" s="12"/>
      <c r="E11705" s="12"/>
      <c r="H11705" s="11" t="str">
        <f ca="1">IFERROR(__xludf.DUMMYFUNCTION("IFERROR(SUBSTITUTE(SUBSTITUTE(REGEXEXTRACT(A11705, ""[^-]+- [^-]+- [^-]+ - (.+?)\.jpg""), "".jpg"", """"), ""-"", "", ""), """")"),"")</f>
        <v/>
      </c>
      <c r="L11705" s="12"/>
      <c r="M11705" s="13"/>
      <c r="N11705" s="2"/>
      <c r="O11705" s="20"/>
      <c r="P11705" s="42"/>
      <c r="R11705" s="23"/>
    </row>
    <row r="11706" spans="1:18" ht="12.75">
      <c r="A11706" s="12"/>
      <c r="D11706" s="12"/>
      <c r="E11706" s="12"/>
      <c r="H11706" s="11" t="str">
        <f ca="1">IFERROR(__xludf.DUMMYFUNCTION("IFERROR(SUBSTITUTE(SUBSTITUTE(REGEXEXTRACT(A11706, ""[^-]+- [^-]+- [^-]+ - (.+?)\.jpg""), "".jpg"", """"), ""-"", "", ""), """")"),"")</f>
        <v/>
      </c>
      <c r="L11706" s="12"/>
      <c r="M11706" s="13"/>
      <c r="N11706" s="2"/>
      <c r="O11706" s="20"/>
      <c r="P11706" s="42"/>
      <c r="R11706" s="23"/>
    </row>
    <row r="11707" spans="1:18" ht="12.75">
      <c r="A11707" s="12"/>
      <c r="D11707" s="12"/>
      <c r="E11707" s="12"/>
      <c r="H11707" s="11" t="str">
        <f ca="1">IFERROR(__xludf.DUMMYFUNCTION("IFERROR(SUBSTITUTE(SUBSTITUTE(REGEXEXTRACT(A11707, ""[^-]+- [^-]+- [^-]+ - (.+?)\.jpg""), "".jpg"", """"), ""-"", "", ""), """")"),"")</f>
        <v/>
      </c>
      <c r="L11707" s="12"/>
      <c r="M11707" s="13"/>
      <c r="N11707" s="2"/>
      <c r="O11707" s="20"/>
      <c r="P11707" s="42"/>
      <c r="R11707" s="23"/>
    </row>
    <row r="11708" spans="1:18" ht="12.75">
      <c r="A11708" s="12"/>
      <c r="D11708" s="12"/>
      <c r="E11708" s="12"/>
      <c r="H11708" s="11" t="str">
        <f ca="1">IFERROR(__xludf.DUMMYFUNCTION("IFERROR(SUBSTITUTE(SUBSTITUTE(REGEXEXTRACT(A11708, ""[^-]+- [^-]+- [^-]+ - (.+?)\.jpg""), "".jpg"", """"), ""-"", "", ""), """")"),"")</f>
        <v/>
      </c>
      <c r="L11708" s="12"/>
      <c r="M11708" s="13"/>
      <c r="N11708" s="2"/>
      <c r="O11708" s="20"/>
      <c r="P11708" s="42"/>
      <c r="R11708" s="23"/>
    </row>
    <row r="11709" spans="1:18" ht="12.75">
      <c r="A11709" s="12"/>
      <c r="D11709" s="12"/>
      <c r="E11709" s="12"/>
      <c r="H11709" s="11" t="str">
        <f ca="1">IFERROR(__xludf.DUMMYFUNCTION("IFERROR(SUBSTITUTE(SUBSTITUTE(REGEXEXTRACT(A11709, ""[^-]+- [^-]+- [^-]+ - (.+?)\.jpg""), "".jpg"", """"), ""-"", "", ""), """")"),"")</f>
        <v/>
      </c>
      <c r="L11709" s="12"/>
      <c r="M11709" s="13"/>
      <c r="N11709" s="2"/>
      <c r="O11709" s="20"/>
      <c r="P11709" s="42"/>
      <c r="R11709" s="23"/>
    </row>
    <row r="11710" spans="1:18" ht="12.75">
      <c r="A11710" s="12"/>
      <c r="D11710" s="12"/>
      <c r="E11710" s="12"/>
      <c r="H11710" s="11" t="str">
        <f ca="1">IFERROR(__xludf.DUMMYFUNCTION("IFERROR(SUBSTITUTE(SUBSTITUTE(REGEXEXTRACT(A11710, ""[^-]+- [^-]+- [^-]+ - (.+?)\.jpg""), "".jpg"", """"), ""-"", "", ""), """")"),"")</f>
        <v/>
      </c>
      <c r="L11710" s="12"/>
      <c r="M11710" s="13"/>
      <c r="N11710" s="2"/>
      <c r="O11710" s="20"/>
      <c r="P11710" s="42"/>
      <c r="R11710" s="23"/>
    </row>
    <row r="11711" spans="1:18" ht="12.75">
      <c r="A11711" s="12"/>
      <c r="D11711" s="12"/>
      <c r="E11711" s="12"/>
      <c r="H11711" s="11" t="str">
        <f ca="1">IFERROR(__xludf.DUMMYFUNCTION("IFERROR(SUBSTITUTE(SUBSTITUTE(REGEXEXTRACT(A11711, ""[^-]+- [^-]+- [^-]+ - (.+?)\.jpg""), "".jpg"", """"), ""-"", "", ""), """")"),"")</f>
        <v/>
      </c>
      <c r="L11711" s="12"/>
      <c r="M11711" s="13"/>
      <c r="N11711" s="2"/>
      <c r="O11711" s="20"/>
      <c r="P11711" s="42"/>
      <c r="R11711" s="23"/>
    </row>
    <row r="11712" spans="1:18" ht="12.75">
      <c r="A11712" s="12"/>
      <c r="D11712" s="12"/>
      <c r="E11712" s="12"/>
      <c r="H11712" s="11" t="str">
        <f ca="1">IFERROR(__xludf.DUMMYFUNCTION("IFERROR(SUBSTITUTE(SUBSTITUTE(REGEXEXTRACT(A11712, ""[^-]+- [^-]+- [^-]+ - (.+?)\.jpg""), "".jpg"", """"), ""-"", "", ""), """")"),"")</f>
        <v/>
      </c>
      <c r="L11712" s="12"/>
      <c r="M11712" s="13"/>
      <c r="N11712" s="2"/>
      <c r="O11712" s="20"/>
      <c r="P11712" s="42"/>
      <c r="R11712" s="23"/>
    </row>
    <row r="11713" spans="1:18" ht="12.75">
      <c r="A11713" s="12"/>
      <c r="D11713" s="12"/>
      <c r="E11713" s="12"/>
      <c r="H11713" s="11" t="str">
        <f ca="1">IFERROR(__xludf.DUMMYFUNCTION("IFERROR(SUBSTITUTE(SUBSTITUTE(REGEXEXTRACT(A11713, ""[^-]+- [^-]+- [^-]+ - (.+?)\.jpg""), "".jpg"", """"), ""-"", "", ""), """")"),"")</f>
        <v/>
      </c>
      <c r="L11713" s="12"/>
      <c r="M11713" s="13"/>
      <c r="N11713" s="2"/>
      <c r="O11713" s="20"/>
      <c r="P11713" s="42"/>
      <c r="R11713" s="23"/>
    </row>
    <row r="11714" spans="1:18" ht="12.75">
      <c r="A11714" s="12"/>
      <c r="D11714" s="12"/>
      <c r="E11714" s="12"/>
      <c r="H11714" s="11" t="str">
        <f ca="1">IFERROR(__xludf.DUMMYFUNCTION("IFERROR(SUBSTITUTE(SUBSTITUTE(REGEXEXTRACT(A11714, ""[^-]+- [^-]+- [^-]+ - (.+?)\.jpg""), "".jpg"", """"), ""-"", "", ""), """")"),"")</f>
        <v/>
      </c>
      <c r="L11714" s="12"/>
      <c r="M11714" s="13"/>
      <c r="N11714" s="2"/>
      <c r="O11714" s="20"/>
      <c r="P11714" s="42"/>
      <c r="R11714" s="23"/>
    </row>
    <row r="11715" spans="1:18" ht="12.75">
      <c r="A11715" s="12"/>
      <c r="D11715" s="12"/>
      <c r="E11715" s="12"/>
      <c r="H11715" s="11" t="str">
        <f ca="1">IFERROR(__xludf.DUMMYFUNCTION("IFERROR(SUBSTITUTE(SUBSTITUTE(REGEXEXTRACT(A11715, ""[^-]+- [^-]+- [^-]+ - (.+?)\.jpg""), "".jpg"", """"), ""-"", "", ""), """")"),"")</f>
        <v/>
      </c>
      <c r="L11715" s="12"/>
      <c r="M11715" s="13"/>
      <c r="N11715" s="2"/>
      <c r="O11715" s="20"/>
      <c r="P11715" s="42"/>
      <c r="R11715" s="23"/>
    </row>
    <row r="11716" spans="1:18" ht="12.75">
      <c r="A11716" s="12"/>
      <c r="D11716" s="12"/>
      <c r="E11716" s="12"/>
      <c r="H11716" s="11" t="str">
        <f ca="1">IFERROR(__xludf.DUMMYFUNCTION("IFERROR(SUBSTITUTE(SUBSTITUTE(REGEXEXTRACT(A11716, ""[^-]+- [^-]+- [^-]+ - (.+?)\.jpg""), "".jpg"", """"), ""-"", "", ""), """")"),"")</f>
        <v/>
      </c>
      <c r="L11716" s="12"/>
      <c r="M11716" s="13"/>
      <c r="N11716" s="2"/>
      <c r="O11716" s="20"/>
      <c r="P11716" s="42"/>
      <c r="R11716" s="23"/>
    </row>
    <row r="11717" spans="1:18" ht="12.75">
      <c r="A11717" s="12"/>
      <c r="D11717" s="12"/>
      <c r="E11717" s="12"/>
      <c r="H11717" s="11" t="str">
        <f ca="1">IFERROR(__xludf.DUMMYFUNCTION("IFERROR(SUBSTITUTE(SUBSTITUTE(REGEXEXTRACT(A11717, ""[^-]+- [^-]+- [^-]+ - (.+?)\.jpg""), "".jpg"", """"), ""-"", "", ""), """")"),"")</f>
        <v/>
      </c>
      <c r="L11717" s="12"/>
      <c r="M11717" s="13"/>
      <c r="N11717" s="2"/>
      <c r="O11717" s="20"/>
      <c r="P11717" s="42"/>
      <c r="R11717" s="23"/>
    </row>
    <row r="11718" spans="1:18" ht="12.75">
      <c r="A11718" s="12"/>
      <c r="D11718" s="12"/>
      <c r="E11718" s="12"/>
      <c r="H11718" s="11" t="str">
        <f ca="1">IFERROR(__xludf.DUMMYFUNCTION("IFERROR(SUBSTITUTE(SUBSTITUTE(REGEXEXTRACT(A11718, ""[^-]+- [^-]+- [^-]+ - (.+?)\.jpg""), "".jpg"", """"), ""-"", "", ""), """")"),"")</f>
        <v/>
      </c>
      <c r="L11718" s="12"/>
      <c r="M11718" s="13"/>
      <c r="N11718" s="2"/>
      <c r="O11718" s="20"/>
      <c r="P11718" s="42"/>
      <c r="R11718" s="23"/>
    </row>
    <row r="11719" spans="1:18" ht="12.75">
      <c r="A11719" s="12"/>
      <c r="D11719" s="12"/>
      <c r="E11719" s="12"/>
      <c r="H11719" s="11" t="str">
        <f ca="1">IFERROR(__xludf.DUMMYFUNCTION("IFERROR(SUBSTITUTE(SUBSTITUTE(REGEXEXTRACT(A11719, ""[^-]+- [^-]+- [^-]+ - (.+?)\.jpg""), "".jpg"", """"), ""-"", "", ""), """")"),"")</f>
        <v/>
      </c>
      <c r="L11719" s="12"/>
      <c r="M11719" s="13"/>
      <c r="N11719" s="2"/>
      <c r="O11719" s="20"/>
      <c r="P11719" s="42"/>
      <c r="R11719" s="23"/>
    </row>
    <row r="11720" spans="1:18" ht="12.75">
      <c r="A11720" s="12"/>
      <c r="D11720" s="12"/>
      <c r="E11720" s="12"/>
      <c r="H11720" s="11" t="str">
        <f ca="1">IFERROR(__xludf.DUMMYFUNCTION("IFERROR(SUBSTITUTE(SUBSTITUTE(REGEXEXTRACT(A11720, ""[^-]+- [^-]+- [^-]+ - (.+?)\.jpg""), "".jpg"", """"), ""-"", "", ""), """")"),"")</f>
        <v/>
      </c>
      <c r="L11720" s="12"/>
      <c r="M11720" s="13"/>
      <c r="N11720" s="2"/>
      <c r="O11720" s="20"/>
      <c r="P11720" s="42"/>
      <c r="R11720" s="23"/>
    </row>
    <row r="11721" spans="1:18" ht="12.75">
      <c r="A11721" s="12"/>
      <c r="D11721" s="12"/>
      <c r="E11721" s="12"/>
      <c r="H11721" s="11" t="str">
        <f ca="1">IFERROR(__xludf.DUMMYFUNCTION("IFERROR(SUBSTITUTE(SUBSTITUTE(REGEXEXTRACT(A11721, ""[^-]+- [^-]+- [^-]+ - (.+?)\.jpg""), "".jpg"", """"), ""-"", "", ""), """")"),"")</f>
        <v/>
      </c>
      <c r="L11721" s="12"/>
      <c r="M11721" s="13"/>
      <c r="N11721" s="2"/>
      <c r="O11721" s="20"/>
      <c r="P11721" s="42"/>
      <c r="R11721" s="23"/>
    </row>
    <row r="11722" spans="1:18" ht="12.75">
      <c r="A11722" s="12"/>
      <c r="D11722" s="12"/>
      <c r="E11722" s="12"/>
      <c r="H11722" s="11" t="str">
        <f ca="1">IFERROR(__xludf.DUMMYFUNCTION("IFERROR(SUBSTITUTE(SUBSTITUTE(REGEXEXTRACT(A11722, ""[^-]+- [^-]+- [^-]+ - (.+?)\.jpg""), "".jpg"", """"), ""-"", "", ""), """")"),"")</f>
        <v/>
      </c>
      <c r="L11722" s="12"/>
      <c r="M11722" s="13"/>
      <c r="N11722" s="2"/>
      <c r="O11722" s="20"/>
      <c r="P11722" s="42"/>
      <c r="R11722" s="23"/>
    </row>
    <row r="11723" spans="1:18" ht="12.75">
      <c r="A11723" s="12"/>
      <c r="D11723" s="12"/>
      <c r="E11723" s="12"/>
      <c r="H11723" s="11" t="str">
        <f ca="1">IFERROR(__xludf.DUMMYFUNCTION("IFERROR(SUBSTITUTE(SUBSTITUTE(REGEXEXTRACT(A11723, ""[^-]+- [^-]+- [^-]+ - (.+?)\.jpg""), "".jpg"", """"), ""-"", "", ""), """")"),"")</f>
        <v/>
      </c>
      <c r="L11723" s="12"/>
      <c r="M11723" s="13"/>
      <c r="N11723" s="2"/>
      <c r="O11723" s="20"/>
      <c r="P11723" s="42"/>
      <c r="R11723" s="23"/>
    </row>
    <row r="11724" spans="1:18" ht="12.75">
      <c r="A11724" s="12"/>
      <c r="D11724" s="12"/>
      <c r="E11724" s="12"/>
      <c r="H11724" s="11" t="str">
        <f ca="1">IFERROR(__xludf.DUMMYFUNCTION("IFERROR(SUBSTITUTE(SUBSTITUTE(REGEXEXTRACT(A11724, ""[^-]+- [^-]+- [^-]+ - (.+?)\.jpg""), "".jpg"", """"), ""-"", "", ""), """")"),"")</f>
        <v/>
      </c>
      <c r="L11724" s="12"/>
      <c r="M11724" s="13"/>
      <c r="N11724" s="2"/>
      <c r="O11724" s="20"/>
      <c r="P11724" s="42"/>
      <c r="R11724" s="23"/>
    </row>
    <row r="11725" spans="1:18" ht="12.75">
      <c r="A11725" s="12"/>
      <c r="D11725" s="12"/>
      <c r="E11725" s="12"/>
      <c r="H11725" s="11" t="str">
        <f ca="1">IFERROR(__xludf.DUMMYFUNCTION("IFERROR(SUBSTITUTE(SUBSTITUTE(REGEXEXTRACT(A11725, ""[^-]+- [^-]+- [^-]+ - (.+?)\.jpg""), "".jpg"", """"), ""-"", "", ""), """")"),"")</f>
        <v/>
      </c>
      <c r="L11725" s="12"/>
      <c r="M11725" s="13"/>
      <c r="N11725" s="2"/>
      <c r="O11725" s="20"/>
      <c r="P11725" s="42"/>
      <c r="R11725" s="23"/>
    </row>
    <row r="11726" spans="1:18" ht="12.75">
      <c r="A11726" s="12"/>
      <c r="D11726" s="12"/>
      <c r="E11726" s="12"/>
      <c r="H11726" s="11" t="str">
        <f ca="1">IFERROR(__xludf.DUMMYFUNCTION("IFERROR(SUBSTITUTE(SUBSTITUTE(REGEXEXTRACT(A11726, ""[^-]+- [^-]+- [^-]+ - (.+?)\.jpg""), "".jpg"", """"), ""-"", "", ""), """")"),"")</f>
        <v/>
      </c>
      <c r="L11726" s="12"/>
      <c r="M11726" s="13"/>
      <c r="N11726" s="2"/>
      <c r="O11726" s="20"/>
      <c r="P11726" s="42"/>
      <c r="R11726" s="23"/>
    </row>
    <row r="11727" spans="1:18" ht="12.75">
      <c r="A11727" s="12"/>
      <c r="D11727" s="12"/>
      <c r="E11727" s="12"/>
      <c r="H11727" s="11" t="str">
        <f ca="1">IFERROR(__xludf.DUMMYFUNCTION("IFERROR(SUBSTITUTE(SUBSTITUTE(REGEXEXTRACT(A11727, ""[^-]+- [^-]+- [^-]+ - (.+?)\.jpg""), "".jpg"", """"), ""-"", "", ""), """")"),"")</f>
        <v/>
      </c>
      <c r="L11727" s="12"/>
      <c r="M11727" s="13"/>
      <c r="N11727" s="2"/>
      <c r="O11727" s="20"/>
      <c r="P11727" s="42"/>
      <c r="R11727" s="23"/>
    </row>
    <row r="11728" spans="1:18" ht="12.75">
      <c r="A11728" s="12"/>
      <c r="D11728" s="12"/>
      <c r="E11728" s="12"/>
      <c r="H11728" s="11" t="str">
        <f ca="1">IFERROR(__xludf.DUMMYFUNCTION("IFERROR(SUBSTITUTE(SUBSTITUTE(REGEXEXTRACT(A11728, ""[^-]+- [^-]+- [^-]+ - (.+?)\.jpg""), "".jpg"", """"), ""-"", "", ""), """")"),"")</f>
        <v/>
      </c>
      <c r="L11728" s="12"/>
      <c r="M11728" s="13"/>
      <c r="N11728" s="2"/>
      <c r="O11728" s="20"/>
      <c r="P11728" s="42"/>
      <c r="R11728" s="23"/>
    </row>
    <row r="11729" spans="1:18" ht="12.75">
      <c r="A11729" s="12"/>
      <c r="D11729" s="12"/>
      <c r="E11729" s="12"/>
      <c r="H11729" s="11" t="str">
        <f ca="1">IFERROR(__xludf.DUMMYFUNCTION("IFERROR(SUBSTITUTE(SUBSTITUTE(REGEXEXTRACT(A11729, ""[^-]+- [^-]+- [^-]+ - (.+?)\.jpg""), "".jpg"", """"), ""-"", "", ""), """")"),"")</f>
        <v/>
      </c>
      <c r="L11729" s="12"/>
      <c r="M11729" s="13"/>
      <c r="N11729" s="2"/>
      <c r="O11729" s="20"/>
      <c r="P11729" s="42"/>
      <c r="R11729" s="23"/>
    </row>
    <row r="11730" spans="1:18" ht="12.75">
      <c r="A11730" s="12"/>
      <c r="D11730" s="12"/>
      <c r="E11730" s="12"/>
      <c r="H11730" s="11" t="str">
        <f ca="1">IFERROR(__xludf.DUMMYFUNCTION("IFERROR(SUBSTITUTE(SUBSTITUTE(REGEXEXTRACT(A11730, ""[^-]+- [^-]+- [^-]+ - (.+?)\.jpg""), "".jpg"", """"), ""-"", "", ""), """")"),"")</f>
        <v/>
      </c>
      <c r="L11730" s="12"/>
      <c r="M11730" s="13"/>
      <c r="N11730" s="2"/>
      <c r="O11730" s="20"/>
      <c r="P11730" s="42"/>
      <c r="R11730" s="23"/>
    </row>
    <row r="11731" spans="1:18" ht="12.75">
      <c r="A11731" s="12"/>
      <c r="D11731" s="12"/>
      <c r="E11731" s="12"/>
      <c r="H11731" s="11" t="str">
        <f ca="1">IFERROR(__xludf.DUMMYFUNCTION("IFERROR(SUBSTITUTE(SUBSTITUTE(REGEXEXTRACT(A11731, ""[^-]+- [^-]+- [^-]+ - (.+?)\.jpg""), "".jpg"", """"), ""-"", "", ""), """")"),"")</f>
        <v/>
      </c>
      <c r="L11731" s="12"/>
      <c r="M11731" s="13"/>
      <c r="N11731" s="2"/>
      <c r="O11731" s="20"/>
      <c r="P11731" s="42"/>
      <c r="R11731" s="23"/>
    </row>
    <row r="11732" spans="1:18" ht="12.75">
      <c r="A11732" s="12"/>
      <c r="D11732" s="12"/>
      <c r="E11732" s="12"/>
      <c r="H11732" s="11" t="str">
        <f ca="1">IFERROR(__xludf.DUMMYFUNCTION("IFERROR(SUBSTITUTE(SUBSTITUTE(REGEXEXTRACT(A11732, ""[^-]+- [^-]+- [^-]+ - (.+?)\.jpg""), "".jpg"", """"), ""-"", "", ""), """")"),"")</f>
        <v/>
      </c>
      <c r="L11732" s="12"/>
      <c r="M11732" s="13"/>
      <c r="N11732" s="2"/>
      <c r="O11732" s="20"/>
      <c r="P11732" s="42"/>
      <c r="R11732" s="23"/>
    </row>
    <row r="11733" spans="1:18" ht="12.75">
      <c r="A11733" s="12"/>
      <c r="D11733" s="12"/>
      <c r="E11733" s="12"/>
      <c r="H11733" s="11" t="str">
        <f ca="1">IFERROR(__xludf.DUMMYFUNCTION("IFERROR(SUBSTITUTE(SUBSTITUTE(REGEXEXTRACT(A11733, ""[^-]+- [^-]+- [^-]+ - (.+?)\.jpg""), "".jpg"", """"), ""-"", "", ""), """")"),"")</f>
        <v/>
      </c>
      <c r="L11733" s="12"/>
      <c r="M11733" s="13"/>
      <c r="N11733" s="2"/>
      <c r="O11733" s="20"/>
      <c r="P11733" s="42"/>
      <c r="R11733" s="23"/>
    </row>
    <row r="11734" spans="1:18" ht="12.75">
      <c r="A11734" s="12"/>
      <c r="D11734" s="12"/>
      <c r="E11734" s="12"/>
      <c r="H11734" s="11" t="str">
        <f ca="1">IFERROR(__xludf.DUMMYFUNCTION("IFERROR(SUBSTITUTE(SUBSTITUTE(REGEXEXTRACT(A11734, ""[^-]+- [^-]+- [^-]+ - (.+?)\.jpg""), "".jpg"", """"), ""-"", "", ""), """")"),"")</f>
        <v/>
      </c>
      <c r="L11734" s="12"/>
      <c r="M11734" s="13"/>
      <c r="N11734" s="2"/>
      <c r="O11734" s="20"/>
      <c r="P11734" s="42"/>
      <c r="R11734" s="23"/>
    </row>
    <row r="11735" spans="1:18" ht="12.75">
      <c r="A11735" s="12"/>
      <c r="D11735" s="12"/>
      <c r="E11735" s="12"/>
      <c r="H11735" s="11" t="str">
        <f ca="1">IFERROR(__xludf.DUMMYFUNCTION("IFERROR(SUBSTITUTE(SUBSTITUTE(REGEXEXTRACT(A11735, ""[^-]+- [^-]+- [^-]+ - (.+?)\.jpg""), "".jpg"", """"), ""-"", "", ""), """")"),"")</f>
        <v/>
      </c>
      <c r="L11735" s="12"/>
      <c r="M11735" s="13"/>
      <c r="N11735" s="2"/>
      <c r="O11735" s="20"/>
      <c r="P11735" s="42"/>
      <c r="R11735" s="23"/>
    </row>
    <row r="11736" spans="1:18" ht="12.75">
      <c r="A11736" s="12"/>
      <c r="D11736" s="12"/>
      <c r="E11736" s="12"/>
      <c r="H11736" s="11" t="str">
        <f ca="1">IFERROR(__xludf.DUMMYFUNCTION("IFERROR(SUBSTITUTE(SUBSTITUTE(REGEXEXTRACT(A11736, ""[^-]+- [^-]+- [^-]+ - (.+?)\.jpg""), "".jpg"", """"), ""-"", "", ""), """")"),"")</f>
        <v/>
      </c>
      <c r="L11736" s="12"/>
      <c r="M11736" s="13"/>
      <c r="N11736" s="2"/>
      <c r="O11736" s="20"/>
      <c r="P11736" s="42"/>
      <c r="R11736" s="23"/>
    </row>
    <row r="11737" spans="1:18" ht="12.75">
      <c r="A11737" s="12"/>
      <c r="D11737" s="12"/>
      <c r="E11737" s="12"/>
      <c r="H11737" s="11" t="str">
        <f ca="1">IFERROR(__xludf.DUMMYFUNCTION("IFERROR(SUBSTITUTE(SUBSTITUTE(REGEXEXTRACT(A11737, ""[^-]+- [^-]+- [^-]+ - (.+?)\.jpg""), "".jpg"", """"), ""-"", "", ""), """")"),"")</f>
        <v/>
      </c>
      <c r="L11737" s="12"/>
      <c r="M11737" s="13"/>
      <c r="N11737" s="2"/>
      <c r="O11737" s="20"/>
      <c r="P11737" s="42"/>
      <c r="R11737" s="23"/>
    </row>
    <row r="11738" spans="1:18" ht="12.75">
      <c r="A11738" s="12"/>
      <c r="D11738" s="12"/>
      <c r="E11738" s="12"/>
      <c r="H11738" s="11" t="str">
        <f ca="1">IFERROR(__xludf.DUMMYFUNCTION("IFERROR(SUBSTITUTE(SUBSTITUTE(REGEXEXTRACT(A11738, ""[^-]+- [^-]+- [^-]+ - (.+?)\.jpg""), "".jpg"", """"), ""-"", "", ""), """")"),"")</f>
        <v/>
      </c>
      <c r="L11738" s="12"/>
      <c r="M11738" s="13"/>
      <c r="N11738" s="2"/>
      <c r="O11738" s="20"/>
      <c r="P11738" s="42"/>
      <c r="R11738" s="23"/>
    </row>
    <row r="11739" spans="1:18" ht="12.75">
      <c r="A11739" s="12"/>
      <c r="D11739" s="12"/>
      <c r="E11739" s="12"/>
      <c r="H11739" s="11" t="str">
        <f ca="1">IFERROR(__xludf.DUMMYFUNCTION("IFERROR(SUBSTITUTE(SUBSTITUTE(REGEXEXTRACT(A11739, ""[^-]+- [^-]+- [^-]+ - (.+?)\.jpg""), "".jpg"", """"), ""-"", "", ""), """")"),"")</f>
        <v/>
      </c>
      <c r="L11739" s="12"/>
      <c r="M11739" s="13"/>
      <c r="N11739" s="2"/>
      <c r="O11739" s="20"/>
      <c r="P11739" s="42"/>
      <c r="R11739" s="23"/>
    </row>
    <row r="11740" spans="1:18" ht="12.75">
      <c r="A11740" s="12"/>
      <c r="D11740" s="12"/>
      <c r="E11740" s="12"/>
      <c r="H11740" s="11" t="str">
        <f ca="1">IFERROR(__xludf.DUMMYFUNCTION("IFERROR(SUBSTITUTE(SUBSTITUTE(REGEXEXTRACT(A11740, ""[^-]+- [^-]+- [^-]+ - (.+?)\.jpg""), "".jpg"", """"), ""-"", "", ""), """")"),"")</f>
        <v/>
      </c>
      <c r="L11740" s="12"/>
      <c r="M11740" s="13"/>
      <c r="N11740" s="2"/>
      <c r="O11740" s="20"/>
      <c r="P11740" s="42"/>
      <c r="R11740" s="23"/>
    </row>
    <row r="11741" spans="1:18" ht="12.75">
      <c r="A11741" s="12"/>
      <c r="D11741" s="12"/>
      <c r="E11741" s="12"/>
      <c r="H11741" s="11" t="str">
        <f ca="1">IFERROR(__xludf.DUMMYFUNCTION("IFERROR(SUBSTITUTE(SUBSTITUTE(REGEXEXTRACT(A11741, ""[^-]+- [^-]+- [^-]+ - (.+?)\.jpg""), "".jpg"", """"), ""-"", "", ""), """")"),"")</f>
        <v/>
      </c>
      <c r="L11741" s="12"/>
      <c r="M11741" s="13"/>
      <c r="N11741" s="2"/>
      <c r="O11741" s="20"/>
      <c r="P11741" s="42"/>
      <c r="R11741" s="23"/>
    </row>
    <row r="11742" spans="1:18" ht="12.75">
      <c r="A11742" s="12"/>
      <c r="D11742" s="12"/>
      <c r="E11742" s="12"/>
      <c r="H11742" s="11" t="str">
        <f ca="1">IFERROR(__xludf.DUMMYFUNCTION("IFERROR(SUBSTITUTE(SUBSTITUTE(REGEXEXTRACT(A11742, ""[^-]+- [^-]+- [^-]+ - (.+?)\.jpg""), "".jpg"", """"), ""-"", "", ""), """")"),"")</f>
        <v/>
      </c>
      <c r="L11742" s="12"/>
      <c r="M11742" s="13"/>
      <c r="N11742" s="2"/>
      <c r="O11742" s="20"/>
      <c r="P11742" s="42"/>
      <c r="R11742" s="23"/>
    </row>
    <row r="11743" spans="1:18" ht="12.75">
      <c r="A11743" s="12"/>
      <c r="D11743" s="12"/>
      <c r="E11743" s="12"/>
      <c r="H11743" s="11" t="str">
        <f ca="1">IFERROR(__xludf.DUMMYFUNCTION("IFERROR(SUBSTITUTE(SUBSTITUTE(REGEXEXTRACT(A11743, ""[^-]+- [^-]+- [^-]+ - (.+?)\.jpg""), "".jpg"", """"), ""-"", "", ""), """")"),"")</f>
        <v/>
      </c>
      <c r="L11743" s="12"/>
      <c r="M11743" s="13"/>
      <c r="N11743" s="2"/>
      <c r="O11743" s="20"/>
      <c r="P11743" s="42"/>
      <c r="R11743" s="23"/>
    </row>
    <row r="11744" spans="1:18" ht="12.75">
      <c r="A11744" s="12"/>
      <c r="D11744" s="12"/>
      <c r="E11744" s="12"/>
      <c r="H11744" s="11" t="str">
        <f ca="1">IFERROR(__xludf.DUMMYFUNCTION("IFERROR(SUBSTITUTE(SUBSTITUTE(REGEXEXTRACT(A11744, ""[^-]+- [^-]+- [^-]+ - (.+?)\.jpg""), "".jpg"", """"), ""-"", "", ""), """")"),"")</f>
        <v/>
      </c>
      <c r="L11744" s="12"/>
      <c r="M11744" s="13"/>
      <c r="N11744" s="2"/>
      <c r="O11744" s="20"/>
      <c r="P11744" s="42"/>
      <c r="R11744" s="23"/>
    </row>
    <row r="11745" spans="1:18" ht="12.75">
      <c r="A11745" s="12"/>
      <c r="D11745" s="12"/>
      <c r="E11745" s="12"/>
      <c r="H11745" s="11" t="str">
        <f ca="1">IFERROR(__xludf.DUMMYFUNCTION("IFERROR(SUBSTITUTE(SUBSTITUTE(REGEXEXTRACT(A11745, ""[^-]+- [^-]+- [^-]+ - (.+?)\.jpg""), "".jpg"", """"), ""-"", "", ""), """")"),"")</f>
        <v/>
      </c>
      <c r="L11745" s="12"/>
      <c r="M11745" s="13"/>
      <c r="N11745" s="2"/>
      <c r="O11745" s="20"/>
      <c r="P11745" s="42"/>
      <c r="R11745" s="23"/>
    </row>
    <row r="11746" spans="1:18" ht="12.75">
      <c r="A11746" s="12"/>
      <c r="D11746" s="12"/>
      <c r="E11746" s="12"/>
      <c r="H11746" s="11" t="str">
        <f ca="1">IFERROR(__xludf.DUMMYFUNCTION("IFERROR(SUBSTITUTE(SUBSTITUTE(REGEXEXTRACT(A11746, ""[^-]+- [^-]+- [^-]+ - (.+?)\.jpg""), "".jpg"", """"), ""-"", "", ""), """")"),"")</f>
        <v/>
      </c>
      <c r="L11746" s="12"/>
      <c r="M11746" s="13"/>
      <c r="N11746" s="2"/>
      <c r="O11746" s="20"/>
      <c r="P11746" s="42"/>
      <c r="R11746" s="23"/>
    </row>
    <row r="11747" spans="1:18" ht="12.75">
      <c r="A11747" s="12"/>
      <c r="D11747" s="12"/>
      <c r="E11747" s="12"/>
      <c r="H11747" s="11" t="str">
        <f ca="1">IFERROR(__xludf.DUMMYFUNCTION("IFERROR(SUBSTITUTE(SUBSTITUTE(REGEXEXTRACT(A11747, ""[^-]+- [^-]+- [^-]+ - (.+?)\.jpg""), "".jpg"", """"), ""-"", "", ""), """")"),"")</f>
        <v/>
      </c>
      <c r="L11747" s="12"/>
      <c r="M11747" s="13"/>
      <c r="N11747" s="2"/>
      <c r="O11747" s="20"/>
      <c r="P11747" s="42"/>
      <c r="R11747" s="23"/>
    </row>
    <row r="11748" spans="1:18" ht="12.75">
      <c r="A11748" s="12"/>
      <c r="D11748" s="12"/>
      <c r="E11748" s="12"/>
      <c r="H11748" s="11" t="str">
        <f ca="1">IFERROR(__xludf.DUMMYFUNCTION("IFERROR(SUBSTITUTE(SUBSTITUTE(REGEXEXTRACT(A11748, ""[^-]+- [^-]+- [^-]+ - (.+?)\.jpg""), "".jpg"", """"), ""-"", "", ""), """")"),"")</f>
        <v/>
      </c>
      <c r="L11748" s="12"/>
      <c r="M11748" s="13"/>
      <c r="N11748" s="2"/>
      <c r="O11748" s="20"/>
      <c r="P11748" s="42"/>
      <c r="R11748" s="23"/>
    </row>
    <row r="11749" spans="1:18" ht="12.75">
      <c r="A11749" s="12"/>
      <c r="D11749" s="12"/>
      <c r="E11749" s="12"/>
      <c r="H11749" s="11" t="str">
        <f ca="1">IFERROR(__xludf.DUMMYFUNCTION("IFERROR(SUBSTITUTE(SUBSTITUTE(REGEXEXTRACT(A11749, ""[^-]+- [^-]+- [^-]+ - (.+?)\.jpg""), "".jpg"", """"), ""-"", "", ""), """")"),"")</f>
        <v/>
      </c>
      <c r="L11749" s="12"/>
      <c r="M11749" s="13"/>
      <c r="N11749" s="2"/>
      <c r="O11749" s="20"/>
      <c r="P11749" s="42"/>
      <c r="R11749" s="23"/>
    </row>
    <row r="11750" spans="1:18" ht="12.75">
      <c r="A11750" s="12"/>
      <c r="D11750" s="12"/>
      <c r="E11750" s="12"/>
      <c r="H11750" s="11" t="str">
        <f ca="1">IFERROR(__xludf.DUMMYFUNCTION("IFERROR(SUBSTITUTE(SUBSTITUTE(REGEXEXTRACT(A11750, ""[^-]+- [^-]+- [^-]+ - (.+?)\.jpg""), "".jpg"", """"), ""-"", "", ""), """")"),"")</f>
        <v/>
      </c>
      <c r="L11750" s="12"/>
      <c r="M11750" s="13"/>
      <c r="N11750" s="2"/>
      <c r="O11750" s="20"/>
      <c r="P11750" s="42"/>
      <c r="R11750" s="23"/>
    </row>
    <row r="11751" spans="1:18" ht="12.75">
      <c r="A11751" s="12"/>
      <c r="D11751" s="12"/>
      <c r="E11751" s="12"/>
      <c r="H11751" s="11" t="str">
        <f ca="1">IFERROR(__xludf.DUMMYFUNCTION("IFERROR(SUBSTITUTE(SUBSTITUTE(REGEXEXTRACT(A11751, ""[^-]+- [^-]+- [^-]+ - (.+?)\.jpg""), "".jpg"", """"), ""-"", "", ""), """")"),"")</f>
        <v/>
      </c>
      <c r="L11751" s="12"/>
      <c r="M11751" s="13"/>
      <c r="N11751" s="2"/>
      <c r="O11751" s="20"/>
      <c r="P11751" s="42"/>
      <c r="R11751" s="23"/>
    </row>
    <row r="11752" spans="1:18" ht="12.75">
      <c r="A11752" s="12"/>
      <c r="D11752" s="12"/>
      <c r="E11752" s="12"/>
      <c r="H11752" s="11" t="str">
        <f ca="1">IFERROR(__xludf.DUMMYFUNCTION("IFERROR(SUBSTITUTE(SUBSTITUTE(REGEXEXTRACT(A11752, ""[^-]+- [^-]+- [^-]+ - (.+?)\.jpg""), "".jpg"", """"), ""-"", "", ""), """")"),"")</f>
        <v/>
      </c>
      <c r="L11752" s="12"/>
      <c r="M11752" s="13"/>
      <c r="N11752" s="2"/>
      <c r="O11752" s="20"/>
      <c r="P11752" s="42"/>
      <c r="R11752" s="23"/>
    </row>
    <row r="11753" spans="1:18" ht="12.75">
      <c r="A11753" s="12"/>
      <c r="D11753" s="12"/>
      <c r="E11753" s="12"/>
      <c r="H11753" s="11" t="str">
        <f ca="1">IFERROR(__xludf.DUMMYFUNCTION("IFERROR(SUBSTITUTE(SUBSTITUTE(REGEXEXTRACT(A11753, ""[^-]+- [^-]+- [^-]+ - (.+?)\.jpg""), "".jpg"", """"), ""-"", "", ""), """")"),"")</f>
        <v/>
      </c>
      <c r="L11753" s="12"/>
      <c r="M11753" s="13"/>
      <c r="N11753" s="2"/>
      <c r="O11753" s="20"/>
      <c r="P11753" s="42"/>
      <c r="R11753" s="23"/>
    </row>
    <row r="11754" spans="1:18" ht="12.75">
      <c r="A11754" s="12"/>
      <c r="D11754" s="12"/>
      <c r="E11754" s="12"/>
      <c r="H11754" s="11" t="str">
        <f ca="1">IFERROR(__xludf.DUMMYFUNCTION("IFERROR(SUBSTITUTE(SUBSTITUTE(REGEXEXTRACT(A11754, ""[^-]+- [^-]+- [^-]+ - (.+?)\.jpg""), "".jpg"", """"), ""-"", "", ""), """")"),"")</f>
        <v/>
      </c>
      <c r="L11754" s="12"/>
      <c r="M11754" s="13"/>
      <c r="N11754" s="2"/>
      <c r="O11754" s="20"/>
      <c r="P11754" s="42"/>
      <c r="R11754" s="23"/>
    </row>
    <row r="11755" spans="1:18" ht="12.75">
      <c r="A11755" s="12"/>
      <c r="D11755" s="12"/>
      <c r="E11755" s="12"/>
      <c r="H11755" s="11" t="str">
        <f ca="1">IFERROR(__xludf.DUMMYFUNCTION("IFERROR(SUBSTITUTE(SUBSTITUTE(REGEXEXTRACT(A11755, ""[^-]+- [^-]+- [^-]+ - (.+?)\.jpg""), "".jpg"", """"), ""-"", "", ""), """")"),"")</f>
        <v/>
      </c>
      <c r="L11755" s="12"/>
      <c r="M11755" s="13"/>
      <c r="N11755" s="2"/>
      <c r="O11755" s="20"/>
      <c r="P11755" s="42"/>
      <c r="R11755" s="23"/>
    </row>
    <row r="11756" spans="1:18" ht="12.75">
      <c r="A11756" s="12"/>
      <c r="D11756" s="12"/>
      <c r="E11756" s="12"/>
      <c r="H11756" s="11" t="str">
        <f ca="1">IFERROR(__xludf.DUMMYFUNCTION("IFERROR(SUBSTITUTE(SUBSTITUTE(REGEXEXTRACT(A11756, ""[^-]+- [^-]+- [^-]+ - (.+?)\.jpg""), "".jpg"", """"), ""-"", "", ""), """")"),"")</f>
        <v/>
      </c>
      <c r="L11756" s="12"/>
      <c r="M11756" s="13"/>
      <c r="N11756" s="2"/>
      <c r="O11756" s="20"/>
      <c r="P11756" s="42"/>
      <c r="R11756" s="23"/>
    </row>
    <row r="11757" spans="1:18" ht="12.75">
      <c r="A11757" s="12"/>
      <c r="D11757" s="12"/>
      <c r="E11757" s="12"/>
      <c r="H11757" s="11" t="str">
        <f ca="1">IFERROR(__xludf.DUMMYFUNCTION("IFERROR(SUBSTITUTE(SUBSTITUTE(REGEXEXTRACT(A11757, ""[^-]+- [^-]+- [^-]+ - (.+?)\.jpg""), "".jpg"", """"), ""-"", "", ""), """")"),"")</f>
        <v/>
      </c>
      <c r="L11757" s="12"/>
      <c r="M11757" s="13"/>
      <c r="N11757" s="2"/>
      <c r="O11757" s="20"/>
      <c r="P11757" s="42"/>
      <c r="R11757" s="23"/>
    </row>
    <row r="11758" spans="1:18" ht="12.75">
      <c r="A11758" s="12"/>
      <c r="D11758" s="12"/>
      <c r="E11758" s="12"/>
      <c r="H11758" s="11" t="str">
        <f ca="1">IFERROR(__xludf.DUMMYFUNCTION("IFERROR(SUBSTITUTE(SUBSTITUTE(REGEXEXTRACT(A11758, ""[^-]+- [^-]+- [^-]+ - (.+?)\.jpg""), "".jpg"", """"), ""-"", "", ""), """")"),"")</f>
        <v/>
      </c>
      <c r="L11758" s="12"/>
      <c r="M11758" s="13"/>
      <c r="N11758" s="2"/>
      <c r="O11758" s="20"/>
      <c r="P11758" s="42"/>
      <c r="R11758" s="23"/>
    </row>
    <row r="11759" spans="1:18" ht="12.75">
      <c r="A11759" s="12"/>
      <c r="D11759" s="12"/>
      <c r="E11759" s="12"/>
      <c r="H11759" s="11" t="str">
        <f ca="1">IFERROR(__xludf.DUMMYFUNCTION("IFERROR(SUBSTITUTE(SUBSTITUTE(REGEXEXTRACT(A11759, ""[^-]+- [^-]+- [^-]+ - (.+?)\.jpg""), "".jpg"", """"), ""-"", "", ""), """")"),"")</f>
        <v/>
      </c>
      <c r="L11759" s="12"/>
      <c r="M11759" s="13"/>
      <c r="N11759" s="2"/>
      <c r="O11759" s="20"/>
      <c r="P11759" s="42"/>
      <c r="R11759" s="23"/>
    </row>
    <row r="11760" spans="1:18" ht="12.75">
      <c r="A11760" s="12"/>
      <c r="D11760" s="12"/>
      <c r="E11760" s="12"/>
      <c r="H11760" s="11" t="str">
        <f ca="1">IFERROR(__xludf.DUMMYFUNCTION("IFERROR(SUBSTITUTE(SUBSTITUTE(REGEXEXTRACT(A11760, ""[^-]+- [^-]+- [^-]+ - (.+?)\.jpg""), "".jpg"", """"), ""-"", "", ""), """")"),"")</f>
        <v/>
      </c>
      <c r="L11760" s="12"/>
      <c r="M11760" s="13"/>
      <c r="N11760" s="2"/>
      <c r="O11760" s="20"/>
      <c r="P11760" s="42"/>
      <c r="R11760" s="23"/>
    </row>
    <row r="11761" spans="1:18" ht="12.75">
      <c r="A11761" s="12"/>
      <c r="D11761" s="12"/>
      <c r="E11761" s="12"/>
      <c r="H11761" s="11" t="str">
        <f ca="1">IFERROR(__xludf.DUMMYFUNCTION("IFERROR(SUBSTITUTE(SUBSTITUTE(REGEXEXTRACT(A11761, ""[^-]+- [^-]+- [^-]+ - (.+?)\.jpg""), "".jpg"", """"), ""-"", "", ""), """")"),"")</f>
        <v/>
      </c>
      <c r="L11761" s="12"/>
      <c r="M11761" s="13"/>
      <c r="N11761" s="2"/>
      <c r="O11761" s="20"/>
      <c r="P11761" s="42"/>
      <c r="R11761" s="23"/>
    </row>
    <row r="11762" spans="1:18" ht="12.75">
      <c r="A11762" s="12"/>
      <c r="D11762" s="12"/>
      <c r="E11762" s="12"/>
      <c r="H11762" s="11" t="str">
        <f ca="1">IFERROR(__xludf.DUMMYFUNCTION("IFERROR(SUBSTITUTE(SUBSTITUTE(REGEXEXTRACT(A11762, ""[^-]+- [^-]+- [^-]+ - (.+?)\.jpg""), "".jpg"", """"), ""-"", "", ""), """")"),"")</f>
        <v/>
      </c>
      <c r="L11762" s="12"/>
      <c r="M11762" s="13"/>
      <c r="N11762" s="2"/>
      <c r="O11762" s="20"/>
      <c r="P11762" s="42"/>
      <c r="R11762" s="23"/>
    </row>
    <row r="11763" spans="1:18" ht="12.75">
      <c r="A11763" s="12"/>
      <c r="D11763" s="12"/>
      <c r="E11763" s="12"/>
      <c r="H11763" s="11" t="str">
        <f ca="1">IFERROR(__xludf.DUMMYFUNCTION("IFERROR(SUBSTITUTE(SUBSTITUTE(REGEXEXTRACT(A11763, ""[^-]+- [^-]+- [^-]+ - (.+?)\.jpg""), "".jpg"", """"), ""-"", "", ""), """")"),"")</f>
        <v/>
      </c>
      <c r="L11763" s="12"/>
      <c r="M11763" s="13"/>
      <c r="N11763" s="2"/>
      <c r="O11763" s="20"/>
      <c r="P11763" s="42"/>
      <c r="R11763" s="23"/>
    </row>
    <row r="11764" spans="1:18" ht="12.75">
      <c r="A11764" s="12"/>
      <c r="D11764" s="12"/>
      <c r="E11764" s="12"/>
      <c r="H11764" s="11" t="str">
        <f ca="1">IFERROR(__xludf.DUMMYFUNCTION("IFERROR(SUBSTITUTE(SUBSTITUTE(REGEXEXTRACT(A11764, ""[^-]+- [^-]+- [^-]+ - (.+?)\.jpg""), "".jpg"", """"), ""-"", "", ""), """")"),"")</f>
        <v/>
      </c>
      <c r="L11764" s="12"/>
      <c r="M11764" s="13"/>
      <c r="N11764" s="2"/>
      <c r="O11764" s="20"/>
      <c r="P11764" s="42"/>
      <c r="R11764" s="23"/>
    </row>
    <row r="11765" spans="1:18" ht="12.75">
      <c r="A11765" s="12"/>
      <c r="D11765" s="12"/>
      <c r="E11765" s="12"/>
      <c r="H11765" s="11" t="str">
        <f ca="1">IFERROR(__xludf.DUMMYFUNCTION("IFERROR(SUBSTITUTE(SUBSTITUTE(REGEXEXTRACT(A11765, ""[^-]+- [^-]+- [^-]+ - (.+?)\.jpg""), "".jpg"", """"), ""-"", "", ""), """")"),"")</f>
        <v/>
      </c>
      <c r="L11765" s="12"/>
      <c r="M11765" s="13"/>
      <c r="N11765" s="2"/>
      <c r="O11765" s="20"/>
      <c r="P11765" s="42"/>
      <c r="R11765" s="23"/>
    </row>
    <row r="11766" spans="1:18" ht="12.75">
      <c r="A11766" s="12"/>
      <c r="D11766" s="12"/>
      <c r="E11766" s="12"/>
      <c r="H11766" s="11" t="str">
        <f ca="1">IFERROR(__xludf.DUMMYFUNCTION("IFERROR(SUBSTITUTE(SUBSTITUTE(REGEXEXTRACT(A11766, ""[^-]+- [^-]+- [^-]+ - (.+?)\.jpg""), "".jpg"", """"), ""-"", "", ""), """")"),"")</f>
        <v/>
      </c>
      <c r="L11766" s="12"/>
      <c r="M11766" s="13"/>
      <c r="N11766" s="2"/>
      <c r="O11766" s="20"/>
      <c r="P11766" s="42"/>
      <c r="R11766" s="23"/>
    </row>
    <row r="11767" spans="1:18" ht="12.75">
      <c r="A11767" s="12"/>
      <c r="D11767" s="12"/>
      <c r="E11767" s="12"/>
      <c r="H11767" s="11" t="str">
        <f ca="1">IFERROR(__xludf.DUMMYFUNCTION("IFERROR(SUBSTITUTE(SUBSTITUTE(REGEXEXTRACT(A11767, ""[^-]+- [^-]+- [^-]+ - (.+?)\.jpg""), "".jpg"", """"), ""-"", "", ""), """")"),"")</f>
        <v/>
      </c>
      <c r="L11767" s="12"/>
      <c r="M11767" s="13"/>
      <c r="N11767" s="2"/>
      <c r="O11767" s="20"/>
      <c r="P11767" s="42"/>
      <c r="R11767" s="23"/>
    </row>
    <row r="11768" spans="1:18" ht="12.75">
      <c r="A11768" s="12"/>
      <c r="D11768" s="12"/>
      <c r="E11768" s="12"/>
      <c r="H11768" s="11" t="str">
        <f ca="1">IFERROR(__xludf.DUMMYFUNCTION("IFERROR(SUBSTITUTE(SUBSTITUTE(REGEXEXTRACT(A11768, ""[^-]+- [^-]+- [^-]+ - (.+?)\.jpg""), "".jpg"", """"), ""-"", "", ""), """")"),"")</f>
        <v/>
      </c>
      <c r="L11768" s="12"/>
      <c r="M11768" s="13"/>
      <c r="N11768" s="2"/>
      <c r="O11768" s="20"/>
      <c r="P11768" s="42"/>
      <c r="R11768" s="23"/>
    </row>
    <row r="11769" spans="1:18" ht="12.75">
      <c r="A11769" s="12"/>
      <c r="D11769" s="12"/>
      <c r="E11769" s="12"/>
      <c r="H11769" s="11" t="str">
        <f ca="1">IFERROR(__xludf.DUMMYFUNCTION("IFERROR(SUBSTITUTE(SUBSTITUTE(REGEXEXTRACT(A11769, ""[^-]+- [^-]+- [^-]+ - (.+?)\.jpg""), "".jpg"", """"), ""-"", "", ""), """")"),"")</f>
        <v/>
      </c>
      <c r="L11769" s="12"/>
      <c r="M11769" s="13"/>
      <c r="N11769" s="2"/>
      <c r="O11769" s="20"/>
      <c r="P11769" s="42"/>
      <c r="R11769" s="23"/>
    </row>
    <row r="11770" spans="1:18" ht="12.75">
      <c r="A11770" s="12"/>
      <c r="D11770" s="12"/>
      <c r="E11770" s="12"/>
      <c r="H11770" s="11" t="str">
        <f ca="1">IFERROR(__xludf.DUMMYFUNCTION("IFERROR(SUBSTITUTE(SUBSTITUTE(REGEXEXTRACT(A11770, ""[^-]+- [^-]+- [^-]+ - (.+?)\.jpg""), "".jpg"", """"), ""-"", "", ""), """")"),"")</f>
        <v/>
      </c>
      <c r="L11770" s="12"/>
      <c r="M11770" s="13"/>
      <c r="N11770" s="2"/>
      <c r="O11770" s="20"/>
      <c r="P11770" s="42"/>
      <c r="R11770" s="23"/>
    </row>
    <row r="11771" spans="1:18" ht="12.75">
      <c r="A11771" s="12"/>
      <c r="D11771" s="12"/>
      <c r="E11771" s="12"/>
      <c r="H11771" s="11" t="str">
        <f ca="1">IFERROR(__xludf.DUMMYFUNCTION("IFERROR(SUBSTITUTE(SUBSTITUTE(REGEXEXTRACT(A11771, ""[^-]+- [^-]+- [^-]+ - (.+?)\.jpg""), "".jpg"", """"), ""-"", "", ""), """")"),"")</f>
        <v/>
      </c>
      <c r="L11771" s="12"/>
      <c r="M11771" s="13"/>
      <c r="N11771" s="2"/>
      <c r="O11771" s="20"/>
      <c r="P11771" s="42"/>
      <c r="R11771" s="23"/>
    </row>
    <row r="11772" spans="1:18" ht="12.75">
      <c r="A11772" s="12"/>
      <c r="D11772" s="12"/>
      <c r="E11772" s="12"/>
      <c r="H11772" s="11" t="str">
        <f ca="1">IFERROR(__xludf.DUMMYFUNCTION("IFERROR(SUBSTITUTE(SUBSTITUTE(REGEXEXTRACT(A11772, ""[^-]+- [^-]+- [^-]+ - (.+?)\.jpg""), "".jpg"", """"), ""-"", "", ""), """")"),"")</f>
        <v/>
      </c>
      <c r="L11772" s="12"/>
      <c r="M11772" s="13"/>
      <c r="N11772" s="2"/>
      <c r="O11772" s="20"/>
      <c r="P11772" s="42"/>
      <c r="R11772" s="23"/>
    </row>
    <row r="11773" spans="1:18" ht="12.75">
      <c r="A11773" s="12"/>
      <c r="D11773" s="12"/>
      <c r="E11773" s="12"/>
      <c r="H11773" s="11" t="str">
        <f ca="1">IFERROR(__xludf.DUMMYFUNCTION("IFERROR(SUBSTITUTE(SUBSTITUTE(REGEXEXTRACT(A11773, ""[^-]+- [^-]+- [^-]+ - (.+?)\.jpg""), "".jpg"", """"), ""-"", "", ""), """")"),"")</f>
        <v/>
      </c>
      <c r="L11773" s="12"/>
      <c r="M11773" s="13"/>
      <c r="N11773" s="2"/>
      <c r="O11773" s="20"/>
      <c r="P11773" s="42"/>
      <c r="R11773" s="23"/>
    </row>
    <row r="11774" spans="1:18" ht="12.75">
      <c r="A11774" s="12"/>
      <c r="D11774" s="12"/>
      <c r="E11774" s="12"/>
      <c r="H11774" s="11" t="str">
        <f ca="1">IFERROR(__xludf.DUMMYFUNCTION("IFERROR(SUBSTITUTE(SUBSTITUTE(REGEXEXTRACT(A11774, ""[^-]+- [^-]+- [^-]+ - (.+?)\.jpg""), "".jpg"", """"), ""-"", "", ""), """")"),"")</f>
        <v/>
      </c>
      <c r="L11774" s="12"/>
      <c r="M11774" s="13"/>
      <c r="N11774" s="2"/>
      <c r="O11774" s="20"/>
      <c r="P11774" s="42"/>
      <c r="R11774" s="23"/>
    </row>
    <row r="11775" spans="1:18" ht="12.75">
      <c r="A11775" s="12"/>
      <c r="D11775" s="12"/>
      <c r="E11775" s="12"/>
      <c r="H11775" s="11" t="str">
        <f ca="1">IFERROR(__xludf.DUMMYFUNCTION("IFERROR(SUBSTITUTE(SUBSTITUTE(REGEXEXTRACT(A11775, ""[^-]+- [^-]+- [^-]+ - (.+?)\.jpg""), "".jpg"", """"), ""-"", "", ""), """")"),"")</f>
        <v/>
      </c>
      <c r="L11775" s="12"/>
      <c r="M11775" s="13"/>
      <c r="N11775" s="2"/>
      <c r="O11775" s="20"/>
      <c r="P11775" s="42"/>
      <c r="R11775" s="23"/>
    </row>
    <row r="11776" spans="1:18" ht="12.75">
      <c r="A11776" s="12"/>
      <c r="D11776" s="12"/>
      <c r="E11776" s="12"/>
      <c r="H11776" s="11" t="str">
        <f ca="1">IFERROR(__xludf.DUMMYFUNCTION("IFERROR(SUBSTITUTE(SUBSTITUTE(REGEXEXTRACT(A11776, ""[^-]+- [^-]+- [^-]+ - (.+?)\.jpg""), "".jpg"", """"), ""-"", "", ""), """")"),"")</f>
        <v/>
      </c>
      <c r="L11776" s="12"/>
      <c r="M11776" s="13"/>
      <c r="N11776" s="2"/>
      <c r="O11776" s="20"/>
      <c r="P11776" s="42"/>
      <c r="R11776" s="23"/>
    </row>
    <row r="11777" spans="1:18" ht="12.75">
      <c r="A11777" s="12"/>
      <c r="D11777" s="12"/>
      <c r="E11777" s="12"/>
      <c r="H11777" s="11" t="str">
        <f ca="1">IFERROR(__xludf.DUMMYFUNCTION("IFERROR(SUBSTITUTE(SUBSTITUTE(REGEXEXTRACT(A11777, ""[^-]+- [^-]+- [^-]+ - (.+?)\.jpg""), "".jpg"", """"), ""-"", "", ""), """")"),"")</f>
        <v/>
      </c>
      <c r="L11777" s="12"/>
      <c r="M11777" s="13"/>
      <c r="N11777" s="2"/>
      <c r="O11777" s="20"/>
      <c r="P11777" s="42"/>
      <c r="R11777" s="23"/>
    </row>
    <row r="11778" spans="1:18" ht="12.75">
      <c r="A11778" s="12"/>
      <c r="D11778" s="12"/>
      <c r="E11778" s="12"/>
      <c r="H11778" s="11" t="str">
        <f ca="1">IFERROR(__xludf.DUMMYFUNCTION("IFERROR(SUBSTITUTE(SUBSTITUTE(REGEXEXTRACT(A11778, ""[^-]+- [^-]+- [^-]+ - (.+?)\.jpg""), "".jpg"", """"), ""-"", "", ""), """")"),"")</f>
        <v/>
      </c>
      <c r="L11778" s="12"/>
      <c r="M11778" s="13"/>
      <c r="N11778" s="2"/>
      <c r="O11778" s="20"/>
      <c r="P11778" s="42"/>
      <c r="R11778" s="23"/>
    </row>
    <row r="11779" spans="1:18" ht="12.75">
      <c r="A11779" s="12"/>
      <c r="D11779" s="12"/>
      <c r="E11779" s="12"/>
      <c r="H11779" s="11" t="str">
        <f ca="1">IFERROR(__xludf.DUMMYFUNCTION("IFERROR(SUBSTITUTE(SUBSTITUTE(REGEXEXTRACT(A11779, ""[^-]+- [^-]+- [^-]+ - (.+?)\.jpg""), "".jpg"", """"), ""-"", "", ""), """")"),"")</f>
        <v/>
      </c>
      <c r="L11779" s="12"/>
      <c r="M11779" s="13"/>
      <c r="N11779" s="2"/>
      <c r="O11779" s="20"/>
      <c r="P11779" s="42"/>
      <c r="R11779" s="23"/>
    </row>
    <row r="11780" spans="1:18" ht="12.75">
      <c r="A11780" s="12"/>
      <c r="D11780" s="12"/>
      <c r="E11780" s="12"/>
      <c r="H11780" s="11" t="str">
        <f ca="1">IFERROR(__xludf.DUMMYFUNCTION("IFERROR(SUBSTITUTE(SUBSTITUTE(REGEXEXTRACT(A11780, ""[^-]+- [^-]+- [^-]+ - (.+?)\.jpg""), "".jpg"", """"), ""-"", "", ""), """")"),"")</f>
        <v/>
      </c>
      <c r="L11780" s="12"/>
      <c r="M11780" s="13"/>
      <c r="N11780" s="2"/>
      <c r="O11780" s="20"/>
      <c r="P11780" s="42"/>
      <c r="R11780" s="23"/>
    </row>
    <row r="11781" spans="1:18" ht="12.75">
      <c r="A11781" s="12"/>
      <c r="D11781" s="12"/>
      <c r="E11781" s="12"/>
      <c r="H11781" s="11" t="str">
        <f ca="1">IFERROR(__xludf.DUMMYFUNCTION("IFERROR(SUBSTITUTE(SUBSTITUTE(REGEXEXTRACT(A11781, ""[^-]+- [^-]+- [^-]+ - (.+?)\.jpg""), "".jpg"", """"), ""-"", "", ""), """")"),"")</f>
        <v/>
      </c>
      <c r="L11781" s="12"/>
      <c r="M11781" s="13"/>
      <c r="N11781" s="2"/>
      <c r="O11781" s="20"/>
      <c r="P11781" s="42"/>
      <c r="R11781" s="23"/>
    </row>
    <row r="11782" spans="1:18" ht="12.75">
      <c r="A11782" s="12"/>
      <c r="D11782" s="12"/>
      <c r="E11782" s="12"/>
      <c r="H11782" s="11" t="str">
        <f ca="1">IFERROR(__xludf.DUMMYFUNCTION("IFERROR(SUBSTITUTE(SUBSTITUTE(REGEXEXTRACT(A11782, ""[^-]+- [^-]+- [^-]+ - (.+?)\.jpg""), "".jpg"", """"), ""-"", "", ""), """")"),"")</f>
        <v/>
      </c>
      <c r="L11782" s="12"/>
      <c r="M11782" s="13"/>
      <c r="N11782" s="2"/>
      <c r="O11782" s="20"/>
      <c r="P11782" s="42"/>
      <c r="R11782" s="23"/>
    </row>
    <row r="11783" spans="1:18" ht="12.75">
      <c r="A11783" s="12"/>
      <c r="D11783" s="12"/>
      <c r="E11783" s="12"/>
      <c r="H11783" s="11" t="str">
        <f ca="1">IFERROR(__xludf.DUMMYFUNCTION("IFERROR(SUBSTITUTE(SUBSTITUTE(REGEXEXTRACT(A11783, ""[^-]+- [^-]+- [^-]+ - (.+?)\.jpg""), "".jpg"", """"), ""-"", "", ""), """")"),"")</f>
        <v/>
      </c>
      <c r="L11783" s="12"/>
      <c r="M11783" s="13"/>
      <c r="N11783" s="2"/>
      <c r="O11783" s="20"/>
      <c r="P11783" s="42"/>
      <c r="R11783" s="23"/>
    </row>
    <row r="11784" spans="1:18" ht="12.75">
      <c r="A11784" s="12"/>
      <c r="D11784" s="12"/>
      <c r="E11784" s="12"/>
      <c r="H11784" s="11" t="str">
        <f ca="1">IFERROR(__xludf.DUMMYFUNCTION("IFERROR(SUBSTITUTE(SUBSTITUTE(REGEXEXTRACT(A11784, ""[^-]+- [^-]+- [^-]+ - (.+?)\.jpg""), "".jpg"", """"), ""-"", "", ""), """")"),"")</f>
        <v/>
      </c>
      <c r="L11784" s="12"/>
      <c r="M11784" s="13"/>
      <c r="N11784" s="2"/>
      <c r="O11784" s="20"/>
      <c r="P11784" s="42"/>
      <c r="R11784" s="23"/>
    </row>
    <row r="11785" spans="1:18" ht="12.75">
      <c r="A11785" s="12"/>
      <c r="D11785" s="12"/>
      <c r="E11785" s="12"/>
      <c r="H11785" s="11" t="str">
        <f ca="1">IFERROR(__xludf.DUMMYFUNCTION("IFERROR(SUBSTITUTE(SUBSTITUTE(REGEXEXTRACT(A11785, ""[^-]+- [^-]+- [^-]+ - (.+?)\.jpg""), "".jpg"", """"), ""-"", "", ""), """")"),"")</f>
        <v/>
      </c>
      <c r="L11785" s="12"/>
      <c r="M11785" s="13"/>
      <c r="N11785" s="2"/>
      <c r="O11785" s="20"/>
      <c r="P11785" s="42"/>
      <c r="R11785" s="23"/>
    </row>
    <row r="11786" spans="1:18" ht="12.75">
      <c r="A11786" s="12"/>
      <c r="D11786" s="12"/>
      <c r="E11786" s="12"/>
      <c r="H11786" s="11" t="str">
        <f ca="1">IFERROR(__xludf.DUMMYFUNCTION("IFERROR(SUBSTITUTE(SUBSTITUTE(REGEXEXTRACT(A11786, ""[^-]+- [^-]+- [^-]+ - (.+?)\.jpg""), "".jpg"", """"), ""-"", "", ""), """")"),"")</f>
        <v/>
      </c>
      <c r="L11786" s="12"/>
      <c r="M11786" s="13"/>
      <c r="N11786" s="2"/>
      <c r="O11786" s="20"/>
      <c r="P11786" s="42"/>
      <c r="R11786" s="23"/>
    </row>
    <row r="11787" spans="1:18" ht="12.75">
      <c r="A11787" s="12"/>
      <c r="D11787" s="12"/>
      <c r="E11787" s="12"/>
      <c r="H11787" s="11" t="str">
        <f ca="1">IFERROR(__xludf.DUMMYFUNCTION("IFERROR(SUBSTITUTE(SUBSTITUTE(REGEXEXTRACT(A11787, ""[^-]+- [^-]+- [^-]+ - (.+?)\.jpg""), "".jpg"", """"), ""-"", "", ""), """")"),"")</f>
        <v/>
      </c>
      <c r="L11787" s="12"/>
      <c r="M11787" s="13"/>
      <c r="N11787" s="2"/>
      <c r="O11787" s="20"/>
      <c r="P11787" s="42"/>
      <c r="R11787" s="23"/>
    </row>
    <row r="11788" spans="1:18" ht="12.75">
      <c r="A11788" s="12"/>
      <c r="D11788" s="12"/>
      <c r="E11788" s="12"/>
      <c r="H11788" s="11" t="str">
        <f ca="1">IFERROR(__xludf.DUMMYFUNCTION("IFERROR(SUBSTITUTE(SUBSTITUTE(REGEXEXTRACT(A11788, ""[^-]+- [^-]+- [^-]+ - (.+?)\.jpg""), "".jpg"", """"), ""-"", "", ""), """")"),"")</f>
        <v/>
      </c>
      <c r="L11788" s="12"/>
      <c r="M11788" s="13"/>
      <c r="N11788" s="2"/>
      <c r="O11788" s="20"/>
      <c r="P11788" s="42"/>
      <c r="R11788" s="23"/>
    </row>
    <row r="11789" spans="1:18" ht="12.75">
      <c r="A11789" s="12"/>
      <c r="D11789" s="12"/>
      <c r="E11789" s="12"/>
      <c r="H11789" s="11" t="str">
        <f ca="1">IFERROR(__xludf.DUMMYFUNCTION("IFERROR(SUBSTITUTE(SUBSTITUTE(REGEXEXTRACT(A11789, ""[^-]+- [^-]+- [^-]+ - (.+?)\.jpg""), "".jpg"", """"), ""-"", "", ""), """")"),"")</f>
        <v/>
      </c>
      <c r="L11789" s="12"/>
      <c r="M11789" s="13"/>
      <c r="N11789" s="2"/>
      <c r="O11789" s="20"/>
      <c r="P11789" s="42"/>
      <c r="R11789" s="23"/>
    </row>
    <row r="11790" spans="1:18" ht="12.75">
      <c r="A11790" s="12"/>
      <c r="D11790" s="12"/>
      <c r="E11790" s="12"/>
      <c r="H11790" s="11" t="str">
        <f ca="1">IFERROR(__xludf.DUMMYFUNCTION("IFERROR(SUBSTITUTE(SUBSTITUTE(REGEXEXTRACT(A11790, ""[^-]+- [^-]+- [^-]+ - (.+?)\.jpg""), "".jpg"", """"), ""-"", "", ""), """")"),"")</f>
        <v/>
      </c>
      <c r="L11790" s="12"/>
      <c r="M11790" s="13"/>
      <c r="N11790" s="2"/>
      <c r="O11790" s="20"/>
      <c r="P11790" s="42"/>
      <c r="R11790" s="23"/>
    </row>
    <row r="11791" spans="1:18" ht="12.75">
      <c r="A11791" s="12"/>
      <c r="D11791" s="12"/>
      <c r="E11791" s="12"/>
      <c r="H11791" s="11" t="str">
        <f ca="1">IFERROR(__xludf.DUMMYFUNCTION("IFERROR(SUBSTITUTE(SUBSTITUTE(REGEXEXTRACT(A11791, ""[^-]+- [^-]+- [^-]+ - (.+?)\.jpg""), "".jpg"", """"), ""-"", "", ""), """")"),"")</f>
        <v/>
      </c>
      <c r="L11791" s="12"/>
      <c r="M11791" s="13"/>
      <c r="N11791" s="2"/>
      <c r="O11791" s="20"/>
      <c r="P11791" s="42"/>
      <c r="R11791" s="23"/>
    </row>
    <row r="11792" spans="1:18" ht="12.75">
      <c r="A11792" s="12"/>
      <c r="D11792" s="12"/>
      <c r="E11792" s="12"/>
      <c r="H11792" s="11" t="str">
        <f ca="1">IFERROR(__xludf.DUMMYFUNCTION("IFERROR(SUBSTITUTE(SUBSTITUTE(REGEXEXTRACT(A11792, ""[^-]+- [^-]+- [^-]+ - (.+?)\.jpg""), "".jpg"", """"), ""-"", "", ""), """")"),"")</f>
        <v/>
      </c>
      <c r="L11792" s="12"/>
      <c r="M11792" s="13"/>
      <c r="N11792" s="2"/>
      <c r="O11792" s="20"/>
      <c r="P11792" s="42"/>
      <c r="R11792" s="23"/>
    </row>
    <row r="11793" spans="1:18" ht="12.75">
      <c r="A11793" s="12"/>
      <c r="D11793" s="12"/>
      <c r="E11793" s="12"/>
      <c r="H11793" s="11" t="str">
        <f ca="1">IFERROR(__xludf.DUMMYFUNCTION("IFERROR(SUBSTITUTE(SUBSTITUTE(REGEXEXTRACT(A11793, ""[^-]+- [^-]+- [^-]+ - (.+?)\.jpg""), "".jpg"", """"), ""-"", "", ""), """")"),"")</f>
        <v/>
      </c>
      <c r="L11793" s="12"/>
      <c r="M11793" s="13"/>
      <c r="N11793" s="2"/>
      <c r="O11793" s="20"/>
      <c r="P11793" s="42"/>
      <c r="R11793" s="23"/>
    </row>
    <row r="11794" spans="1:18" ht="12.75">
      <c r="A11794" s="12"/>
      <c r="D11794" s="12"/>
      <c r="E11794" s="12"/>
      <c r="H11794" s="11" t="str">
        <f ca="1">IFERROR(__xludf.DUMMYFUNCTION("IFERROR(SUBSTITUTE(SUBSTITUTE(REGEXEXTRACT(A11794, ""[^-]+- [^-]+- [^-]+ - (.+?)\.jpg""), "".jpg"", """"), ""-"", "", ""), """")"),"")</f>
        <v/>
      </c>
      <c r="L11794" s="12"/>
      <c r="M11794" s="13"/>
      <c r="N11794" s="2"/>
      <c r="O11794" s="20"/>
      <c r="P11794" s="42"/>
      <c r="R11794" s="23"/>
    </row>
    <row r="11795" spans="1:18" ht="12.75">
      <c r="A11795" s="12"/>
      <c r="D11795" s="12"/>
      <c r="E11795" s="12"/>
      <c r="H11795" s="11" t="str">
        <f ca="1">IFERROR(__xludf.DUMMYFUNCTION("IFERROR(SUBSTITUTE(SUBSTITUTE(REGEXEXTRACT(A11795, ""[^-]+- [^-]+- [^-]+ - (.+?)\.jpg""), "".jpg"", """"), ""-"", "", ""), """")"),"")</f>
        <v/>
      </c>
      <c r="L11795" s="12"/>
      <c r="M11795" s="13"/>
      <c r="N11795" s="2"/>
      <c r="O11795" s="20"/>
      <c r="P11795" s="42"/>
      <c r="R11795" s="23"/>
    </row>
    <row r="11796" spans="1:18" ht="12.75">
      <c r="A11796" s="12"/>
      <c r="D11796" s="12"/>
      <c r="E11796" s="12"/>
      <c r="H11796" s="11" t="str">
        <f ca="1">IFERROR(__xludf.DUMMYFUNCTION("IFERROR(SUBSTITUTE(SUBSTITUTE(REGEXEXTRACT(A11796, ""[^-]+- [^-]+- [^-]+ - (.+?)\.jpg""), "".jpg"", """"), ""-"", "", ""), """")"),"")</f>
        <v/>
      </c>
      <c r="L11796" s="12"/>
      <c r="M11796" s="13"/>
      <c r="N11796" s="2"/>
      <c r="O11796" s="20"/>
      <c r="P11796" s="42"/>
      <c r="R11796" s="23"/>
    </row>
    <row r="11797" spans="1:18" ht="12.75">
      <c r="A11797" s="12"/>
      <c r="D11797" s="12"/>
      <c r="E11797" s="12"/>
      <c r="H11797" s="11" t="str">
        <f ca="1">IFERROR(__xludf.DUMMYFUNCTION("IFERROR(SUBSTITUTE(SUBSTITUTE(REGEXEXTRACT(A11797, ""[^-]+- [^-]+- [^-]+ - (.+?)\.jpg""), "".jpg"", """"), ""-"", "", ""), """")"),"")</f>
        <v/>
      </c>
      <c r="L11797" s="12"/>
      <c r="M11797" s="13"/>
      <c r="N11797" s="2"/>
      <c r="O11797" s="20"/>
      <c r="P11797" s="42"/>
      <c r="R11797" s="23"/>
    </row>
    <row r="11798" spans="1:18" ht="12.75">
      <c r="A11798" s="12"/>
      <c r="D11798" s="12"/>
      <c r="E11798" s="12"/>
      <c r="H11798" s="11" t="str">
        <f ca="1">IFERROR(__xludf.DUMMYFUNCTION("IFERROR(SUBSTITUTE(SUBSTITUTE(REGEXEXTRACT(A11798, ""[^-]+- [^-]+- [^-]+ - (.+?)\.jpg""), "".jpg"", """"), ""-"", "", ""), """")"),"")</f>
        <v/>
      </c>
      <c r="L11798" s="12"/>
      <c r="M11798" s="13"/>
      <c r="N11798" s="2"/>
      <c r="O11798" s="20"/>
      <c r="P11798" s="42"/>
      <c r="R11798" s="23"/>
    </row>
    <row r="11799" spans="1:18" ht="12.75">
      <c r="A11799" s="12"/>
      <c r="D11799" s="12"/>
      <c r="E11799" s="12"/>
      <c r="H11799" s="11" t="str">
        <f ca="1">IFERROR(__xludf.DUMMYFUNCTION("IFERROR(SUBSTITUTE(SUBSTITUTE(REGEXEXTRACT(A11799, ""[^-]+- [^-]+- [^-]+ - (.+?)\.jpg""), "".jpg"", """"), ""-"", "", ""), """")"),"")</f>
        <v/>
      </c>
      <c r="L11799" s="12"/>
      <c r="M11799" s="13"/>
      <c r="N11799" s="2"/>
      <c r="O11799" s="20"/>
      <c r="P11799" s="42"/>
      <c r="R11799" s="23"/>
    </row>
    <row r="11800" spans="1:18" ht="12.75">
      <c r="A11800" s="12"/>
      <c r="D11800" s="12"/>
      <c r="E11800" s="12"/>
      <c r="H11800" s="11" t="str">
        <f ca="1">IFERROR(__xludf.DUMMYFUNCTION("IFERROR(SUBSTITUTE(SUBSTITUTE(REGEXEXTRACT(A11800, ""[^-]+- [^-]+- [^-]+ - (.+?)\.jpg""), "".jpg"", """"), ""-"", "", ""), """")"),"")</f>
        <v/>
      </c>
      <c r="L11800" s="12"/>
      <c r="M11800" s="13"/>
      <c r="N11800" s="2"/>
      <c r="O11800" s="20"/>
      <c r="P11800" s="42"/>
      <c r="R11800" s="23"/>
    </row>
    <row r="11801" spans="1:18" ht="12.75">
      <c r="A11801" s="12"/>
      <c r="D11801" s="12"/>
      <c r="E11801" s="12"/>
      <c r="H11801" s="11" t="str">
        <f ca="1">IFERROR(__xludf.DUMMYFUNCTION("IFERROR(SUBSTITUTE(SUBSTITUTE(REGEXEXTRACT(A11801, ""[^-]+- [^-]+- [^-]+ - (.+?)\.jpg""), "".jpg"", """"), ""-"", "", ""), """")"),"")</f>
        <v/>
      </c>
      <c r="L11801" s="12"/>
      <c r="M11801" s="13"/>
      <c r="N11801" s="2"/>
      <c r="O11801" s="20"/>
      <c r="P11801" s="42"/>
      <c r="R11801" s="23"/>
    </row>
    <row r="11802" spans="1:18" ht="12.75">
      <c r="A11802" s="12"/>
      <c r="D11802" s="12"/>
      <c r="E11802" s="12"/>
      <c r="H11802" s="11" t="str">
        <f ca="1">IFERROR(__xludf.DUMMYFUNCTION("IFERROR(SUBSTITUTE(SUBSTITUTE(REGEXEXTRACT(A11802, ""[^-]+- [^-]+- [^-]+ - (.+?)\.jpg""), "".jpg"", """"), ""-"", "", ""), """")"),"")</f>
        <v/>
      </c>
      <c r="L11802" s="12"/>
      <c r="M11802" s="13"/>
      <c r="N11802" s="2"/>
      <c r="O11802" s="20"/>
      <c r="P11802" s="42"/>
      <c r="R11802" s="23"/>
    </row>
    <row r="11803" spans="1:18" ht="12.75">
      <c r="A11803" s="12"/>
      <c r="D11803" s="12"/>
      <c r="E11803" s="12"/>
      <c r="H11803" s="11" t="str">
        <f ca="1">IFERROR(__xludf.DUMMYFUNCTION("IFERROR(SUBSTITUTE(SUBSTITUTE(REGEXEXTRACT(A11803, ""[^-]+- [^-]+- [^-]+ - (.+?)\.jpg""), "".jpg"", """"), ""-"", "", ""), """")"),"")</f>
        <v/>
      </c>
      <c r="L11803" s="12"/>
      <c r="M11803" s="13"/>
      <c r="N11803" s="2"/>
      <c r="O11803" s="20"/>
      <c r="P11803" s="42"/>
      <c r="R11803" s="23"/>
    </row>
    <row r="11804" spans="1:18" ht="12.75">
      <c r="A11804" s="12"/>
      <c r="D11804" s="12"/>
      <c r="E11804" s="12"/>
      <c r="H11804" s="11" t="str">
        <f ca="1">IFERROR(__xludf.DUMMYFUNCTION("IFERROR(SUBSTITUTE(SUBSTITUTE(REGEXEXTRACT(A11804, ""[^-]+- [^-]+- [^-]+ - (.+?)\.jpg""), "".jpg"", """"), ""-"", "", ""), """")"),"")</f>
        <v/>
      </c>
      <c r="L11804" s="12"/>
      <c r="M11804" s="13"/>
      <c r="N11804" s="2"/>
      <c r="O11804" s="20"/>
      <c r="P11804" s="42"/>
      <c r="R11804" s="23"/>
    </row>
    <row r="11805" spans="1:18" ht="12.75">
      <c r="A11805" s="12"/>
      <c r="D11805" s="12"/>
      <c r="E11805" s="12"/>
      <c r="H11805" s="11" t="str">
        <f ca="1">IFERROR(__xludf.DUMMYFUNCTION("IFERROR(SUBSTITUTE(SUBSTITUTE(REGEXEXTRACT(A11805, ""[^-]+- [^-]+- [^-]+ - (.+?)\.jpg""), "".jpg"", """"), ""-"", "", ""), """")"),"")</f>
        <v/>
      </c>
      <c r="L11805" s="12"/>
      <c r="M11805" s="13"/>
      <c r="N11805" s="2"/>
      <c r="O11805" s="20"/>
      <c r="P11805" s="42"/>
      <c r="R11805" s="23"/>
    </row>
    <row r="11806" spans="1:18" ht="12.75">
      <c r="A11806" s="12"/>
      <c r="D11806" s="12"/>
      <c r="E11806" s="12"/>
      <c r="H11806" s="11" t="str">
        <f ca="1">IFERROR(__xludf.DUMMYFUNCTION("IFERROR(SUBSTITUTE(SUBSTITUTE(REGEXEXTRACT(A11806, ""[^-]+- [^-]+- [^-]+ - (.+?)\.jpg""), "".jpg"", """"), ""-"", "", ""), """")"),"")</f>
        <v/>
      </c>
      <c r="L11806" s="12"/>
      <c r="M11806" s="13"/>
      <c r="N11806" s="2"/>
      <c r="O11806" s="20"/>
      <c r="P11806" s="42"/>
      <c r="R11806" s="23"/>
    </row>
    <row r="11807" spans="1:18" ht="12.75">
      <c r="A11807" s="12"/>
      <c r="D11807" s="12"/>
      <c r="E11807" s="12"/>
      <c r="H11807" s="11" t="str">
        <f ca="1">IFERROR(__xludf.DUMMYFUNCTION("IFERROR(SUBSTITUTE(SUBSTITUTE(REGEXEXTRACT(A11807, ""[^-]+- [^-]+- [^-]+ - (.+?)\.jpg""), "".jpg"", """"), ""-"", "", ""), """")"),"")</f>
        <v/>
      </c>
      <c r="L11807" s="12"/>
      <c r="M11807" s="13"/>
      <c r="N11807" s="2"/>
      <c r="O11807" s="20"/>
      <c r="P11807" s="42"/>
      <c r="R11807" s="23"/>
    </row>
    <row r="11808" spans="1:18" ht="12.75">
      <c r="A11808" s="12"/>
      <c r="D11808" s="12"/>
      <c r="E11808" s="12"/>
      <c r="H11808" s="11" t="str">
        <f ca="1">IFERROR(__xludf.DUMMYFUNCTION("IFERROR(SUBSTITUTE(SUBSTITUTE(REGEXEXTRACT(A11808, ""[^-]+- [^-]+- [^-]+ - (.+?)\.jpg""), "".jpg"", """"), ""-"", "", ""), """")"),"")</f>
        <v/>
      </c>
      <c r="L11808" s="12"/>
      <c r="M11808" s="13"/>
      <c r="N11808" s="2"/>
      <c r="O11808" s="20"/>
      <c r="P11808" s="42"/>
      <c r="R11808" s="23"/>
    </row>
    <row r="11809" spans="1:18" ht="12.75">
      <c r="A11809" s="12"/>
      <c r="D11809" s="12"/>
      <c r="E11809" s="12"/>
      <c r="H11809" s="11" t="str">
        <f ca="1">IFERROR(__xludf.DUMMYFUNCTION("IFERROR(SUBSTITUTE(SUBSTITUTE(REGEXEXTRACT(A11809, ""[^-]+- [^-]+- [^-]+ - (.+?)\.jpg""), "".jpg"", """"), ""-"", "", ""), """")"),"")</f>
        <v/>
      </c>
      <c r="L11809" s="12"/>
      <c r="M11809" s="13"/>
      <c r="N11809" s="2"/>
      <c r="O11809" s="20"/>
      <c r="P11809" s="42"/>
      <c r="R11809" s="23"/>
    </row>
    <row r="11810" spans="1:18" ht="12.75">
      <c r="A11810" s="12"/>
      <c r="D11810" s="12"/>
      <c r="E11810" s="12"/>
      <c r="H11810" s="11" t="str">
        <f ca="1">IFERROR(__xludf.DUMMYFUNCTION("IFERROR(SUBSTITUTE(SUBSTITUTE(REGEXEXTRACT(A11810, ""[^-]+- [^-]+- [^-]+ - (.+?)\.jpg""), "".jpg"", """"), ""-"", "", ""), """")"),"")</f>
        <v/>
      </c>
      <c r="L11810" s="12"/>
      <c r="M11810" s="13"/>
      <c r="N11810" s="2"/>
      <c r="O11810" s="20"/>
      <c r="P11810" s="42"/>
      <c r="R11810" s="23"/>
    </row>
    <row r="11811" spans="1:18" ht="12.75">
      <c r="A11811" s="12"/>
      <c r="D11811" s="12"/>
      <c r="E11811" s="12"/>
      <c r="H11811" s="11" t="str">
        <f ca="1">IFERROR(__xludf.DUMMYFUNCTION("IFERROR(SUBSTITUTE(SUBSTITUTE(REGEXEXTRACT(A11811, ""[^-]+- [^-]+- [^-]+ - (.+?)\.jpg""), "".jpg"", """"), ""-"", "", ""), """")"),"")</f>
        <v/>
      </c>
      <c r="L11811" s="12"/>
      <c r="M11811" s="13"/>
      <c r="N11811" s="2"/>
      <c r="O11811" s="20"/>
      <c r="P11811" s="42"/>
      <c r="R11811" s="23"/>
    </row>
    <row r="11812" spans="1:18" ht="12.75">
      <c r="A11812" s="12"/>
      <c r="D11812" s="12"/>
      <c r="E11812" s="12"/>
      <c r="H11812" s="11" t="str">
        <f ca="1">IFERROR(__xludf.DUMMYFUNCTION("IFERROR(SUBSTITUTE(SUBSTITUTE(REGEXEXTRACT(A11812, ""[^-]+- [^-]+- [^-]+ - (.+?)\.jpg""), "".jpg"", """"), ""-"", "", ""), """")"),"")</f>
        <v/>
      </c>
      <c r="L11812" s="12"/>
      <c r="M11812" s="13"/>
      <c r="N11812" s="2"/>
      <c r="O11812" s="20"/>
      <c r="P11812" s="42"/>
      <c r="R11812" s="23"/>
    </row>
    <row r="11813" spans="1:18" ht="12.75">
      <c r="A11813" s="12"/>
      <c r="D11813" s="12"/>
      <c r="E11813" s="12"/>
      <c r="H11813" s="11" t="str">
        <f ca="1">IFERROR(__xludf.DUMMYFUNCTION("IFERROR(SUBSTITUTE(SUBSTITUTE(REGEXEXTRACT(A11813, ""[^-]+- [^-]+- [^-]+ - (.+?)\.jpg""), "".jpg"", """"), ""-"", "", ""), """")"),"")</f>
        <v/>
      </c>
      <c r="L11813" s="12"/>
      <c r="M11813" s="13"/>
      <c r="N11813" s="2"/>
      <c r="O11813" s="20"/>
      <c r="P11813" s="42"/>
      <c r="R11813" s="23"/>
    </row>
    <row r="11814" spans="1:18" ht="12.75">
      <c r="A11814" s="12"/>
      <c r="D11814" s="12"/>
      <c r="E11814" s="12"/>
      <c r="H11814" s="11" t="str">
        <f ca="1">IFERROR(__xludf.DUMMYFUNCTION("IFERROR(SUBSTITUTE(SUBSTITUTE(REGEXEXTRACT(A11814, ""[^-]+- [^-]+- [^-]+ - (.+?)\.jpg""), "".jpg"", """"), ""-"", "", ""), """")"),"")</f>
        <v/>
      </c>
      <c r="L11814" s="12"/>
      <c r="M11814" s="13"/>
      <c r="N11814" s="2"/>
      <c r="O11814" s="20"/>
      <c r="P11814" s="42"/>
      <c r="R11814" s="23"/>
    </row>
    <row r="11815" spans="1:18" ht="12.75">
      <c r="A11815" s="12"/>
      <c r="D11815" s="12"/>
      <c r="E11815" s="12"/>
      <c r="H11815" s="11" t="str">
        <f ca="1">IFERROR(__xludf.DUMMYFUNCTION("IFERROR(SUBSTITUTE(SUBSTITUTE(REGEXEXTRACT(A11815, ""[^-]+- [^-]+- [^-]+ - (.+?)\.jpg""), "".jpg"", """"), ""-"", "", ""), """")"),"")</f>
        <v/>
      </c>
      <c r="L11815" s="12"/>
      <c r="M11815" s="13"/>
      <c r="N11815" s="2"/>
      <c r="O11815" s="20"/>
      <c r="P11815" s="42"/>
      <c r="R11815" s="23"/>
    </row>
    <row r="11816" spans="1:18" ht="12.75">
      <c r="A11816" s="12"/>
      <c r="D11816" s="12"/>
      <c r="E11816" s="12"/>
      <c r="H11816" s="11" t="str">
        <f ca="1">IFERROR(__xludf.DUMMYFUNCTION("IFERROR(SUBSTITUTE(SUBSTITUTE(REGEXEXTRACT(A11816, ""[^-]+- [^-]+- [^-]+ - (.+?)\.jpg""), "".jpg"", """"), ""-"", "", ""), """")"),"")</f>
        <v/>
      </c>
      <c r="L11816" s="12"/>
      <c r="M11816" s="13"/>
      <c r="N11816" s="2"/>
      <c r="O11816" s="20"/>
      <c r="P11816" s="42"/>
      <c r="R11816" s="23"/>
    </row>
    <row r="11817" spans="1:18" ht="12.75">
      <c r="A11817" s="12"/>
      <c r="D11817" s="12"/>
      <c r="E11817" s="12"/>
      <c r="H11817" s="11" t="str">
        <f ca="1">IFERROR(__xludf.DUMMYFUNCTION("IFERROR(SUBSTITUTE(SUBSTITUTE(REGEXEXTRACT(A11817, ""[^-]+- [^-]+- [^-]+ - (.+?)\.jpg""), "".jpg"", """"), ""-"", "", ""), """")"),"")</f>
        <v/>
      </c>
      <c r="L11817" s="12"/>
      <c r="M11817" s="13"/>
      <c r="N11817" s="2"/>
      <c r="O11817" s="20"/>
      <c r="P11817" s="42"/>
      <c r="R11817" s="23"/>
    </row>
    <row r="11818" spans="1:18" ht="12.75">
      <c r="A11818" s="12"/>
      <c r="D11818" s="12"/>
      <c r="E11818" s="12"/>
      <c r="H11818" s="11" t="str">
        <f ca="1">IFERROR(__xludf.DUMMYFUNCTION("IFERROR(SUBSTITUTE(SUBSTITUTE(REGEXEXTRACT(A11818, ""[^-]+- [^-]+- [^-]+ - (.+?)\.jpg""), "".jpg"", """"), ""-"", "", ""), """")"),"")</f>
        <v/>
      </c>
      <c r="L11818" s="12"/>
      <c r="M11818" s="13"/>
      <c r="N11818" s="2"/>
      <c r="O11818" s="20"/>
      <c r="P11818" s="42"/>
      <c r="R11818" s="23"/>
    </row>
    <row r="11819" spans="1:18" ht="12.75">
      <c r="A11819" s="12"/>
      <c r="D11819" s="12"/>
      <c r="E11819" s="12"/>
      <c r="H11819" s="11" t="str">
        <f ca="1">IFERROR(__xludf.DUMMYFUNCTION("IFERROR(SUBSTITUTE(SUBSTITUTE(REGEXEXTRACT(A11819, ""[^-]+- [^-]+- [^-]+ - (.+?)\.jpg""), "".jpg"", """"), ""-"", "", ""), """")"),"")</f>
        <v/>
      </c>
      <c r="L11819" s="12"/>
      <c r="M11819" s="13"/>
      <c r="N11819" s="2"/>
      <c r="O11819" s="20"/>
      <c r="P11819" s="42"/>
      <c r="R11819" s="23"/>
    </row>
    <row r="11820" spans="1:18" ht="12.75">
      <c r="A11820" s="12"/>
      <c r="D11820" s="12"/>
      <c r="E11820" s="12"/>
      <c r="H11820" s="11" t="str">
        <f ca="1">IFERROR(__xludf.DUMMYFUNCTION("IFERROR(SUBSTITUTE(SUBSTITUTE(REGEXEXTRACT(A11820, ""[^-]+- [^-]+- [^-]+ - (.+?)\.jpg""), "".jpg"", """"), ""-"", "", ""), """")"),"")</f>
        <v/>
      </c>
      <c r="L11820" s="12"/>
      <c r="M11820" s="13"/>
      <c r="N11820" s="2"/>
      <c r="O11820" s="20"/>
      <c r="P11820" s="42"/>
      <c r="R11820" s="23"/>
    </row>
    <row r="11821" spans="1:18" ht="12.75">
      <c r="A11821" s="12"/>
      <c r="D11821" s="12"/>
      <c r="E11821" s="12"/>
      <c r="H11821" s="11" t="str">
        <f ca="1">IFERROR(__xludf.DUMMYFUNCTION("IFERROR(SUBSTITUTE(SUBSTITUTE(REGEXEXTRACT(A11821, ""[^-]+- [^-]+- [^-]+ - (.+?)\.jpg""), "".jpg"", """"), ""-"", "", ""), """")"),"")</f>
        <v/>
      </c>
      <c r="L11821" s="12"/>
      <c r="M11821" s="13"/>
      <c r="N11821" s="2"/>
      <c r="O11821" s="20"/>
      <c r="P11821" s="42"/>
      <c r="R11821" s="23"/>
    </row>
    <row r="11822" spans="1:18" ht="12.75">
      <c r="A11822" s="12"/>
      <c r="D11822" s="12"/>
      <c r="E11822" s="12"/>
      <c r="H11822" s="11" t="str">
        <f ca="1">IFERROR(__xludf.DUMMYFUNCTION("IFERROR(SUBSTITUTE(SUBSTITUTE(REGEXEXTRACT(A11822, ""[^-]+- [^-]+- [^-]+ - (.+?)\.jpg""), "".jpg"", """"), ""-"", "", ""), """")"),"")</f>
        <v/>
      </c>
      <c r="L11822" s="12"/>
      <c r="M11822" s="13"/>
      <c r="N11822" s="2"/>
      <c r="O11822" s="20"/>
      <c r="P11822" s="42"/>
      <c r="R11822" s="23"/>
    </row>
    <row r="11823" spans="1:18" ht="12.75">
      <c r="A11823" s="12"/>
      <c r="D11823" s="12"/>
      <c r="E11823" s="12"/>
      <c r="H11823" s="11" t="str">
        <f ca="1">IFERROR(__xludf.DUMMYFUNCTION("IFERROR(SUBSTITUTE(SUBSTITUTE(REGEXEXTRACT(A11823, ""[^-]+- [^-]+- [^-]+ - (.+?)\.jpg""), "".jpg"", """"), ""-"", "", ""), """")"),"")</f>
        <v/>
      </c>
      <c r="L11823" s="12"/>
      <c r="M11823" s="13"/>
      <c r="N11823" s="2"/>
      <c r="O11823" s="20"/>
      <c r="P11823" s="42"/>
      <c r="R11823" s="23"/>
    </row>
    <row r="11824" spans="1:18" ht="12.75">
      <c r="A11824" s="12"/>
      <c r="D11824" s="12"/>
      <c r="E11824" s="12"/>
      <c r="H11824" s="11" t="str">
        <f ca="1">IFERROR(__xludf.DUMMYFUNCTION("IFERROR(SUBSTITUTE(SUBSTITUTE(REGEXEXTRACT(A11824, ""[^-]+- [^-]+- [^-]+ - (.+?)\.jpg""), "".jpg"", """"), ""-"", "", ""), """")"),"")</f>
        <v/>
      </c>
      <c r="L11824" s="12"/>
      <c r="M11824" s="13"/>
      <c r="N11824" s="2"/>
      <c r="O11824" s="20"/>
      <c r="P11824" s="42"/>
      <c r="R11824" s="23"/>
    </row>
    <row r="11825" spans="1:18" ht="12.75">
      <c r="A11825" s="12"/>
      <c r="D11825" s="12"/>
      <c r="E11825" s="12"/>
      <c r="H11825" s="11" t="str">
        <f ca="1">IFERROR(__xludf.DUMMYFUNCTION("IFERROR(SUBSTITUTE(SUBSTITUTE(REGEXEXTRACT(A11825, ""[^-]+- [^-]+- [^-]+ - (.+?)\.jpg""), "".jpg"", """"), ""-"", "", ""), """")"),"")</f>
        <v/>
      </c>
      <c r="L11825" s="12"/>
      <c r="M11825" s="13"/>
      <c r="N11825" s="2"/>
      <c r="O11825" s="20"/>
      <c r="P11825" s="42"/>
      <c r="R11825" s="23"/>
    </row>
    <row r="11826" spans="1:18" ht="12.75">
      <c r="A11826" s="12"/>
      <c r="D11826" s="12"/>
      <c r="E11826" s="12"/>
      <c r="H11826" s="11" t="str">
        <f ca="1">IFERROR(__xludf.DUMMYFUNCTION("IFERROR(SUBSTITUTE(SUBSTITUTE(REGEXEXTRACT(A11826, ""[^-]+- [^-]+- [^-]+ - (.+?)\.jpg""), "".jpg"", """"), ""-"", "", ""), """")"),"")</f>
        <v/>
      </c>
      <c r="L11826" s="12"/>
      <c r="M11826" s="13"/>
      <c r="N11826" s="2"/>
      <c r="O11826" s="20"/>
      <c r="P11826" s="42"/>
      <c r="R11826" s="23"/>
    </row>
    <row r="11827" spans="1:18" ht="12.75">
      <c r="A11827" s="12"/>
      <c r="D11827" s="12"/>
      <c r="E11827" s="12"/>
      <c r="H11827" s="11" t="str">
        <f ca="1">IFERROR(__xludf.DUMMYFUNCTION("IFERROR(SUBSTITUTE(SUBSTITUTE(REGEXEXTRACT(A11827, ""[^-]+- [^-]+- [^-]+ - (.+?)\.jpg""), "".jpg"", """"), ""-"", "", ""), """")"),"")</f>
        <v/>
      </c>
      <c r="L11827" s="12"/>
      <c r="M11827" s="13"/>
      <c r="N11827" s="2"/>
      <c r="O11827" s="20"/>
      <c r="P11827" s="42"/>
      <c r="R11827" s="23"/>
    </row>
    <row r="11828" spans="1:18" ht="12.75">
      <c r="A11828" s="12"/>
      <c r="D11828" s="12"/>
      <c r="E11828" s="12"/>
      <c r="H11828" s="11" t="str">
        <f ca="1">IFERROR(__xludf.DUMMYFUNCTION("IFERROR(SUBSTITUTE(SUBSTITUTE(REGEXEXTRACT(A11828, ""[^-]+- [^-]+- [^-]+ - (.+?)\.jpg""), "".jpg"", """"), ""-"", "", ""), """")"),"")</f>
        <v/>
      </c>
      <c r="L11828" s="12"/>
      <c r="M11828" s="13"/>
      <c r="N11828" s="2"/>
      <c r="O11828" s="20"/>
      <c r="P11828" s="42"/>
      <c r="R11828" s="23"/>
    </row>
    <row r="11829" spans="1:18" ht="12.75">
      <c r="A11829" s="12"/>
      <c r="D11829" s="12"/>
      <c r="E11829" s="12"/>
      <c r="H11829" s="11" t="str">
        <f ca="1">IFERROR(__xludf.DUMMYFUNCTION("IFERROR(SUBSTITUTE(SUBSTITUTE(REGEXEXTRACT(A11829, ""[^-]+- [^-]+- [^-]+ - (.+?)\.jpg""), "".jpg"", """"), ""-"", "", ""), """")"),"")</f>
        <v/>
      </c>
      <c r="L11829" s="12"/>
      <c r="M11829" s="13"/>
      <c r="N11829" s="2"/>
      <c r="O11829" s="20"/>
      <c r="P11829" s="42"/>
      <c r="R11829" s="23"/>
    </row>
    <row r="11830" spans="1:18" ht="12.75">
      <c r="A11830" s="12"/>
      <c r="D11830" s="12"/>
      <c r="E11830" s="12"/>
      <c r="H11830" s="11" t="str">
        <f ca="1">IFERROR(__xludf.DUMMYFUNCTION("IFERROR(SUBSTITUTE(SUBSTITUTE(REGEXEXTRACT(A11830, ""[^-]+- [^-]+- [^-]+ - (.+?)\.jpg""), "".jpg"", """"), ""-"", "", ""), """")"),"")</f>
        <v/>
      </c>
      <c r="L11830" s="12"/>
      <c r="M11830" s="13"/>
      <c r="N11830" s="2"/>
      <c r="O11830" s="20"/>
      <c r="P11830" s="42"/>
      <c r="R11830" s="23"/>
    </row>
    <row r="11831" spans="1:18" ht="12.75">
      <c r="A11831" s="12"/>
      <c r="D11831" s="12"/>
      <c r="E11831" s="12"/>
      <c r="H11831" s="11" t="str">
        <f ca="1">IFERROR(__xludf.DUMMYFUNCTION("IFERROR(SUBSTITUTE(SUBSTITUTE(REGEXEXTRACT(A11831, ""[^-]+- [^-]+- [^-]+ - (.+?)\.jpg""), "".jpg"", """"), ""-"", "", ""), """")"),"")</f>
        <v/>
      </c>
      <c r="L11831" s="12"/>
      <c r="M11831" s="13"/>
      <c r="N11831" s="2"/>
      <c r="O11831" s="20"/>
      <c r="P11831" s="42"/>
      <c r="R11831" s="23"/>
    </row>
    <row r="11832" spans="1:18" ht="12.75">
      <c r="A11832" s="12"/>
      <c r="D11832" s="12"/>
      <c r="E11832" s="12"/>
      <c r="H11832" s="11" t="str">
        <f ca="1">IFERROR(__xludf.DUMMYFUNCTION("IFERROR(SUBSTITUTE(SUBSTITUTE(REGEXEXTRACT(A11832, ""[^-]+- [^-]+- [^-]+ - (.+?)\.jpg""), "".jpg"", """"), ""-"", "", ""), """")"),"")</f>
        <v/>
      </c>
      <c r="L11832" s="12"/>
      <c r="M11832" s="13"/>
      <c r="N11832" s="2"/>
      <c r="O11832" s="20"/>
      <c r="P11832" s="42"/>
      <c r="R11832" s="23"/>
    </row>
    <row r="11833" spans="1:18" ht="12.75">
      <c r="A11833" s="12"/>
      <c r="D11833" s="12"/>
      <c r="E11833" s="12"/>
      <c r="H11833" s="11" t="str">
        <f ca="1">IFERROR(__xludf.DUMMYFUNCTION("IFERROR(SUBSTITUTE(SUBSTITUTE(REGEXEXTRACT(A11833, ""[^-]+- [^-]+- [^-]+ - (.+?)\.jpg""), "".jpg"", """"), ""-"", "", ""), """")"),"")</f>
        <v/>
      </c>
      <c r="L11833" s="12"/>
      <c r="M11833" s="13"/>
      <c r="N11833" s="2"/>
      <c r="O11833" s="20"/>
      <c r="P11833" s="42"/>
      <c r="R11833" s="23"/>
    </row>
    <row r="11834" spans="1:18" ht="12.75">
      <c r="A11834" s="12"/>
      <c r="D11834" s="12"/>
      <c r="E11834" s="12"/>
      <c r="H11834" s="11" t="str">
        <f ca="1">IFERROR(__xludf.DUMMYFUNCTION("IFERROR(SUBSTITUTE(SUBSTITUTE(REGEXEXTRACT(A11834, ""[^-]+- [^-]+- [^-]+ - (.+?)\.jpg""), "".jpg"", """"), ""-"", "", ""), """")"),"")</f>
        <v/>
      </c>
      <c r="L11834" s="12"/>
      <c r="M11834" s="13"/>
      <c r="N11834" s="2"/>
      <c r="O11834" s="20"/>
      <c r="P11834" s="42"/>
      <c r="R11834" s="23"/>
    </row>
    <row r="11835" spans="1:18" ht="12.75">
      <c r="A11835" s="12"/>
      <c r="D11835" s="12"/>
      <c r="E11835" s="12"/>
      <c r="H11835" s="11" t="str">
        <f ca="1">IFERROR(__xludf.DUMMYFUNCTION("IFERROR(SUBSTITUTE(SUBSTITUTE(REGEXEXTRACT(A11835, ""[^-]+- [^-]+- [^-]+ - (.+?)\.jpg""), "".jpg"", """"), ""-"", "", ""), """")"),"")</f>
        <v/>
      </c>
      <c r="L11835" s="12"/>
      <c r="M11835" s="13"/>
      <c r="N11835" s="2"/>
      <c r="O11835" s="20"/>
      <c r="P11835" s="42"/>
      <c r="R11835" s="23"/>
    </row>
    <row r="11836" spans="1:18" ht="12.75">
      <c r="A11836" s="12"/>
      <c r="D11836" s="12"/>
      <c r="E11836" s="12"/>
      <c r="H11836" s="11" t="str">
        <f ca="1">IFERROR(__xludf.DUMMYFUNCTION("IFERROR(SUBSTITUTE(SUBSTITUTE(REGEXEXTRACT(A11836, ""[^-]+- [^-]+- [^-]+ - (.+?)\.jpg""), "".jpg"", """"), ""-"", "", ""), """")"),"")</f>
        <v/>
      </c>
      <c r="L11836" s="12"/>
      <c r="M11836" s="13"/>
      <c r="N11836" s="2"/>
      <c r="O11836" s="20"/>
      <c r="P11836" s="42"/>
      <c r="R11836" s="23"/>
    </row>
    <row r="11837" spans="1:18" ht="12.75">
      <c r="A11837" s="12"/>
      <c r="D11837" s="12"/>
      <c r="E11837" s="12"/>
      <c r="H11837" s="11" t="str">
        <f ca="1">IFERROR(__xludf.DUMMYFUNCTION("IFERROR(SUBSTITUTE(SUBSTITUTE(REGEXEXTRACT(A11837, ""[^-]+- [^-]+- [^-]+ - (.+?)\.jpg""), "".jpg"", """"), ""-"", "", ""), """")"),"")</f>
        <v/>
      </c>
      <c r="L11837" s="12"/>
      <c r="M11837" s="13"/>
      <c r="N11837" s="2"/>
      <c r="O11837" s="20"/>
      <c r="P11837" s="42"/>
      <c r="R11837" s="23"/>
    </row>
    <row r="11838" spans="1:18" ht="12.75">
      <c r="A11838" s="12"/>
      <c r="D11838" s="12"/>
      <c r="E11838" s="12"/>
      <c r="H11838" s="11" t="str">
        <f ca="1">IFERROR(__xludf.DUMMYFUNCTION("IFERROR(SUBSTITUTE(SUBSTITUTE(REGEXEXTRACT(A11838, ""[^-]+- [^-]+- [^-]+ - (.+?)\.jpg""), "".jpg"", """"), ""-"", "", ""), """")"),"")</f>
        <v/>
      </c>
      <c r="L11838" s="12"/>
      <c r="M11838" s="13"/>
      <c r="N11838" s="2"/>
      <c r="O11838" s="20"/>
      <c r="P11838" s="42"/>
      <c r="R11838" s="23"/>
    </row>
    <row r="11839" spans="1:18" ht="12.75">
      <c r="A11839" s="12"/>
      <c r="D11839" s="12"/>
      <c r="E11839" s="12"/>
      <c r="H11839" s="11" t="str">
        <f ca="1">IFERROR(__xludf.DUMMYFUNCTION("IFERROR(SUBSTITUTE(SUBSTITUTE(REGEXEXTRACT(A11839, ""[^-]+- [^-]+- [^-]+ - (.+?)\.jpg""), "".jpg"", """"), ""-"", "", ""), """")"),"")</f>
        <v/>
      </c>
      <c r="L11839" s="12"/>
      <c r="M11839" s="13"/>
      <c r="N11839" s="2"/>
      <c r="O11839" s="20"/>
      <c r="P11839" s="42"/>
      <c r="R11839" s="23"/>
    </row>
    <row r="11840" spans="1:18" ht="12.75">
      <c r="A11840" s="12"/>
      <c r="D11840" s="12"/>
      <c r="E11840" s="12"/>
      <c r="H11840" s="11" t="str">
        <f ca="1">IFERROR(__xludf.DUMMYFUNCTION("IFERROR(SUBSTITUTE(SUBSTITUTE(REGEXEXTRACT(A11840, ""[^-]+- [^-]+- [^-]+ - (.+?)\.jpg""), "".jpg"", """"), ""-"", "", ""), """")"),"")</f>
        <v/>
      </c>
      <c r="L11840" s="12"/>
      <c r="M11840" s="13"/>
      <c r="N11840" s="2"/>
      <c r="O11840" s="20"/>
      <c r="P11840" s="42"/>
      <c r="R11840" s="23"/>
    </row>
    <row r="11841" spans="1:18" ht="12.75">
      <c r="A11841" s="12"/>
      <c r="D11841" s="12"/>
      <c r="E11841" s="12"/>
      <c r="H11841" s="11" t="str">
        <f ca="1">IFERROR(__xludf.DUMMYFUNCTION("IFERROR(SUBSTITUTE(SUBSTITUTE(REGEXEXTRACT(A11841, ""[^-]+- [^-]+- [^-]+ - (.+?)\.jpg""), "".jpg"", """"), ""-"", "", ""), """")"),"")</f>
        <v/>
      </c>
      <c r="L11841" s="12"/>
      <c r="M11841" s="13"/>
      <c r="N11841" s="2"/>
      <c r="O11841" s="20"/>
      <c r="P11841" s="42"/>
      <c r="R11841" s="23"/>
    </row>
    <row r="11842" spans="1:18" ht="12.75">
      <c r="A11842" s="12"/>
      <c r="D11842" s="12"/>
      <c r="E11842" s="12"/>
      <c r="H11842" s="11" t="str">
        <f ca="1">IFERROR(__xludf.DUMMYFUNCTION("IFERROR(SUBSTITUTE(SUBSTITUTE(REGEXEXTRACT(A11842, ""[^-]+- [^-]+- [^-]+ - (.+?)\.jpg""), "".jpg"", """"), ""-"", "", ""), """")"),"")</f>
        <v/>
      </c>
      <c r="L11842" s="12"/>
      <c r="M11842" s="13"/>
      <c r="N11842" s="2"/>
      <c r="O11842" s="20"/>
      <c r="P11842" s="42"/>
      <c r="R11842" s="23"/>
    </row>
    <row r="11843" spans="1:18" ht="12.75">
      <c r="A11843" s="12"/>
      <c r="D11843" s="12"/>
      <c r="E11843" s="12"/>
      <c r="H11843" s="11" t="str">
        <f ca="1">IFERROR(__xludf.DUMMYFUNCTION("IFERROR(SUBSTITUTE(SUBSTITUTE(REGEXEXTRACT(A11843, ""[^-]+- [^-]+- [^-]+ - (.+?)\.jpg""), "".jpg"", """"), ""-"", "", ""), """")"),"")</f>
        <v/>
      </c>
      <c r="L11843" s="12"/>
      <c r="M11843" s="13"/>
      <c r="N11843" s="2"/>
      <c r="O11843" s="20"/>
      <c r="P11843" s="42"/>
      <c r="R11843" s="23"/>
    </row>
    <row r="11844" spans="1:18" ht="12.75">
      <c r="A11844" s="12"/>
      <c r="D11844" s="12"/>
      <c r="E11844" s="12"/>
      <c r="H11844" s="11" t="str">
        <f ca="1">IFERROR(__xludf.DUMMYFUNCTION("IFERROR(SUBSTITUTE(SUBSTITUTE(REGEXEXTRACT(A11844, ""[^-]+- [^-]+- [^-]+ - (.+?)\.jpg""), "".jpg"", """"), ""-"", "", ""), """")"),"")</f>
        <v/>
      </c>
      <c r="L11844" s="12"/>
      <c r="M11844" s="13"/>
      <c r="N11844" s="2"/>
      <c r="O11844" s="20"/>
      <c r="P11844" s="42"/>
      <c r="R11844" s="23"/>
    </row>
    <row r="11845" spans="1:18" ht="12.75">
      <c r="A11845" s="12"/>
      <c r="D11845" s="12"/>
      <c r="E11845" s="12"/>
      <c r="H11845" s="11" t="str">
        <f ca="1">IFERROR(__xludf.DUMMYFUNCTION("IFERROR(SUBSTITUTE(SUBSTITUTE(REGEXEXTRACT(A11845, ""[^-]+- [^-]+- [^-]+ - (.+?)\.jpg""), "".jpg"", """"), ""-"", "", ""), """")"),"")</f>
        <v/>
      </c>
      <c r="L11845" s="12"/>
      <c r="M11845" s="13"/>
      <c r="N11845" s="2"/>
      <c r="O11845" s="20"/>
      <c r="P11845" s="42"/>
      <c r="R11845" s="23"/>
    </row>
    <row r="11846" spans="1:18" ht="12.75">
      <c r="A11846" s="12"/>
      <c r="D11846" s="12"/>
      <c r="E11846" s="12"/>
      <c r="H11846" s="11" t="str">
        <f ca="1">IFERROR(__xludf.DUMMYFUNCTION("IFERROR(SUBSTITUTE(SUBSTITUTE(REGEXEXTRACT(A11846, ""[^-]+- [^-]+- [^-]+ - (.+?)\.jpg""), "".jpg"", """"), ""-"", "", ""), """")"),"")</f>
        <v/>
      </c>
      <c r="L11846" s="12"/>
      <c r="M11846" s="13"/>
      <c r="N11846" s="2"/>
      <c r="O11846" s="20"/>
      <c r="P11846" s="42"/>
      <c r="R11846" s="23"/>
    </row>
    <row r="11847" spans="1:18" ht="12.75">
      <c r="A11847" s="12"/>
      <c r="D11847" s="12"/>
      <c r="E11847" s="12"/>
      <c r="H11847" s="11" t="str">
        <f ca="1">IFERROR(__xludf.DUMMYFUNCTION("IFERROR(SUBSTITUTE(SUBSTITUTE(REGEXEXTRACT(A11847, ""[^-]+- [^-]+- [^-]+ - (.+?)\.jpg""), "".jpg"", """"), ""-"", "", ""), """")"),"")</f>
        <v/>
      </c>
      <c r="L11847" s="12"/>
      <c r="M11847" s="13"/>
      <c r="N11847" s="2"/>
      <c r="O11847" s="20"/>
      <c r="P11847" s="42"/>
      <c r="R11847" s="23"/>
    </row>
    <row r="11848" spans="1:18" ht="12.75">
      <c r="A11848" s="12"/>
      <c r="D11848" s="12"/>
      <c r="E11848" s="12"/>
      <c r="H11848" s="11" t="str">
        <f ca="1">IFERROR(__xludf.DUMMYFUNCTION("IFERROR(SUBSTITUTE(SUBSTITUTE(REGEXEXTRACT(A11848, ""[^-]+- [^-]+- [^-]+ - (.+?)\.jpg""), "".jpg"", """"), ""-"", "", ""), """")"),"")</f>
        <v/>
      </c>
      <c r="L11848" s="12"/>
      <c r="M11848" s="13"/>
      <c r="N11848" s="2"/>
      <c r="O11848" s="20"/>
      <c r="P11848" s="42"/>
      <c r="R11848" s="23"/>
    </row>
    <row r="11849" spans="1:18" ht="12.75">
      <c r="A11849" s="12"/>
      <c r="D11849" s="12"/>
      <c r="E11849" s="12"/>
      <c r="H11849" s="11" t="str">
        <f ca="1">IFERROR(__xludf.DUMMYFUNCTION("IFERROR(SUBSTITUTE(SUBSTITUTE(REGEXEXTRACT(A11849, ""[^-]+- [^-]+- [^-]+ - (.+?)\.jpg""), "".jpg"", """"), ""-"", "", ""), """")"),"")</f>
        <v/>
      </c>
      <c r="L11849" s="12"/>
      <c r="M11849" s="13"/>
      <c r="N11849" s="2"/>
      <c r="O11849" s="20"/>
      <c r="P11849" s="42"/>
      <c r="R11849" s="23"/>
    </row>
    <row r="11850" spans="1:18" ht="12.75">
      <c r="A11850" s="12"/>
      <c r="D11850" s="12"/>
      <c r="E11850" s="12"/>
      <c r="H11850" s="11" t="str">
        <f ca="1">IFERROR(__xludf.DUMMYFUNCTION("IFERROR(SUBSTITUTE(SUBSTITUTE(REGEXEXTRACT(A11850, ""[^-]+- [^-]+- [^-]+ - (.+?)\.jpg""), "".jpg"", """"), ""-"", "", ""), """")"),"")</f>
        <v/>
      </c>
      <c r="L11850" s="12"/>
      <c r="M11850" s="13"/>
      <c r="N11850" s="2"/>
      <c r="O11850" s="20"/>
      <c r="P11850" s="42"/>
      <c r="R11850" s="23"/>
    </row>
    <row r="11851" spans="1:18" ht="12.75">
      <c r="A11851" s="12"/>
      <c r="D11851" s="12"/>
      <c r="E11851" s="12"/>
      <c r="H11851" s="11" t="str">
        <f ca="1">IFERROR(__xludf.DUMMYFUNCTION("IFERROR(SUBSTITUTE(SUBSTITUTE(REGEXEXTRACT(A11851, ""[^-]+- [^-]+- [^-]+ - (.+?)\.jpg""), "".jpg"", """"), ""-"", "", ""), """")"),"")</f>
        <v/>
      </c>
      <c r="L11851" s="12"/>
      <c r="M11851" s="13"/>
      <c r="N11851" s="2"/>
      <c r="O11851" s="20"/>
      <c r="P11851" s="42"/>
      <c r="R11851" s="23"/>
    </row>
    <row r="11852" spans="1:18" ht="12.75">
      <c r="A11852" s="12"/>
      <c r="D11852" s="12"/>
      <c r="E11852" s="12"/>
      <c r="H11852" s="11" t="str">
        <f ca="1">IFERROR(__xludf.DUMMYFUNCTION("IFERROR(SUBSTITUTE(SUBSTITUTE(REGEXEXTRACT(A11852, ""[^-]+- [^-]+- [^-]+ - (.+?)\.jpg""), "".jpg"", """"), ""-"", "", ""), """")"),"")</f>
        <v/>
      </c>
      <c r="L11852" s="12"/>
      <c r="M11852" s="13"/>
      <c r="N11852" s="2"/>
      <c r="O11852" s="20"/>
      <c r="P11852" s="42"/>
      <c r="R11852" s="23"/>
    </row>
    <row r="11853" spans="1:18" ht="12.75">
      <c r="A11853" s="12"/>
      <c r="D11853" s="12"/>
      <c r="E11853" s="12"/>
      <c r="H11853" s="11" t="str">
        <f ca="1">IFERROR(__xludf.DUMMYFUNCTION("IFERROR(SUBSTITUTE(SUBSTITUTE(REGEXEXTRACT(A11853, ""[^-]+- [^-]+- [^-]+ - (.+?)\.jpg""), "".jpg"", """"), ""-"", "", ""), """")"),"")</f>
        <v/>
      </c>
      <c r="L11853" s="12"/>
      <c r="M11853" s="13"/>
      <c r="N11853" s="2"/>
      <c r="O11853" s="20"/>
      <c r="P11853" s="42"/>
      <c r="R11853" s="23"/>
    </row>
    <row r="11854" spans="1:18" ht="12.75">
      <c r="A11854" s="12"/>
      <c r="D11854" s="12"/>
      <c r="E11854" s="12"/>
      <c r="H11854" s="11" t="str">
        <f ca="1">IFERROR(__xludf.DUMMYFUNCTION("IFERROR(SUBSTITUTE(SUBSTITUTE(REGEXEXTRACT(A11854, ""[^-]+- [^-]+- [^-]+ - (.+?)\.jpg""), "".jpg"", """"), ""-"", "", ""), """")"),"")</f>
        <v/>
      </c>
      <c r="L11854" s="12"/>
      <c r="M11854" s="13"/>
      <c r="N11854" s="2"/>
      <c r="O11854" s="20"/>
      <c r="P11854" s="42"/>
      <c r="R11854" s="23"/>
    </row>
    <row r="11855" spans="1:18" ht="12.75">
      <c r="A11855" s="12"/>
      <c r="D11855" s="12"/>
      <c r="E11855" s="12"/>
      <c r="H11855" s="11" t="str">
        <f ca="1">IFERROR(__xludf.DUMMYFUNCTION("IFERROR(SUBSTITUTE(SUBSTITUTE(REGEXEXTRACT(A11855, ""[^-]+- [^-]+- [^-]+ - (.+?)\.jpg""), "".jpg"", """"), ""-"", "", ""), """")"),"")</f>
        <v/>
      </c>
      <c r="L11855" s="12"/>
      <c r="M11855" s="13"/>
      <c r="N11855" s="2"/>
      <c r="O11855" s="20"/>
      <c r="P11855" s="42"/>
      <c r="R11855" s="23"/>
    </row>
    <row r="11856" spans="1:18" ht="12.75">
      <c r="A11856" s="12"/>
      <c r="D11856" s="12"/>
      <c r="E11856" s="12"/>
      <c r="H11856" s="11" t="str">
        <f ca="1">IFERROR(__xludf.DUMMYFUNCTION("IFERROR(SUBSTITUTE(SUBSTITUTE(REGEXEXTRACT(A11856, ""[^-]+- [^-]+- [^-]+ - (.+?)\.jpg""), "".jpg"", """"), ""-"", "", ""), """")"),"")</f>
        <v/>
      </c>
      <c r="L11856" s="12"/>
      <c r="M11856" s="13"/>
      <c r="N11856" s="2"/>
      <c r="O11856" s="20"/>
      <c r="P11856" s="42"/>
      <c r="R11856" s="23"/>
    </row>
    <row r="11857" spans="1:18" ht="12.75">
      <c r="A11857" s="12"/>
      <c r="D11857" s="12"/>
      <c r="E11857" s="12"/>
      <c r="H11857" s="11" t="str">
        <f ca="1">IFERROR(__xludf.DUMMYFUNCTION("IFERROR(SUBSTITUTE(SUBSTITUTE(REGEXEXTRACT(A11857, ""[^-]+- [^-]+- [^-]+ - (.+?)\.jpg""), "".jpg"", """"), ""-"", "", ""), """")"),"")</f>
        <v/>
      </c>
      <c r="L11857" s="12"/>
      <c r="M11857" s="13"/>
      <c r="N11857" s="2"/>
      <c r="O11857" s="20"/>
      <c r="P11857" s="42"/>
      <c r="R11857" s="23"/>
    </row>
    <row r="11858" spans="1:18" ht="12.75">
      <c r="A11858" s="12"/>
      <c r="D11858" s="12"/>
      <c r="E11858" s="12"/>
      <c r="H11858" s="11" t="str">
        <f ca="1">IFERROR(__xludf.DUMMYFUNCTION("IFERROR(SUBSTITUTE(SUBSTITUTE(REGEXEXTRACT(A11858, ""[^-]+- [^-]+- [^-]+ - (.+?)\.jpg""), "".jpg"", """"), ""-"", "", ""), """")"),"")</f>
        <v/>
      </c>
      <c r="L11858" s="12"/>
      <c r="M11858" s="13"/>
      <c r="N11858" s="2"/>
      <c r="O11858" s="20"/>
      <c r="P11858" s="42"/>
      <c r="R11858" s="23"/>
    </row>
    <row r="11859" spans="1:18" ht="12.75">
      <c r="A11859" s="12"/>
      <c r="D11859" s="12"/>
      <c r="E11859" s="12"/>
      <c r="H11859" s="11" t="str">
        <f ca="1">IFERROR(__xludf.DUMMYFUNCTION("IFERROR(SUBSTITUTE(SUBSTITUTE(REGEXEXTRACT(A11859, ""[^-]+- [^-]+- [^-]+ - (.+?)\.jpg""), "".jpg"", """"), ""-"", "", ""), """")"),"")</f>
        <v/>
      </c>
      <c r="L11859" s="12"/>
      <c r="M11859" s="13"/>
      <c r="N11859" s="2"/>
      <c r="O11859" s="20"/>
      <c r="P11859" s="42"/>
      <c r="R11859" s="23"/>
    </row>
    <row r="11860" spans="1:18" ht="12.75">
      <c r="A11860" s="12"/>
      <c r="D11860" s="12"/>
      <c r="E11860" s="12"/>
      <c r="H11860" s="11" t="str">
        <f ca="1">IFERROR(__xludf.DUMMYFUNCTION("IFERROR(SUBSTITUTE(SUBSTITUTE(REGEXEXTRACT(A11860, ""[^-]+- [^-]+- [^-]+ - (.+?)\.jpg""), "".jpg"", """"), ""-"", "", ""), """")"),"")</f>
        <v/>
      </c>
      <c r="L11860" s="12"/>
      <c r="M11860" s="13"/>
      <c r="N11860" s="2"/>
      <c r="O11860" s="20"/>
      <c r="P11860" s="42"/>
      <c r="R11860" s="23"/>
    </row>
    <row r="11861" spans="1:18" ht="12.75">
      <c r="A11861" s="12"/>
      <c r="D11861" s="12"/>
      <c r="E11861" s="12"/>
      <c r="H11861" s="11" t="str">
        <f ca="1">IFERROR(__xludf.DUMMYFUNCTION("IFERROR(SUBSTITUTE(SUBSTITUTE(REGEXEXTRACT(A11861, ""[^-]+- [^-]+- [^-]+ - (.+?)\.jpg""), "".jpg"", """"), ""-"", "", ""), """")"),"")</f>
        <v/>
      </c>
      <c r="L11861" s="12"/>
      <c r="M11861" s="13"/>
      <c r="N11861" s="2"/>
      <c r="O11861" s="20"/>
      <c r="P11861" s="42"/>
      <c r="R11861" s="23"/>
    </row>
    <row r="11862" spans="1:18" ht="12.75">
      <c r="A11862" s="12"/>
      <c r="D11862" s="12"/>
      <c r="E11862" s="12"/>
      <c r="H11862" s="11" t="str">
        <f ca="1">IFERROR(__xludf.DUMMYFUNCTION("IFERROR(SUBSTITUTE(SUBSTITUTE(REGEXEXTRACT(A11862, ""[^-]+- [^-]+- [^-]+ - (.+?)\.jpg""), "".jpg"", """"), ""-"", "", ""), """")"),"")</f>
        <v/>
      </c>
      <c r="L11862" s="12"/>
      <c r="M11862" s="13"/>
      <c r="N11862" s="2"/>
      <c r="O11862" s="20"/>
      <c r="P11862" s="42"/>
      <c r="R11862" s="23"/>
    </row>
    <row r="11863" spans="1:18" ht="12.75">
      <c r="A11863" s="12"/>
      <c r="D11863" s="12"/>
      <c r="E11863" s="12"/>
      <c r="H11863" s="11" t="str">
        <f ca="1">IFERROR(__xludf.DUMMYFUNCTION("IFERROR(SUBSTITUTE(SUBSTITUTE(REGEXEXTRACT(A11863, ""[^-]+- [^-]+- [^-]+ - (.+?)\.jpg""), "".jpg"", """"), ""-"", "", ""), """")"),"")</f>
        <v/>
      </c>
      <c r="L11863" s="12"/>
      <c r="M11863" s="13"/>
      <c r="N11863" s="2"/>
      <c r="O11863" s="20"/>
      <c r="P11863" s="42"/>
      <c r="R11863" s="23"/>
    </row>
    <row r="11864" spans="1:18" ht="12.75">
      <c r="A11864" s="12"/>
      <c r="D11864" s="12"/>
      <c r="E11864" s="12"/>
      <c r="H11864" s="11" t="str">
        <f ca="1">IFERROR(__xludf.DUMMYFUNCTION("IFERROR(SUBSTITUTE(SUBSTITUTE(REGEXEXTRACT(A11864, ""[^-]+- [^-]+- [^-]+ - (.+?)\.jpg""), "".jpg"", """"), ""-"", "", ""), """")"),"")</f>
        <v/>
      </c>
      <c r="L11864" s="12"/>
      <c r="M11864" s="13"/>
      <c r="N11864" s="2"/>
      <c r="O11864" s="20"/>
      <c r="P11864" s="42"/>
      <c r="R11864" s="23"/>
    </row>
    <row r="11865" spans="1:18" ht="12.75">
      <c r="A11865" s="12"/>
      <c r="D11865" s="12"/>
      <c r="E11865" s="12"/>
      <c r="H11865" s="11" t="str">
        <f ca="1">IFERROR(__xludf.DUMMYFUNCTION("IFERROR(SUBSTITUTE(SUBSTITUTE(REGEXEXTRACT(A11865, ""[^-]+- [^-]+- [^-]+ - (.+?)\.jpg""), "".jpg"", """"), ""-"", "", ""), """")"),"")</f>
        <v/>
      </c>
      <c r="L11865" s="12"/>
      <c r="M11865" s="13"/>
      <c r="N11865" s="2"/>
      <c r="O11865" s="20"/>
      <c r="P11865" s="42"/>
      <c r="R11865" s="23"/>
    </row>
    <row r="11866" spans="1:18" ht="12.75">
      <c r="A11866" s="12"/>
      <c r="D11866" s="12"/>
      <c r="E11866" s="12"/>
      <c r="H11866" s="11" t="str">
        <f ca="1">IFERROR(__xludf.DUMMYFUNCTION("IFERROR(SUBSTITUTE(SUBSTITUTE(REGEXEXTRACT(A11866, ""[^-]+- [^-]+- [^-]+ - (.+?)\.jpg""), "".jpg"", """"), ""-"", "", ""), """")"),"")</f>
        <v/>
      </c>
      <c r="L11866" s="12"/>
      <c r="M11866" s="13"/>
      <c r="N11866" s="2"/>
      <c r="O11866" s="20"/>
      <c r="P11866" s="42"/>
      <c r="R11866" s="23"/>
    </row>
    <row r="11867" spans="1:18" ht="12.75">
      <c r="A11867" s="12"/>
      <c r="D11867" s="12"/>
      <c r="E11867" s="12"/>
      <c r="H11867" s="11" t="str">
        <f ca="1">IFERROR(__xludf.DUMMYFUNCTION("IFERROR(SUBSTITUTE(SUBSTITUTE(REGEXEXTRACT(A11867, ""[^-]+- [^-]+- [^-]+ - (.+?)\.jpg""), "".jpg"", """"), ""-"", "", ""), """")"),"")</f>
        <v/>
      </c>
      <c r="L11867" s="12"/>
      <c r="M11867" s="13"/>
      <c r="N11867" s="2"/>
      <c r="O11867" s="20"/>
      <c r="P11867" s="42"/>
      <c r="R11867" s="23"/>
    </row>
    <row r="11868" spans="1:18" ht="12.75">
      <c r="A11868" s="12"/>
      <c r="D11868" s="12"/>
      <c r="E11868" s="12"/>
      <c r="H11868" s="11" t="str">
        <f ca="1">IFERROR(__xludf.DUMMYFUNCTION("IFERROR(SUBSTITUTE(SUBSTITUTE(REGEXEXTRACT(A11868, ""[^-]+- [^-]+- [^-]+ - (.+?)\.jpg""), "".jpg"", """"), ""-"", "", ""), """")"),"")</f>
        <v/>
      </c>
      <c r="L11868" s="12"/>
      <c r="M11868" s="13"/>
      <c r="N11868" s="2"/>
      <c r="O11868" s="20"/>
      <c r="P11868" s="42"/>
      <c r="R11868" s="23"/>
    </row>
    <row r="11869" spans="1:18" ht="12.75">
      <c r="A11869" s="12"/>
      <c r="D11869" s="12"/>
      <c r="E11869" s="12"/>
      <c r="H11869" s="11" t="str">
        <f ca="1">IFERROR(__xludf.DUMMYFUNCTION("IFERROR(SUBSTITUTE(SUBSTITUTE(REGEXEXTRACT(A11869, ""[^-]+- [^-]+- [^-]+ - (.+?)\.jpg""), "".jpg"", """"), ""-"", "", ""), """")"),"")</f>
        <v/>
      </c>
      <c r="L11869" s="12"/>
      <c r="M11869" s="13"/>
      <c r="N11869" s="2"/>
      <c r="O11869" s="20"/>
      <c r="P11869" s="42"/>
      <c r="R11869" s="23"/>
    </row>
    <row r="11870" spans="1:18" ht="12.75">
      <c r="A11870" s="12"/>
      <c r="D11870" s="12"/>
      <c r="E11870" s="12"/>
      <c r="H11870" s="11" t="str">
        <f ca="1">IFERROR(__xludf.DUMMYFUNCTION("IFERROR(SUBSTITUTE(SUBSTITUTE(REGEXEXTRACT(A11870, ""[^-]+- [^-]+- [^-]+ - (.+?)\.jpg""), "".jpg"", """"), ""-"", "", ""), """")"),"")</f>
        <v/>
      </c>
      <c r="L11870" s="12"/>
      <c r="M11870" s="13"/>
      <c r="N11870" s="2"/>
      <c r="O11870" s="20"/>
      <c r="P11870" s="42"/>
      <c r="R11870" s="23"/>
    </row>
    <row r="11871" spans="1:18" ht="12.75">
      <c r="A11871" s="12"/>
      <c r="D11871" s="12"/>
      <c r="E11871" s="12"/>
      <c r="H11871" s="11" t="str">
        <f ca="1">IFERROR(__xludf.DUMMYFUNCTION("IFERROR(SUBSTITUTE(SUBSTITUTE(REGEXEXTRACT(A11871, ""[^-]+- [^-]+- [^-]+ - (.+?)\.jpg""), "".jpg"", """"), ""-"", "", ""), """")"),"")</f>
        <v/>
      </c>
      <c r="L11871" s="12"/>
      <c r="M11871" s="13"/>
      <c r="N11871" s="2"/>
      <c r="O11871" s="20"/>
      <c r="P11871" s="42"/>
      <c r="R11871" s="23"/>
    </row>
    <row r="11872" spans="1:18" ht="12.75">
      <c r="A11872" s="12"/>
      <c r="D11872" s="12"/>
      <c r="E11872" s="12"/>
      <c r="H11872" s="11" t="str">
        <f ca="1">IFERROR(__xludf.DUMMYFUNCTION("IFERROR(SUBSTITUTE(SUBSTITUTE(REGEXEXTRACT(A11872, ""[^-]+- [^-]+- [^-]+ - (.+?)\.jpg""), "".jpg"", """"), ""-"", "", ""), """")"),"")</f>
        <v/>
      </c>
      <c r="L11872" s="12"/>
      <c r="M11872" s="13"/>
      <c r="N11872" s="2"/>
      <c r="O11872" s="20"/>
      <c r="P11872" s="42"/>
      <c r="R11872" s="23"/>
    </row>
    <row r="11873" spans="1:18" ht="12.75">
      <c r="A11873" s="12"/>
      <c r="D11873" s="12"/>
      <c r="E11873" s="12"/>
      <c r="H11873" s="11" t="str">
        <f ca="1">IFERROR(__xludf.DUMMYFUNCTION("IFERROR(SUBSTITUTE(SUBSTITUTE(REGEXEXTRACT(A11873, ""[^-]+- [^-]+- [^-]+ - (.+?)\.jpg""), "".jpg"", """"), ""-"", "", ""), """")"),"")</f>
        <v/>
      </c>
      <c r="L11873" s="12"/>
      <c r="M11873" s="13"/>
      <c r="N11873" s="2"/>
      <c r="O11873" s="20"/>
      <c r="P11873" s="42"/>
      <c r="R11873" s="23"/>
    </row>
    <row r="11874" spans="1:18" ht="12.75">
      <c r="A11874" s="12"/>
      <c r="D11874" s="12"/>
      <c r="E11874" s="12"/>
      <c r="H11874" s="11" t="str">
        <f ca="1">IFERROR(__xludf.DUMMYFUNCTION("IFERROR(SUBSTITUTE(SUBSTITUTE(REGEXEXTRACT(A11874, ""[^-]+- [^-]+- [^-]+ - (.+?)\.jpg""), "".jpg"", """"), ""-"", "", ""), """")"),"")</f>
        <v/>
      </c>
      <c r="L11874" s="12"/>
      <c r="M11874" s="13"/>
      <c r="N11874" s="2"/>
      <c r="O11874" s="20"/>
      <c r="P11874" s="42"/>
      <c r="R11874" s="23"/>
    </row>
    <row r="11875" spans="1:18" ht="12.75">
      <c r="A11875" s="12"/>
      <c r="D11875" s="12"/>
      <c r="E11875" s="12"/>
      <c r="H11875" s="11" t="str">
        <f ca="1">IFERROR(__xludf.DUMMYFUNCTION("IFERROR(SUBSTITUTE(SUBSTITUTE(REGEXEXTRACT(A11875, ""[^-]+- [^-]+- [^-]+ - (.+?)\.jpg""), "".jpg"", """"), ""-"", "", ""), """")"),"")</f>
        <v/>
      </c>
      <c r="L11875" s="12"/>
      <c r="M11875" s="13"/>
      <c r="N11875" s="2"/>
      <c r="O11875" s="20"/>
      <c r="P11875" s="42"/>
      <c r="R11875" s="23"/>
    </row>
    <row r="11876" spans="1:18" ht="12.75">
      <c r="A11876" s="12"/>
      <c r="D11876" s="12"/>
      <c r="E11876" s="12"/>
      <c r="H11876" s="11" t="str">
        <f ca="1">IFERROR(__xludf.DUMMYFUNCTION("IFERROR(SUBSTITUTE(SUBSTITUTE(REGEXEXTRACT(A11876, ""[^-]+- [^-]+- [^-]+ - (.+?)\.jpg""), "".jpg"", """"), ""-"", "", ""), """")"),"")</f>
        <v/>
      </c>
      <c r="L11876" s="12"/>
      <c r="M11876" s="13"/>
      <c r="N11876" s="2"/>
      <c r="O11876" s="20"/>
      <c r="P11876" s="42"/>
      <c r="R11876" s="23"/>
    </row>
    <row r="11877" spans="1:18" ht="12.75">
      <c r="A11877" s="12"/>
      <c r="D11877" s="12"/>
      <c r="E11877" s="12"/>
      <c r="H11877" s="11" t="str">
        <f ca="1">IFERROR(__xludf.DUMMYFUNCTION("IFERROR(SUBSTITUTE(SUBSTITUTE(REGEXEXTRACT(A11877, ""[^-]+- [^-]+- [^-]+ - (.+?)\.jpg""), "".jpg"", """"), ""-"", "", ""), """")"),"")</f>
        <v/>
      </c>
      <c r="L11877" s="12"/>
      <c r="M11877" s="13"/>
      <c r="N11877" s="2"/>
      <c r="O11877" s="20"/>
      <c r="P11877" s="42"/>
      <c r="R11877" s="23"/>
    </row>
    <row r="11878" spans="1:18" ht="12.75">
      <c r="A11878" s="12"/>
      <c r="D11878" s="12"/>
      <c r="E11878" s="12"/>
      <c r="H11878" s="11" t="str">
        <f ca="1">IFERROR(__xludf.DUMMYFUNCTION("IFERROR(SUBSTITUTE(SUBSTITUTE(REGEXEXTRACT(A11878, ""[^-]+- [^-]+- [^-]+ - (.+?)\.jpg""), "".jpg"", """"), ""-"", "", ""), """")"),"")</f>
        <v/>
      </c>
      <c r="L11878" s="12"/>
      <c r="M11878" s="13"/>
      <c r="N11878" s="2"/>
      <c r="O11878" s="20"/>
      <c r="P11878" s="42"/>
      <c r="R11878" s="23"/>
    </row>
    <row r="11879" spans="1:18" ht="12.75">
      <c r="A11879" s="12"/>
      <c r="D11879" s="12"/>
      <c r="E11879" s="12"/>
      <c r="H11879" s="11" t="str">
        <f ca="1">IFERROR(__xludf.DUMMYFUNCTION("IFERROR(SUBSTITUTE(SUBSTITUTE(REGEXEXTRACT(A11879, ""[^-]+- [^-]+- [^-]+ - (.+?)\.jpg""), "".jpg"", """"), ""-"", "", ""), """")"),"")</f>
        <v/>
      </c>
      <c r="L11879" s="12"/>
      <c r="M11879" s="13"/>
      <c r="N11879" s="2"/>
      <c r="O11879" s="20"/>
      <c r="P11879" s="42"/>
      <c r="R11879" s="23"/>
    </row>
    <row r="11880" spans="1:18" ht="12.75">
      <c r="A11880" s="12"/>
      <c r="D11880" s="12"/>
      <c r="E11880" s="12"/>
      <c r="H11880" s="11" t="str">
        <f ca="1">IFERROR(__xludf.DUMMYFUNCTION("IFERROR(SUBSTITUTE(SUBSTITUTE(REGEXEXTRACT(A11880, ""[^-]+- [^-]+- [^-]+ - (.+?)\.jpg""), "".jpg"", """"), ""-"", "", ""), """")"),"")</f>
        <v/>
      </c>
      <c r="L11880" s="12"/>
      <c r="M11880" s="13"/>
      <c r="N11880" s="2"/>
      <c r="O11880" s="20"/>
      <c r="P11880" s="42"/>
      <c r="R11880" s="23"/>
    </row>
    <row r="11881" spans="1:18" ht="12.75">
      <c r="A11881" s="12"/>
      <c r="D11881" s="12"/>
      <c r="E11881" s="12"/>
      <c r="H11881" s="11" t="str">
        <f ca="1">IFERROR(__xludf.DUMMYFUNCTION("IFERROR(SUBSTITUTE(SUBSTITUTE(REGEXEXTRACT(A11881, ""[^-]+- [^-]+- [^-]+ - (.+?)\.jpg""), "".jpg"", """"), ""-"", "", ""), """")"),"")</f>
        <v/>
      </c>
      <c r="L11881" s="12"/>
      <c r="M11881" s="13"/>
      <c r="N11881" s="2"/>
      <c r="O11881" s="20"/>
      <c r="P11881" s="42"/>
      <c r="R11881" s="23"/>
    </row>
    <row r="11882" spans="1:18" ht="12.75">
      <c r="A11882" s="12"/>
      <c r="D11882" s="12"/>
      <c r="E11882" s="12"/>
      <c r="H11882" s="11" t="str">
        <f ca="1">IFERROR(__xludf.DUMMYFUNCTION("IFERROR(SUBSTITUTE(SUBSTITUTE(REGEXEXTRACT(A11882, ""[^-]+- [^-]+- [^-]+ - (.+?)\.jpg""), "".jpg"", """"), ""-"", "", ""), """")"),"")</f>
        <v/>
      </c>
      <c r="L11882" s="12"/>
      <c r="M11882" s="13"/>
      <c r="N11882" s="2"/>
      <c r="O11882" s="20"/>
      <c r="P11882" s="42"/>
      <c r="R11882" s="23"/>
    </row>
    <row r="11883" spans="1:18" ht="12.75">
      <c r="A11883" s="12"/>
      <c r="D11883" s="12"/>
      <c r="E11883" s="12"/>
      <c r="H11883" s="11" t="str">
        <f ca="1">IFERROR(__xludf.DUMMYFUNCTION("IFERROR(SUBSTITUTE(SUBSTITUTE(REGEXEXTRACT(A11883, ""[^-]+- [^-]+- [^-]+ - (.+?)\.jpg""), "".jpg"", """"), ""-"", "", ""), """")"),"")</f>
        <v/>
      </c>
      <c r="L11883" s="12"/>
      <c r="M11883" s="13"/>
      <c r="N11883" s="2"/>
      <c r="O11883" s="20"/>
      <c r="P11883" s="42"/>
      <c r="R11883" s="23"/>
    </row>
    <row r="11884" spans="1:18" ht="12.75">
      <c r="A11884" s="12"/>
      <c r="D11884" s="12"/>
      <c r="E11884" s="12"/>
      <c r="H11884" s="11" t="str">
        <f ca="1">IFERROR(__xludf.DUMMYFUNCTION("IFERROR(SUBSTITUTE(SUBSTITUTE(REGEXEXTRACT(A11884, ""[^-]+- [^-]+- [^-]+ - (.+?)\.jpg""), "".jpg"", """"), ""-"", "", ""), """")"),"")</f>
        <v/>
      </c>
      <c r="L11884" s="12"/>
      <c r="M11884" s="13"/>
      <c r="N11884" s="2"/>
      <c r="O11884" s="20"/>
      <c r="P11884" s="42"/>
      <c r="R11884" s="23"/>
    </row>
    <row r="11885" spans="1:18" ht="12.75">
      <c r="A11885" s="12"/>
      <c r="D11885" s="12"/>
      <c r="E11885" s="12"/>
      <c r="H11885" s="11" t="str">
        <f ca="1">IFERROR(__xludf.DUMMYFUNCTION("IFERROR(SUBSTITUTE(SUBSTITUTE(REGEXEXTRACT(A11885, ""[^-]+- [^-]+- [^-]+ - (.+?)\.jpg""), "".jpg"", """"), ""-"", "", ""), """")"),"")</f>
        <v/>
      </c>
      <c r="L11885" s="12"/>
      <c r="M11885" s="13"/>
      <c r="N11885" s="2"/>
      <c r="O11885" s="20"/>
      <c r="P11885" s="42"/>
      <c r="R11885" s="23"/>
    </row>
    <row r="11886" spans="1:18" ht="12.75">
      <c r="A11886" s="12"/>
      <c r="D11886" s="12"/>
      <c r="E11886" s="12"/>
      <c r="H11886" s="11" t="str">
        <f ca="1">IFERROR(__xludf.DUMMYFUNCTION("IFERROR(SUBSTITUTE(SUBSTITUTE(REGEXEXTRACT(A11886, ""[^-]+- [^-]+- [^-]+ - (.+?)\.jpg""), "".jpg"", """"), ""-"", "", ""), """")"),"")</f>
        <v/>
      </c>
      <c r="L11886" s="12"/>
      <c r="M11886" s="13"/>
      <c r="N11886" s="2"/>
      <c r="O11886" s="20"/>
      <c r="P11886" s="42"/>
      <c r="R11886" s="23"/>
    </row>
    <row r="11887" spans="1:18" ht="12.75">
      <c r="A11887" s="12"/>
      <c r="D11887" s="12"/>
      <c r="E11887" s="12"/>
      <c r="H11887" s="11" t="str">
        <f ca="1">IFERROR(__xludf.DUMMYFUNCTION("IFERROR(SUBSTITUTE(SUBSTITUTE(REGEXEXTRACT(A11887, ""[^-]+- [^-]+- [^-]+ - (.+?)\.jpg""), "".jpg"", """"), ""-"", "", ""), """")"),"")</f>
        <v/>
      </c>
      <c r="L11887" s="12"/>
      <c r="M11887" s="13"/>
      <c r="N11887" s="2"/>
      <c r="O11887" s="20"/>
      <c r="P11887" s="42"/>
      <c r="R11887" s="23"/>
    </row>
    <row r="11888" spans="1:18" ht="12.75">
      <c r="A11888" s="12"/>
      <c r="D11888" s="12"/>
      <c r="E11888" s="12"/>
      <c r="H11888" s="11" t="str">
        <f ca="1">IFERROR(__xludf.DUMMYFUNCTION("IFERROR(SUBSTITUTE(SUBSTITUTE(REGEXEXTRACT(A11888, ""[^-]+- [^-]+- [^-]+ - (.+?)\.jpg""), "".jpg"", """"), ""-"", "", ""), """")"),"")</f>
        <v/>
      </c>
      <c r="L11888" s="12"/>
      <c r="M11888" s="13"/>
      <c r="N11888" s="2"/>
      <c r="O11888" s="20"/>
      <c r="P11888" s="42"/>
      <c r="R11888" s="23"/>
    </row>
    <row r="11889" spans="1:18" ht="12.75">
      <c r="A11889" s="12"/>
      <c r="D11889" s="12"/>
      <c r="E11889" s="12"/>
      <c r="H11889" s="11" t="str">
        <f ca="1">IFERROR(__xludf.DUMMYFUNCTION("IFERROR(SUBSTITUTE(SUBSTITUTE(REGEXEXTRACT(A11889, ""[^-]+- [^-]+- [^-]+ - (.+?)\.jpg""), "".jpg"", """"), ""-"", "", ""), """")"),"")</f>
        <v/>
      </c>
      <c r="L11889" s="12"/>
      <c r="M11889" s="13"/>
      <c r="N11889" s="2"/>
      <c r="O11889" s="20"/>
      <c r="P11889" s="42"/>
      <c r="R11889" s="23"/>
    </row>
    <row r="11890" spans="1:18" ht="12.75">
      <c r="A11890" s="12"/>
      <c r="D11890" s="12"/>
      <c r="E11890" s="12"/>
      <c r="H11890" s="11" t="str">
        <f ca="1">IFERROR(__xludf.DUMMYFUNCTION("IFERROR(SUBSTITUTE(SUBSTITUTE(REGEXEXTRACT(A11890, ""[^-]+- [^-]+- [^-]+ - (.+?)\.jpg""), "".jpg"", """"), ""-"", "", ""), """")"),"")</f>
        <v/>
      </c>
      <c r="L11890" s="12"/>
      <c r="M11890" s="13"/>
      <c r="N11890" s="2"/>
      <c r="O11890" s="20"/>
      <c r="P11890" s="42"/>
      <c r="R11890" s="23"/>
    </row>
    <row r="11891" spans="1:18" ht="12.75">
      <c r="A11891" s="12"/>
      <c r="D11891" s="12"/>
      <c r="E11891" s="12"/>
      <c r="H11891" s="11" t="str">
        <f ca="1">IFERROR(__xludf.DUMMYFUNCTION("IFERROR(SUBSTITUTE(SUBSTITUTE(REGEXEXTRACT(A11891, ""[^-]+- [^-]+- [^-]+ - (.+?)\.jpg""), "".jpg"", """"), ""-"", "", ""), """")"),"")</f>
        <v/>
      </c>
      <c r="L11891" s="12"/>
      <c r="M11891" s="13"/>
      <c r="N11891" s="2"/>
      <c r="O11891" s="20"/>
      <c r="P11891" s="42"/>
      <c r="R11891" s="23"/>
    </row>
    <row r="11892" spans="1:18" ht="12.75">
      <c r="A11892" s="12"/>
      <c r="D11892" s="12"/>
      <c r="E11892" s="12"/>
      <c r="H11892" s="11" t="str">
        <f ca="1">IFERROR(__xludf.DUMMYFUNCTION("IFERROR(SUBSTITUTE(SUBSTITUTE(REGEXEXTRACT(A11892, ""[^-]+- [^-]+- [^-]+ - (.+?)\.jpg""), "".jpg"", """"), ""-"", "", ""), """")"),"")</f>
        <v/>
      </c>
      <c r="L11892" s="12"/>
      <c r="M11892" s="13"/>
      <c r="N11892" s="2"/>
      <c r="O11892" s="20"/>
      <c r="P11892" s="42"/>
      <c r="R11892" s="23"/>
    </row>
    <row r="11893" spans="1:18" ht="12.75">
      <c r="A11893" s="12"/>
      <c r="D11893" s="12"/>
      <c r="E11893" s="12"/>
      <c r="H11893" s="11" t="str">
        <f ca="1">IFERROR(__xludf.DUMMYFUNCTION("IFERROR(SUBSTITUTE(SUBSTITUTE(REGEXEXTRACT(A11893, ""[^-]+- [^-]+- [^-]+ - (.+?)\.jpg""), "".jpg"", """"), ""-"", "", ""), """")"),"")</f>
        <v/>
      </c>
      <c r="L11893" s="12"/>
      <c r="M11893" s="13"/>
      <c r="N11893" s="2"/>
      <c r="O11893" s="20"/>
      <c r="P11893" s="42"/>
      <c r="R11893" s="23"/>
    </row>
    <row r="11894" spans="1:18" ht="12.75">
      <c r="A11894" s="12"/>
      <c r="D11894" s="12"/>
      <c r="E11894" s="12"/>
      <c r="H11894" s="11" t="str">
        <f ca="1">IFERROR(__xludf.DUMMYFUNCTION("IFERROR(SUBSTITUTE(SUBSTITUTE(REGEXEXTRACT(A11894, ""[^-]+- [^-]+- [^-]+ - (.+?)\.jpg""), "".jpg"", """"), ""-"", "", ""), """")"),"")</f>
        <v/>
      </c>
      <c r="L11894" s="12"/>
      <c r="M11894" s="13"/>
      <c r="N11894" s="2"/>
      <c r="O11894" s="20"/>
      <c r="P11894" s="42"/>
      <c r="R11894" s="23"/>
    </row>
    <row r="11895" spans="1:18" ht="12.75">
      <c r="A11895" s="12"/>
      <c r="D11895" s="12"/>
      <c r="E11895" s="12"/>
      <c r="H11895" s="11" t="str">
        <f ca="1">IFERROR(__xludf.DUMMYFUNCTION("IFERROR(SUBSTITUTE(SUBSTITUTE(REGEXEXTRACT(A11895, ""[^-]+- [^-]+- [^-]+ - (.+?)\.jpg""), "".jpg"", """"), ""-"", "", ""), """")"),"")</f>
        <v/>
      </c>
      <c r="L11895" s="12"/>
      <c r="M11895" s="13"/>
      <c r="N11895" s="2"/>
      <c r="O11895" s="20"/>
      <c r="P11895" s="42"/>
      <c r="R11895" s="23"/>
    </row>
    <row r="11896" spans="1:18" ht="12.75">
      <c r="A11896" s="12"/>
      <c r="D11896" s="12"/>
      <c r="E11896" s="12"/>
      <c r="H11896" s="11" t="str">
        <f ca="1">IFERROR(__xludf.DUMMYFUNCTION("IFERROR(SUBSTITUTE(SUBSTITUTE(REGEXEXTRACT(A11896, ""[^-]+- [^-]+- [^-]+ - (.+?)\.jpg""), "".jpg"", """"), ""-"", "", ""), """")"),"")</f>
        <v/>
      </c>
      <c r="L11896" s="12"/>
      <c r="M11896" s="13"/>
      <c r="N11896" s="2"/>
      <c r="O11896" s="20"/>
      <c r="P11896" s="42"/>
      <c r="R11896" s="23"/>
    </row>
    <row r="11897" spans="1:18" ht="12.75">
      <c r="A11897" s="12"/>
      <c r="D11897" s="12"/>
      <c r="E11897" s="12"/>
      <c r="H11897" s="11" t="str">
        <f ca="1">IFERROR(__xludf.DUMMYFUNCTION("IFERROR(SUBSTITUTE(SUBSTITUTE(REGEXEXTRACT(A11897, ""[^-]+- [^-]+- [^-]+ - (.+?)\.jpg""), "".jpg"", """"), ""-"", "", ""), """")"),"")</f>
        <v/>
      </c>
      <c r="L11897" s="12"/>
      <c r="M11897" s="13"/>
      <c r="N11897" s="2"/>
      <c r="O11897" s="20"/>
      <c r="P11897" s="42"/>
      <c r="R11897" s="23"/>
    </row>
    <row r="11898" spans="1:18" ht="12.75">
      <c r="A11898" s="12"/>
      <c r="D11898" s="12"/>
      <c r="E11898" s="12"/>
      <c r="H11898" s="11" t="str">
        <f ca="1">IFERROR(__xludf.DUMMYFUNCTION("IFERROR(SUBSTITUTE(SUBSTITUTE(REGEXEXTRACT(A11898, ""[^-]+- [^-]+- [^-]+ - (.+?)\.jpg""), "".jpg"", """"), ""-"", "", ""), """")"),"")</f>
        <v/>
      </c>
      <c r="L11898" s="12"/>
      <c r="M11898" s="13"/>
      <c r="N11898" s="2"/>
      <c r="O11898" s="20"/>
      <c r="P11898" s="42"/>
      <c r="R11898" s="23"/>
    </row>
    <row r="11899" spans="1:18" ht="12.75">
      <c r="A11899" s="12"/>
      <c r="D11899" s="12"/>
      <c r="E11899" s="12"/>
      <c r="H11899" s="11" t="str">
        <f ca="1">IFERROR(__xludf.DUMMYFUNCTION("IFERROR(SUBSTITUTE(SUBSTITUTE(REGEXEXTRACT(A11899, ""[^-]+- [^-]+- [^-]+ - (.+?)\.jpg""), "".jpg"", """"), ""-"", "", ""), """")"),"")</f>
        <v/>
      </c>
      <c r="L11899" s="12"/>
      <c r="M11899" s="13"/>
      <c r="N11899" s="2"/>
      <c r="O11899" s="20"/>
      <c r="P11899" s="42"/>
      <c r="R11899" s="23"/>
    </row>
    <row r="11900" spans="1:18" ht="12.75">
      <c r="A11900" s="12"/>
      <c r="D11900" s="12"/>
      <c r="E11900" s="12"/>
      <c r="H11900" s="11" t="str">
        <f ca="1">IFERROR(__xludf.DUMMYFUNCTION("IFERROR(SUBSTITUTE(SUBSTITUTE(REGEXEXTRACT(A11900, ""[^-]+- [^-]+- [^-]+ - (.+?)\.jpg""), "".jpg"", """"), ""-"", "", ""), """")"),"")</f>
        <v/>
      </c>
      <c r="L11900" s="12"/>
      <c r="M11900" s="13"/>
      <c r="N11900" s="2"/>
      <c r="O11900" s="20"/>
      <c r="P11900" s="42"/>
      <c r="R11900" s="23"/>
    </row>
    <row r="11901" spans="1:18" ht="12.75">
      <c r="A11901" s="12"/>
      <c r="D11901" s="12"/>
      <c r="E11901" s="12"/>
      <c r="H11901" s="11" t="str">
        <f ca="1">IFERROR(__xludf.DUMMYFUNCTION("IFERROR(SUBSTITUTE(SUBSTITUTE(REGEXEXTRACT(A11901, ""[^-]+- [^-]+- [^-]+ - (.+?)\.jpg""), "".jpg"", """"), ""-"", "", ""), """")"),"")</f>
        <v/>
      </c>
      <c r="L11901" s="12"/>
      <c r="M11901" s="13"/>
      <c r="N11901" s="2"/>
      <c r="O11901" s="20"/>
      <c r="P11901" s="42"/>
      <c r="R11901" s="23"/>
    </row>
    <row r="11902" spans="1:18" ht="12.75">
      <c r="A11902" s="12"/>
      <c r="D11902" s="12"/>
      <c r="E11902" s="12"/>
      <c r="H11902" s="11" t="str">
        <f ca="1">IFERROR(__xludf.DUMMYFUNCTION("IFERROR(SUBSTITUTE(SUBSTITUTE(REGEXEXTRACT(A11902, ""[^-]+- [^-]+- [^-]+ - (.+?)\.jpg""), "".jpg"", """"), ""-"", "", ""), """")"),"")</f>
        <v/>
      </c>
      <c r="L11902" s="12"/>
      <c r="M11902" s="13"/>
      <c r="N11902" s="2"/>
      <c r="O11902" s="20"/>
      <c r="P11902" s="42"/>
      <c r="R11902" s="23"/>
    </row>
    <row r="11903" spans="1:18" ht="12.75">
      <c r="A11903" s="12"/>
      <c r="D11903" s="12"/>
      <c r="E11903" s="12"/>
      <c r="H11903" s="11" t="str">
        <f ca="1">IFERROR(__xludf.DUMMYFUNCTION("IFERROR(SUBSTITUTE(SUBSTITUTE(REGEXEXTRACT(A11903, ""[^-]+- [^-]+- [^-]+ - (.+?)\.jpg""), "".jpg"", """"), ""-"", "", ""), """")"),"")</f>
        <v/>
      </c>
      <c r="L11903" s="12"/>
      <c r="M11903" s="13"/>
      <c r="N11903" s="2"/>
      <c r="O11903" s="20"/>
      <c r="P11903" s="42"/>
      <c r="R11903" s="23"/>
    </row>
    <row r="11904" spans="1:18" ht="12.75">
      <c r="A11904" s="12"/>
      <c r="D11904" s="12"/>
      <c r="E11904" s="12"/>
      <c r="H11904" s="11" t="str">
        <f ca="1">IFERROR(__xludf.DUMMYFUNCTION("IFERROR(SUBSTITUTE(SUBSTITUTE(REGEXEXTRACT(A11904, ""[^-]+- [^-]+- [^-]+ - (.+?)\.jpg""), "".jpg"", """"), ""-"", "", ""), """")"),"")</f>
        <v/>
      </c>
      <c r="L11904" s="12"/>
      <c r="M11904" s="13"/>
      <c r="N11904" s="2"/>
      <c r="O11904" s="20"/>
      <c r="P11904" s="42"/>
      <c r="R11904" s="23"/>
    </row>
    <row r="11905" spans="1:18" ht="12.75">
      <c r="A11905" s="12"/>
      <c r="D11905" s="12"/>
      <c r="E11905" s="12"/>
      <c r="H11905" s="11" t="str">
        <f ca="1">IFERROR(__xludf.DUMMYFUNCTION("IFERROR(SUBSTITUTE(SUBSTITUTE(REGEXEXTRACT(A11905, ""[^-]+- [^-]+- [^-]+ - (.+?)\.jpg""), "".jpg"", """"), ""-"", "", ""), """")"),"")</f>
        <v/>
      </c>
      <c r="L11905" s="12"/>
      <c r="M11905" s="13"/>
      <c r="N11905" s="2"/>
      <c r="O11905" s="20"/>
      <c r="P11905" s="42"/>
      <c r="R11905" s="23"/>
    </row>
    <row r="11906" spans="1:18" ht="12.75">
      <c r="A11906" s="12"/>
      <c r="D11906" s="12"/>
      <c r="E11906" s="12"/>
      <c r="H11906" s="11" t="str">
        <f ca="1">IFERROR(__xludf.DUMMYFUNCTION("IFERROR(SUBSTITUTE(SUBSTITUTE(REGEXEXTRACT(A11906, ""[^-]+- [^-]+- [^-]+ - (.+?)\.jpg""), "".jpg"", """"), ""-"", "", ""), """")"),"")</f>
        <v/>
      </c>
      <c r="L11906" s="12"/>
      <c r="M11906" s="13"/>
      <c r="N11906" s="2"/>
      <c r="O11906" s="20"/>
      <c r="P11906" s="42"/>
      <c r="R11906" s="23"/>
    </row>
    <row r="11907" spans="1:18" ht="12.75">
      <c r="A11907" s="12"/>
      <c r="D11907" s="12"/>
      <c r="E11907" s="12"/>
      <c r="H11907" s="11" t="str">
        <f ca="1">IFERROR(__xludf.DUMMYFUNCTION("IFERROR(SUBSTITUTE(SUBSTITUTE(REGEXEXTRACT(A11907, ""[^-]+- [^-]+- [^-]+ - (.+?)\.jpg""), "".jpg"", """"), ""-"", "", ""), """")"),"")</f>
        <v/>
      </c>
      <c r="L11907" s="12"/>
      <c r="M11907" s="13"/>
      <c r="N11907" s="2"/>
      <c r="O11907" s="20"/>
      <c r="P11907" s="42"/>
      <c r="R11907" s="23"/>
    </row>
    <row r="11908" spans="1:18" ht="12.75">
      <c r="A11908" s="12"/>
      <c r="D11908" s="12"/>
      <c r="E11908" s="12"/>
      <c r="H11908" s="11" t="str">
        <f ca="1">IFERROR(__xludf.DUMMYFUNCTION("IFERROR(SUBSTITUTE(SUBSTITUTE(REGEXEXTRACT(A11908, ""[^-]+- [^-]+- [^-]+ - (.+?)\.jpg""), "".jpg"", """"), ""-"", "", ""), """")"),"")</f>
        <v/>
      </c>
      <c r="L11908" s="12"/>
      <c r="M11908" s="13"/>
      <c r="N11908" s="2"/>
      <c r="O11908" s="20"/>
      <c r="P11908" s="42"/>
      <c r="R11908" s="23"/>
    </row>
    <row r="11909" spans="1:18" ht="12.75">
      <c r="A11909" s="12"/>
      <c r="D11909" s="12"/>
      <c r="E11909" s="12"/>
      <c r="H11909" s="11" t="str">
        <f ca="1">IFERROR(__xludf.DUMMYFUNCTION("IFERROR(SUBSTITUTE(SUBSTITUTE(REGEXEXTRACT(A11909, ""[^-]+- [^-]+- [^-]+ - (.+?)\.jpg""), "".jpg"", """"), ""-"", "", ""), """")"),"")</f>
        <v/>
      </c>
      <c r="L11909" s="12"/>
      <c r="M11909" s="13"/>
      <c r="N11909" s="2"/>
      <c r="O11909" s="20"/>
      <c r="P11909" s="42"/>
      <c r="R11909" s="23"/>
    </row>
    <row r="11910" spans="1:18" ht="12.75">
      <c r="A11910" s="12"/>
      <c r="D11910" s="12"/>
      <c r="E11910" s="12"/>
      <c r="H11910" s="11" t="str">
        <f ca="1">IFERROR(__xludf.DUMMYFUNCTION("IFERROR(SUBSTITUTE(SUBSTITUTE(REGEXEXTRACT(A11910, ""[^-]+- [^-]+- [^-]+ - (.+?)\.jpg""), "".jpg"", """"), ""-"", "", ""), """")"),"")</f>
        <v/>
      </c>
      <c r="L11910" s="12"/>
      <c r="M11910" s="13"/>
      <c r="N11910" s="2"/>
      <c r="O11910" s="20"/>
      <c r="P11910" s="42"/>
      <c r="R11910" s="23"/>
    </row>
    <row r="11911" spans="1:18" ht="12.75">
      <c r="A11911" s="12"/>
      <c r="D11911" s="12"/>
      <c r="E11911" s="12"/>
      <c r="H11911" s="11" t="str">
        <f ca="1">IFERROR(__xludf.DUMMYFUNCTION("IFERROR(SUBSTITUTE(SUBSTITUTE(REGEXEXTRACT(A11911, ""[^-]+- [^-]+- [^-]+ - (.+?)\.jpg""), "".jpg"", """"), ""-"", "", ""), """")"),"")</f>
        <v/>
      </c>
      <c r="L11911" s="12"/>
      <c r="M11911" s="13"/>
      <c r="N11911" s="2"/>
      <c r="O11911" s="20"/>
      <c r="P11911" s="42"/>
      <c r="R11911" s="23"/>
    </row>
    <row r="11912" spans="1:18" ht="12.75">
      <c r="A11912" s="12"/>
      <c r="D11912" s="12"/>
      <c r="E11912" s="12"/>
      <c r="H11912" s="11" t="str">
        <f ca="1">IFERROR(__xludf.DUMMYFUNCTION("IFERROR(SUBSTITUTE(SUBSTITUTE(REGEXEXTRACT(A11912, ""[^-]+- [^-]+- [^-]+ - (.+?)\.jpg""), "".jpg"", """"), ""-"", "", ""), """")"),"")</f>
        <v/>
      </c>
      <c r="L11912" s="12"/>
      <c r="M11912" s="13"/>
      <c r="N11912" s="2"/>
      <c r="O11912" s="20"/>
      <c r="P11912" s="42"/>
      <c r="R11912" s="23"/>
    </row>
    <row r="11913" spans="1:18" ht="12.75">
      <c r="A11913" s="12"/>
      <c r="D11913" s="12"/>
      <c r="E11913" s="12"/>
      <c r="H11913" s="11" t="str">
        <f ca="1">IFERROR(__xludf.DUMMYFUNCTION("IFERROR(SUBSTITUTE(SUBSTITUTE(REGEXEXTRACT(A11913, ""[^-]+- [^-]+- [^-]+ - (.+?)\.jpg""), "".jpg"", """"), ""-"", "", ""), """")"),"")</f>
        <v/>
      </c>
      <c r="L11913" s="12"/>
      <c r="M11913" s="13"/>
      <c r="N11913" s="2"/>
      <c r="O11913" s="20"/>
      <c r="P11913" s="42"/>
      <c r="R11913" s="23"/>
    </row>
    <row r="11914" spans="1:18" ht="12.75">
      <c r="A11914" s="12"/>
      <c r="D11914" s="12"/>
      <c r="E11914" s="12"/>
      <c r="H11914" s="11" t="str">
        <f ca="1">IFERROR(__xludf.DUMMYFUNCTION("IFERROR(SUBSTITUTE(SUBSTITUTE(REGEXEXTRACT(A11914, ""[^-]+- [^-]+- [^-]+ - (.+?)\.jpg""), "".jpg"", """"), ""-"", "", ""), """")"),"")</f>
        <v/>
      </c>
      <c r="L11914" s="12"/>
      <c r="M11914" s="13"/>
      <c r="N11914" s="2"/>
      <c r="O11914" s="20"/>
      <c r="P11914" s="42"/>
      <c r="R11914" s="23"/>
    </row>
    <row r="11915" spans="1:18" ht="12.75">
      <c r="A11915" s="12"/>
      <c r="D11915" s="12"/>
      <c r="E11915" s="12"/>
      <c r="H11915" s="11" t="str">
        <f ca="1">IFERROR(__xludf.DUMMYFUNCTION("IFERROR(SUBSTITUTE(SUBSTITUTE(REGEXEXTRACT(A11915, ""[^-]+- [^-]+- [^-]+ - (.+?)\.jpg""), "".jpg"", """"), ""-"", "", ""), """")"),"")</f>
        <v/>
      </c>
      <c r="L11915" s="12"/>
      <c r="M11915" s="13"/>
      <c r="N11915" s="2"/>
      <c r="O11915" s="20"/>
      <c r="P11915" s="42"/>
      <c r="R11915" s="23"/>
    </row>
    <row r="11916" spans="1:18" ht="12.75">
      <c r="A11916" s="12"/>
      <c r="D11916" s="12"/>
      <c r="E11916" s="12"/>
      <c r="H11916" s="11" t="str">
        <f ca="1">IFERROR(__xludf.DUMMYFUNCTION("IFERROR(SUBSTITUTE(SUBSTITUTE(REGEXEXTRACT(A11916, ""[^-]+- [^-]+- [^-]+ - (.+?)\.jpg""), "".jpg"", """"), ""-"", "", ""), """")"),"")</f>
        <v/>
      </c>
      <c r="L11916" s="12"/>
      <c r="M11916" s="13"/>
      <c r="N11916" s="2"/>
      <c r="O11916" s="20"/>
      <c r="P11916" s="42"/>
      <c r="R11916" s="23"/>
    </row>
    <row r="11917" spans="1:18" ht="12.75">
      <c r="A11917" s="12"/>
      <c r="D11917" s="12"/>
      <c r="E11917" s="12"/>
      <c r="H11917" s="11" t="str">
        <f ca="1">IFERROR(__xludf.DUMMYFUNCTION("IFERROR(SUBSTITUTE(SUBSTITUTE(REGEXEXTRACT(A11917, ""[^-]+- [^-]+- [^-]+ - (.+?)\.jpg""), "".jpg"", """"), ""-"", "", ""), """")"),"")</f>
        <v/>
      </c>
      <c r="L11917" s="12"/>
      <c r="M11917" s="13"/>
      <c r="N11917" s="2"/>
      <c r="O11917" s="20"/>
      <c r="P11917" s="42"/>
      <c r="R11917" s="23"/>
    </row>
    <row r="11918" spans="1:18" ht="12.75">
      <c r="A11918" s="12"/>
      <c r="D11918" s="12"/>
      <c r="E11918" s="12"/>
      <c r="H11918" s="11" t="str">
        <f ca="1">IFERROR(__xludf.DUMMYFUNCTION("IFERROR(SUBSTITUTE(SUBSTITUTE(REGEXEXTRACT(A11918, ""[^-]+- [^-]+- [^-]+ - (.+?)\.jpg""), "".jpg"", """"), ""-"", "", ""), """")"),"")</f>
        <v/>
      </c>
      <c r="L11918" s="12"/>
      <c r="M11918" s="13"/>
      <c r="N11918" s="2"/>
      <c r="O11918" s="20"/>
      <c r="P11918" s="42"/>
      <c r="R11918" s="23"/>
    </row>
    <row r="11919" spans="1:18" ht="12.75">
      <c r="A11919" s="12"/>
      <c r="D11919" s="12"/>
      <c r="E11919" s="12"/>
      <c r="H11919" s="11" t="str">
        <f ca="1">IFERROR(__xludf.DUMMYFUNCTION("IFERROR(SUBSTITUTE(SUBSTITUTE(REGEXEXTRACT(A11919, ""[^-]+- [^-]+- [^-]+ - (.+?)\.jpg""), "".jpg"", """"), ""-"", "", ""), """")"),"")</f>
        <v/>
      </c>
      <c r="L11919" s="12"/>
      <c r="M11919" s="13"/>
      <c r="N11919" s="2"/>
      <c r="O11919" s="20"/>
      <c r="P11919" s="42"/>
      <c r="R11919" s="23"/>
    </row>
    <row r="11920" spans="1:18" ht="12.75">
      <c r="A11920" s="12"/>
      <c r="D11920" s="12"/>
      <c r="E11920" s="12"/>
      <c r="H11920" s="11" t="str">
        <f ca="1">IFERROR(__xludf.DUMMYFUNCTION("IFERROR(SUBSTITUTE(SUBSTITUTE(REGEXEXTRACT(A11920, ""[^-]+- [^-]+- [^-]+ - (.+?)\.jpg""), "".jpg"", """"), ""-"", "", ""), """")"),"")</f>
        <v/>
      </c>
      <c r="L11920" s="12"/>
      <c r="M11920" s="13"/>
      <c r="N11920" s="2"/>
      <c r="O11920" s="20"/>
      <c r="P11920" s="42"/>
      <c r="R11920" s="23"/>
    </row>
    <row r="11921" spans="1:18" ht="12.75">
      <c r="A11921" s="12"/>
      <c r="D11921" s="12"/>
      <c r="E11921" s="12"/>
      <c r="H11921" s="11" t="str">
        <f ca="1">IFERROR(__xludf.DUMMYFUNCTION("IFERROR(SUBSTITUTE(SUBSTITUTE(REGEXEXTRACT(A11921, ""[^-]+- [^-]+- [^-]+ - (.+?)\.jpg""), "".jpg"", """"), ""-"", "", ""), """")"),"")</f>
        <v/>
      </c>
      <c r="L11921" s="12"/>
      <c r="M11921" s="13"/>
      <c r="N11921" s="2"/>
      <c r="O11921" s="20"/>
      <c r="P11921" s="42"/>
      <c r="R11921" s="23"/>
    </row>
    <row r="11922" spans="1:18" ht="12.75">
      <c r="A11922" s="12"/>
      <c r="D11922" s="12"/>
      <c r="E11922" s="12"/>
      <c r="H11922" s="11" t="str">
        <f ca="1">IFERROR(__xludf.DUMMYFUNCTION("IFERROR(SUBSTITUTE(SUBSTITUTE(REGEXEXTRACT(A11922, ""[^-]+- [^-]+- [^-]+ - (.+?)\.jpg""), "".jpg"", """"), ""-"", "", ""), """")"),"")</f>
        <v/>
      </c>
      <c r="L11922" s="12"/>
      <c r="M11922" s="13"/>
      <c r="N11922" s="2"/>
      <c r="O11922" s="20"/>
      <c r="P11922" s="42"/>
      <c r="R11922" s="23"/>
    </row>
    <row r="11923" spans="1:18" ht="12.75">
      <c r="A11923" s="12"/>
      <c r="D11923" s="12"/>
      <c r="E11923" s="12"/>
      <c r="H11923" s="11" t="str">
        <f ca="1">IFERROR(__xludf.DUMMYFUNCTION("IFERROR(SUBSTITUTE(SUBSTITUTE(REGEXEXTRACT(A11923, ""[^-]+- [^-]+- [^-]+ - (.+?)\.jpg""), "".jpg"", """"), ""-"", "", ""), """")"),"")</f>
        <v/>
      </c>
      <c r="L11923" s="12"/>
      <c r="M11923" s="13"/>
      <c r="N11923" s="2"/>
      <c r="O11923" s="20"/>
      <c r="P11923" s="42"/>
      <c r="R11923" s="23"/>
    </row>
    <row r="11924" spans="1:18" ht="12.75">
      <c r="A11924" s="12"/>
      <c r="D11924" s="12"/>
      <c r="E11924" s="12"/>
      <c r="H11924" s="11" t="str">
        <f ca="1">IFERROR(__xludf.DUMMYFUNCTION("IFERROR(SUBSTITUTE(SUBSTITUTE(REGEXEXTRACT(A11924, ""[^-]+- [^-]+- [^-]+ - (.+?)\.jpg""), "".jpg"", """"), ""-"", "", ""), """")"),"")</f>
        <v/>
      </c>
      <c r="L11924" s="12"/>
      <c r="M11924" s="13"/>
      <c r="N11924" s="2"/>
      <c r="O11924" s="20"/>
      <c r="P11924" s="42"/>
      <c r="R11924" s="23"/>
    </row>
    <row r="11925" spans="1:18" ht="12.75">
      <c r="A11925" s="12"/>
      <c r="D11925" s="12"/>
      <c r="E11925" s="12"/>
      <c r="H11925" s="11" t="str">
        <f ca="1">IFERROR(__xludf.DUMMYFUNCTION("IFERROR(SUBSTITUTE(SUBSTITUTE(REGEXEXTRACT(A11925, ""[^-]+- [^-]+- [^-]+ - (.+?)\.jpg""), "".jpg"", """"), ""-"", "", ""), """")"),"")</f>
        <v/>
      </c>
      <c r="L11925" s="12"/>
      <c r="M11925" s="13"/>
      <c r="N11925" s="2"/>
      <c r="O11925" s="20"/>
      <c r="P11925" s="42"/>
      <c r="R11925" s="23"/>
    </row>
    <row r="11926" spans="1:18" ht="12.75">
      <c r="A11926" s="12"/>
      <c r="D11926" s="12"/>
      <c r="E11926" s="12"/>
      <c r="H11926" s="11" t="str">
        <f ca="1">IFERROR(__xludf.DUMMYFUNCTION("IFERROR(SUBSTITUTE(SUBSTITUTE(REGEXEXTRACT(A11926, ""[^-]+- [^-]+- [^-]+ - (.+?)\.jpg""), "".jpg"", """"), ""-"", "", ""), """")"),"")</f>
        <v/>
      </c>
      <c r="L11926" s="12"/>
      <c r="M11926" s="13"/>
      <c r="N11926" s="2"/>
      <c r="O11926" s="20"/>
      <c r="P11926" s="42"/>
      <c r="R11926" s="23"/>
    </row>
    <row r="11927" spans="1:18" ht="12.75">
      <c r="A11927" s="12"/>
      <c r="D11927" s="12"/>
      <c r="E11927" s="12"/>
      <c r="H11927" s="11" t="str">
        <f ca="1">IFERROR(__xludf.DUMMYFUNCTION("IFERROR(SUBSTITUTE(SUBSTITUTE(REGEXEXTRACT(A11927, ""[^-]+- [^-]+- [^-]+ - (.+?)\.jpg""), "".jpg"", """"), ""-"", "", ""), """")"),"")</f>
        <v/>
      </c>
      <c r="L11927" s="12"/>
      <c r="M11927" s="13"/>
      <c r="N11927" s="2"/>
      <c r="O11927" s="20"/>
      <c r="P11927" s="42"/>
      <c r="R11927" s="23"/>
    </row>
    <row r="11928" spans="1:18" ht="12.75">
      <c r="A11928" s="12"/>
      <c r="D11928" s="12"/>
      <c r="E11928" s="12"/>
      <c r="H11928" s="11" t="str">
        <f ca="1">IFERROR(__xludf.DUMMYFUNCTION("IFERROR(SUBSTITUTE(SUBSTITUTE(REGEXEXTRACT(A11928, ""[^-]+- [^-]+- [^-]+ - (.+?)\.jpg""), "".jpg"", """"), ""-"", "", ""), """")"),"")</f>
        <v/>
      </c>
      <c r="L11928" s="12"/>
      <c r="M11928" s="13"/>
      <c r="N11928" s="2"/>
      <c r="O11928" s="20"/>
      <c r="P11928" s="42"/>
      <c r="R11928" s="23"/>
    </row>
    <row r="11929" spans="1:18" ht="12.75">
      <c r="A11929" s="12"/>
      <c r="D11929" s="12"/>
      <c r="E11929" s="12"/>
      <c r="H11929" s="11" t="str">
        <f ca="1">IFERROR(__xludf.DUMMYFUNCTION("IFERROR(SUBSTITUTE(SUBSTITUTE(REGEXEXTRACT(A11929, ""[^-]+- [^-]+- [^-]+ - (.+?)\.jpg""), "".jpg"", """"), ""-"", "", ""), """")"),"")</f>
        <v/>
      </c>
      <c r="L11929" s="12"/>
      <c r="M11929" s="13"/>
      <c r="N11929" s="2"/>
      <c r="O11929" s="20"/>
      <c r="P11929" s="42"/>
      <c r="R11929" s="23"/>
    </row>
    <row r="11930" spans="1:18" ht="12.75">
      <c r="A11930" s="12"/>
      <c r="D11930" s="12"/>
      <c r="E11930" s="12"/>
      <c r="H11930" s="11" t="str">
        <f ca="1">IFERROR(__xludf.DUMMYFUNCTION("IFERROR(SUBSTITUTE(SUBSTITUTE(REGEXEXTRACT(A11930, ""[^-]+- [^-]+- [^-]+ - (.+?)\.jpg""), "".jpg"", """"), ""-"", "", ""), """")"),"")</f>
        <v/>
      </c>
      <c r="L11930" s="12"/>
      <c r="M11930" s="13"/>
      <c r="N11930" s="2"/>
      <c r="O11930" s="20"/>
      <c r="P11930" s="42"/>
      <c r="R11930" s="23"/>
    </row>
    <row r="11931" spans="1:18" ht="12.75">
      <c r="A11931" s="12"/>
      <c r="D11931" s="12"/>
      <c r="E11931" s="12"/>
      <c r="H11931" s="11" t="str">
        <f ca="1">IFERROR(__xludf.DUMMYFUNCTION("IFERROR(SUBSTITUTE(SUBSTITUTE(REGEXEXTRACT(A11931, ""[^-]+- [^-]+- [^-]+ - (.+?)\.jpg""), "".jpg"", """"), ""-"", "", ""), """")"),"")</f>
        <v/>
      </c>
      <c r="L11931" s="12"/>
      <c r="M11931" s="13"/>
      <c r="N11931" s="2"/>
      <c r="O11931" s="20"/>
      <c r="P11931" s="42"/>
      <c r="R11931" s="23"/>
    </row>
    <row r="11932" spans="1:18" ht="12.75">
      <c r="A11932" s="12"/>
      <c r="D11932" s="12"/>
      <c r="E11932" s="12"/>
      <c r="H11932" s="11" t="str">
        <f ca="1">IFERROR(__xludf.DUMMYFUNCTION("IFERROR(SUBSTITUTE(SUBSTITUTE(REGEXEXTRACT(A11932, ""[^-]+- [^-]+- [^-]+ - (.+?)\.jpg""), "".jpg"", """"), ""-"", "", ""), """")"),"")</f>
        <v/>
      </c>
      <c r="L11932" s="12"/>
      <c r="M11932" s="13"/>
      <c r="N11932" s="2"/>
      <c r="O11932" s="20"/>
      <c r="P11932" s="42"/>
      <c r="R11932" s="23"/>
    </row>
    <row r="11933" spans="1:18" ht="12.75">
      <c r="A11933" s="12"/>
      <c r="D11933" s="12"/>
      <c r="E11933" s="12"/>
      <c r="H11933" s="11" t="str">
        <f ca="1">IFERROR(__xludf.DUMMYFUNCTION("IFERROR(SUBSTITUTE(SUBSTITUTE(REGEXEXTRACT(A11933, ""[^-]+- [^-]+- [^-]+ - (.+?)\.jpg""), "".jpg"", """"), ""-"", "", ""), """")"),"")</f>
        <v/>
      </c>
      <c r="L11933" s="12"/>
      <c r="M11933" s="13"/>
      <c r="N11933" s="2"/>
      <c r="O11933" s="20"/>
      <c r="P11933" s="42"/>
      <c r="R11933" s="23"/>
    </row>
    <row r="11934" spans="1:18" ht="12.75">
      <c r="A11934" s="12"/>
      <c r="D11934" s="12"/>
      <c r="E11934" s="12"/>
      <c r="H11934" s="11" t="str">
        <f ca="1">IFERROR(__xludf.DUMMYFUNCTION("IFERROR(SUBSTITUTE(SUBSTITUTE(REGEXEXTRACT(A11934, ""[^-]+- [^-]+- [^-]+ - (.+?)\.jpg""), "".jpg"", """"), ""-"", "", ""), """")"),"")</f>
        <v/>
      </c>
      <c r="L11934" s="12"/>
      <c r="M11934" s="13"/>
      <c r="N11934" s="2"/>
      <c r="O11934" s="20"/>
      <c r="P11934" s="42"/>
      <c r="R11934" s="23"/>
    </row>
    <row r="11935" spans="1:18" ht="12.75">
      <c r="A11935" s="12"/>
      <c r="D11935" s="12"/>
      <c r="E11935" s="12"/>
      <c r="H11935" s="11" t="str">
        <f ca="1">IFERROR(__xludf.DUMMYFUNCTION("IFERROR(SUBSTITUTE(SUBSTITUTE(REGEXEXTRACT(A11935, ""[^-]+- [^-]+- [^-]+ - (.+?)\.jpg""), "".jpg"", """"), ""-"", "", ""), """")"),"")</f>
        <v/>
      </c>
      <c r="L11935" s="12"/>
      <c r="M11935" s="13"/>
      <c r="N11935" s="2"/>
      <c r="O11935" s="20"/>
      <c r="P11935" s="42"/>
      <c r="R11935" s="23"/>
    </row>
    <row r="11936" spans="1:18" ht="12.75">
      <c r="A11936" s="12"/>
      <c r="D11936" s="12"/>
      <c r="E11936" s="12"/>
      <c r="H11936" s="11" t="str">
        <f ca="1">IFERROR(__xludf.DUMMYFUNCTION("IFERROR(SUBSTITUTE(SUBSTITUTE(REGEXEXTRACT(A11936, ""[^-]+- [^-]+- [^-]+ - (.+?)\.jpg""), "".jpg"", """"), ""-"", "", ""), """")"),"")</f>
        <v/>
      </c>
      <c r="L11936" s="12"/>
      <c r="M11936" s="13"/>
      <c r="N11936" s="2"/>
      <c r="O11936" s="20"/>
      <c r="P11936" s="42"/>
      <c r="R11936" s="23"/>
    </row>
    <row r="11937" spans="1:18" ht="12.75">
      <c r="A11937" s="12"/>
      <c r="D11937" s="12"/>
      <c r="E11937" s="12"/>
      <c r="H11937" s="11" t="str">
        <f ca="1">IFERROR(__xludf.DUMMYFUNCTION("IFERROR(SUBSTITUTE(SUBSTITUTE(REGEXEXTRACT(A11937, ""[^-]+- [^-]+- [^-]+ - (.+?)\.jpg""), "".jpg"", """"), ""-"", "", ""), """")"),"")</f>
        <v/>
      </c>
      <c r="L11937" s="12"/>
      <c r="M11937" s="13"/>
      <c r="N11937" s="2"/>
      <c r="O11937" s="20"/>
      <c r="P11937" s="42"/>
      <c r="R11937" s="23"/>
    </row>
    <row r="11938" spans="1:18" ht="12.75">
      <c r="A11938" s="12"/>
      <c r="D11938" s="12"/>
      <c r="E11938" s="12"/>
      <c r="H11938" s="11" t="str">
        <f ca="1">IFERROR(__xludf.DUMMYFUNCTION("IFERROR(SUBSTITUTE(SUBSTITUTE(REGEXEXTRACT(A11938, ""[^-]+- [^-]+- [^-]+ - (.+?)\.jpg""), "".jpg"", """"), ""-"", "", ""), """")"),"")</f>
        <v/>
      </c>
      <c r="L11938" s="12"/>
      <c r="M11938" s="13"/>
      <c r="N11938" s="2"/>
      <c r="O11938" s="20"/>
      <c r="P11938" s="42"/>
      <c r="R11938" s="23"/>
    </row>
    <row r="11939" spans="1:18" ht="12.75">
      <c r="A11939" s="12"/>
      <c r="D11939" s="12"/>
      <c r="E11939" s="12"/>
      <c r="H11939" s="11" t="str">
        <f ca="1">IFERROR(__xludf.DUMMYFUNCTION("IFERROR(SUBSTITUTE(SUBSTITUTE(REGEXEXTRACT(A11939, ""[^-]+- [^-]+- [^-]+ - (.+?)\.jpg""), "".jpg"", """"), ""-"", "", ""), """")"),"")</f>
        <v/>
      </c>
      <c r="L11939" s="12"/>
      <c r="M11939" s="13"/>
      <c r="N11939" s="2"/>
      <c r="O11939" s="20"/>
      <c r="P11939" s="42"/>
      <c r="R11939" s="23"/>
    </row>
    <row r="11940" spans="1:18" ht="12.75">
      <c r="A11940" s="12"/>
      <c r="D11940" s="12"/>
      <c r="E11940" s="12"/>
      <c r="H11940" s="11" t="str">
        <f ca="1">IFERROR(__xludf.DUMMYFUNCTION("IFERROR(SUBSTITUTE(SUBSTITUTE(REGEXEXTRACT(A11940, ""[^-]+- [^-]+- [^-]+ - (.+?)\.jpg""), "".jpg"", """"), ""-"", "", ""), """")"),"")</f>
        <v/>
      </c>
      <c r="L11940" s="12"/>
      <c r="M11940" s="13"/>
      <c r="N11940" s="2"/>
      <c r="O11940" s="20"/>
      <c r="P11940" s="42"/>
      <c r="R11940" s="23"/>
    </row>
    <row r="11941" spans="1:18" ht="12.75">
      <c r="A11941" s="12"/>
      <c r="D11941" s="12"/>
      <c r="E11941" s="12"/>
      <c r="H11941" s="11" t="str">
        <f ca="1">IFERROR(__xludf.DUMMYFUNCTION("IFERROR(SUBSTITUTE(SUBSTITUTE(REGEXEXTRACT(A11941, ""[^-]+- [^-]+- [^-]+ - (.+?)\.jpg""), "".jpg"", """"), ""-"", "", ""), """")"),"")</f>
        <v/>
      </c>
      <c r="L11941" s="12"/>
      <c r="M11941" s="13"/>
      <c r="N11941" s="2"/>
      <c r="O11941" s="20"/>
      <c r="P11941" s="42"/>
      <c r="R11941" s="23"/>
    </row>
    <row r="11942" spans="1:18" ht="12.75">
      <c r="A11942" s="12"/>
      <c r="D11942" s="12"/>
      <c r="E11942" s="12"/>
      <c r="H11942" s="11" t="str">
        <f ca="1">IFERROR(__xludf.DUMMYFUNCTION("IFERROR(SUBSTITUTE(SUBSTITUTE(REGEXEXTRACT(A11942, ""[^-]+- [^-]+- [^-]+ - (.+?)\.jpg""), "".jpg"", """"), ""-"", "", ""), """")"),"")</f>
        <v/>
      </c>
      <c r="L11942" s="12"/>
      <c r="M11942" s="13"/>
      <c r="N11942" s="2"/>
      <c r="O11942" s="20"/>
      <c r="P11942" s="42"/>
      <c r="R11942" s="23"/>
    </row>
    <row r="11943" spans="1:18" ht="12.75">
      <c r="A11943" s="12"/>
      <c r="D11943" s="12"/>
      <c r="E11943" s="12"/>
      <c r="H11943" s="11" t="str">
        <f ca="1">IFERROR(__xludf.DUMMYFUNCTION("IFERROR(SUBSTITUTE(SUBSTITUTE(REGEXEXTRACT(A11943, ""[^-]+- [^-]+- [^-]+ - (.+?)\.jpg""), "".jpg"", """"), ""-"", "", ""), """")"),"")</f>
        <v/>
      </c>
      <c r="L11943" s="12"/>
      <c r="M11943" s="13"/>
      <c r="N11943" s="2"/>
      <c r="O11943" s="20"/>
      <c r="P11943" s="42"/>
      <c r="R11943" s="23"/>
    </row>
    <row r="11944" spans="1:18" ht="12.75">
      <c r="A11944" s="12"/>
      <c r="D11944" s="12"/>
      <c r="E11944" s="12"/>
      <c r="H11944" s="11" t="str">
        <f ca="1">IFERROR(__xludf.DUMMYFUNCTION("IFERROR(SUBSTITUTE(SUBSTITUTE(REGEXEXTRACT(A11944, ""[^-]+- [^-]+- [^-]+ - (.+?)\.jpg""), "".jpg"", """"), ""-"", "", ""), """")"),"")</f>
        <v/>
      </c>
      <c r="L11944" s="12"/>
      <c r="M11944" s="13"/>
      <c r="N11944" s="2"/>
      <c r="O11944" s="20"/>
      <c r="P11944" s="42"/>
      <c r="R11944" s="23"/>
    </row>
    <row r="11945" spans="1:18" ht="12.75">
      <c r="A11945" s="12"/>
      <c r="D11945" s="12"/>
      <c r="E11945" s="12"/>
      <c r="H11945" s="11" t="str">
        <f ca="1">IFERROR(__xludf.DUMMYFUNCTION("IFERROR(SUBSTITUTE(SUBSTITUTE(REGEXEXTRACT(A11945, ""[^-]+- [^-]+- [^-]+ - (.+?)\.jpg""), "".jpg"", """"), ""-"", "", ""), """")"),"")</f>
        <v/>
      </c>
      <c r="L11945" s="12"/>
      <c r="M11945" s="13"/>
      <c r="N11945" s="2"/>
      <c r="O11945" s="20"/>
      <c r="P11945" s="42"/>
      <c r="R11945" s="23"/>
    </row>
    <row r="11946" spans="1:18" ht="12.75">
      <c r="A11946" s="12"/>
      <c r="D11946" s="12"/>
      <c r="E11946" s="12"/>
      <c r="H11946" s="11" t="str">
        <f ca="1">IFERROR(__xludf.DUMMYFUNCTION("IFERROR(SUBSTITUTE(SUBSTITUTE(REGEXEXTRACT(A11946, ""[^-]+- [^-]+- [^-]+ - (.+?)\.jpg""), "".jpg"", """"), ""-"", "", ""), """")"),"")</f>
        <v/>
      </c>
      <c r="L11946" s="12"/>
      <c r="M11946" s="13"/>
      <c r="N11946" s="2"/>
      <c r="O11946" s="20"/>
      <c r="P11946" s="42"/>
      <c r="R11946" s="23"/>
    </row>
    <row r="11947" spans="1:18" ht="12.75">
      <c r="A11947" s="12"/>
      <c r="D11947" s="12"/>
      <c r="E11947" s="12"/>
      <c r="H11947" s="11" t="str">
        <f ca="1">IFERROR(__xludf.DUMMYFUNCTION("IFERROR(SUBSTITUTE(SUBSTITUTE(REGEXEXTRACT(A11947, ""[^-]+- [^-]+- [^-]+ - (.+?)\.jpg""), "".jpg"", """"), ""-"", "", ""), """")"),"")</f>
        <v/>
      </c>
      <c r="L11947" s="12"/>
      <c r="M11947" s="13"/>
      <c r="N11947" s="2"/>
      <c r="O11947" s="20"/>
      <c r="P11947" s="42"/>
      <c r="R11947" s="23"/>
    </row>
    <row r="11948" spans="1:18" ht="12.75">
      <c r="A11948" s="12"/>
      <c r="D11948" s="12"/>
      <c r="E11948" s="12"/>
      <c r="H11948" s="11" t="str">
        <f ca="1">IFERROR(__xludf.DUMMYFUNCTION("IFERROR(SUBSTITUTE(SUBSTITUTE(REGEXEXTRACT(A11948, ""[^-]+- [^-]+- [^-]+ - (.+?)\.jpg""), "".jpg"", """"), ""-"", "", ""), """")"),"")</f>
        <v/>
      </c>
      <c r="L11948" s="12"/>
      <c r="M11948" s="13"/>
      <c r="N11948" s="2"/>
      <c r="O11948" s="20"/>
      <c r="P11948" s="42"/>
      <c r="R11948" s="23"/>
    </row>
    <row r="11949" spans="1:18" ht="12.75">
      <c r="A11949" s="12"/>
      <c r="D11949" s="12"/>
      <c r="E11949" s="12"/>
      <c r="H11949" s="11" t="str">
        <f ca="1">IFERROR(__xludf.DUMMYFUNCTION("IFERROR(SUBSTITUTE(SUBSTITUTE(REGEXEXTRACT(A11949, ""[^-]+- [^-]+- [^-]+ - (.+?)\.jpg""), "".jpg"", """"), ""-"", "", ""), """")"),"")</f>
        <v/>
      </c>
      <c r="L11949" s="12"/>
      <c r="M11949" s="13"/>
      <c r="N11949" s="2"/>
      <c r="O11949" s="20"/>
      <c r="P11949" s="42"/>
      <c r="R11949" s="23"/>
    </row>
    <row r="11950" spans="1:18" ht="12.75">
      <c r="A11950" s="12"/>
      <c r="D11950" s="12"/>
      <c r="E11950" s="12"/>
      <c r="H11950" s="11" t="str">
        <f ca="1">IFERROR(__xludf.DUMMYFUNCTION("IFERROR(SUBSTITUTE(SUBSTITUTE(REGEXEXTRACT(A11950, ""[^-]+- [^-]+- [^-]+ - (.+?)\.jpg""), "".jpg"", """"), ""-"", "", ""), """")"),"")</f>
        <v/>
      </c>
      <c r="L11950" s="12"/>
      <c r="M11950" s="13"/>
      <c r="N11950" s="2"/>
      <c r="O11950" s="20"/>
      <c r="P11950" s="42"/>
      <c r="R11950" s="23"/>
    </row>
    <row r="11951" spans="1:18" ht="12.75">
      <c r="A11951" s="12"/>
      <c r="D11951" s="12"/>
      <c r="E11951" s="12"/>
      <c r="H11951" s="11" t="str">
        <f ca="1">IFERROR(__xludf.DUMMYFUNCTION("IFERROR(SUBSTITUTE(SUBSTITUTE(REGEXEXTRACT(A11951, ""[^-]+- [^-]+- [^-]+ - (.+?)\.jpg""), "".jpg"", """"), ""-"", "", ""), """")"),"")</f>
        <v/>
      </c>
      <c r="L11951" s="12"/>
      <c r="M11951" s="13"/>
      <c r="N11951" s="2"/>
      <c r="O11951" s="20"/>
      <c r="P11951" s="42"/>
      <c r="R11951" s="23"/>
    </row>
    <row r="11952" spans="1:18" ht="12.75">
      <c r="A11952" s="12"/>
      <c r="D11952" s="12"/>
      <c r="E11952" s="12"/>
      <c r="H11952" s="11" t="str">
        <f ca="1">IFERROR(__xludf.DUMMYFUNCTION("IFERROR(SUBSTITUTE(SUBSTITUTE(REGEXEXTRACT(A11952, ""[^-]+- [^-]+- [^-]+ - (.+?)\.jpg""), "".jpg"", """"), ""-"", "", ""), """")"),"")</f>
        <v/>
      </c>
      <c r="L11952" s="12"/>
      <c r="M11952" s="13"/>
      <c r="N11952" s="2"/>
      <c r="O11952" s="20"/>
      <c r="P11952" s="42"/>
      <c r="R11952" s="23"/>
    </row>
    <row r="11953" spans="1:18" ht="12.75">
      <c r="A11953" s="12"/>
      <c r="D11953" s="12"/>
      <c r="E11953" s="12"/>
      <c r="H11953" s="11" t="str">
        <f ca="1">IFERROR(__xludf.DUMMYFUNCTION("IFERROR(SUBSTITUTE(SUBSTITUTE(REGEXEXTRACT(A11953, ""[^-]+- [^-]+- [^-]+ - (.+?)\.jpg""), "".jpg"", """"), ""-"", "", ""), """")"),"")</f>
        <v/>
      </c>
      <c r="L11953" s="12"/>
      <c r="M11953" s="13"/>
      <c r="N11953" s="2"/>
      <c r="O11953" s="20"/>
      <c r="P11953" s="42"/>
      <c r="R11953" s="23"/>
    </row>
    <row r="11954" spans="1:18" ht="12.75">
      <c r="A11954" s="12"/>
      <c r="D11954" s="12"/>
      <c r="E11954" s="12"/>
      <c r="H11954" s="11" t="str">
        <f ca="1">IFERROR(__xludf.DUMMYFUNCTION("IFERROR(SUBSTITUTE(SUBSTITUTE(REGEXEXTRACT(A11954, ""[^-]+- [^-]+- [^-]+ - (.+?)\.jpg""), "".jpg"", """"), ""-"", "", ""), """")"),"")</f>
        <v/>
      </c>
      <c r="L11954" s="12"/>
      <c r="M11954" s="13"/>
      <c r="N11954" s="2"/>
      <c r="O11954" s="20"/>
      <c r="P11954" s="42"/>
      <c r="R11954" s="23"/>
    </row>
    <row r="11955" spans="1:18" ht="12.75">
      <c r="A11955" s="12"/>
      <c r="D11955" s="12"/>
      <c r="E11955" s="12"/>
      <c r="H11955" s="11" t="str">
        <f ca="1">IFERROR(__xludf.DUMMYFUNCTION("IFERROR(SUBSTITUTE(SUBSTITUTE(REGEXEXTRACT(A11955, ""[^-]+- [^-]+- [^-]+ - (.+?)\.jpg""), "".jpg"", """"), ""-"", "", ""), """")"),"")</f>
        <v/>
      </c>
      <c r="L11955" s="12"/>
      <c r="M11955" s="13"/>
      <c r="N11955" s="2"/>
      <c r="O11955" s="20"/>
      <c r="P11955" s="42"/>
      <c r="R11955" s="23"/>
    </row>
    <row r="11956" spans="1:18" ht="12.75">
      <c r="A11956" s="12"/>
      <c r="D11956" s="12"/>
      <c r="E11956" s="12"/>
      <c r="H11956" s="11" t="str">
        <f ca="1">IFERROR(__xludf.DUMMYFUNCTION("IFERROR(SUBSTITUTE(SUBSTITUTE(REGEXEXTRACT(A11956, ""[^-]+- [^-]+- [^-]+ - (.+?)\.jpg""), "".jpg"", """"), ""-"", "", ""), """")"),"")</f>
        <v/>
      </c>
      <c r="L11956" s="12"/>
      <c r="M11956" s="13"/>
      <c r="N11956" s="2"/>
      <c r="O11956" s="20"/>
      <c r="P11956" s="42"/>
      <c r="R11956" s="23"/>
    </row>
    <row r="11957" spans="1:18" ht="12.75">
      <c r="A11957" s="12"/>
      <c r="D11957" s="12"/>
      <c r="E11957" s="12"/>
      <c r="H11957" s="11" t="str">
        <f ca="1">IFERROR(__xludf.DUMMYFUNCTION("IFERROR(SUBSTITUTE(SUBSTITUTE(REGEXEXTRACT(A11957, ""[^-]+- [^-]+- [^-]+ - (.+?)\.jpg""), "".jpg"", """"), ""-"", "", ""), """")"),"")</f>
        <v/>
      </c>
      <c r="L11957" s="12"/>
      <c r="M11957" s="13"/>
      <c r="N11957" s="2"/>
      <c r="O11957" s="20"/>
      <c r="P11957" s="42"/>
      <c r="R11957" s="23"/>
    </row>
    <row r="11958" spans="1:18" ht="12.75">
      <c r="A11958" s="12"/>
      <c r="D11958" s="12"/>
      <c r="E11958" s="12"/>
      <c r="H11958" s="11" t="str">
        <f ca="1">IFERROR(__xludf.DUMMYFUNCTION("IFERROR(SUBSTITUTE(SUBSTITUTE(REGEXEXTRACT(A11958, ""[^-]+- [^-]+- [^-]+ - (.+?)\.jpg""), "".jpg"", """"), ""-"", "", ""), """")"),"")</f>
        <v/>
      </c>
      <c r="L11958" s="12"/>
      <c r="M11958" s="13"/>
      <c r="N11958" s="2"/>
      <c r="O11958" s="20"/>
      <c r="P11958" s="42"/>
      <c r="R11958" s="23"/>
    </row>
    <row r="11959" spans="1:18" ht="12.75">
      <c r="A11959" s="12"/>
      <c r="D11959" s="12"/>
      <c r="E11959" s="12"/>
      <c r="H11959" s="11" t="str">
        <f ca="1">IFERROR(__xludf.DUMMYFUNCTION("IFERROR(SUBSTITUTE(SUBSTITUTE(REGEXEXTRACT(A11959, ""[^-]+- [^-]+- [^-]+ - (.+?)\.jpg""), "".jpg"", """"), ""-"", "", ""), """")"),"")</f>
        <v/>
      </c>
      <c r="L11959" s="12"/>
      <c r="M11959" s="13"/>
      <c r="N11959" s="2"/>
      <c r="O11959" s="20"/>
      <c r="P11959" s="42"/>
      <c r="R11959" s="23"/>
    </row>
    <row r="11960" spans="1:18" ht="12.75">
      <c r="A11960" s="12"/>
      <c r="D11960" s="12"/>
      <c r="E11960" s="12"/>
      <c r="H11960" s="11" t="str">
        <f ca="1">IFERROR(__xludf.DUMMYFUNCTION("IFERROR(SUBSTITUTE(SUBSTITUTE(REGEXEXTRACT(A11960, ""[^-]+- [^-]+- [^-]+ - (.+?)\.jpg""), "".jpg"", """"), ""-"", "", ""), """")"),"")</f>
        <v/>
      </c>
      <c r="L11960" s="12"/>
      <c r="M11960" s="13"/>
      <c r="N11960" s="2"/>
      <c r="O11960" s="20"/>
      <c r="P11960" s="42"/>
      <c r="R11960" s="23"/>
    </row>
    <row r="11961" spans="1:18" ht="12.75">
      <c r="A11961" s="12"/>
      <c r="D11961" s="12"/>
      <c r="E11961" s="12"/>
      <c r="H11961" s="11" t="str">
        <f ca="1">IFERROR(__xludf.DUMMYFUNCTION("IFERROR(SUBSTITUTE(SUBSTITUTE(REGEXEXTRACT(A11961, ""[^-]+- [^-]+- [^-]+ - (.+?)\.jpg""), "".jpg"", """"), ""-"", "", ""), """")"),"")</f>
        <v/>
      </c>
      <c r="L11961" s="12"/>
      <c r="M11961" s="13"/>
      <c r="N11961" s="2"/>
      <c r="O11961" s="20"/>
      <c r="P11961" s="42"/>
      <c r="R11961" s="23"/>
    </row>
    <row r="11962" spans="1:18" ht="12.75">
      <c r="A11962" s="12"/>
      <c r="D11962" s="12"/>
      <c r="E11962" s="12"/>
      <c r="H11962" s="11" t="str">
        <f ca="1">IFERROR(__xludf.DUMMYFUNCTION("IFERROR(SUBSTITUTE(SUBSTITUTE(REGEXEXTRACT(A11962, ""[^-]+- [^-]+- [^-]+ - (.+?)\.jpg""), "".jpg"", """"), ""-"", "", ""), """")"),"")</f>
        <v/>
      </c>
      <c r="L11962" s="12"/>
      <c r="M11962" s="13"/>
      <c r="N11962" s="2"/>
      <c r="O11962" s="20"/>
      <c r="P11962" s="42"/>
      <c r="R11962" s="23"/>
    </row>
    <row r="11963" spans="1:18" ht="12.75">
      <c r="A11963" s="12"/>
      <c r="D11963" s="12"/>
      <c r="E11963" s="12"/>
      <c r="H11963" s="11" t="str">
        <f ca="1">IFERROR(__xludf.DUMMYFUNCTION("IFERROR(SUBSTITUTE(SUBSTITUTE(REGEXEXTRACT(A11963, ""[^-]+- [^-]+- [^-]+ - (.+?)\.jpg""), "".jpg"", """"), ""-"", "", ""), """")"),"")</f>
        <v/>
      </c>
      <c r="L11963" s="12"/>
      <c r="M11963" s="13"/>
      <c r="N11963" s="2"/>
      <c r="O11963" s="20"/>
      <c r="P11963" s="42"/>
      <c r="R11963" s="23"/>
    </row>
    <row r="11964" spans="1:18" ht="12.75">
      <c r="A11964" s="12"/>
      <c r="D11964" s="12"/>
      <c r="E11964" s="12"/>
      <c r="H11964" s="11" t="str">
        <f ca="1">IFERROR(__xludf.DUMMYFUNCTION("IFERROR(SUBSTITUTE(SUBSTITUTE(REGEXEXTRACT(A11964, ""[^-]+- [^-]+- [^-]+ - (.+?)\.jpg""), "".jpg"", """"), ""-"", "", ""), """")"),"")</f>
        <v/>
      </c>
      <c r="L11964" s="12"/>
      <c r="M11964" s="13"/>
      <c r="N11964" s="2"/>
      <c r="O11964" s="20"/>
      <c r="P11964" s="42"/>
      <c r="R11964" s="23"/>
    </row>
    <row r="11965" spans="1:18" ht="12.75">
      <c r="A11965" s="12"/>
      <c r="D11965" s="12"/>
      <c r="E11965" s="12"/>
      <c r="H11965" s="11" t="str">
        <f ca="1">IFERROR(__xludf.DUMMYFUNCTION("IFERROR(SUBSTITUTE(SUBSTITUTE(REGEXEXTRACT(A11965, ""[^-]+- [^-]+- [^-]+ - (.+?)\.jpg""), "".jpg"", """"), ""-"", "", ""), """")"),"")</f>
        <v/>
      </c>
      <c r="L11965" s="12"/>
      <c r="M11965" s="13"/>
      <c r="N11965" s="2"/>
      <c r="O11965" s="20"/>
      <c r="P11965" s="42"/>
      <c r="R11965" s="23"/>
    </row>
    <row r="11966" spans="1:18" ht="12.75">
      <c r="A11966" s="12"/>
      <c r="D11966" s="12"/>
      <c r="E11966" s="12"/>
      <c r="H11966" s="11" t="str">
        <f ca="1">IFERROR(__xludf.DUMMYFUNCTION("IFERROR(SUBSTITUTE(SUBSTITUTE(REGEXEXTRACT(A11966, ""[^-]+- [^-]+- [^-]+ - (.+?)\.jpg""), "".jpg"", """"), ""-"", "", ""), """")"),"")</f>
        <v/>
      </c>
      <c r="L11966" s="12"/>
      <c r="M11966" s="13"/>
      <c r="N11966" s="2"/>
      <c r="O11966" s="20"/>
      <c r="P11966" s="42"/>
      <c r="R11966" s="23"/>
    </row>
    <row r="11967" spans="1:18" ht="12.75">
      <c r="A11967" s="12"/>
      <c r="D11967" s="12"/>
      <c r="E11967" s="12"/>
      <c r="H11967" s="11" t="str">
        <f ca="1">IFERROR(__xludf.DUMMYFUNCTION("IFERROR(SUBSTITUTE(SUBSTITUTE(REGEXEXTRACT(A11967, ""[^-]+- [^-]+- [^-]+ - (.+?)\.jpg""), "".jpg"", """"), ""-"", "", ""), """")"),"")</f>
        <v/>
      </c>
      <c r="L11967" s="12"/>
      <c r="M11967" s="13"/>
      <c r="N11967" s="2"/>
      <c r="O11967" s="20"/>
      <c r="P11967" s="42"/>
      <c r="R11967" s="23"/>
    </row>
    <row r="11968" spans="1:18" ht="12.75">
      <c r="A11968" s="12"/>
      <c r="D11968" s="12"/>
      <c r="E11968" s="12"/>
      <c r="H11968" s="11" t="str">
        <f ca="1">IFERROR(__xludf.DUMMYFUNCTION("IFERROR(SUBSTITUTE(SUBSTITUTE(REGEXEXTRACT(A11968, ""[^-]+- [^-]+- [^-]+ - (.+?)\.jpg""), "".jpg"", """"), ""-"", "", ""), """")"),"")</f>
        <v/>
      </c>
      <c r="L11968" s="12"/>
      <c r="M11968" s="13"/>
      <c r="N11968" s="2"/>
      <c r="O11968" s="20"/>
      <c r="P11968" s="42"/>
      <c r="R11968" s="23"/>
    </row>
    <row r="11969" spans="1:18" ht="12.75">
      <c r="A11969" s="12"/>
      <c r="D11969" s="12"/>
      <c r="E11969" s="12"/>
      <c r="H11969" s="11" t="str">
        <f ca="1">IFERROR(__xludf.DUMMYFUNCTION("IFERROR(SUBSTITUTE(SUBSTITUTE(REGEXEXTRACT(A11969, ""[^-]+- [^-]+- [^-]+ - (.+?)\.jpg""), "".jpg"", """"), ""-"", "", ""), """")"),"")</f>
        <v/>
      </c>
      <c r="L11969" s="12"/>
      <c r="M11969" s="13"/>
      <c r="N11969" s="2"/>
      <c r="O11969" s="20"/>
      <c r="P11969" s="42"/>
      <c r="R11969" s="23"/>
    </row>
    <row r="11970" spans="1:18" ht="12.75">
      <c r="A11970" s="12"/>
      <c r="D11970" s="12"/>
      <c r="E11970" s="12"/>
      <c r="H11970" s="11" t="str">
        <f ca="1">IFERROR(__xludf.DUMMYFUNCTION("IFERROR(SUBSTITUTE(SUBSTITUTE(REGEXEXTRACT(A11970, ""[^-]+- [^-]+- [^-]+ - (.+?)\.jpg""), "".jpg"", """"), ""-"", "", ""), """")"),"")</f>
        <v/>
      </c>
      <c r="L11970" s="12"/>
      <c r="M11970" s="13"/>
      <c r="N11970" s="2"/>
      <c r="O11970" s="20"/>
      <c r="P11970" s="42"/>
      <c r="R11970" s="23"/>
    </row>
    <row r="11971" spans="1:18" ht="12.75">
      <c r="A11971" s="12"/>
      <c r="D11971" s="12"/>
      <c r="E11971" s="12"/>
      <c r="H11971" s="11" t="str">
        <f ca="1">IFERROR(__xludf.DUMMYFUNCTION("IFERROR(SUBSTITUTE(SUBSTITUTE(REGEXEXTRACT(A11971, ""[^-]+- [^-]+- [^-]+ - (.+?)\.jpg""), "".jpg"", """"), ""-"", "", ""), """")"),"")</f>
        <v/>
      </c>
      <c r="L11971" s="12"/>
      <c r="M11971" s="13"/>
      <c r="N11971" s="2"/>
      <c r="O11971" s="20"/>
      <c r="P11971" s="42"/>
      <c r="R11971" s="23"/>
    </row>
    <row r="11972" spans="1:18" ht="12.75">
      <c r="A11972" s="12"/>
      <c r="D11972" s="12"/>
      <c r="E11972" s="12"/>
      <c r="H11972" s="11" t="str">
        <f ca="1">IFERROR(__xludf.DUMMYFUNCTION("IFERROR(SUBSTITUTE(SUBSTITUTE(REGEXEXTRACT(A11972, ""[^-]+- [^-]+- [^-]+ - (.+?)\.jpg""), "".jpg"", """"), ""-"", "", ""), """")"),"")</f>
        <v/>
      </c>
      <c r="L11972" s="12"/>
      <c r="M11972" s="13"/>
      <c r="N11972" s="2"/>
      <c r="O11972" s="20"/>
      <c r="P11972" s="42"/>
      <c r="R11972" s="23"/>
    </row>
    <row r="11973" spans="1:18" ht="12.75">
      <c r="A11973" s="12"/>
      <c r="D11973" s="12"/>
      <c r="E11973" s="12"/>
      <c r="H11973" s="11" t="str">
        <f ca="1">IFERROR(__xludf.DUMMYFUNCTION("IFERROR(SUBSTITUTE(SUBSTITUTE(REGEXEXTRACT(A11973, ""[^-]+- [^-]+- [^-]+ - (.+?)\.jpg""), "".jpg"", """"), ""-"", "", ""), """")"),"")</f>
        <v/>
      </c>
      <c r="L11973" s="12"/>
      <c r="M11973" s="13"/>
      <c r="N11973" s="2"/>
      <c r="O11973" s="20"/>
      <c r="P11973" s="42"/>
      <c r="R11973" s="23"/>
    </row>
    <row r="11974" spans="1:18" ht="12.75">
      <c r="A11974" s="12"/>
      <c r="D11974" s="12"/>
      <c r="E11974" s="12"/>
      <c r="H11974" s="11" t="str">
        <f ca="1">IFERROR(__xludf.DUMMYFUNCTION("IFERROR(SUBSTITUTE(SUBSTITUTE(REGEXEXTRACT(A11974, ""[^-]+- [^-]+- [^-]+ - (.+?)\.jpg""), "".jpg"", """"), ""-"", "", ""), """")"),"")</f>
        <v/>
      </c>
      <c r="L11974" s="12"/>
      <c r="M11974" s="13"/>
      <c r="N11974" s="2"/>
      <c r="O11974" s="20"/>
      <c r="P11974" s="42"/>
      <c r="R11974" s="23"/>
    </row>
    <row r="11975" spans="1:18" ht="12.75">
      <c r="A11975" s="12"/>
      <c r="D11975" s="12"/>
      <c r="E11975" s="12"/>
      <c r="H11975" s="11" t="str">
        <f ca="1">IFERROR(__xludf.DUMMYFUNCTION("IFERROR(SUBSTITUTE(SUBSTITUTE(REGEXEXTRACT(A11975, ""[^-]+- [^-]+- [^-]+ - (.+?)\.jpg""), "".jpg"", """"), ""-"", "", ""), """")"),"")</f>
        <v/>
      </c>
      <c r="L11975" s="12"/>
      <c r="M11975" s="13"/>
      <c r="N11975" s="2"/>
      <c r="O11975" s="20"/>
      <c r="P11975" s="42"/>
      <c r="R11975" s="23"/>
    </row>
    <row r="11976" spans="1:18" ht="12.75">
      <c r="A11976" s="12"/>
      <c r="D11976" s="12"/>
      <c r="E11976" s="12"/>
      <c r="H11976" s="11" t="str">
        <f ca="1">IFERROR(__xludf.DUMMYFUNCTION("IFERROR(SUBSTITUTE(SUBSTITUTE(REGEXEXTRACT(A11976, ""[^-]+- [^-]+- [^-]+ - (.+?)\.jpg""), "".jpg"", """"), ""-"", "", ""), """")"),"")</f>
        <v/>
      </c>
      <c r="L11976" s="12"/>
      <c r="M11976" s="13"/>
      <c r="N11976" s="2"/>
      <c r="O11976" s="20"/>
      <c r="P11976" s="42"/>
      <c r="R11976" s="23"/>
    </row>
    <row r="11977" spans="1:18" ht="12.75">
      <c r="A11977" s="12"/>
      <c r="D11977" s="12"/>
      <c r="E11977" s="12"/>
      <c r="H11977" s="11" t="str">
        <f ca="1">IFERROR(__xludf.DUMMYFUNCTION("IFERROR(SUBSTITUTE(SUBSTITUTE(REGEXEXTRACT(A11977, ""[^-]+- [^-]+- [^-]+ - (.+?)\.jpg""), "".jpg"", """"), ""-"", "", ""), """")"),"")</f>
        <v/>
      </c>
      <c r="L11977" s="12"/>
      <c r="M11977" s="13"/>
      <c r="N11977" s="2"/>
      <c r="O11977" s="20"/>
      <c r="P11977" s="42"/>
      <c r="R11977" s="23"/>
    </row>
    <row r="11978" spans="1:18" ht="12.75">
      <c r="A11978" s="12"/>
      <c r="D11978" s="12"/>
      <c r="E11978" s="12"/>
      <c r="H11978" s="11" t="str">
        <f ca="1">IFERROR(__xludf.DUMMYFUNCTION("IFERROR(SUBSTITUTE(SUBSTITUTE(REGEXEXTRACT(A11978, ""[^-]+- [^-]+- [^-]+ - (.+?)\.jpg""), "".jpg"", """"), ""-"", "", ""), """")"),"")</f>
        <v/>
      </c>
      <c r="L11978" s="12"/>
      <c r="M11978" s="13"/>
      <c r="N11978" s="2"/>
      <c r="O11978" s="20"/>
      <c r="P11978" s="42"/>
      <c r="R11978" s="23"/>
    </row>
    <row r="11979" spans="1:18" ht="12.75">
      <c r="A11979" s="12"/>
      <c r="D11979" s="12"/>
      <c r="E11979" s="12"/>
      <c r="H11979" s="11" t="str">
        <f ca="1">IFERROR(__xludf.DUMMYFUNCTION("IFERROR(SUBSTITUTE(SUBSTITUTE(REGEXEXTRACT(A11979, ""[^-]+- [^-]+- [^-]+ - (.+?)\.jpg""), "".jpg"", """"), ""-"", "", ""), """")"),"")</f>
        <v/>
      </c>
      <c r="L11979" s="12"/>
      <c r="M11979" s="13"/>
      <c r="N11979" s="2"/>
      <c r="O11979" s="20"/>
      <c r="P11979" s="42"/>
      <c r="R11979" s="23"/>
    </row>
    <row r="11980" spans="1:18" ht="12.75">
      <c r="A11980" s="12"/>
      <c r="D11980" s="12"/>
      <c r="E11980" s="12"/>
      <c r="H11980" s="11" t="str">
        <f ca="1">IFERROR(__xludf.DUMMYFUNCTION("IFERROR(SUBSTITUTE(SUBSTITUTE(REGEXEXTRACT(A11980, ""[^-]+- [^-]+- [^-]+ - (.+?)\.jpg""), "".jpg"", """"), ""-"", "", ""), """")"),"")</f>
        <v/>
      </c>
      <c r="L11980" s="12"/>
      <c r="M11980" s="13"/>
      <c r="N11980" s="2"/>
      <c r="O11980" s="20"/>
      <c r="P11980" s="42"/>
      <c r="R11980" s="23"/>
    </row>
    <row r="11981" spans="1:18" ht="12.75">
      <c r="A11981" s="12"/>
      <c r="D11981" s="12"/>
      <c r="E11981" s="12"/>
      <c r="H11981" s="11" t="str">
        <f ca="1">IFERROR(__xludf.DUMMYFUNCTION("IFERROR(SUBSTITUTE(SUBSTITUTE(REGEXEXTRACT(A11981, ""[^-]+- [^-]+- [^-]+ - (.+?)\.jpg""), "".jpg"", """"), ""-"", "", ""), """")"),"")</f>
        <v/>
      </c>
      <c r="L11981" s="12"/>
      <c r="M11981" s="13"/>
      <c r="N11981" s="2"/>
      <c r="O11981" s="20"/>
      <c r="P11981" s="42"/>
      <c r="R11981" s="23"/>
    </row>
    <row r="11982" spans="1:18" ht="12.75">
      <c r="A11982" s="12"/>
      <c r="D11982" s="12"/>
      <c r="E11982" s="12"/>
      <c r="H11982" s="11" t="str">
        <f ca="1">IFERROR(__xludf.DUMMYFUNCTION("IFERROR(SUBSTITUTE(SUBSTITUTE(REGEXEXTRACT(A11982, ""[^-]+- [^-]+- [^-]+ - (.+?)\.jpg""), "".jpg"", """"), ""-"", "", ""), """")"),"")</f>
        <v/>
      </c>
      <c r="L11982" s="12"/>
      <c r="M11982" s="13"/>
      <c r="N11982" s="2"/>
      <c r="O11982" s="20"/>
      <c r="P11982" s="42"/>
      <c r="R11982" s="23"/>
    </row>
    <row r="11983" spans="1:18" ht="12.75">
      <c r="A11983" s="12"/>
      <c r="D11983" s="12"/>
      <c r="E11983" s="12"/>
      <c r="H11983" s="11" t="str">
        <f ca="1">IFERROR(__xludf.DUMMYFUNCTION("IFERROR(SUBSTITUTE(SUBSTITUTE(REGEXEXTRACT(A11983, ""[^-]+- [^-]+- [^-]+ - (.+?)\.jpg""), "".jpg"", """"), ""-"", "", ""), """")"),"")</f>
        <v/>
      </c>
      <c r="L11983" s="12"/>
      <c r="M11983" s="13"/>
      <c r="N11983" s="2"/>
      <c r="O11983" s="20"/>
      <c r="P11983" s="42"/>
      <c r="R11983" s="23"/>
    </row>
    <row r="11984" spans="1:18" ht="12.75">
      <c r="A11984" s="12"/>
      <c r="D11984" s="12"/>
      <c r="E11984" s="12"/>
      <c r="H11984" s="11" t="str">
        <f ca="1">IFERROR(__xludf.DUMMYFUNCTION("IFERROR(SUBSTITUTE(SUBSTITUTE(REGEXEXTRACT(A11984, ""[^-]+- [^-]+- [^-]+ - (.+?)\.jpg""), "".jpg"", """"), ""-"", "", ""), """")"),"")</f>
        <v/>
      </c>
      <c r="L11984" s="12"/>
      <c r="M11984" s="13"/>
      <c r="N11984" s="2"/>
      <c r="O11984" s="20"/>
      <c r="P11984" s="42"/>
      <c r="R11984" s="23"/>
    </row>
    <row r="11985" spans="1:18" ht="12.75">
      <c r="A11985" s="12"/>
      <c r="D11985" s="12"/>
      <c r="E11985" s="12"/>
      <c r="H11985" s="11" t="str">
        <f ca="1">IFERROR(__xludf.DUMMYFUNCTION("IFERROR(SUBSTITUTE(SUBSTITUTE(REGEXEXTRACT(A11985, ""[^-]+- [^-]+- [^-]+ - (.+?)\.jpg""), "".jpg"", """"), ""-"", "", ""), """")"),"")</f>
        <v/>
      </c>
      <c r="L11985" s="12"/>
      <c r="M11985" s="13"/>
      <c r="N11985" s="2"/>
      <c r="O11985" s="20"/>
      <c r="P11985" s="42"/>
      <c r="R11985" s="23"/>
    </row>
    <row r="11986" spans="1:18" ht="12.75">
      <c r="A11986" s="12"/>
      <c r="D11986" s="12"/>
      <c r="E11986" s="12"/>
      <c r="H11986" s="11" t="str">
        <f ca="1">IFERROR(__xludf.DUMMYFUNCTION("IFERROR(SUBSTITUTE(SUBSTITUTE(REGEXEXTRACT(A11986, ""[^-]+- [^-]+- [^-]+ - (.+?)\.jpg""), "".jpg"", """"), ""-"", "", ""), """")"),"")</f>
        <v/>
      </c>
      <c r="L11986" s="12"/>
      <c r="M11986" s="13"/>
      <c r="N11986" s="2"/>
      <c r="O11986" s="20"/>
      <c r="P11986" s="42"/>
      <c r="R11986" s="23"/>
    </row>
    <row r="11987" spans="1:18" ht="12.75">
      <c r="A11987" s="12"/>
      <c r="D11987" s="12"/>
      <c r="E11987" s="12"/>
      <c r="H11987" s="11" t="str">
        <f ca="1">IFERROR(__xludf.DUMMYFUNCTION("IFERROR(SUBSTITUTE(SUBSTITUTE(REGEXEXTRACT(A11987, ""[^-]+- [^-]+- [^-]+ - (.+?)\.jpg""), "".jpg"", """"), ""-"", "", ""), """")"),"")</f>
        <v/>
      </c>
      <c r="L11987" s="12"/>
      <c r="M11987" s="13"/>
      <c r="N11987" s="2"/>
      <c r="O11987" s="20"/>
      <c r="P11987" s="42"/>
      <c r="R11987" s="23"/>
    </row>
    <row r="11988" spans="1:18" ht="12.75">
      <c r="A11988" s="12"/>
      <c r="D11988" s="12"/>
      <c r="E11988" s="12"/>
      <c r="H11988" s="11" t="str">
        <f ca="1">IFERROR(__xludf.DUMMYFUNCTION("IFERROR(SUBSTITUTE(SUBSTITUTE(REGEXEXTRACT(A11988, ""[^-]+- [^-]+- [^-]+ - (.+?)\.jpg""), "".jpg"", """"), ""-"", "", ""), """")"),"")</f>
        <v/>
      </c>
      <c r="L11988" s="12"/>
      <c r="M11988" s="13"/>
      <c r="N11988" s="2"/>
      <c r="O11988" s="20"/>
      <c r="P11988" s="42"/>
      <c r="R11988" s="23"/>
    </row>
    <row r="11989" spans="1:18" ht="12.75">
      <c r="A11989" s="12"/>
      <c r="D11989" s="12"/>
      <c r="E11989" s="12"/>
      <c r="H11989" s="11" t="str">
        <f ca="1">IFERROR(__xludf.DUMMYFUNCTION("IFERROR(SUBSTITUTE(SUBSTITUTE(REGEXEXTRACT(A11989, ""[^-]+- [^-]+- [^-]+ - (.+?)\.jpg""), "".jpg"", """"), ""-"", "", ""), """")"),"")</f>
        <v/>
      </c>
      <c r="L11989" s="12"/>
      <c r="M11989" s="13"/>
      <c r="N11989" s="2"/>
      <c r="O11989" s="20"/>
      <c r="P11989" s="42"/>
      <c r="R11989" s="23"/>
    </row>
    <row r="11990" spans="1:18" ht="12.75">
      <c r="A11990" s="12"/>
      <c r="D11990" s="12"/>
      <c r="E11990" s="12"/>
      <c r="H11990" s="11" t="str">
        <f ca="1">IFERROR(__xludf.DUMMYFUNCTION("IFERROR(SUBSTITUTE(SUBSTITUTE(REGEXEXTRACT(A11990, ""[^-]+- [^-]+- [^-]+ - (.+?)\.jpg""), "".jpg"", """"), ""-"", "", ""), """")"),"")</f>
        <v/>
      </c>
      <c r="L11990" s="12"/>
      <c r="M11990" s="13"/>
      <c r="N11990" s="2"/>
      <c r="O11990" s="20"/>
      <c r="P11990" s="42"/>
      <c r="R11990" s="23"/>
    </row>
    <row r="11991" spans="1:18" ht="12.75">
      <c r="A11991" s="12"/>
      <c r="D11991" s="12"/>
      <c r="E11991" s="12"/>
      <c r="H11991" s="11" t="str">
        <f ca="1">IFERROR(__xludf.DUMMYFUNCTION("IFERROR(SUBSTITUTE(SUBSTITUTE(REGEXEXTRACT(A11991, ""[^-]+- [^-]+- [^-]+ - (.+?)\.jpg""), "".jpg"", """"), ""-"", "", ""), """")"),"")</f>
        <v/>
      </c>
      <c r="L11991" s="12"/>
      <c r="M11991" s="13"/>
      <c r="N11991" s="2"/>
      <c r="O11991" s="20"/>
      <c r="P11991" s="42"/>
      <c r="R11991" s="23"/>
    </row>
    <row r="11992" spans="1:18" ht="12.75">
      <c r="A11992" s="12"/>
      <c r="D11992" s="12"/>
      <c r="E11992" s="12"/>
      <c r="H11992" s="11" t="str">
        <f ca="1">IFERROR(__xludf.DUMMYFUNCTION("IFERROR(SUBSTITUTE(SUBSTITUTE(REGEXEXTRACT(A11992, ""[^-]+- [^-]+- [^-]+ - (.+?)\.jpg""), "".jpg"", """"), ""-"", "", ""), """")"),"")</f>
        <v/>
      </c>
      <c r="L11992" s="12"/>
      <c r="M11992" s="13"/>
      <c r="N11992" s="2"/>
      <c r="O11992" s="20"/>
      <c r="P11992" s="42"/>
      <c r="R11992" s="23"/>
    </row>
    <row r="11993" spans="1:18" ht="12.75">
      <c r="A11993" s="12"/>
      <c r="D11993" s="12"/>
      <c r="E11993" s="12"/>
      <c r="H11993" s="11" t="str">
        <f ca="1">IFERROR(__xludf.DUMMYFUNCTION("IFERROR(SUBSTITUTE(SUBSTITUTE(REGEXEXTRACT(A11993, ""[^-]+- [^-]+- [^-]+ - (.+?)\.jpg""), "".jpg"", """"), ""-"", "", ""), """")"),"")</f>
        <v/>
      </c>
      <c r="L11993" s="12"/>
      <c r="M11993" s="13"/>
      <c r="N11993" s="2"/>
      <c r="O11993" s="20"/>
      <c r="P11993" s="42"/>
      <c r="R11993" s="23"/>
    </row>
    <row r="11994" spans="1:18" ht="12.75">
      <c r="A11994" s="12"/>
      <c r="D11994" s="12"/>
      <c r="E11994" s="12"/>
      <c r="H11994" s="11" t="str">
        <f ca="1">IFERROR(__xludf.DUMMYFUNCTION("IFERROR(SUBSTITUTE(SUBSTITUTE(REGEXEXTRACT(A11994, ""[^-]+- [^-]+- [^-]+ - (.+?)\.jpg""), "".jpg"", """"), ""-"", "", ""), """")"),"")</f>
        <v/>
      </c>
      <c r="L11994" s="12"/>
      <c r="M11994" s="13"/>
      <c r="N11994" s="2"/>
      <c r="O11994" s="20"/>
      <c r="P11994" s="42"/>
      <c r="R11994" s="23"/>
    </row>
    <row r="11995" spans="1:18" ht="12.75">
      <c r="A11995" s="12"/>
      <c r="D11995" s="12"/>
      <c r="E11995" s="12"/>
      <c r="H11995" s="11" t="str">
        <f ca="1">IFERROR(__xludf.DUMMYFUNCTION("IFERROR(SUBSTITUTE(SUBSTITUTE(REGEXEXTRACT(A11995, ""[^-]+- [^-]+- [^-]+ - (.+?)\.jpg""), "".jpg"", """"), ""-"", "", ""), """")"),"")</f>
        <v/>
      </c>
      <c r="L11995" s="12"/>
      <c r="M11995" s="13"/>
      <c r="N11995" s="2"/>
      <c r="O11995" s="20"/>
      <c r="P11995" s="42"/>
      <c r="R11995" s="23"/>
    </row>
    <row r="11996" spans="1:18" ht="12.75">
      <c r="A11996" s="12"/>
      <c r="D11996" s="12"/>
      <c r="E11996" s="12"/>
      <c r="H11996" s="11" t="str">
        <f ca="1">IFERROR(__xludf.DUMMYFUNCTION("IFERROR(SUBSTITUTE(SUBSTITUTE(REGEXEXTRACT(A11996, ""[^-]+- [^-]+- [^-]+ - (.+?)\.jpg""), "".jpg"", """"), ""-"", "", ""), """")"),"")</f>
        <v/>
      </c>
      <c r="L11996" s="12"/>
      <c r="M11996" s="13"/>
      <c r="N11996" s="2"/>
      <c r="O11996" s="20"/>
      <c r="P11996" s="42"/>
      <c r="R11996" s="23"/>
    </row>
    <row r="11997" spans="1:18" ht="12.75">
      <c r="A11997" s="12"/>
      <c r="D11997" s="12"/>
      <c r="E11997" s="12"/>
      <c r="H11997" s="11" t="str">
        <f ca="1">IFERROR(__xludf.DUMMYFUNCTION("IFERROR(SUBSTITUTE(SUBSTITUTE(REGEXEXTRACT(A11997, ""[^-]+- [^-]+- [^-]+ - (.+?)\.jpg""), "".jpg"", """"), ""-"", "", ""), """")"),"")</f>
        <v/>
      </c>
      <c r="L11997" s="12"/>
      <c r="M11997" s="13"/>
      <c r="N11997" s="2"/>
      <c r="O11997" s="20"/>
      <c r="P11997" s="42"/>
      <c r="R11997" s="23"/>
    </row>
    <row r="11998" spans="1:18" ht="12.75">
      <c r="A11998" s="12"/>
      <c r="D11998" s="12"/>
      <c r="E11998" s="12"/>
      <c r="H11998" s="11" t="str">
        <f ca="1">IFERROR(__xludf.DUMMYFUNCTION("IFERROR(SUBSTITUTE(SUBSTITUTE(REGEXEXTRACT(A11998, ""[^-]+- [^-]+- [^-]+ - (.+?)\.jpg""), "".jpg"", """"), ""-"", "", ""), """")"),"")</f>
        <v/>
      </c>
      <c r="L11998" s="12"/>
      <c r="M11998" s="13"/>
      <c r="N11998" s="2"/>
      <c r="O11998" s="20"/>
      <c r="P11998" s="42"/>
      <c r="R11998" s="23"/>
    </row>
    <row r="11999" spans="1:18" ht="12.75">
      <c r="A11999" s="12"/>
      <c r="D11999" s="12"/>
      <c r="E11999" s="12"/>
      <c r="H11999" s="11" t="str">
        <f ca="1">IFERROR(__xludf.DUMMYFUNCTION("IFERROR(SUBSTITUTE(SUBSTITUTE(REGEXEXTRACT(A11999, ""[^-]+- [^-]+- [^-]+ - (.+?)\.jpg""), "".jpg"", """"), ""-"", "", ""), """")"),"")</f>
        <v/>
      </c>
      <c r="L11999" s="12"/>
      <c r="M11999" s="13"/>
      <c r="N11999" s="2"/>
      <c r="O11999" s="20"/>
      <c r="P11999" s="42"/>
      <c r="R11999" s="23"/>
    </row>
    <row r="12000" spans="1:18" ht="12.75">
      <c r="A12000" s="12"/>
      <c r="D12000" s="12"/>
      <c r="E12000" s="12"/>
      <c r="H12000" s="11" t="str">
        <f ca="1">IFERROR(__xludf.DUMMYFUNCTION("IFERROR(SUBSTITUTE(SUBSTITUTE(REGEXEXTRACT(A12000, ""[^-]+- [^-]+- [^-]+ - (.+?)\.jpg""), "".jpg"", """"), ""-"", "", ""), """")"),"")</f>
        <v/>
      </c>
      <c r="L12000" s="12"/>
      <c r="M12000" s="13"/>
      <c r="N12000" s="2"/>
      <c r="O12000" s="20"/>
      <c r="P12000" s="42"/>
      <c r="R12000" s="23"/>
    </row>
    <row r="12001" spans="1:18" ht="12.75">
      <c r="A12001" s="12"/>
      <c r="D12001" s="12"/>
      <c r="E12001" s="12"/>
      <c r="H12001" s="11" t="str">
        <f ca="1">IFERROR(__xludf.DUMMYFUNCTION("IFERROR(SUBSTITUTE(SUBSTITUTE(REGEXEXTRACT(A12001, ""[^-]+- [^-]+- [^-]+ - (.+?)\.jpg""), "".jpg"", """"), ""-"", "", ""), """")"),"")</f>
        <v/>
      </c>
      <c r="L12001" s="12"/>
      <c r="M12001" s="13"/>
      <c r="N12001" s="2"/>
      <c r="O12001" s="20"/>
      <c r="P12001" s="42"/>
      <c r="R12001" s="23"/>
    </row>
    <row r="12002" spans="1:18" ht="12.75">
      <c r="A12002" s="12"/>
      <c r="D12002" s="12"/>
      <c r="E12002" s="12"/>
      <c r="H12002" s="11" t="str">
        <f ca="1">IFERROR(__xludf.DUMMYFUNCTION("IFERROR(SUBSTITUTE(SUBSTITUTE(REGEXEXTRACT(A12002, ""[^-]+- [^-]+- [^-]+ - (.+?)\.jpg""), "".jpg"", """"), ""-"", "", ""), """")"),"")</f>
        <v/>
      </c>
      <c r="L12002" s="12"/>
      <c r="M12002" s="13"/>
      <c r="N12002" s="2"/>
      <c r="O12002" s="20"/>
      <c r="P12002" s="42"/>
      <c r="R12002" s="23"/>
    </row>
    <row r="12003" spans="1:18" ht="12.75">
      <c r="A12003" s="12"/>
      <c r="D12003" s="12"/>
      <c r="E12003" s="12"/>
      <c r="H12003" s="11" t="str">
        <f ca="1">IFERROR(__xludf.DUMMYFUNCTION("IFERROR(SUBSTITUTE(SUBSTITUTE(REGEXEXTRACT(A12003, ""[^-]+- [^-]+- [^-]+ - (.+?)\.jpg""), "".jpg"", """"), ""-"", "", ""), """")"),"")</f>
        <v/>
      </c>
      <c r="L12003" s="12"/>
      <c r="M12003" s="13"/>
      <c r="N12003" s="2"/>
      <c r="O12003" s="20"/>
      <c r="P12003" s="42"/>
      <c r="R12003" s="23"/>
    </row>
    <row r="12004" spans="1:18" ht="12.75">
      <c r="A12004" s="12"/>
      <c r="D12004" s="12"/>
      <c r="E12004" s="12"/>
      <c r="H12004" s="11" t="str">
        <f ca="1">IFERROR(__xludf.DUMMYFUNCTION("IFERROR(SUBSTITUTE(SUBSTITUTE(REGEXEXTRACT(A12004, ""[^-]+- [^-]+- [^-]+ - (.+?)\.jpg""), "".jpg"", """"), ""-"", "", ""), """")"),"")</f>
        <v/>
      </c>
      <c r="L12004" s="12"/>
      <c r="M12004" s="13"/>
      <c r="N12004" s="2"/>
      <c r="O12004" s="20"/>
      <c r="P12004" s="42"/>
      <c r="R12004" s="23"/>
    </row>
    <row r="12005" spans="1:18" ht="12.75">
      <c r="A12005" s="12"/>
      <c r="D12005" s="12"/>
      <c r="E12005" s="12"/>
      <c r="H12005" s="11" t="str">
        <f ca="1">IFERROR(__xludf.DUMMYFUNCTION("IFERROR(SUBSTITUTE(SUBSTITUTE(REGEXEXTRACT(A12005, ""[^-]+- [^-]+- [^-]+ - (.+?)\.jpg""), "".jpg"", """"), ""-"", "", ""), """")"),"")</f>
        <v/>
      </c>
      <c r="L12005" s="12"/>
      <c r="M12005" s="13"/>
      <c r="N12005" s="2"/>
      <c r="O12005" s="20"/>
      <c r="P12005" s="42"/>
      <c r="R12005" s="23"/>
    </row>
    <row r="12006" spans="1:18" ht="12.75">
      <c r="A12006" s="12"/>
      <c r="D12006" s="12"/>
      <c r="E12006" s="12"/>
      <c r="H12006" s="11" t="str">
        <f ca="1">IFERROR(__xludf.DUMMYFUNCTION("IFERROR(SUBSTITUTE(SUBSTITUTE(REGEXEXTRACT(A12006, ""[^-]+- [^-]+- [^-]+ - (.+?)\.jpg""), "".jpg"", """"), ""-"", "", ""), """")"),"")</f>
        <v/>
      </c>
      <c r="L12006" s="12"/>
      <c r="M12006" s="13"/>
      <c r="N12006" s="2"/>
      <c r="O12006" s="20"/>
      <c r="P12006" s="42"/>
      <c r="R12006" s="23"/>
    </row>
    <row r="12007" spans="1:18" ht="12.75">
      <c r="A12007" s="12"/>
      <c r="D12007" s="12"/>
      <c r="E12007" s="12"/>
      <c r="H12007" s="11" t="str">
        <f ca="1">IFERROR(__xludf.DUMMYFUNCTION("IFERROR(SUBSTITUTE(SUBSTITUTE(REGEXEXTRACT(A12007, ""[^-]+- [^-]+- [^-]+ - (.+?)\.jpg""), "".jpg"", """"), ""-"", "", ""), """")"),"")</f>
        <v/>
      </c>
      <c r="L12007" s="12"/>
      <c r="M12007" s="13"/>
      <c r="N12007" s="2"/>
      <c r="O12007" s="20"/>
      <c r="P12007" s="42"/>
      <c r="R12007" s="23"/>
    </row>
    <row r="12008" spans="1:18" ht="12.75">
      <c r="A12008" s="12"/>
      <c r="D12008" s="12"/>
      <c r="E12008" s="12"/>
      <c r="H12008" s="11" t="str">
        <f ca="1">IFERROR(__xludf.DUMMYFUNCTION("IFERROR(SUBSTITUTE(SUBSTITUTE(REGEXEXTRACT(A12008, ""[^-]+- [^-]+- [^-]+ - (.+?)\.jpg""), "".jpg"", """"), ""-"", "", ""), """")"),"")</f>
        <v/>
      </c>
      <c r="L12008" s="12"/>
      <c r="M12008" s="13"/>
      <c r="N12008" s="2"/>
      <c r="O12008" s="20"/>
      <c r="P12008" s="42"/>
      <c r="R12008" s="23"/>
    </row>
    <row r="12009" spans="1:18" ht="12.75">
      <c r="A12009" s="12"/>
      <c r="D12009" s="12"/>
      <c r="E12009" s="12"/>
      <c r="H12009" s="11" t="str">
        <f ca="1">IFERROR(__xludf.DUMMYFUNCTION("IFERROR(SUBSTITUTE(SUBSTITUTE(REGEXEXTRACT(A12009, ""[^-]+- [^-]+- [^-]+ - (.+?)\.jpg""), "".jpg"", """"), ""-"", "", ""), """")"),"")</f>
        <v/>
      </c>
      <c r="L12009" s="12"/>
      <c r="M12009" s="13"/>
      <c r="N12009" s="2"/>
      <c r="O12009" s="20"/>
      <c r="P12009" s="42"/>
      <c r="R12009" s="23"/>
    </row>
    <row r="12010" spans="1:18" ht="12.75">
      <c r="A12010" s="12"/>
      <c r="D12010" s="12"/>
      <c r="E12010" s="12"/>
      <c r="H12010" s="11" t="str">
        <f ca="1">IFERROR(__xludf.DUMMYFUNCTION("IFERROR(SUBSTITUTE(SUBSTITUTE(REGEXEXTRACT(A12010, ""[^-]+- [^-]+- [^-]+ - (.+?)\.jpg""), "".jpg"", """"), ""-"", "", ""), """")"),"")</f>
        <v/>
      </c>
      <c r="L12010" s="12"/>
      <c r="M12010" s="13"/>
      <c r="N12010" s="2"/>
      <c r="O12010" s="20"/>
      <c r="P12010" s="42"/>
      <c r="R12010" s="23"/>
    </row>
    <row r="12011" spans="1:18" ht="12.75">
      <c r="A12011" s="12"/>
      <c r="D12011" s="12"/>
      <c r="E12011" s="12"/>
      <c r="H12011" s="11" t="str">
        <f ca="1">IFERROR(__xludf.DUMMYFUNCTION("IFERROR(SUBSTITUTE(SUBSTITUTE(REGEXEXTRACT(A12011, ""[^-]+- [^-]+- [^-]+ - (.+?)\.jpg""), "".jpg"", """"), ""-"", "", ""), """")"),"")</f>
        <v/>
      </c>
      <c r="L12011" s="12"/>
      <c r="M12011" s="13"/>
      <c r="N12011" s="2"/>
      <c r="O12011" s="20"/>
      <c r="P12011" s="42"/>
      <c r="R12011" s="23"/>
    </row>
    <row r="12012" spans="1:18" ht="12.75">
      <c r="A12012" s="12"/>
      <c r="D12012" s="12"/>
      <c r="E12012" s="12"/>
      <c r="H12012" s="11" t="str">
        <f ca="1">IFERROR(__xludf.DUMMYFUNCTION("IFERROR(SUBSTITUTE(SUBSTITUTE(REGEXEXTRACT(A12012, ""[^-]+- [^-]+- [^-]+ - (.+?)\.jpg""), "".jpg"", """"), ""-"", "", ""), """")"),"")</f>
        <v/>
      </c>
      <c r="L12012" s="12"/>
      <c r="M12012" s="13"/>
      <c r="N12012" s="2"/>
      <c r="O12012" s="20"/>
      <c r="P12012" s="42"/>
      <c r="R12012" s="23"/>
    </row>
    <row r="12013" spans="1:18" ht="12.75">
      <c r="A12013" s="12"/>
      <c r="D12013" s="12"/>
      <c r="E12013" s="12"/>
      <c r="H12013" s="11" t="str">
        <f ca="1">IFERROR(__xludf.DUMMYFUNCTION("IFERROR(SUBSTITUTE(SUBSTITUTE(REGEXEXTRACT(A12013, ""[^-]+- [^-]+- [^-]+ - (.+?)\.jpg""), "".jpg"", """"), ""-"", "", ""), """")"),"")</f>
        <v/>
      </c>
      <c r="L12013" s="12"/>
      <c r="M12013" s="13"/>
      <c r="N12013" s="2"/>
      <c r="O12013" s="20"/>
      <c r="P12013" s="42"/>
      <c r="R12013" s="23"/>
    </row>
    <row r="12014" spans="1:18" ht="12.75">
      <c r="A12014" s="12"/>
      <c r="D12014" s="12"/>
      <c r="E12014" s="12"/>
      <c r="H12014" s="11" t="str">
        <f ca="1">IFERROR(__xludf.DUMMYFUNCTION("IFERROR(SUBSTITUTE(SUBSTITUTE(REGEXEXTRACT(A12014, ""[^-]+- [^-]+- [^-]+ - (.+?)\.jpg""), "".jpg"", """"), ""-"", "", ""), """")"),"")</f>
        <v/>
      </c>
      <c r="L12014" s="12"/>
      <c r="M12014" s="13"/>
      <c r="N12014" s="2"/>
      <c r="O12014" s="20"/>
      <c r="P12014" s="42"/>
      <c r="R12014" s="23"/>
    </row>
    <row r="12015" spans="1:18" ht="12.75">
      <c r="A12015" s="12"/>
      <c r="D12015" s="12"/>
      <c r="E12015" s="12"/>
      <c r="H12015" s="11" t="str">
        <f ca="1">IFERROR(__xludf.DUMMYFUNCTION("IFERROR(SUBSTITUTE(SUBSTITUTE(REGEXEXTRACT(A12015, ""[^-]+- [^-]+- [^-]+ - (.+?)\.jpg""), "".jpg"", """"), ""-"", "", ""), """")"),"")</f>
        <v/>
      </c>
      <c r="L12015" s="12"/>
      <c r="M12015" s="13"/>
      <c r="N12015" s="2"/>
      <c r="O12015" s="20"/>
      <c r="P12015" s="42"/>
      <c r="R12015" s="23"/>
    </row>
    <row r="12016" spans="1:18" ht="12.75">
      <c r="A12016" s="12"/>
      <c r="D12016" s="12"/>
      <c r="E12016" s="12"/>
      <c r="H12016" s="11" t="str">
        <f ca="1">IFERROR(__xludf.DUMMYFUNCTION("IFERROR(SUBSTITUTE(SUBSTITUTE(REGEXEXTRACT(A12016, ""[^-]+- [^-]+- [^-]+ - (.+?)\.jpg""), "".jpg"", """"), ""-"", "", ""), """")"),"")</f>
        <v/>
      </c>
      <c r="L12016" s="12"/>
      <c r="M12016" s="13"/>
      <c r="N12016" s="2"/>
      <c r="O12016" s="20"/>
      <c r="P12016" s="42"/>
      <c r="R12016" s="23"/>
    </row>
    <row r="12017" spans="1:18" ht="12.75">
      <c r="A12017" s="12"/>
      <c r="D12017" s="12"/>
      <c r="E12017" s="12"/>
      <c r="H12017" s="11" t="str">
        <f ca="1">IFERROR(__xludf.DUMMYFUNCTION("IFERROR(SUBSTITUTE(SUBSTITUTE(REGEXEXTRACT(A12017, ""[^-]+- [^-]+- [^-]+ - (.+?)\.jpg""), "".jpg"", """"), ""-"", "", ""), """")"),"")</f>
        <v/>
      </c>
      <c r="L12017" s="12"/>
      <c r="M12017" s="13"/>
      <c r="N12017" s="2"/>
      <c r="O12017" s="20"/>
      <c r="P12017" s="42"/>
      <c r="R12017" s="23"/>
    </row>
    <row r="12018" spans="1:18" ht="12.75">
      <c r="A12018" s="12"/>
      <c r="D12018" s="12"/>
      <c r="E12018" s="12"/>
      <c r="H12018" s="11" t="str">
        <f ca="1">IFERROR(__xludf.DUMMYFUNCTION("IFERROR(SUBSTITUTE(SUBSTITUTE(REGEXEXTRACT(A12018, ""[^-]+- [^-]+- [^-]+ - (.+?)\.jpg""), "".jpg"", """"), ""-"", "", ""), """")"),"")</f>
        <v/>
      </c>
      <c r="L12018" s="12"/>
      <c r="M12018" s="13"/>
      <c r="N12018" s="2"/>
      <c r="O12018" s="20"/>
      <c r="P12018" s="42"/>
      <c r="R12018" s="23"/>
    </row>
    <row r="12019" spans="1:18" ht="12.75">
      <c r="A12019" s="12"/>
      <c r="D12019" s="12"/>
      <c r="E12019" s="12"/>
      <c r="H12019" s="11" t="str">
        <f ca="1">IFERROR(__xludf.DUMMYFUNCTION("IFERROR(SUBSTITUTE(SUBSTITUTE(REGEXEXTRACT(A12019, ""[^-]+- [^-]+- [^-]+ - (.+?)\.jpg""), "".jpg"", """"), ""-"", "", ""), """")"),"")</f>
        <v/>
      </c>
      <c r="L12019" s="12"/>
      <c r="M12019" s="13"/>
      <c r="N12019" s="2"/>
      <c r="O12019" s="20"/>
      <c r="P12019" s="42"/>
      <c r="R12019" s="23"/>
    </row>
    <row r="12020" spans="1:18" ht="12.75">
      <c r="A12020" s="12"/>
      <c r="D12020" s="12"/>
      <c r="E12020" s="12"/>
      <c r="H12020" s="11" t="str">
        <f ca="1">IFERROR(__xludf.DUMMYFUNCTION("IFERROR(SUBSTITUTE(SUBSTITUTE(REGEXEXTRACT(A12020, ""[^-]+- [^-]+- [^-]+ - (.+?)\.jpg""), "".jpg"", """"), ""-"", "", ""), """")"),"")</f>
        <v/>
      </c>
      <c r="L12020" s="12"/>
      <c r="M12020" s="13"/>
      <c r="N12020" s="2"/>
      <c r="O12020" s="20"/>
      <c r="P12020" s="42"/>
      <c r="R12020" s="23"/>
    </row>
    <row r="12021" spans="1:18" ht="12.75">
      <c r="A12021" s="12"/>
      <c r="D12021" s="12"/>
      <c r="E12021" s="12"/>
      <c r="H12021" s="11" t="str">
        <f ca="1">IFERROR(__xludf.DUMMYFUNCTION("IFERROR(SUBSTITUTE(SUBSTITUTE(REGEXEXTRACT(A12021, ""[^-]+- [^-]+- [^-]+ - (.+?)\.jpg""), "".jpg"", """"), ""-"", "", ""), """")"),"")</f>
        <v/>
      </c>
      <c r="L12021" s="12"/>
      <c r="M12021" s="13"/>
      <c r="N12021" s="2"/>
      <c r="O12021" s="20"/>
      <c r="P12021" s="42"/>
      <c r="R12021" s="23"/>
    </row>
    <row r="12022" spans="1:18" ht="12.75">
      <c r="A12022" s="12"/>
      <c r="D12022" s="12"/>
      <c r="E12022" s="12"/>
      <c r="H12022" s="11" t="str">
        <f ca="1">IFERROR(__xludf.DUMMYFUNCTION("IFERROR(SUBSTITUTE(SUBSTITUTE(REGEXEXTRACT(A12022, ""[^-]+- [^-]+- [^-]+ - (.+?)\.jpg""), "".jpg"", """"), ""-"", "", ""), """")"),"")</f>
        <v/>
      </c>
      <c r="L12022" s="12"/>
      <c r="M12022" s="13"/>
      <c r="N12022" s="2"/>
      <c r="O12022" s="20"/>
      <c r="P12022" s="42"/>
      <c r="R12022" s="23"/>
    </row>
    <row r="12023" spans="1:18" ht="12.75">
      <c r="A12023" s="12"/>
      <c r="D12023" s="12"/>
      <c r="E12023" s="12"/>
      <c r="H12023" s="11" t="str">
        <f ca="1">IFERROR(__xludf.DUMMYFUNCTION("IFERROR(SUBSTITUTE(SUBSTITUTE(REGEXEXTRACT(A12023, ""[^-]+- [^-]+- [^-]+ - (.+?)\.jpg""), "".jpg"", """"), ""-"", "", ""), """")"),"")</f>
        <v/>
      </c>
      <c r="L12023" s="12"/>
      <c r="M12023" s="13"/>
      <c r="N12023" s="2"/>
      <c r="O12023" s="20"/>
      <c r="P12023" s="42"/>
      <c r="R12023" s="23"/>
    </row>
    <row r="12024" spans="1:18" ht="12.75">
      <c r="A12024" s="12"/>
      <c r="D12024" s="12"/>
      <c r="E12024" s="12"/>
      <c r="H12024" s="11" t="str">
        <f ca="1">IFERROR(__xludf.DUMMYFUNCTION("IFERROR(SUBSTITUTE(SUBSTITUTE(REGEXEXTRACT(A12024, ""[^-]+- [^-]+- [^-]+ - (.+?)\.jpg""), "".jpg"", """"), ""-"", "", ""), """")"),"")</f>
        <v/>
      </c>
      <c r="L12024" s="12"/>
      <c r="M12024" s="13"/>
      <c r="N12024" s="2"/>
      <c r="O12024" s="20"/>
      <c r="P12024" s="42"/>
      <c r="R12024" s="23"/>
    </row>
    <row r="12025" spans="1:18" ht="12.75">
      <c r="A12025" s="12"/>
      <c r="D12025" s="12"/>
      <c r="E12025" s="12"/>
      <c r="H12025" s="11" t="str">
        <f ca="1">IFERROR(__xludf.DUMMYFUNCTION("IFERROR(SUBSTITUTE(SUBSTITUTE(REGEXEXTRACT(A12025, ""[^-]+- [^-]+- [^-]+ - (.+?)\.jpg""), "".jpg"", """"), ""-"", "", ""), """")"),"")</f>
        <v/>
      </c>
      <c r="L12025" s="12"/>
      <c r="M12025" s="13"/>
      <c r="N12025" s="2"/>
      <c r="O12025" s="20"/>
      <c r="P12025" s="42"/>
      <c r="R12025" s="23"/>
    </row>
    <row r="12026" spans="1:18" ht="12.75">
      <c r="A12026" s="12"/>
      <c r="D12026" s="12"/>
      <c r="E12026" s="12"/>
      <c r="H12026" s="11" t="str">
        <f ca="1">IFERROR(__xludf.DUMMYFUNCTION("IFERROR(SUBSTITUTE(SUBSTITUTE(REGEXEXTRACT(A12026, ""[^-]+- [^-]+- [^-]+ - (.+?)\.jpg""), "".jpg"", """"), ""-"", "", ""), """")"),"")</f>
        <v/>
      </c>
      <c r="L12026" s="12"/>
      <c r="M12026" s="13"/>
      <c r="N12026" s="2"/>
      <c r="O12026" s="20"/>
      <c r="P12026" s="42"/>
      <c r="R12026" s="23"/>
    </row>
    <row r="12027" spans="1:18" ht="12.75">
      <c r="A12027" s="12"/>
      <c r="D12027" s="12"/>
      <c r="E12027" s="12"/>
      <c r="H12027" s="11" t="str">
        <f ca="1">IFERROR(__xludf.DUMMYFUNCTION("IFERROR(SUBSTITUTE(SUBSTITUTE(REGEXEXTRACT(A12027, ""[^-]+- [^-]+- [^-]+ - (.+?)\.jpg""), "".jpg"", """"), ""-"", "", ""), """")"),"")</f>
        <v/>
      </c>
      <c r="L12027" s="12"/>
      <c r="M12027" s="13"/>
      <c r="N12027" s="2"/>
      <c r="O12027" s="20"/>
      <c r="P12027" s="42"/>
      <c r="R12027" s="23"/>
    </row>
    <row r="12028" spans="1:18" ht="12.75">
      <c r="A12028" s="12"/>
      <c r="D12028" s="12"/>
      <c r="E12028" s="12"/>
      <c r="H12028" s="11" t="str">
        <f ca="1">IFERROR(__xludf.DUMMYFUNCTION("IFERROR(SUBSTITUTE(SUBSTITUTE(REGEXEXTRACT(A12028, ""[^-]+- [^-]+- [^-]+ - (.+?)\.jpg""), "".jpg"", """"), ""-"", "", ""), """")"),"")</f>
        <v/>
      </c>
      <c r="L12028" s="12"/>
      <c r="M12028" s="13"/>
      <c r="N12028" s="2"/>
      <c r="O12028" s="20"/>
      <c r="P12028" s="42"/>
      <c r="R12028" s="23"/>
    </row>
    <row r="12029" spans="1:18" ht="12.75">
      <c r="A12029" s="12"/>
      <c r="D12029" s="12"/>
      <c r="E12029" s="12"/>
      <c r="H12029" s="11" t="str">
        <f ca="1">IFERROR(__xludf.DUMMYFUNCTION("IFERROR(SUBSTITUTE(SUBSTITUTE(REGEXEXTRACT(A12029, ""[^-]+- [^-]+- [^-]+ - (.+?)\.jpg""), "".jpg"", """"), ""-"", "", ""), """")"),"")</f>
        <v/>
      </c>
      <c r="L12029" s="12"/>
      <c r="M12029" s="13"/>
      <c r="N12029" s="2"/>
      <c r="O12029" s="20"/>
      <c r="P12029" s="42"/>
      <c r="R12029" s="23"/>
    </row>
    <row r="12030" spans="1:18" ht="12.75">
      <c r="A12030" s="12"/>
      <c r="D12030" s="12"/>
      <c r="E12030" s="12"/>
      <c r="H12030" s="11" t="str">
        <f ca="1">IFERROR(__xludf.DUMMYFUNCTION("IFERROR(SUBSTITUTE(SUBSTITUTE(REGEXEXTRACT(A12030, ""[^-]+- [^-]+- [^-]+ - (.+?)\.jpg""), "".jpg"", """"), ""-"", "", ""), """")"),"")</f>
        <v/>
      </c>
      <c r="L12030" s="12"/>
      <c r="M12030" s="13"/>
      <c r="N12030" s="2"/>
      <c r="O12030" s="20"/>
      <c r="P12030" s="42"/>
      <c r="R12030" s="23"/>
    </row>
    <row r="12031" spans="1:18" ht="12.75">
      <c r="A12031" s="12"/>
      <c r="D12031" s="12"/>
      <c r="E12031" s="12"/>
      <c r="H12031" s="11" t="str">
        <f ca="1">IFERROR(__xludf.DUMMYFUNCTION("IFERROR(SUBSTITUTE(SUBSTITUTE(REGEXEXTRACT(A12031, ""[^-]+- [^-]+- [^-]+ - (.+?)\.jpg""), "".jpg"", """"), ""-"", "", ""), """")"),"")</f>
        <v/>
      </c>
      <c r="L12031" s="12"/>
      <c r="M12031" s="13"/>
      <c r="N12031" s="2"/>
      <c r="O12031" s="20"/>
      <c r="P12031" s="42"/>
      <c r="R12031" s="23"/>
    </row>
    <row r="12032" spans="1:18" ht="12.75">
      <c r="A12032" s="12"/>
      <c r="D12032" s="12"/>
      <c r="E12032" s="12"/>
      <c r="H12032" s="11" t="str">
        <f ca="1">IFERROR(__xludf.DUMMYFUNCTION("IFERROR(SUBSTITUTE(SUBSTITUTE(REGEXEXTRACT(A12032, ""[^-]+- [^-]+- [^-]+ - (.+?)\.jpg""), "".jpg"", """"), ""-"", "", ""), """")"),"")</f>
        <v/>
      </c>
      <c r="L12032" s="12"/>
      <c r="M12032" s="13"/>
      <c r="N12032" s="2"/>
      <c r="O12032" s="20"/>
      <c r="P12032" s="42"/>
      <c r="R12032" s="23"/>
    </row>
    <row r="12033" spans="1:18" ht="12.75">
      <c r="A12033" s="12"/>
      <c r="D12033" s="12"/>
      <c r="E12033" s="12"/>
      <c r="H12033" s="11" t="str">
        <f ca="1">IFERROR(__xludf.DUMMYFUNCTION("IFERROR(SUBSTITUTE(SUBSTITUTE(REGEXEXTRACT(A12033, ""[^-]+- [^-]+- [^-]+ - (.+?)\.jpg""), "".jpg"", """"), ""-"", "", ""), """")"),"")</f>
        <v/>
      </c>
      <c r="L12033" s="12"/>
      <c r="M12033" s="13"/>
      <c r="N12033" s="2"/>
      <c r="O12033" s="20"/>
      <c r="P12033" s="42"/>
      <c r="R12033" s="23"/>
    </row>
    <row r="12034" spans="1:18" ht="12.75">
      <c r="A12034" s="12"/>
      <c r="D12034" s="12"/>
      <c r="E12034" s="12"/>
      <c r="H12034" s="11" t="str">
        <f ca="1">IFERROR(__xludf.DUMMYFUNCTION("IFERROR(SUBSTITUTE(SUBSTITUTE(REGEXEXTRACT(A12034, ""[^-]+- [^-]+- [^-]+ - (.+?)\.jpg""), "".jpg"", """"), ""-"", "", ""), """")"),"")</f>
        <v/>
      </c>
      <c r="L12034" s="12"/>
      <c r="M12034" s="13"/>
      <c r="N12034" s="2"/>
      <c r="O12034" s="20"/>
      <c r="P12034" s="42"/>
      <c r="R12034" s="23"/>
    </row>
    <row r="12035" spans="1:18" ht="12.75">
      <c r="A12035" s="12"/>
      <c r="D12035" s="12"/>
      <c r="E12035" s="12"/>
      <c r="H12035" s="11" t="str">
        <f ca="1">IFERROR(__xludf.DUMMYFUNCTION("IFERROR(SUBSTITUTE(SUBSTITUTE(REGEXEXTRACT(A12035, ""[^-]+- [^-]+- [^-]+ - (.+?)\.jpg""), "".jpg"", """"), ""-"", "", ""), """")"),"")</f>
        <v/>
      </c>
      <c r="L12035" s="12"/>
      <c r="M12035" s="13"/>
      <c r="N12035" s="2"/>
      <c r="O12035" s="20"/>
      <c r="P12035" s="42"/>
      <c r="R12035" s="23"/>
    </row>
    <row r="12036" spans="1:18" ht="12.75">
      <c r="A12036" s="12"/>
      <c r="D12036" s="12"/>
      <c r="E12036" s="12"/>
      <c r="H12036" s="11" t="str">
        <f ca="1">IFERROR(__xludf.DUMMYFUNCTION("IFERROR(SUBSTITUTE(SUBSTITUTE(REGEXEXTRACT(A12036, ""[^-]+- [^-]+- [^-]+ - (.+?)\.jpg""), "".jpg"", """"), ""-"", "", ""), """")"),"")</f>
        <v/>
      </c>
      <c r="L12036" s="12"/>
      <c r="M12036" s="13"/>
      <c r="N12036" s="2"/>
      <c r="O12036" s="20"/>
      <c r="P12036" s="42"/>
      <c r="R12036" s="23"/>
    </row>
    <row r="12037" spans="1:18" ht="12.75">
      <c r="A12037" s="12"/>
      <c r="D12037" s="12"/>
      <c r="E12037" s="12"/>
      <c r="H12037" s="11" t="str">
        <f ca="1">IFERROR(__xludf.DUMMYFUNCTION("IFERROR(SUBSTITUTE(SUBSTITUTE(REGEXEXTRACT(A12037, ""[^-]+- [^-]+- [^-]+ - (.+?)\.jpg""), "".jpg"", """"), ""-"", "", ""), """")"),"")</f>
        <v/>
      </c>
      <c r="L12037" s="12"/>
      <c r="M12037" s="13"/>
      <c r="N12037" s="2"/>
      <c r="O12037" s="20"/>
      <c r="P12037" s="42"/>
      <c r="R12037" s="23"/>
    </row>
    <row r="12038" spans="1:18" ht="12.75">
      <c r="A12038" s="12"/>
      <c r="D12038" s="12"/>
      <c r="E12038" s="12"/>
      <c r="H12038" s="11" t="str">
        <f ca="1">IFERROR(__xludf.DUMMYFUNCTION("IFERROR(SUBSTITUTE(SUBSTITUTE(REGEXEXTRACT(A12038, ""[^-]+- [^-]+- [^-]+ - (.+?)\.jpg""), "".jpg"", """"), ""-"", "", ""), """")"),"")</f>
        <v/>
      </c>
      <c r="L12038" s="12"/>
      <c r="M12038" s="13"/>
      <c r="N12038" s="2"/>
      <c r="O12038" s="20"/>
      <c r="P12038" s="42"/>
      <c r="R12038" s="23"/>
    </row>
    <row r="12039" spans="1:18" ht="12.75">
      <c r="A12039" s="12"/>
      <c r="D12039" s="12"/>
      <c r="E12039" s="12"/>
      <c r="H12039" s="11" t="str">
        <f ca="1">IFERROR(__xludf.DUMMYFUNCTION("IFERROR(SUBSTITUTE(SUBSTITUTE(REGEXEXTRACT(A12039, ""[^-]+- [^-]+- [^-]+ - (.+?)\.jpg""), "".jpg"", """"), ""-"", "", ""), """")"),"")</f>
        <v/>
      </c>
      <c r="L12039" s="12"/>
      <c r="M12039" s="13"/>
      <c r="N12039" s="2"/>
      <c r="O12039" s="20"/>
      <c r="P12039" s="42"/>
      <c r="R12039" s="23"/>
    </row>
    <row r="12040" spans="1:18" ht="12.75">
      <c r="A12040" s="12"/>
      <c r="D12040" s="12"/>
      <c r="E12040" s="12"/>
      <c r="H12040" s="11" t="str">
        <f ca="1">IFERROR(__xludf.DUMMYFUNCTION("IFERROR(SUBSTITUTE(SUBSTITUTE(REGEXEXTRACT(A12040, ""[^-]+- [^-]+- [^-]+ - (.+?)\.jpg""), "".jpg"", """"), ""-"", "", ""), """")"),"")</f>
        <v/>
      </c>
      <c r="L12040" s="12"/>
      <c r="M12040" s="13"/>
      <c r="N12040" s="2"/>
      <c r="O12040" s="20"/>
      <c r="P12040" s="42"/>
      <c r="R12040" s="23"/>
    </row>
    <row r="12041" spans="1:18" ht="12.75">
      <c r="A12041" s="12"/>
      <c r="D12041" s="12"/>
      <c r="E12041" s="12"/>
      <c r="H12041" s="11" t="str">
        <f ca="1">IFERROR(__xludf.DUMMYFUNCTION("IFERROR(SUBSTITUTE(SUBSTITUTE(REGEXEXTRACT(A12041, ""[^-]+- [^-]+- [^-]+ - (.+?)\.jpg""), "".jpg"", """"), ""-"", "", ""), """")"),"")</f>
        <v/>
      </c>
      <c r="L12041" s="12"/>
      <c r="M12041" s="13"/>
      <c r="N12041" s="2"/>
      <c r="O12041" s="20"/>
      <c r="P12041" s="42"/>
      <c r="R12041" s="23"/>
    </row>
    <row r="12042" spans="1:18" ht="12.75">
      <c r="A12042" s="12"/>
      <c r="D12042" s="12"/>
      <c r="E12042" s="12"/>
      <c r="H12042" s="11" t="str">
        <f ca="1">IFERROR(__xludf.DUMMYFUNCTION("IFERROR(SUBSTITUTE(SUBSTITUTE(REGEXEXTRACT(A12042, ""[^-]+- [^-]+- [^-]+ - (.+?)\.jpg""), "".jpg"", """"), ""-"", "", ""), """")"),"")</f>
        <v/>
      </c>
      <c r="L12042" s="12"/>
      <c r="M12042" s="13"/>
      <c r="N12042" s="2"/>
      <c r="O12042" s="20"/>
      <c r="P12042" s="42"/>
      <c r="R12042" s="23"/>
    </row>
    <row r="12043" spans="1:18" ht="12.75">
      <c r="A12043" s="12"/>
      <c r="D12043" s="12"/>
      <c r="E12043" s="12"/>
      <c r="H12043" s="11" t="str">
        <f ca="1">IFERROR(__xludf.DUMMYFUNCTION("IFERROR(SUBSTITUTE(SUBSTITUTE(REGEXEXTRACT(A12043, ""[^-]+- [^-]+- [^-]+ - (.+?)\.jpg""), "".jpg"", """"), ""-"", "", ""), """")"),"")</f>
        <v/>
      </c>
      <c r="L12043" s="12"/>
      <c r="M12043" s="13"/>
      <c r="N12043" s="2"/>
      <c r="O12043" s="20"/>
      <c r="P12043" s="42"/>
      <c r="R12043" s="23"/>
    </row>
    <row r="12044" spans="1:18" ht="12.75">
      <c r="A12044" s="12"/>
      <c r="D12044" s="12"/>
      <c r="E12044" s="12"/>
      <c r="H12044" s="11" t="str">
        <f ca="1">IFERROR(__xludf.DUMMYFUNCTION("IFERROR(SUBSTITUTE(SUBSTITUTE(REGEXEXTRACT(A12044, ""[^-]+- [^-]+- [^-]+ - (.+?)\.jpg""), "".jpg"", """"), ""-"", "", ""), """")"),"")</f>
        <v/>
      </c>
      <c r="L12044" s="12"/>
      <c r="M12044" s="13"/>
      <c r="N12044" s="2"/>
      <c r="O12044" s="20"/>
      <c r="P12044" s="42"/>
      <c r="R12044" s="23"/>
    </row>
    <row r="12045" spans="1:18" ht="12.75">
      <c r="A12045" s="12"/>
      <c r="D12045" s="12"/>
      <c r="E12045" s="12"/>
      <c r="H12045" s="11" t="str">
        <f ca="1">IFERROR(__xludf.DUMMYFUNCTION("IFERROR(SUBSTITUTE(SUBSTITUTE(REGEXEXTRACT(A12045, ""[^-]+- [^-]+- [^-]+ - (.+?)\.jpg""), "".jpg"", """"), ""-"", "", ""), """")"),"")</f>
        <v/>
      </c>
      <c r="L12045" s="12"/>
      <c r="M12045" s="13"/>
      <c r="N12045" s="2"/>
      <c r="O12045" s="20"/>
      <c r="P12045" s="42"/>
      <c r="R12045" s="23"/>
    </row>
    <row r="12046" spans="1:18" ht="12.75">
      <c r="A12046" s="12"/>
      <c r="D12046" s="12"/>
      <c r="E12046" s="12"/>
      <c r="H12046" s="11" t="str">
        <f ca="1">IFERROR(__xludf.DUMMYFUNCTION("IFERROR(SUBSTITUTE(SUBSTITUTE(REGEXEXTRACT(A12046, ""[^-]+- [^-]+- [^-]+ - (.+?)\.jpg""), "".jpg"", """"), ""-"", "", ""), """")"),"")</f>
        <v/>
      </c>
      <c r="L12046" s="12"/>
      <c r="M12046" s="13"/>
      <c r="N12046" s="2"/>
      <c r="O12046" s="20"/>
      <c r="P12046" s="42"/>
      <c r="R12046" s="23"/>
    </row>
    <row r="12047" spans="1:18" ht="12.75">
      <c r="A12047" s="12"/>
      <c r="D12047" s="12"/>
      <c r="E12047" s="12"/>
      <c r="H12047" s="11" t="str">
        <f ca="1">IFERROR(__xludf.DUMMYFUNCTION("IFERROR(SUBSTITUTE(SUBSTITUTE(REGEXEXTRACT(A12047, ""[^-]+- [^-]+- [^-]+ - (.+?)\.jpg""), "".jpg"", """"), ""-"", "", ""), """")"),"")</f>
        <v/>
      </c>
      <c r="L12047" s="12"/>
      <c r="M12047" s="13"/>
      <c r="N12047" s="2"/>
      <c r="O12047" s="20"/>
      <c r="P12047" s="42"/>
      <c r="R12047" s="23"/>
    </row>
    <row r="12048" spans="1:18" ht="12.75">
      <c r="A12048" s="12"/>
      <c r="D12048" s="12"/>
      <c r="E12048" s="12"/>
      <c r="H12048" s="11" t="str">
        <f ca="1">IFERROR(__xludf.DUMMYFUNCTION("IFERROR(SUBSTITUTE(SUBSTITUTE(REGEXEXTRACT(A12048, ""[^-]+- [^-]+- [^-]+ - (.+?)\.jpg""), "".jpg"", """"), ""-"", "", ""), """")"),"")</f>
        <v/>
      </c>
      <c r="L12048" s="12"/>
      <c r="M12048" s="13"/>
      <c r="N12048" s="2"/>
      <c r="O12048" s="20"/>
      <c r="P12048" s="42"/>
      <c r="R12048" s="23"/>
    </row>
    <row r="12049" spans="1:18" ht="12.75">
      <c r="A12049" s="12"/>
      <c r="D12049" s="12"/>
      <c r="E12049" s="12"/>
      <c r="H12049" s="11" t="str">
        <f ca="1">IFERROR(__xludf.DUMMYFUNCTION("IFERROR(SUBSTITUTE(SUBSTITUTE(REGEXEXTRACT(A12049, ""[^-]+- [^-]+- [^-]+ - (.+?)\.jpg""), "".jpg"", """"), ""-"", "", ""), """")"),"")</f>
        <v/>
      </c>
      <c r="L12049" s="12"/>
      <c r="M12049" s="13"/>
      <c r="N12049" s="2"/>
      <c r="O12049" s="20"/>
      <c r="P12049" s="42"/>
      <c r="R12049" s="23"/>
    </row>
    <row r="12050" spans="1:18" ht="12.75">
      <c r="A12050" s="12"/>
      <c r="D12050" s="12"/>
      <c r="E12050" s="12"/>
      <c r="H12050" s="11" t="str">
        <f ca="1">IFERROR(__xludf.DUMMYFUNCTION("IFERROR(SUBSTITUTE(SUBSTITUTE(REGEXEXTRACT(A12050, ""[^-]+- [^-]+- [^-]+ - (.+?)\.jpg""), "".jpg"", """"), ""-"", "", ""), """")"),"")</f>
        <v/>
      </c>
      <c r="L12050" s="12"/>
      <c r="M12050" s="13"/>
      <c r="N12050" s="2"/>
      <c r="O12050" s="20"/>
      <c r="P12050" s="42"/>
      <c r="R12050" s="23"/>
    </row>
    <row r="12051" spans="1:18" ht="12.75">
      <c r="A12051" s="12"/>
      <c r="D12051" s="12"/>
      <c r="E12051" s="12"/>
      <c r="H12051" s="11" t="str">
        <f ca="1">IFERROR(__xludf.DUMMYFUNCTION("IFERROR(SUBSTITUTE(SUBSTITUTE(REGEXEXTRACT(A12051, ""[^-]+- [^-]+- [^-]+ - (.+?)\.jpg""), "".jpg"", """"), ""-"", "", ""), """")"),"")</f>
        <v/>
      </c>
      <c r="L12051" s="12"/>
      <c r="M12051" s="13"/>
      <c r="N12051" s="2"/>
      <c r="O12051" s="20"/>
      <c r="P12051" s="42"/>
      <c r="R12051" s="23"/>
    </row>
    <row r="12052" spans="1:18" ht="12.75">
      <c r="A12052" s="12"/>
      <c r="D12052" s="12"/>
      <c r="E12052" s="12"/>
      <c r="H12052" s="11" t="str">
        <f ca="1">IFERROR(__xludf.DUMMYFUNCTION("IFERROR(SUBSTITUTE(SUBSTITUTE(REGEXEXTRACT(A12052, ""[^-]+- [^-]+- [^-]+ - (.+?)\.jpg""), "".jpg"", """"), ""-"", "", ""), """")"),"")</f>
        <v/>
      </c>
      <c r="L12052" s="12"/>
      <c r="M12052" s="13"/>
      <c r="N12052" s="2"/>
      <c r="O12052" s="20"/>
      <c r="P12052" s="42"/>
      <c r="R12052" s="23"/>
    </row>
    <row r="12053" spans="1:18" ht="12.75">
      <c r="A12053" s="12"/>
      <c r="D12053" s="12"/>
      <c r="E12053" s="12"/>
      <c r="H12053" s="11" t="str">
        <f ca="1">IFERROR(__xludf.DUMMYFUNCTION("IFERROR(SUBSTITUTE(SUBSTITUTE(REGEXEXTRACT(A12053, ""[^-]+- [^-]+- [^-]+ - (.+?)\.jpg""), "".jpg"", """"), ""-"", "", ""), """")"),"")</f>
        <v/>
      </c>
      <c r="L12053" s="12"/>
      <c r="M12053" s="13"/>
      <c r="N12053" s="2"/>
      <c r="O12053" s="20"/>
      <c r="P12053" s="42"/>
      <c r="R12053" s="23"/>
    </row>
    <row r="12054" spans="1:18" ht="12.75">
      <c r="A12054" s="12"/>
      <c r="D12054" s="12"/>
      <c r="E12054" s="12"/>
      <c r="H12054" s="11" t="str">
        <f ca="1">IFERROR(__xludf.DUMMYFUNCTION("IFERROR(SUBSTITUTE(SUBSTITUTE(REGEXEXTRACT(A12054, ""[^-]+- [^-]+- [^-]+ - (.+?)\.jpg""), "".jpg"", """"), ""-"", "", ""), """")"),"")</f>
        <v/>
      </c>
      <c r="L12054" s="12"/>
      <c r="M12054" s="13"/>
      <c r="N12054" s="2"/>
      <c r="O12054" s="20"/>
      <c r="P12054" s="42"/>
      <c r="R12054" s="23"/>
    </row>
    <row r="12055" spans="1:18" ht="12.75">
      <c r="A12055" s="12"/>
      <c r="D12055" s="12"/>
      <c r="E12055" s="12"/>
      <c r="H12055" s="11" t="str">
        <f ca="1">IFERROR(__xludf.DUMMYFUNCTION("IFERROR(SUBSTITUTE(SUBSTITUTE(REGEXEXTRACT(A12055, ""[^-]+- [^-]+- [^-]+ - (.+?)\.jpg""), "".jpg"", """"), ""-"", "", ""), """")"),"")</f>
        <v/>
      </c>
      <c r="L12055" s="12"/>
      <c r="M12055" s="13"/>
      <c r="N12055" s="2"/>
      <c r="O12055" s="20"/>
      <c r="P12055" s="42"/>
      <c r="R12055" s="23"/>
    </row>
    <row r="12056" spans="1:18" ht="12.75">
      <c r="A12056" s="12"/>
      <c r="D12056" s="12"/>
      <c r="E12056" s="12"/>
      <c r="H12056" s="11" t="str">
        <f ca="1">IFERROR(__xludf.DUMMYFUNCTION("IFERROR(SUBSTITUTE(SUBSTITUTE(REGEXEXTRACT(A12056, ""[^-]+- [^-]+- [^-]+ - (.+?)\.jpg""), "".jpg"", """"), ""-"", "", ""), """")"),"")</f>
        <v/>
      </c>
      <c r="L12056" s="12"/>
      <c r="M12056" s="13"/>
      <c r="N12056" s="2"/>
      <c r="O12056" s="20"/>
      <c r="P12056" s="42"/>
      <c r="R12056" s="23"/>
    </row>
    <row r="12057" spans="1:18" ht="12.75">
      <c r="A12057" s="12"/>
      <c r="D12057" s="12"/>
      <c r="E12057" s="12"/>
      <c r="H12057" s="11" t="str">
        <f ca="1">IFERROR(__xludf.DUMMYFUNCTION("IFERROR(SUBSTITUTE(SUBSTITUTE(REGEXEXTRACT(A12057, ""[^-]+- [^-]+- [^-]+ - (.+?)\.jpg""), "".jpg"", """"), ""-"", "", ""), """")"),"")</f>
        <v/>
      </c>
      <c r="L12057" s="12"/>
      <c r="M12057" s="13"/>
      <c r="N12057" s="2"/>
      <c r="O12057" s="20"/>
      <c r="P12057" s="42"/>
      <c r="R12057" s="23"/>
    </row>
    <row r="12058" spans="1:18" ht="12.75">
      <c r="A12058" s="12"/>
      <c r="D12058" s="12"/>
      <c r="E12058" s="12"/>
      <c r="H12058" s="11" t="str">
        <f ca="1">IFERROR(__xludf.DUMMYFUNCTION("IFERROR(SUBSTITUTE(SUBSTITUTE(REGEXEXTRACT(A12058, ""[^-]+- [^-]+- [^-]+ - (.+?)\.jpg""), "".jpg"", """"), ""-"", "", ""), """")"),"")</f>
        <v/>
      </c>
      <c r="L12058" s="12"/>
      <c r="M12058" s="13"/>
      <c r="N12058" s="2"/>
      <c r="O12058" s="20"/>
      <c r="P12058" s="42"/>
      <c r="R12058" s="23"/>
    </row>
    <row r="12059" spans="1:18" ht="12.75">
      <c r="A12059" s="12"/>
      <c r="D12059" s="12"/>
      <c r="E12059" s="12"/>
      <c r="H12059" s="11" t="str">
        <f ca="1">IFERROR(__xludf.DUMMYFUNCTION("IFERROR(SUBSTITUTE(SUBSTITUTE(REGEXEXTRACT(A12059, ""[^-]+- [^-]+- [^-]+ - (.+?)\.jpg""), "".jpg"", """"), ""-"", "", ""), """")"),"")</f>
        <v/>
      </c>
      <c r="L12059" s="12"/>
      <c r="M12059" s="13"/>
      <c r="N12059" s="2"/>
      <c r="O12059" s="20"/>
      <c r="P12059" s="42"/>
      <c r="R12059" s="23"/>
    </row>
    <row r="12060" spans="1:18" ht="12.75">
      <c r="A12060" s="12"/>
      <c r="D12060" s="12"/>
      <c r="E12060" s="12"/>
      <c r="H12060" s="11" t="str">
        <f ca="1">IFERROR(__xludf.DUMMYFUNCTION("IFERROR(SUBSTITUTE(SUBSTITUTE(REGEXEXTRACT(A12060, ""[^-]+- [^-]+- [^-]+ - (.+?)\.jpg""), "".jpg"", """"), ""-"", "", ""), """")"),"")</f>
        <v/>
      </c>
      <c r="L12060" s="12"/>
      <c r="M12060" s="13"/>
      <c r="N12060" s="2"/>
      <c r="O12060" s="20"/>
      <c r="P12060" s="42"/>
      <c r="R12060" s="23"/>
    </row>
    <row r="12061" spans="1:18" ht="12.75">
      <c r="A12061" s="12"/>
      <c r="D12061" s="12"/>
      <c r="E12061" s="12"/>
      <c r="H12061" s="11" t="str">
        <f ca="1">IFERROR(__xludf.DUMMYFUNCTION("IFERROR(SUBSTITUTE(SUBSTITUTE(REGEXEXTRACT(A12061, ""[^-]+- [^-]+- [^-]+ - (.+?)\.jpg""), "".jpg"", """"), ""-"", "", ""), """")"),"")</f>
        <v/>
      </c>
      <c r="L12061" s="12"/>
      <c r="M12061" s="13"/>
      <c r="N12061" s="2"/>
      <c r="O12061" s="20"/>
      <c r="P12061" s="42"/>
      <c r="R12061" s="23"/>
    </row>
    <row r="12062" spans="1:18" ht="12.75">
      <c r="A12062" s="12"/>
      <c r="D12062" s="12"/>
      <c r="E12062" s="12"/>
      <c r="H12062" s="11" t="str">
        <f ca="1">IFERROR(__xludf.DUMMYFUNCTION("IFERROR(SUBSTITUTE(SUBSTITUTE(REGEXEXTRACT(A12062, ""[^-]+- [^-]+- [^-]+ - (.+?)\.jpg""), "".jpg"", """"), ""-"", "", ""), """")"),"")</f>
        <v/>
      </c>
      <c r="L12062" s="12"/>
      <c r="M12062" s="13"/>
      <c r="N12062" s="2"/>
      <c r="O12062" s="20"/>
      <c r="P12062" s="42"/>
      <c r="R12062" s="23"/>
    </row>
    <row r="12063" spans="1:18" ht="12.75">
      <c r="A12063" s="12"/>
      <c r="D12063" s="12"/>
      <c r="E12063" s="12"/>
      <c r="H12063" s="11" t="str">
        <f ca="1">IFERROR(__xludf.DUMMYFUNCTION("IFERROR(SUBSTITUTE(SUBSTITUTE(REGEXEXTRACT(A12063, ""[^-]+- [^-]+- [^-]+ - (.+?)\.jpg""), "".jpg"", """"), ""-"", "", ""), """")"),"")</f>
        <v/>
      </c>
      <c r="L12063" s="12"/>
      <c r="M12063" s="13"/>
      <c r="N12063" s="2"/>
      <c r="O12063" s="20"/>
      <c r="P12063" s="42"/>
      <c r="R12063" s="23"/>
    </row>
    <row r="12064" spans="1:18" ht="12.75">
      <c r="A12064" s="12"/>
      <c r="D12064" s="12"/>
      <c r="E12064" s="12"/>
      <c r="H12064" s="11" t="str">
        <f ca="1">IFERROR(__xludf.DUMMYFUNCTION("IFERROR(SUBSTITUTE(SUBSTITUTE(REGEXEXTRACT(A12064, ""[^-]+- [^-]+- [^-]+ - (.+?)\.jpg""), "".jpg"", """"), ""-"", "", ""), """")"),"")</f>
        <v/>
      </c>
      <c r="L12064" s="12"/>
      <c r="M12064" s="13"/>
      <c r="N12064" s="2"/>
      <c r="O12064" s="20"/>
      <c r="P12064" s="42"/>
      <c r="R12064" s="23"/>
    </row>
    <row r="12065" spans="1:18" ht="12.75">
      <c r="A12065" s="12"/>
      <c r="D12065" s="12"/>
      <c r="E12065" s="12"/>
      <c r="H12065" s="11" t="str">
        <f ca="1">IFERROR(__xludf.DUMMYFUNCTION("IFERROR(SUBSTITUTE(SUBSTITUTE(REGEXEXTRACT(A12065, ""[^-]+- [^-]+- [^-]+ - (.+?)\.jpg""), "".jpg"", """"), ""-"", "", ""), """")"),"")</f>
        <v/>
      </c>
      <c r="L12065" s="12"/>
      <c r="M12065" s="13"/>
      <c r="N12065" s="2"/>
      <c r="O12065" s="20"/>
      <c r="P12065" s="42"/>
      <c r="R12065" s="23"/>
    </row>
    <row r="12066" spans="1:18" ht="12.75">
      <c r="A12066" s="12"/>
      <c r="D12066" s="12"/>
      <c r="E12066" s="12"/>
      <c r="H12066" s="11" t="str">
        <f ca="1">IFERROR(__xludf.DUMMYFUNCTION("IFERROR(SUBSTITUTE(SUBSTITUTE(REGEXEXTRACT(A12066, ""[^-]+- [^-]+- [^-]+ - (.+?)\.jpg""), "".jpg"", """"), ""-"", "", ""), """")"),"")</f>
        <v/>
      </c>
      <c r="L12066" s="12"/>
      <c r="M12066" s="13"/>
      <c r="N12066" s="2"/>
      <c r="O12066" s="20"/>
      <c r="P12066" s="42"/>
      <c r="R12066" s="23"/>
    </row>
    <row r="12067" spans="1:18" ht="12.75">
      <c r="A12067" s="12"/>
      <c r="D12067" s="12"/>
      <c r="E12067" s="12"/>
      <c r="H12067" s="11" t="str">
        <f ca="1">IFERROR(__xludf.DUMMYFUNCTION("IFERROR(SUBSTITUTE(SUBSTITUTE(REGEXEXTRACT(A12067, ""[^-]+- [^-]+- [^-]+ - (.+?)\.jpg""), "".jpg"", """"), ""-"", "", ""), """")"),"")</f>
        <v/>
      </c>
      <c r="L12067" s="12"/>
      <c r="M12067" s="13"/>
      <c r="N12067" s="2"/>
      <c r="O12067" s="20"/>
      <c r="P12067" s="42"/>
      <c r="R12067" s="23"/>
    </row>
    <row r="12068" spans="1:18" ht="12.75">
      <c r="A12068" s="12"/>
      <c r="D12068" s="12"/>
      <c r="E12068" s="12"/>
      <c r="H12068" s="11" t="str">
        <f ca="1">IFERROR(__xludf.DUMMYFUNCTION("IFERROR(SUBSTITUTE(SUBSTITUTE(REGEXEXTRACT(A12068, ""[^-]+- [^-]+- [^-]+ - (.+?)\.jpg""), "".jpg"", """"), ""-"", "", ""), """")"),"")</f>
        <v/>
      </c>
      <c r="L12068" s="12"/>
      <c r="M12068" s="13"/>
      <c r="N12068" s="2"/>
      <c r="O12068" s="20"/>
      <c r="P12068" s="42"/>
      <c r="R12068" s="23"/>
    </row>
    <row r="12069" spans="1:18" ht="12.75">
      <c r="A12069" s="12"/>
      <c r="D12069" s="12"/>
      <c r="E12069" s="12"/>
      <c r="H12069" s="11" t="str">
        <f ca="1">IFERROR(__xludf.DUMMYFUNCTION("IFERROR(SUBSTITUTE(SUBSTITUTE(REGEXEXTRACT(A12069, ""[^-]+- [^-]+- [^-]+ - (.+?)\.jpg""), "".jpg"", """"), ""-"", "", ""), """")"),"")</f>
        <v/>
      </c>
      <c r="L12069" s="12"/>
      <c r="M12069" s="13"/>
      <c r="N12069" s="2"/>
      <c r="O12069" s="20"/>
      <c r="P12069" s="42"/>
      <c r="R12069" s="23"/>
    </row>
    <row r="12070" spans="1:18" ht="12.75">
      <c r="A12070" s="12"/>
      <c r="D12070" s="12"/>
      <c r="E12070" s="12"/>
      <c r="H12070" s="11" t="str">
        <f ca="1">IFERROR(__xludf.DUMMYFUNCTION("IFERROR(SUBSTITUTE(SUBSTITUTE(REGEXEXTRACT(A12070, ""[^-]+- [^-]+- [^-]+ - (.+?)\.jpg""), "".jpg"", """"), ""-"", "", ""), """")"),"")</f>
        <v/>
      </c>
      <c r="L12070" s="12"/>
      <c r="M12070" s="13"/>
      <c r="N12070" s="2"/>
      <c r="O12070" s="20"/>
      <c r="P12070" s="42"/>
      <c r="R12070" s="23"/>
    </row>
    <row r="12071" spans="1:18" ht="12.75">
      <c r="A12071" s="12"/>
      <c r="D12071" s="12"/>
      <c r="E12071" s="12"/>
      <c r="H12071" s="11" t="str">
        <f ca="1">IFERROR(__xludf.DUMMYFUNCTION("IFERROR(SUBSTITUTE(SUBSTITUTE(REGEXEXTRACT(A12071, ""[^-]+- [^-]+- [^-]+ - (.+?)\.jpg""), "".jpg"", """"), ""-"", "", ""), """")"),"")</f>
        <v/>
      </c>
      <c r="L12071" s="12"/>
      <c r="M12071" s="13"/>
      <c r="N12071" s="2"/>
      <c r="O12071" s="20"/>
      <c r="P12071" s="42"/>
      <c r="R12071" s="23"/>
    </row>
    <row r="12072" spans="1:18" ht="12.75">
      <c r="A12072" s="12"/>
      <c r="D12072" s="12"/>
      <c r="E12072" s="12"/>
      <c r="H12072" s="11" t="str">
        <f ca="1">IFERROR(__xludf.DUMMYFUNCTION("IFERROR(SUBSTITUTE(SUBSTITUTE(REGEXEXTRACT(A12072, ""[^-]+- [^-]+- [^-]+ - (.+?)\.jpg""), "".jpg"", """"), ""-"", "", ""), """")"),"")</f>
        <v/>
      </c>
      <c r="L12072" s="12"/>
      <c r="M12072" s="13"/>
      <c r="N12072" s="2"/>
      <c r="O12072" s="20"/>
      <c r="P12072" s="42"/>
      <c r="R12072" s="23"/>
    </row>
    <row r="12073" spans="1:18" ht="12.75">
      <c r="A12073" s="12"/>
      <c r="D12073" s="12"/>
      <c r="E12073" s="12"/>
      <c r="H12073" s="11" t="str">
        <f ca="1">IFERROR(__xludf.DUMMYFUNCTION("IFERROR(SUBSTITUTE(SUBSTITUTE(REGEXEXTRACT(A12073, ""[^-]+- [^-]+- [^-]+ - (.+?)\.jpg""), "".jpg"", """"), ""-"", "", ""), """")"),"")</f>
        <v/>
      </c>
      <c r="L12073" s="12"/>
      <c r="M12073" s="13"/>
      <c r="N12073" s="2"/>
      <c r="O12073" s="20"/>
      <c r="P12073" s="42"/>
      <c r="R12073" s="23"/>
    </row>
    <row r="12074" spans="1:18" ht="12.75">
      <c r="A12074" s="12"/>
      <c r="D12074" s="12"/>
      <c r="E12074" s="12"/>
      <c r="H12074" s="11" t="str">
        <f ca="1">IFERROR(__xludf.DUMMYFUNCTION("IFERROR(SUBSTITUTE(SUBSTITUTE(REGEXEXTRACT(A12074, ""[^-]+- [^-]+- [^-]+ - (.+?)\.jpg""), "".jpg"", """"), ""-"", "", ""), """")"),"")</f>
        <v/>
      </c>
      <c r="L12074" s="12"/>
      <c r="M12074" s="13"/>
      <c r="N12074" s="2"/>
      <c r="O12074" s="20"/>
      <c r="P12074" s="42"/>
      <c r="R12074" s="23"/>
    </row>
    <row r="12075" spans="1:18" ht="12.75">
      <c r="A12075" s="12"/>
      <c r="D12075" s="12"/>
      <c r="E12075" s="12"/>
      <c r="H12075" s="11" t="str">
        <f ca="1">IFERROR(__xludf.DUMMYFUNCTION("IFERROR(SUBSTITUTE(SUBSTITUTE(REGEXEXTRACT(A12075, ""[^-]+- [^-]+- [^-]+ - (.+?)\.jpg""), "".jpg"", """"), ""-"", "", ""), """")"),"")</f>
        <v/>
      </c>
      <c r="L12075" s="12"/>
      <c r="M12075" s="13"/>
      <c r="N12075" s="2"/>
      <c r="O12075" s="20"/>
      <c r="P12075" s="42"/>
      <c r="R12075" s="23"/>
    </row>
    <row r="12076" spans="1:18" ht="12.75">
      <c r="A12076" s="12"/>
      <c r="D12076" s="12"/>
      <c r="E12076" s="12"/>
      <c r="H12076" s="11" t="str">
        <f ca="1">IFERROR(__xludf.DUMMYFUNCTION("IFERROR(SUBSTITUTE(SUBSTITUTE(REGEXEXTRACT(A12076, ""[^-]+- [^-]+- [^-]+ - (.+?)\.jpg""), "".jpg"", """"), ""-"", "", ""), """")"),"")</f>
        <v/>
      </c>
      <c r="L12076" s="12"/>
      <c r="M12076" s="13"/>
      <c r="N12076" s="2"/>
      <c r="O12076" s="20"/>
      <c r="P12076" s="42"/>
      <c r="R12076" s="23"/>
    </row>
    <row r="12077" spans="1:18" ht="12.75">
      <c r="A12077" s="12"/>
      <c r="D12077" s="12"/>
      <c r="E12077" s="12"/>
      <c r="H12077" s="11" t="str">
        <f ca="1">IFERROR(__xludf.DUMMYFUNCTION("IFERROR(SUBSTITUTE(SUBSTITUTE(REGEXEXTRACT(A12077, ""[^-]+- [^-]+- [^-]+ - (.+?)\.jpg""), "".jpg"", """"), ""-"", "", ""), """")"),"")</f>
        <v/>
      </c>
      <c r="L12077" s="12"/>
      <c r="M12077" s="13"/>
      <c r="N12077" s="2"/>
      <c r="O12077" s="20"/>
      <c r="P12077" s="42"/>
      <c r="R12077" s="23"/>
    </row>
    <row r="12078" spans="1:18" ht="12.75">
      <c r="A12078" s="12"/>
      <c r="D12078" s="12"/>
      <c r="E12078" s="12"/>
      <c r="H12078" s="11" t="str">
        <f ca="1">IFERROR(__xludf.DUMMYFUNCTION("IFERROR(SUBSTITUTE(SUBSTITUTE(REGEXEXTRACT(A12078, ""[^-]+- [^-]+- [^-]+ - (.+?)\.jpg""), "".jpg"", """"), ""-"", "", ""), """")"),"")</f>
        <v/>
      </c>
      <c r="L12078" s="12"/>
      <c r="M12078" s="13"/>
      <c r="N12078" s="2"/>
      <c r="O12078" s="20"/>
      <c r="P12078" s="42"/>
      <c r="R12078" s="23"/>
    </row>
    <row r="12079" spans="1:18" ht="12.75">
      <c r="A12079" s="12"/>
      <c r="D12079" s="12"/>
      <c r="E12079" s="12"/>
      <c r="H12079" s="11" t="str">
        <f ca="1">IFERROR(__xludf.DUMMYFUNCTION("IFERROR(SUBSTITUTE(SUBSTITUTE(REGEXEXTRACT(A12079, ""[^-]+- [^-]+- [^-]+ - (.+?)\.jpg""), "".jpg"", """"), ""-"", "", ""), """")"),"")</f>
        <v/>
      </c>
      <c r="L12079" s="12"/>
      <c r="M12079" s="13"/>
      <c r="N12079" s="2"/>
      <c r="O12079" s="20"/>
      <c r="P12079" s="42"/>
      <c r="R12079" s="23"/>
    </row>
    <row r="12080" spans="1:18" ht="12.75">
      <c r="A12080" s="12"/>
      <c r="D12080" s="12"/>
      <c r="E12080" s="12"/>
      <c r="H12080" s="11" t="str">
        <f ca="1">IFERROR(__xludf.DUMMYFUNCTION("IFERROR(SUBSTITUTE(SUBSTITUTE(REGEXEXTRACT(A12080, ""[^-]+- [^-]+- [^-]+ - (.+?)\.jpg""), "".jpg"", """"), ""-"", "", ""), """")"),"")</f>
        <v/>
      </c>
      <c r="L12080" s="12"/>
      <c r="M12080" s="13"/>
      <c r="N12080" s="2"/>
      <c r="O12080" s="20"/>
      <c r="P12080" s="42"/>
      <c r="R12080" s="23"/>
    </row>
    <row r="12081" spans="1:18" ht="12.75">
      <c r="A12081" s="12"/>
      <c r="D12081" s="12"/>
      <c r="E12081" s="12"/>
      <c r="H12081" s="11" t="str">
        <f ca="1">IFERROR(__xludf.DUMMYFUNCTION("IFERROR(SUBSTITUTE(SUBSTITUTE(REGEXEXTRACT(A12081, ""[^-]+- [^-]+- [^-]+ - (.+?)\.jpg""), "".jpg"", """"), ""-"", "", ""), """")"),"")</f>
        <v/>
      </c>
      <c r="L12081" s="12"/>
      <c r="M12081" s="13"/>
      <c r="N12081" s="2"/>
      <c r="O12081" s="20"/>
      <c r="P12081" s="42"/>
      <c r="R12081" s="23"/>
    </row>
    <row r="12082" spans="1:18" ht="12.75">
      <c r="A12082" s="12"/>
      <c r="D12082" s="12"/>
      <c r="E12082" s="12"/>
      <c r="H12082" s="11" t="str">
        <f ca="1">IFERROR(__xludf.DUMMYFUNCTION("IFERROR(SUBSTITUTE(SUBSTITUTE(REGEXEXTRACT(A12082, ""[^-]+- [^-]+- [^-]+ - (.+?)\.jpg""), "".jpg"", """"), ""-"", "", ""), """")"),"")</f>
        <v/>
      </c>
      <c r="L12082" s="12"/>
      <c r="M12082" s="13"/>
      <c r="N12082" s="2"/>
      <c r="O12082" s="20"/>
      <c r="P12082" s="42"/>
      <c r="R12082" s="23"/>
    </row>
    <row r="12083" spans="1:18" ht="12.75">
      <c r="A12083" s="12"/>
      <c r="D12083" s="12"/>
      <c r="E12083" s="12"/>
      <c r="H12083" s="11" t="str">
        <f ca="1">IFERROR(__xludf.DUMMYFUNCTION("IFERROR(SUBSTITUTE(SUBSTITUTE(REGEXEXTRACT(A12083, ""[^-]+- [^-]+- [^-]+ - (.+?)\.jpg""), "".jpg"", """"), ""-"", "", ""), """")"),"")</f>
        <v/>
      </c>
      <c r="L12083" s="12"/>
      <c r="M12083" s="13"/>
      <c r="N12083" s="2"/>
      <c r="O12083" s="20"/>
      <c r="P12083" s="42"/>
      <c r="R12083" s="23"/>
    </row>
    <row r="12084" spans="1:18" ht="12.75">
      <c r="A12084" s="12"/>
      <c r="D12084" s="12"/>
      <c r="E12084" s="12"/>
      <c r="H12084" s="11" t="str">
        <f ca="1">IFERROR(__xludf.DUMMYFUNCTION("IFERROR(SUBSTITUTE(SUBSTITUTE(REGEXEXTRACT(A12084, ""[^-]+- [^-]+- [^-]+ - (.+?)\.jpg""), "".jpg"", """"), ""-"", "", ""), """")"),"")</f>
        <v/>
      </c>
      <c r="L12084" s="12"/>
      <c r="M12084" s="13"/>
      <c r="N12084" s="2"/>
      <c r="O12084" s="20"/>
      <c r="P12084" s="42"/>
      <c r="R12084" s="23"/>
    </row>
    <row r="12085" spans="1:18" ht="12.75">
      <c r="A12085" s="12"/>
      <c r="D12085" s="12"/>
      <c r="E12085" s="12"/>
      <c r="H12085" s="11" t="str">
        <f ca="1">IFERROR(__xludf.DUMMYFUNCTION("IFERROR(SUBSTITUTE(SUBSTITUTE(REGEXEXTRACT(A12085, ""[^-]+- [^-]+- [^-]+ - (.+?)\.jpg""), "".jpg"", """"), ""-"", "", ""), """")"),"")</f>
        <v/>
      </c>
      <c r="L12085" s="12"/>
      <c r="M12085" s="13"/>
      <c r="N12085" s="2"/>
      <c r="O12085" s="20"/>
      <c r="P12085" s="42"/>
      <c r="R12085" s="23"/>
    </row>
    <row r="12086" spans="1:18" ht="12.75">
      <c r="A12086" s="12"/>
      <c r="D12086" s="12"/>
      <c r="E12086" s="12"/>
      <c r="H12086" s="11" t="str">
        <f ca="1">IFERROR(__xludf.DUMMYFUNCTION("IFERROR(SUBSTITUTE(SUBSTITUTE(REGEXEXTRACT(A12086, ""[^-]+- [^-]+- [^-]+ - (.+?)\.jpg""), "".jpg"", """"), ""-"", "", ""), """")"),"")</f>
        <v/>
      </c>
      <c r="L12086" s="12"/>
      <c r="M12086" s="13"/>
      <c r="N12086" s="2"/>
      <c r="O12086" s="20"/>
      <c r="P12086" s="42"/>
      <c r="R12086" s="23"/>
    </row>
    <row r="12087" spans="1:18" ht="12.75">
      <c r="A12087" s="12"/>
      <c r="D12087" s="12"/>
      <c r="E12087" s="12"/>
      <c r="H12087" s="11" t="str">
        <f ca="1">IFERROR(__xludf.DUMMYFUNCTION("IFERROR(SUBSTITUTE(SUBSTITUTE(REGEXEXTRACT(A12087, ""[^-]+- [^-]+- [^-]+ - (.+?)\.jpg""), "".jpg"", """"), ""-"", "", ""), """")"),"")</f>
        <v/>
      </c>
      <c r="L12087" s="12"/>
      <c r="M12087" s="13"/>
      <c r="N12087" s="2"/>
      <c r="O12087" s="20"/>
      <c r="P12087" s="42"/>
      <c r="R12087" s="23"/>
    </row>
    <row r="12088" spans="1:18" ht="12.75">
      <c r="A12088" s="12"/>
      <c r="D12088" s="12"/>
      <c r="E12088" s="12"/>
      <c r="H12088" s="11" t="str">
        <f ca="1">IFERROR(__xludf.DUMMYFUNCTION("IFERROR(SUBSTITUTE(SUBSTITUTE(REGEXEXTRACT(A12088, ""[^-]+- [^-]+- [^-]+ - (.+?)\.jpg""), "".jpg"", """"), ""-"", "", ""), """")"),"")</f>
        <v/>
      </c>
      <c r="L12088" s="12"/>
      <c r="M12088" s="13"/>
      <c r="N12088" s="2"/>
      <c r="O12088" s="20"/>
      <c r="P12088" s="42"/>
      <c r="R12088" s="23"/>
    </row>
    <row r="12089" spans="1:18" ht="12.75">
      <c r="A12089" s="12"/>
      <c r="D12089" s="12"/>
      <c r="E12089" s="12"/>
      <c r="H12089" s="11" t="str">
        <f ca="1">IFERROR(__xludf.DUMMYFUNCTION("IFERROR(SUBSTITUTE(SUBSTITUTE(REGEXEXTRACT(A12089, ""[^-]+- [^-]+- [^-]+ - (.+?)\.jpg""), "".jpg"", """"), ""-"", "", ""), """")"),"")</f>
        <v/>
      </c>
      <c r="L12089" s="12"/>
      <c r="M12089" s="13"/>
      <c r="N12089" s="2"/>
      <c r="O12089" s="20"/>
      <c r="P12089" s="42"/>
      <c r="R12089" s="23"/>
    </row>
    <row r="12090" spans="1:18" ht="12.75">
      <c r="A12090" s="12"/>
      <c r="D12090" s="12"/>
      <c r="E12090" s="12"/>
      <c r="H12090" s="11" t="str">
        <f ca="1">IFERROR(__xludf.DUMMYFUNCTION("IFERROR(SUBSTITUTE(SUBSTITUTE(REGEXEXTRACT(A12090, ""[^-]+- [^-]+- [^-]+ - (.+?)\.jpg""), "".jpg"", """"), ""-"", "", ""), """")"),"")</f>
        <v/>
      </c>
      <c r="L12090" s="12"/>
      <c r="M12090" s="13"/>
      <c r="N12090" s="2"/>
      <c r="O12090" s="20"/>
      <c r="P12090" s="42"/>
      <c r="R12090" s="23"/>
    </row>
    <row r="12091" spans="1:18" ht="12.75">
      <c r="A12091" s="12"/>
      <c r="D12091" s="12"/>
      <c r="E12091" s="12"/>
      <c r="H12091" s="11" t="str">
        <f ca="1">IFERROR(__xludf.DUMMYFUNCTION("IFERROR(SUBSTITUTE(SUBSTITUTE(REGEXEXTRACT(A12091, ""[^-]+- [^-]+- [^-]+ - (.+?)\.jpg""), "".jpg"", """"), ""-"", "", ""), """")"),"")</f>
        <v/>
      </c>
      <c r="L12091" s="12"/>
      <c r="M12091" s="13"/>
      <c r="N12091" s="2"/>
      <c r="O12091" s="20"/>
      <c r="P12091" s="42"/>
      <c r="R12091" s="23"/>
    </row>
    <row r="12092" spans="1:18" ht="12.75">
      <c r="A12092" s="12"/>
      <c r="D12092" s="12"/>
      <c r="E12092" s="12"/>
      <c r="H12092" s="11" t="str">
        <f ca="1">IFERROR(__xludf.DUMMYFUNCTION("IFERROR(SUBSTITUTE(SUBSTITUTE(REGEXEXTRACT(A12092, ""[^-]+- [^-]+- [^-]+ - (.+?)\.jpg""), "".jpg"", """"), ""-"", "", ""), """")"),"")</f>
        <v/>
      </c>
      <c r="L12092" s="12"/>
      <c r="M12092" s="13"/>
      <c r="N12092" s="2"/>
      <c r="O12092" s="20"/>
      <c r="P12092" s="42"/>
      <c r="R12092" s="23"/>
    </row>
    <row r="12093" spans="1:18" ht="12.75">
      <c r="A12093" s="12"/>
      <c r="D12093" s="12"/>
      <c r="E12093" s="12"/>
      <c r="H12093" s="11" t="str">
        <f ca="1">IFERROR(__xludf.DUMMYFUNCTION("IFERROR(SUBSTITUTE(SUBSTITUTE(REGEXEXTRACT(A12093, ""[^-]+- [^-]+- [^-]+ - (.+?)\.jpg""), "".jpg"", """"), ""-"", "", ""), """")"),"")</f>
        <v/>
      </c>
      <c r="L12093" s="12"/>
      <c r="M12093" s="13"/>
      <c r="N12093" s="2"/>
      <c r="O12093" s="20"/>
      <c r="P12093" s="42"/>
      <c r="R12093" s="23"/>
    </row>
    <row r="12094" spans="1:18" ht="12.75">
      <c r="A12094" s="12"/>
      <c r="D12094" s="12"/>
      <c r="E12094" s="12"/>
      <c r="H12094" s="11" t="str">
        <f ca="1">IFERROR(__xludf.DUMMYFUNCTION("IFERROR(SUBSTITUTE(SUBSTITUTE(REGEXEXTRACT(A12094, ""[^-]+- [^-]+- [^-]+ - (.+?)\.jpg""), "".jpg"", """"), ""-"", "", ""), """")"),"")</f>
        <v/>
      </c>
      <c r="L12094" s="12"/>
      <c r="M12094" s="13"/>
      <c r="N12094" s="2"/>
      <c r="O12094" s="20"/>
      <c r="P12094" s="42"/>
      <c r="R12094" s="23"/>
    </row>
    <row r="12095" spans="1:18" ht="12.75">
      <c r="A12095" s="12"/>
      <c r="D12095" s="12"/>
      <c r="E12095" s="12"/>
      <c r="H12095" s="11" t="str">
        <f ca="1">IFERROR(__xludf.DUMMYFUNCTION("IFERROR(SUBSTITUTE(SUBSTITUTE(REGEXEXTRACT(A12095, ""[^-]+- [^-]+- [^-]+ - (.+?)\.jpg""), "".jpg"", """"), ""-"", "", ""), """")"),"")</f>
        <v/>
      </c>
      <c r="L12095" s="12"/>
      <c r="M12095" s="13"/>
      <c r="N12095" s="2"/>
      <c r="O12095" s="20"/>
      <c r="P12095" s="42"/>
      <c r="R12095" s="23"/>
    </row>
    <row r="12096" spans="1:18" ht="12.75">
      <c r="A12096" s="12"/>
      <c r="D12096" s="12"/>
      <c r="E12096" s="12"/>
      <c r="H12096" s="11" t="str">
        <f ca="1">IFERROR(__xludf.DUMMYFUNCTION("IFERROR(SUBSTITUTE(SUBSTITUTE(REGEXEXTRACT(A12096, ""[^-]+- [^-]+- [^-]+ - (.+?)\.jpg""), "".jpg"", """"), ""-"", "", ""), """")"),"")</f>
        <v/>
      </c>
      <c r="L12096" s="12"/>
      <c r="M12096" s="13"/>
      <c r="N12096" s="2"/>
      <c r="O12096" s="20"/>
      <c r="P12096" s="42"/>
      <c r="R12096" s="23"/>
    </row>
    <row r="12097" spans="1:18" ht="12.75">
      <c r="A12097" s="12"/>
      <c r="D12097" s="12"/>
      <c r="E12097" s="12"/>
      <c r="H12097" s="11" t="str">
        <f ca="1">IFERROR(__xludf.DUMMYFUNCTION("IFERROR(SUBSTITUTE(SUBSTITUTE(REGEXEXTRACT(A12097, ""[^-]+- [^-]+- [^-]+ - (.+?)\.jpg""), "".jpg"", """"), ""-"", "", ""), """")"),"")</f>
        <v/>
      </c>
      <c r="L12097" s="12"/>
      <c r="M12097" s="13"/>
      <c r="N12097" s="2"/>
      <c r="O12097" s="20"/>
      <c r="P12097" s="42"/>
      <c r="R12097" s="23"/>
    </row>
    <row r="12098" spans="1:18" ht="12.75">
      <c r="A12098" s="12"/>
      <c r="D12098" s="12"/>
      <c r="E12098" s="12"/>
      <c r="H12098" s="11" t="str">
        <f ca="1">IFERROR(__xludf.DUMMYFUNCTION("IFERROR(SUBSTITUTE(SUBSTITUTE(REGEXEXTRACT(A12098, ""[^-]+- [^-]+- [^-]+ - (.+?)\.jpg""), "".jpg"", """"), ""-"", "", ""), """")"),"")</f>
        <v/>
      </c>
      <c r="L12098" s="12"/>
      <c r="M12098" s="13"/>
      <c r="N12098" s="2"/>
      <c r="O12098" s="20"/>
      <c r="P12098" s="42"/>
      <c r="R12098" s="23"/>
    </row>
    <row r="12099" spans="1:18" ht="12.75">
      <c r="A12099" s="12"/>
      <c r="D12099" s="12"/>
      <c r="E12099" s="12"/>
      <c r="H12099" s="11" t="str">
        <f ca="1">IFERROR(__xludf.DUMMYFUNCTION("IFERROR(SUBSTITUTE(SUBSTITUTE(REGEXEXTRACT(A12099, ""[^-]+- [^-]+- [^-]+ - (.+?)\.jpg""), "".jpg"", """"), ""-"", "", ""), """")"),"")</f>
        <v/>
      </c>
      <c r="L12099" s="12"/>
      <c r="M12099" s="13"/>
      <c r="N12099" s="2"/>
      <c r="O12099" s="20"/>
      <c r="P12099" s="42"/>
      <c r="R12099" s="23"/>
    </row>
    <row r="12100" spans="1:18" ht="12.75">
      <c r="A12100" s="12"/>
      <c r="D12100" s="12"/>
      <c r="E12100" s="12"/>
      <c r="H12100" s="11" t="str">
        <f ca="1">IFERROR(__xludf.DUMMYFUNCTION("IFERROR(SUBSTITUTE(SUBSTITUTE(REGEXEXTRACT(A12100, ""[^-]+- [^-]+- [^-]+ - (.+?)\.jpg""), "".jpg"", """"), ""-"", "", ""), """")"),"")</f>
        <v/>
      </c>
      <c r="L12100" s="12"/>
      <c r="M12100" s="13"/>
      <c r="N12100" s="2"/>
      <c r="O12100" s="20"/>
      <c r="P12100" s="42"/>
      <c r="R12100" s="23"/>
    </row>
    <row r="12101" spans="1:18" ht="12.75">
      <c r="A12101" s="12"/>
      <c r="D12101" s="12"/>
      <c r="E12101" s="12"/>
      <c r="H12101" s="11" t="str">
        <f ca="1">IFERROR(__xludf.DUMMYFUNCTION("IFERROR(SUBSTITUTE(SUBSTITUTE(REGEXEXTRACT(A12101, ""[^-]+- [^-]+- [^-]+ - (.+?)\.jpg""), "".jpg"", """"), ""-"", "", ""), """")"),"")</f>
        <v/>
      </c>
      <c r="L12101" s="12"/>
      <c r="M12101" s="13"/>
      <c r="N12101" s="2"/>
      <c r="O12101" s="20"/>
      <c r="P12101" s="42"/>
      <c r="R12101" s="23"/>
    </row>
    <row r="12102" spans="1:18" ht="12.75">
      <c r="A12102" s="12"/>
      <c r="D12102" s="12"/>
      <c r="E12102" s="12"/>
      <c r="H12102" s="11" t="str">
        <f ca="1">IFERROR(__xludf.DUMMYFUNCTION("IFERROR(SUBSTITUTE(SUBSTITUTE(REGEXEXTRACT(A12102, ""[^-]+- [^-]+- [^-]+ - (.+?)\.jpg""), "".jpg"", """"), ""-"", "", ""), """")"),"")</f>
        <v/>
      </c>
      <c r="L12102" s="12"/>
      <c r="M12102" s="13"/>
      <c r="N12102" s="2"/>
      <c r="O12102" s="20"/>
      <c r="P12102" s="42"/>
      <c r="R12102" s="23"/>
    </row>
    <row r="12103" spans="1:18" ht="12.75">
      <c r="A12103" s="12"/>
      <c r="D12103" s="12"/>
      <c r="E12103" s="12"/>
      <c r="H12103" s="11" t="str">
        <f ca="1">IFERROR(__xludf.DUMMYFUNCTION("IFERROR(SUBSTITUTE(SUBSTITUTE(REGEXEXTRACT(A12103, ""[^-]+- [^-]+- [^-]+ - (.+?)\.jpg""), "".jpg"", """"), ""-"", "", ""), """")"),"")</f>
        <v/>
      </c>
      <c r="L12103" s="12"/>
      <c r="M12103" s="13"/>
      <c r="N12103" s="2"/>
      <c r="O12103" s="20"/>
      <c r="P12103" s="42"/>
      <c r="R12103" s="23"/>
    </row>
    <row r="12104" spans="1:18" ht="12.75">
      <c r="A12104" s="12"/>
      <c r="D12104" s="12"/>
      <c r="E12104" s="12"/>
      <c r="H12104" s="11" t="str">
        <f ca="1">IFERROR(__xludf.DUMMYFUNCTION("IFERROR(SUBSTITUTE(SUBSTITUTE(REGEXEXTRACT(A12104, ""[^-]+- [^-]+- [^-]+ - (.+?)\.jpg""), "".jpg"", """"), ""-"", "", ""), """")"),"")</f>
        <v/>
      </c>
      <c r="L12104" s="12"/>
      <c r="M12104" s="13"/>
      <c r="N12104" s="2"/>
      <c r="O12104" s="20"/>
      <c r="P12104" s="42"/>
      <c r="R12104" s="23"/>
    </row>
    <row r="12105" spans="1:18" ht="12.75">
      <c r="A12105" s="12"/>
      <c r="D12105" s="12"/>
      <c r="E12105" s="12"/>
      <c r="H12105" s="11" t="str">
        <f ca="1">IFERROR(__xludf.DUMMYFUNCTION("IFERROR(SUBSTITUTE(SUBSTITUTE(REGEXEXTRACT(A12105, ""[^-]+- [^-]+- [^-]+ - (.+?)\.jpg""), "".jpg"", """"), ""-"", "", ""), """")"),"")</f>
        <v/>
      </c>
      <c r="L12105" s="12"/>
      <c r="M12105" s="13"/>
      <c r="N12105" s="2"/>
      <c r="O12105" s="20"/>
      <c r="P12105" s="42"/>
      <c r="R12105" s="23"/>
    </row>
    <row r="12106" spans="1:18" ht="12.75">
      <c r="A12106" s="12"/>
      <c r="D12106" s="12"/>
      <c r="E12106" s="12"/>
      <c r="H12106" s="11" t="str">
        <f ca="1">IFERROR(__xludf.DUMMYFUNCTION("IFERROR(SUBSTITUTE(SUBSTITUTE(REGEXEXTRACT(A12106, ""[^-]+- [^-]+- [^-]+ - (.+?)\.jpg""), "".jpg"", """"), ""-"", "", ""), """")"),"")</f>
        <v/>
      </c>
      <c r="L12106" s="12"/>
      <c r="M12106" s="13"/>
      <c r="N12106" s="2"/>
      <c r="O12106" s="20"/>
      <c r="P12106" s="42"/>
      <c r="R12106" s="23"/>
    </row>
    <row r="12107" spans="1:18" ht="12.75">
      <c r="A12107" s="12"/>
      <c r="D12107" s="12"/>
      <c r="E12107" s="12"/>
      <c r="H12107" s="11" t="str">
        <f ca="1">IFERROR(__xludf.DUMMYFUNCTION("IFERROR(SUBSTITUTE(SUBSTITUTE(REGEXEXTRACT(A12107, ""[^-]+- [^-]+- [^-]+ - (.+?)\.jpg""), "".jpg"", """"), ""-"", "", ""), """")"),"")</f>
        <v/>
      </c>
      <c r="L12107" s="12"/>
      <c r="M12107" s="13"/>
      <c r="N12107" s="2"/>
      <c r="O12107" s="20"/>
      <c r="P12107" s="42"/>
      <c r="R12107" s="23"/>
    </row>
    <row r="12108" spans="1:18" ht="12.75">
      <c r="A12108" s="12"/>
      <c r="D12108" s="12"/>
      <c r="E12108" s="12"/>
      <c r="H12108" s="11" t="str">
        <f ca="1">IFERROR(__xludf.DUMMYFUNCTION("IFERROR(SUBSTITUTE(SUBSTITUTE(REGEXEXTRACT(A12108, ""[^-]+- [^-]+- [^-]+ - (.+?)\.jpg""), "".jpg"", """"), ""-"", "", ""), """")"),"")</f>
        <v/>
      </c>
      <c r="L12108" s="12"/>
      <c r="M12108" s="13"/>
      <c r="N12108" s="2"/>
      <c r="O12108" s="20"/>
      <c r="P12108" s="42"/>
      <c r="R12108" s="23"/>
    </row>
    <row r="12109" spans="1:18" ht="12.75">
      <c r="A12109" s="12"/>
      <c r="D12109" s="12"/>
      <c r="E12109" s="12"/>
      <c r="H12109" s="11" t="str">
        <f ca="1">IFERROR(__xludf.DUMMYFUNCTION("IFERROR(SUBSTITUTE(SUBSTITUTE(REGEXEXTRACT(A12109, ""[^-]+- [^-]+- [^-]+ - (.+?)\.jpg""), "".jpg"", """"), ""-"", "", ""), """")"),"")</f>
        <v/>
      </c>
      <c r="L12109" s="12"/>
      <c r="M12109" s="13"/>
      <c r="N12109" s="2"/>
      <c r="O12109" s="20"/>
      <c r="P12109" s="42"/>
      <c r="R12109" s="23"/>
    </row>
    <row r="12110" spans="1:18" ht="12.75">
      <c r="A12110" s="12"/>
      <c r="D12110" s="12"/>
      <c r="E12110" s="12"/>
      <c r="H12110" s="11" t="str">
        <f ca="1">IFERROR(__xludf.DUMMYFUNCTION("IFERROR(SUBSTITUTE(SUBSTITUTE(REGEXEXTRACT(A12110, ""[^-]+- [^-]+- [^-]+ - (.+?)\.jpg""), "".jpg"", """"), ""-"", "", ""), """")"),"")</f>
        <v/>
      </c>
      <c r="L12110" s="12"/>
      <c r="M12110" s="13"/>
      <c r="N12110" s="2"/>
      <c r="O12110" s="20"/>
      <c r="P12110" s="42"/>
      <c r="R12110" s="23"/>
    </row>
    <row r="12111" spans="1:18" ht="12.75">
      <c r="A12111" s="12"/>
      <c r="D12111" s="12"/>
      <c r="E12111" s="12"/>
      <c r="H12111" s="11" t="str">
        <f ca="1">IFERROR(__xludf.DUMMYFUNCTION("IFERROR(SUBSTITUTE(SUBSTITUTE(REGEXEXTRACT(A12111, ""[^-]+- [^-]+- [^-]+ - (.+?)\.jpg""), "".jpg"", """"), ""-"", "", ""), """")"),"")</f>
        <v/>
      </c>
      <c r="L12111" s="12"/>
      <c r="M12111" s="13"/>
      <c r="N12111" s="2"/>
      <c r="O12111" s="20"/>
      <c r="P12111" s="42"/>
      <c r="R12111" s="23"/>
    </row>
    <row r="12112" spans="1:18" ht="12.75">
      <c r="A12112" s="12"/>
      <c r="D12112" s="12"/>
      <c r="E12112" s="12"/>
      <c r="H12112" s="11" t="str">
        <f ca="1">IFERROR(__xludf.DUMMYFUNCTION("IFERROR(SUBSTITUTE(SUBSTITUTE(REGEXEXTRACT(A12112, ""[^-]+- [^-]+- [^-]+ - (.+?)\.jpg""), "".jpg"", """"), ""-"", "", ""), """")"),"")</f>
        <v/>
      </c>
      <c r="L12112" s="12"/>
      <c r="M12112" s="13"/>
      <c r="N12112" s="2"/>
      <c r="O12112" s="20"/>
      <c r="P12112" s="42"/>
      <c r="R12112" s="23"/>
    </row>
    <row r="12113" spans="1:18" ht="12.75">
      <c r="A12113" s="12"/>
      <c r="D12113" s="12"/>
      <c r="E12113" s="12"/>
      <c r="H12113" s="11" t="str">
        <f ca="1">IFERROR(__xludf.DUMMYFUNCTION("IFERROR(SUBSTITUTE(SUBSTITUTE(REGEXEXTRACT(A12113, ""[^-]+- [^-]+- [^-]+ - (.+?)\.jpg""), "".jpg"", """"), ""-"", "", ""), """")"),"")</f>
        <v/>
      </c>
      <c r="L12113" s="12"/>
      <c r="M12113" s="13"/>
      <c r="N12113" s="2"/>
      <c r="O12113" s="20"/>
      <c r="P12113" s="42"/>
      <c r="R12113" s="23"/>
    </row>
    <row r="12114" spans="1:18" ht="12.75">
      <c r="A12114" s="12"/>
      <c r="D12114" s="12"/>
      <c r="E12114" s="12"/>
      <c r="H12114" s="11" t="str">
        <f ca="1">IFERROR(__xludf.DUMMYFUNCTION("IFERROR(SUBSTITUTE(SUBSTITUTE(REGEXEXTRACT(A12114, ""[^-]+- [^-]+- [^-]+ - (.+?)\.jpg""), "".jpg"", """"), ""-"", "", ""), """")"),"")</f>
        <v/>
      </c>
      <c r="L12114" s="12"/>
      <c r="M12114" s="13"/>
      <c r="N12114" s="2"/>
      <c r="O12114" s="20"/>
      <c r="P12114" s="42"/>
      <c r="R12114" s="23"/>
    </row>
    <row r="12115" spans="1:18" ht="12.75">
      <c r="A12115" s="12"/>
      <c r="D12115" s="12"/>
      <c r="E12115" s="12"/>
      <c r="H12115" s="11" t="str">
        <f ca="1">IFERROR(__xludf.DUMMYFUNCTION("IFERROR(SUBSTITUTE(SUBSTITUTE(REGEXEXTRACT(A12115, ""[^-]+- [^-]+- [^-]+ - (.+?)\.jpg""), "".jpg"", """"), ""-"", "", ""), """")"),"")</f>
        <v/>
      </c>
      <c r="L12115" s="12"/>
      <c r="M12115" s="13"/>
      <c r="N12115" s="2"/>
      <c r="O12115" s="20"/>
      <c r="P12115" s="42"/>
      <c r="R12115" s="23"/>
    </row>
    <row r="12116" spans="1:18" ht="12.75">
      <c r="A12116" s="12"/>
      <c r="D12116" s="12"/>
      <c r="E12116" s="12"/>
      <c r="H12116" s="11" t="str">
        <f ca="1">IFERROR(__xludf.DUMMYFUNCTION("IFERROR(SUBSTITUTE(SUBSTITUTE(REGEXEXTRACT(A12116, ""[^-]+- [^-]+- [^-]+ - (.+?)\.jpg""), "".jpg"", """"), ""-"", "", ""), """")"),"")</f>
        <v/>
      </c>
      <c r="L12116" s="12"/>
      <c r="M12116" s="13"/>
      <c r="N12116" s="2"/>
      <c r="O12116" s="20"/>
      <c r="P12116" s="42"/>
      <c r="R12116" s="23"/>
    </row>
    <row r="12117" spans="1:18" ht="12.75">
      <c r="A12117" s="12"/>
      <c r="D12117" s="12"/>
      <c r="E12117" s="12"/>
      <c r="H12117" s="11" t="str">
        <f ca="1">IFERROR(__xludf.DUMMYFUNCTION("IFERROR(SUBSTITUTE(SUBSTITUTE(REGEXEXTRACT(A12117, ""[^-]+- [^-]+- [^-]+ - (.+?)\.jpg""), "".jpg"", """"), ""-"", "", ""), """")"),"")</f>
        <v/>
      </c>
      <c r="L12117" s="12"/>
      <c r="M12117" s="13"/>
      <c r="N12117" s="2"/>
      <c r="O12117" s="20"/>
      <c r="P12117" s="42"/>
      <c r="R12117" s="23"/>
    </row>
    <row r="12118" spans="1:18" ht="12.75">
      <c r="A12118" s="12"/>
      <c r="D12118" s="12"/>
      <c r="E12118" s="12"/>
      <c r="H12118" s="11" t="str">
        <f ca="1">IFERROR(__xludf.DUMMYFUNCTION("IFERROR(SUBSTITUTE(SUBSTITUTE(REGEXEXTRACT(A12118, ""[^-]+- [^-]+- [^-]+ - (.+?)\.jpg""), "".jpg"", """"), ""-"", "", ""), """")"),"")</f>
        <v/>
      </c>
      <c r="L12118" s="12"/>
      <c r="M12118" s="13"/>
      <c r="N12118" s="2"/>
      <c r="O12118" s="20"/>
      <c r="P12118" s="42"/>
      <c r="R12118" s="23"/>
    </row>
    <row r="12119" spans="1:18" ht="12.75">
      <c r="A12119" s="12"/>
      <c r="D12119" s="12"/>
      <c r="E12119" s="12"/>
      <c r="H12119" s="11" t="str">
        <f ca="1">IFERROR(__xludf.DUMMYFUNCTION("IFERROR(SUBSTITUTE(SUBSTITUTE(REGEXEXTRACT(A12119, ""[^-]+- [^-]+- [^-]+ - (.+?)\.jpg""), "".jpg"", """"), ""-"", "", ""), """")"),"")</f>
        <v/>
      </c>
      <c r="L12119" s="12"/>
      <c r="M12119" s="13"/>
      <c r="N12119" s="2"/>
      <c r="O12119" s="20"/>
      <c r="P12119" s="42"/>
      <c r="R12119" s="23"/>
    </row>
    <row r="12120" spans="1:18" ht="12.75">
      <c r="A12120" s="12"/>
      <c r="D12120" s="12"/>
      <c r="E12120" s="12"/>
      <c r="H12120" s="11" t="str">
        <f ca="1">IFERROR(__xludf.DUMMYFUNCTION("IFERROR(SUBSTITUTE(SUBSTITUTE(REGEXEXTRACT(A12120, ""[^-]+- [^-]+- [^-]+ - (.+?)\.jpg""), "".jpg"", """"), ""-"", "", ""), """")"),"")</f>
        <v/>
      </c>
      <c r="L12120" s="12"/>
      <c r="M12120" s="13"/>
      <c r="N12120" s="2"/>
      <c r="O12120" s="20"/>
      <c r="P12120" s="42"/>
      <c r="R12120" s="23"/>
    </row>
    <row r="12121" spans="1:18" ht="12.75">
      <c r="A12121" s="12"/>
      <c r="D12121" s="12"/>
      <c r="E12121" s="12"/>
      <c r="H12121" s="11" t="str">
        <f ca="1">IFERROR(__xludf.DUMMYFUNCTION("IFERROR(SUBSTITUTE(SUBSTITUTE(REGEXEXTRACT(A12121, ""[^-]+- [^-]+- [^-]+ - (.+?)\.jpg""), "".jpg"", """"), ""-"", "", ""), """")"),"")</f>
        <v/>
      </c>
      <c r="L12121" s="12"/>
      <c r="M12121" s="13"/>
      <c r="N12121" s="2"/>
      <c r="O12121" s="20"/>
      <c r="P12121" s="42"/>
      <c r="R12121" s="23"/>
    </row>
    <row r="12122" spans="1:18" ht="12.75">
      <c r="A12122" s="12"/>
      <c r="D12122" s="12"/>
      <c r="E12122" s="12"/>
      <c r="H12122" s="11" t="str">
        <f ca="1">IFERROR(__xludf.DUMMYFUNCTION("IFERROR(SUBSTITUTE(SUBSTITUTE(REGEXEXTRACT(A12122, ""[^-]+- [^-]+- [^-]+ - (.+?)\.jpg""), "".jpg"", """"), ""-"", "", ""), """")"),"")</f>
        <v/>
      </c>
      <c r="L12122" s="12"/>
      <c r="M12122" s="13"/>
      <c r="N12122" s="2"/>
      <c r="O12122" s="20"/>
      <c r="P12122" s="42"/>
      <c r="R12122" s="23"/>
    </row>
    <row r="12123" spans="1:18" ht="12.75">
      <c r="A12123" s="12"/>
      <c r="D12123" s="12"/>
      <c r="E12123" s="12"/>
      <c r="H12123" s="11" t="str">
        <f ca="1">IFERROR(__xludf.DUMMYFUNCTION("IFERROR(SUBSTITUTE(SUBSTITUTE(REGEXEXTRACT(A12123, ""[^-]+- [^-]+- [^-]+ - (.+?)\.jpg""), "".jpg"", """"), ""-"", "", ""), """")"),"")</f>
        <v/>
      </c>
      <c r="L12123" s="12"/>
      <c r="M12123" s="13"/>
      <c r="N12123" s="2"/>
      <c r="O12123" s="20"/>
      <c r="P12123" s="42"/>
      <c r="R12123" s="23"/>
    </row>
    <row r="12124" spans="1:18" ht="12.75">
      <c r="A12124" s="12"/>
      <c r="D12124" s="12"/>
      <c r="E12124" s="12"/>
      <c r="H12124" s="11" t="str">
        <f ca="1">IFERROR(__xludf.DUMMYFUNCTION("IFERROR(SUBSTITUTE(SUBSTITUTE(REGEXEXTRACT(A12124, ""[^-]+- [^-]+- [^-]+ - (.+?)\.jpg""), "".jpg"", """"), ""-"", "", ""), """")"),"")</f>
        <v/>
      </c>
      <c r="L12124" s="12"/>
      <c r="M12124" s="13"/>
      <c r="N12124" s="2"/>
      <c r="O12124" s="20"/>
      <c r="P12124" s="42"/>
      <c r="R12124" s="23"/>
    </row>
    <row r="12125" spans="1:18" ht="12.75">
      <c r="A12125" s="12"/>
      <c r="D12125" s="12"/>
      <c r="E12125" s="12"/>
      <c r="H12125" s="11" t="str">
        <f ca="1">IFERROR(__xludf.DUMMYFUNCTION("IFERROR(SUBSTITUTE(SUBSTITUTE(REGEXEXTRACT(A12125, ""[^-]+- [^-]+- [^-]+ - (.+?)\.jpg""), "".jpg"", """"), ""-"", "", ""), """")"),"")</f>
        <v/>
      </c>
      <c r="L12125" s="12"/>
      <c r="M12125" s="13"/>
      <c r="N12125" s="2"/>
      <c r="O12125" s="20"/>
      <c r="P12125" s="42"/>
      <c r="R12125" s="23"/>
    </row>
    <row r="12126" spans="1:18" ht="12.75">
      <c r="A12126" s="12"/>
      <c r="D12126" s="12"/>
      <c r="E12126" s="12"/>
      <c r="H12126" s="11" t="str">
        <f ca="1">IFERROR(__xludf.DUMMYFUNCTION("IFERROR(SUBSTITUTE(SUBSTITUTE(REGEXEXTRACT(A12126, ""[^-]+- [^-]+- [^-]+ - (.+?)\.jpg""), "".jpg"", """"), ""-"", "", ""), """")"),"")</f>
        <v/>
      </c>
      <c r="L12126" s="12"/>
      <c r="M12126" s="13"/>
      <c r="N12126" s="2"/>
      <c r="O12126" s="20"/>
      <c r="P12126" s="42"/>
      <c r="R12126" s="23"/>
    </row>
    <row r="12127" spans="1:18" ht="12.75">
      <c r="A12127" s="12"/>
      <c r="D12127" s="12"/>
      <c r="E12127" s="12"/>
      <c r="H12127" s="11" t="str">
        <f ca="1">IFERROR(__xludf.DUMMYFUNCTION("IFERROR(SUBSTITUTE(SUBSTITUTE(REGEXEXTRACT(A12127, ""[^-]+- [^-]+- [^-]+ - (.+?)\.jpg""), "".jpg"", """"), ""-"", "", ""), """")"),"")</f>
        <v/>
      </c>
      <c r="L12127" s="12"/>
      <c r="M12127" s="13"/>
      <c r="N12127" s="2"/>
      <c r="O12127" s="20"/>
      <c r="P12127" s="42"/>
      <c r="R12127" s="23"/>
    </row>
    <row r="12128" spans="1:18" ht="12.75">
      <c r="A12128" s="12"/>
      <c r="D12128" s="12"/>
      <c r="E12128" s="12"/>
      <c r="H12128" s="11" t="str">
        <f ca="1">IFERROR(__xludf.DUMMYFUNCTION("IFERROR(SUBSTITUTE(SUBSTITUTE(REGEXEXTRACT(A12128, ""[^-]+- [^-]+- [^-]+ - (.+?)\.jpg""), "".jpg"", """"), ""-"", "", ""), """")"),"")</f>
        <v/>
      </c>
      <c r="L12128" s="12"/>
      <c r="M12128" s="13"/>
      <c r="N12128" s="2"/>
      <c r="O12128" s="20"/>
      <c r="P12128" s="42"/>
      <c r="R12128" s="23"/>
    </row>
    <row r="12129" spans="1:18" ht="12.75">
      <c r="A12129" s="12"/>
      <c r="D12129" s="12"/>
      <c r="E12129" s="12"/>
      <c r="H12129" s="11" t="str">
        <f ca="1">IFERROR(__xludf.DUMMYFUNCTION("IFERROR(SUBSTITUTE(SUBSTITUTE(REGEXEXTRACT(A12129, ""[^-]+- [^-]+- [^-]+ - (.+?)\.jpg""), "".jpg"", """"), ""-"", "", ""), """")"),"")</f>
        <v/>
      </c>
      <c r="L12129" s="12"/>
      <c r="M12129" s="13"/>
      <c r="N12129" s="2"/>
      <c r="O12129" s="20"/>
      <c r="P12129" s="42"/>
      <c r="R12129" s="23"/>
    </row>
    <row r="12130" spans="1:18" ht="12.75">
      <c r="A12130" s="12"/>
      <c r="D12130" s="12"/>
      <c r="E12130" s="12"/>
      <c r="H12130" s="11" t="str">
        <f ca="1">IFERROR(__xludf.DUMMYFUNCTION("IFERROR(SUBSTITUTE(SUBSTITUTE(REGEXEXTRACT(A12130, ""[^-]+- [^-]+- [^-]+ - (.+?)\.jpg""), "".jpg"", """"), ""-"", "", ""), """")"),"")</f>
        <v/>
      </c>
      <c r="L12130" s="12"/>
      <c r="M12130" s="13"/>
      <c r="N12130" s="2"/>
      <c r="O12130" s="20"/>
      <c r="P12130" s="42"/>
      <c r="R12130" s="23"/>
    </row>
    <row r="12131" spans="1:18" ht="12.75">
      <c r="A12131" s="12"/>
      <c r="D12131" s="12"/>
      <c r="E12131" s="12"/>
      <c r="H12131" s="11" t="str">
        <f ca="1">IFERROR(__xludf.DUMMYFUNCTION("IFERROR(SUBSTITUTE(SUBSTITUTE(REGEXEXTRACT(A12131, ""[^-]+- [^-]+- [^-]+ - (.+?)\.jpg""), "".jpg"", """"), ""-"", "", ""), """")"),"")</f>
        <v/>
      </c>
      <c r="L12131" s="12"/>
      <c r="M12131" s="13"/>
      <c r="N12131" s="2"/>
      <c r="O12131" s="20"/>
      <c r="P12131" s="42"/>
      <c r="R12131" s="23"/>
    </row>
    <row r="12132" spans="1:18" ht="12.75">
      <c r="A12132" s="12"/>
      <c r="D12132" s="12"/>
      <c r="E12132" s="12"/>
      <c r="H12132" s="11" t="str">
        <f ca="1">IFERROR(__xludf.DUMMYFUNCTION("IFERROR(SUBSTITUTE(SUBSTITUTE(REGEXEXTRACT(A12132, ""[^-]+- [^-]+- [^-]+ - (.+?)\.jpg""), "".jpg"", """"), ""-"", "", ""), """")"),"")</f>
        <v/>
      </c>
      <c r="L12132" s="12"/>
      <c r="M12132" s="13"/>
      <c r="N12132" s="2"/>
      <c r="O12132" s="20"/>
      <c r="P12132" s="42"/>
      <c r="R12132" s="23"/>
    </row>
    <row r="12133" spans="1:18" ht="12.75">
      <c r="A12133" s="12"/>
      <c r="D12133" s="12"/>
      <c r="E12133" s="12"/>
      <c r="H12133" s="11" t="str">
        <f ca="1">IFERROR(__xludf.DUMMYFUNCTION("IFERROR(SUBSTITUTE(SUBSTITUTE(REGEXEXTRACT(A12133, ""[^-]+- [^-]+- [^-]+ - (.+?)\.jpg""), "".jpg"", """"), ""-"", "", ""), """")"),"")</f>
        <v/>
      </c>
      <c r="L12133" s="12"/>
      <c r="M12133" s="13"/>
      <c r="N12133" s="2"/>
      <c r="O12133" s="20"/>
      <c r="P12133" s="42"/>
      <c r="R12133" s="23"/>
    </row>
    <row r="12134" spans="1:18" ht="12.75">
      <c r="A12134" s="12"/>
      <c r="D12134" s="12"/>
      <c r="E12134" s="12"/>
      <c r="H12134" s="11" t="str">
        <f ca="1">IFERROR(__xludf.DUMMYFUNCTION("IFERROR(SUBSTITUTE(SUBSTITUTE(REGEXEXTRACT(A12134, ""[^-]+- [^-]+- [^-]+ - (.+?)\.jpg""), "".jpg"", """"), ""-"", "", ""), """")"),"")</f>
        <v/>
      </c>
      <c r="L12134" s="12"/>
      <c r="M12134" s="13"/>
      <c r="N12134" s="2"/>
      <c r="O12134" s="20"/>
      <c r="P12134" s="42"/>
      <c r="R12134" s="23"/>
    </row>
    <row r="12135" spans="1:18" ht="12.75">
      <c r="A12135" s="12"/>
      <c r="D12135" s="12"/>
      <c r="E12135" s="12"/>
      <c r="H12135" s="11" t="str">
        <f ca="1">IFERROR(__xludf.DUMMYFUNCTION("IFERROR(SUBSTITUTE(SUBSTITUTE(REGEXEXTRACT(A12135, ""[^-]+- [^-]+- [^-]+ - (.+?)\.jpg""), "".jpg"", """"), ""-"", "", ""), """")"),"")</f>
        <v/>
      </c>
      <c r="L12135" s="12"/>
      <c r="M12135" s="13"/>
      <c r="N12135" s="2"/>
      <c r="O12135" s="20"/>
      <c r="P12135" s="42"/>
      <c r="R12135" s="23"/>
    </row>
    <row r="12136" spans="1:18" ht="12.75">
      <c r="A12136" s="12"/>
      <c r="D12136" s="12"/>
      <c r="E12136" s="12"/>
      <c r="H12136" s="11" t="str">
        <f ca="1">IFERROR(__xludf.DUMMYFUNCTION("IFERROR(SUBSTITUTE(SUBSTITUTE(REGEXEXTRACT(A12136, ""[^-]+- [^-]+- [^-]+ - (.+?)\.jpg""), "".jpg"", """"), ""-"", "", ""), """")"),"")</f>
        <v/>
      </c>
      <c r="L12136" s="12"/>
      <c r="M12136" s="13"/>
      <c r="N12136" s="2"/>
      <c r="O12136" s="20"/>
      <c r="P12136" s="42"/>
      <c r="R12136" s="23"/>
    </row>
    <row r="12137" spans="1:18" ht="12.75">
      <c r="A12137" s="12"/>
      <c r="D12137" s="12"/>
      <c r="E12137" s="12"/>
      <c r="H12137" s="11" t="str">
        <f ca="1">IFERROR(__xludf.DUMMYFUNCTION("IFERROR(SUBSTITUTE(SUBSTITUTE(REGEXEXTRACT(A12137, ""[^-]+- [^-]+- [^-]+ - (.+?)\.jpg""), "".jpg"", """"), ""-"", "", ""), """")"),"")</f>
        <v/>
      </c>
      <c r="L12137" s="12"/>
      <c r="M12137" s="13"/>
      <c r="N12137" s="2"/>
      <c r="O12137" s="20"/>
      <c r="P12137" s="42"/>
      <c r="R12137" s="23"/>
    </row>
    <row r="12138" spans="1:18" ht="12.75">
      <c r="A12138" s="12"/>
      <c r="D12138" s="12"/>
      <c r="E12138" s="12"/>
      <c r="H12138" s="11" t="str">
        <f ca="1">IFERROR(__xludf.DUMMYFUNCTION("IFERROR(SUBSTITUTE(SUBSTITUTE(REGEXEXTRACT(A12138, ""[^-]+- [^-]+- [^-]+ - (.+?)\.jpg""), "".jpg"", """"), ""-"", "", ""), """")"),"")</f>
        <v/>
      </c>
      <c r="L12138" s="12"/>
      <c r="M12138" s="13"/>
      <c r="N12138" s="2"/>
      <c r="O12138" s="20"/>
      <c r="P12138" s="42"/>
      <c r="R12138" s="23"/>
    </row>
    <row r="12139" spans="1:18" ht="12.75">
      <c r="A12139" s="12"/>
      <c r="D12139" s="12"/>
      <c r="E12139" s="12"/>
      <c r="H12139" s="11" t="str">
        <f ca="1">IFERROR(__xludf.DUMMYFUNCTION("IFERROR(SUBSTITUTE(SUBSTITUTE(REGEXEXTRACT(A12139, ""[^-]+- [^-]+- [^-]+ - (.+?)\.jpg""), "".jpg"", """"), ""-"", "", ""), """")"),"")</f>
        <v/>
      </c>
      <c r="L12139" s="12"/>
      <c r="M12139" s="13"/>
      <c r="N12139" s="2"/>
      <c r="O12139" s="20"/>
      <c r="P12139" s="42"/>
      <c r="R12139" s="23"/>
    </row>
    <row r="12140" spans="1:18" ht="12.75">
      <c r="A12140" s="12"/>
      <c r="D12140" s="12"/>
      <c r="E12140" s="12"/>
      <c r="H12140" s="11" t="str">
        <f ca="1">IFERROR(__xludf.DUMMYFUNCTION("IFERROR(SUBSTITUTE(SUBSTITUTE(REGEXEXTRACT(A12140, ""[^-]+- [^-]+- [^-]+ - (.+?)\.jpg""), "".jpg"", """"), ""-"", "", ""), """")"),"")</f>
        <v/>
      </c>
      <c r="L12140" s="12"/>
      <c r="M12140" s="13"/>
      <c r="N12140" s="2"/>
      <c r="O12140" s="20"/>
      <c r="P12140" s="42"/>
      <c r="R12140" s="23"/>
    </row>
    <row r="12141" spans="1:18" ht="12.75">
      <c r="A12141" s="12"/>
      <c r="D12141" s="12"/>
      <c r="E12141" s="12"/>
      <c r="H12141" s="11" t="str">
        <f ca="1">IFERROR(__xludf.DUMMYFUNCTION("IFERROR(SUBSTITUTE(SUBSTITUTE(REGEXEXTRACT(A12141, ""[^-]+- [^-]+- [^-]+ - (.+?)\.jpg""), "".jpg"", """"), ""-"", "", ""), """")"),"")</f>
        <v/>
      </c>
      <c r="L12141" s="12"/>
      <c r="M12141" s="13"/>
      <c r="N12141" s="2"/>
      <c r="O12141" s="20"/>
      <c r="P12141" s="42"/>
      <c r="R12141" s="23"/>
    </row>
    <row r="12142" spans="1:18" ht="12.75">
      <c r="A12142" s="12"/>
      <c r="D12142" s="12"/>
      <c r="E12142" s="12"/>
      <c r="H12142" s="11" t="str">
        <f ca="1">IFERROR(__xludf.DUMMYFUNCTION("IFERROR(SUBSTITUTE(SUBSTITUTE(REGEXEXTRACT(A12142, ""[^-]+- [^-]+- [^-]+ - (.+?)\.jpg""), "".jpg"", """"), ""-"", "", ""), """")"),"")</f>
        <v/>
      </c>
      <c r="L12142" s="12"/>
      <c r="M12142" s="13"/>
      <c r="N12142" s="2"/>
      <c r="O12142" s="20"/>
      <c r="P12142" s="42"/>
      <c r="R12142" s="23"/>
    </row>
    <row r="12143" spans="1:18" ht="12.75">
      <c r="A12143" s="12"/>
      <c r="D12143" s="12"/>
      <c r="E12143" s="12"/>
      <c r="H12143" s="11" t="str">
        <f ca="1">IFERROR(__xludf.DUMMYFUNCTION("IFERROR(SUBSTITUTE(SUBSTITUTE(REGEXEXTRACT(A12143, ""[^-]+- [^-]+- [^-]+ - (.+?)\.jpg""), "".jpg"", """"), ""-"", "", ""), """")"),"")</f>
        <v/>
      </c>
      <c r="L12143" s="12"/>
      <c r="M12143" s="13"/>
      <c r="N12143" s="2"/>
      <c r="O12143" s="20"/>
      <c r="P12143" s="42"/>
      <c r="R12143" s="23"/>
    </row>
    <row r="12144" spans="1:18" ht="12.75">
      <c r="A12144" s="12"/>
      <c r="D12144" s="12"/>
      <c r="E12144" s="12"/>
      <c r="H12144" s="11" t="str">
        <f ca="1">IFERROR(__xludf.DUMMYFUNCTION("IFERROR(SUBSTITUTE(SUBSTITUTE(REGEXEXTRACT(A12144, ""[^-]+- [^-]+- [^-]+ - (.+?)\.jpg""), "".jpg"", """"), ""-"", "", ""), """")"),"")</f>
        <v/>
      </c>
      <c r="L12144" s="12"/>
      <c r="M12144" s="13"/>
      <c r="N12144" s="2"/>
      <c r="O12144" s="20"/>
      <c r="P12144" s="42"/>
      <c r="R12144" s="23"/>
    </row>
    <row r="12145" spans="1:18" ht="12.75">
      <c r="A12145" s="12"/>
      <c r="D12145" s="12"/>
      <c r="E12145" s="12"/>
      <c r="H12145" s="11" t="str">
        <f ca="1">IFERROR(__xludf.DUMMYFUNCTION("IFERROR(SUBSTITUTE(SUBSTITUTE(REGEXEXTRACT(A12145, ""[^-]+- [^-]+- [^-]+ - (.+?)\.jpg""), "".jpg"", """"), ""-"", "", ""), """")"),"")</f>
        <v/>
      </c>
      <c r="L12145" s="12"/>
      <c r="M12145" s="13"/>
      <c r="N12145" s="2"/>
      <c r="O12145" s="20"/>
      <c r="P12145" s="42"/>
      <c r="R12145" s="23"/>
    </row>
    <row r="12146" spans="1:18" ht="12.75">
      <c r="A12146" s="12"/>
      <c r="D12146" s="12"/>
      <c r="E12146" s="12"/>
      <c r="H12146" s="11" t="str">
        <f ca="1">IFERROR(__xludf.DUMMYFUNCTION("IFERROR(SUBSTITUTE(SUBSTITUTE(REGEXEXTRACT(A12146, ""[^-]+- [^-]+- [^-]+ - (.+?)\.jpg""), "".jpg"", """"), ""-"", "", ""), """")"),"")</f>
        <v/>
      </c>
      <c r="L12146" s="12"/>
      <c r="M12146" s="13"/>
      <c r="N12146" s="2"/>
      <c r="O12146" s="20"/>
      <c r="P12146" s="42"/>
      <c r="R12146" s="23"/>
    </row>
    <row r="12147" spans="1:18" ht="12.75">
      <c r="A12147" s="12"/>
      <c r="D12147" s="12"/>
      <c r="E12147" s="12"/>
      <c r="H12147" s="11" t="str">
        <f ca="1">IFERROR(__xludf.DUMMYFUNCTION("IFERROR(SUBSTITUTE(SUBSTITUTE(REGEXEXTRACT(A12147, ""[^-]+- [^-]+- [^-]+ - (.+?)\.jpg""), "".jpg"", """"), ""-"", "", ""), """")"),"")</f>
        <v/>
      </c>
      <c r="L12147" s="12"/>
      <c r="M12147" s="13"/>
      <c r="N12147" s="2"/>
      <c r="O12147" s="20"/>
      <c r="P12147" s="42"/>
      <c r="R12147" s="23"/>
    </row>
    <row r="12148" spans="1:18" ht="12.75">
      <c r="A12148" s="12"/>
      <c r="D12148" s="12"/>
      <c r="E12148" s="12"/>
      <c r="H12148" s="11" t="str">
        <f ca="1">IFERROR(__xludf.DUMMYFUNCTION("IFERROR(SUBSTITUTE(SUBSTITUTE(REGEXEXTRACT(A12148, ""[^-]+- [^-]+- [^-]+ - (.+?)\.jpg""), "".jpg"", """"), ""-"", "", ""), """")"),"")</f>
        <v/>
      </c>
      <c r="L12148" s="12"/>
      <c r="M12148" s="13"/>
      <c r="N12148" s="2"/>
      <c r="O12148" s="20"/>
      <c r="P12148" s="42"/>
      <c r="R12148" s="23"/>
    </row>
    <row r="12149" spans="1:18" ht="12.75">
      <c r="A12149" s="12"/>
      <c r="D12149" s="12"/>
      <c r="E12149" s="12"/>
      <c r="H12149" s="11" t="str">
        <f ca="1">IFERROR(__xludf.DUMMYFUNCTION("IFERROR(SUBSTITUTE(SUBSTITUTE(REGEXEXTRACT(A12149, ""[^-]+- [^-]+- [^-]+ - (.+?)\.jpg""), "".jpg"", """"), ""-"", "", ""), """")"),"")</f>
        <v/>
      </c>
      <c r="L12149" s="12"/>
      <c r="M12149" s="13"/>
      <c r="N12149" s="2"/>
      <c r="O12149" s="20"/>
      <c r="P12149" s="42"/>
      <c r="R12149" s="23"/>
    </row>
    <row r="12150" spans="1:18" ht="12.75">
      <c r="A12150" s="12"/>
      <c r="D12150" s="12"/>
      <c r="E12150" s="12"/>
      <c r="H12150" s="11" t="str">
        <f ca="1">IFERROR(__xludf.DUMMYFUNCTION("IFERROR(SUBSTITUTE(SUBSTITUTE(REGEXEXTRACT(A12150, ""[^-]+- [^-]+- [^-]+ - (.+?)\.jpg""), "".jpg"", """"), ""-"", "", ""), """")"),"")</f>
        <v/>
      </c>
      <c r="L12150" s="12"/>
      <c r="M12150" s="13"/>
      <c r="N12150" s="2"/>
      <c r="O12150" s="20"/>
      <c r="P12150" s="42"/>
      <c r="R12150" s="23"/>
    </row>
    <row r="12151" spans="1:18" ht="12.75">
      <c r="A12151" s="12"/>
      <c r="D12151" s="12"/>
      <c r="E12151" s="12"/>
      <c r="H12151" s="11" t="str">
        <f ca="1">IFERROR(__xludf.DUMMYFUNCTION("IFERROR(SUBSTITUTE(SUBSTITUTE(REGEXEXTRACT(A12151, ""[^-]+- [^-]+- [^-]+ - (.+?)\.jpg""), "".jpg"", """"), ""-"", "", ""), """")"),"")</f>
        <v/>
      </c>
      <c r="L12151" s="12"/>
      <c r="M12151" s="13"/>
      <c r="N12151" s="2"/>
      <c r="O12151" s="20"/>
      <c r="P12151" s="42"/>
      <c r="R12151" s="23"/>
    </row>
    <row r="12152" spans="1:18" ht="12.75">
      <c r="A12152" s="12"/>
      <c r="D12152" s="12"/>
      <c r="E12152" s="12"/>
      <c r="H12152" s="11" t="str">
        <f ca="1">IFERROR(__xludf.DUMMYFUNCTION("IFERROR(SUBSTITUTE(SUBSTITUTE(REGEXEXTRACT(A12152, ""[^-]+- [^-]+- [^-]+ - (.+?)\.jpg""), "".jpg"", """"), ""-"", "", ""), """")"),"")</f>
        <v/>
      </c>
      <c r="L12152" s="12"/>
      <c r="M12152" s="13"/>
      <c r="N12152" s="2"/>
      <c r="O12152" s="20"/>
      <c r="P12152" s="42"/>
      <c r="R12152" s="23"/>
    </row>
    <row r="12153" spans="1:18" ht="12.75">
      <c r="A12153" s="12"/>
      <c r="D12153" s="12"/>
      <c r="E12153" s="12"/>
      <c r="H12153" s="11" t="str">
        <f ca="1">IFERROR(__xludf.DUMMYFUNCTION("IFERROR(SUBSTITUTE(SUBSTITUTE(REGEXEXTRACT(A12153, ""[^-]+- [^-]+- [^-]+ - (.+?)\.jpg""), "".jpg"", """"), ""-"", "", ""), """")"),"")</f>
        <v/>
      </c>
      <c r="L12153" s="12"/>
      <c r="M12153" s="13"/>
      <c r="N12153" s="2"/>
      <c r="O12153" s="20"/>
      <c r="P12153" s="42"/>
      <c r="R12153" s="23"/>
    </row>
    <row r="12154" spans="1:18" ht="12.75">
      <c r="A12154" s="12"/>
      <c r="D12154" s="12"/>
      <c r="E12154" s="12"/>
      <c r="H12154" s="11" t="str">
        <f ca="1">IFERROR(__xludf.DUMMYFUNCTION("IFERROR(SUBSTITUTE(SUBSTITUTE(REGEXEXTRACT(A12154, ""[^-]+- [^-]+- [^-]+ - (.+?)\.jpg""), "".jpg"", """"), ""-"", "", ""), """")"),"")</f>
        <v/>
      </c>
      <c r="L12154" s="12"/>
      <c r="M12154" s="13"/>
      <c r="N12154" s="2"/>
      <c r="O12154" s="20"/>
      <c r="P12154" s="42"/>
      <c r="R12154" s="23"/>
    </row>
    <row r="12155" spans="1:18" ht="12.75">
      <c r="A12155" s="12"/>
      <c r="D12155" s="12"/>
      <c r="E12155" s="12"/>
      <c r="H12155" s="11" t="str">
        <f ca="1">IFERROR(__xludf.DUMMYFUNCTION("IFERROR(SUBSTITUTE(SUBSTITUTE(REGEXEXTRACT(A12155, ""[^-]+- [^-]+- [^-]+ - (.+?)\.jpg""), "".jpg"", """"), ""-"", "", ""), """")"),"")</f>
        <v/>
      </c>
      <c r="L12155" s="12"/>
      <c r="M12155" s="13"/>
      <c r="N12155" s="2"/>
      <c r="O12155" s="20"/>
      <c r="P12155" s="42"/>
      <c r="R12155" s="23"/>
    </row>
    <row r="12156" spans="1:18" ht="12.75">
      <c r="A12156" s="12"/>
      <c r="D12156" s="12"/>
      <c r="E12156" s="12"/>
      <c r="H12156" s="11" t="str">
        <f ca="1">IFERROR(__xludf.DUMMYFUNCTION("IFERROR(SUBSTITUTE(SUBSTITUTE(REGEXEXTRACT(A12156, ""[^-]+- [^-]+- [^-]+ - (.+?)\.jpg""), "".jpg"", """"), ""-"", "", ""), """")"),"")</f>
        <v/>
      </c>
      <c r="L12156" s="12"/>
      <c r="M12156" s="13"/>
      <c r="N12156" s="2"/>
      <c r="O12156" s="20"/>
      <c r="P12156" s="42"/>
      <c r="R12156" s="23"/>
    </row>
    <row r="12157" spans="1:18" ht="12.75">
      <c r="A12157" s="12"/>
      <c r="D12157" s="12"/>
      <c r="E12157" s="12"/>
      <c r="H12157" s="11" t="str">
        <f ca="1">IFERROR(__xludf.DUMMYFUNCTION("IFERROR(SUBSTITUTE(SUBSTITUTE(REGEXEXTRACT(A12157, ""[^-]+- [^-]+- [^-]+ - (.+?)\.jpg""), "".jpg"", """"), ""-"", "", ""), """")"),"")</f>
        <v/>
      </c>
      <c r="L12157" s="12"/>
      <c r="M12157" s="13"/>
      <c r="N12157" s="2"/>
      <c r="O12157" s="20"/>
      <c r="P12157" s="42"/>
      <c r="R12157" s="23"/>
    </row>
    <row r="12158" spans="1:18" ht="12.75">
      <c r="A12158" s="12"/>
      <c r="D12158" s="12"/>
      <c r="E12158" s="12"/>
      <c r="H12158" s="11" t="str">
        <f ca="1">IFERROR(__xludf.DUMMYFUNCTION("IFERROR(SUBSTITUTE(SUBSTITUTE(REGEXEXTRACT(A12158, ""[^-]+- [^-]+- [^-]+ - (.+?)\.jpg""), "".jpg"", """"), ""-"", "", ""), """")"),"")</f>
        <v/>
      </c>
      <c r="L12158" s="12"/>
      <c r="M12158" s="13"/>
      <c r="N12158" s="2"/>
      <c r="O12158" s="20"/>
      <c r="P12158" s="42"/>
      <c r="R12158" s="23"/>
    </row>
    <row r="12159" spans="1:18" ht="12.75">
      <c r="A12159" s="12"/>
      <c r="D12159" s="12"/>
      <c r="E12159" s="12"/>
      <c r="H12159" s="11" t="str">
        <f ca="1">IFERROR(__xludf.DUMMYFUNCTION("IFERROR(SUBSTITUTE(SUBSTITUTE(REGEXEXTRACT(A12159, ""[^-]+- [^-]+- [^-]+ - (.+?)\.jpg""), "".jpg"", """"), ""-"", "", ""), """")"),"")</f>
        <v/>
      </c>
      <c r="L12159" s="12"/>
      <c r="M12159" s="13"/>
      <c r="N12159" s="2"/>
      <c r="O12159" s="20"/>
      <c r="P12159" s="42"/>
      <c r="R12159" s="23"/>
    </row>
    <row r="12160" spans="1:18" ht="12.75">
      <c r="A12160" s="12"/>
      <c r="D12160" s="12"/>
      <c r="E12160" s="12"/>
      <c r="H12160" s="11" t="str">
        <f ca="1">IFERROR(__xludf.DUMMYFUNCTION("IFERROR(SUBSTITUTE(SUBSTITUTE(REGEXEXTRACT(A12160, ""[^-]+- [^-]+- [^-]+ - (.+?)\.jpg""), "".jpg"", """"), ""-"", "", ""), """")"),"")</f>
        <v/>
      </c>
      <c r="L12160" s="12"/>
      <c r="M12160" s="13"/>
      <c r="N12160" s="2"/>
      <c r="O12160" s="20"/>
      <c r="P12160" s="42"/>
      <c r="R12160" s="23"/>
    </row>
    <row r="12161" spans="1:18" ht="12.75">
      <c r="A12161" s="12"/>
      <c r="D12161" s="12"/>
      <c r="E12161" s="12"/>
      <c r="H12161" s="11" t="str">
        <f ca="1">IFERROR(__xludf.DUMMYFUNCTION("IFERROR(SUBSTITUTE(SUBSTITUTE(REGEXEXTRACT(A12161, ""[^-]+- [^-]+- [^-]+ - (.+?)\.jpg""), "".jpg"", """"), ""-"", "", ""), """")"),"")</f>
        <v/>
      </c>
      <c r="L12161" s="12"/>
      <c r="M12161" s="13"/>
      <c r="N12161" s="2"/>
      <c r="O12161" s="20"/>
      <c r="P12161" s="42"/>
      <c r="R12161" s="23"/>
    </row>
    <row r="12162" spans="1:18" ht="12.75">
      <c r="A12162" s="12"/>
      <c r="D12162" s="12"/>
      <c r="E12162" s="12"/>
      <c r="H12162" s="11" t="str">
        <f ca="1">IFERROR(__xludf.DUMMYFUNCTION("IFERROR(SUBSTITUTE(SUBSTITUTE(REGEXEXTRACT(A12162, ""[^-]+- [^-]+- [^-]+ - (.+?)\.jpg""), "".jpg"", """"), ""-"", "", ""), """")"),"")</f>
        <v/>
      </c>
      <c r="L12162" s="12"/>
      <c r="M12162" s="13"/>
      <c r="N12162" s="2"/>
      <c r="O12162" s="20"/>
      <c r="P12162" s="42"/>
      <c r="R12162" s="23"/>
    </row>
    <row r="12163" spans="1:18" ht="12.75">
      <c r="A12163" s="12"/>
      <c r="D12163" s="12"/>
      <c r="E12163" s="12"/>
      <c r="H12163" s="11" t="str">
        <f ca="1">IFERROR(__xludf.DUMMYFUNCTION("IFERROR(SUBSTITUTE(SUBSTITUTE(REGEXEXTRACT(A12163, ""[^-]+- [^-]+- [^-]+ - (.+?)\.jpg""), "".jpg"", """"), ""-"", "", ""), """")"),"")</f>
        <v/>
      </c>
      <c r="L12163" s="12"/>
      <c r="M12163" s="13"/>
      <c r="N12163" s="2"/>
      <c r="O12163" s="20"/>
      <c r="P12163" s="42"/>
      <c r="R12163" s="23"/>
    </row>
    <row r="12164" spans="1:18" ht="12.75">
      <c r="A12164" s="12"/>
      <c r="D12164" s="12"/>
      <c r="E12164" s="12"/>
      <c r="H12164" s="11" t="str">
        <f ca="1">IFERROR(__xludf.DUMMYFUNCTION("IFERROR(SUBSTITUTE(SUBSTITUTE(REGEXEXTRACT(A12164, ""[^-]+- [^-]+- [^-]+ - (.+?)\.jpg""), "".jpg"", """"), ""-"", "", ""), """")"),"")</f>
        <v/>
      </c>
      <c r="L12164" s="12"/>
      <c r="M12164" s="13"/>
      <c r="N12164" s="2"/>
      <c r="O12164" s="20"/>
      <c r="P12164" s="42"/>
      <c r="R12164" s="23"/>
    </row>
    <row r="12165" spans="1:18" ht="12.75">
      <c r="A12165" s="12"/>
      <c r="D12165" s="12"/>
      <c r="E12165" s="12"/>
      <c r="H12165" s="11" t="str">
        <f ca="1">IFERROR(__xludf.DUMMYFUNCTION("IFERROR(SUBSTITUTE(SUBSTITUTE(REGEXEXTRACT(A12165, ""[^-]+- [^-]+- [^-]+ - (.+?)\.jpg""), "".jpg"", """"), ""-"", "", ""), """")"),"")</f>
        <v/>
      </c>
      <c r="L12165" s="12"/>
      <c r="M12165" s="13"/>
      <c r="N12165" s="2"/>
      <c r="O12165" s="20"/>
      <c r="P12165" s="42"/>
      <c r="R12165" s="23"/>
    </row>
    <row r="12166" spans="1:18" ht="12.75">
      <c r="A12166" s="12"/>
      <c r="D12166" s="12"/>
      <c r="E12166" s="12"/>
      <c r="H12166" s="11" t="str">
        <f ca="1">IFERROR(__xludf.DUMMYFUNCTION("IFERROR(SUBSTITUTE(SUBSTITUTE(REGEXEXTRACT(A12166, ""[^-]+- [^-]+- [^-]+ - (.+?)\.jpg""), "".jpg"", """"), ""-"", "", ""), """")"),"")</f>
        <v/>
      </c>
      <c r="L12166" s="12"/>
      <c r="M12166" s="13"/>
      <c r="N12166" s="2"/>
      <c r="O12166" s="20"/>
      <c r="P12166" s="42"/>
      <c r="R12166" s="23"/>
    </row>
    <row r="12167" spans="1:18" ht="12.75">
      <c r="A12167" s="12"/>
      <c r="D12167" s="12"/>
      <c r="E12167" s="12"/>
      <c r="H12167" s="11" t="str">
        <f ca="1">IFERROR(__xludf.DUMMYFUNCTION("IFERROR(SUBSTITUTE(SUBSTITUTE(REGEXEXTRACT(A12167, ""[^-]+- [^-]+- [^-]+ - (.+?)\.jpg""), "".jpg"", """"), ""-"", "", ""), """")"),"")</f>
        <v/>
      </c>
      <c r="L12167" s="12"/>
      <c r="M12167" s="13"/>
      <c r="N12167" s="2"/>
      <c r="O12167" s="20"/>
      <c r="P12167" s="42"/>
      <c r="R12167" s="23"/>
    </row>
    <row r="12168" spans="1:18" ht="12.75">
      <c r="A12168" s="12"/>
      <c r="D12168" s="12"/>
      <c r="E12168" s="12"/>
      <c r="H12168" s="11" t="str">
        <f ca="1">IFERROR(__xludf.DUMMYFUNCTION("IFERROR(SUBSTITUTE(SUBSTITUTE(REGEXEXTRACT(A12168, ""[^-]+- [^-]+- [^-]+ - (.+?)\.jpg""), "".jpg"", """"), ""-"", "", ""), """")"),"")</f>
        <v/>
      </c>
      <c r="L12168" s="12"/>
      <c r="M12168" s="13"/>
      <c r="N12168" s="2"/>
      <c r="O12168" s="20"/>
      <c r="P12168" s="42"/>
      <c r="R12168" s="23"/>
    </row>
    <row r="12169" spans="1:18" ht="12.75">
      <c r="A12169" s="12"/>
      <c r="D12169" s="12"/>
      <c r="E12169" s="12"/>
      <c r="H12169" s="11" t="str">
        <f ca="1">IFERROR(__xludf.DUMMYFUNCTION("IFERROR(SUBSTITUTE(SUBSTITUTE(REGEXEXTRACT(A12169, ""[^-]+- [^-]+- [^-]+ - (.+?)\.jpg""), "".jpg"", """"), ""-"", "", ""), """")"),"")</f>
        <v/>
      </c>
      <c r="L12169" s="12"/>
      <c r="M12169" s="13"/>
      <c r="N12169" s="2"/>
      <c r="O12169" s="20"/>
      <c r="P12169" s="42"/>
      <c r="R12169" s="23"/>
    </row>
    <row r="12170" spans="1:18" ht="12.75">
      <c r="A12170" s="12"/>
      <c r="D12170" s="12"/>
      <c r="E12170" s="12"/>
      <c r="H12170" s="11" t="str">
        <f ca="1">IFERROR(__xludf.DUMMYFUNCTION("IFERROR(SUBSTITUTE(SUBSTITUTE(REGEXEXTRACT(A12170, ""[^-]+- [^-]+- [^-]+ - (.+?)\.jpg""), "".jpg"", """"), ""-"", "", ""), """")"),"")</f>
        <v/>
      </c>
      <c r="L12170" s="12"/>
      <c r="M12170" s="13"/>
      <c r="N12170" s="2"/>
      <c r="O12170" s="20"/>
      <c r="P12170" s="42"/>
      <c r="R12170" s="23"/>
    </row>
    <row r="12171" spans="1:18" ht="12.75">
      <c r="A12171" s="12"/>
      <c r="D12171" s="12"/>
      <c r="E12171" s="12"/>
      <c r="H12171" s="11" t="str">
        <f ca="1">IFERROR(__xludf.DUMMYFUNCTION("IFERROR(SUBSTITUTE(SUBSTITUTE(REGEXEXTRACT(A12171, ""[^-]+- [^-]+- [^-]+ - (.+?)\.jpg""), "".jpg"", """"), ""-"", "", ""), """")"),"")</f>
        <v/>
      </c>
      <c r="L12171" s="12"/>
      <c r="M12171" s="13"/>
      <c r="N12171" s="2"/>
      <c r="O12171" s="20"/>
      <c r="P12171" s="42"/>
      <c r="R12171" s="23"/>
    </row>
    <row r="12172" spans="1:18" ht="12.75">
      <c r="A12172" s="12"/>
      <c r="D12172" s="12"/>
      <c r="E12172" s="12"/>
      <c r="H12172" s="11" t="str">
        <f ca="1">IFERROR(__xludf.DUMMYFUNCTION("IFERROR(SUBSTITUTE(SUBSTITUTE(REGEXEXTRACT(A12172, ""[^-]+- [^-]+- [^-]+ - (.+?)\.jpg""), "".jpg"", """"), ""-"", "", ""), """")"),"")</f>
        <v/>
      </c>
      <c r="L12172" s="12"/>
      <c r="M12172" s="13"/>
      <c r="N12172" s="2"/>
      <c r="O12172" s="20"/>
      <c r="P12172" s="42"/>
      <c r="R12172" s="23"/>
    </row>
    <row r="12173" spans="1:18" ht="12.75">
      <c r="A12173" s="12"/>
      <c r="D12173" s="12"/>
      <c r="E12173" s="12"/>
      <c r="H12173" s="11" t="str">
        <f ca="1">IFERROR(__xludf.DUMMYFUNCTION("IFERROR(SUBSTITUTE(SUBSTITUTE(REGEXEXTRACT(A12173, ""[^-]+- [^-]+- [^-]+ - (.+?)\.jpg""), "".jpg"", """"), ""-"", "", ""), """")"),"")</f>
        <v/>
      </c>
      <c r="L12173" s="12"/>
      <c r="M12173" s="13"/>
      <c r="N12173" s="2"/>
      <c r="O12173" s="20"/>
      <c r="P12173" s="42"/>
      <c r="R12173" s="23"/>
    </row>
    <row r="12174" spans="1:18" ht="12.75">
      <c r="A12174" s="12"/>
      <c r="D12174" s="12"/>
      <c r="E12174" s="12"/>
      <c r="H12174" s="11" t="str">
        <f ca="1">IFERROR(__xludf.DUMMYFUNCTION("IFERROR(SUBSTITUTE(SUBSTITUTE(REGEXEXTRACT(A12174, ""[^-]+- [^-]+- [^-]+ - (.+?)\.jpg""), "".jpg"", """"), ""-"", "", ""), """")"),"")</f>
        <v/>
      </c>
      <c r="L12174" s="12"/>
      <c r="M12174" s="13"/>
      <c r="N12174" s="2"/>
      <c r="O12174" s="20"/>
      <c r="P12174" s="42"/>
      <c r="R12174" s="23"/>
    </row>
    <row r="12175" spans="1:18" ht="12.75">
      <c r="A12175" s="12"/>
      <c r="D12175" s="12"/>
      <c r="E12175" s="12"/>
      <c r="H12175" s="11" t="str">
        <f ca="1">IFERROR(__xludf.DUMMYFUNCTION("IFERROR(SUBSTITUTE(SUBSTITUTE(REGEXEXTRACT(A12175, ""[^-]+- [^-]+- [^-]+ - (.+?)\.jpg""), "".jpg"", """"), ""-"", "", ""), """")"),"")</f>
        <v/>
      </c>
      <c r="L12175" s="12"/>
      <c r="M12175" s="13"/>
      <c r="N12175" s="2"/>
      <c r="O12175" s="20"/>
      <c r="P12175" s="42"/>
      <c r="R12175" s="23"/>
    </row>
    <row r="12176" spans="1:18" ht="12.75">
      <c r="A12176" s="12"/>
      <c r="D12176" s="12"/>
      <c r="E12176" s="12"/>
      <c r="H12176" s="11" t="str">
        <f ca="1">IFERROR(__xludf.DUMMYFUNCTION("IFERROR(SUBSTITUTE(SUBSTITUTE(REGEXEXTRACT(A12176, ""[^-]+- [^-]+- [^-]+ - (.+?)\.jpg""), "".jpg"", """"), ""-"", "", ""), """")"),"")</f>
        <v/>
      </c>
      <c r="L12176" s="12"/>
      <c r="M12176" s="13"/>
      <c r="N12176" s="2"/>
      <c r="O12176" s="20"/>
      <c r="P12176" s="42"/>
      <c r="R12176" s="23"/>
    </row>
    <row r="12177" spans="1:18" ht="12.75">
      <c r="A12177" s="12"/>
      <c r="D12177" s="12"/>
      <c r="E12177" s="12"/>
      <c r="H12177" s="11" t="str">
        <f ca="1">IFERROR(__xludf.DUMMYFUNCTION("IFERROR(SUBSTITUTE(SUBSTITUTE(REGEXEXTRACT(A12177, ""[^-]+- [^-]+- [^-]+ - (.+?)\.jpg""), "".jpg"", """"), ""-"", "", ""), """")"),"")</f>
        <v/>
      </c>
      <c r="L12177" s="12"/>
      <c r="M12177" s="13"/>
      <c r="N12177" s="2"/>
      <c r="O12177" s="20"/>
      <c r="P12177" s="42"/>
      <c r="R12177" s="23"/>
    </row>
    <row r="12178" spans="1:18" ht="12.75">
      <c r="A12178" s="12"/>
      <c r="D12178" s="12"/>
      <c r="E12178" s="12"/>
      <c r="H12178" s="11" t="str">
        <f ca="1">IFERROR(__xludf.DUMMYFUNCTION("IFERROR(SUBSTITUTE(SUBSTITUTE(REGEXEXTRACT(A12178, ""[^-]+- [^-]+- [^-]+ - (.+?)\.jpg""), "".jpg"", """"), ""-"", "", ""), """")"),"")</f>
        <v/>
      </c>
      <c r="L12178" s="12"/>
      <c r="M12178" s="13"/>
      <c r="N12178" s="2"/>
      <c r="O12178" s="20"/>
      <c r="P12178" s="42"/>
      <c r="R12178" s="23"/>
    </row>
    <row r="12179" spans="1:18" ht="12.75">
      <c r="A12179" s="12"/>
      <c r="D12179" s="12"/>
      <c r="E12179" s="12"/>
      <c r="H12179" s="11" t="str">
        <f ca="1">IFERROR(__xludf.DUMMYFUNCTION("IFERROR(SUBSTITUTE(SUBSTITUTE(REGEXEXTRACT(A12179, ""[^-]+- [^-]+- [^-]+ - (.+?)\.jpg""), "".jpg"", """"), ""-"", "", ""), """")"),"")</f>
        <v/>
      </c>
      <c r="L12179" s="12"/>
      <c r="M12179" s="13"/>
      <c r="N12179" s="2"/>
      <c r="O12179" s="20"/>
      <c r="P12179" s="42"/>
      <c r="R12179" s="23"/>
    </row>
    <row r="12180" spans="1:18" ht="12.75">
      <c r="A12180" s="12"/>
      <c r="D12180" s="12"/>
      <c r="E12180" s="12"/>
      <c r="H12180" s="11" t="str">
        <f ca="1">IFERROR(__xludf.DUMMYFUNCTION("IFERROR(SUBSTITUTE(SUBSTITUTE(REGEXEXTRACT(A12180, ""[^-]+- [^-]+- [^-]+ - (.+?)\.jpg""), "".jpg"", """"), ""-"", "", ""), """")"),"")</f>
        <v/>
      </c>
      <c r="L12180" s="12"/>
      <c r="M12180" s="13"/>
      <c r="N12180" s="2"/>
      <c r="O12180" s="20"/>
      <c r="P12180" s="42"/>
      <c r="R12180" s="23"/>
    </row>
    <row r="12181" spans="1:18" ht="12.75">
      <c r="A12181" s="12"/>
      <c r="D12181" s="12"/>
      <c r="E12181" s="12"/>
      <c r="H12181" s="11" t="str">
        <f ca="1">IFERROR(__xludf.DUMMYFUNCTION("IFERROR(SUBSTITUTE(SUBSTITUTE(REGEXEXTRACT(A12181, ""[^-]+- [^-]+- [^-]+ - (.+?)\.jpg""), "".jpg"", """"), ""-"", "", ""), """")"),"")</f>
        <v/>
      </c>
      <c r="L12181" s="12"/>
      <c r="M12181" s="13"/>
      <c r="N12181" s="2"/>
      <c r="O12181" s="20"/>
      <c r="P12181" s="42"/>
      <c r="R12181" s="23"/>
    </row>
    <row r="12182" spans="1:18" ht="12.75">
      <c r="A12182" s="12"/>
      <c r="D12182" s="12"/>
      <c r="E12182" s="12"/>
      <c r="H12182" s="11" t="str">
        <f ca="1">IFERROR(__xludf.DUMMYFUNCTION("IFERROR(SUBSTITUTE(SUBSTITUTE(REGEXEXTRACT(A12182, ""[^-]+- [^-]+- [^-]+ - (.+?)\.jpg""), "".jpg"", """"), ""-"", "", ""), """")"),"")</f>
        <v/>
      </c>
      <c r="L12182" s="12"/>
      <c r="M12182" s="13"/>
      <c r="N12182" s="2"/>
      <c r="O12182" s="20"/>
      <c r="P12182" s="42"/>
      <c r="R12182" s="23"/>
    </row>
    <row r="12183" spans="1:18" ht="12.75">
      <c r="A12183" s="12"/>
      <c r="D12183" s="12"/>
      <c r="E12183" s="12"/>
      <c r="H12183" s="11" t="str">
        <f ca="1">IFERROR(__xludf.DUMMYFUNCTION("IFERROR(SUBSTITUTE(SUBSTITUTE(REGEXEXTRACT(A12183, ""[^-]+- [^-]+- [^-]+ - (.+?)\.jpg""), "".jpg"", """"), ""-"", "", ""), """")"),"")</f>
        <v/>
      </c>
      <c r="L12183" s="12"/>
      <c r="M12183" s="13"/>
      <c r="N12183" s="2"/>
      <c r="O12183" s="20"/>
      <c r="P12183" s="42"/>
      <c r="R12183" s="23"/>
    </row>
    <row r="12184" spans="1:18" ht="12.75">
      <c r="A12184" s="12"/>
      <c r="D12184" s="12"/>
      <c r="E12184" s="12"/>
      <c r="H12184" s="11" t="str">
        <f ca="1">IFERROR(__xludf.DUMMYFUNCTION("IFERROR(SUBSTITUTE(SUBSTITUTE(REGEXEXTRACT(A12184, ""[^-]+- [^-]+- [^-]+ - (.+?)\.jpg""), "".jpg"", """"), ""-"", "", ""), """")"),"")</f>
        <v/>
      </c>
      <c r="L12184" s="12"/>
      <c r="M12184" s="13"/>
      <c r="N12184" s="2"/>
      <c r="O12184" s="20"/>
      <c r="P12184" s="42"/>
      <c r="R12184" s="23"/>
    </row>
    <row r="12185" spans="1:18" ht="12.75">
      <c r="A12185" s="12"/>
      <c r="D12185" s="12"/>
      <c r="E12185" s="12"/>
      <c r="H12185" s="11" t="str">
        <f ca="1">IFERROR(__xludf.DUMMYFUNCTION("IFERROR(SUBSTITUTE(SUBSTITUTE(REGEXEXTRACT(A12185, ""[^-]+- [^-]+- [^-]+ - (.+?)\.jpg""), "".jpg"", """"), ""-"", "", ""), """")"),"")</f>
        <v/>
      </c>
      <c r="L12185" s="12"/>
      <c r="M12185" s="13"/>
      <c r="N12185" s="2"/>
      <c r="O12185" s="20"/>
      <c r="P12185" s="42"/>
      <c r="R12185" s="23"/>
    </row>
    <row r="12186" spans="1:18" ht="12.75">
      <c r="A12186" s="12"/>
      <c r="D12186" s="12"/>
      <c r="E12186" s="12"/>
      <c r="H12186" s="11" t="str">
        <f ca="1">IFERROR(__xludf.DUMMYFUNCTION("IFERROR(SUBSTITUTE(SUBSTITUTE(REGEXEXTRACT(A12186, ""[^-]+- [^-]+- [^-]+ - (.+?)\.jpg""), "".jpg"", """"), ""-"", "", ""), """")"),"")</f>
        <v/>
      </c>
      <c r="L12186" s="12"/>
      <c r="M12186" s="13"/>
      <c r="N12186" s="2"/>
      <c r="O12186" s="20"/>
      <c r="P12186" s="42"/>
      <c r="R12186" s="23"/>
    </row>
    <row r="12187" spans="1:18" ht="12.75">
      <c r="A12187" s="12"/>
      <c r="D12187" s="12"/>
      <c r="E12187" s="12"/>
      <c r="H12187" s="11" t="str">
        <f ca="1">IFERROR(__xludf.DUMMYFUNCTION("IFERROR(SUBSTITUTE(SUBSTITUTE(REGEXEXTRACT(A12187, ""[^-]+- [^-]+- [^-]+ - (.+?)\.jpg""), "".jpg"", """"), ""-"", "", ""), """")"),"")</f>
        <v/>
      </c>
      <c r="L12187" s="12"/>
      <c r="M12187" s="13"/>
      <c r="N12187" s="2"/>
      <c r="O12187" s="20"/>
      <c r="P12187" s="42"/>
      <c r="R12187" s="23"/>
    </row>
    <row r="12188" spans="1:18" ht="12.75">
      <c r="A12188" s="12"/>
      <c r="D12188" s="12"/>
      <c r="E12188" s="12"/>
      <c r="H12188" s="11" t="str">
        <f ca="1">IFERROR(__xludf.DUMMYFUNCTION("IFERROR(SUBSTITUTE(SUBSTITUTE(REGEXEXTRACT(A12188, ""[^-]+- [^-]+- [^-]+ - (.+?)\.jpg""), "".jpg"", """"), ""-"", "", ""), """")"),"")</f>
        <v/>
      </c>
      <c r="L12188" s="12"/>
      <c r="M12188" s="13"/>
      <c r="N12188" s="2"/>
      <c r="O12188" s="20"/>
      <c r="P12188" s="42"/>
      <c r="R12188" s="23"/>
    </row>
    <row r="12189" spans="1:18" ht="12.75">
      <c r="A12189" s="12"/>
      <c r="D12189" s="12"/>
      <c r="E12189" s="12"/>
      <c r="H12189" s="11" t="str">
        <f ca="1">IFERROR(__xludf.DUMMYFUNCTION("IFERROR(SUBSTITUTE(SUBSTITUTE(REGEXEXTRACT(A12189, ""[^-]+- [^-]+- [^-]+ - (.+?)\.jpg""), "".jpg"", """"), ""-"", "", ""), """")"),"")</f>
        <v/>
      </c>
      <c r="L12189" s="12"/>
      <c r="M12189" s="13"/>
      <c r="N12189" s="2"/>
      <c r="O12189" s="20"/>
      <c r="P12189" s="42"/>
      <c r="R12189" s="23"/>
    </row>
    <row r="12190" spans="1:18" ht="12.75">
      <c r="A12190" s="12"/>
      <c r="D12190" s="12"/>
      <c r="E12190" s="12"/>
      <c r="H12190" s="11" t="str">
        <f ca="1">IFERROR(__xludf.DUMMYFUNCTION("IFERROR(SUBSTITUTE(SUBSTITUTE(REGEXEXTRACT(A12190, ""[^-]+- [^-]+- [^-]+ - (.+?)\.jpg""), "".jpg"", """"), ""-"", "", ""), """")"),"")</f>
        <v/>
      </c>
      <c r="L12190" s="12"/>
      <c r="M12190" s="13"/>
      <c r="N12190" s="2"/>
      <c r="O12190" s="20"/>
      <c r="P12190" s="42"/>
      <c r="R12190" s="23"/>
    </row>
    <row r="12191" spans="1:18" ht="12.75">
      <c r="A12191" s="12"/>
      <c r="D12191" s="12"/>
      <c r="E12191" s="12"/>
      <c r="H12191" s="11" t="str">
        <f ca="1">IFERROR(__xludf.DUMMYFUNCTION("IFERROR(SUBSTITUTE(SUBSTITUTE(REGEXEXTRACT(A12191, ""[^-]+- [^-]+- [^-]+ - (.+?)\.jpg""), "".jpg"", """"), ""-"", "", ""), """")"),"")</f>
        <v/>
      </c>
      <c r="L12191" s="12"/>
      <c r="M12191" s="13"/>
      <c r="N12191" s="2"/>
      <c r="O12191" s="20"/>
      <c r="P12191" s="42"/>
      <c r="R12191" s="23"/>
    </row>
    <row r="12192" spans="1:18" ht="12.75">
      <c r="A12192" s="12"/>
      <c r="D12192" s="12"/>
      <c r="E12192" s="12"/>
      <c r="H12192" s="11" t="str">
        <f ca="1">IFERROR(__xludf.DUMMYFUNCTION("IFERROR(SUBSTITUTE(SUBSTITUTE(REGEXEXTRACT(A12192, ""[^-]+- [^-]+- [^-]+ - (.+?)\.jpg""), "".jpg"", """"), ""-"", "", ""), """")"),"")</f>
        <v/>
      </c>
      <c r="L12192" s="12"/>
      <c r="M12192" s="13"/>
      <c r="N12192" s="2"/>
      <c r="O12192" s="20"/>
      <c r="P12192" s="42"/>
      <c r="R12192" s="23"/>
    </row>
    <row r="12193" spans="1:18" ht="12.75">
      <c r="A12193" s="12"/>
      <c r="D12193" s="12"/>
      <c r="E12193" s="12"/>
      <c r="H12193" s="11" t="str">
        <f ca="1">IFERROR(__xludf.DUMMYFUNCTION("IFERROR(SUBSTITUTE(SUBSTITUTE(REGEXEXTRACT(A12193, ""[^-]+- [^-]+- [^-]+ - (.+?)\.jpg""), "".jpg"", """"), ""-"", "", ""), """")"),"")</f>
        <v/>
      </c>
      <c r="L12193" s="12"/>
      <c r="M12193" s="13"/>
      <c r="N12193" s="2"/>
      <c r="O12193" s="20"/>
      <c r="P12193" s="42"/>
      <c r="R12193" s="23"/>
    </row>
    <row r="12194" spans="1:18" ht="12.75">
      <c r="A12194" s="12"/>
      <c r="D12194" s="12"/>
      <c r="E12194" s="12"/>
      <c r="H12194" s="11" t="str">
        <f ca="1">IFERROR(__xludf.DUMMYFUNCTION("IFERROR(SUBSTITUTE(SUBSTITUTE(REGEXEXTRACT(A12194, ""[^-]+- [^-]+- [^-]+ - (.+?)\.jpg""), "".jpg"", """"), ""-"", "", ""), """")"),"")</f>
        <v/>
      </c>
      <c r="L12194" s="12"/>
      <c r="M12194" s="13"/>
      <c r="N12194" s="2"/>
      <c r="O12194" s="20"/>
      <c r="P12194" s="42"/>
      <c r="R12194" s="23"/>
    </row>
    <row r="12195" spans="1:18" ht="12.75">
      <c r="A12195" s="12"/>
      <c r="D12195" s="12"/>
      <c r="E12195" s="12"/>
      <c r="H12195" s="11" t="str">
        <f ca="1">IFERROR(__xludf.DUMMYFUNCTION("IFERROR(SUBSTITUTE(SUBSTITUTE(REGEXEXTRACT(A12195, ""[^-]+- [^-]+- [^-]+ - (.+?)\.jpg""), "".jpg"", """"), ""-"", "", ""), """")"),"")</f>
        <v/>
      </c>
      <c r="L12195" s="12"/>
      <c r="M12195" s="13"/>
      <c r="N12195" s="2"/>
      <c r="O12195" s="20"/>
      <c r="P12195" s="42"/>
      <c r="R12195" s="23"/>
    </row>
    <row r="12196" spans="1:18" ht="12.75">
      <c r="A12196" s="12"/>
      <c r="D12196" s="12"/>
      <c r="E12196" s="12"/>
      <c r="H12196" s="11" t="str">
        <f ca="1">IFERROR(__xludf.DUMMYFUNCTION("IFERROR(SUBSTITUTE(SUBSTITUTE(REGEXEXTRACT(A12196, ""[^-]+- [^-]+- [^-]+ - (.+?)\.jpg""), "".jpg"", """"), ""-"", "", ""), """")"),"")</f>
        <v/>
      </c>
      <c r="L12196" s="12"/>
      <c r="M12196" s="13"/>
      <c r="N12196" s="2"/>
      <c r="O12196" s="20"/>
      <c r="P12196" s="42"/>
      <c r="R12196" s="23"/>
    </row>
    <row r="12197" spans="1:18" ht="12.75">
      <c r="A12197" s="12"/>
      <c r="D12197" s="12"/>
      <c r="E12197" s="12"/>
      <c r="H12197" s="11" t="str">
        <f ca="1">IFERROR(__xludf.DUMMYFUNCTION("IFERROR(SUBSTITUTE(SUBSTITUTE(REGEXEXTRACT(A12197, ""[^-]+- [^-]+- [^-]+ - (.+?)\.jpg""), "".jpg"", """"), ""-"", "", ""), """")"),"")</f>
        <v/>
      </c>
      <c r="L12197" s="12"/>
      <c r="M12197" s="13"/>
      <c r="N12197" s="2"/>
      <c r="O12197" s="20"/>
      <c r="P12197" s="42"/>
      <c r="R12197" s="23"/>
    </row>
    <row r="12198" spans="1:18" ht="12.75">
      <c r="A12198" s="12"/>
      <c r="D12198" s="12"/>
      <c r="E12198" s="12"/>
      <c r="H12198" s="11" t="str">
        <f ca="1">IFERROR(__xludf.DUMMYFUNCTION("IFERROR(SUBSTITUTE(SUBSTITUTE(REGEXEXTRACT(A12198, ""[^-]+- [^-]+- [^-]+ - (.+?)\.jpg""), "".jpg"", """"), ""-"", "", ""), """")"),"")</f>
        <v/>
      </c>
      <c r="L12198" s="12"/>
      <c r="M12198" s="13"/>
      <c r="N12198" s="2"/>
      <c r="O12198" s="20"/>
      <c r="P12198" s="42"/>
      <c r="R12198" s="23"/>
    </row>
    <row r="12199" spans="1:18" ht="12.75">
      <c r="A12199" s="12"/>
      <c r="D12199" s="12"/>
      <c r="E12199" s="12"/>
      <c r="H12199" s="11" t="str">
        <f ca="1">IFERROR(__xludf.DUMMYFUNCTION("IFERROR(SUBSTITUTE(SUBSTITUTE(REGEXEXTRACT(A12199, ""[^-]+- [^-]+- [^-]+ - (.+?)\.jpg""), "".jpg"", """"), ""-"", "", ""), """")"),"")</f>
        <v/>
      </c>
      <c r="L12199" s="12"/>
      <c r="M12199" s="13"/>
      <c r="N12199" s="2"/>
      <c r="O12199" s="20"/>
      <c r="P12199" s="42"/>
      <c r="R12199" s="23"/>
    </row>
    <row r="12200" spans="1:18" ht="12.75">
      <c r="A12200" s="12"/>
      <c r="D12200" s="12"/>
      <c r="E12200" s="12"/>
      <c r="H12200" s="11" t="str">
        <f ca="1">IFERROR(__xludf.DUMMYFUNCTION("IFERROR(SUBSTITUTE(SUBSTITUTE(REGEXEXTRACT(A12200, ""[^-]+- [^-]+- [^-]+ - (.+?)\.jpg""), "".jpg"", """"), ""-"", "", ""), """")"),"")</f>
        <v/>
      </c>
      <c r="L12200" s="12"/>
      <c r="M12200" s="13"/>
      <c r="N12200" s="2"/>
      <c r="O12200" s="20"/>
      <c r="P12200" s="42"/>
      <c r="R12200" s="23"/>
    </row>
    <row r="12201" spans="1:18" ht="12.75">
      <c r="A12201" s="12"/>
      <c r="D12201" s="12"/>
      <c r="E12201" s="12"/>
      <c r="H12201" s="11" t="str">
        <f ca="1">IFERROR(__xludf.DUMMYFUNCTION("IFERROR(SUBSTITUTE(SUBSTITUTE(REGEXEXTRACT(A12201, ""[^-]+- [^-]+- [^-]+ - (.+?)\.jpg""), "".jpg"", """"), ""-"", "", ""), """")"),"")</f>
        <v/>
      </c>
      <c r="L12201" s="12"/>
      <c r="M12201" s="13"/>
      <c r="N12201" s="2"/>
      <c r="O12201" s="20"/>
      <c r="P12201" s="42"/>
      <c r="R12201" s="23"/>
    </row>
    <row r="12202" spans="1:18" ht="12.75">
      <c r="A12202" s="12"/>
      <c r="D12202" s="12"/>
      <c r="E12202" s="12"/>
      <c r="H12202" s="11" t="str">
        <f ca="1">IFERROR(__xludf.DUMMYFUNCTION("IFERROR(SUBSTITUTE(SUBSTITUTE(REGEXEXTRACT(A12202, ""[^-]+- [^-]+- [^-]+ - (.+?)\.jpg""), "".jpg"", """"), ""-"", "", ""), """")"),"")</f>
        <v/>
      </c>
      <c r="L12202" s="12"/>
      <c r="M12202" s="13"/>
      <c r="N12202" s="2"/>
      <c r="O12202" s="20"/>
      <c r="P12202" s="42"/>
      <c r="R12202" s="23"/>
    </row>
    <row r="12203" spans="1:18" ht="12.75">
      <c r="A12203" s="12"/>
      <c r="D12203" s="12"/>
      <c r="E12203" s="12"/>
      <c r="H12203" s="11" t="str">
        <f ca="1">IFERROR(__xludf.DUMMYFUNCTION("IFERROR(SUBSTITUTE(SUBSTITUTE(REGEXEXTRACT(A12203, ""[^-]+- [^-]+- [^-]+ - (.+?)\.jpg""), "".jpg"", """"), ""-"", "", ""), """")"),"")</f>
        <v/>
      </c>
      <c r="L12203" s="12"/>
      <c r="M12203" s="13"/>
      <c r="N12203" s="2"/>
      <c r="O12203" s="20"/>
      <c r="P12203" s="42"/>
      <c r="R12203" s="23"/>
    </row>
    <row r="12204" spans="1:18" ht="12.75">
      <c r="A12204" s="12"/>
      <c r="D12204" s="12"/>
      <c r="E12204" s="12"/>
      <c r="H12204" s="11" t="str">
        <f ca="1">IFERROR(__xludf.DUMMYFUNCTION("IFERROR(SUBSTITUTE(SUBSTITUTE(REGEXEXTRACT(A12204, ""[^-]+- [^-]+- [^-]+ - (.+?)\.jpg""), "".jpg"", """"), ""-"", "", ""), """")"),"")</f>
        <v/>
      </c>
      <c r="L12204" s="12"/>
      <c r="M12204" s="13"/>
      <c r="N12204" s="2"/>
      <c r="O12204" s="20"/>
      <c r="P12204" s="42"/>
      <c r="R12204" s="23"/>
    </row>
    <row r="12205" spans="1:18" ht="12.75">
      <c r="A12205" s="12"/>
      <c r="D12205" s="12"/>
      <c r="E12205" s="12"/>
      <c r="H12205" s="11" t="str">
        <f ca="1">IFERROR(__xludf.DUMMYFUNCTION("IFERROR(SUBSTITUTE(SUBSTITUTE(REGEXEXTRACT(A12205, ""[^-]+- [^-]+- [^-]+ - (.+?)\.jpg""), "".jpg"", """"), ""-"", "", ""), """")"),"")</f>
        <v/>
      </c>
      <c r="L12205" s="12"/>
      <c r="M12205" s="13"/>
      <c r="N12205" s="2"/>
      <c r="O12205" s="20"/>
      <c r="P12205" s="42"/>
      <c r="R12205" s="23"/>
    </row>
    <row r="12206" spans="1:18" ht="12.75">
      <c r="A12206" s="12"/>
      <c r="D12206" s="12"/>
      <c r="E12206" s="12"/>
      <c r="H12206" s="11" t="str">
        <f ca="1">IFERROR(__xludf.DUMMYFUNCTION("IFERROR(SUBSTITUTE(SUBSTITUTE(REGEXEXTRACT(A12206, ""[^-]+- [^-]+- [^-]+ - (.+?)\.jpg""), "".jpg"", """"), ""-"", "", ""), """")"),"")</f>
        <v/>
      </c>
      <c r="L12206" s="12"/>
      <c r="M12206" s="13"/>
      <c r="N12206" s="2"/>
      <c r="O12206" s="20"/>
      <c r="P12206" s="42"/>
      <c r="R12206" s="23"/>
    </row>
    <row r="12207" spans="1:18" ht="12.75">
      <c r="A12207" s="12"/>
      <c r="D12207" s="12"/>
      <c r="E12207" s="12"/>
      <c r="H12207" s="11" t="str">
        <f ca="1">IFERROR(__xludf.DUMMYFUNCTION("IFERROR(SUBSTITUTE(SUBSTITUTE(REGEXEXTRACT(A12207, ""[^-]+- [^-]+- [^-]+ - (.+?)\.jpg""), "".jpg"", """"), ""-"", "", ""), """")"),"")</f>
        <v/>
      </c>
      <c r="L12207" s="12"/>
      <c r="M12207" s="13"/>
      <c r="N12207" s="2"/>
      <c r="O12207" s="20"/>
      <c r="P12207" s="42"/>
      <c r="R12207" s="23"/>
    </row>
    <row r="12208" spans="1:18" ht="12.75">
      <c r="A12208" s="12"/>
      <c r="D12208" s="12"/>
      <c r="E12208" s="12"/>
      <c r="H12208" s="11" t="str">
        <f ca="1">IFERROR(__xludf.DUMMYFUNCTION("IFERROR(SUBSTITUTE(SUBSTITUTE(REGEXEXTRACT(A12208, ""[^-]+- [^-]+- [^-]+ - (.+?)\.jpg""), "".jpg"", """"), ""-"", "", ""), """")"),"")</f>
        <v/>
      </c>
      <c r="L12208" s="12"/>
      <c r="M12208" s="13"/>
      <c r="N12208" s="2"/>
      <c r="O12208" s="20"/>
      <c r="P12208" s="42"/>
      <c r="R12208" s="23"/>
    </row>
    <row r="12209" spans="1:18" ht="12.75">
      <c r="A12209" s="12"/>
      <c r="D12209" s="12"/>
      <c r="E12209" s="12"/>
      <c r="H12209" s="11" t="str">
        <f ca="1">IFERROR(__xludf.DUMMYFUNCTION("IFERROR(SUBSTITUTE(SUBSTITUTE(REGEXEXTRACT(A12209, ""[^-]+- [^-]+- [^-]+ - (.+?)\.jpg""), "".jpg"", """"), ""-"", "", ""), """")"),"")</f>
        <v/>
      </c>
      <c r="L12209" s="12"/>
      <c r="M12209" s="13"/>
      <c r="N12209" s="2"/>
      <c r="O12209" s="20"/>
      <c r="P12209" s="42"/>
      <c r="R12209" s="23"/>
    </row>
    <row r="12210" spans="1:18" ht="12.75">
      <c r="A12210" s="12"/>
      <c r="D12210" s="12"/>
      <c r="E12210" s="12"/>
      <c r="H12210" s="11" t="str">
        <f ca="1">IFERROR(__xludf.DUMMYFUNCTION("IFERROR(SUBSTITUTE(SUBSTITUTE(REGEXEXTRACT(A12210, ""[^-]+- [^-]+- [^-]+ - (.+?)\.jpg""), "".jpg"", """"), ""-"", "", ""), """")"),"")</f>
        <v/>
      </c>
      <c r="L12210" s="12"/>
      <c r="M12210" s="13"/>
      <c r="N12210" s="2"/>
      <c r="O12210" s="20"/>
      <c r="P12210" s="42"/>
      <c r="R12210" s="23"/>
    </row>
    <row r="12211" spans="1:18" ht="12.75">
      <c r="A12211" s="12"/>
      <c r="D12211" s="12"/>
      <c r="E12211" s="12"/>
      <c r="H12211" s="11" t="str">
        <f ca="1">IFERROR(__xludf.DUMMYFUNCTION("IFERROR(SUBSTITUTE(SUBSTITUTE(REGEXEXTRACT(A12211, ""[^-]+- [^-]+- [^-]+ - (.+?)\.jpg""), "".jpg"", """"), ""-"", "", ""), """")"),"")</f>
        <v/>
      </c>
      <c r="L12211" s="12"/>
      <c r="M12211" s="13"/>
      <c r="N12211" s="2"/>
      <c r="O12211" s="20"/>
      <c r="P12211" s="42"/>
      <c r="R12211" s="23"/>
    </row>
    <row r="12212" spans="1:18" ht="12.75">
      <c r="A12212" s="12"/>
      <c r="D12212" s="12"/>
      <c r="E12212" s="12"/>
      <c r="H12212" s="11" t="str">
        <f ca="1">IFERROR(__xludf.DUMMYFUNCTION("IFERROR(SUBSTITUTE(SUBSTITUTE(REGEXEXTRACT(A12212, ""[^-]+- [^-]+- [^-]+ - (.+?)\.jpg""), "".jpg"", """"), ""-"", "", ""), """")"),"")</f>
        <v/>
      </c>
      <c r="L12212" s="12"/>
      <c r="M12212" s="13"/>
      <c r="N12212" s="2"/>
      <c r="O12212" s="20"/>
      <c r="P12212" s="42"/>
      <c r="R12212" s="23"/>
    </row>
    <row r="12213" spans="1:18" ht="12.75">
      <c r="A12213" s="12"/>
      <c r="D12213" s="12"/>
      <c r="E12213" s="12"/>
      <c r="H12213" s="11" t="str">
        <f ca="1">IFERROR(__xludf.DUMMYFUNCTION("IFERROR(SUBSTITUTE(SUBSTITUTE(REGEXEXTRACT(A12213, ""[^-]+- [^-]+- [^-]+ - (.+?)\.jpg""), "".jpg"", """"), ""-"", "", ""), """")"),"")</f>
        <v/>
      </c>
      <c r="L12213" s="12"/>
      <c r="M12213" s="13"/>
      <c r="N12213" s="2"/>
      <c r="O12213" s="20"/>
      <c r="P12213" s="42"/>
      <c r="R12213" s="23"/>
    </row>
    <row r="12214" spans="1:18" ht="12.75">
      <c r="A12214" s="12"/>
      <c r="D12214" s="12"/>
      <c r="E12214" s="12"/>
      <c r="H12214" s="11" t="str">
        <f ca="1">IFERROR(__xludf.DUMMYFUNCTION("IFERROR(SUBSTITUTE(SUBSTITUTE(REGEXEXTRACT(A12214, ""[^-]+- [^-]+- [^-]+ - (.+?)\.jpg""), "".jpg"", """"), ""-"", "", ""), """")"),"")</f>
        <v/>
      </c>
      <c r="L12214" s="12"/>
      <c r="M12214" s="13"/>
      <c r="N12214" s="2"/>
      <c r="O12214" s="20"/>
      <c r="P12214" s="42"/>
      <c r="R12214" s="23"/>
    </row>
    <row r="12215" spans="1:18" ht="12.75">
      <c r="A12215" s="12"/>
      <c r="D12215" s="12"/>
      <c r="E12215" s="12"/>
      <c r="H12215" s="11" t="str">
        <f ca="1">IFERROR(__xludf.DUMMYFUNCTION("IFERROR(SUBSTITUTE(SUBSTITUTE(REGEXEXTRACT(A12215, ""[^-]+- [^-]+- [^-]+ - (.+?)\.jpg""), "".jpg"", """"), ""-"", "", ""), """")"),"")</f>
        <v/>
      </c>
      <c r="L12215" s="12"/>
      <c r="M12215" s="13"/>
      <c r="N12215" s="2"/>
      <c r="O12215" s="20"/>
      <c r="P12215" s="42"/>
      <c r="R12215" s="23"/>
    </row>
    <row r="12216" spans="1:18" ht="12.75">
      <c r="A12216" s="12"/>
      <c r="D12216" s="12"/>
      <c r="E12216" s="12"/>
      <c r="H12216" s="11" t="str">
        <f ca="1">IFERROR(__xludf.DUMMYFUNCTION("IFERROR(SUBSTITUTE(SUBSTITUTE(REGEXEXTRACT(A12216, ""[^-]+- [^-]+- [^-]+ - (.+?)\.jpg""), "".jpg"", """"), ""-"", "", ""), """")"),"")</f>
        <v/>
      </c>
      <c r="L12216" s="12"/>
      <c r="M12216" s="13"/>
      <c r="N12216" s="2"/>
      <c r="O12216" s="20"/>
      <c r="P12216" s="42"/>
      <c r="R12216" s="23"/>
    </row>
    <row r="12217" spans="1:18" ht="12.75">
      <c r="A12217" s="12"/>
      <c r="D12217" s="12"/>
      <c r="E12217" s="12"/>
      <c r="H12217" s="11" t="str">
        <f ca="1">IFERROR(__xludf.DUMMYFUNCTION("IFERROR(SUBSTITUTE(SUBSTITUTE(REGEXEXTRACT(A12217, ""[^-]+- [^-]+- [^-]+ - (.+?)\.jpg""), "".jpg"", """"), ""-"", "", ""), """")"),"")</f>
        <v/>
      </c>
      <c r="L12217" s="12"/>
      <c r="M12217" s="13"/>
      <c r="N12217" s="2"/>
      <c r="O12217" s="20"/>
      <c r="P12217" s="42"/>
      <c r="R12217" s="23"/>
    </row>
    <row r="12218" spans="1:18" ht="12.75">
      <c r="A12218" s="12"/>
      <c r="D12218" s="12"/>
      <c r="E12218" s="12"/>
      <c r="H12218" s="11" t="str">
        <f ca="1">IFERROR(__xludf.DUMMYFUNCTION("IFERROR(SUBSTITUTE(SUBSTITUTE(REGEXEXTRACT(A12218, ""[^-]+- [^-]+- [^-]+ - (.+?)\.jpg""), "".jpg"", """"), ""-"", "", ""), """")"),"")</f>
        <v/>
      </c>
      <c r="L12218" s="12"/>
      <c r="M12218" s="13"/>
      <c r="N12218" s="2"/>
      <c r="O12218" s="20"/>
      <c r="P12218" s="42"/>
      <c r="R12218" s="23"/>
    </row>
    <row r="12219" spans="1:18" ht="12.75">
      <c r="A12219" s="12"/>
      <c r="D12219" s="12"/>
      <c r="E12219" s="12"/>
      <c r="H12219" s="11" t="str">
        <f ca="1">IFERROR(__xludf.DUMMYFUNCTION("IFERROR(SUBSTITUTE(SUBSTITUTE(REGEXEXTRACT(A12219, ""[^-]+- [^-]+- [^-]+ - (.+?)\.jpg""), "".jpg"", """"), ""-"", "", ""), """")"),"")</f>
        <v/>
      </c>
      <c r="L12219" s="12"/>
      <c r="M12219" s="13"/>
      <c r="N12219" s="2"/>
      <c r="O12219" s="20"/>
      <c r="P12219" s="42"/>
      <c r="R12219" s="23"/>
    </row>
    <row r="12220" spans="1:18" ht="12.75">
      <c r="A12220" s="12"/>
      <c r="D12220" s="12"/>
      <c r="E12220" s="12"/>
      <c r="H12220" s="11" t="str">
        <f ca="1">IFERROR(__xludf.DUMMYFUNCTION("IFERROR(SUBSTITUTE(SUBSTITUTE(REGEXEXTRACT(A12220, ""[^-]+- [^-]+- [^-]+ - (.+?)\.jpg""), "".jpg"", """"), ""-"", "", ""), """")"),"")</f>
        <v/>
      </c>
      <c r="L12220" s="12"/>
      <c r="M12220" s="13"/>
      <c r="N12220" s="2"/>
      <c r="O12220" s="20"/>
      <c r="P12220" s="42"/>
      <c r="R12220" s="23"/>
    </row>
    <row r="12221" spans="1:18" ht="12.75">
      <c r="A12221" s="12"/>
      <c r="D12221" s="12"/>
      <c r="E12221" s="12"/>
      <c r="H12221" s="11" t="str">
        <f ca="1">IFERROR(__xludf.DUMMYFUNCTION("IFERROR(SUBSTITUTE(SUBSTITUTE(REGEXEXTRACT(A12221, ""[^-]+- [^-]+- [^-]+ - (.+?)\.jpg""), "".jpg"", """"), ""-"", "", ""), """")"),"")</f>
        <v/>
      </c>
      <c r="L12221" s="12"/>
      <c r="M12221" s="13"/>
      <c r="N12221" s="2"/>
      <c r="O12221" s="20"/>
      <c r="P12221" s="42"/>
      <c r="R12221" s="23"/>
    </row>
    <row r="12222" spans="1:18" ht="12.75">
      <c r="A12222" s="12"/>
      <c r="D12222" s="12"/>
      <c r="E12222" s="12"/>
      <c r="H12222" s="11" t="str">
        <f ca="1">IFERROR(__xludf.DUMMYFUNCTION("IFERROR(SUBSTITUTE(SUBSTITUTE(REGEXEXTRACT(A12222, ""[^-]+- [^-]+- [^-]+ - (.+?)\.jpg""), "".jpg"", """"), ""-"", "", ""), """")"),"")</f>
        <v/>
      </c>
      <c r="L12222" s="12"/>
      <c r="M12222" s="13"/>
      <c r="N12222" s="2"/>
      <c r="O12222" s="20"/>
      <c r="P12222" s="42"/>
      <c r="R12222" s="23"/>
    </row>
    <row r="12223" spans="1:18" ht="12.75">
      <c r="A12223" s="12"/>
      <c r="D12223" s="12"/>
      <c r="E12223" s="12"/>
      <c r="H12223" s="11" t="str">
        <f ca="1">IFERROR(__xludf.DUMMYFUNCTION("IFERROR(SUBSTITUTE(SUBSTITUTE(REGEXEXTRACT(A12223, ""[^-]+- [^-]+- [^-]+ - (.+?)\.jpg""), "".jpg"", """"), ""-"", "", ""), """")"),"")</f>
        <v/>
      </c>
      <c r="L12223" s="12"/>
      <c r="M12223" s="13"/>
      <c r="N12223" s="2"/>
      <c r="O12223" s="20"/>
      <c r="P12223" s="42"/>
      <c r="R12223" s="23"/>
    </row>
    <row r="12224" spans="1:18" ht="12.75">
      <c r="A12224" s="12"/>
      <c r="D12224" s="12"/>
      <c r="E12224" s="12"/>
      <c r="H12224" s="11" t="str">
        <f ca="1">IFERROR(__xludf.DUMMYFUNCTION("IFERROR(SUBSTITUTE(SUBSTITUTE(REGEXEXTRACT(A12224, ""[^-]+- [^-]+- [^-]+ - (.+?)\.jpg""), "".jpg"", """"), ""-"", "", ""), """")"),"")</f>
        <v/>
      </c>
      <c r="L12224" s="12"/>
      <c r="M12224" s="13"/>
      <c r="N12224" s="2"/>
      <c r="O12224" s="20"/>
      <c r="P12224" s="42"/>
      <c r="R12224" s="23"/>
    </row>
    <row r="12225" spans="1:18" ht="12.75">
      <c r="A12225" s="12"/>
      <c r="D12225" s="12"/>
      <c r="E12225" s="12"/>
      <c r="H12225" s="11" t="str">
        <f ca="1">IFERROR(__xludf.DUMMYFUNCTION("IFERROR(SUBSTITUTE(SUBSTITUTE(REGEXEXTRACT(A12225, ""[^-]+- [^-]+- [^-]+ - (.+?)\.jpg""), "".jpg"", """"), ""-"", "", ""), """")"),"")</f>
        <v/>
      </c>
      <c r="L12225" s="12"/>
      <c r="M12225" s="13"/>
      <c r="N12225" s="2"/>
      <c r="O12225" s="20"/>
      <c r="P12225" s="42"/>
      <c r="R12225" s="23"/>
    </row>
    <row r="12226" spans="1:18" ht="12.75">
      <c r="A12226" s="12"/>
      <c r="D12226" s="12"/>
      <c r="E12226" s="12"/>
      <c r="H12226" s="11" t="str">
        <f ca="1">IFERROR(__xludf.DUMMYFUNCTION("IFERROR(SUBSTITUTE(SUBSTITUTE(REGEXEXTRACT(A12226, ""[^-]+- [^-]+- [^-]+ - (.+?)\.jpg""), "".jpg"", """"), ""-"", "", ""), """")"),"")</f>
        <v/>
      </c>
      <c r="L12226" s="12"/>
      <c r="M12226" s="13"/>
      <c r="N12226" s="2"/>
      <c r="O12226" s="20"/>
      <c r="P12226" s="42"/>
      <c r="R12226" s="23"/>
    </row>
    <row r="12227" spans="1:18" ht="12.75">
      <c r="A12227" s="12"/>
      <c r="D12227" s="12"/>
      <c r="E12227" s="12"/>
      <c r="H12227" s="11" t="str">
        <f ca="1">IFERROR(__xludf.DUMMYFUNCTION("IFERROR(SUBSTITUTE(SUBSTITUTE(REGEXEXTRACT(A12227, ""[^-]+- [^-]+- [^-]+ - (.+?)\.jpg""), "".jpg"", """"), ""-"", "", ""), """")"),"")</f>
        <v/>
      </c>
      <c r="L12227" s="12"/>
      <c r="M12227" s="13"/>
      <c r="N12227" s="2"/>
      <c r="O12227" s="20"/>
      <c r="P12227" s="42"/>
      <c r="R12227" s="23"/>
    </row>
    <row r="12228" spans="1:18" ht="12.75">
      <c r="A12228" s="12"/>
      <c r="D12228" s="12"/>
      <c r="E12228" s="12"/>
      <c r="H12228" s="11" t="str">
        <f ca="1">IFERROR(__xludf.DUMMYFUNCTION("IFERROR(SUBSTITUTE(SUBSTITUTE(REGEXEXTRACT(A12228, ""[^-]+- [^-]+- [^-]+ - (.+?)\.jpg""), "".jpg"", """"), ""-"", "", ""), """")"),"")</f>
        <v/>
      </c>
      <c r="L12228" s="12"/>
      <c r="M12228" s="13"/>
      <c r="N12228" s="2"/>
      <c r="O12228" s="20"/>
      <c r="P12228" s="42"/>
      <c r="R12228" s="23"/>
    </row>
    <row r="12229" spans="1:18" ht="12.75">
      <c r="A12229" s="12"/>
      <c r="D12229" s="12"/>
      <c r="E12229" s="12"/>
      <c r="H12229" s="11" t="str">
        <f ca="1">IFERROR(__xludf.DUMMYFUNCTION("IFERROR(SUBSTITUTE(SUBSTITUTE(REGEXEXTRACT(A12229, ""[^-]+- [^-]+- [^-]+ - (.+?)\.jpg""), "".jpg"", """"), ""-"", "", ""), """")"),"")</f>
        <v/>
      </c>
      <c r="L12229" s="12"/>
      <c r="M12229" s="13"/>
      <c r="N12229" s="2"/>
      <c r="O12229" s="20"/>
      <c r="P12229" s="42"/>
      <c r="R12229" s="23"/>
    </row>
    <row r="12230" spans="1:18" ht="12.75">
      <c r="A12230" s="12"/>
      <c r="D12230" s="12"/>
      <c r="E12230" s="12"/>
      <c r="H12230" s="11" t="str">
        <f ca="1">IFERROR(__xludf.DUMMYFUNCTION("IFERROR(SUBSTITUTE(SUBSTITUTE(REGEXEXTRACT(A12230, ""[^-]+- [^-]+- [^-]+ - (.+?)\.jpg""), "".jpg"", """"), ""-"", "", ""), """")"),"")</f>
        <v/>
      </c>
      <c r="L12230" s="12"/>
      <c r="M12230" s="13"/>
      <c r="N12230" s="2"/>
      <c r="O12230" s="20"/>
      <c r="P12230" s="42"/>
      <c r="R12230" s="23"/>
    </row>
    <row r="12231" spans="1:18" ht="12.75">
      <c r="A12231" s="12"/>
      <c r="D12231" s="12"/>
      <c r="E12231" s="12"/>
      <c r="H12231" s="11" t="str">
        <f ca="1">IFERROR(__xludf.DUMMYFUNCTION("IFERROR(SUBSTITUTE(SUBSTITUTE(REGEXEXTRACT(A12231, ""[^-]+- [^-]+- [^-]+ - (.+?)\.jpg""), "".jpg"", """"), ""-"", "", ""), """")"),"")</f>
        <v/>
      </c>
      <c r="L12231" s="12"/>
      <c r="M12231" s="13"/>
      <c r="N12231" s="2"/>
      <c r="O12231" s="20"/>
      <c r="P12231" s="42"/>
      <c r="R12231" s="23"/>
    </row>
    <row r="12232" spans="1:18" ht="12.75">
      <c r="A12232" s="12"/>
      <c r="D12232" s="12"/>
      <c r="E12232" s="12"/>
      <c r="H12232" s="11" t="str">
        <f ca="1">IFERROR(__xludf.DUMMYFUNCTION("IFERROR(SUBSTITUTE(SUBSTITUTE(REGEXEXTRACT(A12232, ""[^-]+- [^-]+- [^-]+ - (.+?)\.jpg""), "".jpg"", """"), ""-"", "", ""), """")"),"")</f>
        <v/>
      </c>
      <c r="L12232" s="12"/>
      <c r="M12232" s="13"/>
      <c r="N12232" s="2"/>
      <c r="O12232" s="20"/>
      <c r="P12232" s="42"/>
      <c r="R12232" s="23"/>
    </row>
    <row r="12233" spans="1:18" ht="12.75">
      <c r="A12233" s="12"/>
      <c r="D12233" s="12"/>
      <c r="E12233" s="12"/>
      <c r="H12233" s="11" t="str">
        <f ca="1">IFERROR(__xludf.DUMMYFUNCTION("IFERROR(SUBSTITUTE(SUBSTITUTE(REGEXEXTRACT(A12233, ""[^-]+- [^-]+- [^-]+ - (.+?)\.jpg""), "".jpg"", """"), ""-"", "", ""), """")"),"")</f>
        <v/>
      </c>
      <c r="L12233" s="12"/>
      <c r="M12233" s="13"/>
      <c r="N12233" s="2"/>
      <c r="O12233" s="20"/>
      <c r="P12233" s="42"/>
      <c r="R12233" s="23"/>
    </row>
    <row r="12234" spans="1:18" ht="12.75">
      <c r="A12234" s="12"/>
      <c r="D12234" s="12"/>
      <c r="E12234" s="12"/>
      <c r="H12234" s="11" t="str">
        <f ca="1">IFERROR(__xludf.DUMMYFUNCTION("IFERROR(SUBSTITUTE(SUBSTITUTE(REGEXEXTRACT(A12234, ""[^-]+- [^-]+- [^-]+ - (.+?)\.jpg""), "".jpg"", """"), ""-"", "", ""), """")"),"")</f>
        <v/>
      </c>
      <c r="L12234" s="12"/>
      <c r="M12234" s="13"/>
      <c r="N12234" s="2"/>
      <c r="O12234" s="20"/>
      <c r="P12234" s="42"/>
      <c r="R12234" s="23"/>
    </row>
    <row r="12235" spans="1:18" ht="12.75">
      <c r="A12235" s="12"/>
      <c r="D12235" s="12"/>
      <c r="E12235" s="12"/>
      <c r="H12235" s="11" t="str">
        <f ca="1">IFERROR(__xludf.DUMMYFUNCTION("IFERROR(SUBSTITUTE(SUBSTITUTE(REGEXEXTRACT(A12235, ""[^-]+- [^-]+- [^-]+ - (.+?)\.jpg""), "".jpg"", """"), ""-"", "", ""), """")"),"")</f>
        <v/>
      </c>
      <c r="L12235" s="12"/>
      <c r="M12235" s="13"/>
      <c r="N12235" s="2"/>
      <c r="O12235" s="20"/>
      <c r="P12235" s="42"/>
      <c r="R12235" s="23"/>
    </row>
    <row r="12236" spans="1:18" ht="12.75">
      <c r="A12236" s="12"/>
      <c r="D12236" s="12"/>
      <c r="E12236" s="12"/>
      <c r="H12236" s="11" t="str">
        <f ca="1">IFERROR(__xludf.DUMMYFUNCTION("IFERROR(SUBSTITUTE(SUBSTITUTE(REGEXEXTRACT(A12236, ""[^-]+- [^-]+- [^-]+ - (.+?)\.jpg""), "".jpg"", """"), ""-"", "", ""), """")"),"")</f>
        <v/>
      </c>
      <c r="L12236" s="12"/>
      <c r="M12236" s="13"/>
      <c r="N12236" s="2"/>
      <c r="O12236" s="20"/>
      <c r="P12236" s="42"/>
      <c r="R12236" s="23"/>
    </row>
    <row r="12237" spans="1:18" ht="12.75">
      <c r="A12237" s="12"/>
      <c r="D12237" s="12"/>
      <c r="E12237" s="12"/>
      <c r="H12237" s="11" t="str">
        <f ca="1">IFERROR(__xludf.DUMMYFUNCTION("IFERROR(SUBSTITUTE(SUBSTITUTE(REGEXEXTRACT(A12237, ""[^-]+- [^-]+- [^-]+ - (.+?)\.jpg""), "".jpg"", """"), ""-"", "", ""), """")"),"")</f>
        <v/>
      </c>
      <c r="L12237" s="12"/>
      <c r="M12237" s="13"/>
      <c r="N12237" s="2"/>
      <c r="O12237" s="20"/>
      <c r="P12237" s="42"/>
      <c r="R12237" s="23"/>
    </row>
    <row r="12238" spans="1:18" ht="12.75">
      <c r="A12238" s="12"/>
      <c r="D12238" s="12"/>
      <c r="E12238" s="12"/>
      <c r="H12238" s="11" t="str">
        <f ca="1">IFERROR(__xludf.DUMMYFUNCTION("IFERROR(SUBSTITUTE(SUBSTITUTE(REGEXEXTRACT(A12238, ""[^-]+- [^-]+- [^-]+ - (.+?)\.jpg""), "".jpg"", """"), ""-"", "", ""), """")"),"")</f>
        <v/>
      </c>
      <c r="L12238" s="12"/>
      <c r="M12238" s="13"/>
      <c r="N12238" s="2"/>
      <c r="O12238" s="20"/>
      <c r="P12238" s="42"/>
      <c r="R12238" s="23"/>
    </row>
    <row r="12239" spans="1:18" ht="12.75">
      <c r="A12239" s="12"/>
      <c r="D12239" s="12"/>
      <c r="E12239" s="12"/>
      <c r="H12239" s="11" t="str">
        <f ca="1">IFERROR(__xludf.DUMMYFUNCTION("IFERROR(SUBSTITUTE(SUBSTITUTE(REGEXEXTRACT(A12239, ""[^-]+- [^-]+- [^-]+ - (.+?)\.jpg""), "".jpg"", """"), ""-"", "", ""), """")"),"")</f>
        <v/>
      </c>
      <c r="L12239" s="12"/>
      <c r="M12239" s="13"/>
      <c r="N12239" s="2"/>
      <c r="O12239" s="20"/>
      <c r="P12239" s="42"/>
      <c r="R12239" s="23"/>
    </row>
    <row r="12240" spans="1:18" ht="12.75">
      <c r="A12240" s="12"/>
      <c r="D12240" s="12"/>
      <c r="E12240" s="12"/>
      <c r="H12240" s="11" t="str">
        <f ca="1">IFERROR(__xludf.DUMMYFUNCTION("IFERROR(SUBSTITUTE(SUBSTITUTE(REGEXEXTRACT(A12240, ""[^-]+- [^-]+- [^-]+ - (.+?)\.jpg""), "".jpg"", """"), ""-"", "", ""), """")"),"")</f>
        <v/>
      </c>
      <c r="L12240" s="12"/>
      <c r="M12240" s="13"/>
      <c r="N12240" s="2"/>
      <c r="O12240" s="20"/>
      <c r="P12240" s="42"/>
      <c r="R12240" s="23"/>
    </row>
    <row r="12241" spans="1:18" ht="12.75">
      <c r="A12241" s="12"/>
      <c r="D12241" s="12"/>
      <c r="E12241" s="12"/>
      <c r="H12241" s="11" t="str">
        <f ca="1">IFERROR(__xludf.DUMMYFUNCTION("IFERROR(SUBSTITUTE(SUBSTITUTE(REGEXEXTRACT(A12241, ""[^-]+- [^-]+- [^-]+ - (.+?)\.jpg""), "".jpg"", """"), ""-"", "", ""), """")"),"")</f>
        <v/>
      </c>
      <c r="L12241" s="12"/>
      <c r="M12241" s="13"/>
      <c r="N12241" s="2"/>
      <c r="O12241" s="20"/>
      <c r="P12241" s="42"/>
      <c r="R12241" s="23"/>
    </row>
    <row r="12242" spans="1:18" ht="12.75">
      <c r="A12242" s="12"/>
      <c r="D12242" s="12"/>
      <c r="E12242" s="12"/>
      <c r="H12242" s="11" t="str">
        <f ca="1">IFERROR(__xludf.DUMMYFUNCTION("IFERROR(SUBSTITUTE(SUBSTITUTE(REGEXEXTRACT(A12242, ""[^-]+- [^-]+- [^-]+ - (.+?)\.jpg""), "".jpg"", """"), ""-"", "", ""), """")"),"")</f>
        <v/>
      </c>
      <c r="L12242" s="12"/>
      <c r="M12242" s="13"/>
      <c r="N12242" s="2"/>
      <c r="O12242" s="20"/>
      <c r="P12242" s="42"/>
      <c r="R12242" s="23"/>
    </row>
    <row r="12243" spans="1:18" ht="12.75">
      <c r="A12243" s="12"/>
      <c r="D12243" s="12"/>
      <c r="E12243" s="12"/>
      <c r="H12243" s="11" t="str">
        <f ca="1">IFERROR(__xludf.DUMMYFUNCTION("IFERROR(SUBSTITUTE(SUBSTITUTE(REGEXEXTRACT(A12243, ""[^-]+- [^-]+- [^-]+ - (.+?)\.jpg""), "".jpg"", """"), ""-"", "", ""), """")"),"")</f>
        <v/>
      </c>
      <c r="L12243" s="12"/>
      <c r="M12243" s="13"/>
      <c r="N12243" s="2"/>
      <c r="O12243" s="20"/>
      <c r="P12243" s="42"/>
      <c r="R12243" s="23"/>
    </row>
    <row r="12244" spans="1:18" ht="12.75">
      <c r="A12244" s="12"/>
      <c r="D12244" s="12"/>
      <c r="E12244" s="12"/>
      <c r="H12244" s="11" t="str">
        <f ca="1">IFERROR(__xludf.DUMMYFUNCTION("IFERROR(SUBSTITUTE(SUBSTITUTE(REGEXEXTRACT(A12244, ""[^-]+- [^-]+- [^-]+ - (.+?)\.jpg""), "".jpg"", """"), ""-"", "", ""), """")"),"")</f>
        <v/>
      </c>
      <c r="L12244" s="12"/>
      <c r="M12244" s="13"/>
      <c r="N12244" s="2"/>
      <c r="O12244" s="20"/>
      <c r="P12244" s="42"/>
      <c r="R12244" s="23"/>
    </row>
    <row r="12245" spans="1:18" ht="12.75">
      <c r="A12245" s="12"/>
      <c r="D12245" s="12"/>
      <c r="E12245" s="12"/>
      <c r="H12245" s="11" t="str">
        <f ca="1">IFERROR(__xludf.DUMMYFUNCTION("IFERROR(SUBSTITUTE(SUBSTITUTE(REGEXEXTRACT(A12245, ""[^-]+- [^-]+- [^-]+ - (.+?)\.jpg""), "".jpg"", """"), ""-"", "", ""), """")"),"")</f>
        <v/>
      </c>
      <c r="L12245" s="12"/>
      <c r="M12245" s="13"/>
      <c r="N12245" s="2"/>
      <c r="O12245" s="20"/>
      <c r="P12245" s="42"/>
      <c r="R12245" s="23"/>
    </row>
    <row r="12246" spans="1:18" ht="12.75">
      <c r="A12246" s="12"/>
      <c r="D12246" s="12"/>
      <c r="E12246" s="12"/>
      <c r="H12246" s="11" t="str">
        <f ca="1">IFERROR(__xludf.DUMMYFUNCTION("IFERROR(SUBSTITUTE(SUBSTITUTE(REGEXEXTRACT(A12246, ""[^-]+- [^-]+- [^-]+ - (.+?)\.jpg""), "".jpg"", """"), ""-"", "", ""), """")"),"")</f>
        <v/>
      </c>
      <c r="L12246" s="12"/>
      <c r="M12246" s="13"/>
      <c r="N12246" s="2"/>
      <c r="O12246" s="20"/>
      <c r="P12246" s="42"/>
      <c r="R12246" s="23"/>
    </row>
    <row r="12247" spans="1:18" ht="12.75">
      <c r="A12247" s="12"/>
      <c r="D12247" s="12"/>
      <c r="E12247" s="12"/>
      <c r="H12247" s="11" t="str">
        <f ca="1">IFERROR(__xludf.DUMMYFUNCTION("IFERROR(SUBSTITUTE(SUBSTITUTE(REGEXEXTRACT(A12247, ""[^-]+- [^-]+- [^-]+ - (.+?)\.jpg""), "".jpg"", """"), ""-"", "", ""), """")"),"")</f>
        <v/>
      </c>
      <c r="L12247" s="12"/>
      <c r="M12247" s="13"/>
      <c r="N12247" s="2"/>
      <c r="O12247" s="20"/>
      <c r="P12247" s="42"/>
      <c r="R12247" s="23"/>
    </row>
    <row r="12248" spans="1:18" ht="12.75">
      <c r="A12248" s="12"/>
      <c r="D12248" s="12"/>
      <c r="E12248" s="12"/>
      <c r="H12248" s="11" t="str">
        <f ca="1">IFERROR(__xludf.DUMMYFUNCTION("IFERROR(SUBSTITUTE(SUBSTITUTE(REGEXEXTRACT(A12248, ""[^-]+- [^-]+- [^-]+ - (.+?)\.jpg""), "".jpg"", """"), ""-"", "", ""), """")"),"")</f>
        <v/>
      </c>
      <c r="L12248" s="12"/>
      <c r="M12248" s="13"/>
      <c r="N12248" s="2"/>
      <c r="O12248" s="20"/>
      <c r="P12248" s="42"/>
      <c r="R12248" s="23"/>
    </row>
    <row r="12249" spans="1:18" ht="12.75">
      <c r="A12249" s="12"/>
      <c r="D12249" s="12"/>
      <c r="E12249" s="12"/>
      <c r="H12249" s="11" t="str">
        <f ca="1">IFERROR(__xludf.DUMMYFUNCTION("IFERROR(SUBSTITUTE(SUBSTITUTE(REGEXEXTRACT(A12249, ""[^-]+- [^-]+- [^-]+ - (.+?)\.jpg""), "".jpg"", """"), ""-"", "", ""), """")"),"")</f>
        <v/>
      </c>
      <c r="L12249" s="12"/>
      <c r="M12249" s="13"/>
      <c r="N12249" s="2"/>
      <c r="O12249" s="20"/>
      <c r="P12249" s="42"/>
      <c r="R12249" s="23"/>
    </row>
    <row r="12250" spans="1:18" ht="12.75">
      <c r="A12250" s="12"/>
      <c r="D12250" s="12"/>
      <c r="E12250" s="12"/>
      <c r="H12250" s="11" t="str">
        <f ca="1">IFERROR(__xludf.DUMMYFUNCTION("IFERROR(SUBSTITUTE(SUBSTITUTE(REGEXEXTRACT(A12250, ""[^-]+- [^-]+- [^-]+ - (.+?)\.jpg""), "".jpg"", """"), ""-"", "", ""), """")"),"")</f>
        <v/>
      </c>
      <c r="L12250" s="12"/>
      <c r="M12250" s="13"/>
      <c r="N12250" s="2"/>
      <c r="O12250" s="20"/>
      <c r="P12250" s="42"/>
      <c r="R12250" s="23"/>
    </row>
    <row r="12251" spans="1:18" ht="12.75">
      <c r="A12251" s="12"/>
      <c r="D12251" s="12"/>
      <c r="E12251" s="12"/>
      <c r="H12251" s="11" t="str">
        <f ca="1">IFERROR(__xludf.DUMMYFUNCTION("IFERROR(SUBSTITUTE(SUBSTITUTE(REGEXEXTRACT(A12251, ""[^-]+- [^-]+- [^-]+ - (.+?)\.jpg""), "".jpg"", """"), ""-"", "", ""), """")"),"")</f>
        <v/>
      </c>
      <c r="L12251" s="12"/>
      <c r="M12251" s="13"/>
      <c r="N12251" s="2"/>
      <c r="O12251" s="20"/>
      <c r="P12251" s="42"/>
      <c r="R12251" s="23"/>
    </row>
    <row r="12252" spans="1:18" ht="12.75">
      <c r="A12252" s="12"/>
      <c r="D12252" s="12"/>
      <c r="E12252" s="12"/>
      <c r="H12252" s="11" t="str">
        <f ca="1">IFERROR(__xludf.DUMMYFUNCTION("IFERROR(SUBSTITUTE(SUBSTITUTE(REGEXEXTRACT(A12252, ""[^-]+- [^-]+- [^-]+ - (.+?)\.jpg""), "".jpg"", """"), ""-"", "", ""), """")"),"")</f>
        <v/>
      </c>
      <c r="L12252" s="12"/>
      <c r="M12252" s="13"/>
      <c r="N12252" s="2"/>
      <c r="O12252" s="20"/>
      <c r="P12252" s="42"/>
      <c r="R12252" s="23"/>
    </row>
    <row r="12253" spans="1:18" ht="12.75">
      <c r="A12253" s="12"/>
      <c r="D12253" s="12"/>
      <c r="E12253" s="12"/>
      <c r="H12253" s="11" t="str">
        <f ca="1">IFERROR(__xludf.DUMMYFUNCTION("IFERROR(SUBSTITUTE(SUBSTITUTE(REGEXEXTRACT(A12253, ""[^-]+- [^-]+- [^-]+ - (.+?)\.jpg""), "".jpg"", """"), ""-"", "", ""), """")"),"")</f>
        <v/>
      </c>
      <c r="L12253" s="12"/>
      <c r="M12253" s="13"/>
      <c r="N12253" s="2"/>
      <c r="O12253" s="20"/>
      <c r="P12253" s="42"/>
      <c r="R12253" s="23"/>
    </row>
    <row r="12254" spans="1:18" ht="12.75">
      <c r="A12254" s="12"/>
      <c r="D12254" s="12"/>
      <c r="E12254" s="12"/>
      <c r="H12254" s="11" t="str">
        <f ca="1">IFERROR(__xludf.DUMMYFUNCTION("IFERROR(SUBSTITUTE(SUBSTITUTE(REGEXEXTRACT(A12254, ""[^-]+- [^-]+- [^-]+ - (.+?)\.jpg""), "".jpg"", """"), ""-"", "", ""), """")"),"")</f>
        <v/>
      </c>
      <c r="L12254" s="12"/>
      <c r="M12254" s="13"/>
      <c r="N12254" s="2"/>
      <c r="O12254" s="20"/>
      <c r="P12254" s="42"/>
      <c r="R12254" s="23"/>
    </row>
    <row r="12255" spans="1:18" ht="12.75">
      <c r="A12255" s="12"/>
      <c r="D12255" s="12"/>
      <c r="E12255" s="12"/>
      <c r="H12255" s="11" t="str">
        <f ca="1">IFERROR(__xludf.DUMMYFUNCTION("IFERROR(SUBSTITUTE(SUBSTITUTE(REGEXEXTRACT(A12255, ""[^-]+- [^-]+- [^-]+ - (.+?)\.jpg""), "".jpg"", """"), ""-"", "", ""), """")"),"")</f>
        <v/>
      </c>
      <c r="L12255" s="12"/>
      <c r="M12255" s="13"/>
      <c r="N12255" s="2"/>
      <c r="O12255" s="20"/>
      <c r="P12255" s="42"/>
      <c r="R12255" s="23"/>
    </row>
    <row r="12256" spans="1:18" ht="12.75">
      <c r="A12256" s="12"/>
      <c r="D12256" s="12"/>
      <c r="E12256" s="12"/>
      <c r="H12256" s="11" t="str">
        <f ca="1">IFERROR(__xludf.DUMMYFUNCTION("IFERROR(SUBSTITUTE(SUBSTITUTE(REGEXEXTRACT(A12256, ""[^-]+- [^-]+- [^-]+ - (.+?)\.jpg""), "".jpg"", """"), ""-"", "", ""), """")"),"")</f>
        <v/>
      </c>
      <c r="L12256" s="12"/>
      <c r="M12256" s="13"/>
      <c r="N12256" s="2"/>
      <c r="O12256" s="20"/>
      <c r="P12256" s="42"/>
      <c r="R12256" s="23"/>
    </row>
    <row r="12257" spans="1:18" ht="12.75">
      <c r="A12257" s="12"/>
      <c r="D12257" s="12"/>
      <c r="E12257" s="12"/>
      <c r="H12257" s="11" t="str">
        <f ca="1">IFERROR(__xludf.DUMMYFUNCTION("IFERROR(SUBSTITUTE(SUBSTITUTE(REGEXEXTRACT(A12257, ""[^-]+- [^-]+- [^-]+ - (.+?)\.jpg""), "".jpg"", """"), ""-"", "", ""), """")"),"")</f>
        <v/>
      </c>
      <c r="L12257" s="12"/>
      <c r="M12257" s="13"/>
      <c r="N12257" s="2"/>
      <c r="O12257" s="20"/>
      <c r="P12257" s="42"/>
      <c r="R12257" s="23"/>
    </row>
    <row r="12258" spans="1:18" ht="12.75">
      <c r="A12258" s="12"/>
      <c r="D12258" s="12"/>
      <c r="E12258" s="12"/>
      <c r="H12258" s="11" t="str">
        <f ca="1">IFERROR(__xludf.DUMMYFUNCTION("IFERROR(SUBSTITUTE(SUBSTITUTE(REGEXEXTRACT(A12258, ""[^-]+- [^-]+- [^-]+ - (.+?)\.jpg""), "".jpg"", """"), ""-"", "", ""), """")"),"")</f>
        <v/>
      </c>
      <c r="L12258" s="12"/>
      <c r="M12258" s="13"/>
      <c r="N12258" s="2"/>
      <c r="O12258" s="20"/>
      <c r="P12258" s="42"/>
      <c r="R12258" s="23"/>
    </row>
    <row r="12259" spans="1:18" ht="12.75">
      <c r="A12259" s="12"/>
      <c r="D12259" s="12"/>
      <c r="E12259" s="12"/>
      <c r="H12259" s="11" t="str">
        <f ca="1">IFERROR(__xludf.DUMMYFUNCTION("IFERROR(SUBSTITUTE(SUBSTITUTE(REGEXEXTRACT(A12259, ""[^-]+- [^-]+- [^-]+ - (.+?)\.jpg""), "".jpg"", """"), ""-"", "", ""), """")"),"")</f>
        <v/>
      </c>
      <c r="L12259" s="12"/>
      <c r="M12259" s="13"/>
      <c r="N12259" s="2"/>
      <c r="O12259" s="20"/>
      <c r="P12259" s="42"/>
      <c r="R12259" s="23"/>
    </row>
    <row r="12260" spans="1:18" ht="12.75">
      <c r="A12260" s="12"/>
      <c r="D12260" s="12"/>
      <c r="E12260" s="12"/>
      <c r="H12260" s="11" t="str">
        <f ca="1">IFERROR(__xludf.DUMMYFUNCTION("IFERROR(SUBSTITUTE(SUBSTITUTE(REGEXEXTRACT(A12260, ""[^-]+- [^-]+- [^-]+ - (.+?)\.jpg""), "".jpg"", """"), ""-"", "", ""), """")"),"")</f>
        <v/>
      </c>
      <c r="L12260" s="12"/>
      <c r="M12260" s="13"/>
      <c r="N12260" s="2"/>
      <c r="O12260" s="20"/>
      <c r="P12260" s="42"/>
      <c r="R12260" s="23"/>
    </row>
    <row r="12261" spans="1:18" ht="12.75">
      <c r="A12261" s="12"/>
      <c r="D12261" s="12"/>
      <c r="E12261" s="12"/>
      <c r="H12261" s="11" t="str">
        <f ca="1">IFERROR(__xludf.DUMMYFUNCTION("IFERROR(SUBSTITUTE(SUBSTITUTE(REGEXEXTRACT(A12261, ""[^-]+- [^-]+- [^-]+ - (.+?)\.jpg""), "".jpg"", """"), ""-"", "", ""), """")"),"")</f>
        <v/>
      </c>
      <c r="L12261" s="12"/>
      <c r="M12261" s="13"/>
      <c r="N12261" s="2"/>
      <c r="O12261" s="20"/>
      <c r="P12261" s="42"/>
      <c r="R12261" s="23"/>
    </row>
    <row r="12262" spans="1:18" ht="12.75">
      <c r="A12262" s="12"/>
      <c r="D12262" s="12"/>
      <c r="E12262" s="12"/>
      <c r="H12262" s="11" t="str">
        <f ca="1">IFERROR(__xludf.DUMMYFUNCTION("IFERROR(SUBSTITUTE(SUBSTITUTE(REGEXEXTRACT(A12262, ""[^-]+- [^-]+- [^-]+ - (.+?)\.jpg""), "".jpg"", """"), ""-"", "", ""), """")"),"")</f>
        <v/>
      </c>
      <c r="L12262" s="12"/>
      <c r="M12262" s="13"/>
      <c r="N12262" s="2"/>
      <c r="O12262" s="20"/>
      <c r="P12262" s="42"/>
      <c r="R12262" s="23"/>
    </row>
    <row r="12263" spans="1:18" ht="12.75">
      <c r="A12263" s="12"/>
      <c r="D12263" s="12"/>
      <c r="E12263" s="12"/>
      <c r="H12263" s="11" t="str">
        <f ca="1">IFERROR(__xludf.DUMMYFUNCTION("IFERROR(SUBSTITUTE(SUBSTITUTE(REGEXEXTRACT(A12263, ""[^-]+- [^-]+- [^-]+ - (.+?)\.jpg""), "".jpg"", """"), ""-"", "", ""), """")"),"")</f>
        <v/>
      </c>
      <c r="L12263" s="12"/>
      <c r="M12263" s="13"/>
      <c r="N12263" s="2"/>
      <c r="O12263" s="20"/>
      <c r="P12263" s="42"/>
      <c r="R12263" s="23"/>
    </row>
    <row r="12264" spans="1:18" ht="12.75">
      <c r="A12264" s="12"/>
      <c r="D12264" s="12"/>
      <c r="E12264" s="12"/>
      <c r="H12264" s="11" t="str">
        <f ca="1">IFERROR(__xludf.DUMMYFUNCTION("IFERROR(SUBSTITUTE(SUBSTITUTE(REGEXEXTRACT(A12264, ""[^-]+- [^-]+- [^-]+ - (.+?)\.jpg""), "".jpg"", """"), ""-"", "", ""), """")"),"")</f>
        <v/>
      </c>
      <c r="L12264" s="12"/>
      <c r="M12264" s="13"/>
      <c r="N12264" s="2"/>
      <c r="O12264" s="20"/>
      <c r="P12264" s="42"/>
      <c r="R12264" s="23"/>
    </row>
    <row r="12265" spans="1:18" ht="12.75">
      <c r="A12265" s="12"/>
      <c r="D12265" s="12"/>
      <c r="E12265" s="12"/>
      <c r="H12265" s="11" t="str">
        <f ca="1">IFERROR(__xludf.DUMMYFUNCTION("IFERROR(SUBSTITUTE(SUBSTITUTE(REGEXEXTRACT(A12265, ""[^-]+- [^-]+- [^-]+ - (.+?)\.jpg""), "".jpg"", """"), ""-"", "", ""), """")"),"")</f>
        <v/>
      </c>
      <c r="L12265" s="12"/>
      <c r="M12265" s="13"/>
      <c r="N12265" s="2"/>
      <c r="O12265" s="20"/>
      <c r="P12265" s="42"/>
      <c r="R12265" s="23"/>
    </row>
    <row r="12266" spans="1:18" ht="12.75">
      <c r="A12266" s="12"/>
      <c r="D12266" s="12"/>
      <c r="E12266" s="12"/>
      <c r="H12266" s="11" t="str">
        <f ca="1">IFERROR(__xludf.DUMMYFUNCTION("IFERROR(SUBSTITUTE(SUBSTITUTE(REGEXEXTRACT(A12266, ""[^-]+- [^-]+- [^-]+ - (.+?)\.jpg""), "".jpg"", """"), ""-"", "", ""), """")"),"")</f>
        <v/>
      </c>
      <c r="L12266" s="12"/>
      <c r="M12266" s="13"/>
      <c r="N12266" s="2"/>
      <c r="O12266" s="20"/>
      <c r="P12266" s="42"/>
      <c r="R12266" s="23"/>
    </row>
    <row r="12267" spans="1:18" ht="12.75">
      <c r="A12267" s="12"/>
      <c r="D12267" s="12"/>
      <c r="E12267" s="12"/>
      <c r="H12267" s="11" t="str">
        <f ca="1">IFERROR(__xludf.DUMMYFUNCTION("IFERROR(SUBSTITUTE(SUBSTITUTE(REGEXEXTRACT(A12267, ""[^-]+- [^-]+- [^-]+ - (.+?)\.jpg""), "".jpg"", """"), ""-"", "", ""), """")"),"")</f>
        <v/>
      </c>
      <c r="L12267" s="12"/>
      <c r="M12267" s="13"/>
      <c r="N12267" s="2"/>
      <c r="O12267" s="20"/>
      <c r="P12267" s="42"/>
      <c r="R12267" s="23"/>
    </row>
    <row r="12268" spans="1:18" ht="12.75">
      <c r="A12268" s="12"/>
      <c r="D12268" s="12"/>
      <c r="E12268" s="12"/>
      <c r="H12268" s="11" t="str">
        <f ca="1">IFERROR(__xludf.DUMMYFUNCTION("IFERROR(SUBSTITUTE(SUBSTITUTE(REGEXEXTRACT(A12268, ""[^-]+- [^-]+- [^-]+ - (.+?)\.jpg""), "".jpg"", """"), ""-"", "", ""), """")"),"")</f>
        <v/>
      </c>
      <c r="L12268" s="12"/>
      <c r="M12268" s="13"/>
      <c r="N12268" s="2"/>
      <c r="O12268" s="20"/>
      <c r="P12268" s="42"/>
      <c r="R12268" s="23"/>
    </row>
    <row r="12269" spans="1:18" ht="12.75">
      <c r="A12269" s="12"/>
      <c r="D12269" s="12"/>
      <c r="E12269" s="12"/>
      <c r="H12269" s="11" t="str">
        <f ca="1">IFERROR(__xludf.DUMMYFUNCTION("IFERROR(SUBSTITUTE(SUBSTITUTE(REGEXEXTRACT(A12269, ""[^-]+- [^-]+- [^-]+ - (.+?)\.jpg""), "".jpg"", """"), ""-"", "", ""), """")"),"")</f>
        <v/>
      </c>
      <c r="L12269" s="12"/>
      <c r="M12269" s="13"/>
      <c r="N12269" s="2"/>
      <c r="O12269" s="20"/>
      <c r="P12269" s="42"/>
      <c r="R12269" s="23"/>
    </row>
    <row r="12270" spans="1:18" ht="12.75">
      <c r="A12270" s="12"/>
      <c r="D12270" s="12"/>
      <c r="E12270" s="12"/>
      <c r="H12270" s="11" t="str">
        <f ca="1">IFERROR(__xludf.DUMMYFUNCTION("IFERROR(SUBSTITUTE(SUBSTITUTE(REGEXEXTRACT(A12270, ""[^-]+- [^-]+- [^-]+ - (.+?)\.jpg""), "".jpg"", """"), ""-"", "", ""), """")"),"")</f>
        <v/>
      </c>
      <c r="L12270" s="12"/>
      <c r="M12270" s="13"/>
      <c r="N12270" s="2"/>
      <c r="O12270" s="20"/>
      <c r="P12270" s="42"/>
      <c r="R12270" s="23"/>
    </row>
    <row r="12271" spans="1:18" ht="12.75">
      <c r="A12271" s="12"/>
      <c r="D12271" s="12"/>
      <c r="E12271" s="12"/>
      <c r="H12271" s="11" t="str">
        <f ca="1">IFERROR(__xludf.DUMMYFUNCTION("IFERROR(SUBSTITUTE(SUBSTITUTE(REGEXEXTRACT(A12271, ""[^-]+- [^-]+- [^-]+ - (.+?)\.jpg""), "".jpg"", """"), ""-"", "", ""), """")"),"")</f>
        <v/>
      </c>
      <c r="L12271" s="12"/>
      <c r="M12271" s="13"/>
      <c r="N12271" s="2"/>
      <c r="O12271" s="20"/>
      <c r="P12271" s="42"/>
      <c r="R12271" s="23"/>
    </row>
    <row r="12272" spans="1:18" ht="12.75">
      <c r="A12272" s="12"/>
      <c r="D12272" s="12"/>
      <c r="E12272" s="12"/>
      <c r="H12272" s="11" t="str">
        <f ca="1">IFERROR(__xludf.DUMMYFUNCTION("IFERROR(SUBSTITUTE(SUBSTITUTE(REGEXEXTRACT(A12272, ""[^-]+- [^-]+- [^-]+ - (.+?)\.jpg""), "".jpg"", """"), ""-"", "", ""), """")"),"")</f>
        <v/>
      </c>
      <c r="L12272" s="12"/>
      <c r="M12272" s="13"/>
      <c r="N12272" s="2"/>
      <c r="O12272" s="20"/>
      <c r="P12272" s="42"/>
      <c r="R12272" s="23"/>
    </row>
    <row r="12273" spans="1:18" ht="12.75">
      <c r="A12273" s="12"/>
      <c r="D12273" s="12"/>
      <c r="E12273" s="12"/>
      <c r="H12273" s="11" t="str">
        <f ca="1">IFERROR(__xludf.DUMMYFUNCTION("IFERROR(SUBSTITUTE(SUBSTITUTE(REGEXEXTRACT(A12273, ""[^-]+- [^-]+- [^-]+ - (.+?)\.jpg""), "".jpg"", """"), ""-"", "", ""), """")"),"")</f>
        <v/>
      </c>
      <c r="L12273" s="12"/>
      <c r="M12273" s="13"/>
      <c r="N12273" s="2"/>
      <c r="O12273" s="20"/>
      <c r="P12273" s="42"/>
      <c r="R12273" s="23"/>
    </row>
    <row r="12274" spans="1:18" ht="12.75">
      <c r="A12274" s="12"/>
      <c r="D12274" s="12"/>
      <c r="E12274" s="12"/>
      <c r="H12274" s="11" t="str">
        <f ca="1">IFERROR(__xludf.DUMMYFUNCTION("IFERROR(SUBSTITUTE(SUBSTITUTE(REGEXEXTRACT(A12274, ""[^-]+- [^-]+- [^-]+ - (.+?)\.jpg""), "".jpg"", """"), ""-"", "", ""), """")"),"")</f>
        <v/>
      </c>
      <c r="L12274" s="12"/>
      <c r="M12274" s="13"/>
      <c r="N12274" s="2"/>
      <c r="O12274" s="20"/>
      <c r="P12274" s="42"/>
      <c r="R12274" s="23"/>
    </row>
    <row r="12275" spans="1:18" ht="12.75">
      <c r="A12275" s="12"/>
      <c r="D12275" s="12"/>
      <c r="E12275" s="12"/>
      <c r="H12275" s="11" t="str">
        <f ca="1">IFERROR(__xludf.DUMMYFUNCTION("IFERROR(SUBSTITUTE(SUBSTITUTE(REGEXEXTRACT(A12275, ""[^-]+- [^-]+- [^-]+ - (.+?)\.jpg""), "".jpg"", """"), ""-"", "", ""), """")"),"")</f>
        <v/>
      </c>
      <c r="L12275" s="12"/>
      <c r="M12275" s="13"/>
      <c r="N12275" s="2"/>
      <c r="O12275" s="20"/>
      <c r="P12275" s="42"/>
      <c r="R12275" s="23"/>
    </row>
    <row r="12276" spans="1:18" ht="12.75">
      <c r="A12276" s="12"/>
      <c r="D12276" s="12"/>
      <c r="E12276" s="12"/>
      <c r="H12276" s="11" t="str">
        <f ca="1">IFERROR(__xludf.DUMMYFUNCTION("IFERROR(SUBSTITUTE(SUBSTITUTE(REGEXEXTRACT(A12276, ""[^-]+- [^-]+- [^-]+ - (.+?)\.jpg""), "".jpg"", """"), ""-"", "", ""), """")"),"")</f>
        <v/>
      </c>
      <c r="L12276" s="12"/>
      <c r="M12276" s="13"/>
      <c r="N12276" s="2"/>
      <c r="O12276" s="20"/>
      <c r="P12276" s="42"/>
      <c r="R12276" s="23"/>
    </row>
    <row r="12277" spans="1:18" ht="12.75">
      <c r="A12277" s="12"/>
      <c r="D12277" s="12"/>
      <c r="E12277" s="12"/>
      <c r="H12277" s="11" t="str">
        <f ca="1">IFERROR(__xludf.DUMMYFUNCTION("IFERROR(SUBSTITUTE(SUBSTITUTE(REGEXEXTRACT(A12277, ""[^-]+- [^-]+- [^-]+ - (.+?)\.jpg""), "".jpg"", """"), ""-"", "", ""), """")"),"")</f>
        <v/>
      </c>
      <c r="L12277" s="12"/>
      <c r="M12277" s="13"/>
      <c r="N12277" s="2"/>
      <c r="O12277" s="20"/>
      <c r="P12277" s="42"/>
      <c r="R12277" s="23"/>
    </row>
    <row r="12278" spans="1:18" ht="12.75">
      <c r="A12278" s="12"/>
      <c r="D12278" s="12"/>
      <c r="E12278" s="12"/>
      <c r="H12278" s="11" t="str">
        <f ca="1">IFERROR(__xludf.DUMMYFUNCTION("IFERROR(SUBSTITUTE(SUBSTITUTE(REGEXEXTRACT(A12278, ""[^-]+- [^-]+- [^-]+ - (.+?)\.jpg""), "".jpg"", """"), ""-"", "", ""), """")"),"")</f>
        <v/>
      </c>
      <c r="L12278" s="12"/>
      <c r="M12278" s="13"/>
      <c r="N12278" s="2"/>
      <c r="O12278" s="20"/>
      <c r="P12278" s="42"/>
      <c r="R12278" s="23"/>
    </row>
    <row r="12279" spans="1:18" ht="12.75">
      <c r="A12279" s="12"/>
      <c r="D12279" s="12"/>
      <c r="E12279" s="12"/>
      <c r="H12279" s="11" t="str">
        <f ca="1">IFERROR(__xludf.DUMMYFUNCTION("IFERROR(SUBSTITUTE(SUBSTITUTE(REGEXEXTRACT(A12279, ""[^-]+- [^-]+- [^-]+ - (.+?)\.jpg""), "".jpg"", """"), ""-"", "", ""), """")"),"")</f>
        <v/>
      </c>
      <c r="L12279" s="12"/>
      <c r="M12279" s="13"/>
      <c r="N12279" s="2"/>
      <c r="O12279" s="20"/>
      <c r="P12279" s="42"/>
      <c r="R12279" s="23"/>
    </row>
    <row r="12280" spans="1:18" ht="12.75">
      <c r="A12280" s="12"/>
      <c r="D12280" s="12"/>
      <c r="E12280" s="12"/>
      <c r="H12280" s="11" t="str">
        <f ca="1">IFERROR(__xludf.DUMMYFUNCTION("IFERROR(SUBSTITUTE(SUBSTITUTE(REGEXEXTRACT(A12280, ""[^-]+- [^-]+- [^-]+ - (.+?)\.jpg""), "".jpg"", """"), ""-"", "", ""), """")"),"")</f>
        <v/>
      </c>
      <c r="L12280" s="12"/>
      <c r="M12280" s="13"/>
      <c r="N12280" s="2"/>
      <c r="O12280" s="20"/>
      <c r="P12280" s="42"/>
      <c r="R12280" s="23"/>
    </row>
    <row r="12281" spans="1:18" ht="12.75">
      <c r="A12281" s="12"/>
      <c r="D12281" s="12"/>
      <c r="E12281" s="12"/>
      <c r="H12281" s="11" t="str">
        <f ca="1">IFERROR(__xludf.DUMMYFUNCTION("IFERROR(SUBSTITUTE(SUBSTITUTE(REGEXEXTRACT(A12281, ""[^-]+- [^-]+- [^-]+ - (.+?)\.jpg""), "".jpg"", """"), ""-"", "", ""), """")"),"")</f>
        <v/>
      </c>
      <c r="L12281" s="12"/>
      <c r="M12281" s="13"/>
      <c r="N12281" s="2"/>
      <c r="O12281" s="20"/>
      <c r="P12281" s="42"/>
      <c r="R12281" s="23"/>
    </row>
    <row r="12282" spans="1:18" ht="12.75">
      <c r="A12282" s="12"/>
      <c r="D12282" s="12"/>
      <c r="E12282" s="12"/>
      <c r="H12282" s="11" t="str">
        <f ca="1">IFERROR(__xludf.DUMMYFUNCTION("IFERROR(SUBSTITUTE(SUBSTITUTE(REGEXEXTRACT(A12282, ""[^-]+- [^-]+- [^-]+ - (.+?)\.jpg""), "".jpg"", """"), ""-"", "", ""), """")"),"")</f>
        <v/>
      </c>
      <c r="L12282" s="12"/>
      <c r="M12282" s="13"/>
      <c r="N12282" s="2"/>
      <c r="O12282" s="20"/>
      <c r="P12282" s="42"/>
      <c r="R12282" s="23"/>
    </row>
    <row r="12283" spans="1:18" ht="12.75">
      <c r="A12283" s="12"/>
      <c r="D12283" s="12"/>
      <c r="E12283" s="12"/>
      <c r="H12283" s="11" t="str">
        <f ca="1">IFERROR(__xludf.DUMMYFUNCTION("IFERROR(SUBSTITUTE(SUBSTITUTE(REGEXEXTRACT(A12283, ""[^-]+- [^-]+- [^-]+ - (.+?)\.jpg""), "".jpg"", """"), ""-"", "", ""), """")"),"")</f>
        <v/>
      </c>
      <c r="L12283" s="12"/>
      <c r="M12283" s="13"/>
      <c r="N12283" s="2"/>
      <c r="O12283" s="20"/>
      <c r="P12283" s="42"/>
      <c r="R12283" s="23"/>
    </row>
    <row r="12284" spans="1:18" ht="12.75">
      <c r="A12284" s="12"/>
      <c r="D12284" s="12"/>
      <c r="E12284" s="12"/>
      <c r="H12284" s="11" t="str">
        <f ca="1">IFERROR(__xludf.DUMMYFUNCTION("IFERROR(SUBSTITUTE(SUBSTITUTE(REGEXEXTRACT(A12284, ""[^-]+- [^-]+- [^-]+ - (.+?)\.jpg""), "".jpg"", """"), ""-"", "", ""), """")"),"")</f>
        <v/>
      </c>
      <c r="L12284" s="12"/>
      <c r="M12284" s="13"/>
      <c r="N12284" s="2"/>
      <c r="O12284" s="20"/>
      <c r="P12284" s="42"/>
      <c r="R12284" s="23"/>
    </row>
    <row r="12285" spans="1:18" ht="12.75">
      <c r="A12285" s="12"/>
      <c r="D12285" s="12"/>
      <c r="E12285" s="12"/>
      <c r="H12285" s="11" t="str">
        <f ca="1">IFERROR(__xludf.DUMMYFUNCTION("IFERROR(SUBSTITUTE(SUBSTITUTE(REGEXEXTRACT(A12285, ""[^-]+- [^-]+- [^-]+ - (.+?)\.jpg""), "".jpg"", """"), ""-"", "", ""), """")"),"")</f>
        <v/>
      </c>
      <c r="L12285" s="12"/>
      <c r="M12285" s="13"/>
      <c r="N12285" s="2"/>
      <c r="O12285" s="20"/>
      <c r="P12285" s="42"/>
      <c r="R12285" s="23"/>
    </row>
    <row r="12286" spans="1:18" ht="12.75">
      <c r="A12286" s="12"/>
      <c r="D12286" s="12"/>
      <c r="E12286" s="12"/>
      <c r="H12286" s="11" t="str">
        <f ca="1">IFERROR(__xludf.DUMMYFUNCTION("IFERROR(SUBSTITUTE(SUBSTITUTE(REGEXEXTRACT(A12286, ""[^-]+- [^-]+- [^-]+ - (.+?)\.jpg""), "".jpg"", """"), ""-"", "", ""), """")"),"")</f>
        <v/>
      </c>
      <c r="L12286" s="12"/>
      <c r="M12286" s="13"/>
      <c r="N12286" s="2"/>
      <c r="O12286" s="20"/>
      <c r="P12286" s="42"/>
      <c r="R12286" s="23"/>
    </row>
    <row r="12287" spans="1:18" ht="12.75">
      <c r="A12287" s="12"/>
      <c r="D12287" s="12"/>
      <c r="E12287" s="12"/>
      <c r="H12287" s="11" t="str">
        <f ca="1">IFERROR(__xludf.DUMMYFUNCTION("IFERROR(SUBSTITUTE(SUBSTITUTE(REGEXEXTRACT(A12287, ""[^-]+- [^-]+- [^-]+ - (.+?)\.jpg""), "".jpg"", """"), ""-"", "", ""), """")"),"")</f>
        <v/>
      </c>
      <c r="L12287" s="12"/>
      <c r="M12287" s="13"/>
      <c r="N12287" s="2"/>
      <c r="O12287" s="20"/>
      <c r="P12287" s="42"/>
      <c r="R12287" s="23"/>
    </row>
    <row r="12288" spans="1:18" ht="12.75">
      <c r="A12288" s="12"/>
      <c r="D12288" s="12"/>
      <c r="E12288" s="12"/>
      <c r="H12288" s="11" t="str">
        <f ca="1">IFERROR(__xludf.DUMMYFUNCTION("IFERROR(SUBSTITUTE(SUBSTITUTE(REGEXEXTRACT(A12288, ""[^-]+- [^-]+- [^-]+ - (.+?)\.jpg""), "".jpg"", """"), ""-"", "", ""), """")"),"")</f>
        <v/>
      </c>
      <c r="L12288" s="12"/>
      <c r="M12288" s="13"/>
      <c r="N12288" s="2"/>
      <c r="O12288" s="20"/>
      <c r="P12288" s="42"/>
      <c r="R12288" s="23"/>
    </row>
    <row r="12289" spans="1:18" ht="12.75">
      <c r="A12289" s="12"/>
      <c r="D12289" s="12"/>
      <c r="E12289" s="12"/>
      <c r="H12289" s="11" t="str">
        <f ca="1">IFERROR(__xludf.DUMMYFUNCTION("IFERROR(SUBSTITUTE(SUBSTITUTE(REGEXEXTRACT(A12289, ""[^-]+- [^-]+- [^-]+ - (.+?)\.jpg""), "".jpg"", """"), ""-"", "", ""), """")"),"")</f>
        <v/>
      </c>
      <c r="L12289" s="12"/>
      <c r="M12289" s="13"/>
      <c r="N12289" s="2"/>
      <c r="O12289" s="20"/>
      <c r="P12289" s="42"/>
      <c r="R12289" s="23"/>
    </row>
    <row r="12290" spans="1:18" ht="12.75">
      <c r="A12290" s="12"/>
      <c r="D12290" s="12"/>
      <c r="E12290" s="12"/>
      <c r="H12290" s="11" t="str">
        <f ca="1">IFERROR(__xludf.DUMMYFUNCTION("IFERROR(SUBSTITUTE(SUBSTITUTE(REGEXEXTRACT(A12290, ""[^-]+- [^-]+- [^-]+ - (.+?)\.jpg""), "".jpg"", """"), ""-"", "", ""), """")"),"")</f>
        <v/>
      </c>
      <c r="L12290" s="12"/>
      <c r="M12290" s="13"/>
      <c r="N12290" s="2"/>
      <c r="O12290" s="20"/>
      <c r="P12290" s="42"/>
      <c r="R12290" s="23"/>
    </row>
    <row r="12291" spans="1:18" ht="12.75">
      <c r="A12291" s="12"/>
      <c r="D12291" s="12"/>
      <c r="E12291" s="12"/>
      <c r="H12291" s="11" t="str">
        <f ca="1">IFERROR(__xludf.DUMMYFUNCTION("IFERROR(SUBSTITUTE(SUBSTITUTE(REGEXEXTRACT(A12291, ""[^-]+- [^-]+- [^-]+ - (.+?)\.jpg""), "".jpg"", """"), ""-"", "", ""), """")"),"")</f>
        <v/>
      </c>
      <c r="L12291" s="12"/>
      <c r="M12291" s="13"/>
      <c r="N12291" s="2"/>
      <c r="O12291" s="20"/>
      <c r="P12291" s="42"/>
      <c r="R12291" s="23"/>
    </row>
    <row r="12292" spans="1:18" ht="12.75">
      <c r="A12292" s="12"/>
      <c r="D12292" s="12"/>
      <c r="E12292" s="12"/>
      <c r="H12292" s="11" t="str">
        <f ca="1">IFERROR(__xludf.DUMMYFUNCTION("IFERROR(SUBSTITUTE(SUBSTITUTE(REGEXEXTRACT(A12292, ""[^-]+- [^-]+- [^-]+ - (.+?)\.jpg""), "".jpg"", """"), ""-"", "", ""), """")"),"")</f>
        <v/>
      </c>
      <c r="L12292" s="12"/>
      <c r="M12292" s="13"/>
      <c r="N12292" s="2"/>
      <c r="O12292" s="20"/>
      <c r="P12292" s="42"/>
      <c r="R12292" s="23"/>
    </row>
    <row r="12293" spans="1:18" ht="12.75">
      <c r="A12293" s="12"/>
      <c r="D12293" s="12"/>
      <c r="E12293" s="12"/>
      <c r="H12293" s="11" t="str">
        <f ca="1">IFERROR(__xludf.DUMMYFUNCTION("IFERROR(SUBSTITUTE(SUBSTITUTE(REGEXEXTRACT(A12293, ""[^-]+- [^-]+- [^-]+ - (.+?)\.jpg""), "".jpg"", """"), ""-"", "", ""), """")"),"")</f>
        <v/>
      </c>
      <c r="L12293" s="12"/>
      <c r="M12293" s="13"/>
      <c r="N12293" s="2"/>
      <c r="O12293" s="20"/>
      <c r="P12293" s="42"/>
      <c r="R12293" s="23"/>
    </row>
    <row r="12294" spans="1:18" ht="12.75">
      <c r="A12294" s="12"/>
      <c r="D12294" s="12"/>
      <c r="E12294" s="12"/>
      <c r="H12294" s="11" t="str">
        <f ca="1">IFERROR(__xludf.DUMMYFUNCTION("IFERROR(SUBSTITUTE(SUBSTITUTE(REGEXEXTRACT(A12294, ""[^-]+- [^-]+- [^-]+ - (.+?)\.jpg""), "".jpg"", """"), ""-"", "", ""), """")"),"")</f>
        <v/>
      </c>
      <c r="L12294" s="12"/>
      <c r="M12294" s="13"/>
      <c r="N12294" s="2"/>
      <c r="O12294" s="20"/>
      <c r="P12294" s="42"/>
      <c r="R12294" s="23"/>
    </row>
    <row r="12295" spans="1:18" ht="12.75">
      <c r="A12295" s="12"/>
      <c r="D12295" s="12"/>
      <c r="E12295" s="12"/>
      <c r="H12295" s="11" t="str">
        <f ca="1">IFERROR(__xludf.DUMMYFUNCTION("IFERROR(SUBSTITUTE(SUBSTITUTE(REGEXEXTRACT(A12295, ""[^-]+- [^-]+- [^-]+ - (.+?)\.jpg""), "".jpg"", """"), ""-"", "", ""), """")"),"")</f>
        <v/>
      </c>
      <c r="L12295" s="12"/>
      <c r="M12295" s="13"/>
      <c r="N12295" s="2"/>
      <c r="O12295" s="20"/>
      <c r="P12295" s="42"/>
      <c r="R12295" s="23"/>
    </row>
    <row r="12296" spans="1:18" ht="12.75">
      <c r="A12296" s="12"/>
      <c r="D12296" s="12"/>
      <c r="E12296" s="12"/>
      <c r="H12296" s="11" t="str">
        <f ca="1">IFERROR(__xludf.DUMMYFUNCTION("IFERROR(SUBSTITUTE(SUBSTITUTE(REGEXEXTRACT(A12296, ""[^-]+- [^-]+- [^-]+ - (.+?)\.jpg""), "".jpg"", """"), ""-"", "", ""), """")"),"")</f>
        <v/>
      </c>
      <c r="L12296" s="12"/>
      <c r="M12296" s="13"/>
      <c r="N12296" s="2"/>
      <c r="O12296" s="20"/>
      <c r="P12296" s="42"/>
      <c r="R12296" s="23"/>
    </row>
    <row r="12297" spans="1:18" ht="12.75">
      <c r="A12297" s="12"/>
      <c r="D12297" s="12"/>
      <c r="E12297" s="12"/>
      <c r="H12297" s="11" t="str">
        <f ca="1">IFERROR(__xludf.DUMMYFUNCTION("IFERROR(SUBSTITUTE(SUBSTITUTE(REGEXEXTRACT(A12297, ""[^-]+- [^-]+- [^-]+ - (.+?)\.jpg""), "".jpg"", """"), ""-"", "", ""), """")"),"")</f>
        <v/>
      </c>
      <c r="L12297" s="12"/>
      <c r="M12297" s="13"/>
      <c r="N12297" s="2"/>
      <c r="O12297" s="20"/>
      <c r="P12297" s="42"/>
      <c r="R12297" s="23"/>
    </row>
    <row r="12298" spans="1:18" ht="12.75">
      <c r="A12298" s="12"/>
      <c r="D12298" s="12"/>
      <c r="E12298" s="12"/>
      <c r="H12298" s="11" t="str">
        <f ca="1">IFERROR(__xludf.DUMMYFUNCTION("IFERROR(SUBSTITUTE(SUBSTITUTE(REGEXEXTRACT(A12298, ""[^-]+- [^-]+- [^-]+ - (.+?)\.jpg""), "".jpg"", """"), ""-"", "", ""), """")"),"")</f>
        <v/>
      </c>
      <c r="L12298" s="12"/>
      <c r="M12298" s="13"/>
      <c r="N12298" s="2"/>
      <c r="O12298" s="20"/>
      <c r="P12298" s="42"/>
      <c r="R12298" s="23"/>
    </row>
    <row r="12299" spans="1:18" ht="12.75">
      <c r="A12299" s="12"/>
      <c r="D12299" s="12"/>
      <c r="E12299" s="12"/>
      <c r="H12299" s="11" t="str">
        <f ca="1">IFERROR(__xludf.DUMMYFUNCTION("IFERROR(SUBSTITUTE(SUBSTITUTE(REGEXEXTRACT(A12299, ""[^-]+- [^-]+- [^-]+ - (.+?)\.jpg""), "".jpg"", """"), ""-"", "", ""), """")"),"")</f>
        <v/>
      </c>
      <c r="L12299" s="12"/>
      <c r="M12299" s="13"/>
      <c r="N12299" s="2"/>
      <c r="O12299" s="20"/>
      <c r="P12299" s="42"/>
      <c r="R12299" s="23"/>
    </row>
    <row r="12300" spans="1:18" ht="12.75">
      <c r="A12300" s="12"/>
      <c r="D12300" s="12"/>
      <c r="E12300" s="12"/>
      <c r="H12300" s="11" t="str">
        <f ca="1">IFERROR(__xludf.DUMMYFUNCTION("IFERROR(SUBSTITUTE(SUBSTITUTE(REGEXEXTRACT(A12300, ""[^-]+- [^-]+- [^-]+ - (.+?)\.jpg""), "".jpg"", """"), ""-"", "", ""), """")"),"")</f>
        <v/>
      </c>
      <c r="L12300" s="12"/>
      <c r="M12300" s="13"/>
      <c r="N12300" s="2"/>
      <c r="O12300" s="20"/>
      <c r="P12300" s="42"/>
      <c r="R12300" s="23"/>
    </row>
    <row r="12301" spans="1:18" ht="12.75">
      <c r="A12301" s="12"/>
      <c r="D12301" s="12"/>
      <c r="E12301" s="12"/>
      <c r="H12301" s="11" t="str">
        <f ca="1">IFERROR(__xludf.DUMMYFUNCTION("IFERROR(SUBSTITUTE(SUBSTITUTE(REGEXEXTRACT(A12301, ""[^-]+- [^-]+- [^-]+ - (.+?)\.jpg""), "".jpg"", """"), ""-"", "", ""), """")"),"")</f>
        <v/>
      </c>
      <c r="L12301" s="12"/>
      <c r="M12301" s="13"/>
      <c r="N12301" s="2"/>
      <c r="O12301" s="20"/>
      <c r="P12301" s="42"/>
      <c r="R12301" s="23"/>
    </row>
    <row r="12302" spans="1:18" ht="12.75">
      <c r="A12302" s="12"/>
      <c r="D12302" s="12"/>
      <c r="E12302" s="12"/>
      <c r="H12302" s="11" t="str">
        <f ca="1">IFERROR(__xludf.DUMMYFUNCTION("IFERROR(SUBSTITUTE(SUBSTITUTE(REGEXEXTRACT(A12302, ""[^-]+- [^-]+- [^-]+ - (.+?)\.jpg""), "".jpg"", """"), ""-"", "", ""), """")"),"")</f>
        <v/>
      </c>
      <c r="L12302" s="12"/>
      <c r="M12302" s="13"/>
      <c r="N12302" s="2"/>
      <c r="O12302" s="20"/>
      <c r="P12302" s="42"/>
      <c r="R12302" s="23"/>
    </row>
    <row r="12303" spans="1:18" ht="12.75">
      <c r="A12303" s="12"/>
      <c r="D12303" s="12"/>
      <c r="E12303" s="12"/>
      <c r="H12303" s="11" t="str">
        <f ca="1">IFERROR(__xludf.DUMMYFUNCTION("IFERROR(SUBSTITUTE(SUBSTITUTE(REGEXEXTRACT(A12303, ""[^-]+- [^-]+- [^-]+ - (.+?)\.jpg""), "".jpg"", """"), ""-"", "", ""), """")"),"")</f>
        <v/>
      </c>
      <c r="L12303" s="12"/>
      <c r="M12303" s="13"/>
      <c r="N12303" s="2"/>
      <c r="O12303" s="20"/>
      <c r="P12303" s="42"/>
      <c r="R12303" s="23"/>
    </row>
    <row r="12304" spans="1:18" ht="12.75">
      <c r="A12304" s="12"/>
      <c r="D12304" s="12"/>
      <c r="E12304" s="12"/>
      <c r="H12304" s="11" t="str">
        <f ca="1">IFERROR(__xludf.DUMMYFUNCTION("IFERROR(SUBSTITUTE(SUBSTITUTE(REGEXEXTRACT(A12304, ""[^-]+- [^-]+- [^-]+ - (.+?)\.jpg""), "".jpg"", """"), ""-"", "", ""), """")"),"")</f>
        <v/>
      </c>
      <c r="L12304" s="12"/>
      <c r="M12304" s="13"/>
      <c r="N12304" s="2"/>
      <c r="O12304" s="20"/>
      <c r="P12304" s="42"/>
      <c r="R12304" s="23"/>
    </row>
    <row r="12305" spans="1:18" ht="12.75">
      <c r="A12305" s="12"/>
      <c r="D12305" s="12"/>
      <c r="E12305" s="12"/>
      <c r="H12305" s="11" t="str">
        <f ca="1">IFERROR(__xludf.DUMMYFUNCTION("IFERROR(SUBSTITUTE(SUBSTITUTE(REGEXEXTRACT(A12305, ""[^-]+- [^-]+- [^-]+ - (.+?)\.jpg""), "".jpg"", """"), ""-"", "", ""), """")"),"")</f>
        <v/>
      </c>
      <c r="L12305" s="12"/>
      <c r="M12305" s="13"/>
      <c r="N12305" s="2"/>
      <c r="O12305" s="20"/>
      <c r="P12305" s="42"/>
      <c r="R12305" s="23"/>
    </row>
    <row r="12306" spans="1:18" ht="12.75">
      <c r="A12306" s="12"/>
      <c r="D12306" s="12"/>
      <c r="E12306" s="12"/>
      <c r="H12306" s="11" t="str">
        <f ca="1">IFERROR(__xludf.DUMMYFUNCTION("IFERROR(SUBSTITUTE(SUBSTITUTE(REGEXEXTRACT(A12306, ""[^-]+- [^-]+- [^-]+ - (.+?)\.jpg""), "".jpg"", """"), ""-"", "", ""), """")"),"")</f>
        <v/>
      </c>
      <c r="L12306" s="12"/>
      <c r="M12306" s="13"/>
      <c r="N12306" s="2"/>
      <c r="O12306" s="20"/>
      <c r="P12306" s="42"/>
      <c r="R12306" s="23"/>
    </row>
    <row r="12307" spans="1:18" ht="12.75">
      <c r="A12307" s="12"/>
      <c r="D12307" s="12"/>
      <c r="E12307" s="12"/>
      <c r="H12307" s="11" t="str">
        <f ca="1">IFERROR(__xludf.DUMMYFUNCTION("IFERROR(SUBSTITUTE(SUBSTITUTE(REGEXEXTRACT(A12307, ""[^-]+- [^-]+- [^-]+ - (.+?)\.jpg""), "".jpg"", """"), ""-"", "", ""), """")"),"")</f>
        <v/>
      </c>
      <c r="L12307" s="12"/>
      <c r="M12307" s="13"/>
      <c r="N12307" s="2"/>
      <c r="O12307" s="20"/>
      <c r="P12307" s="42"/>
      <c r="R12307" s="23"/>
    </row>
    <row r="12308" spans="1:18" ht="12.75">
      <c r="A12308" s="12"/>
      <c r="D12308" s="12"/>
      <c r="E12308" s="12"/>
      <c r="H12308" s="11" t="str">
        <f ca="1">IFERROR(__xludf.DUMMYFUNCTION("IFERROR(SUBSTITUTE(SUBSTITUTE(REGEXEXTRACT(A12308, ""[^-]+- [^-]+- [^-]+ - (.+?)\.jpg""), "".jpg"", """"), ""-"", "", ""), """")"),"")</f>
        <v/>
      </c>
      <c r="L12308" s="12"/>
      <c r="M12308" s="13"/>
      <c r="N12308" s="2"/>
      <c r="O12308" s="20"/>
      <c r="P12308" s="42"/>
      <c r="R12308" s="23"/>
    </row>
    <row r="12309" spans="1:18" ht="12.75">
      <c r="A12309" s="12"/>
      <c r="D12309" s="12"/>
      <c r="E12309" s="12"/>
      <c r="H12309" s="11" t="str">
        <f ca="1">IFERROR(__xludf.DUMMYFUNCTION("IFERROR(SUBSTITUTE(SUBSTITUTE(REGEXEXTRACT(A12309, ""[^-]+- [^-]+- [^-]+ - (.+?)\.jpg""), "".jpg"", """"), ""-"", "", ""), """")"),"")</f>
        <v/>
      </c>
      <c r="L12309" s="12"/>
      <c r="M12309" s="13"/>
      <c r="N12309" s="2"/>
      <c r="O12309" s="20"/>
      <c r="P12309" s="42"/>
      <c r="R12309" s="23"/>
    </row>
    <row r="12310" spans="1:18" ht="12.75">
      <c r="A12310" s="12"/>
      <c r="D12310" s="12"/>
      <c r="E12310" s="12"/>
      <c r="H12310" s="11" t="str">
        <f ca="1">IFERROR(__xludf.DUMMYFUNCTION("IFERROR(SUBSTITUTE(SUBSTITUTE(REGEXEXTRACT(A12310, ""[^-]+- [^-]+- [^-]+ - (.+?)\.jpg""), "".jpg"", """"), ""-"", "", ""), """")"),"")</f>
        <v/>
      </c>
      <c r="L12310" s="12"/>
      <c r="M12310" s="13"/>
      <c r="N12310" s="2"/>
      <c r="O12310" s="20"/>
      <c r="P12310" s="42"/>
      <c r="R12310" s="23"/>
    </row>
    <row r="12311" spans="1:18" ht="12.75">
      <c r="A12311" s="12"/>
      <c r="D12311" s="12"/>
      <c r="E12311" s="12"/>
      <c r="H12311" s="11" t="str">
        <f ca="1">IFERROR(__xludf.DUMMYFUNCTION("IFERROR(SUBSTITUTE(SUBSTITUTE(REGEXEXTRACT(A12311, ""[^-]+- [^-]+- [^-]+ - (.+?)\.jpg""), "".jpg"", """"), ""-"", "", ""), """")"),"")</f>
        <v/>
      </c>
      <c r="L12311" s="12"/>
      <c r="M12311" s="13"/>
      <c r="N12311" s="2"/>
      <c r="O12311" s="20"/>
      <c r="P12311" s="42"/>
      <c r="R12311" s="23"/>
    </row>
    <row r="12312" spans="1:18" ht="12.75">
      <c r="A12312" s="12"/>
      <c r="D12312" s="12"/>
      <c r="E12312" s="12"/>
      <c r="H12312" s="11" t="str">
        <f ca="1">IFERROR(__xludf.DUMMYFUNCTION("IFERROR(SUBSTITUTE(SUBSTITUTE(REGEXEXTRACT(A12312, ""[^-]+- [^-]+- [^-]+ - (.+?)\.jpg""), "".jpg"", """"), ""-"", "", ""), """")"),"")</f>
        <v/>
      </c>
      <c r="L12312" s="12"/>
      <c r="M12312" s="13"/>
      <c r="N12312" s="2"/>
      <c r="O12312" s="20"/>
      <c r="P12312" s="42"/>
      <c r="R12312" s="23"/>
    </row>
    <row r="12313" spans="1:18" ht="12.75">
      <c r="A12313" s="12"/>
      <c r="D12313" s="12"/>
      <c r="E12313" s="12"/>
      <c r="H12313" s="11" t="str">
        <f ca="1">IFERROR(__xludf.DUMMYFUNCTION("IFERROR(SUBSTITUTE(SUBSTITUTE(REGEXEXTRACT(A12313, ""[^-]+- [^-]+- [^-]+ - (.+?)\.jpg""), "".jpg"", """"), ""-"", "", ""), """")"),"")</f>
        <v/>
      </c>
      <c r="L12313" s="12"/>
      <c r="M12313" s="13"/>
      <c r="N12313" s="2"/>
      <c r="O12313" s="20"/>
      <c r="P12313" s="42"/>
      <c r="R12313" s="23"/>
    </row>
    <row r="12314" spans="1:18" ht="12.75">
      <c r="A12314" s="12"/>
      <c r="D12314" s="12"/>
      <c r="E12314" s="12"/>
      <c r="H12314" s="11" t="str">
        <f ca="1">IFERROR(__xludf.DUMMYFUNCTION("IFERROR(SUBSTITUTE(SUBSTITUTE(REGEXEXTRACT(A12314, ""[^-]+- [^-]+- [^-]+ - (.+?)\.jpg""), "".jpg"", """"), ""-"", "", ""), """")"),"")</f>
        <v/>
      </c>
      <c r="L12314" s="12"/>
      <c r="M12314" s="13"/>
      <c r="N12314" s="2"/>
      <c r="O12314" s="20"/>
      <c r="P12314" s="42"/>
      <c r="R12314" s="23"/>
    </row>
    <row r="12315" spans="1:18" ht="12.75">
      <c r="A12315" s="12"/>
      <c r="D12315" s="12"/>
      <c r="E12315" s="12"/>
      <c r="H12315" s="11" t="str">
        <f ca="1">IFERROR(__xludf.DUMMYFUNCTION("IFERROR(SUBSTITUTE(SUBSTITUTE(REGEXEXTRACT(A12315, ""[^-]+- [^-]+- [^-]+ - (.+?)\.jpg""), "".jpg"", """"), ""-"", "", ""), """")"),"")</f>
        <v/>
      </c>
      <c r="L12315" s="12"/>
      <c r="M12315" s="13"/>
      <c r="N12315" s="2"/>
      <c r="O12315" s="20"/>
      <c r="P12315" s="42"/>
      <c r="R12315" s="23"/>
    </row>
    <row r="12316" spans="1:18" ht="12.75">
      <c r="A12316" s="12"/>
      <c r="D12316" s="12"/>
      <c r="E12316" s="12"/>
      <c r="H12316" s="11" t="str">
        <f ca="1">IFERROR(__xludf.DUMMYFUNCTION("IFERROR(SUBSTITUTE(SUBSTITUTE(REGEXEXTRACT(A12316, ""[^-]+- [^-]+- [^-]+ - (.+?)\.jpg""), "".jpg"", """"), ""-"", "", ""), """")"),"")</f>
        <v/>
      </c>
      <c r="L12316" s="12"/>
      <c r="M12316" s="13"/>
      <c r="N12316" s="2"/>
      <c r="O12316" s="20"/>
      <c r="P12316" s="42"/>
      <c r="R12316" s="23"/>
    </row>
    <row r="12317" spans="1:18" ht="12.75">
      <c r="A12317" s="12"/>
      <c r="D12317" s="12"/>
      <c r="E12317" s="12"/>
      <c r="H12317" s="11" t="str">
        <f ca="1">IFERROR(__xludf.DUMMYFUNCTION("IFERROR(SUBSTITUTE(SUBSTITUTE(REGEXEXTRACT(A12317, ""[^-]+- [^-]+- [^-]+ - (.+?)\.jpg""), "".jpg"", """"), ""-"", "", ""), """")"),"")</f>
        <v/>
      </c>
      <c r="L12317" s="12"/>
      <c r="M12317" s="13"/>
      <c r="N12317" s="2"/>
      <c r="O12317" s="20"/>
      <c r="P12317" s="42"/>
      <c r="R12317" s="23"/>
    </row>
    <row r="12318" spans="1:18" ht="12.75">
      <c r="A12318" s="12"/>
      <c r="D12318" s="12"/>
      <c r="E12318" s="12"/>
      <c r="H12318" s="11" t="str">
        <f ca="1">IFERROR(__xludf.DUMMYFUNCTION("IFERROR(SUBSTITUTE(SUBSTITUTE(REGEXEXTRACT(A12318, ""[^-]+- [^-]+- [^-]+ - (.+?)\.jpg""), "".jpg"", """"), ""-"", "", ""), """")"),"")</f>
        <v/>
      </c>
      <c r="L12318" s="12"/>
      <c r="M12318" s="13"/>
      <c r="N12318" s="2"/>
      <c r="O12318" s="20"/>
      <c r="P12318" s="42"/>
      <c r="R12318" s="23"/>
    </row>
    <row r="12319" spans="1:18" ht="12.75">
      <c r="A12319" s="12"/>
      <c r="D12319" s="12"/>
      <c r="E12319" s="12"/>
      <c r="H12319" s="11" t="str">
        <f ca="1">IFERROR(__xludf.DUMMYFUNCTION("IFERROR(SUBSTITUTE(SUBSTITUTE(REGEXEXTRACT(A12319, ""[^-]+- [^-]+- [^-]+ - (.+?)\.jpg""), "".jpg"", """"), ""-"", "", ""), """")"),"")</f>
        <v/>
      </c>
      <c r="L12319" s="12"/>
      <c r="M12319" s="13"/>
      <c r="N12319" s="2"/>
      <c r="O12319" s="20"/>
      <c r="P12319" s="42"/>
      <c r="R12319" s="23"/>
    </row>
    <row r="12320" spans="1:18" ht="12.75">
      <c r="A12320" s="12"/>
      <c r="D12320" s="12"/>
      <c r="E12320" s="12"/>
      <c r="H12320" s="11" t="str">
        <f ca="1">IFERROR(__xludf.DUMMYFUNCTION("IFERROR(SUBSTITUTE(SUBSTITUTE(REGEXEXTRACT(A12320, ""[^-]+- [^-]+- [^-]+ - (.+?)\.jpg""), "".jpg"", """"), ""-"", "", ""), """")"),"")</f>
        <v/>
      </c>
      <c r="L12320" s="12"/>
      <c r="M12320" s="13"/>
      <c r="N12320" s="2"/>
      <c r="O12320" s="20"/>
      <c r="P12320" s="42"/>
      <c r="R12320" s="23"/>
    </row>
    <row r="12321" spans="1:18" ht="12.75">
      <c r="A12321" s="12"/>
      <c r="D12321" s="12"/>
      <c r="E12321" s="12"/>
      <c r="H12321" s="11" t="str">
        <f ca="1">IFERROR(__xludf.DUMMYFUNCTION("IFERROR(SUBSTITUTE(SUBSTITUTE(REGEXEXTRACT(A12321, ""[^-]+- [^-]+- [^-]+ - (.+?)\.jpg""), "".jpg"", """"), ""-"", "", ""), """")"),"")</f>
        <v/>
      </c>
      <c r="L12321" s="12"/>
      <c r="M12321" s="13"/>
      <c r="N12321" s="2"/>
      <c r="O12321" s="20"/>
      <c r="P12321" s="42"/>
      <c r="R12321" s="23"/>
    </row>
    <row r="12322" spans="1:18" ht="12.75">
      <c r="A12322" s="12"/>
      <c r="D12322" s="12"/>
      <c r="E12322" s="12"/>
      <c r="H12322" s="11" t="str">
        <f ca="1">IFERROR(__xludf.DUMMYFUNCTION("IFERROR(SUBSTITUTE(SUBSTITUTE(REGEXEXTRACT(A12322, ""[^-]+- [^-]+- [^-]+ - (.+?)\.jpg""), "".jpg"", """"), ""-"", "", ""), """")"),"")</f>
        <v/>
      </c>
      <c r="L12322" s="12"/>
      <c r="M12322" s="13"/>
      <c r="N12322" s="2"/>
      <c r="O12322" s="20"/>
      <c r="P12322" s="42"/>
      <c r="R12322" s="23"/>
    </row>
    <row r="12323" spans="1:18" ht="12.75">
      <c r="A12323" s="12"/>
      <c r="D12323" s="12"/>
      <c r="E12323" s="12"/>
      <c r="H12323" s="11" t="str">
        <f ca="1">IFERROR(__xludf.DUMMYFUNCTION("IFERROR(SUBSTITUTE(SUBSTITUTE(REGEXEXTRACT(A12323, ""[^-]+- [^-]+- [^-]+ - (.+?)\.jpg""), "".jpg"", """"), ""-"", "", ""), """")"),"")</f>
        <v/>
      </c>
      <c r="L12323" s="12"/>
      <c r="M12323" s="13"/>
      <c r="N12323" s="2"/>
      <c r="O12323" s="20"/>
      <c r="P12323" s="42"/>
      <c r="R12323" s="23"/>
    </row>
    <row r="12324" spans="1:18" ht="12.75">
      <c r="A12324" s="12"/>
      <c r="D12324" s="12"/>
      <c r="E12324" s="12"/>
      <c r="H12324" s="11" t="str">
        <f ca="1">IFERROR(__xludf.DUMMYFUNCTION("IFERROR(SUBSTITUTE(SUBSTITUTE(REGEXEXTRACT(A12324, ""[^-]+- [^-]+- [^-]+ - (.+?)\.jpg""), "".jpg"", """"), ""-"", "", ""), """")"),"")</f>
        <v/>
      </c>
      <c r="L12324" s="12"/>
      <c r="M12324" s="13"/>
      <c r="N12324" s="2"/>
      <c r="O12324" s="20"/>
      <c r="P12324" s="42"/>
      <c r="R12324" s="23"/>
    </row>
    <row r="12325" spans="1:18" ht="12.75">
      <c r="A12325" s="12"/>
      <c r="D12325" s="12"/>
      <c r="E12325" s="12"/>
      <c r="H12325" s="11" t="str">
        <f ca="1">IFERROR(__xludf.DUMMYFUNCTION("IFERROR(SUBSTITUTE(SUBSTITUTE(REGEXEXTRACT(A12325, ""[^-]+- [^-]+- [^-]+ - (.+?)\.jpg""), "".jpg"", """"), ""-"", "", ""), """")"),"")</f>
        <v/>
      </c>
      <c r="L12325" s="12"/>
      <c r="M12325" s="13"/>
      <c r="N12325" s="2"/>
      <c r="O12325" s="20"/>
      <c r="P12325" s="42"/>
      <c r="R12325" s="23"/>
    </row>
    <row r="12326" spans="1:18" ht="12.75">
      <c r="A12326" s="12"/>
      <c r="D12326" s="12"/>
      <c r="E12326" s="12"/>
      <c r="H12326" s="11" t="str">
        <f ca="1">IFERROR(__xludf.DUMMYFUNCTION("IFERROR(SUBSTITUTE(SUBSTITUTE(REGEXEXTRACT(A12326, ""[^-]+- [^-]+- [^-]+ - (.+?)\.jpg""), "".jpg"", """"), ""-"", "", ""), """")"),"")</f>
        <v/>
      </c>
      <c r="L12326" s="12"/>
      <c r="M12326" s="13"/>
      <c r="N12326" s="2"/>
      <c r="O12326" s="20"/>
      <c r="P12326" s="42"/>
      <c r="R12326" s="23"/>
    </row>
    <row r="12327" spans="1:18" ht="12.75">
      <c r="A12327" s="12"/>
      <c r="D12327" s="12"/>
      <c r="E12327" s="12"/>
      <c r="H12327" s="11" t="str">
        <f ca="1">IFERROR(__xludf.DUMMYFUNCTION("IFERROR(SUBSTITUTE(SUBSTITUTE(REGEXEXTRACT(A12327, ""[^-]+- [^-]+- [^-]+ - (.+?)\.jpg""), "".jpg"", """"), ""-"", "", ""), """")"),"")</f>
        <v/>
      </c>
      <c r="L12327" s="12"/>
      <c r="M12327" s="13"/>
      <c r="N12327" s="2"/>
      <c r="O12327" s="20"/>
      <c r="P12327" s="42"/>
      <c r="R12327" s="23"/>
    </row>
    <row r="12328" spans="1:18" ht="12.75">
      <c r="A12328" s="12"/>
      <c r="D12328" s="12"/>
      <c r="E12328" s="12"/>
      <c r="H12328" s="11" t="str">
        <f ca="1">IFERROR(__xludf.DUMMYFUNCTION("IFERROR(SUBSTITUTE(SUBSTITUTE(REGEXEXTRACT(A12328, ""[^-]+- [^-]+- [^-]+ - (.+?)\.jpg""), "".jpg"", """"), ""-"", "", ""), """")"),"")</f>
        <v/>
      </c>
      <c r="L12328" s="12"/>
      <c r="M12328" s="13"/>
      <c r="N12328" s="2"/>
      <c r="O12328" s="20"/>
      <c r="P12328" s="42"/>
      <c r="R12328" s="23"/>
    </row>
    <row r="12329" spans="1:18" ht="12.75">
      <c r="A12329" s="12"/>
      <c r="D12329" s="12"/>
      <c r="E12329" s="12"/>
      <c r="H12329" s="11" t="str">
        <f ca="1">IFERROR(__xludf.DUMMYFUNCTION("IFERROR(SUBSTITUTE(SUBSTITUTE(REGEXEXTRACT(A12329, ""[^-]+- [^-]+- [^-]+ - (.+?)\.jpg""), "".jpg"", """"), ""-"", "", ""), """")"),"")</f>
        <v/>
      </c>
      <c r="L12329" s="12"/>
      <c r="M12329" s="13"/>
      <c r="N12329" s="2"/>
      <c r="O12329" s="20"/>
      <c r="P12329" s="42"/>
      <c r="R12329" s="23"/>
    </row>
    <row r="12330" spans="1:18" ht="12.75">
      <c r="A12330" s="12"/>
      <c r="D12330" s="12"/>
      <c r="E12330" s="12"/>
      <c r="H12330" s="11" t="str">
        <f ca="1">IFERROR(__xludf.DUMMYFUNCTION("IFERROR(SUBSTITUTE(SUBSTITUTE(REGEXEXTRACT(A12330, ""[^-]+- [^-]+- [^-]+ - (.+?)\.jpg""), "".jpg"", """"), ""-"", "", ""), """")"),"")</f>
        <v/>
      </c>
      <c r="L12330" s="12"/>
      <c r="M12330" s="13"/>
      <c r="N12330" s="2"/>
      <c r="O12330" s="20"/>
      <c r="P12330" s="42"/>
      <c r="R12330" s="23"/>
    </row>
    <row r="12331" spans="1:18" ht="12.75">
      <c r="A12331" s="12"/>
      <c r="D12331" s="12"/>
      <c r="E12331" s="12"/>
      <c r="H12331" s="11" t="str">
        <f ca="1">IFERROR(__xludf.DUMMYFUNCTION("IFERROR(SUBSTITUTE(SUBSTITUTE(REGEXEXTRACT(A12331, ""[^-]+- [^-]+- [^-]+ - (.+?)\.jpg""), "".jpg"", """"), ""-"", "", ""), """")"),"")</f>
        <v/>
      </c>
      <c r="L12331" s="12"/>
      <c r="M12331" s="13"/>
      <c r="N12331" s="2"/>
      <c r="O12331" s="20"/>
      <c r="P12331" s="42"/>
      <c r="R12331" s="23"/>
    </row>
    <row r="12332" spans="1:18" ht="12.75">
      <c r="A12332" s="12"/>
      <c r="D12332" s="12"/>
      <c r="E12332" s="12"/>
      <c r="H12332" s="11" t="str">
        <f ca="1">IFERROR(__xludf.DUMMYFUNCTION("IFERROR(SUBSTITUTE(SUBSTITUTE(REGEXEXTRACT(A12332, ""[^-]+- [^-]+- [^-]+ - (.+?)\.jpg""), "".jpg"", """"), ""-"", "", ""), """")"),"")</f>
        <v/>
      </c>
      <c r="L12332" s="12"/>
      <c r="M12332" s="13"/>
      <c r="N12332" s="2"/>
      <c r="O12332" s="20"/>
      <c r="P12332" s="42"/>
      <c r="R12332" s="23"/>
    </row>
    <row r="12333" spans="1:18" ht="12.75">
      <c r="A12333" s="12"/>
      <c r="D12333" s="12"/>
      <c r="E12333" s="12"/>
      <c r="H12333" s="11" t="str">
        <f ca="1">IFERROR(__xludf.DUMMYFUNCTION("IFERROR(SUBSTITUTE(SUBSTITUTE(REGEXEXTRACT(A12333, ""[^-]+- [^-]+- [^-]+ - (.+?)\.jpg""), "".jpg"", """"), ""-"", "", ""), """")"),"")</f>
        <v/>
      </c>
      <c r="L12333" s="12"/>
      <c r="M12333" s="13"/>
      <c r="N12333" s="2"/>
      <c r="O12333" s="20"/>
      <c r="P12333" s="42"/>
      <c r="R12333" s="23"/>
    </row>
    <row r="12334" spans="1:18" ht="12.75">
      <c r="A12334" s="12"/>
      <c r="D12334" s="12"/>
      <c r="E12334" s="12"/>
      <c r="H12334" s="11" t="str">
        <f ca="1">IFERROR(__xludf.DUMMYFUNCTION("IFERROR(SUBSTITUTE(SUBSTITUTE(REGEXEXTRACT(A12334, ""[^-]+- [^-]+- [^-]+ - (.+?)\.jpg""), "".jpg"", """"), ""-"", "", ""), """")"),"")</f>
        <v/>
      </c>
      <c r="L12334" s="12"/>
      <c r="M12334" s="13"/>
      <c r="N12334" s="2"/>
      <c r="O12334" s="20"/>
      <c r="P12334" s="42"/>
      <c r="R12334" s="23"/>
    </row>
    <row r="12335" spans="1:18" ht="12.75">
      <c r="A12335" s="12"/>
      <c r="D12335" s="12"/>
      <c r="E12335" s="12"/>
      <c r="H12335" s="11" t="str">
        <f ca="1">IFERROR(__xludf.DUMMYFUNCTION("IFERROR(SUBSTITUTE(SUBSTITUTE(REGEXEXTRACT(A12335, ""[^-]+- [^-]+- [^-]+ - (.+?)\.jpg""), "".jpg"", """"), ""-"", "", ""), """")"),"")</f>
        <v/>
      </c>
      <c r="L12335" s="12"/>
      <c r="M12335" s="13"/>
      <c r="N12335" s="2"/>
      <c r="O12335" s="20"/>
      <c r="P12335" s="42"/>
      <c r="R12335" s="23"/>
    </row>
    <row r="12336" spans="1:18" ht="12.75">
      <c r="A12336" s="12"/>
      <c r="D12336" s="12"/>
      <c r="E12336" s="12"/>
      <c r="H12336" s="11" t="str">
        <f ca="1">IFERROR(__xludf.DUMMYFUNCTION("IFERROR(SUBSTITUTE(SUBSTITUTE(REGEXEXTRACT(A12336, ""[^-]+- [^-]+- [^-]+ - (.+?)\.jpg""), "".jpg"", """"), ""-"", "", ""), """")"),"")</f>
        <v/>
      </c>
      <c r="L12336" s="12"/>
      <c r="M12336" s="13"/>
      <c r="N12336" s="2"/>
      <c r="O12336" s="20"/>
      <c r="P12336" s="42"/>
      <c r="R12336" s="23"/>
    </row>
    <row r="12337" spans="1:18" ht="12.75">
      <c r="A12337" s="12"/>
      <c r="D12337" s="12"/>
      <c r="E12337" s="12"/>
      <c r="H12337" s="11" t="str">
        <f ca="1">IFERROR(__xludf.DUMMYFUNCTION("IFERROR(SUBSTITUTE(SUBSTITUTE(REGEXEXTRACT(A12337, ""[^-]+- [^-]+- [^-]+ - (.+?)\.jpg""), "".jpg"", """"), ""-"", "", ""), """")"),"")</f>
        <v/>
      </c>
      <c r="L12337" s="12"/>
      <c r="M12337" s="13"/>
      <c r="N12337" s="2"/>
      <c r="O12337" s="20"/>
      <c r="P12337" s="42"/>
      <c r="R12337" s="23"/>
    </row>
    <row r="12338" spans="1:18" ht="12.75">
      <c r="A12338" s="12"/>
      <c r="D12338" s="12"/>
      <c r="E12338" s="12"/>
      <c r="H12338" s="11" t="str">
        <f ca="1">IFERROR(__xludf.DUMMYFUNCTION("IFERROR(SUBSTITUTE(SUBSTITUTE(REGEXEXTRACT(A12338, ""[^-]+- [^-]+- [^-]+ - (.+?)\.jpg""), "".jpg"", """"), ""-"", "", ""), """")"),"")</f>
        <v/>
      </c>
      <c r="L12338" s="12"/>
      <c r="M12338" s="13"/>
      <c r="N12338" s="2"/>
      <c r="O12338" s="20"/>
      <c r="P12338" s="42"/>
      <c r="R12338" s="23"/>
    </row>
    <row r="12339" spans="1:18" ht="12.75">
      <c r="A12339" s="12"/>
      <c r="D12339" s="12"/>
      <c r="E12339" s="12"/>
      <c r="H12339" s="11" t="str">
        <f ca="1">IFERROR(__xludf.DUMMYFUNCTION("IFERROR(SUBSTITUTE(SUBSTITUTE(REGEXEXTRACT(A12339, ""[^-]+- [^-]+- [^-]+ - (.+?)\.jpg""), "".jpg"", """"), ""-"", "", ""), """")"),"")</f>
        <v/>
      </c>
      <c r="L12339" s="12"/>
      <c r="M12339" s="13"/>
      <c r="N12339" s="2"/>
      <c r="O12339" s="20"/>
      <c r="P12339" s="42"/>
      <c r="R12339" s="23"/>
    </row>
    <row r="12340" spans="1:18" ht="12.75">
      <c r="A12340" s="12"/>
      <c r="D12340" s="12"/>
      <c r="E12340" s="12"/>
      <c r="H12340" s="11" t="str">
        <f ca="1">IFERROR(__xludf.DUMMYFUNCTION("IFERROR(SUBSTITUTE(SUBSTITUTE(REGEXEXTRACT(A12340, ""[^-]+- [^-]+- [^-]+ - (.+?)\.jpg""), "".jpg"", """"), ""-"", "", ""), """")"),"")</f>
        <v/>
      </c>
      <c r="L12340" s="12"/>
      <c r="M12340" s="13"/>
      <c r="N12340" s="2"/>
      <c r="O12340" s="20"/>
      <c r="P12340" s="42"/>
      <c r="R12340" s="23"/>
    </row>
    <row r="12341" spans="1:18" ht="12.75">
      <c r="A12341" s="12"/>
      <c r="D12341" s="12"/>
      <c r="E12341" s="12"/>
      <c r="H12341" s="11" t="str">
        <f ca="1">IFERROR(__xludf.DUMMYFUNCTION("IFERROR(SUBSTITUTE(SUBSTITUTE(REGEXEXTRACT(A12341, ""[^-]+- [^-]+- [^-]+ - (.+?)\.jpg""), "".jpg"", """"), ""-"", "", ""), """")"),"")</f>
        <v/>
      </c>
      <c r="L12341" s="12"/>
      <c r="M12341" s="13"/>
      <c r="N12341" s="2"/>
      <c r="O12341" s="20"/>
      <c r="P12341" s="42"/>
      <c r="R12341" s="23"/>
    </row>
    <row r="12342" spans="1:18" ht="12.75">
      <c r="A12342" s="12"/>
      <c r="D12342" s="12"/>
      <c r="E12342" s="12"/>
      <c r="H12342" s="11" t="str">
        <f ca="1">IFERROR(__xludf.DUMMYFUNCTION("IFERROR(SUBSTITUTE(SUBSTITUTE(REGEXEXTRACT(A12342, ""[^-]+- [^-]+- [^-]+ - (.+?)\.jpg""), "".jpg"", """"), ""-"", "", ""), """")"),"")</f>
        <v/>
      </c>
      <c r="L12342" s="12"/>
      <c r="M12342" s="13"/>
      <c r="N12342" s="2"/>
      <c r="O12342" s="20"/>
      <c r="P12342" s="42"/>
      <c r="R12342" s="23"/>
    </row>
    <row r="12343" spans="1:18" ht="12.75">
      <c r="A12343" s="12"/>
      <c r="D12343" s="12"/>
      <c r="E12343" s="12"/>
      <c r="H12343" s="11" t="str">
        <f ca="1">IFERROR(__xludf.DUMMYFUNCTION("IFERROR(SUBSTITUTE(SUBSTITUTE(REGEXEXTRACT(A12343, ""[^-]+- [^-]+- [^-]+ - (.+?)\.jpg""), "".jpg"", """"), ""-"", "", ""), """")"),"")</f>
        <v/>
      </c>
      <c r="L12343" s="12"/>
      <c r="M12343" s="13"/>
      <c r="N12343" s="2"/>
      <c r="O12343" s="20"/>
      <c r="P12343" s="42"/>
      <c r="R12343" s="23"/>
    </row>
    <row r="12344" spans="1:18" ht="12.75">
      <c r="A12344" s="12"/>
      <c r="D12344" s="12"/>
      <c r="E12344" s="12"/>
      <c r="H12344" s="11" t="str">
        <f ca="1">IFERROR(__xludf.DUMMYFUNCTION("IFERROR(SUBSTITUTE(SUBSTITUTE(REGEXEXTRACT(A12344, ""[^-]+- [^-]+- [^-]+ - (.+?)\.jpg""), "".jpg"", """"), ""-"", "", ""), """")"),"")</f>
        <v/>
      </c>
      <c r="L12344" s="12"/>
      <c r="M12344" s="13"/>
      <c r="N12344" s="2"/>
      <c r="O12344" s="20"/>
      <c r="P12344" s="42"/>
      <c r="R12344" s="23"/>
    </row>
    <row r="12345" spans="1:18" ht="12.75">
      <c r="A12345" s="12"/>
      <c r="D12345" s="12"/>
      <c r="E12345" s="12"/>
      <c r="H12345" s="11" t="str">
        <f ca="1">IFERROR(__xludf.DUMMYFUNCTION("IFERROR(SUBSTITUTE(SUBSTITUTE(REGEXEXTRACT(A12345, ""[^-]+- [^-]+- [^-]+ - (.+?)\.jpg""), "".jpg"", """"), ""-"", "", ""), """")"),"")</f>
        <v/>
      </c>
      <c r="L12345" s="12"/>
      <c r="M12345" s="13"/>
      <c r="N12345" s="2"/>
      <c r="O12345" s="20"/>
      <c r="P12345" s="42"/>
      <c r="R12345" s="23"/>
    </row>
    <row r="12346" spans="1:18" ht="12.75">
      <c r="A12346" s="12"/>
      <c r="D12346" s="12"/>
      <c r="E12346" s="12"/>
      <c r="H12346" s="11" t="str">
        <f ca="1">IFERROR(__xludf.DUMMYFUNCTION("IFERROR(SUBSTITUTE(SUBSTITUTE(REGEXEXTRACT(A12346, ""[^-]+- [^-]+- [^-]+ - (.+?)\.jpg""), "".jpg"", """"), ""-"", "", ""), """")"),"")</f>
        <v/>
      </c>
      <c r="L12346" s="12"/>
      <c r="M12346" s="13"/>
      <c r="N12346" s="2"/>
      <c r="O12346" s="20"/>
      <c r="P12346" s="42"/>
      <c r="R12346" s="23"/>
    </row>
    <row r="12347" spans="1:18" ht="12.75">
      <c r="A12347" s="12"/>
      <c r="D12347" s="12"/>
      <c r="E12347" s="12"/>
      <c r="H12347" s="11" t="str">
        <f ca="1">IFERROR(__xludf.DUMMYFUNCTION("IFERROR(SUBSTITUTE(SUBSTITUTE(REGEXEXTRACT(A12347, ""[^-]+- [^-]+- [^-]+ - (.+?)\.jpg""), "".jpg"", """"), ""-"", "", ""), """")"),"")</f>
        <v/>
      </c>
      <c r="L12347" s="12"/>
      <c r="M12347" s="13"/>
      <c r="N12347" s="2"/>
      <c r="O12347" s="20"/>
      <c r="P12347" s="42"/>
      <c r="R12347" s="23"/>
    </row>
    <row r="12348" spans="1:18" ht="12.75">
      <c r="A12348" s="12"/>
      <c r="D12348" s="12"/>
      <c r="E12348" s="12"/>
      <c r="H12348" s="11" t="str">
        <f ca="1">IFERROR(__xludf.DUMMYFUNCTION("IFERROR(SUBSTITUTE(SUBSTITUTE(REGEXEXTRACT(A12348, ""[^-]+- [^-]+- [^-]+ - (.+?)\.jpg""), "".jpg"", """"), ""-"", "", ""), """")"),"")</f>
        <v/>
      </c>
      <c r="L12348" s="12"/>
      <c r="M12348" s="13"/>
      <c r="N12348" s="2"/>
      <c r="O12348" s="20"/>
      <c r="P12348" s="42"/>
      <c r="R12348" s="23"/>
    </row>
    <row r="12349" spans="1:18" ht="12.75">
      <c r="A12349" s="12"/>
      <c r="D12349" s="12"/>
      <c r="E12349" s="12"/>
      <c r="H12349" s="11" t="str">
        <f ca="1">IFERROR(__xludf.DUMMYFUNCTION("IFERROR(SUBSTITUTE(SUBSTITUTE(REGEXEXTRACT(A12349, ""[^-]+- [^-]+- [^-]+ - (.+?)\.jpg""), "".jpg"", """"), ""-"", "", ""), """")"),"")</f>
        <v/>
      </c>
      <c r="L12349" s="12"/>
      <c r="M12349" s="13"/>
      <c r="N12349" s="2"/>
      <c r="O12349" s="20"/>
      <c r="P12349" s="42"/>
      <c r="R12349" s="23"/>
    </row>
    <row r="12350" spans="1:18" ht="12.75">
      <c r="A12350" s="12"/>
      <c r="D12350" s="12"/>
      <c r="E12350" s="12"/>
      <c r="H12350" s="11" t="str">
        <f ca="1">IFERROR(__xludf.DUMMYFUNCTION("IFERROR(SUBSTITUTE(SUBSTITUTE(REGEXEXTRACT(A12350, ""[^-]+- [^-]+- [^-]+ - (.+?)\.jpg""), "".jpg"", """"), ""-"", "", ""), """")"),"")</f>
        <v/>
      </c>
      <c r="L12350" s="12"/>
      <c r="M12350" s="13"/>
      <c r="N12350" s="2"/>
      <c r="O12350" s="20"/>
      <c r="P12350" s="42"/>
      <c r="R12350" s="23"/>
    </row>
    <row r="12351" spans="1:18" ht="12.75">
      <c r="A12351" s="12"/>
      <c r="D12351" s="12"/>
      <c r="E12351" s="12"/>
      <c r="H12351" s="11" t="str">
        <f ca="1">IFERROR(__xludf.DUMMYFUNCTION("IFERROR(SUBSTITUTE(SUBSTITUTE(REGEXEXTRACT(A12351, ""[^-]+- [^-]+- [^-]+ - (.+?)\.jpg""), "".jpg"", """"), ""-"", "", ""), """")"),"")</f>
        <v/>
      </c>
      <c r="L12351" s="12"/>
      <c r="M12351" s="13"/>
      <c r="N12351" s="2"/>
      <c r="O12351" s="20"/>
      <c r="P12351" s="42"/>
      <c r="R12351" s="23"/>
    </row>
    <row r="12352" spans="1:18" ht="12.75">
      <c r="A12352" s="12"/>
      <c r="D12352" s="12"/>
      <c r="E12352" s="12"/>
      <c r="H12352" s="11" t="str">
        <f ca="1">IFERROR(__xludf.DUMMYFUNCTION("IFERROR(SUBSTITUTE(SUBSTITUTE(REGEXEXTRACT(A12352, ""[^-]+- [^-]+- [^-]+ - (.+?)\.jpg""), "".jpg"", """"), ""-"", "", ""), """")"),"")</f>
        <v/>
      </c>
      <c r="L12352" s="12"/>
      <c r="M12352" s="13"/>
      <c r="N12352" s="2"/>
      <c r="O12352" s="20"/>
      <c r="P12352" s="42"/>
      <c r="R12352" s="23"/>
    </row>
    <row r="12353" spans="1:18" ht="12.75">
      <c r="A12353" s="12"/>
      <c r="D12353" s="12"/>
      <c r="E12353" s="12"/>
      <c r="H12353" s="11" t="str">
        <f ca="1">IFERROR(__xludf.DUMMYFUNCTION("IFERROR(SUBSTITUTE(SUBSTITUTE(REGEXEXTRACT(A12353, ""[^-]+- [^-]+- [^-]+ - (.+?)\.jpg""), "".jpg"", """"), ""-"", "", ""), """")"),"")</f>
        <v/>
      </c>
      <c r="L12353" s="12"/>
      <c r="M12353" s="13"/>
      <c r="N12353" s="2"/>
      <c r="O12353" s="20"/>
      <c r="P12353" s="42"/>
      <c r="R12353" s="23"/>
    </row>
    <row r="12354" spans="1:18" ht="12.75">
      <c r="A12354" s="12"/>
      <c r="D12354" s="12"/>
      <c r="E12354" s="12"/>
      <c r="H12354" s="11" t="str">
        <f ca="1">IFERROR(__xludf.DUMMYFUNCTION("IFERROR(SUBSTITUTE(SUBSTITUTE(REGEXEXTRACT(A12354, ""[^-]+- [^-]+- [^-]+ - (.+?)\.jpg""), "".jpg"", """"), ""-"", "", ""), """")"),"")</f>
        <v/>
      </c>
      <c r="L12354" s="12"/>
      <c r="M12354" s="13"/>
      <c r="N12354" s="2"/>
      <c r="O12354" s="20"/>
      <c r="P12354" s="42"/>
      <c r="R12354" s="23"/>
    </row>
    <row r="12355" spans="1:18" ht="12.75">
      <c r="A12355" s="12"/>
      <c r="D12355" s="12"/>
      <c r="E12355" s="12"/>
      <c r="H12355" s="11" t="str">
        <f ca="1">IFERROR(__xludf.DUMMYFUNCTION("IFERROR(SUBSTITUTE(SUBSTITUTE(REGEXEXTRACT(A12355, ""[^-]+- [^-]+- [^-]+ - (.+?)\.jpg""), "".jpg"", """"), ""-"", "", ""), """")"),"")</f>
        <v/>
      </c>
      <c r="L12355" s="12"/>
      <c r="M12355" s="13"/>
      <c r="N12355" s="2"/>
      <c r="O12355" s="20"/>
      <c r="P12355" s="42"/>
      <c r="R12355" s="23"/>
    </row>
    <row r="12356" spans="1:18" ht="12.75">
      <c r="A12356" s="12"/>
      <c r="D12356" s="12"/>
      <c r="E12356" s="12"/>
      <c r="H12356" s="11" t="str">
        <f ca="1">IFERROR(__xludf.DUMMYFUNCTION("IFERROR(SUBSTITUTE(SUBSTITUTE(REGEXEXTRACT(A12356, ""[^-]+- [^-]+- [^-]+ - (.+?)\.jpg""), "".jpg"", """"), ""-"", "", ""), """")"),"")</f>
        <v/>
      </c>
      <c r="L12356" s="12"/>
      <c r="M12356" s="13"/>
      <c r="N12356" s="2"/>
      <c r="O12356" s="20"/>
      <c r="P12356" s="42"/>
      <c r="R12356" s="23"/>
    </row>
    <row r="12357" spans="1:18" ht="12.75">
      <c r="A12357" s="12"/>
      <c r="D12357" s="12"/>
      <c r="E12357" s="12"/>
      <c r="H12357" s="11" t="str">
        <f ca="1">IFERROR(__xludf.DUMMYFUNCTION("IFERROR(SUBSTITUTE(SUBSTITUTE(REGEXEXTRACT(A12357, ""[^-]+- [^-]+- [^-]+ - (.+?)\.jpg""), "".jpg"", """"), ""-"", "", ""), """")"),"")</f>
        <v/>
      </c>
      <c r="L12357" s="12"/>
      <c r="M12357" s="13"/>
      <c r="N12357" s="2"/>
      <c r="O12357" s="20"/>
      <c r="P12357" s="42"/>
      <c r="R12357" s="23"/>
    </row>
    <row r="12358" spans="1:18" ht="12.75">
      <c r="A12358" s="12"/>
      <c r="D12358" s="12"/>
      <c r="E12358" s="12"/>
      <c r="H12358" s="11" t="str">
        <f ca="1">IFERROR(__xludf.DUMMYFUNCTION("IFERROR(SUBSTITUTE(SUBSTITUTE(REGEXEXTRACT(A12358, ""[^-]+- [^-]+- [^-]+ - (.+?)\.jpg""), "".jpg"", """"), ""-"", "", ""), """")"),"")</f>
        <v/>
      </c>
      <c r="L12358" s="12"/>
      <c r="M12358" s="13"/>
      <c r="N12358" s="2"/>
      <c r="O12358" s="20"/>
      <c r="P12358" s="42"/>
      <c r="R12358" s="23"/>
    </row>
    <row r="12359" spans="1:18" ht="12.75">
      <c r="A12359" s="12"/>
      <c r="D12359" s="12"/>
      <c r="E12359" s="12"/>
      <c r="H12359" s="11" t="str">
        <f ca="1">IFERROR(__xludf.DUMMYFUNCTION("IFERROR(SUBSTITUTE(SUBSTITUTE(REGEXEXTRACT(A12359, ""[^-]+- [^-]+- [^-]+ - (.+?)\.jpg""), "".jpg"", """"), ""-"", "", ""), """")"),"")</f>
        <v/>
      </c>
      <c r="L12359" s="12"/>
      <c r="M12359" s="13"/>
      <c r="N12359" s="2"/>
      <c r="O12359" s="20"/>
      <c r="P12359" s="42"/>
      <c r="R12359" s="23"/>
    </row>
    <row r="12360" spans="1:18" ht="12.75">
      <c r="A12360" s="12"/>
      <c r="D12360" s="12"/>
      <c r="E12360" s="12"/>
      <c r="H12360" s="11" t="str">
        <f ca="1">IFERROR(__xludf.DUMMYFUNCTION("IFERROR(SUBSTITUTE(SUBSTITUTE(REGEXEXTRACT(A12360, ""[^-]+- [^-]+- [^-]+ - (.+?)\.jpg""), "".jpg"", """"), ""-"", "", ""), """")"),"")</f>
        <v/>
      </c>
      <c r="L12360" s="12"/>
      <c r="M12360" s="13"/>
      <c r="N12360" s="2"/>
      <c r="O12360" s="20"/>
      <c r="P12360" s="42"/>
      <c r="R12360" s="23"/>
    </row>
    <row r="12361" spans="1:18" ht="12.75">
      <c r="A12361" s="12"/>
      <c r="D12361" s="12"/>
      <c r="E12361" s="12"/>
      <c r="H12361" s="11" t="str">
        <f ca="1">IFERROR(__xludf.DUMMYFUNCTION("IFERROR(SUBSTITUTE(SUBSTITUTE(REGEXEXTRACT(A12361, ""[^-]+- [^-]+- [^-]+ - (.+?)\.jpg""), "".jpg"", """"), ""-"", "", ""), """")"),"")</f>
        <v/>
      </c>
      <c r="L12361" s="12"/>
      <c r="M12361" s="13"/>
      <c r="N12361" s="2"/>
      <c r="O12361" s="20"/>
      <c r="P12361" s="42"/>
      <c r="R12361" s="23"/>
    </row>
    <row r="12362" spans="1:18" ht="12.75">
      <c r="A12362" s="12"/>
      <c r="D12362" s="12"/>
      <c r="E12362" s="12"/>
      <c r="H12362" s="11" t="str">
        <f ca="1">IFERROR(__xludf.DUMMYFUNCTION("IFERROR(SUBSTITUTE(SUBSTITUTE(REGEXEXTRACT(A12362, ""[^-]+- [^-]+- [^-]+ - (.+?)\.jpg""), "".jpg"", """"), ""-"", "", ""), """")"),"")</f>
        <v/>
      </c>
      <c r="L12362" s="12"/>
      <c r="M12362" s="13"/>
      <c r="N12362" s="2"/>
      <c r="O12362" s="20"/>
      <c r="P12362" s="42"/>
      <c r="R12362" s="23"/>
    </row>
    <row r="12363" spans="1:18" ht="12.75">
      <c r="A12363" s="12"/>
      <c r="D12363" s="12"/>
      <c r="E12363" s="12"/>
      <c r="H12363" s="11" t="str">
        <f ca="1">IFERROR(__xludf.DUMMYFUNCTION("IFERROR(SUBSTITUTE(SUBSTITUTE(REGEXEXTRACT(A12363, ""[^-]+- [^-]+- [^-]+ - (.+?)\.jpg""), "".jpg"", """"), ""-"", "", ""), """")"),"")</f>
        <v/>
      </c>
      <c r="L12363" s="12"/>
      <c r="M12363" s="13"/>
      <c r="N12363" s="2"/>
      <c r="O12363" s="20"/>
      <c r="P12363" s="42"/>
      <c r="R12363" s="23"/>
    </row>
    <row r="12364" spans="1:18" ht="12.75">
      <c r="A12364" s="12"/>
      <c r="D12364" s="12"/>
      <c r="E12364" s="12"/>
      <c r="H12364" s="11" t="str">
        <f ca="1">IFERROR(__xludf.DUMMYFUNCTION("IFERROR(SUBSTITUTE(SUBSTITUTE(REGEXEXTRACT(A12364, ""[^-]+- [^-]+- [^-]+ - (.+?)\.jpg""), "".jpg"", """"), ""-"", "", ""), """")"),"")</f>
        <v/>
      </c>
      <c r="L12364" s="12"/>
      <c r="M12364" s="13"/>
      <c r="N12364" s="2"/>
      <c r="O12364" s="20"/>
      <c r="P12364" s="42"/>
      <c r="R12364" s="23"/>
    </row>
    <row r="12365" spans="1:18" ht="12.75">
      <c r="A12365" s="12"/>
      <c r="D12365" s="12"/>
      <c r="E12365" s="12"/>
      <c r="H12365" s="11" t="str">
        <f ca="1">IFERROR(__xludf.DUMMYFUNCTION("IFERROR(SUBSTITUTE(SUBSTITUTE(REGEXEXTRACT(A12365, ""[^-]+- [^-]+- [^-]+ - (.+?)\.jpg""), "".jpg"", """"), ""-"", "", ""), """")"),"")</f>
        <v/>
      </c>
      <c r="L12365" s="12"/>
      <c r="M12365" s="13"/>
      <c r="N12365" s="2"/>
      <c r="O12365" s="20"/>
      <c r="P12365" s="42"/>
      <c r="R12365" s="23"/>
    </row>
    <row r="12366" spans="1:18" ht="12.75">
      <c r="A12366" s="12"/>
      <c r="D12366" s="12"/>
      <c r="E12366" s="12"/>
      <c r="H12366" s="11" t="str">
        <f ca="1">IFERROR(__xludf.DUMMYFUNCTION("IFERROR(SUBSTITUTE(SUBSTITUTE(REGEXEXTRACT(A12366, ""[^-]+- [^-]+- [^-]+ - (.+?)\.jpg""), "".jpg"", """"), ""-"", "", ""), """")"),"")</f>
        <v/>
      </c>
      <c r="L12366" s="12"/>
      <c r="M12366" s="13"/>
      <c r="N12366" s="2"/>
      <c r="O12366" s="20"/>
      <c r="P12366" s="42"/>
      <c r="R12366" s="23"/>
    </row>
    <row r="12367" spans="1:18" ht="12.75">
      <c r="A12367" s="12"/>
      <c r="D12367" s="12"/>
      <c r="E12367" s="12"/>
      <c r="H12367" s="11" t="str">
        <f ca="1">IFERROR(__xludf.DUMMYFUNCTION("IFERROR(SUBSTITUTE(SUBSTITUTE(REGEXEXTRACT(A12367, ""[^-]+- [^-]+- [^-]+ - (.+?)\.jpg""), "".jpg"", """"), ""-"", "", ""), """")"),"")</f>
        <v/>
      </c>
      <c r="L12367" s="12"/>
      <c r="M12367" s="13"/>
      <c r="N12367" s="2"/>
      <c r="O12367" s="20"/>
      <c r="P12367" s="42"/>
      <c r="R12367" s="23"/>
    </row>
    <row r="12368" spans="1:18" ht="12.75">
      <c r="A12368" s="12"/>
      <c r="D12368" s="12"/>
      <c r="E12368" s="12"/>
      <c r="H12368" s="11" t="str">
        <f ca="1">IFERROR(__xludf.DUMMYFUNCTION("IFERROR(SUBSTITUTE(SUBSTITUTE(REGEXEXTRACT(A12368, ""[^-]+- [^-]+- [^-]+ - (.+?)\.jpg""), "".jpg"", """"), ""-"", "", ""), """")"),"")</f>
        <v/>
      </c>
      <c r="L12368" s="12"/>
      <c r="M12368" s="13"/>
      <c r="N12368" s="2"/>
      <c r="O12368" s="20"/>
      <c r="P12368" s="42"/>
      <c r="R12368" s="23"/>
    </row>
    <row r="12369" spans="1:18" ht="12.75">
      <c r="A12369" s="12"/>
      <c r="D12369" s="12"/>
      <c r="E12369" s="12"/>
      <c r="H12369" s="11" t="str">
        <f ca="1">IFERROR(__xludf.DUMMYFUNCTION("IFERROR(SUBSTITUTE(SUBSTITUTE(REGEXEXTRACT(A12369, ""[^-]+- [^-]+- [^-]+ - (.+?)\.jpg""), "".jpg"", """"), ""-"", "", ""), """")"),"")</f>
        <v/>
      </c>
      <c r="L12369" s="12"/>
      <c r="M12369" s="13"/>
      <c r="N12369" s="2"/>
      <c r="O12369" s="20"/>
      <c r="P12369" s="42"/>
      <c r="R12369" s="23"/>
    </row>
    <row r="12370" spans="1:18" ht="12.75">
      <c r="A12370" s="12"/>
      <c r="D12370" s="12"/>
      <c r="E12370" s="12"/>
      <c r="H12370" s="11" t="str">
        <f ca="1">IFERROR(__xludf.DUMMYFUNCTION("IFERROR(SUBSTITUTE(SUBSTITUTE(REGEXEXTRACT(A12370, ""[^-]+- [^-]+- [^-]+ - (.+?)\.jpg""), "".jpg"", """"), ""-"", "", ""), """")"),"")</f>
        <v/>
      </c>
      <c r="L12370" s="12"/>
      <c r="M12370" s="13"/>
      <c r="N12370" s="2"/>
      <c r="O12370" s="20"/>
      <c r="P12370" s="42"/>
      <c r="R12370" s="23"/>
    </row>
    <row r="12371" spans="1:18" ht="12.75">
      <c r="A12371" s="12"/>
      <c r="D12371" s="12"/>
      <c r="E12371" s="12"/>
      <c r="H12371" s="11" t="str">
        <f ca="1">IFERROR(__xludf.DUMMYFUNCTION("IFERROR(SUBSTITUTE(SUBSTITUTE(REGEXEXTRACT(A12371, ""[^-]+- [^-]+- [^-]+ - (.+?)\.jpg""), "".jpg"", """"), ""-"", "", ""), """")"),"")</f>
        <v/>
      </c>
      <c r="L12371" s="12"/>
      <c r="M12371" s="13"/>
      <c r="N12371" s="2"/>
      <c r="O12371" s="20"/>
      <c r="P12371" s="42"/>
      <c r="R12371" s="23"/>
    </row>
    <row r="12372" spans="1:18" ht="12.75">
      <c r="A12372" s="12"/>
      <c r="D12372" s="12"/>
      <c r="E12372" s="12"/>
      <c r="H12372" s="11" t="str">
        <f ca="1">IFERROR(__xludf.DUMMYFUNCTION("IFERROR(SUBSTITUTE(SUBSTITUTE(REGEXEXTRACT(A12372, ""[^-]+- [^-]+- [^-]+ - (.+?)\.jpg""), "".jpg"", """"), ""-"", "", ""), """")"),"")</f>
        <v/>
      </c>
      <c r="L12372" s="12"/>
      <c r="M12372" s="13"/>
      <c r="N12372" s="2"/>
      <c r="O12372" s="20"/>
      <c r="P12372" s="42"/>
      <c r="R12372" s="23"/>
    </row>
    <row r="12373" spans="1:18" ht="12.75">
      <c r="A12373" s="12"/>
      <c r="D12373" s="12"/>
      <c r="E12373" s="12"/>
      <c r="H12373" s="11" t="str">
        <f ca="1">IFERROR(__xludf.DUMMYFUNCTION("IFERROR(SUBSTITUTE(SUBSTITUTE(REGEXEXTRACT(A12373, ""[^-]+- [^-]+- [^-]+ - (.+?)\.jpg""), "".jpg"", """"), ""-"", "", ""), """")"),"")</f>
        <v/>
      </c>
      <c r="L12373" s="12"/>
      <c r="M12373" s="13"/>
      <c r="N12373" s="2"/>
      <c r="O12373" s="20"/>
      <c r="P12373" s="42"/>
      <c r="R12373" s="23"/>
    </row>
    <row r="12374" spans="1:18" ht="12.75">
      <c r="A12374" s="12"/>
      <c r="D12374" s="12"/>
      <c r="E12374" s="12"/>
      <c r="H12374" s="11" t="str">
        <f ca="1">IFERROR(__xludf.DUMMYFUNCTION("IFERROR(SUBSTITUTE(SUBSTITUTE(REGEXEXTRACT(A12374, ""[^-]+- [^-]+- [^-]+ - (.+?)\.jpg""), "".jpg"", """"), ""-"", "", ""), """")"),"")</f>
        <v/>
      </c>
      <c r="L12374" s="12"/>
      <c r="M12374" s="13"/>
      <c r="N12374" s="2"/>
      <c r="O12374" s="20"/>
      <c r="P12374" s="42"/>
      <c r="R12374" s="23"/>
    </row>
    <row r="12375" spans="1:18" ht="12.75">
      <c r="A12375" s="12"/>
      <c r="D12375" s="12"/>
      <c r="E12375" s="12"/>
      <c r="H12375" s="11" t="str">
        <f ca="1">IFERROR(__xludf.DUMMYFUNCTION("IFERROR(SUBSTITUTE(SUBSTITUTE(REGEXEXTRACT(A12375, ""[^-]+- [^-]+- [^-]+ - (.+?)\.jpg""), "".jpg"", """"), ""-"", "", ""), """")"),"")</f>
        <v/>
      </c>
      <c r="L12375" s="12"/>
      <c r="M12375" s="13"/>
      <c r="N12375" s="2"/>
      <c r="O12375" s="20"/>
      <c r="P12375" s="42"/>
      <c r="R12375" s="23"/>
    </row>
    <row r="12376" spans="1:18" ht="12.75">
      <c r="A12376" s="12"/>
      <c r="D12376" s="12"/>
      <c r="E12376" s="12"/>
      <c r="H12376" s="11" t="str">
        <f ca="1">IFERROR(__xludf.DUMMYFUNCTION("IFERROR(SUBSTITUTE(SUBSTITUTE(REGEXEXTRACT(A12376, ""[^-]+- [^-]+- [^-]+ - (.+?)\.jpg""), "".jpg"", """"), ""-"", "", ""), """")"),"")</f>
        <v/>
      </c>
      <c r="L12376" s="12"/>
      <c r="M12376" s="13"/>
      <c r="N12376" s="2"/>
      <c r="O12376" s="20"/>
      <c r="P12376" s="42"/>
      <c r="R12376" s="23"/>
    </row>
    <row r="12377" spans="1:18" ht="12.75">
      <c r="A12377" s="12"/>
      <c r="D12377" s="12"/>
      <c r="E12377" s="12"/>
      <c r="H12377" s="11" t="str">
        <f ca="1">IFERROR(__xludf.DUMMYFUNCTION("IFERROR(SUBSTITUTE(SUBSTITUTE(REGEXEXTRACT(A12377, ""[^-]+- [^-]+- [^-]+ - (.+?)\.jpg""), "".jpg"", """"), ""-"", "", ""), """")"),"")</f>
        <v/>
      </c>
      <c r="L12377" s="12"/>
      <c r="M12377" s="13"/>
      <c r="N12377" s="2"/>
      <c r="O12377" s="20"/>
      <c r="P12377" s="42"/>
      <c r="R12377" s="23"/>
    </row>
    <row r="12378" spans="1:18" ht="12.75">
      <c r="A12378" s="12"/>
      <c r="D12378" s="12"/>
      <c r="E12378" s="12"/>
      <c r="H12378" s="11" t="str">
        <f ca="1">IFERROR(__xludf.DUMMYFUNCTION("IFERROR(SUBSTITUTE(SUBSTITUTE(REGEXEXTRACT(A12378, ""[^-]+- [^-]+- [^-]+ - (.+?)\.jpg""), "".jpg"", """"), ""-"", "", ""), """")"),"")</f>
        <v/>
      </c>
      <c r="L12378" s="12"/>
      <c r="M12378" s="13"/>
      <c r="N12378" s="2"/>
      <c r="O12378" s="20"/>
      <c r="P12378" s="42"/>
      <c r="R12378" s="23"/>
    </row>
    <row r="12379" spans="1:18" ht="12.75">
      <c r="A12379" s="12"/>
      <c r="D12379" s="12"/>
      <c r="E12379" s="12"/>
      <c r="H12379" s="11" t="str">
        <f ca="1">IFERROR(__xludf.DUMMYFUNCTION("IFERROR(SUBSTITUTE(SUBSTITUTE(REGEXEXTRACT(A12379, ""[^-]+- [^-]+- [^-]+ - (.+?)\.jpg""), "".jpg"", """"), ""-"", "", ""), """")"),"")</f>
        <v/>
      </c>
      <c r="L12379" s="12"/>
      <c r="M12379" s="13"/>
      <c r="N12379" s="2"/>
      <c r="O12379" s="20"/>
      <c r="P12379" s="42"/>
      <c r="R12379" s="23"/>
    </row>
    <row r="12380" spans="1:18" ht="12.75">
      <c r="A12380" s="12"/>
      <c r="D12380" s="12"/>
      <c r="E12380" s="12"/>
      <c r="H12380" s="11" t="str">
        <f ca="1">IFERROR(__xludf.DUMMYFUNCTION("IFERROR(SUBSTITUTE(SUBSTITUTE(REGEXEXTRACT(A12380, ""[^-]+- [^-]+- [^-]+ - (.+?)\.jpg""), "".jpg"", """"), ""-"", "", ""), """")"),"")</f>
        <v/>
      </c>
      <c r="L12380" s="12"/>
      <c r="M12380" s="13"/>
      <c r="N12380" s="2"/>
      <c r="O12380" s="20"/>
      <c r="P12380" s="42"/>
      <c r="R12380" s="23"/>
    </row>
    <row r="12381" spans="1:18" ht="12.75">
      <c r="A12381" s="12"/>
      <c r="D12381" s="12"/>
      <c r="E12381" s="12"/>
      <c r="H12381" s="11" t="str">
        <f ca="1">IFERROR(__xludf.DUMMYFUNCTION("IFERROR(SUBSTITUTE(SUBSTITUTE(REGEXEXTRACT(A12381, ""[^-]+- [^-]+- [^-]+ - (.+?)\.jpg""), "".jpg"", """"), ""-"", "", ""), """")"),"")</f>
        <v/>
      </c>
      <c r="L12381" s="12"/>
      <c r="M12381" s="13"/>
      <c r="N12381" s="2"/>
      <c r="O12381" s="20"/>
      <c r="P12381" s="42"/>
      <c r="R12381" s="23"/>
    </row>
    <row r="12382" spans="1:18" ht="12.75">
      <c r="A12382" s="12"/>
      <c r="D12382" s="12"/>
      <c r="E12382" s="12"/>
      <c r="H12382" s="11" t="str">
        <f ca="1">IFERROR(__xludf.DUMMYFUNCTION("IFERROR(SUBSTITUTE(SUBSTITUTE(REGEXEXTRACT(A12382, ""[^-]+- [^-]+- [^-]+ - (.+?)\.jpg""), "".jpg"", """"), ""-"", "", ""), """")"),"")</f>
        <v/>
      </c>
      <c r="L12382" s="12"/>
      <c r="M12382" s="13"/>
      <c r="N12382" s="2"/>
      <c r="O12382" s="20"/>
      <c r="P12382" s="42"/>
      <c r="R12382" s="23"/>
    </row>
    <row r="12383" spans="1:18" ht="12.75">
      <c r="A12383" s="12"/>
      <c r="D12383" s="12"/>
      <c r="E12383" s="12"/>
      <c r="H12383" s="11" t="str">
        <f ca="1">IFERROR(__xludf.DUMMYFUNCTION("IFERROR(SUBSTITUTE(SUBSTITUTE(REGEXEXTRACT(A12383, ""[^-]+- [^-]+- [^-]+ - (.+?)\.jpg""), "".jpg"", """"), ""-"", "", ""), """")"),"")</f>
        <v/>
      </c>
      <c r="L12383" s="12"/>
      <c r="M12383" s="13"/>
      <c r="N12383" s="2"/>
      <c r="O12383" s="20"/>
      <c r="P12383" s="42"/>
      <c r="R12383" s="23"/>
    </row>
    <row r="12384" spans="1:18" ht="12.75">
      <c r="A12384" s="12"/>
      <c r="D12384" s="12"/>
      <c r="E12384" s="12"/>
      <c r="H12384" s="11" t="str">
        <f ca="1">IFERROR(__xludf.DUMMYFUNCTION("IFERROR(SUBSTITUTE(SUBSTITUTE(REGEXEXTRACT(A12384, ""[^-]+- [^-]+- [^-]+ - (.+?)\.jpg""), "".jpg"", """"), ""-"", "", ""), """")"),"")</f>
        <v/>
      </c>
      <c r="L12384" s="12"/>
      <c r="M12384" s="13"/>
      <c r="N12384" s="2"/>
      <c r="O12384" s="20"/>
      <c r="P12384" s="42"/>
      <c r="R12384" s="23"/>
    </row>
    <row r="12385" spans="1:18" ht="12.75">
      <c r="A12385" s="12"/>
      <c r="D12385" s="12"/>
      <c r="E12385" s="12"/>
      <c r="H12385" s="11" t="str">
        <f ca="1">IFERROR(__xludf.DUMMYFUNCTION("IFERROR(SUBSTITUTE(SUBSTITUTE(REGEXEXTRACT(A12385, ""[^-]+- [^-]+- [^-]+ - (.+?)\.jpg""), "".jpg"", """"), ""-"", "", ""), """")"),"")</f>
        <v/>
      </c>
      <c r="L12385" s="12"/>
      <c r="M12385" s="13"/>
      <c r="N12385" s="2"/>
      <c r="O12385" s="20"/>
      <c r="P12385" s="42"/>
      <c r="R12385" s="23"/>
    </row>
    <row r="12386" spans="1:18" ht="12.75">
      <c r="A12386" s="12"/>
      <c r="D12386" s="12"/>
      <c r="E12386" s="12"/>
      <c r="H12386" s="11" t="str">
        <f ca="1">IFERROR(__xludf.DUMMYFUNCTION("IFERROR(SUBSTITUTE(SUBSTITUTE(REGEXEXTRACT(A12386, ""[^-]+- [^-]+- [^-]+ - (.+?)\.jpg""), "".jpg"", """"), ""-"", "", ""), """")"),"")</f>
        <v/>
      </c>
      <c r="L12386" s="12"/>
      <c r="M12386" s="13"/>
      <c r="N12386" s="2"/>
      <c r="O12386" s="20"/>
      <c r="P12386" s="42"/>
      <c r="R12386" s="23"/>
    </row>
    <row r="12387" spans="1:18" ht="12.75">
      <c r="A12387" s="12"/>
      <c r="D12387" s="12"/>
      <c r="E12387" s="12"/>
      <c r="H12387" s="11" t="str">
        <f ca="1">IFERROR(__xludf.DUMMYFUNCTION("IFERROR(SUBSTITUTE(SUBSTITUTE(REGEXEXTRACT(A12387, ""[^-]+- [^-]+- [^-]+ - (.+?)\.jpg""), "".jpg"", """"), ""-"", "", ""), """")"),"")</f>
        <v/>
      </c>
      <c r="L12387" s="12"/>
      <c r="M12387" s="13"/>
      <c r="N12387" s="2"/>
      <c r="O12387" s="20"/>
      <c r="P12387" s="42"/>
      <c r="R12387" s="23"/>
    </row>
    <row r="12388" spans="1:18" ht="12.75">
      <c r="A12388" s="12"/>
      <c r="D12388" s="12"/>
      <c r="E12388" s="12"/>
      <c r="H12388" s="11" t="str">
        <f ca="1">IFERROR(__xludf.DUMMYFUNCTION("IFERROR(SUBSTITUTE(SUBSTITUTE(REGEXEXTRACT(A12388, ""[^-]+- [^-]+- [^-]+ - (.+?)\.jpg""), "".jpg"", """"), ""-"", "", ""), """")"),"")</f>
        <v/>
      </c>
      <c r="L12388" s="12"/>
      <c r="M12388" s="13"/>
      <c r="N12388" s="2"/>
      <c r="O12388" s="20"/>
      <c r="P12388" s="42"/>
      <c r="R12388" s="23"/>
    </row>
    <row r="12389" spans="1:18" ht="12.75">
      <c r="A12389" s="12"/>
      <c r="D12389" s="12"/>
      <c r="E12389" s="12"/>
      <c r="H12389" s="11" t="str">
        <f ca="1">IFERROR(__xludf.DUMMYFUNCTION("IFERROR(SUBSTITUTE(SUBSTITUTE(REGEXEXTRACT(A12389, ""[^-]+- [^-]+- [^-]+ - (.+?)\.jpg""), "".jpg"", """"), ""-"", "", ""), """")"),"")</f>
        <v/>
      </c>
      <c r="L12389" s="12"/>
      <c r="M12389" s="13"/>
      <c r="N12389" s="2"/>
      <c r="O12389" s="20"/>
      <c r="P12389" s="42"/>
      <c r="R12389" s="23"/>
    </row>
    <row r="12390" spans="1:18" ht="12.75">
      <c r="A12390" s="12"/>
      <c r="D12390" s="12"/>
      <c r="E12390" s="12"/>
      <c r="H12390" s="11" t="str">
        <f ca="1">IFERROR(__xludf.DUMMYFUNCTION("IFERROR(SUBSTITUTE(SUBSTITUTE(REGEXEXTRACT(A12390, ""[^-]+- [^-]+- [^-]+ - (.+?)\.jpg""), "".jpg"", """"), ""-"", "", ""), """")"),"")</f>
        <v/>
      </c>
      <c r="L12390" s="12"/>
      <c r="M12390" s="13"/>
      <c r="N12390" s="2"/>
      <c r="O12390" s="20"/>
      <c r="P12390" s="42"/>
      <c r="R12390" s="23"/>
    </row>
    <row r="12391" spans="1:18" ht="12.75">
      <c r="A12391" s="12"/>
      <c r="D12391" s="12"/>
      <c r="E12391" s="12"/>
      <c r="H12391" s="11" t="str">
        <f ca="1">IFERROR(__xludf.DUMMYFUNCTION("IFERROR(SUBSTITUTE(SUBSTITUTE(REGEXEXTRACT(A12391, ""[^-]+- [^-]+- [^-]+ - (.+?)\.jpg""), "".jpg"", """"), ""-"", "", ""), """")"),"")</f>
        <v/>
      </c>
      <c r="L12391" s="12"/>
      <c r="M12391" s="13"/>
      <c r="N12391" s="2"/>
      <c r="O12391" s="20"/>
      <c r="P12391" s="42"/>
      <c r="R12391" s="23"/>
    </row>
    <row r="12392" spans="1:18" ht="12.75">
      <c r="A12392" s="12"/>
      <c r="D12392" s="12"/>
      <c r="E12392" s="12"/>
      <c r="H12392" s="11" t="str">
        <f ca="1">IFERROR(__xludf.DUMMYFUNCTION("IFERROR(SUBSTITUTE(SUBSTITUTE(REGEXEXTRACT(A12392, ""[^-]+- [^-]+- [^-]+ - (.+?)\.jpg""), "".jpg"", """"), ""-"", "", ""), """")"),"")</f>
        <v/>
      </c>
      <c r="L12392" s="12"/>
      <c r="M12392" s="13"/>
      <c r="N12392" s="2"/>
      <c r="O12392" s="20"/>
      <c r="P12392" s="42"/>
      <c r="R12392" s="23"/>
    </row>
    <row r="12393" spans="1:18" ht="12.75">
      <c r="A12393" s="12"/>
      <c r="D12393" s="12"/>
      <c r="E12393" s="12"/>
      <c r="H12393" s="11" t="str">
        <f ca="1">IFERROR(__xludf.DUMMYFUNCTION("IFERROR(SUBSTITUTE(SUBSTITUTE(REGEXEXTRACT(A12393, ""[^-]+- [^-]+- [^-]+ - (.+?)\.jpg""), "".jpg"", """"), ""-"", "", ""), """")"),"")</f>
        <v/>
      </c>
      <c r="L12393" s="12"/>
      <c r="M12393" s="13"/>
      <c r="N12393" s="2"/>
      <c r="O12393" s="20"/>
      <c r="P12393" s="42"/>
      <c r="R12393" s="23"/>
    </row>
    <row r="12394" spans="1:18" ht="12.75">
      <c r="A12394" s="12"/>
      <c r="D12394" s="12"/>
      <c r="E12394" s="12"/>
      <c r="H12394" s="11" t="str">
        <f ca="1">IFERROR(__xludf.DUMMYFUNCTION("IFERROR(SUBSTITUTE(SUBSTITUTE(REGEXEXTRACT(A12394, ""[^-]+- [^-]+- [^-]+ - (.+?)\.jpg""), "".jpg"", """"), ""-"", "", ""), """")"),"")</f>
        <v/>
      </c>
      <c r="L12394" s="12"/>
      <c r="M12394" s="13"/>
      <c r="N12394" s="2"/>
      <c r="O12394" s="20"/>
      <c r="P12394" s="42"/>
      <c r="R12394" s="23"/>
    </row>
    <row r="12395" spans="1:18" ht="12.75">
      <c r="A12395" s="12"/>
      <c r="D12395" s="12"/>
      <c r="E12395" s="12"/>
      <c r="H12395" s="11" t="str">
        <f ca="1">IFERROR(__xludf.DUMMYFUNCTION("IFERROR(SUBSTITUTE(SUBSTITUTE(REGEXEXTRACT(A12395, ""[^-]+- [^-]+- [^-]+ - (.+?)\.jpg""), "".jpg"", """"), ""-"", "", ""), """")"),"")</f>
        <v/>
      </c>
      <c r="L12395" s="12"/>
      <c r="M12395" s="13"/>
      <c r="N12395" s="2"/>
      <c r="O12395" s="20"/>
      <c r="P12395" s="42"/>
      <c r="R12395" s="23"/>
    </row>
    <row r="12396" spans="1:18" ht="12.75">
      <c r="A12396" s="12"/>
      <c r="D12396" s="12"/>
      <c r="E12396" s="12"/>
      <c r="H12396" s="11" t="str">
        <f ca="1">IFERROR(__xludf.DUMMYFUNCTION("IFERROR(SUBSTITUTE(SUBSTITUTE(REGEXEXTRACT(A12396, ""[^-]+- [^-]+- [^-]+ - (.+?)\.jpg""), "".jpg"", """"), ""-"", "", ""), """")"),"")</f>
        <v/>
      </c>
      <c r="L12396" s="12"/>
      <c r="M12396" s="13"/>
      <c r="N12396" s="2"/>
      <c r="O12396" s="20"/>
      <c r="P12396" s="42"/>
      <c r="R12396" s="23"/>
    </row>
    <row r="12397" spans="1:18" ht="12.75">
      <c r="A12397" s="12"/>
      <c r="D12397" s="12"/>
      <c r="E12397" s="12"/>
      <c r="H12397" s="11" t="str">
        <f ca="1">IFERROR(__xludf.DUMMYFUNCTION("IFERROR(SUBSTITUTE(SUBSTITUTE(REGEXEXTRACT(A12397, ""[^-]+- [^-]+- [^-]+ - (.+?)\.jpg""), "".jpg"", """"), ""-"", "", ""), """")"),"")</f>
        <v/>
      </c>
      <c r="L12397" s="12"/>
      <c r="M12397" s="13"/>
      <c r="N12397" s="2"/>
      <c r="O12397" s="20"/>
      <c r="P12397" s="42"/>
      <c r="R12397" s="23"/>
    </row>
    <row r="12398" spans="1:18" ht="12.75">
      <c r="A12398" s="12"/>
      <c r="D12398" s="12"/>
      <c r="E12398" s="12"/>
      <c r="H12398" s="11" t="str">
        <f ca="1">IFERROR(__xludf.DUMMYFUNCTION("IFERROR(SUBSTITUTE(SUBSTITUTE(REGEXEXTRACT(A12398, ""[^-]+- [^-]+- [^-]+ - (.+?)\.jpg""), "".jpg"", """"), ""-"", "", ""), """")"),"")</f>
        <v/>
      </c>
      <c r="L12398" s="12"/>
      <c r="M12398" s="13"/>
      <c r="N12398" s="2"/>
      <c r="O12398" s="20"/>
      <c r="P12398" s="42"/>
      <c r="R12398" s="23"/>
    </row>
    <row r="12399" spans="1:18" ht="12.75">
      <c r="A12399" s="12"/>
      <c r="D12399" s="12"/>
      <c r="E12399" s="12"/>
      <c r="H12399" s="11" t="str">
        <f ca="1">IFERROR(__xludf.DUMMYFUNCTION("IFERROR(SUBSTITUTE(SUBSTITUTE(REGEXEXTRACT(A12399, ""[^-]+- [^-]+- [^-]+ - (.+?)\.jpg""), "".jpg"", """"), ""-"", "", ""), """")"),"")</f>
        <v/>
      </c>
      <c r="L12399" s="12"/>
      <c r="M12399" s="13"/>
      <c r="N12399" s="2"/>
      <c r="O12399" s="20"/>
      <c r="P12399" s="42"/>
      <c r="R12399" s="23"/>
    </row>
    <row r="12400" spans="1:18" ht="12.75">
      <c r="A12400" s="12"/>
      <c r="D12400" s="12"/>
      <c r="E12400" s="12"/>
      <c r="H12400" s="11" t="str">
        <f ca="1">IFERROR(__xludf.DUMMYFUNCTION("IFERROR(SUBSTITUTE(SUBSTITUTE(REGEXEXTRACT(A12400, ""[^-]+- [^-]+- [^-]+ - (.+?)\.jpg""), "".jpg"", """"), ""-"", "", ""), """")"),"")</f>
        <v/>
      </c>
      <c r="L12400" s="12"/>
      <c r="M12400" s="13"/>
      <c r="N12400" s="2"/>
      <c r="O12400" s="20"/>
      <c r="P12400" s="42"/>
      <c r="R12400" s="23"/>
    </row>
    <row r="12401" spans="1:18" ht="12.75">
      <c r="A12401" s="12"/>
      <c r="D12401" s="12"/>
      <c r="E12401" s="12"/>
      <c r="H12401" s="11" t="str">
        <f ca="1">IFERROR(__xludf.DUMMYFUNCTION("IFERROR(SUBSTITUTE(SUBSTITUTE(REGEXEXTRACT(A12401, ""[^-]+- [^-]+- [^-]+ - (.+?)\.jpg""), "".jpg"", """"), ""-"", "", ""), """")"),"")</f>
        <v/>
      </c>
      <c r="L12401" s="12"/>
      <c r="M12401" s="13"/>
      <c r="N12401" s="2"/>
      <c r="O12401" s="20"/>
      <c r="P12401" s="42"/>
      <c r="R12401" s="23"/>
    </row>
    <row r="12402" spans="1:18" ht="12.75">
      <c r="A12402" s="12"/>
      <c r="D12402" s="12"/>
      <c r="E12402" s="12"/>
      <c r="H12402" s="11" t="str">
        <f ca="1">IFERROR(__xludf.DUMMYFUNCTION("IFERROR(SUBSTITUTE(SUBSTITUTE(REGEXEXTRACT(A12402, ""[^-]+- [^-]+- [^-]+ - (.+?)\.jpg""), "".jpg"", """"), ""-"", "", ""), """")"),"")</f>
        <v/>
      </c>
      <c r="L12402" s="12"/>
      <c r="M12402" s="13"/>
      <c r="N12402" s="2"/>
      <c r="O12402" s="20"/>
      <c r="P12402" s="42"/>
      <c r="R12402" s="23"/>
    </row>
    <row r="12403" spans="1:18" ht="12.75">
      <c r="A12403" s="12"/>
      <c r="D12403" s="12"/>
      <c r="E12403" s="12"/>
      <c r="H12403" s="11" t="str">
        <f ca="1">IFERROR(__xludf.DUMMYFUNCTION("IFERROR(SUBSTITUTE(SUBSTITUTE(REGEXEXTRACT(A12403, ""[^-]+- [^-]+- [^-]+ - (.+?)\.jpg""), "".jpg"", """"), ""-"", "", ""), """")"),"")</f>
        <v/>
      </c>
      <c r="L12403" s="12"/>
      <c r="M12403" s="13"/>
      <c r="N12403" s="2"/>
      <c r="O12403" s="20"/>
      <c r="P12403" s="42"/>
      <c r="R12403" s="23"/>
    </row>
    <row r="12404" spans="1:18" ht="12.75">
      <c r="A12404" s="12"/>
      <c r="D12404" s="12"/>
      <c r="E12404" s="12"/>
      <c r="H12404" s="11" t="str">
        <f ca="1">IFERROR(__xludf.DUMMYFUNCTION("IFERROR(SUBSTITUTE(SUBSTITUTE(REGEXEXTRACT(A12404, ""[^-]+- [^-]+- [^-]+ - (.+?)\.jpg""), "".jpg"", """"), ""-"", "", ""), """")"),"")</f>
        <v/>
      </c>
      <c r="L12404" s="12"/>
      <c r="M12404" s="13"/>
      <c r="N12404" s="2"/>
      <c r="O12404" s="20"/>
      <c r="P12404" s="42"/>
      <c r="R12404" s="23"/>
    </row>
    <row r="12405" spans="1:18" ht="12.75">
      <c r="A12405" s="12"/>
      <c r="D12405" s="12"/>
      <c r="E12405" s="12"/>
      <c r="H12405" s="11" t="str">
        <f ca="1">IFERROR(__xludf.DUMMYFUNCTION("IFERROR(SUBSTITUTE(SUBSTITUTE(REGEXEXTRACT(A12405, ""[^-]+- [^-]+- [^-]+ - (.+?)\.jpg""), "".jpg"", """"), ""-"", "", ""), """")"),"")</f>
        <v/>
      </c>
      <c r="L12405" s="12"/>
      <c r="M12405" s="13"/>
      <c r="N12405" s="2"/>
      <c r="O12405" s="20"/>
      <c r="P12405" s="42"/>
      <c r="R12405" s="23"/>
    </row>
    <row r="12406" spans="1:18" ht="12.75">
      <c r="A12406" s="12"/>
      <c r="D12406" s="12"/>
      <c r="E12406" s="12"/>
      <c r="H12406" s="11" t="str">
        <f ca="1">IFERROR(__xludf.DUMMYFUNCTION("IFERROR(SUBSTITUTE(SUBSTITUTE(REGEXEXTRACT(A12406, ""[^-]+- [^-]+- [^-]+ - (.+?)\.jpg""), "".jpg"", """"), ""-"", "", ""), """")"),"")</f>
        <v/>
      </c>
      <c r="L12406" s="12"/>
      <c r="M12406" s="13"/>
      <c r="N12406" s="2"/>
      <c r="O12406" s="20"/>
      <c r="P12406" s="42"/>
      <c r="R12406" s="23"/>
    </row>
    <row r="12407" spans="1:18" ht="12.75">
      <c r="A12407" s="12"/>
      <c r="D12407" s="12"/>
      <c r="E12407" s="12"/>
      <c r="H12407" s="11" t="str">
        <f ca="1">IFERROR(__xludf.DUMMYFUNCTION("IFERROR(SUBSTITUTE(SUBSTITUTE(REGEXEXTRACT(A12407, ""[^-]+- [^-]+- [^-]+ - (.+?)\.jpg""), "".jpg"", """"), ""-"", "", ""), """")"),"")</f>
        <v/>
      </c>
      <c r="L12407" s="12"/>
      <c r="M12407" s="13"/>
      <c r="N12407" s="2"/>
      <c r="O12407" s="20"/>
      <c r="P12407" s="42"/>
      <c r="R12407" s="23"/>
    </row>
    <row r="12408" spans="1:18" ht="12.75">
      <c r="A12408" s="12"/>
      <c r="D12408" s="12"/>
      <c r="E12408" s="12"/>
      <c r="H12408" s="11" t="str">
        <f ca="1">IFERROR(__xludf.DUMMYFUNCTION("IFERROR(SUBSTITUTE(SUBSTITUTE(REGEXEXTRACT(A12408, ""[^-]+- [^-]+- [^-]+ - (.+?)\.jpg""), "".jpg"", """"), ""-"", "", ""), """")"),"")</f>
        <v/>
      </c>
      <c r="L12408" s="12"/>
      <c r="M12408" s="13"/>
      <c r="N12408" s="2"/>
      <c r="O12408" s="20"/>
      <c r="P12408" s="42"/>
      <c r="R12408" s="23"/>
    </row>
    <row r="12409" spans="1:18" ht="12.75">
      <c r="A12409" s="12"/>
      <c r="D12409" s="12"/>
      <c r="E12409" s="12"/>
      <c r="H12409" s="11" t="str">
        <f ca="1">IFERROR(__xludf.DUMMYFUNCTION("IFERROR(SUBSTITUTE(SUBSTITUTE(REGEXEXTRACT(A12409, ""[^-]+- [^-]+- [^-]+ - (.+?)\.jpg""), "".jpg"", """"), ""-"", "", ""), """")"),"")</f>
        <v/>
      </c>
      <c r="L12409" s="12"/>
      <c r="M12409" s="13"/>
      <c r="N12409" s="2"/>
      <c r="O12409" s="20"/>
      <c r="P12409" s="42"/>
      <c r="R12409" s="23"/>
    </row>
    <row r="12410" spans="1:18" ht="12.75">
      <c r="A12410" s="12"/>
      <c r="D12410" s="12"/>
      <c r="E12410" s="12"/>
      <c r="H12410" s="11" t="str">
        <f ca="1">IFERROR(__xludf.DUMMYFUNCTION("IFERROR(SUBSTITUTE(SUBSTITUTE(REGEXEXTRACT(A12410, ""[^-]+- [^-]+- [^-]+ - (.+?)\.jpg""), "".jpg"", """"), ""-"", "", ""), """")"),"")</f>
        <v/>
      </c>
      <c r="L12410" s="12"/>
      <c r="M12410" s="13"/>
      <c r="N12410" s="2"/>
      <c r="O12410" s="20"/>
      <c r="P12410" s="42"/>
      <c r="R12410" s="23"/>
    </row>
    <row r="12411" spans="1:18" ht="12.75">
      <c r="A12411" s="12"/>
      <c r="D12411" s="12"/>
      <c r="E12411" s="12"/>
      <c r="H12411" s="11" t="str">
        <f ca="1">IFERROR(__xludf.DUMMYFUNCTION("IFERROR(SUBSTITUTE(SUBSTITUTE(REGEXEXTRACT(A12411, ""[^-]+- [^-]+- [^-]+ - (.+?)\.jpg""), "".jpg"", """"), ""-"", "", ""), """")"),"")</f>
        <v/>
      </c>
      <c r="L12411" s="12"/>
      <c r="M12411" s="13"/>
      <c r="N12411" s="2"/>
      <c r="O12411" s="20"/>
      <c r="P12411" s="42"/>
      <c r="R12411" s="23"/>
    </row>
    <row r="12412" spans="1:18" ht="12.75">
      <c r="A12412" s="12"/>
      <c r="D12412" s="12"/>
      <c r="E12412" s="12"/>
      <c r="H12412" s="11" t="str">
        <f ca="1">IFERROR(__xludf.DUMMYFUNCTION("IFERROR(SUBSTITUTE(SUBSTITUTE(REGEXEXTRACT(A12412, ""[^-]+- [^-]+- [^-]+ - (.+?)\.jpg""), "".jpg"", """"), ""-"", "", ""), """")"),"")</f>
        <v/>
      </c>
      <c r="L12412" s="12"/>
      <c r="M12412" s="13"/>
      <c r="N12412" s="2"/>
      <c r="O12412" s="20"/>
      <c r="P12412" s="42"/>
      <c r="R12412" s="23"/>
    </row>
    <row r="12413" spans="1:18" ht="12.75">
      <c r="A12413" s="12"/>
      <c r="D12413" s="12"/>
      <c r="E12413" s="12"/>
      <c r="H12413" s="11" t="str">
        <f ca="1">IFERROR(__xludf.DUMMYFUNCTION("IFERROR(SUBSTITUTE(SUBSTITUTE(REGEXEXTRACT(A12413, ""[^-]+- [^-]+- [^-]+ - (.+?)\.jpg""), "".jpg"", """"), ""-"", "", ""), """")"),"")</f>
        <v/>
      </c>
      <c r="L12413" s="12"/>
      <c r="M12413" s="13"/>
      <c r="N12413" s="2"/>
      <c r="O12413" s="20"/>
      <c r="P12413" s="42"/>
      <c r="R12413" s="23"/>
    </row>
    <row r="12414" spans="1:18" ht="12.75">
      <c r="A12414" s="12"/>
      <c r="D12414" s="12"/>
      <c r="E12414" s="12"/>
      <c r="H12414" s="11" t="str">
        <f ca="1">IFERROR(__xludf.DUMMYFUNCTION("IFERROR(SUBSTITUTE(SUBSTITUTE(REGEXEXTRACT(A12414, ""[^-]+- [^-]+- [^-]+ - (.+?)\.jpg""), "".jpg"", """"), ""-"", "", ""), """")"),"")</f>
        <v/>
      </c>
      <c r="L12414" s="12"/>
      <c r="M12414" s="13"/>
      <c r="N12414" s="2"/>
      <c r="O12414" s="20"/>
      <c r="P12414" s="42"/>
      <c r="R12414" s="23"/>
    </row>
    <row r="12415" spans="1:18" ht="12.75">
      <c r="A12415" s="12"/>
      <c r="D12415" s="12"/>
      <c r="E12415" s="12"/>
      <c r="H12415" s="11" t="str">
        <f ca="1">IFERROR(__xludf.DUMMYFUNCTION("IFERROR(SUBSTITUTE(SUBSTITUTE(REGEXEXTRACT(A12415, ""[^-]+- [^-]+- [^-]+ - (.+?)\.jpg""), "".jpg"", """"), ""-"", "", ""), """")"),"")</f>
        <v/>
      </c>
      <c r="L12415" s="12"/>
      <c r="M12415" s="13"/>
      <c r="N12415" s="2"/>
      <c r="O12415" s="20"/>
      <c r="P12415" s="42"/>
      <c r="R12415" s="23"/>
    </row>
    <row r="12416" spans="1:18" ht="12.75">
      <c r="A12416" s="12"/>
      <c r="D12416" s="12"/>
      <c r="E12416" s="12"/>
      <c r="H12416" s="11" t="str">
        <f ca="1">IFERROR(__xludf.DUMMYFUNCTION("IFERROR(SUBSTITUTE(SUBSTITUTE(REGEXEXTRACT(A12416, ""[^-]+- [^-]+- [^-]+ - (.+?)\.jpg""), "".jpg"", """"), ""-"", "", ""), """")"),"")</f>
        <v/>
      </c>
      <c r="L12416" s="12"/>
      <c r="M12416" s="13"/>
      <c r="N12416" s="2"/>
      <c r="O12416" s="20"/>
      <c r="P12416" s="42"/>
      <c r="R12416" s="23"/>
    </row>
    <row r="12417" spans="1:18" ht="12.75">
      <c r="A12417" s="12"/>
      <c r="D12417" s="12"/>
      <c r="E12417" s="12"/>
      <c r="H12417" s="11" t="str">
        <f ca="1">IFERROR(__xludf.DUMMYFUNCTION("IFERROR(SUBSTITUTE(SUBSTITUTE(REGEXEXTRACT(A12417, ""[^-]+- [^-]+- [^-]+ - (.+?)\.jpg""), "".jpg"", """"), ""-"", "", ""), """")"),"")</f>
        <v/>
      </c>
      <c r="L12417" s="12"/>
      <c r="M12417" s="13"/>
      <c r="N12417" s="2"/>
      <c r="O12417" s="20"/>
      <c r="P12417" s="42"/>
      <c r="R12417" s="23"/>
    </row>
    <row r="12418" spans="1:18" ht="12.75">
      <c r="A12418" s="12"/>
      <c r="D12418" s="12"/>
      <c r="E12418" s="12"/>
      <c r="H12418" s="11" t="str">
        <f ca="1">IFERROR(__xludf.DUMMYFUNCTION("IFERROR(SUBSTITUTE(SUBSTITUTE(REGEXEXTRACT(A12418, ""[^-]+- [^-]+- [^-]+ - (.+?)\.jpg""), "".jpg"", """"), ""-"", "", ""), """")"),"")</f>
        <v/>
      </c>
      <c r="L12418" s="12"/>
      <c r="M12418" s="13"/>
      <c r="N12418" s="2"/>
      <c r="O12418" s="20"/>
      <c r="P12418" s="42"/>
      <c r="R12418" s="23"/>
    </row>
    <row r="12419" spans="1:18" ht="12.75">
      <c r="A12419" s="12"/>
      <c r="D12419" s="12"/>
      <c r="E12419" s="12"/>
      <c r="H12419" s="11" t="str">
        <f ca="1">IFERROR(__xludf.DUMMYFUNCTION("IFERROR(SUBSTITUTE(SUBSTITUTE(REGEXEXTRACT(A12419, ""[^-]+- [^-]+- [^-]+ - (.+?)\.jpg""), "".jpg"", """"), ""-"", "", ""), """")"),"")</f>
        <v/>
      </c>
      <c r="L12419" s="12"/>
      <c r="M12419" s="13"/>
      <c r="N12419" s="2"/>
      <c r="O12419" s="20"/>
      <c r="P12419" s="42"/>
      <c r="R12419" s="23"/>
    </row>
    <row r="12420" spans="1:18" ht="12.75">
      <c r="A12420" s="12"/>
      <c r="D12420" s="12"/>
      <c r="E12420" s="12"/>
      <c r="H12420" s="11" t="str">
        <f ca="1">IFERROR(__xludf.DUMMYFUNCTION("IFERROR(SUBSTITUTE(SUBSTITUTE(REGEXEXTRACT(A12420, ""[^-]+- [^-]+- [^-]+ - (.+?)\.jpg""), "".jpg"", """"), ""-"", "", ""), """")"),"")</f>
        <v/>
      </c>
      <c r="L12420" s="12"/>
      <c r="M12420" s="13"/>
      <c r="N12420" s="2"/>
      <c r="O12420" s="20"/>
      <c r="P12420" s="42"/>
      <c r="R12420" s="23"/>
    </row>
    <row r="12421" spans="1:18" ht="12.75">
      <c r="A12421" s="12"/>
      <c r="D12421" s="12"/>
      <c r="E12421" s="12"/>
      <c r="H12421" s="11" t="str">
        <f ca="1">IFERROR(__xludf.DUMMYFUNCTION("IFERROR(SUBSTITUTE(SUBSTITUTE(REGEXEXTRACT(A12421, ""[^-]+- [^-]+- [^-]+ - (.+?)\.jpg""), "".jpg"", """"), ""-"", "", ""), """")"),"")</f>
        <v/>
      </c>
      <c r="L12421" s="12"/>
      <c r="M12421" s="13"/>
      <c r="N12421" s="2"/>
      <c r="O12421" s="20"/>
      <c r="P12421" s="42"/>
      <c r="R12421" s="23"/>
    </row>
    <row r="12422" spans="1:18" ht="12.75">
      <c r="A12422" s="12"/>
      <c r="D12422" s="12"/>
      <c r="E12422" s="12"/>
      <c r="H12422" s="11" t="str">
        <f ca="1">IFERROR(__xludf.DUMMYFUNCTION("IFERROR(SUBSTITUTE(SUBSTITUTE(REGEXEXTRACT(A12422, ""[^-]+- [^-]+- [^-]+ - (.+?)\.jpg""), "".jpg"", """"), ""-"", "", ""), """")"),"")</f>
        <v/>
      </c>
      <c r="L12422" s="12"/>
      <c r="M12422" s="13"/>
      <c r="N12422" s="2"/>
      <c r="O12422" s="20"/>
      <c r="P12422" s="42"/>
      <c r="R12422" s="23"/>
    </row>
    <row r="12423" spans="1:18" ht="12.75">
      <c r="A12423" s="12"/>
      <c r="D12423" s="12"/>
      <c r="E12423" s="12"/>
      <c r="H12423" s="11" t="str">
        <f ca="1">IFERROR(__xludf.DUMMYFUNCTION("IFERROR(SUBSTITUTE(SUBSTITUTE(REGEXEXTRACT(A12423, ""[^-]+- [^-]+- [^-]+ - (.+?)\.jpg""), "".jpg"", """"), ""-"", "", ""), """")"),"")</f>
        <v/>
      </c>
      <c r="L12423" s="12"/>
      <c r="M12423" s="13"/>
      <c r="N12423" s="2"/>
      <c r="O12423" s="20"/>
      <c r="P12423" s="42"/>
      <c r="R12423" s="23"/>
    </row>
    <row r="12424" spans="1:18" ht="12.75">
      <c r="A12424" s="12"/>
      <c r="D12424" s="12"/>
      <c r="E12424" s="12"/>
      <c r="H12424" s="11" t="str">
        <f ca="1">IFERROR(__xludf.DUMMYFUNCTION("IFERROR(SUBSTITUTE(SUBSTITUTE(REGEXEXTRACT(A12424, ""[^-]+- [^-]+- [^-]+ - (.+?)\.jpg""), "".jpg"", """"), ""-"", "", ""), """")"),"")</f>
        <v/>
      </c>
      <c r="L12424" s="12"/>
      <c r="M12424" s="13"/>
      <c r="N12424" s="2"/>
      <c r="O12424" s="20"/>
      <c r="P12424" s="42"/>
      <c r="R12424" s="23"/>
    </row>
    <row r="12425" spans="1:18" ht="12.75">
      <c r="A12425" s="12"/>
      <c r="D12425" s="12"/>
      <c r="E12425" s="12"/>
      <c r="H12425" s="11" t="str">
        <f ca="1">IFERROR(__xludf.DUMMYFUNCTION("IFERROR(SUBSTITUTE(SUBSTITUTE(REGEXEXTRACT(A12425, ""[^-]+- [^-]+- [^-]+ - (.+?)\.jpg""), "".jpg"", """"), ""-"", "", ""), """")"),"")</f>
        <v/>
      </c>
      <c r="L12425" s="12"/>
      <c r="M12425" s="13"/>
      <c r="N12425" s="2"/>
      <c r="O12425" s="20"/>
      <c r="P12425" s="42"/>
      <c r="R12425" s="23"/>
    </row>
    <row r="12426" spans="1:18" ht="12.75">
      <c r="A12426" s="12"/>
      <c r="D12426" s="12"/>
      <c r="E12426" s="12"/>
      <c r="H12426" s="11" t="str">
        <f ca="1">IFERROR(__xludf.DUMMYFUNCTION("IFERROR(SUBSTITUTE(SUBSTITUTE(REGEXEXTRACT(A12426, ""[^-]+- [^-]+- [^-]+ - (.+?)\.jpg""), "".jpg"", """"), ""-"", "", ""), """")"),"")</f>
        <v/>
      </c>
      <c r="L12426" s="12"/>
      <c r="M12426" s="13"/>
      <c r="N12426" s="2"/>
      <c r="O12426" s="20"/>
      <c r="P12426" s="42"/>
      <c r="R12426" s="23"/>
    </row>
    <row r="12427" spans="1:18" ht="12.75">
      <c r="A12427" s="12"/>
      <c r="D12427" s="12"/>
      <c r="E12427" s="12"/>
      <c r="H12427" s="11" t="str">
        <f ca="1">IFERROR(__xludf.DUMMYFUNCTION("IFERROR(SUBSTITUTE(SUBSTITUTE(REGEXEXTRACT(A12427, ""[^-]+- [^-]+- [^-]+ - (.+?)\.jpg""), "".jpg"", """"), ""-"", "", ""), """")"),"")</f>
        <v/>
      </c>
      <c r="L12427" s="12"/>
      <c r="M12427" s="13"/>
      <c r="N12427" s="2"/>
      <c r="O12427" s="20"/>
      <c r="P12427" s="42"/>
      <c r="R12427" s="23"/>
    </row>
    <row r="12428" spans="1:18" ht="12.75">
      <c r="A12428" s="12"/>
      <c r="D12428" s="12"/>
      <c r="E12428" s="12"/>
      <c r="H12428" s="11" t="str">
        <f ca="1">IFERROR(__xludf.DUMMYFUNCTION("IFERROR(SUBSTITUTE(SUBSTITUTE(REGEXEXTRACT(A12428, ""[^-]+- [^-]+- [^-]+ - (.+?)\.jpg""), "".jpg"", """"), ""-"", "", ""), """")"),"")</f>
        <v/>
      </c>
      <c r="L12428" s="12"/>
      <c r="M12428" s="13"/>
      <c r="N12428" s="2"/>
      <c r="O12428" s="20"/>
      <c r="P12428" s="42"/>
      <c r="R12428" s="23"/>
    </row>
    <row r="12429" spans="1:18" ht="12.75">
      <c r="A12429" s="12"/>
      <c r="D12429" s="12"/>
      <c r="E12429" s="12"/>
      <c r="H12429" s="11" t="str">
        <f ca="1">IFERROR(__xludf.DUMMYFUNCTION("IFERROR(SUBSTITUTE(SUBSTITUTE(REGEXEXTRACT(A12429, ""[^-]+- [^-]+- [^-]+ - (.+?)\.jpg""), "".jpg"", """"), ""-"", "", ""), """")"),"")</f>
        <v/>
      </c>
      <c r="L12429" s="12"/>
      <c r="M12429" s="13"/>
      <c r="N12429" s="2"/>
      <c r="O12429" s="20"/>
      <c r="P12429" s="42"/>
      <c r="R12429" s="23"/>
    </row>
    <row r="12430" spans="1:18" ht="12.75">
      <c r="A12430" s="12"/>
      <c r="D12430" s="12"/>
      <c r="E12430" s="12"/>
      <c r="H12430" s="11" t="str">
        <f ca="1">IFERROR(__xludf.DUMMYFUNCTION("IFERROR(SUBSTITUTE(SUBSTITUTE(REGEXEXTRACT(A12430, ""[^-]+- [^-]+- [^-]+ - (.+?)\.jpg""), "".jpg"", """"), ""-"", "", ""), """")"),"")</f>
        <v/>
      </c>
      <c r="L12430" s="12"/>
      <c r="M12430" s="13"/>
      <c r="N12430" s="2"/>
      <c r="O12430" s="20"/>
      <c r="P12430" s="42"/>
      <c r="R12430" s="23"/>
    </row>
    <row r="12431" spans="1:18" ht="12.75">
      <c r="A12431" s="12"/>
      <c r="D12431" s="12"/>
      <c r="E12431" s="12"/>
      <c r="H12431" s="11" t="str">
        <f ca="1">IFERROR(__xludf.DUMMYFUNCTION("IFERROR(SUBSTITUTE(SUBSTITUTE(REGEXEXTRACT(A12431, ""[^-]+- [^-]+- [^-]+ - (.+?)\.jpg""), "".jpg"", """"), ""-"", "", ""), """")"),"")</f>
        <v/>
      </c>
      <c r="L12431" s="12"/>
      <c r="M12431" s="13"/>
      <c r="N12431" s="2"/>
      <c r="O12431" s="20"/>
      <c r="P12431" s="42"/>
      <c r="R12431" s="23"/>
    </row>
    <row r="12432" spans="1:18" ht="12.75">
      <c r="A12432" s="12"/>
      <c r="D12432" s="12"/>
      <c r="E12432" s="12"/>
      <c r="H12432" s="11" t="str">
        <f ca="1">IFERROR(__xludf.DUMMYFUNCTION("IFERROR(SUBSTITUTE(SUBSTITUTE(REGEXEXTRACT(A12432, ""[^-]+- [^-]+- [^-]+ - (.+?)\.jpg""), "".jpg"", """"), ""-"", "", ""), """")"),"")</f>
        <v/>
      </c>
      <c r="L12432" s="12"/>
      <c r="M12432" s="13"/>
      <c r="N12432" s="2"/>
      <c r="O12432" s="20"/>
      <c r="P12432" s="42"/>
      <c r="R12432" s="23"/>
    </row>
    <row r="12433" spans="1:18" ht="12.75">
      <c r="A12433" s="12"/>
      <c r="D12433" s="12"/>
      <c r="E12433" s="12"/>
      <c r="H12433" s="11" t="str">
        <f ca="1">IFERROR(__xludf.DUMMYFUNCTION("IFERROR(SUBSTITUTE(SUBSTITUTE(REGEXEXTRACT(A12433, ""[^-]+- [^-]+- [^-]+ - (.+?)\.jpg""), "".jpg"", """"), ""-"", "", ""), """")"),"")</f>
        <v/>
      </c>
      <c r="L12433" s="12"/>
      <c r="M12433" s="13"/>
      <c r="N12433" s="2"/>
      <c r="O12433" s="20"/>
      <c r="P12433" s="42"/>
      <c r="R12433" s="23"/>
    </row>
    <row r="12434" spans="1:18" ht="12.75">
      <c r="A12434" s="12"/>
      <c r="D12434" s="12"/>
      <c r="E12434" s="12"/>
      <c r="H12434" s="11" t="str">
        <f ca="1">IFERROR(__xludf.DUMMYFUNCTION("IFERROR(SUBSTITUTE(SUBSTITUTE(REGEXEXTRACT(A12434, ""[^-]+- [^-]+- [^-]+ - (.+?)\.jpg""), "".jpg"", """"), ""-"", "", ""), """")"),"")</f>
        <v/>
      </c>
      <c r="L12434" s="12"/>
      <c r="M12434" s="13"/>
      <c r="N12434" s="2"/>
      <c r="O12434" s="20"/>
      <c r="P12434" s="42"/>
      <c r="R12434" s="23"/>
    </row>
    <row r="12435" spans="1:18" ht="12.75">
      <c r="A12435" s="12"/>
      <c r="D12435" s="12"/>
      <c r="E12435" s="12"/>
      <c r="H12435" s="11" t="str">
        <f ca="1">IFERROR(__xludf.DUMMYFUNCTION("IFERROR(SUBSTITUTE(SUBSTITUTE(REGEXEXTRACT(A12435, ""[^-]+- [^-]+- [^-]+ - (.+?)\.jpg""), "".jpg"", """"), ""-"", "", ""), """")"),"")</f>
        <v/>
      </c>
      <c r="L12435" s="12"/>
      <c r="M12435" s="13"/>
      <c r="N12435" s="2"/>
      <c r="O12435" s="20"/>
      <c r="P12435" s="42"/>
      <c r="R12435" s="23"/>
    </row>
    <row r="12436" spans="1:18" ht="12.75">
      <c r="A12436" s="12"/>
      <c r="D12436" s="12"/>
      <c r="E12436" s="12"/>
      <c r="H12436" s="11" t="str">
        <f ca="1">IFERROR(__xludf.DUMMYFUNCTION("IFERROR(SUBSTITUTE(SUBSTITUTE(REGEXEXTRACT(A12436, ""[^-]+- [^-]+- [^-]+ - (.+?)\.jpg""), "".jpg"", """"), ""-"", "", ""), """")"),"")</f>
        <v/>
      </c>
      <c r="L12436" s="12"/>
      <c r="M12436" s="13"/>
      <c r="N12436" s="2"/>
      <c r="O12436" s="20"/>
      <c r="P12436" s="42"/>
      <c r="R12436" s="23"/>
    </row>
    <row r="12437" spans="1:18" ht="12.75">
      <c r="A12437" s="12"/>
      <c r="D12437" s="12"/>
      <c r="E12437" s="12"/>
      <c r="H12437" s="11" t="str">
        <f ca="1">IFERROR(__xludf.DUMMYFUNCTION("IFERROR(SUBSTITUTE(SUBSTITUTE(REGEXEXTRACT(A12437, ""[^-]+- [^-]+- [^-]+ - (.+?)\.jpg""), "".jpg"", """"), ""-"", "", ""), """")"),"")</f>
        <v/>
      </c>
      <c r="L12437" s="12"/>
      <c r="M12437" s="13"/>
      <c r="N12437" s="2"/>
      <c r="O12437" s="20"/>
      <c r="P12437" s="42"/>
      <c r="R12437" s="23"/>
    </row>
    <row r="12438" spans="1:18" ht="12.75">
      <c r="A12438" s="12"/>
      <c r="D12438" s="12"/>
      <c r="E12438" s="12"/>
      <c r="H12438" s="11" t="str">
        <f ca="1">IFERROR(__xludf.DUMMYFUNCTION("IFERROR(SUBSTITUTE(SUBSTITUTE(REGEXEXTRACT(A12438, ""[^-]+- [^-]+- [^-]+ - (.+?)\.jpg""), "".jpg"", """"), ""-"", "", ""), """")"),"")</f>
        <v/>
      </c>
      <c r="L12438" s="12"/>
      <c r="M12438" s="13"/>
      <c r="N12438" s="2"/>
      <c r="O12438" s="20"/>
      <c r="P12438" s="42"/>
      <c r="R12438" s="23"/>
    </row>
    <row r="12439" spans="1:18" ht="12.75">
      <c r="A12439" s="12"/>
      <c r="D12439" s="12"/>
      <c r="E12439" s="12"/>
      <c r="H12439" s="11" t="str">
        <f ca="1">IFERROR(__xludf.DUMMYFUNCTION("IFERROR(SUBSTITUTE(SUBSTITUTE(REGEXEXTRACT(A12439, ""[^-]+- [^-]+- [^-]+ - (.+?)\.jpg""), "".jpg"", """"), ""-"", "", ""), """")"),"")</f>
        <v/>
      </c>
      <c r="L12439" s="12"/>
      <c r="M12439" s="13"/>
      <c r="N12439" s="2"/>
      <c r="O12439" s="20"/>
      <c r="P12439" s="42"/>
      <c r="R12439" s="23"/>
    </row>
    <row r="12440" spans="1:18" ht="12.75">
      <c r="A12440" s="12"/>
      <c r="D12440" s="12"/>
      <c r="E12440" s="12"/>
      <c r="H12440" s="11" t="str">
        <f ca="1">IFERROR(__xludf.DUMMYFUNCTION("IFERROR(SUBSTITUTE(SUBSTITUTE(REGEXEXTRACT(A12440, ""[^-]+- [^-]+- [^-]+ - (.+?)\.jpg""), "".jpg"", """"), ""-"", "", ""), """")"),"")</f>
        <v/>
      </c>
      <c r="L12440" s="12"/>
      <c r="M12440" s="13"/>
      <c r="N12440" s="2"/>
      <c r="O12440" s="20"/>
      <c r="P12440" s="42"/>
      <c r="R12440" s="23"/>
    </row>
    <row r="12441" spans="1:18" ht="12.75">
      <c r="A12441" s="12"/>
      <c r="D12441" s="12"/>
      <c r="E12441" s="12"/>
      <c r="H12441" s="11" t="str">
        <f ca="1">IFERROR(__xludf.DUMMYFUNCTION("IFERROR(SUBSTITUTE(SUBSTITUTE(REGEXEXTRACT(A12441, ""[^-]+- [^-]+- [^-]+ - (.+?)\.jpg""), "".jpg"", """"), ""-"", "", ""), """")"),"")</f>
        <v/>
      </c>
      <c r="L12441" s="12"/>
      <c r="M12441" s="13"/>
      <c r="N12441" s="2"/>
      <c r="O12441" s="20"/>
      <c r="P12441" s="42"/>
      <c r="R12441" s="23"/>
    </row>
    <row r="12442" spans="1:18" ht="12.75">
      <c r="A12442" s="12"/>
      <c r="D12442" s="12"/>
      <c r="E12442" s="12"/>
      <c r="H12442" s="11" t="str">
        <f ca="1">IFERROR(__xludf.DUMMYFUNCTION("IFERROR(SUBSTITUTE(SUBSTITUTE(REGEXEXTRACT(A12442, ""[^-]+- [^-]+- [^-]+ - (.+?)\.jpg""), "".jpg"", """"), ""-"", "", ""), """")"),"")</f>
        <v/>
      </c>
      <c r="L12442" s="12"/>
      <c r="M12442" s="13"/>
      <c r="N12442" s="2"/>
      <c r="O12442" s="20"/>
      <c r="P12442" s="42"/>
      <c r="R12442" s="23"/>
    </row>
    <row r="12443" spans="1:18" ht="12.75">
      <c r="A12443" s="12"/>
      <c r="D12443" s="12"/>
      <c r="E12443" s="12"/>
      <c r="H12443" s="11" t="str">
        <f ca="1">IFERROR(__xludf.DUMMYFUNCTION("IFERROR(SUBSTITUTE(SUBSTITUTE(REGEXEXTRACT(A12443, ""[^-]+- [^-]+- [^-]+ - (.+?)\.jpg""), "".jpg"", """"), ""-"", "", ""), """")"),"")</f>
        <v/>
      </c>
      <c r="L12443" s="12"/>
      <c r="M12443" s="13"/>
      <c r="N12443" s="2"/>
      <c r="O12443" s="20"/>
      <c r="P12443" s="42"/>
      <c r="R12443" s="23"/>
    </row>
    <row r="12444" spans="1:18" ht="12.75">
      <c r="A12444" s="12"/>
      <c r="D12444" s="12"/>
      <c r="E12444" s="12"/>
      <c r="H12444" s="11" t="str">
        <f ca="1">IFERROR(__xludf.DUMMYFUNCTION("IFERROR(SUBSTITUTE(SUBSTITUTE(REGEXEXTRACT(A12444, ""[^-]+- [^-]+- [^-]+ - (.+?)\.jpg""), "".jpg"", """"), ""-"", "", ""), """")"),"")</f>
        <v/>
      </c>
      <c r="L12444" s="12"/>
      <c r="M12444" s="13"/>
      <c r="N12444" s="2"/>
      <c r="O12444" s="20"/>
      <c r="P12444" s="42"/>
      <c r="R12444" s="23"/>
    </row>
    <row r="12445" spans="1:18" ht="12.75">
      <c r="A12445" s="12"/>
      <c r="D12445" s="12"/>
      <c r="E12445" s="12"/>
      <c r="H12445" s="11" t="str">
        <f ca="1">IFERROR(__xludf.DUMMYFUNCTION("IFERROR(SUBSTITUTE(SUBSTITUTE(REGEXEXTRACT(A12445, ""[^-]+- [^-]+- [^-]+ - (.+?)\.jpg""), "".jpg"", """"), ""-"", "", ""), """")"),"")</f>
        <v/>
      </c>
      <c r="L12445" s="12"/>
      <c r="M12445" s="13"/>
      <c r="N12445" s="2"/>
      <c r="O12445" s="20"/>
      <c r="P12445" s="42"/>
      <c r="R12445" s="23"/>
    </row>
    <row r="12446" spans="1:18" ht="12.75">
      <c r="A12446" s="12"/>
      <c r="D12446" s="12"/>
      <c r="E12446" s="12"/>
      <c r="H12446" s="11" t="str">
        <f ca="1">IFERROR(__xludf.DUMMYFUNCTION("IFERROR(SUBSTITUTE(SUBSTITUTE(REGEXEXTRACT(A12446, ""[^-]+- [^-]+- [^-]+ - (.+?)\.jpg""), "".jpg"", """"), ""-"", "", ""), """")"),"")</f>
        <v/>
      </c>
      <c r="L12446" s="12"/>
      <c r="M12446" s="13"/>
      <c r="N12446" s="2"/>
      <c r="O12446" s="20"/>
      <c r="P12446" s="42"/>
      <c r="R12446" s="23"/>
    </row>
    <row r="12447" spans="1:18" ht="12.75">
      <c r="A12447" s="12"/>
      <c r="D12447" s="12"/>
      <c r="E12447" s="12"/>
      <c r="H12447" s="11" t="str">
        <f ca="1">IFERROR(__xludf.DUMMYFUNCTION("IFERROR(SUBSTITUTE(SUBSTITUTE(REGEXEXTRACT(A12447, ""[^-]+- [^-]+- [^-]+ - (.+?)\.jpg""), "".jpg"", """"), ""-"", "", ""), """")"),"")</f>
        <v/>
      </c>
      <c r="L12447" s="12"/>
      <c r="M12447" s="13"/>
      <c r="N12447" s="2"/>
      <c r="O12447" s="20"/>
      <c r="P12447" s="42"/>
      <c r="R12447" s="23"/>
    </row>
    <row r="12448" spans="1:18" ht="12.75">
      <c r="A12448" s="12"/>
      <c r="D12448" s="12"/>
      <c r="E12448" s="12"/>
      <c r="H12448" s="11" t="str">
        <f ca="1">IFERROR(__xludf.DUMMYFUNCTION("IFERROR(SUBSTITUTE(SUBSTITUTE(REGEXEXTRACT(A12448, ""[^-]+- [^-]+- [^-]+ - (.+?)\.jpg""), "".jpg"", """"), ""-"", "", ""), """")"),"")</f>
        <v/>
      </c>
      <c r="L12448" s="12"/>
      <c r="M12448" s="13"/>
      <c r="N12448" s="2"/>
      <c r="O12448" s="20"/>
      <c r="P12448" s="42"/>
      <c r="R12448" s="23"/>
    </row>
    <row r="12449" spans="1:18" ht="12.75">
      <c r="A12449" s="12"/>
      <c r="D12449" s="12"/>
      <c r="E12449" s="12"/>
      <c r="H12449" s="11" t="str">
        <f ca="1">IFERROR(__xludf.DUMMYFUNCTION("IFERROR(SUBSTITUTE(SUBSTITUTE(REGEXEXTRACT(A12449, ""[^-]+- [^-]+- [^-]+ - (.+?)\.jpg""), "".jpg"", """"), ""-"", "", ""), """")"),"")</f>
        <v/>
      </c>
      <c r="L12449" s="12"/>
      <c r="M12449" s="13"/>
      <c r="N12449" s="2"/>
      <c r="O12449" s="20"/>
      <c r="P12449" s="42"/>
      <c r="R12449" s="23"/>
    </row>
    <row r="12450" spans="1:18" ht="12.75">
      <c r="A12450" s="12"/>
      <c r="D12450" s="12"/>
      <c r="E12450" s="12"/>
      <c r="H12450" s="11" t="str">
        <f ca="1">IFERROR(__xludf.DUMMYFUNCTION("IFERROR(SUBSTITUTE(SUBSTITUTE(REGEXEXTRACT(A12450, ""[^-]+- [^-]+- [^-]+ - (.+?)\.jpg""), "".jpg"", """"), ""-"", "", ""), """")"),"")</f>
        <v/>
      </c>
      <c r="L12450" s="12"/>
      <c r="M12450" s="13"/>
      <c r="N12450" s="2"/>
      <c r="O12450" s="20"/>
      <c r="P12450" s="42"/>
      <c r="R12450" s="23"/>
    </row>
    <row r="12451" spans="1:18" ht="12.75">
      <c r="A12451" s="12"/>
      <c r="D12451" s="12"/>
      <c r="E12451" s="12"/>
      <c r="H12451" s="11" t="str">
        <f ca="1">IFERROR(__xludf.DUMMYFUNCTION("IFERROR(SUBSTITUTE(SUBSTITUTE(REGEXEXTRACT(A12451, ""[^-]+- [^-]+- [^-]+ - (.+?)\.jpg""), "".jpg"", """"), ""-"", "", ""), """")"),"")</f>
        <v/>
      </c>
      <c r="L12451" s="12"/>
      <c r="M12451" s="13"/>
      <c r="N12451" s="2"/>
      <c r="O12451" s="20"/>
      <c r="P12451" s="42"/>
      <c r="R12451" s="23"/>
    </row>
    <row r="12452" spans="1:18" ht="12.75">
      <c r="A12452" s="12"/>
      <c r="D12452" s="12"/>
      <c r="E12452" s="12"/>
      <c r="H12452" s="11" t="str">
        <f ca="1">IFERROR(__xludf.DUMMYFUNCTION("IFERROR(SUBSTITUTE(SUBSTITUTE(REGEXEXTRACT(A12452, ""[^-]+- [^-]+- [^-]+ - (.+?)\.jpg""), "".jpg"", """"), ""-"", "", ""), """")"),"")</f>
        <v/>
      </c>
      <c r="L12452" s="12"/>
      <c r="M12452" s="13"/>
      <c r="N12452" s="2"/>
      <c r="O12452" s="20"/>
      <c r="P12452" s="42"/>
      <c r="R12452" s="23"/>
    </row>
    <row r="12453" spans="1:18" ht="12.75">
      <c r="A12453" s="12"/>
      <c r="D12453" s="12"/>
      <c r="E12453" s="12"/>
      <c r="H12453" s="11" t="str">
        <f ca="1">IFERROR(__xludf.DUMMYFUNCTION("IFERROR(SUBSTITUTE(SUBSTITUTE(REGEXEXTRACT(A12453, ""[^-]+- [^-]+- [^-]+ - (.+?)\.jpg""), "".jpg"", """"), ""-"", "", ""), """")"),"")</f>
        <v/>
      </c>
      <c r="L12453" s="12"/>
      <c r="M12453" s="13"/>
      <c r="N12453" s="2"/>
      <c r="O12453" s="20"/>
      <c r="P12453" s="42"/>
      <c r="R12453" s="23"/>
    </row>
    <row r="12454" spans="1:18" ht="12.75">
      <c r="A12454" s="12"/>
      <c r="D12454" s="12"/>
      <c r="E12454" s="12"/>
      <c r="H12454" s="11" t="str">
        <f ca="1">IFERROR(__xludf.DUMMYFUNCTION("IFERROR(SUBSTITUTE(SUBSTITUTE(REGEXEXTRACT(A12454, ""[^-]+- [^-]+- [^-]+ - (.+?)\.jpg""), "".jpg"", """"), ""-"", "", ""), """")"),"")</f>
        <v/>
      </c>
      <c r="L12454" s="12"/>
      <c r="M12454" s="13"/>
      <c r="N12454" s="2"/>
      <c r="O12454" s="20"/>
      <c r="P12454" s="42"/>
      <c r="R12454" s="23"/>
    </row>
    <row r="12455" spans="1:18" ht="12.75">
      <c r="A12455" s="12"/>
      <c r="D12455" s="12"/>
      <c r="E12455" s="12"/>
      <c r="H12455" s="11" t="str">
        <f ca="1">IFERROR(__xludf.DUMMYFUNCTION("IFERROR(SUBSTITUTE(SUBSTITUTE(REGEXEXTRACT(A12455, ""[^-]+- [^-]+- [^-]+ - (.+?)\.jpg""), "".jpg"", """"), ""-"", "", ""), """")"),"")</f>
        <v/>
      </c>
      <c r="L12455" s="12"/>
      <c r="M12455" s="13"/>
      <c r="N12455" s="2"/>
      <c r="O12455" s="20"/>
      <c r="P12455" s="42"/>
      <c r="R12455" s="23"/>
    </row>
    <row r="12456" spans="1:18" ht="12.75">
      <c r="A12456" s="12"/>
      <c r="D12456" s="12"/>
      <c r="E12456" s="12"/>
      <c r="H12456" s="11" t="str">
        <f ca="1">IFERROR(__xludf.DUMMYFUNCTION("IFERROR(SUBSTITUTE(SUBSTITUTE(REGEXEXTRACT(A12456, ""[^-]+- [^-]+- [^-]+ - (.+?)\.jpg""), "".jpg"", """"), ""-"", "", ""), """")"),"")</f>
        <v/>
      </c>
      <c r="L12456" s="12"/>
      <c r="M12456" s="13"/>
      <c r="N12456" s="2"/>
      <c r="O12456" s="20"/>
      <c r="P12456" s="42"/>
      <c r="R12456" s="23"/>
    </row>
    <row r="12457" spans="1:18" ht="12.75">
      <c r="A12457" s="12"/>
      <c r="D12457" s="12"/>
      <c r="E12457" s="12"/>
      <c r="H12457" s="11" t="str">
        <f ca="1">IFERROR(__xludf.DUMMYFUNCTION("IFERROR(SUBSTITUTE(SUBSTITUTE(REGEXEXTRACT(A12457, ""[^-]+- [^-]+- [^-]+ - (.+?)\.jpg""), "".jpg"", """"), ""-"", "", ""), """")"),"")</f>
        <v/>
      </c>
      <c r="L12457" s="12"/>
      <c r="M12457" s="13"/>
      <c r="N12457" s="2"/>
      <c r="O12457" s="20"/>
      <c r="P12457" s="42"/>
      <c r="R12457" s="23"/>
    </row>
    <row r="12458" spans="1:18" ht="12.75">
      <c r="A12458" s="12"/>
      <c r="D12458" s="12"/>
      <c r="E12458" s="12"/>
      <c r="H12458" s="11" t="str">
        <f ca="1">IFERROR(__xludf.DUMMYFUNCTION("IFERROR(SUBSTITUTE(SUBSTITUTE(REGEXEXTRACT(A12458, ""[^-]+- [^-]+- [^-]+ - (.+?)\.jpg""), "".jpg"", """"), ""-"", "", ""), """")"),"")</f>
        <v/>
      </c>
      <c r="L12458" s="12"/>
      <c r="M12458" s="13"/>
      <c r="N12458" s="2"/>
      <c r="O12458" s="20"/>
      <c r="P12458" s="42"/>
      <c r="R12458" s="23"/>
    </row>
    <row r="12459" spans="1:18" ht="12.75">
      <c r="A12459" s="12"/>
      <c r="D12459" s="12"/>
      <c r="E12459" s="12"/>
      <c r="H12459" s="11" t="str">
        <f ca="1">IFERROR(__xludf.DUMMYFUNCTION("IFERROR(SUBSTITUTE(SUBSTITUTE(REGEXEXTRACT(A12459, ""[^-]+- [^-]+- [^-]+ - (.+?)\.jpg""), "".jpg"", """"), ""-"", "", ""), """")"),"")</f>
        <v/>
      </c>
      <c r="L12459" s="12"/>
      <c r="M12459" s="13"/>
      <c r="N12459" s="2"/>
      <c r="O12459" s="20"/>
      <c r="P12459" s="42"/>
      <c r="R12459" s="23"/>
    </row>
    <row r="12460" spans="1:18" ht="12.75">
      <c r="A12460" s="12"/>
      <c r="D12460" s="12"/>
      <c r="E12460" s="12"/>
      <c r="H12460" s="11" t="str">
        <f ca="1">IFERROR(__xludf.DUMMYFUNCTION("IFERROR(SUBSTITUTE(SUBSTITUTE(REGEXEXTRACT(A12460, ""[^-]+- [^-]+- [^-]+ - (.+?)\.jpg""), "".jpg"", """"), ""-"", "", ""), """")"),"")</f>
        <v/>
      </c>
      <c r="L12460" s="12"/>
      <c r="M12460" s="13"/>
      <c r="N12460" s="2"/>
      <c r="O12460" s="20"/>
      <c r="P12460" s="42"/>
      <c r="R12460" s="23"/>
    </row>
    <row r="12461" spans="1:18" ht="12.75">
      <c r="A12461" s="12"/>
      <c r="D12461" s="12"/>
      <c r="E12461" s="12"/>
      <c r="H12461" s="11" t="str">
        <f ca="1">IFERROR(__xludf.DUMMYFUNCTION("IFERROR(SUBSTITUTE(SUBSTITUTE(REGEXEXTRACT(A12461, ""[^-]+- [^-]+- [^-]+ - (.+?)\.jpg""), "".jpg"", """"), ""-"", "", ""), """")"),"")</f>
        <v/>
      </c>
      <c r="L12461" s="12"/>
      <c r="M12461" s="13"/>
      <c r="N12461" s="2"/>
      <c r="O12461" s="20"/>
      <c r="P12461" s="42"/>
      <c r="R12461" s="23"/>
    </row>
    <row r="12462" spans="1:18" ht="12.75">
      <c r="A12462" s="12"/>
      <c r="D12462" s="12"/>
      <c r="E12462" s="12"/>
      <c r="H12462" s="11" t="str">
        <f ca="1">IFERROR(__xludf.DUMMYFUNCTION("IFERROR(SUBSTITUTE(SUBSTITUTE(REGEXEXTRACT(A12462, ""[^-]+- [^-]+- [^-]+ - (.+?)\.jpg""), "".jpg"", """"), ""-"", "", ""), """")"),"")</f>
        <v/>
      </c>
      <c r="L12462" s="12"/>
      <c r="M12462" s="13"/>
      <c r="N12462" s="2"/>
      <c r="O12462" s="20"/>
      <c r="P12462" s="42"/>
      <c r="R12462" s="23"/>
    </row>
    <row r="12463" spans="1:18" ht="12.75">
      <c r="A12463" s="12"/>
      <c r="D12463" s="12"/>
      <c r="E12463" s="12"/>
      <c r="H12463" s="11" t="str">
        <f ca="1">IFERROR(__xludf.DUMMYFUNCTION("IFERROR(SUBSTITUTE(SUBSTITUTE(REGEXEXTRACT(A12463, ""[^-]+- [^-]+- [^-]+ - (.+?)\.jpg""), "".jpg"", """"), ""-"", "", ""), """")"),"")</f>
        <v/>
      </c>
      <c r="L12463" s="12"/>
      <c r="M12463" s="13"/>
      <c r="N12463" s="2"/>
      <c r="O12463" s="20"/>
      <c r="P12463" s="42"/>
      <c r="R12463" s="23"/>
    </row>
    <row r="12464" spans="1:18" ht="12.75">
      <c r="A12464" s="12"/>
      <c r="D12464" s="12"/>
      <c r="E12464" s="12"/>
      <c r="H12464" s="11" t="str">
        <f ca="1">IFERROR(__xludf.DUMMYFUNCTION("IFERROR(SUBSTITUTE(SUBSTITUTE(REGEXEXTRACT(A12464, ""[^-]+- [^-]+- [^-]+ - (.+?)\.jpg""), "".jpg"", """"), ""-"", "", ""), """")"),"")</f>
        <v/>
      </c>
      <c r="L12464" s="12"/>
      <c r="M12464" s="13"/>
      <c r="N12464" s="2"/>
      <c r="O12464" s="20"/>
      <c r="P12464" s="42"/>
      <c r="R12464" s="23"/>
    </row>
    <row r="12465" spans="1:18" ht="12.75">
      <c r="A12465" s="12"/>
      <c r="D12465" s="12"/>
      <c r="E12465" s="12"/>
      <c r="H12465" s="11" t="str">
        <f ca="1">IFERROR(__xludf.DUMMYFUNCTION("IFERROR(SUBSTITUTE(SUBSTITUTE(REGEXEXTRACT(A12465, ""[^-]+- [^-]+- [^-]+ - (.+?)\.jpg""), "".jpg"", """"), ""-"", "", ""), """")"),"")</f>
        <v/>
      </c>
      <c r="L12465" s="12"/>
      <c r="M12465" s="13"/>
      <c r="N12465" s="2"/>
      <c r="O12465" s="20"/>
      <c r="P12465" s="42"/>
      <c r="R12465" s="23"/>
    </row>
    <row r="12466" spans="1:18" ht="12.75">
      <c r="A12466" s="12"/>
      <c r="D12466" s="12"/>
      <c r="E12466" s="12"/>
      <c r="H12466" s="11" t="str">
        <f ca="1">IFERROR(__xludf.DUMMYFUNCTION("IFERROR(SUBSTITUTE(SUBSTITUTE(REGEXEXTRACT(A12466, ""[^-]+- [^-]+- [^-]+ - (.+?)\.jpg""), "".jpg"", """"), ""-"", "", ""), """")"),"")</f>
        <v/>
      </c>
      <c r="L12466" s="12"/>
      <c r="M12466" s="13"/>
      <c r="N12466" s="2"/>
      <c r="O12466" s="20"/>
      <c r="P12466" s="42"/>
      <c r="R12466" s="23"/>
    </row>
    <row r="12467" spans="1:18" ht="12.75">
      <c r="A12467" s="12"/>
      <c r="D12467" s="12"/>
      <c r="E12467" s="12"/>
      <c r="H12467" s="11" t="str">
        <f ca="1">IFERROR(__xludf.DUMMYFUNCTION("IFERROR(SUBSTITUTE(SUBSTITUTE(REGEXEXTRACT(A12467, ""[^-]+- [^-]+- [^-]+ - (.+?)\.jpg""), "".jpg"", """"), ""-"", "", ""), """")"),"")</f>
        <v/>
      </c>
      <c r="L12467" s="12"/>
      <c r="M12467" s="13"/>
      <c r="N12467" s="2"/>
      <c r="O12467" s="20"/>
      <c r="P12467" s="42"/>
      <c r="R12467" s="23"/>
    </row>
    <row r="12468" spans="1:18" ht="12.75">
      <c r="A12468" s="12"/>
      <c r="D12468" s="12"/>
      <c r="E12468" s="12"/>
      <c r="H12468" s="11" t="str">
        <f ca="1">IFERROR(__xludf.DUMMYFUNCTION("IFERROR(SUBSTITUTE(SUBSTITUTE(REGEXEXTRACT(A12468, ""[^-]+- [^-]+- [^-]+ - (.+?)\.jpg""), "".jpg"", """"), ""-"", "", ""), """")"),"")</f>
        <v/>
      </c>
      <c r="L12468" s="12"/>
      <c r="M12468" s="13"/>
      <c r="N12468" s="2"/>
      <c r="O12468" s="20"/>
      <c r="P12468" s="42"/>
      <c r="R12468" s="23"/>
    </row>
    <row r="12469" spans="1:18" ht="12.75">
      <c r="A12469" s="12"/>
      <c r="D12469" s="12"/>
      <c r="E12469" s="12"/>
      <c r="H12469" s="11" t="str">
        <f ca="1">IFERROR(__xludf.DUMMYFUNCTION("IFERROR(SUBSTITUTE(SUBSTITUTE(REGEXEXTRACT(A12469, ""[^-]+- [^-]+- [^-]+ - (.+?)\.jpg""), "".jpg"", """"), ""-"", "", ""), """")"),"")</f>
        <v/>
      </c>
      <c r="L12469" s="12"/>
      <c r="M12469" s="13"/>
      <c r="N12469" s="2"/>
      <c r="O12469" s="20"/>
      <c r="P12469" s="42"/>
      <c r="R12469" s="23"/>
    </row>
    <row r="12470" spans="1:18" ht="12.75">
      <c r="A12470" s="12"/>
      <c r="D12470" s="12"/>
      <c r="E12470" s="12"/>
      <c r="H12470" s="11" t="str">
        <f ca="1">IFERROR(__xludf.DUMMYFUNCTION("IFERROR(SUBSTITUTE(SUBSTITUTE(REGEXEXTRACT(A12470, ""[^-]+- [^-]+- [^-]+ - (.+?)\.jpg""), "".jpg"", """"), ""-"", "", ""), """")"),"")</f>
        <v/>
      </c>
      <c r="L12470" s="12"/>
      <c r="M12470" s="13"/>
      <c r="N12470" s="2"/>
      <c r="O12470" s="20"/>
      <c r="P12470" s="42"/>
      <c r="R12470" s="23"/>
    </row>
    <row r="12471" spans="1:18" ht="12.75">
      <c r="A12471" s="12"/>
      <c r="D12471" s="12"/>
      <c r="E12471" s="12"/>
      <c r="H12471" s="11" t="str">
        <f ca="1">IFERROR(__xludf.DUMMYFUNCTION("IFERROR(SUBSTITUTE(SUBSTITUTE(REGEXEXTRACT(A12471, ""[^-]+- [^-]+- [^-]+ - (.+?)\.jpg""), "".jpg"", """"), ""-"", "", ""), """")"),"")</f>
        <v/>
      </c>
      <c r="L12471" s="12"/>
      <c r="M12471" s="13"/>
      <c r="N12471" s="2"/>
      <c r="O12471" s="20"/>
      <c r="P12471" s="42"/>
      <c r="R12471" s="23"/>
    </row>
    <row r="12472" spans="1:18" ht="12.75">
      <c r="A12472" s="12"/>
      <c r="D12472" s="12"/>
      <c r="E12472" s="12"/>
      <c r="H12472" s="11" t="str">
        <f ca="1">IFERROR(__xludf.DUMMYFUNCTION("IFERROR(SUBSTITUTE(SUBSTITUTE(REGEXEXTRACT(A12472, ""[^-]+- [^-]+- [^-]+ - (.+?)\.jpg""), "".jpg"", """"), ""-"", "", ""), """")"),"")</f>
        <v/>
      </c>
      <c r="L12472" s="12"/>
      <c r="M12472" s="13"/>
      <c r="N12472" s="2"/>
      <c r="O12472" s="20"/>
      <c r="P12472" s="42"/>
      <c r="R12472" s="23"/>
    </row>
    <row r="12473" spans="1:18" ht="12.75">
      <c r="A12473" s="12"/>
      <c r="D12473" s="12"/>
      <c r="E12473" s="12"/>
      <c r="H12473" s="11" t="str">
        <f ca="1">IFERROR(__xludf.DUMMYFUNCTION("IFERROR(SUBSTITUTE(SUBSTITUTE(REGEXEXTRACT(A12473, ""[^-]+- [^-]+- [^-]+ - (.+?)\.jpg""), "".jpg"", """"), ""-"", "", ""), """")"),"")</f>
        <v/>
      </c>
      <c r="L12473" s="12"/>
      <c r="M12473" s="13"/>
      <c r="N12473" s="2"/>
      <c r="O12473" s="20"/>
      <c r="P12473" s="42"/>
      <c r="R12473" s="23"/>
    </row>
    <row r="12474" spans="1:18" ht="12.75">
      <c r="A12474" s="12"/>
      <c r="D12474" s="12"/>
      <c r="E12474" s="12"/>
      <c r="H12474" s="11" t="str">
        <f ca="1">IFERROR(__xludf.DUMMYFUNCTION("IFERROR(SUBSTITUTE(SUBSTITUTE(REGEXEXTRACT(A12474, ""[^-]+- [^-]+- [^-]+ - (.+?)\.jpg""), "".jpg"", """"), ""-"", "", ""), """")"),"")</f>
        <v/>
      </c>
      <c r="L12474" s="12"/>
      <c r="M12474" s="13"/>
      <c r="N12474" s="2"/>
      <c r="O12474" s="20"/>
      <c r="P12474" s="42"/>
      <c r="R12474" s="23"/>
    </row>
    <row r="12475" spans="1:18" ht="12.75">
      <c r="A12475" s="12"/>
      <c r="D12475" s="12"/>
      <c r="E12475" s="12"/>
      <c r="H12475" s="11" t="str">
        <f ca="1">IFERROR(__xludf.DUMMYFUNCTION("IFERROR(SUBSTITUTE(SUBSTITUTE(REGEXEXTRACT(A12475, ""[^-]+- [^-]+- [^-]+ - (.+?)\.jpg""), "".jpg"", """"), ""-"", "", ""), """")"),"")</f>
        <v/>
      </c>
      <c r="L12475" s="12"/>
      <c r="M12475" s="13"/>
      <c r="N12475" s="2"/>
      <c r="O12475" s="20"/>
      <c r="P12475" s="42"/>
      <c r="R12475" s="23"/>
    </row>
    <row r="12476" spans="1:18" ht="12.75">
      <c r="A12476" s="12"/>
      <c r="D12476" s="12"/>
      <c r="E12476" s="12"/>
      <c r="H12476" s="11" t="str">
        <f ca="1">IFERROR(__xludf.DUMMYFUNCTION("IFERROR(SUBSTITUTE(SUBSTITUTE(REGEXEXTRACT(A12476, ""[^-]+- [^-]+- [^-]+ - (.+?)\.jpg""), "".jpg"", """"), ""-"", "", ""), """")"),"")</f>
        <v/>
      </c>
      <c r="L12476" s="12"/>
      <c r="M12476" s="13"/>
      <c r="N12476" s="2"/>
      <c r="O12476" s="20"/>
      <c r="P12476" s="42"/>
      <c r="R12476" s="23"/>
    </row>
    <row r="12477" spans="1:18" ht="12.75">
      <c r="A12477" s="12"/>
      <c r="D12477" s="12"/>
      <c r="E12477" s="12"/>
      <c r="H12477" s="11" t="str">
        <f ca="1">IFERROR(__xludf.DUMMYFUNCTION("IFERROR(SUBSTITUTE(SUBSTITUTE(REGEXEXTRACT(A12477, ""[^-]+- [^-]+- [^-]+ - (.+?)\.jpg""), "".jpg"", """"), ""-"", "", ""), """")"),"")</f>
        <v/>
      </c>
      <c r="L12477" s="12"/>
      <c r="M12477" s="13"/>
      <c r="N12477" s="2"/>
      <c r="O12477" s="20"/>
      <c r="P12477" s="42"/>
      <c r="R12477" s="23"/>
    </row>
    <row r="12478" spans="1:18" ht="12.75">
      <c r="A12478" s="12"/>
      <c r="D12478" s="12"/>
      <c r="E12478" s="12"/>
      <c r="H12478" s="11" t="str">
        <f ca="1">IFERROR(__xludf.DUMMYFUNCTION("IFERROR(SUBSTITUTE(SUBSTITUTE(REGEXEXTRACT(A12478, ""[^-]+- [^-]+- [^-]+ - (.+?)\.jpg""), "".jpg"", """"), ""-"", "", ""), """")"),"")</f>
        <v/>
      </c>
      <c r="L12478" s="12"/>
      <c r="M12478" s="13"/>
      <c r="N12478" s="2"/>
      <c r="O12478" s="20"/>
      <c r="P12478" s="42"/>
      <c r="R12478" s="23"/>
    </row>
    <row r="12479" spans="1:18" ht="12.75">
      <c r="A12479" s="12"/>
      <c r="D12479" s="12"/>
      <c r="E12479" s="12"/>
      <c r="H12479" s="11" t="str">
        <f ca="1">IFERROR(__xludf.DUMMYFUNCTION("IFERROR(SUBSTITUTE(SUBSTITUTE(REGEXEXTRACT(A12479, ""[^-]+- [^-]+- [^-]+ - (.+?)\.jpg""), "".jpg"", """"), ""-"", "", ""), """")"),"")</f>
        <v/>
      </c>
      <c r="L12479" s="12"/>
      <c r="M12479" s="13"/>
      <c r="N12479" s="2"/>
      <c r="O12479" s="20"/>
      <c r="P12479" s="42"/>
      <c r="R12479" s="23"/>
    </row>
    <row r="12480" spans="1:18" ht="12.75">
      <c r="A12480" s="12"/>
      <c r="D12480" s="12"/>
      <c r="E12480" s="12"/>
      <c r="H12480" s="11" t="str">
        <f ca="1">IFERROR(__xludf.DUMMYFUNCTION("IFERROR(SUBSTITUTE(SUBSTITUTE(REGEXEXTRACT(A12480, ""[^-]+- [^-]+- [^-]+ - (.+?)\.jpg""), "".jpg"", """"), ""-"", "", ""), """")"),"")</f>
        <v/>
      </c>
      <c r="L12480" s="12"/>
      <c r="M12480" s="13"/>
      <c r="N12480" s="2"/>
      <c r="O12480" s="20"/>
      <c r="P12480" s="42"/>
      <c r="R12480" s="23"/>
    </row>
    <row r="12481" spans="1:18" ht="12.75">
      <c r="A12481" s="12"/>
      <c r="D12481" s="12"/>
      <c r="E12481" s="12"/>
      <c r="H12481" s="11" t="str">
        <f ca="1">IFERROR(__xludf.DUMMYFUNCTION("IFERROR(SUBSTITUTE(SUBSTITUTE(REGEXEXTRACT(A12481, ""[^-]+- [^-]+- [^-]+ - (.+?)\.jpg""), "".jpg"", """"), ""-"", "", ""), """")"),"")</f>
        <v/>
      </c>
      <c r="L12481" s="12"/>
      <c r="M12481" s="13"/>
      <c r="N12481" s="2"/>
      <c r="O12481" s="20"/>
      <c r="P12481" s="42"/>
      <c r="R12481" s="23"/>
    </row>
    <row r="12482" spans="1:18" ht="12.75">
      <c r="A12482" s="12"/>
      <c r="D12482" s="12"/>
      <c r="E12482" s="12"/>
      <c r="H12482" s="11" t="str">
        <f ca="1">IFERROR(__xludf.DUMMYFUNCTION("IFERROR(SUBSTITUTE(SUBSTITUTE(REGEXEXTRACT(A12482, ""[^-]+- [^-]+- [^-]+ - (.+?)\.jpg""), "".jpg"", """"), ""-"", "", ""), """")"),"")</f>
        <v/>
      </c>
      <c r="L12482" s="12"/>
      <c r="M12482" s="13"/>
      <c r="N12482" s="2"/>
      <c r="O12482" s="20"/>
      <c r="P12482" s="42"/>
      <c r="R12482" s="23"/>
    </row>
    <row r="12483" spans="1:18" ht="12.75">
      <c r="A12483" s="12"/>
      <c r="D12483" s="12"/>
      <c r="E12483" s="12"/>
      <c r="H12483" s="11" t="str">
        <f ca="1">IFERROR(__xludf.DUMMYFUNCTION("IFERROR(SUBSTITUTE(SUBSTITUTE(REGEXEXTRACT(A12483, ""[^-]+- [^-]+- [^-]+ - (.+?)\.jpg""), "".jpg"", """"), ""-"", "", ""), """")"),"")</f>
        <v/>
      </c>
      <c r="L12483" s="12"/>
      <c r="M12483" s="13"/>
      <c r="N12483" s="2"/>
      <c r="O12483" s="20"/>
      <c r="P12483" s="42"/>
      <c r="R12483" s="23"/>
    </row>
    <row r="12484" spans="1:18" ht="12.75">
      <c r="A12484" s="12"/>
      <c r="D12484" s="12"/>
      <c r="E12484" s="12"/>
      <c r="H12484" s="11" t="str">
        <f ca="1">IFERROR(__xludf.DUMMYFUNCTION("IFERROR(SUBSTITUTE(SUBSTITUTE(REGEXEXTRACT(A12484, ""[^-]+- [^-]+- [^-]+ - (.+?)\.jpg""), "".jpg"", """"), ""-"", "", ""), """")"),"")</f>
        <v/>
      </c>
      <c r="L12484" s="12"/>
      <c r="M12484" s="13"/>
      <c r="N12484" s="2"/>
      <c r="O12484" s="20"/>
      <c r="P12484" s="42"/>
      <c r="R12484" s="23"/>
    </row>
    <row r="12485" spans="1:18" ht="12.75">
      <c r="A12485" s="12"/>
      <c r="D12485" s="12"/>
      <c r="E12485" s="12"/>
      <c r="H12485" s="11" t="str">
        <f ca="1">IFERROR(__xludf.DUMMYFUNCTION("IFERROR(SUBSTITUTE(SUBSTITUTE(REGEXEXTRACT(A12485, ""[^-]+- [^-]+- [^-]+ - (.+?)\.jpg""), "".jpg"", """"), ""-"", "", ""), """")"),"")</f>
        <v/>
      </c>
      <c r="L12485" s="12"/>
      <c r="M12485" s="13"/>
      <c r="N12485" s="2"/>
      <c r="O12485" s="20"/>
      <c r="P12485" s="42"/>
      <c r="R12485" s="23"/>
    </row>
    <row r="12486" spans="1:18" ht="12.75">
      <c r="A12486" s="12"/>
      <c r="D12486" s="12"/>
      <c r="E12486" s="12"/>
      <c r="H12486" s="11" t="str">
        <f ca="1">IFERROR(__xludf.DUMMYFUNCTION("IFERROR(SUBSTITUTE(SUBSTITUTE(REGEXEXTRACT(A12486, ""[^-]+- [^-]+- [^-]+ - (.+?)\.jpg""), "".jpg"", """"), ""-"", "", ""), """")"),"")</f>
        <v/>
      </c>
      <c r="L12486" s="12"/>
      <c r="M12486" s="13"/>
      <c r="N12486" s="2"/>
      <c r="O12486" s="20"/>
      <c r="P12486" s="42"/>
      <c r="R12486" s="23"/>
    </row>
    <row r="12487" spans="1:18" ht="12.75">
      <c r="A12487" s="12"/>
      <c r="D12487" s="12"/>
      <c r="E12487" s="12"/>
      <c r="H12487" s="11" t="str">
        <f ca="1">IFERROR(__xludf.DUMMYFUNCTION("IFERROR(SUBSTITUTE(SUBSTITUTE(REGEXEXTRACT(A12487, ""[^-]+- [^-]+- [^-]+ - (.+?)\.jpg""), "".jpg"", """"), ""-"", "", ""), """")"),"")</f>
        <v/>
      </c>
      <c r="L12487" s="12"/>
      <c r="M12487" s="13"/>
      <c r="N12487" s="2"/>
      <c r="O12487" s="20"/>
      <c r="P12487" s="42"/>
      <c r="R12487" s="23"/>
    </row>
    <row r="12488" spans="1:18" ht="12.75">
      <c r="A12488" s="12"/>
      <c r="D12488" s="12"/>
      <c r="E12488" s="12"/>
      <c r="H12488" s="11" t="str">
        <f ca="1">IFERROR(__xludf.DUMMYFUNCTION("IFERROR(SUBSTITUTE(SUBSTITUTE(REGEXEXTRACT(A12488, ""[^-]+- [^-]+- [^-]+ - (.+?)\.jpg""), "".jpg"", """"), ""-"", "", ""), """")"),"")</f>
        <v/>
      </c>
      <c r="L12488" s="12"/>
      <c r="M12488" s="13"/>
      <c r="N12488" s="2"/>
      <c r="O12488" s="20"/>
      <c r="P12488" s="42"/>
      <c r="R12488" s="23"/>
    </row>
    <row r="12489" spans="1:18" ht="12.75">
      <c r="A12489" s="12"/>
      <c r="D12489" s="12"/>
      <c r="E12489" s="12"/>
      <c r="H12489" s="11" t="str">
        <f ca="1">IFERROR(__xludf.DUMMYFUNCTION("IFERROR(SUBSTITUTE(SUBSTITUTE(REGEXEXTRACT(A12489, ""[^-]+- [^-]+- [^-]+ - (.+?)\.jpg""), "".jpg"", """"), ""-"", "", ""), """")"),"")</f>
        <v/>
      </c>
      <c r="L12489" s="12"/>
      <c r="M12489" s="13"/>
      <c r="N12489" s="2"/>
      <c r="O12489" s="20"/>
      <c r="P12489" s="42"/>
      <c r="R12489" s="23"/>
    </row>
    <row r="12490" spans="1:18" ht="12.75">
      <c r="A12490" s="12"/>
      <c r="D12490" s="12"/>
      <c r="E12490" s="12"/>
      <c r="H12490" s="11" t="str">
        <f ca="1">IFERROR(__xludf.DUMMYFUNCTION("IFERROR(SUBSTITUTE(SUBSTITUTE(REGEXEXTRACT(A12490, ""[^-]+- [^-]+- [^-]+ - (.+?)\.jpg""), "".jpg"", """"), ""-"", "", ""), """")"),"")</f>
        <v/>
      </c>
      <c r="L12490" s="12"/>
      <c r="M12490" s="13"/>
      <c r="N12490" s="2"/>
      <c r="O12490" s="20"/>
      <c r="P12490" s="42"/>
      <c r="R12490" s="23"/>
    </row>
    <row r="12491" spans="1:18" ht="12.75">
      <c r="A12491" s="12"/>
      <c r="D12491" s="12"/>
      <c r="E12491" s="12"/>
      <c r="H12491" s="11" t="str">
        <f ca="1">IFERROR(__xludf.DUMMYFUNCTION("IFERROR(SUBSTITUTE(SUBSTITUTE(REGEXEXTRACT(A12491, ""[^-]+- [^-]+- [^-]+ - (.+?)\.jpg""), "".jpg"", """"), ""-"", "", ""), """")"),"")</f>
        <v/>
      </c>
      <c r="L12491" s="12"/>
      <c r="M12491" s="13"/>
      <c r="N12491" s="2"/>
      <c r="O12491" s="20"/>
      <c r="P12491" s="42"/>
      <c r="R12491" s="23"/>
    </row>
    <row r="12492" spans="1:18" ht="12.75">
      <c r="A12492" s="12"/>
      <c r="D12492" s="12"/>
      <c r="E12492" s="12"/>
      <c r="H12492" s="11" t="str">
        <f ca="1">IFERROR(__xludf.DUMMYFUNCTION("IFERROR(SUBSTITUTE(SUBSTITUTE(REGEXEXTRACT(A12492, ""[^-]+- [^-]+- [^-]+ - (.+?)\.jpg""), "".jpg"", """"), ""-"", "", ""), """")"),"")</f>
        <v/>
      </c>
      <c r="L12492" s="12"/>
      <c r="M12492" s="13"/>
      <c r="N12492" s="2"/>
      <c r="O12492" s="20"/>
      <c r="P12492" s="42"/>
      <c r="R12492" s="23"/>
    </row>
    <row r="12493" spans="1:18" ht="12.75">
      <c r="A12493" s="12"/>
      <c r="D12493" s="12"/>
      <c r="E12493" s="12"/>
      <c r="H12493" s="11" t="str">
        <f ca="1">IFERROR(__xludf.DUMMYFUNCTION("IFERROR(SUBSTITUTE(SUBSTITUTE(REGEXEXTRACT(A12493, ""[^-]+- [^-]+- [^-]+ - (.+?)\.jpg""), "".jpg"", """"), ""-"", "", ""), """")"),"")</f>
        <v/>
      </c>
      <c r="L12493" s="12"/>
      <c r="M12493" s="13"/>
      <c r="N12493" s="2"/>
      <c r="O12493" s="20"/>
      <c r="P12493" s="42"/>
      <c r="R12493" s="23"/>
    </row>
    <row r="12494" spans="1:18" ht="12.75">
      <c r="A12494" s="12"/>
      <c r="D12494" s="12"/>
      <c r="E12494" s="12"/>
      <c r="H12494" s="11" t="str">
        <f ca="1">IFERROR(__xludf.DUMMYFUNCTION("IFERROR(SUBSTITUTE(SUBSTITUTE(REGEXEXTRACT(A12494, ""[^-]+- [^-]+- [^-]+ - (.+?)\.jpg""), "".jpg"", """"), ""-"", "", ""), """")"),"")</f>
        <v/>
      </c>
      <c r="L12494" s="12"/>
      <c r="M12494" s="13"/>
      <c r="N12494" s="2"/>
      <c r="O12494" s="20"/>
      <c r="P12494" s="42"/>
      <c r="R12494" s="23"/>
    </row>
    <row r="12495" spans="1:18" ht="12.75">
      <c r="A12495" s="12"/>
      <c r="D12495" s="12"/>
      <c r="E12495" s="12"/>
      <c r="H12495" s="11" t="str">
        <f ca="1">IFERROR(__xludf.DUMMYFUNCTION("IFERROR(SUBSTITUTE(SUBSTITUTE(REGEXEXTRACT(A12495, ""[^-]+- [^-]+- [^-]+ - (.+?)\.jpg""), "".jpg"", """"), ""-"", "", ""), """")"),"")</f>
        <v/>
      </c>
      <c r="L12495" s="12"/>
      <c r="M12495" s="13"/>
      <c r="N12495" s="2"/>
      <c r="O12495" s="20"/>
      <c r="P12495" s="42"/>
      <c r="R12495" s="23"/>
    </row>
    <row r="12496" spans="1:18" ht="12.75">
      <c r="A12496" s="12"/>
      <c r="D12496" s="12"/>
      <c r="E12496" s="12"/>
      <c r="H12496" s="11" t="str">
        <f ca="1">IFERROR(__xludf.DUMMYFUNCTION("IFERROR(SUBSTITUTE(SUBSTITUTE(REGEXEXTRACT(A12496, ""[^-]+- [^-]+- [^-]+ - (.+?)\.jpg""), "".jpg"", """"), ""-"", "", ""), """")"),"")</f>
        <v/>
      </c>
      <c r="L12496" s="12"/>
      <c r="M12496" s="13"/>
      <c r="N12496" s="2"/>
      <c r="O12496" s="20"/>
      <c r="P12496" s="42"/>
      <c r="R12496" s="23"/>
    </row>
    <row r="12497" spans="1:18" ht="12.75">
      <c r="A12497" s="12"/>
      <c r="D12497" s="12"/>
      <c r="E12497" s="12"/>
      <c r="H12497" s="11" t="str">
        <f ca="1">IFERROR(__xludf.DUMMYFUNCTION("IFERROR(SUBSTITUTE(SUBSTITUTE(REGEXEXTRACT(A12497, ""[^-]+- [^-]+- [^-]+ - (.+?)\.jpg""), "".jpg"", """"), ""-"", "", ""), """")"),"")</f>
        <v/>
      </c>
      <c r="L12497" s="12"/>
      <c r="M12497" s="13"/>
      <c r="N12497" s="2"/>
      <c r="O12497" s="20"/>
      <c r="P12497" s="42"/>
      <c r="R12497" s="23"/>
    </row>
    <row r="12498" spans="1:18" ht="12.75">
      <c r="A12498" s="12"/>
      <c r="D12498" s="12"/>
      <c r="E12498" s="12"/>
      <c r="H12498" s="11" t="str">
        <f ca="1">IFERROR(__xludf.DUMMYFUNCTION("IFERROR(SUBSTITUTE(SUBSTITUTE(REGEXEXTRACT(A12498, ""[^-]+- [^-]+- [^-]+ - (.+?)\.jpg""), "".jpg"", """"), ""-"", "", ""), """")"),"")</f>
        <v/>
      </c>
      <c r="L12498" s="12"/>
      <c r="M12498" s="13"/>
      <c r="N12498" s="2"/>
      <c r="O12498" s="20"/>
      <c r="P12498" s="42"/>
      <c r="R12498" s="23"/>
    </row>
    <row r="12499" spans="1:18" ht="12.75">
      <c r="A12499" s="12"/>
      <c r="D12499" s="12"/>
      <c r="E12499" s="12"/>
      <c r="H12499" s="11" t="str">
        <f ca="1">IFERROR(__xludf.DUMMYFUNCTION("IFERROR(SUBSTITUTE(SUBSTITUTE(REGEXEXTRACT(A12499, ""[^-]+- [^-]+- [^-]+ - (.+?)\.jpg""), "".jpg"", """"), ""-"", "", ""), """")"),"")</f>
        <v/>
      </c>
      <c r="L12499" s="12"/>
      <c r="M12499" s="13"/>
      <c r="N12499" s="2"/>
      <c r="O12499" s="20"/>
      <c r="P12499" s="42"/>
      <c r="R12499" s="23"/>
    </row>
    <row r="12500" spans="1:18" ht="12.75">
      <c r="A12500" s="12"/>
      <c r="D12500" s="12"/>
      <c r="E12500" s="12"/>
      <c r="H12500" s="11" t="str">
        <f ca="1">IFERROR(__xludf.DUMMYFUNCTION("IFERROR(SUBSTITUTE(SUBSTITUTE(REGEXEXTRACT(A12500, ""[^-]+- [^-]+- [^-]+ - (.+?)\.jpg""), "".jpg"", """"), ""-"", "", ""), """")"),"")</f>
        <v/>
      </c>
      <c r="L12500" s="12"/>
      <c r="M12500" s="13"/>
      <c r="N12500" s="2"/>
      <c r="O12500" s="20"/>
      <c r="P12500" s="42"/>
      <c r="R12500" s="23"/>
    </row>
    <row r="12501" spans="1:18" ht="12.75">
      <c r="A12501" s="12"/>
      <c r="D12501" s="12"/>
      <c r="E12501" s="12"/>
      <c r="H12501" s="11" t="str">
        <f ca="1">IFERROR(__xludf.DUMMYFUNCTION("IFERROR(SUBSTITUTE(SUBSTITUTE(REGEXEXTRACT(A12501, ""[^-]+- [^-]+- [^-]+ - (.+?)\.jpg""), "".jpg"", """"), ""-"", "", ""), """")"),"")</f>
        <v/>
      </c>
      <c r="L12501" s="12"/>
      <c r="M12501" s="13"/>
      <c r="N12501" s="2"/>
      <c r="O12501" s="20"/>
      <c r="P12501" s="42"/>
      <c r="R12501" s="23"/>
    </row>
    <row r="12502" spans="1:18" ht="12.75">
      <c r="A12502" s="12"/>
      <c r="D12502" s="12"/>
      <c r="E12502" s="12"/>
      <c r="H12502" s="11" t="str">
        <f ca="1">IFERROR(__xludf.DUMMYFUNCTION("IFERROR(SUBSTITUTE(SUBSTITUTE(REGEXEXTRACT(A12502, ""[^-]+- [^-]+- [^-]+ - (.+?)\.jpg""), "".jpg"", """"), ""-"", "", ""), """")"),"")</f>
        <v/>
      </c>
      <c r="L12502" s="12"/>
      <c r="M12502" s="13"/>
      <c r="N12502" s="2"/>
      <c r="O12502" s="20"/>
      <c r="P12502" s="42"/>
      <c r="R12502" s="23"/>
    </row>
    <row r="12503" spans="1:18" ht="12.75">
      <c r="A12503" s="12"/>
      <c r="D12503" s="12"/>
      <c r="E12503" s="12"/>
      <c r="H12503" s="11" t="str">
        <f ca="1">IFERROR(__xludf.DUMMYFUNCTION("IFERROR(SUBSTITUTE(SUBSTITUTE(REGEXEXTRACT(A12503, ""[^-]+- [^-]+- [^-]+ - (.+?)\.jpg""), "".jpg"", """"), ""-"", "", ""), """")"),"")</f>
        <v/>
      </c>
      <c r="L12503" s="12"/>
      <c r="M12503" s="13"/>
      <c r="N12503" s="2"/>
      <c r="O12503" s="20"/>
      <c r="P12503" s="42"/>
      <c r="R12503" s="23"/>
    </row>
    <row r="12504" spans="1:18" ht="12.75">
      <c r="A12504" s="12"/>
      <c r="D12504" s="12"/>
      <c r="E12504" s="12"/>
      <c r="H12504" s="11" t="str">
        <f ca="1">IFERROR(__xludf.DUMMYFUNCTION("IFERROR(SUBSTITUTE(SUBSTITUTE(REGEXEXTRACT(A12504, ""[^-]+- [^-]+- [^-]+ - (.+?)\.jpg""), "".jpg"", """"), ""-"", "", ""), """")"),"")</f>
        <v/>
      </c>
      <c r="L12504" s="12"/>
      <c r="M12504" s="13"/>
      <c r="N12504" s="2"/>
      <c r="O12504" s="20"/>
      <c r="P12504" s="42"/>
      <c r="R12504" s="23"/>
    </row>
    <row r="12505" spans="1:18" ht="12.75">
      <c r="A12505" s="12"/>
      <c r="D12505" s="12"/>
      <c r="E12505" s="12"/>
      <c r="H12505" s="11" t="str">
        <f ca="1">IFERROR(__xludf.DUMMYFUNCTION("IFERROR(SUBSTITUTE(SUBSTITUTE(REGEXEXTRACT(A12505, ""[^-]+- [^-]+- [^-]+ - (.+?)\.jpg""), "".jpg"", """"), ""-"", "", ""), """")"),"")</f>
        <v/>
      </c>
      <c r="L12505" s="12"/>
      <c r="M12505" s="13"/>
      <c r="N12505" s="2"/>
      <c r="O12505" s="20"/>
      <c r="P12505" s="42"/>
      <c r="R12505" s="23"/>
    </row>
    <row r="12506" spans="1:18" ht="12.75">
      <c r="A12506" s="12"/>
      <c r="D12506" s="12"/>
      <c r="E12506" s="12"/>
      <c r="H12506" s="11" t="str">
        <f ca="1">IFERROR(__xludf.DUMMYFUNCTION("IFERROR(SUBSTITUTE(SUBSTITUTE(REGEXEXTRACT(A12506, ""[^-]+- [^-]+- [^-]+ - (.+?)\.jpg""), "".jpg"", """"), ""-"", "", ""), """")"),"")</f>
        <v/>
      </c>
      <c r="L12506" s="12"/>
      <c r="M12506" s="13"/>
      <c r="N12506" s="2"/>
      <c r="O12506" s="20"/>
      <c r="P12506" s="42"/>
      <c r="R12506" s="23"/>
    </row>
    <row r="12507" spans="1:18" ht="12.75">
      <c r="A12507" s="12"/>
      <c r="D12507" s="12"/>
      <c r="E12507" s="12"/>
      <c r="H12507" s="11" t="str">
        <f ca="1">IFERROR(__xludf.DUMMYFUNCTION("IFERROR(SUBSTITUTE(SUBSTITUTE(REGEXEXTRACT(A12507, ""[^-]+- [^-]+- [^-]+ - (.+?)\.jpg""), "".jpg"", """"), ""-"", "", ""), """")"),"")</f>
        <v/>
      </c>
      <c r="L12507" s="12"/>
      <c r="M12507" s="13"/>
      <c r="N12507" s="2"/>
      <c r="O12507" s="20"/>
      <c r="P12507" s="42"/>
      <c r="R12507" s="23"/>
    </row>
    <row r="12508" spans="1:18" ht="12.75">
      <c r="A12508" s="12"/>
      <c r="D12508" s="12"/>
      <c r="E12508" s="12"/>
      <c r="H12508" s="11" t="str">
        <f ca="1">IFERROR(__xludf.DUMMYFUNCTION("IFERROR(SUBSTITUTE(SUBSTITUTE(REGEXEXTRACT(A12508, ""[^-]+- [^-]+- [^-]+ - (.+?)\.jpg""), "".jpg"", """"), ""-"", "", ""), """")"),"")</f>
        <v/>
      </c>
      <c r="L12508" s="12"/>
      <c r="M12508" s="13"/>
      <c r="N12508" s="2"/>
      <c r="O12508" s="20"/>
      <c r="P12508" s="42"/>
      <c r="R12508" s="23"/>
    </row>
    <row r="12509" spans="1:18" ht="12.75">
      <c r="A12509" s="12"/>
      <c r="D12509" s="12"/>
      <c r="E12509" s="12"/>
      <c r="H12509" s="11" t="str">
        <f ca="1">IFERROR(__xludf.DUMMYFUNCTION("IFERROR(SUBSTITUTE(SUBSTITUTE(REGEXEXTRACT(A12509, ""[^-]+- [^-]+- [^-]+ - (.+?)\.jpg""), "".jpg"", """"), ""-"", "", ""), """")"),"")</f>
        <v/>
      </c>
      <c r="L12509" s="12"/>
      <c r="M12509" s="13"/>
      <c r="N12509" s="2"/>
      <c r="O12509" s="20"/>
      <c r="P12509" s="42"/>
      <c r="R12509" s="23"/>
    </row>
    <row r="12510" spans="1:18" ht="12.75">
      <c r="A12510" s="12"/>
      <c r="D12510" s="12"/>
      <c r="E12510" s="12"/>
      <c r="H12510" s="11" t="str">
        <f ca="1">IFERROR(__xludf.DUMMYFUNCTION("IFERROR(SUBSTITUTE(SUBSTITUTE(REGEXEXTRACT(A12510, ""[^-]+- [^-]+- [^-]+ - (.+?)\.jpg""), "".jpg"", """"), ""-"", "", ""), """")"),"")</f>
        <v/>
      </c>
      <c r="L12510" s="12"/>
      <c r="M12510" s="13"/>
      <c r="N12510" s="2"/>
      <c r="O12510" s="20"/>
      <c r="P12510" s="42"/>
      <c r="R12510" s="23"/>
    </row>
    <row r="12511" spans="1:18" ht="12.75">
      <c r="A12511" s="12"/>
      <c r="D12511" s="12"/>
      <c r="E12511" s="12"/>
      <c r="H12511" s="11" t="str">
        <f ca="1">IFERROR(__xludf.DUMMYFUNCTION("IFERROR(SUBSTITUTE(SUBSTITUTE(REGEXEXTRACT(A12511, ""[^-]+- [^-]+- [^-]+ - (.+?)\.jpg""), "".jpg"", """"), ""-"", "", ""), """")"),"")</f>
        <v/>
      </c>
      <c r="L12511" s="12"/>
      <c r="M12511" s="13"/>
      <c r="N12511" s="2"/>
      <c r="O12511" s="20"/>
      <c r="P12511" s="42"/>
      <c r="R12511" s="23"/>
    </row>
    <row r="12512" spans="1:18" ht="12.75">
      <c r="A12512" s="12"/>
      <c r="D12512" s="12"/>
      <c r="E12512" s="12"/>
      <c r="H12512" s="11" t="str">
        <f ca="1">IFERROR(__xludf.DUMMYFUNCTION("IFERROR(SUBSTITUTE(SUBSTITUTE(REGEXEXTRACT(A12512, ""[^-]+- [^-]+- [^-]+ - (.+?)\.jpg""), "".jpg"", """"), ""-"", "", ""), """")"),"")</f>
        <v/>
      </c>
      <c r="L12512" s="12"/>
      <c r="M12512" s="13"/>
      <c r="N12512" s="2"/>
      <c r="O12512" s="20"/>
      <c r="P12512" s="42"/>
      <c r="R12512" s="23"/>
    </row>
    <row r="12513" spans="1:18" ht="12.75">
      <c r="A12513" s="12"/>
      <c r="D12513" s="12"/>
      <c r="E12513" s="12"/>
      <c r="H12513" s="11" t="str">
        <f ca="1">IFERROR(__xludf.DUMMYFUNCTION("IFERROR(SUBSTITUTE(SUBSTITUTE(REGEXEXTRACT(A12513, ""[^-]+- [^-]+- [^-]+ - (.+?)\.jpg""), "".jpg"", """"), ""-"", "", ""), """")"),"")</f>
        <v/>
      </c>
      <c r="L12513" s="12"/>
      <c r="M12513" s="13"/>
      <c r="N12513" s="2"/>
      <c r="O12513" s="20"/>
      <c r="P12513" s="42"/>
      <c r="R12513" s="23"/>
    </row>
    <row r="12514" spans="1:18" ht="12.75">
      <c r="A12514" s="12"/>
      <c r="D12514" s="12"/>
      <c r="E12514" s="12"/>
      <c r="H12514" s="11" t="str">
        <f ca="1">IFERROR(__xludf.DUMMYFUNCTION("IFERROR(SUBSTITUTE(SUBSTITUTE(REGEXEXTRACT(A12514, ""[^-]+- [^-]+- [^-]+ - (.+?)\.jpg""), "".jpg"", """"), ""-"", "", ""), """")"),"")</f>
        <v/>
      </c>
      <c r="L12514" s="12"/>
      <c r="M12514" s="13"/>
      <c r="N12514" s="2"/>
      <c r="O12514" s="20"/>
      <c r="P12514" s="42"/>
      <c r="R12514" s="23"/>
    </row>
    <row r="12515" spans="1:18" ht="12.75">
      <c r="A12515" s="12"/>
      <c r="D12515" s="12"/>
      <c r="E12515" s="12"/>
      <c r="H12515" s="11" t="str">
        <f ca="1">IFERROR(__xludf.DUMMYFUNCTION("IFERROR(SUBSTITUTE(SUBSTITUTE(REGEXEXTRACT(A12515, ""[^-]+- [^-]+- [^-]+ - (.+?)\.jpg""), "".jpg"", """"), ""-"", "", ""), """")"),"")</f>
        <v/>
      </c>
      <c r="L12515" s="12"/>
      <c r="M12515" s="13"/>
      <c r="N12515" s="2"/>
      <c r="O12515" s="20"/>
      <c r="P12515" s="42"/>
      <c r="R12515" s="23"/>
    </row>
    <row r="12516" spans="1:18" ht="12.75">
      <c r="A12516" s="12"/>
      <c r="D12516" s="12"/>
      <c r="E12516" s="12"/>
      <c r="H12516" s="11" t="str">
        <f ca="1">IFERROR(__xludf.DUMMYFUNCTION("IFERROR(SUBSTITUTE(SUBSTITUTE(REGEXEXTRACT(A12516, ""[^-]+- [^-]+- [^-]+ - (.+?)\.jpg""), "".jpg"", """"), ""-"", "", ""), """")"),"")</f>
        <v/>
      </c>
      <c r="L12516" s="12"/>
      <c r="M12516" s="13"/>
      <c r="N12516" s="2"/>
      <c r="O12516" s="20"/>
      <c r="P12516" s="42"/>
      <c r="R12516" s="23"/>
    </row>
    <row r="12517" spans="1:18" ht="12.75">
      <c r="A12517" s="12"/>
      <c r="D12517" s="12"/>
      <c r="E12517" s="12"/>
      <c r="H12517" s="11" t="str">
        <f ca="1">IFERROR(__xludf.DUMMYFUNCTION("IFERROR(SUBSTITUTE(SUBSTITUTE(REGEXEXTRACT(A12517, ""[^-]+- [^-]+- [^-]+ - (.+?)\.jpg""), "".jpg"", """"), ""-"", "", ""), """")"),"")</f>
        <v/>
      </c>
      <c r="L12517" s="12"/>
      <c r="M12517" s="13"/>
      <c r="N12517" s="2"/>
      <c r="O12517" s="20"/>
      <c r="P12517" s="42"/>
      <c r="R12517" s="23"/>
    </row>
    <row r="12518" spans="1:18" ht="12.75">
      <c r="A12518" s="12"/>
      <c r="D12518" s="12"/>
      <c r="E12518" s="12"/>
      <c r="H12518" s="11" t="str">
        <f ca="1">IFERROR(__xludf.DUMMYFUNCTION("IFERROR(SUBSTITUTE(SUBSTITUTE(REGEXEXTRACT(A12518, ""[^-]+- [^-]+- [^-]+ - (.+?)\.jpg""), "".jpg"", """"), ""-"", "", ""), """")"),"")</f>
        <v/>
      </c>
      <c r="L12518" s="12"/>
      <c r="M12518" s="13"/>
      <c r="N12518" s="2"/>
      <c r="O12518" s="20"/>
      <c r="P12518" s="42"/>
      <c r="R12518" s="23"/>
    </row>
    <row r="12519" spans="1:18" ht="12.75">
      <c r="A12519" s="12"/>
      <c r="D12519" s="12"/>
      <c r="E12519" s="12"/>
      <c r="H12519" s="11" t="str">
        <f ca="1">IFERROR(__xludf.DUMMYFUNCTION("IFERROR(SUBSTITUTE(SUBSTITUTE(REGEXEXTRACT(A12519, ""[^-]+- [^-]+- [^-]+ - (.+?)\.jpg""), "".jpg"", """"), ""-"", "", ""), """")"),"")</f>
        <v/>
      </c>
      <c r="L12519" s="12"/>
      <c r="M12519" s="13"/>
      <c r="N12519" s="2"/>
      <c r="O12519" s="20"/>
      <c r="P12519" s="42"/>
      <c r="R12519" s="23"/>
    </row>
    <row r="12520" spans="1:18" ht="12.75">
      <c r="A12520" s="12"/>
      <c r="D12520" s="12"/>
      <c r="E12520" s="12"/>
      <c r="H12520" s="11" t="str">
        <f ca="1">IFERROR(__xludf.DUMMYFUNCTION("IFERROR(SUBSTITUTE(SUBSTITUTE(REGEXEXTRACT(A12520, ""[^-]+- [^-]+- [^-]+ - (.+?)\.jpg""), "".jpg"", """"), ""-"", "", ""), """")"),"")</f>
        <v/>
      </c>
      <c r="L12520" s="12"/>
      <c r="M12520" s="13"/>
      <c r="N12520" s="2"/>
      <c r="O12520" s="20"/>
      <c r="P12520" s="42"/>
      <c r="R12520" s="23"/>
    </row>
    <row r="12521" spans="1:18" ht="12.75">
      <c r="A12521" s="12"/>
      <c r="D12521" s="12"/>
      <c r="E12521" s="12"/>
      <c r="H12521" s="11" t="str">
        <f ca="1">IFERROR(__xludf.DUMMYFUNCTION("IFERROR(SUBSTITUTE(SUBSTITUTE(REGEXEXTRACT(A12521, ""[^-]+- [^-]+- [^-]+ - (.+?)\.jpg""), "".jpg"", """"), ""-"", "", ""), """")"),"")</f>
        <v/>
      </c>
      <c r="L12521" s="12"/>
      <c r="M12521" s="13"/>
      <c r="N12521" s="2"/>
      <c r="O12521" s="20"/>
      <c r="P12521" s="42"/>
      <c r="R12521" s="23"/>
    </row>
    <row r="12522" spans="1:18" ht="12.75">
      <c r="A12522" s="12"/>
      <c r="D12522" s="12"/>
      <c r="E12522" s="12"/>
      <c r="H12522" s="11" t="str">
        <f ca="1">IFERROR(__xludf.DUMMYFUNCTION("IFERROR(SUBSTITUTE(SUBSTITUTE(REGEXEXTRACT(A12522, ""[^-]+- [^-]+- [^-]+ - (.+?)\.jpg""), "".jpg"", """"), ""-"", "", ""), """")"),"")</f>
        <v/>
      </c>
      <c r="L12522" s="12"/>
      <c r="M12522" s="13"/>
      <c r="N12522" s="2"/>
      <c r="O12522" s="20"/>
      <c r="P12522" s="42"/>
      <c r="R12522" s="23"/>
    </row>
    <row r="12523" spans="1:18" ht="12.75">
      <c r="A12523" s="12"/>
      <c r="D12523" s="12"/>
      <c r="E12523" s="12"/>
      <c r="H12523" s="11" t="str">
        <f ca="1">IFERROR(__xludf.DUMMYFUNCTION("IFERROR(SUBSTITUTE(SUBSTITUTE(REGEXEXTRACT(A12523, ""[^-]+- [^-]+- [^-]+ - (.+?)\.jpg""), "".jpg"", """"), ""-"", "", ""), """")"),"")</f>
        <v/>
      </c>
      <c r="L12523" s="12"/>
      <c r="M12523" s="13"/>
      <c r="N12523" s="2"/>
      <c r="O12523" s="20"/>
      <c r="P12523" s="42"/>
      <c r="R12523" s="23"/>
    </row>
    <row r="12524" spans="1:18" ht="12.75">
      <c r="A12524" s="12"/>
      <c r="D12524" s="12"/>
      <c r="E12524" s="12"/>
      <c r="H12524" s="11" t="str">
        <f ca="1">IFERROR(__xludf.DUMMYFUNCTION("IFERROR(SUBSTITUTE(SUBSTITUTE(REGEXEXTRACT(A12524, ""[^-]+- [^-]+- [^-]+ - (.+?)\.jpg""), "".jpg"", """"), ""-"", "", ""), """")"),"")</f>
        <v/>
      </c>
      <c r="L12524" s="12"/>
      <c r="M12524" s="13"/>
      <c r="N12524" s="2"/>
      <c r="O12524" s="20"/>
      <c r="P12524" s="42"/>
      <c r="R12524" s="23"/>
    </row>
    <row r="12525" spans="1:18" ht="12.75">
      <c r="A12525" s="12"/>
      <c r="D12525" s="12"/>
      <c r="E12525" s="12"/>
      <c r="H12525" s="11" t="str">
        <f ca="1">IFERROR(__xludf.DUMMYFUNCTION("IFERROR(SUBSTITUTE(SUBSTITUTE(REGEXEXTRACT(A12525, ""[^-]+- [^-]+- [^-]+ - (.+?)\.jpg""), "".jpg"", """"), ""-"", "", ""), """")"),"")</f>
        <v/>
      </c>
      <c r="L12525" s="12"/>
      <c r="M12525" s="13"/>
      <c r="N12525" s="2"/>
      <c r="O12525" s="20"/>
      <c r="P12525" s="42"/>
      <c r="R12525" s="23"/>
    </row>
    <row r="12526" spans="1:18" ht="12.75">
      <c r="A12526" s="12"/>
      <c r="D12526" s="12"/>
      <c r="E12526" s="12"/>
      <c r="H12526" s="11" t="str">
        <f ca="1">IFERROR(__xludf.DUMMYFUNCTION("IFERROR(SUBSTITUTE(SUBSTITUTE(REGEXEXTRACT(A12526, ""[^-]+- [^-]+- [^-]+ - (.+?)\.jpg""), "".jpg"", """"), ""-"", "", ""), """")"),"")</f>
        <v/>
      </c>
      <c r="L12526" s="12"/>
      <c r="M12526" s="13"/>
      <c r="N12526" s="2"/>
      <c r="O12526" s="20"/>
      <c r="P12526" s="42"/>
      <c r="R12526" s="23"/>
    </row>
    <row r="12527" spans="1:18" ht="12.75">
      <c r="A12527" s="12"/>
      <c r="D12527" s="12"/>
      <c r="E12527" s="12"/>
      <c r="H12527" s="11" t="str">
        <f ca="1">IFERROR(__xludf.DUMMYFUNCTION("IFERROR(SUBSTITUTE(SUBSTITUTE(REGEXEXTRACT(A12527, ""[^-]+- [^-]+- [^-]+ - (.+?)\.jpg""), "".jpg"", """"), ""-"", "", ""), """")"),"")</f>
        <v/>
      </c>
      <c r="L12527" s="12"/>
      <c r="M12527" s="13"/>
      <c r="N12527" s="2"/>
      <c r="O12527" s="20"/>
      <c r="P12527" s="42"/>
      <c r="R12527" s="23"/>
    </row>
    <row r="12528" spans="1:18" ht="12.75">
      <c r="A12528" s="12"/>
      <c r="D12528" s="12"/>
      <c r="E12528" s="12"/>
      <c r="H12528" s="11" t="str">
        <f ca="1">IFERROR(__xludf.DUMMYFUNCTION("IFERROR(SUBSTITUTE(SUBSTITUTE(REGEXEXTRACT(A12528, ""[^-]+- [^-]+- [^-]+ - (.+?)\.jpg""), "".jpg"", """"), ""-"", "", ""), """")"),"")</f>
        <v/>
      </c>
      <c r="L12528" s="12"/>
      <c r="M12528" s="13"/>
      <c r="N12528" s="2"/>
      <c r="O12528" s="20"/>
      <c r="P12528" s="42"/>
      <c r="R12528" s="23"/>
    </row>
    <row r="12529" spans="1:18" ht="12.75">
      <c r="A12529" s="12"/>
      <c r="D12529" s="12"/>
      <c r="E12529" s="12"/>
      <c r="H12529" s="11" t="str">
        <f ca="1">IFERROR(__xludf.DUMMYFUNCTION("IFERROR(SUBSTITUTE(SUBSTITUTE(REGEXEXTRACT(A12529, ""[^-]+- [^-]+- [^-]+ - (.+?)\.jpg""), "".jpg"", """"), ""-"", "", ""), """")"),"")</f>
        <v/>
      </c>
      <c r="L12529" s="12"/>
      <c r="M12529" s="13"/>
      <c r="N12529" s="2"/>
      <c r="O12529" s="20"/>
      <c r="P12529" s="42"/>
      <c r="R12529" s="23"/>
    </row>
    <row r="12530" spans="1:18" ht="12.75">
      <c r="A12530" s="12"/>
      <c r="D12530" s="12"/>
      <c r="E12530" s="12"/>
      <c r="H12530" s="11" t="str">
        <f ca="1">IFERROR(__xludf.DUMMYFUNCTION("IFERROR(SUBSTITUTE(SUBSTITUTE(REGEXEXTRACT(A12530, ""[^-]+- [^-]+- [^-]+ - (.+?)\.jpg""), "".jpg"", """"), ""-"", "", ""), """")"),"")</f>
        <v/>
      </c>
      <c r="L12530" s="12"/>
      <c r="M12530" s="13"/>
      <c r="N12530" s="2"/>
      <c r="O12530" s="20"/>
      <c r="P12530" s="42"/>
      <c r="R12530" s="23"/>
    </row>
    <row r="12531" spans="1:18" ht="12.75">
      <c r="A12531" s="12"/>
      <c r="D12531" s="12"/>
      <c r="E12531" s="12"/>
      <c r="H12531" s="11" t="str">
        <f ca="1">IFERROR(__xludf.DUMMYFUNCTION("IFERROR(SUBSTITUTE(SUBSTITUTE(REGEXEXTRACT(A12531, ""[^-]+- [^-]+- [^-]+ - (.+?)\.jpg""), "".jpg"", """"), ""-"", "", ""), """")"),"")</f>
        <v/>
      </c>
      <c r="L12531" s="12"/>
      <c r="M12531" s="13"/>
      <c r="N12531" s="2"/>
      <c r="O12531" s="20"/>
      <c r="P12531" s="42"/>
      <c r="R12531" s="23"/>
    </row>
    <row r="12532" spans="1:18" ht="12.75">
      <c r="A12532" s="12"/>
      <c r="D12532" s="12"/>
      <c r="E12532" s="12"/>
      <c r="H12532" s="11" t="str">
        <f ca="1">IFERROR(__xludf.DUMMYFUNCTION("IFERROR(SUBSTITUTE(SUBSTITUTE(REGEXEXTRACT(A12532, ""[^-]+- [^-]+- [^-]+ - (.+?)\.jpg""), "".jpg"", """"), ""-"", "", ""), """")"),"")</f>
        <v/>
      </c>
      <c r="L12532" s="12"/>
      <c r="M12532" s="13"/>
      <c r="N12532" s="2"/>
      <c r="O12532" s="20"/>
      <c r="P12532" s="42"/>
      <c r="R12532" s="23"/>
    </row>
    <row r="12533" spans="1:18" ht="12.75">
      <c r="A12533" s="12"/>
      <c r="D12533" s="12"/>
      <c r="E12533" s="12"/>
      <c r="H12533" s="11" t="str">
        <f ca="1">IFERROR(__xludf.DUMMYFUNCTION("IFERROR(SUBSTITUTE(SUBSTITUTE(REGEXEXTRACT(A12533, ""[^-]+- [^-]+- [^-]+ - (.+?)\.jpg""), "".jpg"", """"), ""-"", "", ""), """")"),"")</f>
        <v/>
      </c>
      <c r="L12533" s="12"/>
      <c r="M12533" s="13"/>
      <c r="N12533" s="2"/>
      <c r="O12533" s="20"/>
      <c r="P12533" s="42"/>
      <c r="R12533" s="23"/>
    </row>
    <row r="12534" spans="1:18" ht="12.75">
      <c r="A12534" s="12"/>
      <c r="D12534" s="12"/>
      <c r="E12534" s="12"/>
      <c r="H12534" s="11" t="str">
        <f ca="1">IFERROR(__xludf.DUMMYFUNCTION("IFERROR(SUBSTITUTE(SUBSTITUTE(REGEXEXTRACT(A12534, ""[^-]+- [^-]+- [^-]+ - (.+?)\.jpg""), "".jpg"", """"), ""-"", "", ""), """")"),"")</f>
        <v/>
      </c>
      <c r="L12534" s="12"/>
      <c r="M12534" s="13"/>
      <c r="N12534" s="2"/>
      <c r="O12534" s="20"/>
      <c r="P12534" s="42"/>
      <c r="R12534" s="23"/>
    </row>
    <row r="12535" spans="1:18" ht="12.75">
      <c r="A12535" s="12"/>
      <c r="D12535" s="12"/>
      <c r="E12535" s="12"/>
      <c r="H12535" s="11" t="str">
        <f ca="1">IFERROR(__xludf.DUMMYFUNCTION("IFERROR(SUBSTITUTE(SUBSTITUTE(REGEXEXTRACT(A12535, ""[^-]+- [^-]+- [^-]+ - (.+?)\.jpg""), "".jpg"", """"), ""-"", "", ""), """")"),"")</f>
        <v/>
      </c>
      <c r="L12535" s="12"/>
      <c r="M12535" s="13"/>
      <c r="N12535" s="2"/>
      <c r="O12535" s="20"/>
      <c r="P12535" s="42"/>
      <c r="R12535" s="23"/>
    </row>
    <row r="12536" spans="1:18" ht="12.75">
      <c r="A12536" s="12"/>
      <c r="D12536" s="12"/>
      <c r="E12536" s="12"/>
      <c r="H12536" s="11" t="str">
        <f ca="1">IFERROR(__xludf.DUMMYFUNCTION("IFERROR(SUBSTITUTE(SUBSTITUTE(REGEXEXTRACT(A12536, ""[^-]+- [^-]+- [^-]+ - (.+?)\.jpg""), "".jpg"", """"), ""-"", "", ""), """")"),"")</f>
        <v/>
      </c>
      <c r="L12536" s="12"/>
      <c r="M12536" s="13"/>
      <c r="N12536" s="2"/>
      <c r="O12536" s="20"/>
      <c r="P12536" s="42"/>
      <c r="R12536" s="23"/>
    </row>
    <row r="12537" spans="1:18" ht="12.75">
      <c r="A12537" s="12"/>
      <c r="D12537" s="12"/>
      <c r="E12537" s="12"/>
      <c r="H12537" s="11" t="str">
        <f ca="1">IFERROR(__xludf.DUMMYFUNCTION("IFERROR(SUBSTITUTE(SUBSTITUTE(REGEXEXTRACT(A12537, ""[^-]+- [^-]+- [^-]+ - (.+?)\.jpg""), "".jpg"", """"), ""-"", "", ""), """")"),"")</f>
        <v/>
      </c>
      <c r="L12537" s="12"/>
      <c r="M12537" s="13"/>
      <c r="N12537" s="2"/>
      <c r="O12537" s="20"/>
      <c r="P12537" s="42"/>
      <c r="R12537" s="23"/>
    </row>
    <row r="12538" spans="1:18" ht="12.75">
      <c r="A12538" s="12"/>
      <c r="D12538" s="12"/>
      <c r="E12538" s="12"/>
      <c r="H12538" s="11" t="str">
        <f ca="1">IFERROR(__xludf.DUMMYFUNCTION("IFERROR(SUBSTITUTE(SUBSTITUTE(REGEXEXTRACT(A12538, ""[^-]+- [^-]+- [^-]+ - (.+?)\.jpg""), "".jpg"", """"), ""-"", "", ""), """")"),"")</f>
        <v/>
      </c>
      <c r="L12538" s="12"/>
      <c r="M12538" s="13"/>
      <c r="N12538" s="2"/>
      <c r="O12538" s="20"/>
      <c r="P12538" s="42"/>
      <c r="R12538" s="23"/>
    </row>
    <row r="12539" spans="1:18" ht="12.75">
      <c r="A12539" s="12"/>
      <c r="D12539" s="12"/>
      <c r="E12539" s="12"/>
      <c r="H12539" s="11" t="str">
        <f ca="1">IFERROR(__xludf.DUMMYFUNCTION("IFERROR(SUBSTITUTE(SUBSTITUTE(REGEXEXTRACT(A12539, ""[^-]+- [^-]+- [^-]+ - (.+?)\.jpg""), "".jpg"", """"), ""-"", "", ""), """")"),"")</f>
        <v/>
      </c>
      <c r="L12539" s="12"/>
      <c r="M12539" s="13"/>
      <c r="N12539" s="2"/>
      <c r="O12539" s="20"/>
      <c r="P12539" s="42"/>
      <c r="R12539" s="23"/>
    </row>
    <row r="12540" spans="1:18" ht="12.75">
      <c r="A12540" s="12"/>
      <c r="D12540" s="12"/>
      <c r="E12540" s="12"/>
      <c r="H12540" s="11" t="str">
        <f ca="1">IFERROR(__xludf.DUMMYFUNCTION("IFERROR(SUBSTITUTE(SUBSTITUTE(REGEXEXTRACT(A12540, ""[^-]+- [^-]+- [^-]+ - (.+?)\.jpg""), "".jpg"", """"), ""-"", "", ""), """")"),"")</f>
        <v/>
      </c>
      <c r="L12540" s="12"/>
      <c r="M12540" s="13"/>
      <c r="N12540" s="2"/>
      <c r="O12540" s="20"/>
      <c r="P12540" s="42"/>
      <c r="R12540" s="23"/>
    </row>
    <row r="12541" spans="1:18" ht="12.75">
      <c r="A12541" s="12"/>
      <c r="D12541" s="12"/>
      <c r="E12541" s="12"/>
      <c r="H12541" s="11" t="str">
        <f ca="1">IFERROR(__xludf.DUMMYFUNCTION("IFERROR(SUBSTITUTE(SUBSTITUTE(REGEXEXTRACT(A12541, ""[^-]+- [^-]+- [^-]+ - (.+?)\.jpg""), "".jpg"", """"), ""-"", "", ""), """")"),"")</f>
        <v/>
      </c>
      <c r="L12541" s="12"/>
      <c r="M12541" s="13"/>
      <c r="N12541" s="2"/>
      <c r="O12541" s="20"/>
      <c r="P12541" s="42"/>
      <c r="R12541" s="23"/>
    </row>
    <row r="12542" spans="1:18" ht="12.75">
      <c r="A12542" s="12"/>
      <c r="D12542" s="12"/>
      <c r="E12542" s="12"/>
      <c r="H12542" s="11" t="str">
        <f ca="1">IFERROR(__xludf.DUMMYFUNCTION("IFERROR(SUBSTITUTE(SUBSTITUTE(REGEXEXTRACT(A12542, ""[^-]+- [^-]+- [^-]+ - (.+?)\.jpg""), "".jpg"", """"), ""-"", "", ""), """")"),"")</f>
        <v/>
      </c>
      <c r="L12542" s="12"/>
      <c r="M12542" s="13"/>
      <c r="N12542" s="2"/>
      <c r="O12542" s="20"/>
      <c r="P12542" s="42"/>
      <c r="R12542" s="23"/>
    </row>
    <row r="12543" spans="1:18" ht="12.75">
      <c r="A12543" s="12"/>
      <c r="D12543" s="12"/>
      <c r="E12543" s="12"/>
      <c r="H12543" s="11" t="str">
        <f ca="1">IFERROR(__xludf.DUMMYFUNCTION("IFERROR(SUBSTITUTE(SUBSTITUTE(REGEXEXTRACT(A12543, ""[^-]+- [^-]+- [^-]+ - (.+?)\.jpg""), "".jpg"", """"), ""-"", "", ""), """")"),"")</f>
        <v/>
      </c>
      <c r="L12543" s="12"/>
      <c r="M12543" s="13"/>
      <c r="N12543" s="2"/>
      <c r="O12543" s="20"/>
      <c r="P12543" s="42"/>
      <c r="R12543" s="23"/>
    </row>
    <row r="12544" spans="1:18" ht="12.75">
      <c r="A12544" s="12"/>
      <c r="D12544" s="12"/>
      <c r="E12544" s="12"/>
      <c r="H12544" s="11" t="str">
        <f ca="1">IFERROR(__xludf.DUMMYFUNCTION("IFERROR(SUBSTITUTE(SUBSTITUTE(REGEXEXTRACT(A12544, ""[^-]+- [^-]+- [^-]+ - (.+?)\.jpg""), "".jpg"", """"), ""-"", "", ""), """")"),"")</f>
        <v/>
      </c>
      <c r="L12544" s="12"/>
      <c r="M12544" s="13"/>
      <c r="N12544" s="2"/>
      <c r="O12544" s="20"/>
      <c r="P12544" s="42"/>
      <c r="R12544" s="23"/>
    </row>
    <row r="12545" spans="1:18" ht="12.75">
      <c r="A12545" s="12"/>
      <c r="D12545" s="12"/>
      <c r="E12545" s="12"/>
      <c r="H12545" s="11" t="str">
        <f ca="1">IFERROR(__xludf.DUMMYFUNCTION("IFERROR(SUBSTITUTE(SUBSTITUTE(REGEXEXTRACT(A12545, ""[^-]+- [^-]+- [^-]+ - (.+?)\.jpg""), "".jpg"", """"), ""-"", "", ""), """")"),"")</f>
        <v/>
      </c>
      <c r="L12545" s="12"/>
      <c r="M12545" s="13"/>
      <c r="N12545" s="2"/>
      <c r="O12545" s="20"/>
      <c r="P12545" s="42"/>
      <c r="R12545" s="23"/>
    </row>
    <row r="12546" spans="1:18" ht="12.75">
      <c r="A12546" s="12"/>
      <c r="D12546" s="12"/>
      <c r="E12546" s="12"/>
      <c r="H12546" s="11" t="str">
        <f ca="1">IFERROR(__xludf.DUMMYFUNCTION("IFERROR(SUBSTITUTE(SUBSTITUTE(REGEXEXTRACT(A12546, ""[^-]+- [^-]+- [^-]+ - (.+?)\.jpg""), "".jpg"", """"), ""-"", "", ""), """")"),"")</f>
        <v/>
      </c>
      <c r="L12546" s="12"/>
      <c r="M12546" s="13"/>
      <c r="N12546" s="2"/>
      <c r="O12546" s="20"/>
      <c r="P12546" s="42"/>
      <c r="R12546" s="23"/>
    </row>
    <row r="12547" spans="1:18" ht="12.75">
      <c r="A12547" s="12"/>
      <c r="D12547" s="12"/>
      <c r="E12547" s="12"/>
      <c r="H12547" s="11" t="str">
        <f ca="1">IFERROR(__xludf.DUMMYFUNCTION("IFERROR(SUBSTITUTE(SUBSTITUTE(REGEXEXTRACT(A12547, ""[^-]+- [^-]+- [^-]+ - (.+?)\.jpg""), "".jpg"", """"), ""-"", "", ""), """")"),"")</f>
        <v/>
      </c>
      <c r="L12547" s="12"/>
      <c r="M12547" s="13"/>
      <c r="N12547" s="2"/>
      <c r="O12547" s="20"/>
      <c r="P12547" s="42"/>
      <c r="R12547" s="23"/>
    </row>
    <row r="12548" spans="1:18" ht="12.75">
      <c r="A12548" s="12"/>
      <c r="D12548" s="12"/>
      <c r="E12548" s="12"/>
      <c r="H12548" s="11" t="str">
        <f ca="1">IFERROR(__xludf.DUMMYFUNCTION("IFERROR(SUBSTITUTE(SUBSTITUTE(REGEXEXTRACT(A12548, ""[^-]+- [^-]+- [^-]+ - (.+?)\.jpg""), "".jpg"", """"), ""-"", "", ""), """")"),"")</f>
        <v/>
      </c>
      <c r="L12548" s="12"/>
      <c r="M12548" s="13"/>
      <c r="N12548" s="2"/>
      <c r="O12548" s="20"/>
      <c r="P12548" s="42"/>
      <c r="R12548" s="23"/>
    </row>
    <row r="12549" spans="1:18" ht="12.75">
      <c r="A12549" s="12"/>
      <c r="D12549" s="12"/>
      <c r="E12549" s="12"/>
      <c r="H12549" s="11" t="str">
        <f ca="1">IFERROR(__xludf.DUMMYFUNCTION("IFERROR(SUBSTITUTE(SUBSTITUTE(REGEXEXTRACT(A12549, ""[^-]+- [^-]+- [^-]+ - (.+?)\.jpg""), "".jpg"", """"), ""-"", "", ""), """")"),"")</f>
        <v/>
      </c>
      <c r="L12549" s="12"/>
      <c r="M12549" s="13"/>
      <c r="N12549" s="2"/>
      <c r="O12549" s="20"/>
      <c r="P12549" s="42"/>
      <c r="R12549" s="23"/>
    </row>
    <row r="12550" spans="1:18" ht="12.75">
      <c r="A12550" s="12"/>
      <c r="D12550" s="12"/>
      <c r="E12550" s="12"/>
      <c r="H12550" s="11" t="str">
        <f ca="1">IFERROR(__xludf.DUMMYFUNCTION("IFERROR(SUBSTITUTE(SUBSTITUTE(REGEXEXTRACT(A12550, ""[^-]+- [^-]+- [^-]+ - (.+?)\.jpg""), "".jpg"", """"), ""-"", "", ""), """")"),"")</f>
        <v/>
      </c>
      <c r="L12550" s="12"/>
      <c r="M12550" s="13"/>
      <c r="N12550" s="2"/>
      <c r="O12550" s="20"/>
      <c r="P12550" s="42"/>
      <c r="R12550" s="23"/>
    </row>
    <row r="12551" spans="1:18" ht="12.75">
      <c r="A12551" s="12"/>
      <c r="D12551" s="12"/>
      <c r="E12551" s="12"/>
      <c r="H12551" s="11" t="str">
        <f ca="1">IFERROR(__xludf.DUMMYFUNCTION("IFERROR(SUBSTITUTE(SUBSTITUTE(REGEXEXTRACT(A12551, ""[^-]+- [^-]+- [^-]+ - (.+?)\.jpg""), "".jpg"", """"), ""-"", "", ""), """")"),"")</f>
        <v/>
      </c>
      <c r="L12551" s="12"/>
      <c r="M12551" s="13"/>
      <c r="N12551" s="2"/>
      <c r="O12551" s="20"/>
      <c r="P12551" s="42"/>
      <c r="R12551" s="23"/>
    </row>
    <row r="12552" spans="1:18" ht="12.75">
      <c r="A12552" s="12"/>
      <c r="D12552" s="12"/>
      <c r="E12552" s="12"/>
      <c r="H12552" s="11" t="str">
        <f ca="1">IFERROR(__xludf.DUMMYFUNCTION("IFERROR(SUBSTITUTE(SUBSTITUTE(REGEXEXTRACT(A12552, ""[^-]+- [^-]+- [^-]+ - (.+?)\.jpg""), "".jpg"", """"), ""-"", "", ""), """")"),"")</f>
        <v/>
      </c>
      <c r="L12552" s="12"/>
      <c r="M12552" s="13"/>
      <c r="N12552" s="2"/>
      <c r="O12552" s="20"/>
      <c r="P12552" s="42"/>
      <c r="R12552" s="23"/>
    </row>
    <row r="12553" spans="1:18" ht="12.75">
      <c r="A12553" s="12"/>
      <c r="D12553" s="12"/>
      <c r="E12553" s="12"/>
      <c r="H12553" s="11" t="str">
        <f ca="1">IFERROR(__xludf.DUMMYFUNCTION("IFERROR(SUBSTITUTE(SUBSTITUTE(REGEXEXTRACT(A12553, ""[^-]+- [^-]+- [^-]+ - (.+?)\.jpg""), "".jpg"", """"), ""-"", "", ""), """")"),"")</f>
        <v/>
      </c>
      <c r="L12553" s="12"/>
      <c r="M12553" s="13"/>
      <c r="N12553" s="2"/>
      <c r="O12553" s="20"/>
      <c r="P12553" s="42"/>
      <c r="R12553" s="23"/>
    </row>
    <row r="12554" spans="1:18" ht="12.75">
      <c r="A12554" s="12"/>
      <c r="D12554" s="12"/>
      <c r="E12554" s="12"/>
      <c r="H12554" s="11" t="str">
        <f ca="1">IFERROR(__xludf.DUMMYFUNCTION("IFERROR(SUBSTITUTE(SUBSTITUTE(REGEXEXTRACT(A12554, ""[^-]+- [^-]+- [^-]+ - (.+?)\.jpg""), "".jpg"", """"), ""-"", "", ""), """")"),"")</f>
        <v/>
      </c>
      <c r="L12554" s="12"/>
      <c r="M12554" s="13"/>
      <c r="N12554" s="2"/>
      <c r="O12554" s="20"/>
      <c r="P12554" s="42"/>
      <c r="R12554" s="23"/>
    </row>
    <row r="12555" spans="1:18" ht="12.75">
      <c r="A12555" s="12"/>
      <c r="D12555" s="12"/>
      <c r="E12555" s="12"/>
      <c r="H12555" s="11" t="str">
        <f ca="1">IFERROR(__xludf.DUMMYFUNCTION("IFERROR(SUBSTITUTE(SUBSTITUTE(REGEXEXTRACT(A12555, ""[^-]+- [^-]+- [^-]+ - (.+?)\.jpg""), "".jpg"", """"), ""-"", "", ""), """")"),"")</f>
        <v/>
      </c>
      <c r="L12555" s="12"/>
      <c r="M12555" s="13"/>
      <c r="N12555" s="2"/>
      <c r="O12555" s="20"/>
      <c r="P12555" s="42"/>
      <c r="R12555" s="23"/>
    </row>
    <row r="12556" spans="1:18" ht="12.75">
      <c r="A12556" s="12"/>
      <c r="D12556" s="12"/>
      <c r="E12556" s="12"/>
      <c r="H12556" s="11" t="str">
        <f ca="1">IFERROR(__xludf.DUMMYFUNCTION("IFERROR(SUBSTITUTE(SUBSTITUTE(REGEXEXTRACT(A12556, ""[^-]+- [^-]+- [^-]+ - (.+?)\.jpg""), "".jpg"", """"), ""-"", "", ""), """")"),"")</f>
        <v/>
      </c>
      <c r="L12556" s="12"/>
      <c r="M12556" s="13"/>
      <c r="N12556" s="2"/>
      <c r="O12556" s="20"/>
      <c r="P12556" s="42"/>
      <c r="R12556" s="23"/>
    </row>
    <row r="12557" spans="1:18" ht="12.75">
      <c r="A12557" s="12"/>
      <c r="D12557" s="12"/>
      <c r="E12557" s="12"/>
      <c r="H12557" s="11" t="str">
        <f ca="1">IFERROR(__xludf.DUMMYFUNCTION("IFERROR(SUBSTITUTE(SUBSTITUTE(REGEXEXTRACT(A12557, ""[^-]+- [^-]+- [^-]+ - (.+?)\.jpg""), "".jpg"", """"), ""-"", "", ""), """")"),"")</f>
        <v/>
      </c>
      <c r="L12557" s="12"/>
      <c r="M12557" s="13"/>
      <c r="N12557" s="2"/>
      <c r="O12557" s="20"/>
      <c r="P12557" s="42"/>
      <c r="R12557" s="23"/>
    </row>
    <row r="12558" spans="1:18" ht="12.75">
      <c r="A12558" s="12"/>
      <c r="D12558" s="12"/>
      <c r="E12558" s="12"/>
      <c r="H12558" s="11" t="str">
        <f ca="1">IFERROR(__xludf.DUMMYFUNCTION("IFERROR(SUBSTITUTE(SUBSTITUTE(REGEXEXTRACT(A12558, ""[^-]+- [^-]+- [^-]+ - (.+?)\.jpg""), "".jpg"", """"), ""-"", "", ""), """")"),"")</f>
        <v/>
      </c>
      <c r="L12558" s="12"/>
      <c r="M12558" s="13"/>
      <c r="N12558" s="2"/>
      <c r="O12558" s="20"/>
      <c r="P12558" s="42"/>
      <c r="R12558" s="23"/>
    </row>
    <row r="12559" spans="1:18" ht="12.75">
      <c r="A12559" s="12"/>
      <c r="D12559" s="12"/>
      <c r="E12559" s="12"/>
      <c r="H12559" s="11" t="str">
        <f ca="1">IFERROR(__xludf.DUMMYFUNCTION("IFERROR(SUBSTITUTE(SUBSTITUTE(REGEXEXTRACT(A12559, ""[^-]+- [^-]+- [^-]+ - (.+?)\.jpg""), "".jpg"", """"), ""-"", "", ""), """")"),"")</f>
        <v/>
      </c>
      <c r="L12559" s="12"/>
      <c r="M12559" s="13"/>
      <c r="N12559" s="2"/>
      <c r="O12559" s="20"/>
      <c r="P12559" s="42"/>
      <c r="R12559" s="23"/>
    </row>
    <row r="12560" spans="1:18" ht="12.75">
      <c r="A12560" s="12"/>
      <c r="D12560" s="12"/>
      <c r="E12560" s="12"/>
      <c r="H12560" s="11" t="str">
        <f ca="1">IFERROR(__xludf.DUMMYFUNCTION("IFERROR(SUBSTITUTE(SUBSTITUTE(REGEXEXTRACT(A12560, ""[^-]+- [^-]+- [^-]+ - (.+?)\.jpg""), "".jpg"", """"), ""-"", "", ""), """")"),"")</f>
        <v/>
      </c>
      <c r="L12560" s="12"/>
      <c r="M12560" s="13"/>
      <c r="N12560" s="2"/>
      <c r="O12560" s="20"/>
      <c r="P12560" s="42"/>
      <c r="R12560" s="23"/>
    </row>
    <row r="12561" spans="1:18" ht="12.75">
      <c r="A12561" s="12"/>
      <c r="D12561" s="12"/>
      <c r="E12561" s="12"/>
      <c r="H12561" s="11" t="str">
        <f ca="1">IFERROR(__xludf.DUMMYFUNCTION("IFERROR(SUBSTITUTE(SUBSTITUTE(REGEXEXTRACT(A12561, ""[^-]+- [^-]+- [^-]+ - (.+?)\.jpg""), "".jpg"", """"), ""-"", "", ""), """")"),"")</f>
        <v/>
      </c>
      <c r="L12561" s="12"/>
      <c r="M12561" s="13"/>
      <c r="N12561" s="2"/>
      <c r="O12561" s="20"/>
      <c r="P12561" s="42"/>
      <c r="R12561" s="23"/>
    </row>
    <row r="12562" spans="1:18" ht="12.75">
      <c r="A12562" s="12"/>
      <c r="D12562" s="12"/>
      <c r="E12562" s="12"/>
      <c r="H12562" s="11" t="str">
        <f ca="1">IFERROR(__xludf.DUMMYFUNCTION("IFERROR(SUBSTITUTE(SUBSTITUTE(REGEXEXTRACT(A12562, ""[^-]+- [^-]+- [^-]+ - (.+?)\.jpg""), "".jpg"", """"), ""-"", "", ""), """")"),"")</f>
        <v/>
      </c>
      <c r="L12562" s="12"/>
      <c r="M12562" s="13"/>
      <c r="N12562" s="2"/>
      <c r="O12562" s="20"/>
      <c r="P12562" s="42"/>
      <c r="R12562" s="23"/>
    </row>
    <row r="12563" spans="1:18" ht="12.75">
      <c r="A12563" s="12"/>
      <c r="D12563" s="12"/>
      <c r="E12563" s="12"/>
      <c r="H12563" s="11" t="str">
        <f ca="1">IFERROR(__xludf.DUMMYFUNCTION("IFERROR(SUBSTITUTE(SUBSTITUTE(REGEXEXTRACT(A12563, ""[^-]+- [^-]+- [^-]+ - (.+?)\.jpg""), "".jpg"", """"), ""-"", "", ""), """")"),"")</f>
        <v/>
      </c>
      <c r="L12563" s="12"/>
      <c r="M12563" s="13"/>
      <c r="N12563" s="2"/>
      <c r="O12563" s="20"/>
      <c r="P12563" s="42"/>
      <c r="R12563" s="23"/>
    </row>
    <row r="12564" spans="1:18" ht="12.75">
      <c r="A12564" s="12"/>
      <c r="D12564" s="12"/>
      <c r="E12564" s="12"/>
      <c r="H12564" s="11" t="str">
        <f ca="1">IFERROR(__xludf.DUMMYFUNCTION("IFERROR(SUBSTITUTE(SUBSTITUTE(REGEXEXTRACT(A12564, ""[^-]+- [^-]+- [^-]+ - (.+?)\.jpg""), "".jpg"", """"), ""-"", "", ""), """")"),"")</f>
        <v/>
      </c>
      <c r="L12564" s="12"/>
      <c r="M12564" s="13"/>
      <c r="N12564" s="2"/>
      <c r="O12564" s="20"/>
      <c r="P12564" s="42"/>
      <c r="R12564" s="23"/>
    </row>
    <row r="12565" spans="1:18" ht="12.75">
      <c r="A12565" s="12"/>
      <c r="D12565" s="12"/>
      <c r="E12565" s="12"/>
      <c r="H12565" s="11" t="str">
        <f ca="1">IFERROR(__xludf.DUMMYFUNCTION("IFERROR(SUBSTITUTE(SUBSTITUTE(REGEXEXTRACT(A12565, ""[^-]+- [^-]+- [^-]+ - (.+?)\.jpg""), "".jpg"", """"), ""-"", "", ""), """")"),"")</f>
        <v/>
      </c>
      <c r="L12565" s="12"/>
      <c r="M12565" s="13"/>
      <c r="N12565" s="2"/>
      <c r="O12565" s="20"/>
      <c r="P12565" s="42"/>
      <c r="R12565" s="23"/>
    </row>
    <row r="12566" spans="1:18" ht="12.75">
      <c r="A12566" s="12"/>
      <c r="D12566" s="12"/>
      <c r="E12566" s="12"/>
      <c r="H12566" s="11" t="str">
        <f ca="1">IFERROR(__xludf.DUMMYFUNCTION("IFERROR(SUBSTITUTE(SUBSTITUTE(REGEXEXTRACT(A12566, ""[^-]+- [^-]+- [^-]+ - (.+?)\.jpg""), "".jpg"", """"), ""-"", "", ""), """")"),"")</f>
        <v/>
      </c>
      <c r="L12566" s="12"/>
      <c r="M12566" s="13"/>
      <c r="N12566" s="2"/>
      <c r="O12566" s="20"/>
      <c r="P12566" s="42"/>
      <c r="R12566" s="23"/>
    </row>
    <row r="12567" spans="1:18" ht="12.75">
      <c r="A12567" s="12"/>
      <c r="D12567" s="12"/>
      <c r="E12567" s="12"/>
      <c r="H12567" s="11" t="str">
        <f ca="1">IFERROR(__xludf.DUMMYFUNCTION("IFERROR(SUBSTITUTE(SUBSTITUTE(REGEXEXTRACT(A12567, ""[^-]+- [^-]+- [^-]+ - (.+?)\.jpg""), "".jpg"", """"), ""-"", "", ""), """")"),"")</f>
        <v/>
      </c>
      <c r="L12567" s="12"/>
      <c r="M12567" s="13"/>
      <c r="N12567" s="2"/>
      <c r="O12567" s="20"/>
      <c r="P12567" s="42"/>
      <c r="R12567" s="23"/>
    </row>
    <row r="12568" spans="1:18" ht="12.75">
      <c r="A12568" s="12"/>
      <c r="D12568" s="12"/>
      <c r="E12568" s="12"/>
      <c r="H12568" s="11" t="str">
        <f ca="1">IFERROR(__xludf.DUMMYFUNCTION("IFERROR(SUBSTITUTE(SUBSTITUTE(REGEXEXTRACT(A12568, ""[^-]+- [^-]+- [^-]+ - (.+?)\.jpg""), "".jpg"", """"), ""-"", "", ""), """")"),"")</f>
        <v/>
      </c>
      <c r="L12568" s="12"/>
      <c r="M12568" s="13"/>
      <c r="N12568" s="2"/>
      <c r="O12568" s="20"/>
      <c r="P12568" s="42"/>
      <c r="R12568" s="23"/>
    </row>
    <row r="12569" spans="1:18" ht="12.75">
      <c r="A12569" s="12"/>
      <c r="D12569" s="12"/>
      <c r="E12569" s="12"/>
      <c r="H12569" s="11" t="str">
        <f ca="1">IFERROR(__xludf.DUMMYFUNCTION("IFERROR(SUBSTITUTE(SUBSTITUTE(REGEXEXTRACT(A12569, ""[^-]+- [^-]+- [^-]+ - (.+?)\.jpg""), "".jpg"", """"), ""-"", "", ""), """")"),"")</f>
        <v/>
      </c>
      <c r="L12569" s="12"/>
      <c r="M12569" s="13"/>
      <c r="N12569" s="2"/>
      <c r="O12569" s="20"/>
      <c r="P12569" s="42"/>
      <c r="R12569" s="23"/>
    </row>
    <row r="12570" spans="1:18" ht="12.75">
      <c r="A12570" s="12"/>
      <c r="D12570" s="12"/>
      <c r="E12570" s="12"/>
      <c r="H12570" s="11" t="str">
        <f ca="1">IFERROR(__xludf.DUMMYFUNCTION("IFERROR(SUBSTITUTE(SUBSTITUTE(REGEXEXTRACT(A12570, ""[^-]+- [^-]+- [^-]+ - (.+?)\.jpg""), "".jpg"", """"), ""-"", "", ""), """")"),"")</f>
        <v/>
      </c>
      <c r="L12570" s="12"/>
      <c r="M12570" s="13"/>
      <c r="N12570" s="2"/>
      <c r="O12570" s="20"/>
      <c r="P12570" s="42"/>
      <c r="R12570" s="23"/>
    </row>
    <row r="12571" spans="1:18" ht="12.75">
      <c r="A12571" s="12"/>
      <c r="D12571" s="12"/>
      <c r="E12571" s="12"/>
      <c r="H12571" s="11" t="str">
        <f ca="1">IFERROR(__xludf.DUMMYFUNCTION("IFERROR(SUBSTITUTE(SUBSTITUTE(REGEXEXTRACT(A12571, ""[^-]+- [^-]+- [^-]+ - (.+?)\.jpg""), "".jpg"", """"), ""-"", "", ""), """")"),"")</f>
        <v/>
      </c>
      <c r="L12571" s="12"/>
      <c r="M12571" s="13"/>
      <c r="N12571" s="2"/>
      <c r="O12571" s="20"/>
      <c r="P12571" s="42"/>
      <c r="R12571" s="23"/>
    </row>
    <row r="12572" spans="1:18" ht="12.75">
      <c r="A12572" s="12"/>
      <c r="D12572" s="12"/>
      <c r="E12572" s="12"/>
      <c r="H12572" s="11" t="str">
        <f ca="1">IFERROR(__xludf.DUMMYFUNCTION("IFERROR(SUBSTITUTE(SUBSTITUTE(REGEXEXTRACT(A12572, ""[^-]+- [^-]+- [^-]+ - (.+?)\.jpg""), "".jpg"", """"), ""-"", "", ""), """")"),"")</f>
        <v/>
      </c>
      <c r="L12572" s="12"/>
      <c r="M12572" s="13"/>
      <c r="N12572" s="2"/>
      <c r="O12572" s="20"/>
      <c r="P12572" s="42"/>
      <c r="R12572" s="23"/>
    </row>
    <row r="12573" spans="1:18" ht="12.75">
      <c r="A12573" s="12"/>
      <c r="D12573" s="12"/>
      <c r="E12573" s="12"/>
      <c r="H12573" s="11" t="str">
        <f ca="1">IFERROR(__xludf.DUMMYFUNCTION("IFERROR(SUBSTITUTE(SUBSTITUTE(REGEXEXTRACT(A12573, ""[^-]+- [^-]+- [^-]+ - (.+?)\.jpg""), "".jpg"", """"), ""-"", "", ""), """")"),"")</f>
        <v/>
      </c>
      <c r="L12573" s="12"/>
      <c r="M12573" s="13"/>
      <c r="N12573" s="2"/>
      <c r="O12573" s="20"/>
      <c r="P12573" s="42"/>
      <c r="R12573" s="23"/>
    </row>
    <row r="12574" spans="1:18" ht="12.75">
      <c r="A12574" s="12"/>
      <c r="D12574" s="12"/>
      <c r="E12574" s="12"/>
      <c r="H12574" s="11" t="str">
        <f ca="1">IFERROR(__xludf.DUMMYFUNCTION("IFERROR(SUBSTITUTE(SUBSTITUTE(REGEXEXTRACT(A12574, ""[^-]+- [^-]+- [^-]+ - (.+?)\.jpg""), "".jpg"", """"), ""-"", "", ""), """")"),"")</f>
        <v/>
      </c>
      <c r="L12574" s="12"/>
      <c r="M12574" s="13"/>
      <c r="N12574" s="2"/>
      <c r="O12574" s="20"/>
      <c r="P12574" s="42"/>
      <c r="R12574" s="23"/>
    </row>
    <row r="12575" spans="1:18" ht="12.75">
      <c r="A12575" s="12"/>
      <c r="D12575" s="12"/>
      <c r="E12575" s="12"/>
      <c r="H12575" s="11" t="str">
        <f ca="1">IFERROR(__xludf.DUMMYFUNCTION("IFERROR(SUBSTITUTE(SUBSTITUTE(REGEXEXTRACT(A12575, ""[^-]+- [^-]+- [^-]+ - (.+?)\.jpg""), "".jpg"", """"), ""-"", "", ""), """")"),"")</f>
        <v/>
      </c>
      <c r="L12575" s="12"/>
      <c r="M12575" s="13"/>
      <c r="N12575" s="2"/>
      <c r="O12575" s="20"/>
      <c r="P12575" s="42"/>
      <c r="R12575" s="23"/>
    </row>
    <row r="12576" spans="1:18" ht="12.75">
      <c r="A12576" s="12"/>
      <c r="D12576" s="12"/>
      <c r="E12576" s="12"/>
      <c r="H12576" s="11" t="str">
        <f ca="1">IFERROR(__xludf.DUMMYFUNCTION("IFERROR(SUBSTITUTE(SUBSTITUTE(REGEXEXTRACT(A12576, ""[^-]+- [^-]+- [^-]+ - (.+?)\.jpg""), "".jpg"", """"), ""-"", "", ""), """")"),"")</f>
        <v/>
      </c>
      <c r="L12576" s="12"/>
      <c r="M12576" s="13"/>
      <c r="N12576" s="2"/>
      <c r="O12576" s="20"/>
      <c r="P12576" s="42"/>
      <c r="R12576" s="23"/>
    </row>
    <row r="12577" spans="1:18" ht="12.75">
      <c r="A12577" s="12"/>
      <c r="D12577" s="12"/>
      <c r="E12577" s="12"/>
      <c r="H12577" s="11" t="str">
        <f ca="1">IFERROR(__xludf.DUMMYFUNCTION("IFERROR(SUBSTITUTE(SUBSTITUTE(REGEXEXTRACT(A12577, ""[^-]+- [^-]+- [^-]+ - (.+?)\.jpg""), "".jpg"", """"), ""-"", "", ""), """")"),"")</f>
        <v/>
      </c>
      <c r="L12577" s="12"/>
      <c r="M12577" s="13"/>
      <c r="N12577" s="2"/>
      <c r="O12577" s="20"/>
      <c r="P12577" s="42"/>
      <c r="R12577" s="23"/>
    </row>
    <row r="12578" spans="1:18" ht="12.75">
      <c r="A12578" s="12"/>
      <c r="D12578" s="12"/>
      <c r="E12578" s="12"/>
      <c r="H12578" s="11" t="str">
        <f ca="1">IFERROR(__xludf.DUMMYFUNCTION("IFERROR(SUBSTITUTE(SUBSTITUTE(REGEXEXTRACT(A12578, ""[^-]+- [^-]+- [^-]+ - (.+?)\.jpg""), "".jpg"", """"), ""-"", "", ""), """")"),"")</f>
        <v/>
      </c>
      <c r="L12578" s="12"/>
      <c r="M12578" s="13"/>
      <c r="N12578" s="2"/>
      <c r="O12578" s="20"/>
      <c r="P12578" s="42"/>
      <c r="R12578" s="23"/>
    </row>
    <row r="12579" spans="1:18" ht="12.75">
      <c r="A12579" s="12"/>
      <c r="D12579" s="12"/>
      <c r="E12579" s="12"/>
      <c r="H12579" s="11" t="str">
        <f ca="1">IFERROR(__xludf.DUMMYFUNCTION("IFERROR(SUBSTITUTE(SUBSTITUTE(REGEXEXTRACT(A12579, ""[^-]+- [^-]+- [^-]+ - (.+?)\.jpg""), "".jpg"", """"), ""-"", "", ""), """")"),"")</f>
        <v/>
      </c>
      <c r="L12579" s="12"/>
      <c r="M12579" s="13"/>
      <c r="N12579" s="2"/>
      <c r="O12579" s="20"/>
      <c r="P12579" s="42"/>
      <c r="R12579" s="23"/>
    </row>
    <row r="12580" spans="1:18" ht="12.75">
      <c r="A12580" s="12"/>
      <c r="D12580" s="12"/>
      <c r="E12580" s="12"/>
      <c r="H12580" s="11" t="str">
        <f ca="1">IFERROR(__xludf.DUMMYFUNCTION("IFERROR(SUBSTITUTE(SUBSTITUTE(REGEXEXTRACT(A12580, ""[^-]+- [^-]+- [^-]+ - (.+?)\.jpg""), "".jpg"", """"), ""-"", "", ""), """")"),"")</f>
        <v/>
      </c>
      <c r="L12580" s="12"/>
      <c r="M12580" s="13"/>
      <c r="N12580" s="2"/>
      <c r="O12580" s="20"/>
      <c r="P12580" s="42"/>
      <c r="R12580" s="23"/>
    </row>
    <row r="12581" spans="1:18" ht="12.75">
      <c r="A12581" s="12"/>
      <c r="D12581" s="12"/>
      <c r="E12581" s="12"/>
      <c r="H12581" s="11" t="str">
        <f ca="1">IFERROR(__xludf.DUMMYFUNCTION("IFERROR(SUBSTITUTE(SUBSTITUTE(REGEXEXTRACT(A12581, ""[^-]+- [^-]+- [^-]+ - (.+?)\.jpg""), "".jpg"", """"), ""-"", "", ""), """")"),"")</f>
        <v/>
      </c>
      <c r="L12581" s="12"/>
      <c r="M12581" s="13"/>
      <c r="N12581" s="2"/>
      <c r="O12581" s="20"/>
      <c r="P12581" s="42"/>
      <c r="R12581" s="23"/>
    </row>
    <row r="12582" spans="1:18" ht="12.75">
      <c r="A12582" s="12"/>
      <c r="D12582" s="12"/>
      <c r="E12582" s="12"/>
      <c r="H12582" s="11" t="str">
        <f ca="1">IFERROR(__xludf.DUMMYFUNCTION("IFERROR(SUBSTITUTE(SUBSTITUTE(REGEXEXTRACT(A12582, ""[^-]+- [^-]+- [^-]+ - (.+?)\.jpg""), "".jpg"", """"), ""-"", "", ""), """")"),"")</f>
        <v/>
      </c>
      <c r="L12582" s="12"/>
      <c r="M12582" s="13"/>
      <c r="N12582" s="2"/>
      <c r="O12582" s="20"/>
      <c r="P12582" s="42"/>
      <c r="R12582" s="23"/>
    </row>
    <row r="12583" spans="1:18" ht="12.75">
      <c r="A12583" s="12"/>
      <c r="D12583" s="12"/>
      <c r="E12583" s="12"/>
      <c r="H12583" s="11" t="str">
        <f ca="1">IFERROR(__xludf.DUMMYFUNCTION("IFERROR(SUBSTITUTE(SUBSTITUTE(REGEXEXTRACT(A12583, ""[^-]+- [^-]+- [^-]+ - (.+?)\.jpg""), "".jpg"", """"), ""-"", "", ""), """")"),"")</f>
        <v/>
      </c>
      <c r="L12583" s="12"/>
      <c r="M12583" s="13"/>
      <c r="N12583" s="2"/>
      <c r="O12583" s="20"/>
      <c r="P12583" s="42"/>
      <c r="R12583" s="23"/>
    </row>
    <row r="12584" spans="1:18" ht="12.75">
      <c r="A12584" s="12"/>
      <c r="D12584" s="12"/>
      <c r="E12584" s="12"/>
      <c r="H12584" s="11" t="str">
        <f ca="1">IFERROR(__xludf.DUMMYFUNCTION("IFERROR(SUBSTITUTE(SUBSTITUTE(REGEXEXTRACT(A12584, ""[^-]+- [^-]+- [^-]+ - (.+?)\.jpg""), "".jpg"", """"), ""-"", "", ""), """")"),"")</f>
        <v/>
      </c>
      <c r="L12584" s="12"/>
      <c r="M12584" s="13"/>
      <c r="N12584" s="2"/>
      <c r="O12584" s="20"/>
      <c r="P12584" s="42"/>
      <c r="R12584" s="23"/>
    </row>
    <row r="12585" spans="1:18" ht="12.75">
      <c r="A12585" s="12"/>
      <c r="D12585" s="12"/>
      <c r="E12585" s="12"/>
      <c r="H12585" s="11" t="str">
        <f ca="1">IFERROR(__xludf.DUMMYFUNCTION("IFERROR(SUBSTITUTE(SUBSTITUTE(REGEXEXTRACT(A12585, ""[^-]+- [^-]+- [^-]+ - (.+?)\.jpg""), "".jpg"", """"), ""-"", "", ""), """")"),"")</f>
        <v/>
      </c>
      <c r="L12585" s="12"/>
      <c r="M12585" s="13"/>
      <c r="N12585" s="2"/>
      <c r="O12585" s="20"/>
      <c r="P12585" s="42"/>
      <c r="R12585" s="23"/>
    </row>
    <row r="12586" spans="1:18" ht="12.75">
      <c r="A12586" s="12"/>
      <c r="D12586" s="12"/>
      <c r="E12586" s="12"/>
      <c r="H12586" s="11" t="str">
        <f ca="1">IFERROR(__xludf.DUMMYFUNCTION("IFERROR(SUBSTITUTE(SUBSTITUTE(REGEXEXTRACT(A12586, ""[^-]+- [^-]+- [^-]+ - (.+?)\.jpg""), "".jpg"", """"), ""-"", "", ""), """")"),"")</f>
        <v/>
      </c>
      <c r="L12586" s="12"/>
      <c r="M12586" s="13"/>
      <c r="N12586" s="2"/>
      <c r="O12586" s="20"/>
      <c r="P12586" s="42"/>
      <c r="R12586" s="23"/>
    </row>
    <row r="12587" spans="1:18" ht="12.75">
      <c r="A12587" s="12"/>
      <c r="D12587" s="12"/>
      <c r="E12587" s="12"/>
      <c r="H12587" s="11" t="str">
        <f ca="1">IFERROR(__xludf.DUMMYFUNCTION("IFERROR(SUBSTITUTE(SUBSTITUTE(REGEXEXTRACT(A12587, ""[^-]+- [^-]+- [^-]+ - (.+?)\.jpg""), "".jpg"", """"), ""-"", "", ""), """")"),"")</f>
        <v/>
      </c>
      <c r="L12587" s="12"/>
      <c r="M12587" s="13"/>
      <c r="N12587" s="2"/>
      <c r="O12587" s="20"/>
      <c r="P12587" s="42"/>
      <c r="R12587" s="23"/>
    </row>
    <row r="12588" spans="1:18" ht="12.75">
      <c r="A12588" s="12"/>
      <c r="D12588" s="12"/>
      <c r="E12588" s="12"/>
      <c r="H12588" s="11" t="str">
        <f ca="1">IFERROR(__xludf.DUMMYFUNCTION("IFERROR(SUBSTITUTE(SUBSTITUTE(REGEXEXTRACT(A12588, ""[^-]+- [^-]+- [^-]+ - (.+?)\.jpg""), "".jpg"", """"), ""-"", "", ""), """")"),"")</f>
        <v/>
      </c>
      <c r="L12588" s="12"/>
      <c r="M12588" s="13"/>
      <c r="N12588" s="2"/>
      <c r="O12588" s="20"/>
      <c r="P12588" s="42"/>
      <c r="R12588" s="23"/>
    </row>
    <row r="12589" spans="1:18" ht="12.75">
      <c r="A12589" s="12"/>
      <c r="D12589" s="12"/>
      <c r="E12589" s="12"/>
      <c r="H12589" s="11" t="str">
        <f ca="1">IFERROR(__xludf.DUMMYFUNCTION("IFERROR(SUBSTITUTE(SUBSTITUTE(REGEXEXTRACT(A12589, ""[^-]+- [^-]+- [^-]+ - (.+?)\.jpg""), "".jpg"", """"), ""-"", "", ""), """")"),"")</f>
        <v/>
      </c>
      <c r="L12589" s="12"/>
      <c r="M12589" s="13"/>
      <c r="N12589" s="2"/>
      <c r="O12589" s="20"/>
      <c r="P12589" s="42"/>
      <c r="R12589" s="23"/>
    </row>
    <row r="12590" spans="1:18" ht="12.75">
      <c r="A12590" s="12"/>
      <c r="D12590" s="12"/>
      <c r="E12590" s="12"/>
      <c r="H12590" s="11" t="str">
        <f ca="1">IFERROR(__xludf.DUMMYFUNCTION("IFERROR(SUBSTITUTE(SUBSTITUTE(REGEXEXTRACT(A12590, ""[^-]+- [^-]+- [^-]+ - (.+?)\.jpg""), "".jpg"", """"), ""-"", "", ""), """")"),"")</f>
        <v/>
      </c>
      <c r="L12590" s="12"/>
      <c r="M12590" s="13"/>
      <c r="N12590" s="2"/>
      <c r="O12590" s="20"/>
      <c r="P12590" s="42"/>
      <c r="R12590" s="23"/>
    </row>
    <row r="12591" spans="1:18" ht="12.75">
      <c r="A12591" s="12"/>
      <c r="D12591" s="12"/>
      <c r="E12591" s="12"/>
      <c r="H12591" s="11" t="str">
        <f ca="1">IFERROR(__xludf.DUMMYFUNCTION("IFERROR(SUBSTITUTE(SUBSTITUTE(REGEXEXTRACT(A12591, ""[^-]+- [^-]+- [^-]+ - (.+?)\.jpg""), "".jpg"", """"), ""-"", "", ""), """")"),"")</f>
        <v/>
      </c>
      <c r="L12591" s="12"/>
      <c r="M12591" s="13"/>
      <c r="N12591" s="2"/>
      <c r="O12591" s="20"/>
      <c r="P12591" s="42"/>
      <c r="R12591" s="23"/>
    </row>
    <row r="12592" spans="1:18" ht="12.75">
      <c r="A12592" s="12"/>
      <c r="D12592" s="12"/>
      <c r="E12592" s="12"/>
      <c r="H12592" s="11" t="str">
        <f ca="1">IFERROR(__xludf.DUMMYFUNCTION("IFERROR(SUBSTITUTE(SUBSTITUTE(REGEXEXTRACT(A12592, ""[^-]+- [^-]+- [^-]+ - (.+?)\.jpg""), "".jpg"", """"), ""-"", "", ""), """")"),"")</f>
        <v/>
      </c>
      <c r="L12592" s="12"/>
      <c r="M12592" s="13"/>
      <c r="N12592" s="2"/>
      <c r="O12592" s="20"/>
      <c r="P12592" s="42"/>
      <c r="R12592" s="23"/>
    </row>
    <row r="12593" spans="1:18" ht="12.75">
      <c r="A12593" s="12"/>
      <c r="D12593" s="12"/>
      <c r="E12593" s="12"/>
      <c r="H12593" s="11" t="str">
        <f ca="1">IFERROR(__xludf.DUMMYFUNCTION("IFERROR(SUBSTITUTE(SUBSTITUTE(REGEXEXTRACT(A12593, ""[^-]+- [^-]+- [^-]+ - (.+?)\.jpg""), "".jpg"", """"), ""-"", "", ""), """")"),"")</f>
        <v/>
      </c>
      <c r="L12593" s="12"/>
      <c r="M12593" s="13"/>
      <c r="N12593" s="2"/>
      <c r="O12593" s="20"/>
      <c r="P12593" s="42"/>
      <c r="R12593" s="23"/>
    </row>
    <row r="12594" spans="1:18" ht="12.75">
      <c r="A12594" s="12"/>
      <c r="D12594" s="12"/>
      <c r="E12594" s="12"/>
      <c r="H12594" s="11" t="str">
        <f ca="1">IFERROR(__xludf.DUMMYFUNCTION("IFERROR(SUBSTITUTE(SUBSTITUTE(REGEXEXTRACT(A12594, ""[^-]+- [^-]+- [^-]+ - (.+?)\.jpg""), "".jpg"", """"), ""-"", "", ""), """")"),"")</f>
        <v/>
      </c>
      <c r="L12594" s="12"/>
      <c r="M12594" s="13"/>
      <c r="N12594" s="2"/>
      <c r="O12594" s="20"/>
      <c r="P12594" s="42"/>
      <c r="R12594" s="23"/>
    </row>
    <row r="12595" spans="1:18" ht="12.75">
      <c r="A12595" s="12"/>
      <c r="D12595" s="12"/>
      <c r="E12595" s="12"/>
      <c r="H12595" s="11" t="str">
        <f ca="1">IFERROR(__xludf.DUMMYFUNCTION("IFERROR(SUBSTITUTE(SUBSTITUTE(REGEXEXTRACT(A12595, ""[^-]+- [^-]+- [^-]+ - (.+?)\.jpg""), "".jpg"", """"), ""-"", "", ""), """")"),"")</f>
        <v/>
      </c>
      <c r="L12595" s="12"/>
      <c r="M12595" s="13"/>
      <c r="N12595" s="2"/>
      <c r="O12595" s="20"/>
      <c r="P12595" s="42"/>
      <c r="R12595" s="23"/>
    </row>
    <row r="12596" spans="1:18" ht="12.75">
      <c r="A12596" s="12"/>
      <c r="D12596" s="12"/>
      <c r="E12596" s="12"/>
      <c r="H12596" s="11" t="str">
        <f ca="1">IFERROR(__xludf.DUMMYFUNCTION("IFERROR(SUBSTITUTE(SUBSTITUTE(REGEXEXTRACT(A12596, ""[^-]+- [^-]+- [^-]+ - (.+?)\.jpg""), "".jpg"", """"), ""-"", "", ""), """")"),"")</f>
        <v/>
      </c>
      <c r="L12596" s="12"/>
      <c r="M12596" s="13"/>
      <c r="N12596" s="2"/>
      <c r="O12596" s="20"/>
      <c r="P12596" s="42"/>
      <c r="R12596" s="23"/>
    </row>
    <row r="12597" spans="1:18" ht="12.75">
      <c r="A12597" s="12"/>
      <c r="D12597" s="12"/>
      <c r="E12597" s="12"/>
      <c r="H12597" s="11" t="str">
        <f ca="1">IFERROR(__xludf.DUMMYFUNCTION("IFERROR(SUBSTITUTE(SUBSTITUTE(REGEXEXTRACT(A12597, ""[^-]+- [^-]+- [^-]+ - (.+?)\.jpg""), "".jpg"", """"), ""-"", "", ""), """")"),"")</f>
        <v/>
      </c>
      <c r="L12597" s="12"/>
      <c r="M12597" s="13"/>
      <c r="N12597" s="2"/>
      <c r="O12597" s="20"/>
      <c r="P12597" s="42"/>
      <c r="R12597" s="23"/>
    </row>
    <row r="12598" spans="1:18" ht="12.75">
      <c r="A12598" s="12"/>
      <c r="D12598" s="12"/>
      <c r="E12598" s="12"/>
      <c r="H12598" s="11" t="str">
        <f ca="1">IFERROR(__xludf.DUMMYFUNCTION("IFERROR(SUBSTITUTE(SUBSTITUTE(REGEXEXTRACT(A12598, ""[^-]+- [^-]+- [^-]+ - (.+?)\.jpg""), "".jpg"", """"), ""-"", "", ""), """")"),"")</f>
        <v/>
      </c>
      <c r="L12598" s="12"/>
      <c r="M12598" s="13"/>
      <c r="N12598" s="2"/>
      <c r="O12598" s="20"/>
      <c r="P12598" s="42"/>
      <c r="R12598" s="23"/>
    </row>
    <row r="12599" spans="1:18" ht="12.75">
      <c r="A12599" s="12"/>
      <c r="D12599" s="12"/>
      <c r="E12599" s="12"/>
      <c r="H12599" s="11" t="str">
        <f ca="1">IFERROR(__xludf.DUMMYFUNCTION("IFERROR(SUBSTITUTE(SUBSTITUTE(REGEXEXTRACT(A12599, ""[^-]+- [^-]+- [^-]+ - (.+?)\.jpg""), "".jpg"", """"), ""-"", "", ""), """")"),"")</f>
        <v/>
      </c>
      <c r="L12599" s="12"/>
      <c r="M12599" s="13"/>
      <c r="N12599" s="2"/>
      <c r="O12599" s="20"/>
      <c r="P12599" s="42"/>
      <c r="R12599" s="23"/>
    </row>
    <row r="12600" spans="1:18" ht="12.75">
      <c r="A12600" s="12"/>
      <c r="D12600" s="12"/>
      <c r="E12600" s="12"/>
      <c r="H12600" s="11" t="str">
        <f ca="1">IFERROR(__xludf.DUMMYFUNCTION("IFERROR(SUBSTITUTE(SUBSTITUTE(REGEXEXTRACT(A12600, ""[^-]+- [^-]+- [^-]+ - (.+?)\.jpg""), "".jpg"", """"), ""-"", "", ""), """")"),"")</f>
        <v/>
      </c>
      <c r="L12600" s="12"/>
      <c r="M12600" s="13"/>
      <c r="N12600" s="2"/>
      <c r="O12600" s="20"/>
      <c r="P12600" s="42"/>
      <c r="R12600" s="23"/>
    </row>
    <row r="12601" spans="1:18" ht="12.75">
      <c r="A12601" s="12"/>
      <c r="D12601" s="12"/>
      <c r="E12601" s="12"/>
      <c r="H12601" s="11" t="str">
        <f ca="1">IFERROR(__xludf.DUMMYFUNCTION("IFERROR(SUBSTITUTE(SUBSTITUTE(REGEXEXTRACT(A12601, ""[^-]+- [^-]+- [^-]+ - (.+?)\.jpg""), "".jpg"", """"), ""-"", "", ""), """")"),"")</f>
        <v/>
      </c>
      <c r="L12601" s="12"/>
      <c r="M12601" s="13"/>
      <c r="N12601" s="2"/>
      <c r="O12601" s="20"/>
      <c r="P12601" s="42"/>
      <c r="R12601" s="23"/>
    </row>
    <row r="12602" spans="1:18" ht="12.75">
      <c r="A12602" s="12"/>
      <c r="D12602" s="12"/>
      <c r="E12602" s="12"/>
      <c r="H12602" s="11" t="str">
        <f ca="1">IFERROR(__xludf.DUMMYFUNCTION("IFERROR(SUBSTITUTE(SUBSTITUTE(REGEXEXTRACT(A12602, ""[^-]+- [^-]+- [^-]+ - (.+?)\.jpg""), "".jpg"", """"), ""-"", "", ""), """")"),"")</f>
        <v/>
      </c>
      <c r="L12602" s="12"/>
      <c r="M12602" s="13"/>
      <c r="N12602" s="2"/>
      <c r="O12602" s="20"/>
      <c r="P12602" s="42"/>
      <c r="R12602" s="23"/>
    </row>
    <row r="12603" spans="1:18" ht="12.75">
      <c r="A12603" s="12"/>
      <c r="D12603" s="12"/>
      <c r="E12603" s="12"/>
      <c r="H12603" s="11" t="str">
        <f ca="1">IFERROR(__xludf.DUMMYFUNCTION("IFERROR(SUBSTITUTE(SUBSTITUTE(REGEXEXTRACT(A12603, ""[^-]+- [^-]+- [^-]+ - (.+?)\.jpg""), "".jpg"", """"), ""-"", "", ""), """")"),"")</f>
        <v/>
      </c>
      <c r="L12603" s="12"/>
      <c r="M12603" s="13"/>
      <c r="N12603" s="2"/>
      <c r="O12603" s="20"/>
      <c r="P12603" s="42"/>
      <c r="R12603" s="23"/>
    </row>
    <row r="12604" spans="1:18" ht="12.75">
      <c r="A12604" s="12"/>
      <c r="D12604" s="12"/>
      <c r="E12604" s="12"/>
      <c r="H12604" s="11" t="str">
        <f ca="1">IFERROR(__xludf.DUMMYFUNCTION("IFERROR(SUBSTITUTE(SUBSTITUTE(REGEXEXTRACT(A12604, ""[^-]+- [^-]+- [^-]+ - (.+?)\.jpg""), "".jpg"", """"), ""-"", "", ""), """")"),"")</f>
        <v/>
      </c>
      <c r="L12604" s="12"/>
      <c r="M12604" s="13"/>
      <c r="N12604" s="2"/>
      <c r="O12604" s="20"/>
      <c r="P12604" s="42"/>
      <c r="R12604" s="23"/>
    </row>
    <row r="12605" spans="1:18" ht="12.75">
      <c r="A12605" s="12"/>
      <c r="D12605" s="12"/>
      <c r="E12605" s="12"/>
      <c r="H12605" s="11" t="str">
        <f ca="1">IFERROR(__xludf.DUMMYFUNCTION("IFERROR(SUBSTITUTE(SUBSTITUTE(REGEXEXTRACT(A12605, ""[^-]+- [^-]+- [^-]+ - (.+?)\.jpg""), "".jpg"", """"), ""-"", "", ""), """")"),"")</f>
        <v/>
      </c>
      <c r="L12605" s="12"/>
      <c r="M12605" s="13"/>
      <c r="N12605" s="2"/>
      <c r="O12605" s="20"/>
      <c r="P12605" s="42"/>
      <c r="R12605" s="23"/>
    </row>
    <row r="12606" spans="1:18" ht="12.75">
      <c r="A12606" s="12"/>
      <c r="D12606" s="12"/>
      <c r="E12606" s="12"/>
      <c r="H12606" s="11" t="str">
        <f ca="1">IFERROR(__xludf.DUMMYFUNCTION("IFERROR(SUBSTITUTE(SUBSTITUTE(REGEXEXTRACT(A12606, ""[^-]+- [^-]+- [^-]+ - (.+?)\.jpg""), "".jpg"", """"), ""-"", "", ""), """")"),"")</f>
        <v/>
      </c>
      <c r="L12606" s="12"/>
      <c r="M12606" s="13"/>
      <c r="N12606" s="2"/>
      <c r="O12606" s="20"/>
      <c r="P12606" s="42"/>
      <c r="R12606" s="23"/>
    </row>
    <row r="12607" spans="1:18" ht="12.75">
      <c r="A12607" s="12"/>
      <c r="D12607" s="12"/>
      <c r="E12607" s="12"/>
      <c r="H12607" s="11" t="str">
        <f ca="1">IFERROR(__xludf.DUMMYFUNCTION("IFERROR(SUBSTITUTE(SUBSTITUTE(REGEXEXTRACT(A12607, ""[^-]+- [^-]+- [^-]+ - (.+?)\.jpg""), "".jpg"", """"), ""-"", "", ""), """")"),"")</f>
        <v/>
      </c>
      <c r="L12607" s="12"/>
      <c r="M12607" s="13"/>
      <c r="N12607" s="2"/>
      <c r="O12607" s="20"/>
      <c r="P12607" s="42"/>
      <c r="R12607" s="23"/>
    </row>
    <row r="12608" spans="1:18" ht="12.75">
      <c r="A12608" s="12"/>
      <c r="D12608" s="12"/>
      <c r="E12608" s="12"/>
      <c r="H12608" s="11" t="str">
        <f ca="1">IFERROR(__xludf.DUMMYFUNCTION("IFERROR(SUBSTITUTE(SUBSTITUTE(REGEXEXTRACT(A12608, ""[^-]+- [^-]+- [^-]+ - (.+?)\.jpg""), "".jpg"", """"), ""-"", "", ""), """")"),"")</f>
        <v/>
      </c>
      <c r="L12608" s="12"/>
      <c r="M12608" s="13"/>
      <c r="N12608" s="2"/>
      <c r="O12608" s="20"/>
      <c r="P12608" s="42"/>
      <c r="R12608" s="23"/>
    </row>
    <row r="12609" spans="1:18" ht="12.75">
      <c r="A12609" s="12"/>
      <c r="D12609" s="12"/>
      <c r="E12609" s="12"/>
      <c r="H12609" s="11" t="str">
        <f ca="1">IFERROR(__xludf.DUMMYFUNCTION("IFERROR(SUBSTITUTE(SUBSTITUTE(REGEXEXTRACT(A12609, ""[^-]+- [^-]+- [^-]+ - (.+?)\.jpg""), "".jpg"", """"), ""-"", "", ""), """")"),"")</f>
        <v/>
      </c>
      <c r="L12609" s="12"/>
      <c r="M12609" s="13"/>
      <c r="N12609" s="2"/>
      <c r="O12609" s="20"/>
      <c r="P12609" s="42"/>
      <c r="R12609" s="23"/>
    </row>
    <row r="12610" spans="1:18" ht="12.75">
      <c r="A12610" s="12"/>
      <c r="D12610" s="12"/>
      <c r="E12610" s="12"/>
      <c r="H12610" s="11" t="str">
        <f ca="1">IFERROR(__xludf.DUMMYFUNCTION("IFERROR(SUBSTITUTE(SUBSTITUTE(REGEXEXTRACT(A12610, ""[^-]+- [^-]+- [^-]+ - (.+?)\.jpg""), "".jpg"", """"), ""-"", "", ""), """")"),"")</f>
        <v/>
      </c>
      <c r="L12610" s="12"/>
      <c r="M12610" s="13"/>
      <c r="N12610" s="2"/>
      <c r="O12610" s="20"/>
      <c r="P12610" s="42"/>
      <c r="R12610" s="23"/>
    </row>
    <row r="12611" spans="1:18" ht="12.75">
      <c r="A12611" s="12"/>
      <c r="D12611" s="12"/>
      <c r="E12611" s="12"/>
      <c r="H12611" s="11" t="str">
        <f ca="1">IFERROR(__xludf.DUMMYFUNCTION("IFERROR(SUBSTITUTE(SUBSTITUTE(REGEXEXTRACT(A12611, ""[^-]+- [^-]+- [^-]+ - (.+?)\.jpg""), "".jpg"", """"), ""-"", "", ""), """")"),"")</f>
        <v/>
      </c>
      <c r="L12611" s="12"/>
      <c r="M12611" s="13"/>
      <c r="N12611" s="2"/>
      <c r="O12611" s="20"/>
      <c r="P12611" s="42"/>
      <c r="R12611" s="23"/>
    </row>
    <row r="12612" spans="1:18" ht="12.75">
      <c r="A12612" s="12"/>
      <c r="D12612" s="12"/>
      <c r="E12612" s="12"/>
      <c r="H12612" s="11" t="str">
        <f ca="1">IFERROR(__xludf.DUMMYFUNCTION("IFERROR(SUBSTITUTE(SUBSTITUTE(REGEXEXTRACT(A12612, ""[^-]+- [^-]+- [^-]+ - (.+?)\.jpg""), "".jpg"", """"), ""-"", "", ""), """")"),"")</f>
        <v/>
      </c>
      <c r="L12612" s="12"/>
      <c r="M12612" s="13"/>
      <c r="N12612" s="2"/>
      <c r="O12612" s="20"/>
      <c r="P12612" s="42"/>
      <c r="R12612" s="23"/>
    </row>
    <row r="12613" spans="1:18" ht="12.75">
      <c r="A12613" s="12"/>
      <c r="D12613" s="12"/>
      <c r="E12613" s="12"/>
      <c r="H12613" s="11" t="str">
        <f ca="1">IFERROR(__xludf.DUMMYFUNCTION("IFERROR(SUBSTITUTE(SUBSTITUTE(REGEXEXTRACT(A12613, ""[^-]+- [^-]+- [^-]+ - (.+?)\.jpg""), "".jpg"", """"), ""-"", "", ""), """")"),"")</f>
        <v/>
      </c>
      <c r="L12613" s="12"/>
      <c r="M12613" s="13"/>
      <c r="N12613" s="2"/>
      <c r="O12613" s="20"/>
      <c r="P12613" s="42"/>
      <c r="R12613" s="23"/>
    </row>
    <row r="12614" spans="1:18" ht="12.75">
      <c r="A12614" s="12"/>
      <c r="D12614" s="12"/>
      <c r="E12614" s="12"/>
      <c r="H12614" s="11" t="str">
        <f ca="1">IFERROR(__xludf.DUMMYFUNCTION("IFERROR(SUBSTITUTE(SUBSTITUTE(REGEXEXTRACT(A12614, ""[^-]+- [^-]+- [^-]+ - (.+?)\.jpg""), "".jpg"", """"), ""-"", "", ""), """")"),"")</f>
        <v/>
      </c>
      <c r="L12614" s="12"/>
      <c r="M12614" s="13"/>
      <c r="N12614" s="2"/>
      <c r="O12614" s="20"/>
      <c r="P12614" s="42"/>
      <c r="R12614" s="23"/>
    </row>
    <row r="12615" spans="1:18" ht="12.75">
      <c r="A12615" s="12"/>
      <c r="D12615" s="12"/>
      <c r="E12615" s="12"/>
      <c r="H12615" s="11" t="str">
        <f ca="1">IFERROR(__xludf.DUMMYFUNCTION("IFERROR(SUBSTITUTE(SUBSTITUTE(REGEXEXTRACT(A12615, ""[^-]+- [^-]+- [^-]+ - (.+?)\.jpg""), "".jpg"", """"), ""-"", "", ""), """")"),"")</f>
        <v/>
      </c>
      <c r="L12615" s="12"/>
      <c r="M12615" s="13"/>
      <c r="N12615" s="2"/>
      <c r="O12615" s="20"/>
      <c r="P12615" s="42"/>
      <c r="R12615" s="23"/>
    </row>
    <row r="12616" spans="1:18" ht="12.75">
      <c r="A12616" s="12"/>
      <c r="D12616" s="12"/>
      <c r="E12616" s="12"/>
      <c r="H12616" s="11" t="str">
        <f ca="1">IFERROR(__xludf.DUMMYFUNCTION("IFERROR(SUBSTITUTE(SUBSTITUTE(REGEXEXTRACT(A12616, ""[^-]+- [^-]+- [^-]+ - (.+?)\.jpg""), "".jpg"", """"), ""-"", "", ""), """")"),"")</f>
        <v/>
      </c>
      <c r="L12616" s="12"/>
      <c r="M12616" s="13"/>
      <c r="N12616" s="2"/>
      <c r="O12616" s="20"/>
      <c r="P12616" s="42"/>
      <c r="R12616" s="23"/>
    </row>
    <row r="12617" spans="1:18" ht="12.75">
      <c r="A12617" s="12"/>
      <c r="D12617" s="12"/>
      <c r="E12617" s="12"/>
      <c r="H12617" s="11" t="str">
        <f ca="1">IFERROR(__xludf.DUMMYFUNCTION("IFERROR(SUBSTITUTE(SUBSTITUTE(REGEXEXTRACT(A12617, ""[^-]+- [^-]+- [^-]+ - (.+?)\.jpg""), "".jpg"", """"), ""-"", "", ""), """")"),"")</f>
        <v/>
      </c>
      <c r="L12617" s="12"/>
      <c r="M12617" s="13"/>
      <c r="N12617" s="2"/>
      <c r="O12617" s="20"/>
      <c r="P12617" s="42"/>
      <c r="R12617" s="23"/>
    </row>
    <row r="12618" spans="1:18" ht="12.75">
      <c r="A12618" s="12"/>
      <c r="D12618" s="12"/>
      <c r="E12618" s="12"/>
      <c r="H12618" s="11" t="str">
        <f ca="1">IFERROR(__xludf.DUMMYFUNCTION("IFERROR(SUBSTITUTE(SUBSTITUTE(REGEXEXTRACT(A12618, ""[^-]+- [^-]+- [^-]+ - (.+?)\.jpg""), "".jpg"", """"), ""-"", "", ""), """")"),"")</f>
        <v/>
      </c>
      <c r="L12618" s="12"/>
      <c r="M12618" s="13"/>
      <c r="N12618" s="2"/>
      <c r="O12618" s="20"/>
      <c r="P12618" s="42"/>
      <c r="R12618" s="23"/>
    </row>
    <row r="12619" spans="1:18" ht="12.75">
      <c r="A12619" s="12"/>
      <c r="D12619" s="12"/>
      <c r="E12619" s="12"/>
      <c r="H12619" s="11" t="str">
        <f ca="1">IFERROR(__xludf.DUMMYFUNCTION("IFERROR(SUBSTITUTE(SUBSTITUTE(REGEXEXTRACT(A12619, ""[^-]+- [^-]+- [^-]+ - (.+?)\.jpg""), "".jpg"", """"), ""-"", "", ""), """")"),"")</f>
        <v/>
      </c>
      <c r="L12619" s="12"/>
      <c r="M12619" s="13"/>
      <c r="N12619" s="2"/>
      <c r="O12619" s="20"/>
      <c r="P12619" s="42"/>
      <c r="R12619" s="23"/>
    </row>
    <row r="12620" spans="1:18" ht="12.75">
      <c r="A12620" s="12"/>
      <c r="D12620" s="12"/>
      <c r="E12620" s="12"/>
      <c r="H12620" s="11" t="str">
        <f ca="1">IFERROR(__xludf.DUMMYFUNCTION("IFERROR(SUBSTITUTE(SUBSTITUTE(REGEXEXTRACT(A12620, ""[^-]+- [^-]+- [^-]+ - (.+?)\.jpg""), "".jpg"", """"), ""-"", "", ""), """")"),"")</f>
        <v/>
      </c>
      <c r="L12620" s="12"/>
      <c r="M12620" s="13"/>
      <c r="N12620" s="2"/>
      <c r="O12620" s="20"/>
      <c r="P12620" s="42"/>
      <c r="R12620" s="23"/>
    </row>
    <row r="12621" spans="1:18" ht="12.75">
      <c r="A12621" s="12"/>
      <c r="D12621" s="12"/>
      <c r="E12621" s="12"/>
      <c r="H12621" s="11" t="str">
        <f ca="1">IFERROR(__xludf.DUMMYFUNCTION("IFERROR(SUBSTITUTE(SUBSTITUTE(REGEXEXTRACT(A12621, ""[^-]+- [^-]+- [^-]+ - (.+?)\.jpg""), "".jpg"", """"), ""-"", "", ""), """")"),"")</f>
        <v/>
      </c>
      <c r="L12621" s="12"/>
      <c r="M12621" s="13"/>
      <c r="N12621" s="2"/>
      <c r="O12621" s="20"/>
      <c r="P12621" s="42"/>
      <c r="R12621" s="23"/>
    </row>
    <row r="12622" spans="1:18" ht="12.75">
      <c r="A12622" s="12"/>
      <c r="D12622" s="12"/>
      <c r="E12622" s="12"/>
      <c r="H12622" s="11" t="str">
        <f ca="1">IFERROR(__xludf.DUMMYFUNCTION("IFERROR(SUBSTITUTE(SUBSTITUTE(REGEXEXTRACT(A12622, ""[^-]+- [^-]+- [^-]+ - (.+?)\.jpg""), "".jpg"", """"), ""-"", "", ""), """")"),"")</f>
        <v/>
      </c>
      <c r="L12622" s="12"/>
      <c r="M12622" s="13"/>
      <c r="N12622" s="2"/>
      <c r="O12622" s="20"/>
      <c r="P12622" s="42"/>
      <c r="R12622" s="23"/>
    </row>
    <row r="12623" spans="1:18" ht="12.75">
      <c r="A12623" s="12"/>
      <c r="D12623" s="12"/>
      <c r="E12623" s="12"/>
      <c r="H12623" s="11" t="str">
        <f ca="1">IFERROR(__xludf.DUMMYFUNCTION("IFERROR(SUBSTITUTE(SUBSTITUTE(REGEXEXTRACT(A12623, ""[^-]+- [^-]+- [^-]+ - (.+?)\.jpg""), "".jpg"", """"), ""-"", "", ""), """")"),"")</f>
        <v/>
      </c>
      <c r="L12623" s="12"/>
      <c r="M12623" s="13"/>
      <c r="N12623" s="2"/>
      <c r="O12623" s="20"/>
      <c r="P12623" s="42"/>
      <c r="R12623" s="23"/>
    </row>
    <row r="12624" spans="1:18" ht="12.75">
      <c r="A12624" s="12"/>
      <c r="D12624" s="12"/>
      <c r="E12624" s="12"/>
      <c r="H12624" s="11" t="str">
        <f ca="1">IFERROR(__xludf.DUMMYFUNCTION("IFERROR(SUBSTITUTE(SUBSTITUTE(REGEXEXTRACT(A12624, ""[^-]+- [^-]+- [^-]+ - (.+?)\.jpg""), "".jpg"", """"), ""-"", "", ""), """")"),"")</f>
        <v/>
      </c>
      <c r="L12624" s="12"/>
      <c r="M12624" s="13"/>
      <c r="N12624" s="2"/>
      <c r="O12624" s="20"/>
      <c r="P12624" s="42"/>
      <c r="R12624" s="23"/>
    </row>
    <row r="12625" spans="1:18" ht="12.75">
      <c r="A12625" s="12"/>
      <c r="D12625" s="12"/>
      <c r="E12625" s="12"/>
      <c r="H12625" s="11" t="str">
        <f ca="1">IFERROR(__xludf.DUMMYFUNCTION("IFERROR(SUBSTITUTE(SUBSTITUTE(REGEXEXTRACT(A12625, ""[^-]+- [^-]+- [^-]+ - (.+?)\.jpg""), "".jpg"", """"), ""-"", "", ""), """")"),"")</f>
        <v/>
      </c>
      <c r="L12625" s="12"/>
      <c r="M12625" s="13"/>
      <c r="N12625" s="2"/>
      <c r="O12625" s="20"/>
      <c r="P12625" s="42"/>
      <c r="R12625" s="23"/>
    </row>
    <row r="12626" spans="1:18" ht="12.75">
      <c r="A12626" s="12"/>
      <c r="D12626" s="12"/>
      <c r="E12626" s="12"/>
      <c r="H12626" s="11" t="str">
        <f ca="1">IFERROR(__xludf.DUMMYFUNCTION("IFERROR(SUBSTITUTE(SUBSTITUTE(REGEXEXTRACT(A12626, ""[^-]+- [^-]+- [^-]+ - (.+?)\.jpg""), "".jpg"", """"), ""-"", "", ""), """")"),"")</f>
        <v/>
      </c>
      <c r="L12626" s="12"/>
      <c r="M12626" s="13"/>
      <c r="N12626" s="2"/>
      <c r="O12626" s="20"/>
      <c r="P12626" s="42"/>
      <c r="R12626" s="23"/>
    </row>
    <row r="12627" spans="1:18" ht="12.75">
      <c r="A12627" s="12"/>
      <c r="D12627" s="12"/>
      <c r="E12627" s="12"/>
      <c r="H12627" s="11" t="str">
        <f ca="1">IFERROR(__xludf.DUMMYFUNCTION("IFERROR(SUBSTITUTE(SUBSTITUTE(REGEXEXTRACT(A12627, ""[^-]+- [^-]+- [^-]+ - (.+?)\.jpg""), "".jpg"", """"), ""-"", "", ""), """")"),"")</f>
        <v/>
      </c>
      <c r="L12627" s="12"/>
      <c r="M12627" s="13"/>
      <c r="N12627" s="2"/>
      <c r="O12627" s="20"/>
      <c r="P12627" s="42"/>
      <c r="R12627" s="23"/>
    </row>
    <row r="12628" spans="1:18" ht="12.75">
      <c r="A12628" s="12"/>
      <c r="D12628" s="12"/>
      <c r="E12628" s="12"/>
      <c r="H12628" s="11" t="str">
        <f ca="1">IFERROR(__xludf.DUMMYFUNCTION("IFERROR(SUBSTITUTE(SUBSTITUTE(REGEXEXTRACT(A12628, ""[^-]+- [^-]+- [^-]+ - (.+?)\.jpg""), "".jpg"", """"), ""-"", "", ""), """")"),"")</f>
        <v/>
      </c>
      <c r="L12628" s="12"/>
      <c r="M12628" s="13"/>
      <c r="N12628" s="2"/>
      <c r="O12628" s="20"/>
      <c r="P12628" s="42"/>
      <c r="R12628" s="23"/>
    </row>
    <row r="12629" spans="1:18" ht="12.75">
      <c r="A12629" s="12"/>
      <c r="D12629" s="12"/>
      <c r="E12629" s="12"/>
      <c r="H12629" s="11" t="str">
        <f ca="1">IFERROR(__xludf.DUMMYFUNCTION("IFERROR(SUBSTITUTE(SUBSTITUTE(REGEXEXTRACT(A12629, ""[^-]+- [^-]+- [^-]+ - (.+?)\.jpg""), "".jpg"", """"), ""-"", "", ""), """")"),"")</f>
        <v/>
      </c>
      <c r="L12629" s="12"/>
      <c r="M12629" s="13"/>
      <c r="N12629" s="2"/>
      <c r="O12629" s="20"/>
      <c r="P12629" s="42"/>
      <c r="R12629" s="23"/>
    </row>
    <row r="12630" spans="1:18" ht="12.75">
      <c r="A12630" s="12"/>
      <c r="D12630" s="12"/>
      <c r="E12630" s="12"/>
      <c r="H12630" s="11" t="str">
        <f ca="1">IFERROR(__xludf.DUMMYFUNCTION("IFERROR(SUBSTITUTE(SUBSTITUTE(REGEXEXTRACT(A12630, ""[^-]+- [^-]+- [^-]+ - (.+?)\.jpg""), "".jpg"", """"), ""-"", "", ""), """")"),"")</f>
        <v/>
      </c>
      <c r="L12630" s="12"/>
      <c r="M12630" s="13"/>
      <c r="N12630" s="2"/>
      <c r="O12630" s="20"/>
      <c r="P12630" s="42"/>
      <c r="R12630" s="23"/>
    </row>
    <row r="12631" spans="1:18" ht="12.75">
      <c r="A12631" s="12"/>
      <c r="D12631" s="12"/>
      <c r="E12631" s="12"/>
      <c r="H12631" s="11" t="str">
        <f ca="1">IFERROR(__xludf.DUMMYFUNCTION("IFERROR(SUBSTITUTE(SUBSTITUTE(REGEXEXTRACT(A12631, ""[^-]+- [^-]+- [^-]+ - (.+?)\.jpg""), "".jpg"", """"), ""-"", "", ""), """")"),"")</f>
        <v/>
      </c>
      <c r="L12631" s="12"/>
      <c r="M12631" s="13"/>
      <c r="N12631" s="2"/>
      <c r="O12631" s="20"/>
      <c r="P12631" s="42"/>
      <c r="R12631" s="23"/>
    </row>
    <row r="12632" spans="1:18" ht="12.75">
      <c r="A12632" s="12"/>
      <c r="D12632" s="12"/>
      <c r="E12632" s="12"/>
      <c r="H12632" s="11" t="str">
        <f ca="1">IFERROR(__xludf.DUMMYFUNCTION("IFERROR(SUBSTITUTE(SUBSTITUTE(REGEXEXTRACT(A12632, ""[^-]+- [^-]+- [^-]+ - (.+?)\.jpg""), "".jpg"", """"), ""-"", "", ""), """")"),"")</f>
        <v/>
      </c>
      <c r="L12632" s="12"/>
      <c r="M12632" s="13"/>
      <c r="N12632" s="2"/>
      <c r="O12632" s="20"/>
      <c r="P12632" s="42"/>
      <c r="R12632" s="23"/>
    </row>
    <row r="12633" spans="1:18" ht="12.75">
      <c r="A12633" s="12"/>
      <c r="D12633" s="12"/>
      <c r="E12633" s="12"/>
      <c r="H12633" s="11" t="str">
        <f ca="1">IFERROR(__xludf.DUMMYFUNCTION("IFERROR(SUBSTITUTE(SUBSTITUTE(REGEXEXTRACT(A12633, ""[^-]+- [^-]+- [^-]+ - (.+?)\.jpg""), "".jpg"", """"), ""-"", "", ""), """")"),"")</f>
        <v/>
      </c>
      <c r="L12633" s="12"/>
      <c r="M12633" s="13"/>
      <c r="N12633" s="2"/>
      <c r="O12633" s="20"/>
      <c r="P12633" s="42"/>
      <c r="R12633" s="23"/>
    </row>
    <row r="12634" spans="1:18" ht="12.75">
      <c r="A12634" s="12"/>
      <c r="D12634" s="12"/>
      <c r="E12634" s="12"/>
      <c r="H12634" s="11" t="str">
        <f ca="1">IFERROR(__xludf.DUMMYFUNCTION("IFERROR(SUBSTITUTE(SUBSTITUTE(REGEXEXTRACT(A12634, ""[^-]+- [^-]+- [^-]+ - (.+?)\.jpg""), "".jpg"", """"), ""-"", "", ""), """")"),"")</f>
        <v/>
      </c>
      <c r="L12634" s="12"/>
      <c r="M12634" s="13"/>
      <c r="N12634" s="2"/>
      <c r="O12634" s="20"/>
      <c r="P12634" s="42"/>
      <c r="R12634" s="23"/>
    </row>
    <row r="12635" spans="1:18" ht="12.75">
      <c r="A12635" s="12"/>
      <c r="D12635" s="12"/>
      <c r="E12635" s="12"/>
      <c r="H12635" s="11" t="str">
        <f ca="1">IFERROR(__xludf.DUMMYFUNCTION("IFERROR(SUBSTITUTE(SUBSTITUTE(REGEXEXTRACT(A12635, ""[^-]+- [^-]+- [^-]+ - (.+?)\.jpg""), "".jpg"", """"), ""-"", "", ""), """")"),"")</f>
        <v/>
      </c>
      <c r="L12635" s="12"/>
      <c r="M12635" s="13"/>
      <c r="N12635" s="2"/>
      <c r="O12635" s="20"/>
      <c r="P12635" s="42"/>
      <c r="R12635" s="23"/>
    </row>
    <row r="12636" spans="1:18" ht="12.75">
      <c r="A12636" s="12"/>
      <c r="D12636" s="12"/>
      <c r="E12636" s="12"/>
      <c r="H12636" s="11" t="str">
        <f ca="1">IFERROR(__xludf.DUMMYFUNCTION("IFERROR(SUBSTITUTE(SUBSTITUTE(REGEXEXTRACT(A12636, ""[^-]+- [^-]+- [^-]+ - (.+?)\.jpg""), "".jpg"", """"), ""-"", "", ""), """")"),"")</f>
        <v/>
      </c>
      <c r="L12636" s="12"/>
      <c r="M12636" s="13"/>
      <c r="N12636" s="2"/>
      <c r="O12636" s="20"/>
      <c r="P12636" s="42"/>
      <c r="R12636" s="23"/>
    </row>
    <row r="12637" spans="1:18" ht="12.75">
      <c r="A12637" s="12"/>
      <c r="D12637" s="12"/>
      <c r="E12637" s="12"/>
      <c r="H12637" s="11" t="str">
        <f ca="1">IFERROR(__xludf.DUMMYFUNCTION("IFERROR(SUBSTITUTE(SUBSTITUTE(REGEXEXTRACT(A12637, ""[^-]+- [^-]+- [^-]+ - (.+?)\.jpg""), "".jpg"", """"), ""-"", "", ""), """")"),"")</f>
        <v/>
      </c>
      <c r="L12637" s="12"/>
      <c r="M12637" s="13"/>
      <c r="N12637" s="2"/>
      <c r="O12637" s="20"/>
      <c r="P12637" s="42"/>
      <c r="R12637" s="23"/>
    </row>
    <row r="12638" spans="1:18" ht="12.75">
      <c r="A12638" s="12"/>
      <c r="D12638" s="12"/>
      <c r="E12638" s="12"/>
      <c r="H12638" s="11" t="str">
        <f ca="1">IFERROR(__xludf.DUMMYFUNCTION("IFERROR(SUBSTITUTE(SUBSTITUTE(REGEXEXTRACT(A12638, ""[^-]+- [^-]+- [^-]+ - (.+?)\.jpg""), "".jpg"", """"), ""-"", "", ""), """")"),"")</f>
        <v/>
      </c>
      <c r="L12638" s="12"/>
      <c r="M12638" s="13"/>
      <c r="N12638" s="2"/>
      <c r="O12638" s="20"/>
      <c r="P12638" s="42"/>
      <c r="R12638" s="23"/>
    </row>
    <row r="12639" spans="1:18" ht="12.75">
      <c r="A12639" s="12"/>
      <c r="D12639" s="12"/>
      <c r="E12639" s="12"/>
      <c r="H12639" s="11" t="str">
        <f ca="1">IFERROR(__xludf.DUMMYFUNCTION("IFERROR(SUBSTITUTE(SUBSTITUTE(REGEXEXTRACT(A12639, ""[^-]+- [^-]+- [^-]+ - (.+?)\.jpg""), "".jpg"", """"), ""-"", "", ""), """")"),"")</f>
        <v/>
      </c>
      <c r="L12639" s="12"/>
      <c r="M12639" s="13"/>
      <c r="N12639" s="2"/>
      <c r="O12639" s="20"/>
      <c r="P12639" s="42"/>
      <c r="R12639" s="23"/>
    </row>
    <row r="12640" spans="1:18" ht="12.75">
      <c r="A12640" s="12"/>
      <c r="D12640" s="12"/>
      <c r="E12640" s="12"/>
      <c r="H12640" s="11" t="str">
        <f ca="1">IFERROR(__xludf.DUMMYFUNCTION("IFERROR(SUBSTITUTE(SUBSTITUTE(REGEXEXTRACT(A12640, ""[^-]+- [^-]+- [^-]+ - (.+?)\.jpg""), "".jpg"", """"), ""-"", "", ""), """")"),"")</f>
        <v/>
      </c>
      <c r="L12640" s="12"/>
      <c r="M12640" s="13"/>
      <c r="N12640" s="2"/>
      <c r="O12640" s="20"/>
      <c r="P12640" s="42"/>
      <c r="R12640" s="23"/>
    </row>
    <row r="12641" spans="1:18" ht="12.75">
      <c r="A12641" s="12"/>
      <c r="D12641" s="12"/>
      <c r="E12641" s="12"/>
      <c r="H12641" s="11" t="str">
        <f ca="1">IFERROR(__xludf.DUMMYFUNCTION("IFERROR(SUBSTITUTE(SUBSTITUTE(REGEXEXTRACT(A12641, ""[^-]+- [^-]+- [^-]+ - (.+?)\.jpg""), "".jpg"", """"), ""-"", "", ""), """")"),"")</f>
        <v/>
      </c>
      <c r="L12641" s="12"/>
      <c r="M12641" s="13"/>
      <c r="N12641" s="2"/>
      <c r="O12641" s="20"/>
      <c r="P12641" s="42"/>
      <c r="R12641" s="23"/>
    </row>
    <row r="12642" spans="1:18" ht="12.75">
      <c r="A12642" s="12"/>
      <c r="D12642" s="12"/>
      <c r="E12642" s="12"/>
      <c r="H12642" s="11" t="str">
        <f ca="1">IFERROR(__xludf.DUMMYFUNCTION("IFERROR(SUBSTITUTE(SUBSTITUTE(REGEXEXTRACT(A12642, ""[^-]+- [^-]+- [^-]+ - (.+?)\.jpg""), "".jpg"", """"), ""-"", "", ""), """")"),"")</f>
        <v/>
      </c>
      <c r="L12642" s="12"/>
      <c r="M12642" s="13"/>
      <c r="N12642" s="2"/>
      <c r="O12642" s="20"/>
      <c r="P12642" s="42"/>
      <c r="R12642" s="23"/>
    </row>
    <row r="12643" spans="1:18" ht="12.75">
      <c r="A12643" s="12"/>
      <c r="D12643" s="12"/>
      <c r="E12643" s="12"/>
      <c r="H12643" s="11" t="str">
        <f ca="1">IFERROR(__xludf.DUMMYFUNCTION("IFERROR(SUBSTITUTE(SUBSTITUTE(REGEXEXTRACT(A12643, ""[^-]+- [^-]+- [^-]+ - (.+?)\.jpg""), "".jpg"", """"), ""-"", "", ""), """")"),"")</f>
        <v/>
      </c>
      <c r="L12643" s="12"/>
      <c r="M12643" s="13"/>
      <c r="N12643" s="2"/>
      <c r="O12643" s="20"/>
      <c r="P12643" s="42"/>
      <c r="R12643" s="23"/>
    </row>
    <row r="12644" spans="1:18" ht="12.75">
      <c r="A12644" s="12"/>
      <c r="D12644" s="12"/>
      <c r="E12644" s="12"/>
      <c r="H12644" s="11" t="str">
        <f ca="1">IFERROR(__xludf.DUMMYFUNCTION("IFERROR(SUBSTITUTE(SUBSTITUTE(REGEXEXTRACT(A12644, ""[^-]+- [^-]+- [^-]+ - (.+?)\.jpg""), "".jpg"", """"), ""-"", "", ""), """")"),"")</f>
        <v/>
      </c>
      <c r="L12644" s="12"/>
      <c r="M12644" s="13"/>
      <c r="N12644" s="2"/>
      <c r="O12644" s="20"/>
      <c r="P12644" s="42"/>
      <c r="R12644" s="23"/>
    </row>
    <row r="12645" spans="1:18" ht="12.75">
      <c r="A12645" s="12"/>
      <c r="D12645" s="12"/>
      <c r="E12645" s="12"/>
      <c r="H12645" s="11" t="str">
        <f ca="1">IFERROR(__xludf.DUMMYFUNCTION("IFERROR(SUBSTITUTE(SUBSTITUTE(REGEXEXTRACT(A12645, ""[^-]+- [^-]+- [^-]+ - (.+?)\.jpg""), "".jpg"", """"), ""-"", "", ""), """")"),"")</f>
        <v/>
      </c>
      <c r="L12645" s="12"/>
      <c r="M12645" s="13"/>
      <c r="N12645" s="2"/>
      <c r="O12645" s="20"/>
      <c r="P12645" s="42"/>
      <c r="R12645" s="23"/>
    </row>
    <row r="12646" spans="1:18" ht="12.75">
      <c r="A12646" s="12"/>
      <c r="D12646" s="12"/>
      <c r="E12646" s="12"/>
      <c r="H12646" s="11" t="str">
        <f ca="1">IFERROR(__xludf.DUMMYFUNCTION("IFERROR(SUBSTITUTE(SUBSTITUTE(REGEXEXTRACT(A12646, ""[^-]+- [^-]+- [^-]+ - (.+?)\.jpg""), "".jpg"", """"), ""-"", "", ""), """")"),"")</f>
        <v/>
      </c>
      <c r="L12646" s="12"/>
      <c r="M12646" s="13"/>
      <c r="N12646" s="2"/>
      <c r="O12646" s="20"/>
      <c r="P12646" s="42"/>
      <c r="R12646" s="23"/>
    </row>
    <row r="12647" spans="1:18" ht="12.75">
      <c r="A12647" s="12"/>
      <c r="D12647" s="12"/>
      <c r="E12647" s="12"/>
      <c r="H12647" s="11" t="str">
        <f ca="1">IFERROR(__xludf.DUMMYFUNCTION("IFERROR(SUBSTITUTE(SUBSTITUTE(REGEXEXTRACT(A12647, ""[^-]+- [^-]+- [^-]+ - (.+?)\.jpg""), "".jpg"", """"), ""-"", "", ""), """")"),"")</f>
        <v/>
      </c>
      <c r="L12647" s="12"/>
      <c r="M12647" s="13"/>
      <c r="N12647" s="2"/>
      <c r="O12647" s="20"/>
      <c r="P12647" s="42"/>
      <c r="R12647" s="23"/>
    </row>
    <row r="12648" spans="1:18" ht="12.75">
      <c r="A12648" s="12"/>
      <c r="D12648" s="12"/>
      <c r="E12648" s="12"/>
      <c r="H12648" s="11" t="str">
        <f ca="1">IFERROR(__xludf.DUMMYFUNCTION("IFERROR(SUBSTITUTE(SUBSTITUTE(REGEXEXTRACT(A12648, ""[^-]+- [^-]+- [^-]+ - (.+?)\.jpg""), "".jpg"", """"), ""-"", "", ""), """")"),"")</f>
        <v/>
      </c>
      <c r="L12648" s="12"/>
      <c r="M12648" s="13"/>
      <c r="N12648" s="2"/>
      <c r="O12648" s="20"/>
      <c r="P12648" s="42"/>
      <c r="R12648" s="23"/>
    </row>
    <row r="12649" spans="1:18" ht="12.75">
      <c r="A12649" s="12"/>
      <c r="D12649" s="12"/>
      <c r="E12649" s="12"/>
      <c r="H12649" s="11" t="str">
        <f ca="1">IFERROR(__xludf.DUMMYFUNCTION("IFERROR(SUBSTITUTE(SUBSTITUTE(REGEXEXTRACT(A12649, ""[^-]+- [^-]+- [^-]+ - (.+?)\.jpg""), "".jpg"", """"), ""-"", "", ""), """")"),"")</f>
        <v/>
      </c>
      <c r="L12649" s="12"/>
      <c r="M12649" s="13"/>
      <c r="N12649" s="2"/>
      <c r="O12649" s="20"/>
      <c r="P12649" s="42"/>
      <c r="R12649" s="23"/>
    </row>
    <row r="12650" spans="1:18" ht="12.75">
      <c r="A12650" s="12"/>
      <c r="D12650" s="12"/>
      <c r="E12650" s="12"/>
      <c r="H12650" s="11" t="str">
        <f ca="1">IFERROR(__xludf.DUMMYFUNCTION("IFERROR(SUBSTITUTE(SUBSTITUTE(REGEXEXTRACT(A12650, ""[^-]+- [^-]+- [^-]+ - (.+?)\.jpg""), "".jpg"", """"), ""-"", "", ""), """")"),"")</f>
        <v/>
      </c>
      <c r="L12650" s="12"/>
      <c r="M12650" s="13"/>
      <c r="N12650" s="2"/>
      <c r="O12650" s="20"/>
      <c r="P12650" s="42"/>
      <c r="R12650" s="23"/>
    </row>
    <row r="12651" spans="1:18" ht="12.75">
      <c r="A12651" s="12"/>
      <c r="D12651" s="12"/>
      <c r="E12651" s="12"/>
      <c r="H12651" s="11" t="str">
        <f ca="1">IFERROR(__xludf.DUMMYFUNCTION("IFERROR(SUBSTITUTE(SUBSTITUTE(REGEXEXTRACT(A12651, ""[^-]+- [^-]+- [^-]+ - (.+?)\.jpg""), "".jpg"", """"), ""-"", "", ""), """")"),"")</f>
        <v/>
      </c>
      <c r="L12651" s="12"/>
      <c r="M12651" s="13"/>
      <c r="N12651" s="2"/>
      <c r="O12651" s="20"/>
      <c r="P12651" s="42"/>
      <c r="R12651" s="23"/>
    </row>
    <row r="12652" spans="1:18" ht="12.75">
      <c r="A12652" s="12"/>
      <c r="D12652" s="12"/>
      <c r="E12652" s="12"/>
      <c r="H12652" s="11" t="str">
        <f ca="1">IFERROR(__xludf.DUMMYFUNCTION("IFERROR(SUBSTITUTE(SUBSTITUTE(REGEXEXTRACT(A12652, ""[^-]+- [^-]+- [^-]+ - (.+?)\.jpg""), "".jpg"", """"), ""-"", "", ""), """")"),"")</f>
        <v/>
      </c>
      <c r="L12652" s="12"/>
      <c r="M12652" s="13"/>
      <c r="N12652" s="2"/>
      <c r="O12652" s="20"/>
      <c r="P12652" s="42"/>
      <c r="R12652" s="23"/>
    </row>
    <row r="12653" spans="1:18" ht="12.75">
      <c r="A12653" s="12"/>
      <c r="D12653" s="12"/>
      <c r="E12653" s="12"/>
      <c r="H12653" s="11" t="str">
        <f ca="1">IFERROR(__xludf.DUMMYFUNCTION("IFERROR(SUBSTITUTE(SUBSTITUTE(REGEXEXTRACT(A12653, ""[^-]+- [^-]+- [^-]+ - (.+?)\.jpg""), "".jpg"", """"), ""-"", "", ""), """")"),"")</f>
        <v/>
      </c>
      <c r="L12653" s="12"/>
      <c r="M12653" s="13"/>
      <c r="N12653" s="2"/>
      <c r="O12653" s="20"/>
      <c r="P12653" s="42"/>
      <c r="R12653" s="23"/>
    </row>
    <row r="12654" spans="1:18" ht="12.75">
      <c r="A12654" s="12"/>
      <c r="D12654" s="12"/>
      <c r="E12654" s="12"/>
      <c r="H12654" s="11" t="str">
        <f ca="1">IFERROR(__xludf.DUMMYFUNCTION("IFERROR(SUBSTITUTE(SUBSTITUTE(REGEXEXTRACT(A12654, ""[^-]+- [^-]+- [^-]+ - (.+?)\.jpg""), "".jpg"", """"), ""-"", "", ""), """")"),"")</f>
        <v/>
      </c>
      <c r="L12654" s="12"/>
      <c r="M12654" s="13"/>
      <c r="N12654" s="2"/>
      <c r="O12654" s="20"/>
      <c r="P12654" s="42"/>
      <c r="R12654" s="23"/>
    </row>
    <row r="12655" spans="1:18" ht="12.75">
      <c r="A12655" s="12"/>
      <c r="D12655" s="12"/>
      <c r="E12655" s="12"/>
      <c r="H12655" s="11" t="str">
        <f ca="1">IFERROR(__xludf.DUMMYFUNCTION("IFERROR(SUBSTITUTE(SUBSTITUTE(REGEXEXTRACT(A12655, ""[^-]+- [^-]+- [^-]+ - (.+?)\.jpg""), "".jpg"", """"), ""-"", "", ""), """")"),"")</f>
        <v/>
      </c>
      <c r="L12655" s="12"/>
      <c r="M12655" s="13"/>
      <c r="N12655" s="2"/>
      <c r="O12655" s="20"/>
      <c r="P12655" s="42"/>
      <c r="R12655" s="23"/>
    </row>
    <row r="12656" spans="1:18" ht="12.75">
      <c r="A12656" s="12"/>
      <c r="D12656" s="12"/>
      <c r="E12656" s="12"/>
      <c r="H12656" s="11" t="str">
        <f ca="1">IFERROR(__xludf.DUMMYFUNCTION("IFERROR(SUBSTITUTE(SUBSTITUTE(REGEXEXTRACT(A12656, ""[^-]+- [^-]+- [^-]+ - (.+?)\.jpg""), "".jpg"", """"), ""-"", "", ""), """")"),"")</f>
        <v/>
      </c>
      <c r="L12656" s="12"/>
      <c r="M12656" s="13"/>
      <c r="N12656" s="2"/>
      <c r="O12656" s="20"/>
      <c r="P12656" s="42"/>
      <c r="R12656" s="23"/>
    </row>
    <row r="12657" spans="1:18" ht="12.75">
      <c r="A12657" s="12"/>
      <c r="D12657" s="12"/>
      <c r="E12657" s="12"/>
      <c r="H12657" s="11" t="str">
        <f ca="1">IFERROR(__xludf.DUMMYFUNCTION("IFERROR(SUBSTITUTE(SUBSTITUTE(REGEXEXTRACT(A12657, ""[^-]+- [^-]+- [^-]+ - (.+?)\.jpg""), "".jpg"", """"), ""-"", "", ""), """")"),"")</f>
        <v/>
      </c>
      <c r="L12657" s="12"/>
      <c r="M12657" s="13"/>
      <c r="N12657" s="2"/>
      <c r="O12657" s="20"/>
      <c r="P12657" s="42"/>
      <c r="R12657" s="23"/>
    </row>
    <row r="12658" spans="1:18" ht="12.75">
      <c r="A12658" s="12"/>
      <c r="D12658" s="12"/>
      <c r="E12658" s="12"/>
      <c r="H12658" s="11" t="str">
        <f ca="1">IFERROR(__xludf.DUMMYFUNCTION("IFERROR(SUBSTITUTE(SUBSTITUTE(REGEXEXTRACT(A12658, ""[^-]+- [^-]+- [^-]+ - (.+?)\.jpg""), "".jpg"", """"), ""-"", "", ""), """")"),"")</f>
        <v/>
      </c>
      <c r="L12658" s="12"/>
      <c r="M12658" s="13"/>
      <c r="N12658" s="2"/>
      <c r="O12658" s="20"/>
      <c r="P12658" s="42"/>
      <c r="R12658" s="23"/>
    </row>
    <row r="12659" spans="1:18" ht="12.75">
      <c r="A12659" s="12"/>
      <c r="D12659" s="12"/>
      <c r="E12659" s="12"/>
      <c r="H12659" s="11" t="str">
        <f ca="1">IFERROR(__xludf.DUMMYFUNCTION("IFERROR(SUBSTITUTE(SUBSTITUTE(REGEXEXTRACT(A12659, ""[^-]+- [^-]+- [^-]+ - (.+?)\.jpg""), "".jpg"", """"), ""-"", "", ""), """")"),"")</f>
        <v/>
      </c>
      <c r="L12659" s="12"/>
      <c r="M12659" s="13"/>
      <c r="N12659" s="2"/>
      <c r="O12659" s="20"/>
      <c r="P12659" s="42"/>
      <c r="R12659" s="23"/>
    </row>
    <row r="12660" spans="1:18" ht="12.75">
      <c r="A12660" s="12"/>
      <c r="D12660" s="12"/>
      <c r="E12660" s="12"/>
      <c r="H12660" s="11" t="str">
        <f ca="1">IFERROR(__xludf.DUMMYFUNCTION("IFERROR(SUBSTITUTE(SUBSTITUTE(REGEXEXTRACT(A12660, ""[^-]+- [^-]+- [^-]+ - (.+?)\.jpg""), "".jpg"", """"), ""-"", "", ""), """")"),"")</f>
        <v/>
      </c>
      <c r="L12660" s="12"/>
      <c r="M12660" s="13"/>
      <c r="N12660" s="2"/>
      <c r="O12660" s="20"/>
      <c r="P12660" s="42"/>
      <c r="R12660" s="23"/>
    </row>
    <row r="12661" spans="1:18" ht="12.75">
      <c r="A12661" s="12"/>
      <c r="D12661" s="12"/>
      <c r="E12661" s="12"/>
      <c r="H12661" s="11" t="str">
        <f ca="1">IFERROR(__xludf.DUMMYFUNCTION("IFERROR(SUBSTITUTE(SUBSTITUTE(REGEXEXTRACT(A12661, ""[^-]+- [^-]+- [^-]+ - (.+?)\.jpg""), "".jpg"", """"), ""-"", "", ""), """")"),"")</f>
        <v/>
      </c>
      <c r="L12661" s="12"/>
      <c r="M12661" s="13"/>
      <c r="N12661" s="2"/>
      <c r="O12661" s="20"/>
      <c r="P12661" s="42"/>
      <c r="R12661" s="23"/>
    </row>
    <row r="12662" spans="1:18" ht="12.75">
      <c r="A12662" s="12"/>
      <c r="D12662" s="12"/>
      <c r="E12662" s="12"/>
      <c r="H12662" s="11" t="str">
        <f ca="1">IFERROR(__xludf.DUMMYFUNCTION("IFERROR(SUBSTITUTE(SUBSTITUTE(REGEXEXTRACT(A12662, ""[^-]+- [^-]+- [^-]+ - (.+?)\.jpg""), "".jpg"", """"), ""-"", "", ""), """")"),"")</f>
        <v/>
      </c>
      <c r="L12662" s="12"/>
      <c r="M12662" s="13"/>
      <c r="N12662" s="2"/>
      <c r="O12662" s="20"/>
      <c r="P12662" s="42"/>
      <c r="R12662" s="23"/>
    </row>
    <row r="12663" spans="1:18" ht="12.75">
      <c r="A12663" s="12"/>
      <c r="D12663" s="12"/>
      <c r="E12663" s="12"/>
      <c r="H12663" s="11" t="str">
        <f ca="1">IFERROR(__xludf.DUMMYFUNCTION("IFERROR(SUBSTITUTE(SUBSTITUTE(REGEXEXTRACT(A12663, ""[^-]+- [^-]+- [^-]+ - (.+?)\.jpg""), "".jpg"", """"), ""-"", "", ""), """")"),"")</f>
        <v/>
      </c>
      <c r="L12663" s="12"/>
      <c r="M12663" s="13"/>
      <c r="N12663" s="2"/>
      <c r="O12663" s="20"/>
      <c r="P12663" s="42"/>
      <c r="R12663" s="23"/>
    </row>
    <row r="12664" spans="1:18" ht="12.75">
      <c r="A12664" s="12"/>
      <c r="D12664" s="12"/>
      <c r="E12664" s="12"/>
      <c r="H12664" s="11" t="str">
        <f ca="1">IFERROR(__xludf.DUMMYFUNCTION("IFERROR(SUBSTITUTE(SUBSTITUTE(REGEXEXTRACT(A12664, ""[^-]+- [^-]+- [^-]+ - (.+?)\.jpg""), "".jpg"", """"), ""-"", "", ""), """")"),"")</f>
        <v/>
      </c>
      <c r="L12664" s="12"/>
      <c r="M12664" s="13"/>
      <c r="N12664" s="2"/>
      <c r="O12664" s="20"/>
      <c r="P12664" s="42"/>
      <c r="R12664" s="23"/>
    </row>
    <row r="12665" spans="1:18" ht="12.75">
      <c r="A12665" s="12"/>
      <c r="D12665" s="12"/>
      <c r="E12665" s="12"/>
      <c r="H12665" s="11" t="str">
        <f ca="1">IFERROR(__xludf.DUMMYFUNCTION("IFERROR(SUBSTITUTE(SUBSTITUTE(REGEXEXTRACT(A12665, ""[^-]+- [^-]+- [^-]+ - (.+?)\.jpg""), "".jpg"", """"), ""-"", "", ""), """")"),"")</f>
        <v/>
      </c>
      <c r="L12665" s="12"/>
      <c r="M12665" s="13"/>
      <c r="N12665" s="2"/>
      <c r="O12665" s="20"/>
      <c r="P12665" s="42"/>
      <c r="R12665" s="23"/>
    </row>
    <row r="12666" spans="1:18" ht="12.75">
      <c r="A12666" s="12"/>
      <c r="D12666" s="12"/>
      <c r="E12666" s="12"/>
      <c r="H12666" s="11" t="str">
        <f ca="1">IFERROR(__xludf.DUMMYFUNCTION("IFERROR(SUBSTITUTE(SUBSTITUTE(REGEXEXTRACT(A12666, ""[^-]+- [^-]+- [^-]+ - (.+?)\.jpg""), "".jpg"", """"), ""-"", "", ""), """")"),"")</f>
        <v/>
      </c>
      <c r="L12666" s="12"/>
      <c r="M12666" s="13"/>
      <c r="N12666" s="2"/>
      <c r="O12666" s="20"/>
      <c r="P12666" s="42"/>
      <c r="R12666" s="23"/>
    </row>
    <row r="12667" spans="1:18" ht="12.75">
      <c r="A12667" s="12"/>
      <c r="D12667" s="12"/>
      <c r="E12667" s="12"/>
      <c r="H12667" s="11" t="str">
        <f ca="1">IFERROR(__xludf.DUMMYFUNCTION("IFERROR(SUBSTITUTE(SUBSTITUTE(REGEXEXTRACT(A12667, ""[^-]+- [^-]+- [^-]+ - (.+?)\.jpg""), "".jpg"", """"), ""-"", "", ""), """")"),"")</f>
        <v/>
      </c>
      <c r="L12667" s="12"/>
      <c r="M12667" s="13"/>
      <c r="N12667" s="2"/>
      <c r="O12667" s="20"/>
      <c r="P12667" s="42"/>
      <c r="R12667" s="23"/>
    </row>
    <row r="12668" spans="1:18" ht="12.75">
      <c r="A12668" s="12"/>
      <c r="D12668" s="12"/>
      <c r="E12668" s="12"/>
      <c r="H12668" s="11" t="str">
        <f ca="1">IFERROR(__xludf.DUMMYFUNCTION("IFERROR(SUBSTITUTE(SUBSTITUTE(REGEXEXTRACT(A12668, ""[^-]+- [^-]+- [^-]+ - (.+?)\.jpg""), "".jpg"", """"), ""-"", "", ""), """")"),"")</f>
        <v/>
      </c>
      <c r="L12668" s="12"/>
      <c r="M12668" s="13"/>
      <c r="N12668" s="2"/>
      <c r="O12668" s="20"/>
      <c r="P12668" s="42"/>
      <c r="R12668" s="23"/>
    </row>
    <row r="12669" spans="1:18" ht="12.75">
      <c r="A12669" s="12"/>
      <c r="D12669" s="12"/>
      <c r="E12669" s="12"/>
      <c r="H12669" s="11" t="str">
        <f ca="1">IFERROR(__xludf.DUMMYFUNCTION("IFERROR(SUBSTITUTE(SUBSTITUTE(REGEXEXTRACT(A12669, ""[^-]+- [^-]+- [^-]+ - (.+?)\.jpg""), "".jpg"", """"), ""-"", "", ""), """")"),"")</f>
        <v/>
      </c>
      <c r="L12669" s="12"/>
      <c r="M12669" s="13"/>
      <c r="N12669" s="2"/>
      <c r="O12669" s="20"/>
      <c r="P12669" s="42"/>
      <c r="R12669" s="23"/>
    </row>
    <row r="12670" spans="1:18" ht="12.75">
      <c r="A12670" s="12"/>
      <c r="D12670" s="12"/>
      <c r="E12670" s="12"/>
      <c r="H12670" s="11" t="str">
        <f ca="1">IFERROR(__xludf.DUMMYFUNCTION("IFERROR(SUBSTITUTE(SUBSTITUTE(REGEXEXTRACT(A12670, ""[^-]+- [^-]+- [^-]+ - (.+?)\.jpg""), "".jpg"", """"), ""-"", "", ""), """")"),"")</f>
        <v/>
      </c>
      <c r="L12670" s="12"/>
      <c r="M12670" s="13"/>
      <c r="N12670" s="2"/>
      <c r="O12670" s="20"/>
      <c r="P12670" s="42"/>
      <c r="R12670" s="23"/>
    </row>
    <row r="12671" spans="1:18" ht="12.75">
      <c r="A12671" s="12"/>
      <c r="D12671" s="12"/>
      <c r="E12671" s="12"/>
      <c r="H12671" s="11" t="str">
        <f ca="1">IFERROR(__xludf.DUMMYFUNCTION("IFERROR(SUBSTITUTE(SUBSTITUTE(REGEXEXTRACT(A12671, ""[^-]+- [^-]+- [^-]+ - (.+?)\.jpg""), "".jpg"", """"), ""-"", "", ""), """")"),"")</f>
        <v/>
      </c>
      <c r="L12671" s="12"/>
      <c r="M12671" s="13"/>
      <c r="N12671" s="2"/>
      <c r="O12671" s="20"/>
      <c r="P12671" s="42"/>
      <c r="R12671" s="23"/>
    </row>
    <row r="12672" spans="1:18" ht="12.75">
      <c r="A12672" s="12"/>
      <c r="D12672" s="12"/>
      <c r="E12672" s="12"/>
      <c r="H12672" s="11" t="str">
        <f ca="1">IFERROR(__xludf.DUMMYFUNCTION("IFERROR(SUBSTITUTE(SUBSTITUTE(REGEXEXTRACT(A12672, ""[^-]+- [^-]+- [^-]+ - (.+?)\.jpg""), "".jpg"", """"), ""-"", "", ""), """")"),"")</f>
        <v/>
      </c>
      <c r="L12672" s="12"/>
      <c r="M12672" s="13"/>
      <c r="N12672" s="2"/>
      <c r="O12672" s="20"/>
      <c r="P12672" s="42"/>
      <c r="R12672" s="23"/>
    </row>
    <row r="12673" spans="1:18" ht="12.75">
      <c r="A12673" s="12"/>
      <c r="D12673" s="12"/>
      <c r="E12673" s="12"/>
      <c r="H12673" s="11" t="str">
        <f ca="1">IFERROR(__xludf.DUMMYFUNCTION("IFERROR(SUBSTITUTE(SUBSTITUTE(REGEXEXTRACT(A12673, ""[^-]+- [^-]+- [^-]+ - (.+?)\.jpg""), "".jpg"", """"), ""-"", "", ""), """")"),"")</f>
        <v/>
      </c>
      <c r="L12673" s="12"/>
      <c r="M12673" s="13"/>
      <c r="N12673" s="2"/>
      <c r="O12673" s="20"/>
      <c r="P12673" s="42"/>
      <c r="R12673" s="23"/>
    </row>
    <row r="12674" spans="1:18" ht="12.75">
      <c r="A12674" s="12"/>
      <c r="D12674" s="12"/>
      <c r="E12674" s="12"/>
      <c r="H12674" s="11" t="str">
        <f ca="1">IFERROR(__xludf.DUMMYFUNCTION("IFERROR(SUBSTITUTE(SUBSTITUTE(REGEXEXTRACT(A12674, ""[^-]+- [^-]+- [^-]+ - (.+?)\.jpg""), "".jpg"", """"), ""-"", "", ""), """")"),"")</f>
        <v/>
      </c>
      <c r="L12674" s="12"/>
      <c r="M12674" s="13"/>
      <c r="N12674" s="2"/>
      <c r="O12674" s="20"/>
      <c r="P12674" s="42"/>
      <c r="R12674" s="23"/>
    </row>
    <row r="12675" spans="1:18" ht="12.75">
      <c r="A12675" s="12"/>
      <c r="D12675" s="12"/>
      <c r="E12675" s="12"/>
      <c r="H12675" s="11" t="str">
        <f ca="1">IFERROR(__xludf.DUMMYFUNCTION("IFERROR(SUBSTITUTE(SUBSTITUTE(REGEXEXTRACT(A12675, ""[^-]+- [^-]+- [^-]+ - (.+?)\.jpg""), "".jpg"", """"), ""-"", "", ""), """")"),"")</f>
        <v/>
      </c>
      <c r="L12675" s="12"/>
      <c r="M12675" s="13"/>
      <c r="N12675" s="2"/>
      <c r="O12675" s="20"/>
      <c r="P12675" s="42"/>
      <c r="R12675" s="23"/>
    </row>
    <row r="12676" spans="1:18" ht="12.75">
      <c r="A12676" s="12"/>
      <c r="D12676" s="12"/>
      <c r="E12676" s="12"/>
      <c r="H12676" s="11" t="str">
        <f ca="1">IFERROR(__xludf.DUMMYFUNCTION("IFERROR(SUBSTITUTE(SUBSTITUTE(REGEXEXTRACT(A12676, ""[^-]+- [^-]+- [^-]+ - (.+?)\.jpg""), "".jpg"", """"), ""-"", "", ""), """")"),"")</f>
        <v/>
      </c>
      <c r="L12676" s="12"/>
      <c r="M12676" s="13"/>
      <c r="N12676" s="2"/>
      <c r="O12676" s="20"/>
      <c r="P12676" s="42"/>
      <c r="R12676" s="23"/>
    </row>
    <row r="12677" spans="1:18" ht="12.75">
      <c r="A12677" s="12"/>
      <c r="D12677" s="12"/>
      <c r="E12677" s="12"/>
      <c r="H12677" s="11" t="str">
        <f ca="1">IFERROR(__xludf.DUMMYFUNCTION("IFERROR(SUBSTITUTE(SUBSTITUTE(REGEXEXTRACT(A12677, ""[^-]+- [^-]+- [^-]+ - (.+?)\.jpg""), "".jpg"", """"), ""-"", "", ""), """")"),"")</f>
        <v/>
      </c>
      <c r="L12677" s="12"/>
      <c r="M12677" s="13"/>
      <c r="N12677" s="2"/>
      <c r="O12677" s="20"/>
      <c r="P12677" s="42"/>
      <c r="R12677" s="23"/>
    </row>
    <row r="12678" spans="1:18" ht="12.75">
      <c r="A12678" s="12"/>
      <c r="D12678" s="12"/>
      <c r="E12678" s="12"/>
      <c r="H12678" s="11" t="str">
        <f ca="1">IFERROR(__xludf.DUMMYFUNCTION("IFERROR(SUBSTITUTE(SUBSTITUTE(REGEXEXTRACT(A12678, ""[^-]+- [^-]+- [^-]+ - (.+?)\.jpg""), "".jpg"", """"), ""-"", "", ""), """")"),"")</f>
        <v/>
      </c>
      <c r="L12678" s="12"/>
      <c r="M12678" s="13"/>
      <c r="N12678" s="2"/>
      <c r="O12678" s="20"/>
      <c r="P12678" s="42"/>
      <c r="R12678" s="23"/>
    </row>
    <row r="12679" spans="1:18" ht="12.75">
      <c r="A12679" s="12"/>
      <c r="D12679" s="12"/>
      <c r="E12679" s="12"/>
      <c r="H12679" s="11" t="str">
        <f ca="1">IFERROR(__xludf.DUMMYFUNCTION("IFERROR(SUBSTITUTE(SUBSTITUTE(REGEXEXTRACT(A12679, ""[^-]+- [^-]+- [^-]+ - (.+?)\.jpg""), "".jpg"", """"), ""-"", "", ""), """")"),"")</f>
        <v/>
      </c>
      <c r="L12679" s="12"/>
      <c r="M12679" s="13"/>
      <c r="N12679" s="2"/>
      <c r="O12679" s="20"/>
      <c r="P12679" s="42"/>
      <c r="R12679" s="23"/>
    </row>
    <row r="12680" spans="1:18" ht="12.75">
      <c r="A12680" s="12"/>
      <c r="D12680" s="12"/>
      <c r="E12680" s="12"/>
      <c r="H12680" s="11" t="str">
        <f ca="1">IFERROR(__xludf.DUMMYFUNCTION("IFERROR(SUBSTITUTE(SUBSTITUTE(REGEXEXTRACT(A12680, ""[^-]+- [^-]+- [^-]+ - (.+?)\.jpg""), "".jpg"", """"), ""-"", "", ""), """")"),"")</f>
        <v/>
      </c>
      <c r="L12680" s="12"/>
      <c r="M12680" s="13"/>
      <c r="N12680" s="2"/>
      <c r="O12680" s="20"/>
      <c r="P12680" s="42"/>
      <c r="R12680" s="23"/>
    </row>
    <row r="12681" spans="1:18" ht="12.75">
      <c r="A12681" s="12"/>
      <c r="D12681" s="12"/>
      <c r="E12681" s="12"/>
      <c r="H12681" s="11" t="str">
        <f ca="1">IFERROR(__xludf.DUMMYFUNCTION("IFERROR(SUBSTITUTE(SUBSTITUTE(REGEXEXTRACT(A12681, ""[^-]+- [^-]+- [^-]+ - (.+?)\.jpg""), "".jpg"", """"), ""-"", "", ""), """")"),"")</f>
        <v/>
      </c>
      <c r="L12681" s="12"/>
      <c r="M12681" s="13"/>
      <c r="N12681" s="2"/>
      <c r="O12681" s="20"/>
      <c r="P12681" s="42"/>
      <c r="R12681" s="23"/>
    </row>
    <row r="12682" spans="1:18" ht="12.75">
      <c r="A12682" s="12"/>
      <c r="D12682" s="12"/>
      <c r="E12682" s="12"/>
      <c r="H12682" s="11" t="str">
        <f ca="1">IFERROR(__xludf.DUMMYFUNCTION("IFERROR(SUBSTITUTE(SUBSTITUTE(REGEXEXTRACT(A12682, ""[^-]+- [^-]+- [^-]+ - (.+?)\.jpg""), "".jpg"", """"), ""-"", "", ""), """")"),"")</f>
        <v/>
      </c>
      <c r="L12682" s="12"/>
      <c r="M12682" s="13"/>
      <c r="N12682" s="2"/>
      <c r="O12682" s="20"/>
      <c r="P12682" s="42"/>
      <c r="R12682" s="23"/>
    </row>
    <row r="12683" spans="1:18" ht="12.75">
      <c r="A12683" s="12"/>
      <c r="D12683" s="12"/>
      <c r="E12683" s="12"/>
      <c r="H12683" s="11" t="str">
        <f ca="1">IFERROR(__xludf.DUMMYFUNCTION("IFERROR(SUBSTITUTE(SUBSTITUTE(REGEXEXTRACT(A12683, ""[^-]+- [^-]+- [^-]+ - (.+?)\.jpg""), "".jpg"", """"), ""-"", "", ""), """")"),"")</f>
        <v/>
      </c>
      <c r="L12683" s="12"/>
      <c r="M12683" s="13"/>
      <c r="N12683" s="2"/>
      <c r="O12683" s="20"/>
      <c r="P12683" s="42"/>
      <c r="R12683" s="23"/>
    </row>
    <row r="12684" spans="1:18" ht="12.75">
      <c r="A12684" s="12"/>
      <c r="D12684" s="12"/>
      <c r="E12684" s="12"/>
      <c r="H12684" s="11" t="str">
        <f ca="1">IFERROR(__xludf.DUMMYFUNCTION("IFERROR(SUBSTITUTE(SUBSTITUTE(REGEXEXTRACT(A12684, ""[^-]+- [^-]+- [^-]+ - (.+?)\.jpg""), "".jpg"", """"), ""-"", "", ""), """")"),"")</f>
        <v/>
      </c>
      <c r="L12684" s="12"/>
      <c r="M12684" s="13"/>
      <c r="N12684" s="2"/>
      <c r="O12684" s="20"/>
      <c r="P12684" s="42"/>
      <c r="R12684" s="23"/>
    </row>
    <row r="12685" spans="1:18" ht="12.75">
      <c r="A12685" s="12"/>
      <c r="D12685" s="12"/>
      <c r="E12685" s="12"/>
      <c r="H12685" s="11" t="str">
        <f ca="1">IFERROR(__xludf.DUMMYFUNCTION("IFERROR(SUBSTITUTE(SUBSTITUTE(REGEXEXTRACT(A12685, ""[^-]+- [^-]+- [^-]+ - (.+?)\.jpg""), "".jpg"", """"), ""-"", "", ""), """")"),"")</f>
        <v/>
      </c>
      <c r="L12685" s="12"/>
      <c r="M12685" s="13"/>
      <c r="N12685" s="2"/>
      <c r="O12685" s="20"/>
      <c r="P12685" s="42"/>
      <c r="R12685" s="23"/>
    </row>
    <row r="12686" spans="1:18" ht="12.75">
      <c r="A12686" s="12"/>
      <c r="D12686" s="12"/>
      <c r="E12686" s="12"/>
      <c r="H12686" s="11" t="str">
        <f ca="1">IFERROR(__xludf.DUMMYFUNCTION("IFERROR(SUBSTITUTE(SUBSTITUTE(REGEXEXTRACT(A12686, ""[^-]+- [^-]+- [^-]+ - (.+?)\.jpg""), "".jpg"", """"), ""-"", "", ""), """")"),"")</f>
        <v/>
      </c>
      <c r="L12686" s="12"/>
      <c r="M12686" s="13"/>
      <c r="N12686" s="2"/>
      <c r="O12686" s="20"/>
      <c r="P12686" s="42"/>
      <c r="R12686" s="23"/>
    </row>
    <row r="12687" spans="1:18" ht="12.75">
      <c r="A12687" s="12"/>
      <c r="D12687" s="12"/>
      <c r="E12687" s="12"/>
      <c r="H12687" s="11" t="str">
        <f ca="1">IFERROR(__xludf.DUMMYFUNCTION("IFERROR(SUBSTITUTE(SUBSTITUTE(REGEXEXTRACT(A12687, ""[^-]+- [^-]+- [^-]+ - (.+?)\.jpg""), "".jpg"", """"), ""-"", "", ""), """")"),"")</f>
        <v/>
      </c>
      <c r="L12687" s="12"/>
      <c r="M12687" s="13"/>
      <c r="N12687" s="2"/>
      <c r="O12687" s="20"/>
      <c r="P12687" s="42"/>
      <c r="R12687" s="23"/>
    </row>
    <row r="12688" spans="1:18" ht="12.75">
      <c r="A12688" s="12"/>
      <c r="D12688" s="12"/>
      <c r="E12688" s="12"/>
      <c r="H12688" s="11" t="str">
        <f ca="1">IFERROR(__xludf.DUMMYFUNCTION("IFERROR(SUBSTITUTE(SUBSTITUTE(REGEXEXTRACT(A12688, ""[^-]+- [^-]+- [^-]+ - (.+?)\.jpg""), "".jpg"", """"), ""-"", "", ""), """")"),"")</f>
        <v/>
      </c>
      <c r="L12688" s="12"/>
      <c r="M12688" s="13"/>
      <c r="N12688" s="2"/>
      <c r="O12688" s="20"/>
      <c r="P12688" s="42"/>
      <c r="R12688" s="23"/>
    </row>
    <row r="12689" spans="1:18" ht="12.75">
      <c r="A12689" s="12"/>
      <c r="D12689" s="12"/>
      <c r="E12689" s="12"/>
      <c r="H12689" s="11" t="str">
        <f ca="1">IFERROR(__xludf.DUMMYFUNCTION("IFERROR(SUBSTITUTE(SUBSTITUTE(REGEXEXTRACT(A12689, ""[^-]+- [^-]+- [^-]+ - (.+?)\.jpg""), "".jpg"", """"), ""-"", "", ""), """")"),"")</f>
        <v/>
      </c>
      <c r="L12689" s="12"/>
      <c r="M12689" s="13"/>
      <c r="N12689" s="2"/>
      <c r="O12689" s="20"/>
      <c r="P12689" s="42"/>
      <c r="R12689" s="23"/>
    </row>
    <row r="12690" spans="1:18" ht="12.75">
      <c r="A12690" s="12"/>
      <c r="D12690" s="12"/>
      <c r="E12690" s="12"/>
      <c r="H12690" s="11" t="str">
        <f ca="1">IFERROR(__xludf.DUMMYFUNCTION("IFERROR(SUBSTITUTE(SUBSTITUTE(REGEXEXTRACT(A12690, ""[^-]+- [^-]+- [^-]+ - (.+?)\.jpg""), "".jpg"", """"), ""-"", "", ""), """")"),"")</f>
        <v/>
      </c>
      <c r="L12690" s="12"/>
      <c r="M12690" s="13"/>
      <c r="N12690" s="2"/>
      <c r="O12690" s="20"/>
      <c r="P12690" s="42"/>
      <c r="R12690" s="23"/>
    </row>
    <row r="12691" spans="1:18" ht="12.75">
      <c r="A12691" s="12"/>
      <c r="D12691" s="12"/>
      <c r="E12691" s="12"/>
      <c r="H12691" s="11" t="str">
        <f ca="1">IFERROR(__xludf.DUMMYFUNCTION("IFERROR(SUBSTITUTE(SUBSTITUTE(REGEXEXTRACT(A12691, ""[^-]+- [^-]+- [^-]+ - (.+?)\.jpg""), "".jpg"", """"), ""-"", "", ""), """")"),"")</f>
        <v/>
      </c>
      <c r="L12691" s="12"/>
      <c r="M12691" s="13"/>
      <c r="N12691" s="2"/>
      <c r="O12691" s="20"/>
      <c r="P12691" s="42"/>
      <c r="R12691" s="23"/>
    </row>
    <row r="12692" spans="1:18" ht="12.75">
      <c r="A12692" s="12"/>
      <c r="D12692" s="12"/>
      <c r="E12692" s="12"/>
      <c r="H12692" s="11" t="str">
        <f ca="1">IFERROR(__xludf.DUMMYFUNCTION("IFERROR(SUBSTITUTE(SUBSTITUTE(REGEXEXTRACT(A12692, ""[^-]+- [^-]+- [^-]+ - (.+?)\.jpg""), "".jpg"", """"), ""-"", "", ""), """")"),"")</f>
        <v/>
      </c>
      <c r="L12692" s="12"/>
      <c r="M12692" s="13"/>
      <c r="N12692" s="2"/>
      <c r="O12692" s="20"/>
      <c r="P12692" s="42"/>
      <c r="R12692" s="23"/>
    </row>
    <row r="12693" spans="1:18" ht="12.75">
      <c r="A12693" s="12"/>
      <c r="D12693" s="12"/>
      <c r="E12693" s="12"/>
      <c r="H12693" s="11" t="str">
        <f ca="1">IFERROR(__xludf.DUMMYFUNCTION("IFERROR(SUBSTITUTE(SUBSTITUTE(REGEXEXTRACT(A12693, ""[^-]+- [^-]+- [^-]+ - (.+?)\.jpg""), "".jpg"", """"), ""-"", "", ""), """")"),"")</f>
        <v/>
      </c>
      <c r="L12693" s="12"/>
      <c r="M12693" s="13"/>
      <c r="N12693" s="2"/>
      <c r="O12693" s="20"/>
      <c r="P12693" s="42"/>
      <c r="R12693" s="23"/>
    </row>
    <row r="12694" spans="1:18" ht="12.75">
      <c r="A12694" s="12"/>
      <c r="D12694" s="12"/>
      <c r="E12694" s="12"/>
      <c r="H12694" s="11" t="str">
        <f ca="1">IFERROR(__xludf.DUMMYFUNCTION("IFERROR(SUBSTITUTE(SUBSTITUTE(REGEXEXTRACT(A12694, ""[^-]+- [^-]+- [^-]+ - (.+?)\.jpg""), "".jpg"", """"), ""-"", "", ""), """")"),"")</f>
        <v/>
      </c>
      <c r="L12694" s="12"/>
      <c r="M12694" s="13"/>
      <c r="N12694" s="2"/>
      <c r="O12694" s="20"/>
      <c r="P12694" s="42"/>
      <c r="R12694" s="23"/>
    </row>
    <row r="12695" spans="1:18" ht="12.75">
      <c r="A12695" s="12"/>
      <c r="D12695" s="12"/>
      <c r="E12695" s="12"/>
      <c r="H12695" s="11" t="str">
        <f ca="1">IFERROR(__xludf.DUMMYFUNCTION("IFERROR(SUBSTITUTE(SUBSTITUTE(REGEXEXTRACT(A12695, ""[^-]+- [^-]+- [^-]+ - (.+?)\.jpg""), "".jpg"", """"), ""-"", "", ""), """")"),"")</f>
        <v/>
      </c>
      <c r="L12695" s="12"/>
      <c r="M12695" s="13"/>
      <c r="N12695" s="2"/>
      <c r="O12695" s="20"/>
      <c r="P12695" s="42"/>
      <c r="R12695" s="23"/>
    </row>
    <row r="12696" spans="1:18" ht="12.75">
      <c r="A12696" s="12"/>
      <c r="D12696" s="12"/>
      <c r="E12696" s="12"/>
      <c r="H12696" s="11" t="str">
        <f ca="1">IFERROR(__xludf.DUMMYFUNCTION("IFERROR(SUBSTITUTE(SUBSTITUTE(REGEXEXTRACT(A12696, ""[^-]+- [^-]+- [^-]+ - (.+?)\.jpg""), "".jpg"", """"), ""-"", "", ""), """")"),"")</f>
        <v/>
      </c>
      <c r="L12696" s="12"/>
      <c r="M12696" s="13"/>
      <c r="N12696" s="2"/>
      <c r="O12696" s="20"/>
      <c r="P12696" s="42"/>
      <c r="R12696" s="23"/>
    </row>
    <row r="12697" spans="1:18" ht="12.75">
      <c r="A12697" s="12"/>
      <c r="D12697" s="12"/>
      <c r="E12697" s="12"/>
      <c r="H12697" s="11" t="str">
        <f ca="1">IFERROR(__xludf.DUMMYFUNCTION("IFERROR(SUBSTITUTE(SUBSTITUTE(REGEXEXTRACT(A12697, ""[^-]+- [^-]+- [^-]+ - (.+?)\.jpg""), "".jpg"", """"), ""-"", "", ""), """")"),"")</f>
        <v/>
      </c>
      <c r="L12697" s="12"/>
      <c r="M12697" s="13"/>
      <c r="N12697" s="2"/>
      <c r="O12697" s="20"/>
      <c r="P12697" s="42"/>
      <c r="R12697" s="23"/>
    </row>
    <row r="12698" spans="1:18" ht="12.75">
      <c r="A12698" s="12"/>
      <c r="D12698" s="12"/>
      <c r="E12698" s="12"/>
      <c r="H12698" s="11" t="str">
        <f ca="1">IFERROR(__xludf.DUMMYFUNCTION("IFERROR(SUBSTITUTE(SUBSTITUTE(REGEXEXTRACT(A12698, ""[^-]+- [^-]+- [^-]+ - (.+?)\.jpg""), "".jpg"", """"), ""-"", "", ""), """")"),"")</f>
        <v/>
      </c>
      <c r="L12698" s="12"/>
      <c r="M12698" s="13"/>
      <c r="N12698" s="2"/>
      <c r="O12698" s="20"/>
      <c r="P12698" s="42"/>
      <c r="R12698" s="23"/>
    </row>
    <row r="12699" spans="1:18" ht="12.75">
      <c r="A12699" s="12"/>
      <c r="D12699" s="12"/>
      <c r="E12699" s="12"/>
      <c r="H12699" s="11" t="str">
        <f ca="1">IFERROR(__xludf.DUMMYFUNCTION("IFERROR(SUBSTITUTE(SUBSTITUTE(REGEXEXTRACT(A12699, ""[^-]+- [^-]+- [^-]+ - (.+?)\.jpg""), "".jpg"", """"), ""-"", "", ""), """")"),"")</f>
        <v/>
      </c>
      <c r="L12699" s="12"/>
      <c r="M12699" s="13"/>
      <c r="N12699" s="2"/>
      <c r="O12699" s="20"/>
      <c r="P12699" s="42"/>
      <c r="R12699" s="23"/>
    </row>
    <row r="12700" spans="1:18" ht="12.75">
      <c r="A12700" s="12"/>
      <c r="D12700" s="12"/>
      <c r="E12700" s="12"/>
      <c r="H12700" s="11" t="str">
        <f ca="1">IFERROR(__xludf.DUMMYFUNCTION("IFERROR(SUBSTITUTE(SUBSTITUTE(REGEXEXTRACT(A12700, ""[^-]+- [^-]+- [^-]+ - (.+?)\.jpg""), "".jpg"", """"), ""-"", "", ""), """")"),"")</f>
        <v/>
      </c>
      <c r="L12700" s="12"/>
      <c r="M12700" s="13"/>
      <c r="N12700" s="2"/>
      <c r="O12700" s="20"/>
      <c r="P12700" s="42"/>
      <c r="R12700" s="23"/>
    </row>
    <row r="12701" spans="1:18" ht="12.75">
      <c r="A12701" s="12"/>
      <c r="D12701" s="12"/>
      <c r="E12701" s="12"/>
      <c r="H12701" s="11" t="str">
        <f ca="1">IFERROR(__xludf.DUMMYFUNCTION("IFERROR(SUBSTITUTE(SUBSTITUTE(REGEXEXTRACT(A12701, ""[^-]+- [^-]+- [^-]+ - (.+?)\.jpg""), "".jpg"", """"), ""-"", "", ""), """")"),"")</f>
        <v/>
      </c>
      <c r="L12701" s="12"/>
      <c r="M12701" s="13"/>
      <c r="N12701" s="2"/>
      <c r="O12701" s="20"/>
      <c r="P12701" s="42"/>
      <c r="R12701" s="23"/>
    </row>
    <row r="12702" spans="1:18" ht="12.75">
      <c r="A12702" s="12"/>
      <c r="D12702" s="12"/>
      <c r="E12702" s="12"/>
      <c r="H12702" s="11" t="str">
        <f ca="1">IFERROR(__xludf.DUMMYFUNCTION("IFERROR(SUBSTITUTE(SUBSTITUTE(REGEXEXTRACT(A12702, ""[^-]+- [^-]+- [^-]+ - (.+?)\.jpg""), "".jpg"", """"), ""-"", "", ""), """")"),"")</f>
        <v/>
      </c>
      <c r="L12702" s="12"/>
      <c r="M12702" s="13"/>
      <c r="N12702" s="2"/>
      <c r="O12702" s="20"/>
      <c r="P12702" s="42"/>
      <c r="R12702" s="23"/>
    </row>
    <row r="12703" spans="1:18" ht="12.75">
      <c r="A12703" s="12"/>
      <c r="D12703" s="12"/>
      <c r="E12703" s="12"/>
      <c r="H12703" s="11" t="str">
        <f ca="1">IFERROR(__xludf.DUMMYFUNCTION("IFERROR(SUBSTITUTE(SUBSTITUTE(REGEXEXTRACT(A12703, ""[^-]+- [^-]+- [^-]+ - (.+?)\.jpg""), "".jpg"", """"), ""-"", "", ""), """")"),"")</f>
        <v/>
      </c>
      <c r="L12703" s="12"/>
      <c r="M12703" s="13"/>
      <c r="N12703" s="2"/>
      <c r="O12703" s="20"/>
      <c r="P12703" s="42"/>
      <c r="R12703" s="23"/>
    </row>
    <row r="12704" spans="1:18" ht="12.75">
      <c r="A12704" s="12"/>
      <c r="D12704" s="12"/>
      <c r="E12704" s="12"/>
      <c r="H12704" s="11" t="str">
        <f ca="1">IFERROR(__xludf.DUMMYFUNCTION("IFERROR(SUBSTITUTE(SUBSTITUTE(REGEXEXTRACT(A12704, ""[^-]+- [^-]+- [^-]+ - (.+?)\.jpg""), "".jpg"", """"), ""-"", "", ""), """")"),"")</f>
        <v/>
      </c>
      <c r="L12704" s="12"/>
      <c r="M12704" s="13"/>
      <c r="N12704" s="2"/>
      <c r="O12704" s="20"/>
      <c r="P12704" s="42"/>
      <c r="R12704" s="23"/>
    </row>
    <row r="12705" spans="1:18" ht="12.75">
      <c r="A12705" s="12"/>
      <c r="D12705" s="12"/>
      <c r="E12705" s="12"/>
      <c r="H12705" s="11" t="str">
        <f ca="1">IFERROR(__xludf.DUMMYFUNCTION("IFERROR(SUBSTITUTE(SUBSTITUTE(REGEXEXTRACT(A12705, ""[^-]+- [^-]+- [^-]+ - (.+?)\.jpg""), "".jpg"", """"), ""-"", "", ""), """")"),"")</f>
        <v/>
      </c>
      <c r="L12705" s="12"/>
      <c r="M12705" s="13"/>
      <c r="N12705" s="2"/>
      <c r="O12705" s="20"/>
      <c r="P12705" s="42"/>
      <c r="R12705" s="23"/>
    </row>
    <row r="12706" spans="1:18" ht="12.75">
      <c r="A12706" s="12"/>
      <c r="D12706" s="12"/>
      <c r="E12706" s="12"/>
      <c r="H12706" s="11" t="str">
        <f ca="1">IFERROR(__xludf.DUMMYFUNCTION("IFERROR(SUBSTITUTE(SUBSTITUTE(REGEXEXTRACT(A12706, ""[^-]+- [^-]+- [^-]+ - (.+?)\.jpg""), "".jpg"", """"), ""-"", "", ""), """")"),"")</f>
        <v/>
      </c>
      <c r="L12706" s="12"/>
      <c r="M12706" s="13"/>
      <c r="N12706" s="2"/>
      <c r="O12706" s="20"/>
      <c r="P12706" s="42"/>
      <c r="R12706" s="23"/>
    </row>
    <row r="12707" spans="1:18" ht="12.75">
      <c r="A12707" s="12"/>
      <c r="D12707" s="12"/>
      <c r="E12707" s="12"/>
      <c r="H12707" s="11" t="str">
        <f ca="1">IFERROR(__xludf.DUMMYFUNCTION("IFERROR(SUBSTITUTE(SUBSTITUTE(REGEXEXTRACT(A12707, ""[^-]+- [^-]+- [^-]+ - (.+?)\.jpg""), "".jpg"", """"), ""-"", "", ""), """")"),"")</f>
        <v/>
      </c>
      <c r="L12707" s="12"/>
      <c r="M12707" s="13"/>
      <c r="N12707" s="2"/>
      <c r="O12707" s="20"/>
      <c r="P12707" s="42"/>
      <c r="R12707" s="23"/>
    </row>
    <row r="12708" spans="1:18" ht="12.75">
      <c r="A12708" s="12"/>
      <c r="D12708" s="12"/>
      <c r="E12708" s="12"/>
      <c r="H12708" s="11" t="str">
        <f ca="1">IFERROR(__xludf.DUMMYFUNCTION("IFERROR(SUBSTITUTE(SUBSTITUTE(REGEXEXTRACT(A12708, ""[^-]+- [^-]+- [^-]+ - (.+?)\.jpg""), "".jpg"", """"), ""-"", "", ""), """")"),"")</f>
        <v/>
      </c>
      <c r="L12708" s="12"/>
      <c r="M12708" s="13"/>
      <c r="N12708" s="2"/>
      <c r="O12708" s="20"/>
      <c r="P12708" s="42"/>
      <c r="R12708" s="23"/>
    </row>
    <row r="12709" spans="1:18" ht="12.75">
      <c r="A12709" s="12"/>
      <c r="D12709" s="12"/>
      <c r="E12709" s="12"/>
      <c r="H12709" s="11" t="str">
        <f ca="1">IFERROR(__xludf.DUMMYFUNCTION("IFERROR(SUBSTITUTE(SUBSTITUTE(REGEXEXTRACT(A12709, ""[^-]+- [^-]+- [^-]+ - (.+?)\.jpg""), "".jpg"", """"), ""-"", "", ""), """")"),"")</f>
        <v/>
      </c>
      <c r="L12709" s="12"/>
      <c r="M12709" s="13"/>
      <c r="N12709" s="2"/>
      <c r="O12709" s="20"/>
      <c r="P12709" s="42"/>
      <c r="R12709" s="23"/>
    </row>
    <row r="12710" spans="1:18" ht="12.75">
      <c r="A12710" s="12"/>
      <c r="D12710" s="12"/>
      <c r="E12710" s="12"/>
      <c r="H12710" s="11" t="str">
        <f ca="1">IFERROR(__xludf.DUMMYFUNCTION("IFERROR(SUBSTITUTE(SUBSTITUTE(REGEXEXTRACT(A12710, ""[^-]+- [^-]+- [^-]+ - (.+?)\.jpg""), "".jpg"", """"), ""-"", "", ""), """")"),"")</f>
        <v/>
      </c>
      <c r="L12710" s="12"/>
      <c r="M12710" s="13"/>
      <c r="N12710" s="2"/>
      <c r="O12710" s="20"/>
      <c r="P12710" s="42"/>
      <c r="R12710" s="23"/>
    </row>
    <row r="12711" spans="1:18" ht="12.75">
      <c r="A12711" s="12"/>
      <c r="D12711" s="12"/>
      <c r="E12711" s="12"/>
      <c r="H12711" s="11" t="str">
        <f ca="1">IFERROR(__xludf.DUMMYFUNCTION("IFERROR(SUBSTITUTE(SUBSTITUTE(REGEXEXTRACT(A12711, ""[^-]+- [^-]+- [^-]+ - (.+?)\.jpg""), "".jpg"", """"), ""-"", "", ""), """")"),"")</f>
        <v/>
      </c>
      <c r="L12711" s="12"/>
      <c r="M12711" s="13"/>
      <c r="N12711" s="2"/>
      <c r="O12711" s="20"/>
      <c r="P12711" s="42"/>
      <c r="R12711" s="23"/>
    </row>
    <row r="12712" spans="1:18" ht="12.75">
      <c r="A12712" s="12"/>
      <c r="D12712" s="12"/>
      <c r="E12712" s="12"/>
      <c r="H12712" s="11" t="str">
        <f ca="1">IFERROR(__xludf.DUMMYFUNCTION("IFERROR(SUBSTITUTE(SUBSTITUTE(REGEXEXTRACT(A12712, ""[^-]+- [^-]+- [^-]+ - (.+?)\.jpg""), "".jpg"", """"), ""-"", "", ""), """")"),"")</f>
        <v/>
      </c>
      <c r="L12712" s="12"/>
      <c r="M12712" s="13"/>
      <c r="N12712" s="2"/>
      <c r="O12712" s="20"/>
      <c r="P12712" s="42"/>
      <c r="R12712" s="23"/>
    </row>
    <row r="12713" spans="1:18" ht="12.75">
      <c r="A12713" s="12"/>
      <c r="D12713" s="12"/>
      <c r="E12713" s="12"/>
      <c r="H12713" s="11" t="str">
        <f ca="1">IFERROR(__xludf.DUMMYFUNCTION("IFERROR(SUBSTITUTE(SUBSTITUTE(REGEXEXTRACT(A12713, ""[^-]+- [^-]+- [^-]+ - (.+?)\.jpg""), "".jpg"", """"), ""-"", "", ""), """")"),"")</f>
        <v/>
      </c>
      <c r="L12713" s="12"/>
      <c r="M12713" s="13"/>
      <c r="N12713" s="2"/>
      <c r="O12713" s="20"/>
      <c r="P12713" s="42"/>
      <c r="R12713" s="23"/>
    </row>
    <row r="12714" spans="1:18" ht="12.75">
      <c r="A12714" s="12"/>
      <c r="D12714" s="12"/>
      <c r="E12714" s="12"/>
      <c r="H12714" s="11" t="str">
        <f ca="1">IFERROR(__xludf.DUMMYFUNCTION("IFERROR(SUBSTITUTE(SUBSTITUTE(REGEXEXTRACT(A12714, ""[^-]+- [^-]+- [^-]+ - (.+?)\.jpg""), "".jpg"", """"), ""-"", "", ""), """")"),"")</f>
        <v/>
      </c>
      <c r="L12714" s="12"/>
      <c r="M12714" s="13"/>
      <c r="N12714" s="2"/>
      <c r="O12714" s="20"/>
      <c r="P12714" s="42"/>
      <c r="R12714" s="23"/>
    </row>
    <row r="12715" spans="1:18" ht="12.75">
      <c r="A12715" s="12"/>
      <c r="D12715" s="12"/>
      <c r="E12715" s="12"/>
      <c r="H12715" s="11" t="str">
        <f ca="1">IFERROR(__xludf.DUMMYFUNCTION("IFERROR(SUBSTITUTE(SUBSTITUTE(REGEXEXTRACT(A12715, ""[^-]+- [^-]+- [^-]+ - (.+?)\.jpg""), "".jpg"", """"), ""-"", "", ""), """")"),"")</f>
        <v/>
      </c>
      <c r="L12715" s="12"/>
      <c r="M12715" s="13"/>
      <c r="N12715" s="2"/>
      <c r="O12715" s="20"/>
      <c r="P12715" s="42"/>
      <c r="R12715" s="23"/>
    </row>
    <row r="12716" spans="1:18" ht="12.75">
      <c r="A12716" s="12"/>
      <c r="D12716" s="12"/>
      <c r="E12716" s="12"/>
      <c r="H12716" s="11" t="str">
        <f ca="1">IFERROR(__xludf.DUMMYFUNCTION("IFERROR(SUBSTITUTE(SUBSTITUTE(REGEXEXTRACT(A12716, ""[^-]+- [^-]+- [^-]+ - (.+?)\.jpg""), "".jpg"", """"), ""-"", "", ""), """")"),"")</f>
        <v/>
      </c>
      <c r="L12716" s="12"/>
      <c r="M12716" s="13"/>
      <c r="N12716" s="2"/>
      <c r="O12716" s="20"/>
      <c r="P12716" s="42"/>
      <c r="R12716" s="23"/>
    </row>
    <row r="12717" spans="1:18" ht="12.75">
      <c r="A12717" s="12"/>
      <c r="D12717" s="12"/>
      <c r="E12717" s="12"/>
      <c r="H12717" s="11" t="str">
        <f ca="1">IFERROR(__xludf.DUMMYFUNCTION("IFERROR(SUBSTITUTE(SUBSTITUTE(REGEXEXTRACT(A12717, ""[^-]+- [^-]+- [^-]+ - (.+?)\.jpg""), "".jpg"", """"), ""-"", "", ""), """")"),"")</f>
        <v/>
      </c>
      <c r="L12717" s="12"/>
      <c r="M12717" s="13"/>
      <c r="N12717" s="2"/>
      <c r="O12717" s="20"/>
      <c r="P12717" s="42"/>
      <c r="R12717" s="23"/>
    </row>
    <row r="12718" spans="1:18" ht="12.75">
      <c r="A12718" s="12"/>
      <c r="D12718" s="12"/>
      <c r="E12718" s="12"/>
      <c r="H12718" s="11" t="str">
        <f ca="1">IFERROR(__xludf.DUMMYFUNCTION("IFERROR(SUBSTITUTE(SUBSTITUTE(REGEXEXTRACT(A12718, ""[^-]+- [^-]+- [^-]+ - (.+?)\.jpg""), "".jpg"", """"), ""-"", "", ""), """")"),"")</f>
        <v/>
      </c>
      <c r="L12718" s="12"/>
      <c r="M12718" s="13"/>
      <c r="N12718" s="2"/>
      <c r="O12718" s="20"/>
      <c r="P12718" s="42"/>
      <c r="R12718" s="23"/>
    </row>
    <row r="12719" spans="1:18" ht="12.75">
      <c r="A12719" s="12"/>
      <c r="D12719" s="12"/>
      <c r="E12719" s="12"/>
      <c r="H12719" s="11" t="str">
        <f ca="1">IFERROR(__xludf.DUMMYFUNCTION("IFERROR(SUBSTITUTE(SUBSTITUTE(REGEXEXTRACT(A12719, ""[^-]+- [^-]+- [^-]+ - (.+?)\.jpg""), "".jpg"", """"), ""-"", "", ""), """")"),"")</f>
        <v/>
      </c>
      <c r="L12719" s="12"/>
      <c r="M12719" s="13"/>
      <c r="N12719" s="2"/>
      <c r="O12719" s="20"/>
      <c r="P12719" s="42"/>
      <c r="R12719" s="23"/>
    </row>
    <row r="12720" spans="1:18" ht="12.75">
      <c r="A12720" s="12"/>
      <c r="D12720" s="12"/>
      <c r="E12720" s="12"/>
      <c r="H12720" s="11" t="str">
        <f ca="1">IFERROR(__xludf.DUMMYFUNCTION("IFERROR(SUBSTITUTE(SUBSTITUTE(REGEXEXTRACT(A12720, ""[^-]+- [^-]+- [^-]+ - (.+?)\.jpg""), "".jpg"", """"), ""-"", "", ""), """")"),"")</f>
        <v/>
      </c>
      <c r="L12720" s="12"/>
      <c r="M12720" s="13"/>
      <c r="N12720" s="2"/>
      <c r="O12720" s="20"/>
      <c r="P12720" s="42"/>
      <c r="R12720" s="23"/>
    </row>
    <row r="12721" spans="1:18" ht="12.75">
      <c r="A12721" s="12"/>
      <c r="D12721" s="12"/>
      <c r="E12721" s="12"/>
      <c r="H12721" s="11" t="str">
        <f ca="1">IFERROR(__xludf.DUMMYFUNCTION("IFERROR(SUBSTITUTE(SUBSTITUTE(REGEXEXTRACT(A12721, ""[^-]+- [^-]+- [^-]+ - (.+?)\.jpg""), "".jpg"", """"), ""-"", "", ""), """")"),"")</f>
        <v/>
      </c>
      <c r="L12721" s="12"/>
      <c r="M12721" s="13"/>
      <c r="N12721" s="2"/>
      <c r="O12721" s="20"/>
      <c r="P12721" s="42"/>
      <c r="R12721" s="23"/>
    </row>
    <row r="12722" spans="1:18" ht="12.75">
      <c r="A12722" s="12"/>
      <c r="D12722" s="12"/>
      <c r="E12722" s="12"/>
      <c r="H12722" s="11" t="str">
        <f ca="1">IFERROR(__xludf.DUMMYFUNCTION("IFERROR(SUBSTITUTE(SUBSTITUTE(REGEXEXTRACT(A12722, ""[^-]+- [^-]+- [^-]+ - (.+?)\.jpg""), "".jpg"", """"), ""-"", "", ""), """")"),"")</f>
        <v/>
      </c>
      <c r="L12722" s="12"/>
      <c r="M12722" s="13"/>
      <c r="N12722" s="2"/>
      <c r="O12722" s="20"/>
      <c r="P12722" s="42"/>
      <c r="R12722" s="23"/>
    </row>
    <row r="12723" spans="1:18" ht="12.75">
      <c r="A12723" s="12"/>
      <c r="D12723" s="12"/>
      <c r="E12723" s="12"/>
      <c r="H12723" s="11" t="str">
        <f ca="1">IFERROR(__xludf.DUMMYFUNCTION("IFERROR(SUBSTITUTE(SUBSTITUTE(REGEXEXTRACT(A12723, ""[^-]+- [^-]+- [^-]+ - (.+?)\.jpg""), "".jpg"", """"), ""-"", "", ""), """")"),"")</f>
        <v/>
      </c>
      <c r="L12723" s="12"/>
      <c r="M12723" s="13"/>
      <c r="N12723" s="2"/>
      <c r="O12723" s="20"/>
      <c r="P12723" s="42"/>
      <c r="R12723" s="23"/>
    </row>
    <row r="12724" spans="1:18" ht="12.75">
      <c r="A12724" s="12"/>
      <c r="D12724" s="12"/>
      <c r="E12724" s="12"/>
      <c r="H12724" s="11" t="str">
        <f ca="1">IFERROR(__xludf.DUMMYFUNCTION("IFERROR(SUBSTITUTE(SUBSTITUTE(REGEXEXTRACT(A12724, ""[^-]+- [^-]+- [^-]+ - (.+?)\.jpg""), "".jpg"", """"), ""-"", "", ""), """")"),"")</f>
        <v/>
      </c>
      <c r="L12724" s="12"/>
      <c r="M12724" s="13"/>
      <c r="N12724" s="2"/>
      <c r="O12724" s="20"/>
      <c r="P12724" s="42"/>
      <c r="R12724" s="23"/>
    </row>
    <row r="12725" spans="1:18" ht="12.75">
      <c r="A12725" s="12"/>
      <c r="D12725" s="12"/>
      <c r="E12725" s="12"/>
      <c r="H12725" s="11" t="str">
        <f ca="1">IFERROR(__xludf.DUMMYFUNCTION("IFERROR(SUBSTITUTE(SUBSTITUTE(REGEXEXTRACT(A12725, ""[^-]+- [^-]+- [^-]+ - (.+?)\.jpg""), "".jpg"", """"), ""-"", "", ""), """")"),"")</f>
        <v/>
      </c>
      <c r="L12725" s="12"/>
      <c r="M12725" s="13"/>
      <c r="N12725" s="2"/>
      <c r="O12725" s="20"/>
      <c r="P12725" s="42"/>
      <c r="R12725" s="23"/>
    </row>
    <row r="12726" spans="1:18" ht="12.75">
      <c r="A12726" s="12"/>
      <c r="D12726" s="12"/>
      <c r="E12726" s="12"/>
      <c r="H12726" s="11" t="str">
        <f ca="1">IFERROR(__xludf.DUMMYFUNCTION("IFERROR(SUBSTITUTE(SUBSTITUTE(REGEXEXTRACT(A12726, ""[^-]+- [^-]+- [^-]+ - (.+?)\.jpg""), "".jpg"", """"), ""-"", "", ""), """")"),"")</f>
        <v/>
      </c>
      <c r="L12726" s="12"/>
      <c r="M12726" s="13"/>
      <c r="N12726" s="2"/>
      <c r="O12726" s="20"/>
      <c r="P12726" s="42"/>
      <c r="R12726" s="23"/>
    </row>
    <row r="12727" spans="1:18" ht="12.75">
      <c r="A12727" s="12"/>
      <c r="D12727" s="12"/>
      <c r="E12727" s="12"/>
      <c r="H12727" s="11" t="str">
        <f ca="1">IFERROR(__xludf.DUMMYFUNCTION("IFERROR(SUBSTITUTE(SUBSTITUTE(REGEXEXTRACT(A12727, ""[^-]+- [^-]+- [^-]+ - (.+?)\.jpg""), "".jpg"", """"), ""-"", "", ""), """")"),"")</f>
        <v/>
      </c>
      <c r="L12727" s="12"/>
      <c r="M12727" s="13"/>
      <c r="N12727" s="2"/>
      <c r="O12727" s="20"/>
      <c r="P12727" s="42"/>
      <c r="R12727" s="23"/>
    </row>
    <row r="12728" spans="1:18" ht="12.75">
      <c r="A12728" s="12"/>
      <c r="D12728" s="12"/>
      <c r="E12728" s="12"/>
      <c r="H12728" s="11" t="str">
        <f ca="1">IFERROR(__xludf.DUMMYFUNCTION("IFERROR(SUBSTITUTE(SUBSTITUTE(REGEXEXTRACT(A12728, ""[^-]+- [^-]+- [^-]+ - (.+?)\.jpg""), "".jpg"", """"), ""-"", "", ""), """")"),"")</f>
        <v/>
      </c>
      <c r="L12728" s="12"/>
      <c r="M12728" s="13"/>
      <c r="N12728" s="2"/>
      <c r="O12728" s="20"/>
      <c r="P12728" s="42"/>
      <c r="R12728" s="23"/>
    </row>
    <row r="12729" spans="1:18" ht="12.75">
      <c r="A12729" s="12"/>
      <c r="D12729" s="12"/>
      <c r="E12729" s="12"/>
      <c r="H12729" s="11" t="str">
        <f ca="1">IFERROR(__xludf.DUMMYFUNCTION("IFERROR(SUBSTITUTE(SUBSTITUTE(REGEXEXTRACT(A12729, ""[^-]+- [^-]+- [^-]+ - (.+?)\.jpg""), "".jpg"", """"), ""-"", "", ""), """")"),"")</f>
        <v/>
      </c>
      <c r="L12729" s="12"/>
      <c r="M12729" s="13"/>
      <c r="N12729" s="2"/>
      <c r="O12729" s="20"/>
      <c r="P12729" s="42"/>
      <c r="R12729" s="23"/>
    </row>
    <row r="12730" spans="1:18" ht="12.75">
      <c r="A12730" s="12"/>
      <c r="D12730" s="12"/>
      <c r="E12730" s="12"/>
      <c r="H12730" s="11" t="str">
        <f ca="1">IFERROR(__xludf.DUMMYFUNCTION("IFERROR(SUBSTITUTE(SUBSTITUTE(REGEXEXTRACT(A12730, ""[^-]+- [^-]+- [^-]+ - (.+?)\.jpg""), "".jpg"", """"), ""-"", "", ""), """")"),"")</f>
        <v/>
      </c>
      <c r="L12730" s="12"/>
      <c r="M12730" s="13"/>
      <c r="N12730" s="2"/>
      <c r="O12730" s="20"/>
      <c r="P12730" s="42"/>
      <c r="R12730" s="23"/>
    </row>
    <row r="12731" spans="1:18" ht="12.75">
      <c r="A12731" s="12"/>
      <c r="D12731" s="12"/>
      <c r="E12731" s="12"/>
      <c r="H12731" s="11" t="str">
        <f ca="1">IFERROR(__xludf.DUMMYFUNCTION("IFERROR(SUBSTITUTE(SUBSTITUTE(REGEXEXTRACT(A12731, ""[^-]+- [^-]+- [^-]+ - (.+?)\.jpg""), "".jpg"", """"), ""-"", "", ""), """")"),"")</f>
        <v/>
      </c>
      <c r="L12731" s="12"/>
      <c r="M12731" s="13"/>
      <c r="N12731" s="2"/>
      <c r="O12731" s="20"/>
      <c r="P12731" s="42"/>
      <c r="R12731" s="23"/>
    </row>
    <row r="12732" spans="1:18" ht="12.75">
      <c r="A12732" s="12"/>
      <c r="D12732" s="12"/>
      <c r="E12732" s="12"/>
      <c r="H12732" s="11" t="str">
        <f ca="1">IFERROR(__xludf.DUMMYFUNCTION("IFERROR(SUBSTITUTE(SUBSTITUTE(REGEXEXTRACT(A12732, ""[^-]+- [^-]+- [^-]+ - (.+?)\.jpg""), "".jpg"", """"), ""-"", "", ""), """")"),"")</f>
        <v/>
      </c>
      <c r="L12732" s="12"/>
      <c r="M12732" s="13"/>
      <c r="N12732" s="2"/>
      <c r="O12732" s="20"/>
      <c r="P12732" s="42"/>
      <c r="R12732" s="23"/>
    </row>
    <row r="12733" spans="1:18" ht="12.75">
      <c r="A12733" s="12"/>
      <c r="D12733" s="12"/>
      <c r="E12733" s="12"/>
      <c r="H12733" s="11" t="str">
        <f ca="1">IFERROR(__xludf.DUMMYFUNCTION("IFERROR(SUBSTITUTE(SUBSTITUTE(REGEXEXTRACT(A12733, ""[^-]+- [^-]+- [^-]+ - (.+?)\.jpg""), "".jpg"", """"), ""-"", "", ""), """")"),"")</f>
        <v/>
      </c>
      <c r="L12733" s="12"/>
      <c r="M12733" s="13"/>
      <c r="N12733" s="2"/>
      <c r="O12733" s="20"/>
      <c r="P12733" s="42"/>
      <c r="R12733" s="23"/>
    </row>
    <row r="12734" spans="1:18" ht="12.75">
      <c r="A12734" s="12"/>
      <c r="D12734" s="12"/>
      <c r="E12734" s="12"/>
      <c r="H12734" s="11" t="str">
        <f ca="1">IFERROR(__xludf.DUMMYFUNCTION("IFERROR(SUBSTITUTE(SUBSTITUTE(REGEXEXTRACT(A12734, ""[^-]+- [^-]+- [^-]+ - (.+?)\.jpg""), "".jpg"", """"), ""-"", "", ""), """")"),"")</f>
        <v/>
      </c>
      <c r="L12734" s="12"/>
      <c r="M12734" s="13"/>
      <c r="N12734" s="2"/>
      <c r="O12734" s="20"/>
      <c r="P12734" s="42"/>
      <c r="R12734" s="23"/>
    </row>
    <row r="12735" spans="1:18" ht="12.75">
      <c r="A12735" s="12"/>
      <c r="D12735" s="12"/>
      <c r="E12735" s="12"/>
      <c r="H12735" s="11" t="str">
        <f ca="1">IFERROR(__xludf.DUMMYFUNCTION("IFERROR(SUBSTITUTE(SUBSTITUTE(REGEXEXTRACT(A12735, ""[^-]+- [^-]+- [^-]+ - (.+?)\.jpg""), "".jpg"", """"), ""-"", "", ""), """")"),"")</f>
        <v/>
      </c>
      <c r="L12735" s="12"/>
      <c r="M12735" s="13"/>
      <c r="N12735" s="2"/>
      <c r="O12735" s="20"/>
      <c r="P12735" s="42"/>
      <c r="R12735" s="23"/>
    </row>
    <row r="12736" spans="1:18" ht="12.75">
      <c r="A12736" s="12"/>
      <c r="D12736" s="12"/>
      <c r="E12736" s="12"/>
      <c r="H12736" s="11" t="str">
        <f ca="1">IFERROR(__xludf.DUMMYFUNCTION("IFERROR(SUBSTITUTE(SUBSTITUTE(REGEXEXTRACT(A12736, ""[^-]+- [^-]+- [^-]+ - (.+?)\.jpg""), "".jpg"", """"), ""-"", "", ""), """")"),"")</f>
        <v/>
      </c>
      <c r="L12736" s="12"/>
      <c r="M12736" s="13"/>
      <c r="N12736" s="2"/>
      <c r="O12736" s="20"/>
      <c r="P12736" s="42"/>
      <c r="R12736" s="23"/>
    </row>
    <row r="12737" spans="1:18" ht="12.75">
      <c r="A12737" s="12"/>
      <c r="D12737" s="12"/>
      <c r="E12737" s="12"/>
      <c r="H12737" s="11" t="str">
        <f ca="1">IFERROR(__xludf.DUMMYFUNCTION("IFERROR(SUBSTITUTE(SUBSTITUTE(REGEXEXTRACT(A12737, ""[^-]+- [^-]+- [^-]+ - (.+?)\.jpg""), "".jpg"", """"), ""-"", "", ""), """")"),"")</f>
        <v/>
      </c>
      <c r="L12737" s="12"/>
      <c r="M12737" s="13"/>
      <c r="N12737" s="2"/>
      <c r="O12737" s="20"/>
      <c r="P12737" s="42"/>
      <c r="R12737" s="23"/>
    </row>
    <row r="12738" spans="1:18" ht="12.75">
      <c r="A12738" s="12"/>
      <c r="D12738" s="12"/>
      <c r="E12738" s="12"/>
      <c r="H12738" s="11" t="str">
        <f ca="1">IFERROR(__xludf.DUMMYFUNCTION("IFERROR(SUBSTITUTE(SUBSTITUTE(REGEXEXTRACT(A12738, ""[^-]+- [^-]+- [^-]+ - (.+?)\.jpg""), "".jpg"", """"), ""-"", "", ""), """")"),"")</f>
        <v/>
      </c>
      <c r="L12738" s="12"/>
      <c r="M12738" s="13"/>
      <c r="N12738" s="2"/>
      <c r="O12738" s="20"/>
      <c r="P12738" s="42"/>
      <c r="R12738" s="23"/>
    </row>
    <row r="12739" spans="1:18" ht="12.75">
      <c r="A12739" s="12"/>
      <c r="D12739" s="12"/>
      <c r="E12739" s="12"/>
      <c r="H12739" s="11" t="str">
        <f ca="1">IFERROR(__xludf.DUMMYFUNCTION("IFERROR(SUBSTITUTE(SUBSTITUTE(REGEXEXTRACT(A12739, ""[^-]+- [^-]+- [^-]+ - (.+?)\.jpg""), "".jpg"", """"), ""-"", "", ""), """")"),"")</f>
        <v/>
      </c>
      <c r="L12739" s="12"/>
      <c r="M12739" s="13"/>
      <c r="N12739" s="2"/>
      <c r="O12739" s="20"/>
      <c r="P12739" s="42"/>
      <c r="R12739" s="23"/>
    </row>
    <row r="12740" spans="1:18" ht="12.75">
      <c r="A12740" s="12"/>
      <c r="D12740" s="12"/>
      <c r="E12740" s="12"/>
      <c r="H12740" s="11" t="str">
        <f ca="1">IFERROR(__xludf.DUMMYFUNCTION("IFERROR(SUBSTITUTE(SUBSTITUTE(REGEXEXTRACT(A12740, ""[^-]+- [^-]+- [^-]+ - (.+?)\.jpg""), "".jpg"", """"), ""-"", "", ""), """")"),"")</f>
        <v/>
      </c>
      <c r="L12740" s="12"/>
      <c r="M12740" s="13"/>
      <c r="N12740" s="2"/>
      <c r="O12740" s="20"/>
      <c r="P12740" s="42"/>
      <c r="R12740" s="23"/>
    </row>
    <row r="12741" spans="1:18" ht="12.75">
      <c r="A12741" s="12"/>
      <c r="D12741" s="12"/>
      <c r="E12741" s="12"/>
      <c r="H12741" s="11" t="str">
        <f ca="1">IFERROR(__xludf.DUMMYFUNCTION("IFERROR(SUBSTITUTE(SUBSTITUTE(REGEXEXTRACT(A12741, ""[^-]+- [^-]+- [^-]+ - (.+?)\.jpg""), "".jpg"", """"), ""-"", "", ""), """")"),"")</f>
        <v/>
      </c>
      <c r="L12741" s="12"/>
      <c r="M12741" s="13"/>
      <c r="N12741" s="2"/>
      <c r="O12741" s="20"/>
      <c r="P12741" s="42"/>
      <c r="R12741" s="23"/>
    </row>
    <row r="12742" spans="1:18" ht="12.75">
      <c r="A12742" s="12"/>
      <c r="D12742" s="12"/>
      <c r="E12742" s="12"/>
      <c r="H12742" s="11" t="str">
        <f ca="1">IFERROR(__xludf.DUMMYFUNCTION("IFERROR(SUBSTITUTE(SUBSTITUTE(REGEXEXTRACT(A12742, ""[^-]+- [^-]+- [^-]+ - (.+?)\.jpg""), "".jpg"", """"), ""-"", "", ""), """")"),"")</f>
        <v/>
      </c>
      <c r="L12742" s="12"/>
      <c r="M12742" s="13"/>
      <c r="N12742" s="2"/>
      <c r="O12742" s="20"/>
      <c r="P12742" s="42"/>
      <c r="R12742" s="23"/>
    </row>
    <row r="12743" spans="1:18" ht="12.75">
      <c r="A12743" s="12"/>
      <c r="D12743" s="12"/>
      <c r="E12743" s="12"/>
      <c r="H12743" s="11" t="str">
        <f ca="1">IFERROR(__xludf.DUMMYFUNCTION("IFERROR(SUBSTITUTE(SUBSTITUTE(REGEXEXTRACT(A12743, ""[^-]+- [^-]+- [^-]+ - (.+?)\.jpg""), "".jpg"", """"), ""-"", "", ""), """")"),"")</f>
        <v/>
      </c>
      <c r="L12743" s="12"/>
      <c r="M12743" s="13"/>
      <c r="N12743" s="2"/>
      <c r="O12743" s="20"/>
      <c r="P12743" s="42"/>
      <c r="R12743" s="23"/>
    </row>
    <row r="12744" spans="1:18" ht="12.75">
      <c r="A12744" s="12"/>
      <c r="D12744" s="12"/>
      <c r="E12744" s="12"/>
      <c r="H12744" s="11" t="str">
        <f ca="1">IFERROR(__xludf.DUMMYFUNCTION("IFERROR(SUBSTITUTE(SUBSTITUTE(REGEXEXTRACT(A12744, ""[^-]+- [^-]+- [^-]+ - (.+?)\.jpg""), "".jpg"", """"), ""-"", "", ""), """")"),"")</f>
        <v/>
      </c>
      <c r="L12744" s="12"/>
      <c r="M12744" s="13"/>
      <c r="N12744" s="2"/>
      <c r="O12744" s="20"/>
      <c r="P12744" s="42"/>
      <c r="R12744" s="23"/>
    </row>
    <row r="12745" spans="1:18" ht="12.75">
      <c r="A12745" s="12"/>
      <c r="D12745" s="12"/>
      <c r="E12745" s="12"/>
      <c r="H12745" s="11" t="str">
        <f ca="1">IFERROR(__xludf.DUMMYFUNCTION("IFERROR(SUBSTITUTE(SUBSTITUTE(REGEXEXTRACT(A12745, ""[^-]+- [^-]+- [^-]+ - (.+?)\.jpg""), "".jpg"", """"), ""-"", "", ""), """")"),"")</f>
        <v/>
      </c>
      <c r="L12745" s="12"/>
      <c r="M12745" s="13"/>
      <c r="N12745" s="2"/>
      <c r="O12745" s="20"/>
      <c r="P12745" s="42"/>
      <c r="R12745" s="23"/>
    </row>
    <row r="12746" spans="1:18" ht="12.75">
      <c r="A12746" s="12"/>
      <c r="D12746" s="12"/>
      <c r="E12746" s="12"/>
      <c r="H12746" s="11" t="str">
        <f ca="1">IFERROR(__xludf.DUMMYFUNCTION("IFERROR(SUBSTITUTE(SUBSTITUTE(REGEXEXTRACT(A12746, ""[^-]+- [^-]+- [^-]+ - (.+?)\.jpg""), "".jpg"", """"), ""-"", "", ""), """")"),"")</f>
        <v/>
      </c>
      <c r="L12746" s="12"/>
      <c r="M12746" s="13"/>
      <c r="N12746" s="2"/>
      <c r="O12746" s="20"/>
      <c r="P12746" s="42"/>
      <c r="R12746" s="23"/>
    </row>
    <row r="12747" spans="1:18" ht="12.75">
      <c r="A12747" s="12"/>
      <c r="D12747" s="12"/>
      <c r="E12747" s="12"/>
      <c r="H12747" s="11" t="str">
        <f ca="1">IFERROR(__xludf.DUMMYFUNCTION("IFERROR(SUBSTITUTE(SUBSTITUTE(REGEXEXTRACT(A12747, ""[^-]+- [^-]+- [^-]+ - (.+?)\.jpg""), "".jpg"", """"), ""-"", "", ""), """")"),"")</f>
        <v/>
      </c>
      <c r="L12747" s="12"/>
      <c r="M12747" s="13"/>
      <c r="N12747" s="2"/>
      <c r="O12747" s="20"/>
      <c r="P12747" s="42"/>
      <c r="R12747" s="23"/>
    </row>
    <row r="12748" spans="1:18" ht="12.75">
      <c r="A12748" s="12"/>
      <c r="D12748" s="12"/>
      <c r="E12748" s="12"/>
      <c r="H12748" s="11" t="str">
        <f ca="1">IFERROR(__xludf.DUMMYFUNCTION("IFERROR(SUBSTITUTE(SUBSTITUTE(REGEXEXTRACT(A12748, ""[^-]+- [^-]+- [^-]+ - (.+?)\.jpg""), "".jpg"", """"), ""-"", "", ""), """")"),"")</f>
        <v/>
      </c>
      <c r="L12748" s="12"/>
      <c r="M12748" s="13"/>
      <c r="N12748" s="2"/>
      <c r="O12748" s="20"/>
      <c r="P12748" s="42"/>
      <c r="R12748" s="23"/>
    </row>
    <row r="12749" spans="1:18" ht="12.75">
      <c r="A12749" s="12"/>
      <c r="D12749" s="12"/>
      <c r="E12749" s="12"/>
      <c r="H12749" s="11" t="str">
        <f ca="1">IFERROR(__xludf.DUMMYFUNCTION("IFERROR(SUBSTITUTE(SUBSTITUTE(REGEXEXTRACT(A12749, ""[^-]+- [^-]+- [^-]+ - (.+?)\.jpg""), "".jpg"", """"), ""-"", "", ""), """")"),"")</f>
        <v/>
      </c>
      <c r="L12749" s="12"/>
      <c r="M12749" s="13"/>
      <c r="N12749" s="2"/>
      <c r="O12749" s="20"/>
      <c r="P12749" s="42"/>
      <c r="R12749" s="23"/>
    </row>
    <row r="12750" spans="1:18" ht="12.75">
      <c r="A12750" s="12"/>
      <c r="D12750" s="12"/>
      <c r="E12750" s="12"/>
      <c r="H12750" s="11" t="str">
        <f ca="1">IFERROR(__xludf.DUMMYFUNCTION("IFERROR(SUBSTITUTE(SUBSTITUTE(REGEXEXTRACT(A12750, ""[^-]+- [^-]+- [^-]+ - (.+?)\.jpg""), "".jpg"", """"), ""-"", "", ""), """")"),"")</f>
        <v/>
      </c>
      <c r="L12750" s="12"/>
      <c r="M12750" s="13"/>
      <c r="N12750" s="2"/>
      <c r="O12750" s="20"/>
      <c r="P12750" s="42"/>
      <c r="R12750" s="23"/>
    </row>
    <row r="12751" spans="1:18" ht="12.75">
      <c r="A12751" s="12"/>
      <c r="D12751" s="12"/>
      <c r="E12751" s="12"/>
      <c r="H12751" s="11" t="str">
        <f ca="1">IFERROR(__xludf.DUMMYFUNCTION("IFERROR(SUBSTITUTE(SUBSTITUTE(REGEXEXTRACT(A12751, ""[^-]+- [^-]+- [^-]+ - (.+?)\.jpg""), "".jpg"", """"), ""-"", "", ""), """")"),"")</f>
        <v/>
      </c>
      <c r="L12751" s="12"/>
      <c r="M12751" s="13"/>
      <c r="N12751" s="2"/>
      <c r="O12751" s="20"/>
      <c r="P12751" s="42"/>
      <c r="R12751" s="23"/>
    </row>
    <row r="12752" spans="1:18" ht="12.75">
      <c r="A12752" s="12"/>
      <c r="D12752" s="12"/>
      <c r="E12752" s="12"/>
      <c r="H12752" s="11" t="str">
        <f ca="1">IFERROR(__xludf.DUMMYFUNCTION("IFERROR(SUBSTITUTE(SUBSTITUTE(REGEXEXTRACT(A12752, ""[^-]+- [^-]+- [^-]+ - (.+?)\.jpg""), "".jpg"", """"), ""-"", "", ""), """")"),"")</f>
        <v/>
      </c>
      <c r="L12752" s="12"/>
      <c r="M12752" s="13"/>
      <c r="N12752" s="2"/>
      <c r="O12752" s="20"/>
      <c r="P12752" s="42"/>
      <c r="R12752" s="23"/>
    </row>
    <row r="12753" spans="1:18" ht="12.75">
      <c r="A12753" s="12"/>
      <c r="D12753" s="12"/>
      <c r="E12753" s="12"/>
      <c r="H12753" s="11" t="str">
        <f ca="1">IFERROR(__xludf.DUMMYFUNCTION("IFERROR(SUBSTITUTE(SUBSTITUTE(REGEXEXTRACT(A12753, ""[^-]+- [^-]+- [^-]+ - (.+?)\.jpg""), "".jpg"", """"), ""-"", "", ""), """")"),"")</f>
        <v/>
      </c>
      <c r="L12753" s="12"/>
      <c r="M12753" s="13"/>
      <c r="N12753" s="2"/>
      <c r="O12753" s="20"/>
      <c r="P12753" s="42"/>
      <c r="R12753" s="23"/>
    </row>
    <row r="12754" spans="1:18" ht="12.75">
      <c r="A12754" s="12"/>
      <c r="D12754" s="12"/>
      <c r="E12754" s="12"/>
      <c r="H12754" s="11" t="str">
        <f ca="1">IFERROR(__xludf.DUMMYFUNCTION("IFERROR(SUBSTITUTE(SUBSTITUTE(REGEXEXTRACT(A12754, ""[^-]+- [^-]+- [^-]+ - (.+?)\.jpg""), "".jpg"", """"), ""-"", "", ""), """")"),"")</f>
        <v/>
      </c>
      <c r="L12754" s="12"/>
      <c r="M12754" s="13"/>
      <c r="N12754" s="2"/>
      <c r="O12754" s="20"/>
      <c r="P12754" s="42"/>
      <c r="R12754" s="23"/>
    </row>
    <row r="12755" spans="1:18" ht="12.75">
      <c r="A12755" s="12"/>
      <c r="D12755" s="12"/>
      <c r="E12755" s="12"/>
      <c r="H12755" s="11" t="str">
        <f ca="1">IFERROR(__xludf.DUMMYFUNCTION("IFERROR(SUBSTITUTE(SUBSTITUTE(REGEXEXTRACT(A12755, ""[^-]+- [^-]+- [^-]+ - (.+?)\.jpg""), "".jpg"", """"), ""-"", "", ""), """")"),"")</f>
        <v/>
      </c>
      <c r="L12755" s="12"/>
      <c r="M12755" s="13"/>
      <c r="N12755" s="2"/>
      <c r="O12755" s="20"/>
      <c r="P12755" s="42"/>
      <c r="R12755" s="23"/>
    </row>
    <row r="12756" spans="1:18" ht="12.75">
      <c r="A12756" s="12"/>
      <c r="D12756" s="12"/>
      <c r="E12756" s="12"/>
      <c r="H12756" s="11" t="str">
        <f ca="1">IFERROR(__xludf.DUMMYFUNCTION("IFERROR(SUBSTITUTE(SUBSTITUTE(REGEXEXTRACT(A12756, ""[^-]+- [^-]+- [^-]+ - (.+?)\.jpg""), "".jpg"", """"), ""-"", "", ""), """")"),"")</f>
        <v/>
      </c>
      <c r="L12756" s="12"/>
      <c r="M12756" s="13"/>
      <c r="N12756" s="2"/>
      <c r="O12756" s="20"/>
      <c r="P12756" s="42"/>
      <c r="R12756" s="23"/>
    </row>
    <row r="12757" spans="1:18" ht="12.75">
      <c r="A12757" s="12"/>
      <c r="D12757" s="12"/>
      <c r="E12757" s="12"/>
      <c r="H12757" s="11" t="str">
        <f ca="1">IFERROR(__xludf.DUMMYFUNCTION("IFERROR(SUBSTITUTE(SUBSTITUTE(REGEXEXTRACT(A12757, ""[^-]+- [^-]+- [^-]+ - (.+?)\.jpg""), "".jpg"", """"), ""-"", "", ""), """")"),"")</f>
        <v/>
      </c>
      <c r="L12757" s="12"/>
      <c r="M12757" s="13"/>
      <c r="N12757" s="2"/>
      <c r="O12757" s="20"/>
      <c r="P12757" s="42"/>
      <c r="R12757" s="23"/>
    </row>
    <row r="12758" spans="1:18" ht="12.75">
      <c r="A12758" s="12"/>
      <c r="D12758" s="12"/>
      <c r="E12758" s="12"/>
      <c r="H12758" s="11" t="str">
        <f ca="1">IFERROR(__xludf.DUMMYFUNCTION("IFERROR(SUBSTITUTE(SUBSTITUTE(REGEXEXTRACT(A12758, ""[^-]+- [^-]+- [^-]+ - (.+?)\.jpg""), "".jpg"", """"), ""-"", "", ""), """")"),"")</f>
        <v/>
      </c>
      <c r="L12758" s="12"/>
      <c r="M12758" s="13"/>
      <c r="N12758" s="2"/>
      <c r="O12758" s="20"/>
      <c r="P12758" s="42"/>
      <c r="R12758" s="23"/>
    </row>
    <row r="12759" spans="1:18" ht="12.75">
      <c r="A12759" s="12"/>
      <c r="D12759" s="12"/>
      <c r="E12759" s="12"/>
      <c r="H12759" s="11" t="str">
        <f ca="1">IFERROR(__xludf.DUMMYFUNCTION("IFERROR(SUBSTITUTE(SUBSTITUTE(REGEXEXTRACT(A12759, ""[^-]+- [^-]+- [^-]+ - (.+?)\.jpg""), "".jpg"", """"), ""-"", "", ""), """")"),"")</f>
        <v/>
      </c>
      <c r="L12759" s="12"/>
      <c r="M12759" s="13"/>
      <c r="N12759" s="2"/>
      <c r="O12759" s="20"/>
      <c r="P12759" s="42"/>
      <c r="R12759" s="23"/>
    </row>
    <row r="12760" spans="1:18" ht="12.75">
      <c r="A12760" s="12"/>
      <c r="D12760" s="12"/>
      <c r="E12760" s="12"/>
      <c r="H12760" s="11" t="str">
        <f ca="1">IFERROR(__xludf.DUMMYFUNCTION("IFERROR(SUBSTITUTE(SUBSTITUTE(REGEXEXTRACT(A12760, ""[^-]+- [^-]+- [^-]+ - (.+?)\.jpg""), "".jpg"", """"), ""-"", "", ""), """")"),"")</f>
        <v/>
      </c>
      <c r="L12760" s="12"/>
      <c r="M12760" s="13"/>
      <c r="N12760" s="2"/>
      <c r="O12760" s="20"/>
      <c r="P12760" s="42"/>
      <c r="R12760" s="23"/>
    </row>
    <row r="12761" spans="1:18" ht="12.75">
      <c r="A12761" s="12"/>
      <c r="D12761" s="12"/>
      <c r="E12761" s="12"/>
      <c r="H12761" s="11" t="str">
        <f ca="1">IFERROR(__xludf.DUMMYFUNCTION("IFERROR(SUBSTITUTE(SUBSTITUTE(REGEXEXTRACT(A12761, ""[^-]+- [^-]+- [^-]+ - (.+?)\.jpg""), "".jpg"", """"), ""-"", "", ""), """")"),"")</f>
        <v/>
      </c>
      <c r="L12761" s="12"/>
      <c r="M12761" s="13"/>
      <c r="N12761" s="2"/>
      <c r="O12761" s="20"/>
      <c r="P12761" s="42"/>
      <c r="R12761" s="23"/>
    </row>
    <row r="12762" spans="1:18" ht="12.75">
      <c r="A12762" s="12"/>
      <c r="D12762" s="12"/>
      <c r="E12762" s="12"/>
      <c r="H12762" s="11" t="str">
        <f ca="1">IFERROR(__xludf.DUMMYFUNCTION("IFERROR(SUBSTITUTE(SUBSTITUTE(REGEXEXTRACT(A12762, ""[^-]+- [^-]+- [^-]+ - (.+?)\.jpg""), "".jpg"", """"), ""-"", "", ""), """")"),"")</f>
        <v/>
      </c>
      <c r="L12762" s="12"/>
      <c r="M12762" s="13"/>
      <c r="N12762" s="2"/>
      <c r="O12762" s="20"/>
      <c r="P12762" s="42"/>
      <c r="R12762" s="23"/>
    </row>
    <row r="12763" spans="1:18" ht="12.75">
      <c r="A12763" s="12"/>
      <c r="D12763" s="12"/>
      <c r="E12763" s="12"/>
      <c r="H12763" s="11" t="str">
        <f ca="1">IFERROR(__xludf.DUMMYFUNCTION("IFERROR(SUBSTITUTE(SUBSTITUTE(REGEXEXTRACT(A12763, ""[^-]+- [^-]+- [^-]+ - (.+?)\.jpg""), "".jpg"", """"), ""-"", "", ""), """")"),"")</f>
        <v/>
      </c>
      <c r="L12763" s="12"/>
      <c r="M12763" s="13"/>
      <c r="N12763" s="2"/>
      <c r="O12763" s="20"/>
      <c r="P12763" s="42"/>
      <c r="R12763" s="23"/>
    </row>
    <row r="12764" spans="1:18" ht="12.75">
      <c r="A12764" s="12"/>
      <c r="D12764" s="12"/>
      <c r="E12764" s="12"/>
      <c r="H12764" s="11" t="str">
        <f ca="1">IFERROR(__xludf.DUMMYFUNCTION("IFERROR(SUBSTITUTE(SUBSTITUTE(REGEXEXTRACT(A12764, ""[^-]+- [^-]+- [^-]+ - (.+?)\.jpg""), "".jpg"", """"), ""-"", "", ""), """")"),"")</f>
        <v/>
      </c>
      <c r="L12764" s="12"/>
      <c r="M12764" s="13"/>
      <c r="N12764" s="2"/>
      <c r="O12764" s="20"/>
      <c r="P12764" s="42"/>
      <c r="R12764" s="23"/>
    </row>
    <row r="12765" spans="1:18" ht="12.75">
      <c r="A12765" s="12"/>
      <c r="D12765" s="12"/>
      <c r="E12765" s="12"/>
      <c r="H12765" s="11" t="str">
        <f ca="1">IFERROR(__xludf.DUMMYFUNCTION("IFERROR(SUBSTITUTE(SUBSTITUTE(REGEXEXTRACT(A12765, ""[^-]+- [^-]+- [^-]+ - (.+?)\.jpg""), "".jpg"", """"), ""-"", "", ""), """")"),"")</f>
        <v/>
      </c>
      <c r="L12765" s="12"/>
      <c r="M12765" s="13"/>
      <c r="N12765" s="2"/>
      <c r="O12765" s="20"/>
      <c r="P12765" s="42"/>
      <c r="R12765" s="23"/>
    </row>
    <row r="12766" spans="1:18" ht="12.75">
      <c r="A12766" s="12"/>
      <c r="D12766" s="12"/>
      <c r="E12766" s="12"/>
      <c r="H12766" s="11" t="str">
        <f ca="1">IFERROR(__xludf.DUMMYFUNCTION("IFERROR(SUBSTITUTE(SUBSTITUTE(REGEXEXTRACT(A12766, ""[^-]+- [^-]+- [^-]+ - (.+?)\.jpg""), "".jpg"", """"), ""-"", "", ""), """")"),"")</f>
        <v/>
      </c>
      <c r="L12766" s="12"/>
      <c r="M12766" s="13"/>
      <c r="N12766" s="2"/>
      <c r="O12766" s="20"/>
      <c r="P12766" s="42"/>
      <c r="R12766" s="23"/>
    </row>
    <row r="12767" spans="1:18" ht="12.75">
      <c r="A12767" s="12"/>
      <c r="D12767" s="12"/>
      <c r="E12767" s="12"/>
      <c r="H12767" s="11" t="str">
        <f ca="1">IFERROR(__xludf.DUMMYFUNCTION("IFERROR(SUBSTITUTE(SUBSTITUTE(REGEXEXTRACT(A12767, ""[^-]+- [^-]+- [^-]+ - (.+?)\.jpg""), "".jpg"", """"), ""-"", "", ""), """")"),"")</f>
        <v/>
      </c>
      <c r="L12767" s="12"/>
      <c r="M12767" s="13"/>
      <c r="N12767" s="2"/>
      <c r="O12767" s="20"/>
      <c r="P12767" s="42"/>
      <c r="R12767" s="23"/>
    </row>
    <row r="12768" spans="1:18" ht="12.75">
      <c r="A12768" s="12"/>
      <c r="D12768" s="12"/>
      <c r="E12768" s="12"/>
      <c r="H12768" s="11" t="str">
        <f ca="1">IFERROR(__xludf.DUMMYFUNCTION("IFERROR(SUBSTITUTE(SUBSTITUTE(REGEXEXTRACT(A12768, ""[^-]+- [^-]+- [^-]+ - (.+?)\.jpg""), "".jpg"", """"), ""-"", "", ""), """")"),"")</f>
        <v/>
      </c>
      <c r="L12768" s="12"/>
      <c r="M12768" s="13"/>
      <c r="N12768" s="2"/>
      <c r="O12768" s="20"/>
      <c r="P12768" s="42"/>
      <c r="R12768" s="23"/>
    </row>
    <row r="12769" spans="1:18" ht="12.75">
      <c r="A12769" s="12"/>
      <c r="D12769" s="12"/>
      <c r="E12769" s="12"/>
      <c r="H12769" s="11" t="str">
        <f ca="1">IFERROR(__xludf.DUMMYFUNCTION("IFERROR(SUBSTITUTE(SUBSTITUTE(REGEXEXTRACT(A12769, ""[^-]+- [^-]+- [^-]+ - (.+?)\.jpg""), "".jpg"", """"), ""-"", "", ""), """")"),"")</f>
        <v/>
      </c>
      <c r="L12769" s="12"/>
      <c r="M12769" s="13"/>
      <c r="N12769" s="2"/>
      <c r="O12769" s="20"/>
      <c r="P12769" s="42"/>
      <c r="R12769" s="23"/>
    </row>
    <row r="12770" spans="1:18" ht="12.75">
      <c r="A12770" s="12"/>
      <c r="D12770" s="12"/>
      <c r="E12770" s="12"/>
      <c r="H12770" s="11" t="str">
        <f ca="1">IFERROR(__xludf.DUMMYFUNCTION("IFERROR(SUBSTITUTE(SUBSTITUTE(REGEXEXTRACT(A12770, ""[^-]+- [^-]+- [^-]+ - (.+?)\.jpg""), "".jpg"", """"), ""-"", "", ""), """")"),"")</f>
        <v/>
      </c>
      <c r="L12770" s="12"/>
      <c r="M12770" s="13"/>
      <c r="N12770" s="2"/>
      <c r="O12770" s="20"/>
      <c r="P12770" s="42"/>
      <c r="R12770" s="23"/>
    </row>
    <row r="12771" spans="1:18" ht="12.75">
      <c r="A12771" s="12"/>
      <c r="D12771" s="12"/>
      <c r="E12771" s="12"/>
      <c r="H12771" s="11" t="str">
        <f ca="1">IFERROR(__xludf.DUMMYFUNCTION("IFERROR(SUBSTITUTE(SUBSTITUTE(REGEXEXTRACT(A12771, ""[^-]+- [^-]+- [^-]+ - (.+?)\.jpg""), "".jpg"", """"), ""-"", "", ""), """")"),"")</f>
        <v/>
      </c>
      <c r="L12771" s="12"/>
      <c r="M12771" s="13"/>
      <c r="N12771" s="2"/>
      <c r="O12771" s="20"/>
      <c r="P12771" s="42"/>
      <c r="R12771" s="23"/>
    </row>
    <row r="12772" spans="1:18" ht="12.75">
      <c r="A12772" s="12"/>
      <c r="D12772" s="12"/>
      <c r="E12772" s="12"/>
      <c r="H12772" s="11" t="str">
        <f ca="1">IFERROR(__xludf.DUMMYFUNCTION("IFERROR(SUBSTITUTE(SUBSTITUTE(REGEXEXTRACT(A12772, ""[^-]+- [^-]+- [^-]+ - (.+?)\.jpg""), "".jpg"", """"), ""-"", "", ""), """")"),"")</f>
        <v/>
      </c>
      <c r="L12772" s="12"/>
      <c r="M12772" s="13"/>
      <c r="N12772" s="2"/>
      <c r="O12772" s="20"/>
      <c r="P12772" s="42"/>
      <c r="R12772" s="23"/>
    </row>
    <row r="12773" spans="1:18" ht="12.75">
      <c r="A12773" s="12"/>
      <c r="D12773" s="12"/>
      <c r="E12773" s="12"/>
      <c r="H12773" s="11" t="str">
        <f ca="1">IFERROR(__xludf.DUMMYFUNCTION("IFERROR(SUBSTITUTE(SUBSTITUTE(REGEXEXTRACT(A12773, ""[^-]+- [^-]+- [^-]+ - (.+?)\.jpg""), "".jpg"", """"), ""-"", "", ""), """")"),"")</f>
        <v/>
      </c>
      <c r="L12773" s="12"/>
      <c r="M12773" s="13"/>
      <c r="N12773" s="2"/>
      <c r="O12773" s="20"/>
      <c r="P12773" s="42"/>
      <c r="R12773" s="23"/>
    </row>
    <row r="12774" spans="1:18" ht="12.75">
      <c r="A12774" s="12"/>
      <c r="D12774" s="12"/>
      <c r="E12774" s="12"/>
      <c r="H12774" s="11" t="str">
        <f ca="1">IFERROR(__xludf.DUMMYFUNCTION("IFERROR(SUBSTITUTE(SUBSTITUTE(REGEXEXTRACT(A12774, ""[^-]+- [^-]+- [^-]+ - (.+?)\.jpg""), "".jpg"", """"), ""-"", "", ""), """")"),"")</f>
        <v/>
      </c>
      <c r="L12774" s="12"/>
      <c r="M12774" s="13"/>
      <c r="N12774" s="2"/>
      <c r="O12774" s="20"/>
      <c r="P12774" s="42"/>
      <c r="R12774" s="23"/>
    </row>
    <row r="12775" spans="1:18" ht="12.75">
      <c r="A12775" s="12"/>
      <c r="D12775" s="12"/>
      <c r="E12775" s="12"/>
      <c r="H12775" s="11" t="str">
        <f ca="1">IFERROR(__xludf.DUMMYFUNCTION("IFERROR(SUBSTITUTE(SUBSTITUTE(REGEXEXTRACT(A12775, ""[^-]+- [^-]+- [^-]+ - (.+?)\.jpg""), "".jpg"", """"), ""-"", "", ""), """")"),"")</f>
        <v/>
      </c>
      <c r="L12775" s="12"/>
      <c r="M12775" s="13"/>
      <c r="N12775" s="2"/>
      <c r="O12775" s="20"/>
      <c r="P12775" s="42"/>
      <c r="R12775" s="23"/>
    </row>
    <row r="12776" spans="1:18" ht="12.75">
      <c r="A12776" s="12"/>
      <c r="D12776" s="12"/>
      <c r="E12776" s="12"/>
      <c r="H12776" s="11" t="str">
        <f ca="1">IFERROR(__xludf.DUMMYFUNCTION("IFERROR(SUBSTITUTE(SUBSTITUTE(REGEXEXTRACT(A12776, ""[^-]+- [^-]+- [^-]+ - (.+?)\.jpg""), "".jpg"", """"), ""-"", "", ""), """")"),"")</f>
        <v/>
      </c>
      <c r="L12776" s="12"/>
      <c r="M12776" s="13"/>
      <c r="N12776" s="2"/>
      <c r="O12776" s="20"/>
      <c r="P12776" s="42"/>
      <c r="R12776" s="23"/>
    </row>
    <row r="12777" spans="1:18" ht="12.75">
      <c r="A12777" s="12"/>
      <c r="D12777" s="12"/>
      <c r="E12777" s="12"/>
      <c r="H12777" s="11" t="str">
        <f ca="1">IFERROR(__xludf.DUMMYFUNCTION("IFERROR(SUBSTITUTE(SUBSTITUTE(REGEXEXTRACT(A12777, ""[^-]+- [^-]+- [^-]+ - (.+?)\.jpg""), "".jpg"", """"), ""-"", "", ""), """")"),"")</f>
        <v/>
      </c>
      <c r="L12777" s="12"/>
      <c r="M12777" s="13"/>
      <c r="N12777" s="2"/>
      <c r="O12777" s="20"/>
      <c r="P12777" s="42"/>
      <c r="R12777" s="23"/>
    </row>
    <row r="12778" spans="1:18" ht="12.75">
      <c r="A12778" s="12"/>
      <c r="D12778" s="12"/>
      <c r="E12778" s="12"/>
      <c r="H12778" s="11" t="str">
        <f ca="1">IFERROR(__xludf.DUMMYFUNCTION("IFERROR(SUBSTITUTE(SUBSTITUTE(REGEXEXTRACT(A12778, ""[^-]+- [^-]+- [^-]+ - (.+?)\.jpg""), "".jpg"", """"), ""-"", "", ""), """")"),"")</f>
        <v/>
      </c>
      <c r="L12778" s="12"/>
      <c r="M12778" s="13"/>
      <c r="N12778" s="2"/>
      <c r="O12778" s="20"/>
      <c r="P12778" s="42"/>
      <c r="R12778" s="23"/>
    </row>
    <row r="12779" spans="1:18" ht="12.75">
      <c r="A12779" s="12"/>
      <c r="D12779" s="12"/>
      <c r="E12779" s="12"/>
      <c r="H12779" s="11" t="str">
        <f ca="1">IFERROR(__xludf.DUMMYFUNCTION("IFERROR(SUBSTITUTE(SUBSTITUTE(REGEXEXTRACT(A12779, ""[^-]+- [^-]+- [^-]+ - (.+?)\.jpg""), "".jpg"", """"), ""-"", "", ""), """")"),"")</f>
        <v/>
      </c>
      <c r="L12779" s="12"/>
      <c r="M12779" s="13"/>
      <c r="N12779" s="2"/>
      <c r="O12779" s="20"/>
      <c r="P12779" s="42"/>
      <c r="R12779" s="23"/>
    </row>
    <row r="12780" spans="1:18" ht="12.75">
      <c r="A12780" s="12"/>
      <c r="D12780" s="12"/>
      <c r="E12780" s="12"/>
      <c r="H12780" s="11" t="str">
        <f ca="1">IFERROR(__xludf.DUMMYFUNCTION("IFERROR(SUBSTITUTE(SUBSTITUTE(REGEXEXTRACT(A12780, ""[^-]+- [^-]+- [^-]+ - (.+?)\.jpg""), "".jpg"", """"), ""-"", "", ""), """")"),"")</f>
        <v/>
      </c>
      <c r="L12780" s="12"/>
      <c r="M12780" s="13"/>
      <c r="N12780" s="2"/>
      <c r="O12780" s="20"/>
      <c r="P12780" s="42"/>
      <c r="R12780" s="23"/>
    </row>
    <row r="12781" spans="1:18" ht="12.75">
      <c r="A12781" s="12"/>
      <c r="D12781" s="12"/>
      <c r="E12781" s="12"/>
      <c r="H12781" s="11" t="str">
        <f ca="1">IFERROR(__xludf.DUMMYFUNCTION("IFERROR(SUBSTITUTE(SUBSTITUTE(REGEXEXTRACT(A12781, ""[^-]+- [^-]+- [^-]+ - (.+?)\.jpg""), "".jpg"", """"), ""-"", "", ""), """")"),"")</f>
        <v/>
      </c>
      <c r="L12781" s="12"/>
      <c r="M12781" s="13"/>
      <c r="N12781" s="2"/>
      <c r="O12781" s="20"/>
      <c r="P12781" s="42"/>
      <c r="R12781" s="23"/>
    </row>
    <row r="12782" spans="1:18" ht="12.75">
      <c r="A12782" s="12"/>
      <c r="D12782" s="12"/>
      <c r="E12782" s="12"/>
      <c r="H12782" s="11" t="str">
        <f ca="1">IFERROR(__xludf.DUMMYFUNCTION("IFERROR(SUBSTITUTE(SUBSTITUTE(REGEXEXTRACT(A12782, ""[^-]+- [^-]+- [^-]+ - (.+?)\.jpg""), "".jpg"", """"), ""-"", "", ""), """")"),"")</f>
        <v/>
      </c>
      <c r="L12782" s="12"/>
      <c r="M12782" s="13"/>
      <c r="N12782" s="2"/>
      <c r="O12782" s="20"/>
      <c r="P12782" s="42"/>
      <c r="R12782" s="23"/>
    </row>
    <row r="12783" spans="1:18" ht="12.75">
      <c r="A12783" s="12"/>
      <c r="D12783" s="12"/>
      <c r="E12783" s="12"/>
      <c r="H12783" s="11" t="str">
        <f ca="1">IFERROR(__xludf.DUMMYFUNCTION("IFERROR(SUBSTITUTE(SUBSTITUTE(REGEXEXTRACT(A12783, ""[^-]+- [^-]+- [^-]+ - (.+?)\.jpg""), "".jpg"", """"), ""-"", "", ""), """")"),"")</f>
        <v/>
      </c>
      <c r="L12783" s="12"/>
      <c r="M12783" s="13"/>
      <c r="N12783" s="2"/>
      <c r="O12783" s="20"/>
      <c r="P12783" s="42"/>
      <c r="R12783" s="23"/>
    </row>
    <row r="12784" spans="1:18" ht="12.75">
      <c r="A12784" s="12"/>
      <c r="D12784" s="12"/>
      <c r="E12784" s="12"/>
      <c r="H12784" s="11" t="str">
        <f ca="1">IFERROR(__xludf.DUMMYFUNCTION("IFERROR(SUBSTITUTE(SUBSTITUTE(REGEXEXTRACT(A12784, ""[^-]+- [^-]+- [^-]+ - (.+?)\.jpg""), "".jpg"", """"), ""-"", "", ""), """")"),"")</f>
        <v/>
      </c>
      <c r="L12784" s="12"/>
      <c r="M12784" s="13"/>
      <c r="N12784" s="2"/>
      <c r="O12784" s="20"/>
      <c r="P12784" s="42"/>
      <c r="R12784" s="23"/>
    </row>
    <row r="12785" spans="1:18" ht="12.75">
      <c r="A12785" s="12"/>
      <c r="D12785" s="12"/>
      <c r="E12785" s="12"/>
      <c r="H12785" s="11" t="str">
        <f ca="1">IFERROR(__xludf.DUMMYFUNCTION("IFERROR(SUBSTITUTE(SUBSTITUTE(REGEXEXTRACT(A12785, ""[^-]+- [^-]+- [^-]+ - (.+?)\.jpg""), "".jpg"", """"), ""-"", "", ""), """")"),"")</f>
        <v/>
      </c>
      <c r="L12785" s="12"/>
      <c r="M12785" s="13"/>
      <c r="N12785" s="2"/>
      <c r="O12785" s="20"/>
      <c r="P12785" s="42"/>
      <c r="R12785" s="23"/>
    </row>
    <row r="12786" spans="1:18" ht="12.75">
      <c r="A12786" s="12"/>
      <c r="D12786" s="12"/>
      <c r="E12786" s="12"/>
      <c r="H12786" s="11" t="str">
        <f ca="1">IFERROR(__xludf.DUMMYFUNCTION("IFERROR(SUBSTITUTE(SUBSTITUTE(REGEXEXTRACT(A12786, ""[^-]+- [^-]+- [^-]+ - (.+?)\.jpg""), "".jpg"", """"), ""-"", "", ""), """")"),"")</f>
        <v/>
      </c>
      <c r="L12786" s="12"/>
      <c r="M12786" s="13"/>
      <c r="N12786" s="2"/>
      <c r="O12786" s="20"/>
      <c r="P12786" s="42"/>
      <c r="R12786" s="23"/>
    </row>
    <row r="12787" spans="1:18" ht="12.75">
      <c r="A12787" s="12"/>
      <c r="D12787" s="12"/>
      <c r="E12787" s="12"/>
      <c r="H12787" s="11" t="str">
        <f ca="1">IFERROR(__xludf.DUMMYFUNCTION("IFERROR(SUBSTITUTE(SUBSTITUTE(REGEXEXTRACT(A12787, ""[^-]+- [^-]+- [^-]+ - (.+?)\.jpg""), "".jpg"", """"), ""-"", "", ""), """")"),"")</f>
        <v/>
      </c>
      <c r="L12787" s="12"/>
      <c r="M12787" s="13"/>
      <c r="N12787" s="2"/>
      <c r="O12787" s="20"/>
      <c r="P12787" s="42"/>
      <c r="R12787" s="23"/>
    </row>
    <row r="12788" spans="1:18" ht="12.75">
      <c r="A12788" s="12"/>
      <c r="D12788" s="12"/>
      <c r="E12788" s="12"/>
      <c r="H12788" s="11" t="str">
        <f ca="1">IFERROR(__xludf.DUMMYFUNCTION("IFERROR(SUBSTITUTE(SUBSTITUTE(REGEXEXTRACT(A12788, ""[^-]+- [^-]+- [^-]+ - (.+?)\.jpg""), "".jpg"", """"), ""-"", "", ""), """")"),"")</f>
        <v/>
      </c>
      <c r="L12788" s="12"/>
      <c r="M12788" s="13"/>
      <c r="N12788" s="2"/>
      <c r="O12788" s="20"/>
      <c r="P12788" s="42"/>
      <c r="R12788" s="23"/>
    </row>
    <row r="12789" spans="1:18" ht="12.75">
      <c r="A12789" s="12"/>
      <c r="D12789" s="12"/>
      <c r="E12789" s="12"/>
      <c r="H12789" s="11" t="str">
        <f ca="1">IFERROR(__xludf.DUMMYFUNCTION("IFERROR(SUBSTITUTE(SUBSTITUTE(REGEXEXTRACT(A12789, ""[^-]+- [^-]+- [^-]+ - (.+?)\.jpg""), "".jpg"", """"), ""-"", "", ""), """")"),"")</f>
        <v/>
      </c>
      <c r="L12789" s="12"/>
      <c r="M12789" s="13"/>
      <c r="N12789" s="2"/>
      <c r="O12789" s="20"/>
      <c r="P12789" s="42"/>
      <c r="R12789" s="23"/>
    </row>
    <row r="12790" spans="1:18" ht="12.75">
      <c r="A12790" s="12"/>
      <c r="D12790" s="12"/>
      <c r="E12790" s="12"/>
      <c r="H12790" s="11" t="str">
        <f ca="1">IFERROR(__xludf.DUMMYFUNCTION("IFERROR(SUBSTITUTE(SUBSTITUTE(REGEXEXTRACT(A12790, ""[^-]+- [^-]+- [^-]+ - (.+?)\.jpg""), "".jpg"", """"), ""-"", "", ""), """")"),"")</f>
        <v/>
      </c>
      <c r="L12790" s="12"/>
      <c r="M12790" s="13"/>
      <c r="N12790" s="2"/>
      <c r="O12790" s="20"/>
      <c r="P12790" s="42"/>
      <c r="R12790" s="23"/>
    </row>
    <row r="12791" spans="1:18" ht="12.75">
      <c r="A12791" s="12"/>
      <c r="D12791" s="12"/>
      <c r="E12791" s="12"/>
      <c r="H12791" s="11" t="str">
        <f ca="1">IFERROR(__xludf.DUMMYFUNCTION("IFERROR(SUBSTITUTE(SUBSTITUTE(REGEXEXTRACT(A12791, ""[^-]+- [^-]+- [^-]+ - (.+?)\.jpg""), "".jpg"", """"), ""-"", "", ""), """")"),"")</f>
        <v/>
      </c>
      <c r="L12791" s="12"/>
      <c r="M12791" s="13"/>
      <c r="N12791" s="2"/>
      <c r="O12791" s="20"/>
      <c r="P12791" s="42"/>
      <c r="R12791" s="23"/>
    </row>
    <row r="12792" spans="1:18" ht="12.75">
      <c r="A12792" s="12"/>
      <c r="D12792" s="12"/>
      <c r="E12792" s="12"/>
      <c r="H12792" s="11" t="str">
        <f ca="1">IFERROR(__xludf.DUMMYFUNCTION("IFERROR(SUBSTITUTE(SUBSTITUTE(REGEXEXTRACT(A12792, ""[^-]+- [^-]+- [^-]+ - (.+?)\.jpg""), "".jpg"", """"), ""-"", "", ""), """")"),"")</f>
        <v/>
      </c>
      <c r="L12792" s="12"/>
      <c r="M12792" s="13"/>
      <c r="N12792" s="2"/>
      <c r="O12792" s="20"/>
      <c r="P12792" s="42"/>
      <c r="R12792" s="23"/>
    </row>
    <row r="12793" spans="1:18" ht="12.75">
      <c r="A12793" s="12"/>
      <c r="D12793" s="12"/>
      <c r="E12793" s="12"/>
      <c r="H12793" s="11" t="str">
        <f ca="1">IFERROR(__xludf.DUMMYFUNCTION("IFERROR(SUBSTITUTE(SUBSTITUTE(REGEXEXTRACT(A12793, ""[^-]+- [^-]+- [^-]+ - (.+?)\.jpg""), "".jpg"", """"), ""-"", "", ""), """")"),"")</f>
        <v/>
      </c>
      <c r="L12793" s="12"/>
      <c r="M12793" s="13"/>
      <c r="N12793" s="2"/>
      <c r="O12793" s="20"/>
      <c r="P12793" s="42"/>
      <c r="R12793" s="23"/>
    </row>
    <row r="12794" spans="1:18" ht="12.75">
      <c r="A12794" s="12"/>
      <c r="D12794" s="12"/>
      <c r="E12794" s="12"/>
      <c r="H12794" s="11" t="str">
        <f ca="1">IFERROR(__xludf.DUMMYFUNCTION("IFERROR(SUBSTITUTE(SUBSTITUTE(REGEXEXTRACT(A12794, ""[^-]+- [^-]+- [^-]+ - (.+?)\.jpg""), "".jpg"", """"), ""-"", "", ""), """")"),"")</f>
        <v/>
      </c>
      <c r="L12794" s="12"/>
      <c r="M12794" s="13"/>
      <c r="N12794" s="2"/>
      <c r="O12794" s="20"/>
      <c r="P12794" s="42"/>
      <c r="R12794" s="23"/>
    </row>
    <row r="12795" spans="1:18" ht="12.75">
      <c r="A12795" s="12"/>
      <c r="D12795" s="12"/>
      <c r="E12795" s="12"/>
      <c r="H12795" s="11" t="str">
        <f ca="1">IFERROR(__xludf.DUMMYFUNCTION("IFERROR(SUBSTITUTE(SUBSTITUTE(REGEXEXTRACT(A12795, ""[^-]+- [^-]+- [^-]+ - (.+?)\.jpg""), "".jpg"", """"), ""-"", "", ""), """")"),"")</f>
        <v/>
      </c>
      <c r="L12795" s="12"/>
      <c r="M12795" s="13"/>
      <c r="N12795" s="2"/>
      <c r="O12795" s="20"/>
      <c r="P12795" s="42"/>
      <c r="R12795" s="23"/>
    </row>
    <row r="12796" spans="1:18" ht="12.75">
      <c r="A12796" s="12"/>
      <c r="D12796" s="12"/>
      <c r="E12796" s="12"/>
      <c r="H12796" s="11" t="str">
        <f ca="1">IFERROR(__xludf.DUMMYFUNCTION("IFERROR(SUBSTITUTE(SUBSTITUTE(REGEXEXTRACT(A12796, ""[^-]+- [^-]+- [^-]+ - (.+?)\.jpg""), "".jpg"", """"), ""-"", "", ""), """")"),"")</f>
        <v/>
      </c>
      <c r="L12796" s="12"/>
      <c r="M12796" s="13"/>
      <c r="N12796" s="2"/>
      <c r="O12796" s="20"/>
      <c r="P12796" s="42"/>
      <c r="R12796" s="23"/>
    </row>
    <row r="12797" spans="1:18" ht="12.75">
      <c r="A12797" s="12"/>
      <c r="D12797" s="12"/>
      <c r="E12797" s="12"/>
      <c r="H12797" s="11" t="str">
        <f ca="1">IFERROR(__xludf.DUMMYFUNCTION("IFERROR(SUBSTITUTE(SUBSTITUTE(REGEXEXTRACT(A12797, ""[^-]+- [^-]+- [^-]+ - (.+?)\.jpg""), "".jpg"", """"), ""-"", "", ""), """")"),"")</f>
        <v/>
      </c>
      <c r="L12797" s="12"/>
      <c r="M12797" s="13"/>
      <c r="N12797" s="2"/>
      <c r="O12797" s="20"/>
      <c r="P12797" s="42"/>
      <c r="R12797" s="23"/>
    </row>
    <row r="12798" spans="1:18" ht="12.75">
      <c r="A12798" s="12"/>
      <c r="D12798" s="12"/>
      <c r="E12798" s="12"/>
      <c r="H12798" s="11" t="str">
        <f ca="1">IFERROR(__xludf.DUMMYFUNCTION("IFERROR(SUBSTITUTE(SUBSTITUTE(REGEXEXTRACT(A12798, ""[^-]+- [^-]+- [^-]+ - (.+?)\.jpg""), "".jpg"", """"), ""-"", "", ""), """")"),"")</f>
        <v/>
      </c>
      <c r="L12798" s="12"/>
      <c r="M12798" s="13"/>
      <c r="N12798" s="2"/>
      <c r="O12798" s="20"/>
      <c r="P12798" s="42"/>
      <c r="R12798" s="23"/>
    </row>
    <row r="12799" spans="1:18" ht="12.75">
      <c r="A12799" s="12"/>
      <c r="D12799" s="12"/>
      <c r="E12799" s="12"/>
      <c r="H12799" s="11" t="str">
        <f ca="1">IFERROR(__xludf.DUMMYFUNCTION("IFERROR(SUBSTITUTE(SUBSTITUTE(REGEXEXTRACT(A12799, ""[^-]+- [^-]+- [^-]+ - (.+?)\.jpg""), "".jpg"", """"), ""-"", "", ""), """")"),"")</f>
        <v/>
      </c>
      <c r="L12799" s="12"/>
      <c r="M12799" s="13"/>
      <c r="N12799" s="2"/>
      <c r="O12799" s="20"/>
      <c r="P12799" s="42"/>
      <c r="R12799" s="23"/>
    </row>
    <row r="12800" spans="1:18" ht="12.75">
      <c r="A12800" s="12"/>
      <c r="D12800" s="12"/>
      <c r="E12800" s="12"/>
      <c r="H12800" s="11" t="str">
        <f ca="1">IFERROR(__xludf.DUMMYFUNCTION("IFERROR(SUBSTITUTE(SUBSTITUTE(REGEXEXTRACT(A12800, ""[^-]+- [^-]+- [^-]+ - (.+?)\.jpg""), "".jpg"", """"), ""-"", "", ""), """")"),"")</f>
        <v/>
      </c>
      <c r="L12800" s="12"/>
      <c r="M12800" s="13"/>
      <c r="N12800" s="2"/>
      <c r="O12800" s="20"/>
      <c r="P12800" s="42"/>
      <c r="R12800" s="23"/>
    </row>
    <row r="12801" spans="1:18" ht="12.75">
      <c r="A12801" s="12"/>
      <c r="D12801" s="12"/>
      <c r="E12801" s="12"/>
      <c r="H12801" s="11" t="str">
        <f ca="1">IFERROR(__xludf.DUMMYFUNCTION("IFERROR(SUBSTITUTE(SUBSTITUTE(REGEXEXTRACT(A12801, ""[^-]+- [^-]+- [^-]+ - (.+?)\.jpg""), "".jpg"", """"), ""-"", "", ""), """")"),"")</f>
        <v/>
      </c>
      <c r="L12801" s="12"/>
      <c r="M12801" s="13"/>
      <c r="N12801" s="2"/>
      <c r="O12801" s="20"/>
      <c r="P12801" s="42"/>
      <c r="R12801" s="23"/>
    </row>
    <row r="12802" spans="1:18" ht="12.75">
      <c r="A12802" s="12"/>
      <c r="D12802" s="12"/>
      <c r="E12802" s="12"/>
      <c r="H12802" s="11" t="str">
        <f ca="1">IFERROR(__xludf.DUMMYFUNCTION("IFERROR(SUBSTITUTE(SUBSTITUTE(REGEXEXTRACT(A12802, ""[^-]+- [^-]+- [^-]+ - (.+?)\.jpg""), "".jpg"", """"), ""-"", "", ""), """")"),"")</f>
        <v/>
      </c>
      <c r="L12802" s="12"/>
      <c r="M12802" s="13"/>
      <c r="N12802" s="2"/>
      <c r="O12802" s="20"/>
      <c r="P12802" s="42"/>
      <c r="R12802" s="23"/>
    </row>
    <row r="12803" spans="1:18" ht="12.75">
      <c r="A12803" s="12"/>
      <c r="D12803" s="12"/>
      <c r="E12803" s="12"/>
      <c r="H12803" s="11" t="str">
        <f ca="1">IFERROR(__xludf.DUMMYFUNCTION("IFERROR(SUBSTITUTE(SUBSTITUTE(REGEXEXTRACT(A12803, ""[^-]+- [^-]+- [^-]+ - (.+?)\.jpg""), "".jpg"", """"), ""-"", "", ""), """")"),"")</f>
        <v/>
      </c>
      <c r="L12803" s="12"/>
      <c r="M12803" s="13"/>
      <c r="N12803" s="2"/>
      <c r="O12803" s="20"/>
      <c r="P12803" s="42"/>
      <c r="R12803" s="23"/>
    </row>
    <row r="12804" spans="1:18" ht="12.75">
      <c r="A12804" s="12"/>
      <c r="D12804" s="12"/>
      <c r="E12804" s="12"/>
      <c r="H12804" s="11" t="str">
        <f ca="1">IFERROR(__xludf.DUMMYFUNCTION("IFERROR(SUBSTITUTE(SUBSTITUTE(REGEXEXTRACT(A12804, ""[^-]+- [^-]+- [^-]+ - (.+?)\.jpg""), "".jpg"", """"), ""-"", "", ""), """")"),"")</f>
        <v/>
      </c>
      <c r="L12804" s="12"/>
      <c r="M12804" s="13"/>
      <c r="N12804" s="2"/>
      <c r="O12804" s="20"/>
      <c r="P12804" s="42"/>
      <c r="R12804" s="23"/>
    </row>
    <row r="12805" spans="1:18" ht="12.75">
      <c r="A12805" s="12"/>
      <c r="D12805" s="12"/>
      <c r="E12805" s="12"/>
      <c r="H12805" s="11" t="str">
        <f ca="1">IFERROR(__xludf.DUMMYFUNCTION("IFERROR(SUBSTITUTE(SUBSTITUTE(REGEXEXTRACT(A12805, ""[^-]+- [^-]+- [^-]+ - (.+?)\.jpg""), "".jpg"", """"), ""-"", "", ""), """")"),"")</f>
        <v/>
      </c>
      <c r="L12805" s="12"/>
      <c r="M12805" s="13"/>
      <c r="N12805" s="2"/>
      <c r="O12805" s="20"/>
      <c r="P12805" s="42"/>
      <c r="R12805" s="23"/>
    </row>
    <row r="12806" spans="1:18" ht="12.75">
      <c r="A12806" s="12"/>
      <c r="D12806" s="12"/>
      <c r="E12806" s="12"/>
      <c r="H12806" s="11" t="str">
        <f ca="1">IFERROR(__xludf.DUMMYFUNCTION("IFERROR(SUBSTITUTE(SUBSTITUTE(REGEXEXTRACT(A12806, ""[^-]+- [^-]+- [^-]+ - (.+?)\.jpg""), "".jpg"", """"), ""-"", "", ""), """")"),"")</f>
        <v/>
      </c>
      <c r="L12806" s="12"/>
      <c r="M12806" s="13"/>
      <c r="N12806" s="2"/>
      <c r="O12806" s="20"/>
      <c r="P12806" s="42"/>
      <c r="R12806" s="23"/>
    </row>
    <row r="12807" spans="1:18" ht="12.75">
      <c r="A12807" s="12"/>
      <c r="D12807" s="12"/>
      <c r="E12807" s="12"/>
      <c r="H12807" s="11" t="str">
        <f ca="1">IFERROR(__xludf.DUMMYFUNCTION("IFERROR(SUBSTITUTE(SUBSTITUTE(REGEXEXTRACT(A12807, ""[^-]+- [^-]+- [^-]+ - (.+?)\.jpg""), "".jpg"", """"), ""-"", "", ""), """")"),"")</f>
        <v/>
      </c>
      <c r="L12807" s="12"/>
      <c r="M12807" s="13"/>
      <c r="N12807" s="2"/>
      <c r="O12807" s="20"/>
      <c r="P12807" s="42"/>
      <c r="R12807" s="23"/>
    </row>
    <row r="12808" spans="1:18" ht="12.75">
      <c r="A12808" s="12"/>
      <c r="D12808" s="12"/>
      <c r="E12808" s="12"/>
      <c r="H12808" s="11" t="str">
        <f ca="1">IFERROR(__xludf.DUMMYFUNCTION("IFERROR(SUBSTITUTE(SUBSTITUTE(REGEXEXTRACT(A12808, ""[^-]+- [^-]+- [^-]+ - (.+?)\.jpg""), "".jpg"", """"), ""-"", "", ""), """")"),"")</f>
        <v/>
      </c>
      <c r="L12808" s="12"/>
      <c r="M12808" s="13"/>
      <c r="N12808" s="2"/>
      <c r="O12808" s="20"/>
      <c r="P12808" s="42"/>
      <c r="R12808" s="23"/>
    </row>
    <row r="12809" spans="1:18" ht="12.75">
      <c r="A12809" s="12"/>
      <c r="D12809" s="12"/>
      <c r="E12809" s="12"/>
      <c r="H12809" s="11" t="str">
        <f ca="1">IFERROR(__xludf.DUMMYFUNCTION("IFERROR(SUBSTITUTE(SUBSTITUTE(REGEXEXTRACT(A12809, ""[^-]+- [^-]+- [^-]+ - (.+?)\.jpg""), "".jpg"", """"), ""-"", "", ""), """")"),"")</f>
        <v/>
      </c>
      <c r="L12809" s="12"/>
      <c r="M12809" s="13"/>
      <c r="N12809" s="2"/>
      <c r="O12809" s="20"/>
      <c r="P12809" s="42"/>
      <c r="R12809" s="23"/>
    </row>
    <row r="12810" spans="1:18" ht="12.75">
      <c r="A12810" s="12"/>
      <c r="D12810" s="12"/>
      <c r="E12810" s="12"/>
      <c r="H12810" s="11" t="str">
        <f ca="1">IFERROR(__xludf.DUMMYFUNCTION("IFERROR(SUBSTITUTE(SUBSTITUTE(REGEXEXTRACT(A12810, ""[^-]+- [^-]+- [^-]+ - (.+?)\.jpg""), "".jpg"", """"), ""-"", "", ""), """")"),"")</f>
        <v/>
      </c>
      <c r="L12810" s="12"/>
      <c r="M12810" s="13"/>
      <c r="N12810" s="2"/>
      <c r="O12810" s="20"/>
      <c r="P12810" s="42"/>
      <c r="R12810" s="23"/>
    </row>
    <row r="12811" spans="1:18" ht="12.75">
      <c r="A12811" s="12"/>
      <c r="D12811" s="12"/>
      <c r="E12811" s="12"/>
      <c r="H12811" s="11" t="str">
        <f ca="1">IFERROR(__xludf.DUMMYFUNCTION("IFERROR(SUBSTITUTE(SUBSTITUTE(REGEXEXTRACT(A12811, ""[^-]+- [^-]+- [^-]+ - (.+?)\.jpg""), "".jpg"", """"), ""-"", "", ""), """")"),"")</f>
        <v/>
      </c>
      <c r="L12811" s="12"/>
      <c r="M12811" s="13"/>
      <c r="N12811" s="2"/>
      <c r="O12811" s="20"/>
      <c r="P12811" s="42"/>
      <c r="R12811" s="23"/>
    </row>
    <row r="12812" spans="1:18" ht="12.75">
      <c r="A12812" s="12"/>
      <c r="D12812" s="12"/>
      <c r="E12812" s="12"/>
      <c r="H12812" s="11" t="str">
        <f ca="1">IFERROR(__xludf.DUMMYFUNCTION("IFERROR(SUBSTITUTE(SUBSTITUTE(REGEXEXTRACT(A12812, ""[^-]+- [^-]+- [^-]+ - (.+?)\.jpg""), "".jpg"", """"), ""-"", "", ""), """")"),"")</f>
        <v/>
      </c>
      <c r="L12812" s="12"/>
      <c r="M12812" s="13"/>
      <c r="N12812" s="2"/>
      <c r="O12812" s="20"/>
      <c r="P12812" s="42"/>
      <c r="R12812" s="23"/>
    </row>
    <row r="12813" spans="1:18" ht="12.75">
      <c r="A12813" s="12"/>
      <c r="D12813" s="12"/>
      <c r="E12813" s="12"/>
      <c r="H12813" s="11" t="str">
        <f ca="1">IFERROR(__xludf.DUMMYFUNCTION("IFERROR(SUBSTITUTE(SUBSTITUTE(REGEXEXTRACT(A12813, ""[^-]+- [^-]+- [^-]+ - (.+?)\.jpg""), "".jpg"", """"), ""-"", "", ""), """")"),"")</f>
        <v/>
      </c>
      <c r="L12813" s="12"/>
      <c r="M12813" s="13"/>
      <c r="N12813" s="2"/>
      <c r="O12813" s="20"/>
      <c r="P12813" s="42"/>
      <c r="R12813" s="23"/>
    </row>
    <row r="12814" spans="1:18" ht="12.75">
      <c r="A12814" s="12"/>
      <c r="D12814" s="12"/>
      <c r="E12814" s="12"/>
      <c r="H12814" s="11" t="str">
        <f ca="1">IFERROR(__xludf.DUMMYFUNCTION("IFERROR(SUBSTITUTE(SUBSTITUTE(REGEXEXTRACT(A12814, ""[^-]+- [^-]+- [^-]+ - (.+?)\.jpg""), "".jpg"", """"), ""-"", "", ""), """")"),"")</f>
        <v/>
      </c>
      <c r="L12814" s="12"/>
      <c r="M12814" s="13"/>
      <c r="N12814" s="2"/>
      <c r="O12814" s="20"/>
      <c r="P12814" s="42"/>
      <c r="R12814" s="23"/>
    </row>
    <row r="12815" spans="1:18" ht="12.75">
      <c r="A12815" s="12"/>
      <c r="D12815" s="12"/>
      <c r="E12815" s="12"/>
      <c r="H12815" s="11" t="str">
        <f ca="1">IFERROR(__xludf.DUMMYFUNCTION("IFERROR(SUBSTITUTE(SUBSTITUTE(REGEXEXTRACT(A12815, ""[^-]+- [^-]+- [^-]+ - (.+?)\.jpg""), "".jpg"", """"), ""-"", "", ""), """")"),"")</f>
        <v/>
      </c>
      <c r="L12815" s="12"/>
      <c r="M12815" s="13"/>
      <c r="N12815" s="2"/>
      <c r="O12815" s="20"/>
      <c r="P12815" s="42"/>
      <c r="R12815" s="23"/>
    </row>
    <row r="12816" spans="1:18" ht="12.75">
      <c r="A12816" s="12"/>
      <c r="D12816" s="12"/>
      <c r="E12816" s="12"/>
      <c r="H12816" s="11" t="str">
        <f ca="1">IFERROR(__xludf.DUMMYFUNCTION("IFERROR(SUBSTITUTE(SUBSTITUTE(REGEXEXTRACT(A12816, ""[^-]+- [^-]+- [^-]+ - (.+?)\.jpg""), "".jpg"", """"), ""-"", "", ""), """")"),"")</f>
        <v/>
      </c>
      <c r="L12816" s="12"/>
      <c r="M12816" s="13"/>
      <c r="N12816" s="2"/>
      <c r="O12816" s="20"/>
      <c r="P12816" s="42"/>
      <c r="R12816" s="23"/>
    </row>
    <row r="12817" spans="1:18" ht="12.75">
      <c r="A12817" s="12"/>
      <c r="D12817" s="12"/>
      <c r="E12817" s="12"/>
      <c r="H12817" s="11" t="str">
        <f ca="1">IFERROR(__xludf.DUMMYFUNCTION("IFERROR(SUBSTITUTE(SUBSTITUTE(REGEXEXTRACT(A12817, ""[^-]+- [^-]+- [^-]+ - (.+?)\.jpg""), "".jpg"", """"), ""-"", "", ""), """")"),"")</f>
        <v/>
      </c>
      <c r="L12817" s="12"/>
      <c r="M12817" s="13"/>
      <c r="N12817" s="2"/>
      <c r="O12817" s="20"/>
      <c r="P12817" s="42"/>
      <c r="R12817" s="23"/>
    </row>
    <row r="12818" spans="1:18" ht="12.75">
      <c r="A12818" s="12"/>
      <c r="D12818" s="12"/>
      <c r="E12818" s="12"/>
      <c r="H12818" s="11" t="str">
        <f ca="1">IFERROR(__xludf.DUMMYFUNCTION("IFERROR(SUBSTITUTE(SUBSTITUTE(REGEXEXTRACT(A12818, ""[^-]+- [^-]+- [^-]+ - (.+?)\.jpg""), "".jpg"", """"), ""-"", "", ""), """")"),"")</f>
        <v/>
      </c>
      <c r="L12818" s="12"/>
      <c r="M12818" s="13"/>
      <c r="N12818" s="2"/>
      <c r="O12818" s="20"/>
      <c r="P12818" s="42"/>
      <c r="R12818" s="23"/>
    </row>
    <row r="12819" spans="1:18" ht="12.75">
      <c r="A12819" s="12"/>
      <c r="D12819" s="12"/>
      <c r="E12819" s="12"/>
      <c r="H12819" s="11" t="str">
        <f ca="1">IFERROR(__xludf.DUMMYFUNCTION("IFERROR(SUBSTITUTE(SUBSTITUTE(REGEXEXTRACT(A12819, ""[^-]+- [^-]+- [^-]+ - (.+?)\.jpg""), "".jpg"", """"), ""-"", "", ""), """")"),"")</f>
        <v/>
      </c>
      <c r="L12819" s="12"/>
      <c r="M12819" s="13"/>
      <c r="N12819" s="2"/>
      <c r="O12819" s="20"/>
      <c r="P12819" s="42"/>
      <c r="R12819" s="23"/>
    </row>
    <row r="12820" spans="1:18" ht="12.75">
      <c r="A12820" s="12"/>
      <c r="D12820" s="12"/>
      <c r="E12820" s="12"/>
      <c r="H12820" s="11" t="str">
        <f ca="1">IFERROR(__xludf.DUMMYFUNCTION("IFERROR(SUBSTITUTE(SUBSTITUTE(REGEXEXTRACT(A12820, ""[^-]+- [^-]+- [^-]+ - (.+?)\.jpg""), "".jpg"", """"), ""-"", "", ""), """")"),"")</f>
        <v/>
      </c>
      <c r="L12820" s="12"/>
      <c r="M12820" s="13"/>
      <c r="N12820" s="2"/>
      <c r="O12820" s="20"/>
      <c r="P12820" s="42"/>
      <c r="R12820" s="23"/>
    </row>
    <row r="12821" spans="1:18" ht="12.75">
      <c r="A12821" s="12"/>
      <c r="D12821" s="12"/>
      <c r="E12821" s="12"/>
      <c r="H12821" s="11" t="str">
        <f ca="1">IFERROR(__xludf.DUMMYFUNCTION("IFERROR(SUBSTITUTE(SUBSTITUTE(REGEXEXTRACT(A12821, ""[^-]+- [^-]+- [^-]+ - (.+?)\.jpg""), "".jpg"", """"), ""-"", "", ""), """")"),"")</f>
        <v/>
      </c>
      <c r="L12821" s="12"/>
      <c r="M12821" s="13"/>
      <c r="N12821" s="2"/>
      <c r="O12821" s="20"/>
      <c r="P12821" s="42"/>
      <c r="R12821" s="23"/>
    </row>
    <row r="12822" spans="1:18" ht="12.75">
      <c r="A12822" s="12"/>
      <c r="D12822" s="12"/>
      <c r="E12822" s="12"/>
      <c r="H12822" s="11" t="str">
        <f ca="1">IFERROR(__xludf.DUMMYFUNCTION("IFERROR(SUBSTITUTE(SUBSTITUTE(REGEXEXTRACT(A12822, ""[^-]+- [^-]+- [^-]+ - (.+?)\.jpg""), "".jpg"", """"), ""-"", "", ""), """")"),"")</f>
        <v/>
      </c>
      <c r="L12822" s="12"/>
      <c r="M12822" s="13"/>
      <c r="N12822" s="2"/>
      <c r="O12822" s="20"/>
      <c r="P12822" s="42"/>
      <c r="R12822" s="23"/>
    </row>
    <row r="12823" spans="1:18" ht="12.75">
      <c r="A12823" s="12"/>
      <c r="D12823" s="12"/>
      <c r="E12823" s="12"/>
      <c r="H12823" s="11" t="str">
        <f ca="1">IFERROR(__xludf.DUMMYFUNCTION("IFERROR(SUBSTITUTE(SUBSTITUTE(REGEXEXTRACT(A12823, ""[^-]+- [^-]+- [^-]+ - (.+?)\.jpg""), "".jpg"", """"), ""-"", "", ""), """")"),"")</f>
        <v/>
      </c>
      <c r="L12823" s="12"/>
      <c r="M12823" s="13"/>
      <c r="N12823" s="2"/>
      <c r="O12823" s="20"/>
      <c r="P12823" s="42"/>
      <c r="R12823" s="23"/>
    </row>
    <row r="12824" spans="1:18" ht="12.75">
      <c r="A12824" s="12"/>
      <c r="D12824" s="12"/>
      <c r="E12824" s="12"/>
      <c r="H12824" s="11" t="str">
        <f ca="1">IFERROR(__xludf.DUMMYFUNCTION("IFERROR(SUBSTITUTE(SUBSTITUTE(REGEXEXTRACT(A12824, ""[^-]+- [^-]+- [^-]+ - (.+?)\.jpg""), "".jpg"", """"), ""-"", "", ""), """")"),"")</f>
        <v/>
      </c>
      <c r="L12824" s="12"/>
      <c r="M12824" s="13"/>
      <c r="N12824" s="2"/>
      <c r="O12824" s="20"/>
      <c r="P12824" s="42"/>
      <c r="R12824" s="23"/>
    </row>
    <row r="12825" spans="1:18" ht="12.75">
      <c r="A12825" s="12"/>
      <c r="D12825" s="12"/>
      <c r="E12825" s="12"/>
      <c r="H12825" s="11" t="str">
        <f ca="1">IFERROR(__xludf.DUMMYFUNCTION("IFERROR(SUBSTITUTE(SUBSTITUTE(REGEXEXTRACT(A12825, ""[^-]+- [^-]+- [^-]+ - (.+?)\.jpg""), "".jpg"", """"), ""-"", "", ""), """")"),"")</f>
        <v/>
      </c>
      <c r="L12825" s="12"/>
      <c r="M12825" s="13"/>
      <c r="N12825" s="2"/>
      <c r="O12825" s="20"/>
      <c r="P12825" s="42"/>
      <c r="R12825" s="23"/>
    </row>
    <row r="12826" spans="1:18" ht="12.75">
      <c r="A12826" s="12"/>
      <c r="D12826" s="12"/>
      <c r="E12826" s="12"/>
      <c r="H12826" s="11" t="str">
        <f ca="1">IFERROR(__xludf.DUMMYFUNCTION("IFERROR(SUBSTITUTE(SUBSTITUTE(REGEXEXTRACT(A12826, ""[^-]+- [^-]+- [^-]+ - (.+?)\.jpg""), "".jpg"", """"), ""-"", "", ""), """")"),"")</f>
        <v/>
      </c>
      <c r="L12826" s="12"/>
      <c r="M12826" s="13"/>
      <c r="N12826" s="2"/>
      <c r="O12826" s="20"/>
      <c r="P12826" s="42"/>
      <c r="R12826" s="23"/>
    </row>
    <row r="12827" spans="1:18" ht="12.75">
      <c r="A12827" s="12"/>
      <c r="D12827" s="12"/>
      <c r="E12827" s="12"/>
      <c r="H12827" s="11" t="str">
        <f ca="1">IFERROR(__xludf.DUMMYFUNCTION("IFERROR(SUBSTITUTE(SUBSTITUTE(REGEXEXTRACT(A12827, ""[^-]+- [^-]+- [^-]+ - (.+?)\.jpg""), "".jpg"", """"), ""-"", "", ""), """")"),"")</f>
        <v/>
      </c>
      <c r="L12827" s="12"/>
      <c r="M12827" s="13"/>
      <c r="N12827" s="2"/>
      <c r="O12827" s="20"/>
      <c r="P12827" s="42"/>
      <c r="R12827" s="23"/>
    </row>
    <row r="12828" spans="1:18" ht="12.75">
      <c r="A12828" s="12"/>
      <c r="D12828" s="12"/>
      <c r="E12828" s="12"/>
      <c r="H12828" s="11" t="str">
        <f ca="1">IFERROR(__xludf.DUMMYFUNCTION("IFERROR(SUBSTITUTE(SUBSTITUTE(REGEXEXTRACT(A12828, ""[^-]+- [^-]+- [^-]+ - (.+?)\.jpg""), "".jpg"", """"), ""-"", "", ""), """")"),"")</f>
        <v/>
      </c>
      <c r="L12828" s="12"/>
      <c r="M12828" s="13"/>
      <c r="N12828" s="2"/>
      <c r="O12828" s="20"/>
      <c r="P12828" s="42"/>
      <c r="R12828" s="23"/>
    </row>
    <row r="12829" spans="1:18" ht="12.75">
      <c r="A12829" s="12"/>
      <c r="D12829" s="12"/>
      <c r="E12829" s="12"/>
      <c r="H12829" s="11" t="str">
        <f ca="1">IFERROR(__xludf.DUMMYFUNCTION("IFERROR(SUBSTITUTE(SUBSTITUTE(REGEXEXTRACT(A12829, ""[^-]+- [^-]+- [^-]+ - (.+?)\.jpg""), "".jpg"", """"), ""-"", "", ""), """")"),"")</f>
        <v/>
      </c>
      <c r="L12829" s="12"/>
      <c r="M12829" s="13"/>
      <c r="N12829" s="2"/>
      <c r="O12829" s="20"/>
      <c r="P12829" s="42"/>
      <c r="R12829" s="23"/>
    </row>
    <row r="12830" spans="1:18" ht="12.75">
      <c r="A12830" s="12"/>
      <c r="D12830" s="12"/>
      <c r="E12830" s="12"/>
      <c r="H12830" s="11" t="str">
        <f ca="1">IFERROR(__xludf.DUMMYFUNCTION("IFERROR(SUBSTITUTE(SUBSTITUTE(REGEXEXTRACT(A12830, ""[^-]+- [^-]+- [^-]+ - (.+?)\.jpg""), "".jpg"", """"), ""-"", "", ""), """")"),"")</f>
        <v/>
      </c>
      <c r="L12830" s="12"/>
      <c r="M12830" s="13"/>
      <c r="N12830" s="2"/>
      <c r="O12830" s="20"/>
      <c r="P12830" s="42"/>
      <c r="R12830" s="23"/>
    </row>
    <row r="12831" spans="1:18" ht="12.75">
      <c r="A12831" s="12"/>
      <c r="D12831" s="12"/>
      <c r="E12831" s="12"/>
      <c r="H12831" s="11" t="str">
        <f ca="1">IFERROR(__xludf.DUMMYFUNCTION("IFERROR(SUBSTITUTE(SUBSTITUTE(REGEXEXTRACT(A12831, ""[^-]+- [^-]+- [^-]+ - (.+?)\.jpg""), "".jpg"", """"), ""-"", "", ""), """")"),"")</f>
        <v/>
      </c>
      <c r="L12831" s="12"/>
      <c r="M12831" s="13"/>
      <c r="N12831" s="2"/>
      <c r="O12831" s="20"/>
      <c r="P12831" s="42"/>
      <c r="R12831" s="23"/>
    </row>
    <row r="12832" spans="1:18" ht="12.75">
      <c r="A12832" s="12"/>
      <c r="D12832" s="12"/>
      <c r="E12832" s="12"/>
      <c r="H12832" s="11" t="str">
        <f ca="1">IFERROR(__xludf.DUMMYFUNCTION("IFERROR(SUBSTITUTE(SUBSTITUTE(REGEXEXTRACT(A12832, ""[^-]+- [^-]+- [^-]+ - (.+?)\.jpg""), "".jpg"", """"), ""-"", "", ""), """")"),"")</f>
        <v/>
      </c>
      <c r="L12832" s="12"/>
      <c r="M12832" s="13"/>
      <c r="N12832" s="2"/>
      <c r="O12832" s="20"/>
      <c r="P12832" s="42"/>
      <c r="R12832" s="23"/>
    </row>
    <row r="12833" spans="1:18" ht="12.75">
      <c r="A12833" s="12"/>
      <c r="D12833" s="12"/>
      <c r="E12833" s="12"/>
      <c r="H12833" s="11" t="str">
        <f ca="1">IFERROR(__xludf.DUMMYFUNCTION("IFERROR(SUBSTITUTE(SUBSTITUTE(REGEXEXTRACT(A12833, ""[^-]+- [^-]+- [^-]+ - (.+?)\.jpg""), "".jpg"", """"), ""-"", "", ""), """")"),"")</f>
        <v/>
      </c>
      <c r="L12833" s="12"/>
      <c r="M12833" s="13"/>
      <c r="N12833" s="2"/>
      <c r="O12833" s="20"/>
      <c r="P12833" s="42"/>
      <c r="R12833" s="23"/>
    </row>
    <row r="12834" spans="1:18" ht="12.75">
      <c r="A12834" s="12"/>
      <c r="D12834" s="12"/>
      <c r="E12834" s="12"/>
      <c r="H12834" s="11" t="str">
        <f ca="1">IFERROR(__xludf.DUMMYFUNCTION("IFERROR(SUBSTITUTE(SUBSTITUTE(REGEXEXTRACT(A12834, ""[^-]+- [^-]+- [^-]+ - (.+?)\.jpg""), "".jpg"", """"), ""-"", "", ""), """")"),"")</f>
        <v/>
      </c>
      <c r="L12834" s="12"/>
      <c r="M12834" s="13"/>
      <c r="N12834" s="2"/>
      <c r="O12834" s="20"/>
      <c r="P12834" s="42"/>
      <c r="R12834" s="23"/>
    </row>
    <row r="12835" spans="1:18" ht="12.75">
      <c r="A12835" s="12"/>
      <c r="D12835" s="12"/>
      <c r="E12835" s="12"/>
      <c r="H12835" s="11" t="str">
        <f ca="1">IFERROR(__xludf.DUMMYFUNCTION("IFERROR(SUBSTITUTE(SUBSTITUTE(REGEXEXTRACT(A12835, ""[^-]+- [^-]+- [^-]+ - (.+?)\.jpg""), "".jpg"", """"), ""-"", "", ""), """")"),"")</f>
        <v/>
      </c>
      <c r="L12835" s="12"/>
      <c r="M12835" s="13"/>
      <c r="N12835" s="2"/>
      <c r="O12835" s="20"/>
      <c r="P12835" s="42"/>
      <c r="R12835" s="23"/>
    </row>
    <row r="12836" spans="1:18" ht="12.75">
      <c r="A12836" s="12"/>
      <c r="D12836" s="12"/>
      <c r="E12836" s="12"/>
      <c r="H12836" s="11" t="str">
        <f ca="1">IFERROR(__xludf.DUMMYFUNCTION("IFERROR(SUBSTITUTE(SUBSTITUTE(REGEXEXTRACT(A12836, ""[^-]+- [^-]+- [^-]+ - (.+?)\.jpg""), "".jpg"", """"), ""-"", "", ""), """")"),"")</f>
        <v/>
      </c>
      <c r="L12836" s="12"/>
      <c r="M12836" s="13"/>
      <c r="N12836" s="2"/>
      <c r="O12836" s="20"/>
      <c r="P12836" s="42"/>
      <c r="R12836" s="23"/>
    </row>
    <row r="12837" spans="1:18" ht="12.75">
      <c r="A12837" s="12"/>
      <c r="D12837" s="12"/>
      <c r="E12837" s="12"/>
      <c r="H12837" s="11" t="str">
        <f ca="1">IFERROR(__xludf.DUMMYFUNCTION("IFERROR(SUBSTITUTE(SUBSTITUTE(REGEXEXTRACT(A12837, ""[^-]+- [^-]+- [^-]+ - (.+?)\.jpg""), "".jpg"", """"), ""-"", "", ""), """")"),"")</f>
        <v/>
      </c>
      <c r="L12837" s="12"/>
      <c r="M12837" s="13"/>
      <c r="N12837" s="2"/>
      <c r="O12837" s="20"/>
      <c r="P12837" s="42"/>
      <c r="R12837" s="23"/>
    </row>
    <row r="12838" spans="1:18" ht="12.75">
      <c r="A12838" s="12"/>
      <c r="D12838" s="12"/>
      <c r="E12838" s="12"/>
      <c r="H12838" s="11" t="str">
        <f ca="1">IFERROR(__xludf.DUMMYFUNCTION("IFERROR(SUBSTITUTE(SUBSTITUTE(REGEXEXTRACT(A12838, ""[^-]+- [^-]+- [^-]+ - (.+?)\.jpg""), "".jpg"", """"), ""-"", "", ""), """")"),"")</f>
        <v/>
      </c>
      <c r="L12838" s="12"/>
      <c r="M12838" s="13"/>
      <c r="N12838" s="2"/>
      <c r="O12838" s="20"/>
      <c r="P12838" s="42"/>
      <c r="R12838" s="23"/>
    </row>
    <row r="12839" spans="1:18" ht="12.75">
      <c r="A12839" s="12"/>
      <c r="D12839" s="12"/>
      <c r="E12839" s="12"/>
      <c r="H12839" s="11" t="str">
        <f ca="1">IFERROR(__xludf.DUMMYFUNCTION("IFERROR(SUBSTITUTE(SUBSTITUTE(REGEXEXTRACT(A12839, ""[^-]+- [^-]+- [^-]+ - (.+?)\.jpg""), "".jpg"", """"), ""-"", "", ""), """")"),"")</f>
        <v/>
      </c>
      <c r="L12839" s="12"/>
      <c r="M12839" s="13"/>
      <c r="N12839" s="2"/>
      <c r="O12839" s="20"/>
      <c r="P12839" s="42"/>
      <c r="R12839" s="23"/>
    </row>
    <row r="12840" spans="1:18" ht="12.75">
      <c r="A12840" s="12"/>
      <c r="D12840" s="12"/>
      <c r="E12840" s="12"/>
      <c r="H12840" s="11" t="str">
        <f ca="1">IFERROR(__xludf.DUMMYFUNCTION("IFERROR(SUBSTITUTE(SUBSTITUTE(REGEXEXTRACT(A12840, ""[^-]+- [^-]+- [^-]+ - (.+?)\.jpg""), "".jpg"", """"), ""-"", "", ""), """")"),"")</f>
        <v/>
      </c>
      <c r="L12840" s="12"/>
      <c r="M12840" s="13"/>
      <c r="N12840" s="2"/>
      <c r="O12840" s="20"/>
      <c r="P12840" s="42"/>
      <c r="R12840" s="23"/>
    </row>
    <row r="12841" spans="1:18" ht="12.75">
      <c r="A12841" s="12"/>
      <c r="D12841" s="12"/>
      <c r="E12841" s="12"/>
      <c r="H12841" s="11" t="str">
        <f ca="1">IFERROR(__xludf.DUMMYFUNCTION("IFERROR(SUBSTITUTE(SUBSTITUTE(REGEXEXTRACT(A12841, ""[^-]+- [^-]+- [^-]+ - (.+?)\.jpg""), "".jpg"", """"), ""-"", "", ""), """")"),"")</f>
        <v/>
      </c>
      <c r="L12841" s="12"/>
      <c r="M12841" s="13"/>
      <c r="N12841" s="2"/>
      <c r="O12841" s="20"/>
      <c r="P12841" s="42"/>
      <c r="R12841" s="23"/>
    </row>
    <row r="12842" spans="1:18" ht="12.75">
      <c r="A12842" s="12"/>
      <c r="D12842" s="12"/>
      <c r="E12842" s="12"/>
      <c r="H12842" s="11" t="str">
        <f ca="1">IFERROR(__xludf.DUMMYFUNCTION("IFERROR(SUBSTITUTE(SUBSTITUTE(REGEXEXTRACT(A12842, ""[^-]+- [^-]+- [^-]+ - (.+?)\.jpg""), "".jpg"", """"), ""-"", "", ""), """")"),"")</f>
        <v/>
      </c>
      <c r="L12842" s="12"/>
      <c r="M12842" s="13"/>
      <c r="N12842" s="2"/>
      <c r="O12842" s="20"/>
      <c r="P12842" s="42"/>
      <c r="R12842" s="23"/>
    </row>
    <row r="12843" spans="1:18" ht="12.75">
      <c r="A12843" s="12"/>
      <c r="D12843" s="12"/>
      <c r="E12843" s="12"/>
      <c r="H12843" s="11" t="str">
        <f ca="1">IFERROR(__xludf.DUMMYFUNCTION("IFERROR(SUBSTITUTE(SUBSTITUTE(REGEXEXTRACT(A12843, ""[^-]+- [^-]+- [^-]+ - (.+?)\.jpg""), "".jpg"", """"), ""-"", "", ""), """")"),"")</f>
        <v/>
      </c>
      <c r="L12843" s="12"/>
      <c r="M12843" s="13"/>
      <c r="N12843" s="2"/>
      <c r="O12843" s="20"/>
      <c r="P12843" s="42"/>
      <c r="R12843" s="23"/>
    </row>
    <row r="12844" spans="1:18" ht="12.75">
      <c r="A12844" s="12"/>
      <c r="D12844" s="12"/>
      <c r="E12844" s="12"/>
      <c r="H12844" s="11" t="str">
        <f ca="1">IFERROR(__xludf.DUMMYFUNCTION("IFERROR(SUBSTITUTE(SUBSTITUTE(REGEXEXTRACT(A12844, ""[^-]+- [^-]+- [^-]+ - (.+?)\.jpg""), "".jpg"", """"), ""-"", "", ""), """")"),"")</f>
        <v/>
      </c>
      <c r="L12844" s="12"/>
      <c r="M12844" s="13"/>
      <c r="N12844" s="2"/>
      <c r="O12844" s="20"/>
      <c r="P12844" s="42"/>
      <c r="R12844" s="23"/>
    </row>
    <row r="12845" spans="1:18" ht="12.75">
      <c r="A12845" s="12"/>
      <c r="D12845" s="12"/>
      <c r="E12845" s="12"/>
      <c r="H12845" s="11" t="str">
        <f ca="1">IFERROR(__xludf.DUMMYFUNCTION("IFERROR(SUBSTITUTE(SUBSTITUTE(REGEXEXTRACT(A12845, ""[^-]+- [^-]+- [^-]+ - (.+?)\.jpg""), "".jpg"", """"), ""-"", "", ""), """")"),"")</f>
        <v/>
      </c>
      <c r="L12845" s="12"/>
      <c r="M12845" s="13"/>
      <c r="N12845" s="2"/>
      <c r="O12845" s="20"/>
      <c r="P12845" s="42"/>
      <c r="R12845" s="23"/>
    </row>
    <row r="12846" spans="1:18" ht="12.75">
      <c r="A12846" s="12"/>
      <c r="D12846" s="12"/>
      <c r="E12846" s="12"/>
      <c r="H12846" s="11" t="str">
        <f ca="1">IFERROR(__xludf.DUMMYFUNCTION("IFERROR(SUBSTITUTE(SUBSTITUTE(REGEXEXTRACT(A12846, ""[^-]+- [^-]+- [^-]+ - (.+?)\.jpg""), "".jpg"", """"), ""-"", "", ""), """")"),"")</f>
        <v/>
      </c>
      <c r="L12846" s="12"/>
      <c r="M12846" s="13"/>
      <c r="N12846" s="2"/>
      <c r="O12846" s="20"/>
      <c r="P12846" s="42"/>
      <c r="R12846" s="23"/>
    </row>
    <row r="12847" spans="1:18" ht="12.75">
      <c r="A12847" s="12"/>
      <c r="D12847" s="12"/>
      <c r="E12847" s="12"/>
      <c r="H12847" s="11" t="str">
        <f ca="1">IFERROR(__xludf.DUMMYFUNCTION("IFERROR(SUBSTITUTE(SUBSTITUTE(REGEXEXTRACT(A12847, ""[^-]+- [^-]+- [^-]+ - (.+?)\.jpg""), "".jpg"", """"), ""-"", "", ""), """")"),"")</f>
        <v/>
      </c>
      <c r="L12847" s="12"/>
      <c r="M12847" s="13"/>
      <c r="N12847" s="2"/>
      <c r="O12847" s="20"/>
      <c r="P12847" s="42"/>
      <c r="R12847" s="23"/>
    </row>
    <row r="12848" spans="1:18" ht="12.75">
      <c r="A12848" s="12"/>
      <c r="D12848" s="12"/>
      <c r="E12848" s="12"/>
      <c r="H12848" s="11" t="str">
        <f ca="1">IFERROR(__xludf.DUMMYFUNCTION("IFERROR(SUBSTITUTE(SUBSTITUTE(REGEXEXTRACT(A12848, ""[^-]+- [^-]+- [^-]+ - (.+?)\.jpg""), "".jpg"", """"), ""-"", "", ""), """")"),"")</f>
        <v/>
      </c>
      <c r="L12848" s="12"/>
      <c r="M12848" s="13"/>
      <c r="N12848" s="2"/>
      <c r="O12848" s="20"/>
      <c r="P12848" s="42"/>
      <c r="R12848" s="23"/>
    </row>
    <row r="12849" spans="1:18" ht="12.75">
      <c r="A12849" s="12"/>
      <c r="D12849" s="12"/>
      <c r="E12849" s="12"/>
      <c r="H12849" s="11" t="str">
        <f ca="1">IFERROR(__xludf.DUMMYFUNCTION("IFERROR(SUBSTITUTE(SUBSTITUTE(REGEXEXTRACT(A12849, ""[^-]+- [^-]+- [^-]+ - (.+?)\.jpg""), "".jpg"", """"), ""-"", "", ""), """")"),"")</f>
        <v/>
      </c>
      <c r="L12849" s="12"/>
      <c r="M12849" s="13"/>
      <c r="N12849" s="2"/>
      <c r="O12849" s="20"/>
      <c r="P12849" s="42"/>
      <c r="R12849" s="23"/>
    </row>
    <row r="12850" spans="1:18" ht="12.75">
      <c r="A12850" s="12"/>
      <c r="D12850" s="12"/>
      <c r="E12850" s="12"/>
      <c r="H12850" s="11" t="str">
        <f ca="1">IFERROR(__xludf.DUMMYFUNCTION("IFERROR(SUBSTITUTE(SUBSTITUTE(REGEXEXTRACT(A12850, ""[^-]+- [^-]+- [^-]+ - (.+?)\.jpg""), "".jpg"", """"), ""-"", "", ""), """")"),"")</f>
        <v/>
      </c>
      <c r="L12850" s="12"/>
      <c r="M12850" s="13"/>
      <c r="N12850" s="2"/>
      <c r="O12850" s="20"/>
      <c r="P12850" s="42"/>
      <c r="R12850" s="23"/>
    </row>
    <row r="12851" spans="1:18" ht="12.75">
      <c r="A12851" s="12"/>
      <c r="D12851" s="12"/>
      <c r="E12851" s="12"/>
      <c r="H12851" s="11" t="str">
        <f ca="1">IFERROR(__xludf.DUMMYFUNCTION("IFERROR(SUBSTITUTE(SUBSTITUTE(REGEXEXTRACT(A12851, ""[^-]+- [^-]+- [^-]+ - (.+?)\.jpg""), "".jpg"", """"), ""-"", "", ""), """")"),"")</f>
        <v/>
      </c>
      <c r="L12851" s="12"/>
      <c r="M12851" s="13"/>
      <c r="N12851" s="2"/>
      <c r="O12851" s="20"/>
      <c r="P12851" s="42"/>
      <c r="R12851" s="23"/>
    </row>
    <row r="12852" spans="1:18" ht="12.75">
      <c r="A12852" s="12"/>
      <c r="D12852" s="12"/>
      <c r="E12852" s="12"/>
      <c r="H12852" s="11" t="str">
        <f ca="1">IFERROR(__xludf.DUMMYFUNCTION("IFERROR(SUBSTITUTE(SUBSTITUTE(REGEXEXTRACT(A12852, ""[^-]+- [^-]+- [^-]+ - (.+?)\.jpg""), "".jpg"", """"), ""-"", "", ""), """")"),"")</f>
        <v/>
      </c>
      <c r="L12852" s="12"/>
      <c r="M12852" s="13"/>
      <c r="N12852" s="2"/>
      <c r="O12852" s="20"/>
      <c r="P12852" s="42"/>
      <c r="R12852" s="23"/>
    </row>
    <row r="12853" spans="1:18" ht="12.75">
      <c r="A12853" s="12"/>
      <c r="D12853" s="12"/>
      <c r="E12853" s="12"/>
      <c r="H12853" s="11" t="str">
        <f ca="1">IFERROR(__xludf.DUMMYFUNCTION("IFERROR(SUBSTITUTE(SUBSTITUTE(REGEXEXTRACT(A12853, ""[^-]+- [^-]+- [^-]+ - (.+?)\.jpg""), "".jpg"", """"), ""-"", "", ""), """")"),"")</f>
        <v/>
      </c>
      <c r="L12853" s="12"/>
      <c r="M12853" s="13"/>
      <c r="N12853" s="2"/>
      <c r="O12853" s="20"/>
      <c r="P12853" s="42"/>
      <c r="R12853" s="23"/>
    </row>
    <row r="12854" spans="1:18" ht="12.75">
      <c r="A12854" s="12"/>
      <c r="D12854" s="12"/>
      <c r="E12854" s="12"/>
      <c r="H12854" s="11" t="str">
        <f ca="1">IFERROR(__xludf.DUMMYFUNCTION("IFERROR(SUBSTITUTE(SUBSTITUTE(REGEXEXTRACT(A12854, ""[^-]+- [^-]+- [^-]+ - (.+?)\.jpg""), "".jpg"", """"), ""-"", "", ""), """")"),"")</f>
        <v/>
      </c>
      <c r="L12854" s="12"/>
      <c r="M12854" s="13"/>
      <c r="N12854" s="2"/>
      <c r="O12854" s="20"/>
      <c r="P12854" s="42"/>
      <c r="R12854" s="23"/>
    </row>
    <row r="12855" spans="1:18" ht="12.75">
      <c r="A12855" s="12"/>
      <c r="D12855" s="12"/>
      <c r="E12855" s="12"/>
      <c r="H12855" s="11" t="str">
        <f ca="1">IFERROR(__xludf.DUMMYFUNCTION("IFERROR(SUBSTITUTE(SUBSTITUTE(REGEXEXTRACT(A12855, ""[^-]+- [^-]+- [^-]+ - (.+?)\.jpg""), "".jpg"", """"), ""-"", "", ""), """")"),"")</f>
        <v/>
      </c>
      <c r="L12855" s="12"/>
      <c r="M12855" s="13"/>
      <c r="N12855" s="2"/>
      <c r="O12855" s="20"/>
      <c r="P12855" s="42"/>
      <c r="R12855" s="23"/>
    </row>
    <row r="12856" spans="1:18" ht="12.75">
      <c r="A12856" s="12"/>
      <c r="D12856" s="12"/>
      <c r="E12856" s="12"/>
      <c r="H12856" s="11" t="str">
        <f ca="1">IFERROR(__xludf.DUMMYFUNCTION("IFERROR(SUBSTITUTE(SUBSTITUTE(REGEXEXTRACT(A12856, ""[^-]+- [^-]+- [^-]+ - (.+?)\.jpg""), "".jpg"", """"), ""-"", "", ""), """")"),"")</f>
        <v/>
      </c>
      <c r="L12856" s="12"/>
      <c r="M12856" s="13"/>
      <c r="N12856" s="2"/>
      <c r="O12856" s="20"/>
      <c r="P12856" s="42"/>
      <c r="R12856" s="23"/>
    </row>
    <row r="12857" spans="1:18" ht="12.75">
      <c r="A12857" s="12"/>
      <c r="D12857" s="12"/>
      <c r="E12857" s="12"/>
      <c r="H12857" s="11" t="str">
        <f ca="1">IFERROR(__xludf.DUMMYFUNCTION("IFERROR(SUBSTITUTE(SUBSTITUTE(REGEXEXTRACT(A12857, ""[^-]+- [^-]+- [^-]+ - (.+?)\.jpg""), "".jpg"", """"), ""-"", "", ""), """")"),"")</f>
        <v/>
      </c>
      <c r="L12857" s="12"/>
      <c r="M12857" s="13"/>
      <c r="N12857" s="2"/>
      <c r="O12857" s="20"/>
      <c r="P12857" s="42"/>
      <c r="R12857" s="23"/>
    </row>
    <row r="12858" spans="1:18" ht="12.75">
      <c r="A12858" s="12"/>
      <c r="D12858" s="12"/>
      <c r="E12858" s="12"/>
      <c r="H12858" s="11" t="str">
        <f ca="1">IFERROR(__xludf.DUMMYFUNCTION("IFERROR(SUBSTITUTE(SUBSTITUTE(REGEXEXTRACT(A12858, ""[^-]+- [^-]+- [^-]+ - (.+?)\.jpg""), "".jpg"", """"), ""-"", "", ""), """")"),"")</f>
        <v/>
      </c>
      <c r="L12858" s="12"/>
      <c r="M12858" s="13"/>
      <c r="N12858" s="2"/>
      <c r="O12858" s="20"/>
      <c r="P12858" s="42"/>
      <c r="R12858" s="23"/>
    </row>
    <row r="12859" spans="1:18" ht="12.75">
      <c r="A12859" s="12"/>
      <c r="D12859" s="12"/>
      <c r="E12859" s="12"/>
      <c r="H12859" s="11" t="str">
        <f ca="1">IFERROR(__xludf.DUMMYFUNCTION("IFERROR(SUBSTITUTE(SUBSTITUTE(REGEXEXTRACT(A12859, ""[^-]+- [^-]+- [^-]+ - (.+?)\.jpg""), "".jpg"", """"), ""-"", "", ""), """")"),"")</f>
        <v/>
      </c>
      <c r="L12859" s="12"/>
      <c r="M12859" s="13"/>
      <c r="N12859" s="2"/>
      <c r="O12859" s="20"/>
      <c r="P12859" s="42"/>
      <c r="R12859" s="23"/>
    </row>
    <row r="12860" spans="1:18" ht="12.75">
      <c r="A12860" s="12"/>
      <c r="D12860" s="12"/>
      <c r="E12860" s="12"/>
      <c r="H12860" s="11" t="str">
        <f ca="1">IFERROR(__xludf.DUMMYFUNCTION("IFERROR(SUBSTITUTE(SUBSTITUTE(REGEXEXTRACT(A12860, ""[^-]+- [^-]+- [^-]+ - (.+?)\.jpg""), "".jpg"", """"), ""-"", "", ""), """")"),"")</f>
        <v/>
      </c>
      <c r="L12860" s="12"/>
      <c r="M12860" s="13"/>
      <c r="N12860" s="2"/>
      <c r="O12860" s="20"/>
      <c r="P12860" s="42"/>
      <c r="R12860" s="23"/>
    </row>
    <row r="12861" spans="1:18" ht="12.75">
      <c r="A12861" s="12"/>
      <c r="D12861" s="12"/>
      <c r="E12861" s="12"/>
      <c r="H12861" s="11" t="str">
        <f ca="1">IFERROR(__xludf.DUMMYFUNCTION("IFERROR(SUBSTITUTE(SUBSTITUTE(REGEXEXTRACT(A12861, ""[^-]+- [^-]+- [^-]+ - (.+?)\.jpg""), "".jpg"", """"), ""-"", "", ""), """")"),"")</f>
        <v/>
      </c>
      <c r="L12861" s="12"/>
      <c r="M12861" s="13"/>
      <c r="N12861" s="2"/>
      <c r="O12861" s="20"/>
      <c r="P12861" s="42"/>
      <c r="R12861" s="23"/>
    </row>
    <row r="12862" spans="1:18" ht="12.75">
      <c r="A12862" s="12"/>
      <c r="D12862" s="12"/>
      <c r="E12862" s="12"/>
      <c r="H12862" s="11" t="str">
        <f ca="1">IFERROR(__xludf.DUMMYFUNCTION("IFERROR(SUBSTITUTE(SUBSTITUTE(REGEXEXTRACT(A12862, ""[^-]+- [^-]+- [^-]+ - (.+?)\.jpg""), "".jpg"", """"), ""-"", "", ""), """")"),"")</f>
        <v/>
      </c>
      <c r="L12862" s="12"/>
      <c r="M12862" s="13"/>
      <c r="N12862" s="2"/>
      <c r="O12862" s="20"/>
      <c r="P12862" s="42"/>
      <c r="R12862" s="23"/>
    </row>
    <row r="12863" spans="1:18" ht="12.75">
      <c r="A12863" s="12"/>
      <c r="D12863" s="12"/>
      <c r="E12863" s="12"/>
      <c r="H12863" s="11" t="str">
        <f ca="1">IFERROR(__xludf.DUMMYFUNCTION("IFERROR(SUBSTITUTE(SUBSTITUTE(REGEXEXTRACT(A12863, ""[^-]+- [^-]+- [^-]+ - (.+?)\.jpg""), "".jpg"", """"), ""-"", "", ""), """")"),"")</f>
        <v/>
      </c>
      <c r="L12863" s="12"/>
      <c r="M12863" s="13"/>
      <c r="N12863" s="2"/>
      <c r="O12863" s="20"/>
      <c r="P12863" s="42"/>
      <c r="R12863" s="23"/>
    </row>
    <row r="12864" spans="1:18" ht="12.75">
      <c r="A12864" s="12"/>
      <c r="D12864" s="12"/>
      <c r="E12864" s="12"/>
      <c r="H12864" s="11" t="str">
        <f ca="1">IFERROR(__xludf.DUMMYFUNCTION("IFERROR(SUBSTITUTE(SUBSTITUTE(REGEXEXTRACT(A12864, ""[^-]+- [^-]+- [^-]+ - (.+?)\.jpg""), "".jpg"", """"), ""-"", "", ""), """")"),"")</f>
        <v/>
      </c>
      <c r="L12864" s="12"/>
      <c r="M12864" s="13"/>
      <c r="N12864" s="2"/>
      <c r="O12864" s="20"/>
      <c r="P12864" s="42"/>
      <c r="R12864" s="23"/>
    </row>
    <row r="12865" spans="1:18" ht="12.75">
      <c r="A12865" s="12"/>
      <c r="D12865" s="12"/>
      <c r="E12865" s="12"/>
      <c r="H12865" s="11" t="str">
        <f ca="1">IFERROR(__xludf.DUMMYFUNCTION("IFERROR(SUBSTITUTE(SUBSTITUTE(REGEXEXTRACT(A12865, ""[^-]+- [^-]+- [^-]+ - (.+?)\.jpg""), "".jpg"", """"), ""-"", "", ""), """")"),"")</f>
        <v/>
      </c>
      <c r="L12865" s="12"/>
      <c r="M12865" s="13"/>
      <c r="N12865" s="2"/>
      <c r="O12865" s="20"/>
      <c r="P12865" s="42"/>
      <c r="R12865" s="23"/>
    </row>
    <row r="12866" spans="1:18" ht="12.75">
      <c r="A12866" s="12"/>
      <c r="D12866" s="12"/>
      <c r="E12866" s="12"/>
      <c r="H12866" s="11" t="str">
        <f ca="1">IFERROR(__xludf.DUMMYFUNCTION("IFERROR(SUBSTITUTE(SUBSTITUTE(REGEXEXTRACT(A12866, ""[^-]+- [^-]+- [^-]+ - (.+?)\.jpg""), "".jpg"", """"), ""-"", "", ""), """")"),"")</f>
        <v/>
      </c>
      <c r="L12866" s="12"/>
      <c r="M12866" s="13"/>
      <c r="N12866" s="2"/>
      <c r="O12866" s="20"/>
      <c r="P12866" s="42"/>
      <c r="R12866" s="23"/>
    </row>
    <row r="12867" spans="1:18" ht="12.75">
      <c r="A12867" s="12"/>
      <c r="D12867" s="12"/>
      <c r="E12867" s="12"/>
      <c r="H12867" s="11" t="str">
        <f ca="1">IFERROR(__xludf.DUMMYFUNCTION("IFERROR(SUBSTITUTE(SUBSTITUTE(REGEXEXTRACT(A12867, ""[^-]+- [^-]+- [^-]+ - (.+?)\.jpg""), "".jpg"", """"), ""-"", "", ""), """")"),"")</f>
        <v/>
      </c>
      <c r="L12867" s="12"/>
      <c r="M12867" s="13"/>
      <c r="N12867" s="2"/>
      <c r="O12867" s="20"/>
      <c r="P12867" s="42"/>
      <c r="R12867" s="23"/>
    </row>
    <row r="12868" spans="1:18" ht="12.75">
      <c r="A12868" s="12"/>
      <c r="D12868" s="12"/>
      <c r="E12868" s="12"/>
      <c r="H12868" s="11" t="str">
        <f ca="1">IFERROR(__xludf.DUMMYFUNCTION("IFERROR(SUBSTITUTE(SUBSTITUTE(REGEXEXTRACT(A12868, ""[^-]+- [^-]+- [^-]+ - (.+?)\.jpg""), "".jpg"", """"), ""-"", "", ""), """")"),"")</f>
        <v/>
      </c>
      <c r="L12868" s="12"/>
      <c r="M12868" s="13"/>
      <c r="N12868" s="2"/>
      <c r="O12868" s="20"/>
      <c r="P12868" s="42"/>
      <c r="R12868" s="23"/>
    </row>
    <row r="12869" spans="1:18" ht="12.75">
      <c r="A12869" s="12"/>
      <c r="D12869" s="12"/>
      <c r="E12869" s="12"/>
      <c r="H12869" s="11" t="str">
        <f ca="1">IFERROR(__xludf.DUMMYFUNCTION("IFERROR(SUBSTITUTE(SUBSTITUTE(REGEXEXTRACT(A12869, ""[^-]+- [^-]+- [^-]+ - (.+?)\.jpg""), "".jpg"", """"), ""-"", "", ""), """")"),"")</f>
        <v/>
      </c>
      <c r="L12869" s="12"/>
      <c r="M12869" s="13"/>
      <c r="N12869" s="2"/>
      <c r="O12869" s="20"/>
      <c r="P12869" s="42"/>
      <c r="R12869" s="23"/>
    </row>
    <row r="12870" spans="1:18" ht="12.75">
      <c r="A12870" s="12"/>
      <c r="D12870" s="12"/>
      <c r="E12870" s="12"/>
      <c r="H12870" s="11" t="str">
        <f ca="1">IFERROR(__xludf.DUMMYFUNCTION("IFERROR(SUBSTITUTE(SUBSTITUTE(REGEXEXTRACT(A12870, ""[^-]+- [^-]+- [^-]+ - (.+?)\.jpg""), "".jpg"", """"), ""-"", "", ""), """")"),"")</f>
        <v/>
      </c>
      <c r="L12870" s="12"/>
      <c r="M12870" s="13"/>
      <c r="N12870" s="2"/>
      <c r="O12870" s="20"/>
      <c r="P12870" s="42"/>
      <c r="R12870" s="23"/>
    </row>
    <row r="12871" spans="1:18" ht="12.75">
      <c r="A12871" s="12"/>
      <c r="D12871" s="12"/>
      <c r="E12871" s="12"/>
      <c r="H12871" s="11" t="str">
        <f ca="1">IFERROR(__xludf.DUMMYFUNCTION("IFERROR(SUBSTITUTE(SUBSTITUTE(REGEXEXTRACT(A12871, ""[^-]+- [^-]+- [^-]+ - (.+?)\.jpg""), "".jpg"", """"), ""-"", "", ""), """")"),"")</f>
        <v/>
      </c>
      <c r="L12871" s="12"/>
      <c r="M12871" s="13"/>
      <c r="N12871" s="2"/>
      <c r="O12871" s="20"/>
      <c r="P12871" s="42"/>
      <c r="R12871" s="23"/>
    </row>
    <row r="12872" spans="1:18" ht="12.75">
      <c r="A12872" s="12"/>
      <c r="D12872" s="12"/>
      <c r="E12872" s="12"/>
      <c r="H12872" s="11" t="str">
        <f ca="1">IFERROR(__xludf.DUMMYFUNCTION("IFERROR(SUBSTITUTE(SUBSTITUTE(REGEXEXTRACT(A12872, ""[^-]+- [^-]+- [^-]+ - (.+?)\.jpg""), "".jpg"", """"), ""-"", "", ""), """")"),"")</f>
        <v/>
      </c>
      <c r="L12872" s="12"/>
      <c r="M12872" s="13"/>
      <c r="N12872" s="2"/>
      <c r="O12872" s="20"/>
      <c r="P12872" s="42"/>
      <c r="R12872" s="23"/>
    </row>
    <row r="12873" spans="1:18" ht="12.75">
      <c r="A12873" s="12"/>
      <c r="D12873" s="12"/>
      <c r="E12873" s="12"/>
      <c r="H12873" s="11" t="str">
        <f ca="1">IFERROR(__xludf.DUMMYFUNCTION("IFERROR(SUBSTITUTE(SUBSTITUTE(REGEXEXTRACT(A12873, ""[^-]+- [^-]+- [^-]+ - (.+?)\.jpg""), "".jpg"", """"), ""-"", "", ""), """")"),"")</f>
        <v/>
      </c>
      <c r="L12873" s="12"/>
      <c r="M12873" s="13"/>
      <c r="N12873" s="2"/>
      <c r="O12873" s="20"/>
      <c r="P12873" s="42"/>
      <c r="R12873" s="23"/>
    </row>
    <row r="12874" spans="1:18" ht="12.75">
      <c r="A12874" s="12"/>
      <c r="D12874" s="12"/>
      <c r="E12874" s="12"/>
      <c r="H12874" s="11" t="str">
        <f ca="1">IFERROR(__xludf.DUMMYFUNCTION("IFERROR(SUBSTITUTE(SUBSTITUTE(REGEXEXTRACT(A12874, ""[^-]+- [^-]+- [^-]+ - (.+?)\.jpg""), "".jpg"", """"), ""-"", "", ""), """")"),"")</f>
        <v/>
      </c>
      <c r="L12874" s="12"/>
      <c r="M12874" s="13"/>
      <c r="N12874" s="2"/>
      <c r="O12874" s="20"/>
      <c r="P12874" s="42"/>
      <c r="R12874" s="23"/>
    </row>
    <row r="12875" spans="1:18" ht="12.75">
      <c r="A12875" s="12"/>
      <c r="D12875" s="12"/>
      <c r="E12875" s="12"/>
      <c r="H12875" s="11" t="str">
        <f ca="1">IFERROR(__xludf.DUMMYFUNCTION("IFERROR(SUBSTITUTE(SUBSTITUTE(REGEXEXTRACT(A12875, ""[^-]+- [^-]+- [^-]+ - (.+?)\.jpg""), "".jpg"", """"), ""-"", "", ""), """")"),"")</f>
        <v/>
      </c>
      <c r="L12875" s="12"/>
      <c r="M12875" s="13"/>
      <c r="N12875" s="2"/>
      <c r="O12875" s="20"/>
      <c r="P12875" s="42"/>
      <c r="R12875" s="23"/>
    </row>
    <row r="12876" spans="1:18" ht="12.75">
      <c r="A12876" s="12"/>
      <c r="D12876" s="12"/>
      <c r="E12876" s="12"/>
      <c r="H12876" s="11" t="str">
        <f ca="1">IFERROR(__xludf.DUMMYFUNCTION("IFERROR(SUBSTITUTE(SUBSTITUTE(REGEXEXTRACT(A12876, ""[^-]+- [^-]+- [^-]+ - (.+?)\.jpg""), "".jpg"", """"), ""-"", "", ""), """")"),"")</f>
        <v/>
      </c>
      <c r="L12876" s="12"/>
      <c r="M12876" s="13"/>
      <c r="N12876" s="2"/>
      <c r="O12876" s="20"/>
      <c r="P12876" s="42"/>
      <c r="R12876" s="23"/>
    </row>
    <row r="12877" spans="1:18" ht="12.75">
      <c r="A12877" s="12"/>
      <c r="D12877" s="12"/>
      <c r="E12877" s="12"/>
      <c r="H12877" s="11" t="str">
        <f ca="1">IFERROR(__xludf.DUMMYFUNCTION("IFERROR(SUBSTITUTE(SUBSTITUTE(REGEXEXTRACT(A12877, ""[^-]+- [^-]+- [^-]+ - (.+?)\.jpg""), "".jpg"", """"), ""-"", "", ""), """")"),"")</f>
        <v/>
      </c>
      <c r="L12877" s="12"/>
      <c r="M12877" s="13"/>
      <c r="N12877" s="2"/>
      <c r="O12877" s="20"/>
      <c r="P12877" s="42"/>
      <c r="R12877" s="23"/>
    </row>
    <row r="12878" spans="1:18" ht="12.75">
      <c r="A12878" s="12"/>
      <c r="D12878" s="12"/>
      <c r="E12878" s="12"/>
      <c r="H12878" s="11" t="str">
        <f ca="1">IFERROR(__xludf.DUMMYFUNCTION("IFERROR(SUBSTITUTE(SUBSTITUTE(REGEXEXTRACT(A12878, ""[^-]+- [^-]+- [^-]+ - (.+?)\.jpg""), "".jpg"", """"), ""-"", "", ""), """")"),"")</f>
        <v/>
      </c>
      <c r="L12878" s="12"/>
      <c r="M12878" s="13"/>
      <c r="N12878" s="2"/>
      <c r="O12878" s="20"/>
      <c r="P12878" s="42"/>
      <c r="R12878" s="23"/>
    </row>
    <row r="12879" spans="1:18" ht="12.75">
      <c r="A12879" s="12"/>
      <c r="D12879" s="12"/>
      <c r="E12879" s="12"/>
      <c r="H12879" s="11" t="str">
        <f ca="1">IFERROR(__xludf.DUMMYFUNCTION("IFERROR(SUBSTITUTE(SUBSTITUTE(REGEXEXTRACT(A12879, ""[^-]+- [^-]+- [^-]+ - (.+?)\.jpg""), "".jpg"", """"), ""-"", "", ""), """")"),"")</f>
        <v/>
      </c>
      <c r="L12879" s="12"/>
      <c r="M12879" s="13"/>
      <c r="N12879" s="2"/>
      <c r="O12879" s="20"/>
      <c r="P12879" s="42"/>
      <c r="R12879" s="23"/>
    </row>
    <row r="12880" spans="1:18" ht="12.75">
      <c r="A12880" s="12"/>
      <c r="D12880" s="12"/>
      <c r="E12880" s="12"/>
      <c r="H12880" s="11" t="str">
        <f ca="1">IFERROR(__xludf.DUMMYFUNCTION("IFERROR(SUBSTITUTE(SUBSTITUTE(REGEXEXTRACT(A12880, ""[^-]+- [^-]+- [^-]+ - (.+?)\.jpg""), "".jpg"", """"), ""-"", "", ""), """")"),"")</f>
        <v/>
      </c>
      <c r="L12880" s="12"/>
      <c r="M12880" s="13"/>
      <c r="N12880" s="2"/>
      <c r="O12880" s="20"/>
      <c r="P12880" s="42"/>
      <c r="R12880" s="23"/>
    </row>
    <row r="12881" spans="1:18" ht="12.75">
      <c r="A12881" s="12"/>
      <c r="D12881" s="12"/>
      <c r="E12881" s="12"/>
      <c r="H12881" s="11" t="str">
        <f ca="1">IFERROR(__xludf.DUMMYFUNCTION("IFERROR(SUBSTITUTE(SUBSTITUTE(REGEXEXTRACT(A12881, ""[^-]+- [^-]+- [^-]+ - (.+?)\.jpg""), "".jpg"", """"), ""-"", "", ""), """")"),"")</f>
        <v/>
      </c>
      <c r="L12881" s="12"/>
      <c r="M12881" s="13"/>
      <c r="N12881" s="2"/>
      <c r="O12881" s="20"/>
      <c r="P12881" s="42"/>
      <c r="R12881" s="23"/>
    </row>
    <row r="12882" spans="1:18" ht="12.75">
      <c r="A12882" s="12"/>
      <c r="D12882" s="12"/>
      <c r="E12882" s="12"/>
      <c r="H12882" s="11" t="str">
        <f ca="1">IFERROR(__xludf.DUMMYFUNCTION("IFERROR(SUBSTITUTE(SUBSTITUTE(REGEXEXTRACT(A12882, ""[^-]+- [^-]+- [^-]+ - (.+?)\.jpg""), "".jpg"", """"), ""-"", "", ""), """")"),"")</f>
        <v/>
      </c>
      <c r="L12882" s="12"/>
      <c r="M12882" s="13"/>
      <c r="N12882" s="2"/>
      <c r="O12882" s="20"/>
      <c r="P12882" s="42"/>
      <c r="R12882" s="23"/>
    </row>
    <row r="12883" spans="1:18" ht="12.75">
      <c r="A12883" s="12"/>
      <c r="D12883" s="12"/>
      <c r="E12883" s="12"/>
      <c r="H12883" s="11" t="str">
        <f ca="1">IFERROR(__xludf.DUMMYFUNCTION("IFERROR(SUBSTITUTE(SUBSTITUTE(REGEXEXTRACT(A12883, ""[^-]+- [^-]+- [^-]+ - (.+?)\.jpg""), "".jpg"", """"), ""-"", "", ""), """")"),"")</f>
        <v/>
      </c>
      <c r="L12883" s="12"/>
      <c r="M12883" s="13"/>
      <c r="N12883" s="2"/>
      <c r="O12883" s="20"/>
      <c r="P12883" s="42"/>
      <c r="R12883" s="23"/>
    </row>
    <row r="12884" spans="1:18" ht="12.75">
      <c r="A12884" s="12"/>
      <c r="D12884" s="12"/>
      <c r="E12884" s="12"/>
      <c r="H12884" s="11" t="str">
        <f ca="1">IFERROR(__xludf.DUMMYFUNCTION("IFERROR(SUBSTITUTE(SUBSTITUTE(REGEXEXTRACT(A12884, ""[^-]+- [^-]+- [^-]+ - (.+?)\.jpg""), "".jpg"", """"), ""-"", "", ""), """")"),"")</f>
        <v/>
      </c>
      <c r="L12884" s="12"/>
      <c r="M12884" s="13"/>
      <c r="N12884" s="2"/>
      <c r="O12884" s="20"/>
      <c r="P12884" s="42"/>
      <c r="R12884" s="23"/>
    </row>
    <row r="12885" spans="1:18" ht="12.75">
      <c r="A12885" s="12"/>
      <c r="D12885" s="12"/>
      <c r="E12885" s="12"/>
      <c r="H12885" s="11" t="str">
        <f ca="1">IFERROR(__xludf.DUMMYFUNCTION("IFERROR(SUBSTITUTE(SUBSTITUTE(REGEXEXTRACT(A12885, ""[^-]+- [^-]+- [^-]+ - (.+?)\.jpg""), "".jpg"", """"), ""-"", "", ""), """")"),"")</f>
        <v/>
      </c>
      <c r="L12885" s="12"/>
      <c r="M12885" s="13"/>
      <c r="N12885" s="2"/>
      <c r="O12885" s="20"/>
      <c r="P12885" s="42"/>
      <c r="R12885" s="23"/>
    </row>
    <row r="12886" spans="1:18" ht="12.75">
      <c r="A12886" s="12"/>
      <c r="D12886" s="12"/>
      <c r="E12886" s="12"/>
      <c r="H12886" s="11" t="str">
        <f ca="1">IFERROR(__xludf.DUMMYFUNCTION("IFERROR(SUBSTITUTE(SUBSTITUTE(REGEXEXTRACT(A12886, ""[^-]+- [^-]+- [^-]+ - (.+?)\.jpg""), "".jpg"", """"), ""-"", "", ""), """")"),"")</f>
        <v/>
      </c>
      <c r="L12886" s="12"/>
      <c r="M12886" s="13"/>
      <c r="N12886" s="2"/>
      <c r="O12886" s="20"/>
      <c r="P12886" s="42"/>
      <c r="R12886" s="23"/>
    </row>
    <row r="12887" spans="1:18" ht="12.75">
      <c r="A12887" s="12"/>
      <c r="D12887" s="12"/>
      <c r="E12887" s="12"/>
      <c r="H12887" s="11" t="str">
        <f ca="1">IFERROR(__xludf.DUMMYFUNCTION("IFERROR(SUBSTITUTE(SUBSTITUTE(REGEXEXTRACT(A12887, ""[^-]+- [^-]+- [^-]+ - (.+?)\.jpg""), "".jpg"", """"), ""-"", "", ""), """")"),"")</f>
        <v/>
      </c>
      <c r="L12887" s="12"/>
      <c r="M12887" s="13"/>
      <c r="N12887" s="2"/>
      <c r="O12887" s="20"/>
      <c r="P12887" s="42"/>
      <c r="R12887" s="23"/>
    </row>
    <row r="12888" spans="1:18" ht="12.75">
      <c r="A12888" s="12"/>
      <c r="D12888" s="12"/>
      <c r="E12888" s="12"/>
      <c r="H12888" s="11" t="str">
        <f ca="1">IFERROR(__xludf.DUMMYFUNCTION("IFERROR(SUBSTITUTE(SUBSTITUTE(REGEXEXTRACT(A12888, ""[^-]+- [^-]+- [^-]+ - (.+?)\.jpg""), "".jpg"", """"), ""-"", "", ""), """")"),"")</f>
        <v/>
      </c>
      <c r="L12888" s="12"/>
      <c r="M12888" s="13"/>
      <c r="N12888" s="2"/>
      <c r="O12888" s="20"/>
      <c r="P12888" s="42"/>
      <c r="R12888" s="23"/>
    </row>
    <row r="12889" spans="1:18" ht="12.75">
      <c r="A12889" s="12"/>
      <c r="D12889" s="12"/>
      <c r="E12889" s="12"/>
      <c r="H12889" s="11" t="str">
        <f ca="1">IFERROR(__xludf.DUMMYFUNCTION("IFERROR(SUBSTITUTE(SUBSTITUTE(REGEXEXTRACT(A12889, ""[^-]+- [^-]+- [^-]+ - (.+?)\.jpg""), "".jpg"", """"), ""-"", "", ""), """")"),"")</f>
        <v/>
      </c>
      <c r="L12889" s="12"/>
      <c r="M12889" s="13"/>
      <c r="N12889" s="2"/>
      <c r="O12889" s="20"/>
      <c r="P12889" s="42"/>
      <c r="R12889" s="23"/>
    </row>
    <row r="12890" spans="1:18" ht="12.75">
      <c r="A12890" s="12"/>
      <c r="D12890" s="12"/>
      <c r="E12890" s="12"/>
      <c r="H12890" s="11" t="str">
        <f ca="1">IFERROR(__xludf.DUMMYFUNCTION("IFERROR(SUBSTITUTE(SUBSTITUTE(REGEXEXTRACT(A12890, ""[^-]+- [^-]+- [^-]+ - (.+?)\.jpg""), "".jpg"", """"), ""-"", "", ""), """")"),"")</f>
        <v/>
      </c>
      <c r="L12890" s="12"/>
      <c r="M12890" s="13"/>
      <c r="N12890" s="2"/>
      <c r="O12890" s="20"/>
      <c r="P12890" s="42"/>
      <c r="R12890" s="23"/>
    </row>
    <row r="12891" spans="1:18" ht="12.75">
      <c r="A12891" s="12"/>
      <c r="D12891" s="12"/>
      <c r="E12891" s="12"/>
      <c r="H12891" s="11" t="str">
        <f ca="1">IFERROR(__xludf.DUMMYFUNCTION("IFERROR(SUBSTITUTE(SUBSTITUTE(REGEXEXTRACT(A12891, ""[^-]+- [^-]+- [^-]+ - (.+?)\.jpg""), "".jpg"", """"), ""-"", "", ""), """")"),"")</f>
        <v/>
      </c>
      <c r="L12891" s="12"/>
      <c r="M12891" s="13"/>
      <c r="N12891" s="2"/>
      <c r="O12891" s="20"/>
      <c r="P12891" s="42"/>
      <c r="R12891" s="23"/>
    </row>
    <row r="12892" spans="1:18" ht="12.75">
      <c r="A12892" s="12"/>
      <c r="D12892" s="12"/>
      <c r="E12892" s="12"/>
      <c r="H12892" s="11" t="str">
        <f ca="1">IFERROR(__xludf.DUMMYFUNCTION("IFERROR(SUBSTITUTE(SUBSTITUTE(REGEXEXTRACT(A12892, ""[^-]+- [^-]+- [^-]+ - (.+?)\.jpg""), "".jpg"", """"), ""-"", "", ""), """")"),"")</f>
        <v/>
      </c>
      <c r="L12892" s="12"/>
      <c r="M12892" s="13"/>
      <c r="N12892" s="2"/>
      <c r="O12892" s="20"/>
      <c r="P12892" s="42"/>
      <c r="R12892" s="23"/>
    </row>
    <row r="12893" spans="1:18" ht="12.75">
      <c r="A12893" s="12"/>
      <c r="D12893" s="12"/>
      <c r="E12893" s="12"/>
      <c r="H12893" s="11" t="str">
        <f ca="1">IFERROR(__xludf.DUMMYFUNCTION("IFERROR(SUBSTITUTE(SUBSTITUTE(REGEXEXTRACT(A12893, ""[^-]+- [^-]+- [^-]+ - (.+?)\.jpg""), "".jpg"", """"), ""-"", "", ""), """")"),"")</f>
        <v/>
      </c>
      <c r="L12893" s="12"/>
      <c r="M12893" s="13"/>
      <c r="N12893" s="2"/>
      <c r="O12893" s="20"/>
      <c r="P12893" s="42"/>
      <c r="R12893" s="23"/>
    </row>
    <row r="12894" spans="1:18" ht="12.75">
      <c r="A12894" s="12"/>
      <c r="D12894" s="12"/>
      <c r="E12894" s="12"/>
      <c r="H12894" s="11" t="str">
        <f ca="1">IFERROR(__xludf.DUMMYFUNCTION("IFERROR(SUBSTITUTE(SUBSTITUTE(REGEXEXTRACT(A12894, ""[^-]+- [^-]+- [^-]+ - (.+?)\.jpg""), "".jpg"", """"), ""-"", "", ""), """")"),"")</f>
        <v/>
      </c>
      <c r="L12894" s="12"/>
      <c r="M12894" s="13"/>
      <c r="N12894" s="2"/>
      <c r="O12894" s="20"/>
      <c r="P12894" s="42"/>
      <c r="R12894" s="23"/>
    </row>
    <row r="12895" spans="1:18" ht="12.75">
      <c r="A12895" s="12"/>
      <c r="D12895" s="12"/>
      <c r="E12895" s="12"/>
      <c r="H12895" s="11" t="str">
        <f ca="1">IFERROR(__xludf.DUMMYFUNCTION("IFERROR(SUBSTITUTE(SUBSTITUTE(REGEXEXTRACT(A12895, ""[^-]+- [^-]+- [^-]+ - (.+?)\.jpg""), "".jpg"", """"), ""-"", "", ""), """")"),"")</f>
        <v/>
      </c>
      <c r="L12895" s="12"/>
      <c r="M12895" s="13"/>
      <c r="N12895" s="2"/>
      <c r="O12895" s="20"/>
      <c r="P12895" s="42"/>
      <c r="R12895" s="23"/>
    </row>
    <row r="12896" spans="1:18" ht="12.75">
      <c r="A12896" s="12"/>
      <c r="D12896" s="12"/>
      <c r="E12896" s="12"/>
      <c r="H12896" s="11" t="str">
        <f ca="1">IFERROR(__xludf.DUMMYFUNCTION("IFERROR(SUBSTITUTE(SUBSTITUTE(REGEXEXTRACT(A12896, ""[^-]+- [^-]+- [^-]+ - (.+?)\.jpg""), "".jpg"", """"), ""-"", "", ""), """")"),"")</f>
        <v/>
      </c>
      <c r="L12896" s="12"/>
      <c r="M12896" s="13"/>
      <c r="N12896" s="2"/>
      <c r="O12896" s="20"/>
      <c r="P12896" s="42"/>
      <c r="R12896" s="23"/>
    </row>
    <row r="12897" spans="1:18" ht="12.75">
      <c r="A12897" s="12"/>
      <c r="D12897" s="12"/>
      <c r="E12897" s="12"/>
      <c r="H12897" s="11" t="str">
        <f ca="1">IFERROR(__xludf.DUMMYFUNCTION("IFERROR(SUBSTITUTE(SUBSTITUTE(REGEXEXTRACT(A12897, ""[^-]+- [^-]+- [^-]+ - (.+?)\.jpg""), "".jpg"", """"), ""-"", "", ""), """")"),"")</f>
        <v/>
      </c>
      <c r="L12897" s="12"/>
      <c r="M12897" s="13"/>
      <c r="N12897" s="2"/>
      <c r="O12897" s="20"/>
      <c r="P12897" s="42"/>
      <c r="R12897" s="23"/>
    </row>
    <row r="12898" spans="1:18" ht="12.75">
      <c r="A12898" s="12"/>
      <c r="D12898" s="12"/>
      <c r="E12898" s="12"/>
      <c r="H12898" s="11" t="str">
        <f ca="1">IFERROR(__xludf.DUMMYFUNCTION("IFERROR(SUBSTITUTE(SUBSTITUTE(REGEXEXTRACT(A12898, ""[^-]+- [^-]+- [^-]+ - (.+?)\.jpg""), "".jpg"", """"), ""-"", "", ""), """")"),"")</f>
        <v/>
      </c>
      <c r="L12898" s="12"/>
      <c r="M12898" s="13"/>
      <c r="N12898" s="2"/>
      <c r="O12898" s="20"/>
      <c r="P12898" s="42"/>
      <c r="R12898" s="23"/>
    </row>
    <row r="12899" spans="1:18" ht="12.75">
      <c r="A12899" s="12"/>
      <c r="D12899" s="12"/>
      <c r="E12899" s="12"/>
      <c r="H12899" s="11" t="str">
        <f ca="1">IFERROR(__xludf.DUMMYFUNCTION("IFERROR(SUBSTITUTE(SUBSTITUTE(REGEXEXTRACT(A12899, ""[^-]+- [^-]+- [^-]+ - (.+?)\.jpg""), "".jpg"", """"), ""-"", "", ""), """")"),"")</f>
        <v/>
      </c>
      <c r="L12899" s="12"/>
      <c r="M12899" s="13"/>
      <c r="N12899" s="2"/>
      <c r="O12899" s="20"/>
      <c r="P12899" s="42"/>
      <c r="R12899" s="23"/>
    </row>
    <row r="12900" spans="1:18" ht="12.75">
      <c r="A12900" s="12"/>
      <c r="D12900" s="12"/>
      <c r="E12900" s="12"/>
      <c r="H12900" s="11" t="str">
        <f ca="1">IFERROR(__xludf.DUMMYFUNCTION("IFERROR(SUBSTITUTE(SUBSTITUTE(REGEXEXTRACT(A12900, ""[^-]+- [^-]+- [^-]+ - (.+?)\.jpg""), "".jpg"", """"), ""-"", "", ""), """")"),"")</f>
        <v/>
      </c>
      <c r="L12900" s="12"/>
      <c r="M12900" s="13"/>
      <c r="N12900" s="2"/>
      <c r="O12900" s="20"/>
      <c r="P12900" s="42"/>
      <c r="R12900" s="23"/>
    </row>
    <row r="12901" spans="1:18" ht="12.75">
      <c r="A12901" s="12"/>
      <c r="D12901" s="12"/>
      <c r="E12901" s="12"/>
      <c r="H12901" s="11" t="str">
        <f ca="1">IFERROR(__xludf.DUMMYFUNCTION("IFERROR(SUBSTITUTE(SUBSTITUTE(REGEXEXTRACT(A12901, ""[^-]+- [^-]+- [^-]+ - (.+?)\.jpg""), "".jpg"", """"), ""-"", "", ""), """")"),"")</f>
        <v/>
      </c>
      <c r="L12901" s="12"/>
      <c r="M12901" s="13"/>
      <c r="N12901" s="2"/>
      <c r="O12901" s="20"/>
      <c r="P12901" s="42"/>
      <c r="R12901" s="23"/>
    </row>
    <row r="12902" spans="1:18" ht="12.75">
      <c r="A12902" s="12"/>
      <c r="D12902" s="12"/>
      <c r="E12902" s="12"/>
      <c r="H12902" s="11" t="str">
        <f ca="1">IFERROR(__xludf.DUMMYFUNCTION("IFERROR(SUBSTITUTE(SUBSTITUTE(REGEXEXTRACT(A12902, ""[^-]+- [^-]+- [^-]+ - (.+?)\.jpg""), "".jpg"", """"), ""-"", "", ""), """")"),"")</f>
        <v/>
      </c>
      <c r="L12902" s="12"/>
      <c r="M12902" s="13"/>
      <c r="N12902" s="2"/>
      <c r="O12902" s="20"/>
      <c r="P12902" s="42"/>
      <c r="R12902" s="23"/>
    </row>
    <row r="12903" spans="1:18" ht="12.75">
      <c r="A12903" s="12"/>
      <c r="D12903" s="12"/>
      <c r="E12903" s="12"/>
      <c r="H12903" s="11" t="str">
        <f ca="1">IFERROR(__xludf.DUMMYFUNCTION("IFERROR(SUBSTITUTE(SUBSTITUTE(REGEXEXTRACT(A12903, ""[^-]+- [^-]+- [^-]+ - (.+?)\.jpg""), "".jpg"", """"), ""-"", "", ""), """")"),"")</f>
        <v/>
      </c>
      <c r="L12903" s="12"/>
      <c r="M12903" s="13"/>
      <c r="N12903" s="2"/>
      <c r="O12903" s="20"/>
      <c r="P12903" s="42"/>
      <c r="R12903" s="23"/>
    </row>
    <row r="12904" spans="1:18" ht="12.75">
      <c r="A12904" s="12"/>
      <c r="D12904" s="12"/>
      <c r="E12904" s="12"/>
      <c r="H12904" s="11" t="str">
        <f ca="1">IFERROR(__xludf.DUMMYFUNCTION("IFERROR(SUBSTITUTE(SUBSTITUTE(REGEXEXTRACT(A12904, ""[^-]+- [^-]+- [^-]+ - (.+?)\.jpg""), "".jpg"", """"), ""-"", "", ""), """")"),"")</f>
        <v/>
      </c>
      <c r="L12904" s="12"/>
      <c r="M12904" s="13"/>
      <c r="N12904" s="2"/>
      <c r="O12904" s="20"/>
      <c r="P12904" s="42"/>
      <c r="R12904" s="23"/>
    </row>
    <row r="12905" spans="1:18" ht="12.75">
      <c r="A12905" s="12"/>
      <c r="D12905" s="12"/>
      <c r="E12905" s="12"/>
      <c r="H12905" s="11" t="str">
        <f ca="1">IFERROR(__xludf.DUMMYFUNCTION("IFERROR(SUBSTITUTE(SUBSTITUTE(REGEXEXTRACT(A12905, ""[^-]+- [^-]+- [^-]+ - (.+?)\.jpg""), "".jpg"", """"), ""-"", "", ""), """")"),"")</f>
        <v/>
      </c>
      <c r="L12905" s="12"/>
      <c r="M12905" s="13"/>
      <c r="N12905" s="2"/>
      <c r="O12905" s="20"/>
      <c r="P12905" s="42"/>
      <c r="R12905" s="23"/>
    </row>
    <row r="12906" spans="1:18" ht="12.75">
      <c r="A12906" s="12"/>
      <c r="D12906" s="12"/>
      <c r="E12906" s="12"/>
      <c r="H12906" s="11" t="str">
        <f ca="1">IFERROR(__xludf.DUMMYFUNCTION("IFERROR(SUBSTITUTE(SUBSTITUTE(REGEXEXTRACT(A12906, ""[^-]+- [^-]+- [^-]+ - (.+?)\.jpg""), "".jpg"", """"), ""-"", "", ""), """")"),"")</f>
        <v/>
      </c>
      <c r="L12906" s="12"/>
      <c r="M12906" s="13"/>
      <c r="N12906" s="2"/>
      <c r="O12906" s="20"/>
      <c r="P12906" s="42"/>
      <c r="R12906" s="23"/>
    </row>
    <row r="12907" spans="1:18" ht="12.75">
      <c r="A12907" s="12"/>
      <c r="D12907" s="12"/>
      <c r="E12907" s="12"/>
      <c r="H12907" s="11" t="str">
        <f ca="1">IFERROR(__xludf.DUMMYFUNCTION("IFERROR(SUBSTITUTE(SUBSTITUTE(REGEXEXTRACT(A12907, ""[^-]+- [^-]+- [^-]+ - (.+?)\.jpg""), "".jpg"", """"), ""-"", "", ""), """")"),"")</f>
        <v/>
      </c>
      <c r="L12907" s="12"/>
      <c r="M12907" s="13"/>
      <c r="N12907" s="2"/>
      <c r="O12907" s="20"/>
      <c r="P12907" s="42"/>
      <c r="R12907" s="23"/>
    </row>
    <row r="12908" spans="1:18" ht="12.75">
      <c r="A12908" s="12"/>
      <c r="D12908" s="12"/>
      <c r="E12908" s="12"/>
      <c r="H12908" s="11" t="str">
        <f ca="1">IFERROR(__xludf.DUMMYFUNCTION("IFERROR(SUBSTITUTE(SUBSTITUTE(REGEXEXTRACT(A12908, ""[^-]+- [^-]+- [^-]+ - (.+?)\.jpg""), "".jpg"", """"), ""-"", "", ""), """")"),"")</f>
        <v/>
      </c>
      <c r="L12908" s="12"/>
      <c r="M12908" s="13"/>
      <c r="N12908" s="2"/>
      <c r="O12908" s="20"/>
      <c r="P12908" s="42"/>
      <c r="R12908" s="23"/>
    </row>
    <row r="12909" spans="1:18" ht="12.75">
      <c r="A12909" s="12"/>
      <c r="D12909" s="12"/>
      <c r="E12909" s="12"/>
      <c r="H12909" s="11" t="str">
        <f ca="1">IFERROR(__xludf.DUMMYFUNCTION("IFERROR(SUBSTITUTE(SUBSTITUTE(REGEXEXTRACT(A12909, ""[^-]+- [^-]+- [^-]+ - (.+?)\.jpg""), "".jpg"", """"), ""-"", "", ""), """")"),"")</f>
        <v/>
      </c>
      <c r="L12909" s="12"/>
      <c r="M12909" s="13"/>
      <c r="N12909" s="2"/>
      <c r="O12909" s="20"/>
      <c r="P12909" s="42"/>
      <c r="R12909" s="23"/>
    </row>
    <row r="12910" spans="1:18" ht="12.75">
      <c r="A12910" s="12"/>
      <c r="D12910" s="12"/>
      <c r="E12910" s="12"/>
      <c r="H12910" s="11" t="str">
        <f ca="1">IFERROR(__xludf.DUMMYFUNCTION("IFERROR(SUBSTITUTE(SUBSTITUTE(REGEXEXTRACT(A12910, ""[^-]+- [^-]+- [^-]+ - (.+?)\.jpg""), "".jpg"", """"), ""-"", "", ""), """")"),"")</f>
        <v/>
      </c>
      <c r="L12910" s="12"/>
      <c r="M12910" s="13"/>
      <c r="N12910" s="2"/>
      <c r="O12910" s="20"/>
      <c r="P12910" s="42"/>
      <c r="R12910" s="23"/>
    </row>
    <row r="12911" spans="1:18" ht="12.75">
      <c r="A12911" s="12"/>
      <c r="D12911" s="12"/>
      <c r="E12911" s="12"/>
      <c r="H12911" s="11" t="str">
        <f ca="1">IFERROR(__xludf.DUMMYFUNCTION("IFERROR(SUBSTITUTE(SUBSTITUTE(REGEXEXTRACT(A12911, ""[^-]+- [^-]+- [^-]+ - (.+?)\.jpg""), "".jpg"", """"), ""-"", "", ""), """")"),"")</f>
        <v/>
      </c>
      <c r="L12911" s="12"/>
      <c r="M12911" s="13"/>
      <c r="N12911" s="2"/>
      <c r="O12911" s="20"/>
      <c r="P12911" s="42"/>
      <c r="R12911" s="23"/>
    </row>
    <row r="12912" spans="1:18" ht="12.75">
      <c r="A12912" s="12"/>
      <c r="D12912" s="12"/>
      <c r="E12912" s="12"/>
      <c r="H12912" s="11" t="str">
        <f ca="1">IFERROR(__xludf.DUMMYFUNCTION("IFERROR(SUBSTITUTE(SUBSTITUTE(REGEXEXTRACT(A12912, ""[^-]+- [^-]+- [^-]+ - (.+?)\.jpg""), "".jpg"", """"), ""-"", "", ""), """")"),"")</f>
        <v/>
      </c>
      <c r="L12912" s="12"/>
      <c r="M12912" s="13"/>
      <c r="N12912" s="2"/>
      <c r="O12912" s="20"/>
      <c r="P12912" s="42"/>
      <c r="R12912" s="23"/>
    </row>
    <row r="12913" spans="1:18" ht="12.75">
      <c r="A12913" s="12"/>
      <c r="D12913" s="12"/>
      <c r="E12913" s="12"/>
      <c r="H12913" s="11" t="str">
        <f ca="1">IFERROR(__xludf.DUMMYFUNCTION("IFERROR(SUBSTITUTE(SUBSTITUTE(REGEXEXTRACT(A12913, ""[^-]+- [^-]+- [^-]+ - (.+?)\.jpg""), "".jpg"", """"), ""-"", "", ""), """")"),"")</f>
        <v/>
      </c>
      <c r="L12913" s="12"/>
      <c r="M12913" s="13"/>
      <c r="N12913" s="2"/>
      <c r="O12913" s="20"/>
      <c r="P12913" s="42"/>
      <c r="R12913" s="23"/>
    </row>
    <row r="12914" spans="1:18" ht="12.75">
      <c r="A12914" s="12"/>
      <c r="D12914" s="12"/>
      <c r="E12914" s="12"/>
      <c r="H12914" s="11" t="str">
        <f ca="1">IFERROR(__xludf.DUMMYFUNCTION("IFERROR(SUBSTITUTE(SUBSTITUTE(REGEXEXTRACT(A12914, ""[^-]+- [^-]+- [^-]+ - (.+?)\.jpg""), "".jpg"", """"), ""-"", "", ""), """")"),"")</f>
        <v/>
      </c>
      <c r="L12914" s="12"/>
      <c r="M12914" s="13"/>
      <c r="N12914" s="2"/>
      <c r="O12914" s="20"/>
      <c r="P12914" s="42"/>
      <c r="R12914" s="23"/>
    </row>
    <row r="12915" spans="1:18" ht="12.75">
      <c r="A12915" s="12"/>
      <c r="D12915" s="12"/>
      <c r="E12915" s="12"/>
      <c r="H12915" s="11" t="str">
        <f ca="1">IFERROR(__xludf.DUMMYFUNCTION("IFERROR(SUBSTITUTE(SUBSTITUTE(REGEXEXTRACT(A12915, ""[^-]+- [^-]+- [^-]+ - (.+?)\.jpg""), "".jpg"", """"), ""-"", "", ""), """")"),"")</f>
        <v/>
      </c>
      <c r="L12915" s="12"/>
      <c r="M12915" s="13"/>
      <c r="N12915" s="2"/>
      <c r="O12915" s="20"/>
      <c r="P12915" s="42"/>
      <c r="R12915" s="23"/>
    </row>
    <row r="12916" spans="1:18" ht="12.75">
      <c r="A12916" s="12"/>
      <c r="D12916" s="12"/>
      <c r="E12916" s="12"/>
      <c r="H12916" s="11" t="str">
        <f ca="1">IFERROR(__xludf.DUMMYFUNCTION("IFERROR(SUBSTITUTE(SUBSTITUTE(REGEXEXTRACT(A12916, ""[^-]+- [^-]+- [^-]+ - (.+?)\.jpg""), "".jpg"", """"), ""-"", "", ""), """")"),"")</f>
        <v/>
      </c>
      <c r="L12916" s="12"/>
      <c r="M12916" s="13"/>
      <c r="N12916" s="2"/>
      <c r="O12916" s="20"/>
      <c r="P12916" s="42"/>
      <c r="R12916" s="23"/>
    </row>
    <row r="12917" spans="1:18" ht="12.75">
      <c r="A12917" s="12"/>
      <c r="D12917" s="12"/>
      <c r="E12917" s="12"/>
      <c r="H12917" s="11" t="str">
        <f ca="1">IFERROR(__xludf.DUMMYFUNCTION("IFERROR(SUBSTITUTE(SUBSTITUTE(REGEXEXTRACT(A12917, ""[^-]+- [^-]+- [^-]+ - (.+?)\.jpg""), "".jpg"", """"), ""-"", "", ""), """")"),"")</f>
        <v/>
      </c>
      <c r="L12917" s="12"/>
      <c r="M12917" s="13"/>
      <c r="N12917" s="2"/>
      <c r="O12917" s="20"/>
      <c r="P12917" s="42"/>
      <c r="R12917" s="23"/>
    </row>
    <row r="12918" spans="1:18" ht="12.75">
      <c r="A12918" s="12"/>
      <c r="D12918" s="12"/>
      <c r="E12918" s="12"/>
      <c r="H12918" s="11" t="str">
        <f ca="1">IFERROR(__xludf.DUMMYFUNCTION("IFERROR(SUBSTITUTE(SUBSTITUTE(REGEXEXTRACT(A12918, ""[^-]+- [^-]+- [^-]+ - (.+?)\.jpg""), "".jpg"", """"), ""-"", "", ""), """")"),"")</f>
        <v/>
      </c>
      <c r="L12918" s="12"/>
      <c r="M12918" s="13"/>
      <c r="N12918" s="2"/>
      <c r="O12918" s="20"/>
      <c r="P12918" s="42"/>
      <c r="R12918" s="23"/>
    </row>
    <row r="12919" spans="1:18" ht="12.75">
      <c r="A12919" s="12"/>
      <c r="D12919" s="12"/>
      <c r="E12919" s="12"/>
      <c r="H12919" s="11" t="str">
        <f ca="1">IFERROR(__xludf.DUMMYFUNCTION("IFERROR(SUBSTITUTE(SUBSTITUTE(REGEXEXTRACT(A12919, ""[^-]+- [^-]+- [^-]+ - (.+?)\.jpg""), "".jpg"", """"), ""-"", "", ""), """")"),"")</f>
        <v/>
      </c>
      <c r="L12919" s="12"/>
      <c r="M12919" s="13"/>
      <c r="N12919" s="2"/>
      <c r="O12919" s="20"/>
      <c r="P12919" s="42"/>
      <c r="R12919" s="23"/>
    </row>
    <row r="12920" spans="1:18" ht="12.75">
      <c r="A12920" s="12"/>
      <c r="D12920" s="12"/>
      <c r="E12920" s="12"/>
      <c r="H12920" s="11" t="str">
        <f ca="1">IFERROR(__xludf.DUMMYFUNCTION("IFERROR(SUBSTITUTE(SUBSTITUTE(REGEXEXTRACT(A12920, ""[^-]+- [^-]+- [^-]+ - (.+?)\.jpg""), "".jpg"", """"), ""-"", "", ""), """")"),"")</f>
        <v/>
      </c>
      <c r="L12920" s="12"/>
      <c r="M12920" s="13"/>
      <c r="N12920" s="2"/>
      <c r="O12920" s="20"/>
      <c r="P12920" s="42"/>
      <c r="R12920" s="23"/>
    </row>
    <row r="12921" spans="1:18" ht="12.75">
      <c r="A12921" s="12"/>
      <c r="D12921" s="12"/>
      <c r="E12921" s="12"/>
      <c r="H12921" s="11" t="str">
        <f ca="1">IFERROR(__xludf.DUMMYFUNCTION("IFERROR(SUBSTITUTE(SUBSTITUTE(REGEXEXTRACT(A12921, ""[^-]+- [^-]+- [^-]+ - (.+?)\.jpg""), "".jpg"", """"), ""-"", "", ""), """")"),"")</f>
        <v/>
      </c>
      <c r="L12921" s="12"/>
      <c r="M12921" s="13"/>
      <c r="N12921" s="2"/>
      <c r="O12921" s="20"/>
      <c r="P12921" s="42"/>
      <c r="R12921" s="23"/>
    </row>
    <row r="12922" spans="1:18" ht="12.75">
      <c r="A12922" s="12"/>
      <c r="D12922" s="12"/>
      <c r="E12922" s="12"/>
      <c r="H12922" s="11" t="str">
        <f ca="1">IFERROR(__xludf.DUMMYFUNCTION("IFERROR(SUBSTITUTE(SUBSTITUTE(REGEXEXTRACT(A12922, ""[^-]+- [^-]+- [^-]+ - (.+?)\.jpg""), "".jpg"", """"), ""-"", "", ""), """")"),"")</f>
        <v/>
      </c>
      <c r="L12922" s="12"/>
      <c r="M12922" s="13"/>
      <c r="N12922" s="2"/>
      <c r="O12922" s="20"/>
      <c r="P12922" s="42"/>
      <c r="R12922" s="23"/>
    </row>
    <row r="12923" spans="1:18" ht="12.75">
      <c r="A12923" s="12"/>
      <c r="D12923" s="12"/>
      <c r="E12923" s="12"/>
      <c r="H12923" s="11" t="str">
        <f ca="1">IFERROR(__xludf.DUMMYFUNCTION("IFERROR(SUBSTITUTE(SUBSTITUTE(REGEXEXTRACT(A12923, ""[^-]+- [^-]+- [^-]+ - (.+?)\.jpg""), "".jpg"", """"), ""-"", "", ""), """")"),"")</f>
        <v/>
      </c>
      <c r="L12923" s="12"/>
      <c r="M12923" s="13"/>
      <c r="N12923" s="2"/>
      <c r="O12923" s="20"/>
      <c r="P12923" s="42"/>
      <c r="R12923" s="23"/>
    </row>
    <row r="12924" spans="1:18" ht="12.75">
      <c r="A12924" s="12"/>
      <c r="D12924" s="12"/>
      <c r="E12924" s="12"/>
      <c r="H12924" s="11" t="str">
        <f ca="1">IFERROR(__xludf.DUMMYFUNCTION("IFERROR(SUBSTITUTE(SUBSTITUTE(REGEXEXTRACT(A12924, ""[^-]+- [^-]+- [^-]+ - (.+?)\.jpg""), "".jpg"", """"), ""-"", "", ""), """")"),"")</f>
        <v/>
      </c>
      <c r="L12924" s="12"/>
      <c r="M12924" s="13"/>
      <c r="N12924" s="2"/>
      <c r="O12924" s="20"/>
      <c r="P12924" s="42"/>
      <c r="R12924" s="23"/>
    </row>
    <row r="12925" spans="1:18" ht="12.75">
      <c r="A12925" s="12"/>
      <c r="D12925" s="12"/>
      <c r="E12925" s="12"/>
      <c r="H12925" s="11" t="str">
        <f ca="1">IFERROR(__xludf.DUMMYFUNCTION("IFERROR(SUBSTITUTE(SUBSTITUTE(REGEXEXTRACT(A12925, ""[^-]+- [^-]+- [^-]+ - (.+?)\.jpg""), "".jpg"", """"), ""-"", "", ""), """")"),"")</f>
        <v/>
      </c>
      <c r="L12925" s="12"/>
      <c r="M12925" s="13"/>
      <c r="N12925" s="2"/>
      <c r="O12925" s="20"/>
      <c r="P12925" s="42"/>
      <c r="R12925" s="23"/>
    </row>
    <row r="12926" spans="1:18" ht="12.75">
      <c r="A12926" s="12"/>
      <c r="D12926" s="12"/>
      <c r="E12926" s="12"/>
      <c r="H12926" s="11" t="str">
        <f ca="1">IFERROR(__xludf.DUMMYFUNCTION("IFERROR(SUBSTITUTE(SUBSTITUTE(REGEXEXTRACT(A12926, ""[^-]+- [^-]+- [^-]+ - (.+?)\.jpg""), "".jpg"", """"), ""-"", "", ""), """")"),"")</f>
        <v/>
      </c>
      <c r="L12926" s="12"/>
      <c r="M12926" s="13"/>
      <c r="N12926" s="2"/>
      <c r="O12926" s="20"/>
      <c r="P12926" s="42"/>
      <c r="R12926" s="23"/>
    </row>
    <row r="12927" spans="1:18" ht="12.75">
      <c r="A12927" s="12"/>
      <c r="D12927" s="12"/>
      <c r="E12927" s="12"/>
      <c r="H12927" s="11" t="str">
        <f ca="1">IFERROR(__xludf.DUMMYFUNCTION("IFERROR(SUBSTITUTE(SUBSTITUTE(REGEXEXTRACT(A12927, ""[^-]+- [^-]+- [^-]+ - (.+?)\.jpg""), "".jpg"", """"), ""-"", "", ""), """")"),"")</f>
        <v/>
      </c>
      <c r="L12927" s="12"/>
      <c r="M12927" s="13"/>
      <c r="N12927" s="2"/>
      <c r="O12927" s="20"/>
      <c r="P12927" s="42"/>
      <c r="R12927" s="23"/>
    </row>
    <row r="12928" spans="1:18" ht="12.75">
      <c r="A12928" s="12"/>
      <c r="D12928" s="12"/>
      <c r="E12928" s="12"/>
      <c r="H12928" s="11" t="str">
        <f ca="1">IFERROR(__xludf.DUMMYFUNCTION("IFERROR(SUBSTITUTE(SUBSTITUTE(REGEXEXTRACT(A12928, ""[^-]+- [^-]+- [^-]+ - (.+?)\.jpg""), "".jpg"", """"), ""-"", "", ""), """")"),"")</f>
        <v/>
      </c>
      <c r="L12928" s="12"/>
      <c r="M12928" s="13"/>
      <c r="N12928" s="2"/>
      <c r="O12928" s="20"/>
      <c r="P12928" s="42"/>
      <c r="R12928" s="23"/>
    </row>
    <row r="12929" spans="1:18" ht="12.75">
      <c r="A12929" s="12"/>
      <c r="D12929" s="12"/>
      <c r="E12929" s="12"/>
      <c r="H12929" s="11" t="str">
        <f ca="1">IFERROR(__xludf.DUMMYFUNCTION("IFERROR(SUBSTITUTE(SUBSTITUTE(REGEXEXTRACT(A12929, ""[^-]+- [^-]+- [^-]+ - (.+?)\.jpg""), "".jpg"", """"), ""-"", "", ""), """")"),"")</f>
        <v/>
      </c>
      <c r="L12929" s="12"/>
      <c r="M12929" s="13"/>
      <c r="N12929" s="2"/>
      <c r="O12929" s="20"/>
      <c r="P12929" s="42"/>
      <c r="R12929" s="23"/>
    </row>
    <row r="12930" spans="1:18" ht="12.75">
      <c r="A12930" s="12"/>
      <c r="D12930" s="12"/>
      <c r="E12930" s="12"/>
      <c r="H12930" s="11" t="str">
        <f ca="1">IFERROR(__xludf.DUMMYFUNCTION("IFERROR(SUBSTITUTE(SUBSTITUTE(REGEXEXTRACT(A12930, ""[^-]+- [^-]+- [^-]+ - (.+?)\.jpg""), "".jpg"", """"), ""-"", "", ""), """")"),"")</f>
        <v/>
      </c>
      <c r="L12930" s="12"/>
      <c r="M12930" s="13"/>
      <c r="N12930" s="2"/>
      <c r="O12930" s="20"/>
      <c r="P12930" s="42"/>
      <c r="R12930" s="23"/>
    </row>
    <row r="12931" spans="1:18" ht="12.75">
      <c r="A12931" s="12"/>
      <c r="D12931" s="12"/>
      <c r="E12931" s="12"/>
      <c r="H12931" s="11" t="str">
        <f ca="1">IFERROR(__xludf.DUMMYFUNCTION("IFERROR(SUBSTITUTE(SUBSTITUTE(REGEXEXTRACT(A12931, ""[^-]+- [^-]+- [^-]+ - (.+?)\.jpg""), "".jpg"", """"), ""-"", "", ""), """")"),"")</f>
        <v/>
      </c>
      <c r="L12931" s="12"/>
      <c r="M12931" s="13"/>
      <c r="N12931" s="2"/>
      <c r="O12931" s="20"/>
      <c r="P12931" s="42"/>
      <c r="R12931" s="23"/>
    </row>
    <row r="12932" spans="1:18" ht="12.75">
      <c r="A12932" s="12"/>
      <c r="D12932" s="12"/>
      <c r="E12932" s="12"/>
      <c r="H12932" s="11" t="str">
        <f ca="1">IFERROR(__xludf.DUMMYFUNCTION("IFERROR(SUBSTITUTE(SUBSTITUTE(REGEXEXTRACT(A12932, ""[^-]+- [^-]+- [^-]+ - (.+?)\.jpg""), "".jpg"", """"), ""-"", "", ""), """")"),"")</f>
        <v/>
      </c>
      <c r="L12932" s="12"/>
      <c r="M12932" s="13"/>
      <c r="N12932" s="2"/>
      <c r="O12932" s="20"/>
      <c r="P12932" s="42"/>
      <c r="R12932" s="23"/>
    </row>
    <row r="12933" spans="1:18" ht="12.75">
      <c r="A12933" s="12"/>
      <c r="D12933" s="12"/>
      <c r="E12933" s="12"/>
      <c r="H12933" s="11" t="str">
        <f ca="1">IFERROR(__xludf.DUMMYFUNCTION("IFERROR(SUBSTITUTE(SUBSTITUTE(REGEXEXTRACT(A12933, ""[^-]+- [^-]+- [^-]+ - (.+?)\.jpg""), "".jpg"", """"), ""-"", "", ""), """")"),"")</f>
        <v/>
      </c>
      <c r="L12933" s="12"/>
      <c r="M12933" s="13"/>
      <c r="N12933" s="2"/>
      <c r="O12933" s="20"/>
      <c r="P12933" s="42"/>
      <c r="R12933" s="23"/>
    </row>
    <row r="12934" spans="1:18" ht="12.75">
      <c r="A12934" s="12"/>
      <c r="D12934" s="12"/>
      <c r="E12934" s="12"/>
      <c r="H12934" s="11" t="str">
        <f ca="1">IFERROR(__xludf.DUMMYFUNCTION("IFERROR(SUBSTITUTE(SUBSTITUTE(REGEXEXTRACT(A12934, ""[^-]+- [^-]+- [^-]+ - (.+?)\.jpg""), "".jpg"", """"), ""-"", "", ""), """")"),"")</f>
        <v/>
      </c>
      <c r="L12934" s="12"/>
      <c r="M12934" s="13"/>
      <c r="N12934" s="2"/>
      <c r="O12934" s="20"/>
      <c r="P12934" s="42"/>
      <c r="R12934" s="23"/>
    </row>
    <row r="12935" spans="1:18" ht="12.75">
      <c r="A12935" s="12"/>
      <c r="D12935" s="12"/>
      <c r="E12935" s="12"/>
      <c r="H12935" s="11" t="str">
        <f ca="1">IFERROR(__xludf.DUMMYFUNCTION("IFERROR(SUBSTITUTE(SUBSTITUTE(REGEXEXTRACT(A12935, ""[^-]+- [^-]+- [^-]+ - (.+?)\.jpg""), "".jpg"", """"), ""-"", "", ""), """")"),"")</f>
        <v/>
      </c>
      <c r="L12935" s="12"/>
      <c r="M12935" s="13"/>
      <c r="N12935" s="2"/>
      <c r="O12935" s="20"/>
      <c r="P12935" s="42"/>
      <c r="R12935" s="23"/>
    </row>
    <row r="12936" spans="1:18" ht="12.75">
      <c r="A12936" s="12"/>
      <c r="D12936" s="12"/>
      <c r="E12936" s="12"/>
      <c r="H12936" s="11" t="str">
        <f ca="1">IFERROR(__xludf.DUMMYFUNCTION("IFERROR(SUBSTITUTE(SUBSTITUTE(REGEXEXTRACT(A12936, ""[^-]+- [^-]+- [^-]+ - (.+?)\.jpg""), "".jpg"", """"), ""-"", "", ""), """")"),"")</f>
        <v/>
      </c>
      <c r="L12936" s="12"/>
      <c r="M12936" s="13"/>
      <c r="N12936" s="2"/>
      <c r="O12936" s="20"/>
      <c r="P12936" s="42"/>
      <c r="R12936" s="23"/>
    </row>
    <row r="12937" spans="1:18" ht="12.75">
      <c r="A12937" s="12"/>
      <c r="D12937" s="12"/>
      <c r="E12937" s="12"/>
      <c r="H12937" s="11" t="str">
        <f ca="1">IFERROR(__xludf.DUMMYFUNCTION("IFERROR(SUBSTITUTE(SUBSTITUTE(REGEXEXTRACT(A12937, ""[^-]+- [^-]+- [^-]+ - (.+?)\.jpg""), "".jpg"", """"), ""-"", "", ""), """")"),"")</f>
        <v/>
      </c>
      <c r="L12937" s="12"/>
      <c r="M12937" s="13"/>
      <c r="N12937" s="2"/>
      <c r="O12937" s="20"/>
      <c r="P12937" s="42"/>
      <c r="R12937" s="23"/>
    </row>
    <row r="12938" spans="1:18" ht="12.75">
      <c r="A12938" s="12"/>
      <c r="D12938" s="12"/>
      <c r="E12938" s="12"/>
      <c r="H12938" s="11" t="str">
        <f ca="1">IFERROR(__xludf.DUMMYFUNCTION("IFERROR(SUBSTITUTE(SUBSTITUTE(REGEXEXTRACT(A12938, ""[^-]+- [^-]+- [^-]+ - (.+?)\.jpg""), "".jpg"", """"), ""-"", "", ""), """")"),"")</f>
        <v/>
      </c>
      <c r="L12938" s="12"/>
      <c r="M12938" s="13"/>
      <c r="N12938" s="2"/>
      <c r="O12938" s="20"/>
      <c r="P12938" s="42"/>
      <c r="R12938" s="23"/>
    </row>
    <row r="12939" spans="1:18" ht="12.75">
      <c r="A12939" s="12"/>
      <c r="D12939" s="12"/>
      <c r="E12939" s="12"/>
      <c r="H12939" s="11" t="str">
        <f ca="1">IFERROR(__xludf.DUMMYFUNCTION("IFERROR(SUBSTITUTE(SUBSTITUTE(REGEXEXTRACT(A12939, ""[^-]+- [^-]+- [^-]+ - (.+?)\.jpg""), "".jpg"", """"), ""-"", "", ""), """")"),"")</f>
        <v/>
      </c>
      <c r="L12939" s="12"/>
      <c r="M12939" s="13"/>
      <c r="N12939" s="2"/>
      <c r="O12939" s="20"/>
      <c r="P12939" s="42"/>
      <c r="R12939" s="23"/>
    </row>
    <row r="12940" spans="1:18" ht="12.75">
      <c r="A12940" s="12"/>
      <c r="D12940" s="12"/>
      <c r="E12940" s="12"/>
      <c r="H12940" s="11" t="str">
        <f ca="1">IFERROR(__xludf.DUMMYFUNCTION("IFERROR(SUBSTITUTE(SUBSTITUTE(REGEXEXTRACT(A12940, ""[^-]+- [^-]+- [^-]+ - (.+?)\.jpg""), "".jpg"", """"), ""-"", "", ""), """")"),"")</f>
        <v/>
      </c>
      <c r="L12940" s="12"/>
      <c r="M12940" s="13"/>
      <c r="N12940" s="2"/>
      <c r="O12940" s="20"/>
      <c r="P12940" s="42"/>
      <c r="R12940" s="23"/>
    </row>
    <row r="12941" spans="1:18" ht="12.75">
      <c r="A12941" s="12"/>
      <c r="D12941" s="12"/>
      <c r="E12941" s="12"/>
      <c r="H12941" s="11" t="str">
        <f ca="1">IFERROR(__xludf.DUMMYFUNCTION("IFERROR(SUBSTITUTE(SUBSTITUTE(REGEXEXTRACT(A12941, ""[^-]+- [^-]+- [^-]+ - (.+?)\.jpg""), "".jpg"", """"), ""-"", "", ""), """")"),"")</f>
        <v/>
      </c>
      <c r="L12941" s="12"/>
      <c r="M12941" s="13"/>
      <c r="N12941" s="2"/>
      <c r="O12941" s="20"/>
      <c r="P12941" s="42"/>
      <c r="R12941" s="23"/>
    </row>
    <row r="12942" spans="1:18" ht="12.75">
      <c r="A12942" s="12"/>
      <c r="D12942" s="12"/>
      <c r="E12942" s="12"/>
      <c r="H12942" s="11" t="str">
        <f ca="1">IFERROR(__xludf.DUMMYFUNCTION("IFERROR(SUBSTITUTE(SUBSTITUTE(REGEXEXTRACT(A12942, ""[^-]+- [^-]+- [^-]+ - (.+?)\.jpg""), "".jpg"", """"), ""-"", "", ""), """")"),"")</f>
        <v/>
      </c>
      <c r="L12942" s="12"/>
      <c r="M12942" s="13"/>
      <c r="N12942" s="2"/>
      <c r="O12942" s="20"/>
      <c r="P12942" s="42"/>
      <c r="R12942" s="23"/>
    </row>
    <row r="12943" spans="1:18" ht="12.75">
      <c r="A12943" s="12"/>
      <c r="D12943" s="12"/>
      <c r="E12943" s="12"/>
      <c r="H12943" s="11" t="str">
        <f ca="1">IFERROR(__xludf.DUMMYFUNCTION("IFERROR(SUBSTITUTE(SUBSTITUTE(REGEXEXTRACT(A12943, ""[^-]+- [^-]+- [^-]+ - (.+?)\.jpg""), "".jpg"", """"), ""-"", "", ""), """")"),"")</f>
        <v/>
      </c>
      <c r="L12943" s="12"/>
      <c r="M12943" s="13"/>
      <c r="N12943" s="2"/>
      <c r="O12943" s="20"/>
      <c r="P12943" s="42"/>
      <c r="R12943" s="23"/>
    </row>
    <row r="12944" spans="1:18" ht="12.75">
      <c r="A12944" s="12"/>
      <c r="D12944" s="12"/>
      <c r="E12944" s="12"/>
      <c r="H12944" s="11" t="str">
        <f ca="1">IFERROR(__xludf.DUMMYFUNCTION("IFERROR(SUBSTITUTE(SUBSTITUTE(REGEXEXTRACT(A12944, ""[^-]+- [^-]+- [^-]+ - (.+?)\.jpg""), "".jpg"", """"), ""-"", "", ""), """")"),"")</f>
        <v/>
      </c>
      <c r="L12944" s="12"/>
      <c r="M12944" s="13"/>
      <c r="N12944" s="2"/>
      <c r="O12944" s="20"/>
      <c r="P12944" s="42"/>
      <c r="R12944" s="23"/>
    </row>
    <row r="12945" spans="1:18" ht="12.75">
      <c r="A12945" s="12"/>
      <c r="D12945" s="12"/>
      <c r="E12945" s="12"/>
      <c r="H12945" s="11" t="str">
        <f ca="1">IFERROR(__xludf.DUMMYFUNCTION("IFERROR(SUBSTITUTE(SUBSTITUTE(REGEXEXTRACT(A12945, ""[^-]+- [^-]+- [^-]+ - (.+?)\.jpg""), "".jpg"", """"), ""-"", "", ""), """")"),"")</f>
        <v/>
      </c>
      <c r="L12945" s="12"/>
      <c r="M12945" s="13"/>
      <c r="N12945" s="2"/>
      <c r="O12945" s="20"/>
      <c r="P12945" s="42"/>
      <c r="R12945" s="23"/>
    </row>
    <row r="12946" spans="1:18" ht="12.75">
      <c r="A12946" s="12"/>
      <c r="D12946" s="12"/>
      <c r="E12946" s="12"/>
      <c r="H12946" s="11" t="str">
        <f ca="1">IFERROR(__xludf.DUMMYFUNCTION("IFERROR(SUBSTITUTE(SUBSTITUTE(REGEXEXTRACT(A12946, ""[^-]+- [^-]+- [^-]+ - (.+?)\.jpg""), "".jpg"", """"), ""-"", "", ""), """")"),"")</f>
        <v/>
      </c>
      <c r="L12946" s="12"/>
      <c r="M12946" s="13"/>
      <c r="N12946" s="2"/>
      <c r="O12946" s="20"/>
      <c r="P12946" s="42"/>
      <c r="R12946" s="23"/>
    </row>
    <row r="12947" spans="1:18" ht="12.75">
      <c r="A12947" s="12"/>
      <c r="D12947" s="12"/>
      <c r="E12947" s="12"/>
      <c r="H12947" s="11" t="str">
        <f ca="1">IFERROR(__xludf.DUMMYFUNCTION("IFERROR(SUBSTITUTE(SUBSTITUTE(REGEXEXTRACT(A12947, ""[^-]+- [^-]+- [^-]+ - (.+?)\.jpg""), "".jpg"", """"), ""-"", "", ""), """")"),"")</f>
        <v/>
      </c>
      <c r="L12947" s="12"/>
      <c r="M12947" s="13"/>
      <c r="N12947" s="2"/>
      <c r="O12947" s="20"/>
      <c r="P12947" s="42"/>
      <c r="R12947" s="23"/>
    </row>
    <row r="12948" spans="1:18" ht="12.75">
      <c r="A12948" s="12"/>
      <c r="D12948" s="12"/>
      <c r="E12948" s="12"/>
      <c r="H12948" s="11" t="str">
        <f ca="1">IFERROR(__xludf.DUMMYFUNCTION("IFERROR(SUBSTITUTE(SUBSTITUTE(REGEXEXTRACT(A12948, ""[^-]+- [^-]+- [^-]+ - (.+?)\.jpg""), "".jpg"", """"), ""-"", "", ""), """")"),"")</f>
        <v/>
      </c>
      <c r="L12948" s="12"/>
      <c r="M12948" s="13"/>
      <c r="N12948" s="2"/>
      <c r="O12948" s="20"/>
      <c r="P12948" s="42"/>
      <c r="R12948" s="23"/>
    </row>
    <row r="12949" spans="1:18" ht="12.75">
      <c r="A12949" s="12"/>
      <c r="D12949" s="12"/>
      <c r="E12949" s="12"/>
      <c r="H12949" s="11" t="str">
        <f ca="1">IFERROR(__xludf.DUMMYFUNCTION("IFERROR(SUBSTITUTE(SUBSTITUTE(REGEXEXTRACT(A12949, ""[^-]+- [^-]+- [^-]+ - (.+?)\.jpg""), "".jpg"", """"), ""-"", "", ""), """")"),"")</f>
        <v/>
      </c>
      <c r="L12949" s="12"/>
      <c r="M12949" s="13"/>
      <c r="N12949" s="2"/>
      <c r="O12949" s="20"/>
      <c r="P12949" s="42"/>
      <c r="R12949" s="23"/>
    </row>
    <row r="12950" spans="1:18" ht="12.75">
      <c r="A12950" s="12"/>
      <c r="D12950" s="12"/>
      <c r="E12950" s="12"/>
      <c r="H12950" s="11" t="str">
        <f ca="1">IFERROR(__xludf.DUMMYFUNCTION("IFERROR(SUBSTITUTE(SUBSTITUTE(REGEXEXTRACT(A12950, ""[^-]+- [^-]+- [^-]+ - (.+?)\.jpg""), "".jpg"", """"), ""-"", "", ""), """")"),"")</f>
        <v/>
      </c>
      <c r="L12950" s="12"/>
      <c r="M12950" s="13"/>
      <c r="N12950" s="2"/>
      <c r="O12950" s="20"/>
      <c r="P12950" s="42"/>
      <c r="R12950" s="23"/>
    </row>
    <row r="12951" spans="1:18" ht="12.75">
      <c r="A12951" s="12"/>
      <c r="D12951" s="12"/>
      <c r="E12951" s="12"/>
      <c r="H12951" s="11" t="str">
        <f ca="1">IFERROR(__xludf.DUMMYFUNCTION("IFERROR(SUBSTITUTE(SUBSTITUTE(REGEXEXTRACT(A12951, ""[^-]+- [^-]+- [^-]+ - (.+?)\.jpg""), "".jpg"", """"), ""-"", "", ""), """")"),"")</f>
        <v/>
      </c>
      <c r="L12951" s="12"/>
      <c r="M12951" s="13"/>
      <c r="N12951" s="2"/>
      <c r="O12951" s="20"/>
      <c r="P12951" s="42"/>
      <c r="R12951" s="23"/>
    </row>
    <row r="12952" spans="1:18" ht="12.75">
      <c r="A12952" s="12"/>
      <c r="D12952" s="12"/>
      <c r="E12952" s="12"/>
      <c r="H12952" s="11" t="str">
        <f ca="1">IFERROR(__xludf.DUMMYFUNCTION("IFERROR(SUBSTITUTE(SUBSTITUTE(REGEXEXTRACT(A12952, ""[^-]+- [^-]+- [^-]+ - (.+?)\.jpg""), "".jpg"", """"), ""-"", "", ""), """")"),"")</f>
        <v/>
      </c>
      <c r="L12952" s="12"/>
      <c r="M12952" s="13"/>
      <c r="N12952" s="2"/>
      <c r="O12952" s="20"/>
      <c r="P12952" s="42"/>
      <c r="R12952" s="23"/>
    </row>
    <row r="12953" spans="1:18" ht="12.75">
      <c r="A12953" s="12"/>
      <c r="D12953" s="12"/>
      <c r="E12953" s="12"/>
      <c r="H12953" s="11" t="str">
        <f ca="1">IFERROR(__xludf.DUMMYFUNCTION("IFERROR(SUBSTITUTE(SUBSTITUTE(REGEXEXTRACT(A12953, ""[^-]+- [^-]+- [^-]+ - (.+?)\.jpg""), "".jpg"", """"), ""-"", "", ""), """")"),"")</f>
        <v/>
      </c>
      <c r="L12953" s="12"/>
      <c r="M12953" s="13"/>
      <c r="N12953" s="2"/>
      <c r="O12953" s="20"/>
      <c r="P12953" s="42"/>
      <c r="R12953" s="23"/>
    </row>
    <row r="12954" spans="1:18" ht="12.75">
      <c r="A12954" s="12"/>
      <c r="D12954" s="12"/>
      <c r="E12954" s="12"/>
      <c r="H12954" s="11" t="str">
        <f ca="1">IFERROR(__xludf.DUMMYFUNCTION("IFERROR(SUBSTITUTE(SUBSTITUTE(REGEXEXTRACT(A12954, ""[^-]+- [^-]+- [^-]+ - (.+?)\.jpg""), "".jpg"", """"), ""-"", "", ""), """")"),"")</f>
        <v/>
      </c>
      <c r="L12954" s="12"/>
      <c r="M12954" s="13"/>
      <c r="N12954" s="2"/>
      <c r="O12954" s="20"/>
      <c r="P12954" s="42"/>
      <c r="R12954" s="23"/>
    </row>
    <row r="12955" spans="1:18" ht="12.75">
      <c r="A12955" s="12"/>
      <c r="D12955" s="12"/>
      <c r="E12955" s="12"/>
      <c r="H12955" s="11" t="str">
        <f ca="1">IFERROR(__xludf.DUMMYFUNCTION("IFERROR(SUBSTITUTE(SUBSTITUTE(REGEXEXTRACT(A12955, ""[^-]+- [^-]+- [^-]+ - (.+?)\.jpg""), "".jpg"", """"), ""-"", "", ""), """")"),"")</f>
        <v/>
      </c>
      <c r="L12955" s="12"/>
      <c r="M12955" s="13"/>
      <c r="N12955" s="2"/>
      <c r="O12955" s="20"/>
      <c r="P12955" s="42"/>
      <c r="R12955" s="23"/>
    </row>
    <row r="12956" spans="1:18" ht="12.75">
      <c r="A12956" s="12"/>
      <c r="D12956" s="12"/>
      <c r="E12956" s="12"/>
      <c r="H12956" s="11" t="str">
        <f ca="1">IFERROR(__xludf.DUMMYFUNCTION("IFERROR(SUBSTITUTE(SUBSTITUTE(REGEXEXTRACT(A12956, ""[^-]+- [^-]+- [^-]+ - (.+?)\.jpg""), "".jpg"", """"), ""-"", "", ""), """")"),"")</f>
        <v/>
      </c>
      <c r="L12956" s="12"/>
      <c r="M12956" s="13"/>
      <c r="N12956" s="2"/>
      <c r="O12956" s="20"/>
      <c r="P12956" s="42"/>
      <c r="R12956" s="23"/>
    </row>
    <row r="12957" spans="1:18" ht="12.75">
      <c r="A12957" s="12"/>
      <c r="D12957" s="12"/>
      <c r="E12957" s="12"/>
      <c r="H12957" s="11" t="str">
        <f ca="1">IFERROR(__xludf.DUMMYFUNCTION("IFERROR(SUBSTITUTE(SUBSTITUTE(REGEXEXTRACT(A12957, ""[^-]+- [^-]+- [^-]+ - (.+?)\.jpg""), "".jpg"", """"), ""-"", "", ""), """")"),"")</f>
        <v/>
      </c>
      <c r="L12957" s="12"/>
      <c r="M12957" s="13"/>
      <c r="N12957" s="2"/>
      <c r="O12957" s="20"/>
      <c r="P12957" s="42"/>
      <c r="R12957" s="23"/>
    </row>
    <row r="12958" spans="1:18" ht="12.75">
      <c r="A12958" s="12"/>
      <c r="D12958" s="12"/>
      <c r="E12958" s="12"/>
      <c r="H12958" s="11" t="str">
        <f ca="1">IFERROR(__xludf.DUMMYFUNCTION("IFERROR(SUBSTITUTE(SUBSTITUTE(REGEXEXTRACT(A12958, ""[^-]+- [^-]+- [^-]+ - (.+?)\.jpg""), "".jpg"", """"), ""-"", "", ""), """")"),"")</f>
        <v/>
      </c>
      <c r="L12958" s="12"/>
      <c r="M12958" s="13"/>
      <c r="N12958" s="2"/>
      <c r="O12958" s="20"/>
      <c r="P12958" s="42"/>
      <c r="R12958" s="23"/>
    </row>
    <row r="12959" spans="1:18" ht="12.75">
      <c r="A12959" s="12"/>
      <c r="D12959" s="12"/>
      <c r="E12959" s="12"/>
      <c r="H12959" s="11" t="str">
        <f ca="1">IFERROR(__xludf.DUMMYFUNCTION("IFERROR(SUBSTITUTE(SUBSTITUTE(REGEXEXTRACT(A12959, ""[^-]+- [^-]+- [^-]+ - (.+?)\.jpg""), "".jpg"", """"), ""-"", "", ""), """")"),"")</f>
        <v/>
      </c>
      <c r="L12959" s="12"/>
      <c r="M12959" s="13"/>
      <c r="N12959" s="2"/>
      <c r="O12959" s="20"/>
      <c r="P12959" s="42"/>
      <c r="R12959" s="23"/>
    </row>
    <row r="12960" spans="1:18" ht="12.75">
      <c r="A12960" s="12"/>
      <c r="D12960" s="12"/>
      <c r="E12960" s="12"/>
      <c r="H12960" s="11" t="str">
        <f ca="1">IFERROR(__xludf.DUMMYFUNCTION("IFERROR(SUBSTITUTE(SUBSTITUTE(REGEXEXTRACT(A12960, ""[^-]+- [^-]+- [^-]+ - (.+?)\.jpg""), "".jpg"", """"), ""-"", "", ""), """")"),"")</f>
        <v/>
      </c>
      <c r="L12960" s="12"/>
      <c r="M12960" s="13"/>
      <c r="N12960" s="2"/>
      <c r="O12960" s="20"/>
      <c r="P12960" s="42"/>
      <c r="R12960" s="23"/>
    </row>
    <row r="12961" spans="1:18" ht="12.75">
      <c r="A12961" s="12"/>
      <c r="D12961" s="12"/>
      <c r="E12961" s="12"/>
      <c r="H12961" s="11" t="str">
        <f ca="1">IFERROR(__xludf.DUMMYFUNCTION("IFERROR(SUBSTITUTE(SUBSTITUTE(REGEXEXTRACT(A12961, ""[^-]+- [^-]+- [^-]+ - (.+?)\.jpg""), "".jpg"", """"), ""-"", "", ""), """")"),"")</f>
        <v/>
      </c>
      <c r="L12961" s="12"/>
      <c r="M12961" s="13"/>
      <c r="N12961" s="2"/>
      <c r="O12961" s="20"/>
      <c r="P12961" s="42"/>
      <c r="R12961" s="23"/>
    </row>
    <row r="12962" spans="1:18" ht="12.75">
      <c r="A12962" s="12"/>
      <c r="D12962" s="12"/>
      <c r="E12962" s="12"/>
      <c r="H12962" s="11" t="str">
        <f ca="1">IFERROR(__xludf.DUMMYFUNCTION("IFERROR(SUBSTITUTE(SUBSTITUTE(REGEXEXTRACT(A12962, ""[^-]+- [^-]+- [^-]+ - (.+?)\.jpg""), "".jpg"", """"), ""-"", "", ""), """")"),"")</f>
        <v/>
      </c>
      <c r="L12962" s="12"/>
      <c r="M12962" s="13"/>
      <c r="N12962" s="2"/>
      <c r="O12962" s="20"/>
      <c r="P12962" s="42"/>
      <c r="R12962" s="23"/>
    </row>
    <row r="12963" spans="1:18" ht="12.75">
      <c r="A12963" s="12"/>
      <c r="D12963" s="12"/>
      <c r="E12963" s="12"/>
      <c r="H12963" s="11" t="str">
        <f ca="1">IFERROR(__xludf.DUMMYFUNCTION("IFERROR(SUBSTITUTE(SUBSTITUTE(REGEXEXTRACT(A12963, ""[^-]+- [^-]+- [^-]+ - (.+?)\.jpg""), "".jpg"", """"), ""-"", "", ""), """")"),"")</f>
        <v/>
      </c>
      <c r="L12963" s="12"/>
      <c r="M12963" s="13"/>
      <c r="N12963" s="2"/>
      <c r="O12963" s="20"/>
      <c r="P12963" s="42"/>
      <c r="R12963" s="23"/>
    </row>
    <row r="12964" spans="1:18" ht="12.75">
      <c r="A12964" s="12"/>
      <c r="D12964" s="12"/>
      <c r="E12964" s="12"/>
      <c r="H12964" s="11" t="str">
        <f ca="1">IFERROR(__xludf.DUMMYFUNCTION("IFERROR(SUBSTITUTE(SUBSTITUTE(REGEXEXTRACT(A12964, ""[^-]+- [^-]+- [^-]+ - (.+?)\.jpg""), "".jpg"", """"), ""-"", "", ""), """")"),"")</f>
        <v/>
      </c>
      <c r="L12964" s="12"/>
      <c r="M12964" s="13"/>
      <c r="N12964" s="2"/>
      <c r="O12964" s="20"/>
      <c r="P12964" s="42"/>
      <c r="R12964" s="23"/>
    </row>
    <row r="12965" spans="1:18" ht="12.75">
      <c r="A12965" s="12"/>
      <c r="D12965" s="12"/>
      <c r="E12965" s="12"/>
      <c r="H12965" s="11" t="str">
        <f ca="1">IFERROR(__xludf.DUMMYFUNCTION("IFERROR(SUBSTITUTE(SUBSTITUTE(REGEXEXTRACT(A12965, ""[^-]+- [^-]+- [^-]+ - (.+?)\.jpg""), "".jpg"", """"), ""-"", "", ""), """")"),"")</f>
        <v/>
      </c>
      <c r="L12965" s="12"/>
      <c r="M12965" s="13"/>
      <c r="N12965" s="2"/>
      <c r="O12965" s="20"/>
      <c r="P12965" s="42"/>
      <c r="R12965" s="23"/>
    </row>
    <row r="12966" spans="1:18" ht="12.75">
      <c r="A12966" s="12"/>
      <c r="D12966" s="12"/>
      <c r="E12966" s="12"/>
      <c r="H12966" s="11" t="str">
        <f ca="1">IFERROR(__xludf.DUMMYFUNCTION("IFERROR(SUBSTITUTE(SUBSTITUTE(REGEXEXTRACT(A12966, ""[^-]+- [^-]+- [^-]+ - (.+?)\.jpg""), "".jpg"", """"), ""-"", "", ""), """")"),"")</f>
        <v/>
      </c>
      <c r="L12966" s="12"/>
      <c r="M12966" s="13"/>
      <c r="N12966" s="2"/>
      <c r="O12966" s="20"/>
      <c r="P12966" s="42"/>
      <c r="R12966" s="23"/>
    </row>
    <row r="12967" spans="1:18" ht="12.75">
      <c r="A12967" s="12"/>
      <c r="D12967" s="12"/>
      <c r="E12967" s="12"/>
      <c r="H12967" s="11" t="str">
        <f ca="1">IFERROR(__xludf.DUMMYFUNCTION("IFERROR(SUBSTITUTE(SUBSTITUTE(REGEXEXTRACT(A12967, ""[^-]+- [^-]+- [^-]+ - (.+?)\.jpg""), "".jpg"", """"), ""-"", "", ""), """")"),"")</f>
        <v/>
      </c>
      <c r="L12967" s="12"/>
      <c r="M12967" s="13"/>
      <c r="N12967" s="2"/>
      <c r="O12967" s="20"/>
      <c r="P12967" s="42"/>
      <c r="R12967" s="23"/>
    </row>
    <row r="12968" spans="1:18" ht="12.75">
      <c r="A12968" s="12"/>
      <c r="D12968" s="12"/>
      <c r="E12968" s="12"/>
      <c r="H12968" s="11" t="str">
        <f ca="1">IFERROR(__xludf.DUMMYFUNCTION("IFERROR(SUBSTITUTE(SUBSTITUTE(REGEXEXTRACT(A12968, ""[^-]+- [^-]+- [^-]+ - (.+?)\.jpg""), "".jpg"", """"), ""-"", "", ""), """")"),"")</f>
        <v/>
      </c>
      <c r="L12968" s="12"/>
      <c r="M12968" s="13"/>
      <c r="N12968" s="2"/>
      <c r="O12968" s="20"/>
      <c r="P12968" s="42"/>
      <c r="R12968" s="23"/>
    </row>
    <row r="12969" spans="1:18" ht="12.75">
      <c r="A12969" s="12"/>
      <c r="D12969" s="12"/>
      <c r="E12969" s="12"/>
      <c r="H12969" s="11" t="str">
        <f ca="1">IFERROR(__xludf.DUMMYFUNCTION("IFERROR(SUBSTITUTE(SUBSTITUTE(REGEXEXTRACT(A12969, ""[^-]+- [^-]+- [^-]+ - (.+?)\.jpg""), "".jpg"", """"), ""-"", "", ""), """")"),"")</f>
        <v/>
      </c>
      <c r="L12969" s="12"/>
      <c r="M12969" s="13"/>
      <c r="N12969" s="2"/>
      <c r="O12969" s="20"/>
      <c r="P12969" s="42"/>
      <c r="R12969" s="23"/>
    </row>
    <row r="12970" spans="1:18" ht="12.75">
      <c r="A12970" s="12"/>
      <c r="D12970" s="12"/>
      <c r="E12970" s="12"/>
      <c r="H12970" s="11" t="str">
        <f ca="1">IFERROR(__xludf.DUMMYFUNCTION("IFERROR(SUBSTITUTE(SUBSTITUTE(REGEXEXTRACT(A12970, ""[^-]+- [^-]+- [^-]+ - (.+?)\.jpg""), "".jpg"", """"), ""-"", "", ""), """")"),"")</f>
        <v/>
      </c>
      <c r="L12970" s="12"/>
      <c r="M12970" s="13"/>
      <c r="N12970" s="2"/>
      <c r="O12970" s="20"/>
      <c r="P12970" s="42"/>
      <c r="R12970" s="23"/>
    </row>
    <row r="12971" spans="1:18" ht="12.75">
      <c r="A12971" s="12"/>
      <c r="D12971" s="12"/>
      <c r="E12971" s="12"/>
      <c r="H12971" s="11" t="str">
        <f ca="1">IFERROR(__xludf.DUMMYFUNCTION("IFERROR(SUBSTITUTE(SUBSTITUTE(REGEXEXTRACT(A12971, ""[^-]+- [^-]+- [^-]+ - (.+?)\.jpg""), "".jpg"", """"), ""-"", "", ""), """")"),"")</f>
        <v/>
      </c>
      <c r="L12971" s="12"/>
      <c r="M12971" s="13"/>
      <c r="N12971" s="2"/>
      <c r="O12971" s="20"/>
      <c r="P12971" s="42"/>
      <c r="R12971" s="23"/>
    </row>
    <row r="12972" spans="1:18" ht="12.75">
      <c r="A12972" s="12"/>
      <c r="D12972" s="12"/>
      <c r="E12972" s="12"/>
      <c r="H12972" s="11" t="str">
        <f ca="1">IFERROR(__xludf.DUMMYFUNCTION("IFERROR(SUBSTITUTE(SUBSTITUTE(REGEXEXTRACT(A12972, ""[^-]+- [^-]+- [^-]+ - (.+?)\.jpg""), "".jpg"", """"), ""-"", "", ""), """")"),"")</f>
        <v/>
      </c>
      <c r="L12972" s="12"/>
      <c r="M12972" s="13"/>
      <c r="N12972" s="2"/>
      <c r="O12972" s="20"/>
      <c r="P12972" s="42"/>
      <c r="R12972" s="23"/>
    </row>
    <row r="12973" spans="1:18" ht="12.75">
      <c r="A12973" s="12"/>
      <c r="D12973" s="12"/>
      <c r="E12973" s="12"/>
      <c r="H12973" s="11" t="str">
        <f ca="1">IFERROR(__xludf.DUMMYFUNCTION("IFERROR(SUBSTITUTE(SUBSTITUTE(REGEXEXTRACT(A12973, ""[^-]+- [^-]+- [^-]+ - (.+?)\.jpg""), "".jpg"", """"), ""-"", "", ""), """")"),"")</f>
        <v/>
      </c>
      <c r="L12973" s="12"/>
      <c r="M12973" s="13"/>
      <c r="N12973" s="2"/>
      <c r="O12973" s="20"/>
      <c r="P12973" s="42"/>
      <c r="R12973" s="23"/>
    </row>
    <row r="12974" spans="1:18" ht="12.75">
      <c r="A12974" s="12"/>
      <c r="D12974" s="12"/>
      <c r="E12974" s="12"/>
      <c r="H12974" s="11" t="str">
        <f ca="1">IFERROR(__xludf.DUMMYFUNCTION("IFERROR(SUBSTITUTE(SUBSTITUTE(REGEXEXTRACT(A12974, ""[^-]+- [^-]+- [^-]+ - (.+?)\.jpg""), "".jpg"", """"), ""-"", "", ""), """")"),"")</f>
        <v/>
      </c>
      <c r="L12974" s="12"/>
      <c r="M12974" s="13"/>
      <c r="N12974" s="2"/>
      <c r="O12974" s="20"/>
      <c r="P12974" s="42"/>
      <c r="R12974" s="23"/>
    </row>
    <row r="12975" spans="1:18" ht="12.75">
      <c r="A12975" s="12"/>
      <c r="D12975" s="12"/>
      <c r="E12975" s="12"/>
      <c r="H12975" s="11" t="str">
        <f ca="1">IFERROR(__xludf.DUMMYFUNCTION("IFERROR(SUBSTITUTE(SUBSTITUTE(REGEXEXTRACT(A12975, ""[^-]+- [^-]+- [^-]+ - (.+?)\.jpg""), "".jpg"", """"), ""-"", "", ""), """")"),"")</f>
        <v/>
      </c>
      <c r="L12975" s="12"/>
      <c r="M12975" s="13"/>
      <c r="N12975" s="2"/>
      <c r="O12975" s="20"/>
      <c r="P12975" s="42"/>
      <c r="R12975" s="23"/>
    </row>
    <row r="12976" spans="1:18" ht="12.75">
      <c r="A12976" s="12"/>
      <c r="D12976" s="12"/>
      <c r="E12976" s="12"/>
      <c r="H12976" s="11" t="str">
        <f ca="1">IFERROR(__xludf.DUMMYFUNCTION("IFERROR(SUBSTITUTE(SUBSTITUTE(REGEXEXTRACT(A12976, ""[^-]+- [^-]+- [^-]+ - (.+?)\.jpg""), "".jpg"", """"), ""-"", "", ""), """")"),"")</f>
        <v/>
      </c>
      <c r="L12976" s="12"/>
      <c r="M12976" s="13"/>
      <c r="N12976" s="2"/>
      <c r="O12976" s="20"/>
      <c r="P12976" s="42"/>
      <c r="R12976" s="23"/>
    </row>
    <row r="12977" spans="1:18" ht="12.75">
      <c r="A12977" s="12"/>
      <c r="D12977" s="12"/>
      <c r="E12977" s="12"/>
      <c r="H12977" s="11" t="str">
        <f ca="1">IFERROR(__xludf.DUMMYFUNCTION("IFERROR(SUBSTITUTE(SUBSTITUTE(REGEXEXTRACT(A12977, ""[^-]+- [^-]+- [^-]+ - (.+?)\.jpg""), "".jpg"", """"), ""-"", "", ""), """")"),"")</f>
        <v/>
      </c>
      <c r="L12977" s="12"/>
      <c r="M12977" s="13"/>
      <c r="N12977" s="2"/>
      <c r="O12977" s="20"/>
      <c r="P12977" s="42"/>
      <c r="R12977" s="23"/>
    </row>
    <row r="12978" spans="1:18" ht="12.75">
      <c r="A12978" s="12"/>
      <c r="D12978" s="12"/>
      <c r="E12978" s="12"/>
      <c r="H12978" s="11" t="str">
        <f ca="1">IFERROR(__xludf.DUMMYFUNCTION("IFERROR(SUBSTITUTE(SUBSTITUTE(REGEXEXTRACT(A12978, ""[^-]+- [^-]+- [^-]+ - (.+?)\.jpg""), "".jpg"", """"), ""-"", "", ""), """")"),"")</f>
        <v/>
      </c>
      <c r="L12978" s="12"/>
      <c r="M12978" s="13"/>
      <c r="N12978" s="2"/>
      <c r="O12978" s="20"/>
      <c r="P12978" s="42"/>
      <c r="R12978" s="23"/>
    </row>
    <row r="12979" spans="1:18" ht="12.75">
      <c r="A12979" s="12"/>
      <c r="D12979" s="12"/>
      <c r="E12979" s="12"/>
      <c r="H12979" s="11" t="str">
        <f ca="1">IFERROR(__xludf.DUMMYFUNCTION("IFERROR(SUBSTITUTE(SUBSTITUTE(REGEXEXTRACT(A12979, ""[^-]+- [^-]+- [^-]+ - (.+?)\.jpg""), "".jpg"", """"), ""-"", "", ""), """")"),"")</f>
        <v/>
      </c>
      <c r="L12979" s="12"/>
      <c r="M12979" s="13"/>
      <c r="N12979" s="2"/>
      <c r="O12979" s="20"/>
      <c r="P12979" s="42"/>
      <c r="R12979" s="23"/>
    </row>
    <row r="12980" spans="1:18" ht="12.75">
      <c r="A12980" s="12"/>
      <c r="D12980" s="12"/>
      <c r="E12980" s="12"/>
      <c r="H12980" s="11" t="str">
        <f ca="1">IFERROR(__xludf.DUMMYFUNCTION("IFERROR(SUBSTITUTE(SUBSTITUTE(REGEXEXTRACT(A12980, ""[^-]+- [^-]+- [^-]+ - (.+?)\.jpg""), "".jpg"", """"), ""-"", "", ""), """")"),"")</f>
        <v/>
      </c>
      <c r="L12980" s="12"/>
      <c r="M12980" s="13"/>
      <c r="N12980" s="2"/>
      <c r="O12980" s="20"/>
      <c r="P12980" s="42"/>
      <c r="R12980" s="23"/>
    </row>
    <row r="12981" spans="1:18" ht="12.75">
      <c r="A12981" s="12"/>
      <c r="D12981" s="12"/>
      <c r="E12981" s="12"/>
      <c r="H12981" s="11" t="str">
        <f ca="1">IFERROR(__xludf.DUMMYFUNCTION("IFERROR(SUBSTITUTE(SUBSTITUTE(REGEXEXTRACT(A12981, ""[^-]+- [^-]+- [^-]+ - (.+?)\.jpg""), "".jpg"", """"), ""-"", "", ""), """")"),"")</f>
        <v/>
      </c>
      <c r="L12981" s="12"/>
      <c r="M12981" s="13"/>
      <c r="N12981" s="2"/>
      <c r="O12981" s="20"/>
      <c r="P12981" s="42"/>
      <c r="R12981" s="23"/>
    </row>
    <row r="12982" spans="1:18" ht="12.75">
      <c r="A12982" s="12"/>
      <c r="D12982" s="12"/>
      <c r="E12982" s="12"/>
      <c r="H12982" s="11" t="str">
        <f ca="1">IFERROR(__xludf.DUMMYFUNCTION("IFERROR(SUBSTITUTE(SUBSTITUTE(REGEXEXTRACT(A12982, ""[^-]+- [^-]+- [^-]+ - (.+?)\.jpg""), "".jpg"", """"), ""-"", "", ""), """")"),"")</f>
        <v/>
      </c>
      <c r="L12982" s="12"/>
      <c r="M12982" s="13"/>
      <c r="N12982" s="2"/>
      <c r="O12982" s="20"/>
      <c r="P12982" s="42"/>
      <c r="R12982" s="23"/>
    </row>
    <row r="12983" spans="1:18" ht="12.75">
      <c r="A12983" s="12"/>
      <c r="D12983" s="12"/>
      <c r="E12983" s="12"/>
      <c r="H12983" s="11" t="str">
        <f ca="1">IFERROR(__xludf.DUMMYFUNCTION("IFERROR(SUBSTITUTE(SUBSTITUTE(REGEXEXTRACT(A12983, ""[^-]+- [^-]+- [^-]+ - (.+?)\.jpg""), "".jpg"", """"), ""-"", "", ""), """")"),"")</f>
        <v/>
      </c>
      <c r="L12983" s="12"/>
      <c r="M12983" s="13"/>
      <c r="N12983" s="2"/>
      <c r="O12983" s="20"/>
      <c r="P12983" s="42"/>
      <c r="R12983" s="23"/>
    </row>
    <row r="12984" spans="1:18" ht="12.75">
      <c r="A12984" s="12"/>
      <c r="D12984" s="12"/>
      <c r="E12984" s="12"/>
      <c r="H12984" s="11" t="str">
        <f ca="1">IFERROR(__xludf.DUMMYFUNCTION("IFERROR(SUBSTITUTE(SUBSTITUTE(REGEXEXTRACT(A12984, ""[^-]+- [^-]+- [^-]+ - (.+?)\.jpg""), "".jpg"", """"), ""-"", "", ""), """")"),"")</f>
        <v/>
      </c>
      <c r="L12984" s="12"/>
      <c r="M12984" s="13"/>
      <c r="N12984" s="2"/>
      <c r="O12984" s="20"/>
      <c r="P12984" s="42"/>
      <c r="R12984" s="23"/>
    </row>
    <row r="12985" spans="1:18" ht="12.75">
      <c r="A12985" s="12"/>
      <c r="D12985" s="12"/>
      <c r="E12985" s="12"/>
      <c r="H12985" s="11" t="str">
        <f ca="1">IFERROR(__xludf.DUMMYFUNCTION("IFERROR(SUBSTITUTE(SUBSTITUTE(REGEXEXTRACT(A12985, ""[^-]+- [^-]+- [^-]+ - (.+?)\.jpg""), "".jpg"", """"), ""-"", "", ""), """")"),"")</f>
        <v/>
      </c>
      <c r="L12985" s="12"/>
      <c r="M12985" s="13"/>
      <c r="N12985" s="2"/>
      <c r="O12985" s="20"/>
      <c r="P12985" s="42"/>
      <c r="R12985" s="23"/>
    </row>
    <row r="12986" spans="1:18" ht="12.75">
      <c r="A12986" s="12"/>
      <c r="D12986" s="12"/>
      <c r="E12986" s="12"/>
      <c r="H12986" s="11" t="str">
        <f ca="1">IFERROR(__xludf.DUMMYFUNCTION("IFERROR(SUBSTITUTE(SUBSTITUTE(REGEXEXTRACT(A12986, ""[^-]+- [^-]+- [^-]+ - (.+?)\.jpg""), "".jpg"", """"), ""-"", "", ""), """")"),"")</f>
        <v/>
      </c>
      <c r="L12986" s="12"/>
      <c r="M12986" s="13"/>
      <c r="N12986" s="2"/>
      <c r="O12986" s="20"/>
      <c r="P12986" s="42"/>
      <c r="R12986" s="23"/>
    </row>
    <row r="12987" spans="1:18" ht="12.75">
      <c r="A12987" s="12"/>
      <c r="D12987" s="12"/>
      <c r="E12987" s="12"/>
      <c r="H12987" s="11" t="str">
        <f ca="1">IFERROR(__xludf.DUMMYFUNCTION("IFERROR(SUBSTITUTE(SUBSTITUTE(REGEXEXTRACT(A12987, ""[^-]+- [^-]+- [^-]+ - (.+?)\.jpg""), "".jpg"", """"), ""-"", "", ""), """")"),"")</f>
        <v/>
      </c>
      <c r="L12987" s="12"/>
      <c r="M12987" s="13"/>
      <c r="N12987" s="2"/>
      <c r="O12987" s="20"/>
      <c r="P12987" s="42"/>
      <c r="R12987" s="23"/>
    </row>
    <row r="12988" spans="1:18" ht="12.75">
      <c r="A12988" s="12"/>
      <c r="D12988" s="12"/>
      <c r="E12988" s="12"/>
      <c r="H12988" s="11" t="str">
        <f ca="1">IFERROR(__xludf.DUMMYFUNCTION("IFERROR(SUBSTITUTE(SUBSTITUTE(REGEXEXTRACT(A12988, ""[^-]+- [^-]+- [^-]+ - (.+?)\.jpg""), "".jpg"", """"), ""-"", "", ""), """")"),"")</f>
        <v/>
      </c>
      <c r="L12988" s="12"/>
      <c r="M12988" s="13"/>
      <c r="N12988" s="2"/>
      <c r="O12988" s="20"/>
      <c r="P12988" s="42"/>
      <c r="R12988" s="23"/>
    </row>
    <row r="12989" spans="1:18" ht="12.75">
      <c r="A12989" s="12"/>
      <c r="D12989" s="12"/>
      <c r="E12989" s="12"/>
      <c r="H12989" s="11" t="str">
        <f ca="1">IFERROR(__xludf.DUMMYFUNCTION("IFERROR(SUBSTITUTE(SUBSTITUTE(REGEXEXTRACT(A12989, ""[^-]+- [^-]+- [^-]+ - (.+?)\.jpg""), "".jpg"", """"), ""-"", "", ""), """")"),"")</f>
        <v/>
      </c>
      <c r="L12989" s="12"/>
      <c r="M12989" s="13"/>
      <c r="N12989" s="2"/>
      <c r="O12989" s="20"/>
      <c r="P12989" s="42"/>
      <c r="R12989" s="23"/>
    </row>
    <row r="12990" spans="1:18" ht="12.75">
      <c r="A12990" s="12"/>
      <c r="D12990" s="12"/>
      <c r="E12990" s="12"/>
      <c r="H12990" s="11" t="str">
        <f ca="1">IFERROR(__xludf.DUMMYFUNCTION("IFERROR(SUBSTITUTE(SUBSTITUTE(REGEXEXTRACT(A12990, ""[^-]+- [^-]+- [^-]+ - (.+?)\.jpg""), "".jpg"", """"), ""-"", "", ""), """")"),"")</f>
        <v/>
      </c>
      <c r="L12990" s="12"/>
      <c r="M12990" s="13"/>
      <c r="N12990" s="2"/>
      <c r="O12990" s="20"/>
      <c r="P12990" s="42"/>
      <c r="R12990" s="23"/>
    </row>
    <row r="12991" spans="1:18" ht="12.75">
      <c r="A12991" s="12"/>
      <c r="D12991" s="12"/>
      <c r="E12991" s="12"/>
      <c r="H12991" s="11" t="str">
        <f ca="1">IFERROR(__xludf.DUMMYFUNCTION("IFERROR(SUBSTITUTE(SUBSTITUTE(REGEXEXTRACT(A12991, ""[^-]+- [^-]+- [^-]+ - (.+?)\.jpg""), "".jpg"", """"), ""-"", "", ""), """")"),"")</f>
        <v/>
      </c>
      <c r="L12991" s="12"/>
      <c r="M12991" s="13"/>
      <c r="N12991" s="2"/>
      <c r="O12991" s="20"/>
      <c r="P12991" s="42"/>
      <c r="R12991" s="23"/>
    </row>
    <row r="12992" spans="1:18" ht="12.75">
      <c r="A12992" s="12"/>
      <c r="D12992" s="12"/>
      <c r="E12992" s="12"/>
      <c r="H12992" s="11" t="str">
        <f ca="1">IFERROR(__xludf.DUMMYFUNCTION("IFERROR(SUBSTITUTE(SUBSTITUTE(REGEXEXTRACT(A12992, ""[^-]+- [^-]+- [^-]+ - (.+?)\.jpg""), "".jpg"", """"), ""-"", "", ""), """")"),"")</f>
        <v/>
      </c>
      <c r="L12992" s="12"/>
      <c r="M12992" s="13"/>
      <c r="N12992" s="2"/>
      <c r="O12992" s="20"/>
      <c r="P12992" s="42"/>
      <c r="R12992" s="23"/>
    </row>
    <row r="12993" spans="1:18" ht="12.75">
      <c r="A12993" s="12"/>
      <c r="D12993" s="12"/>
      <c r="E12993" s="12"/>
      <c r="H12993" s="11" t="str">
        <f ca="1">IFERROR(__xludf.DUMMYFUNCTION("IFERROR(SUBSTITUTE(SUBSTITUTE(REGEXEXTRACT(A12993, ""[^-]+- [^-]+- [^-]+ - (.+?)\.jpg""), "".jpg"", """"), ""-"", "", ""), """")"),"")</f>
        <v/>
      </c>
      <c r="L12993" s="12"/>
      <c r="M12993" s="13"/>
      <c r="N12993" s="2"/>
      <c r="O12993" s="20"/>
      <c r="P12993" s="42"/>
      <c r="R12993" s="23"/>
    </row>
    <row r="12994" spans="1:18" ht="12.75">
      <c r="A12994" s="12"/>
      <c r="D12994" s="12"/>
      <c r="E12994" s="12"/>
      <c r="H12994" s="11" t="str">
        <f ca="1">IFERROR(__xludf.DUMMYFUNCTION("IFERROR(SUBSTITUTE(SUBSTITUTE(REGEXEXTRACT(A12994, ""[^-]+- [^-]+- [^-]+ - (.+?)\.jpg""), "".jpg"", """"), ""-"", "", ""), """")"),"")</f>
        <v/>
      </c>
      <c r="L12994" s="12"/>
      <c r="M12994" s="13"/>
      <c r="N12994" s="2"/>
      <c r="O12994" s="20"/>
      <c r="P12994" s="42"/>
      <c r="R12994" s="23"/>
    </row>
    <row r="12995" spans="1:18" ht="12.75">
      <c r="A12995" s="12"/>
      <c r="D12995" s="12"/>
      <c r="E12995" s="12"/>
      <c r="H12995" s="11" t="str">
        <f ca="1">IFERROR(__xludf.DUMMYFUNCTION("IFERROR(SUBSTITUTE(SUBSTITUTE(REGEXEXTRACT(A12995, ""[^-]+- [^-]+- [^-]+ - (.+?)\.jpg""), "".jpg"", """"), ""-"", "", ""), """")"),"")</f>
        <v/>
      </c>
      <c r="L12995" s="12"/>
      <c r="M12995" s="13"/>
      <c r="N12995" s="2"/>
      <c r="O12995" s="20"/>
      <c r="P12995" s="42"/>
      <c r="R12995" s="23"/>
    </row>
    <row r="12996" spans="1:18" ht="12.75">
      <c r="A12996" s="12"/>
      <c r="D12996" s="12"/>
      <c r="E12996" s="12"/>
      <c r="H12996" s="11" t="str">
        <f ca="1">IFERROR(__xludf.DUMMYFUNCTION("IFERROR(SUBSTITUTE(SUBSTITUTE(REGEXEXTRACT(A12996, ""[^-]+- [^-]+- [^-]+ - (.+?)\.jpg""), "".jpg"", """"), ""-"", "", ""), """")"),"")</f>
        <v/>
      </c>
      <c r="L12996" s="12"/>
      <c r="M12996" s="13"/>
      <c r="N12996" s="2"/>
      <c r="O12996" s="20"/>
      <c r="P12996" s="42"/>
      <c r="R12996" s="23"/>
    </row>
    <row r="12997" spans="1:18" ht="12.75">
      <c r="A12997" s="12"/>
      <c r="D12997" s="12"/>
      <c r="E12997" s="12"/>
      <c r="H12997" s="11" t="str">
        <f ca="1">IFERROR(__xludf.DUMMYFUNCTION("IFERROR(SUBSTITUTE(SUBSTITUTE(REGEXEXTRACT(A12997, ""[^-]+- [^-]+- [^-]+ - (.+?)\.jpg""), "".jpg"", """"), ""-"", "", ""), """")"),"")</f>
        <v/>
      </c>
      <c r="L12997" s="12"/>
      <c r="M12997" s="13"/>
      <c r="N12997" s="2"/>
      <c r="O12997" s="20"/>
      <c r="P12997" s="42"/>
      <c r="R12997" s="23"/>
    </row>
    <row r="12998" spans="1:18" ht="12.75">
      <c r="A12998" s="12"/>
      <c r="D12998" s="12"/>
      <c r="E12998" s="12"/>
      <c r="H12998" s="11" t="str">
        <f ca="1">IFERROR(__xludf.DUMMYFUNCTION("IFERROR(SUBSTITUTE(SUBSTITUTE(REGEXEXTRACT(A12998, ""[^-]+- [^-]+- [^-]+ - (.+?)\.jpg""), "".jpg"", """"), ""-"", "", ""), """")"),"")</f>
        <v/>
      </c>
      <c r="L12998" s="12"/>
      <c r="M12998" s="13"/>
      <c r="N12998" s="2"/>
      <c r="O12998" s="20"/>
      <c r="P12998" s="42"/>
      <c r="R12998" s="23"/>
    </row>
    <row r="12999" spans="1:18" ht="12.75">
      <c r="A12999" s="12"/>
      <c r="D12999" s="12"/>
      <c r="E12999" s="12"/>
      <c r="H12999" s="11" t="str">
        <f ca="1">IFERROR(__xludf.DUMMYFUNCTION("IFERROR(SUBSTITUTE(SUBSTITUTE(REGEXEXTRACT(A12999, ""[^-]+- [^-]+- [^-]+ - (.+?)\.jpg""), "".jpg"", """"), ""-"", "", ""), """")"),"")</f>
        <v/>
      </c>
      <c r="L12999" s="12"/>
      <c r="M12999" s="13"/>
      <c r="N12999" s="2"/>
      <c r="O12999" s="20"/>
      <c r="P12999" s="42"/>
      <c r="R12999" s="23"/>
    </row>
    <row r="13000" spans="1:18" ht="12.75">
      <c r="A13000" s="12"/>
      <c r="D13000" s="12"/>
      <c r="E13000" s="12"/>
      <c r="H13000" s="11" t="str">
        <f ca="1">IFERROR(__xludf.DUMMYFUNCTION("IFERROR(SUBSTITUTE(SUBSTITUTE(REGEXEXTRACT(A13000, ""[^-]+- [^-]+- [^-]+ - (.+?)\.jpg""), "".jpg"", """"), ""-"", "", ""), """")"),"")</f>
        <v/>
      </c>
      <c r="L13000" s="12"/>
      <c r="M13000" s="13"/>
      <c r="N13000" s="2"/>
      <c r="O13000" s="20"/>
      <c r="P13000" s="42"/>
      <c r="R13000" s="23"/>
    </row>
    <row r="13001" spans="1:18" ht="12.75">
      <c r="A13001" s="12"/>
      <c r="D13001" s="12"/>
      <c r="E13001" s="12"/>
      <c r="H13001" s="11" t="str">
        <f ca="1">IFERROR(__xludf.DUMMYFUNCTION("IFERROR(SUBSTITUTE(SUBSTITUTE(REGEXEXTRACT(A13001, ""[^-]+- [^-]+- [^-]+ - (.+?)\.jpg""), "".jpg"", """"), ""-"", "", ""), """")"),"")</f>
        <v/>
      </c>
      <c r="L13001" s="12"/>
      <c r="M13001" s="13"/>
      <c r="N13001" s="2"/>
      <c r="O13001" s="20"/>
      <c r="P13001" s="42"/>
      <c r="R13001" s="23"/>
    </row>
    <row r="13002" spans="1:18" ht="12.75">
      <c r="A13002" s="12"/>
      <c r="D13002" s="12"/>
      <c r="E13002" s="12"/>
      <c r="H13002" s="11" t="str">
        <f ca="1">IFERROR(__xludf.DUMMYFUNCTION("IFERROR(SUBSTITUTE(SUBSTITUTE(REGEXEXTRACT(A13002, ""[^-]+- [^-]+- [^-]+ - (.+?)\.jpg""), "".jpg"", """"), ""-"", "", ""), """")"),"")</f>
        <v/>
      </c>
      <c r="L13002" s="12"/>
      <c r="M13002" s="13"/>
      <c r="N13002" s="2"/>
      <c r="O13002" s="20"/>
      <c r="P13002" s="42"/>
      <c r="R13002" s="23"/>
    </row>
    <row r="13003" spans="1:18" ht="12.75">
      <c r="A13003" s="12"/>
      <c r="D13003" s="12"/>
      <c r="E13003" s="12"/>
      <c r="H13003" s="11" t="str">
        <f ca="1">IFERROR(__xludf.DUMMYFUNCTION("IFERROR(SUBSTITUTE(SUBSTITUTE(REGEXEXTRACT(A13003, ""[^-]+- [^-]+- [^-]+ - (.+?)\.jpg""), "".jpg"", """"), ""-"", "", ""), """")"),"")</f>
        <v/>
      </c>
      <c r="L13003" s="12"/>
      <c r="M13003" s="13"/>
      <c r="N13003" s="2"/>
      <c r="O13003" s="20"/>
      <c r="P13003" s="42"/>
      <c r="R13003" s="23"/>
    </row>
    <row r="13004" spans="1:18" ht="12.75">
      <c r="A13004" s="12"/>
      <c r="D13004" s="12"/>
      <c r="E13004" s="12"/>
      <c r="H13004" s="11" t="str">
        <f ca="1">IFERROR(__xludf.DUMMYFUNCTION("IFERROR(SUBSTITUTE(SUBSTITUTE(REGEXEXTRACT(A13004, ""[^-]+- [^-]+- [^-]+ - (.+?)\.jpg""), "".jpg"", """"), ""-"", "", ""), """")"),"")</f>
        <v/>
      </c>
      <c r="L13004" s="12"/>
      <c r="M13004" s="13"/>
      <c r="N13004" s="2"/>
      <c r="O13004" s="20"/>
      <c r="P13004" s="42"/>
      <c r="R13004" s="23"/>
    </row>
    <row r="13005" spans="1:18" ht="12.75">
      <c r="A13005" s="12"/>
      <c r="D13005" s="12"/>
      <c r="E13005" s="12"/>
      <c r="H13005" s="11" t="str">
        <f ca="1">IFERROR(__xludf.DUMMYFUNCTION("IFERROR(SUBSTITUTE(SUBSTITUTE(REGEXEXTRACT(A13005, ""[^-]+- [^-]+- [^-]+ - (.+?)\.jpg""), "".jpg"", """"), ""-"", "", ""), """")"),"")</f>
        <v/>
      </c>
      <c r="L13005" s="12"/>
      <c r="M13005" s="13"/>
      <c r="N13005" s="2"/>
      <c r="O13005" s="20"/>
      <c r="P13005" s="42"/>
      <c r="R13005" s="23"/>
    </row>
    <row r="13006" spans="1:18" ht="12.75">
      <c r="A13006" s="12"/>
      <c r="D13006" s="12"/>
      <c r="E13006" s="12"/>
      <c r="H13006" s="11" t="str">
        <f ca="1">IFERROR(__xludf.DUMMYFUNCTION("IFERROR(SUBSTITUTE(SUBSTITUTE(REGEXEXTRACT(A13006, ""[^-]+- [^-]+- [^-]+ - (.+?)\.jpg""), "".jpg"", """"), ""-"", "", ""), """")"),"")</f>
        <v/>
      </c>
      <c r="L13006" s="12"/>
      <c r="M13006" s="13"/>
      <c r="N13006" s="2"/>
      <c r="O13006" s="20"/>
      <c r="P13006" s="42"/>
      <c r="R13006" s="23"/>
    </row>
    <row r="13007" spans="1:18" ht="12.75">
      <c r="A13007" s="12"/>
      <c r="D13007" s="12"/>
      <c r="E13007" s="12"/>
      <c r="H13007" s="11" t="str">
        <f ca="1">IFERROR(__xludf.DUMMYFUNCTION("IFERROR(SUBSTITUTE(SUBSTITUTE(REGEXEXTRACT(A13007, ""[^-]+- [^-]+- [^-]+ - (.+?)\.jpg""), "".jpg"", """"), ""-"", "", ""), """")"),"")</f>
        <v/>
      </c>
      <c r="L13007" s="12"/>
      <c r="M13007" s="13"/>
      <c r="N13007" s="2"/>
      <c r="O13007" s="20"/>
      <c r="P13007" s="42"/>
      <c r="R13007" s="23"/>
    </row>
    <row r="13008" spans="1:18" ht="12.75">
      <c r="A13008" s="12"/>
      <c r="D13008" s="12"/>
      <c r="E13008" s="12"/>
      <c r="H13008" s="11" t="str">
        <f ca="1">IFERROR(__xludf.DUMMYFUNCTION("IFERROR(SUBSTITUTE(SUBSTITUTE(REGEXEXTRACT(A13008, ""[^-]+- [^-]+- [^-]+ - (.+?)\.jpg""), "".jpg"", """"), ""-"", "", ""), """")"),"")</f>
        <v/>
      </c>
      <c r="L13008" s="12"/>
      <c r="M13008" s="13"/>
      <c r="N13008" s="2"/>
      <c r="O13008" s="20"/>
      <c r="P13008" s="42"/>
      <c r="R13008" s="23"/>
    </row>
    <row r="13009" spans="1:18" ht="12.75">
      <c r="A13009" s="12"/>
      <c r="D13009" s="12"/>
      <c r="E13009" s="12"/>
      <c r="H13009" s="11" t="str">
        <f ca="1">IFERROR(__xludf.DUMMYFUNCTION("IFERROR(SUBSTITUTE(SUBSTITUTE(REGEXEXTRACT(A13009, ""[^-]+- [^-]+- [^-]+ - (.+?)\.jpg""), "".jpg"", """"), ""-"", "", ""), """")"),"")</f>
        <v/>
      </c>
      <c r="L13009" s="12"/>
      <c r="M13009" s="13"/>
      <c r="N13009" s="2"/>
      <c r="O13009" s="20"/>
      <c r="P13009" s="42"/>
      <c r="R13009" s="23"/>
    </row>
    <row r="13010" spans="1:18" ht="12.75">
      <c r="A13010" s="12"/>
      <c r="D13010" s="12"/>
      <c r="E13010" s="12"/>
      <c r="H13010" s="11" t="str">
        <f ca="1">IFERROR(__xludf.DUMMYFUNCTION("IFERROR(SUBSTITUTE(SUBSTITUTE(REGEXEXTRACT(A13010, ""[^-]+- [^-]+- [^-]+ - (.+?)\.jpg""), "".jpg"", """"), ""-"", "", ""), """")"),"")</f>
        <v/>
      </c>
      <c r="L13010" s="12"/>
      <c r="M13010" s="13"/>
      <c r="N13010" s="2"/>
      <c r="O13010" s="20"/>
      <c r="P13010" s="42"/>
      <c r="R13010" s="23"/>
    </row>
    <row r="13011" spans="1:18" ht="12.75">
      <c r="A13011" s="12"/>
      <c r="D13011" s="12"/>
      <c r="E13011" s="12"/>
      <c r="H13011" s="11" t="str">
        <f ca="1">IFERROR(__xludf.DUMMYFUNCTION("IFERROR(SUBSTITUTE(SUBSTITUTE(REGEXEXTRACT(A13011, ""[^-]+- [^-]+- [^-]+ - (.+?)\.jpg""), "".jpg"", """"), ""-"", "", ""), """")"),"")</f>
        <v/>
      </c>
      <c r="L13011" s="12"/>
      <c r="M13011" s="13"/>
      <c r="N13011" s="2"/>
      <c r="O13011" s="20"/>
      <c r="P13011" s="42"/>
      <c r="R13011" s="23"/>
    </row>
    <row r="13012" spans="1:18" ht="12.75">
      <c r="A13012" s="12"/>
      <c r="D13012" s="12"/>
      <c r="E13012" s="12"/>
      <c r="H13012" s="11" t="str">
        <f ca="1">IFERROR(__xludf.DUMMYFUNCTION("IFERROR(SUBSTITUTE(SUBSTITUTE(REGEXEXTRACT(A13012, ""[^-]+- [^-]+- [^-]+ - (.+?)\.jpg""), "".jpg"", """"), ""-"", "", ""), """")"),"")</f>
        <v/>
      </c>
      <c r="L13012" s="12"/>
      <c r="M13012" s="13"/>
      <c r="N13012" s="2"/>
      <c r="O13012" s="20"/>
      <c r="P13012" s="42"/>
      <c r="R13012" s="23"/>
    </row>
    <row r="13013" spans="1:18" ht="12.75">
      <c r="A13013" s="12"/>
      <c r="D13013" s="12"/>
      <c r="E13013" s="12"/>
      <c r="H13013" s="11" t="str">
        <f ca="1">IFERROR(__xludf.DUMMYFUNCTION("IFERROR(SUBSTITUTE(SUBSTITUTE(REGEXEXTRACT(A13013, ""[^-]+- [^-]+- [^-]+ - (.+?)\.jpg""), "".jpg"", """"), ""-"", "", ""), """")"),"")</f>
        <v/>
      </c>
      <c r="L13013" s="12"/>
      <c r="M13013" s="13"/>
      <c r="N13013" s="2"/>
      <c r="O13013" s="20"/>
      <c r="P13013" s="42"/>
      <c r="R13013" s="23"/>
    </row>
    <row r="13014" spans="1:18" ht="12.75">
      <c r="A13014" s="12"/>
      <c r="D13014" s="12"/>
      <c r="E13014" s="12"/>
      <c r="H13014" s="11" t="str">
        <f ca="1">IFERROR(__xludf.DUMMYFUNCTION("IFERROR(SUBSTITUTE(SUBSTITUTE(REGEXEXTRACT(A13014, ""[^-]+- [^-]+- [^-]+ - (.+?)\.jpg""), "".jpg"", """"), ""-"", "", ""), """")"),"")</f>
        <v/>
      </c>
      <c r="L13014" s="12"/>
      <c r="M13014" s="13"/>
      <c r="N13014" s="2"/>
      <c r="O13014" s="20"/>
      <c r="P13014" s="42"/>
      <c r="R13014" s="23"/>
    </row>
    <row r="13015" spans="1:18" ht="12.75">
      <c r="A13015" s="12"/>
      <c r="D13015" s="12"/>
      <c r="E13015" s="12"/>
      <c r="H13015" s="11" t="str">
        <f ca="1">IFERROR(__xludf.DUMMYFUNCTION("IFERROR(SUBSTITUTE(SUBSTITUTE(REGEXEXTRACT(A13015, ""[^-]+- [^-]+- [^-]+ - (.+?)\.jpg""), "".jpg"", """"), ""-"", "", ""), """")"),"")</f>
        <v/>
      </c>
      <c r="L13015" s="12"/>
      <c r="M13015" s="13"/>
      <c r="N13015" s="2"/>
      <c r="O13015" s="20"/>
      <c r="P13015" s="42"/>
      <c r="R13015" s="23"/>
    </row>
    <row r="13016" spans="1:18" ht="12.75">
      <c r="A13016" s="12"/>
      <c r="D13016" s="12"/>
      <c r="E13016" s="12"/>
      <c r="H13016" s="11" t="str">
        <f ca="1">IFERROR(__xludf.DUMMYFUNCTION("IFERROR(SUBSTITUTE(SUBSTITUTE(REGEXEXTRACT(A13016, ""[^-]+- [^-]+- [^-]+ - (.+?)\.jpg""), "".jpg"", """"), ""-"", "", ""), """")"),"")</f>
        <v/>
      </c>
      <c r="L13016" s="12"/>
      <c r="M13016" s="13"/>
      <c r="N13016" s="2"/>
      <c r="O13016" s="20"/>
      <c r="P13016" s="42"/>
      <c r="R13016" s="23"/>
    </row>
    <row r="13017" spans="1:18" ht="12.75">
      <c r="A13017" s="12"/>
      <c r="D13017" s="12"/>
      <c r="E13017" s="12"/>
      <c r="H13017" s="11" t="str">
        <f ca="1">IFERROR(__xludf.DUMMYFUNCTION("IFERROR(SUBSTITUTE(SUBSTITUTE(REGEXEXTRACT(A13017, ""[^-]+- [^-]+- [^-]+ - (.+?)\.jpg""), "".jpg"", """"), ""-"", "", ""), """")"),"")</f>
        <v/>
      </c>
      <c r="L13017" s="12"/>
      <c r="M13017" s="13"/>
      <c r="N13017" s="2"/>
      <c r="O13017" s="20"/>
      <c r="P13017" s="42"/>
      <c r="R13017" s="23"/>
    </row>
    <row r="13018" spans="1:18" ht="12.75">
      <c r="A13018" s="12"/>
      <c r="D13018" s="12"/>
      <c r="E13018" s="12"/>
      <c r="H13018" s="11" t="str">
        <f ca="1">IFERROR(__xludf.DUMMYFUNCTION("IFERROR(SUBSTITUTE(SUBSTITUTE(REGEXEXTRACT(A13018, ""[^-]+- [^-]+- [^-]+ - (.+?)\.jpg""), "".jpg"", """"), ""-"", "", ""), """")"),"")</f>
        <v/>
      </c>
      <c r="L13018" s="12"/>
      <c r="M13018" s="13"/>
      <c r="N13018" s="2"/>
      <c r="O13018" s="20"/>
      <c r="P13018" s="42"/>
      <c r="R13018" s="23"/>
    </row>
    <row r="13019" spans="1:18" ht="12.75">
      <c r="A13019" s="12"/>
      <c r="D13019" s="12"/>
      <c r="E13019" s="12"/>
      <c r="H13019" s="11" t="str">
        <f ca="1">IFERROR(__xludf.DUMMYFUNCTION("IFERROR(SUBSTITUTE(SUBSTITUTE(REGEXEXTRACT(A13019, ""[^-]+- [^-]+- [^-]+ - (.+?)\.jpg""), "".jpg"", """"), ""-"", "", ""), """")"),"")</f>
        <v/>
      </c>
      <c r="L13019" s="12"/>
      <c r="M13019" s="13"/>
      <c r="N13019" s="2"/>
      <c r="O13019" s="20"/>
      <c r="P13019" s="42"/>
      <c r="R13019" s="23"/>
    </row>
    <row r="13020" spans="1:18" ht="12.75">
      <c r="A13020" s="12"/>
      <c r="D13020" s="12"/>
      <c r="E13020" s="12"/>
      <c r="H13020" s="11" t="str">
        <f ca="1">IFERROR(__xludf.DUMMYFUNCTION("IFERROR(SUBSTITUTE(SUBSTITUTE(REGEXEXTRACT(A13020, ""[^-]+- [^-]+- [^-]+ - (.+?)\.jpg""), "".jpg"", """"), ""-"", "", ""), """")"),"")</f>
        <v/>
      </c>
      <c r="L13020" s="12"/>
      <c r="M13020" s="13"/>
      <c r="N13020" s="2"/>
      <c r="O13020" s="20"/>
      <c r="P13020" s="42"/>
      <c r="R13020" s="23"/>
    </row>
    <row r="13021" spans="1:18" ht="12.75">
      <c r="A13021" s="12"/>
      <c r="D13021" s="12"/>
      <c r="E13021" s="12"/>
      <c r="H13021" s="11" t="str">
        <f ca="1">IFERROR(__xludf.DUMMYFUNCTION("IFERROR(SUBSTITUTE(SUBSTITUTE(REGEXEXTRACT(A13021, ""[^-]+- [^-]+- [^-]+ - (.+?)\.jpg""), "".jpg"", """"), ""-"", "", ""), """")"),"")</f>
        <v/>
      </c>
      <c r="L13021" s="12"/>
      <c r="M13021" s="13"/>
      <c r="N13021" s="2"/>
      <c r="O13021" s="20"/>
      <c r="P13021" s="42"/>
      <c r="R13021" s="23"/>
    </row>
    <row r="13022" spans="1:18" ht="12.75">
      <c r="A13022" s="12"/>
      <c r="D13022" s="12"/>
      <c r="E13022" s="12"/>
      <c r="H13022" s="11" t="str">
        <f ca="1">IFERROR(__xludf.DUMMYFUNCTION("IFERROR(SUBSTITUTE(SUBSTITUTE(REGEXEXTRACT(A13022, ""[^-]+- [^-]+- [^-]+ - (.+?)\.jpg""), "".jpg"", """"), ""-"", "", ""), """")"),"")</f>
        <v/>
      </c>
      <c r="L13022" s="12"/>
      <c r="M13022" s="13"/>
      <c r="N13022" s="2"/>
      <c r="O13022" s="20"/>
      <c r="P13022" s="42"/>
      <c r="R13022" s="23"/>
    </row>
    <row r="13023" spans="1:18" ht="12.75">
      <c r="A13023" s="12"/>
      <c r="D13023" s="12"/>
      <c r="E13023" s="12"/>
      <c r="H13023" s="11" t="str">
        <f ca="1">IFERROR(__xludf.DUMMYFUNCTION("IFERROR(SUBSTITUTE(SUBSTITUTE(REGEXEXTRACT(A13023, ""[^-]+- [^-]+- [^-]+ - (.+?)\.jpg""), "".jpg"", """"), ""-"", "", ""), """")"),"")</f>
        <v/>
      </c>
      <c r="L13023" s="12"/>
      <c r="M13023" s="13"/>
      <c r="N13023" s="2"/>
      <c r="O13023" s="20"/>
      <c r="P13023" s="42"/>
      <c r="R13023" s="23"/>
    </row>
    <row r="13024" spans="1:18" ht="12.75">
      <c r="A13024" s="12"/>
      <c r="D13024" s="12"/>
      <c r="E13024" s="12"/>
      <c r="H13024" s="11" t="str">
        <f ca="1">IFERROR(__xludf.DUMMYFUNCTION("IFERROR(SUBSTITUTE(SUBSTITUTE(REGEXEXTRACT(A13024, ""[^-]+- [^-]+- [^-]+ - (.+?)\.jpg""), "".jpg"", """"), ""-"", "", ""), """")"),"")</f>
        <v/>
      </c>
      <c r="L13024" s="12"/>
      <c r="M13024" s="13"/>
      <c r="N13024" s="2"/>
      <c r="O13024" s="20"/>
      <c r="P13024" s="42"/>
      <c r="R13024" s="23"/>
    </row>
    <row r="13025" spans="1:18" ht="12.75">
      <c r="A13025" s="12"/>
      <c r="D13025" s="12"/>
      <c r="E13025" s="12"/>
      <c r="H13025" s="11" t="str">
        <f ca="1">IFERROR(__xludf.DUMMYFUNCTION("IFERROR(SUBSTITUTE(SUBSTITUTE(REGEXEXTRACT(A13025, ""[^-]+- [^-]+- [^-]+ - (.+?)\.jpg""), "".jpg"", """"), ""-"", "", ""), """")"),"")</f>
        <v/>
      </c>
      <c r="L13025" s="12"/>
      <c r="M13025" s="13"/>
      <c r="N13025" s="2"/>
      <c r="O13025" s="20"/>
      <c r="P13025" s="42"/>
      <c r="R13025" s="23"/>
    </row>
    <row r="13026" spans="1:18" ht="12.75">
      <c r="A13026" s="12"/>
      <c r="D13026" s="12"/>
      <c r="E13026" s="12"/>
      <c r="H13026" s="11" t="str">
        <f ca="1">IFERROR(__xludf.DUMMYFUNCTION("IFERROR(SUBSTITUTE(SUBSTITUTE(REGEXEXTRACT(A13026, ""[^-]+- [^-]+- [^-]+ - (.+?)\.jpg""), "".jpg"", """"), ""-"", "", ""), """")"),"")</f>
        <v/>
      </c>
      <c r="L13026" s="12"/>
      <c r="M13026" s="13"/>
      <c r="N13026" s="2"/>
      <c r="O13026" s="20"/>
      <c r="P13026" s="42"/>
      <c r="R13026" s="23"/>
    </row>
    <row r="13027" spans="1:18" ht="12.75">
      <c r="A13027" s="12"/>
      <c r="D13027" s="12"/>
      <c r="E13027" s="12"/>
      <c r="H13027" s="11" t="str">
        <f ca="1">IFERROR(__xludf.DUMMYFUNCTION("IFERROR(SUBSTITUTE(SUBSTITUTE(REGEXEXTRACT(A13027, ""[^-]+- [^-]+- [^-]+ - (.+?)\.jpg""), "".jpg"", """"), ""-"", "", ""), """")"),"")</f>
        <v/>
      </c>
      <c r="L13027" s="12"/>
      <c r="M13027" s="13"/>
      <c r="N13027" s="2"/>
      <c r="O13027" s="20"/>
      <c r="P13027" s="42"/>
      <c r="R13027" s="23"/>
    </row>
    <row r="13028" spans="1:18" ht="12.75">
      <c r="A13028" s="12"/>
      <c r="D13028" s="12"/>
      <c r="E13028" s="12"/>
      <c r="H13028" s="11" t="str">
        <f ca="1">IFERROR(__xludf.DUMMYFUNCTION("IFERROR(SUBSTITUTE(SUBSTITUTE(REGEXEXTRACT(A13028, ""[^-]+- [^-]+- [^-]+ - (.+?)\.jpg""), "".jpg"", """"), ""-"", "", ""), """")"),"")</f>
        <v/>
      </c>
      <c r="L13028" s="12"/>
      <c r="M13028" s="13"/>
      <c r="N13028" s="2"/>
      <c r="O13028" s="20"/>
      <c r="P13028" s="42"/>
      <c r="R13028" s="23"/>
    </row>
    <row r="13029" spans="1:18" ht="12.75">
      <c r="A13029" s="12"/>
      <c r="D13029" s="12"/>
      <c r="E13029" s="12"/>
      <c r="H13029" s="11" t="str">
        <f ca="1">IFERROR(__xludf.DUMMYFUNCTION("IFERROR(SUBSTITUTE(SUBSTITUTE(REGEXEXTRACT(A13029, ""[^-]+- [^-]+- [^-]+ - (.+?)\.jpg""), "".jpg"", """"), ""-"", "", ""), """")"),"")</f>
        <v/>
      </c>
      <c r="L13029" s="12"/>
      <c r="M13029" s="13"/>
      <c r="N13029" s="2"/>
      <c r="O13029" s="20"/>
      <c r="P13029" s="42"/>
      <c r="R13029" s="23"/>
    </row>
    <row r="13030" spans="1:18" ht="12.75">
      <c r="A13030" s="12"/>
      <c r="D13030" s="12"/>
      <c r="E13030" s="12"/>
      <c r="H13030" s="11" t="str">
        <f ca="1">IFERROR(__xludf.DUMMYFUNCTION("IFERROR(SUBSTITUTE(SUBSTITUTE(REGEXEXTRACT(A13030, ""[^-]+- [^-]+- [^-]+ - (.+?)\.jpg""), "".jpg"", """"), ""-"", "", ""), """")"),"")</f>
        <v/>
      </c>
      <c r="L13030" s="12"/>
      <c r="M13030" s="13"/>
      <c r="N13030" s="2"/>
      <c r="O13030" s="20"/>
      <c r="P13030" s="42"/>
      <c r="R13030" s="23"/>
    </row>
    <row r="13031" spans="1:18" ht="12.75">
      <c r="A13031" s="12"/>
      <c r="D13031" s="12"/>
      <c r="E13031" s="12"/>
      <c r="H13031" s="11" t="str">
        <f ca="1">IFERROR(__xludf.DUMMYFUNCTION("IFERROR(SUBSTITUTE(SUBSTITUTE(REGEXEXTRACT(A13031, ""[^-]+- [^-]+- [^-]+ - (.+?)\.jpg""), "".jpg"", """"), ""-"", "", ""), """")"),"")</f>
        <v/>
      </c>
      <c r="L13031" s="12"/>
      <c r="M13031" s="13"/>
      <c r="N13031" s="2"/>
      <c r="O13031" s="20"/>
      <c r="P13031" s="42"/>
      <c r="R13031" s="23"/>
    </row>
    <row r="13032" spans="1:18" ht="12.75">
      <c r="A13032" s="12"/>
      <c r="D13032" s="12"/>
      <c r="E13032" s="12"/>
      <c r="H13032" s="11" t="str">
        <f ca="1">IFERROR(__xludf.DUMMYFUNCTION("IFERROR(SUBSTITUTE(SUBSTITUTE(REGEXEXTRACT(A13032, ""[^-]+- [^-]+- [^-]+ - (.+?)\.jpg""), "".jpg"", """"), ""-"", "", ""), """")"),"")</f>
        <v/>
      </c>
      <c r="L13032" s="12"/>
      <c r="M13032" s="13"/>
      <c r="N13032" s="2"/>
      <c r="O13032" s="20"/>
      <c r="P13032" s="42"/>
      <c r="R13032" s="23"/>
    </row>
    <row r="13033" spans="1:18" ht="12.75">
      <c r="A13033" s="12"/>
      <c r="D13033" s="12"/>
      <c r="E13033" s="12"/>
      <c r="H13033" s="11" t="str">
        <f ca="1">IFERROR(__xludf.DUMMYFUNCTION("IFERROR(SUBSTITUTE(SUBSTITUTE(REGEXEXTRACT(A13033, ""[^-]+- [^-]+- [^-]+ - (.+?)\.jpg""), "".jpg"", """"), ""-"", "", ""), """")"),"")</f>
        <v/>
      </c>
      <c r="L13033" s="12"/>
      <c r="M13033" s="13"/>
      <c r="N13033" s="2"/>
      <c r="O13033" s="20"/>
      <c r="P13033" s="42"/>
      <c r="R13033" s="23"/>
    </row>
    <row r="13034" spans="1:18" ht="12.75">
      <c r="A13034" s="12"/>
      <c r="D13034" s="12"/>
      <c r="E13034" s="12"/>
      <c r="H13034" s="11" t="str">
        <f ca="1">IFERROR(__xludf.DUMMYFUNCTION("IFERROR(SUBSTITUTE(SUBSTITUTE(REGEXEXTRACT(A13034, ""[^-]+- [^-]+- [^-]+ - (.+?)\.jpg""), "".jpg"", """"), ""-"", "", ""), """")"),"")</f>
        <v/>
      </c>
      <c r="L13034" s="12"/>
      <c r="M13034" s="13"/>
      <c r="N13034" s="2"/>
      <c r="O13034" s="20"/>
      <c r="P13034" s="42"/>
      <c r="R13034" s="23"/>
    </row>
    <row r="13035" spans="1:18" ht="12.75">
      <c r="A13035" s="12"/>
      <c r="D13035" s="12"/>
      <c r="E13035" s="12"/>
      <c r="H13035" s="11" t="str">
        <f ca="1">IFERROR(__xludf.DUMMYFUNCTION("IFERROR(SUBSTITUTE(SUBSTITUTE(REGEXEXTRACT(A13035, ""[^-]+- [^-]+- [^-]+ - (.+?)\.jpg""), "".jpg"", """"), ""-"", "", ""), """")"),"")</f>
        <v/>
      </c>
      <c r="L13035" s="12"/>
      <c r="M13035" s="13"/>
      <c r="N13035" s="2"/>
      <c r="O13035" s="20"/>
      <c r="P13035" s="42"/>
      <c r="R13035" s="23"/>
    </row>
    <row r="13036" spans="1:18" ht="12.75">
      <c r="A13036" s="12"/>
      <c r="D13036" s="12"/>
      <c r="E13036" s="12"/>
      <c r="H13036" s="11" t="str">
        <f ca="1">IFERROR(__xludf.DUMMYFUNCTION("IFERROR(SUBSTITUTE(SUBSTITUTE(REGEXEXTRACT(A13036, ""[^-]+- [^-]+- [^-]+ - (.+?)\.jpg""), "".jpg"", """"), ""-"", "", ""), """")"),"")</f>
        <v/>
      </c>
      <c r="L13036" s="12"/>
      <c r="M13036" s="13"/>
      <c r="N13036" s="2"/>
      <c r="O13036" s="20"/>
      <c r="P13036" s="42"/>
      <c r="R13036" s="23"/>
    </row>
    <row r="13037" spans="1:18" ht="12.75">
      <c r="A13037" s="12"/>
      <c r="D13037" s="12"/>
      <c r="E13037" s="12"/>
      <c r="H13037" s="11" t="str">
        <f ca="1">IFERROR(__xludf.DUMMYFUNCTION("IFERROR(SUBSTITUTE(SUBSTITUTE(REGEXEXTRACT(A13037, ""[^-]+- [^-]+- [^-]+ - (.+?)\.jpg""), "".jpg"", """"), ""-"", "", ""), """")"),"")</f>
        <v/>
      </c>
      <c r="L13037" s="12"/>
      <c r="M13037" s="13"/>
      <c r="N13037" s="2"/>
      <c r="O13037" s="20"/>
      <c r="P13037" s="42"/>
      <c r="R13037" s="23"/>
    </row>
    <row r="13038" spans="1:18" ht="12.75">
      <c r="A13038" s="12"/>
      <c r="D13038" s="12"/>
      <c r="E13038" s="12"/>
      <c r="H13038" s="11" t="str">
        <f ca="1">IFERROR(__xludf.DUMMYFUNCTION("IFERROR(SUBSTITUTE(SUBSTITUTE(REGEXEXTRACT(A13038, ""[^-]+- [^-]+- [^-]+ - (.+?)\.jpg""), "".jpg"", """"), ""-"", "", ""), """")"),"")</f>
        <v/>
      </c>
      <c r="L13038" s="12"/>
      <c r="M13038" s="13"/>
      <c r="N13038" s="2"/>
      <c r="O13038" s="20"/>
      <c r="P13038" s="42"/>
      <c r="R13038" s="23"/>
    </row>
    <row r="13039" spans="1:18" ht="12.75">
      <c r="A13039" s="12"/>
      <c r="D13039" s="12"/>
      <c r="E13039" s="12"/>
      <c r="H13039" s="11" t="str">
        <f ca="1">IFERROR(__xludf.DUMMYFUNCTION("IFERROR(SUBSTITUTE(SUBSTITUTE(REGEXEXTRACT(A13039, ""[^-]+- [^-]+- [^-]+ - (.+?)\.jpg""), "".jpg"", """"), ""-"", "", ""), """")"),"")</f>
        <v/>
      </c>
      <c r="L13039" s="12"/>
      <c r="M13039" s="13"/>
      <c r="N13039" s="2"/>
      <c r="O13039" s="20"/>
      <c r="P13039" s="42"/>
      <c r="R13039" s="23"/>
    </row>
    <row r="13040" spans="1:18" ht="12.75">
      <c r="A13040" s="12"/>
      <c r="D13040" s="12"/>
      <c r="E13040" s="12"/>
      <c r="H13040" s="11" t="str">
        <f ca="1">IFERROR(__xludf.DUMMYFUNCTION("IFERROR(SUBSTITUTE(SUBSTITUTE(REGEXEXTRACT(A13040, ""[^-]+- [^-]+- [^-]+ - (.+?)\.jpg""), "".jpg"", """"), ""-"", "", ""), """")"),"")</f>
        <v/>
      </c>
      <c r="L13040" s="12"/>
      <c r="M13040" s="13"/>
      <c r="N13040" s="2"/>
      <c r="O13040" s="20"/>
      <c r="P13040" s="42"/>
      <c r="R13040" s="23"/>
    </row>
    <row r="13041" spans="1:18" ht="12.75">
      <c r="A13041" s="12"/>
      <c r="D13041" s="12"/>
      <c r="E13041" s="12"/>
      <c r="H13041" s="11" t="str">
        <f ca="1">IFERROR(__xludf.DUMMYFUNCTION("IFERROR(SUBSTITUTE(SUBSTITUTE(REGEXEXTRACT(A13041, ""[^-]+- [^-]+- [^-]+ - (.+?)\.jpg""), "".jpg"", """"), ""-"", "", ""), """")"),"")</f>
        <v/>
      </c>
      <c r="L13041" s="12"/>
      <c r="M13041" s="13"/>
      <c r="N13041" s="2"/>
      <c r="O13041" s="20"/>
      <c r="P13041" s="42"/>
      <c r="R13041" s="23"/>
    </row>
    <row r="13042" spans="1:18" ht="12.75">
      <c r="A13042" s="12"/>
      <c r="D13042" s="12"/>
      <c r="E13042" s="12"/>
      <c r="H13042" s="11" t="str">
        <f ca="1">IFERROR(__xludf.DUMMYFUNCTION("IFERROR(SUBSTITUTE(SUBSTITUTE(REGEXEXTRACT(A13042, ""[^-]+- [^-]+- [^-]+ - (.+?)\.jpg""), "".jpg"", """"), ""-"", "", ""), """")"),"")</f>
        <v/>
      </c>
      <c r="L13042" s="12"/>
      <c r="M13042" s="13"/>
      <c r="N13042" s="2"/>
      <c r="O13042" s="20"/>
      <c r="P13042" s="42"/>
      <c r="R13042" s="23"/>
    </row>
    <row r="13043" spans="1:18" ht="12.75">
      <c r="A13043" s="12"/>
      <c r="D13043" s="12"/>
      <c r="E13043" s="12"/>
      <c r="H13043" s="11" t="str">
        <f ca="1">IFERROR(__xludf.DUMMYFUNCTION("IFERROR(SUBSTITUTE(SUBSTITUTE(REGEXEXTRACT(A13043, ""[^-]+- [^-]+- [^-]+ - (.+?)\.jpg""), "".jpg"", """"), ""-"", "", ""), """")"),"")</f>
        <v/>
      </c>
      <c r="L13043" s="12"/>
      <c r="M13043" s="13"/>
      <c r="N13043" s="2"/>
      <c r="O13043" s="20"/>
      <c r="P13043" s="42"/>
      <c r="R13043" s="23"/>
    </row>
    <row r="13044" spans="1:18" ht="12.75">
      <c r="A13044" s="12"/>
      <c r="D13044" s="12"/>
      <c r="E13044" s="12"/>
      <c r="H13044" s="11" t="str">
        <f ca="1">IFERROR(__xludf.DUMMYFUNCTION("IFERROR(SUBSTITUTE(SUBSTITUTE(REGEXEXTRACT(A13044, ""[^-]+- [^-]+- [^-]+ - (.+?)\.jpg""), "".jpg"", """"), ""-"", "", ""), """")"),"")</f>
        <v/>
      </c>
      <c r="L13044" s="12"/>
      <c r="M13044" s="13"/>
      <c r="N13044" s="2"/>
      <c r="O13044" s="20"/>
      <c r="P13044" s="42"/>
      <c r="R13044" s="23"/>
    </row>
    <row r="13045" spans="1:18" ht="12.75">
      <c r="A13045" s="12"/>
      <c r="D13045" s="12"/>
      <c r="E13045" s="12"/>
      <c r="H13045" s="11" t="str">
        <f ca="1">IFERROR(__xludf.DUMMYFUNCTION("IFERROR(SUBSTITUTE(SUBSTITUTE(REGEXEXTRACT(A13045, ""[^-]+- [^-]+- [^-]+ - (.+?)\.jpg""), "".jpg"", """"), ""-"", "", ""), """")"),"")</f>
        <v/>
      </c>
      <c r="L13045" s="12"/>
      <c r="M13045" s="13"/>
      <c r="N13045" s="2"/>
      <c r="O13045" s="20"/>
      <c r="P13045" s="42"/>
      <c r="R13045" s="23"/>
    </row>
    <row r="13046" spans="1:18" ht="12.75">
      <c r="A13046" s="12"/>
      <c r="D13046" s="12"/>
      <c r="E13046" s="12"/>
      <c r="H13046" s="11" t="str">
        <f ca="1">IFERROR(__xludf.DUMMYFUNCTION("IFERROR(SUBSTITUTE(SUBSTITUTE(REGEXEXTRACT(A13046, ""[^-]+- [^-]+- [^-]+ - (.+?)\.jpg""), "".jpg"", """"), ""-"", "", ""), """")"),"")</f>
        <v/>
      </c>
      <c r="L13046" s="12"/>
      <c r="M13046" s="13"/>
      <c r="N13046" s="2"/>
      <c r="O13046" s="20"/>
      <c r="P13046" s="42"/>
      <c r="R13046" s="23"/>
    </row>
    <row r="13047" spans="1:18" ht="12.75">
      <c r="A13047" s="12"/>
      <c r="D13047" s="12"/>
      <c r="E13047" s="12"/>
      <c r="H13047" s="11" t="str">
        <f ca="1">IFERROR(__xludf.DUMMYFUNCTION("IFERROR(SUBSTITUTE(SUBSTITUTE(REGEXEXTRACT(A13047, ""[^-]+- [^-]+- [^-]+ - (.+?)\.jpg""), "".jpg"", """"), ""-"", "", ""), """")"),"")</f>
        <v/>
      </c>
      <c r="L13047" s="12"/>
      <c r="M13047" s="13"/>
      <c r="N13047" s="2"/>
      <c r="O13047" s="20"/>
      <c r="P13047" s="42"/>
      <c r="R13047" s="23"/>
    </row>
    <row r="13048" spans="1:18" ht="12.75">
      <c r="A13048" s="12"/>
      <c r="D13048" s="12"/>
      <c r="E13048" s="12"/>
      <c r="H13048" s="11" t="str">
        <f ca="1">IFERROR(__xludf.DUMMYFUNCTION("IFERROR(SUBSTITUTE(SUBSTITUTE(REGEXEXTRACT(A13048, ""[^-]+- [^-]+- [^-]+ - (.+?)\.jpg""), "".jpg"", """"), ""-"", "", ""), """")"),"")</f>
        <v/>
      </c>
      <c r="L13048" s="12"/>
      <c r="M13048" s="13"/>
      <c r="N13048" s="2"/>
      <c r="O13048" s="20"/>
      <c r="P13048" s="42"/>
      <c r="R13048" s="23"/>
    </row>
    <row r="13049" spans="1:18" ht="12.75">
      <c r="A13049" s="12"/>
      <c r="D13049" s="12"/>
      <c r="E13049" s="12"/>
      <c r="H13049" s="11" t="str">
        <f ca="1">IFERROR(__xludf.DUMMYFUNCTION("IFERROR(SUBSTITUTE(SUBSTITUTE(REGEXEXTRACT(A13049, ""[^-]+- [^-]+- [^-]+ - (.+?)\.jpg""), "".jpg"", """"), ""-"", "", ""), """")"),"")</f>
        <v/>
      </c>
      <c r="L13049" s="12"/>
      <c r="M13049" s="13"/>
      <c r="N13049" s="2"/>
      <c r="O13049" s="20"/>
      <c r="P13049" s="42"/>
      <c r="R13049" s="23"/>
    </row>
    <row r="13050" spans="1:18" ht="12.75">
      <c r="A13050" s="12"/>
      <c r="D13050" s="12"/>
      <c r="E13050" s="12"/>
      <c r="H13050" s="11" t="str">
        <f ca="1">IFERROR(__xludf.DUMMYFUNCTION("IFERROR(SUBSTITUTE(SUBSTITUTE(REGEXEXTRACT(A13050, ""[^-]+- [^-]+- [^-]+ - (.+?)\.jpg""), "".jpg"", """"), ""-"", "", ""), """")"),"")</f>
        <v/>
      </c>
      <c r="L13050" s="12"/>
      <c r="M13050" s="13"/>
      <c r="N13050" s="2"/>
      <c r="O13050" s="20"/>
      <c r="P13050" s="42"/>
      <c r="R13050" s="23"/>
    </row>
    <row r="13051" spans="1:18" ht="12.75">
      <c r="A13051" s="12"/>
      <c r="D13051" s="12"/>
      <c r="E13051" s="12"/>
      <c r="H13051" s="11" t="str">
        <f ca="1">IFERROR(__xludf.DUMMYFUNCTION("IFERROR(SUBSTITUTE(SUBSTITUTE(REGEXEXTRACT(A13051, ""[^-]+- [^-]+- [^-]+ - (.+?)\.jpg""), "".jpg"", """"), ""-"", "", ""), """")"),"")</f>
        <v/>
      </c>
      <c r="L13051" s="12"/>
      <c r="M13051" s="13"/>
      <c r="N13051" s="2"/>
      <c r="O13051" s="20"/>
      <c r="P13051" s="42"/>
      <c r="R13051" s="23"/>
    </row>
    <row r="13052" spans="1:18" ht="12.75">
      <c r="A13052" s="12"/>
      <c r="D13052" s="12"/>
      <c r="E13052" s="12"/>
      <c r="H13052" s="11" t="str">
        <f ca="1">IFERROR(__xludf.DUMMYFUNCTION("IFERROR(SUBSTITUTE(SUBSTITUTE(REGEXEXTRACT(A13052, ""[^-]+- [^-]+- [^-]+ - (.+?)\.jpg""), "".jpg"", """"), ""-"", "", ""), """")"),"")</f>
        <v/>
      </c>
      <c r="L13052" s="12"/>
      <c r="M13052" s="13"/>
      <c r="N13052" s="2"/>
      <c r="O13052" s="20"/>
      <c r="P13052" s="42"/>
      <c r="R13052" s="23"/>
    </row>
    <row r="13053" spans="1:18" ht="12.75">
      <c r="A13053" s="12"/>
      <c r="D13053" s="12"/>
      <c r="E13053" s="12"/>
      <c r="H13053" s="11" t="str">
        <f ca="1">IFERROR(__xludf.DUMMYFUNCTION("IFERROR(SUBSTITUTE(SUBSTITUTE(REGEXEXTRACT(A13053, ""[^-]+- [^-]+- [^-]+ - (.+?)\.jpg""), "".jpg"", """"), ""-"", "", ""), """")"),"")</f>
        <v/>
      </c>
      <c r="L13053" s="12"/>
      <c r="M13053" s="13"/>
      <c r="N13053" s="2"/>
      <c r="O13053" s="20"/>
      <c r="P13053" s="42"/>
      <c r="R13053" s="23"/>
    </row>
    <row r="13054" spans="1:18" ht="12.75">
      <c r="A13054" s="12"/>
      <c r="D13054" s="12"/>
      <c r="E13054" s="12"/>
      <c r="H13054" s="11" t="str">
        <f ca="1">IFERROR(__xludf.DUMMYFUNCTION("IFERROR(SUBSTITUTE(SUBSTITUTE(REGEXEXTRACT(A13054, ""[^-]+- [^-]+- [^-]+ - (.+?)\.jpg""), "".jpg"", """"), ""-"", "", ""), """")"),"")</f>
        <v/>
      </c>
      <c r="L13054" s="12"/>
      <c r="M13054" s="13"/>
      <c r="N13054" s="2"/>
      <c r="O13054" s="20"/>
      <c r="P13054" s="42"/>
      <c r="R13054" s="23"/>
    </row>
    <row r="13055" spans="1:18" ht="12.75">
      <c r="A13055" s="12"/>
      <c r="D13055" s="12"/>
      <c r="E13055" s="12"/>
      <c r="H13055" s="11" t="str">
        <f ca="1">IFERROR(__xludf.DUMMYFUNCTION("IFERROR(SUBSTITUTE(SUBSTITUTE(REGEXEXTRACT(A13055, ""[^-]+- [^-]+- [^-]+ - (.+?)\.jpg""), "".jpg"", """"), ""-"", "", ""), """")"),"")</f>
        <v/>
      </c>
      <c r="L13055" s="12"/>
      <c r="M13055" s="13"/>
      <c r="N13055" s="2"/>
      <c r="O13055" s="20"/>
      <c r="P13055" s="42"/>
      <c r="R13055" s="23"/>
    </row>
    <row r="13056" spans="1:18" ht="12.75">
      <c r="A13056" s="12"/>
      <c r="D13056" s="12"/>
      <c r="E13056" s="12"/>
      <c r="H13056" s="11" t="str">
        <f ca="1">IFERROR(__xludf.DUMMYFUNCTION("IFERROR(SUBSTITUTE(SUBSTITUTE(REGEXEXTRACT(A13056, ""[^-]+- [^-]+- [^-]+ - (.+?)\.jpg""), "".jpg"", """"), ""-"", "", ""), """")"),"")</f>
        <v/>
      </c>
      <c r="L13056" s="12"/>
      <c r="M13056" s="13"/>
      <c r="N13056" s="2"/>
      <c r="O13056" s="20"/>
      <c r="P13056" s="42"/>
      <c r="R13056" s="23"/>
    </row>
    <row r="13057" spans="1:18" ht="12.75">
      <c r="A13057" s="12"/>
      <c r="D13057" s="12"/>
      <c r="E13057" s="12"/>
      <c r="H13057" s="11" t="str">
        <f ca="1">IFERROR(__xludf.DUMMYFUNCTION("IFERROR(SUBSTITUTE(SUBSTITUTE(REGEXEXTRACT(A13057, ""[^-]+- [^-]+- [^-]+ - (.+?)\.jpg""), "".jpg"", """"), ""-"", "", ""), """")"),"")</f>
        <v/>
      </c>
      <c r="L13057" s="12"/>
      <c r="M13057" s="13"/>
      <c r="N13057" s="2"/>
      <c r="O13057" s="20"/>
      <c r="P13057" s="42"/>
      <c r="R13057" s="23"/>
    </row>
    <row r="13058" spans="1:18" ht="12.75">
      <c r="A13058" s="12"/>
      <c r="D13058" s="12"/>
      <c r="E13058" s="12"/>
      <c r="H13058" s="11" t="str">
        <f ca="1">IFERROR(__xludf.DUMMYFUNCTION("IFERROR(SUBSTITUTE(SUBSTITUTE(REGEXEXTRACT(A13058, ""[^-]+- [^-]+- [^-]+ - (.+?)\.jpg""), "".jpg"", """"), ""-"", "", ""), """")"),"")</f>
        <v/>
      </c>
      <c r="L13058" s="12"/>
      <c r="M13058" s="13"/>
      <c r="N13058" s="2"/>
      <c r="O13058" s="20"/>
      <c r="P13058" s="42"/>
      <c r="R13058" s="23"/>
    </row>
    <row r="13059" spans="1:18" ht="12.75">
      <c r="A13059" s="12"/>
      <c r="D13059" s="12"/>
      <c r="E13059" s="12"/>
      <c r="H13059" s="11" t="str">
        <f ca="1">IFERROR(__xludf.DUMMYFUNCTION("IFERROR(SUBSTITUTE(SUBSTITUTE(REGEXEXTRACT(A13059, ""[^-]+- [^-]+- [^-]+ - (.+?)\.jpg""), "".jpg"", """"), ""-"", "", ""), """")"),"")</f>
        <v/>
      </c>
      <c r="L13059" s="12"/>
      <c r="M13059" s="13"/>
      <c r="N13059" s="2"/>
      <c r="O13059" s="20"/>
      <c r="P13059" s="42"/>
      <c r="R13059" s="23"/>
    </row>
    <row r="13060" spans="1:18" ht="12.75">
      <c r="A13060" s="12"/>
      <c r="D13060" s="12"/>
      <c r="E13060" s="12"/>
      <c r="H13060" s="11" t="str">
        <f ca="1">IFERROR(__xludf.DUMMYFUNCTION("IFERROR(SUBSTITUTE(SUBSTITUTE(REGEXEXTRACT(A13060, ""[^-]+- [^-]+- [^-]+ - (.+?)\.jpg""), "".jpg"", """"), ""-"", "", ""), """")"),"")</f>
        <v/>
      </c>
      <c r="L13060" s="12"/>
      <c r="M13060" s="13"/>
      <c r="N13060" s="2"/>
      <c r="O13060" s="20"/>
      <c r="P13060" s="42"/>
      <c r="R13060" s="23"/>
    </row>
    <row r="13061" spans="1:18" ht="12.75">
      <c r="A13061" s="12"/>
      <c r="D13061" s="12"/>
      <c r="E13061" s="12"/>
      <c r="H13061" s="11" t="str">
        <f ca="1">IFERROR(__xludf.DUMMYFUNCTION("IFERROR(SUBSTITUTE(SUBSTITUTE(REGEXEXTRACT(A13061, ""[^-]+- [^-]+- [^-]+ - (.+?)\.jpg""), "".jpg"", """"), ""-"", "", ""), """")"),"")</f>
        <v/>
      </c>
      <c r="L13061" s="12"/>
      <c r="M13061" s="13"/>
      <c r="N13061" s="2"/>
      <c r="O13061" s="20"/>
      <c r="P13061" s="42"/>
      <c r="R13061" s="23"/>
    </row>
    <row r="13062" spans="1:18" ht="12.75">
      <c r="A13062" s="12"/>
      <c r="D13062" s="12"/>
      <c r="E13062" s="12"/>
      <c r="H13062" s="11" t="str">
        <f ca="1">IFERROR(__xludf.DUMMYFUNCTION("IFERROR(SUBSTITUTE(SUBSTITUTE(REGEXEXTRACT(A13062, ""[^-]+- [^-]+- [^-]+ - (.+?)\.jpg""), "".jpg"", """"), ""-"", "", ""), """")"),"")</f>
        <v/>
      </c>
      <c r="L13062" s="12"/>
      <c r="M13062" s="13"/>
      <c r="N13062" s="2"/>
      <c r="O13062" s="20"/>
      <c r="P13062" s="42"/>
      <c r="R13062" s="23"/>
    </row>
    <row r="13063" spans="1:18" ht="12.75">
      <c r="A13063" s="12"/>
      <c r="D13063" s="12"/>
      <c r="E13063" s="12"/>
      <c r="H13063" s="11" t="str">
        <f ca="1">IFERROR(__xludf.DUMMYFUNCTION("IFERROR(SUBSTITUTE(SUBSTITUTE(REGEXEXTRACT(A13063, ""[^-]+- [^-]+- [^-]+ - (.+?)\.jpg""), "".jpg"", """"), ""-"", "", ""), """")"),"")</f>
        <v/>
      </c>
      <c r="L13063" s="12"/>
      <c r="M13063" s="13"/>
      <c r="N13063" s="2"/>
      <c r="O13063" s="20"/>
      <c r="P13063" s="42"/>
      <c r="R13063" s="23"/>
    </row>
    <row r="13064" spans="1:18" ht="12.75">
      <c r="A13064" s="12"/>
      <c r="D13064" s="12"/>
      <c r="E13064" s="12"/>
      <c r="H13064" s="11" t="str">
        <f ca="1">IFERROR(__xludf.DUMMYFUNCTION("IFERROR(SUBSTITUTE(SUBSTITUTE(REGEXEXTRACT(A13064, ""[^-]+- [^-]+- [^-]+ - (.+?)\.jpg""), "".jpg"", """"), ""-"", "", ""), """")"),"")</f>
        <v/>
      </c>
      <c r="L13064" s="12"/>
      <c r="M13064" s="13"/>
      <c r="N13064" s="2"/>
      <c r="O13064" s="20"/>
      <c r="P13064" s="42"/>
      <c r="R13064" s="23"/>
    </row>
    <row r="13065" spans="1:18" ht="12.75">
      <c r="A13065" s="12"/>
      <c r="D13065" s="12"/>
      <c r="E13065" s="12"/>
      <c r="H13065" s="11" t="str">
        <f ca="1">IFERROR(__xludf.DUMMYFUNCTION("IFERROR(SUBSTITUTE(SUBSTITUTE(REGEXEXTRACT(A13065, ""[^-]+- [^-]+- [^-]+ - (.+?)\.jpg""), "".jpg"", """"), ""-"", "", ""), """")"),"")</f>
        <v/>
      </c>
      <c r="L13065" s="12"/>
      <c r="M13065" s="13"/>
      <c r="N13065" s="2"/>
      <c r="O13065" s="20"/>
      <c r="P13065" s="42"/>
      <c r="R13065" s="23"/>
    </row>
    <row r="13066" spans="1:18" ht="12.75">
      <c r="A13066" s="12"/>
      <c r="D13066" s="12"/>
      <c r="E13066" s="12"/>
      <c r="H13066" s="11" t="str">
        <f ca="1">IFERROR(__xludf.DUMMYFUNCTION("IFERROR(SUBSTITUTE(SUBSTITUTE(REGEXEXTRACT(A13066, ""[^-]+- [^-]+- [^-]+ - (.+?)\.jpg""), "".jpg"", """"), ""-"", "", ""), """")"),"")</f>
        <v/>
      </c>
      <c r="L13066" s="12"/>
      <c r="M13066" s="13"/>
      <c r="N13066" s="2"/>
      <c r="O13066" s="20"/>
      <c r="P13066" s="42"/>
      <c r="R13066" s="23"/>
    </row>
    <row r="13067" spans="1:18" ht="12.75">
      <c r="A13067" s="12"/>
      <c r="D13067" s="12"/>
      <c r="E13067" s="12"/>
      <c r="H13067" s="11" t="str">
        <f ca="1">IFERROR(__xludf.DUMMYFUNCTION("IFERROR(SUBSTITUTE(SUBSTITUTE(REGEXEXTRACT(A13067, ""[^-]+- [^-]+- [^-]+ - (.+?)\.jpg""), "".jpg"", """"), ""-"", "", ""), """")"),"")</f>
        <v/>
      </c>
      <c r="L13067" s="12"/>
      <c r="M13067" s="13"/>
      <c r="N13067" s="2"/>
      <c r="O13067" s="20"/>
      <c r="P13067" s="42"/>
      <c r="R13067" s="23"/>
    </row>
    <row r="13068" spans="1:18" ht="12.75">
      <c r="A13068" s="12"/>
      <c r="D13068" s="12"/>
      <c r="E13068" s="12"/>
      <c r="H13068" s="11" t="str">
        <f ca="1">IFERROR(__xludf.DUMMYFUNCTION("IFERROR(SUBSTITUTE(SUBSTITUTE(REGEXEXTRACT(A13068, ""[^-]+- [^-]+- [^-]+ - (.+?)\.jpg""), "".jpg"", """"), ""-"", "", ""), """")"),"")</f>
        <v/>
      </c>
      <c r="L13068" s="12"/>
      <c r="M13068" s="13"/>
      <c r="N13068" s="2"/>
      <c r="O13068" s="20"/>
      <c r="P13068" s="42"/>
      <c r="R13068" s="23"/>
    </row>
    <row r="13069" spans="1:18" ht="12.75">
      <c r="A13069" s="12"/>
      <c r="D13069" s="12"/>
      <c r="E13069" s="12"/>
      <c r="H13069" s="11" t="str">
        <f ca="1">IFERROR(__xludf.DUMMYFUNCTION("IFERROR(SUBSTITUTE(SUBSTITUTE(REGEXEXTRACT(A13069, ""[^-]+- [^-]+- [^-]+ - (.+?)\.jpg""), "".jpg"", """"), ""-"", "", ""), """")"),"")</f>
        <v/>
      </c>
      <c r="L13069" s="12"/>
      <c r="M13069" s="13"/>
      <c r="N13069" s="2"/>
      <c r="O13069" s="20"/>
      <c r="P13069" s="42"/>
      <c r="R13069" s="23"/>
    </row>
    <row r="13070" spans="1:18" ht="12.75">
      <c r="A13070" s="12"/>
      <c r="D13070" s="12"/>
      <c r="E13070" s="12"/>
      <c r="H13070" s="11" t="str">
        <f ca="1">IFERROR(__xludf.DUMMYFUNCTION("IFERROR(SUBSTITUTE(SUBSTITUTE(REGEXEXTRACT(A13070, ""[^-]+- [^-]+- [^-]+ - (.+?)\.jpg""), "".jpg"", """"), ""-"", "", ""), """")"),"")</f>
        <v/>
      </c>
      <c r="L13070" s="12"/>
      <c r="M13070" s="13"/>
      <c r="N13070" s="2"/>
      <c r="O13070" s="20"/>
      <c r="P13070" s="42"/>
      <c r="R13070" s="23"/>
    </row>
    <row r="13071" spans="1:18" ht="12.75">
      <c r="A13071" s="12"/>
      <c r="D13071" s="12"/>
      <c r="E13071" s="12"/>
      <c r="H13071" s="11" t="str">
        <f ca="1">IFERROR(__xludf.DUMMYFUNCTION("IFERROR(SUBSTITUTE(SUBSTITUTE(REGEXEXTRACT(A13071, ""[^-]+- [^-]+- [^-]+ - (.+?)\.jpg""), "".jpg"", """"), ""-"", "", ""), """")"),"")</f>
        <v/>
      </c>
      <c r="L13071" s="12"/>
      <c r="M13071" s="13"/>
      <c r="N13071" s="2"/>
      <c r="O13071" s="20"/>
      <c r="P13071" s="42"/>
      <c r="R13071" s="23"/>
    </row>
    <row r="13072" spans="1:18" ht="12.75">
      <c r="A13072" s="12"/>
      <c r="D13072" s="12"/>
      <c r="E13072" s="12"/>
      <c r="H13072" s="11" t="str">
        <f ca="1">IFERROR(__xludf.DUMMYFUNCTION("IFERROR(SUBSTITUTE(SUBSTITUTE(REGEXEXTRACT(A13072, ""[^-]+- [^-]+- [^-]+ - (.+?)\.jpg""), "".jpg"", """"), ""-"", "", ""), """")"),"")</f>
        <v/>
      </c>
      <c r="L13072" s="12"/>
      <c r="M13072" s="13"/>
      <c r="N13072" s="2"/>
      <c r="O13072" s="20"/>
      <c r="P13072" s="42"/>
      <c r="R13072" s="23"/>
    </row>
    <row r="13073" spans="1:18" ht="12.75">
      <c r="A13073" s="12"/>
      <c r="D13073" s="12"/>
      <c r="E13073" s="12"/>
      <c r="H13073" s="11" t="str">
        <f ca="1">IFERROR(__xludf.DUMMYFUNCTION("IFERROR(SUBSTITUTE(SUBSTITUTE(REGEXEXTRACT(A13073, ""[^-]+- [^-]+- [^-]+ - (.+?)\.jpg""), "".jpg"", """"), ""-"", "", ""), """")"),"")</f>
        <v/>
      </c>
      <c r="L13073" s="12"/>
      <c r="M13073" s="13"/>
      <c r="N13073" s="2"/>
      <c r="O13073" s="20"/>
      <c r="P13073" s="42"/>
      <c r="R13073" s="23"/>
    </row>
    <row r="13074" spans="1:18" ht="12.75">
      <c r="A13074" s="12"/>
      <c r="D13074" s="12"/>
      <c r="E13074" s="12"/>
      <c r="H13074" s="11" t="str">
        <f ca="1">IFERROR(__xludf.DUMMYFUNCTION("IFERROR(SUBSTITUTE(SUBSTITUTE(REGEXEXTRACT(A13074, ""[^-]+- [^-]+- [^-]+ - (.+?)\.jpg""), "".jpg"", """"), ""-"", "", ""), """")"),"")</f>
        <v/>
      </c>
      <c r="L13074" s="12"/>
      <c r="M13074" s="13"/>
      <c r="N13074" s="2"/>
      <c r="O13074" s="20"/>
      <c r="P13074" s="42"/>
      <c r="R13074" s="23"/>
    </row>
    <row r="13075" spans="1:18" ht="12.75">
      <c r="A13075" s="12"/>
      <c r="D13075" s="12"/>
      <c r="E13075" s="12"/>
      <c r="H13075" s="11" t="str">
        <f ca="1">IFERROR(__xludf.DUMMYFUNCTION("IFERROR(SUBSTITUTE(SUBSTITUTE(REGEXEXTRACT(A13075, ""[^-]+- [^-]+- [^-]+ - (.+?)\.jpg""), "".jpg"", """"), ""-"", "", ""), """")"),"")</f>
        <v/>
      </c>
      <c r="L13075" s="12"/>
      <c r="M13075" s="13"/>
      <c r="N13075" s="2"/>
      <c r="O13075" s="20"/>
      <c r="P13075" s="42"/>
      <c r="R13075" s="23"/>
    </row>
    <row r="13076" spans="1:18" ht="12.75">
      <c r="A13076" s="12"/>
      <c r="D13076" s="12"/>
      <c r="E13076" s="12"/>
      <c r="H13076" s="11" t="str">
        <f ca="1">IFERROR(__xludf.DUMMYFUNCTION("IFERROR(SUBSTITUTE(SUBSTITUTE(REGEXEXTRACT(A13076, ""[^-]+- [^-]+- [^-]+ - (.+?)\.jpg""), "".jpg"", """"), ""-"", "", ""), """")"),"")</f>
        <v/>
      </c>
      <c r="L13076" s="12"/>
      <c r="M13076" s="13"/>
      <c r="N13076" s="2"/>
      <c r="O13076" s="20"/>
      <c r="P13076" s="42"/>
      <c r="R13076" s="23"/>
    </row>
    <row r="13077" spans="1:18" ht="12.75">
      <c r="A13077" s="12"/>
      <c r="D13077" s="12"/>
      <c r="E13077" s="12"/>
      <c r="H13077" s="11" t="str">
        <f ca="1">IFERROR(__xludf.DUMMYFUNCTION("IFERROR(SUBSTITUTE(SUBSTITUTE(REGEXEXTRACT(A13077, ""[^-]+- [^-]+- [^-]+ - (.+?)\.jpg""), "".jpg"", """"), ""-"", "", ""), """")"),"")</f>
        <v/>
      </c>
      <c r="L13077" s="12"/>
      <c r="M13077" s="13"/>
      <c r="N13077" s="2"/>
      <c r="O13077" s="20"/>
      <c r="P13077" s="42"/>
      <c r="R13077" s="23"/>
    </row>
    <row r="13078" spans="1:18" ht="12.75">
      <c r="A13078" s="12"/>
      <c r="D13078" s="12"/>
      <c r="E13078" s="12"/>
      <c r="H13078" s="11" t="str">
        <f ca="1">IFERROR(__xludf.DUMMYFUNCTION("IFERROR(SUBSTITUTE(SUBSTITUTE(REGEXEXTRACT(A13078, ""[^-]+- [^-]+- [^-]+ - (.+?)\.jpg""), "".jpg"", """"), ""-"", "", ""), """")"),"")</f>
        <v/>
      </c>
      <c r="L13078" s="12"/>
      <c r="M13078" s="13"/>
      <c r="N13078" s="2"/>
      <c r="O13078" s="20"/>
      <c r="P13078" s="42"/>
      <c r="R13078" s="23"/>
    </row>
    <row r="13079" spans="1:18" ht="12.75">
      <c r="A13079" s="12"/>
      <c r="D13079" s="12"/>
      <c r="E13079" s="12"/>
      <c r="H13079" s="11" t="str">
        <f ca="1">IFERROR(__xludf.DUMMYFUNCTION("IFERROR(SUBSTITUTE(SUBSTITUTE(REGEXEXTRACT(A13079, ""[^-]+- [^-]+- [^-]+ - (.+?)\.jpg""), "".jpg"", """"), ""-"", "", ""), """")"),"")</f>
        <v/>
      </c>
      <c r="L13079" s="12"/>
      <c r="M13079" s="13"/>
      <c r="N13079" s="2"/>
      <c r="O13079" s="20"/>
      <c r="P13079" s="42"/>
      <c r="R13079" s="23"/>
    </row>
    <row r="13080" spans="1:18" ht="12.75">
      <c r="A13080" s="12"/>
      <c r="D13080" s="12"/>
      <c r="E13080" s="12"/>
      <c r="H13080" s="11" t="str">
        <f ca="1">IFERROR(__xludf.DUMMYFUNCTION("IFERROR(SUBSTITUTE(SUBSTITUTE(REGEXEXTRACT(A13080, ""[^-]+- [^-]+- [^-]+ - (.+?)\.jpg""), "".jpg"", """"), ""-"", "", ""), """")"),"")</f>
        <v/>
      </c>
      <c r="L13080" s="12"/>
      <c r="M13080" s="13"/>
      <c r="N13080" s="2"/>
      <c r="O13080" s="20"/>
      <c r="P13080" s="42"/>
      <c r="R13080" s="23"/>
    </row>
    <row r="13081" spans="1:18" ht="12.75">
      <c r="A13081" s="12"/>
      <c r="D13081" s="12"/>
      <c r="E13081" s="12"/>
      <c r="H13081" s="11" t="str">
        <f ca="1">IFERROR(__xludf.DUMMYFUNCTION("IFERROR(SUBSTITUTE(SUBSTITUTE(REGEXEXTRACT(A13081, ""[^-]+- [^-]+- [^-]+ - (.+?)\.jpg""), "".jpg"", """"), ""-"", "", ""), """")"),"")</f>
        <v/>
      </c>
      <c r="L13081" s="12"/>
      <c r="M13081" s="13"/>
      <c r="N13081" s="2"/>
      <c r="O13081" s="20"/>
      <c r="P13081" s="42"/>
      <c r="R13081" s="23"/>
    </row>
    <row r="13082" spans="1:18" ht="12.75">
      <c r="A13082" s="12"/>
      <c r="D13082" s="12"/>
      <c r="E13082" s="12"/>
      <c r="H13082" s="11" t="str">
        <f ca="1">IFERROR(__xludf.DUMMYFUNCTION("IFERROR(SUBSTITUTE(SUBSTITUTE(REGEXEXTRACT(A13082, ""[^-]+- [^-]+- [^-]+ - (.+?)\.jpg""), "".jpg"", """"), ""-"", "", ""), """")"),"")</f>
        <v/>
      </c>
      <c r="L13082" s="12"/>
      <c r="M13082" s="13"/>
      <c r="N13082" s="2"/>
      <c r="O13082" s="20"/>
      <c r="P13082" s="42"/>
      <c r="R13082" s="23"/>
    </row>
    <row r="13083" spans="1:18" ht="12.75">
      <c r="A13083" s="12"/>
      <c r="D13083" s="12"/>
      <c r="E13083" s="12"/>
      <c r="H13083" s="11" t="str">
        <f ca="1">IFERROR(__xludf.DUMMYFUNCTION("IFERROR(SUBSTITUTE(SUBSTITUTE(REGEXEXTRACT(A13083, ""[^-]+- [^-]+- [^-]+ - (.+?)\.jpg""), "".jpg"", """"), ""-"", "", ""), """")"),"")</f>
        <v/>
      </c>
      <c r="L13083" s="12"/>
      <c r="M13083" s="13"/>
      <c r="N13083" s="2"/>
      <c r="O13083" s="20"/>
      <c r="P13083" s="42"/>
      <c r="R13083" s="23"/>
    </row>
    <row r="13084" spans="1:18" ht="12.75">
      <c r="A13084" s="12"/>
      <c r="D13084" s="12"/>
      <c r="E13084" s="12"/>
      <c r="H13084" s="11" t="str">
        <f ca="1">IFERROR(__xludf.DUMMYFUNCTION("IFERROR(SUBSTITUTE(SUBSTITUTE(REGEXEXTRACT(A13084, ""[^-]+- [^-]+- [^-]+ - (.+?)\.jpg""), "".jpg"", """"), ""-"", "", ""), """")"),"")</f>
        <v/>
      </c>
      <c r="L13084" s="12"/>
      <c r="M13084" s="13"/>
      <c r="N13084" s="2"/>
      <c r="O13084" s="20"/>
      <c r="P13084" s="42"/>
      <c r="R13084" s="23"/>
    </row>
    <row r="13085" spans="1:18" ht="12.75">
      <c r="A13085" s="12"/>
      <c r="D13085" s="12"/>
      <c r="E13085" s="12"/>
      <c r="H13085" s="11" t="str">
        <f ca="1">IFERROR(__xludf.DUMMYFUNCTION("IFERROR(SUBSTITUTE(SUBSTITUTE(REGEXEXTRACT(A13085, ""[^-]+- [^-]+- [^-]+ - (.+?)\.jpg""), "".jpg"", """"), ""-"", "", ""), """")"),"")</f>
        <v/>
      </c>
      <c r="L13085" s="12"/>
      <c r="M13085" s="13"/>
      <c r="N13085" s="2"/>
      <c r="O13085" s="20"/>
      <c r="P13085" s="42"/>
      <c r="R13085" s="23"/>
    </row>
    <row r="13086" spans="1:18" ht="12.75">
      <c r="A13086" s="12"/>
      <c r="D13086" s="12"/>
      <c r="E13086" s="12"/>
      <c r="H13086" s="11" t="str">
        <f ca="1">IFERROR(__xludf.DUMMYFUNCTION("IFERROR(SUBSTITUTE(SUBSTITUTE(REGEXEXTRACT(A13086, ""[^-]+- [^-]+- [^-]+ - (.+?)\.jpg""), "".jpg"", """"), ""-"", "", ""), """")"),"")</f>
        <v/>
      </c>
      <c r="L13086" s="12"/>
      <c r="M13086" s="13"/>
      <c r="N13086" s="2"/>
      <c r="O13086" s="20"/>
      <c r="P13086" s="42"/>
      <c r="R13086" s="23"/>
    </row>
    <row r="13087" spans="1:18" ht="12.75">
      <c r="A13087" s="12"/>
      <c r="D13087" s="12"/>
      <c r="E13087" s="12"/>
      <c r="H13087" s="11" t="str">
        <f ca="1">IFERROR(__xludf.DUMMYFUNCTION("IFERROR(SUBSTITUTE(SUBSTITUTE(REGEXEXTRACT(A13087, ""[^-]+- [^-]+- [^-]+ - (.+?)\.jpg""), "".jpg"", """"), ""-"", "", ""), """")"),"")</f>
        <v/>
      </c>
      <c r="L13087" s="12"/>
      <c r="M13087" s="13"/>
      <c r="N13087" s="2"/>
      <c r="O13087" s="20"/>
      <c r="P13087" s="42"/>
      <c r="R13087" s="23"/>
    </row>
    <row r="13088" spans="1:18" ht="12.75">
      <c r="A13088" s="12"/>
      <c r="D13088" s="12"/>
      <c r="E13088" s="12"/>
      <c r="H13088" s="11" t="str">
        <f ca="1">IFERROR(__xludf.DUMMYFUNCTION("IFERROR(SUBSTITUTE(SUBSTITUTE(REGEXEXTRACT(A13088, ""[^-]+- [^-]+- [^-]+ - (.+?)\.jpg""), "".jpg"", """"), ""-"", "", ""), """")"),"")</f>
        <v/>
      </c>
      <c r="L13088" s="12"/>
      <c r="M13088" s="13"/>
      <c r="N13088" s="2"/>
      <c r="O13088" s="20"/>
      <c r="P13088" s="42"/>
      <c r="R13088" s="23"/>
    </row>
    <row r="13089" spans="1:18" ht="12.75">
      <c r="A13089" s="12"/>
      <c r="D13089" s="12"/>
      <c r="E13089" s="12"/>
      <c r="H13089" s="11" t="str">
        <f ca="1">IFERROR(__xludf.DUMMYFUNCTION("IFERROR(SUBSTITUTE(SUBSTITUTE(REGEXEXTRACT(A13089, ""[^-]+- [^-]+- [^-]+ - (.+?)\.jpg""), "".jpg"", """"), ""-"", "", ""), """")"),"")</f>
        <v/>
      </c>
      <c r="L13089" s="12"/>
      <c r="M13089" s="13"/>
      <c r="N13089" s="2"/>
      <c r="O13089" s="20"/>
      <c r="P13089" s="42"/>
      <c r="R13089" s="23"/>
    </row>
    <row r="13090" spans="1:18" ht="12.75">
      <c r="A13090" s="12"/>
      <c r="D13090" s="12"/>
      <c r="E13090" s="12"/>
      <c r="H13090" s="11" t="str">
        <f ca="1">IFERROR(__xludf.DUMMYFUNCTION("IFERROR(SUBSTITUTE(SUBSTITUTE(REGEXEXTRACT(A13090, ""[^-]+- [^-]+- [^-]+ - (.+?)\.jpg""), "".jpg"", """"), ""-"", "", ""), """")"),"")</f>
        <v/>
      </c>
      <c r="L13090" s="12"/>
      <c r="M13090" s="13"/>
      <c r="N13090" s="2"/>
      <c r="O13090" s="20"/>
      <c r="P13090" s="42"/>
      <c r="R13090" s="23"/>
    </row>
    <row r="13091" spans="1:18" ht="12.75">
      <c r="A13091" s="12"/>
      <c r="D13091" s="12"/>
      <c r="E13091" s="12"/>
      <c r="H13091" s="11" t="str">
        <f ca="1">IFERROR(__xludf.DUMMYFUNCTION("IFERROR(SUBSTITUTE(SUBSTITUTE(REGEXEXTRACT(A13091, ""[^-]+- [^-]+- [^-]+ - (.+?)\.jpg""), "".jpg"", """"), ""-"", "", ""), """")"),"")</f>
        <v/>
      </c>
      <c r="L13091" s="12"/>
      <c r="M13091" s="13"/>
      <c r="N13091" s="2"/>
      <c r="O13091" s="20"/>
      <c r="P13091" s="42"/>
      <c r="R13091" s="23"/>
    </row>
    <row r="13092" spans="1:18" ht="12.75">
      <c r="A13092" s="12"/>
      <c r="D13092" s="12"/>
      <c r="E13092" s="12"/>
      <c r="H13092" s="11" t="str">
        <f ca="1">IFERROR(__xludf.DUMMYFUNCTION("IFERROR(SUBSTITUTE(SUBSTITUTE(REGEXEXTRACT(A13092, ""[^-]+- [^-]+- [^-]+ - (.+?)\.jpg""), "".jpg"", """"), ""-"", "", ""), """")"),"")</f>
        <v/>
      </c>
      <c r="L13092" s="12"/>
      <c r="M13092" s="13"/>
      <c r="N13092" s="2"/>
      <c r="O13092" s="20"/>
      <c r="P13092" s="42"/>
      <c r="R13092" s="23"/>
    </row>
    <row r="13093" spans="1:18" ht="12.75">
      <c r="A13093" s="12"/>
      <c r="D13093" s="12"/>
      <c r="E13093" s="12"/>
      <c r="H13093" s="11" t="str">
        <f ca="1">IFERROR(__xludf.DUMMYFUNCTION("IFERROR(SUBSTITUTE(SUBSTITUTE(REGEXEXTRACT(A13093, ""[^-]+- [^-]+- [^-]+ - (.+?)\.jpg""), "".jpg"", """"), ""-"", "", ""), """")"),"")</f>
        <v/>
      </c>
      <c r="L13093" s="12"/>
      <c r="M13093" s="13"/>
      <c r="N13093" s="2"/>
      <c r="O13093" s="20"/>
      <c r="P13093" s="42"/>
      <c r="R13093" s="23"/>
    </row>
    <row r="13094" spans="1:18" ht="12.75">
      <c r="A13094" s="12"/>
      <c r="D13094" s="12"/>
      <c r="E13094" s="12"/>
      <c r="H13094" s="11" t="str">
        <f ca="1">IFERROR(__xludf.DUMMYFUNCTION("IFERROR(SUBSTITUTE(SUBSTITUTE(REGEXEXTRACT(A13094, ""[^-]+- [^-]+- [^-]+ - (.+?)\.jpg""), "".jpg"", """"), ""-"", "", ""), """")"),"")</f>
        <v/>
      </c>
      <c r="L13094" s="12"/>
      <c r="M13094" s="13"/>
      <c r="N13094" s="2"/>
      <c r="O13094" s="20"/>
      <c r="P13094" s="42"/>
      <c r="R13094" s="23"/>
    </row>
    <row r="13095" spans="1:18" ht="12.75">
      <c r="A13095" s="12"/>
      <c r="D13095" s="12"/>
      <c r="E13095" s="12"/>
      <c r="H13095" s="11" t="str">
        <f ca="1">IFERROR(__xludf.DUMMYFUNCTION("IFERROR(SUBSTITUTE(SUBSTITUTE(REGEXEXTRACT(A13095, ""[^-]+- [^-]+- [^-]+ - (.+?)\.jpg""), "".jpg"", """"), ""-"", "", ""), """")"),"")</f>
        <v/>
      </c>
      <c r="L13095" s="12"/>
      <c r="M13095" s="13"/>
      <c r="N13095" s="2"/>
      <c r="O13095" s="20"/>
      <c r="P13095" s="42"/>
      <c r="R13095" s="23"/>
    </row>
    <row r="13096" spans="1:18" ht="12.75">
      <c r="A13096" s="12"/>
      <c r="D13096" s="12"/>
      <c r="E13096" s="12"/>
      <c r="H13096" s="11" t="str">
        <f ca="1">IFERROR(__xludf.DUMMYFUNCTION("IFERROR(SUBSTITUTE(SUBSTITUTE(REGEXEXTRACT(A13096, ""[^-]+- [^-]+- [^-]+ - (.+?)\.jpg""), "".jpg"", """"), ""-"", "", ""), """")"),"")</f>
        <v/>
      </c>
      <c r="L13096" s="12"/>
      <c r="M13096" s="13"/>
      <c r="N13096" s="2"/>
      <c r="O13096" s="20"/>
      <c r="P13096" s="42"/>
      <c r="R13096" s="23"/>
    </row>
    <row r="13097" spans="1:18" ht="12.75">
      <c r="A13097" s="12"/>
      <c r="D13097" s="12"/>
      <c r="E13097" s="12"/>
      <c r="H13097" s="11" t="str">
        <f ca="1">IFERROR(__xludf.DUMMYFUNCTION("IFERROR(SUBSTITUTE(SUBSTITUTE(REGEXEXTRACT(A13097, ""[^-]+- [^-]+- [^-]+ - (.+?)\.jpg""), "".jpg"", """"), ""-"", "", ""), """")"),"")</f>
        <v/>
      </c>
      <c r="L13097" s="12"/>
      <c r="M13097" s="13"/>
      <c r="N13097" s="2"/>
      <c r="O13097" s="20"/>
      <c r="P13097" s="42"/>
      <c r="R13097" s="23"/>
    </row>
    <row r="13098" spans="1:18" ht="12.75">
      <c r="A13098" s="12"/>
      <c r="D13098" s="12"/>
      <c r="E13098" s="12"/>
      <c r="H13098" s="11" t="str">
        <f ca="1">IFERROR(__xludf.DUMMYFUNCTION("IFERROR(SUBSTITUTE(SUBSTITUTE(REGEXEXTRACT(A13098, ""[^-]+- [^-]+- [^-]+ - (.+?)\.jpg""), "".jpg"", """"), ""-"", "", ""), """")"),"")</f>
        <v/>
      </c>
      <c r="L13098" s="12"/>
      <c r="M13098" s="13"/>
      <c r="N13098" s="2"/>
      <c r="O13098" s="20"/>
      <c r="P13098" s="42"/>
      <c r="R13098" s="23"/>
    </row>
    <row r="13099" spans="1:18" ht="12.75">
      <c r="A13099" s="12"/>
      <c r="D13099" s="12"/>
      <c r="E13099" s="12"/>
      <c r="H13099" s="11" t="str">
        <f ca="1">IFERROR(__xludf.DUMMYFUNCTION("IFERROR(SUBSTITUTE(SUBSTITUTE(REGEXEXTRACT(A13099, ""[^-]+- [^-]+- [^-]+ - (.+?)\.jpg""), "".jpg"", """"), ""-"", "", ""), """")"),"")</f>
        <v/>
      </c>
      <c r="L13099" s="12"/>
      <c r="M13099" s="13"/>
      <c r="N13099" s="2"/>
      <c r="O13099" s="20"/>
      <c r="P13099" s="42"/>
      <c r="R13099" s="23"/>
    </row>
    <row r="13100" spans="1:18" ht="12.75">
      <c r="A13100" s="12"/>
      <c r="D13100" s="12"/>
      <c r="E13100" s="12"/>
      <c r="H13100" s="11" t="str">
        <f ca="1">IFERROR(__xludf.DUMMYFUNCTION("IFERROR(SUBSTITUTE(SUBSTITUTE(REGEXEXTRACT(A13100, ""[^-]+- [^-]+- [^-]+ - (.+?)\.jpg""), "".jpg"", """"), ""-"", "", ""), """")"),"")</f>
        <v/>
      </c>
      <c r="L13100" s="12"/>
      <c r="M13100" s="13"/>
      <c r="N13100" s="2"/>
      <c r="O13100" s="20"/>
      <c r="P13100" s="42"/>
      <c r="R13100" s="23"/>
    </row>
    <row r="13101" spans="1:18" ht="12.75">
      <c r="A13101" s="12"/>
      <c r="D13101" s="12"/>
      <c r="E13101" s="12"/>
      <c r="H13101" s="11" t="str">
        <f ca="1">IFERROR(__xludf.DUMMYFUNCTION("IFERROR(SUBSTITUTE(SUBSTITUTE(REGEXEXTRACT(A13101, ""[^-]+- [^-]+- [^-]+ - (.+?)\.jpg""), "".jpg"", """"), ""-"", "", ""), """")"),"")</f>
        <v/>
      </c>
      <c r="L13101" s="12"/>
      <c r="M13101" s="13"/>
      <c r="N13101" s="2"/>
      <c r="O13101" s="20"/>
      <c r="P13101" s="42"/>
      <c r="R13101" s="23"/>
    </row>
    <row r="13102" spans="1:18" ht="12.75">
      <c r="A13102" s="12"/>
      <c r="D13102" s="12"/>
      <c r="E13102" s="12"/>
      <c r="H13102" s="11" t="str">
        <f ca="1">IFERROR(__xludf.DUMMYFUNCTION("IFERROR(SUBSTITUTE(SUBSTITUTE(REGEXEXTRACT(A13102, ""[^-]+- [^-]+- [^-]+ - (.+?)\.jpg""), "".jpg"", """"), ""-"", "", ""), """")"),"")</f>
        <v/>
      </c>
      <c r="L13102" s="12"/>
      <c r="M13102" s="13"/>
      <c r="N13102" s="2"/>
      <c r="O13102" s="20"/>
      <c r="P13102" s="42"/>
      <c r="R13102" s="23"/>
    </row>
    <row r="13103" spans="1:18" ht="12.75">
      <c r="A13103" s="12"/>
      <c r="D13103" s="12"/>
      <c r="E13103" s="12"/>
      <c r="H13103" s="11" t="str">
        <f ca="1">IFERROR(__xludf.DUMMYFUNCTION("IFERROR(SUBSTITUTE(SUBSTITUTE(REGEXEXTRACT(A13103, ""[^-]+- [^-]+- [^-]+ - (.+?)\.jpg""), "".jpg"", """"), ""-"", "", ""), """")"),"")</f>
        <v/>
      </c>
      <c r="L13103" s="12"/>
      <c r="M13103" s="13"/>
      <c r="N13103" s="2"/>
      <c r="O13103" s="20"/>
      <c r="P13103" s="42"/>
      <c r="R13103" s="23"/>
    </row>
    <row r="13104" spans="1:18" ht="12.75">
      <c r="A13104" s="12"/>
      <c r="D13104" s="12"/>
      <c r="E13104" s="12"/>
      <c r="H13104" s="11" t="str">
        <f ca="1">IFERROR(__xludf.DUMMYFUNCTION("IFERROR(SUBSTITUTE(SUBSTITUTE(REGEXEXTRACT(A13104, ""[^-]+- [^-]+- [^-]+ - (.+?)\.jpg""), "".jpg"", """"), ""-"", "", ""), """")"),"")</f>
        <v/>
      </c>
      <c r="L13104" s="12"/>
      <c r="M13104" s="13"/>
      <c r="N13104" s="2"/>
      <c r="O13104" s="20"/>
      <c r="P13104" s="42"/>
      <c r="R13104" s="23"/>
    </row>
    <row r="13105" spans="1:18" ht="12.75">
      <c r="A13105" s="12"/>
      <c r="D13105" s="12"/>
      <c r="E13105" s="12"/>
      <c r="H13105" s="11" t="str">
        <f ca="1">IFERROR(__xludf.DUMMYFUNCTION("IFERROR(SUBSTITUTE(SUBSTITUTE(REGEXEXTRACT(A13105, ""[^-]+- [^-]+- [^-]+ - (.+?)\.jpg""), "".jpg"", """"), ""-"", "", ""), """")"),"")</f>
        <v/>
      </c>
      <c r="L13105" s="12"/>
      <c r="M13105" s="13"/>
      <c r="N13105" s="2"/>
      <c r="O13105" s="20"/>
      <c r="P13105" s="42"/>
      <c r="R13105" s="23"/>
    </row>
    <row r="13106" spans="1:18" ht="12.75">
      <c r="A13106" s="12"/>
      <c r="D13106" s="12"/>
      <c r="E13106" s="12"/>
      <c r="H13106" s="11" t="str">
        <f ca="1">IFERROR(__xludf.DUMMYFUNCTION("IFERROR(SUBSTITUTE(SUBSTITUTE(REGEXEXTRACT(A13106, ""[^-]+- [^-]+- [^-]+ - (.+?)\.jpg""), "".jpg"", """"), ""-"", "", ""), """")"),"")</f>
        <v/>
      </c>
      <c r="L13106" s="12"/>
      <c r="M13106" s="13"/>
      <c r="N13106" s="2"/>
      <c r="O13106" s="20"/>
      <c r="P13106" s="42"/>
      <c r="R13106" s="23"/>
    </row>
    <row r="13107" spans="1:18" ht="12.75">
      <c r="A13107" s="12"/>
      <c r="D13107" s="12"/>
      <c r="E13107" s="12"/>
      <c r="H13107" s="11" t="str">
        <f ca="1">IFERROR(__xludf.DUMMYFUNCTION("IFERROR(SUBSTITUTE(SUBSTITUTE(REGEXEXTRACT(A13107, ""[^-]+- [^-]+- [^-]+ - (.+?)\.jpg""), "".jpg"", """"), ""-"", "", ""), """")"),"")</f>
        <v/>
      </c>
      <c r="L13107" s="12"/>
      <c r="M13107" s="13"/>
      <c r="N13107" s="2"/>
      <c r="O13107" s="20"/>
      <c r="P13107" s="42"/>
      <c r="R13107" s="23"/>
    </row>
    <row r="13108" spans="1:18" ht="12.75">
      <c r="A13108" s="12"/>
      <c r="D13108" s="12"/>
      <c r="E13108" s="12"/>
      <c r="H13108" s="11" t="str">
        <f ca="1">IFERROR(__xludf.DUMMYFUNCTION("IFERROR(SUBSTITUTE(SUBSTITUTE(REGEXEXTRACT(A13108, ""[^-]+- [^-]+- [^-]+ - (.+?)\.jpg""), "".jpg"", """"), ""-"", "", ""), """")"),"")</f>
        <v/>
      </c>
      <c r="L13108" s="12"/>
      <c r="M13108" s="13"/>
      <c r="N13108" s="2"/>
      <c r="O13108" s="20"/>
      <c r="P13108" s="42"/>
      <c r="R13108" s="23"/>
    </row>
    <row r="13109" spans="1:18" ht="12.75">
      <c r="A13109" s="12"/>
      <c r="D13109" s="12"/>
      <c r="E13109" s="12"/>
      <c r="H13109" s="11" t="str">
        <f ca="1">IFERROR(__xludf.DUMMYFUNCTION("IFERROR(SUBSTITUTE(SUBSTITUTE(REGEXEXTRACT(A13109, ""[^-]+- [^-]+- [^-]+ - (.+?)\.jpg""), "".jpg"", """"), ""-"", "", ""), """")"),"")</f>
        <v/>
      </c>
      <c r="L13109" s="12"/>
      <c r="M13109" s="13"/>
      <c r="N13109" s="2"/>
      <c r="O13109" s="20"/>
      <c r="P13109" s="42"/>
      <c r="R13109" s="23"/>
    </row>
    <row r="13110" spans="1:18" ht="12.75">
      <c r="A13110" s="12"/>
      <c r="D13110" s="12"/>
      <c r="E13110" s="12"/>
      <c r="H13110" s="11" t="str">
        <f ca="1">IFERROR(__xludf.DUMMYFUNCTION("IFERROR(SUBSTITUTE(SUBSTITUTE(REGEXEXTRACT(A13110, ""[^-]+- [^-]+- [^-]+ - (.+?)\.jpg""), "".jpg"", """"), ""-"", "", ""), """")"),"")</f>
        <v/>
      </c>
      <c r="L13110" s="12"/>
      <c r="M13110" s="13"/>
      <c r="N13110" s="2"/>
      <c r="O13110" s="20"/>
      <c r="P13110" s="42"/>
      <c r="R13110" s="23"/>
    </row>
    <row r="13111" spans="1:18" ht="12.75">
      <c r="A13111" s="12"/>
      <c r="D13111" s="12"/>
      <c r="E13111" s="12"/>
      <c r="H13111" s="11" t="str">
        <f ca="1">IFERROR(__xludf.DUMMYFUNCTION("IFERROR(SUBSTITUTE(SUBSTITUTE(REGEXEXTRACT(A13111, ""[^-]+- [^-]+- [^-]+ - (.+?)\.jpg""), "".jpg"", """"), ""-"", "", ""), """")"),"")</f>
        <v/>
      </c>
      <c r="L13111" s="12"/>
      <c r="M13111" s="13"/>
      <c r="N13111" s="2"/>
      <c r="O13111" s="20"/>
      <c r="P13111" s="42"/>
      <c r="R13111" s="23"/>
    </row>
    <row r="13112" spans="1:18" ht="12.75">
      <c r="A13112" s="12"/>
      <c r="D13112" s="12"/>
      <c r="E13112" s="12"/>
      <c r="H13112" s="11" t="str">
        <f ca="1">IFERROR(__xludf.DUMMYFUNCTION("IFERROR(SUBSTITUTE(SUBSTITUTE(REGEXEXTRACT(A13112, ""[^-]+- [^-]+- [^-]+ - (.+?)\.jpg""), "".jpg"", """"), ""-"", "", ""), """")"),"")</f>
        <v/>
      </c>
      <c r="L13112" s="12"/>
      <c r="M13112" s="13"/>
      <c r="N13112" s="2"/>
      <c r="O13112" s="20"/>
      <c r="P13112" s="42"/>
      <c r="R13112" s="23"/>
    </row>
    <row r="13113" spans="1:18" ht="12.75">
      <c r="A13113" s="12"/>
      <c r="D13113" s="12"/>
      <c r="E13113" s="12"/>
      <c r="H13113" s="11" t="str">
        <f ca="1">IFERROR(__xludf.DUMMYFUNCTION("IFERROR(SUBSTITUTE(SUBSTITUTE(REGEXEXTRACT(A13113, ""[^-]+- [^-]+- [^-]+ - (.+?)\.jpg""), "".jpg"", """"), ""-"", "", ""), """")"),"")</f>
        <v/>
      </c>
      <c r="L13113" s="12"/>
      <c r="M13113" s="13"/>
      <c r="N13113" s="2"/>
      <c r="O13113" s="20"/>
      <c r="P13113" s="42"/>
      <c r="R13113" s="23"/>
    </row>
    <row r="13114" spans="1:18" ht="12.75">
      <c r="A13114" s="12"/>
      <c r="D13114" s="12"/>
      <c r="E13114" s="12"/>
      <c r="H13114" s="11" t="str">
        <f ca="1">IFERROR(__xludf.DUMMYFUNCTION("IFERROR(SUBSTITUTE(SUBSTITUTE(REGEXEXTRACT(A13114, ""[^-]+- [^-]+- [^-]+ - (.+?)\.jpg""), "".jpg"", """"), ""-"", "", ""), """")"),"")</f>
        <v/>
      </c>
      <c r="L13114" s="12"/>
      <c r="M13114" s="13"/>
      <c r="N13114" s="2"/>
      <c r="O13114" s="20"/>
      <c r="P13114" s="42"/>
      <c r="R13114" s="23"/>
    </row>
    <row r="13115" spans="1:18" ht="12.75">
      <c r="A13115" s="12"/>
      <c r="D13115" s="12"/>
      <c r="E13115" s="12"/>
      <c r="H13115" s="11" t="str">
        <f ca="1">IFERROR(__xludf.DUMMYFUNCTION("IFERROR(SUBSTITUTE(SUBSTITUTE(REGEXEXTRACT(A13115, ""[^-]+- [^-]+- [^-]+ - (.+?)\.jpg""), "".jpg"", """"), ""-"", "", ""), """")"),"")</f>
        <v/>
      </c>
      <c r="L13115" s="12"/>
      <c r="M13115" s="13"/>
      <c r="N13115" s="2"/>
      <c r="O13115" s="20"/>
      <c r="P13115" s="42"/>
      <c r="R13115" s="23"/>
    </row>
    <row r="13116" spans="1:18" ht="12.75">
      <c r="A13116" s="12"/>
      <c r="D13116" s="12"/>
      <c r="E13116" s="12"/>
      <c r="H13116" s="11" t="str">
        <f ca="1">IFERROR(__xludf.DUMMYFUNCTION("IFERROR(SUBSTITUTE(SUBSTITUTE(REGEXEXTRACT(A13116, ""[^-]+- [^-]+- [^-]+ - (.+?)\.jpg""), "".jpg"", """"), ""-"", "", ""), """")"),"")</f>
        <v/>
      </c>
      <c r="L13116" s="12"/>
      <c r="M13116" s="13"/>
      <c r="N13116" s="2"/>
      <c r="O13116" s="20"/>
      <c r="P13116" s="42"/>
      <c r="R13116" s="23"/>
    </row>
    <row r="13117" spans="1:18" ht="12.75">
      <c r="A13117" s="12"/>
      <c r="D13117" s="12"/>
      <c r="E13117" s="12"/>
      <c r="H13117" s="11" t="str">
        <f ca="1">IFERROR(__xludf.DUMMYFUNCTION("IFERROR(SUBSTITUTE(SUBSTITUTE(REGEXEXTRACT(A13117, ""[^-]+- [^-]+- [^-]+ - (.+?)\.jpg""), "".jpg"", """"), ""-"", "", ""), """")"),"")</f>
        <v/>
      </c>
      <c r="L13117" s="12"/>
      <c r="M13117" s="13"/>
      <c r="N13117" s="2"/>
      <c r="O13117" s="20"/>
      <c r="P13117" s="42"/>
      <c r="R13117" s="23"/>
    </row>
    <row r="13118" spans="1:18" ht="12.75">
      <c r="A13118" s="12"/>
      <c r="D13118" s="12"/>
      <c r="E13118" s="12"/>
      <c r="H13118" s="11" t="str">
        <f ca="1">IFERROR(__xludf.DUMMYFUNCTION("IFERROR(SUBSTITUTE(SUBSTITUTE(REGEXEXTRACT(A13118, ""[^-]+- [^-]+- [^-]+ - (.+?)\.jpg""), "".jpg"", """"), ""-"", "", ""), """")"),"")</f>
        <v/>
      </c>
      <c r="L13118" s="12"/>
      <c r="M13118" s="13"/>
      <c r="N13118" s="2"/>
      <c r="O13118" s="20"/>
      <c r="P13118" s="42"/>
      <c r="R13118" s="23"/>
    </row>
    <row r="13119" spans="1:18" ht="12.75">
      <c r="A13119" s="12"/>
      <c r="D13119" s="12"/>
      <c r="E13119" s="12"/>
      <c r="H13119" s="11" t="str">
        <f ca="1">IFERROR(__xludf.DUMMYFUNCTION("IFERROR(SUBSTITUTE(SUBSTITUTE(REGEXEXTRACT(A13119, ""[^-]+- [^-]+- [^-]+ - (.+?)\.jpg""), "".jpg"", """"), ""-"", "", ""), """")"),"")</f>
        <v/>
      </c>
      <c r="L13119" s="12"/>
      <c r="M13119" s="13"/>
      <c r="N13119" s="2"/>
      <c r="O13119" s="20"/>
      <c r="P13119" s="42"/>
      <c r="R13119" s="23"/>
    </row>
    <row r="13120" spans="1:18" ht="12.75">
      <c r="A13120" s="12"/>
      <c r="D13120" s="12"/>
      <c r="E13120" s="12"/>
      <c r="H13120" s="11" t="str">
        <f ca="1">IFERROR(__xludf.DUMMYFUNCTION("IFERROR(SUBSTITUTE(SUBSTITUTE(REGEXEXTRACT(A13120, ""[^-]+- [^-]+- [^-]+ - (.+?)\.jpg""), "".jpg"", """"), ""-"", "", ""), """")"),"")</f>
        <v/>
      </c>
      <c r="L13120" s="12"/>
      <c r="M13120" s="13"/>
      <c r="N13120" s="2"/>
      <c r="O13120" s="20"/>
      <c r="P13120" s="42"/>
      <c r="R13120" s="23"/>
    </row>
    <row r="13121" spans="1:18" ht="12.75">
      <c r="A13121" s="12"/>
      <c r="D13121" s="12"/>
      <c r="E13121" s="12"/>
      <c r="H13121" s="11" t="str">
        <f ca="1">IFERROR(__xludf.DUMMYFUNCTION("IFERROR(SUBSTITUTE(SUBSTITUTE(REGEXEXTRACT(A13121, ""[^-]+- [^-]+- [^-]+ - (.+?)\.jpg""), "".jpg"", """"), ""-"", "", ""), """")"),"")</f>
        <v/>
      </c>
      <c r="L13121" s="12"/>
      <c r="M13121" s="13"/>
      <c r="N13121" s="2"/>
      <c r="O13121" s="20"/>
      <c r="P13121" s="42"/>
      <c r="R13121" s="23"/>
    </row>
    <row r="13122" spans="1:18" ht="12.75">
      <c r="A13122" s="12"/>
      <c r="D13122" s="12"/>
      <c r="E13122" s="12"/>
      <c r="H13122" s="11" t="str">
        <f ca="1">IFERROR(__xludf.DUMMYFUNCTION("IFERROR(SUBSTITUTE(SUBSTITUTE(REGEXEXTRACT(A13122, ""[^-]+- [^-]+- [^-]+ - (.+?)\.jpg""), "".jpg"", """"), ""-"", "", ""), """")"),"")</f>
        <v/>
      </c>
      <c r="L13122" s="12"/>
      <c r="M13122" s="13"/>
      <c r="N13122" s="2"/>
      <c r="O13122" s="20"/>
      <c r="P13122" s="42"/>
      <c r="R13122" s="23"/>
    </row>
    <row r="13123" spans="1:18" ht="12.75">
      <c r="A13123" s="12"/>
      <c r="D13123" s="12"/>
      <c r="E13123" s="12"/>
      <c r="H13123" s="11" t="str">
        <f ca="1">IFERROR(__xludf.DUMMYFUNCTION("IFERROR(SUBSTITUTE(SUBSTITUTE(REGEXEXTRACT(A13123, ""[^-]+- [^-]+- [^-]+ - (.+?)\.jpg""), "".jpg"", """"), ""-"", "", ""), """")"),"")</f>
        <v/>
      </c>
      <c r="L13123" s="12"/>
      <c r="M13123" s="13"/>
      <c r="N13123" s="2"/>
      <c r="O13123" s="20"/>
      <c r="P13123" s="42"/>
      <c r="R13123" s="23"/>
    </row>
    <row r="13124" spans="1:18" ht="12.75">
      <c r="A13124" s="12"/>
      <c r="D13124" s="12"/>
      <c r="E13124" s="12"/>
      <c r="H13124" s="11" t="str">
        <f ca="1">IFERROR(__xludf.DUMMYFUNCTION("IFERROR(SUBSTITUTE(SUBSTITUTE(REGEXEXTRACT(A13124, ""[^-]+- [^-]+- [^-]+ - (.+?)\.jpg""), "".jpg"", """"), ""-"", "", ""), """")"),"")</f>
        <v/>
      </c>
      <c r="L13124" s="12"/>
      <c r="M13124" s="13"/>
      <c r="N13124" s="2"/>
      <c r="O13124" s="20"/>
      <c r="P13124" s="42"/>
      <c r="R13124" s="23"/>
    </row>
    <row r="13125" spans="1:18" ht="12.75">
      <c r="A13125" s="12"/>
      <c r="D13125" s="12"/>
      <c r="E13125" s="12"/>
      <c r="H13125" s="11" t="str">
        <f ca="1">IFERROR(__xludf.DUMMYFUNCTION("IFERROR(SUBSTITUTE(SUBSTITUTE(REGEXEXTRACT(A13125, ""[^-]+- [^-]+- [^-]+ - (.+?)\.jpg""), "".jpg"", """"), ""-"", "", ""), """")"),"")</f>
        <v/>
      </c>
      <c r="L13125" s="12"/>
      <c r="M13125" s="13"/>
      <c r="N13125" s="2"/>
      <c r="O13125" s="20"/>
      <c r="P13125" s="42"/>
      <c r="R13125" s="23"/>
    </row>
    <row r="13126" spans="1:18" ht="12.75">
      <c r="A13126" s="12"/>
      <c r="D13126" s="12"/>
      <c r="E13126" s="12"/>
      <c r="H13126" s="11" t="str">
        <f ca="1">IFERROR(__xludf.DUMMYFUNCTION("IFERROR(SUBSTITUTE(SUBSTITUTE(REGEXEXTRACT(A13126, ""[^-]+- [^-]+- [^-]+ - (.+?)\.jpg""), "".jpg"", """"), ""-"", "", ""), """")"),"")</f>
        <v/>
      </c>
      <c r="L13126" s="12"/>
      <c r="M13126" s="13"/>
      <c r="N13126" s="2"/>
      <c r="O13126" s="20"/>
      <c r="P13126" s="42"/>
      <c r="R13126" s="23"/>
    </row>
    <row r="13127" spans="1:18" ht="12.75">
      <c r="A13127" s="12"/>
      <c r="D13127" s="12"/>
      <c r="E13127" s="12"/>
      <c r="H13127" s="11" t="str">
        <f ca="1">IFERROR(__xludf.DUMMYFUNCTION("IFERROR(SUBSTITUTE(SUBSTITUTE(REGEXEXTRACT(A13127, ""[^-]+- [^-]+- [^-]+ - (.+?)\.jpg""), "".jpg"", """"), ""-"", "", ""), """")"),"")</f>
        <v/>
      </c>
      <c r="L13127" s="12"/>
      <c r="M13127" s="13"/>
      <c r="N13127" s="2"/>
      <c r="O13127" s="20"/>
      <c r="P13127" s="42"/>
      <c r="R13127" s="23"/>
    </row>
    <row r="13128" spans="1:18" ht="12.75">
      <c r="A13128" s="12"/>
      <c r="D13128" s="12"/>
      <c r="E13128" s="12"/>
      <c r="H13128" s="11" t="str">
        <f ca="1">IFERROR(__xludf.DUMMYFUNCTION("IFERROR(SUBSTITUTE(SUBSTITUTE(REGEXEXTRACT(A13128, ""[^-]+- [^-]+- [^-]+ - (.+?)\.jpg""), "".jpg"", """"), ""-"", "", ""), """")"),"")</f>
        <v/>
      </c>
      <c r="L13128" s="12"/>
      <c r="M13128" s="13"/>
      <c r="N13128" s="2"/>
      <c r="O13128" s="20"/>
      <c r="P13128" s="42"/>
      <c r="R13128" s="23"/>
    </row>
    <row r="13129" spans="1:18" ht="12.75">
      <c r="A13129" s="12"/>
      <c r="D13129" s="12"/>
      <c r="E13129" s="12"/>
      <c r="H13129" s="11" t="str">
        <f ca="1">IFERROR(__xludf.DUMMYFUNCTION("IFERROR(SUBSTITUTE(SUBSTITUTE(REGEXEXTRACT(A13129, ""[^-]+- [^-]+- [^-]+ - (.+?)\.jpg""), "".jpg"", """"), ""-"", "", ""), """")"),"")</f>
        <v/>
      </c>
      <c r="L13129" s="12"/>
      <c r="M13129" s="13"/>
      <c r="N13129" s="2"/>
      <c r="O13129" s="20"/>
      <c r="P13129" s="42"/>
      <c r="R13129" s="23"/>
    </row>
    <row r="13130" spans="1:18" ht="12.75">
      <c r="A13130" s="12"/>
      <c r="D13130" s="12"/>
      <c r="E13130" s="12"/>
      <c r="H13130" s="11" t="str">
        <f ca="1">IFERROR(__xludf.DUMMYFUNCTION("IFERROR(SUBSTITUTE(SUBSTITUTE(REGEXEXTRACT(A13130, ""[^-]+- [^-]+- [^-]+ - (.+?)\.jpg""), "".jpg"", """"), ""-"", "", ""), """")"),"")</f>
        <v/>
      </c>
      <c r="L13130" s="12"/>
      <c r="M13130" s="13"/>
      <c r="N13130" s="2"/>
      <c r="O13130" s="20"/>
      <c r="P13130" s="42"/>
      <c r="R13130" s="23"/>
    </row>
    <row r="13131" spans="1:18" ht="12.75">
      <c r="A13131" s="12"/>
      <c r="D13131" s="12"/>
      <c r="E13131" s="12"/>
      <c r="H13131" s="11" t="str">
        <f ca="1">IFERROR(__xludf.DUMMYFUNCTION("IFERROR(SUBSTITUTE(SUBSTITUTE(REGEXEXTRACT(A13131, ""[^-]+- [^-]+- [^-]+ - (.+?)\.jpg""), "".jpg"", """"), ""-"", "", ""), """")"),"")</f>
        <v/>
      </c>
      <c r="L13131" s="12"/>
      <c r="M13131" s="13"/>
      <c r="N13131" s="2"/>
      <c r="O13131" s="20"/>
      <c r="P13131" s="42"/>
      <c r="R13131" s="23"/>
    </row>
    <row r="13132" spans="1:18" ht="12.75">
      <c r="A13132" s="12"/>
      <c r="D13132" s="12"/>
      <c r="E13132" s="12"/>
      <c r="H13132" s="11" t="str">
        <f ca="1">IFERROR(__xludf.DUMMYFUNCTION("IFERROR(SUBSTITUTE(SUBSTITUTE(REGEXEXTRACT(A13132, ""[^-]+- [^-]+- [^-]+ - (.+?)\.jpg""), "".jpg"", """"), ""-"", "", ""), """")"),"")</f>
        <v/>
      </c>
      <c r="L13132" s="12"/>
      <c r="M13132" s="13"/>
      <c r="N13132" s="2"/>
      <c r="O13132" s="20"/>
      <c r="P13132" s="42"/>
      <c r="R13132" s="23"/>
    </row>
    <row r="13133" spans="1:18" ht="12.75">
      <c r="A13133" s="12"/>
      <c r="D13133" s="12"/>
      <c r="E13133" s="12"/>
      <c r="H13133" s="11" t="str">
        <f ca="1">IFERROR(__xludf.DUMMYFUNCTION("IFERROR(SUBSTITUTE(SUBSTITUTE(REGEXEXTRACT(A13133, ""[^-]+- [^-]+- [^-]+ - (.+?)\.jpg""), "".jpg"", """"), ""-"", "", ""), """")"),"")</f>
        <v/>
      </c>
      <c r="L13133" s="12"/>
      <c r="M13133" s="13"/>
      <c r="N13133" s="2"/>
      <c r="O13133" s="20"/>
      <c r="P13133" s="42"/>
      <c r="R13133" s="23"/>
    </row>
    <row r="13134" spans="1:18" ht="12.75">
      <c r="A13134" s="12"/>
      <c r="D13134" s="12"/>
      <c r="E13134" s="12"/>
      <c r="H13134" s="11" t="str">
        <f ca="1">IFERROR(__xludf.DUMMYFUNCTION("IFERROR(SUBSTITUTE(SUBSTITUTE(REGEXEXTRACT(A13134, ""[^-]+- [^-]+- [^-]+ - (.+?)\.jpg""), "".jpg"", """"), ""-"", "", ""), """")"),"")</f>
        <v/>
      </c>
      <c r="L13134" s="12"/>
      <c r="M13134" s="13"/>
      <c r="N13134" s="2"/>
      <c r="O13134" s="20"/>
      <c r="P13134" s="42"/>
      <c r="R13134" s="23"/>
    </row>
    <row r="13135" spans="1:18" ht="12.75">
      <c r="A13135" s="12"/>
      <c r="D13135" s="12"/>
      <c r="E13135" s="12"/>
      <c r="H13135" s="11" t="str">
        <f ca="1">IFERROR(__xludf.DUMMYFUNCTION("IFERROR(SUBSTITUTE(SUBSTITUTE(REGEXEXTRACT(A13135, ""[^-]+- [^-]+- [^-]+ - (.+?)\.jpg""), "".jpg"", """"), ""-"", "", ""), """")"),"")</f>
        <v/>
      </c>
      <c r="L13135" s="12"/>
      <c r="M13135" s="13"/>
      <c r="N13135" s="2"/>
      <c r="O13135" s="20"/>
      <c r="P13135" s="42"/>
      <c r="R13135" s="23"/>
    </row>
    <row r="13136" spans="1:18" ht="12.75">
      <c r="A13136" s="12"/>
      <c r="D13136" s="12"/>
      <c r="E13136" s="12"/>
      <c r="H13136" s="11" t="str">
        <f ca="1">IFERROR(__xludf.DUMMYFUNCTION("IFERROR(SUBSTITUTE(SUBSTITUTE(REGEXEXTRACT(A13136, ""[^-]+- [^-]+- [^-]+ - (.+?)\.jpg""), "".jpg"", """"), ""-"", "", ""), """")"),"")</f>
        <v/>
      </c>
      <c r="L13136" s="12"/>
      <c r="M13136" s="13"/>
      <c r="N13136" s="2"/>
      <c r="O13136" s="20"/>
      <c r="P13136" s="42"/>
      <c r="R13136" s="23"/>
    </row>
    <row r="13137" spans="1:18" ht="12.75">
      <c r="A13137" s="12"/>
      <c r="D13137" s="12"/>
      <c r="E13137" s="12"/>
      <c r="H13137" s="11" t="str">
        <f ca="1">IFERROR(__xludf.DUMMYFUNCTION("IFERROR(SUBSTITUTE(SUBSTITUTE(REGEXEXTRACT(A13137, ""[^-]+- [^-]+- [^-]+ - (.+?)\.jpg""), "".jpg"", """"), ""-"", "", ""), """")"),"")</f>
        <v/>
      </c>
      <c r="L13137" s="12"/>
      <c r="M13137" s="13"/>
      <c r="N13137" s="2"/>
      <c r="O13137" s="20"/>
      <c r="P13137" s="42"/>
      <c r="R13137" s="23"/>
    </row>
    <row r="13138" spans="1:18" ht="12.75">
      <c r="A13138" s="12"/>
      <c r="D13138" s="12"/>
      <c r="E13138" s="12"/>
      <c r="H13138" s="11" t="str">
        <f ca="1">IFERROR(__xludf.DUMMYFUNCTION("IFERROR(SUBSTITUTE(SUBSTITUTE(REGEXEXTRACT(A13138, ""[^-]+- [^-]+- [^-]+ - (.+?)\.jpg""), "".jpg"", """"), ""-"", "", ""), """")"),"")</f>
        <v/>
      </c>
      <c r="L13138" s="12"/>
      <c r="M13138" s="13"/>
      <c r="N13138" s="2"/>
      <c r="O13138" s="20"/>
      <c r="P13138" s="42"/>
      <c r="R13138" s="23"/>
    </row>
    <row r="13139" spans="1:18" ht="12.75">
      <c r="A13139" s="12"/>
      <c r="D13139" s="12"/>
      <c r="E13139" s="12"/>
      <c r="H13139" s="11" t="str">
        <f ca="1">IFERROR(__xludf.DUMMYFUNCTION("IFERROR(SUBSTITUTE(SUBSTITUTE(REGEXEXTRACT(A13139, ""[^-]+- [^-]+- [^-]+ - (.+?)\.jpg""), "".jpg"", """"), ""-"", "", ""), """")"),"")</f>
        <v/>
      </c>
      <c r="L13139" s="12"/>
      <c r="M13139" s="13"/>
      <c r="N13139" s="2"/>
      <c r="O13139" s="20"/>
      <c r="P13139" s="42"/>
      <c r="R13139" s="23"/>
    </row>
    <row r="13140" spans="1:18" ht="12.75">
      <c r="A13140" s="12"/>
      <c r="D13140" s="12"/>
      <c r="E13140" s="12"/>
      <c r="H13140" s="11" t="str">
        <f ca="1">IFERROR(__xludf.DUMMYFUNCTION("IFERROR(SUBSTITUTE(SUBSTITUTE(REGEXEXTRACT(A13140, ""[^-]+- [^-]+- [^-]+ - (.+?)\.jpg""), "".jpg"", """"), ""-"", "", ""), """")"),"")</f>
        <v/>
      </c>
      <c r="L13140" s="12"/>
      <c r="M13140" s="13"/>
      <c r="N13140" s="2"/>
      <c r="O13140" s="20"/>
      <c r="P13140" s="42"/>
      <c r="R13140" s="23"/>
    </row>
    <row r="13141" spans="1:18" ht="12.75">
      <c r="A13141" s="12"/>
      <c r="D13141" s="12"/>
      <c r="E13141" s="12"/>
      <c r="H13141" s="11" t="str">
        <f ca="1">IFERROR(__xludf.DUMMYFUNCTION("IFERROR(SUBSTITUTE(SUBSTITUTE(REGEXEXTRACT(A13141, ""[^-]+- [^-]+- [^-]+ - (.+?)\.jpg""), "".jpg"", """"), ""-"", "", ""), """")"),"")</f>
        <v/>
      </c>
      <c r="L13141" s="12"/>
      <c r="M13141" s="13"/>
      <c r="N13141" s="2"/>
      <c r="O13141" s="20"/>
      <c r="P13141" s="42"/>
      <c r="R13141" s="23"/>
    </row>
    <row r="13142" spans="1:18" ht="12.75">
      <c r="A13142" s="12"/>
      <c r="D13142" s="12"/>
      <c r="E13142" s="12"/>
      <c r="H13142" s="11" t="str">
        <f ca="1">IFERROR(__xludf.DUMMYFUNCTION("IFERROR(SUBSTITUTE(SUBSTITUTE(REGEXEXTRACT(A13142, ""[^-]+- [^-]+- [^-]+ - (.+?)\.jpg""), "".jpg"", """"), ""-"", "", ""), """")"),"")</f>
        <v/>
      </c>
      <c r="L13142" s="12"/>
      <c r="M13142" s="13"/>
      <c r="N13142" s="2"/>
      <c r="O13142" s="20"/>
      <c r="P13142" s="42"/>
      <c r="R13142" s="23"/>
    </row>
    <row r="13143" spans="1:18" ht="12.75">
      <c r="A13143" s="12"/>
      <c r="D13143" s="12"/>
      <c r="E13143" s="12"/>
      <c r="H13143" s="11" t="str">
        <f ca="1">IFERROR(__xludf.DUMMYFUNCTION("IFERROR(SUBSTITUTE(SUBSTITUTE(REGEXEXTRACT(A13143, ""[^-]+- [^-]+- [^-]+ - (.+?)\.jpg""), "".jpg"", """"), ""-"", "", ""), """")"),"")</f>
        <v/>
      </c>
      <c r="L13143" s="12"/>
      <c r="M13143" s="13"/>
      <c r="N13143" s="2"/>
      <c r="O13143" s="20"/>
      <c r="P13143" s="42"/>
      <c r="R13143" s="23"/>
    </row>
    <row r="13144" spans="1:18" ht="12.75">
      <c r="A13144" s="12"/>
      <c r="D13144" s="12"/>
      <c r="E13144" s="12"/>
      <c r="H13144" s="11" t="str">
        <f ca="1">IFERROR(__xludf.DUMMYFUNCTION("IFERROR(SUBSTITUTE(SUBSTITUTE(REGEXEXTRACT(A13144, ""[^-]+- [^-]+- [^-]+ - (.+?)\.jpg""), "".jpg"", """"), ""-"", "", ""), """")"),"")</f>
        <v/>
      </c>
      <c r="L13144" s="12"/>
      <c r="M13144" s="13"/>
      <c r="N13144" s="2"/>
      <c r="O13144" s="20"/>
      <c r="P13144" s="42"/>
      <c r="R13144" s="23"/>
    </row>
    <row r="13145" spans="1:18" ht="12.75">
      <c r="A13145" s="12"/>
      <c r="D13145" s="12"/>
      <c r="E13145" s="12"/>
      <c r="H13145" s="11" t="str">
        <f ca="1">IFERROR(__xludf.DUMMYFUNCTION("IFERROR(SUBSTITUTE(SUBSTITUTE(REGEXEXTRACT(A13145, ""[^-]+- [^-]+- [^-]+ - (.+?)\.jpg""), "".jpg"", """"), ""-"", "", ""), """")"),"")</f>
        <v/>
      </c>
      <c r="L13145" s="12"/>
      <c r="M13145" s="13"/>
      <c r="N13145" s="2"/>
      <c r="O13145" s="20"/>
      <c r="P13145" s="42"/>
      <c r="R13145" s="23"/>
    </row>
    <row r="13146" spans="1:18" ht="12.75">
      <c r="A13146" s="12"/>
      <c r="D13146" s="12"/>
      <c r="E13146" s="12"/>
      <c r="H13146" s="11" t="str">
        <f ca="1">IFERROR(__xludf.DUMMYFUNCTION("IFERROR(SUBSTITUTE(SUBSTITUTE(REGEXEXTRACT(A13146, ""[^-]+- [^-]+- [^-]+ - (.+?)\.jpg""), "".jpg"", """"), ""-"", "", ""), """")"),"")</f>
        <v/>
      </c>
      <c r="L13146" s="12"/>
      <c r="M13146" s="13"/>
      <c r="N13146" s="2"/>
      <c r="O13146" s="20"/>
      <c r="P13146" s="42"/>
      <c r="R13146" s="23"/>
    </row>
    <row r="13147" spans="1:18" ht="12.75">
      <c r="A13147" s="12"/>
      <c r="D13147" s="12"/>
      <c r="E13147" s="12"/>
      <c r="H13147" s="11" t="str">
        <f ca="1">IFERROR(__xludf.DUMMYFUNCTION("IFERROR(SUBSTITUTE(SUBSTITUTE(REGEXEXTRACT(A13147, ""[^-]+- [^-]+- [^-]+ - (.+?)\.jpg""), "".jpg"", """"), ""-"", "", ""), """")"),"")</f>
        <v/>
      </c>
      <c r="L13147" s="12"/>
      <c r="M13147" s="13"/>
      <c r="N13147" s="2"/>
      <c r="O13147" s="20"/>
      <c r="P13147" s="42"/>
      <c r="R13147" s="23"/>
    </row>
    <row r="13148" spans="1:18" ht="12.75">
      <c r="A13148" s="12"/>
      <c r="D13148" s="12"/>
      <c r="E13148" s="12"/>
      <c r="H13148" s="11" t="str">
        <f ca="1">IFERROR(__xludf.DUMMYFUNCTION("IFERROR(SUBSTITUTE(SUBSTITUTE(REGEXEXTRACT(A13148, ""[^-]+- [^-]+- [^-]+ - (.+?)\.jpg""), "".jpg"", """"), ""-"", "", ""), """")"),"")</f>
        <v/>
      </c>
      <c r="L13148" s="12"/>
      <c r="M13148" s="13"/>
      <c r="N13148" s="2"/>
      <c r="O13148" s="20"/>
      <c r="P13148" s="42"/>
      <c r="R13148" s="23"/>
    </row>
    <row r="13149" spans="1:18" ht="12.75">
      <c r="A13149" s="12"/>
      <c r="D13149" s="12"/>
      <c r="E13149" s="12"/>
      <c r="H13149" s="11" t="str">
        <f ca="1">IFERROR(__xludf.DUMMYFUNCTION("IFERROR(SUBSTITUTE(SUBSTITUTE(REGEXEXTRACT(A13149, ""[^-]+- [^-]+- [^-]+ - (.+?)\.jpg""), "".jpg"", """"), ""-"", "", ""), """")"),"")</f>
        <v/>
      </c>
      <c r="L13149" s="12"/>
      <c r="M13149" s="13"/>
      <c r="N13149" s="2"/>
      <c r="O13149" s="20"/>
      <c r="P13149" s="42"/>
      <c r="R13149" s="23"/>
    </row>
    <row r="13150" spans="1:18" ht="12.75">
      <c r="A13150" s="12"/>
      <c r="D13150" s="12"/>
      <c r="E13150" s="12"/>
      <c r="H13150" s="11" t="str">
        <f ca="1">IFERROR(__xludf.DUMMYFUNCTION("IFERROR(SUBSTITUTE(SUBSTITUTE(REGEXEXTRACT(A13150, ""[^-]+- [^-]+- [^-]+ - (.+?)\.jpg""), "".jpg"", """"), ""-"", "", ""), """")"),"")</f>
        <v/>
      </c>
      <c r="L13150" s="12"/>
      <c r="M13150" s="13"/>
      <c r="N13150" s="2"/>
      <c r="O13150" s="20"/>
      <c r="P13150" s="42"/>
      <c r="R13150" s="23"/>
    </row>
    <row r="13151" spans="1:18" ht="12.75">
      <c r="A13151" s="12"/>
      <c r="D13151" s="12"/>
      <c r="E13151" s="12"/>
      <c r="H13151" s="11" t="str">
        <f ca="1">IFERROR(__xludf.DUMMYFUNCTION("IFERROR(SUBSTITUTE(SUBSTITUTE(REGEXEXTRACT(A13151, ""[^-]+- [^-]+- [^-]+ - (.+?)\.jpg""), "".jpg"", """"), ""-"", "", ""), """")"),"")</f>
        <v/>
      </c>
      <c r="L13151" s="12"/>
      <c r="M13151" s="13"/>
      <c r="N13151" s="2"/>
      <c r="O13151" s="20"/>
      <c r="P13151" s="42"/>
      <c r="R13151" s="23"/>
    </row>
    <row r="13152" spans="1:18" ht="12.75">
      <c r="A13152" s="12"/>
      <c r="D13152" s="12"/>
      <c r="E13152" s="12"/>
      <c r="H13152" s="11" t="str">
        <f ca="1">IFERROR(__xludf.DUMMYFUNCTION("IFERROR(SUBSTITUTE(SUBSTITUTE(REGEXEXTRACT(A13152, ""[^-]+- [^-]+- [^-]+ - (.+?)\.jpg""), "".jpg"", """"), ""-"", "", ""), """")"),"")</f>
        <v/>
      </c>
      <c r="L13152" s="12"/>
      <c r="M13152" s="13"/>
      <c r="N13152" s="2"/>
      <c r="O13152" s="20"/>
      <c r="P13152" s="42"/>
      <c r="R13152" s="23"/>
    </row>
    <row r="13153" spans="1:18" ht="12.75">
      <c r="A13153" s="12"/>
      <c r="D13153" s="12"/>
      <c r="E13153" s="12"/>
      <c r="H13153" s="11" t="str">
        <f ca="1">IFERROR(__xludf.DUMMYFUNCTION("IFERROR(SUBSTITUTE(SUBSTITUTE(REGEXEXTRACT(A13153, ""[^-]+- [^-]+- [^-]+ - (.+?)\.jpg""), "".jpg"", """"), ""-"", "", ""), """")"),"")</f>
        <v/>
      </c>
      <c r="L13153" s="12"/>
      <c r="M13153" s="13"/>
      <c r="N13153" s="2"/>
      <c r="O13153" s="20"/>
      <c r="P13153" s="42"/>
      <c r="R13153" s="23"/>
    </row>
    <row r="13154" spans="1:18" ht="12.75">
      <c r="A13154" s="12"/>
      <c r="D13154" s="12"/>
      <c r="E13154" s="12"/>
      <c r="H13154" s="11" t="str">
        <f ca="1">IFERROR(__xludf.DUMMYFUNCTION("IFERROR(SUBSTITUTE(SUBSTITUTE(REGEXEXTRACT(A13154, ""[^-]+- [^-]+- [^-]+ - (.+?)\.jpg""), "".jpg"", """"), ""-"", "", ""), """")"),"")</f>
        <v/>
      </c>
      <c r="L13154" s="12"/>
      <c r="M13154" s="13"/>
      <c r="N13154" s="2"/>
      <c r="O13154" s="20"/>
      <c r="P13154" s="42"/>
      <c r="R13154" s="23"/>
    </row>
    <row r="13155" spans="1:18" ht="12.75">
      <c r="A13155" s="12"/>
      <c r="D13155" s="12"/>
      <c r="E13155" s="12"/>
      <c r="H13155" s="11" t="str">
        <f ca="1">IFERROR(__xludf.DUMMYFUNCTION("IFERROR(SUBSTITUTE(SUBSTITUTE(REGEXEXTRACT(A13155, ""[^-]+- [^-]+- [^-]+ - (.+?)\.jpg""), "".jpg"", """"), ""-"", "", ""), """")"),"")</f>
        <v/>
      </c>
      <c r="L13155" s="12"/>
      <c r="M13155" s="13"/>
      <c r="N13155" s="2"/>
      <c r="O13155" s="20"/>
      <c r="P13155" s="42"/>
      <c r="R13155" s="23"/>
    </row>
    <row r="13156" spans="1:18" ht="12.75">
      <c r="A13156" s="12"/>
      <c r="D13156" s="12"/>
      <c r="E13156" s="12"/>
      <c r="H13156" s="11" t="str">
        <f ca="1">IFERROR(__xludf.DUMMYFUNCTION("IFERROR(SUBSTITUTE(SUBSTITUTE(REGEXEXTRACT(A13156, ""[^-]+- [^-]+- [^-]+ - (.+?)\.jpg""), "".jpg"", """"), ""-"", "", ""), """")"),"")</f>
        <v/>
      </c>
      <c r="L13156" s="12"/>
      <c r="M13156" s="13"/>
      <c r="N13156" s="2"/>
      <c r="O13156" s="20"/>
      <c r="P13156" s="42"/>
      <c r="R13156" s="23"/>
    </row>
    <row r="13157" spans="1:18" ht="12.75">
      <c r="A13157" s="12"/>
      <c r="D13157" s="12"/>
      <c r="E13157" s="12"/>
      <c r="H13157" s="11" t="str">
        <f ca="1">IFERROR(__xludf.DUMMYFUNCTION("IFERROR(SUBSTITUTE(SUBSTITUTE(REGEXEXTRACT(A13157, ""[^-]+- [^-]+- [^-]+ - (.+?)\.jpg""), "".jpg"", """"), ""-"", "", ""), """")"),"")</f>
        <v/>
      </c>
      <c r="L13157" s="12"/>
      <c r="M13157" s="13"/>
      <c r="N13157" s="2"/>
      <c r="O13157" s="20"/>
      <c r="P13157" s="42"/>
      <c r="R13157" s="23"/>
    </row>
    <row r="13158" spans="1:18" ht="12.75">
      <c r="A13158" s="12"/>
      <c r="D13158" s="12"/>
      <c r="E13158" s="12"/>
      <c r="H13158" s="11" t="str">
        <f ca="1">IFERROR(__xludf.DUMMYFUNCTION("IFERROR(SUBSTITUTE(SUBSTITUTE(REGEXEXTRACT(A13158, ""[^-]+- [^-]+- [^-]+ - (.+?)\.jpg""), "".jpg"", """"), ""-"", "", ""), """")"),"")</f>
        <v/>
      </c>
      <c r="L13158" s="12"/>
      <c r="M13158" s="13"/>
      <c r="N13158" s="2"/>
      <c r="O13158" s="20"/>
      <c r="P13158" s="42"/>
      <c r="R13158" s="23"/>
    </row>
    <row r="13159" spans="1:18" ht="12.75">
      <c r="A13159" s="12"/>
      <c r="D13159" s="12"/>
      <c r="E13159" s="12"/>
      <c r="H13159" s="11" t="str">
        <f ca="1">IFERROR(__xludf.DUMMYFUNCTION("IFERROR(SUBSTITUTE(SUBSTITUTE(REGEXEXTRACT(A13159, ""[^-]+- [^-]+- [^-]+ - (.+?)\.jpg""), "".jpg"", """"), ""-"", "", ""), """")"),"")</f>
        <v/>
      </c>
      <c r="L13159" s="12"/>
      <c r="M13159" s="13"/>
      <c r="N13159" s="2"/>
      <c r="O13159" s="20"/>
      <c r="P13159" s="42"/>
      <c r="R13159" s="23"/>
    </row>
    <row r="13160" spans="1:18" ht="12.75">
      <c r="A13160" s="12"/>
      <c r="D13160" s="12"/>
      <c r="E13160" s="12"/>
      <c r="H13160" s="11" t="str">
        <f ca="1">IFERROR(__xludf.DUMMYFUNCTION("IFERROR(SUBSTITUTE(SUBSTITUTE(REGEXEXTRACT(A13160, ""[^-]+- [^-]+- [^-]+ - (.+?)\.jpg""), "".jpg"", """"), ""-"", "", ""), """")"),"")</f>
        <v/>
      </c>
      <c r="L13160" s="12"/>
      <c r="M13160" s="13"/>
      <c r="N13160" s="2"/>
      <c r="O13160" s="20"/>
      <c r="P13160" s="42"/>
      <c r="R13160" s="23"/>
    </row>
    <row r="13161" spans="1:18" ht="12.75">
      <c r="A13161" s="12"/>
      <c r="D13161" s="12"/>
      <c r="E13161" s="12"/>
      <c r="H13161" s="11" t="str">
        <f ca="1">IFERROR(__xludf.DUMMYFUNCTION("IFERROR(SUBSTITUTE(SUBSTITUTE(REGEXEXTRACT(A13161, ""[^-]+- [^-]+- [^-]+ - (.+?)\.jpg""), "".jpg"", """"), ""-"", "", ""), """")"),"")</f>
        <v/>
      </c>
      <c r="L13161" s="12"/>
      <c r="M13161" s="13"/>
      <c r="N13161" s="2"/>
      <c r="O13161" s="20"/>
      <c r="P13161" s="42"/>
      <c r="R13161" s="23"/>
    </row>
    <row r="13162" spans="1:18" ht="12.75">
      <c r="A13162" s="12"/>
      <c r="D13162" s="12"/>
      <c r="E13162" s="12"/>
      <c r="H13162" s="11" t="str">
        <f ca="1">IFERROR(__xludf.DUMMYFUNCTION("IFERROR(SUBSTITUTE(SUBSTITUTE(REGEXEXTRACT(A13162, ""[^-]+- [^-]+- [^-]+ - (.+?)\.jpg""), "".jpg"", """"), ""-"", "", ""), """")"),"")</f>
        <v/>
      </c>
      <c r="L13162" s="12"/>
      <c r="M13162" s="13"/>
      <c r="N13162" s="2"/>
      <c r="O13162" s="20"/>
      <c r="P13162" s="42"/>
      <c r="R13162" s="23"/>
    </row>
    <row r="13163" spans="1:18" ht="12.75">
      <c r="A13163" s="12"/>
      <c r="D13163" s="12"/>
      <c r="E13163" s="12"/>
      <c r="H13163" s="11" t="str">
        <f ca="1">IFERROR(__xludf.DUMMYFUNCTION("IFERROR(SUBSTITUTE(SUBSTITUTE(REGEXEXTRACT(A13163, ""[^-]+- [^-]+- [^-]+ - (.+?)\.jpg""), "".jpg"", """"), ""-"", "", ""), """")"),"")</f>
        <v/>
      </c>
      <c r="L13163" s="12"/>
      <c r="M13163" s="13"/>
      <c r="N13163" s="2"/>
      <c r="O13163" s="20"/>
      <c r="P13163" s="42"/>
      <c r="R13163" s="23"/>
    </row>
    <row r="13164" spans="1:18" ht="12.75">
      <c r="A13164" s="12"/>
      <c r="D13164" s="12"/>
      <c r="E13164" s="12"/>
      <c r="H13164" s="11" t="str">
        <f ca="1">IFERROR(__xludf.DUMMYFUNCTION("IFERROR(SUBSTITUTE(SUBSTITUTE(REGEXEXTRACT(A13164, ""[^-]+- [^-]+- [^-]+ - (.+?)\.jpg""), "".jpg"", """"), ""-"", "", ""), """")"),"")</f>
        <v/>
      </c>
      <c r="L13164" s="12"/>
      <c r="M13164" s="13"/>
      <c r="N13164" s="2"/>
      <c r="O13164" s="20"/>
      <c r="P13164" s="42"/>
      <c r="R13164" s="23"/>
    </row>
    <row r="13165" spans="1:18" ht="12.75">
      <c r="A13165" s="12"/>
      <c r="D13165" s="12"/>
      <c r="E13165" s="12"/>
      <c r="H13165" s="11" t="str">
        <f ca="1">IFERROR(__xludf.DUMMYFUNCTION("IFERROR(SUBSTITUTE(SUBSTITUTE(REGEXEXTRACT(A13165, ""[^-]+- [^-]+- [^-]+ - (.+?)\.jpg""), "".jpg"", """"), ""-"", "", ""), """")"),"")</f>
        <v/>
      </c>
      <c r="L13165" s="12"/>
      <c r="M13165" s="13"/>
      <c r="N13165" s="2"/>
      <c r="O13165" s="20"/>
      <c r="P13165" s="42"/>
      <c r="R13165" s="23"/>
    </row>
    <row r="13166" spans="1:18" ht="12.75">
      <c r="A13166" s="12"/>
      <c r="D13166" s="12"/>
      <c r="E13166" s="12"/>
      <c r="H13166" s="11" t="str">
        <f ca="1">IFERROR(__xludf.DUMMYFUNCTION("IFERROR(SUBSTITUTE(SUBSTITUTE(REGEXEXTRACT(A13166, ""[^-]+- [^-]+- [^-]+ - (.+?)\.jpg""), "".jpg"", """"), ""-"", "", ""), """")"),"")</f>
        <v/>
      </c>
      <c r="L13166" s="12"/>
      <c r="M13166" s="13"/>
      <c r="N13166" s="2"/>
      <c r="O13166" s="20"/>
      <c r="P13166" s="42"/>
      <c r="R13166" s="23"/>
    </row>
    <row r="13167" spans="1:18" ht="12.75">
      <c r="A13167" s="12"/>
      <c r="D13167" s="12"/>
      <c r="E13167" s="12"/>
      <c r="H13167" s="11" t="str">
        <f ca="1">IFERROR(__xludf.DUMMYFUNCTION("IFERROR(SUBSTITUTE(SUBSTITUTE(REGEXEXTRACT(A13167, ""[^-]+- [^-]+- [^-]+ - (.+?)\.jpg""), "".jpg"", """"), ""-"", "", ""), """")"),"")</f>
        <v/>
      </c>
      <c r="L13167" s="12"/>
      <c r="M13167" s="13"/>
      <c r="N13167" s="2"/>
      <c r="O13167" s="20"/>
      <c r="P13167" s="42"/>
      <c r="R13167" s="23"/>
    </row>
    <row r="13168" spans="1:18" ht="12.75">
      <c r="A13168" s="12"/>
      <c r="D13168" s="12"/>
      <c r="E13168" s="12"/>
      <c r="H13168" s="11" t="str">
        <f ca="1">IFERROR(__xludf.DUMMYFUNCTION("IFERROR(SUBSTITUTE(SUBSTITUTE(REGEXEXTRACT(A13168, ""[^-]+- [^-]+- [^-]+ - (.+?)\.jpg""), "".jpg"", """"), ""-"", "", ""), """")"),"")</f>
        <v/>
      </c>
      <c r="L13168" s="12"/>
      <c r="M13168" s="13"/>
      <c r="N13168" s="2"/>
      <c r="O13168" s="20"/>
      <c r="P13168" s="42"/>
      <c r="R13168" s="23"/>
    </row>
    <row r="13169" spans="1:18" ht="12.75">
      <c r="A13169" s="12"/>
      <c r="D13169" s="12"/>
      <c r="E13169" s="12"/>
      <c r="H13169" s="11" t="str">
        <f ca="1">IFERROR(__xludf.DUMMYFUNCTION("IFERROR(SUBSTITUTE(SUBSTITUTE(REGEXEXTRACT(A13169, ""[^-]+- [^-]+- [^-]+ - (.+?)\.jpg""), "".jpg"", """"), ""-"", "", ""), """")"),"")</f>
        <v/>
      </c>
      <c r="L13169" s="12"/>
      <c r="M13169" s="13"/>
      <c r="N13169" s="2"/>
      <c r="O13169" s="20"/>
      <c r="P13169" s="42"/>
      <c r="R13169" s="23"/>
    </row>
    <row r="13170" spans="1:18" ht="12.75">
      <c r="A13170" s="12"/>
      <c r="D13170" s="12"/>
      <c r="E13170" s="12"/>
      <c r="H13170" s="11" t="str">
        <f ca="1">IFERROR(__xludf.DUMMYFUNCTION("IFERROR(SUBSTITUTE(SUBSTITUTE(REGEXEXTRACT(A13170, ""[^-]+- [^-]+- [^-]+ - (.+?)\.jpg""), "".jpg"", """"), ""-"", "", ""), """")"),"")</f>
        <v/>
      </c>
      <c r="L13170" s="12"/>
      <c r="M13170" s="13"/>
      <c r="N13170" s="2"/>
      <c r="O13170" s="20"/>
      <c r="P13170" s="42"/>
      <c r="R13170" s="23"/>
    </row>
    <row r="13171" spans="1:18" ht="12.75">
      <c r="A13171" s="12"/>
      <c r="D13171" s="12"/>
      <c r="E13171" s="12"/>
      <c r="H13171" s="11" t="str">
        <f ca="1">IFERROR(__xludf.DUMMYFUNCTION("IFERROR(SUBSTITUTE(SUBSTITUTE(REGEXEXTRACT(A13171, ""[^-]+- [^-]+- [^-]+ - (.+?)\.jpg""), "".jpg"", """"), ""-"", "", ""), """")"),"")</f>
        <v/>
      </c>
      <c r="L13171" s="12"/>
      <c r="M13171" s="13"/>
      <c r="N13171" s="2"/>
      <c r="O13171" s="20"/>
      <c r="P13171" s="42"/>
      <c r="R13171" s="23"/>
    </row>
    <row r="13172" spans="1:18" ht="12.75">
      <c r="A13172" s="12"/>
      <c r="D13172" s="12"/>
      <c r="E13172" s="12"/>
      <c r="H13172" s="11" t="str">
        <f ca="1">IFERROR(__xludf.DUMMYFUNCTION("IFERROR(SUBSTITUTE(SUBSTITUTE(REGEXEXTRACT(A13172, ""[^-]+- [^-]+- [^-]+ - (.+?)\.jpg""), "".jpg"", """"), ""-"", "", ""), """")"),"")</f>
        <v/>
      </c>
      <c r="L13172" s="12"/>
      <c r="M13172" s="13"/>
      <c r="N13172" s="2"/>
      <c r="O13172" s="20"/>
      <c r="P13172" s="42"/>
      <c r="R13172" s="23"/>
    </row>
    <row r="13173" spans="1:18" ht="12.75">
      <c r="A13173" s="12"/>
      <c r="D13173" s="12"/>
      <c r="E13173" s="12"/>
      <c r="H13173" s="11" t="str">
        <f ca="1">IFERROR(__xludf.DUMMYFUNCTION("IFERROR(SUBSTITUTE(SUBSTITUTE(REGEXEXTRACT(A13173, ""[^-]+- [^-]+- [^-]+ - (.+?)\.jpg""), "".jpg"", """"), ""-"", "", ""), """")"),"")</f>
        <v/>
      </c>
      <c r="L13173" s="12"/>
      <c r="M13173" s="13"/>
      <c r="N13173" s="2"/>
      <c r="O13173" s="20"/>
      <c r="P13173" s="42"/>
      <c r="R13173" s="23"/>
    </row>
    <row r="13174" spans="1:18" ht="12.75">
      <c r="A13174" s="12"/>
      <c r="D13174" s="12"/>
      <c r="E13174" s="12"/>
      <c r="H13174" s="11" t="str">
        <f ca="1">IFERROR(__xludf.DUMMYFUNCTION("IFERROR(SUBSTITUTE(SUBSTITUTE(REGEXEXTRACT(A13174, ""[^-]+- [^-]+- [^-]+ - (.+?)\.jpg""), "".jpg"", """"), ""-"", "", ""), """")"),"")</f>
        <v/>
      </c>
      <c r="L13174" s="12"/>
      <c r="M13174" s="13"/>
      <c r="N13174" s="2"/>
      <c r="O13174" s="20"/>
      <c r="P13174" s="42"/>
      <c r="R13174" s="23"/>
    </row>
    <row r="13175" spans="1:18" ht="12.75">
      <c r="A13175" s="12"/>
      <c r="D13175" s="12"/>
      <c r="E13175" s="12"/>
      <c r="H13175" s="11" t="str">
        <f ca="1">IFERROR(__xludf.DUMMYFUNCTION("IFERROR(SUBSTITUTE(SUBSTITUTE(REGEXEXTRACT(A13175, ""[^-]+- [^-]+- [^-]+ - (.+?)\.jpg""), "".jpg"", """"), ""-"", "", ""), """")"),"")</f>
        <v/>
      </c>
      <c r="L13175" s="12"/>
      <c r="M13175" s="13"/>
      <c r="N13175" s="2"/>
      <c r="O13175" s="20"/>
      <c r="P13175" s="42"/>
      <c r="R13175" s="23"/>
    </row>
    <row r="13176" spans="1:18" ht="12.75">
      <c r="A13176" s="12"/>
      <c r="D13176" s="12"/>
      <c r="E13176" s="12"/>
      <c r="H13176" s="11" t="str">
        <f ca="1">IFERROR(__xludf.DUMMYFUNCTION("IFERROR(SUBSTITUTE(SUBSTITUTE(REGEXEXTRACT(A13176, ""[^-]+- [^-]+- [^-]+ - (.+?)\.jpg""), "".jpg"", """"), ""-"", "", ""), """")"),"")</f>
        <v/>
      </c>
      <c r="L13176" s="12"/>
      <c r="M13176" s="13"/>
      <c r="N13176" s="2"/>
      <c r="O13176" s="20"/>
      <c r="P13176" s="42"/>
      <c r="R13176" s="23"/>
    </row>
    <row r="13177" spans="1:18" ht="12.75">
      <c r="A13177" s="12"/>
      <c r="D13177" s="12"/>
      <c r="E13177" s="12"/>
      <c r="H13177" s="11" t="str">
        <f ca="1">IFERROR(__xludf.DUMMYFUNCTION("IFERROR(SUBSTITUTE(SUBSTITUTE(REGEXEXTRACT(A13177, ""[^-]+- [^-]+- [^-]+ - (.+?)\.jpg""), "".jpg"", """"), ""-"", "", ""), """")"),"")</f>
        <v/>
      </c>
      <c r="L13177" s="12"/>
      <c r="M13177" s="13"/>
      <c r="N13177" s="2"/>
      <c r="O13177" s="20"/>
      <c r="P13177" s="42"/>
      <c r="R13177" s="23"/>
    </row>
    <row r="13178" spans="1:18" ht="12.75">
      <c r="A13178" s="12"/>
      <c r="D13178" s="12"/>
      <c r="E13178" s="12"/>
      <c r="H13178" s="11" t="str">
        <f ca="1">IFERROR(__xludf.DUMMYFUNCTION("IFERROR(SUBSTITUTE(SUBSTITUTE(REGEXEXTRACT(A13178, ""[^-]+- [^-]+- [^-]+ - (.+?)\.jpg""), "".jpg"", """"), ""-"", "", ""), """")"),"")</f>
        <v/>
      </c>
      <c r="L13178" s="12"/>
      <c r="M13178" s="13"/>
      <c r="N13178" s="2"/>
      <c r="O13178" s="20"/>
      <c r="P13178" s="42"/>
      <c r="R13178" s="23"/>
    </row>
    <row r="13179" spans="1:18" ht="12.75">
      <c r="A13179" s="12"/>
      <c r="D13179" s="12"/>
      <c r="E13179" s="12"/>
      <c r="H13179" s="11" t="str">
        <f ca="1">IFERROR(__xludf.DUMMYFUNCTION("IFERROR(SUBSTITUTE(SUBSTITUTE(REGEXEXTRACT(A13179, ""[^-]+- [^-]+- [^-]+ - (.+?)\.jpg""), "".jpg"", """"), ""-"", "", ""), """")"),"")</f>
        <v/>
      </c>
      <c r="L13179" s="12"/>
      <c r="M13179" s="13"/>
      <c r="N13179" s="2"/>
      <c r="O13179" s="20"/>
      <c r="P13179" s="42"/>
      <c r="R13179" s="23"/>
    </row>
    <row r="13180" spans="1:18" ht="12.75">
      <c r="A13180" s="12"/>
      <c r="D13180" s="12"/>
      <c r="E13180" s="12"/>
      <c r="H13180" s="11" t="str">
        <f ca="1">IFERROR(__xludf.DUMMYFUNCTION("IFERROR(SUBSTITUTE(SUBSTITUTE(REGEXEXTRACT(A13180, ""[^-]+- [^-]+- [^-]+ - (.+?)\.jpg""), "".jpg"", """"), ""-"", "", ""), """")"),"")</f>
        <v/>
      </c>
      <c r="L13180" s="12"/>
      <c r="M13180" s="13"/>
      <c r="N13180" s="2"/>
      <c r="O13180" s="20"/>
      <c r="P13180" s="42"/>
      <c r="R13180" s="23"/>
    </row>
    <row r="13181" spans="1:18" ht="12.75">
      <c r="A13181" s="12"/>
      <c r="D13181" s="12"/>
      <c r="E13181" s="12"/>
      <c r="H13181" s="11" t="str">
        <f ca="1">IFERROR(__xludf.DUMMYFUNCTION("IFERROR(SUBSTITUTE(SUBSTITUTE(REGEXEXTRACT(A13181, ""[^-]+- [^-]+- [^-]+ - (.+?)\.jpg""), "".jpg"", """"), ""-"", "", ""), """")"),"")</f>
        <v/>
      </c>
      <c r="L13181" s="12"/>
      <c r="M13181" s="13"/>
      <c r="N13181" s="2"/>
      <c r="O13181" s="20"/>
      <c r="P13181" s="42"/>
      <c r="R13181" s="23"/>
    </row>
    <row r="13182" spans="1:18" ht="12.75">
      <c r="A13182" s="12"/>
      <c r="D13182" s="12"/>
      <c r="E13182" s="12"/>
      <c r="H13182" s="11" t="str">
        <f ca="1">IFERROR(__xludf.DUMMYFUNCTION("IFERROR(SUBSTITUTE(SUBSTITUTE(REGEXEXTRACT(A13182, ""[^-]+- [^-]+- [^-]+ - (.+?)\.jpg""), "".jpg"", """"), ""-"", "", ""), """")"),"")</f>
        <v/>
      </c>
      <c r="L13182" s="12"/>
      <c r="M13182" s="13"/>
      <c r="N13182" s="2"/>
      <c r="O13182" s="20"/>
      <c r="P13182" s="42"/>
      <c r="R13182" s="23"/>
    </row>
    <row r="13183" spans="1:18" ht="12.75">
      <c r="A13183" s="12"/>
      <c r="D13183" s="12"/>
      <c r="E13183" s="12"/>
      <c r="H13183" s="11" t="str">
        <f ca="1">IFERROR(__xludf.DUMMYFUNCTION("IFERROR(SUBSTITUTE(SUBSTITUTE(REGEXEXTRACT(A13183, ""[^-]+- [^-]+- [^-]+ - (.+?)\.jpg""), "".jpg"", """"), ""-"", "", ""), """")"),"")</f>
        <v/>
      </c>
      <c r="L13183" s="12"/>
      <c r="M13183" s="13"/>
      <c r="N13183" s="2"/>
      <c r="O13183" s="20"/>
      <c r="P13183" s="42"/>
      <c r="R13183" s="23"/>
    </row>
    <row r="13184" spans="1:18" ht="12.75">
      <c r="A13184" s="12"/>
      <c r="D13184" s="12"/>
      <c r="E13184" s="12"/>
      <c r="H13184" s="11" t="str">
        <f ca="1">IFERROR(__xludf.DUMMYFUNCTION("IFERROR(SUBSTITUTE(SUBSTITUTE(REGEXEXTRACT(A13184, ""[^-]+- [^-]+- [^-]+ - (.+?)\.jpg""), "".jpg"", """"), ""-"", "", ""), """")"),"")</f>
        <v/>
      </c>
      <c r="L13184" s="12"/>
      <c r="M13184" s="13"/>
      <c r="N13184" s="2"/>
      <c r="O13184" s="20"/>
      <c r="P13184" s="42"/>
      <c r="R13184" s="23"/>
    </row>
    <row r="13185" spans="1:18" ht="12.75">
      <c r="A13185" s="12"/>
      <c r="D13185" s="12"/>
      <c r="E13185" s="12"/>
      <c r="H13185" s="11" t="str">
        <f ca="1">IFERROR(__xludf.DUMMYFUNCTION("IFERROR(SUBSTITUTE(SUBSTITUTE(REGEXEXTRACT(A13185, ""[^-]+- [^-]+- [^-]+ - (.+?)\.jpg""), "".jpg"", """"), ""-"", "", ""), """")"),"")</f>
        <v/>
      </c>
      <c r="L13185" s="12"/>
      <c r="M13185" s="13"/>
      <c r="N13185" s="2"/>
      <c r="O13185" s="20"/>
      <c r="P13185" s="42"/>
      <c r="R13185" s="23"/>
    </row>
    <row r="13186" spans="1:18" ht="12.75">
      <c r="A13186" s="12"/>
      <c r="D13186" s="12"/>
      <c r="E13186" s="12"/>
      <c r="H13186" s="11" t="str">
        <f ca="1">IFERROR(__xludf.DUMMYFUNCTION("IFERROR(SUBSTITUTE(SUBSTITUTE(REGEXEXTRACT(A13186, ""[^-]+- [^-]+- [^-]+ - (.+?)\.jpg""), "".jpg"", """"), ""-"", "", ""), """")"),"")</f>
        <v/>
      </c>
      <c r="L13186" s="12"/>
      <c r="M13186" s="13"/>
      <c r="N13186" s="2"/>
      <c r="O13186" s="20"/>
      <c r="P13186" s="42"/>
      <c r="R13186" s="23"/>
    </row>
    <row r="13187" spans="1:18" ht="12.75">
      <c r="A13187" s="12"/>
      <c r="D13187" s="12"/>
      <c r="E13187" s="12"/>
      <c r="H13187" s="11" t="str">
        <f ca="1">IFERROR(__xludf.DUMMYFUNCTION("IFERROR(SUBSTITUTE(SUBSTITUTE(REGEXEXTRACT(A13187, ""[^-]+- [^-]+- [^-]+ - (.+?)\.jpg""), "".jpg"", """"), ""-"", "", ""), """")"),"")</f>
        <v/>
      </c>
      <c r="L13187" s="12"/>
      <c r="M13187" s="13"/>
      <c r="N13187" s="2"/>
      <c r="O13187" s="20"/>
      <c r="P13187" s="42"/>
      <c r="R13187" s="23"/>
    </row>
    <row r="13188" spans="1:18" ht="12.75">
      <c r="A13188" s="12"/>
      <c r="D13188" s="12"/>
      <c r="E13188" s="12"/>
      <c r="H13188" s="11" t="str">
        <f ca="1">IFERROR(__xludf.DUMMYFUNCTION("IFERROR(SUBSTITUTE(SUBSTITUTE(REGEXEXTRACT(A13188, ""[^-]+- [^-]+- [^-]+ - (.+?)\.jpg""), "".jpg"", """"), ""-"", "", ""), """")"),"")</f>
        <v/>
      </c>
      <c r="L13188" s="12"/>
      <c r="M13188" s="13"/>
      <c r="N13188" s="2"/>
      <c r="O13188" s="20"/>
      <c r="P13188" s="42"/>
      <c r="R13188" s="23"/>
    </row>
    <row r="13189" spans="1:18" ht="12.75">
      <c r="A13189" s="12"/>
      <c r="D13189" s="12"/>
      <c r="E13189" s="12"/>
      <c r="H13189" s="11" t="str">
        <f ca="1">IFERROR(__xludf.DUMMYFUNCTION("IFERROR(SUBSTITUTE(SUBSTITUTE(REGEXEXTRACT(A13189, ""[^-]+- [^-]+- [^-]+ - (.+?)\.jpg""), "".jpg"", """"), ""-"", "", ""), """")"),"")</f>
        <v/>
      </c>
      <c r="L13189" s="12"/>
      <c r="M13189" s="13"/>
      <c r="N13189" s="2"/>
      <c r="O13189" s="20"/>
      <c r="P13189" s="42"/>
      <c r="R13189" s="23"/>
    </row>
    <row r="13190" spans="1:18" ht="12.75">
      <c r="A13190" s="12"/>
      <c r="D13190" s="12"/>
      <c r="E13190" s="12"/>
      <c r="H13190" s="11" t="str">
        <f ca="1">IFERROR(__xludf.DUMMYFUNCTION("IFERROR(SUBSTITUTE(SUBSTITUTE(REGEXEXTRACT(A13190, ""[^-]+- [^-]+- [^-]+ - (.+?)\.jpg""), "".jpg"", """"), ""-"", "", ""), """")"),"")</f>
        <v/>
      </c>
      <c r="L13190" s="12"/>
      <c r="M13190" s="13"/>
      <c r="N13190" s="2"/>
      <c r="O13190" s="20"/>
      <c r="P13190" s="42"/>
      <c r="R13190" s="23"/>
    </row>
    <row r="13191" spans="1:18" ht="12.75">
      <c r="A13191" s="12"/>
      <c r="D13191" s="12"/>
      <c r="E13191" s="12"/>
      <c r="H13191" s="11" t="str">
        <f ca="1">IFERROR(__xludf.DUMMYFUNCTION("IFERROR(SUBSTITUTE(SUBSTITUTE(REGEXEXTRACT(A13191, ""[^-]+- [^-]+- [^-]+ - (.+?)\.jpg""), "".jpg"", """"), ""-"", "", ""), """")"),"")</f>
        <v/>
      </c>
      <c r="L13191" s="12"/>
      <c r="M13191" s="13"/>
      <c r="N13191" s="2"/>
      <c r="O13191" s="20"/>
      <c r="P13191" s="42"/>
      <c r="R13191" s="23"/>
    </row>
    <row r="13192" spans="1:18" ht="12.75">
      <c r="A13192" s="12"/>
      <c r="D13192" s="12"/>
      <c r="E13192" s="12"/>
      <c r="H13192" s="11" t="str">
        <f ca="1">IFERROR(__xludf.DUMMYFUNCTION("IFERROR(SUBSTITUTE(SUBSTITUTE(REGEXEXTRACT(A13192, ""[^-]+- [^-]+- [^-]+ - (.+?)\.jpg""), "".jpg"", """"), ""-"", "", ""), """")"),"")</f>
        <v/>
      </c>
      <c r="L13192" s="12"/>
      <c r="M13192" s="13"/>
      <c r="N13192" s="2"/>
      <c r="O13192" s="20"/>
      <c r="P13192" s="42"/>
      <c r="R13192" s="23"/>
    </row>
    <row r="13193" spans="1:18" ht="12.75">
      <c r="A13193" s="12"/>
      <c r="D13193" s="12"/>
      <c r="E13193" s="12"/>
      <c r="H13193" s="11" t="str">
        <f ca="1">IFERROR(__xludf.DUMMYFUNCTION("IFERROR(SUBSTITUTE(SUBSTITUTE(REGEXEXTRACT(A13193, ""[^-]+- [^-]+- [^-]+ - (.+?)\.jpg""), "".jpg"", """"), ""-"", "", ""), """")"),"")</f>
        <v/>
      </c>
      <c r="L13193" s="12"/>
      <c r="M13193" s="13"/>
      <c r="N13193" s="2"/>
      <c r="O13193" s="20"/>
      <c r="P13193" s="42"/>
      <c r="R13193" s="23"/>
    </row>
    <row r="13194" spans="1:18" ht="12.75">
      <c r="A13194" s="12"/>
      <c r="D13194" s="12"/>
      <c r="E13194" s="12"/>
      <c r="H13194" s="11" t="str">
        <f ca="1">IFERROR(__xludf.DUMMYFUNCTION("IFERROR(SUBSTITUTE(SUBSTITUTE(REGEXEXTRACT(A13194, ""[^-]+- [^-]+- [^-]+ - (.+?)\.jpg""), "".jpg"", """"), ""-"", "", ""), """")"),"")</f>
        <v/>
      </c>
      <c r="L13194" s="12"/>
      <c r="M13194" s="13"/>
      <c r="N13194" s="2"/>
      <c r="O13194" s="20"/>
      <c r="P13194" s="42"/>
      <c r="R13194" s="23"/>
    </row>
    <row r="13195" spans="1:18" ht="12.75">
      <c r="A13195" s="12"/>
      <c r="D13195" s="12"/>
      <c r="E13195" s="12"/>
      <c r="H13195" s="11" t="str">
        <f ca="1">IFERROR(__xludf.DUMMYFUNCTION("IFERROR(SUBSTITUTE(SUBSTITUTE(REGEXEXTRACT(A13195, ""[^-]+- [^-]+- [^-]+ - (.+?)\.jpg""), "".jpg"", """"), ""-"", "", ""), """")"),"")</f>
        <v/>
      </c>
      <c r="L13195" s="12"/>
      <c r="M13195" s="13"/>
      <c r="N13195" s="2"/>
      <c r="O13195" s="20"/>
      <c r="P13195" s="42"/>
      <c r="R13195" s="23"/>
    </row>
    <row r="13196" spans="1:18" ht="12.75">
      <c r="A13196" s="12"/>
      <c r="D13196" s="12"/>
      <c r="E13196" s="12"/>
      <c r="H13196" s="11" t="str">
        <f ca="1">IFERROR(__xludf.DUMMYFUNCTION("IFERROR(SUBSTITUTE(SUBSTITUTE(REGEXEXTRACT(A13196, ""[^-]+- [^-]+- [^-]+ - (.+?)\.jpg""), "".jpg"", """"), ""-"", "", ""), """")"),"")</f>
        <v/>
      </c>
      <c r="L13196" s="12"/>
      <c r="M13196" s="13"/>
      <c r="N13196" s="2"/>
      <c r="O13196" s="20"/>
      <c r="P13196" s="42"/>
      <c r="R13196" s="23"/>
    </row>
    <row r="13197" spans="1:18" ht="12.75">
      <c r="A13197" s="12"/>
      <c r="D13197" s="12"/>
      <c r="E13197" s="12"/>
      <c r="H13197" s="11" t="str">
        <f ca="1">IFERROR(__xludf.DUMMYFUNCTION("IFERROR(SUBSTITUTE(SUBSTITUTE(REGEXEXTRACT(A13197, ""[^-]+- [^-]+- [^-]+ - (.+?)\.jpg""), "".jpg"", """"), ""-"", "", ""), """")"),"")</f>
        <v/>
      </c>
      <c r="L13197" s="12"/>
      <c r="M13197" s="13"/>
      <c r="N13197" s="2"/>
      <c r="O13197" s="20"/>
      <c r="P13197" s="42"/>
      <c r="R13197" s="23"/>
    </row>
    <row r="13198" spans="1:18" ht="12.75">
      <c r="A13198" s="12"/>
      <c r="D13198" s="12"/>
      <c r="E13198" s="12"/>
      <c r="H13198" s="11" t="str">
        <f ca="1">IFERROR(__xludf.DUMMYFUNCTION("IFERROR(SUBSTITUTE(SUBSTITUTE(REGEXEXTRACT(A13198, ""[^-]+- [^-]+- [^-]+ - (.+?)\.jpg""), "".jpg"", """"), ""-"", "", ""), """")"),"")</f>
        <v/>
      </c>
      <c r="L13198" s="12"/>
      <c r="M13198" s="13"/>
      <c r="N13198" s="2"/>
      <c r="O13198" s="20"/>
      <c r="P13198" s="42"/>
      <c r="R13198" s="23"/>
    </row>
    <row r="13199" spans="1:18" ht="12.75">
      <c r="A13199" s="12"/>
      <c r="D13199" s="12"/>
      <c r="E13199" s="12"/>
      <c r="H13199" s="11" t="str">
        <f ca="1">IFERROR(__xludf.DUMMYFUNCTION("IFERROR(SUBSTITUTE(SUBSTITUTE(REGEXEXTRACT(A13199, ""[^-]+- [^-]+- [^-]+ - (.+?)\.jpg""), "".jpg"", """"), ""-"", "", ""), """")"),"")</f>
        <v/>
      </c>
      <c r="L13199" s="12"/>
      <c r="M13199" s="13"/>
      <c r="N13199" s="2"/>
      <c r="O13199" s="20"/>
      <c r="P13199" s="42"/>
      <c r="R13199" s="23"/>
    </row>
    <row r="13200" spans="1:18" ht="12.75">
      <c r="A13200" s="12"/>
      <c r="D13200" s="12"/>
      <c r="E13200" s="12"/>
      <c r="H13200" s="11" t="str">
        <f ca="1">IFERROR(__xludf.DUMMYFUNCTION("IFERROR(SUBSTITUTE(SUBSTITUTE(REGEXEXTRACT(A13200, ""[^-]+- [^-]+- [^-]+ - (.+?)\.jpg""), "".jpg"", """"), ""-"", "", ""), """")"),"")</f>
        <v/>
      </c>
      <c r="L13200" s="12"/>
      <c r="M13200" s="13"/>
      <c r="N13200" s="2"/>
      <c r="O13200" s="20"/>
      <c r="P13200" s="42"/>
      <c r="R13200" s="23"/>
    </row>
    <row r="13201" spans="1:18" ht="12.75">
      <c r="A13201" s="12"/>
      <c r="D13201" s="12"/>
      <c r="E13201" s="12"/>
      <c r="H13201" s="11" t="str">
        <f ca="1">IFERROR(__xludf.DUMMYFUNCTION("IFERROR(SUBSTITUTE(SUBSTITUTE(REGEXEXTRACT(A13201, ""[^-]+- [^-]+- [^-]+ - (.+?)\.jpg""), "".jpg"", """"), ""-"", "", ""), """")"),"")</f>
        <v/>
      </c>
      <c r="L13201" s="12"/>
      <c r="M13201" s="13"/>
      <c r="N13201" s="2"/>
      <c r="O13201" s="20"/>
      <c r="P13201" s="42"/>
      <c r="R13201" s="23"/>
    </row>
    <row r="13202" spans="1:18" ht="12.75">
      <c r="A13202" s="12"/>
      <c r="D13202" s="12"/>
      <c r="E13202" s="12"/>
      <c r="H13202" s="11" t="str">
        <f ca="1">IFERROR(__xludf.DUMMYFUNCTION("IFERROR(SUBSTITUTE(SUBSTITUTE(REGEXEXTRACT(A13202, ""[^-]+- [^-]+- [^-]+ - (.+?)\.jpg""), "".jpg"", """"), ""-"", "", ""), """")"),"")</f>
        <v/>
      </c>
      <c r="L13202" s="12"/>
      <c r="M13202" s="13"/>
      <c r="N13202" s="2"/>
      <c r="O13202" s="20"/>
      <c r="P13202" s="42"/>
      <c r="R13202" s="23"/>
    </row>
    <row r="13203" spans="1:18" ht="12.75">
      <c r="A13203" s="12"/>
      <c r="D13203" s="12"/>
      <c r="E13203" s="12"/>
      <c r="H13203" s="11" t="str">
        <f ca="1">IFERROR(__xludf.DUMMYFUNCTION("IFERROR(SUBSTITUTE(SUBSTITUTE(REGEXEXTRACT(A13203, ""[^-]+- [^-]+- [^-]+ - (.+?)\.jpg""), "".jpg"", """"), ""-"", "", ""), """")"),"")</f>
        <v/>
      </c>
      <c r="L13203" s="12"/>
      <c r="M13203" s="13"/>
      <c r="N13203" s="2"/>
      <c r="O13203" s="20"/>
      <c r="P13203" s="42"/>
      <c r="R13203" s="23"/>
    </row>
    <row r="13204" spans="1:18" ht="12.75">
      <c r="A13204" s="12"/>
      <c r="D13204" s="12"/>
      <c r="E13204" s="12"/>
      <c r="H13204" s="11" t="str">
        <f ca="1">IFERROR(__xludf.DUMMYFUNCTION("IFERROR(SUBSTITUTE(SUBSTITUTE(REGEXEXTRACT(A13204, ""[^-]+- [^-]+- [^-]+ - (.+?)\.jpg""), "".jpg"", """"), ""-"", "", ""), """")"),"")</f>
        <v/>
      </c>
      <c r="L13204" s="12"/>
      <c r="M13204" s="13"/>
      <c r="N13204" s="2"/>
      <c r="O13204" s="20"/>
      <c r="P13204" s="42"/>
      <c r="R13204" s="23"/>
    </row>
    <row r="13205" spans="1:18" ht="12.75">
      <c r="A13205" s="12"/>
      <c r="D13205" s="12"/>
      <c r="E13205" s="12"/>
      <c r="H13205" s="11" t="str">
        <f ca="1">IFERROR(__xludf.DUMMYFUNCTION("IFERROR(SUBSTITUTE(SUBSTITUTE(REGEXEXTRACT(A13205, ""[^-]+- [^-]+- [^-]+ - (.+?)\.jpg""), "".jpg"", """"), ""-"", "", ""), """")"),"")</f>
        <v/>
      </c>
      <c r="L13205" s="12"/>
      <c r="M13205" s="13"/>
      <c r="N13205" s="2"/>
      <c r="O13205" s="20"/>
      <c r="P13205" s="42"/>
      <c r="R13205" s="23"/>
    </row>
    <row r="13206" spans="1:18" ht="12.75">
      <c r="A13206" s="12"/>
      <c r="D13206" s="12"/>
      <c r="E13206" s="12"/>
      <c r="H13206" s="11" t="str">
        <f ca="1">IFERROR(__xludf.DUMMYFUNCTION("IFERROR(SUBSTITUTE(SUBSTITUTE(REGEXEXTRACT(A13206, ""[^-]+- [^-]+- [^-]+ - (.+?)\.jpg""), "".jpg"", """"), ""-"", "", ""), """")"),"")</f>
        <v/>
      </c>
      <c r="L13206" s="12"/>
      <c r="M13206" s="13"/>
      <c r="N13206" s="2"/>
      <c r="O13206" s="20"/>
      <c r="P13206" s="42"/>
      <c r="R13206" s="23"/>
    </row>
    <row r="13207" spans="1:18" ht="12.75">
      <c r="A13207" s="12"/>
      <c r="D13207" s="12"/>
      <c r="E13207" s="12"/>
      <c r="H13207" s="11" t="str">
        <f ca="1">IFERROR(__xludf.DUMMYFUNCTION("IFERROR(SUBSTITUTE(SUBSTITUTE(REGEXEXTRACT(A13207, ""[^-]+- [^-]+- [^-]+ - (.+?)\.jpg""), "".jpg"", """"), ""-"", "", ""), """")"),"")</f>
        <v/>
      </c>
      <c r="L13207" s="12"/>
      <c r="M13207" s="13"/>
      <c r="N13207" s="2"/>
      <c r="O13207" s="20"/>
      <c r="P13207" s="42"/>
      <c r="R13207" s="23"/>
    </row>
    <row r="13208" spans="1:18" ht="12.75">
      <c r="A13208" s="12"/>
      <c r="D13208" s="12"/>
      <c r="E13208" s="12"/>
      <c r="H13208" s="11" t="str">
        <f ca="1">IFERROR(__xludf.DUMMYFUNCTION("IFERROR(SUBSTITUTE(SUBSTITUTE(REGEXEXTRACT(A13208, ""[^-]+- [^-]+- [^-]+ - (.+?)\.jpg""), "".jpg"", """"), ""-"", "", ""), """")"),"")</f>
        <v/>
      </c>
      <c r="L13208" s="12"/>
      <c r="M13208" s="13"/>
      <c r="N13208" s="2"/>
      <c r="O13208" s="20"/>
      <c r="P13208" s="42"/>
      <c r="R13208" s="23"/>
    </row>
    <row r="13209" spans="1:18" ht="12.75">
      <c r="A13209" s="12"/>
      <c r="D13209" s="12"/>
      <c r="E13209" s="12"/>
      <c r="H13209" s="11" t="str">
        <f ca="1">IFERROR(__xludf.DUMMYFUNCTION("IFERROR(SUBSTITUTE(SUBSTITUTE(REGEXEXTRACT(A13209, ""[^-]+- [^-]+- [^-]+ - (.+?)\.jpg""), "".jpg"", """"), ""-"", "", ""), """")"),"")</f>
        <v/>
      </c>
      <c r="L13209" s="12"/>
      <c r="M13209" s="13"/>
      <c r="N13209" s="2"/>
      <c r="O13209" s="20"/>
      <c r="P13209" s="42"/>
      <c r="R13209" s="23"/>
    </row>
    <row r="13210" spans="1:18" ht="12.75">
      <c r="A13210" s="12"/>
      <c r="D13210" s="12"/>
      <c r="E13210" s="12"/>
      <c r="H13210" s="11" t="str">
        <f ca="1">IFERROR(__xludf.DUMMYFUNCTION("IFERROR(SUBSTITUTE(SUBSTITUTE(REGEXEXTRACT(A13210, ""[^-]+- [^-]+- [^-]+ - (.+?)\.jpg""), "".jpg"", """"), ""-"", "", ""), """")"),"")</f>
        <v/>
      </c>
      <c r="L13210" s="12"/>
      <c r="M13210" s="13"/>
      <c r="N13210" s="2"/>
      <c r="O13210" s="20"/>
      <c r="P13210" s="42"/>
      <c r="R13210" s="23"/>
    </row>
    <row r="13211" spans="1:18" ht="12.75">
      <c r="A13211" s="12"/>
      <c r="D13211" s="12"/>
      <c r="E13211" s="12"/>
      <c r="H13211" s="11" t="str">
        <f ca="1">IFERROR(__xludf.DUMMYFUNCTION("IFERROR(SUBSTITUTE(SUBSTITUTE(REGEXEXTRACT(A13211, ""[^-]+- [^-]+- [^-]+ - (.+?)\.jpg""), "".jpg"", """"), ""-"", "", ""), """")"),"")</f>
        <v/>
      </c>
      <c r="L13211" s="12"/>
      <c r="M13211" s="13"/>
      <c r="N13211" s="2"/>
      <c r="O13211" s="20"/>
      <c r="P13211" s="42"/>
      <c r="R13211" s="23"/>
    </row>
    <row r="13212" spans="1:18" ht="12.75">
      <c r="A13212" s="12"/>
      <c r="D13212" s="12"/>
      <c r="E13212" s="12"/>
      <c r="H13212" s="11" t="str">
        <f ca="1">IFERROR(__xludf.DUMMYFUNCTION("IFERROR(SUBSTITUTE(SUBSTITUTE(REGEXEXTRACT(A13212, ""[^-]+- [^-]+- [^-]+ - (.+?)\.jpg""), "".jpg"", """"), ""-"", "", ""), """")"),"")</f>
        <v/>
      </c>
      <c r="L13212" s="12"/>
      <c r="M13212" s="13"/>
      <c r="N13212" s="2"/>
      <c r="O13212" s="20"/>
      <c r="P13212" s="42"/>
      <c r="R13212" s="23"/>
    </row>
    <row r="13213" spans="1:18" ht="12.75">
      <c r="A13213" s="12"/>
      <c r="D13213" s="12"/>
      <c r="E13213" s="12"/>
      <c r="H13213" s="11" t="str">
        <f ca="1">IFERROR(__xludf.DUMMYFUNCTION("IFERROR(SUBSTITUTE(SUBSTITUTE(REGEXEXTRACT(A13213, ""[^-]+- [^-]+- [^-]+ - (.+?)\.jpg""), "".jpg"", """"), ""-"", "", ""), """")"),"")</f>
        <v/>
      </c>
      <c r="L13213" s="12"/>
      <c r="M13213" s="13"/>
      <c r="N13213" s="2"/>
      <c r="O13213" s="20"/>
      <c r="P13213" s="42"/>
      <c r="R13213" s="23"/>
    </row>
    <row r="13214" spans="1:18" ht="12.75">
      <c r="A13214" s="12"/>
      <c r="D13214" s="12"/>
      <c r="E13214" s="12"/>
      <c r="H13214" s="11" t="str">
        <f ca="1">IFERROR(__xludf.DUMMYFUNCTION("IFERROR(SUBSTITUTE(SUBSTITUTE(REGEXEXTRACT(A13214, ""[^-]+- [^-]+- [^-]+ - (.+?)\.jpg""), "".jpg"", """"), ""-"", "", ""), """")"),"")</f>
        <v/>
      </c>
      <c r="L13214" s="12"/>
      <c r="M13214" s="13"/>
      <c r="N13214" s="2"/>
      <c r="O13214" s="20"/>
      <c r="P13214" s="42"/>
      <c r="R13214" s="23"/>
    </row>
    <row r="13215" spans="1:18" ht="12.75">
      <c r="A13215" s="12"/>
      <c r="D13215" s="12"/>
      <c r="E13215" s="12"/>
      <c r="H13215" s="11" t="str">
        <f ca="1">IFERROR(__xludf.DUMMYFUNCTION("IFERROR(SUBSTITUTE(SUBSTITUTE(REGEXEXTRACT(A13215, ""[^-]+- [^-]+- [^-]+ - (.+?)\.jpg""), "".jpg"", """"), ""-"", "", ""), """")"),"")</f>
        <v/>
      </c>
      <c r="L13215" s="12"/>
      <c r="M13215" s="13"/>
      <c r="N13215" s="2"/>
      <c r="O13215" s="20"/>
      <c r="P13215" s="42"/>
      <c r="R13215" s="23"/>
    </row>
    <row r="13216" spans="1:18" ht="12.75">
      <c r="A13216" s="12"/>
      <c r="D13216" s="12"/>
      <c r="E13216" s="12"/>
      <c r="H13216" s="11" t="str">
        <f ca="1">IFERROR(__xludf.DUMMYFUNCTION("IFERROR(SUBSTITUTE(SUBSTITUTE(REGEXEXTRACT(A13216, ""[^-]+- [^-]+- [^-]+ - (.+?)\.jpg""), "".jpg"", """"), ""-"", "", ""), """")"),"")</f>
        <v/>
      </c>
      <c r="L13216" s="12"/>
      <c r="M13216" s="13"/>
      <c r="N13216" s="2"/>
      <c r="O13216" s="20"/>
      <c r="P13216" s="42"/>
      <c r="R13216" s="23"/>
    </row>
    <row r="13217" spans="1:18" ht="12.75">
      <c r="A13217" s="12"/>
      <c r="D13217" s="12"/>
      <c r="E13217" s="12"/>
      <c r="H13217" s="11" t="str">
        <f ca="1">IFERROR(__xludf.DUMMYFUNCTION("IFERROR(SUBSTITUTE(SUBSTITUTE(REGEXEXTRACT(A13217, ""[^-]+- [^-]+- [^-]+ - (.+?)\.jpg""), "".jpg"", """"), ""-"", "", ""), """")"),"")</f>
        <v/>
      </c>
      <c r="L13217" s="12"/>
      <c r="M13217" s="13"/>
      <c r="N13217" s="2"/>
      <c r="O13217" s="20"/>
      <c r="P13217" s="42"/>
      <c r="R13217" s="23"/>
    </row>
    <row r="13218" spans="1:18" ht="12.75">
      <c r="A13218" s="12"/>
      <c r="D13218" s="12"/>
      <c r="E13218" s="12"/>
      <c r="H13218" s="11" t="str">
        <f ca="1">IFERROR(__xludf.DUMMYFUNCTION("IFERROR(SUBSTITUTE(SUBSTITUTE(REGEXEXTRACT(A13218, ""[^-]+- [^-]+- [^-]+ - (.+?)\.jpg""), "".jpg"", """"), ""-"", "", ""), """")"),"")</f>
        <v/>
      </c>
      <c r="L13218" s="12"/>
      <c r="M13218" s="13"/>
      <c r="N13218" s="2"/>
      <c r="O13218" s="20"/>
      <c r="P13218" s="42"/>
      <c r="R13218" s="23"/>
    </row>
    <row r="13219" spans="1:18" ht="12.75">
      <c r="A13219" s="12"/>
      <c r="D13219" s="12"/>
      <c r="E13219" s="12"/>
      <c r="H13219" s="11" t="str">
        <f ca="1">IFERROR(__xludf.DUMMYFUNCTION("IFERROR(SUBSTITUTE(SUBSTITUTE(REGEXEXTRACT(A13219, ""[^-]+- [^-]+- [^-]+ - (.+?)\.jpg""), "".jpg"", """"), ""-"", "", ""), """")"),"")</f>
        <v/>
      </c>
      <c r="L13219" s="12"/>
      <c r="M13219" s="13"/>
      <c r="N13219" s="2"/>
      <c r="O13219" s="20"/>
      <c r="P13219" s="42"/>
      <c r="R13219" s="23"/>
    </row>
    <row r="13220" spans="1:18" ht="12.75">
      <c r="A13220" s="12"/>
      <c r="D13220" s="12"/>
      <c r="E13220" s="12"/>
      <c r="H13220" s="11" t="str">
        <f ca="1">IFERROR(__xludf.DUMMYFUNCTION("IFERROR(SUBSTITUTE(SUBSTITUTE(REGEXEXTRACT(A13220, ""[^-]+- [^-]+- [^-]+ - (.+?)\.jpg""), "".jpg"", """"), ""-"", "", ""), """")"),"")</f>
        <v/>
      </c>
      <c r="L13220" s="12"/>
      <c r="M13220" s="13"/>
      <c r="N13220" s="2"/>
      <c r="O13220" s="20"/>
      <c r="P13220" s="42"/>
      <c r="R13220" s="23"/>
    </row>
    <row r="13221" spans="1:18" ht="12.75">
      <c r="A13221" s="12"/>
      <c r="D13221" s="12"/>
      <c r="E13221" s="12"/>
      <c r="H13221" s="11" t="str">
        <f ca="1">IFERROR(__xludf.DUMMYFUNCTION("IFERROR(SUBSTITUTE(SUBSTITUTE(REGEXEXTRACT(A13221, ""[^-]+- [^-]+- [^-]+ - (.+?)\.jpg""), "".jpg"", """"), ""-"", "", ""), """")"),"")</f>
        <v/>
      </c>
      <c r="L13221" s="12"/>
      <c r="M13221" s="13"/>
      <c r="N13221" s="2"/>
      <c r="O13221" s="20"/>
      <c r="P13221" s="42"/>
      <c r="R13221" s="23"/>
    </row>
    <row r="13222" spans="1:18" ht="12.75">
      <c r="A13222" s="12"/>
      <c r="D13222" s="12"/>
      <c r="E13222" s="12"/>
      <c r="H13222" s="11" t="str">
        <f ca="1">IFERROR(__xludf.DUMMYFUNCTION("IFERROR(SUBSTITUTE(SUBSTITUTE(REGEXEXTRACT(A13222, ""[^-]+- [^-]+- [^-]+ - (.+?)\.jpg""), "".jpg"", """"), ""-"", "", ""), """")"),"")</f>
        <v/>
      </c>
      <c r="L13222" s="12"/>
      <c r="M13222" s="13"/>
      <c r="N13222" s="2"/>
      <c r="O13222" s="20"/>
      <c r="P13222" s="42"/>
      <c r="R13222" s="23"/>
    </row>
    <row r="13223" spans="1:18" ht="12.75">
      <c r="A13223" s="12"/>
      <c r="D13223" s="12"/>
      <c r="E13223" s="12"/>
      <c r="H13223" s="11" t="str">
        <f ca="1">IFERROR(__xludf.DUMMYFUNCTION("IFERROR(SUBSTITUTE(SUBSTITUTE(REGEXEXTRACT(A13223, ""[^-]+- [^-]+- [^-]+ - (.+?)\.jpg""), "".jpg"", """"), ""-"", "", ""), """")"),"")</f>
        <v/>
      </c>
      <c r="L13223" s="12"/>
      <c r="M13223" s="13"/>
      <c r="N13223" s="2"/>
      <c r="O13223" s="20"/>
      <c r="P13223" s="42"/>
      <c r="R13223" s="23"/>
    </row>
    <row r="13224" spans="1:18" ht="12.75">
      <c r="A13224" s="12"/>
      <c r="D13224" s="12"/>
      <c r="E13224" s="12"/>
      <c r="H13224" s="11" t="str">
        <f ca="1">IFERROR(__xludf.DUMMYFUNCTION("IFERROR(SUBSTITUTE(SUBSTITUTE(REGEXEXTRACT(A13224, ""[^-]+- [^-]+- [^-]+ - (.+?)\.jpg""), "".jpg"", """"), ""-"", "", ""), """")"),"")</f>
        <v/>
      </c>
      <c r="L13224" s="12"/>
      <c r="M13224" s="13"/>
      <c r="N13224" s="2"/>
      <c r="O13224" s="20"/>
      <c r="P13224" s="42"/>
      <c r="R13224" s="23"/>
    </row>
    <row r="13225" spans="1:18" ht="12.75">
      <c r="A13225" s="12"/>
      <c r="D13225" s="12"/>
      <c r="E13225" s="12"/>
      <c r="H13225" s="11" t="str">
        <f ca="1">IFERROR(__xludf.DUMMYFUNCTION("IFERROR(SUBSTITUTE(SUBSTITUTE(REGEXEXTRACT(A13225, ""[^-]+- [^-]+- [^-]+ - (.+?)\.jpg""), "".jpg"", """"), ""-"", "", ""), """")"),"")</f>
        <v/>
      </c>
      <c r="L13225" s="12"/>
      <c r="M13225" s="13"/>
      <c r="N13225" s="2"/>
      <c r="O13225" s="20"/>
      <c r="P13225" s="42"/>
      <c r="R13225" s="23"/>
    </row>
    <row r="13226" spans="1:18" ht="12.75">
      <c r="A13226" s="12"/>
      <c r="D13226" s="12"/>
      <c r="E13226" s="12"/>
      <c r="H13226" s="11" t="str">
        <f ca="1">IFERROR(__xludf.DUMMYFUNCTION("IFERROR(SUBSTITUTE(SUBSTITUTE(REGEXEXTRACT(A13226, ""[^-]+- [^-]+- [^-]+ - (.+?)\.jpg""), "".jpg"", """"), ""-"", "", ""), """")"),"")</f>
        <v/>
      </c>
      <c r="L13226" s="12"/>
      <c r="M13226" s="13"/>
      <c r="N13226" s="2"/>
      <c r="O13226" s="20"/>
      <c r="P13226" s="42"/>
      <c r="R13226" s="23"/>
    </row>
    <row r="13227" spans="1:18" ht="12.75">
      <c r="A13227" s="12"/>
      <c r="D13227" s="12"/>
      <c r="E13227" s="12"/>
      <c r="H13227" s="11" t="str">
        <f ca="1">IFERROR(__xludf.DUMMYFUNCTION("IFERROR(SUBSTITUTE(SUBSTITUTE(REGEXEXTRACT(A13227, ""[^-]+- [^-]+- [^-]+ - (.+?)\.jpg""), "".jpg"", """"), ""-"", "", ""), """")"),"")</f>
        <v/>
      </c>
      <c r="L13227" s="12"/>
      <c r="M13227" s="13"/>
      <c r="N13227" s="2"/>
      <c r="O13227" s="20"/>
      <c r="P13227" s="42"/>
      <c r="R13227" s="23"/>
    </row>
    <row r="13228" spans="1:18" ht="12.75">
      <c r="A13228" s="12"/>
      <c r="D13228" s="12"/>
      <c r="E13228" s="12"/>
      <c r="H13228" s="11" t="str">
        <f ca="1">IFERROR(__xludf.DUMMYFUNCTION("IFERROR(SUBSTITUTE(SUBSTITUTE(REGEXEXTRACT(A13228, ""[^-]+- [^-]+- [^-]+ - (.+?)\.jpg""), "".jpg"", """"), ""-"", "", ""), """")"),"")</f>
        <v/>
      </c>
      <c r="L13228" s="12"/>
      <c r="M13228" s="13"/>
      <c r="N13228" s="2"/>
      <c r="O13228" s="20"/>
      <c r="P13228" s="42"/>
      <c r="R13228" s="23"/>
    </row>
    <row r="13229" spans="1:18" ht="12.75">
      <c r="A13229" s="12"/>
      <c r="D13229" s="12"/>
      <c r="E13229" s="12"/>
      <c r="H13229" s="11" t="str">
        <f ca="1">IFERROR(__xludf.DUMMYFUNCTION("IFERROR(SUBSTITUTE(SUBSTITUTE(REGEXEXTRACT(A13229, ""[^-]+- [^-]+- [^-]+ - (.+?)\.jpg""), "".jpg"", """"), ""-"", "", ""), """")"),"")</f>
        <v/>
      </c>
      <c r="L13229" s="12"/>
      <c r="M13229" s="13"/>
      <c r="N13229" s="2"/>
      <c r="O13229" s="20"/>
      <c r="P13229" s="42"/>
      <c r="R13229" s="23"/>
    </row>
    <row r="13230" spans="1:18" ht="12.75">
      <c r="A13230" s="12"/>
      <c r="D13230" s="12"/>
      <c r="E13230" s="12"/>
      <c r="H13230" s="11" t="str">
        <f ca="1">IFERROR(__xludf.DUMMYFUNCTION("IFERROR(SUBSTITUTE(SUBSTITUTE(REGEXEXTRACT(A13230, ""[^-]+- [^-]+- [^-]+ - (.+?)\.jpg""), "".jpg"", """"), ""-"", "", ""), """")"),"")</f>
        <v/>
      </c>
      <c r="L13230" s="12"/>
      <c r="M13230" s="13"/>
      <c r="N13230" s="2"/>
      <c r="O13230" s="20"/>
      <c r="P13230" s="42"/>
      <c r="R13230" s="23"/>
    </row>
    <row r="13231" spans="1:18" ht="12.75">
      <c r="A13231" s="12"/>
      <c r="D13231" s="12"/>
      <c r="E13231" s="12"/>
      <c r="H13231" s="11" t="str">
        <f ca="1">IFERROR(__xludf.DUMMYFUNCTION("IFERROR(SUBSTITUTE(SUBSTITUTE(REGEXEXTRACT(A13231, ""[^-]+- [^-]+- [^-]+ - (.+?)\.jpg""), "".jpg"", """"), ""-"", "", ""), """")"),"")</f>
        <v/>
      </c>
      <c r="L13231" s="12"/>
      <c r="M13231" s="13"/>
      <c r="N13231" s="2"/>
      <c r="O13231" s="20"/>
      <c r="P13231" s="42"/>
      <c r="R13231" s="23"/>
    </row>
    <row r="13232" spans="1:18" ht="12.75">
      <c r="A13232" s="12"/>
      <c r="D13232" s="12"/>
      <c r="E13232" s="12"/>
      <c r="H13232" s="11" t="str">
        <f ca="1">IFERROR(__xludf.DUMMYFUNCTION("IFERROR(SUBSTITUTE(SUBSTITUTE(REGEXEXTRACT(A13232, ""[^-]+- [^-]+- [^-]+ - (.+?)\.jpg""), "".jpg"", """"), ""-"", "", ""), """")"),"")</f>
        <v/>
      </c>
      <c r="L13232" s="12"/>
      <c r="M13232" s="13"/>
      <c r="N13232" s="2"/>
      <c r="O13232" s="20"/>
      <c r="P13232" s="42"/>
      <c r="R13232" s="23"/>
    </row>
    <row r="13233" spans="1:18" ht="12.75">
      <c r="A13233" s="12"/>
      <c r="D13233" s="12"/>
      <c r="E13233" s="12"/>
      <c r="H13233" s="11" t="str">
        <f ca="1">IFERROR(__xludf.DUMMYFUNCTION("IFERROR(SUBSTITUTE(SUBSTITUTE(REGEXEXTRACT(A13233, ""[^-]+- [^-]+- [^-]+ - (.+?)\.jpg""), "".jpg"", """"), ""-"", "", ""), """")"),"")</f>
        <v/>
      </c>
      <c r="L13233" s="12"/>
      <c r="M13233" s="13"/>
      <c r="N13233" s="2"/>
      <c r="O13233" s="20"/>
      <c r="P13233" s="42"/>
      <c r="R13233" s="23"/>
    </row>
    <row r="13234" spans="1:18" ht="12.75">
      <c r="A13234" s="12"/>
      <c r="D13234" s="12"/>
      <c r="E13234" s="12"/>
      <c r="H13234" s="11" t="str">
        <f ca="1">IFERROR(__xludf.DUMMYFUNCTION("IFERROR(SUBSTITUTE(SUBSTITUTE(REGEXEXTRACT(A13234, ""[^-]+- [^-]+- [^-]+ - (.+?)\.jpg""), "".jpg"", """"), ""-"", "", ""), """")"),"")</f>
        <v/>
      </c>
      <c r="L13234" s="12"/>
      <c r="M13234" s="13"/>
      <c r="N13234" s="2"/>
      <c r="O13234" s="20"/>
      <c r="P13234" s="42"/>
      <c r="R13234" s="23"/>
    </row>
    <row r="13235" spans="1:18" ht="12.75">
      <c r="A13235" s="12"/>
      <c r="D13235" s="12"/>
      <c r="E13235" s="12"/>
      <c r="H13235" s="11" t="str">
        <f ca="1">IFERROR(__xludf.DUMMYFUNCTION("IFERROR(SUBSTITUTE(SUBSTITUTE(REGEXEXTRACT(A13235, ""[^-]+- [^-]+- [^-]+ - (.+?)\.jpg""), "".jpg"", """"), ""-"", "", ""), """")"),"")</f>
        <v/>
      </c>
      <c r="L13235" s="12"/>
      <c r="M13235" s="13"/>
      <c r="N13235" s="2"/>
      <c r="O13235" s="20"/>
      <c r="P13235" s="42"/>
      <c r="R13235" s="23"/>
    </row>
    <row r="13236" spans="1:18" ht="12.75">
      <c r="A13236" s="12"/>
      <c r="D13236" s="12"/>
      <c r="E13236" s="12"/>
      <c r="H13236" s="11" t="str">
        <f ca="1">IFERROR(__xludf.DUMMYFUNCTION("IFERROR(SUBSTITUTE(SUBSTITUTE(REGEXEXTRACT(A13236, ""[^-]+- [^-]+- [^-]+ - (.+?)\.jpg""), "".jpg"", """"), ""-"", "", ""), """")"),"")</f>
        <v/>
      </c>
      <c r="L13236" s="12"/>
      <c r="M13236" s="13"/>
      <c r="N13236" s="2"/>
      <c r="O13236" s="20"/>
      <c r="P13236" s="42"/>
      <c r="R13236" s="23"/>
    </row>
    <row r="13237" spans="1:18" ht="12.75">
      <c r="A13237" s="12"/>
      <c r="D13237" s="12"/>
      <c r="E13237" s="12"/>
      <c r="H13237" s="11" t="str">
        <f ca="1">IFERROR(__xludf.DUMMYFUNCTION("IFERROR(SUBSTITUTE(SUBSTITUTE(REGEXEXTRACT(A13237, ""[^-]+- [^-]+- [^-]+ - (.+?)\.jpg""), "".jpg"", """"), ""-"", "", ""), """")"),"")</f>
        <v/>
      </c>
      <c r="L13237" s="12"/>
      <c r="M13237" s="13"/>
      <c r="N13237" s="2"/>
      <c r="O13237" s="20"/>
      <c r="P13237" s="42"/>
      <c r="R13237" s="23"/>
    </row>
    <row r="13238" spans="1:18" ht="12.75">
      <c r="A13238" s="12"/>
      <c r="D13238" s="12"/>
      <c r="E13238" s="12"/>
      <c r="H13238" s="11" t="str">
        <f ca="1">IFERROR(__xludf.DUMMYFUNCTION("IFERROR(SUBSTITUTE(SUBSTITUTE(REGEXEXTRACT(A13238, ""[^-]+- [^-]+- [^-]+ - (.+?)\.jpg""), "".jpg"", """"), ""-"", "", ""), """")"),"")</f>
        <v/>
      </c>
      <c r="L13238" s="12"/>
      <c r="M13238" s="13"/>
      <c r="N13238" s="2"/>
      <c r="O13238" s="20"/>
      <c r="P13238" s="42"/>
      <c r="R13238" s="23"/>
    </row>
    <row r="13239" spans="1:18" ht="12.75">
      <c r="A13239" s="12"/>
      <c r="D13239" s="12"/>
      <c r="E13239" s="12"/>
      <c r="H13239" s="11" t="str">
        <f ca="1">IFERROR(__xludf.DUMMYFUNCTION("IFERROR(SUBSTITUTE(SUBSTITUTE(REGEXEXTRACT(A13239, ""[^-]+- [^-]+- [^-]+ - (.+?)\.jpg""), "".jpg"", """"), ""-"", "", ""), """")"),"")</f>
        <v/>
      </c>
      <c r="L13239" s="12"/>
      <c r="M13239" s="13"/>
      <c r="N13239" s="2"/>
      <c r="O13239" s="20"/>
      <c r="P13239" s="42"/>
      <c r="R13239" s="23"/>
    </row>
    <row r="13240" spans="1:18" ht="12.75">
      <c r="A13240" s="12"/>
      <c r="D13240" s="12"/>
      <c r="E13240" s="12"/>
      <c r="H13240" s="11" t="str">
        <f ca="1">IFERROR(__xludf.DUMMYFUNCTION("IFERROR(SUBSTITUTE(SUBSTITUTE(REGEXEXTRACT(A13240, ""[^-]+- [^-]+- [^-]+ - (.+?)\.jpg""), "".jpg"", """"), ""-"", "", ""), """")"),"")</f>
        <v/>
      </c>
      <c r="L13240" s="12"/>
      <c r="M13240" s="13"/>
      <c r="N13240" s="2"/>
      <c r="O13240" s="20"/>
      <c r="P13240" s="42"/>
      <c r="R13240" s="23"/>
    </row>
    <row r="13241" spans="1:18" ht="12.75">
      <c r="A13241" s="12"/>
      <c r="D13241" s="12"/>
      <c r="E13241" s="12"/>
      <c r="H13241" s="11" t="str">
        <f ca="1">IFERROR(__xludf.DUMMYFUNCTION("IFERROR(SUBSTITUTE(SUBSTITUTE(REGEXEXTRACT(A13241, ""[^-]+- [^-]+- [^-]+ - (.+?)\.jpg""), "".jpg"", """"), ""-"", "", ""), """")"),"")</f>
        <v/>
      </c>
      <c r="L13241" s="12"/>
      <c r="M13241" s="13"/>
      <c r="N13241" s="2"/>
      <c r="O13241" s="20"/>
      <c r="P13241" s="42"/>
      <c r="R13241" s="23"/>
    </row>
    <row r="13242" spans="1:18" ht="12.75">
      <c r="A13242" s="12"/>
      <c r="D13242" s="12"/>
      <c r="E13242" s="12"/>
      <c r="H13242" s="11" t="str">
        <f ca="1">IFERROR(__xludf.DUMMYFUNCTION("IFERROR(SUBSTITUTE(SUBSTITUTE(REGEXEXTRACT(A13242, ""[^-]+- [^-]+- [^-]+ - (.+?)\.jpg""), "".jpg"", """"), ""-"", "", ""), """")"),"")</f>
        <v/>
      </c>
      <c r="L13242" s="12"/>
      <c r="M13242" s="13"/>
      <c r="N13242" s="2"/>
      <c r="O13242" s="20"/>
      <c r="P13242" s="42"/>
      <c r="R13242" s="23"/>
    </row>
    <row r="13243" spans="1:18" ht="12.75">
      <c r="A13243" s="12"/>
      <c r="D13243" s="12"/>
      <c r="E13243" s="12"/>
      <c r="H13243" s="11" t="str">
        <f ca="1">IFERROR(__xludf.DUMMYFUNCTION("IFERROR(SUBSTITUTE(SUBSTITUTE(REGEXEXTRACT(A13243, ""[^-]+- [^-]+- [^-]+ - (.+?)\.jpg""), "".jpg"", """"), ""-"", "", ""), """")"),"")</f>
        <v/>
      </c>
      <c r="L13243" s="12"/>
      <c r="M13243" s="13"/>
      <c r="N13243" s="2"/>
      <c r="O13243" s="20"/>
      <c r="P13243" s="42"/>
      <c r="R13243" s="23"/>
    </row>
    <row r="13244" spans="1:18" ht="12.75">
      <c r="A13244" s="12"/>
      <c r="D13244" s="12"/>
      <c r="E13244" s="12"/>
      <c r="H13244" s="11" t="str">
        <f ca="1">IFERROR(__xludf.DUMMYFUNCTION("IFERROR(SUBSTITUTE(SUBSTITUTE(REGEXEXTRACT(A13244, ""[^-]+- [^-]+- [^-]+ - (.+?)\.jpg""), "".jpg"", """"), ""-"", "", ""), """")"),"")</f>
        <v/>
      </c>
      <c r="L13244" s="12"/>
      <c r="M13244" s="13"/>
      <c r="N13244" s="2"/>
      <c r="O13244" s="20"/>
      <c r="P13244" s="42"/>
      <c r="R13244" s="23"/>
    </row>
    <row r="13245" spans="1:18" ht="12.75">
      <c r="A13245" s="12"/>
      <c r="D13245" s="12"/>
      <c r="E13245" s="12"/>
      <c r="H13245" s="11" t="str">
        <f ca="1">IFERROR(__xludf.DUMMYFUNCTION("IFERROR(SUBSTITUTE(SUBSTITUTE(REGEXEXTRACT(A13245, ""[^-]+- [^-]+- [^-]+ - (.+?)\.jpg""), "".jpg"", """"), ""-"", "", ""), """")"),"")</f>
        <v/>
      </c>
      <c r="L13245" s="12"/>
      <c r="M13245" s="13"/>
      <c r="N13245" s="2"/>
      <c r="O13245" s="20"/>
      <c r="P13245" s="42"/>
      <c r="R13245" s="23"/>
    </row>
    <row r="13246" spans="1:18" ht="12.75">
      <c r="A13246" s="12"/>
      <c r="D13246" s="12"/>
      <c r="E13246" s="12"/>
      <c r="H13246" s="11" t="str">
        <f ca="1">IFERROR(__xludf.DUMMYFUNCTION("IFERROR(SUBSTITUTE(SUBSTITUTE(REGEXEXTRACT(A13246, ""[^-]+- [^-]+- [^-]+ - (.+?)\.jpg""), "".jpg"", """"), ""-"", "", ""), """")"),"")</f>
        <v/>
      </c>
      <c r="L13246" s="12"/>
      <c r="M13246" s="13"/>
      <c r="N13246" s="2"/>
      <c r="O13246" s="20"/>
      <c r="P13246" s="42"/>
      <c r="R13246" s="23"/>
    </row>
    <row r="13247" spans="1:18" ht="12.75">
      <c r="A13247" s="12"/>
      <c r="D13247" s="12"/>
      <c r="E13247" s="12"/>
      <c r="H13247" s="11" t="str">
        <f ca="1">IFERROR(__xludf.DUMMYFUNCTION("IFERROR(SUBSTITUTE(SUBSTITUTE(REGEXEXTRACT(A13247, ""[^-]+- [^-]+- [^-]+ - (.+?)\.jpg""), "".jpg"", """"), ""-"", "", ""), """")"),"")</f>
        <v/>
      </c>
      <c r="L13247" s="12"/>
      <c r="M13247" s="13"/>
      <c r="N13247" s="2"/>
      <c r="O13247" s="20"/>
      <c r="P13247" s="42"/>
      <c r="R13247" s="23"/>
    </row>
    <row r="13248" spans="1:18" ht="12.75">
      <c r="A13248" s="12"/>
      <c r="D13248" s="12"/>
      <c r="E13248" s="12"/>
      <c r="H13248" s="11" t="str">
        <f ca="1">IFERROR(__xludf.DUMMYFUNCTION("IFERROR(SUBSTITUTE(SUBSTITUTE(REGEXEXTRACT(A13248, ""[^-]+- [^-]+- [^-]+ - (.+?)\.jpg""), "".jpg"", """"), ""-"", "", ""), """")"),"")</f>
        <v/>
      </c>
      <c r="L13248" s="12"/>
      <c r="M13248" s="13"/>
      <c r="N13248" s="2"/>
      <c r="O13248" s="20"/>
      <c r="P13248" s="42"/>
      <c r="R13248" s="23"/>
    </row>
    <row r="13249" spans="1:18" ht="12.75">
      <c r="A13249" s="12"/>
      <c r="D13249" s="12"/>
      <c r="E13249" s="12"/>
      <c r="H13249" s="11" t="str">
        <f ca="1">IFERROR(__xludf.DUMMYFUNCTION("IFERROR(SUBSTITUTE(SUBSTITUTE(REGEXEXTRACT(A13249, ""[^-]+- [^-]+- [^-]+ - (.+?)\.jpg""), "".jpg"", """"), ""-"", "", ""), """")"),"")</f>
        <v/>
      </c>
      <c r="L13249" s="12"/>
      <c r="M13249" s="13"/>
      <c r="N13249" s="2"/>
      <c r="O13249" s="20"/>
      <c r="P13249" s="42"/>
      <c r="R13249" s="23"/>
    </row>
    <row r="13250" spans="1:18" ht="12.75">
      <c r="A13250" s="12"/>
      <c r="D13250" s="12"/>
      <c r="E13250" s="12"/>
      <c r="H13250" s="11" t="str">
        <f ca="1">IFERROR(__xludf.DUMMYFUNCTION("IFERROR(SUBSTITUTE(SUBSTITUTE(REGEXEXTRACT(A13250, ""[^-]+- [^-]+- [^-]+ - (.+?)\.jpg""), "".jpg"", """"), ""-"", "", ""), """")"),"")</f>
        <v/>
      </c>
      <c r="L13250" s="12"/>
      <c r="M13250" s="13"/>
      <c r="N13250" s="2"/>
      <c r="O13250" s="20"/>
      <c r="P13250" s="42"/>
      <c r="R13250" s="23"/>
    </row>
    <row r="13251" spans="1:18" ht="12.75">
      <c r="A13251" s="12"/>
      <c r="D13251" s="12"/>
      <c r="E13251" s="12"/>
      <c r="H13251" s="11" t="str">
        <f ca="1">IFERROR(__xludf.DUMMYFUNCTION("IFERROR(SUBSTITUTE(SUBSTITUTE(REGEXEXTRACT(A13251, ""[^-]+- [^-]+- [^-]+ - (.+?)\.jpg""), "".jpg"", """"), ""-"", "", ""), """")"),"")</f>
        <v/>
      </c>
      <c r="L13251" s="12"/>
      <c r="M13251" s="13"/>
      <c r="N13251" s="2"/>
      <c r="O13251" s="20"/>
      <c r="P13251" s="42"/>
      <c r="R13251" s="23"/>
    </row>
    <row r="13252" spans="1:18" ht="12.75">
      <c r="A13252" s="12"/>
      <c r="D13252" s="12"/>
      <c r="E13252" s="12"/>
      <c r="H13252" s="11" t="str">
        <f ca="1">IFERROR(__xludf.DUMMYFUNCTION("IFERROR(SUBSTITUTE(SUBSTITUTE(REGEXEXTRACT(A13252, ""[^-]+- [^-]+- [^-]+ - (.+?)\.jpg""), "".jpg"", """"), ""-"", "", ""), """")"),"")</f>
        <v/>
      </c>
      <c r="L13252" s="12"/>
      <c r="M13252" s="13"/>
      <c r="N13252" s="2"/>
      <c r="O13252" s="20"/>
      <c r="P13252" s="42"/>
      <c r="R13252" s="23"/>
    </row>
    <row r="13253" spans="1:18" ht="12.75">
      <c r="A13253" s="12"/>
      <c r="D13253" s="12"/>
      <c r="E13253" s="12"/>
      <c r="H13253" s="11" t="str">
        <f ca="1">IFERROR(__xludf.DUMMYFUNCTION("IFERROR(SUBSTITUTE(SUBSTITUTE(REGEXEXTRACT(A13253, ""[^-]+- [^-]+- [^-]+ - (.+?)\.jpg""), "".jpg"", """"), ""-"", "", ""), """")"),"")</f>
        <v/>
      </c>
      <c r="L13253" s="12"/>
      <c r="M13253" s="13"/>
      <c r="N13253" s="2"/>
      <c r="O13253" s="20"/>
      <c r="P13253" s="42"/>
      <c r="R13253" s="23"/>
    </row>
    <row r="13254" spans="1:18" ht="12.75">
      <c r="A13254" s="12"/>
      <c r="D13254" s="12"/>
      <c r="E13254" s="12"/>
      <c r="H13254" s="11" t="str">
        <f ca="1">IFERROR(__xludf.DUMMYFUNCTION("IFERROR(SUBSTITUTE(SUBSTITUTE(REGEXEXTRACT(A13254, ""[^-]+- [^-]+- [^-]+ - (.+?)\.jpg""), "".jpg"", """"), ""-"", "", ""), """")"),"")</f>
        <v/>
      </c>
      <c r="L13254" s="12"/>
      <c r="M13254" s="13"/>
      <c r="N13254" s="2"/>
      <c r="O13254" s="20"/>
      <c r="P13254" s="42"/>
      <c r="R13254" s="23"/>
    </row>
    <row r="13255" spans="1:18" ht="12.75">
      <c r="A13255" s="12"/>
      <c r="D13255" s="12"/>
      <c r="E13255" s="12"/>
      <c r="H13255" s="11" t="str">
        <f ca="1">IFERROR(__xludf.DUMMYFUNCTION("IFERROR(SUBSTITUTE(SUBSTITUTE(REGEXEXTRACT(A13255, ""[^-]+- [^-]+- [^-]+ - (.+?)\.jpg""), "".jpg"", """"), ""-"", "", ""), """")"),"")</f>
        <v/>
      </c>
      <c r="L13255" s="12"/>
      <c r="M13255" s="13"/>
      <c r="N13255" s="2"/>
      <c r="O13255" s="20"/>
      <c r="P13255" s="42"/>
      <c r="R13255" s="23"/>
    </row>
    <row r="13256" spans="1:18" ht="12.75">
      <c r="A13256" s="12"/>
      <c r="D13256" s="12"/>
      <c r="E13256" s="12"/>
      <c r="H13256" s="11" t="str">
        <f ca="1">IFERROR(__xludf.DUMMYFUNCTION("IFERROR(SUBSTITUTE(SUBSTITUTE(REGEXEXTRACT(A13256, ""[^-]+- [^-]+- [^-]+ - (.+?)\.jpg""), "".jpg"", """"), ""-"", "", ""), """")"),"")</f>
        <v/>
      </c>
      <c r="L13256" s="12"/>
      <c r="M13256" s="13"/>
      <c r="N13256" s="2"/>
      <c r="O13256" s="20"/>
      <c r="P13256" s="42"/>
      <c r="R13256" s="23"/>
    </row>
    <row r="13257" spans="1:18" ht="12.75">
      <c r="A13257" s="12"/>
      <c r="D13257" s="12"/>
      <c r="E13257" s="12"/>
      <c r="H13257" s="11" t="str">
        <f ca="1">IFERROR(__xludf.DUMMYFUNCTION("IFERROR(SUBSTITUTE(SUBSTITUTE(REGEXEXTRACT(A13257, ""[^-]+- [^-]+- [^-]+ - (.+?)\.jpg""), "".jpg"", """"), ""-"", "", ""), """")"),"")</f>
        <v/>
      </c>
      <c r="L13257" s="12"/>
      <c r="M13257" s="13"/>
      <c r="N13257" s="2"/>
      <c r="O13257" s="20"/>
      <c r="P13257" s="42"/>
      <c r="R13257" s="23"/>
    </row>
    <row r="13258" spans="1:18" ht="12.75">
      <c r="A13258" s="12"/>
      <c r="D13258" s="12"/>
      <c r="E13258" s="12"/>
      <c r="H13258" s="11" t="str">
        <f ca="1">IFERROR(__xludf.DUMMYFUNCTION("IFERROR(SUBSTITUTE(SUBSTITUTE(REGEXEXTRACT(A13258, ""[^-]+- [^-]+- [^-]+ - (.+?)\.jpg""), "".jpg"", """"), ""-"", "", ""), """")"),"")</f>
        <v/>
      </c>
      <c r="L13258" s="12"/>
      <c r="M13258" s="13"/>
      <c r="N13258" s="2"/>
      <c r="O13258" s="20"/>
      <c r="P13258" s="42"/>
      <c r="R13258" s="23"/>
    </row>
    <row r="13259" spans="1:18" ht="12.75">
      <c r="A13259" s="12"/>
      <c r="D13259" s="12"/>
      <c r="E13259" s="12"/>
      <c r="H13259" s="11" t="str">
        <f ca="1">IFERROR(__xludf.DUMMYFUNCTION("IFERROR(SUBSTITUTE(SUBSTITUTE(REGEXEXTRACT(A13259, ""[^-]+- [^-]+- [^-]+ - (.+?)\.jpg""), "".jpg"", """"), ""-"", "", ""), """")"),"")</f>
        <v/>
      </c>
      <c r="L13259" s="12"/>
      <c r="M13259" s="13"/>
      <c r="N13259" s="2"/>
      <c r="O13259" s="20"/>
      <c r="P13259" s="42"/>
      <c r="R13259" s="23"/>
    </row>
    <row r="13260" spans="1:18" ht="12.75">
      <c r="A13260" s="12"/>
      <c r="D13260" s="12"/>
      <c r="E13260" s="12"/>
      <c r="H13260" s="11" t="str">
        <f ca="1">IFERROR(__xludf.DUMMYFUNCTION("IFERROR(SUBSTITUTE(SUBSTITUTE(REGEXEXTRACT(A13260, ""[^-]+- [^-]+- [^-]+ - (.+?)\.jpg""), "".jpg"", """"), ""-"", "", ""), """")"),"")</f>
        <v/>
      </c>
      <c r="L13260" s="12"/>
      <c r="M13260" s="13"/>
      <c r="N13260" s="2"/>
      <c r="O13260" s="20"/>
      <c r="P13260" s="42"/>
      <c r="R13260" s="23"/>
    </row>
    <row r="13261" spans="1:18" ht="12.75">
      <c r="A13261" s="12"/>
      <c r="D13261" s="12"/>
      <c r="E13261" s="12"/>
      <c r="H13261" s="11" t="str">
        <f ca="1">IFERROR(__xludf.DUMMYFUNCTION("IFERROR(SUBSTITUTE(SUBSTITUTE(REGEXEXTRACT(A13261, ""[^-]+- [^-]+- [^-]+ - (.+?)\.jpg""), "".jpg"", """"), ""-"", "", ""), """")"),"")</f>
        <v/>
      </c>
      <c r="L13261" s="12"/>
      <c r="M13261" s="13"/>
      <c r="N13261" s="2"/>
      <c r="O13261" s="20"/>
      <c r="P13261" s="42"/>
      <c r="R13261" s="23"/>
    </row>
    <row r="13262" spans="1:18" ht="12.75">
      <c r="A13262" s="12"/>
      <c r="D13262" s="12"/>
      <c r="E13262" s="12"/>
      <c r="H13262" s="11" t="str">
        <f ca="1">IFERROR(__xludf.DUMMYFUNCTION("IFERROR(SUBSTITUTE(SUBSTITUTE(REGEXEXTRACT(A13262, ""[^-]+- [^-]+- [^-]+ - (.+?)\.jpg""), "".jpg"", """"), ""-"", "", ""), """")"),"")</f>
        <v/>
      </c>
      <c r="L13262" s="12"/>
      <c r="M13262" s="13"/>
      <c r="N13262" s="2"/>
      <c r="O13262" s="20"/>
      <c r="P13262" s="42"/>
      <c r="R13262" s="23"/>
    </row>
    <row r="13263" spans="1:18" ht="12.75">
      <c r="A13263" s="12"/>
      <c r="D13263" s="12"/>
      <c r="E13263" s="12"/>
      <c r="H13263" s="11" t="str">
        <f ca="1">IFERROR(__xludf.DUMMYFUNCTION("IFERROR(SUBSTITUTE(SUBSTITUTE(REGEXEXTRACT(A13263, ""[^-]+- [^-]+- [^-]+ - (.+?)\.jpg""), "".jpg"", """"), ""-"", "", ""), """")"),"")</f>
        <v/>
      </c>
      <c r="L13263" s="12"/>
      <c r="M13263" s="13"/>
      <c r="N13263" s="2"/>
      <c r="O13263" s="20"/>
      <c r="P13263" s="42"/>
      <c r="R13263" s="23"/>
    </row>
    <row r="13264" spans="1:18" ht="12.75">
      <c r="A13264" s="12"/>
      <c r="D13264" s="12"/>
      <c r="E13264" s="12"/>
      <c r="H13264" s="11" t="str">
        <f ca="1">IFERROR(__xludf.DUMMYFUNCTION("IFERROR(SUBSTITUTE(SUBSTITUTE(REGEXEXTRACT(A13264, ""[^-]+- [^-]+- [^-]+ - (.+?)\.jpg""), "".jpg"", """"), ""-"", "", ""), """")"),"")</f>
        <v/>
      </c>
      <c r="L13264" s="12"/>
      <c r="M13264" s="13"/>
      <c r="N13264" s="2"/>
      <c r="O13264" s="20"/>
      <c r="P13264" s="42"/>
      <c r="R13264" s="23"/>
    </row>
    <row r="13265" spans="1:18" ht="12.75">
      <c r="A13265" s="12"/>
      <c r="D13265" s="12"/>
      <c r="E13265" s="12"/>
      <c r="H13265" s="11" t="str">
        <f ca="1">IFERROR(__xludf.DUMMYFUNCTION("IFERROR(SUBSTITUTE(SUBSTITUTE(REGEXEXTRACT(A13265, ""[^-]+- [^-]+- [^-]+ - (.+?)\.jpg""), "".jpg"", """"), ""-"", "", ""), """")"),"")</f>
        <v/>
      </c>
      <c r="L13265" s="12"/>
      <c r="M13265" s="13"/>
      <c r="N13265" s="2"/>
      <c r="O13265" s="20"/>
      <c r="P13265" s="42"/>
      <c r="R13265" s="23"/>
    </row>
    <row r="13266" spans="1:18" ht="12.75">
      <c r="A13266" s="12"/>
      <c r="D13266" s="12"/>
      <c r="E13266" s="12"/>
      <c r="H13266" s="11" t="str">
        <f ca="1">IFERROR(__xludf.DUMMYFUNCTION("IFERROR(SUBSTITUTE(SUBSTITUTE(REGEXEXTRACT(A13266, ""[^-]+- [^-]+- [^-]+ - (.+?)\.jpg""), "".jpg"", """"), ""-"", "", ""), """")"),"")</f>
        <v/>
      </c>
      <c r="L13266" s="12"/>
      <c r="M13266" s="13"/>
      <c r="N13266" s="2"/>
      <c r="O13266" s="20"/>
      <c r="P13266" s="42"/>
      <c r="R13266" s="23"/>
    </row>
    <row r="13267" spans="1:18" ht="12.75">
      <c r="A13267" s="12"/>
      <c r="D13267" s="12"/>
      <c r="E13267" s="12"/>
      <c r="H13267" s="11" t="str">
        <f ca="1">IFERROR(__xludf.DUMMYFUNCTION("IFERROR(SUBSTITUTE(SUBSTITUTE(REGEXEXTRACT(A13267, ""[^-]+- [^-]+- [^-]+ - (.+?)\.jpg""), "".jpg"", """"), ""-"", "", ""), """")"),"")</f>
        <v/>
      </c>
      <c r="L13267" s="12"/>
      <c r="M13267" s="13"/>
      <c r="N13267" s="2"/>
      <c r="O13267" s="20"/>
      <c r="P13267" s="42"/>
      <c r="R13267" s="23"/>
    </row>
    <row r="13268" spans="1:18" ht="12.75">
      <c r="A13268" s="12"/>
      <c r="D13268" s="12"/>
      <c r="E13268" s="12"/>
      <c r="H13268" s="11" t="str">
        <f ca="1">IFERROR(__xludf.DUMMYFUNCTION("IFERROR(SUBSTITUTE(SUBSTITUTE(REGEXEXTRACT(A13268, ""[^-]+- [^-]+- [^-]+ - (.+?)\.jpg""), "".jpg"", """"), ""-"", "", ""), """")"),"")</f>
        <v/>
      </c>
      <c r="L13268" s="12"/>
      <c r="M13268" s="13"/>
      <c r="N13268" s="2"/>
      <c r="O13268" s="20"/>
      <c r="P13268" s="42"/>
      <c r="R13268" s="23"/>
    </row>
    <row r="13269" spans="1:18" ht="12.75">
      <c r="A13269" s="12"/>
      <c r="D13269" s="12"/>
      <c r="E13269" s="12"/>
      <c r="H13269" s="11" t="str">
        <f ca="1">IFERROR(__xludf.DUMMYFUNCTION("IFERROR(SUBSTITUTE(SUBSTITUTE(REGEXEXTRACT(A13269, ""[^-]+- [^-]+- [^-]+ - (.+?)\.jpg""), "".jpg"", """"), ""-"", "", ""), """")"),"")</f>
        <v/>
      </c>
      <c r="L13269" s="12"/>
      <c r="M13269" s="13"/>
      <c r="N13269" s="2"/>
      <c r="O13269" s="20"/>
      <c r="P13269" s="42"/>
      <c r="R13269" s="23"/>
    </row>
    <row r="13270" spans="1:18" ht="12.75">
      <c r="A13270" s="12"/>
      <c r="D13270" s="12"/>
      <c r="E13270" s="12"/>
      <c r="H13270" s="11" t="str">
        <f ca="1">IFERROR(__xludf.DUMMYFUNCTION("IFERROR(SUBSTITUTE(SUBSTITUTE(REGEXEXTRACT(A13270, ""[^-]+- [^-]+- [^-]+ - (.+?)\.jpg""), "".jpg"", """"), ""-"", "", ""), """")"),"")</f>
        <v/>
      </c>
      <c r="L13270" s="12"/>
      <c r="M13270" s="13"/>
      <c r="N13270" s="2"/>
      <c r="O13270" s="20"/>
      <c r="P13270" s="42"/>
      <c r="R13270" s="23"/>
    </row>
    <row r="13271" spans="1:18" ht="12.75">
      <c r="A13271" s="12"/>
      <c r="D13271" s="12"/>
      <c r="E13271" s="12"/>
      <c r="H13271" s="11" t="str">
        <f ca="1">IFERROR(__xludf.DUMMYFUNCTION("IFERROR(SUBSTITUTE(SUBSTITUTE(REGEXEXTRACT(A13271, ""[^-]+- [^-]+- [^-]+ - (.+?)\.jpg""), "".jpg"", """"), ""-"", "", ""), """")"),"")</f>
        <v/>
      </c>
      <c r="L13271" s="12"/>
      <c r="M13271" s="13"/>
      <c r="N13271" s="2"/>
      <c r="O13271" s="20"/>
      <c r="P13271" s="42"/>
      <c r="R13271" s="23"/>
    </row>
    <row r="13272" spans="1:18" ht="12.75">
      <c r="A13272" s="12"/>
      <c r="D13272" s="12"/>
      <c r="E13272" s="12"/>
      <c r="H13272" s="11" t="str">
        <f ca="1">IFERROR(__xludf.DUMMYFUNCTION("IFERROR(SUBSTITUTE(SUBSTITUTE(REGEXEXTRACT(A13272, ""[^-]+- [^-]+- [^-]+ - (.+?)\.jpg""), "".jpg"", """"), ""-"", "", ""), """")"),"")</f>
        <v/>
      </c>
      <c r="L13272" s="12"/>
      <c r="M13272" s="13"/>
      <c r="N13272" s="2"/>
      <c r="O13272" s="20"/>
      <c r="P13272" s="42"/>
      <c r="R13272" s="23"/>
    </row>
    <row r="13273" spans="1:18" ht="12.75">
      <c r="A13273" s="12"/>
      <c r="D13273" s="12"/>
      <c r="E13273" s="12"/>
      <c r="H13273" s="11" t="str">
        <f ca="1">IFERROR(__xludf.DUMMYFUNCTION("IFERROR(SUBSTITUTE(SUBSTITUTE(REGEXEXTRACT(A13273, ""[^-]+- [^-]+- [^-]+ - (.+?)\.jpg""), "".jpg"", """"), ""-"", "", ""), """")"),"")</f>
        <v/>
      </c>
      <c r="L13273" s="12"/>
      <c r="M13273" s="13"/>
      <c r="N13273" s="2"/>
      <c r="O13273" s="20"/>
      <c r="P13273" s="42"/>
      <c r="R13273" s="23"/>
    </row>
    <row r="13274" spans="1:18" ht="12.75">
      <c r="A13274" s="12"/>
      <c r="D13274" s="12"/>
      <c r="E13274" s="12"/>
      <c r="H13274" s="11" t="str">
        <f ca="1">IFERROR(__xludf.DUMMYFUNCTION("IFERROR(SUBSTITUTE(SUBSTITUTE(REGEXEXTRACT(A13274, ""[^-]+- [^-]+- [^-]+ - (.+?)\.jpg""), "".jpg"", """"), ""-"", "", ""), """")"),"")</f>
        <v/>
      </c>
      <c r="L13274" s="12"/>
      <c r="M13274" s="13"/>
      <c r="N13274" s="2"/>
      <c r="O13274" s="20"/>
      <c r="P13274" s="42"/>
      <c r="R13274" s="23"/>
    </row>
    <row r="13275" spans="1:18" ht="12.75">
      <c r="A13275" s="12"/>
      <c r="D13275" s="12"/>
      <c r="E13275" s="12"/>
      <c r="H13275" s="11" t="str">
        <f ca="1">IFERROR(__xludf.DUMMYFUNCTION("IFERROR(SUBSTITUTE(SUBSTITUTE(REGEXEXTRACT(A13275, ""[^-]+- [^-]+- [^-]+ - (.+?)\.jpg""), "".jpg"", """"), ""-"", "", ""), """")"),"")</f>
        <v/>
      </c>
      <c r="L13275" s="12"/>
      <c r="M13275" s="13"/>
      <c r="N13275" s="2"/>
      <c r="O13275" s="20"/>
      <c r="P13275" s="42"/>
      <c r="R13275" s="23"/>
    </row>
    <row r="13276" spans="1:18" ht="12.75">
      <c r="A13276" s="12"/>
      <c r="D13276" s="12"/>
      <c r="E13276" s="12"/>
      <c r="H13276" s="11" t="str">
        <f ca="1">IFERROR(__xludf.DUMMYFUNCTION("IFERROR(SUBSTITUTE(SUBSTITUTE(REGEXEXTRACT(A13276, ""[^-]+- [^-]+- [^-]+ - (.+?)\.jpg""), "".jpg"", """"), ""-"", "", ""), """")"),"")</f>
        <v/>
      </c>
      <c r="L13276" s="12"/>
      <c r="M13276" s="13"/>
      <c r="N13276" s="2"/>
      <c r="O13276" s="20"/>
      <c r="P13276" s="42"/>
      <c r="R13276" s="23"/>
    </row>
    <row r="13277" spans="1:18" ht="12.75">
      <c r="A13277" s="12"/>
      <c r="D13277" s="12"/>
      <c r="E13277" s="12"/>
      <c r="H13277" s="11" t="str">
        <f ca="1">IFERROR(__xludf.DUMMYFUNCTION("IFERROR(SUBSTITUTE(SUBSTITUTE(REGEXEXTRACT(A13277, ""[^-]+- [^-]+- [^-]+ - (.+?)\.jpg""), "".jpg"", """"), ""-"", "", ""), """")"),"")</f>
        <v/>
      </c>
      <c r="L13277" s="12"/>
      <c r="M13277" s="13"/>
      <c r="N13277" s="2"/>
      <c r="O13277" s="20"/>
      <c r="P13277" s="42"/>
      <c r="R13277" s="23"/>
    </row>
    <row r="13278" spans="1:18" ht="12.75">
      <c r="A13278" s="12"/>
      <c r="D13278" s="12"/>
      <c r="E13278" s="12"/>
      <c r="H13278" s="11" t="str">
        <f ca="1">IFERROR(__xludf.DUMMYFUNCTION("IFERROR(SUBSTITUTE(SUBSTITUTE(REGEXEXTRACT(A13278, ""[^-]+- [^-]+- [^-]+ - (.+?)\.jpg""), "".jpg"", """"), ""-"", "", ""), """")"),"")</f>
        <v/>
      </c>
      <c r="L13278" s="12"/>
      <c r="M13278" s="13"/>
      <c r="N13278" s="2"/>
      <c r="O13278" s="20"/>
      <c r="P13278" s="42"/>
      <c r="R13278" s="23"/>
    </row>
    <row r="13279" spans="1:18" ht="12.75">
      <c r="A13279" s="12"/>
      <c r="D13279" s="12"/>
      <c r="E13279" s="12"/>
      <c r="H13279" s="11" t="str">
        <f ca="1">IFERROR(__xludf.DUMMYFUNCTION("IFERROR(SUBSTITUTE(SUBSTITUTE(REGEXEXTRACT(A13279, ""[^-]+- [^-]+- [^-]+ - (.+?)\.jpg""), "".jpg"", """"), ""-"", "", ""), """")"),"")</f>
        <v/>
      </c>
      <c r="L13279" s="12"/>
      <c r="M13279" s="13"/>
      <c r="N13279" s="2"/>
      <c r="O13279" s="20"/>
      <c r="P13279" s="42"/>
      <c r="R13279" s="23"/>
    </row>
    <row r="13280" spans="1:18" ht="12.75">
      <c r="A13280" s="12"/>
      <c r="D13280" s="12"/>
      <c r="E13280" s="12"/>
      <c r="H13280" s="11" t="str">
        <f ca="1">IFERROR(__xludf.DUMMYFUNCTION("IFERROR(SUBSTITUTE(SUBSTITUTE(REGEXEXTRACT(A13280, ""[^-]+- [^-]+- [^-]+ - (.+?)\.jpg""), "".jpg"", """"), ""-"", "", ""), """")"),"")</f>
        <v/>
      </c>
      <c r="L13280" s="12"/>
      <c r="M13280" s="13"/>
      <c r="N13280" s="2"/>
      <c r="O13280" s="20"/>
      <c r="P13280" s="42"/>
      <c r="R13280" s="23"/>
    </row>
    <row r="13281" spans="1:18" ht="12.75">
      <c r="A13281" s="12"/>
      <c r="D13281" s="12"/>
      <c r="E13281" s="12"/>
      <c r="H13281" s="11" t="str">
        <f ca="1">IFERROR(__xludf.DUMMYFUNCTION("IFERROR(SUBSTITUTE(SUBSTITUTE(REGEXEXTRACT(A13281, ""[^-]+- [^-]+- [^-]+ - (.+?)\.jpg""), "".jpg"", """"), ""-"", "", ""), """")"),"")</f>
        <v/>
      </c>
      <c r="L13281" s="12"/>
      <c r="M13281" s="13"/>
      <c r="N13281" s="2"/>
      <c r="O13281" s="20"/>
      <c r="P13281" s="42"/>
      <c r="R13281" s="23"/>
    </row>
    <row r="13282" spans="1:18" ht="12.75">
      <c r="A13282" s="12"/>
      <c r="D13282" s="12"/>
      <c r="E13282" s="12"/>
      <c r="H13282" s="11" t="str">
        <f ca="1">IFERROR(__xludf.DUMMYFUNCTION("IFERROR(SUBSTITUTE(SUBSTITUTE(REGEXEXTRACT(A13282, ""[^-]+- [^-]+- [^-]+ - (.+?)\.jpg""), "".jpg"", """"), ""-"", "", ""), """")"),"")</f>
        <v/>
      </c>
      <c r="L13282" s="12"/>
      <c r="M13282" s="13"/>
      <c r="N13282" s="2"/>
      <c r="O13282" s="20"/>
      <c r="P13282" s="42"/>
      <c r="R13282" s="23"/>
    </row>
    <row r="13283" spans="1:18" ht="12.75">
      <c r="A13283" s="12"/>
      <c r="D13283" s="12"/>
      <c r="E13283" s="12"/>
      <c r="H13283" s="11" t="str">
        <f ca="1">IFERROR(__xludf.DUMMYFUNCTION("IFERROR(SUBSTITUTE(SUBSTITUTE(REGEXEXTRACT(A13283, ""[^-]+- [^-]+- [^-]+ - (.+?)\.jpg""), "".jpg"", """"), ""-"", "", ""), """")"),"")</f>
        <v/>
      </c>
      <c r="L13283" s="12"/>
      <c r="M13283" s="13"/>
      <c r="N13283" s="2"/>
      <c r="O13283" s="20"/>
      <c r="P13283" s="42"/>
      <c r="R13283" s="23"/>
    </row>
    <row r="13284" spans="1:18" ht="12.75">
      <c r="A13284" s="12"/>
      <c r="D13284" s="12"/>
      <c r="E13284" s="12"/>
      <c r="H13284" s="11" t="str">
        <f ca="1">IFERROR(__xludf.DUMMYFUNCTION("IFERROR(SUBSTITUTE(SUBSTITUTE(REGEXEXTRACT(A13284, ""[^-]+- [^-]+- [^-]+ - (.+?)\.jpg""), "".jpg"", """"), ""-"", "", ""), """")"),"")</f>
        <v/>
      </c>
      <c r="L13284" s="12"/>
      <c r="M13284" s="13"/>
      <c r="N13284" s="2"/>
      <c r="O13284" s="20"/>
      <c r="P13284" s="42"/>
      <c r="R13284" s="23"/>
    </row>
    <row r="13285" spans="1:18" ht="12.75">
      <c r="A13285" s="12"/>
      <c r="D13285" s="12"/>
      <c r="E13285" s="12"/>
      <c r="H13285" s="11" t="str">
        <f ca="1">IFERROR(__xludf.DUMMYFUNCTION("IFERROR(SUBSTITUTE(SUBSTITUTE(REGEXEXTRACT(A13285, ""[^-]+- [^-]+- [^-]+ - (.+?)\.jpg""), "".jpg"", """"), ""-"", "", ""), """")"),"")</f>
        <v/>
      </c>
      <c r="L13285" s="12"/>
      <c r="M13285" s="13"/>
      <c r="N13285" s="2"/>
      <c r="O13285" s="20"/>
      <c r="P13285" s="42"/>
      <c r="R13285" s="23"/>
    </row>
    <row r="13286" spans="1:18" ht="12.75">
      <c r="A13286" s="12"/>
      <c r="D13286" s="12"/>
      <c r="E13286" s="12"/>
      <c r="H13286" s="11" t="str">
        <f ca="1">IFERROR(__xludf.DUMMYFUNCTION("IFERROR(SUBSTITUTE(SUBSTITUTE(REGEXEXTRACT(A13286, ""[^-]+- [^-]+- [^-]+ - (.+?)\.jpg""), "".jpg"", """"), ""-"", "", ""), """")"),"")</f>
        <v/>
      </c>
      <c r="L13286" s="12"/>
      <c r="M13286" s="13"/>
      <c r="N13286" s="2"/>
      <c r="O13286" s="20"/>
      <c r="P13286" s="42"/>
      <c r="R13286" s="23"/>
    </row>
    <row r="13287" spans="1:18" ht="12.75">
      <c r="A13287" s="12"/>
      <c r="D13287" s="12"/>
      <c r="E13287" s="12"/>
      <c r="H13287" s="11" t="str">
        <f ca="1">IFERROR(__xludf.DUMMYFUNCTION("IFERROR(SUBSTITUTE(SUBSTITUTE(REGEXEXTRACT(A13287, ""[^-]+- [^-]+- [^-]+ - (.+?)\.jpg""), "".jpg"", """"), ""-"", "", ""), """")"),"")</f>
        <v/>
      </c>
      <c r="L13287" s="12"/>
      <c r="M13287" s="13"/>
      <c r="N13287" s="2"/>
      <c r="O13287" s="20"/>
      <c r="P13287" s="42"/>
      <c r="R13287" s="23"/>
    </row>
    <row r="13288" spans="1:18" ht="12.75">
      <c r="A13288" s="12"/>
      <c r="D13288" s="12"/>
      <c r="E13288" s="12"/>
      <c r="H13288" s="11" t="str">
        <f ca="1">IFERROR(__xludf.DUMMYFUNCTION("IFERROR(SUBSTITUTE(SUBSTITUTE(REGEXEXTRACT(A13288, ""[^-]+- [^-]+- [^-]+ - (.+?)\.jpg""), "".jpg"", """"), ""-"", "", ""), """")"),"")</f>
        <v/>
      </c>
      <c r="L13288" s="12"/>
      <c r="M13288" s="13"/>
      <c r="N13288" s="2"/>
      <c r="O13288" s="20"/>
      <c r="P13288" s="42"/>
      <c r="R13288" s="23"/>
    </row>
    <row r="13289" spans="1:18" ht="12.75">
      <c r="A13289" s="12"/>
      <c r="D13289" s="12"/>
      <c r="E13289" s="12"/>
      <c r="H13289" s="11" t="str">
        <f ca="1">IFERROR(__xludf.DUMMYFUNCTION("IFERROR(SUBSTITUTE(SUBSTITUTE(REGEXEXTRACT(A13289, ""[^-]+- [^-]+- [^-]+ - (.+?)\.jpg""), "".jpg"", """"), ""-"", "", ""), """")"),"")</f>
        <v/>
      </c>
      <c r="L13289" s="12"/>
      <c r="M13289" s="13"/>
      <c r="N13289" s="2"/>
      <c r="O13289" s="20"/>
      <c r="P13289" s="42"/>
      <c r="R13289" s="23"/>
    </row>
    <row r="13290" spans="1:18" ht="12.75">
      <c r="A13290" s="12"/>
      <c r="D13290" s="12"/>
      <c r="E13290" s="12"/>
      <c r="H13290" s="11" t="str">
        <f ca="1">IFERROR(__xludf.DUMMYFUNCTION("IFERROR(SUBSTITUTE(SUBSTITUTE(REGEXEXTRACT(A13290, ""[^-]+- [^-]+- [^-]+ - (.+?)\.jpg""), "".jpg"", """"), ""-"", "", ""), """")"),"")</f>
        <v/>
      </c>
      <c r="L13290" s="12"/>
      <c r="M13290" s="13"/>
      <c r="N13290" s="2"/>
      <c r="O13290" s="20"/>
      <c r="P13290" s="42"/>
      <c r="R13290" s="23"/>
    </row>
    <row r="13291" spans="1:18" ht="12.75">
      <c r="A13291" s="12"/>
      <c r="D13291" s="12"/>
      <c r="E13291" s="12"/>
      <c r="H13291" s="11" t="str">
        <f ca="1">IFERROR(__xludf.DUMMYFUNCTION("IFERROR(SUBSTITUTE(SUBSTITUTE(REGEXEXTRACT(A13291, ""[^-]+- [^-]+- [^-]+ - (.+?)\.jpg""), "".jpg"", """"), ""-"", "", ""), """")"),"")</f>
        <v/>
      </c>
      <c r="L13291" s="12"/>
      <c r="M13291" s="13"/>
      <c r="N13291" s="2"/>
      <c r="O13291" s="20"/>
      <c r="P13291" s="42"/>
      <c r="R13291" s="23"/>
    </row>
    <row r="13292" spans="1:18" ht="12.75">
      <c r="A13292" s="12"/>
      <c r="D13292" s="12"/>
      <c r="E13292" s="12"/>
      <c r="H13292" s="11" t="str">
        <f ca="1">IFERROR(__xludf.DUMMYFUNCTION("IFERROR(SUBSTITUTE(SUBSTITUTE(REGEXEXTRACT(A13292, ""[^-]+- [^-]+- [^-]+ - (.+?)\.jpg""), "".jpg"", """"), ""-"", "", ""), """")"),"")</f>
        <v/>
      </c>
      <c r="L13292" s="12"/>
      <c r="M13292" s="13"/>
      <c r="N13292" s="2"/>
      <c r="O13292" s="20"/>
      <c r="P13292" s="42"/>
      <c r="R13292" s="23"/>
    </row>
    <row r="13293" spans="1:18" ht="12.75">
      <c r="A13293" s="12"/>
      <c r="D13293" s="12"/>
      <c r="E13293" s="12"/>
      <c r="H13293" s="11" t="str">
        <f ca="1">IFERROR(__xludf.DUMMYFUNCTION("IFERROR(SUBSTITUTE(SUBSTITUTE(REGEXEXTRACT(A13293, ""[^-]+- [^-]+- [^-]+ - (.+?)\.jpg""), "".jpg"", """"), ""-"", "", ""), """")"),"")</f>
        <v/>
      </c>
      <c r="L13293" s="12"/>
      <c r="M13293" s="13"/>
      <c r="N13293" s="2"/>
      <c r="O13293" s="20"/>
      <c r="P13293" s="42"/>
      <c r="R13293" s="23"/>
    </row>
    <row r="13294" spans="1:18" ht="12.75">
      <c r="A13294" s="12"/>
      <c r="D13294" s="12"/>
      <c r="E13294" s="12"/>
      <c r="H13294" s="11" t="str">
        <f ca="1">IFERROR(__xludf.DUMMYFUNCTION("IFERROR(SUBSTITUTE(SUBSTITUTE(REGEXEXTRACT(A13294, ""[^-]+- [^-]+- [^-]+ - (.+?)\.jpg""), "".jpg"", """"), ""-"", "", ""), """")"),"")</f>
        <v/>
      </c>
      <c r="L13294" s="12"/>
      <c r="M13294" s="13"/>
      <c r="N13294" s="2"/>
      <c r="O13294" s="20"/>
      <c r="P13294" s="42"/>
      <c r="R13294" s="23"/>
    </row>
    <row r="13295" spans="1:18" ht="12.75">
      <c r="A13295" s="12"/>
      <c r="D13295" s="12"/>
      <c r="E13295" s="12"/>
      <c r="H13295" s="11" t="str">
        <f ca="1">IFERROR(__xludf.DUMMYFUNCTION("IFERROR(SUBSTITUTE(SUBSTITUTE(REGEXEXTRACT(A13295, ""[^-]+- [^-]+- [^-]+ - (.+?)\.jpg""), "".jpg"", """"), ""-"", "", ""), """")"),"")</f>
        <v/>
      </c>
      <c r="L13295" s="12"/>
      <c r="M13295" s="13"/>
      <c r="N13295" s="2"/>
      <c r="O13295" s="20"/>
      <c r="P13295" s="42"/>
      <c r="R13295" s="23"/>
    </row>
    <row r="13296" spans="1:18" ht="12.75">
      <c r="A13296" s="12"/>
      <c r="D13296" s="12"/>
      <c r="E13296" s="12"/>
      <c r="H13296" s="11" t="str">
        <f ca="1">IFERROR(__xludf.DUMMYFUNCTION("IFERROR(SUBSTITUTE(SUBSTITUTE(REGEXEXTRACT(A13296, ""[^-]+- [^-]+- [^-]+ - (.+?)\.jpg""), "".jpg"", """"), ""-"", "", ""), """")"),"")</f>
        <v/>
      </c>
      <c r="L13296" s="12"/>
      <c r="M13296" s="13"/>
      <c r="N13296" s="2"/>
      <c r="O13296" s="20"/>
      <c r="P13296" s="42"/>
      <c r="R13296" s="23"/>
    </row>
    <row r="13297" spans="1:18" ht="12.75">
      <c r="A13297" s="12"/>
      <c r="D13297" s="12"/>
      <c r="E13297" s="12"/>
      <c r="H13297" s="11" t="str">
        <f ca="1">IFERROR(__xludf.DUMMYFUNCTION("IFERROR(SUBSTITUTE(SUBSTITUTE(REGEXEXTRACT(A13297, ""[^-]+- [^-]+- [^-]+ - (.+?)\.jpg""), "".jpg"", """"), ""-"", "", ""), """")"),"")</f>
        <v/>
      </c>
      <c r="L13297" s="12"/>
      <c r="M13297" s="13"/>
      <c r="N13297" s="2"/>
      <c r="O13297" s="20"/>
      <c r="P13297" s="42"/>
      <c r="R13297" s="23"/>
    </row>
    <row r="13298" spans="1:18" ht="12.75">
      <c r="A13298" s="12"/>
      <c r="D13298" s="12"/>
      <c r="E13298" s="12"/>
      <c r="H13298" s="11" t="str">
        <f ca="1">IFERROR(__xludf.DUMMYFUNCTION("IFERROR(SUBSTITUTE(SUBSTITUTE(REGEXEXTRACT(A13298, ""[^-]+- [^-]+- [^-]+ - (.+?)\.jpg""), "".jpg"", """"), ""-"", "", ""), """")"),"")</f>
        <v/>
      </c>
      <c r="L13298" s="12"/>
      <c r="M13298" s="13"/>
      <c r="N13298" s="2"/>
      <c r="O13298" s="20"/>
      <c r="P13298" s="42"/>
      <c r="R13298" s="23"/>
    </row>
    <row r="13299" spans="1:18" ht="12.75">
      <c r="A13299" s="12"/>
      <c r="D13299" s="12"/>
      <c r="E13299" s="12"/>
      <c r="H13299" s="11" t="str">
        <f ca="1">IFERROR(__xludf.DUMMYFUNCTION("IFERROR(SUBSTITUTE(SUBSTITUTE(REGEXEXTRACT(A13299, ""[^-]+- [^-]+- [^-]+ - (.+?)\.jpg""), "".jpg"", """"), ""-"", "", ""), """")"),"")</f>
        <v/>
      </c>
      <c r="L13299" s="12"/>
      <c r="M13299" s="13"/>
      <c r="N13299" s="2"/>
      <c r="O13299" s="20"/>
      <c r="P13299" s="42"/>
      <c r="R13299" s="23"/>
    </row>
    <row r="13300" spans="1:18" ht="12.75">
      <c r="A13300" s="12"/>
      <c r="D13300" s="12"/>
      <c r="E13300" s="12"/>
      <c r="H13300" s="11" t="str">
        <f ca="1">IFERROR(__xludf.DUMMYFUNCTION("IFERROR(SUBSTITUTE(SUBSTITUTE(REGEXEXTRACT(A13300, ""[^-]+- [^-]+- [^-]+ - (.+?)\.jpg""), "".jpg"", """"), ""-"", "", ""), """")"),"")</f>
        <v/>
      </c>
      <c r="L13300" s="12"/>
      <c r="M13300" s="13"/>
      <c r="N13300" s="2"/>
      <c r="O13300" s="20"/>
      <c r="P13300" s="42"/>
      <c r="R13300" s="23"/>
    </row>
    <row r="13301" spans="1:18" ht="12.75">
      <c r="A13301" s="12"/>
      <c r="D13301" s="12"/>
      <c r="E13301" s="12"/>
      <c r="H13301" s="11" t="str">
        <f ca="1">IFERROR(__xludf.DUMMYFUNCTION("IFERROR(SUBSTITUTE(SUBSTITUTE(REGEXEXTRACT(A13301, ""[^-]+- [^-]+- [^-]+ - (.+?)\.jpg""), "".jpg"", """"), ""-"", "", ""), """")"),"")</f>
        <v/>
      </c>
      <c r="L13301" s="12"/>
      <c r="M13301" s="13"/>
      <c r="N13301" s="2"/>
      <c r="O13301" s="20"/>
      <c r="P13301" s="42"/>
      <c r="R13301" s="23"/>
    </row>
    <row r="13302" spans="1:18" ht="12.75">
      <c r="A13302" s="12"/>
      <c r="D13302" s="12"/>
      <c r="E13302" s="12"/>
      <c r="H13302" s="11" t="str">
        <f ca="1">IFERROR(__xludf.DUMMYFUNCTION("IFERROR(SUBSTITUTE(SUBSTITUTE(REGEXEXTRACT(A13302, ""[^-]+- [^-]+- [^-]+ - (.+?)\.jpg""), "".jpg"", """"), ""-"", "", ""), """")"),"")</f>
        <v/>
      </c>
      <c r="L13302" s="12"/>
      <c r="M13302" s="13"/>
      <c r="N13302" s="2"/>
      <c r="O13302" s="20"/>
      <c r="P13302" s="42"/>
      <c r="R13302" s="23"/>
    </row>
    <row r="13303" spans="1:18" ht="12.75">
      <c r="A13303" s="12"/>
      <c r="D13303" s="12"/>
      <c r="E13303" s="12"/>
      <c r="H13303" s="11" t="str">
        <f ca="1">IFERROR(__xludf.DUMMYFUNCTION("IFERROR(SUBSTITUTE(SUBSTITUTE(REGEXEXTRACT(A13303, ""[^-]+- [^-]+- [^-]+ - (.+?)\.jpg""), "".jpg"", """"), ""-"", "", ""), """")"),"")</f>
        <v/>
      </c>
      <c r="L13303" s="12"/>
      <c r="M13303" s="13"/>
      <c r="N13303" s="2"/>
      <c r="O13303" s="20"/>
      <c r="P13303" s="42"/>
      <c r="R13303" s="23"/>
    </row>
    <row r="13304" spans="1:18" ht="12.75">
      <c r="A13304" s="12"/>
      <c r="D13304" s="12"/>
      <c r="E13304" s="12"/>
      <c r="H13304" s="11" t="str">
        <f ca="1">IFERROR(__xludf.DUMMYFUNCTION("IFERROR(SUBSTITUTE(SUBSTITUTE(REGEXEXTRACT(A13304, ""[^-]+- [^-]+- [^-]+ - (.+?)\.jpg""), "".jpg"", """"), ""-"", "", ""), """")"),"")</f>
        <v/>
      </c>
      <c r="L13304" s="12"/>
      <c r="M13304" s="13"/>
      <c r="N13304" s="2"/>
      <c r="O13304" s="20"/>
      <c r="P13304" s="42"/>
      <c r="R13304" s="23"/>
    </row>
    <row r="13305" spans="1:18" ht="12.75">
      <c r="A13305" s="12"/>
      <c r="D13305" s="12"/>
      <c r="E13305" s="12"/>
      <c r="H13305" s="11" t="str">
        <f ca="1">IFERROR(__xludf.DUMMYFUNCTION("IFERROR(SUBSTITUTE(SUBSTITUTE(REGEXEXTRACT(A13305, ""[^-]+- [^-]+- [^-]+ - (.+?)\.jpg""), "".jpg"", """"), ""-"", "", ""), """")"),"")</f>
        <v/>
      </c>
      <c r="L13305" s="12"/>
      <c r="M13305" s="13"/>
      <c r="N13305" s="2"/>
      <c r="O13305" s="20"/>
      <c r="P13305" s="42"/>
      <c r="R13305" s="23"/>
    </row>
    <row r="13306" spans="1:18" ht="12.75">
      <c r="A13306" s="12"/>
      <c r="D13306" s="12"/>
      <c r="E13306" s="12"/>
      <c r="H13306" s="11" t="str">
        <f ca="1">IFERROR(__xludf.DUMMYFUNCTION("IFERROR(SUBSTITUTE(SUBSTITUTE(REGEXEXTRACT(A13306, ""[^-]+- [^-]+- [^-]+ - (.+?)\.jpg""), "".jpg"", """"), ""-"", "", ""), """")"),"")</f>
        <v/>
      </c>
      <c r="L13306" s="12"/>
      <c r="M13306" s="13"/>
      <c r="N13306" s="2"/>
      <c r="O13306" s="20"/>
      <c r="P13306" s="42"/>
      <c r="R13306" s="23"/>
    </row>
    <row r="13307" spans="1:18" ht="12.75">
      <c r="A13307" s="12"/>
      <c r="D13307" s="12"/>
      <c r="E13307" s="12"/>
      <c r="H13307" s="11" t="str">
        <f ca="1">IFERROR(__xludf.DUMMYFUNCTION("IFERROR(SUBSTITUTE(SUBSTITUTE(REGEXEXTRACT(A13307, ""[^-]+- [^-]+- [^-]+ - (.+?)\.jpg""), "".jpg"", """"), ""-"", "", ""), """")"),"")</f>
        <v/>
      </c>
      <c r="L13307" s="12"/>
      <c r="M13307" s="13"/>
      <c r="N13307" s="2"/>
      <c r="O13307" s="20"/>
      <c r="P13307" s="42"/>
      <c r="R13307" s="23"/>
    </row>
    <row r="13308" spans="1:18" ht="12.75">
      <c r="A13308" s="12"/>
      <c r="D13308" s="12"/>
      <c r="E13308" s="12"/>
      <c r="H13308" s="11" t="str">
        <f ca="1">IFERROR(__xludf.DUMMYFUNCTION("IFERROR(SUBSTITUTE(SUBSTITUTE(REGEXEXTRACT(A13308, ""[^-]+- [^-]+- [^-]+ - (.+?)\.jpg""), "".jpg"", """"), ""-"", "", ""), """")"),"")</f>
        <v/>
      </c>
      <c r="L13308" s="12"/>
      <c r="M13308" s="13"/>
      <c r="N13308" s="2"/>
      <c r="O13308" s="20"/>
      <c r="P13308" s="42"/>
      <c r="R13308" s="23"/>
    </row>
    <row r="13309" spans="1:18" ht="12.75">
      <c r="A13309" s="12"/>
      <c r="D13309" s="12"/>
      <c r="E13309" s="12"/>
      <c r="H13309" s="11" t="str">
        <f ca="1">IFERROR(__xludf.DUMMYFUNCTION("IFERROR(SUBSTITUTE(SUBSTITUTE(REGEXEXTRACT(A13309, ""[^-]+- [^-]+- [^-]+ - (.+?)\.jpg""), "".jpg"", """"), ""-"", "", ""), """")"),"")</f>
        <v/>
      </c>
      <c r="L13309" s="12"/>
      <c r="M13309" s="13"/>
      <c r="N13309" s="2"/>
      <c r="O13309" s="20"/>
      <c r="P13309" s="42"/>
      <c r="R13309" s="23"/>
    </row>
    <row r="13310" spans="1:18" ht="12.75">
      <c r="A13310" s="12"/>
      <c r="D13310" s="12"/>
      <c r="E13310" s="12"/>
      <c r="H13310" s="11" t="str">
        <f ca="1">IFERROR(__xludf.DUMMYFUNCTION("IFERROR(SUBSTITUTE(SUBSTITUTE(REGEXEXTRACT(A13310, ""[^-]+- [^-]+- [^-]+ - (.+?)\.jpg""), "".jpg"", """"), ""-"", "", ""), """")"),"")</f>
        <v/>
      </c>
      <c r="L13310" s="12"/>
      <c r="M13310" s="13"/>
      <c r="N13310" s="2"/>
      <c r="O13310" s="20"/>
      <c r="P13310" s="42"/>
      <c r="R13310" s="23"/>
    </row>
    <row r="13311" spans="1:18" ht="12.75">
      <c r="A13311" s="12"/>
      <c r="D13311" s="12"/>
      <c r="E13311" s="12"/>
      <c r="H13311" s="11" t="str">
        <f ca="1">IFERROR(__xludf.DUMMYFUNCTION("IFERROR(SUBSTITUTE(SUBSTITUTE(REGEXEXTRACT(A13311, ""[^-]+- [^-]+- [^-]+ - (.+?)\.jpg""), "".jpg"", """"), ""-"", "", ""), """")"),"")</f>
        <v/>
      </c>
      <c r="L13311" s="12"/>
      <c r="M13311" s="13"/>
      <c r="N13311" s="2"/>
      <c r="O13311" s="20"/>
      <c r="P13311" s="42"/>
      <c r="R13311" s="23"/>
    </row>
    <row r="13312" spans="1:18" ht="12.75">
      <c r="A13312" s="12"/>
      <c r="D13312" s="12"/>
      <c r="E13312" s="12"/>
      <c r="H13312" s="11" t="str">
        <f ca="1">IFERROR(__xludf.DUMMYFUNCTION("IFERROR(SUBSTITUTE(SUBSTITUTE(REGEXEXTRACT(A13312, ""[^-]+- [^-]+- [^-]+ - (.+?)\.jpg""), "".jpg"", """"), ""-"", "", ""), """")"),"")</f>
        <v/>
      </c>
      <c r="L13312" s="12"/>
      <c r="M13312" s="13"/>
      <c r="N13312" s="2"/>
      <c r="O13312" s="20"/>
      <c r="P13312" s="42"/>
      <c r="R13312" s="23"/>
    </row>
    <row r="13313" spans="1:18" ht="12.75">
      <c r="A13313" s="12"/>
      <c r="D13313" s="12"/>
      <c r="E13313" s="12"/>
      <c r="H13313" s="11" t="str">
        <f ca="1">IFERROR(__xludf.DUMMYFUNCTION("IFERROR(SUBSTITUTE(SUBSTITUTE(REGEXEXTRACT(A13313, ""[^-]+- [^-]+- [^-]+ - (.+?)\.jpg""), "".jpg"", """"), ""-"", "", ""), """")"),"")</f>
        <v/>
      </c>
      <c r="L13313" s="12"/>
      <c r="M13313" s="13"/>
      <c r="N13313" s="2"/>
      <c r="O13313" s="20"/>
      <c r="P13313" s="42"/>
      <c r="R13313" s="23"/>
    </row>
    <row r="13314" spans="1:18" ht="12.75">
      <c r="A13314" s="12"/>
      <c r="D13314" s="12"/>
      <c r="E13314" s="12"/>
      <c r="H13314" s="11" t="str">
        <f ca="1">IFERROR(__xludf.DUMMYFUNCTION("IFERROR(SUBSTITUTE(SUBSTITUTE(REGEXEXTRACT(A13314, ""[^-]+- [^-]+- [^-]+ - (.+?)\.jpg""), "".jpg"", """"), ""-"", "", ""), """")"),"")</f>
        <v/>
      </c>
      <c r="L13314" s="12"/>
      <c r="M13314" s="13"/>
      <c r="N13314" s="2"/>
      <c r="O13314" s="20"/>
      <c r="P13314" s="42"/>
      <c r="R13314" s="23"/>
    </row>
    <row r="13315" spans="1:18" ht="12.75">
      <c r="A13315" s="12"/>
      <c r="D13315" s="12"/>
      <c r="E13315" s="12"/>
      <c r="H13315" s="11" t="str">
        <f ca="1">IFERROR(__xludf.DUMMYFUNCTION("IFERROR(SUBSTITUTE(SUBSTITUTE(REGEXEXTRACT(A13315, ""[^-]+- [^-]+- [^-]+ - (.+?)\.jpg""), "".jpg"", """"), ""-"", "", ""), """")"),"")</f>
        <v/>
      </c>
      <c r="L13315" s="12"/>
      <c r="M13315" s="13"/>
      <c r="N13315" s="2"/>
      <c r="O13315" s="20"/>
      <c r="P13315" s="42"/>
      <c r="R13315" s="23"/>
    </row>
    <row r="13316" spans="1:18" ht="12.75">
      <c r="A13316" s="12"/>
      <c r="D13316" s="12"/>
      <c r="E13316" s="12"/>
      <c r="H13316" s="11" t="str">
        <f ca="1">IFERROR(__xludf.DUMMYFUNCTION("IFERROR(SUBSTITUTE(SUBSTITUTE(REGEXEXTRACT(A13316, ""[^-]+- [^-]+- [^-]+ - (.+?)\.jpg""), "".jpg"", """"), ""-"", "", ""), """")"),"")</f>
        <v/>
      </c>
      <c r="L13316" s="12"/>
      <c r="M13316" s="13"/>
      <c r="N13316" s="2"/>
      <c r="O13316" s="20"/>
      <c r="P13316" s="42"/>
      <c r="R13316" s="23"/>
    </row>
    <row r="13317" spans="1:18" ht="12.75">
      <c r="A13317" s="12"/>
      <c r="D13317" s="12"/>
      <c r="E13317" s="12"/>
      <c r="H13317" s="11" t="str">
        <f ca="1">IFERROR(__xludf.DUMMYFUNCTION("IFERROR(SUBSTITUTE(SUBSTITUTE(REGEXEXTRACT(A13317, ""[^-]+- [^-]+- [^-]+ - (.+?)\.jpg""), "".jpg"", """"), ""-"", "", ""), """")"),"")</f>
        <v/>
      </c>
      <c r="L13317" s="12"/>
      <c r="M13317" s="13"/>
      <c r="N13317" s="2"/>
      <c r="O13317" s="20"/>
      <c r="P13317" s="42"/>
      <c r="R13317" s="23"/>
    </row>
    <row r="13318" spans="1:18" ht="12.75">
      <c r="A13318" s="12"/>
      <c r="D13318" s="12"/>
      <c r="E13318" s="12"/>
      <c r="H13318" s="11" t="str">
        <f ca="1">IFERROR(__xludf.DUMMYFUNCTION("IFERROR(SUBSTITUTE(SUBSTITUTE(REGEXEXTRACT(A13318, ""[^-]+- [^-]+- [^-]+ - (.+?)\.jpg""), "".jpg"", """"), ""-"", "", ""), """")"),"")</f>
        <v/>
      </c>
      <c r="L13318" s="12"/>
      <c r="M13318" s="13"/>
      <c r="N13318" s="2"/>
      <c r="O13318" s="20"/>
      <c r="P13318" s="42"/>
      <c r="R13318" s="23"/>
    </row>
    <row r="13319" spans="1:18" ht="12.75">
      <c r="A13319" s="12"/>
      <c r="D13319" s="12"/>
      <c r="E13319" s="12"/>
      <c r="H13319" s="11" t="str">
        <f ca="1">IFERROR(__xludf.DUMMYFUNCTION("IFERROR(SUBSTITUTE(SUBSTITUTE(REGEXEXTRACT(A13319, ""[^-]+- [^-]+- [^-]+ - (.+?)\.jpg""), "".jpg"", """"), ""-"", "", ""), """")"),"")</f>
        <v/>
      </c>
      <c r="L13319" s="12"/>
      <c r="M13319" s="13"/>
      <c r="N13319" s="2"/>
      <c r="O13319" s="20"/>
      <c r="P13319" s="42"/>
      <c r="R13319" s="23"/>
    </row>
    <row r="13320" spans="1:18" ht="12.75">
      <c r="A13320" s="12"/>
      <c r="D13320" s="12"/>
      <c r="E13320" s="12"/>
      <c r="H13320" s="11" t="str">
        <f ca="1">IFERROR(__xludf.DUMMYFUNCTION("IFERROR(SUBSTITUTE(SUBSTITUTE(REGEXEXTRACT(A13320, ""[^-]+- [^-]+- [^-]+ - (.+?)\.jpg""), "".jpg"", """"), ""-"", "", ""), """")"),"")</f>
        <v/>
      </c>
      <c r="L13320" s="12"/>
      <c r="M13320" s="13"/>
      <c r="N13320" s="2"/>
      <c r="O13320" s="20"/>
      <c r="P13320" s="42"/>
      <c r="R13320" s="23"/>
    </row>
    <row r="13321" spans="1:18" ht="12.75">
      <c r="A13321" s="12"/>
      <c r="D13321" s="12"/>
      <c r="E13321" s="12"/>
      <c r="H13321" s="11" t="str">
        <f ca="1">IFERROR(__xludf.DUMMYFUNCTION("IFERROR(SUBSTITUTE(SUBSTITUTE(REGEXEXTRACT(A13321, ""[^-]+- [^-]+- [^-]+ - (.+?)\.jpg""), "".jpg"", """"), ""-"", "", ""), """")"),"")</f>
        <v/>
      </c>
      <c r="L13321" s="12"/>
      <c r="M13321" s="13"/>
      <c r="N13321" s="2"/>
      <c r="O13321" s="20"/>
      <c r="P13321" s="42"/>
      <c r="R13321" s="23"/>
    </row>
    <row r="13322" spans="1:18" ht="12.75">
      <c r="A13322" s="12"/>
      <c r="D13322" s="12"/>
      <c r="E13322" s="12"/>
      <c r="H13322" s="11" t="str">
        <f ca="1">IFERROR(__xludf.DUMMYFUNCTION("IFERROR(SUBSTITUTE(SUBSTITUTE(REGEXEXTRACT(A13322, ""[^-]+- [^-]+- [^-]+ - (.+?)\.jpg""), "".jpg"", """"), ""-"", "", ""), """")"),"")</f>
        <v/>
      </c>
      <c r="L13322" s="12"/>
      <c r="M13322" s="13"/>
      <c r="N13322" s="2"/>
      <c r="O13322" s="20"/>
      <c r="P13322" s="42"/>
      <c r="R13322" s="23"/>
    </row>
    <row r="13323" spans="1:18" ht="12.75">
      <c r="A13323" s="12"/>
      <c r="D13323" s="12"/>
      <c r="E13323" s="12"/>
      <c r="H13323" s="11" t="str">
        <f ca="1">IFERROR(__xludf.DUMMYFUNCTION("IFERROR(SUBSTITUTE(SUBSTITUTE(REGEXEXTRACT(A13323, ""[^-]+- [^-]+- [^-]+ - (.+?)\.jpg""), "".jpg"", """"), ""-"", "", ""), """")"),"")</f>
        <v/>
      </c>
      <c r="L13323" s="12"/>
      <c r="M13323" s="13"/>
      <c r="N13323" s="2"/>
      <c r="O13323" s="20"/>
      <c r="P13323" s="42"/>
      <c r="R13323" s="23"/>
    </row>
    <row r="13324" spans="1:18" ht="12.75">
      <c r="A13324" s="12"/>
      <c r="D13324" s="12"/>
      <c r="E13324" s="12"/>
      <c r="H13324" s="11" t="str">
        <f ca="1">IFERROR(__xludf.DUMMYFUNCTION("IFERROR(SUBSTITUTE(SUBSTITUTE(REGEXEXTRACT(A13324, ""[^-]+- [^-]+- [^-]+ - (.+?)\.jpg""), "".jpg"", """"), ""-"", "", ""), """")"),"")</f>
        <v/>
      </c>
      <c r="L13324" s="12"/>
      <c r="M13324" s="13"/>
      <c r="N13324" s="2"/>
      <c r="O13324" s="20"/>
      <c r="P13324" s="42"/>
      <c r="R13324" s="23"/>
    </row>
    <row r="13325" spans="1:18" ht="12.75">
      <c r="A13325" s="12"/>
      <c r="D13325" s="12"/>
      <c r="E13325" s="12"/>
      <c r="H13325" s="11" t="str">
        <f ca="1">IFERROR(__xludf.DUMMYFUNCTION("IFERROR(SUBSTITUTE(SUBSTITUTE(REGEXEXTRACT(A13325, ""[^-]+- [^-]+- [^-]+ - (.+?)\.jpg""), "".jpg"", """"), ""-"", "", ""), """")"),"")</f>
        <v/>
      </c>
      <c r="L13325" s="12"/>
      <c r="M13325" s="13"/>
      <c r="N13325" s="2"/>
      <c r="O13325" s="20"/>
      <c r="P13325" s="42"/>
      <c r="R13325" s="23"/>
    </row>
    <row r="13326" spans="1:18" ht="12.75">
      <c r="A13326" s="12"/>
      <c r="D13326" s="12"/>
      <c r="E13326" s="12"/>
      <c r="H13326" s="11" t="str">
        <f ca="1">IFERROR(__xludf.DUMMYFUNCTION("IFERROR(SUBSTITUTE(SUBSTITUTE(REGEXEXTRACT(A13326, ""[^-]+- [^-]+- [^-]+ - (.+?)\.jpg""), "".jpg"", """"), ""-"", "", ""), """")"),"")</f>
        <v/>
      </c>
      <c r="L13326" s="12"/>
      <c r="M13326" s="13"/>
      <c r="N13326" s="2"/>
      <c r="O13326" s="20"/>
      <c r="P13326" s="42"/>
      <c r="R13326" s="23"/>
    </row>
    <row r="13327" spans="1:18" ht="12.75">
      <c r="A13327" s="12"/>
      <c r="D13327" s="12"/>
      <c r="E13327" s="12"/>
      <c r="H13327" s="11" t="str">
        <f ca="1">IFERROR(__xludf.DUMMYFUNCTION("IFERROR(SUBSTITUTE(SUBSTITUTE(REGEXEXTRACT(A13327, ""[^-]+- [^-]+- [^-]+ - (.+?)\.jpg""), "".jpg"", """"), ""-"", "", ""), """")"),"")</f>
        <v/>
      </c>
      <c r="L13327" s="12"/>
      <c r="M13327" s="13"/>
      <c r="N13327" s="2"/>
      <c r="O13327" s="20"/>
      <c r="P13327" s="42"/>
      <c r="R13327" s="23"/>
    </row>
    <row r="13328" spans="1:18" ht="12.75">
      <c r="A13328" s="12"/>
      <c r="D13328" s="12"/>
      <c r="E13328" s="12"/>
      <c r="H13328" s="11" t="str">
        <f ca="1">IFERROR(__xludf.DUMMYFUNCTION("IFERROR(SUBSTITUTE(SUBSTITUTE(REGEXEXTRACT(A13328, ""[^-]+- [^-]+- [^-]+ - (.+?)\.jpg""), "".jpg"", """"), ""-"", "", ""), """")"),"")</f>
        <v/>
      </c>
      <c r="L13328" s="12"/>
      <c r="M13328" s="13"/>
      <c r="N13328" s="2"/>
      <c r="O13328" s="20"/>
      <c r="P13328" s="42"/>
      <c r="R13328" s="23"/>
    </row>
    <row r="13329" spans="1:18" ht="12.75">
      <c r="A13329" s="12"/>
      <c r="D13329" s="12"/>
      <c r="E13329" s="12"/>
      <c r="H13329" s="11" t="str">
        <f ca="1">IFERROR(__xludf.DUMMYFUNCTION("IFERROR(SUBSTITUTE(SUBSTITUTE(REGEXEXTRACT(A13329, ""[^-]+- [^-]+- [^-]+ - (.+?)\.jpg""), "".jpg"", """"), ""-"", "", ""), """")"),"")</f>
        <v/>
      </c>
      <c r="L13329" s="12"/>
      <c r="M13329" s="13"/>
      <c r="N13329" s="2"/>
      <c r="O13329" s="20"/>
      <c r="P13329" s="42"/>
      <c r="R13329" s="23"/>
    </row>
    <row r="13330" spans="1:18" ht="12.75">
      <c r="A13330" s="12"/>
      <c r="D13330" s="12"/>
      <c r="E13330" s="12"/>
      <c r="H13330" s="11" t="str">
        <f ca="1">IFERROR(__xludf.DUMMYFUNCTION("IFERROR(SUBSTITUTE(SUBSTITUTE(REGEXEXTRACT(A13330, ""[^-]+- [^-]+- [^-]+ - (.+?)\.jpg""), "".jpg"", """"), ""-"", "", ""), """")"),"")</f>
        <v/>
      </c>
      <c r="L13330" s="12"/>
      <c r="M13330" s="13"/>
      <c r="N13330" s="2"/>
      <c r="O13330" s="20"/>
      <c r="P13330" s="42"/>
      <c r="R13330" s="23"/>
    </row>
    <row r="13331" spans="1:18" ht="12.75">
      <c r="A13331" s="12"/>
      <c r="D13331" s="12"/>
      <c r="E13331" s="12"/>
      <c r="H13331" s="11" t="str">
        <f ca="1">IFERROR(__xludf.DUMMYFUNCTION("IFERROR(SUBSTITUTE(SUBSTITUTE(REGEXEXTRACT(A13331, ""[^-]+- [^-]+- [^-]+ - (.+?)\.jpg""), "".jpg"", """"), ""-"", "", ""), """")"),"")</f>
        <v/>
      </c>
      <c r="L13331" s="12"/>
      <c r="M13331" s="13"/>
      <c r="N13331" s="2"/>
      <c r="O13331" s="20"/>
      <c r="P13331" s="42"/>
      <c r="R13331" s="23"/>
    </row>
    <row r="13332" spans="1:18" ht="12.75">
      <c r="A13332" s="12"/>
      <c r="D13332" s="12"/>
      <c r="E13332" s="12"/>
      <c r="H13332" s="11" t="str">
        <f ca="1">IFERROR(__xludf.DUMMYFUNCTION("IFERROR(SUBSTITUTE(SUBSTITUTE(REGEXEXTRACT(A13332, ""[^-]+- [^-]+- [^-]+ - (.+?)\.jpg""), "".jpg"", """"), ""-"", "", ""), """")"),"")</f>
        <v/>
      </c>
      <c r="L13332" s="12"/>
      <c r="M13332" s="13"/>
      <c r="N13332" s="2"/>
      <c r="O13332" s="20"/>
      <c r="P13332" s="42"/>
      <c r="R13332" s="23"/>
    </row>
    <row r="13333" spans="1:18" ht="12.75">
      <c r="A13333" s="12"/>
      <c r="D13333" s="12"/>
      <c r="E13333" s="12"/>
      <c r="H13333" s="11" t="str">
        <f ca="1">IFERROR(__xludf.DUMMYFUNCTION("IFERROR(SUBSTITUTE(SUBSTITUTE(REGEXEXTRACT(A13333, ""[^-]+- [^-]+- [^-]+ - (.+?)\.jpg""), "".jpg"", """"), ""-"", "", ""), """")"),"")</f>
        <v/>
      </c>
      <c r="L13333" s="12"/>
      <c r="M13333" s="13"/>
      <c r="N13333" s="2"/>
      <c r="O13333" s="20"/>
      <c r="P13333" s="42"/>
      <c r="R13333" s="23"/>
    </row>
    <row r="13334" spans="1:18" ht="12.75">
      <c r="A13334" s="12"/>
      <c r="D13334" s="12"/>
      <c r="E13334" s="12"/>
      <c r="H13334" s="11" t="str">
        <f ca="1">IFERROR(__xludf.DUMMYFUNCTION("IFERROR(SUBSTITUTE(SUBSTITUTE(REGEXEXTRACT(A13334, ""[^-]+- [^-]+- [^-]+ - (.+?)\.jpg""), "".jpg"", """"), ""-"", "", ""), """")"),"")</f>
        <v/>
      </c>
      <c r="L13334" s="12"/>
      <c r="M13334" s="13"/>
      <c r="N13334" s="2"/>
      <c r="O13334" s="20"/>
      <c r="P13334" s="42"/>
      <c r="R13334" s="23"/>
    </row>
    <row r="13335" spans="1:18" ht="12.75">
      <c r="A13335" s="12"/>
      <c r="D13335" s="12"/>
      <c r="E13335" s="12"/>
      <c r="H13335" s="11" t="str">
        <f ca="1">IFERROR(__xludf.DUMMYFUNCTION("IFERROR(SUBSTITUTE(SUBSTITUTE(REGEXEXTRACT(A13335, ""[^-]+- [^-]+- [^-]+ - (.+?)\.jpg""), "".jpg"", """"), ""-"", "", ""), """")"),"")</f>
        <v/>
      </c>
      <c r="L13335" s="12"/>
      <c r="M13335" s="13"/>
      <c r="N13335" s="2"/>
      <c r="O13335" s="20"/>
      <c r="P13335" s="42"/>
      <c r="R13335" s="23"/>
    </row>
    <row r="13336" spans="1:18" ht="12.75">
      <c r="A13336" s="12"/>
      <c r="D13336" s="12"/>
      <c r="E13336" s="12"/>
      <c r="H13336" s="11" t="str">
        <f ca="1">IFERROR(__xludf.DUMMYFUNCTION("IFERROR(SUBSTITUTE(SUBSTITUTE(REGEXEXTRACT(A13336, ""[^-]+- [^-]+- [^-]+ - (.+?)\.jpg""), "".jpg"", """"), ""-"", "", ""), """")"),"")</f>
        <v/>
      </c>
      <c r="L13336" s="12"/>
      <c r="M13336" s="13"/>
      <c r="N13336" s="2"/>
      <c r="O13336" s="20"/>
      <c r="P13336" s="42"/>
      <c r="R13336" s="23"/>
    </row>
    <row r="13337" spans="1:18" ht="12.75">
      <c r="A13337" s="12"/>
      <c r="D13337" s="12"/>
      <c r="E13337" s="12"/>
      <c r="H13337" s="11" t="str">
        <f ca="1">IFERROR(__xludf.DUMMYFUNCTION("IFERROR(SUBSTITUTE(SUBSTITUTE(REGEXEXTRACT(A13337, ""[^-]+- [^-]+- [^-]+ - (.+?)\.jpg""), "".jpg"", """"), ""-"", "", ""), """")"),"")</f>
        <v/>
      </c>
      <c r="L13337" s="12"/>
      <c r="M13337" s="13"/>
      <c r="N13337" s="2"/>
      <c r="O13337" s="20"/>
      <c r="P13337" s="42"/>
      <c r="R13337" s="23"/>
    </row>
    <row r="13338" spans="1:18" ht="12.75">
      <c r="A13338" s="12"/>
      <c r="D13338" s="12"/>
      <c r="E13338" s="12"/>
      <c r="H13338" s="11" t="str">
        <f ca="1">IFERROR(__xludf.DUMMYFUNCTION("IFERROR(SUBSTITUTE(SUBSTITUTE(REGEXEXTRACT(A13338, ""[^-]+- [^-]+- [^-]+ - (.+?)\.jpg""), "".jpg"", """"), ""-"", "", ""), """")"),"")</f>
        <v/>
      </c>
      <c r="L13338" s="12"/>
      <c r="M13338" s="13"/>
      <c r="N13338" s="2"/>
      <c r="O13338" s="20"/>
      <c r="P13338" s="42"/>
      <c r="R13338" s="23"/>
    </row>
    <row r="13339" spans="1:18" ht="12.75">
      <c r="A13339" s="12"/>
      <c r="D13339" s="12"/>
      <c r="E13339" s="12"/>
      <c r="H13339" s="11" t="str">
        <f ca="1">IFERROR(__xludf.DUMMYFUNCTION("IFERROR(SUBSTITUTE(SUBSTITUTE(REGEXEXTRACT(A13339, ""[^-]+- [^-]+- [^-]+ - (.+?)\.jpg""), "".jpg"", """"), ""-"", "", ""), """")"),"")</f>
        <v/>
      </c>
      <c r="L13339" s="12"/>
      <c r="M13339" s="13"/>
      <c r="N13339" s="2"/>
      <c r="O13339" s="20"/>
      <c r="P13339" s="42"/>
      <c r="R13339" s="23"/>
    </row>
    <row r="13340" spans="1:18" ht="12.75">
      <c r="A13340" s="12"/>
      <c r="D13340" s="12"/>
      <c r="E13340" s="12"/>
      <c r="H13340" s="11" t="str">
        <f ca="1">IFERROR(__xludf.DUMMYFUNCTION("IFERROR(SUBSTITUTE(SUBSTITUTE(REGEXEXTRACT(A13340, ""[^-]+- [^-]+- [^-]+ - (.+?)\.jpg""), "".jpg"", """"), ""-"", "", ""), """")"),"")</f>
        <v/>
      </c>
      <c r="L13340" s="12"/>
      <c r="M13340" s="13"/>
      <c r="N13340" s="2"/>
      <c r="O13340" s="20"/>
      <c r="P13340" s="42"/>
      <c r="R13340" s="23"/>
    </row>
    <row r="13341" spans="1:18" ht="12.75">
      <c r="A13341" s="12"/>
      <c r="D13341" s="12"/>
      <c r="E13341" s="12"/>
      <c r="H13341" s="11" t="str">
        <f ca="1">IFERROR(__xludf.DUMMYFUNCTION("IFERROR(SUBSTITUTE(SUBSTITUTE(REGEXEXTRACT(A13341, ""[^-]+- [^-]+- [^-]+ - (.+?)\.jpg""), "".jpg"", """"), ""-"", "", ""), """")"),"")</f>
        <v/>
      </c>
      <c r="L13341" s="12"/>
      <c r="M13341" s="13"/>
      <c r="N13341" s="2"/>
      <c r="O13341" s="20"/>
      <c r="P13341" s="42"/>
      <c r="R13341" s="23"/>
    </row>
    <row r="13342" spans="1:18" ht="12.75">
      <c r="A13342" s="12"/>
      <c r="D13342" s="12"/>
      <c r="E13342" s="12"/>
      <c r="H13342" s="11" t="str">
        <f ca="1">IFERROR(__xludf.DUMMYFUNCTION("IFERROR(SUBSTITUTE(SUBSTITUTE(REGEXEXTRACT(A13342, ""[^-]+- [^-]+- [^-]+ - (.+?)\.jpg""), "".jpg"", """"), ""-"", "", ""), """")"),"")</f>
        <v/>
      </c>
      <c r="L13342" s="12"/>
      <c r="M13342" s="13"/>
      <c r="N13342" s="2"/>
      <c r="O13342" s="20"/>
      <c r="P13342" s="42"/>
      <c r="R13342" s="23"/>
    </row>
    <row r="13343" spans="1:18" ht="12.75">
      <c r="A13343" s="12"/>
      <c r="D13343" s="12"/>
      <c r="E13343" s="12"/>
      <c r="H13343" s="11" t="str">
        <f ca="1">IFERROR(__xludf.DUMMYFUNCTION("IFERROR(SUBSTITUTE(SUBSTITUTE(REGEXEXTRACT(A13343, ""[^-]+- [^-]+- [^-]+ - (.+?)\.jpg""), "".jpg"", """"), ""-"", "", ""), """")"),"")</f>
        <v/>
      </c>
      <c r="L13343" s="12"/>
      <c r="M13343" s="13"/>
      <c r="N13343" s="2"/>
      <c r="O13343" s="20"/>
      <c r="P13343" s="42"/>
      <c r="R13343" s="23"/>
    </row>
    <row r="13344" spans="1:18" ht="12.75">
      <c r="A13344" s="12"/>
      <c r="D13344" s="12"/>
      <c r="E13344" s="12"/>
      <c r="H13344" s="11" t="str">
        <f ca="1">IFERROR(__xludf.DUMMYFUNCTION("IFERROR(SUBSTITUTE(SUBSTITUTE(REGEXEXTRACT(A13344, ""[^-]+- [^-]+- [^-]+ - (.+?)\.jpg""), "".jpg"", """"), ""-"", "", ""), """")"),"")</f>
        <v/>
      </c>
      <c r="L13344" s="12"/>
      <c r="M13344" s="13"/>
      <c r="N13344" s="2"/>
      <c r="O13344" s="20"/>
      <c r="P13344" s="42"/>
      <c r="R13344" s="23"/>
    </row>
    <row r="13345" spans="1:18" ht="12.75">
      <c r="A13345" s="12"/>
      <c r="D13345" s="12"/>
      <c r="E13345" s="12"/>
      <c r="H13345" s="11" t="str">
        <f ca="1">IFERROR(__xludf.DUMMYFUNCTION("IFERROR(SUBSTITUTE(SUBSTITUTE(REGEXEXTRACT(A13345, ""[^-]+- [^-]+- [^-]+ - (.+?)\.jpg""), "".jpg"", """"), ""-"", "", ""), """")"),"")</f>
        <v/>
      </c>
      <c r="L13345" s="12"/>
      <c r="M13345" s="13"/>
      <c r="N13345" s="2"/>
      <c r="O13345" s="20"/>
      <c r="P13345" s="42"/>
      <c r="R13345" s="23"/>
    </row>
    <row r="13346" spans="1:18" ht="12.75">
      <c r="A13346" s="12"/>
      <c r="D13346" s="12"/>
      <c r="E13346" s="12"/>
      <c r="H13346" s="11" t="str">
        <f ca="1">IFERROR(__xludf.DUMMYFUNCTION("IFERROR(SUBSTITUTE(SUBSTITUTE(REGEXEXTRACT(A13346, ""[^-]+- [^-]+- [^-]+ - (.+?)\.jpg""), "".jpg"", """"), ""-"", "", ""), """")"),"")</f>
        <v/>
      </c>
      <c r="L13346" s="12"/>
      <c r="M13346" s="13"/>
      <c r="N13346" s="2"/>
      <c r="O13346" s="20"/>
      <c r="P13346" s="42"/>
      <c r="R13346" s="23"/>
    </row>
    <row r="13347" spans="1:18" ht="12.75">
      <c r="A13347" s="12"/>
      <c r="D13347" s="12"/>
      <c r="E13347" s="12"/>
      <c r="H13347" s="11" t="str">
        <f ca="1">IFERROR(__xludf.DUMMYFUNCTION("IFERROR(SUBSTITUTE(SUBSTITUTE(REGEXEXTRACT(A13347, ""[^-]+- [^-]+- [^-]+ - (.+?)\.jpg""), "".jpg"", """"), ""-"", "", ""), """")"),"")</f>
        <v/>
      </c>
      <c r="L13347" s="12"/>
      <c r="M13347" s="13"/>
      <c r="N13347" s="2"/>
      <c r="O13347" s="20"/>
      <c r="P13347" s="42"/>
      <c r="R13347" s="23"/>
    </row>
    <row r="13348" spans="1:18" ht="12.75">
      <c r="A13348" s="12"/>
      <c r="D13348" s="12"/>
      <c r="E13348" s="12"/>
      <c r="H13348" s="11" t="str">
        <f ca="1">IFERROR(__xludf.DUMMYFUNCTION("IFERROR(SUBSTITUTE(SUBSTITUTE(REGEXEXTRACT(A13348, ""[^-]+- [^-]+- [^-]+ - (.+?)\.jpg""), "".jpg"", """"), ""-"", "", ""), """")"),"")</f>
        <v/>
      </c>
      <c r="L13348" s="12"/>
      <c r="M13348" s="13"/>
      <c r="N13348" s="2"/>
      <c r="O13348" s="20"/>
      <c r="P13348" s="42"/>
      <c r="R13348" s="23"/>
    </row>
    <row r="13349" spans="1:18" ht="12.75">
      <c r="A13349" s="12"/>
      <c r="D13349" s="12"/>
      <c r="E13349" s="12"/>
      <c r="H13349" s="11" t="str">
        <f ca="1">IFERROR(__xludf.DUMMYFUNCTION("IFERROR(SUBSTITUTE(SUBSTITUTE(REGEXEXTRACT(A13349, ""[^-]+- [^-]+- [^-]+ - (.+?)\.jpg""), "".jpg"", """"), ""-"", "", ""), """")"),"")</f>
        <v/>
      </c>
      <c r="L13349" s="12"/>
      <c r="M13349" s="13"/>
      <c r="N13349" s="2"/>
      <c r="O13349" s="20"/>
      <c r="P13349" s="42"/>
      <c r="R13349" s="23"/>
    </row>
    <row r="13350" spans="1:18" ht="12.75">
      <c r="A13350" s="12"/>
      <c r="D13350" s="12"/>
      <c r="E13350" s="12"/>
      <c r="H13350" s="11" t="str">
        <f ca="1">IFERROR(__xludf.DUMMYFUNCTION("IFERROR(SUBSTITUTE(SUBSTITUTE(REGEXEXTRACT(A13350, ""[^-]+- [^-]+- [^-]+ - (.+?)\.jpg""), "".jpg"", """"), ""-"", "", ""), """")"),"")</f>
        <v/>
      </c>
      <c r="L13350" s="12"/>
      <c r="M13350" s="13"/>
      <c r="N13350" s="2"/>
      <c r="O13350" s="20"/>
      <c r="P13350" s="42"/>
      <c r="R13350" s="23"/>
    </row>
    <row r="13351" spans="1:18" ht="12.75">
      <c r="A13351" s="12"/>
      <c r="D13351" s="12"/>
      <c r="E13351" s="12"/>
      <c r="H13351" s="11" t="str">
        <f ca="1">IFERROR(__xludf.DUMMYFUNCTION("IFERROR(SUBSTITUTE(SUBSTITUTE(REGEXEXTRACT(A13351, ""[^-]+- [^-]+- [^-]+ - (.+?)\.jpg""), "".jpg"", """"), ""-"", "", ""), """")"),"")</f>
        <v/>
      </c>
      <c r="L13351" s="12"/>
      <c r="M13351" s="13"/>
      <c r="N13351" s="2"/>
      <c r="O13351" s="20"/>
      <c r="P13351" s="42"/>
      <c r="R13351" s="23"/>
    </row>
    <row r="13352" spans="1:18" ht="12.75">
      <c r="A13352" s="12"/>
      <c r="D13352" s="12"/>
      <c r="E13352" s="12"/>
      <c r="H13352" s="11" t="str">
        <f ca="1">IFERROR(__xludf.DUMMYFUNCTION("IFERROR(SUBSTITUTE(SUBSTITUTE(REGEXEXTRACT(A13352, ""[^-]+- [^-]+- [^-]+ - (.+?)\.jpg""), "".jpg"", """"), ""-"", "", ""), """")"),"")</f>
        <v/>
      </c>
      <c r="L13352" s="12"/>
      <c r="M13352" s="13"/>
      <c r="N13352" s="2"/>
      <c r="O13352" s="20"/>
      <c r="P13352" s="42"/>
      <c r="R13352" s="23"/>
    </row>
    <row r="13353" spans="1:18" ht="12.75">
      <c r="A13353" s="12"/>
      <c r="D13353" s="12"/>
      <c r="E13353" s="12"/>
      <c r="H13353" s="11" t="str">
        <f ca="1">IFERROR(__xludf.DUMMYFUNCTION("IFERROR(SUBSTITUTE(SUBSTITUTE(REGEXEXTRACT(A13353, ""[^-]+- [^-]+- [^-]+ - (.+?)\.jpg""), "".jpg"", """"), ""-"", "", ""), """")"),"")</f>
        <v/>
      </c>
      <c r="L13353" s="12"/>
      <c r="M13353" s="13"/>
      <c r="N13353" s="2"/>
      <c r="O13353" s="20"/>
      <c r="P13353" s="42"/>
      <c r="R13353" s="23"/>
    </row>
    <row r="13354" spans="1:18" ht="12.75">
      <c r="A13354" s="12"/>
      <c r="D13354" s="12"/>
      <c r="E13354" s="12"/>
      <c r="H13354" s="11" t="str">
        <f ca="1">IFERROR(__xludf.DUMMYFUNCTION("IFERROR(SUBSTITUTE(SUBSTITUTE(REGEXEXTRACT(A13354, ""[^-]+- [^-]+- [^-]+ - (.+?)\.jpg""), "".jpg"", """"), ""-"", "", ""), """")"),"")</f>
        <v/>
      </c>
      <c r="L13354" s="12"/>
      <c r="M13354" s="13"/>
      <c r="N13354" s="2"/>
      <c r="O13354" s="20"/>
      <c r="P13354" s="42"/>
      <c r="R13354" s="23"/>
    </row>
    <row r="13355" spans="1:18" ht="12.75">
      <c r="A13355" s="12"/>
      <c r="D13355" s="12"/>
      <c r="E13355" s="12"/>
      <c r="H13355" s="11" t="str">
        <f ca="1">IFERROR(__xludf.DUMMYFUNCTION("IFERROR(SUBSTITUTE(SUBSTITUTE(REGEXEXTRACT(A13355, ""[^-]+- [^-]+- [^-]+ - (.+?)\.jpg""), "".jpg"", """"), ""-"", "", ""), """")"),"")</f>
        <v/>
      </c>
      <c r="L13355" s="12"/>
      <c r="M13355" s="13"/>
      <c r="N13355" s="2"/>
      <c r="O13355" s="20"/>
      <c r="P13355" s="42"/>
      <c r="R13355" s="23"/>
    </row>
    <row r="13356" spans="1:18" ht="12.75">
      <c r="A13356" s="12"/>
      <c r="D13356" s="12"/>
      <c r="E13356" s="12"/>
      <c r="H13356" s="11" t="str">
        <f ca="1">IFERROR(__xludf.DUMMYFUNCTION("IFERROR(SUBSTITUTE(SUBSTITUTE(REGEXEXTRACT(A13356, ""[^-]+- [^-]+- [^-]+ - (.+?)\.jpg""), "".jpg"", """"), ""-"", "", ""), """")"),"")</f>
        <v/>
      </c>
      <c r="L13356" s="12"/>
      <c r="M13356" s="13"/>
      <c r="N13356" s="2"/>
      <c r="O13356" s="20"/>
      <c r="P13356" s="42"/>
      <c r="R13356" s="23"/>
    </row>
    <row r="13357" spans="1:18" ht="12.75">
      <c r="A13357" s="12"/>
      <c r="D13357" s="12"/>
      <c r="E13357" s="12"/>
      <c r="H13357" s="11" t="str">
        <f ca="1">IFERROR(__xludf.DUMMYFUNCTION("IFERROR(SUBSTITUTE(SUBSTITUTE(REGEXEXTRACT(A13357, ""[^-]+- [^-]+- [^-]+ - (.+?)\.jpg""), "".jpg"", """"), ""-"", "", ""), """")"),"")</f>
        <v/>
      </c>
      <c r="L13357" s="12"/>
      <c r="M13357" s="13"/>
      <c r="N13357" s="2"/>
      <c r="O13357" s="20"/>
      <c r="P13357" s="42"/>
      <c r="R13357" s="23"/>
    </row>
    <row r="13358" spans="1:18" ht="12.75">
      <c r="A13358" s="12"/>
      <c r="D13358" s="12"/>
      <c r="E13358" s="12"/>
      <c r="H13358" s="11" t="str">
        <f ca="1">IFERROR(__xludf.DUMMYFUNCTION("IFERROR(SUBSTITUTE(SUBSTITUTE(REGEXEXTRACT(A13358, ""[^-]+- [^-]+- [^-]+ - (.+?)\.jpg""), "".jpg"", """"), ""-"", "", ""), """")"),"")</f>
        <v/>
      </c>
      <c r="L13358" s="12"/>
      <c r="M13358" s="13"/>
      <c r="N13358" s="2"/>
      <c r="O13358" s="20"/>
      <c r="P13358" s="42"/>
      <c r="R13358" s="23"/>
    </row>
    <row r="13359" spans="1:18" ht="12.75">
      <c r="A13359" s="12"/>
      <c r="D13359" s="12"/>
      <c r="E13359" s="12"/>
      <c r="H13359" s="11" t="str">
        <f ca="1">IFERROR(__xludf.DUMMYFUNCTION("IFERROR(SUBSTITUTE(SUBSTITUTE(REGEXEXTRACT(A13359, ""[^-]+- [^-]+- [^-]+ - (.+?)\.jpg""), "".jpg"", """"), ""-"", "", ""), """")"),"")</f>
        <v/>
      </c>
      <c r="L13359" s="12"/>
      <c r="M13359" s="13"/>
      <c r="N13359" s="2"/>
      <c r="O13359" s="20"/>
      <c r="P13359" s="42"/>
      <c r="R13359" s="23"/>
    </row>
    <row r="13360" spans="1:18" ht="12.75">
      <c r="A13360" s="12"/>
      <c r="D13360" s="12"/>
      <c r="E13360" s="12"/>
      <c r="H13360" s="11" t="str">
        <f ca="1">IFERROR(__xludf.DUMMYFUNCTION("IFERROR(SUBSTITUTE(SUBSTITUTE(REGEXEXTRACT(A13360, ""[^-]+- [^-]+- [^-]+ - (.+?)\.jpg""), "".jpg"", """"), ""-"", "", ""), """")"),"")</f>
        <v/>
      </c>
      <c r="L13360" s="12"/>
      <c r="M13360" s="13"/>
      <c r="N13360" s="2"/>
      <c r="O13360" s="20"/>
      <c r="P13360" s="42"/>
      <c r="R13360" s="23"/>
    </row>
    <row r="13361" spans="1:18" ht="12.75">
      <c r="A13361" s="12"/>
      <c r="D13361" s="12"/>
      <c r="E13361" s="12"/>
      <c r="H13361" s="11" t="str">
        <f ca="1">IFERROR(__xludf.DUMMYFUNCTION("IFERROR(SUBSTITUTE(SUBSTITUTE(REGEXEXTRACT(A13361, ""[^-]+- [^-]+- [^-]+ - (.+?)\.jpg""), "".jpg"", """"), ""-"", "", ""), """")"),"")</f>
        <v/>
      </c>
      <c r="L13361" s="12"/>
      <c r="M13361" s="13"/>
      <c r="N13361" s="2"/>
      <c r="O13361" s="20"/>
      <c r="P13361" s="42"/>
      <c r="R13361" s="23"/>
    </row>
    <row r="13362" spans="1:18" ht="12.75">
      <c r="A13362" s="12"/>
      <c r="D13362" s="12"/>
      <c r="E13362" s="12"/>
      <c r="H13362" s="11" t="str">
        <f ca="1">IFERROR(__xludf.DUMMYFUNCTION("IFERROR(SUBSTITUTE(SUBSTITUTE(REGEXEXTRACT(A13362, ""[^-]+- [^-]+- [^-]+ - (.+?)\.jpg""), "".jpg"", """"), ""-"", "", ""), """")"),"")</f>
        <v/>
      </c>
      <c r="L13362" s="12"/>
      <c r="M13362" s="13"/>
      <c r="N13362" s="2"/>
      <c r="O13362" s="20"/>
      <c r="P13362" s="42"/>
      <c r="R13362" s="23"/>
    </row>
    <row r="13363" spans="1:18" ht="12.75">
      <c r="A13363" s="12"/>
      <c r="D13363" s="12"/>
      <c r="E13363" s="12"/>
      <c r="H13363" s="11" t="str">
        <f ca="1">IFERROR(__xludf.DUMMYFUNCTION("IFERROR(SUBSTITUTE(SUBSTITUTE(REGEXEXTRACT(A13363, ""[^-]+- [^-]+- [^-]+ - (.+?)\.jpg""), "".jpg"", """"), ""-"", "", ""), """")"),"")</f>
        <v/>
      </c>
      <c r="L13363" s="12"/>
      <c r="M13363" s="13"/>
      <c r="N13363" s="2"/>
      <c r="O13363" s="20"/>
      <c r="P13363" s="42"/>
      <c r="R13363" s="23"/>
    </row>
    <row r="13364" spans="1:18" ht="12.75">
      <c r="A13364" s="12"/>
      <c r="D13364" s="12"/>
      <c r="E13364" s="12"/>
      <c r="H13364" s="11" t="str">
        <f ca="1">IFERROR(__xludf.DUMMYFUNCTION("IFERROR(SUBSTITUTE(SUBSTITUTE(REGEXEXTRACT(A13364, ""[^-]+- [^-]+- [^-]+ - (.+?)\.jpg""), "".jpg"", """"), ""-"", "", ""), """")"),"")</f>
        <v/>
      </c>
      <c r="L13364" s="12"/>
      <c r="M13364" s="13"/>
      <c r="N13364" s="2"/>
      <c r="O13364" s="20"/>
      <c r="P13364" s="42"/>
      <c r="R13364" s="23"/>
    </row>
    <row r="13365" spans="1:18" ht="12.75">
      <c r="A13365" s="12"/>
      <c r="D13365" s="12"/>
      <c r="E13365" s="12"/>
      <c r="H13365" s="11" t="str">
        <f ca="1">IFERROR(__xludf.DUMMYFUNCTION("IFERROR(SUBSTITUTE(SUBSTITUTE(REGEXEXTRACT(A13365, ""[^-]+- [^-]+- [^-]+ - (.+?)\.jpg""), "".jpg"", """"), ""-"", "", ""), """")"),"")</f>
        <v/>
      </c>
      <c r="L13365" s="12"/>
      <c r="M13365" s="13"/>
      <c r="N13365" s="2"/>
      <c r="O13365" s="20"/>
      <c r="P13365" s="42"/>
      <c r="R13365" s="23"/>
    </row>
    <row r="13366" spans="1:18" ht="12.75">
      <c r="A13366" s="12"/>
      <c r="D13366" s="12"/>
      <c r="E13366" s="12"/>
      <c r="H13366" s="11" t="str">
        <f ca="1">IFERROR(__xludf.DUMMYFUNCTION("IFERROR(SUBSTITUTE(SUBSTITUTE(REGEXEXTRACT(A13366, ""[^-]+- [^-]+- [^-]+ - (.+?)\.jpg""), "".jpg"", """"), ""-"", "", ""), """")"),"")</f>
        <v/>
      </c>
      <c r="L13366" s="12"/>
      <c r="M13366" s="13"/>
      <c r="N13366" s="2"/>
      <c r="O13366" s="20"/>
      <c r="P13366" s="42"/>
      <c r="R13366" s="23"/>
    </row>
    <row r="13367" spans="1:18" ht="12.75">
      <c r="A13367" s="12"/>
      <c r="D13367" s="12"/>
      <c r="E13367" s="12"/>
      <c r="H13367" s="11" t="str">
        <f ca="1">IFERROR(__xludf.DUMMYFUNCTION("IFERROR(SUBSTITUTE(SUBSTITUTE(REGEXEXTRACT(A13367, ""[^-]+- [^-]+- [^-]+ - (.+?)\.jpg""), "".jpg"", """"), ""-"", "", ""), """")"),"")</f>
        <v/>
      </c>
      <c r="L13367" s="12"/>
      <c r="M13367" s="13"/>
      <c r="N13367" s="2"/>
      <c r="O13367" s="20"/>
      <c r="P13367" s="42"/>
      <c r="R13367" s="23"/>
    </row>
    <row r="13368" spans="1:18" ht="12.75">
      <c r="A13368" s="12"/>
      <c r="D13368" s="12"/>
      <c r="E13368" s="12"/>
      <c r="H13368" s="11" t="str">
        <f ca="1">IFERROR(__xludf.DUMMYFUNCTION("IFERROR(SUBSTITUTE(SUBSTITUTE(REGEXEXTRACT(A13368, ""[^-]+- [^-]+- [^-]+ - (.+?)\.jpg""), "".jpg"", """"), ""-"", "", ""), """")"),"")</f>
        <v/>
      </c>
      <c r="L13368" s="12"/>
      <c r="M13368" s="13"/>
      <c r="N13368" s="2"/>
      <c r="O13368" s="20"/>
      <c r="P13368" s="42"/>
      <c r="R13368" s="23"/>
    </row>
    <row r="13369" spans="1:18" ht="12.75">
      <c r="A13369" s="12"/>
      <c r="D13369" s="12"/>
      <c r="E13369" s="12"/>
      <c r="H13369" s="11" t="str">
        <f ca="1">IFERROR(__xludf.DUMMYFUNCTION("IFERROR(SUBSTITUTE(SUBSTITUTE(REGEXEXTRACT(A13369, ""[^-]+- [^-]+- [^-]+ - (.+?)\.jpg""), "".jpg"", """"), ""-"", "", ""), """")"),"")</f>
        <v/>
      </c>
      <c r="L13369" s="12"/>
      <c r="M13369" s="13"/>
      <c r="N13369" s="2"/>
      <c r="O13369" s="20"/>
      <c r="P13369" s="42"/>
      <c r="R13369" s="23"/>
    </row>
    <row r="13370" spans="1:18" ht="12.75">
      <c r="A13370" s="12"/>
      <c r="D13370" s="12"/>
      <c r="E13370" s="12"/>
      <c r="H13370" s="11" t="str">
        <f ca="1">IFERROR(__xludf.DUMMYFUNCTION("IFERROR(SUBSTITUTE(SUBSTITUTE(REGEXEXTRACT(A13370, ""[^-]+- [^-]+- [^-]+ - (.+?)\.jpg""), "".jpg"", """"), ""-"", "", ""), """")"),"")</f>
        <v/>
      </c>
      <c r="L13370" s="12"/>
      <c r="M13370" s="13"/>
      <c r="N13370" s="2"/>
      <c r="O13370" s="20"/>
      <c r="P13370" s="42"/>
      <c r="R13370" s="23"/>
    </row>
    <row r="13371" spans="1:18" ht="12.75">
      <c r="A13371" s="12"/>
      <c r="D13371" s="12"/>
      <c r="E13371" s="12"/>
      <c r="H13371" s="11" t="str">
        <f ca="1">IFERROR(__xludf.DUMMYFUNCTION("IFERROR(SUBSTITUTE(SUBSTITUTE(REGEXEXTRACT(A13371, ""[^-]+- [^-]+- [^-]+ - (.+?)\.jpg""), "".jpg"", """"), ""-"", "", ""), """")"),"")</f>
        <v/>
      </c>
      <c r="L13371" s="12"/>
      <c r="M13371" s="13"/>
      <c r="N13371" s="2"/>
      <c r="O13371" s="20"/>
      <c r="P13371" s="42"/>
      <c r="R13371" s="23"/>
    </row>
    <row r="13372" spans="1:18" ht="12.75">
      <c r="A13372" s="12"/>
      <c r="D13372" s="12"/>
      <c r="E13372" s="12"/>
      <c r="H13372" s="11" t="str">
        <f ca="1">IFERROR(__xludf.DUMMYFUNCTION("IFERROR(SUBSTITUTE(SUBSTITUTE(REGEXEXTRACT(A13372, ""[^-]+- [^-]+- [^-]+ - (.+?)\.jpg""), "".jpg"", """"), ""-"", "", ""), """")"),"")</f>
        <v/>
      </c>
      <c r="L13372" s="12"/>
      <c r="M13372" s="13"/>
      <c r="N13372" s="2"/>
      <c r="O13372" s="20"/>
      <c r="P13372" s="42"/>
      <c r="R13372" s="23"/>
    </row>
    <row r="13373" spans="1:18" ht="12.75">
      <c r="A13373" s="12"/>
      <c r="D13373" s="12"/>
      <c r="E13373" s="12"/>
      <c r="H13373" s="11" t="str">
        <f ca="1">IFERROR(__xludf.DUMMYFUNCTION("IFERROR(SUBSTITUTE(SUBSTITUTE(REGEXEXTRACT(A13373, ""[^-]+- [^-]+- [^-]+ - (.+?)\.jpg""), "".jpg"", """"), ""-"", "", ""), """")"),"")</f>
        <v/>
      </c>
      <c r="L13373" s="12"/>
      <c r="M13373" s="13"/>
      <c r="N13373" s="2"/>
      <c r="O13373" s="20"/>
      <c r="P13373" s="42"/>
      <c r="R13373" s="23"/>
    </row>
    <row r="13374" spans="1:18" ht="12.75">
      <c r="A13374" s="12"/>
      <c r="D13374" s="12"/>
      <c r="E13374" s="12"/>
      <c r="H13374" s="11" t="str">
        <f ca="1">IFERROR(__xludf.DUMMYFUNCTION("IFERROR(SUBSTITUTE(SUBSTITUTE(REGEXEXTRACT(A13374, ""[^-]+- [^-]+- [^-]+ - (.+?)\.jpg""), "".jpg"", """"), ""-"", "", ""), """")"),"")</f>
        <v/>
      </c>
      <c r="L13374" s="12"/>
      <c r="M13374" s="13"/>
      <c r="N13374" s="2"/>
      <c r="O13374" s="20"/>
      <c r="P13374" s="42"/>
      <c r="R13374" s="23"/>
    </row>
    <row r="13375" spans="1:18" ht="12.75">
      <c r="A13375" s="12"/>
      <c r="D13375" s="12"/>
      <c r="E13375" s="12"/>
      <c r="H13375" s="11" t="str">
        <f ca="1">IFERROR(__xludf.DUMMYFUNCTION("IFERROR(SUBSTITUTE(SUBSTITUTE(REGEXEXTRACT(A13375, ""[^-]+- [^-]+- [^-]+ - (.+?)\.jpg""), "".jpg"", """"), ""-"", "", ""), """")"),"")</f>
        <v/>
      </c>
      <c r="L13375" s="12"/>
      <c r="M13375" s="13"/>
      <c r="N13375" s="2"/>
      <c r="O13375" s="20"/>
      <c r="P13375" s="42"/>
      <c r="R13375" s="23"/>
    </row>
    <row r="13376" spans="1:18" ht="12.75">
      <c r="A13376" s="12"/>
      <c r="D13376" s="12"/>
      <c r="E13376" s="12"/>
      <c r="H13376" s="11" t="str">
        <f ca="1">IFERROR(__xludf.DUMMYFUNCTION("IFERROR(SUBSTITUTE(SUBSTITUTE(REGEXEXTRACT(A13376, ""[^-]+- [^-]+- [^-]+ - (.+?)\.jpg""), "".jpg"", """"), ""-"", "", ""), """")"),"")</f>
        <v/>
      </c>
      <c r="L13376" s="12"/>
      <c r="M13376" s="13"/>
      <c r="N13376" s="2"/>
      <c r="O13376" s="20"/>
      <c r="P13376" s="42"/>
      <c r="R13376" s="23"/>
    </row>
    <row r="13377" spans="1:18" ht="12.75">
      <c r="A13377" s="12"/>
      <c r="D13377" s="12"/>
      <c r="E13377" s="12"/>
      <c r="H13377" s="11" t="str">
        <f ca="1">IFERROR(__xludf.DUMMYFUNCTION("IFERROR(SUBSTITUTE(SUBSTITUTE(REGEXEXTRACT(A13377, ""[^-]+- [^-]+- [^-]+ - (.+?)\.jpg""), "".jpg"", """"), ""-"", "", ""), """")"),"")</f>
        <v/>
      </c>
      <c r="L13377" s="12"/>
      <c r="M13377" s="13"/>
      <c r="N13377" s="2"/>
      <c r="O13377" s="20"/>
      <c r="P13377" s="42"/>
      <c r="R13377" s="23"/>
    </row>
    <row r="13378" spans="1:18" ht="12.75">
      <c r="A13378" s="12"/>
      <c r="D13378" s="12"/>
      <c r="E13378" s="12"/>
      <c r="H13378" s="11" t="str">
        <f ca="1">IFERROR(__xludf.DUMMYFUNCTION("IFERROR(SUBSTITUTE(SUBSTITUTE(REGEXEXTRACT(A13378, ""[^-]+- [^-]+- [^-]+ - (.+?)\.jpg""), "".jpg"", """"), ""-"", "", ""), """")"),"")</f>
        <v/>
      </c>
      <c r="L13378" s="12"/>
      <c r="M13378" s="13"/>
      <c r="N13378" s="2"/>
      <c r="O13378" s="20"/>
      <c r="P13378" s="42"/>
      <c r="R13378" s="23"/>
    </row>
    <row r="13379" spans="1:18" ht="12.75">
      <c r="A13379" s="12"/>
      <c r="D13379" s="12"/>
      <c r="E13379" s="12"/>
      <c r="H13379" s="11" t="str">
        <f ca="1">IFERROR(__xludf.DUMMYFUNCTION("IFERROR(SUBSTITUTE(SUBSTITUTE(REGEXEXTRACT(A13379, ""[^-]+- [^-]+- [^-]+ - (.+?)\.jpg""), "".jpg"", """"), ""-"", "", ""), """")"),"")</f>
        <v/>
      </c>
      <c r="L13379" s="12"/>
      <c r="M13379" s="13"/>
      <c r="N13379" s="2"/>
      <c r="O13379" s="20"/>
      <c r="P13379" s="42"/>
      <c r="R13379" s="23"/>
    </row>
    <row r="13380" spans="1:18" ht="12.75">
      <c r="A13380" s="12"/>
      <c r="D13380" s="12"/>
      <c r="E13380" s="12"/>
      <c r="H13380" s="11" t="str">
        <f ca="1">IFERROR(__xludf.DUMMYFUNCTION("IFERROR(SUBSTITUTE(SUBSTITUTE(REGEXEXTRACT(A13380, ""[^-]+- [^-]+- [^-]+ - (.+?)\.jpg""), "".jpg"", """"), ""-"", "", ""), """")"),"")</f>
        <v/>
      </c>
      <c r="L13380" s="12"/>
      <c r="M13380" s="13"/>
      <c r="N13380" s="2"/>
      <c r="O13380" s="20"/>
      <c r="P13380" s="42"/>
      <c r="R13380" s="23"/>
    </row>
    <row r="13381" spans="1:18" ht="12.75">
      <c r="A13381" s="12"/>
      <c r="D13381" s="12"/>
      <c r="E13381" s="12"/>
      <c r="H13381" s="11" t="str">
        <f ca="1">IFERROR(__xludf.DUMMYFUNCTION("IFERROR(SUBSTITUTE(SUBSTITUTE(REGEXEXTRACT(A13381, ""[^-]+- [^-]+- [^-]+ - (.+?)\.jpg""), "".jpg"", """"), ""-"", "", ""), """")"),"")</f>
        <v/>
      </c>
      <c r="L13381" s="12"/>
      <c r="M13381" s="13"/>
      <c r="N13381" s="2"/>
      <c r="O13381" s="20"/>
      <c r="P13381" s="42"/>
      <c r="R13381" s="23"/>
    </row>
    <row r="13382" spans="1:18" ht="12.75">
      <c r="A13382" s="12"/>
      <c r="D13382" s="12"/>
      <c r="E13382" s="12"/>
      <c r="H13382" s="11" t="str">
        <f ca="1">IFERROR(__xludf.DUMMYFUNCTION("IFERROR(SUBSTITUTE(SUBSTITUTE(REGEXEXTRACT(A13382, ""[^-]+- [^-]+- [^-]+ - (.+?)\.jpg""), "".jpg"", """"), ""-"", "", ""), """")"),"")</f>
        <v/>
      </c>
      <c r="L13382" s="12"/>
      <c r="M13382" s="13"/>
      <c r="N13382" s="2"/>
      <c r="O13382" s="20"/>
      <c r="P13382" s="42"/>
      <c r="R13382" s="23"/>
    </row>
    <row r="13383" spans="1:18" ht="12.75">
      <c r="A13383" s="12"/>
      <c r="D13383" s="12"/>
      <c r="E13383" s="12"/>
      <c r="H13383" s="11" t="str">
        <f ca="1">IFERROR(__xludf.DUMMYFUNCTION("IFERROR(SUBSTITUTE(SUBSTITUTE(REGEXEXTRACT(A13383, ""[^-]+- [^-]+- [^-]+ - (.+?)\.jpg""), "".jpg"", """"), ""-"", "", ""), """")"),"")</f>
        <v/>
      </c>
      <c r="L13383" s="12"/>
      <c r="M13383" s="13"/>
      <c r="N13383" s="2"/>
      <c r="O13383" s="20"/>
      <c r="P13383" s="42"/>
      <c r="R13383" s="23"/>
    </row>
    <row r="13384" spans="1:18" ht="12.75">
      <c r="A13384" s="12"/>
      <c r="D13384" s="12"/>
      <c r="E13384" s="12"/>
      <c r="H13384" s="11" t="str">
        <f ca="1">IFERROR(__xludf.DUMMYFUNCTION("IFERROR(SUBSTITUTE(SUBSTITUTE(REGEXEXTRACT(A13384, ""[^-]+- [^-]+- [^-]+ - (.+?)\.jpg""), "".jpg"", """"), ""-"", "", ""), """")"),"")</f>
        <v/>
      </c>
      <c r="L13384" s="12"/>
      <c r="M13384" s="13"/>
      <c r="N13384" s="2"/>
      <c r="O13384" s="20"/>
      <c r="P13384" s="42"/>
      <c r="R13384" s="23"/>
    </row>
    <row r="13385" spans="1:18" ht="12.75">
      <c r="A13385" s="12"/>
      <c r="D13385" s="12"/>
      <c r="E13385" s="12"/>
      <c r="H13385" s="11" t="str">
        <f ca="1">IFERROR(__xludf.DUMMYFUNCTION("IFERROR(SUBSTITUTE(SUBSTITUTE(REGEXEXTRACT(A13385, ""[^-]+- [^-]+- [^-]+ - (.+?)\.jpg""), "".jpg"", """"), ""-"", "", ""), """")"),"")</f>
        <v/>
      </c>
      <c r="L13385" s="12"/>
      <c r="M13385" s="13"/>
      <c r="N13385" s="2"/>
      <c r="O13385" s="20"/>
      <c r="P13385" s="42"/>
      <c r="R13385" s="23"/>
    </row>
    <row r="13386" spans="1:18" ht="12.75">
      <c r="A13386" s="12"/>
      <c r="D13386" s="12"/>
      <c r="E13386" s="12"/>
      <c r="H13386" s="11" t="str">
        <f ca="1">IFERROR(__xludf.DUMMYFUNCTION("IFERROR(SUBSTITUTE(SUBSTITUTE(REGEXEXTRACT(A13386, ""[^-]+- [^-]+- [^-]+ - (.+?)\.jpg""), "".jpg"", """"), ""-"", "", ""), """")"),"")</f>
        <v/>
      </c>
      <c r="L13386" s="12"/>
      <c r="M13386" s="13"/>
      <c r="N13386" s="2"/>
      <c r="O13386" s="20"/>
      <c r="P13386" s="42"/>
      <c r="R13386" s="23"/>
    </row>
    <row r="13387" spans="1:18" ht="12.75">
      <c r="A13387" s="12"/>
      <c r="D13387" s="12"/>
      <c r="E13387" s="12"/>
      <c r="H13387" s="11" t="str">
        <f ca="1">IFERROR(__xludf.DUMMYFUNCTION("IFERROR(SUBSTITUTE(SUBSTITUTE(REGEXEXTRACT(A13387, ""[^-]+- [^-]+- [^-]+ - (.+?)\.jpg""), "".jpg"", """"), ""-"", "", ""), """")"),"")</f>
        <v/>
      </c>
      <c r="L13387" s="12"/>
      <c r="M13387" s="13"/>
      <c r="N13387" s="2"/>
      <c r="O13387" s="20"/>
      <c r="P13387" s="42"/>
      <c r="R13387" s="23"/>
    </row>
    <row r="13388" spans="1:18" ht="12.75">
      <c r="A13388" s="12"/>
      <c r="D13388" s="12"/>
      <c r="E13388" s="12"/>
      <c r="H13388" s="11" t="str">
        <f ca="1">IFERROR(__xludf.DUMMYFUNCTION("IFERROR(SUBSTITUTE(SUBSTITUTE(REGEXEXTRACT(A13388, ""[^-]+- [^-]+- [^-]+ - (.+?)\.jpg""), "".jpg"", """"), ""-"", "", ""), """")"),"")</f>
        <v/>
      </c>
      <c r="L13388" s="12"/>
      <c r="M13388" s="13"/>
      <c r="N13388" s="2"/>
      <c r="O13388" s="20"/>
      <c r="P13388" s="42"/>
      <c r="R13388" s="23"/>
    </row>
    <row r="13389" spans="1:18" ht="12.75">
      <c r="A13389" s="12"/>
      <c r="D13389" s="12"/>
      <c r="E13389" s="12"/>
      <c r="H13389" s="11" t="str">
        <f ca="1">IFERROR(__xludf.DUMMYFUNCTION("IFERROR(SUBSTITUTE(SUBSTITUTE(REGEXEXTRACT(A13389, ""[^-]+- [^-]+- [^-]+ - (.+?)\.jpg""), "".jpg"", """"), ""-"", "", ""), """")"),"")</f>
        <v/>
      </c>
      <c r="L13389" s="12"/>
      <c r="M13389" s="13"/>
      <c r="N13389" s="2"/>
      <c r="O13389" s="20"/>
      <c r="P13389" s="42"/>
      <c r="R13389" s="23"/>
    </row>
    <row r="13390" spans="1:18" ht="12.75">
      <c r="A13390" s="12"/>
      <c r="D13390" s="12"/>
      <c r="E13390" s="12"/>
      <c r="H13390" s="11" t="str">
        <f ca="1">IFERROR(__xludf.DUMMYFUNCTION("IFERROR(SUBSTITUTE(SUBSTITUTE(REGEXEXTRACT(A13390, ""[^-]+- [^-]+- [^-]+ - (.+?)\.jpg""), "".jpg"", """"), ""-"", "", ""), """")"),"")</f>
        <v/>
      </c>
      <c r="L13390" s="12"/>
      <c r="M13390" s="13"/>
      <c r="N13390" s="2"/>
      <c r="O13390" s="20"/>
      <c r="P13390" s="42"/>
      <c r="R13390" s="23"/>
    </row>
    <row r="13391" spans="1:18" ht="12.75">
      <c r="A13391" s="12"/>
      <c r="D13391" s="12"/>
      <c r="E13391" s="12"/>
      <c r="H13391" s="11" t="str">
        <f ca="1">IFERROR(__xludf.DUMMYFUNCTION("IFERROR(SUBSTITUTE(SUBSTITUTE(REGEXEXTRACT(A13391, ""[^-]+- [^-]+- [^-]+ - (.+?)\.jpg""), "".jpg"", """"), ""-"", "", ""), """")"),"")</f>
        <v/>
      </c>
      <c r="L13391" s="12"/>
      <c r="M13391" s="13"/>
      <c r="N13391" s="2"/>
      <c r="O13391" s="20"/>
      <c r="P13391" s="42"/>
      <c r="R13391" s="23"/>
    </row>
    <row r="13392" spans="1:18" ht="12.75">
      <c r="A13392" s="12"/>
      <c r="D13392" s="12"/>
      <c r="E13392" s="12"/>
      <c r="H13392" s="11" t="str">
        <f ca="1">IFERROR(__xludf.DUMMYFUNCTION("IFERROR(SUBSTITUTE(SUBSTITUTE(REGEXEXTRACT(A13392, ""[^-]+- [^-]+- [^-]+ - (.+?)\.jpg""), "".jpg"", """"), ""-"", "", ""), """")"),"")</f>
        <v/>
      </c>
      <c r="L13392" s="12"/>
      <c r="M13392" s="13"/>
      <c r="N13392" s="2"/>
      <c r="O13392" s="20"/>
      <c r="P13392" s="42"/>
      <c r="R13392" s="23"/>
    </row>
    <row r="13393" spans="1:18" ht="12.75">
      <c r="A13393" s="12"/>
      <c r="D13393" s="12"/>
      <c r="E13393" s="12"/>
      <c r="H13393" s="11" t="str">
        <f ca="1">IFERROR(__xludf.DUMMYFUNCTION("IFERROR(SUBSTITUTE(SUBSTITUTE(REGEXEXTRACT(A13393, ""[^-]+- [^-]+- [^-]+ - (.+?)\.jpg""), "".jpg"", """"), ""-"", "", ""), """")"),"")</f>
        <v/>
      </c>
      <c r="L13393" s="12"/>
      <c r="M13393" s="13"/>
      <c r="N13393" s="2"/>
      <c r="O13393" s="20"/>
      <c r="P13393" s="42"/>
      <c r="R13393" s="23"/>
    </row>
    <row r="13394" spans="1:18" ht="12.75">
      <c r="A13394" s="12"/>
      <c r="D13394" s="12"/>
      <c r="E13394" s="12"/>
      <c r="H13394" s="11" t="str">
        <f ca="1">IFERROR(__xludf.DUMMYFUNCTION("IFERROR(SUBSTITUTE(SUBSTITUTE(REGEXEXTRACT(A13394, ""[^-]+- [^-]+- [^-]+ - (.+?)\.jpg""), "".jpg"", """"), ""-"", "", ""), """")"),"")</f>
        <v/>
      </c>
      <c r="L13394" s="12"/>
      <c r="M13394" s="13"/>
      <c r="N13394" s="2"/>
      <c r="O13394" s="20"/>
      <c r="P13394" s="42"/>
      <c r="R13394" s="23"/>
    </row>
    <row r="13395" spans="1:18" ht="12.75">
      <c r="A13395" s="12"/>
      <c r="D13395" s="12"/>
      <c r="E13395" s="12"/>
      <c r="H13395" s="11" t="str">
        <f ca="1">IFERROR(__xludf.DUMMYFUNCTION("IFERROR(SUBSTITUTE(SUBSTITUTE(REGEXEXTRACT(A13395, ""[^-]+- [^-]+- [^-]+ - (.+?)\.jpg""), "".jpg"", """"), ""-"", "", ""), """")"),"")</f>
        <v/>
      </c>
      <c r="L13395" s="12"/>
      <c r="M13395" s="13"/>
      <c r="N13395" s="2"/>
      <c r="O13395" s="20"/>
      <c r="P13395" s="42"/>
      <c r="R13395" s="23"/>
    </row>
    <row r="13396" spans="1:18" ht="12.75">
      <c r="A13396" s="12"/>
      <c r="D13396" s="12"/>
      <c r="E13396" s="12"/>
      <c r="H13396" s="11" t="str">
        <f ca="1">IFERROR(__xludf.DUMMYFUNCTION("IFERROR(SUBSTITUTE(SUBSTITUTE(REGEXEXTRACT(A13396, ""[^-]+- [^-]+- [^-]+ - (.+?)\.jpg""), "".jpg"", """"), ""-"", "", ""), """")"),"")</f>
        <v/>
      </c>
      <c r="L13396" s="12"/>
      <c r="M13396" s="13"/>
      <c r="N13396" s="2"/>
      <c r="O13396" s="20"/>
      <c r="P13396" s="42"/>
      <c r="R13396" s="23"/>
    </row>
    <row r="13397" spans="1:18" ht="12.75">
      <c r="A13397" s="12"/>
      <c r="D13397" s="12"/>
      <c r="E13397" s="12"/>
      <c r="H13397" s="11" t="str">
        <f ca="1">IFERROR(__xludf.DUMMYFUNCTION("IFERROR(SUBSTITUTE(SUBSTITUTE(REGEXEXTRACT(A13397, ""[^-]+- [^-]+- [^-]+ - (.+?)\.jpg""), "".jpg"", """"), ""-"", "", ""), """")"),"")</f>
        <v/>
      </c>
      <c r="L13397" s="12"/>
      <c r="M13397" s="13"/>
      <c r="N13397" s="2"/>
      <c r="O13397" s="20"/>
      <c r="P13397" s="42"/>
      <c r="R13397" s="23"/>
    </row>
    <row r="13398" spans="1:18" ht="12.75">
      <c r="A13398" s="12"/>
      <c r="D13398" s="12"/>
      <c r="E13398" s="12"/>
      <c r="H13398" s="11" t="str">
        <f ca="1">IFERROR(__xludf.DUMMYFUNCTION("IFERROR(SUBSTITUTE(SUBSTITUTE(REGEXEXTRACT(A13398, ""[^-]+- [^-]+- [^-]+ - (.+?)\.jpg""), "".jpg"", """"), ""-"", "", ""), """")"),"")</f>
        <v/>
      </c>
      <c r="L13398" s="12"/>
      <c r="M13398" s="13"/>
      <c r="N13398" s="2"/>
      <c r="O13398" s="20"/>
      <c r="P13398" s="42"/>
      <c r="R13398" s="23"/>
    </row>
    <row r="13399" spans="1:18" ht="12.75">
      <c r="A13399" s="12"/>
      <c r="D13399" s="12"/>
      <c r="E13399" s="12"/>
      <c r="H13399" s="11" t="str">
        <f ca="1">IFERROR(__xludf.DUMMYFUNCTION("IFERROR(SUBSTITUTE(SUBSTITUTE(REGEXEXTRACT(A13399, ""[^-]+- [^-]+- [^-]+ - (.+?)\.jpg""), "".jpg"", """"), ""-"", "", ""), """")"),"")</f>
        <v/>
      </c>
      <c r="L13399" s="12"/>
      <c r="M13399" s="13"/>
      <c r="N13399" s="2"/>
      <c r="O13399" s="20"/>
      <c r="P13399" s="42"/>
      <c r="R13399" s="23"/>
    </row>
    <row r="13400" spans="1:18" ht="12.75">
      <c r="A13400" s="12"/>
      <c r="D13400" s="12"/>
      <c r="E13400" s="12"/>
      <c r="H13400" s="11" t="str">
        <f ca="1">IFERROR(__xludf.DUMMYFUNCTION("IFERROR(SUBSTITUTE(SUBSTITUTE(REGEXEXTRACT(A13400, ""[^-]+- [^-]+- [^-]+ - (.+?)\.jpg""), "".jpg"", """"), ""-"", "", ""), """")"),"")</f>
        <v/>
      </c>
      <c r="L13400" s="12"/>
      <c r="M13400" s="13"/>
      <c r="N13400" s="2"/>
      <c r="O13400" s="20"/>
      <c r="P13400" s="42"/>
      <c r="R13400" s="23"/>
    </row>
    <row r="13401" spans="1:18" ht="12.75">
      <c r="A13401" s="12"/>
      <c r="D13401" s="12"/>
      <c r="E13401" s="12"/>
      <c r="H13401" s="11" t="str">
        <f ca="1">IFERROR(__xludf.DUMMYFUNCTION("IFERROR(SUBSTITUTE(SUBSTITUTE(REGEXEXTRACT(A13401, ""[^-]+- [^-]+- [^-]+ - (.+?)\.jpg""), "".jpg"", """"), ""-"", "", ""), """")"),"")</f>
        <v/>
      </c>
      <c r="L13401" s="12"/>
      <c r="M13401" s="13"/>
      <c r="N13401" s="2"/>
      <c r="O13401" s="20"/>
      <c r="P13401" s="42"/>
      <c r="R13401" s="23"/>
    </row>
    <row r="13402" spans="1:18" ht="12.75">
      <c r="A13402" s="12"/>
      <c r="D13402" s="12"/>
      <c r="E13402" s="12"/>
      <c r="H13402" s="11" t="str">
        <f ca="1">IFERROR(__xludf.DUMMYFUNCTION("IFERROR(SUBSTITUTE(SUBSTITUTE(REGEXEXTRACT(A13402, ""[^-]+- [^-]+- [^-]+ - (.+?)\.jpg""), "".jpg"", """"), ""-"", "", ""), """")"),"")</f>
        <v/>
      </c>
      <c r="L13402" s="12"/>
      <c r="M13402" s="13"/>
      <c r="N13402" s="2"/>
      <c r="O13402" s="20"/>
      <c r="P13402" s="42"/>
      <c r="R13402" s="23"/>
    </row>
    <row r="13403" spans="1:18" ht="12.75">
      <c r="A13403" s="12"/>
      <c r="D13403" s="12"/>
      <c r="E13403" s="12"/>
      <c r="H13403" s="11" t="str">
        <f ca="1">IFERROR(__xludf.DUMMYFUNCTION("IFERROR(SUBSTITUTE(SUBSTITUTE(REGEXEXTRACT(A13403, ""[^-]+- [^-]+- [^-]+ - (.+?)\.jpg""), "".jpg"", """"), ""-"", "", ""), """")"),"")</f>
        <v/>
      </c>
      <c r="L13403" s="12"/>
      <c r="M13403" s="13"/>
      <c r="N13403" s="2"/>
      <c r="O13403" s="20"/>
      <c r="P13403" s="42"/>
      <c r="R13403" s="23"/>
    </row>
    <row r="13404" spans="1:18" ht="12.75">
      <c r="A13404" s="12"/>
      <c r="D13404" s="12"/>
      <c r="E13404" s="12"/>
      <c r="H13404" s="11" t="str">
        <f ca="1">IFERROR(__xludf.DUMMYFUNCTION("IFERROR(SUBSTITUTE(SUBSTITUTE(REGEXEXTRACT(A13404, ""[^-]+- [^-]+- [^-]+ - (.+?)\.jpg""), "".jpg"", """"), ""-"", "", ""), """")"),"")</f>
        <v/>
      </c>
      <c r="L13404" s="12"/>
      <c r="M13404" s="13"/>
      <c r="N13404" s="2"/>
      <c r="O13404" s="20"/>
      <c r="P13404" s="42"/>
      <c r="R13404" s="23"/>
    </row>
    <row r="13405" spans="1:18" ht="12.75">
      <c r="A13405" s="12"/>
      <c r="D13405" s="12"/>
      <c r="E13405" s="12"/>
      <c r="H13405" s="11" t="str">
        <f ca="1">IFERROR(__xludf.DUMMYFUNCTION("IFERROR(SUBSTITUTE(SUBSTITUTE(REGEXEXTRACT(A13405, ""[^-]+- [^-]+- [^-]+ - (.+?)\.jpg""), "".jpg"", """"), ""-"", "", ""), """")"),"")</f>
        <v/>
      </c>
      <c r="L13405" s="12"/>
      <c r="M13405" s="13"/>
      <c r="N13405" s="2"/>
      <c r="O13405" s="20"/>
      <c r="P13405" s="42"/>
      <c r="R13405" s="23"/>
    </row>
    <row r="13406" spans="1:18" ht="12.75">
      <c r="A13406" s="12"/>
      <c r="D13406" s="12"/>
      <c r="E13406" s="12"/>
      <c r="H13406" s="11" t="str">
        <f ca="1">IFERROR(__xludf.DUMMYFUNCTION("IFERROR(SUBSTITUTE(SUBSTITUTE(REGEXEXTRACT(A13406, ""[^-]+- [^-]+- [^-]+ - (.+?)\.jpg""), "".jpg"", """"), ""-"", "", ""), """")"),"")</f>
        <v/>
      </c>
      <c r="L13406" s="12"/>
      <c r="M13406" s="13"/>
      <c r="N13406" s="2"/>
      <c r="O13406" s="20"/>
      <c r="P13406" s="42"/>
      <c r="R13406" s="23"/>
    </row>
    <row r="13407" spans="1:18" ht="12.75">
      <c r="A13407" s="12"/>
      <c r="D13407" s="12"/>
      <c r="E13407" s="12"/>
      <c r="H13407" s="11" t="str">
        <f ca="1">IFERROR(__xludf.DUMMYFUNCTION("IFERROR(SUBSTITUTE(SUBSTITUTE(REGEXEXTRACT(A13407, ""[^-]+- [^-]+- [^-]+ - (.+?)\.jpg""), "".jpg"", """"), ""-"", "", ""), """")"),"")</f>
        <v/>
      </c>
      <c r="L13407" s="12"/>
      <c r="M13407" s="13"/>
      <c r="N13407" s="2"/>
      <c r="O13407" s="20"/>
      <c r="P13407" s="42"/>
      <c r="R13407" s="23"/>
    </row>
    <row r="13408" spans="1:18" ht="12.75">
      <c r="A13408" s="12"/>
      <c r="D13408" s="12"/>
      <c r="E13408" s="12"/>
      <c r="H13408" s="11" t="str">
        <f ca="1">IFERROR(__xludf.DUMMYFUNCTION("IFERROR(SUBSTITUTE(SUBSTITUTE(REGEXEXTRACT(A13408, ""[^-]+- [^-]+- [^-]+ - (.+?)\.jpg""), "".jpg"", """"), ""-"", "", ""), """")"),"")</f>
        <v/>
      </c>
      <c r="L13408" s="12"/>
      <c r="M13408" s="13"/>
      <c r="N13408" s="2"/>
      <c r="O13408" s="20"/>
      <c r="P13408" s="42"/>
      <c r="R13408" s="23"/>
    </row>
    <row r="13409" spans="1:18" ht="12.75">
      <c r="A13409" s="12"/>
      <c r="D13409" s="12"/>
      <c r="E13409" s="12"/>
      <c r="H13409" s="11" t="str">
        <f ca="1">IFERROR(__xludf.DUMMYFUNCTION("IFERROR(SUBSTITUTE(SUBSTITUTE(REGEXEXTRACT(A13409, ""[^-]+- [^-]+- [^-]+ - (.+?)\.jpg""), "".jpg"", """"), ""-"", "", ""), """")"),"")</f>
        <v/>
      </c>
      <c r="L13409" s="12"/>
      <c r="M13409" s="13"/>
      <c r="N13409" s="2"/>
      <c r="O13409" s="20"/>
      <c r="P13409" s="42"/>
      <c r="R13409" s="23"/>
    </row>
    <row r="13410" spans="1:18" ht="12.75">
      <c r="A13410" s="12"/>
      <c r="D13410" s="12"/>
      <c r="E13410" s="12"/>
      <c r="H13410" s="11" t="str">
        <f ca="1">IFERROR(__xludf.DUMMYFUNCTION("IFERROR(SUBSTITUTE(SUBSTITUTE(REGEXEXTRACT(A13410, ""[^-]+- [^-]+- [^-]+ - (.+?)\.jpg""), "".jpg"", """"), ""-"", "", ""), """")"),"")</f>
        <v/>
      </c>
      <c r="L13410" s="12"/>
      <c r="M13410" s="13"/>
      <c r="N13410" s="2"/>
      <c r="O13410" s="20"/>
      <c r="P13410" s="42"/>
      <c r="R13410" s="23"/>
    </row>
    <row r="13411" spans="1:18" ht="12.75">
      <c r="A13411" s="12"/>
      <c r="D13411" s="12"/>
      <c r="E13411" s="12"/>
      <c r="H13411" s="11" t="str">
        <f ca="1">IFERROR(__xludf.DUMMYFUNCTION("IFERROR(SUBSTITUTE(SUBSTITUTE(REGEXEXTRACT(A13411, ""[^-]+- [^-]+- [^-]+ - (.+?)\.jpg""), "".jpg"", """"), ""-"", "", ""), """")"),"")</f>
        <v/>
      </c>
      <c r="L13411" s="12"/>
      <c r="M13411" s="13"/>
      <c r="N13411" s="2"/>
      <c r="O13411" s="20"/>
      <c r="P13411" s="42"/>
      <c r="R13411" s="23"/>
    </row>
    <row r="13412" spans="1:18" ht="12.75">
      <c r="A13412" s="12"/>
      <c r="D13412" s="12"/>
      <c r="E13412" s="12"/>
      <c r="H13412" s="11" t="str">
        <f ca="1">IFERROR(__xludf.DUMMYFUNCTION("IFERROR(SUBSTITUTE(SUBSTITUTE(REGEXEXTRACT(A13412, ""[^-]+- [^-]+- [^-]+ - (.+?)\.jpg""), "".jpg"", """"), ""-"", "", ""), """")"),"")</f>
        <v/>
      </c>
      <c r="L13412" s="12"/>
      <c r="M13412" s="13"/>
      <c r="N13412" s="2"/>
      <c r="O13412" s="20"/>
      <c r="P13412" s="42"/>
      <c r="R13412" s="23"/>
    </row>
    <row r="13413" spans="1:18" ht="12.75">
      <c r="A13413" s="12"/>
      <c r="D13413" s="12"/>
      <c r="E13413" s="12"/>
      <c r="H13413" s="11" t="str">
        <f ca="1">IFERROR(__xludf.DUMMYFUNCTION("IFERROR(SUBSTITUTE(SUBSTITUTE(REGEXEXTRACT(A13413, ""[^-]+- [^-]+- [^-]+ - (.+?)\.jpg""), "".jpg"", """"), ""-"", "", ""), """")"),"")</f>
        <v/>
      </c>
      <c r="L13413" s="12"/>
      <c r="M13413" s="13"/>
      <c r="N13413" s="2"/>
      <c r="O13413" s="20"/>
      <c r="P13413" s="42"/>
      <c r="R13413" s="23"/>
    </row>
    <row r="13414" spans="1:18" ht="12.75">
      <c r="A13414" s="12"/>
      <c r="D13414" s="12"/>
      <c r="E13414" s="12"/>
      <c r="H13414" s="11" t="str">
        <f ca="1">IFERROR(__xludf.DUMMYFUNCTION("IFERROR(SUBSTITUTE(SUBSTITUTE(REGEXEXTRACT(A13414, ""[^-]+- [^-]+- [^-]+ - (.+?)\.jpg""), "".jpg"", """"), ""-"", "", ""), """")"),"")</f>
        <v/>
      </c>
      <c r="L13414" s="12"/>
      <c r="M13414" s="13"/>
      <c r="N13414" s="2"/>
      <c r="O13414" s="20"/>
      <c r="P13414" s="42"/>
      <c r="R13414" s="23"/>
    </row>
    <row r="13415" spans="1:18" ht="12.75">
      <c r="A13415" s="12"/>
      <c r="D13415" s="12"/>
      <c r="E13415" s="12"/>
      <c r="H13415" s="11" t="str">
        <f ca="1">IFERROR(__xludf.DUMMYFUNCTION("IFERROR(SUBSTITUTE(SUBSTITUTE(REGEXEXTRACT(A13415, ""[^-]+- [^-]+- [^-]+ - (.+?)\.jpg""), "".jpg"", """"), ""-"", "", ""), """")"),"")</f>
        <v/>
      </c>
      <c r="L13415" s="12"/>
      <c r="M13415" s="13"/>
      <c r="N13415" s="2"/>
      <c r="O13415" s="20"/>
      <c r="P13415" s="42"/>
      <c r="R13415" s="23"/>
    </row>
    <row r="13416" spans="1:18" ht="12.75">
      <c r="A13416" s="12"/>
      <c r="D13416" s="12"/>
      <c r="E13416" s="12"/>
      <c r="H13416" s="11" t="str">
        <f ca="1">IFERROR(__xludf.DUMMYFUNCTION("IFERROR(SUBSTITUTE(SUBSTITUTE(REGEXEXTRACT(A13416, ""[^-]+- [^-]+- [^-]+ - (.+?)\.jpg""), "".jpg"", """"), ""-"", "", ""), """")"),"")</f>
        <v/>
      </c>
      <c r="L13416" s="12"/>
      <c r="M13416" s="13"/>
      <c r="N13416" s="2"/>
      <c r="O13416" s="20"/>
      <c r="P13416" s="42"/>
      <c r="R13416" s="23"/>
    </row>
    <row r="13417" spans="1:18" ht="12.75">
      <c r="A13417" s="12"/>
      <c r="D13417" s="12"/>
      <c r="E13417" s="12"/>
      <c r="H13417" s="11" t="str">
        <f ca="1">IFERROR(__xludf.DUMMYFUNCTION("IFERROR(SUBSTITUTE(SUBSTITUTE(REGEXEXTRACT(A13417, ""[^-]+- [^-]+- [^-]+ - (.+?)\.jpg""), "".jpg"", """"), ""-"", "", ""), """")"),"")</f>
        <v/>
      </c>
      <c r="L13417" s="12"/>
      <c r="M13417" s="13"/>
      <c r="N13417" s="2"/>
      <c r="O13417" s="20"/>
      <c r="P13417" s="42"/>
      <c r="R13417" s="23"/>
    </row>
    <row r="13418" spans="1:18" ht="12.75">
      <c r="A13418" s="12"/>
      <c r="D13418" s="12"/>
      <c r="E13418" s="12"/>
      <c r="H13418" s="11" t="str">
        <f ca="1">IFERROR(__xludf.DUMMYFUNCTION("IFERROR(SUBSTITUTE(SUBSTITUTE(REGEXEXTRACT(A13418, ""[^-]+- [^-]+- [^-]+ - (.+?)\.jpg""), "".jpg"", """"), ""-"", "", ""), """")"),"")</f>
        <v/>
      </c>
      <c r="L13418" s="12"/>
      <c r="M13418" s="13"/>
      <c r="N13418" s="2"/>
      <c r="O13418" s="20"/>
      <c r="P13418" s="42"/>
      <c r="R13418" s="23"/>
    </row>
    <row r="13419" spans="1:18" ht="12.75">
      <c r="A13419" s="12"/>
      <c r="D13419" s="12"/>
      <c r="E13419" s="12"/>
      <c r="H13419" s="11" t="str">
        <f ca="1">IFERROR(__xludf.DUMMYFUNCTION("IFERROR(SUBSTITUTE(SUBSTITUTE(REGEXEXTRACT(A13419, ""[^-]+- [^-]+- [^-]+ - (.+?)\.jpg""), "".jpg"", """"), ""-"", "", ""), """")"),"")</f>
        <v/>
      </c>
      <c r="L13419" s="12"/>
      <c r="M13419" s="13"/>
      <c r="N13419" s="2"/>
      <c r="O13419" s="20"/>
      <c r="P13419" s="42"/>
      <c r="R13419" s="23"/>
    </row>
    <row r="13420" spans="1:18" ht="12.75">
      <c r="A13420" s="12"/>
      <c r="D13420" s="12"/>
      <c r="E13420" s="12"/>
      <c r="H13420" s="11" t="str">
        <f ca="1">IFERROR(__xludf.DUMMYFUNCTION("IFERROR(SUBSTITUTE(SUBSTITUTE(REGEXEXTRACT(A13420, ""[^-]+- [^-]+- [^-]+ - (.+?)\.jpg""), "".jpg"", """"), ""-"", "", ""), """")"),"")</f>
        <v/>
      </c>
      <c r="L13420" s="12"/>
      <c r="M13420" s="13"/>
      <c r="N13420" s="2"/>
      <c r="O13420" s="20"/>
      <c r="P13420" s="42"/>
      <c r="R13420" s="23"/>
    </row>
    <row r="13421" spans="1:18" ht="12.75">
      <c r="A13421" s="12"/>
      <c r="D13421" s="12"/>
      <c r="E13421" s="12"/>
      <c r="H13421" s="11" t="str">
        <f ca="1">IFERROR(__xludf.DUMMYFUNCTION("IFERROR(SUBSTITUTE(SUBSTITUTE(REGEXEXTRACT(A13421, ""[^-]+- [^-]+- [^-]+ - (.+?)\.jpg""), "".jpg"", """"), ""-"", "", ""), """")"),"")</f>
        <v/>
      </c>
      <c r="L13421" s="12"/>
      <c r="M13421" s="13"/>
      <c r="N13421" s="2"/>
      <c r="O13421" s="20"/>
      <c r="P13421" s="42"/>
      <c r="R13421" s="23"/>
    </row>
    <row r="13422" spans="1:18" ht="12.75">
      <c r="A13422" s="12"/>
      <c r="D13422" s="12"/>
      <c r="E13422" s="12"/>
      <c r="H13422" s="11" t="str">
        <f ca="1">IFERROR(__xludf.DUMMYFUNCTION("IFERROR(SUBSTITUTE(SUBSTITUTE(REGEXEXTRACT(A13422, ""[^-]+- [^-]+- [^-]+ - (.+?)\.jpg""), "".jpg"", """"), ""-"", "", ""), """")"),"")</f>
        <v/>
      </c>
      <c r="L13422" s="12"/>
      <c r="M13422" s="13"/>
      <c r="N13422" s="2"/>
      <c r="O13422" s="20"/>
      <c r="P13422" s="42"/>
      <c r="R13422" s="23"/>
    </row>
    <row r="13423" spans="1:18" ht="12.75">
      <c r="A13423" s="12"/>
      <c r="D13423" s="12"/>
      <c r="E13423" s="12"/>
      <c r="H13423" s="11" t="str">
        <f ca="1">IFERROR(__xludf.DUMMYFUNCTION("IFERROR(SUBSTITUTE(SUBSTITUTE(REGEXEXTRACT(A13423, ""[^-]+- [^-]+- [^-]+ - (.+?)\.jpg""), "".jpg"", """"), ""-"", "", ""), """")"),"")</f>
        <v/>
      </c>
      <c r="L13423" s="12"/>
      <c r="M13423" s="13"/>
      <c r="N13423" s="2"/>
      <c r="O13423" s="20"/>
      <c r="P13423" s="42"/>
      <c r="R13423" s="23"/>
    </row>
    <row r="13424" spans="1:18" ht="12.75">
      <c r="A13424" s="12"/>
      <c r="D13424" s="12"/>
      <c r="E13424" s="12"/>
      <c r="H13424" s="11" t="str">
        <f ca="1">IFERROR(__xludf.DUMMYFUNCTION("IFERROR(SUBSTITUTE(SUBSTITUTE(REGEXEXTRACT(A13424, ""[^-]+- [^-]+- [^-]+ - (.+?)\.jpg""), "".jpg"", """"), ""-"", "", ""), """")"),"")</f>
        <v/>
      </c>
      <c r="L13424" s="12"/>
      <c r="M13424" s="13"/>
      <c r="N13424" s="2"/>
      <c r="O13424" s="20"/>
      <c r="P13424" s="42"/>
      <c r="R13424" s="23"/>
    </row>
    <row r="13425" spans="1:18" ht="12.75">
      <c r="A13425" s="12"/>
      <c r="D13425" s="12"/>
      <c r="E13425" s="12"/>
      <c r="H13425" s="11" t="str">
        <f ca="1">IFERROR(__xludf.DUMMYFUNCTION("IFERROR(SUBSTITUTE(SUBSTITUTE(REGEXEXTRACT(A13425, ""[^-]+- [^-]+- [^-]+ - (.+?)\.jpg""), "".jpg"", """"), ""-"", "", ""), """")"),"")</f>
        <v/>
      </c>
      <c r="L13425" s="12"/>
      <c r="M13425" s="13"/>
      <c r="N13425" s="2"/>
      <c r="O13425" s="20"/>
      <c r="P13425" s="42"/>
      <c r="R13425" s="23"/>
    </row>
    <row r="13426" spans="1:18" ht="12.75">
      <c r="A13426" s="12"/>
      <c r="D13426" s="12"/>
      <c r="E13426" s="12"/>
      <c r="H13426" s="11" t="str">
        <f ca="1">IFERROR(__xludf.DUMMYFUNCTION("IFERROR(SUBSTITUTE(SUBSTITUTE(REGEXEXTRACT(A13426, ""[^-]+- [^-]+- [^-]+ - (.+?)\.jpg""), "".jpg"", """"), ""-"", "", ""), """")"),"")</f>
        <v/>
      </c>
      <c r="L13426" s="12"/>
      <c r="M13426" s="13"/>
      <c r="N13426" s="2"/>
      <c r="O13426" s="20"/>
      <c r="P13426" s="42"/>
      <c r="R13426" s="23"/>
    </row>
    <row r="13427" spans="1:18" ht="12.75">
      <c r="A13427" s="12"/>
      <c r="D13427" s="12"/>
      <c r="E13427" s="12"/>
      <c r="H13427" s="11" t="str">
        <f ca="1">IFERROR(__xludf.DUMMYFUNCTION("IFERROR(SUBSTITUTE(SUBSTITUTE(REGEXEXTRACT(A13427, ""[^-]+- [^-]+- [^-]+ - (.+?)\.jpg""), "".jpg"", """"), ""-"", "", ""), """")"),"")</f>
        <v/>
      </c>
      <c r="L13427" s="12"/>
      <c r="M13427" s="13"/>
      <c r="N13427" s="2"/>
      <c r="O13427" s="20"/>
      <c r="P13427" s="42"/>
      <c r="R13427" s="23"/>
    </row>
    <row r="13428" spans="1:18" ht="12.75">
      <c r="A13428" s="12"/>
      <c r="D13428" s="12"/>
      <c r="E13428" s="12"/>
      <c r="H13428" s="11" t="str">
        <f ca="1">IFERROR(__xludf.DUMMYFUNCTION("IFERROR(SUBSTITUTE(SUBSTITUTE(REGEXEXTRACT(A13428, ""[^-]+- [^-]+- [^-]+ - (.+?)\.jpg""), "".jpg"", """"), ""-"", "", ""), """")"),"")</f>
        <v/>
      </c>
      <c r="L13428" s="12"/>
      <c r="M13428" s="13"/>
      <c r="N13428" s="2"/>
      <c r="O13428" s="20"/>
      <c r="P13428" s="42"/>
      <c r="R13428" s="23"/>
    </row>
    <row r="13429" spans="1:18" ht="12.75">
      <c r="A13429" s="12"/>
      <c r="D13429" s="12"/>
      <c r="E13429" s="12"/>
      <c r="H13429" s="11" t="str">
        <f ca="1">IFERROR(__xludf.DUMMYFUNCTION("IFERROR(SUBSTITUTE(SUBSTITUTE(REGEXEXTRACT(A13429, ""[^-]+- [^-]+- [^-]+ - (.+?)\.jpg""), "".jpg"", """"), ""-"", "", ""), """")"),"")</f>
        <v/>
      </c>
      <c r="L13429" s="12"/>
      <c r="M13429" s="13"/>
      <c r="N13429" s="2"/>
      <c r="O13429" s="20"/>
      <c r="P13429" s="42"/>
      <c r="R13429" s="23"/>
    </row>
    <row r="13430" spans="1:18" ht="12.75">
      <c r="A13430" s="12"/>
      <c r="D13430" s="12"/>
      <c r="E13430" s="12"/>
      <c r="H13430" s="11" t="str">
        <f ca="1">IFERROR(__xludf.DUMMYFUNCTION("IFERROR(SUBSTITUTE(SUBSTITUTE(REGEXEXTRACT(A13430, ""[^-]+- [^-]+- [^-]+ - (.+?)\.jpg""), "".jpg"", """"), ""-"", "", ""), """")"),"")</f>
        <v/>
      </c>
      <c r="L13430" s="12"/>
      <c r="M13430" s="13"/>
      <c r="N13430" s="2"/>
      <c r="O13430" s="20"/>
      <c r="P13430" s="42"/>
      <c r="R13430" s="23"/>
    </row>
    <row r="13431" spans="1:18" ht="12.75">
      <c r="A13431" s="12"/>
      <c r="D13431" s="12"/>
      <c r="E13431" s="12"/>
      <c r="H13431" s="11" t="str">
        <f ca="1">IFERROR(__xludf.DUMMYFUNCTION("IFERROR(SUBSTITUTE(SUBSTITUTE(REGEXEXTRACT(A13431, ""[^-]+- [^-]+- [^-]+ - (.+?)\.jpg""), "".jpg"", """"), ""-"", "", ""), """")"),"")</f>
        <v/>
      </c>
      <c r="L13431" s="12"/>
      <c r="M13431" s="13"/>
      <c r="N13431" s="2"/>
      <c r="O13431" s="20"/>
      <c r="P13431" s="42"/>
      <c r="R13431" s="23"/>
    </row>
    <row r="13432" spans="1:18" ht="12.75">
      <c r="A13432" s="12"/>
      <c r="D13432" s="12"/>
      <c r="E13432" s="12"/>
      <c r="H13432" s="11" t="str">
        <f ca="1">IFERROR(__xludf.DUMMYFUNCTION("IFERROR(SUBSTITUTE(SUBSTITUTE(REGEXEXTRACT(A13432, ""[^-]+- [^-]+- [^-]+ - (.+?)\.jpg""), "".jpg"", """"), ""-"", "", ""), """")"),"")</f>
        <v/>
      </c>
      <c r="L13432" s="12"/>
      <c r="M13432" s="13"/>
      <c r="N13432" s="2"/>
      <c r="O13432" s="20"/>
      <c r="P13432" s="42"/>
      <c r="R13432" s="23"/>
    </row>
    <row r="13433" spans="1:18" ht="12.75">
      <c r="A13433" s="12"/>
      <c r="D13433" s="12"/>
      <c r="E13433" s="12"/>
      <c r="H13433" s="11" t="str">
        <f ca="1">IFERROR(__xludf.DUMMYFUNCTION("IFERROR(SUBSTITUTE(SUBSTITUTE(REGEXEXTRACT(A13433, ""[^-]+- [^-]+- [^-]+ - (.+?)\.jpg""), "".jpg"", """"), ""-"", "", ""), """")"),"")</f>
        <v/>
      </c>
      <c r="L13433" s="12"/>
      <c r="M13433" s="13"/>
      <c r="N13433" s="2"/>
      <c r="O13433" s="20"/>
      <c r="P13433" s="42"/>
      <c r="R13433" s="23"/>
    </row>
    <row r="13434" spans="1:18" ht="12.75">
      <c r="A13434" s="12"/>
      <c r="D13434" s="12"/>
      <c r="E13434" s="12"/>
      <c r="H13434" s="11" t="str">
        <f ca="1">IFERROR(__xludf.DUMMYFUNCTION("IFERROR(SUBSTITUTE(SUBSTITUTE(REGEXEXTRACT(A13434, ""[^-]+- [^-]+- [^-]+ - (.+?)\.jpg""), "".jpg"", """"), ""-"", "", ""), """")"),"")</f>
        <v/>
      </c>
      <c r="L13434" s="12"/>
      <c r="M13434" s="13"/>
      <c r="N13434" s="2"/>
      <c r="O13434" s="20"/>
      <c r="P13434" s="42"/>
      <c r="R13434" s="23"/>
    </row>
    <row r="13435" spans="1:18" ht="12.75">
      <c r="A13435" s="12"/>
      <c r="D13435" s="12"/>
      <c r="E13435" s="12"/>
      <c r="H13435" s="11" t="str">
        <f ca="1">IFERROR(__xludf.DUMMYFUNCTION("IFERROR(SUBSTITUTE(SUBSTITUTE(REGEXEXTRACT(A13435, ""[^-]+- [^-]+- [^-]+ - (.+?)\.jpg""), "".jpg"", """"), ""-"", "", ""), """")"),"")</f>
        <v/>
      </c>
      <c r="L13435" s="12"/>
      <c r="M13435" s="13"/>
      <c r="N13435" s="2"/>
      <c r="O13435" s="20"/>
      <c r="P13435" s="42"/>
      <c r="R13435" s="23"/>
    </row>
    <row r="13436" spans="1:18" ht="12.75">
      <c r="A13436" s="12"/>
      <c r="D13436" s="12"/>
      <c r="E13436" s="12"/>
      <c r="H13436" s="11" t="str">
        <f ca="1">IFERROR(__xludf.DUMMYFUNCTION("IFERROR(SUBSTITUTE(SUBSTITUTE(REGEXEXTRACT(A13436, ""[^-]+- [^-]+- [^-]+ - (.+?)\.jpg""), "".jpg"", """"), ""-"", "", ""), """")"),"")</f>
        <v/>
      </c>
      <c r="L13436" s="12"/>
      <c r="M13436" s="13"/>
      <c r="N13436" s="2"/>
      <c r="O13436" s="20"/>
      <c r="P13436" s="42"/>
      <c r="R13436" s="23"/>
    </row>
    <row r="13437" spans="1:18" ht="12.75">
      <c r="A13437" s="12"/>
      <c r="D13437" s="12"/>
      <c r="E13437" s="12"/>
      <c r="H13437" s="11" t="str">
        <f ca="1">IFERROR(__xludf.DUMMYFUNCTION("IFERROR(SUBSTITUTE(SUBSTITUTE(REGEXEXTRACT(A13437, ""[^-]+- [^-]+- [^-]+ - (.+?)\.jpg""), "".jpg"", """"), ""-"", "", ""), """")"),"")</f>
        <v/>
      </c>
      <c r="L13437" s="12"/>
      <c r="M13437" s="13"/>
      <c r="N13437" s="2"/>
      <c r="O13437" s="20"/>
      <c r="P13437" s="42"/>
      <c r="R13437" s="23"/>
    </row>
    <row r="13438" spans="1:18" ht="12.75">
      <c r="A13438" s="12"/>
      <c r="D13438" s="12"/>
      <c r="E13438" s="12"/>
      <c r="H13438" s="11" t="str">
        <f ca="1">IFERROR(__xludf.DUMMYFUNCTION("IFERROR(SUBSTITUTE(SUBSTITUTE(REGEXEXTRACT(A13438, ""[^-]+- [^-]+- [^-]+ - (.+?)\.jpg""), "".jpg"", """"), ""-"", "", ""), """")"),"")</f>
        <v/>
      </c>
      <c r="L13438" s="12"/>
      <c r="M13438" s="13"/>
      <c r="N13438" s="2"/>
      <c r="O13438" s="20"/>
      <c r="P13438" s="42"/>
      <c r="R13438" s="23"/>
    </row>
    <row r="13439" spans="1:18" ht="12.75">
      <c r="A13439" s="12"/>
      <c r="D13439" s="12"/>
      <c r="E13439" s="12"/>
      <c r="H13439" s="11" t="str">
        <f ca="1">IFERROR(__xludf.DUMMYFUNCTION("IFERROR(SUBSTITUTE(SUBSTITUTE(REGEXEXTRACT(A13439, ""[^-]+- [^-]+- [^-]+ - (.+?)\.jpg""), "".jpg"", """"), ""-"", "", ""), """")"),"")</f>
        <v/>
      </c>
      <c r="L13439" s="12"/>
      <c r="M13439" s="13"/>
      <c r="N13439" s="2"/>
      <c r="O13439" s="20"/>
      <c r="P13439" s="42"/>
      <c r="R13439" s="23"/>
    </row>
    <row r="13440" spans="1:18" ht="12.75">
      <c r="A13440" s="12"/>
      <c r="D13440" s="12"/>
      <c r="E13440" s="12"/>
      <c r="H13440" s="11" t="str">
        <f ca="1">IFERROR(__xludf.DUMMYFUNCTION("IFERROR(SUBSTITUTE(SUBSTITUTE(REGEXEXTRACT(A13440, ""[^-]+- [^-]+- [^-]+ - (.+?)\.jpg""), "".jpg"", """"), ""-"", "", ""), """")"),"")</f>
        <v/>
      </c>
      <c r="L13440" s="12"/>
      <c r="M13440" s="13"/>
      <c r="N13440" s="2"/>
      <c r="O13440" s="20"/>
      <c r="P13440" s="42"/>
      <c r="R13440" s="23"/>
    </row>
    <row r="13441" spans="1:18" ht="12.75">
      <c r="A13441" s="12"/>
      <c r="D13441" s="12"/>
      <c r="E13441" s="12"/>
      <c r="H13441" s="11" t="str">
        <f ca="1">IFERROR(__xludf.DUMMYFUNCTION("IFERROR(SUBSTITUTE(SUBSTITUTE(REGEXEXTRACT(A13441, ""[^-]+- [^-]+- [^-]+ - (.+?)\.jpg""), "".jpg"", """"), ""-"", "", ""), """")"),"")</f>
        <v/>
      </c>
      <c r="L13441" s="12"/>
      <c r="M13441" s="13"/>
      <c r="N13441" s="2"/>
      <c r="O13441" s="20"/>
      <c r="P13441" s="42"/>
      <c r="R13441" s="23"/>
    </row>
    <row r="13442" spans="1:18" ht="12.75">
      <c r="A13442" s="12"/>
      <c r="D13442" s="12"/>
      <c r="E13442" s="12"/>
      <c r="H13442" s="11" t="str">
        <f ca="1">IFERROR(__xludf.DUMMYFUNCTION("IFERROR(SUBSTITUTE(SUBSTITUTE(REGEXEXTRACT(A13442, ""[^-]+- [^-]+- [^-]+ - (.+?)\.jpg""), "".jpg"", """"), ""-"", "", ""), """")"),"")</f>
        <v/>
      </c>
      <c r="L13442" s="12"/>
      <c r="M13442" s="13"/>
      <c r="N13442" s="2"/>
      <c r="O13442" s="20"/>
      <c r="P13442" s="42"/>
      <c r="R13442" s="23"/>
    </row>
    <row r="13443" spans="1:18" ht="12.75">
      <c r="A13443" s="12"/>
      <c r="D13443" s="12"/>
      <c r="E13443" s="12"/>
      <c r="H13443" s="11" t="str">
        <f ca="1">IFERROR(__xludf.DUMMYFUNCTION("IFERROR(SUBSTITUTE(SUBSTITUTE(REGEXEXTRACT(A13443, ""[^-]+- [^-]+- [^-]+ - (.+?)\.jpg""), "".jpg"", """"), ""-"", "", ""), """")"),"")</f>
        <v/>
      </c>
      <c r="L13443" s="12"/>
      <c r="M13443" s="13"/>
      <c r="N13443" s="2"/>
      <c r="O13443" s="20"/>
      <c r="P13443" s="42"/>
      <c r="R13443" s="23"/>
    </row>
    <row r="13444" spans="1:18" ht="12.75">
      <c r="A13444" s="12"/>
      <c r="D13444" s="12"/>
      <c r="E13444" s="12"/>
      <c r="H13444" s="11" t="str">
        <f ca="1">IFERROR(__xludf.DUMMYFUNCTION("IFERROR(SUBSTITUTE(SUBSTITUTE(REGEXEXTRACT(A13444, ""[^-]+- [^-]+- [^-]+ - (.+?)\.jpg""), "".jpg"", """"), ""-"", "", ""), """")"),"")</f>
        <v/>
      </c>
      <c r="L13444" s="12"/>
      <c r="M13444" s="13"/>
      <c r="N13444" s="2"/>
      <c r="O13444" s="20"/>
      <c r="P13444" s="42"/>
      <c r="R13444" s="23"/>
    </row>
    <row r="13445" spans="1:18" ht="12.75">
      <c r="A13445" s="12"/>
      <c r="D13445" s="12"/>
      <c r="E13445" s="12"/>
      <c r="H13445" s="11" t="str">
        <f ca="1">IFERROR(__xludf.DUMMYFUNCTION("IFERROR(SUBSTITUTE(SUBSTITUTE(REGEXEXTRACT(A13445, ""[^-]+- [^-]+- [^-]+ - (.+?)\.jpg""), "".jpg"", """"), ""-"", "", ""), """")"),"")</f>
        <v/>
      </c>
      <c r="L13445" s="12"/>
      <c r="M13445" s="13"/>
      <c r="N13445" s="2"/>
      <c r="O13445" s="20"/>
      <c r="P13445" s="42"/>
      <c r="R13445" s="23"/>
    </row>
    <row r="13446" spans="1:18" ht="12.75">
      <c r="A13446" s="12"/>
      <c r="D13446" s="12"/>
      <c r="E13446" s="12"/>
      <c r="H13446" s="11" t="str">
        <f ca="1">IFERROR(__xludf.DUMMYFUNCTION("IFERROR(SUBSTITUTE(SUBSTITUTE(REGEXEXTRACT(A13446, ""[^-]+- [^-]+- [^-]+ - (.+?)\.jpg""), "".jpg"", """"), ""-"", "", ""), """")"),"")</f>
        <v/>
      </c>
      <c r="L13446" s="12"/>
      <c r="M13446" s="13"/>
      <c r="N13446" s="2"/>
      <c r="O13446" s="20"/>
      <c r="P13446" s="42"/>
      <c r="R13446" s="23"/>
    </row>
    <row r="13447" spans="1:18" ht="12.75">
      <c r="A13447" s="12"/>
      <c r="D13447" s="12"/>
      <c r="E13447" s="12"/>
      <c r="H13447" s="11" t="str">
        <f ca="1">IFERROR(__xludf.DUMMYFUNCTION("IFERROR(SUBSTITUTE(SUBSTITUTE(REGEXEXTRACT(A13447, ""[^-]+- [^-]+- [^-]+ - (.+?)\.jpg""), "".jpg"", """"), ""-"", "", ""), """")"),"")</f>
        <v/>
      </c>
      <c r="L13447" s="12"/>
      <c r="M13447" s="13"/>
      <c r="N13447" s="2"/>
      <c r="O13447" s="20"/>
      <c r="P13447" s="42"/>
      <c r="R13447" s="23"/>
    </row>
    <row r="13448" spans="1:18" ht="12.75">
      <c r="A13448" s="12"/>
      <c r="D13448" s="12"/>
      <c r="E13448" s="12"/>
      <c r="H13448" s="11" t="str">
        <f ca="1">IFERROR(__xludf.DUMMYFUNCTION("IFERROR(SUBSTITUTE(SUBSTITUTE(REGEXEXTRACT(A13448, ""[^-]+- [^-]+- [^-]+ - (.+?)\.jpg""), "".jpg"", """"), ""-"", "", ""), """")"),"")</f>
        <v/>
      </c>
      <c r="L13448" s="12"/>
      <c r="M13448" s="13"/>
      <c r="N13448" s="2"/>
      <c r="O13448" s="20"/>
      <c r="P13448" s="42"/>
      <c r="R13448" s="23"/>
    </row>
    <row r="13449" spans="1:18" ht="12.75">
      <c r="A13449" s="12"/>
      <c r="D13449" s="12"/>
      <c r="E13449" s="12"/>
      <c r="H13449" s="11" t="str">
        <f ca="1">IFERROR(__xludf.DUMMYFUNCTION("IFERROR(SUBSTITUTE(SUBSTITUTE(REGEXEXTRACT(A13449, ""[^-]+- [^-]+- [^-]+ - (.+?)\.jpg""), "".jpg"", """"), ""-"", "", ""), """")"),"")</f>
        <v/>
      </c>
      <c r="L13449" s="12"/>
      <c r="M13449" s="13"/>
      <c r="N13449" s="2"/>
      <c r="O13449" s="20"/>
      <c r="P13449" s="42"/>
      <c r="R13449" s="23"/>
    </row>
    <row r="13450" spans="1:18" ht="12.75">
      <c r="A13450" s="12"/>
      <c r="D13450" s="12"/>
      <c r="E13450" s="12"/>
      <c r="H13450" s="11" t="str">
        <f ca="1">IFERROR(__xludf.DUMMYFUNCTION("IFERROR(SUBSTITUTE(SUBSTITUTE(REGEXEXTRACT(A13450, ""[^-]+- [^-]+- [^-]+ - (.+?)\.jpg""), "".jpg"", """"), ""-"", "", ""), """")"),"")</f>
        <v/>
      </c>
      <c r="L13450" s="12"/>
      <c r="M13450" s="13"/>
      <c r="N13450" s="2"/>
      <c r="O13450" s="20"/>
      <c r="P13450" s="42"/>
      <c r="R13450" s="23"/>
    </row>
    <row r="13451" spans="1:18" ht="12.75">
      <c r="A13451" s="12"/>
      <c r="D13451" s="12"/>
      <c r="E13451" s="12"/>
      <c r="H13451" s="11" t="str">
        <f ca="1">IFERROR(__xludf.DUMMYFUNCTION("IFERROR(SUBSTITUTE(SUBSTITUTE(REGEXEXTRACT(A13451, ""[^-]+- [^-]+- [^-]+ - (.+?)\.jpg""), "".jpg"", """"), ""-"", "", ""), """")"),"")</f>
        <v/>
      </c>
      <c r="L13451" s="12"/>
      <c r="M13451" s="13"/>
      <c r="N13451" s="2"/>
      <c r="O13451" s="20"/>
      <c r="P13451" s="42"/>
      <c r="R13451" s="23"/>
    </row>
    <row r="13452" spans="1:18" ht="12.75">
      <c r="A13452" s="12"/>
      <c r="D13452" s="12"/>
      <c r="E13452" s="12"/>
      <c r="H13452" s="11" t="str">
        <f ca="1">IFERROR(__xludf.DUMMYFUNCTION("IFERROR(SUBSTITUTE(SUBSTITUTE(REGEXEXTRACT(A13452, ""[^-]+- [^-]+- [^-]+ - (.+?)\.jpg""), "".jpg"", """"), ""-"", "", ""), """")"),"")</f>
        <v/>
      </c>
      <c r="L13452" s="12"/>
      <c r="M13452" s="13"/>
      <c r="N13452" s="2"/>
      <c r="O13452" s="20"/>
      <c r="P13452" s="42"/>
      <c r="R13452" s="23"/>
    </row>
    <row r="13453" spans="1:18" ht="12.75">
      <c r="A13453" s="12"/>
      <c r="D13453" s="12"/>
      <c r="E13453" s="12"/>
      <c r="H13453" s="11" t="str">
        <f ca="1">IFERROR(__xludf.DUMMYFUNCTION("IFERROR(SUBSTITUTE(SUBSTITUTE(REGEXEXTRACT(A13453, ""[^-]+- [^-]+- [^-]+ - (.+?)\.jpg""), "".jpg"", """"), ""-"", "", ""), """")"),"")</f>
        <v/>
      </c>
      <c r="L13453" s="12"/>
      <c r="M13453" s="13"/>
      <c r="N13453" s="2"/>
      <c r="O13453" s="20"/>
      <c r="P13453" s="42"/>
      <c r="R13453" s="23"/>
    </row>
    <row r="13454" spans="1:18" ht="12.75">
      <c r="A13454" s="12"/>
      <c r="D13454" s="12"/>
      <c r="E13454" s="12"/>
      <c r="H13454" s="11" t="str">
        <f ca="1">IFERROR(__xludf.DUMMYFUNCTION("IFERROR(SUBSTITUTE(SUBSTITUTE(REGEXEXTRACT(A13454, ""[^-]+- [^-]+- [^-]+ - (.+?)\.jpg""), "".jpg"", """"), ""-"", "", ""), """")"),"")</f>
        <v/>
      </c>
      <c r="L13454" s="12"/>
      <c r="M13454" s="13"/>
      <c r="N13454" s="2"/>
      <c r="O13454" s="20"/>
      <c r="P13454" s="42"/>
      <c r="R13454" s="23"/>
    </row>
    <row r="13455" spans="1:18" ht="12.75">
      <c r="A13455" s="12"/>
      <c r="D13455" s="12"/>
      <c r="E13455" s="12"/>
      <c r="H13455" s="11" t="str">
        <f ca="1">IFERROR(__xludf.DUMMYFUNCTION("IFERROR(SUBSTITUTE(SUBSTITUTE(REGEXEXTRACT(A13455, ""[^-]+- [^-]+- [^-]+ - (.+?)\.jpg""), "".jpg"", """"), ""-"", "", ""), """")"),"")</f>
        <v/>
      </c>
      <c r="L13455" s="12"/>
      <c r="M13455" s="13"/>
      <c r="N13455" s="2"/>
      <c r="O13455" s="20"/>
      <c r="P13455" s="42"/>
      <c r="R13455" s="23"/>
    </row>
    <row r="13456" spans="1:18" ht="12.75">
      <c r="A13456" s="12"/>
      <c r="D13456" s="12"/>
      <c r="E13456" s="12"/>
      <c r="H13456" s="11" t="str">
        <f ca="1">IFERROR(__xludf.DUMMYFUNCTION("IFERROR(SUBSTITUTE(SUBSTITUTE(REGEXEXTRACT(A13456, ""[^-]+- [^-]+- [^-]+ - (.+?)\.jpg""), "".jpg"", """"), ""-"", "", ""), """")"),"")</f>
        <v/>
      </c>
      <c r="L13456" s="12"/>
      <c r="M13456" s="13"/>
      <c r="N13456" s="2"/>
      <c r="O13456" s="20"/>
      <c r="P13456" s="42"/>
      <c r="R13456" s="23"/>
    </row>
    <row r="13457" spans="1:18" ht="12.75">
      <c r="A13457" s="12"/>
      <c r="D13457" s="12"/>
      <c r="E13457" s="12"/>
      <c r="H13457" s="11" t="str">
        <f ca="1">IFERROR(__xludf.DUMMYFUNCTION("IFERROR(SUBSTITUTE(SUBSTITUTE(REGEXEXTRACT(A13457, ""[^-]+- [^-]+- [^-]+ - (.+?)\.jpg""), "".jpg"", """"), ""-"", "", ""), """")"),"")</f>
        <v/>
      </c>
      <c r="L13457" s="12"/>
      <c r="M13457" s="13"/>
      <c r="N13457" s="2"/>
      <c r="O13457" s="20"/>
      <c r="P13457" s="42"/>
      <c r="R13457" s="23"/>
    </row>
    <row r="13458" spans="1:18" ht="12.75">
      <c r="A13458" s="12"/>
      <c r="D13458" s="12"/>
      <c r="E13458" s="12"/>
      <c r="H13458" s="11" t="str">
        <f ca="1">IFERROR(__xludf.DUMMYFUNCTION("IFERROR(SUBSTITUTE(SUBSTITUTE(REGEXEXTRACT(A13458, ""[^-]+- [^-]+- [^-]+ - (.+?)\.jpg""), "".jpg"", """"), ""-"", "", ""), """")"),"")</f>
        <v/>
      </c>
      <c r="L13458" s="12"/>
      <c r="M13458" s="13"/>
      <c r="N13458" s="2"/>
      <c r="O13458" s="20"/>
      <c r="P13458" s="42"/>
      <c r="R13458" s="23"/>
    </row>
    <row r="13459" spans="1:18" ht="12.75">
      <c r="A13459" s="12"/>
      <c r="D13459" s="12"/>
      <c r="E13459" s="12"/>
      <c r="H13459" s="11" t="str">
        <f ca="1">IFERROR(__xludf.DUMMYFUNCTION("IFERROR(SUBSTITUTE(SUBSTITUTE(REGEXEXTRACT(A13459, ""[^-]+- [^-]+- [^-]+ - (.+?)\.jpg""), "".jpg"", """"), ""-"", "", ""), """")"),"")</f>
        <v/>
      </c>
      <c r="L13459" s="12"/>
      <c r="M13459" s="13"/>
      <c r="N13459" s="2"/>
      <c r="O13459" s="20"/>
      <c r="P13459" s="42"/>
      <c r="R13459" s="23"/>
    </row>
    <row r="13460" spans="1:18" ht="12.75">
      <c r="A13460" s="12"/>
      <c r="D13460" s="12"/>
      <c r="E13460" s="12"/>
      <c r="H13460" s="11" t="str">
        <f ca="1">IFERROR(__xludf.DUMMYFUNCTION("IFERROR(SUBSTITUTE(SUBSTITUTE(REGEXEXTRACT(A13460, ""[^-]+- [^-]+- [^-]+ - (.+?)\.jpg""), "".jpg"", """"), ""-"", "", ""), """")"),"")</f>
        <v/>
      </c>
      <c r="L13460" s="12"/>
      <c r="M13460" s="13"/>
      <c r="N13460" s="2"/>
      <c r="O13460" s="20"/>
      <c r="P13460" s="42"/>
      <c r="R13460" s="23"/>
    </row>
    <row r="13461" spans="1:18" ht="12.75">
      <c r="A13461" s="12"/>
      <c r="D13461" s="12"/>
      <c r="E13461" s="12"/>
      <c r="H13461" s="11" t="str">
        <f ca="1">IFERROR(__xludf.DUMMYFUNCTION("IFERROR(SUBSTITUTE(SUBSTITUTE(REGEXEXTRACT(A13461, ""[^-]+- [^-]+- [^-]+ - (.+?)\.jpg""), "".jpg"", """"), ""-"", "", ""), """")"),"")</f>
        <v/>
      </c>
      <c r="L13461" s="12"/>
      <c r="M13461" s="13"/>
      <c r="N13461" s="2"/>
      <c r="O13461" s="20"/>
      <c r="P13461" s="42"/>
      <c r="R13461" s="23"/>
    </row>
    <row r="13462" spans="1:18" ht="12.75">
      <c r="A13462" s="12"/>
      <c r="D13462" s="12"/>
      <c r="E13462" s="12"/>
      <c r="H13462" s="11" t="str">
        <f ca="1">IFERROR(__xludf.DUMMYFUNCTION("IFERROR(SUBSTITUTE(SUBSTITUTE(REGEXEXTRACT(A13462, ""[^-]+- [^-]+- [^-]+ - (.+?)\.jpg""), "".jpg"", """"), ""-"", "", ""), """")"),"")</f>
        <v/>
      </c>
      <c r="L13462" s="12"/>
      <c r="M13462" s="13"/>
      <c r="N13462" s="2"/>
      <c r="O13462" s="20"/>
      <c r="P13462" s="42"/>
      <c r="R13462" s="23"/>
    </row>
    <row r="13463" spans="1:18" ht="12.75">
      <c r="A13463" s="12"/>
      <c r="D13463" s="12"/>
      <c r="E13463" s="12"/>
      <c r="H13463" s="11" t="str">
        <f ca="1">IFERROR(__xludf.DUMMYFUNCTION("IFERROR(SUBSTITUTE(SUBSTITUTE(REGEXEXTRACT(A13463, ""[^-]+- [^-]+- [^-]+ - (.+?)\.jpg""), "".jpg"", """"), ""-"", "", ""), """")"),"")</f>
        <v/>
      </c>
      <c r="L13463" s="12"/>
      <c r="M13463" s="13"/>
      <c r="N13463" s="2"/>
      <c r="O13463" s="20"/>
      <c r="P13463" s="42"/>
      <c r="R13463" s="23"/>
    </row>
    <row r="13464" spans="1:18" ht="12.75">
      <c r="A13464" s="12"/>
      <c r="D13464" s="12"/>
      <c r="E13464" s="12"/>
      <c r="H13464" s="11" t="str">
        <f ca="1">IFERROR(__xludf.DUMMYFUNCTION("IFERROR(SUBSTITUTE(SUBSTITUTE(REGEXEXTRACT(A13464, ""[^-]+- [^-]+- [^-]+ - (.+?)\.jpg""), "".jpg"", """"), ""-"", "", ""), """")"),"")</f>
        <v/>
      </c>
      <c r="L13464" s="12"/>
      <c r="M13464" s="13"/>
      <c r="N13464" s="2"/>
      <c r="O13464" s="20"/>
      <c r="P13464" s="42"/>
      <c r="R13464" s="23"/>
    </row>
    <row r="13465" spans="1:18" ht="12.75">
      <c r="A13465" s="12"/>
      <c r="D13465" s="12"/>
      <c r="E13465" s="12"/>
      <c r="H13465" s="11" t="str">
        <f ca="1">IFERROR(__xludf.DUMMYFUNCTION("IFERROR(SUBSTITUTE(SUBSTITUTE(REGEXEXTRACT(A13465, ""[^-]+- [^-]+- [^-]+ - (.+?)\.jpg""), "".jpg"", """"), ""-"", "", ""), """")"),"")</f>
        <v/>
      </c>
      <c r="L13465" s="12"/>
      <c r="M13465" s="13"/>
      <c r="N13465" s="2"/>
      <c r="O13465" s="20"/>
      <c r="P13465" s="42"/>
      <c r="R13465" s="23"/>
    </row>
    <row r="13466" spans="1:18" ht="12.75">
      <c r="A13466" s="12"/>
      <c r="D13466" s="12"/>
      <c r="E13466" s="12"/>
      <c r="H13466" s="11" t="str">
        <f ca="1">IFERROR(__xludf.DUMMYFUNCTION("IFERROR(SUBSTITUTE(SUBSTITUTE(REGEXEXTRACT(A13466, ""[^-]+- [^-]+- [^-]+ - (.+?)\.jpg""), "".jpg"", """"), ""-"", "", ""), """")"),"")</f>
        <v/>
      </c>
      <c r="L13466" s="12"/>
      <c r="M13466" s="13"/>
      <c r="N13466" s="2"/>
      <c r="O13466" s="20"/>
      <c r="P13466" s="42"/>
      <c r="R13466" s="23"/>
    </row>
    <row r="13467" spans="1:18" ht="12.75">
      <c r="A13467" s="12"/>
      <c r="D13467" s="12"/>
      <c r="E13467" s="12"/>
      <c r="H13467" s="11" t="str">
        <f ca="1">IFERROR(__xludf.DUMMYFUNCTION("IFERROR(SUBSTITUTE(SUBSTITUTE(REGEXEXTRACT(A13467, ""[^-]+- [^-]+- [^-]+ - (.+?)\.jpg""), "".jpg"", """"), ""-"", "", ""), """")"),"")</f>
        <v/>
      </c>
      <c r="L13467" s="12"/>
      <c r="M13467" s="13"/>
      <c r="N13467" s="2"/>
      <c r="O13467" s="20"/>
      <c r="P13467" s="42"/>
      <c r="R13467" s="23"/>
    </row>
    <row r="13468" spans="1:18" ht="12.75">
      <c r="A13468" s="12"/>
      <c r="D13468" s="12"/>
      <c r="E13468" s="12"/>
      <c r="H13468" s="11" t="str">
        <f ca="1">IFERROR(__xludf.DUMMYFUNCTION("IFERROR(SUBSTITUTE(SUBSTITUTE(REGEXEXTRACT(A13468, ""[^-]+- [^-]+- [^-]+ - (.+?)\.jpg""), "".jpg"", """"), ""-"", "", ""), """")"),"")</f>
        <v/>
      </c>
      <c r="L13468" s="12"/>
      <c r="M13468" s="13"/>
      <c r="N13468" s="2"/>
      <c r="O13468" s="20"/>
      <c r="P13468" s="42"/>
      <c r="R13468" s="23"/>
    </row>
    <row r="13469" spans="1:18" ht="12.75">
      <c r="A13469" s="12"/>
      <c r="D13469" s="12"/>
      <c r="E13469" s="12"/>
      <c r="H13469" s="11" t="str">
        <f ca="1">IFERROR(__xludf.DUMMYFUNCTION("IFERROR(SUBSTITUTE(SUBSTITUTE(REGEXEXTRACT(A13469, ""[^-]+- [^-]+- [^-]+ - (.+?)\.jpg""), "".jpg"", """"), ""-"", "", ""), """")"),"")</f>
        <v/>
      </c>
      <c r="L13469" s="12"/>
      <c r="M13469" s="13"/>
      <c r="N13469" s="2"/>
      <c r="O13469" s="20"/>
      <c r="P13469" s="42"/>
      <c r="R13469" s="23"/>
    </row>
    <row r="13470" spans="1:18" ht="12.75">
      <c r="A13470" s="12"/>
      <c r="D13470" s="12"/>
      <c r="E13470" s="12"/>
      <c r="H13470" s="11" t="str">
        <f ca="1">IFERROR(__xludf.DUMMYFUNCTION("IFERROR(SUBSTITUTE(SUBSTITUTE(REGEXEXTRACT(A13470, ""[^-]+- [^-]+- [^-]+ - (.+?)\.jpg""), "".jpg"", """"), ""-"", "", ""), """")"),"")</f>
        <v/>
      </c>
      <c r="L13470" s="12"/>
      <c r="M13470" s="13"/>
      <c r="N13470" s="2"/>
      <c r="O13470" s="20"/>
      <c r="P13470" s="42"/>
      <c r="R13470" s="23"/>
    </row>
    <row r="13471" spans="1:18" ht="12.75">
      <c r="A13471" s="12"/>
      <c r="D13471" s="12"/>
      <c r="E13471" s="12"/>
      <c r="H13471" s="11" t="str">
        <f ca="1">IFERROR(__xludf.DUMMYFUNCTION("IFERROR(SUBSTITUTE(SUBSTITUTE(REGEXEXTRACT(A13471, ""[^-]+- [^-]+- [^-]+ - (.+?)\.jpg""), "".jpg"", """"), ""-"", "", ""), """")"),"")</f>
        <v/>
      </c>
      <c r="L13471" s="12"/>
      <c r="M13471" s="13"/>
      <c r="N13471" s="2"/>
      <c r="O13471" s="20"/>
      <c r="P13471" s="42"/>
      <c r="R13471" s="23"/>
    </row>
    <row r="13472" spans="1:18" ht="12.75">
      <c r="A13472" s="12"/>
      <c r="D13472" s="12"/>
      <c r="E13472" s="12"/>
      <c r="H13472" s="11" t="str">
        <f ca="1">IFERROR(__xludf.DUMMYFUNCTION("IFERROR(SUBSTITUTE(SUBSTITUTE(REGEXEXTRACT(A13472, ""[^-]+- [^-]+- [^-]+ - (.+?)\.jpg""), "".jpg"", """"), ""-"", "", ""), """")"),"")</f>
        <v/>
      </c>
      <c r="L13472" s="12"/>
      <c r="M13472" s="13"/>
      <c r="N13472" s="2"/>
      <c r="O13472" s="20"/>
      <c r="P13472" s="42"/>
      <c r="R13472" s="23"/>
    </row>
    <row r="13473" spans="1:18" ht="12.75">
      <c r="A13473" s="12"/>
      <c r="D13473" s="12"/>
      <c r="E13473" s="12"/>
      <c r="H13473" s="11" t="str">
        <f ca="1">IFERROR(__xludf.DUMMYFUNCTION("IFERROR(SUBSTITUTE(SUBSTITUTE(REGEXEXTRACT(A13473, ""[^-]+- [^-]+- [^-]+ - (.+?)\.jpg""), "".jpg"", """"), ""-"", "", ""), """")"),"")</f>
        <v/>
      </c>
      <c r="L13473" s="12"/>
      <c r="M13473" s="13"/>
      <c r="N13473" s="2"/>
      <c r="O13473" s="20"/>
      <c r="P13473" s="42"/>
      <c r="R13473" s="23"/>
    </row>
    <row r="13474" spans="1:18" ht="12.75">
      <c r="A13474" s="12"/>
      <c r="D13474" s="12"/>
      <c r="E13474" s="12"/>
      <c r="H13474" s="11" t="str">
        <f ca="1">IFERROR(__xludf.DUMMYFUNCTION("IFERROR(SUBSTITUTE(SUBSTITUTE(REGEXEXTRACT(A13474, ""[^-]+- [^-]+- [^-]+ - (.+?)\.jpg""), "".jpg"", """"), ""-"", "", ""), """")"),"")</f>
        <v/>
      </c>
      <c r="L13474" s="12"/>
      <c r="M13474" s="13"/>
      <c r="N13474" s="2"/>
      <c r="O13474" s="20"/>
      <c r="P13474" s="42"/>
      <c r="R13474" s="23"/>
    </row>
    <row r="13475" spans="1:18" ht="12.75">
      <c r="A13475" s="12"/>
      <c r="D13475" s="12"/>
      <c r="E13475" s="12"/>
      <c r="H13475" s="11" t="str">
        <f ca="1">IFERROR(__xludf.DUMMYFUNCTION("IFERROR(SUBSTITUTE(SUBSTITUTE(REGEXEXTRACT(A13475, ""[^-]+- [^-]+- [^-]+ - (.+?)\.jpg""), "".jpg"", """"), ""-"", "", ""), """")"),"")</f>
        <v/>
      </c>
      <c r="L13475" s="12"/>
      <c r="M13475" s="13"/>
      <c r="N13475" s="2"/>
      <c r="O13475" s="20"/>
      <c r="P13475" s="42"/>
      <c r="R13475" s="23"/>
    </row>
    <row r="13476" spans="1:18" ht="12.75">
      <c r="A13476" s="12"/>
      <c r="D13476" s="12"/>
      <c r="E13476" s="12"/>
      <c r="H13476" s="11" t="str">
        <f ca="1">IFERROR(__xludf.DUMMYFUNCTION("IFERROR(SUBSTITUTE(SUBSTITUTE(REGEXEXTRACT(A13476, ""[^-]+- [^-]+- [^-]+ - (.+?)\.jpg""), "".jpg"", """"), ""-"", "", ""), """")"),"")</f>
        <v/>
      </c>
      <c r="L13476" s="12"/>
      <c r="M13476" s="13"/>
      <c r="N13476" s="2"/>
      <c r="O13476" s="20"/>
      <c r="P13476" s="42"/>
      <c r="R13476" s="23"/>
    </row>
    <row r="13477" spans="1:18" ht="12.75">
      <c r="A13477" s="12"/>
      <c r="D13477" s="12"/>
      <c r="E13477" s="12"/>
      <c r="H13477" s="11" t="str">
        <f ca="1">IFERROR(__xludf.DUMMYFUNCTION("IFERROR(SUBSTITUTE(SUBSTITUTE(REGEXEXTRACT(A13477, ""[^-]+- [^-]+- [^-]+ - (.+?)\.jpg""), "".jpg"", """"), ""-"", "", ""), """")"),"")</f>
        <v/>
      </c>
      <c r="L13477" s="12"/>
      <c r="M13477" s="13"/>
      <c r="N13477" s="2"/>
      <c r="O13477" s="20"/>
      <c r="P13477" s="42"/>
      <c r="R13477" s="23"/>
    </row>
    <row r="13478" spans="1:18" ht="12.75">
      <c r="A13478" s="12"/>
      <c r="D13478" s="12"/>
      <c r="E13478" s="12"/>
      <c r="H13478" s="11" t="str">
        <f ca="1">IFERROR(__xludf.DUMMYFUNCTION("IFERROR(SUBSTITUTE(SUBSTITUTE(REGEXEXTRACT(A13478, ""[^-]+- [^-]+- [^-]+ - (.+?)\.jpg""), "".jpg"", """"), ""-"", "", ""), """")"),"")</f>
        <v/>
      </c>
      <c r="L13478" s="12"/>
      <c r="M13478" s="13"/>
      <c r="N13478" s="2"/>
      <c r="O13478" s="20"/>
      <c r="P13478" s="42"/>
      <c r="R13478" s="23"/>
    </row>
    <row r="13479" spans="1:18" ht="12.75">
      <c r="A13479" s="12"/>
      <c r="D13479" s="12"/>
      <c r="E13479" s="12"/>
      <c r="H13479" s="11" t="str">
        <f ca="1">IFERROR(__xludf.DUMMYFUNCTION("IFERROR(SUBSTITUTE(SUBSTITUTE(REGEXEXTRACT(A13479, ""[^-]+- [^-]+- [^-]+ - (.+?)\.jpg""), "".jpg"", """"), ""-"", "", ""), """")"),"")</f>
        <v/>
      </c>
      <c r="L13479" s="12"/>
      <c r="M13479" s="13"/>
      <c r="N13479" s="2"/>
      <c r="O13479" s="20"/>
      <c r="P13479" s="42"/>
      <c r="R13479" s="23"/>
    </row>
    <row r="13480" spans="1:18" ht="12.75">
      <c r="A13480" s="12"/>
      <c r="D13480" s="12"/>
      <c r="E13480" s="12"/>
      <c r="H13480" s="11" t="str">
        <f ca="1">IFERROR(__xludf.DUMMYFUNCTION("IFERROR(SUBSTITUTE(SUBSTITUTE(REGEXEXTRACT(A13480, ""[^-]+- [^-]+- [^-]+ - (.+?)\.jpg""), "".jpg"", """"), ""-"", "", ""), """")"),"")</f>
        <v/>
      </c>
      <c r="L13480" s="12"/>
      <c r="M13480" s="13"/>
      <c r="N13480" s="2"/>
      <c r="O13480" s="20"/>
      <c r="P13480" s="42"/>
      <c r="R13480" s="23"/>
    </row>
    <row r="13481" spans="1:18" ht="12.75">
      <c r="A13481" s="12"/>
      <c r="D13481" s="12"/>
      <c r="E13481" s="12"/>
      <c r="H13481" s="11" t="str">
        <f ca="1">IFERROR(__xludf.DUMMYFUNCTION("IFERROR(SUBSTITUTE(SUBSTITUTE(REGEXEXTRACT(A13481, ""[^-]+- [^-]+- [^-]+ - (.+?)\.jpg""), "".jpg"", """"), ""-"", "", ""), """")"),"")</f>
        <v/>
      </c>
      <c r="L13481" s="12"/>
      <c r="M13481" s="13"/>
      <c r="N13481" s="2"/>
      <c r="O13481" s="20"/>
      <c r="P13481" s="42"/>
      <c r="R13481" s="23"/>
    </row>
    <row r="13482" spans="1:18" ht="12.75">
      <c r="A13482" s="12"/>
      <c r="D13482" s="12"/>
      <c r="E13482" s="12"/>
      <c r="H13482" s="11" t="str">
        <f ca="1">IFERROR(__xludf.DUMMYFUNCTION("IFERROR(SUBSTITUTE(SUBSTITUTE(REGEXEXTRACT(A13482, ""[^-]+- [^-]+- [^-]+ - (.+?)\.jpg""), "".jpg"", """"), ""-"", "", ""), """")"),"")</f>
        <v/>
      </c>
      <c r="L13482" s="12"/>
      <c r="M13482" s="13"/>
      <c r="N13482" s="2"/>
      <c r="O13482" s="20"/>
      <c r="P13482" s="42"/>
      <c r="R13482" s="23"/>
    </row>
    <row r="13483" spans="1:18" ht="12.75">
      <c r="A13483" s="12"/>
      <c r="D13483" s="12"/>
      <c r="E13483" s="12"/>
      <c r="H13483" s="11" t="str">
        <f ca="1">IFERROR(__xludf.DUMMYFUNCTION("IFERROR(SUBSTITUTE(SUBSTITUTE(REGEXEXTRACT(A13483, ""[^-]+- [^-]+- [^-]+ - (.+?)\.jpg""), "".jpg"", """"), ""-"", "", ""), """")"),"")</f>
        <v/>
      </c>
      <c r="L13483" s="12"/>
      <c r="M13483" s="13"/>
      <c r="N13483" s="2"/>
      <c r="O13483" s="20"/>
      <c r="P13483" s="42"/>
      <c r="R13483" s="23"/>
    </row>
    <row r="13484" spans="1:18" ht="12.75">
      <c r="A13484" s="12"/>
      <c r="D13484" s="12"/>
      <c r="E13484" s="12"/>
      <c r="H13484" s="11" t="str">
        <f ca="1">IFERROR(__xludf.DUMMYFUNCTION("IFERROR(SUBSTITUTE(SUBSTITUTE(REGEXEXTRACT(A13484, ""[^-]+- [^-]+- [^-]+ - (.+?)\.jpg""), "".jpg"", """"), ""-"", "", ""), """")"),"")</f>
        <v/>
      </c>
      <c r="L13484" s="12"/>
      <c r="M13484" s="13"/>
      <c r="N13484" s="2"/>
      <c r="O13484" s="20"/>
      <c r="P13484" s="42"/>
      <c r="R13484" s="23"/>
    </row>
    <row r="13485" spans="1:18" ht="12.75">
      <c r="A13485" s="12"/>
      <c r="D13485" s="12"/>
      <c r="E13485" s="12"/>
      <c r="H13485" s="11" t="str">
        <f ca="1">IFERROR(__xludf.DUMMYFUNCTION("IFERROR(SUBSTITUTE(SUBSTITUTE(REGEXEXTRACT(A13485, ""[^-]+- [^-]+- [^-]+ - (.+?)\.jpg""), "".jpg"", """"), ""-"", "", ""), """")"),"")</f>
        <v/>
      </c>
      <c r="L13485" s="12"/>
      <c r="M13485" s="13"/>
      <c r="N13485" s="2"/>
      <c r="O13485" s="20"/>
      <c r="P13485" s="42"/>
      <c r="R13485" s="23"/>
    </row>
    <row r="13486" spans="1:18" ht="12.75">
      <c r="A13486" s="12"/>
      <c r="D13486" s="12"/>
      <c r="E13486" s="12"/>
      <c r="H13486" s="11" t="str">
        <f ca="1">IFERROR(__xludf.DUMMYFUNCTION("IFERROR(SUBSTITUTE(SUBSTITUTE(REGEXEXTRACT(A13486, ""[^-]+- [^-]+- [^-]+ - (.+?)\.jpg""), "".jpg"", """"), ""-"", "", ""), """")"),"")</f>
        <v/>
      </c>
      <c r="L13486" s="12"/>
      <c r="M13486" s="13"/>
      <c r="N13486" s="2"/>
      <c r="O13486" s="20"/>
      <c r="P13486" s="42"/>
      <c r="R13486" s="23"/>
    </row>
    <row r="13487" spans="1:18" ht="12.75">
      <c r="A13487" s="12"/>
      <c r="D13487" s="12"/>
      <c r="E13487" s="12"/>
      <c r="H13487" s="11" t="str">
        <f ca="1">IFERROR(__xludf.DUMMYFUNCTION("IFERROR(SUBSTITUTE(SUBSTITUTE(REGEXEXTRACT(A13487, ""[^-]+- [^-]+- [^-]+ - (.+?)\.jpg""), "".jpg"", """"), ""-"", "", ""), """")"),"")</f>
        <v/>
      </c>
      <c r="L13487" s="12"/>
      <c r="M13487" s="13"/>
      <c r="N13487" s="2"/>
      <c r="O13487" s="20"/>
      <c r="P13487" s="42"/>
      <c r="R13487" s="23"/>
    </row>
    <row r="13488" spans="1:18" ht="12.75">
      <c r="A13488" s="12"/>
      <c r="D13488" s="12"/>
      <c r="E13488" s="12"/>
      <c r="H13488" s="11" t="str">
        <f ca="1">IFERROR(__xludf.DUMMYFUNCTION("IFERROR(SUBSTITUTE(SUBSTITUTE(REGEXEXTRACT(A13488, ""[^-]+- [^-]+- [^-]+ - (.+?)\.jpg""), "".jpg"", """"), ""-"", "", ""), """")"),"")</f>
        <v/>
      </c>
      <c r="L13488" s="12"/>
      <c r="M13488" s="13"/>
      <c r="N13488" s="2"/>
      <c r="O13488" s="20"/>
      <c r="P13488" s="42"/>
      <c r="R13488" s="23"/>
    </row>
    <row r="13489" spans="1:18" ht="12.75">
      <c r="A13489" s="12"/>
      <c r="D13489" s="12"/>
      <c r="E13489" s="12"/>
      <c r="H13489" s="11" t="str">
        <f ca="1">IFERROR(__xludf.DUMMYFUNCTION("IFERROR(SUBSTITUTE(SUBSTITUTE(REGEXEXTRACT(A13489, ""[^-]+- [^-]+- [^-]+ - (.+?)\.jpg""), "".jpg"", """"), ""-"", "", ""), """")"),"")</f>
        <v/>
      </c>
      <c r="L13489" s="12"/>
      <c r="M13489" s="13"/>
      <c r="N13489" s="2"/>
      <c r="O13489" s="20"/>
      <c r="P13489" s="42"/>
      <c r="R13489" s="23"/>
    </row>
    <row r="13490" spans="1:18" ht="12.75">
      <c r="A13490" s="12"/>
      <c r="D13490" s="12"/>
      <c r="E13490" s="12"/>
      <c r="H13490" s="11" t="str">
        <f ca="1">IFERROR(__xludf.DUMMYFUNCTION("IFERROR(SUBSTITUTE(SUBSTITUTE(REGEXEXTRACT(A13490, ""[^-]+- [^-]+- [^-]+ - (.+?)\.jpg""), "".jpg"", """"), ""-"", "", ""), """")"),"")</f>
        <v/>
      </c>
      <c r="L13490" s="12"/>
      <c r="M13490" s="13"/>
      <c r="N13490" s="2"/>
      <c r="O13490" s="20"/>
      <c r="P13490" s="42"/>
      <c r="R13490" s="23"/>
    </row>
    <row r="13491" spans="1:18" ht="12.75">
      <c r="A13491" s="12"/>
      <c r="D13491" s="12"/>
      <c r="E13491" s="12"/>
      <c r="H13491" s="11" t="str">
        <f ca="1">IFERROR(__xludf.DUMMYFUNCTION("IFERROR(SUBSTITUTE(SUBSTITUTE(REGEXEXTRACT(A13491, ""[^-]+- [^-]+- [^-]+ - (.+?)\.jpg""), "".jpg"", """"), ""-"", "", ""), """")"),"")</f>
        <v/>
      </c>
      <c r="L13491" s="12"/>
      <c r="M13491" s="13"/>
      <c r="N13491" s="2"/>
      <c r="O13491" s="20"/>
      <c r="P13491" s="42"/>
      <c r="R13491" s="23"/>
    </row>
    <row r="13492" spans="1:18" ht="12.75">
      <c r="A13492" s="12"/>
      <c r="D13492" s="12"/>
      <c r="E13492" s="12"/>
      <c r="H13492" s="11" t="str">
        <f ca="1">IFERROR(__xludf.DUMMYFUNCTION("IFERROR(SUBSTITUTE(SUBSTITUTE(REGEXEXTRACT(A13492, ""[^-]+- [^-]+- [^-]+ - (.+?)\.jpg""), "".jpg"", """"), ""-"", "", ""), """")"),"")</f>
        <v/>
      </c>
      <c r="L13492" s="12"/>
      <c r="M13492" s="13"/>
      <c r="N13492" s="2"/>
      <c r="O13492" s="20"/>
      <c r="P13492" s="42"/>
      <c r="R13492" s="23"/>
    </row>
    <row r="13493" spans="1:18" ht="12.75">
      <c r="A13493" s="12"/>
      <c r="D13493" s="12"/>
      <c r="E13493" s="12"/>
      <c r="H13493" s="11" t="str">
        <f ca="1">IFERROR(__xludf.DUMMYFUNCTION("IFERROR(SUBSTITUTE(SUBSTITUTE(REGEXEXTRACT(A13493, ""[^-]+- [^-]+- [^-]+ - (.+?)\.jpg""), "".jpg"", """"), ""-"", "", ""), """")"),"")</f>
        <v/>
      </c>
      <c r="L13493" s="12"/>
      <c r="M13493" s="13"/>
      <c r="N13493" s="2"/>
      <c r="O13493" s="20"/>
      <c r="P13493" s="42"/>
      <c r="R13493" s="23"/>
    </row>
    <row r="13494" spans="1:18" ht="12.75">
      <c r="A13494" s="12"/>
      <c r="D13494" s="12"/>
      <c r="E13494" s="12"/>
      <c r="H13494" s="11" t="str">
        <f ca="1">IFERROR(__xludf.DUMMYFUNCTION("IFERROR(SUBSTITUTE(SUBSTITUTE(REGEXEXTRACT(A13494, ""[^-]+- [^-]+- [^-]+ - (.+?)\.jpg""), "".jpg"", """"), ""-"", "", ""), """")"),"")</f>
        <v/>
      </c>
      <c r="L13494" s="12"/>
      <c r="M13494" s="13"/>
      <c r="N13494" s="2"/>
      <c r="O13494" s="20"/>
      <c r="P13494" s="42"/>
      <c r="R13494" s="23"/>
    </row>
    <row r="13495" spans="1:18" ht="12.75">
      <c r="A13495" s="12"/>
      <c r="D13495" s="12"/>
      <c r="E13495" s="12"/>
      <c r="H13495" s="11" t="str">
        <f ca="1">IFERROR(__xludf.DUMMYFUNCTION("IFERROR(SUBSTITUTE(SUBSTITUTE(REGEXEXTRACT(A13495, ""[^-]+- [^-]+- [^-]+ - (.+?)\.jpg""), "".jpg"", """"), ""-"", "", ""), """")"),"")</f>
        <v/>
      </c>
      <c r="L13495" s="12"/>
      <c r="M13495" s="13"/>
      <c r="N13495" s="2"/>
      <c r="O13495" s="20"/>
      <c r="P13495" s="42"/>
      <c r="R13495" s="23"/>
    </row>
    <row r="13496" spans="1:18" ht="12.75">
      <c r="A13496" s="12"/>
      <c r="D13496" s="12"/>
      <c r="E13496" s="12"/>
      <c r="H13496" s="11" t="str">
        <f ca="1">IFERROR(__xludf.DUMMYFUNCTION("IFERROR(SUBSTITUTE(SUBSTITUTE(REGEXEXTRACT(A13496, ""[^-]+- [^-]+- [^-]+ - (.+?)\.jpg""), "".jpg"", """"), ""-"", "", ""), """")"),"")</f>
        <v/>
      </c>
      <c r="L13496" s="12"/>
      <c r="M13496" s="13"/>
      <c r="N13496" s="2"/>
      <c r="O13496" s="20"/>
      <c r="P13496" s="42"/>
      <c r="R13496" s="23"/>
    </row>
    <row r="13497" spans="1:18" ht="12.75">
      <c r="A13497" s="12"/>
      <c r="D13497" s="12"/>
      <c r="E13497" s="12"/>
      <c r="H13497" s="11" t="str">
        <f ca="1">IFERROR(__xludf.DUMMYFUNCTION("IFERROR(SUBSTITUTE(SUBSTITUTE(REGEXEXTRACT(A13497, ""[^-]+- [^-]+- [^-]+ - (.+?)\.jpg""), "".jpg"", """"), ""-"", "", ""), """")"),"")</f>
        <v/>
      </c>
      <c r="L13497" s="12"/>
      <c r="M13497" s="13"/>
      <c r="N13497" s="2"/>
      <c r="O13497" s="20"/>
      <c r="P13497" s="42"/>
      <c r="R13497" s="23"/>
    </row>
    <row r="13498" spans="1:18" ht="12.75">
      <c r="A13498" s="12"/>
      <c r="D13498" s="12"/>
      <c r="E13498" s="12"/>
      <c r="H13498" s="11" t="str">
        <f ca="1">IFERROR(__xludf.DUMMYFUNCTION("IFERROR(SUBSTITUTE(SUBSTITUTE(REGEXEXTRACT(A13498, ""[^-]+- [^-]+- [^-]+ - (.+?)\.jpg""), "".jpg"", """"), ""-"", "", ""), """")"),"")</f>
        <v/>
      </c>
      <c r="L13498" s="12"/>
      <c r="M13498" s="13"/>
      <c r="N13498" s="2"/>
      <c r="O13498" s="20"/>
      <c r="P13498" s="42"/>
      <c r="R13498" s="23"/>
    </row>
    <row r="13499" spans="1:18" ht="12.75">
      <c r="A13499" s="12"/>
      <c r="D13499" s="12"/>
      <c r="E13499" s="12"/>
      <c r="H13499" s="11" t="str">
        <f ca="1">IFERROR(__xludf.DUMMYFUNCTION("IFERROR(SUBSTITUTE(SUBSTITUTE(REGEXEXTRACT(A13499, ""[^-]+- [^-]+- [^-]+ - (.+?)\.jpg""), "".jpg"", """"), ""-"", "", ""), """")"),"")</f>
        <v/>
      </c>
      <c r="L13499" s="12"/>
      <c r="M13499" s="13"/>
      <c r="N13499" s="2"/>
      <c r="O13499" s="20"/>
      <c r="P13499" s="42"/>
      <c r="R13499" s="23"/>
    </row>
    <row r="13500" spans="1:18" ht="12.75">
      <c r="A13500" s="12"/>
      <c r="D13500" s="12"/>
      <c r="E13500" s="12"/>
      <c r="H13500" s="11" t="str">
        <f ca="1">IFERROR(__xludf.DUMMYFUNCTION("IFERROR(SUBSTITUTE(SUBSTITUTE(REGEXEXTRACT(A13500, ""[^-]+- [^-]+- [^-]+ - (.+?)\.jpg""), "".jpg"", """"), ""-"", "", ""), """")"),"")</f>
        <v/>
      </c>
      <c r="L13500" s="12"/>
      <c r="M13500" s="13"/>
      <c r="N13500" s="2"/>
      <c r="O13500" s="20"/>
      <c r="P13500" s="42"/>
      <c r="R13500" s="23"/>
    </row>
    <row r="13501" spans="1:18" ht="12.75">
      <c r="A13501" s="12"/>
      <c r="D13501" s="12"/>
      <c r="E13501" s="12"/>
      <c r="H13501" s="11" t="str">
        <f ca="1">IFERROR(__xludf.DUMMYFUNCTION("IFERROR(SUBSTITUTE(SUBSTITUTE(REGEXEXTRACT(A13501, ""[^-]+- [^-]+- [^-]+ - (.+?)\.jpg""), "".jpg"", """"), ""-"", "", ""), """")"),"")</f>
        <v/>
      </c>
      <c r="L13501" s="12"/>
      <c r="M13501" s="13"/>
      <c r="N13501" s="2"/>
      <c r="O13501" s="20"/>
      <c r="P13501" s="42"/>
      <c r="R13501" s="23"/>
    </row>
    <row r="13502" spans="1:18" ht="12.75">
      <c r="A13502" s="12"/>
      <c r="D13502" s="12"/>
      <c r="E13502" s="12"/>
      <c r="H13502" s="11" t="str">
        <f ca="1">IFERROR(__xludf.DUMMYFUNCTION("IFERROR(SUBSTITUTE(SUBSTITUTE(REGEXEXTRACT(A13502, ""[^-]+- [^-]+- [^-]+ - (.+?)\.jpg""), "".jpg"", """"), ""-"", "", ""), """")"),"")</f>
        <v/>
      </c>
      <c r="L13502" s="12"/>
      <c r="M13502" s="13"/>
      <c r="N13502" s="2"/>
      <c r="O13502" s="20"/>
      <c r="P13502" s="42"/>
      <c r="R13502" s="23"/>
    </row>
    <row r="13503" spans="1:18" ht="12.75">
      <c r="A13503" s="12"/>
      <c r="D13503" s="12"/>
      <c r="E13503" s="12"/>
      <c r="H13503" s="11" t="str">
        <f ca="1">IFERROR(__xludf.DUMMYFUNCTION("IFERROR(SUBSTITUTE(SUBSTITUTE(REGEXEXTRACT(A13503, ""[^-]+- [^-]+- [^-]+ - (.+?)\.jpg""), "".jpg"", """"), ""-"", "", ""), """")"),"")</f>
        <v/>
      </c>
      <c r="L13503" s="12"/>
      <c r="M13503" s="13"/>
      <c r="N13503" s="2"/>
      <c r="O13503" s="20"/>
      <c r="P13503" s="42"/>
      <c r="R13503" s="23"/>
    </row>
    <row r="13504" spans="1:18" ht="12.75">
      <c r="A13504" s="12"/>
      <c r="D13504" s="12"/>
      <c r="E13504" s="12"/>
      <c r="H13504" s="11" t="str">
        <f ca="1">IFERROR(__xludf.DUMMYFUNCTION("IFERROR(SUBSTITUTE(SUBSTITUTE(REGEXEXTRACT(A13504, ""[^-]+- [^-]+- [^-]+ - (.+?)\.jpg""), "".jpg"", """"), ""-"", "", ""), """")"),"")</f>
        <v/>
      </c>
      <c r="L13504" s="12"/>
      <c r="M13504" s="13"/>
      <c r="N13504" s="2"/>
      <c r="O13504" s="20"/>
      <c r="P13504" s="42"/>
      <c r="R13504" s="23"/>
    </row>
    <row r="13505" spans="1:18" ht="12.75">
      <c r="A13505" s="12"/>
      <c r="D13505" s="12"/>
      <c r="E13505" s="12"/>
      <c r="H13505" s="11" t="str">
        <f ca="1">IFERROR(__xludf.DUMMYFUNCTION("IFERROR(SUBSTITUTE(SUBSTITUTE(REGEXEXTRACT(A13505, ""[^-]+- [^-]+- [^-]+ - (.+?)\.jpg""), "".jpg"", """"), ""-"", "", ""), """")"),"")</f>
        <v/>
      </c>
      <c r="L13505" s="12"/>
      <c r="M13505" s="13"/>
      <c r="N13505" s="2"/>
      <c r="O13505" s="20"/>
      <c r="P13505" s="42"/>
      <c r="R13505" s="23"/>
    </row>
    <row r="13506" spans="1:18" ht="12.75">
      <c r="A13506" s="12"/>
      <c r="D13506" s="12"/>
      <c r="E13506" s="12"/>
      <c r="H13506" s="11" t="str">
        <f ca="1">IFERROR(__xludf.DUMMYFUNCTION("IFERROR(SUBSTITUTE(SUBSTITUTE(REGEXEXTRACT(A13506, ""[^-]+- [^-]+- [^-]+ - (.+?)\.jpg""), "".jpg"", """"), ""-"", "", ""), """")"),"")</f>
        <v/>
      </c>
      <c r="L13506" s="12"/>
      <c r="M13506" s="13"/>
      <c r="N13506" s="2"/>
      <c r="O13506" s="20"/>
      <c r="P13506" s="42"/>
      <c r="R13506" s="23"/>
    </row>
    <row r="13507" spans="1:18" ht="12.75">
      <c r="A13507" s="12"/>
      <c r="D13507" s="12"/>
      <c r="E13507" s="12"/>
      <c r="H13507" s="11" t="str">
        <f ca="1">IFERROR(__xludf.DUMMYFUNCTION("IFERROR(SUBSTITUTE(SUBSTITUTE(REGEXEXTRACT(A13507, ""[^-]+- [^-]+- [^-]+ - (.+?)\.jpg""), "".jpg"", """"), ""-"", "", ""), """")"),"")</f>
        <v/>
      </c>
      <c r="L13507" s="12"/>
      <c r="M13507" s="13"/>
      <c r="N13507" s="2"/>
      <c r="O13507" s="20"/>
      <c r="P13507" s="42"/>
      <c r="R13507" s="23"/>
    </row>
    <row r="13508" spans="1:18" ht="12.75">
      <c r="A13508" s="12"/>
      <c r="D13508" s="12"/>
      <c r="E13508" s="12"/>
      <c r="H13508" s="11" t="str">
        <f ca="1">IFERROR(__xludf.DUMMYFUNCTION("IFERROR(SUBSTITUTE(SUBSTITUTE(REGEXEXTRACT(A13508, ""[^-]+- [^-]+- [^-]+ - (.+?)\.jpg""), "".jpg"", """"), ""-"", "", ""), """")"),"")</f>
        <v/>
      </c>
      <c r="L13508" s="12"/>
      <c r="M13508" s="13"/>
      <c r="N13508" s="2"/>
      <c r="O13508" s="20"/>
      <c r="P13508" s="42"/>
      <c r="R13508" s="23"/>
    </row>
    <row r="13509" spans="1:18" ht="12.75">
      <c r="A13509" s="12"/>
      <c r="D13509" s="12"/>
      <c r="E13509" s="12"/>
      <c r="H13509" s="11" t="str">
        <f ca="1">IFERROR(__xludf.DUMMYFUNCTION("IFERROR(SUBSTITUTE(SUBSTITUTE(REGEXEXTRACT(A13509, ""[^-]+- [^-]+- [^-]+ - (.+?)\.jpg""), "".jpg"", """"), ""-"", "", ""), """")"),"")</f>
        <v/>
      </c>
      <c r="L13509" s="12"/>
      <c r="M13509" s="13"/>
      <c r="N13509" s="2"/>
      <c r="O13509" s="20"/>
      <c r="P13509" s="42"/>
      <c r="R13509" s="23"/>
    </row>
    <row r="13510" spans="1:18" ht="12.75">
      <c r="A13510" s="12"/>
      <c r="D13510" s="12"/>
      <c r="E13510" s="12"/>
      <c r="H13510" s="11" t="str">
        <f ca="1">IFERROR(__xludf.DUMMYFUNCTION("IFERROR(SUBSTITUTE(SUBSTITUTE(REGEXEXTRACT(A13510, ""[^-]+- [^-]+- [^-]+ - (.+?)\.jpg""), "".jpg"", """"), ""-"", "", ""), """")"),"")</f>
        <v/>
      </c>
      <c r="L13510" s="12"/>
      <c r="M13510" s="13"/>
      <c r="N13510" s="2"/>
      <c r="O13510" s="20"/>
      <c r="P13510" s="42"/>
      <c r="R13510" s="23"/>
    </row>
    <row r="13511" spans="1:18" ht="12.75">
      <c r="A13511" s="12"/>
      <c r="D13511" s="12"/>
      <c r="E13511" s="12"/>
      <c r="H13511" s="11" t="str">
        <f ca="1">IFERROR(__xludf.DUMMYFUNCTION("IFERROR(SUBSTITUTE(SUBSTITUTE(REGEXEXTRACT(A13511, ""[^-]+- [^-]+- [^-]+ - (.+?)\.jpg""), "".jpg"", """"), ""-"", "", ""), """")"),"")</f>
        <v/>
      </c>
      <c r="L13511" s="12"/>
      <c r="M13511" s="13"/>
      <c r="N13511" s="2"/>
      <c r="O13511" s="20"/>
      <c r="P13511" s="42"/>
      <c r="R13511" s="23"/>
    </row>
    <row r="13512" spans="1:18" ht="12.75">
      <c r="A13512" s="12"/>
      <c r="D13512" s="12"/>
      <c r="E13512" s="12"/>
      <c r="H13512" s="11" t="str">
        <f ca="1">IFERROR(__xludf.DUMMYFUNCTION("IFERROR(SUBSTITUTE(SUBSTITUTE(REGEXEXTRACT(A13512, ""[^-]+- [^-]+- [^-]+ - (.+?)\.jpg""), "".jpg"", """"), ""-"", "", ""), """")"),"")</f>
        <v/>
      </c>
      <c r="L13512" s="12"/>
      <c r="M13512" s="13"/>
      <c r="N13512" s="2"/>
      <c r="O13512" s="20"/>
      <c r="P13512" s="42"/>
      <c r="R13512" s="23"/>
    </row>
    <row r="13513" spans="1:18" ht="12.75">
      <c r="A13513" s="12"/>
      <c r="D13513" s="12"/>
      <c r="E13513" s="12"/>
      <c r="H13513" s="11" t="str">
        <f ca="1">IFERROR(__xludf.DUMMYFUNCTION("IFERROR(SUBSTITUTE(SUBSTITUTE(REGEXEXTRACT(A13513, ""[^-]+- [^-]+- [^-]+ - (.+?)\.jpg""), "".jpg"", """"), ""-"", "", ""), """")"),"")</f>
        <v/>
      </c>
      <c r="L13513" s="12"/>
      <c r="M13513" s="13"/>
      <c r="N13513" s="2"/>
      <c r="O13513" s="20"/>
      <c r="P13513" s="42"/>
      <c r="R13513" s="23"/>
    </row>
    <row r="13514" spans="1:18" ht="12.75">
      <c r="A13514" s="12"/>
      <c r="D13514" s="12"/>
      <c r="E13514" s="12"/>
      <c r="H13514" s="11" t="str">
        <f ca="1">IFERROR(__xludf.DUMMYFUNCTION("IFERROR(SUBSTITUTE(SUBSTITUTE(REGEXEXTRACT(A13514, ""[^-]+- [^-]+- [^-]+ - (.+?)\.jpg""), "".jpg"", """"), ""-"", "", ""), """")"),"")</f>
        <v/>
      </c>
      <c r="L13514" s="12"/>
      <c r="M13514" s="13"/>
      <c r="N13514" s="2"/>
      <c r="O13514" s="20"/>
      <c r="P13514" s="42"/>
      <c r="R13514" s="23"/>
    </row>
    <row r="13515" spans="1:18" ht="12.75">
      <c r="A13515" s="12"/>
      <c r="D13515" s="12"/>
      <c r="E13515" s="12"/>
      <c r="H13515" s="11" t="str">
        <f ca="1">IFERROR(__xludf.DUMMYFUNCTION("IFERROR(SUBSTITUTE(SUBSTITUTE(REGEXEXTRACT(A13515, ""[^-]+- [^-]+- [^-]+ - (.+?)\.jpg""), "".jpg"", """"), ""-"", "", ""), """")"),"")</f>
        <v/>
      </c>
      <c r="L13515" s="12"/>
      <c r="M13515" s="13"/>
      <c r="N13515" s="2"/>
      <c r="O13515" s="20"/>
      <c r="P13515" s="42"/>
      <c r="R13515" s="23"/>
    </row>
    <row r="13516" spans="1:18" ht="12.75">
      <c r="A13516" s="12"/>
      <c r="D13516" s="12"/>
      <c r="E13516" s="12"/>
      <c r="H13516" s="11" t="str">
        <f ca="1">IFERROR(__xludf.DUMMYFUNCTION("IFERROR(SUBSTITUTE(SUBSTITUTE(REGEXEXTRACT(A13516, ""[^-]+- [^-]+- [^-]+ - (.+?)\.jpg""), "".jpg"", """"), ""-"", "", ""), """")"),"")</f>
        <v/>
      </c>
      <c r="L13516" s="12"/>
      <c r="M13516" s="13"/>
      <c r="N13516" s="2"/>
      <c r="O13516" s="20"/>
      <c r="P13516" s="42"/>
      <c r="R13516" s="23"/>
    </row>
    <row r="13517" spans="1:18" ht="12.75">
      <c r="A13517" s="12"/>
      <c r="D13517" s="12"/>
      <c r="E13517" s="12"/>
      <c r="H13517" s="11" t="str">
        <f ca="1">IFERROR(__xludf.DUMMYFUNCTION("IFERROR(SUBSTITUTE(SUBSTITUTE(REGEXEXTRACT(A13517, ""[^-]+- [^-]+- [^-]+ - (.+?)\.jpg""), "".jpg"", """"), ""-"", "", ""), """")"),"")</f>
        <v/>
      </c>
      <c r="L13517" s="12"/>
      <c r="M13517" s="13"/>
      <c r="N13517" s="2"/>
      <c r="O13517" s="20"/>
      <c r="P13517" s="42"/>
      <c r="R13517" s="23"/>
    </row>
    <row r="13518" spans="1:18" ht="12.75">
      <c r="A13518" s="12"/>
      <c r="D13518" s="12"/>
      <c r="E13518" s="12"/>
      <c r="H13518" s="11" t="str">
        <f ca="1">IFERROR(__xludf.DUMMYFUNCTION("IFERROR(SUBSTITUTE(SUBSTITUTE(REGEXEXTRACT(A13518, ""[^-]+- [^-]+- [^-]+ - (.+?)\.jpg""), "".jpg"", """"), ""-"", "", ""), """")"),"")</f>
        <v/>
      </c>
      <c r="L13518" s="12"/>
      <c r="M13518" s="13"/>
      <c r="N13518" s="2"/>
      <c r="O13518" s="20"/>
      <c r="P13518" s="42"/>
      <c r="R13518" s="23"/>
    </row>
    <row r="13519" spans="1:18" ht="12.75">
      <c r="A13519" s="12"/>
      <c r="D13519" s="12"/>
      <c r="E13519" s="12"/>
      <c r="H13519" s="11" t="str">
        <f ca="1">IFERROR(__xludf.DUMMYFUNCTION("IFERROR(SUBSTITUTE(SUBSTITUTE(REGEXEXTRACT(A13519, ""[^-]+- [^-]+- [^-]+ - (.+?)\.jpg""), "".jpg"", """"), ""-"", "", ""), """")"),"")</f>
        <v/>
      </c>
      <c r="L13519" s="12"/>
      <c r="M13519" s="13"/>
      <c r="N13519" s="2"/>
      <c r="O13519" s="20"/>
      <c r="P13519" s="42"/>
      <c r="R13519" s="23"/>
    </row>
    <row r="13520" spans="1:18" ht="12.75">
      <c r="A13520" s="12"/>
      <c r="D13520" s="12"/>
      <c r="E13520" s="12"/>
      <c r="H13520" s="11" t="str">
        <f ca="1">IFERROR(__xludf.DUMMYFUNCTION("IFERROR(SUBSTITUTE(SUBSTITUTE(REGEXEXTRACT(A13520, ""[^-]+- [^-]+- [^-]+ - (.+?)\.jpg""), "".jpg"", """"), ""-"", "", ""), """")"),"")</f>
        <v/>
      </c>
      <c r="L13520" s="12"/>
      <c r="M13520" s="13"/>
      <c r="N13520" s="2"/>
      <c r="O13520" s="20"/>
      <c r="P13520" s="42"/>
      <c r="R13520" s="23"/>
    </row>
    <row r="13521" spans="1:18" ht="12.75">
      <c r="A13521" s="12"/>
      <c r="D13521" s="12"/>
      <c r="E13521" s="12"/>
      <c r="H13521" s="11" t="str">
        <f ca="1">IFERROR(__xludf.DUMMYFUNCTION("IFERROR(SUBSTITUTE(SUBSTITUTE(REGEXEXTRACT(A13521, ""[^-]+- [^-]+- [^-]+ - (.+?)\.jpg""), "".jpg"", """"), ""-"", "", ""), """")"),"")</f>
        <v/>
      </c>
      <c r="L13521" s="12"/>
      <c r="M13521" s="13"/>
      <c r="N13521" s="2"/>
      <c r="O13521" s="20"/>
      <c r="P13521" s="42"/>
      <c r="R13521" s="23"/>
    </row>
    <row r="13522" spans="1:18" ht="12.75">
      <c r="A13522" s="12"/>
      <c r="D13522" s="12"/>
      <c r="E13522" s="12"/>
      <c r="H13522" s="11" t="str">
        <f ca="1">IFERROR(__xludf.DUMMYFUNCTION("IFERROR(SUBSTITUTE(SUBSTITUTE(REGEXEXTRACT(A13522, ""[^-]+- [^-]+- [^-]+ - (.+?)\.jpg""), "".jpg"", """"), ""-"", "", ""), """")"),"")</f>
        <v/>
      </c>
      <c r="L13522" s="12"/>
      <c r="M13522" s="13"/>
      <c r="N13522" s="2"/>
      <c r="O13522" s="20"/>
      <c r="P13522" s="42"/>
      <c r="R13522" s="23"/>
    </row>
    <row r="13523" spans="1:18" ht="12.75">
      <c r="A13523" s="12"/>
      <c r="D13523" s="12"/>
      <c r="E13523" s="12"/>
      <c r="H13523" s="11" t="str">
        <f ca="1">IFERROR(__xludf.DUMMYFUNCTION("IFERROR(SUBSTITUTE(SUBSTITUTE(REGEXEXTRACT(A13523, ""[^-]+- [^-]+- [^-]+ - (.+?)\.jpg""), "".jpg"", """"), ""-"", "", ""), """")"),"")</f>
        <v/>
      </c>
      <c r="L13523" s="12"/>
      <c r="M13523" s="13"/>
      <c r="N13523" s="2"/>
      <c r="O13523" s="20"/>
      <c r="P13523" s="42"/>
      <c r="R13523" s="23"/>
    </row>
    <row r="13524" spans="1:18" ht="12.75">
      <c r="A13524" s="12"/>
      <c r="D13524" s="12"/>
      <c r="E13524" s="12"/>
      <c r="H13524" s="11" t="str">
        <f ca="1">IFERROR(__xludf.DUMMYFUNCTION("IFERROR(SUBSTITUTE(SUBSTITUTE(REGEXEXTRACT(A13524, ""[^-]+- [^-]+- [^-]+ - (.+?)\.jpg""), "".jpg"", """"), ""-"", "", ""), """")"),"")</f>
        <v/>
      </c>
      <c r="L13524" s="12"/>
      <c r="M13524" s="13"/>
      <c r="N13524" s="2"/>
      <c r="O13524" s="20"/>
      <c r="P13524" s="42"/>
      <c r="R13524" s="23"/>
    </row>
    <row r="13525" spans="1:18" ht="12.75">
      <c r="A13525" s="12"/>
      <c r="D13525" s="12"/>
      <c r="E13525" s="12"/>
      <c r="H13525" s="11" t="str">
        <f ca="1">IFERROR(__xludf.DUMMYFUNCTION("IFERROR(SUBSTITUTE(SUBSTITUTE(REGEXEXTRACT(A13525, ""[^-]+- [^-]+- [^-]+ - (.+?)\.jpg""), "".jpg"", """"), ""-"", "", ""), """")"),"")</f>
        <v/>
      </c>
      <c r="L13525" s="12"/>
      <c r="M13525" s="13"/>
      <c r="N13525" s="2"/>
      <c r="O13525" s="20"/>
      <c r="P13525" s="42"/>
      <c r="R13525" s="23"/>
    </row>
    <row r="13526" spans="1:18" ht="12.75">
      <c r="A13526" s="12"/>
      <c r="D13526" s="12"/>
      <c r="E13526" s="12"/>
      <c r="H13526" s="11" t="str">
        <f ca="1">IFERROR(__xludf.DUMMYFUNCTION("IFERROR(SUBSTITUTE(SUBSTITUTE(REGEXEXTRACT(A13526, ""[^-]+- [^-]+- [^-]+ - (.+?)\.jpg""), "".jpg"", """"), ""-"", "", ""), """")"),"")</f>
        <v/>
      </c>
      <c r="L13526" s="12"/>
      <c r="M13526" s="13"/>
      <c r="N13526" s="2"/>
      <c r="O13526" s="20"/>
      <c r="P13526" s="42"/>
      <c r="R13526" s="23"/>
    </row>
    <row r="13527" spans="1:18" ht="12.75">
      <c r="A13527" s="12"/>
      <c r="D13527" s="12"/>
      <c r="E13527" s="12"/>
      <c r="H13527" s="11" t="str">
        <f ca="1">IFERROR(__xludf.DUMMYFUNCTION("IFERROR(SUBSTITUTE(SUBSTITUTE(REGEXEXTRACT(A13527, ""[^-]+- [^-]+- [^-]+ - (.+?)\.jpg""), "".jpg"", """"), ""-"", "", ""), """")"),"")</f>
        <v/>
      </c>
      <c r="L13527" s="12"/>
      <c r="M13527" s="13"/>
      <c r="N13527" s="2"/>
      <c r="O13527" s="20"/>
      <c r="P13527" s="42"/>
      <c r="R13527" s="23"/>
    </row>
    <row r="13528" spans="1:18" ht="12.75">
      <c r="A13528" s="12"/>
      <c r="D13528" s="12"/>
      <c r="E13528" s="12"/>
      <c r="H13528" s="11" t="str">
        <f ca="1">IFERROR(__xludf.DUMMYFUNCTION("IFERROR(SUBSTITUTE(SUBSTITUTE(REGEXEXTRACT(A13528, ""[^-]+- [^-]+- [^-]+ - (.+?)\.jpg""), "".jpg"", """"), ""-"", "", ""), """")"),"")</f>
        <v/>
      </c>
      <c r="L13528" s="12"/>
      <c r="M13528" s="13"/>
      <c r="N13528" s="2"/>
      <c r="O13528" s="20"/>
      <c r="P13528" s="42"/>
      <c r="R13528" s="23"/>
    </row>
    <row r="13529" spans="1:18" ht="12.75">
      <c r="A13529" s="12"/>
      <c r="D13529" s="12"/>
      <c r="E13529" s="12"/>
      <c r="H13529" s="11" t="str">
        <f ca="1">IFERROR(__xludf.DUMMYFUNCTION("IFERROR(SUBSTITUTE(SUBSTITUTE(REGEXEXTRACT(A13529, ""[^-]+- [^-]+- [^-]+ - (.+?)\.jpg""), "".jpg"", """"), ""-"", "", ""), """")"),"")</f>
        <v/>
      </c>
      <c r="L13529" s="12"/>
      <c r="M13529" s="13"/>
      <c r="N13529" s="2"/>
      <c r="O13529" s="20"/>
      <c r="P13529" s="42"/>
      <c r="R13529" s="23"/>
    </row>
    <row r="13530" spans="1:18" ht="12.75">
      <c r="A13530" s="12"/>
      <c r="D13530" s="12"/>
      <c r="E13530" s="12"/>
      <c r="H13530" s="11" t="str">
        <f ca="1">IFERROR(__xludf.DUMMYFUNCTION("IFERROR(SUBSTITUTE(SUBSTITUTE(REGEXEXTRACT(A13530, ""[^-]+- [^-]+- [^-]+ - (.+?)\.jpg""), "".jpg"", """"), ""-"", "", ""), """")"),"")</f>
        <v/>
      </c>
      <c r="L13530" s="12"/>
      <c r="M13530" s="13"/>
      <c r="N13530" s="2"/>
      <c r="O13530" s="20"/>
      <c r="P13530" s="42"/>
      <c r="R13530" s="23"/>
    </row>
    <row r="13531" spans="1:18" ht="12.75">
      <c r="A13531" s="12"/>
      <c r="D13531" s="12"/>
      <c r="E13531" s="12"/>
      <c r="H13531" s="11" t="str">
        <f ca="1">IFERROR(__xludf.DUMMYFUNCTION("IFERROR(SUBSTITUTE(SUBSTITUTE(REGEXEXTRACT(A13531, ""[^-]+- [^-]+- [^-]+ - (.+?)\.jpg""), "".jpg"", """"), ""-"", "", ""), """")"),"")</f>
        <v/>
      </c>
      <c r="L13531" s="12"/>
      <c r="M13531" s="13"/>
      <c r="N13531" s="2"/>
      <c r="O13531" s="20"/>
      <c r="P13531" s="42"/>
      <c r="R13531" s="23"/>
    </row>
    <row r="13532" spans="1:18" ht="12.75">
      <c r="A13532" s="12"/>
      <c r="D13532" s="12"/>
      <c r="E13532" s="12"/>
      <c r="H13532" s="11" t="str">
        <f ca="1">IFERROR(__xludf.DUMMYFUNCTION("IFERROR(SUBSTITUTE(SUBSTITUTE(REGEXEXTRACT(A13532, ""[^-]+- [^-]+- [^-]+ - (.+?)\.jpg""), "".jpg"", """"), ""-"", "", ""), """")"),"")</f>
        <v/>
      </c>
      <c r="L13532" s="12"/>
      <c r="M13532" s="13"/>
      <c r="N13532" s="2"/>
      <c r="O13532" s="20"/>
      <c r="P13532" s="42"/>
      <c r="R13532" s="23"/>
    </row>
    <row r="13533" spans="1:18" ht="12.75">
      <c r="A13533" s="12"/>
      <c r="D13533" s="12"/>
      <c r="E13533" s="12"/>
      <c r="H13533" s="11" t="str">
        <f ca="1">IFERROR(__xludf.DUMMYFUNCTION("IFERROR(SUBSTITUTE(SUBSTITUTE(REGEXEXTRACT(A13533, ""[^-]+- [^-]+- [^-]+ - (.+?)\.jpg""), "".jpg"", """"), ""-"", "", ""), """")"),"")</f>
        <v/>
      </c>
      <c r="L13533" s="12"/>
      <c r="M13533" s="13"/>
      <c r="N13533" s="2"/>
      <c r="O13533" s="20"/>
      <c r="P13533" s="42"/>
      <c r="R13533" s="23"/>
    </row>
    <row r="13534" spans="1:18" ht="12.75">
      <c r="A13534" s="12"/>
      <c r="D13534" s="12"/>
      <c r="E13534" s="12"/>
      <c r="H13534" s="11" t="str">
        <f ca="1">IFERROR(__xludf.DUMMYFUNCTION("IFERROR(SUBSTITUTE(SUBSTITUTE(REGEXEXTRACT(A13534, ""[^-]+- [^-]+- [^-]+ - (.+?)\.jpg""), "".jpg"", """"), ""-"", "", ""), """")"),"")</f>
        <v/>
      </c>
      <c r="L13534" s="12"/>
      <c r="M13534" s="13"/>
      <c r="N13534" s="2"/>
      <c r="O13534" s="20"/>
      <c r="P13534" s="42"/>
      <c r="R13534" s="23"/>
    </row>
    <row r="13535" spans="1:18" ht="12.75">
      <c r="A13535" s="12"/>
      <c r="D13535" s="12"/>
      <c r="E13535" s="12"/>
      <c r="H13535" s="11" t="str">
        <f ca="1">IFERROR(__xludf.DUMMYFUNCTION("IFERROR(SUBSTITUTE(SUBSTITUTE(REGEXEXTRACT(A13535, ""[^-]+- [^-]+- [^-]+ - (.+?)\.jpg""), "".jpg"", """"), ""-"", "", ""), """")"),"")</f>
        <v/>
      </c>
      <c r="L13535" s="12"/>
      <c r="M13535" s="13"/>
      <c r="N13535" s="2"/>
      <c r="O13535" s="20"/>
      <c r="P13535" s="42"/>
      <c r="R13535" s="23"/>
    </row>
    <row r="13536" spans="1:18" ht="12.75">
      <c r="A13536" s="12"/>
      <c r="D13536" s="12"/>
      <c r="E13536" s="12"/>
      <c r="H13536" s="11" t="str">
        <f ca="1">IFERROR(__xludf.DUMMYFUNCTION("IFERROR(SUBSTITUTE(SUBSTITUTE(REGEXEXTRACT(A13536, ""[^-]+- [^-]+- [^-]+ - (.+?)\.jpg""), "".jpg"", """"), ""-"", "", ""), """")"),"")</f>
        <v/>
      </c>
      <c r="L13536" s="12"/>
      <c r="M13536" s="13"/>
      <c r="N13536" s="2"/>
      <c r="O13536" s="20"/>
      <c r="P13536" s="42"/>
      <c r="R13536" s="23"/>
    </row>
    <row r="13537" spans="1:18" ht="12.75">
      <c r="A13537" s="12"/>
      <c r="D13537" s="12"/>
      <c r="E13537" s="12"/>
      <c r="H13537" s="11" t="str">
        <f ca="1">IFERROR(__xludf.DUMMYFUNCTION("IFERROR(SUBSTITUTE(SUBSTITUTE(REGEXEXTRACT(A13537, ""[^-]+- [^-]+- [^-]+ - (.+?)\.jpg""), "".jpg"", """"), ""-"", "", ""), """")"),"")</f>
        <v/>
      </c>
      <c r="L13537" s="12"/>
      <c r="M13537" s="13"/>
      <c r="N13537" s="2"/>
      <c r="O13537" s="20"/>
      <c r="P13537" s="42"/>
      <c r="R13537" s="23"/>
    </row>
    <row r="13538" spans="1:18" ht="12.75">
      <c r="A13538" s="12"/>
      <c r="D13538" s="12"/>
      <c r="E13538" s="12"/>
      <c r="H13538" s="11" t="str">
        <f ca="1">IFERROR(__xludf.DUMMYFUNCTION("IFERROR(SUBSTITUTE(SUBSTITUTE(REGEXEXTRACT(A13538, ""[^-]+- [^-]+- [^-]+ - (.+?)\.jpg""), "".jpg"", """"), ""-"", "", ""), """")"),"")</f>
        <v/>
      </c>
      <c r="L13538" s="12"/>
      <c r="M13538" s="13"/>
      <c r="N13538" s="2"/>
      <c r="O13538" s="20"/>
      <c r="P13538" s="42"/>
      <c r="R13538" s="23"/>
    </row>
    <row r="13539" spans="1:18" ht="12.75">
      <c r="A13539" s="12"/>
      <c r="D13539" s="12"/>
      <c r="E13539" s="12"/>
      <c r="H13539" s="11" t="str">
        <f ca="1">IFERROR(__xludf.DUMMYFUNCTION("IFERROR(SUBSTITUTE(SUBSTITUTE(REGEXEXTRACT(A13539, ""[^-]+- [^-]+- [^-]+ - (.+?)\.jpg""), "".jpg"", """"), ""-"", "", ""), """")"),"")</f>
        <v/>
      </c>
      <c r="L13539" s="12"/>
      <c r="M13539" s="13"/>
      <c r="N13539" s="2"/>
      <c r="O13539" s="20"/>
      <c r="P13539" s="42"/>
      <c r="R13539" s="23"/>
    </row>
    <row r="13540" spans="1:18" ht="12.75">
      <c r="A13540" s="12"/>
      <c r="D13540" s="12"/>
      <c r="E13540" s="12"/>
      <c r="H13540" s="11" t="str">
        <f ca="1">IFERROR(__xludf.DUMMYFUNCTION("IFERROR(SUBSTITUTE(SUBSTITUTE(REGEXEXTRACT(A13540, ""[^-]+- [^-]+- [^-]+ - (.+?)\.jpg""), "".jpg"", """"), ""-"", "", ""), """")"),"")</f>
        <v/>
      </c>
      <c r="L13540" s="12"/>
      <c r="M13540" s="13"/>
      <c r="N13540" s="2"/>
      <c r="O13540" s="20"/>
      <c r="P13540" s="42"/>
      <c r="R13540" s="23"/>
    </row>
    <row r="13541" spans="1:18" ht="12.75">
      <c r="A13541" s="12"/>
      <c r="D13541" s="12"/>
      <c r="E13541" s="12"/>
      <c r="H13541" s="11" t="str">
        <f ca="1">IFERROR(__xludf.DUMMYFUNCTION("IFERROR(SUBSTITUTE(SUBSTITUTE(REGEXEXTRACT(A13541, ""[^-]+- [^-]+- [^-]+ - (.+?)\.jpg""), "".jpg"", """"), ""-"", "", ""), """")"),"")</f>
        <v/>
      </c>
      <c r="L13541" s="12"/>
      <c r="M13541" s="13"/>
      <c r="N13541" s="2"/>
      <c r="O13541" s="20"/>
      <c r="P13541" s="42"/>
      <c r="R13541" s="23"/>
    </row>
    <row r="13542" spans="1:18" ht="12.75">
      <c r="A13542" s="12"/>
      <c r="D13542" s="12"/>
      <c r="E13542" s="12"/>
      <c r="H13542" s="11" t="str">
        <f ca="1">IFERROR(__xludf.DUMMYFUNCTION("IFERROR(SUBSTITUTE(SUBSTITUTE(REGEXEXTRACT(A13542, ""[^-]+- [^-]+- [^-]+ - (.+?)\.jpg""), "".jpg"", """"), ""-"", "", ""), """")"),"")</f>
        <v/>
      </c>
      <c r="L13542" s="12"/>
      <c r="M13542" s="13"/>
      <c r="N13542" s="2"/>
      <c r="O13542" s="20"/>
      <c r="P13542" s="42"/>
      <c r="R13542" s="23"/>
    </row>
    <row r="13543" spans="1:18" ht="12.75">
      <c r="A13543" s="12"/>
      <c r="D13543" s="12"/>
      <c r="E13543" s="12"/>
      <c r="H13543" s="11" t="str">
        <f ca="1">IFERROR(__xludf.DUMMYFUNCTION("IFERROR(SUBSTITUTE(SUBSTITUTE(REGEXEXTRACT(A13543, ""[^-]+- [^-]+- [^-]+ - (.+?)\.jpg""), "".jpg"", """"), ""-"", "", ""), """")"),"")</f>
        <v/>
      </c>
      <c r="L13543" s="12"/>
      <c r="M13543" s="13"/>
      <c r="N13543" s="2"/>
      <c r="O13543" s="20"/>
      <c r="P13543" s="42"/>
      <c r="R13543" s="23"/>
    </row>
    <row r="13544" spans="1:18" ht="12.75">
      <c r="A13544" s="12"/>
      <c r="D13544" s="12"/>
      <c r="E13544" s="12"/>
      <c r="H13544" s="11" t="str">
        <f ca="1">IFERROR(__xludf.DUMMYFUNCTION("IFERROR(SUBSTITUTE(SUBSTITUTE(REGEXEXTRACT(A13544, ""[^-]+- [^-]+- [^-]+ - (.+?)\.jpg""), "".jpg"", """"), ""-"", "", ""), """")"),"")</f>
        <v/>
      </c>
      <c r="L13544" s="12"/>
      <c r="M13544" s="13"/>
      <c r="N13544" s="2"/>
      <c r="O13544" s="20"/>
      <c r="P13544" s="42"/>
      <c r="R13544" s="23"/>
    </row>
    <row r="13545" spans="1:18" ht="12.75">
      <c r="A13545" s="12"/>
      <c r="D13545" s="12"/>
      <c r="E13545" s="12"/>
      <c r="H13545" s="11" t="str">
        <f ca="1">IFERROR(__xludf.DUMMYFUNCTION("IFERROR(SUBSTITUTE(SUBSTITUTE(REGEXEXTRACT(A13545, ""[^-]+- [^-]+- [^-]+ - (.+?)\.jpg""), "".jpg"", """"), ""-"", "", ""), """")"),"")</f>
        <v/>
      </c>
      <c r="L13545" s="12"/>
      <c r="M13545" s="13"/>
      <c r="N13545" s="2"/>
      <c r="O13545" s="20"/>
      <c r="P13545" s="42"/>
      <c r="R13545" s="23"/>
    </row>
    <row r="13546" spans="1:18" ht="12.75">
      <c r="A13546" s="12"/>
      <c r="D13546" s="12"/>
      <c r="E13546" s="12"/>
      <c r="H13546" s="11" t="str">
        <f ca="1">IFERROR(__xludf.DUMMYFUNCTION("IFERROR(SUBSTITUTE(SUBSTITUTE(REGEXEXTRACT(A13546, ""[^-]+- [^-]+- [^-]+ - (.+?)\.jpg""), "".jpg"", """"), ""-"", "", ""), """")"),"")</f>
        <v/>
      </c>
      <c r="L13546" s="12"/>
      <c r="M13546" s="13"/>
      <c r="N13546" s="2"/>
      <c r="O13546" s="20"/>
      <c r="P13546" s="42"/>
      <c r="R13546" s="23"/>
    </row>
    <row r="13547" spans="1:18" ht="12.75">
      <c r="A13547" s="12"/>
      <c r="D13547" s="12"/>
      <c r="E13547" s="12"/>
      <c r="H13547" s="11" t="str">
        <f ca="1">IFERROR(__xludf.DUMMYFUNCTION("IFERROR(SUBSTITUTE(SUBSTITUTE(REGEXEXTRACT(A13547, ""[^-]+- [^-]+- [^-]+ - (.+?)\.jpg""), "".jpg"", """"), ""-"", "", ""), """")"),"")</f>
        <v/>
      </c>
      <c r="L13547" s="12"/>
      <c r="M13547" s="13"/>
      <c r="N13547" s="2"/>
      <c r="O13547" s="20"/>
      <c r="P13547" s="42"/>
      <c r="R13547" s="23"/>
    </row>
    <row r="13548" spans="1:18" ht="12.75">
      <c r="A13548" s="12"/>
      <c r="D13548" s="12"/>
      <c r="E13548" s="12"/>
      <c r="H13548" s="11" t="str">
        <f ca="1">IFERROR(__xludf.DUMMYFUNCTION("IFERROR(SUBSTITUTE(SUBSTITUTE(REGEXEXTRACT(A13548, ""[^-]+- [^-]+- [^-]+ - (.+?)\.jpg""), "".jpg"", """"), ""-"", "", ""), """")"),"")</f>
        <v/>
      </c>
      <c r="L13548" s="12"/>
      <c r="M13548" s="13"/>
      <c r="N13548" s="2"/>
      <c r="O13548" s="20"/>
      <c r="P13548" s="42"/>
      <c r="R13548" s="23"/>
    </row>
    <row r="13549" spans="1:18" ht="12.75">
      <c r="A13549" s="12"/>
      <c r="D13549" s="12"/>
      <c r="E13549" s="12"/>
      <c r="H13549" s="11" t="str">
        <f ca="1">IFERROR(__xludf.DUMMYFUNCTION("IFERROR(SUBSTITUTE(SUBSTITUTE(REGEXEXTRACT(A13549, ""[^-]+- [^-]+- [^-]+ - (.+?)\.jpg""), "".jpg"", """"), ""-"", "", ""), """")"),"")</f>
        <v/>
      </c>
      <c r="L13549" s="12"/>
      <c r="M13549" s="13"/>
      <c r="N13549" s="2"/>
      <c r="O13549" s="20"/>
      <c r="P13549" s="42"/>
      <c r="R13549" s="23"/>
    </row>
    <row r="13550" spans="1:18" ht="12.75">
      <c r="A13550" s="12"/>
      <c r="D13550" s="12"/>
      <c r="E13550" s="12"/>
      <c r="H13550" s="11" t="str">
        <f ca="1">IFERROR(__xludf.DUMMYFUNCTION("IFERROR(SUBSTITUTE(SUBSTITUTE(REGEXEXTRACT(A13550, ""[^-]+- [^-]+- [^-]+ - (.+?)\.jpg""), "".jpg"", """"), ""-"", "", ""), """")"),"")</f>
        <v/>
      </c>
      <c r="L13550" s="12"/>
      <c r="M13550" s="13"/>
      <c r="N13550" s="2"/>
      <c r="O13550" s="20"/>
      <c r="P13550" s="42"/>
      <c r="R13550" s="23"/>
    </row>
    <row r="13551" spans="1:18" ht="12.75">
      <c r="A13551" s="12"/>
      <c r="D13551" s="12"/>
      <c r="E13551" s="12"/>
      <c r="H13551" s="11" t="str">
        <f ca="1">IFERROR(__xludf.DUMMYFUNCTION("IFERROR(SUBSTITUTE(SUBSTITUTE(REGEXEXTRACT(A13551, ""[^-]+- [^-]+- [^-]+ - (.+?)\.jpg""), "".jpg"", """"), ""-"", "", ""), """")"),"")</f>
        <v/>
      </c>
      <c r="L13551" s="12"/>
      <c r="M13551" s="13"/>
      <c r="N13551" s="2"/>
      <c r="O13551" s="20"/>
      <c r="P13551" s="42"/>
      <c r="R13551" s="23"/>
    </row>
    <row r="13552" spans="1:18" ht="12.75">
      <c r="A13552" s="12"/>
      <c r="D13552" s="12"/>
      <c r="E13552" s="12"/>
      <c r="H13552" s="11" t="str">
        <f ca="1">IFERROR(__xludf.DUMMYFUNCTION("IFERROR(SUBSTITUTE(SUBSTITUTE(REGEXEXTRACT(A13552, ""[^-]+- [^-]+- [^-]+ - (.+?)\.jpg""), "".jpg"", """"), ""-"", "", ""), """")"),"")</f>
        <v/>
      </c>
      <c r="L13552" s="12"/>
      <c r="M13552" s="13"/>
      <c r="N13552" s="2"/>
      <c r="O13552" s="20"/>
      <c r="P13552" s="42"/>
      <c r="R13552" s="23"/>
    </row>
    <row r="13553" spans="1:18" ht="12.75">
      <c r="A13553" s="12"/>
      <c r="D13553" s="12"/>
      <c r="E13553" s="12"/>
      <c r="H13553" s="11" t="str">
        <f ca="1">IFERROR(__xludf.DUMMYFUNCTION("IFERROR(SUBSTITUTE(SUBSTITUTE(REGEXEXTRACT(A13553, ""[^-]+- [^-]+- [^-]+ - (.+?)\.jpg""), "".jpg"", """"), ""-"", "", ""), """")"),"")</f>
        <v/>
      </c>
      <c r="L13553" s="12"/>
      <c r="M13553" s="13"/>
      <c r="N13553" s="2"/>
      <c r="O13553" s="20"/>
      <c r="P13553" s="42"/>
      <c r="R13553" s="23"/>
    </row>
    <row r="13554" spans="1:18" ht="12.75">
      <c r="A13554" s="12"/>
      <c r="D13554" s="12"/>
      <c r="E13554" s="12"/>
      <c r="H13554" s="11" t="str">
        <f ca="1">IFERROR(__xludf.DUMMYFUNCTION("IFERROR(SUBSTITUTE(SUBSTITUTE(REGEXEXTRACT(A13554, ""[^-]+- [^-]+- [^-]+ - (.+?)\.jpg""), "".jpg"", """"), ""-"", "", ""), """")"),"")</f>
        <v/>
      </c>
      <c r="L13554" s="12"/>
      <c r="M13554" s="13"/>
      <c r="N13554" s="2"/>
      <c r="O13554" s="20"/>
      <c r="P13554" s="42"/>
      <c r="R13554" s="23"/>
    </row>
    <row r="13555" spans="1:18" ht="12.75">
      <c r="A13555" s="12"/>
      <c r="D13555" s="12"/>
      <c r="E13555" s="12"/>
      <c r="H13555" s="11" t="str">
        <f ca="1">IFERROR(__xludf.DUMMYFUNCTION("IFERROR(SUBSTITUTE(SUBSTITUTE(REGEXEXTRACT(A13555, ""[^-]+- [^-]+- [^-]+ - (.+?)\.jpg""), "".jpg"", """"), ""-"", "", ""), """")"),"")</f>
        <v/>
      </c>
      <c r="L13555" s="12"/>
      <c r="M13555" s="13"/>
      <c r="N13555" s="2"/>
      <c r="O13555" s="20"/>
      <c r="P13555" s="42"/>
      <c r="R13555" s="23"/>
    </row>
    <row r="13556" spans="1:18" ht="12.75">
      <c r="A13556" s="12"/>
      <c r="D13556" s="12"/>
      <c r="E13556" s="12"/>
      <c r="H13556" s="11" t="str">
        <f ca="1">IFERROR(__xludf.DUMMYFUNCTION("IFERROR(SUBSTITUTE(SUBSTITUTE(REGEXEXTRACT(A13556, ""[^-]+- [^-]+- [^-]+ - (.+?)\.jpg""), "".jpg"", """"), ""-"", "", ""), """")"),"")</f>
        <v/>
      </c>
      <c r="L13556" s="12"/>
      <c r="M13556" s="13"/>
      <c r="N13556" s="2"/>
      <c r="O13556" s="20"/>
      <c r="P13556" s="42"/>
      <c r="R13556" s="23"/>
    </row>
    <row r="13557" spans="1:18" ht="12.75">
      <c r="A13557" s="12"/>
      <c r="D13557" s="12"/>
      <c r="E13557" s="12"/>
      <c r="H13557" s="11" t="str">
        <f ca="1">IFERROR(__xludf.DUMMYFUNCTION("IFERROR(SUBSTITUTE(SUBSTITUTE(REGEXEXTRACT(A13557, ""[^-]+- [^-]+- [^-]+ - (.+?)\.jpg""), "".jpg"", """"), ""-"", "", ""), """")"),"")</f>
        <v/>
      </c>
      <c r="L13557" s="12"/>
      <c r="M13557" s="13"/>
      <c r="N13557" s="2"/>
      <c r="O13557" s="20"/>
      <c r="P13557" s="42"/>
      <c r="R13557" s="23"/>
    </row>
    <row r="13558" spans="1:18" ht="12.75">
      <c r="A13558" s="12"/>
      <c r="D13558" s="12"/>
      <c r="E13558" s="12"/>
      <c r="H13558" s="11" t="str">
        <f ca="1">IFERROR(__xludf.DUMMYFUNCTION("IFERROR(SUBSTITUTE(SUBSTITUTE(REGEXEXTRACT(A13558, ""[^-]+- [^-]+- [^-]+ - (.+?)\.jpg""), "".jpg"", """"), ""-"", "", ""), """")"),"")</f>
        <v/>
      </c>
      <c r="L13558" s="12"/>
      <c r="M13558" s="13"/>
      <c r="N13558" s="2"/>
      <c r="O13558" s="20"/>
      <c r="P13558" s="42"/>
      <c r="R13558" s="23"/>
    </row>
    <row r="13559" spans="1:18" ht="12.75">
      <c r="A13559" s="12"/>
      <c r="D13559" s="12"/>
      <c r="E13559" s="12"/>
      <c r="H13559" s="11" t="str">
        <f ca="1">IFERROR(__xludf.DUMMYFUNCTION("IFERROR(SUBSTITUTE(SUBSTITUTE(REGEXEXTRACT(A13559, ""[^-]+- [^-]+- [^-]+ - (.+?)\.jpg""), "".jpg"", """"), ""-"", "", ""), """")"),"")</f>
        <v/>
      </c>
      <c r="L13559" s="12"/>
      <c r="M13559" s="13"/>
      <c r="N13559" s="2"/>
      <c r="O13559" s="20"/>
      <c r="P13559" s="42"/>
      <c r="R13559" s="23"/>
    </row>
    <row r="13560" spans="1:18" ht="12.75">
      <c r="A13560" s="12"/>
      <c r="D13560" s="12"/>
      <c r="E13560" s="12"/>
      <c r="H13560" s="11" t="str">
        <f ca="1">IFERROR(__xludf.DUMMYFUNCTION("IFERROR(SUBSTITUTE(SUBSTITUTE(REGEXEXTRACT(A13560, ""[^-]+- [^-]+- [^-]+ - (.+?)\.jpg""), "".jpg"", """"), ""-"", "", ""), """")"),"")</f>
        <v/>
      </c>
      <c r="L13560" s="12"/>
      <c r="M13560" s="13"/>
      <c r="N13560" s="2"/>
      <c r="O13560" s="20"/>
      <c r="P13560" s="42"/>
      <c r="R13560" s="23"/>
    </row>
    <row r="13561" spans="1:18" ht="12.75">
      <c r="A13561" s="12"/>
      <c r="D13561" s="12"/>
      <c r="E13561" s="12"/>
      <c r="H13561" s="11" t="str">
        <f ca="1">IFERROR(__xludf.DUMMYFUNCTION("IFERROR(SUBSTITUTE(SUBSTITUTE(REGEXEXTRACT(A13561, ""[^-]+- [^-]+- [^-]+ - (.+?)\.jpg""), "".jpg"", """"), ""-"", "", ""), """")"),"")</f>
        <v/>
      </c>
      <c r="L13561" s="12"/>
      <c r="M13561" s="13"/>
      <c r="N13561" s="2"/>
      <c r="O13561" s="20"/>
      <c r="P13561" s="42"/>
      <c r="R13561" s="23"/>
    </row>
    <row r="13562" spans="1:18" ht="12.75">
      <c r="A13562" s="12"/>
      <c r="D13562" s="12"/>
      <c r="E13562" s="12"/>
      <c r="H13562" s="11" t="str">
        <f ca="1">IFERROR(__xludf.DUMMYFUNCTION("IFERROR(SUBSTITUTE(SUBSTITUTE(REGEXEXTRACT(A13562, ""[^-]+- [^-]+- [^-]+ - (.+?)\.jpg""), "".jpg"", """"), ""-"", "", ""), """")"),"")</f>
        <v/>
      </c>
      <c r="L13562" s="12"/>
      <c r="M13562" s="13"/>
      <c r="N13562" s="2"/>
      <c r="O13562" s="20"/>
      <c r="P13562" s="42"/>
      <c r="R13562" s="23"/>
    </row>
    <row r="13563" spans="1:18" ht="12.75">
      <c r="A13563" s="12"/>
      <c r="D13563" s="12"/>
      <c r="E13563" s="12"/>
      <c r="H13563" s="11" t="str">
        <f ca="1">IFERROR(__xludf.DUMMYFUNCTION("IFERROR(SUBSTITUTE(SUBSTITUTE(REGEXEXTRACT(A13563, ""[^-]+- [^-]+- [^-]+ - (.+?)\.jpg""), "".jpg"", """"), ""-"", "", ""), """")"),"")</f>
        <v/>
      </c>
      <c r="L13563" s="12"/>
      <c r="M13563" s="13"/>
      <c r="N13563" s="2"/>
      <c r="O13563" s="20"/>
      <c r="P13563" s="42"/>
      <c r="R13563" s="23"/>
    </row>
    <row r="13564" spans="1:18" ht="12.75">
      <c r="A13564" s="12"/>
      <c r="D13564" s="12"/>
      <c r="E13564" s="12"/>
      <c r="H13564" s="11" t="str">
        <f ca="1">IFERROR(__xludf.DUMMYFUNCTION("IFERROR(SUBSTITUTE(SUBSTITUTE(REGEXEXTRACT(A13564, ""[^-]+- [^-]+- [^-]+ - (.+?)\.jpg""), "".jpg"", """"), ""-"", "", ""), """")"),"")</f>
        <v/>
      </c>
      <c r="L13564" s="12"/>
      <c r="M13564" s="13"/>
      <c r="N13564" s="2"/>
      <c r="O13564" s="20"/>
      <c r="P13564" s="42"/>
      <c r="R13564" s="23"/>
    </row>
    <row r="13565" spans="1:18" ht="12.75">
      <c r="A13565" s="12"/>
      <c r="D13565" s="12"/>
      <c r="E13565" s="12"/>
      <c r="H13565" s="11" t="str">
        <f ca="1">IFERROR(__xludf.DUMMYFUNCTION("IFERROR(SUBSTITUTE(SUBSTITUTE(REGEXEXTRACT(A13565, ""[^-]+- [^-]+- [^-]+ - (.+?)\.jpg""), "".jpg"", """"), ""-"", "", ""), """")"),"")</f>
        <v/>
      </c>
      <c r="L13565" s="12"/>
      <c r="M13565" s="13"/>
      <c r="N13565" s="2"/>
      <c r="O13565" s="20"/>
      <c r="P13565" s="42"/>
      <c r="R13565" s="23"/>
    </row>
    <row r="13566" spans="1:18" ht="12.75">
      <c r="A13566" s="12"/>
      <c r="D13566" s="12"/>
      <c r="E13566" s="12"/>
      <c r="H13566" s="11" t="str">
        <f ca="1">IFERROR(__xludf.DUMMYFUNCTION("IFERROR(SUBSTITUTE(SUBSTITUTE(REGEXEXTRACT(A13566, ""[^-]+- [^-]+- [^-]+ - (.+?)\.jpg""), "".jpg"", """"), ""-"", "", ""), """")"),"")</f>
        <v/>
      </c>
      <c r="L13566" s="12"/>
      <c r="M13566" s="13"/>
      <c r="N13566" s="2"/>
      <c r="O13566" s="20"/>
      <c r="P13566" s="42"/>
      <c r="R13566" s="23"/>
    </row>
    <row r="13567" spans="1:18" ht="12.75">
      <c r="A13567" s="12"/>
      <c r="D13567" s="12"/>
      <c r="E13567" s="12"/>
      <c r="H13567" s="11" t="str">
        <f ca="1">IFERROR(__xludf.DUMMYFUNCTION("IFERROR(SUBSTITUTE(SUBSTITUTE(REGEXEXTRACT(A13567, ""[^-]+- [^-]+- [^-]+ - (.+?)\.jpg""), "".jpg"", """"), ""-"", "", ""), """")"),"")</f>
        <v/>
      </c>
      <c r="L13567" s="12"/>
      <c r="M13567" s="13"/>
      <c r="N13567" s="2"/>
      <c r="O13567" s="20"/>
      <c r="P13567" s="42"/>
      <c r="R13567" s="23"/>
    </row>
    <row r="13568" spans="1:18" ht="12.75">
      <c r="A13568" s="12"/>
      <c r="D13568" s="12"/>
      <c r="E13568" s="12"/>
      <c r="H13568" s="11" t="str">
        <f ca="1">IFERROR(__xludf.DUMMYFUNCTION("IFERROR(SUBSTITUTE(SUBSTITUTE(REGEXEXTRACT(A13568, ""[^-]+- [^-]+- [^-]+ - (.+?)\.jpg""), "".jpg"", """"), ""-"", "", ""), """")"),"")</f>
        <v/>
      </c>
      <c r="L13568" s="12"/>
      <c r="M13568" s="13"/>
      <c r="N13568" s="2"/>
      <c r="O13568" s="20"/>
      <c r="P13568" s="42"/>
      <c r="R13568" s="23"/>
    </row>
    <row r="13569" spans="1:18" ht="12.75">
      <c r="A13569" s="12"/>
      <c r="D13569" s="12"/>
      <c r="E13569" s="12"/>
      <c r="H13569" s="11" t="str">
        <f ca="1">IFERROR(__xludf.DUMMYFUNCTION("IFERROR(SUBSTITUTE(SUBSTITUTE(REGEXEXTRACT(A13569, ""[^-]+- [^-]+- [^-]+ - (.+?)\.jpg""), "".jpg"", """"), ""-"", "", ""), """")"),"")</f>
        <v/>
      </c>
      <c r="L13569" s="12"/>
      <c r="M13569" s="13"/>
      <c r="N13569" s="2"/>
      <c r="O13569" s="20"/>
      <c r="P13569" s="42"/>
      <c r="R13569" s="23"/>
    </row>
    <row r="13570" spans="1:18" ht="12.75">
      <c r="A13570" s="12"/>
      <c r="D13570" s="12"/>
      <c r="E13570" s="12"/>
      <c r="H13570" s="11" t="str">
        <f ca="1">IFERROR(__xludf.DUMMYFUNCTION("IFERROR(SUBSTITUTE(SUBSTITUTE(REGEXEXTRACT(A13570, ""[^-]+- [^-]+- [^-]+ - (.+?)\.jpg""), "".jpg"", """"), ""-"", "", ""), """")"),"")</f>
        <v/>
      </c>
      <c r="L13570" s="12"/>
      <c r="M13570" s="13"/>
      <c r="N13570" s="2"/>
      <c r="O13570" s="20"/>
      <c r="P13570" s="42"/>
      <c r="R13570" s="23"/>
    </row>
    <row r="13571" spans="1:18" ht="12.75">
      <c r="A13571" s="12"/>
      <c r="D13571" s="12"/>
      <c r="E13571" s="12"/>
      <c r="H13571" s="11" t="str">
        <f ca="1">IFERROR(__xludf.DUMMYFUNCTION("IFERROR(SUBSTITUTE(SUBSTITUTE(REGEXEXTRACT(A13571, ""[^-]+- [^-]+- [^-]+ - (.+?)\.jpg""), "".jpg"", """"), ""-"", "", ""), """")"),"")</f>
        <v/>
      </c>
      <c r="L13571" s="12"/>
      <c r="M13571" s="13"/>
      <c r="N13571" s="2"/>
      <c r="O13571" s="20"/>
      <c r="P13571" s="42"/>
      <c r="R13571" s="23"/>
    </row>
    <row r="13572" spans="1:18" ht="12.75">
      <c r="A13572" s="12"/>
      <c r="D13572" s="12"/>
      <c r="E13572" s="12"/>
      <c r="H13572" s="11" t="str">
        <f ca="1">IFERROR(__xludf.DUMMYFUNCTION("IFERROR(SUBSTITUTE(SUBSTITUTE(REGEXEXTRACT(A13572, ""[^-]+- [^-]+- [^-]+ - (.+?)\.jpg""), "".jpg"", """"), ""-"", "", ""), """")"),"")</f>
        <v/>
      </c>
      <c r="L13572" s="12"/>
      <c r="M13572" s="13"/>
      <c r="N13572" s="2"/>
      <c r="O13572" s="20"/>
      <c r="P13572" s="42"/>
      <c r="R13572" s="23"/>
    </row>
    <row r="13573" spans="1:18" ht="12.75">
      <c r="A13573" s="12"/>
      <c r="D13573" s="12"/>
      <c r="E13573" s="12"/>
      <c r="H13573" s="11" t="str">
        <f ca="1">IFERROR(__xludf.DUMMYFUNCTION("IFERROR(SUBSTITUTE(SUBSTITUTE(REGEXEXTRACT(A13573, ""[^-]+- [^-]+- [^-]+ - (.+?)\.jpg""), "".jpg"", """"), ""-"", "", ""), """")"),"")</f>
        <v/>
      </c>
      <c r="L13573" s="12"/>
      <c r="M13573" s="13"/>
      <c r="N13573" s="2"/>
      <c r="O13573" s="20"/>
      <c r="P13573" s="42"/>
      <c r="R13573" s="23"/>
    </row>
    <row r="13574" spans="1:18" ht="12.75">
      <c r="A13574" s="12"/>
      <c r="D13574" s="12"/>
      <c r="E13574" s="12"/>
      <c r="H13574" s="11" t="str">
        <f ca="1">IFERROR(__xludf.DUMMYFUNCTION("IFERROR(SUBSTITUTE(SUBSTITUTE(REGEXEXTRACT(A13574, ""[^-]+- [^-]+- [^-]+ - (.+?)\.jpg""), "".jpg"", """"), ""-"", "", ""), """")"),"")</f>
        <v/>
      </c>
      <c r="L13574" s="12"/>
      <c r="M13574" s="13"/>
      <c r="N13574" s="2"/>
      <c r="O13574" s="20"/>
      <c r="P13574" s="42"/>
      <c r="R13574" s="23"/>
    </row>
    <row r="13575" spans="1:18" ht="12.75">
      <c r="A13575" s="12"/>
      <c r="D13575" s="12"/>
      <c r="E13575" s="12"/>
      <c r="H13575" s="11" t="str">
        <f ca="1">IFERROR(__xludf.DUMMYFUNCTION("IFERROR(SUBSTITUTE(SUBSTITUTE(REGEXEXTRACT(A13575, ""[^-]+- [^-]+- [^-]+ - (.+?)\.jpg""), "".jpg"", """"), ""-"", "", ""), """")"),"")</f>
        <v/>
      </c>
      <c r="L13575" s="12"/>
      <c r="M13575" s="13"/>
      <c r="N13575" s="2"/>
      <c r="O13575" s="20"/>
      <c r="P13575" s="42"/>
      <c r="R13575" s="23"/>
    </row>
    <row r="13576" spans="1:18" ht="12.75">
      <c r="A13576" s="12"/>
      <c r="D13576" s="12"/>
      <c r="E13576" s="12"/>
      <c r="H13576" s="11" t="str">
        <f ca="1">IFERROR(__xludf.DUMMYFUNCTION("IFERROR(SUBSTITUTE(SUBSTITUTE(REGEXEXTRACT(A13576, ""[^-]+- [^-]+- [^-]+ - (.+?)\.jpg""), "".jpg"", """"), ""-"", "", ""), """")"),"")</f>
        <v/>
      </c>
      <c r="L13576" s="12"/>
      <c r="M13576" s="13"/>
      <c r="N13576" s="2"/>
      <c r="O13576" s="20"/>
      <c r="P13576" s="42"/>
      <c r="R13576" s="23"/>
    </row>
    <row r="13577" spans="1:18" ht="12.75">
      <c r="A13577" s="12"/>
      <c r="D13577" s="12"/>
      <c r="E13577" s="12"/>
      <c r="H13577" s="11" t="str">
        <f ca="1">IFERROR(__xludf.DUMMYFUNCTION("IFERROR(SUBSTITUTE(SUBSTITUTE(REGEXEXTRACT(A13577, ""[^-]+- [^-]+- [^-]+ - (.+?)\.jpg""), "".jpg"", """"), ""-"", "", ""), """")"),"")</f>
        <v/>
      </c>
      <c r="L13577" s="12"/>
      <c r="M13577" s="13"/>
      <c r="N13577" s="2"/>
      <c r="O13577" s="20"/>
      <c r="P13577" s="42"/>
      <c r="R13577" s="23"/>
    </row>
    <row r="13578" spans="1:18" ht="12.75">
      <c r="A13578" s="12"/>
      <c r="D13578" s="12"/>
      <c r="E13578" s="12"/>
      <c r="H13578" s="11" t="str">
        <f ca="1">IFERROR(__xludf.DUMMYFUNCTION("IFERROR(SUBSTITUTE(SUBSTITUTE(REGEXEXTRACT(A13578, ""[^-]+- [^-]+- [^-]+ - (.+?)\.jpg""), "".jpg"", """"), ""-"", "", ""), """")"),"")</f>
        <v/>
      </c>
      <c r="L13578" s="12"/>
      <c r="M13578" s="13"/>
      <c r="N13578" s="2"/>
      <c r="O13578" s="20"/>
      <c r="P13578" s="42"/>
      <c r="R13578" s="23"/>
    </row>
    <row r="13579" spans="1:18" ht="12.75">
      <c r="A13579" s="12"/>
      <c r="D13579" s="12"/>
      <c r="E13579" s="12"/>
      <c r="H13579" s="11" t="str">
        <f ca="1">IFERROR(__xludf.DUMMYFUNCTION("IFERROR(SUBSTITUTE(SUBSTITUTE(REGEXEXTRACT(A13579, ""[^-]+- [^-]+- [^-]+ - (.+?)\.jpg""), "".jpg"", """"), ""-"", "", ""), """")"),"")</f>
        <v/>
      </c>
      <c r="L13579" s="12"/>
      <c r="M13579" s="13"/>
      <c r="N13579" s="2"/>
      <c r="O13579" s="20"/>
      <c r="P13579" s="42"/>
      <c r="R13579" s="23"/>
    </row>
    <row r="13580" spans="1:18" ht="12.75">
      <c r="A13580" s="12"/>
      <c r="D13580" s="12"/>
      <c r="E13580" s="12"/>
      <c r="H13580" s="11" t="str">
        <f ca="1">IFERROR(__xludf.DUMMYFUNCTION("IFERROR(SUBSTITUTE(SUBSTITUTE(REGEXEXTRACT(A13580, ""[^-]+- [^-]+- [^-]+ - (.+?)\.jpg""), "".jpg"", """"), ""-"", "", ""), """")"),"")</f>
        <v/>
      </c>
      <c r="L13580" s="12"/>
      <c r="M13580" s="13"/>
      <c r="N13580" s="2"/>
      <c r="O13580" s="20"/>
      <c r="P13580" s="42"/>
      <c r="R13580" s="23"/>
    </row>
    <row r="13581" spans="1:18" ht="12.75">
      <c r="A13581" s="12"/>
      <c r="D13581" s="12"/>
      <c r="E13581" s="12"/>
      <c r="H13581" s="11" t="str">
        <f ca="1">IFERROR(__xludf.DUMMYFUNCTION("IFERROR(SUBSTITUTE(SUBSTITUTE(REGEXEXTRACT(A13581, ""[^-]+- [^-]+- [^-]+ - (.+?)\.jpg""), "".jpg"", """"), ""-"", "", ""), """")"),"")</f>
        <v/>
      </c>
      <c r="L13581" s="12"/>
      <c r="M13581" s="13"/>
      <c r="N13581" s="2"/>
      <c r="O13581" s="20"/>
      <c r="P13581" s="42"/>
      <c r="R13581" s="23"/>
    </row>
    <row r="13582" spans="1:18" ht="12.75">
      <c r="A13582" s="12"/>
      <c r="D13582" s="12"/>
      <c r="E13582" s="12"/>
      <c r="H13582" s="11" t="str">
        <f ca="1">IFERROR(__xludf.DUMMYFUNCTION("IFERROR(SUBSTITUTE(SUBSTITUTE(REGEXEXTRACT(A13582, ""[^-]+- [^-]+- [^-]+ - (.+?)\.jpg""), "".jpg"", """"), ""-"", "", ""), """")"),"")</f>
        <v/>
      </c>
      <c r="L13582" s="12"/>
      <c r="M13582" s="13"/>
      <c r="N13582" s="2"/>
      <c r="O13582" s="20"/>
      <c r="P13582" s="42"/>
      <c r="R13582" s="23"/>
    </row>
    <row r="13583" spans="1:18" ht="12.75">
      <c r="A13583" s="12"/>
      <c r="D13583" s="12"/>
      <c r="E13583" s="12"/>
      <c r="H13583" s="11" t="str">
        <f ca="1">IFERROR(__xludf.DUMMYFUNCTION("IFERROR(SUBSTITUTE(SUBSTITUTE(REGEXEXTRACT(A13583, ""[^-]+- [^-]+- [^-]+ - (.+?)\.jpg""), "".jpg"", """"), ""-"", "", ""), """")"),"")</f>
        <v/>
      </c>
      <c r="L13583" s="12"/>
      <c r="M13583" s="13"/>
      <c r="N13583" s="2"/>
      <c r="O13583" s="20"/>
      <c r="P13583" s="42"/>
      <c r="R13583" s="23"/>
    </row>
    <row r="13584" spans="1:18" ht="12.75">
      <c r="A13584" s="12"/>
      <c r="D13584" s="12"/>
      <c r="E13584" s="12"/>
      <c r="H13584" s="11" t="str">
        <f ca="1">IFERROR(__xludf.DUMMYFUNCTION("IFERROR(SUBSTITUTE(SUBSTITUTE(REGEXEXTRACT(A13584, ""[^-]+- [^-]+- [^-]+ - (.+?)\.jpg""), "".jpg"", """"), ""-"", "", ""), """")"),"")</f>
        <v/>
      </c>
      <c r="L13584" s="12"/>
      <c r="M13584" s="13"/>
      <c r="N13584" s="2"/>
      <c r="O13584" s="20"/>
      <c r="P13584" s="42"/>
      <c r="R13584" s="23"/>
    </row>
    <row r="13585" spans="1:18" ht="12.75">
      <c r="A13585" s="12"/>
      <c r="D13585" s="12"/>
      <c r="E13585" s="12"/>
      <c r="H13585" s="11" t="str">
        <f ca="1">IFERROR(__xludf.DUMMYFUNCTION("IFERROR(SUBSTITUTE(SUBSTITUTE(REGEXEXTRACT(A13585, ""[^-]+- [^-]+- [^-]+ - (.+?)\.jpg""), "".jpg"", """"), ""-"", "", ""), """")"),"")</f>
        <v/>
      </c>
      <c r="L13585" s="12"/>
      <c r="M13585" s="13"/>
      <c r="N13585" s="2"/>
      <c r="O13585" s="20"/>
      <c r="P13585" s="42"/>
      <c r="R13585" s="23"/>
    </row>
    <row r="13586" spans="1:18" ht="12.75">
      <c r="A13586" s="12"/>
      <c r="D13586" s="12"/>
      <c r="E13586" s="12"/>
      <c r="H13586" s="11" t="str">
        <f ca="1">IFERROR(__xludf.DUMMYFUNCTION("IFERROR(SUBSTITUTE(SUBSTITUTE(REGEXEXTRACT(A13586, ""[^-]+- [^-]+- [^-]+ - (.+?)\.jpg""), "".jpg"", """"), ""-"", "", ""), """")"),"")</f>
        <v/>
      </c>
      <c r="L13586" s="12"/>
      <c r="M13586" s="13"/>
      <c r="N13586" s="2"/>
      <c r="O13586" s="20"/>
      <c r="P13586" s="42"/>
      <c r="R13586" s="23"/>
    </row>
    <row r="13587" spans="1:18" ht="12.75">
      <c r="A13587" s="12"/>
      <c r="D13587" s="12"/>
      <c r="E13587" s="12"/>
      <c r="H13587" s="11" t="str">
        <f ca="1">IFERROR(__xludf.DUMMYFUNCTION("IFERROR(SUBSTITUTE(SUBSTITUTE(REGEXEXTRACT(A13587, ""[^-]+- [^-]+- [^-]+ - (.+?)\.jpg""), "".jpg"", """"), ""-"", "", ""), """")"),"")</f>
        <v/>
      </c>
      <c r="L13587" s="12"/>
      <c r="M13587" s="13"/>
      <c r="N13587" s="2"/>
      <c r="O13587" s="20"/>
      <c r="P13587" s="42"/>
      <c r="R13587" s="23"/>
    </row>
    <row r="13588" spans="1:18" ht="12.75">
      <c r="A13588" s="12"/>
      <c r="D13588" s="12"/>
      <c r="E13588" s="12"/>
      <c r="H13588" s="11" t="str">
        <f ca="1">IFERROR(__xludf.DUMMYFUNCTION("IFERROR(SUBSTITUTE(SUBSTITUTE(REGEXEXTRACT(A13588, ""[^-]+- [^-]+- [^-]+ - (.+?)\.jpg""), "".jpg"", """"), ""-"", "", ""), """")"),"")</f>
        <v/>
      </c>
      <c r="L13588" s="12"/>
      <c r="M13588" s="13"/>
      <c r="N13588" s="2"/>
      <c r="O13588" s="20"/>
      <c r="P13588" s="42"/>
      <c r="R13588" s="23"/>
    </row>
    <row r="13589" spans="1:18" ht="12.75">
      <c r="A13589" s="12"/>
      <c r="D13589" s="12"/>
      <c r="E13589" s="12"/>
      <c r="H13589" s="11" t="str">
        <f ca="1">IFERROR(__xludf.DUMMYFUNCTION("IFERROR(SUBSTITUTE(SUBSTITUTE(REGEXEXTRACT(A13589, ""[^-]+- [^-]+- [^-]+ - (.+?)\.jpg""), "".jpg"", """"), ""-"", "", ""), """")"),"")</f>
        <v/>
      </c>
      <c r="L13589" s="12"/>
      <c r="M13589" s="13"/>
      <c r="N13589" s="2"/>
      <c r="O13589" s="20"/>
      <c r="P13589" s="42"/>
      <c r="R13589" s="23"/>
    </row>
    <row r="13590" spans="1:18" ht="12.75">
      <c r="A13590" s="12"/>
      <c r="D13590" s="12"/>
      <c r="E13590" s="12"/>
      <c r="H13590" s="11" t="str">
        <f ca="1">IFERROR(__xludf.DUMMYFUNCTION("IFERROR(SUBSTITUTE(SUBSTITUTE(REGEXEXTRACT(A13590, ""[^-]+- [^-]+- [^-]+ - (.+?)\.jpg""), "".jpg"", """"), ""-"", "", ""), """")"),"")</f>
        <v/>
      </c>
      <c r="L13590" s="12"/>
      <c r="M13590" s="13"/>
      <c r="N13590" s="2"/>
      <c r="O13590" s="20"/>
      <c r="P13590" s="42"/>
      <c r="R13590" s="23"/>
    </row>
    <row r="13591" spans="1:18" ht="12.75">
      <c r="A13591" s="12"/>
      <c r="D13591" s="12"/>
      <c r="E13591" s="12"/>
      <c r="H13591" s="11" t="str">
        <f ca="1">IFERROR(__xludf.DUMMYFUNCTION("IFERROR(SUBSTITUTE(SUBSTITUTE(REGEXEXTRACT(A13591, ""[^-]+- [^-]+- [^-]+ - (.+?)\.jpg""), "".jpg"", """"), ""-"", "", ""), """")"),"")</f>
        <v/>
      </c>
      <c r="L13591" s="12"/>
      <c r="M13591" s="13"/>
      <c r="N13591" s="2"/>
      <c r="O13591" s="20"/>
      <c r="P13591" s="42"/>
      <c r="R13591" s="23"/>
    </row>
    <row r="13592" spans="1:18" ht="12.75">
      <c r="A13592" s="12"/>
      <c r="D13592" s="12"/>
      <c r="E13592" s="12"/>
      <c r="H13592" s="11" t="str">
        <f ca="1">IFERROR(__xludf.DUMMYFUNCTION("IFERROR(SUBSTITUTE(SUBSTITUTE(REGEXEXTRACT(A13592, ""[^-]+- [^-]+- [^-]+ - (.+?)\.jpg""), "".jpg"", """"), ""-"", "", ""), """")"),"")</f>
        <v/>
      </c>
      <c r="L13592" s="12"/>
      <c r="M13592" s="13"/>
      <c r="N13592" s="2"/>
      <c r="O13592" s="20"/>
      <c r="P13592" s="42"/>
      <c r="R13592" s="23"/>
    </row>
    <row r="13593" spans="1:18" ht="12.75">
      <c r="A13593" s="12"/>
      <c r="D13593" s="12"/>
      <c r="E13593" s="12"/>
      <c r="H13593" s="11" t="str">
        <f ca="1">IFERROR(__xludf.DUMMYFUNCTION("IFERROR(SUBSTITUTE(SUBSTITUTE(REGEXEXTRACT(A13593, ""[^-]+- [^-]+- [^-]+ - (.+?)\.jpg""), "".jpg"", """"), ""-"", "", ""), """")"),"")</f>
        <v/>
      </c>
      <c r="L13593" s="12"/>
      <c r="M13593" s="13"/>
      <c r="N13593" s="2"/>
      <c r="O13593" s="20"/>
      <c r="P13593" s="42"/>
      <c r="R13593" s="23"/>
    </row>
    <row r="13594" spans="1:18" ht="12.75">
      <c r="A13594" s="12"/>
      <c r="D13594" s="12"/>
      <c r="E13594" s="12"/>
      <c r="H13594" s="11" t="str">
        <f ca="1">IFERROR(__xludf.DUMMYFUNCTION("IFERROR(SUBSTITUTE(SUBSTITUTE(REGEXEXTRACT(A13594, ""[^-]+- [^-]+- [^-]+ - (.+?)\.jpg""), "".jpg"", """"), ""-"", "", ""), """")"),"")</f>
        <v/>
      </c>
      <c r="L13594" s="12"/>
      <c r="M13594" s="13"/>
      <c r="N13594" s="2"/>
      <c r="O13594" s="20"/>
      <c r="P13594" s="42"/>
      <c r="R13594" s="23"/>
    </row>
    <row r="13595" spans="1:18" ht="12.75">
      <c r="A13595" s="12"/>
      <c r="D13595" s="12"/>
      <c r="E13595" s="12"/>
      <c r="H13595" s="11" t="str">
        <f ca="1">IFERROR(__xludf.DUMMYFUNCTION("IFERROR(SUBSTITUTE(SUBSTITUTE(REGEXEXTRACT(A13595, ""[^-]+- [^-]+- [^-]+ - (.+?)\.jpg""), "".jpg"", """"), ""-"", "", ""), """")"),"")</f>
        <v/>
      </c>
      <c r="L13595" s="12"/>
      <c r="M13595" s="13"/>
      <c r="N13595" s="2"/>
      <c r="O13595" s="20"/>
      <c r="P13595" s="42"/>
      <c r="R13595" s="23"/>
    </row>
    <row r="13596" spans="1:18" ht="12.75">
      <c r="A13596" s="12"/>
      <c r="D13596" s="12"/>
      <c r="E13596" s="12"/>
      <c r="H13596" s="11" t="str">
        <f ca="1">IFERROR(__xludf.DUMMYFUNCTION("IFERROR(SUBSTITUTE(SUBSTITUTE(REGEXEXTRACT(A13596, ""[^-]+- [^-]+- [^-]+ - (.+?)\.jpg""), "".jpg"", """"), ""-"", "", ""), """")"),"")</f>
        <v/>
      </c>
      <c r="L13596" s="12"/>
      <c r="M13596" s="13"/>
      <c r="N13596" s="2"/>
      <c r="O13596" s="20"/>
      <c r="P13596" s="42"/>
      <c r="R13596" s="23"/>
    </row>
    <row r="13597" spans="1:18" ht="12.75">
      <c r="A13597" s="12"/>
      <c r="D13597" s="12"/>
      <c r="E13597" s="12"/>
      <c r="H13597" s="11" t="str">
        <f ca="1">IFERROR(__xludf.DUMMYFUNCTION("IFERROR(SUBSTITUTE(SUBSTITUTE(REGEXEXTRACT(A13597, ""[^-]+- [^-]+- [^-]+ - (.+?)\.jpg""), "".jpg"", """"), ""-"", "", ""), """")"),"")</f>
        <v/>
      </c>
      <c r="L13597" s="12"/>
      <c r="M13597" s="13"/>
      <c r="N13597" s="2"/>
      <c r="O13597" s="20"/>
      <c r="P13597" s="42"/>
      <c r="R13597" s="23"/>
    </row>
    <row r="13598" spans="1:18" ht="12.75">
      <c r="A13598" s="12"/>
      <c r="D13598" s="12"/>
      <c r="E13598" s="12"/>
      <c r="H13598" s="11" t="str">
        <f ca="1">IFERROR(__xludf.DUMMYFUNCTION("IFERROR(SUBSTITUTE(SUBSTITUTE(REGEXEXTRACT(A13598, ""[^-]+- [^-]+- [^-]+ - (.+?)\.jpg""), "".jpg"", """"), ""-"", "", ""), """")"),"")</f>
        <v/>
      </c>
      <c r="L13598" s="12"/>
      <c r="M13598" s="13"/>
      <c r="N13598" s="2"/>
      <c r="O13598" s="20"/>
      <c r="P13598" s="42"/>
      <c r="R13598" s="23"/>
    </row>
    <row r="13599" spans="1:18" ht="12.75">
      <c r="A13599" s="12"/>
      <c r="D13599" s="12"/>
      <c r="E13599" s="12"/>
      <c r="H13599" s="11" t="str">
        <f ca="1">IFERROR(__xludf.DUMMYFUNCTION("IFERROR(SUBSTITUTE(SUBSTITUTE(REGEXEXTRACT(A13599, ""[^-]+- [^-]+- [^-]+ - (.+?)\.jpg""), "".jpg"", """"), ""-"", "", ""), """")"),"")</f>
        <v/>
      </c>
      <c r="L13599" s="12"/>
      <c r="M13599" s="13"/>
      <c r="N13599" s="2"/>
      <c r="O13599" s="20"/>
      <c r="P13599" s="42"/>
      <c r="R13599" s="23"/>
    </row>
    <row r="13600" spans="1:18" ht="12.75">
      <c r="A13600" s="12"/>
      <c r="D13600" s="12"/>
      <c r="E13600" s="12"/>
      <c r="H13600" s="11" t="str">
        <f ca="1">IFERROR(__xludf.DUMMYFUNCTION("IFERROR(SUBSTITUTE(SUBSTITUTE(REGEXEXTRACT(A13600, ""[^-]+- [^-]+- [^-]+ - (.+?)\.jpg""), "".jpg"", """"), ""-"", "", ""), """")"),"")</f>
        <v/>
      </c>
      <c r="L13600" s="12"/>
      <c r="M13600" s="13"/>
      <c r="N13600" s="2"/>
      <c r="O13600" s="20"/>
      <c r="P13600" s="42"/>
      <c r="R13600" s="23"/>
    </row>
    <row r="13601" spans="1:18" ht="12.75">
      <c r="A13601" s="12"/>
      <c r="D13601" s="12"/>
      <c r="E13601" s="12"/>
      <c r="H13601" s="11" t="str">
        <f ca="1">IFERROR(__xludf.DUMMYFUNCTION("IFERROR(SUBSTITUTE(SUBSTITUTE(REGEXEXTRACT(A13601, ""[^-]+- [^-]+- [^-]+ - (.+?)\.jpg""), "".jpg"", """"), ""-"", "", ""), """")"),"")</f>
        <v/>
      </c>
      <c r="L13601" s="12"/>
      <c r="M13601" s="13"/>
      <c r="N13601" s="2"/>
      <c r="O13601" s="20"/>
      <c r="P13601" s="42"/>
      <c r="R13601" s="23"/>
    </row>
    <row r="13602" spans="1:18" ht="12.75">
      <c r="A13602" s="12"/>
      <c r="D13602" s="12"/>
      <c r="E13602" s="12"/>
      <c r="H13602" s="11" t="str">
        <f ca="1">IFERROR(__xludf.DUMMYFUNCTION("IFERROR(SUBSTITUTE(SUBSTITUTE(REGEXEXTRACT(A13602, ""[^-]+- [^-]+- [^-]+ - (.+?)\.jpg""), "".jpg"", """"), ""-"", "", ""), """")"),"")</f>
        <v/>
      </c>
      <c r="L13602" s="12"/>
      <c r="M13602" s="13"/>
      <c r="N13602" s="2"/>
      <c r="O13602" s="20"/>
      <c r="P13602" s="42"/>
      <c r="R13602" s="23"/>
    </row>
    <row r="13603" spans="1:18" ht="12.75">
      <c r="A13603" s="12"/>
      <c r="D13603" s="12"/>
      <c r="E13603" s="12"/>
      <c r="H13603" s="11" t="str">
        <f ca="1">IFERROR(__xludf.DUMMYFUNCTION("IFERROR(SUBSTITUTE(SUBSTITUTE(REGEXEXTRACT(A13603, ""[^-]+- [^-]+- [^-]+ - (.+?)\.jpg""), "".jpg"", """"), ""-"", "", ""), """")"),"")</f>
        <v/>
      </c>
      <c r="L13603" s="12"/>
      <c r="M13603" s="13"/>
      <c r="N13603" s="2"/>
      <c r="O13603" s="20"/>
      <c r="P13603" s="42"/>
      <c r="R13603" s="23"/>
    </row>
    <row r="13604" spans="1:18" ht="12.75">
      <c r="A13604" s="12"/>
      <c r="D13604" s="12"/>
      <c r="E13604" s="12"/>
      <c r="H13604" s="11" t="str">
        <f ca="1">IFERROR(__xludf.DUMMYFUNCTION("IFERROR(SUBSTITUTE(SUBSTITUTE(REGEXEXTRACT(A13604, ""[^-]+- [^-]+- [^-]+ - (.+?)\.jpg""), "".jpg"", """"), ""-"", "", ""), """")"),"")</f>
        <v/>
      </c>
      <c r="L13604" s="12"/>
      <c r="M13604" s="13"/>
      <c r="N13604" s="2"/>
      <c r="O13604" s="20"/>
      <c r="P13604" s="42"/>
      <c r="R13604" s="23"/>
    </row>
    <row r="13605" spans="1:18" ht="12.75">
      <c r="A13605" s="12"/>
      <c r="D13605" s="12"/>
      <c r="E13605" s="12"/>
      <c r="H13605" s="11" t="str">
        <f ca="1">IFERROR(__xludf.DUMMYFUNCTION("IFERROR(SUBSTITUTE(SUBSTITUTE(REGEXEXTRACT(A13605, ""[^-]+- [^-]+- [^-]+ - (.+?)\.jpg""), "".jpg"", """"), ""-"", "", ""), """")"),"")</f>
        <v/>
      </c>
      <c r="L13605" s="12"/>
      <c r="M13605" s="13"/>
      <c r="N13605" s="2"/>
      <c r="O13605" s="20"/>
      <c r="P13605" s="42"/>
      <c r="R13605" s="23"/>
    </row>
    <row r="13606" spans="1:18" ht="12.75">
      <c r="A13606" s="12"/>
      <c r="D13606" s="12"/>
      <c r="E13606" s="12"/>
      <c r="H13606" s="11" t="str">
        <f ca="1">IFERROR(__xludf.DUMMYFUNCTION("IFERROR(SUBSTITUTE(SUBSTITUTE(REGEXEXTRACT(A13606, ""[^-]+- [^-]+- [^-]+ - (.+?)\.jpg""), "".jpg"", """"), ""-"", "", ""), """")"),"")</f>
        <v/>
      </c>
      <c r="L13606" s="12"/>
      <c r="M13606" s="13"/>
      <c r="N13606" s="2"/>
      <c r="O13606" s="20"/>
      <c r="P13606" s="42"/>
      <c r="R13606" s="23"/>
    </row>
    <row r="13607" spans="1:18" ht="12.75">
      <c r="A13607" s="12"/>
      <c r="D13607" s="12"/>
      <c r="E13607" s="12"/>
      <c r="H13607" s="11" t="str">
        <f ca="1">IFERROR(__xludf.DUMMYFUNCTION("IFERROR(SUBSTITUTE(SUBSTITUTE(REGEXEXTRACT(A13607, ""[^-]+- [^-]+- [^-]+ - (.+?)\.jpg""), "".jpg"", """"), ""-"", "", ""), """")"),"")</f>
        <v/>
      </c>
      <c r="L13607" s="12"/>
      <c r="M13607" s="13"/>
      <c r="N13607" s="2"/>
      <c r="O13607" s="20"/>
      <c r="P13607" s="42"/>
      <c r="R13607" s="23"/>
    </row>
    <row r="13608" spans="1:18" ht="12.75">
      <c r="A13608" s="12"/>
      <c r="D13608" s="12"/>
      <c r="E13608" s="12"/>
      <c r="H13608" s="11" t="str">
        <f ca="1">IFERROR(__xludf.DUMMYFUNCTION("IFERROR(SUBSTITUTE(SUBSTITUTE(REGEXEXTRACT(A13608, ""[^-]+- [^-]+- [^-]+ - (.+?)\.jpg""), "".jpg"", """"), ""-"", "", ""), """")"),"")</f>
        <v/>
      </c>
      <c r="L13608" s="12"/>
      <c r="M13608" s="13"/>
      <c r="N13608" s="2"/>
      <c r="O13608" s="20"/>
      <c r="P13608" s="42"/>
      <c r="R13608" s="23"/>
    </row>
    <row r="13609" spans="1:18" ht="12.75">
      <c r="A13609" s="12"/>
      <c r="D13609" s="12"/>
      <c r="E13609" s="12"/>
      <c r="H13609" s="11" t="str">
        <f ca="1">IFERROR(__xludf.DUMMYFUNCTION("IFERROR(SUBSTITUTE(SUBSTITUTE(REGEXEXTRACT(A13609, ""[^-]+- [^-]+- [^-]+ - (.+?)\.jpg""), "".jpg"", """"), ""-"", "", ""), """")"),"")</f>
        <v/>
      </c>
      <c r="L13609" s="12"/>
      <c r="M13609" s="13"/>
      <c r="N13609" s="2"/>
      <c r="O13609" s="20"/>
      <c r="P13609" s="42"/>
      <c r="R13609" s="23"/>
    </row>
    <row r="13610" spans="1:18" ht="12.75">
      <c r="A13610" s="12"/>
      <c r="D13610" s="12"/>
      <c r="E13610" s="12"/>
      <c r="H13610" s="11" t="str">
        <f ca="1">IFERROR(__xludf.DUMMYFUNCTION("IFERROR(SUBSTITUTE(SUBSTITUTE(REGEXEXTRACT(A13610, ""[^-]+- [^-]+- [^-]+ - (.+?)\.jpg""), "".jpg"", """"), ""-"", "", ""), """")"),"")</f>
        <v/>
      </c>
      <c r="L13610" s="12"/>
      <c r="M13610" s="13"/>
      <c r="N13610" s="2"/>
      <c r="O13610" s="20"/>
      <c r="P13610" s="42"/>
      <c r="R13610" s="23"/>
    </row>
    <row r="13611" spans="1:18" ht="12.75">
      <c r="A13611" s="12"/>
      <c r="D13611" s="12"/>
      <c r="E13611" s="12"/>
      <c r="H13611" s="11" t="str">
        <f ca="1">IFERROR(__xludf.DUMMYFUNCTION("IFERROR(SUBSTITUTE(SUBSTITUTE(REGEXEXTRACT(A13611, ""[^-]+- [^-]+- [^-]+ - (.+?)\.jpg""), "".jpg"", """"), ""-"", "", ""), """")"),"")</f>
        <v/>
      </c>
      <c r="L13611" s="12"/>
      <c r="M13611" s="13"/>
      <c r="N13611" s="2"/>
      <c r="O13611" s="20"/>
      <c r="P13611" s="42"/>
      <c r="R13611" s="23"/>
    </row>
    <row r="13612" spans="1:18" ht="12.75">
      <c r="A13612" s="12"/>
      <c r="D13612" s="12"/>
      <c r="E13612" s="12"/>
      <c r="H13612" s="11" t="str">
        <f ca="1">IFERROR(__xludf.DUMMYFUNCTION("IFERROR(SUBSTITUTE(SUBSTITUTE(REGEXEXTRACT(A13612, ""[^-]+- [^-]+- [^-]+ - (.+?)\.jpg""), "".jpg"", """"), ""-"", "", ""), """")"),"")</f>
        <v/>
      </c>
      <c r="L13612" s="12"/>
      <c r="M13612" s="13"/>
      <c r="N13612" s="2"/>
      <c r="O13612" s="20"/>
      <c r="P13612" s="42"/>
      <c r="R13612" s="23"/>
    </row>
    <row r="13613" spans="1:18" ht="12.75">
      <c r="A13613" s="12"/>
      <c r="D13613" s="12"/>
      <c r="E13613" s="12"/>
      <c r="H13613" s="11" t="str">
        <f ca="1">IFERROR(__xludf.DUMMYFUNCTION("IFERROR(SUBSTITUTE(SUBSTITUTE(REGEXEXTRACT(A13613, ""[^-]+- [^-]+- [^-]+ - (.+?)\.jpg""), "".jpg"", """"), ""-"", "", ""), """")"),"")</f>
        <v/>
      </c>
      <c r="L13613" s="12"/>
      <c r="M13613" s="13"/>
      <c r="N13613" s="2"/>
      <c r="O13613" s="20"/>
      <c r="P13613" s="42"/>
      <c r="R13613" s="23"/>
    </row>
    <row r="13614" spans="1:18" ht="12.75">
      <c r="A13614" s="12"/>
      <c r="D13614" s="12"/>
      <c r="E13614" s="12"/>
      <c r="H13614" s="11" t="str">
        <f ca="1">IFERROR(__xludf.DUMMYFUNCTION("IFERROR(SUBSTITUTE(SUBSTITUTE(REGEXEXTRACT(A13614, ""[^-]+- [^-]+- [^-]+ - (.+?)\.jpg""), "".jpg"", """"), ""-"", "", ""), """")"),"")</f>
        <v/>
      </c>
      <c r="L13614" s="12"/>
      <c r="M13614" s="13"/>
      <c r="N13614" s="2"/>
      <c r="O13614" s="20"/>
      <c r="P13614" s="42"/>
      <c r="R13614" s="23"/>
    </row>
    <row r="13615" spans="1:18" ht="12.75">
      <c r="A13615" s="12"/>
      <c r="D13615" s="12"/>
      <c r="E13615" s="12"/>
      <c r="H13615" s="11" t="str">
        <f ca="1">IFERROR(__xludf.DUMMYFUNCTION("IFERROR(SUBSTITUTE(SUBSTITUTE(REGEXEXTRACT(A13615, ""[^-]+- [^-]+- [^-]+ - (.+?)\.jpg""), "".jpg"", """"), ""-"", "", ""), """")"),"")</f>
        <v/>
      </c>
      <c r="L13615" s="12"/>
      <c r="M13615" s="13"/>
      <c r="N13615" s="2"/>
      <c r="O13615" s="20"/>
      <c r="P13615" s="42"/>
      <c r="R13615" s="23"/>
    </row>
    <row r="13616" spans="1:18" ht="12.75">
      <c r="A13616" s="12"/>
      <c r="D13616" s="12"/>
      <c r="E13616" s="12"/>
      <c r="H13616" s="11" t="str">
        <f ca="1">IFERROR(__xludf.DUMMYFUNCTION("IFERROR(SUBSTITUTE(SUBSTITUTE(REGEXEXTRACT(A13616, ""[^-]+- [^-]+- [^-]+ - (.+?)\.jpg""), "".jpg"", """"), ""-"", "", ""), """")"),"")</f>
        <v/>
      </c>
      <c r="L13616" s="12"/>
      <c r="M13616" s="13"/>
      <c r="N13616" s="2"/>
      <c r="O13616" s="20"/>
      <c r="P13616" s="42"/>
      <c r="R13616" s="23"/>
    </row>
    <row r="13617" spans="1:18" ht="12.75">
      <c r="A13617" s="12"/>
      <c r="D13617" s="12"/>
      <c r="E13617" s="12"/>
      <c r="H13617" s="11" t="str">
        <f ca="1">IFERROR(__xludf.DUMMYFUNCTION("IFERROR(SUBSTITUTE(SUBSTITUTE(REGEXEXTRACT(A13617, ""[^-]+- [^-]+- [^-]+ - (.+?)\.jpg""), "".jpg"", """"), ""-"", "", ""), """")"),"")</f>
        <v/>
      </c>
      <c r="L13617" s="12"/>
      <c r="M13617" s="13"/>
      <c r="N13617" s="2"/>
      <c r="O13617" s="20"/>
      <c r="P13617" s="42"/>
      <c r="R13617" s="23"/>
    </row>
    <row r="13618" spans="1:18" ht="12.75">
      <c r="A13618" s="12"/>
      <c r="D13618" s="12"/>
      <c r="E13618" s="12"/>
      <c r="H13618" s="11" t="str">
        <f ca="1">IFERROR(__xludf.DUMMYFUNCTION("IFERROR(SUBSTITUTE(SUBSTITUTE(REGEXEXTRACT(A13618, ""[^-]+- [^-]+- [^-]+ - (.+?)\.jpg""), "".jpg"", """"), ""-"", "", ""), """")"),"")</f>
        <v/>
      </c>
      <c r="L13618" s="12"/>
      <c r="M13618" s="13"/>
      <c r="N13618" s="2"/>
      <c r="O13618" s="20"/>
      <c r="P13618" s="42"/>
      <c r="R13618" s="23"/>
    </row>
    <row r="13619" spans="1:18" ht="12.75">
      <c r="A13619" s="12"/>
      <c r="D13619" s="12"/>
      <c r="E13619" s="12"/>
      <c r="H13619" s="11" t="str">
        <f ca="1">IFERROR(__xludf.DUMMYFUNCTION("IFERROR(SUBSTITUTE(SUBSTITUTE(REGEXEXTRACT(A13619, ""[^-]+- [^-]+- [^-]+ - (.+?)\.jpg""), "".jpg"", """"), ""-"", "", ""), """")"),"")</f>
        <v/>
      </c>
      <c r="L13619" s="12"/>
      <c r="M13619" s="13"/>
      <c r="N13619" s="2"/>
      <c r="O13619" s="20"/>
      <c r="P13619" s="42"/>
      <c r="R13619" s="23"/>
    </row>
    <row r="13620" spans="1:18" ht="12.75">
      <c r="A13620" s="12"/>
      <c r="D13620" s="12"/>
      <c r="E13620" s="12"/>
      <c r="H13620" s="11" t="str">
        <f ca="1">IFERROR(__xludf.DUMMYFUNCTION("IFERROR(SUBSTITUTE(SUBSTITUTE(REGEXEXTRACT(A13620, ""[^-]+- [^-]+- [^-]+ - (.+?)\.jpg""), "".jpg"", """"), ""-"", "", ""), """")"),"")</f>
        <v/>
      </c>
      <c r="L13620" s="12"/>
      <c r="M13620" s="13"/>
      <c r="N13620" s="2"/>
      <c r="O13620" s="20"/>
      <c r="P13620" s="42"/>
      <c r="R13620" s="23"/>
    </row>
    <row r="13621" spans="1:18" ht="12.75">
      <c r="A13621" s="12"/>
      <c r="D13621" s="12"/>
      <c r="E13621" s="12"/>
      <c r="H13621" s="11" t="str">
        <f ca="1">IFERROR(__xludf.DUMMYFUNCTION("IFERROR(SUBSTITUTE(SUBSTITUTE(REGEXEXTRACT(A13621, ""[^-]+- [^-]+- [^-]+ - (.+?)\.jpg""), "".jpg"", """"), ""-"", "", ""), """")"),"")</f>
        <v/>
      </c>
      <c r="L13621" s="12"/>
      <c r="M13621" s="13"/>
      <c r="N13621" s="2"/>
      <c r="O13621" s="20"/>
      <c r="P13621" s="42"/>
      <c r="R13621" s="23"/>
    </row>
    <row r="13622" spans="1:18" ht="12.75">
      <c r="A13622" s="12"/>
      <c r="D13622" s="12"/>
      <c r="E13622" s="12"/>
      <c r="H13622" s="11" t="str">
        <f ca="1">IFERROR(__xludf.DUMMYFUNCTION("IFERROR(SUBSTITUTE(SUBSTITUTE(REGEXEXTRACT(A13622, ""[^-]+- [^-]+- [^-]+ - (.+?)\.jpg""), "".jpg"", """"), ""-"", "", ""), """")"),"")</f>
        <v/>
      </c>
      <c r="L13622" s="12"/>
      <c r="M13622" s="13"/>
      <c r="N13622" s="2"/>
      <c r="O13622" s="20"/>
      <c r="P13622" s="42"/>
      <c r="R13622" s="23"/>
    </row>
    <row r="13623" spans="1:18" ht="12.75">
      <c r="A13623" s="12"/>
      <c r="D13623" s="12"/>
      <c r="E13623" s="12"/>
      <c r="H13623" s="11" t="str">
        <f ca="1">IFERROR(__xludf.DUMMYFUNCTION("IFERROR(SUBSTITUTE(SUBSTITUTE(REGEXEXTRACT(A13623, ""[^-]+- [^-]+- [^-]+ - (.+?)\.jpg""), "".jpg"", """"), ""-"", "", ""), """")"),"")</f>
        <v/>
      </c>
      <c r="L13623" s="12"/>
      <c r="M13623" s="13"/>
      <c r="N13623" s="2"/>
      <c r="O13623" s="20"/>
      <c r="P13623" s="42"/>
      <c r="R13623" s="23"/>
    </row>
    <row r="13624" spans="1:18" ht="12.75">
      <c r="A13624" s="12"/>
      <c r="D13624" s="12"/>
      <c r="E13624" s="12"/>
      <c r="H13624" s="11" t="str">
        <f ca="1">IFERROR(__xludf.DUMMYFUNCTION("IFERROR(SUBSTITUTE(SUBSTITUTE(REGEXEXTRACT(A13624, ""[^-]+- [^-]+- [^-]+ - (.+?)\.jpg""), "".jpg"", """"), ""-"", "", ""), """")"),"")</f>
        <v/>
      </c>
      <c r="L13624" s="12"/>
      <c r="M13624" s="13"/>
      <c r="N13624" s="2"/>
      <c r="O13624" s="20"/>
      <c r="P13624" s="42"/>
      <c r="R13624" s="23"/>
    </row>
    <row r="13625" spans="1:18" ht="12.75">
      <c r="A13625" s="12"/>
      <c r="D13625" s="12"/>
      <c r="E13625" s="12"/>
      <c r="H13625" s="11" t="str">
        <f ca="1">IFERROR(__xludf.DUMMYFUNCTION("IFERROR(SUBSTITUTE(SUBSTITUTE(REGEXEXTRACT(A13625, ""[^-]+- [^-]+- [^-]+ - (.+?)\.jpg""), "".jpg"", """"), ""-"", "", ""), """")"),"")</f>
        <v/>
      </c>
      <c r="L13625" s="12"/>
      <c r="M13625" s="13"/>
      <c r="N13625" s="2"/>
      <c r="O13625" s="20"/>
      <c r="P13625" s="42"/>
      <c r="R13625" s="23"/>
    </row>
    <row r="13626" spans="1:18" ht="12.75">
      <c r="A13626" s="12"/>
      <c r="D13626" s="12"/>
      <c r="E13626" s="12"/>
      <c r="H13626" s="11" t="str">
        <f ca="1">IFERROR(__xludf.DUMMYFUNCTION("IFERROR(SUBSTITUTE(SUBSTITUTE(REGEXEXTRACT(A13626, ""[^-]+- [^-]+- [^-]+ - (.+?)\.jpg""), "".jpg"", """"), ""-"", "", ""), """")"),"")</f>
        <v/>
      </c>
      <c r="L13626" s="12"/>
      <c r="M13626" s="13"/>
      <c r="N13626" s="2"/>
      <c r="O13626" s="20"/>
      <c r="P13626" s="42"/>
      <c r="R13626" s="23"/>
    </row>
    <row r="13627" spans="1:18" ht="12.75">
      <c r="A13627" s="12"/>
      <c r="D13627" s="12"/>
      <c r="E13627" s="12"/>
      <c r="H13627" s="11" t="str">
        <f ca="1">IFERROR(__xludf.DUMMYFUNCTION("IFERROR(SUBSTITUTE(SUBSTITUTE(REGEXEXTRACT(A13627, ""[^-]+- [^-]+- [^-]+ - (.+?)\.jpg""), "".jpg"", """"), ""-"", "", ""), """")"),"")</f>
        <v/>
      </c>
      <c r="L13627" s="12"/>
      <c r="M13627" s="13"/>
      <c r="N13627" s="2"/>
      <c r="O13627" s="20"/>
      <c r="P13627" s="42"/>
      <c r="R13627" s="23"/>
    </row>
    <row r="13628" spans="1:18" ht="12.75">
      <c r="A13628" s="12"/>
      <c r="D13628" s="12"/>
      <c r="E13628" s="12"/>
      <c r="H13628" s="11" t="str">
        <f ca="1">IFERROR(__xludf.DUMMYFUNCTION("IFERROR(SUBSTITUTE(SUBSTITUTE(REGEXEXTRACT(A13628, ""[^-]+- [^-]+- [^-]+ - (.+?)\.jpg""), "".jpg"", """"), ""-"", "", ""), """")"),"")</f>
        <v/>
      </c>
      <c r="L13628" s="12"/>
      <c r="M13628" s="13"/>
      <c r="N13628" s="2"/>
      <c r="O13628" s="20"/>
      <c r="P13628" s="42"/>
      <c r="R13628" s="23"/>
    </row>
    <row r="13629" spans="1:18" ht="12.75">
      <c r="A13629" s="12"/>
      <c r="D13629" s="12"/>
      <c r="E13629" s="12"/>
      <c r="H13629" s="11" t="str">
        <f ca="1">IFERROR(__xludf.DUMMYFUNCTION("IFERROR(SUBSTITUTE(SUBSTITUTE(REGEXEXTRACT(A13629, ""[^-]+- [^-]+- [^-]+ - (.+?)\.jpg""), "".jpg"", """"), ""-"", "", ""), """")"),"")</f>
        <v/>
      </c>
      <c r="L13629" s="12"/>
      <c r="M13629" s="13"/>
      <c r="N13629" s="2"/>
      <c r="O13629" s="20"/>
      <c r="P13629" s="42"/>
      <c r="R13629" s="23"/>
    </row>
    <row r="13630" spans="1:18" ht="12.75">
      <c r="A13630" s="12"/>
      <c r="D13630" s="12"/>
      <c r="E13630" s="12"/>
      <c r="H13630" s="11" t="str">
        <f ca="1">IFERROR(__xludf.DUMMYFUNCTION("IFERROR(SUBSTITUTE(SUBSTITUTE(REGEXEXTRACT(A13630, ""[^-]+- [^-]+- [^-]+ - (.+?)\.jpg""), "".jpg"", """"), ""-"", "", ""), """")"),"")</f>
        <v/>
      </c>
      <c r="L13630" s="12"/>
      <c r="M13630" s="13"/>
      <c r="N13630" s="2"/>
      <c r="O13630" s="20"/>
      <c r="P13630" s="42"/>
      <c r="R13630" s="23"/>
    </row>
    <row r="13631" spans="1:18" ht="12.75">
      <c r="A13631" s="12"/>
      <c r="D13631" s="12"/>
      <c r="E13631" s="12"/>
      <c r="H13631" s="11" t="str">
        <f ca="1">IFERROR(__xludf.DUMMYFUNCTION("IFERROR(SUBSTITUTE(SUBSTITUTE(REGEXEXTRACT(A13631, ""[^-]+- [^-]+- [^-]+ - (.+?)\.jpg""), "".jpg"", """"), ""-"", "", ""), """")"),"")</f>
        <v/>
      </c>
      <c r="L13631" s="12"/>
      <c r="M13631" s="13"/>
      <c r="N13631" s="2"/>
      <c r="O13631" s="20"/>
      <c r="P13631" s="42"/>
      <c r="R13631" s="23"/>
    </row>
    <row r="13632" spans="1:18" ht="12.75">
      <c r="A13632" s="12"/>
      <c r="D13632" s="12"/>
      <c r="E13632" s="12"/>
      <c r="H13632" s="11" t="str">
        <f ca="1">IFERROR(__xludf.DUMMYFUNCTION("IFERROR(SUBSTITUTE(SUBSTITUTE(REGEXEXTRACT(A13632, ""[^-]+- [^-]+- [^-]+ - (.+?)\.jpg""), "".jpg"", """"), ""-"", "", ""), """")"),"")</f>
        <v/>
      </c>
      <c r="L13632" s="12"/>
      <c r="M13632" s="13"/>
      <c r="N13632" s="2"/>
      <c r="O13632" s="20"/>
      <c r="P13632" s="42"/>
      <c r="R13632" s="23"/>
    </row>
    <row r="13633" spans="1:18" ht="12.75">
      <c r="A13633" s="12"/>
      <c r="D13633" s="12"/>
      <c r="E13633" s="12"/>
      <c r="H13633" s="11" t="str">
        <f ca="1">IFERROR(__xludf.DUMMYFUNCTION("IFERROR(SUBSTITUTE(SUBSTITUTE(REGEXEXTRACT(A13633, ""[^-]+- [^-]+- [^-]+ - (.+?)\.jpg""), "".jpg"", """"), ""-"", "", ""), """")"),"")</f>
        <v/>
      </c>
      <c r="L13633" s="12"/>
      <c r="M13633" s="13"/>
      <c r="N13633" s="2"/>
      <c r="O13633" s="20"/>
      <c r="P13633" s="42"/>
      <c r="R13633" s="23"/>
    </row>
    <row r="13634" spans="1:18" ht="12.75">
      <c r="A13634" s="12"/>
      <c r="D13634" s="12"/>
      <c r="E13634" s="12"/>
      <c r="H13634" s="11" t="str">
        <f ca="1">IFERROR(__xludf.DUMMYFUNCTION("IFERROR(SUBSTITUTE(SUBSTITUTE(REGEXEXTRACT(A13634, ""[^-]+- [^-]+- [^-]+ - (.+?)\.jpg""), "".jpg"", """"), ""-"", "", ""), """")"),"")</f>
        <v/>
      </c>
      <c r="L13634" s="12"/>
      <c r="M13634" s="13"/>
      <c r="N13634" s="2"/>
      <c r="O13634" s="20"/>
      <c r="P13634" s="42"/>
      <c r="R13634" s="23"/>
    </row>
    <row r="13635" spans="1:18" ht="12.75">
      <c r="A13635" s="12"/>
      <c r="D13635" s="12"/>
      <c r="E13635" s="12"/>
      <c r="H13635" s="11" t="str">
        <f ca="1">IFERROR(__xludf.DUMMYFUNCTION("IFERROR(SUBSTITUTE(SUBSTITUTE(REGEXEXTRACT(A13635, ""[^-]+- [^-]+- [^-]+ - (.+?)\.jpg""), "".jpg"", """"), ""-"", "", ""), """")"),"")</f>
        <v/>
      </c>
      <c r="L13635" s="12"/>
      <c r="M13635" s="13"/>
      <c r="N13635" s="2"/>
      <c r="O13635" s="20"/>
      <c r="P13635" s="42"/>
      <c r="R13635" s="23"/>
    </row>
    <row r="13636" spans="1:18" ht="12.75">
      <c r="A13636" s="12"/>
      <c r="D13636" s="12"/>
      <c r="E13636" s="12"/>
      <c r="H13636" s="11" t="str">
        <f ca="1">IFERROR(__xludf.DUMMYFUNCTION("IFERROR(SUBSTITUTE(SUBSTITUTE(REGEXEXTRACT(A13636, ""[^-]+- [^-]+- [^-]+ - (.+?)\.jpg""), "".jpg"", """"), ""-"", "", ""), """")"),"")</f>
        <v/>
      </c>
      <c r="L13636" s="12"/>
      <c r="M13636" s="13"/>
      <c r="N13636" s="2"/>
      <c r="O13636" s="20"/>
      <c r="P13636" s="42"/>
      <c r="R13636" s="23"/>
    </row>
    <row r="13637" spans="1:18" ht="12.75">
      <c r="A13637" s="12"/>
      <c r="D13637" s="12"/>
      <c r="E13637" s="12"/>
      <c r="H13637" s="11" t="str">
        <f ca="1">IFERROR(__xludf.DUMMYFUNCTION("IFERROR(SUBSTITUTE(SUBSTITUTE(REGEXEXTRACT(A13637, ""[^-]+- [^-]+- [^-]+ - (.+?)\.jpg""), "".jpg"", """"), ""-"", "", ""), """")"),"")</f>
        <v/>
      </c>
      <c r="L13637" s="12"/>
      <c r="M13637" s="13"/>
      <c r="N13637" s="2"/>
      <c r="O13637" s="20"/>
      <c r="P13637" s="42"/>
      <c r="R13637" s="23"/>
    </row>
    <row r="13638" spans="1:18" ht="12.75">
      <c r="A13638" s="12"/>
      <c r="D13638" s="12"/>
      <c r="E13638" s="12"/>
      <c r="H13638" s="11" t="str">
        <f ca="1">IFERROR(__xludf.DUMMYFUNCTION("IFERROR(SUBSTITUTE(SUBSTITUTE(REGEXEXTRACT(A13638, ""[^-]+- [^-]+- [^-]+ - (.+?)\.jpg""), "".jpg"", """"), ""-"", "", ""), """")"),"")</f>
        <v/>
      </c>
      <c r="L13638" s="12"/>
      <c r="M13638" s="13"/>
      <c r="N13638" s="2"/>
      <c r="O13638" s="20"/>
      <c r="P13638" s="42"/>
      <c r="R13638" s="23"/>
    </row>
    <row r="13639" spans="1:18" ht="12.75">
      <c r="A13639" s="12"/>
      <c r="D13639" s="12"/>
      <c r="E13639" s="12"/>
      <c r="H13639" s="11" t="str">
        <f ca="1">IFERROR(__xludf.DUMMYFUNCTION("IFERROR(SUBSTITUTE(SUBSTITUTE(REGEXEXTRACT(A13639, ""[^-]+- [^-]+- [^-]+ - (.+?)\.jpg""), "".jpg"", """"), ""-"", "", ""), """")"),"")</f>
        <v/>
      </c>
      <c r="L13639" s="12"/>
      <c r="M13639" s="13"/>
      <c r="N13639" s="2"/>
      <c r="O13639" s="20"/>
      <c r="P13639" s="42"/>
      <c r="R13639" s="23"/>
    </row>
    <row r="13640" spans="1:18" ht="12.75">
      <c r="A13640" s="12"/>
      <c r="D13640" s="12"/>
      <c r="E13640" s="12"/>
      <c r="H13640" s="11" t="str">
        <f ca="1">IFERROR(__xludf.DUMMYFUNCTION("IFERROR(SUBSTITUTE(SUBSTITUTE(REGEXEXTRACT(A13640, ""[^-]+- [^-]+- [^-]+ - (.+?)\.jpg""), "".jpg"", """"), ""-"", "", ""), """")"),"")</f>
        <v/>
      </c>
      <c r="L13640" s="12"/>
      <c r="M13640" s="13"/>
      <c r="N13640" s="2"/>
      <c r="O13640" s="20"/>
      <c r="P13640" s="42"/>
      <c r="R13640" s="23"/>
    </row>
    <row r="13641" spans="1:18" ht="12.75">
      <c r="A13641" s="12"/>
      <c r="D13641" s="12"/>
      <c r="E13641" s="12"/>
      <c r="H13641" s="11" t="str">
        <f ca="1">IFERROR(__xludf.DUMMYFUNCTION("IFERROR(SUBSTITUTE(SUBSTITUTE(REGEXEXTRACT(A13641, ""[^-]+- [^-]+- [^-]+ - (.+?)\.jpg""), "".jpg"", """"), ""-"", "", ""), """")"),"")</f>
        <v/>
      </c>
      <c r="L13641" s="12"/>
      <c r="M13641" s="13"/>
      <c r="N13641" s="2"/>
      <c r="O13641" s="20"/>
      <c r="P13641" s="42"/>
      <c r="R13641" s="23"/>
    </row>
    <row r="13642" spans="1:18" ht="12.75">
      <c r="A13642" s="12"/>
      <c r="D13642" s="12"/>
      <c r="E13642" s="12"/>
      <c r="H13642" s="11" t="str">
        <f ca="1">IFERROR(__xludf.DUMMYFUNCTION("IFERROR(SUBSTITUTE(SUBSTITUTE(REGEXEXTRACT(A13642, ""[^-]+- [^-]+- [^-]+ - (.+?)\.jpg""), "".jpg"", """"), ""-"", "", ""), """")"),"")</f>
        <v/>
      </c>
      <c r="L13642" s="12"/>
      <c r="M13642" s="13"/>
      <c r="N13642" s="2"/>
      <c r="O13642" s="20"/>
      <c r="P13642" s="42"/>
      <c r="R13642" s="23"/>
    </row>
    <row r="13643" spans="1:18" ht="12.75">
      <c r="A13643" s="12"/>
      <c r="D13643" s="12"/>
      <c r="E13643" s="12"/>
      <c r="H13643" s="11" t="str">
        <f ca="1">IFERROR(__xludf.DUMMYFUNCTION("IFERROR(SUBSTITUTE(SUBSTITUTE(REGEXEXTRACT(A13643, ""[^-]+- [^-]+- [^-]+ - (.+?)\.jpg""), "".jpg"", """"), ""-"", "", ""), """")"),"")</f>
        <v/>
      </c>
      <c r="L13643" s="12"/>
      <c r="M13643" s="13"/>
      <c r="N13643" s="2"/>
      <c r="O13643" s="20"/>
      <c r="P13643" s="42"/>
      <c r="R13643" s="23"/>
    </row>
    <row r="13644" spans="1:18" ht="12.75">
      <c r="A13644" s="12"/>
      <c r="D13644" s="12"/>
      <c r="E13644" s="12"/>
      <c r="H13644" s="11" t="str">
        <f ca="1">IFERROR(__xludf.DUMMYFUNCTION("IFERROR(SUBSTITUTE(SUBSTITUTE(REGEXEXTRACT(A13644, ""[^-]+- [^-]+- [^-]+ - (.+?)\.jpg""), "".jpg"", """"), ""-"", "", ""), """")"),"")</f>
        <v/>
      </c>
      <c r="L13644" s="12"/>
      <c r="M13644" s="13"/>
      <c r="N13644" s="2"/>
      <c r="O13644" s="20"/>
      <c r="P13644" s="42"/>
      <c r="R13644" s="23"/>
    </row>
    <row r="13645" spans="1:18" ht="12.75">
      <c r="A13645" s="12"/>
      <c r="D13645" s="12"/>
      <c r="E13645" s="12"/>
      <c r="H13645" s="11" t="str">
        <f ca="1">IFERROR(__xludf.DUMMYFUNCTION("IFERROR(SUBSTITUTE(SUBSTITUTE(REGEXEXTRACT(A13645, ""[^-]+- [^-]+- [^-]+ - (.+?)\.jpg""), "".jpg"", """"), ""-"", "", ""), """")"),"")</f>
        <v/>
      </c>
      <c r="L13645" s="12"/>
      <c r="M13645" s="13"/>
      <c r="N13645" s="2"/>
      <c r="O13645" s="20"/>
      <c r="P13645" s="42"/>
      <c r="R13645" s="23"/>
    </row>
    <row r="13646" spans="1:18" ht="12.75">
      <c r="A13646" s="12"/>
      <c r="D13646" s="12"/>
      <c r="E13646" s="12"/>
      <c r="H13646" s="11" t="str">
        <f ca="1">IFERROR(__xludf.DUMMYFUNCTION("IFERROR(SUBSTITUTE(SUBSTITUTE(REGEXEXTRACT(A13646, ""[^-]+- [^-]+- [^-]+ - (.+?)\.jpg""), "".jpg"", """"), ""-"", "", ""), """")"),"")</f>
        <v/>
      </c>
      <c r="L13646" s="12"/>
      <c r="M13646" s="13"/>
      <c r="N13646" s="2"/>
      <c r="O13646" s="20"/>
      <c r="P13646" s="42"/>
      <c r="R13646" s="23"/>
    </row>
    <row r="13647" spans="1:18" ht="12.75">
      <c r="A13647" s="12"/>
      <c r="D13647" s="12"/>
      <c r="E13647" s="12"/>
      <c r="H13647" s="11" t="str">
        <f ca="1">IFERROR(__xludf.DUMMYFUNCTION("IFERROR(SUBSTITUTE(SUBSTITUTE(REGEXEXTRACT(A13647, ""[^-]+- [^-]+- [^-]+ - (.+?)\.jpg""), "".jpg"", """"), ""-"", "", ""), """")"),"")</f>
        <v/>
      </c>
      <c r="L13647" s="12"/>
      <c r="M13647" s="13"/>
      <c r="N13647" s="2"/>
      <c r="O13647" s="20"/>
      <c r="P13647" s="42"/>
      <c r="R13647" s="23"/>
    </row>
    <row r="13648" spans="1:18" ht="12.75">
      <c r="A13648" s="12"/>
      <c r="D13648" s="12"/>
      <c r="E13648" s="12"/>
      <c r="H13648" s="11" t="str">
        <f ca="1">IFERROR(__xludf.DUMMYFUNCTION("IFERROR(SUBSTITUTE(SUBSTITUTE(REGEXEXTRACT(A13648, ""[^-]+- [^-]+- [^-]+ - (.+?)\.jpg""), "".jpg"", """"), ""-"", "", ""), """")"),"")</f>
        <v/>
      </c>
      <c r="L13648" s="12"/>
      <c r="M13648" s="13"/>
      <c r="N13648" s="2"/>
      <c r="O13648" s="20"/>
      <c r="P13648" s="42"/>
      <c r="R13648" s="23"/>
    </row>
    <row r="13649" spans="1:18" ht="12.75">
      <c r="A13649" s="12"/>
      <c r="D13649" s="12"/>
      <c r="E13649" s="12"/>
      <c r="H13649" s="11" t="str">
        <f ca="1">IFERROR(__xludf.DUMMYFUNCTION("IFERROR(SUBSTITUTE(SUBSTITUTE(REGEXEXTRACT(A13649, ""[^-]+- [^-]+- [^-]+ - (.+?)\.jpg""), "".jpg"", """"), ""-"", "", ""), """")"),"")</f>
        <v/>
      </c>
      <c r="L13649" s="12"/>
      <c r="M13649" s="13"/>
      <c r="N13649" s="2"/>
      <c r="O13649" s="20"/>
      <c r="P13649" s="42"/>
      <c r="R13649" s="23"/>
    </row>
    <row r="13650" spans="1:18" ht="12.75">
      <c r="A13650" s="12"/>
      <c r="D13650" s="12"/>
      <c r="E13650" s="12"/>
      <c r="H13650" s="11" t="str">
        <f ca="1">IFERROR(__xludf.DUMMYFUNCTION("IFERROR(SUBSTITUTE(SUBSTITUTE(REGEXEXTRACT(A13650, ""[^-]+- [^-]+- [^-]+ - (.+?)\.jpg""), "".jpg"", """"), ""-"", "", ""), """")"),"")</f>
        <v/>
      </c>
      <c r="L13650" s="12"/>
      <c r="M13650" s="13"/>
      <c r="N13650" s="2"/>
      <c r="O13650" s="20"/>
      <c r="P13650" s="42"/>
      <c r="R13650" s="23"/>
    </row>
    <row r="13651" spans="1:18" ht="12.75">
      <c r="A13651" s="12"/>
      <c r="D13651" s="12"/>
      <c r="E13651" s="12"/>
      <c r="H13651" s="11" t="str">
        <f ca="1">IFERROR(__xludf.DUMMYFUNCTION("IFERROR(SUBSTITUTE(SUBSTITUTE(REGEXEXTRACT(A13651, ""[^-]+- [^-]+- [^-]+ - (.+?)\.jpg""), "".jpg"", """"), ""-"", "", ""), """")"),"")</f>
        <v/>
      </c>
      <c r="L13651" s="12"/>
      <c r="M13651" s="13"/>
      <c r="N13651" s="2"/>
      <c r="O13651" s="20"/>
      <c r="P13651" s="42"/>
      <c r="R13651" s="23"/>
    </row>
    <row r="13652" spans="1:18" ht="12.75">
      <c r="A13652" s="12"/>
      <c r="D13652" s="12"/>
      <c r="E13652" s="12"/>
      <c r="H13652" s="11" t="str">
        <f ca="1">IFERROR(__xludf.DUMMYFUNCTION("IFERROR(SUBSTITUTE(SUBSTITUTE(REGEXEXTRACT(A13652, ""[^-]+- [^-]+- [^-]+ - (.+?)\.jpg""), "".jpg"", """"), ""-"", "", ""), """")"),"")</f>
        <v/>
      </c>
      <c r="L13652" s="12"/>
      <c r="M13652" s="13"/>
      <c r="N13652" s="2"/>
      <c r="O13652" s="20"/>
      <c r="P13652" s="42"/>
      <c r="R13652" s="23"/>
    </row>
    <row r="13653" spans="1:18" ht="12.75">
      <c r="A13653" s="12"/>
      <c r="D13653" s="12"/>
      <c r="E13653" s="12"/>
      <c r="H13653" s="11" t="str">
        <f ca="1">IFERROR(__xludf.DUMMYFUNCTION("IFERROR(SUBSTITUTE(SUBSTITUTE(REGEXEXTRACT(A13653, ""[^-]+- [^-]+- [^-]+ - (.+?)\.jpg""), "".jpg"", """"), ""-"", "", ""), """")"),"")</f>
        <v/>
      </c>
      <c r="L13653" s="12"/>
      <c r="M13653" s="13"/>
      <c r="N13653" s="2"/>
      <c r="O13653" s="20"/>
      <c r="P13653" s="42"/>
      <c r="R13653" s="23"/>
    </row>
    <row r="13654" spans="1:18" ht="12.75">
      <c r="A13654" s="12"/>
      <c r="D13654" s="12"/>
      <c r="E13654" s="12"/>
      <c r="H13654" s="11" t="str">
        <f ca="1">IFERROR(__xludf.DUMMYFUNCTION("IFERROR(SUBSTITUTE(SUBSTITUTE(REGEXEXTRACT(A13654, ""[^-]+- [^-]+- [^-]+ - (.+?)\.jpg""), "".jpg"", """"), ""-"", "", ""), """")"),"")</f>
        <v/>
      </c>
      <c r="L13654" s="12"/>
      <c r="M13654" s="13"/>
      <c r="N13654" s="2"/>
      <c r="O13654" s="20"/>
      <c r="P13654" s="42"/>
      <c r="R13654" s="23"/>
    </row>
    <row r="13655" spans="1:18" ht="12.75">
      <c r="A13655" s="12"/>
      <c r="D13655" s="12"/>
      <c r="E13655" s="12"/>
      <c r="H13655" s="11" t="str">
        <f ca="1">IFERROR(__xludf.DUMMYFUNCTION("IFERROR(SUBSTITUTE(SUBSTITUTE(REGEXEXTRACT(A13655, ""[^-]+- [^-]+- [^-]+ - (.+?)\.jpg""), "".jpg"", """"), ""-"", "", ""), """")"),"")</f>
        <v/>
      </c>
      <c r="L13655" s="12"/>
      <c r="M13655" s="13"/>
      <c r="N13655" s="2"/>
      <c r="O13655" s="20"/>
      <c r="P13655" s="42"/>
      <c r="R13655" s="23"/>
    </row>
    <row r="13656" spans="1:18" ht="12.75">
      <c r="A13656" s="12"/>
      <c r="D13656" s="12"/>
      <c r="E13656" s="12"/>
      <c r="H13656" s="11" t="str">
        <f ca="1">IFERROR(__xludf.DUMMYFUNCTION("IFERROR(SUBSTITUTE(SUBSTITUTE(REGEXEXTRACT(A13656, ""[^-]+- [^-]+- [^-]+ - (.+?)\.jpg""), "".jpg"", """"), ""-"", "", ""), """")"),"")</f>
        <v/>
      </c>
      <c r="L13656" s="12"/>
      <c r="M13656" s="13"/>
      <c r="N13656" s="2"/>
      <c r="O13656" s="20"/>
      <c r="P13656" s="42"/>
      <c r="R13656" s="23"/>
    </row>
    <row r="13657" spans="1:18" ht="12.75">
      <c r="A13657" s="12"/>
      <c r="D13657" s="12"/>
      <c r="E13657" s="12"/>
      <c r="H13657" s="11" t="str">
        <f ca="1">IFERROR(__xludf.DUMMYFUNCTION("IFERROR(SUBSTITUTE(SUBSTITUTE(REGEXEXTRACT(A13657, ""[^-]+- [^-]+- [^-]+ - (.+?)\.jpg""), "".jpg"", """"), ""-"", "", ""), """")"),"")</f>
        <v/>
      </c>
      <c r="L13657" s="12"/>
      <c r="M13657" s="13"/>
      <c r="N13657" s="2"/>
      <c r="O13657" s="20"/>
      <c r="P13657" s="42"/>
      <c r="R13657" s="23"/>
    </row>
    <row r="13658" spans="1:18" ht="12.75">
      <c r="A13658" s="12"/>
      <c r="D13658" s="12"/>
      <c r="E13658" s="12"/>
      <c r="H13658" s="11" t="str">
        <f ca="1">IFERROR(__xludf.DUMMYFUNCTION("IFERROR(SUBSTITUTE(SUBSTITUTE(REGEXEXTRACT(A13658, ""[^-]+- [^-]+- [^-]+ - (.+?)\.jpg""), "".jpg"", """"), ""-"", "", ""), """")"),"")</f>
        <v/>
      </c>
      <c r="L13658" s="12"/>
      <c r="M13658" s="13"/>
      <c r="N13658" s="2"/>
      <c r="O13658" s="20"/>
      <c r="P13658" s="42"/>
      <c r="R13658" s="23"/>
    </row>
    <row r="13659" spans="1:18" ht="12.75">
      <c r="A13659" s="12"/>
      <c r="D13659" s="12"/>
      <c r="E13659" s="12"/>
      <c r="H13659" s="11" t="str">
        <f ca="1">IFERROR(__xludf.DUMMYFUNCTION("IFERROR(SUBSTITUTE(SUBSTITUTE(REGEXEXTRACT(A13659, ""[^-]+- [^-]+- [^-]+ - (.+?)\.jpg""), "".jpg"", """"), ""-"", "", ""), """")"),"")</f>
        <v/>
      </c>
      <c r="L13659" s="12"/>
      <c r="M13659" s="13"/>
      <c r="N13659" s="2"/>
      <c r="O13659" s="20"/>
      <c r="P13659" s="42"/>
      <c r="R13659" s="23"/>
    </row>
    <row r="13660" spans="1:18" ht="12.75">
      <c r="A13660" s="12"/>
      <c r="D13660" s="12"/>
      <c r="E13660" s="12"/>
      <c r="H13660" s="11" t="str">
        <f ca="1">IFERROR(__xludf.DUMMYFUNCTION("IFERROR(SUBSTITUTE(SUBSTITUTE(REGEXEXTRACT(A13660, ""[^-]+- [^-]+- [^-]+ - (.+?)\.jpg""), "".jpg"", """"), ""-"", "", ""), """")"),"")</f>
        <v/>
      </c>
      <c r="L13660" s="12"/>
      <c r="M13660" s="13"/>
      <c r="N13660" s="2"/>
      <c r="O13660" s="20"/>
      <c r="P13660" s="42"/>
      <c r="R13660" s="23"/>
    </row>
    <row r="13661" spans="1:18" ht="12.75">
      <c r="A13661" s="12"/>
      <c r="D13661" s="12"/>
      <c r="E13661" s="12"/>
      <c r="H13661" s="11" t="str">
        <f ca="1">IFERROR(__xludf.DUMMYFUNCTION("IFERROR(SUBSTITUTE(SUBSTITUTE(REGEXEXTRACT(A13661, ""[^-]+- [^-]+- [^-]+ - (.+?)\.jpg""), "".jpg"", """"), ""-"", "", ""), """")"),"")</f>
        <v/>
      </c>
      <c r="L13661" s="12"/>
      <c r="M13661" s="13"/>
      <c r="N13661" s="2"/>
      <c r="O13661" s="20"/>
      <c r="P13661" s="42"/>
      <c r="R13661" s="23"/>
    </row>
    <row r="13662" spans="1:18" ht="12.75">
      <c r="A13662" s="12"/>
      <c r="D13662" s="12"/>
      <c r="E13662" s="12"/>
      <c r="H13662" s="11" t="str">
        <f ca="1">IFERROR(__xludf.DUMMYFUNCTION("IFERROR(SUBSTITUTE(SUBSTITUTE(REGEXEXTRACT(A13662, ""[^-]+- [^-]+- [^-]+ - (.+?)\.jpg""), "".jpg"", """"), ""-"", "", ""), """")"),"")</f>
        <v/>
      </c>
      <c r="L13662" s="12"/>
      <c r="M13662" s="13"/>
      <c r="N13662" s="2"/>
      <c r="O13662" s="20"/>
      <c r="P13662" s="42"/>
      <c r="R13662" s="23"/>
    </row>
    <row r="13663" spans="1:18" ht="12.75">
      <c r="A13663" s="12"/>
      <c r="D13663" s="12"/>
      <c r="E13663" s="12"/>
      <c r="H13663" s="11" t="str">
        <f ca="1">IFERROR(__xludf.DUMMYFUNCTION("IFERROR(SUBSTITUTE(SUBSTITUTE(REGEXEXTRACT(A13663, ""[^-]+- [^-]+- [^-]+ - (.+?)\.jpg""), "".jpg"", """"), ""-"", "", ""), """")"),"")</f>
        <v/>
      </c>
      <c r="L13663" s="12"/>
      <c r="M13663" s="13"/>
      <c r="N13663" s="2"/>
      <c r="O13663" s="20"/>
      <c r="P13663" s="42"/>
      <c r="R13663" s="23"/>
    </row>
    <row r="13664" spans="1:18" ht="12.75">
      <c r="A13664" s="12"/>
      <c r="D13664" s="12"/>
      <c r="E13664" s="12"/>
      <c r="H13664" s="11" t="str">
        <f ca="1">IFERROR(__xludf.DUMMYFUNCTION("IFERROR(SUBSTITUTE(SUBSTITUTE(REGEXEXTRACT(A13664, ""[^-]+- [^-]+- [^-]+ - (.+?)\.jpg""), "".jpg"", """"), ""-"", "", ""), """")"),"")</f>
        <v/>
      </c>
      <c r="L13664" s="12"/>
      <c r="M13664" s="13"/>
      <c r="N13664" s="2"/>
      <c r="O13664" s="20"/>
      <c r="P13664" s="42"/>
      <c r="R13664" s="23"/>
    </row>
    <row r="13665" spans="1:18" ht="12.75">
      <c r="A13665" s="12"/>
      <c r="D13665" s="12"/>
      <c r="E13665" s="12"/>
      <c r="H13665" s="11" t="str">
        <f ca="1">IFERROR(__xludf.DUMMYFUNCTION("IFERROR(SUBSTITUTE(SUBSTITUTE(REGEXEXTRACT(A13665, ""[^-]+- [^-]+- [^-]+ - (.+?)\.jpg""), "".jpg"", """"), ""-"", "", ""), """")"),"")</f>
        <v/>
      </c>
      <c r="L13665" s="12"/>
      <c r="M13665" s="13"/>
      <c r="N13665" s="2"/>
      <c r="O13665" s="20"/>
      <c r="P13665" s="42"/>
      <c r="R13665" s="23"/>
    </row>
    <row r="13666" spans="1:18" ht="12.75">
      <c r="A13666" s="12"/>
      <c r="D13666" s="12"/>
      <c r="E13666" s="12"/>
      <c r="H13666" s="11" t="str">
        <f ca="1">IFERROR(__xludf.DUMMYFUNCTION("IFERROR(SUBSTITUTE(SUBSTITUTE(REGEXEXTRACT(A13666, ""[^-]+- [^-]+- [^-]+ - (.+?)\.jpg""), "".jpg"", """"), ""-"", "", ""), """")"),"")</f>
        <v/>
      </c>
      <c r="L13666" s="12"/>
      <c r="M13666" s="13"/>
      <c r="N13666" s="2"/>
      <c r="O13666" s="20"/>
      <c r="P13666" s="42"/>
      <c r="R13666" s="23"/>
    </row>
    <row r="13667" spans="1:18" ht="12.75">
      <c r="A13667" s="12"/>
      <c r="D13667" s="12"/>
      <c r="E13667" s="12"/>
      <c r="H13667" s="11" t="str">
        <f ca="1">IFERROR(__xludf.DUMMYFUNCTION("IFERROR(SUBSTITUTE(SUBSTITUTE(REGEXEXTRACT(A13667, ""[^-]+- [^-]+- [^-]+ - (.+?)\.jpg""), "".jpg"", """"), ""-"", "", ""), """")"),"")</f>
        <v/>
      </c>
      <c r="L13667" s="12"/>
      <c r="M13667" s="13"/>
      <c r="N13667" s="2"/>
      <c r="O13667" s="20"/>
      <c r="P13667" s="42"/>
      <c r="R13667" s="23"/>
    </row>
    <row r="13668" spans="1:18" ht="12.75">
      <c r="A13668" s="12"/>
      <c r="D13668" s="12"/>
      <c r="E13668" s="12"/>
      <c r="H13668" s="11" t="str">
        <f ca="1">IFERROR(__xludf.DUMMYFUNCTION("IFERROR(SUBSTITUTE(SUBSTITUTE(REGEXEXTRACT(A13668, ""[^-]+- [^-]+- [^-]+ - (.+?)\.jpg""), "".jpg"", """"), ""-"", "", ""), """")"),"")</f>
        <v/>
      </c>
      <c r="L13668" s="12"/>
      <c r="M13668" s="13"/>
      <c r="N13668" s="2"/>
      <c r="O13668" s="20"/>
      <c r="P13668" s="42"/>
      <c r="R13668" s="23"/>
    </row>
    <row r="13669" spans="1:18" ht="12.75">
      <c r="A13669" s="12"/>
      <c r="D13669" s="12"/>
      <c r="E13669" s="12"/>
      <c r="H13669" s="11" t="str">
        <f ca="1">IFERROR(__xludf.DUMMYFUNCTION("IFERROR(SUBSTITUTE(SUBSTITUTE(REGEXEXTRACT(A13669, ""[^-]+- [^-]+- [^-]+ - (.+?)\.jpg""), "".jpg"", """"), ""-"", "", ""), """")"),"")</f>
        <v/>
      </c>
      <c r="L13669" s="12"/>
      <c r="M13669" s="13"/>
      <c r="N13669" s="2"/>
      <c r="O13669" s="20"/>
      <c r="P13669" s="42"/>
      <c r="R13669" s="23"/>
    </row>
    <row r="13670" spans="1:18" ht="12.75">
      <c r="A13670" s="12"/>
      <c r="D13670" s="12"/>
      <c r="E13670" s="12"/>
      <c r="H13670" s="11" t="str">
        <f ca="1">IFERROR(__xludf.DUMMYFUNCTION("IFERROR(SUBSTITUTE(SUBSTITUTE(REGEXEXTRACT(A13670, ""[^-]+- [^-]+- [^-]+ - (.+?)\.jpg""), "".jpg"", """"), ""-"", "", ""), """")"),"")</f>
        <v/>
      </c>
      <c r="L13670" s="12"/>
      <c r="M13670" s="13"/>
      <c r="N13670" s="2"/>
      <c r="O13670" s="20"/>
      <c r="P13670" s="42"/>
      <c r="R13670" s="23"/>
    </row>
    <row r="13671" spans="1:18" ht="12.75">
      <c r="A13671" s="12"/>
      <c r="D13671" s="12"/>
      <c r="E13671" s="12"/>
      <c r="H13671" s="11" t="str">
        <f ca="1">IFERROR(__xludf.DUMMYFUNCTION("IFERROR(SUBSTITUTE(SUBSTITUTE(REGEXEXTRACT(A13671, ""[^-]+- [^-]+- [^-]+ - (.+?)\.jpg""), "".jpg"", """"), ""-"", "", ""), """")"),"")</f>
        <v/>
      </c>
      <c r="L13671" s="12"/>
      <c r="M13671" s="13"/>
      <c r="N13671" s="2"/>
      <c r="O13671" s="20"/>
      <c r="P13671" s="42"/>
      <c r="R13671" s="23"/>
    </row>
    <row r="13672" spans="1:18" ht="12.75">
      <c r="A13672" s="12"/>
      <c r="D13672" s="12"/>
      <c r="E13672" s="12"/>
      <c r="H13672" s="11" t="str">
        <f ca="1">IFERROR(__xludf.DUMMYFUNCTION("IFERROR(SUBSTITUTE(SUBSTITUTE(REGEXEXTRACT(A13672, ""[^-]+- [^-]+- [^-]+ - (.+?)\.jpg""), "".jpg"", """"), ""-"", "", ""), """")"),"")</f>
        <v/>
      </c>
      <c r="L13672" s="12"/>
      <c r="M13672" s="13"/>
      <c r="N13672" s="2"/>
      <c r="O13672" s="20"/>
      <c r="P13672" s="42"/>
      <c r="R13672" s="23"/>
    </row>
    <row r="13673" spans="1:18" ht="12.75">
      <c r="A13673" s="12"/>
      <c r="D13673" s="12"/>
      <c r="E13673" s="12"/>
      <c r="H13673" s="11" t="str">
        <f ca="1">IFERROR(__xludf.DUMMYFUNCTION("IFERROR(SUBSTITUTE(SUBSTITUTE(REGEXEXTRACT(A13673, ""[^-]+- [^-]+- [^-]+ - (.+?)\.jpg""), "".jpg"", """"), ""-"", "", ""), """")"),"")</f>
        <v/>
      </c>
      <c r="L13673" s="12"/>
      <c r="M13673" s="13"/>
      <c r="N13673" s="2"/>
      <c r="O13673" s="20"/>
      <c r="P13673" s="42"/>
      <c r="R13673" s="23"/>
    </row>
    <row r="13674" spans="1:18" ht="12.75">
      <c r="A13674" s="12"/>
      <c r="D13674" s="12"/>
      <c r="E13674" s="12"/>
      <c r="H13674" s="11" t="str">
        <f ca="1">IFERROR(__xludf.DUMMYFUNCTION("IFERROR(SUBSTITUTE(SUBSTITUTE(REGEXEXTRACT(A13674, ""[^-]+- [^-]+- [^-]+ - (.+?)\.jpg""), "".jpg"", """"), ""-"", "", ""), """")"),"")</f>
        <v/>
      </c>
      <c r="L13674" s="12"/>
      <c r="M13674" s="13"/>
      <c r="N13674" s="2"/>
      <c r="O13674" s="20"/>
      <c r="P13674" s="42"/>
      <c r="R13674" s="23"/>
    </row>
    <row r="13675" spans="1:18" ht="12.75">
      <c r="A13675" s="12"/>
      <c r="D13675" s="12"/>
      <c r="E13675" s="12"/>
      <c r="H13675" s="11" t="str">
        <f ca="1">IFERROR(__xludf.DUMMYFUNCTION("IFERROR(SUBSTITUTE(SUBSTITUTE(REGEXEXTRACT(A13675, ""[^-]+- [^-]+- [^-]+ - (.+?)\.jpg""), "".jpg"", """"), ""-"", "", ""), """")"),"")</f>
        <v/>
      </c>
      <c r="L13675" s="12"/>
      <c r="M13675" s="13"/>
      <c r="N13675" s="2"/>
      <c r="O13675" s="20"/>
      <c r="P13675" s="42"/>
      <c r="R13675" s="23"/>
    </row>
    <row r="13676" spans="1:18" ht="12.75">
      <c r="A13676" s="12"/>
      <c r="D13676" s="12"/>
      <c r="E13676" s="12"/>
      <c r="H13676" s="11" t="str">
        <f ca="1">IFERROR(__xludf.DUMMYFUNCTION("IFERROR(SUBSTITUTE(SUBSTITUTE(REGEXEXTRACT(A13676, ""[^-]+- [^-]+- [^-]+ - (.+?)\.jpg""), "".jpg"", """"), ""-"", "", ""), """")"),"")</f>
        <v/>
      </c>
      <c r="L13676" s="12"/>
      <c r="M13676" s="13"/>
      <c r="N13676" s="2"/>
      <c r="O13676" s="20"/>
      <c r="P13676" s="42"/>
      <c r="R13676" s="23"/>
    </row>
    <row r="13677" spans="1:18" ht="12.75">
      <c r="A13677" s="12"/>
      <c r="D13677" s="12"/>
      <c r="E13677" s="12"/>
      <c r="H13677" s="11" t="str">
        <f ca="1">IFERROR(__xludf.DUMMYFUNCTION("IFERROR(SUBSTITUTE(SUBSTITUTE(REGEXEXTRACT(A13677, ""[^-]+- [^-]+- [^-]+ - (.+?)\.jpg""), "".jpg"", """"), ""-"", "", ""), """")"),"")</f>
        <v/>
      </c>
      <c r="L13677" s="12"/>
      <c r="M13677" s="13"/>
      <c r="N13677" s="2"/>
      <c r="O13677" s="20"/>
      <c r="P13677" s="42"/>
      <c r="R13677" s="23"/>
    </row>
    <row r="13678" spans="1:18" ht="12.75">
      <c r="A13678" s="12"/>
      <c r="D13678" s="12"/>
      <c r="E13678" s="12"/>
      <c r="H13678" s="11" t="str">
        <f ca="1">IFERROR(__xludf.DUMMYFUNCTION("IFERROR(SUBSTITUTE(SUBSTITUTE(REGEXEXTRACT(A13678, ""[^-]+- [^-]+- [^-]+ - (.+?)\.jpg""), "".jpg"", """"), ""-"", "", ""), """")"),"")</f>
        <v/>
      </c>
      <c r="L13678" s="12"/>
      <c r="M13678" s="13"/>
      <c r="N13678" s="2"/>
      <c r="O13678" s="20"/>
      <c r="P13678" s="42"/>
      <c r="R13678" s="23"/>
    </row>
    <row r="13679" spans="1:18" ht="12.75">
      <c r="A13679" s="12"/>
      <c r="D13679" s="12"/>
      <c r="E13679" s="12"/>
      <c r="H13679" s="11" t="str">
        <f ca="1">IFERROR(__xludf.DUMMYFUNCTION("IFERROR(SUBSTITUTE(SUBSTITUTE(REGEXEXTRACT(A13679, ""[^-]+- [^-]+- [^-]+ - (.+?)\.jpg""), "".jpg"", """"), ""-"", "", ""), """")"),"")</f>
        <v/>
      </c>
      <c r="L13679" s="12"/>
      <c r="M13679" s="13"/>
      <c r="N13679" s="2"/>
      <c r="O13679" s="20"/>
      <c r="P13679" s="42"/>
      <c r="R13679" s="23"/>
    </row>
    <row r="13680" spans="1:18" ht="12.75">
      <c r="A13680" s="12"/>
      <c r="D13680" s="12"/>
      <c r="E13680" s="12"/>
      <c r="H13680" s="11" t="str">
        <f ca="1">IFERROR(__xludf.DUMMYFUNCTION("IFERROR(SUBSTITUTE(SUBSTITUTE(REGEXEXTRACT(A13680, ""[^-]+- [^-]+- [^-]+ - (.+?)\.jpg""), "".jpg"", """"), ""-"", "", ""), """")"),"")</f>
        <v/>
      </c>
      <c r="L13680" s="12"/>
      <c r="M13680" s="13"/>
      <c r="N13680" s="2"/>
      <c r="O13680" s="20"/>
      <c r="P13680" s="42"/>
      <c r="R13680" s="23"/>
    </row>
    <row r="13681" spans="1:18" ht="12.75">
      <c r="A13681" s="12"/>
      <c r="D13681" s="12"/>
      <c r="E13681" s="12"/>
      <c r="H13681" s="11" t="str">
        <f ca="1">IFERROR(__xludf.DUMMYFUNCTION("IFERROR(SUBSTITUTE(SUBSTITUTE(REGEXEXTRACT(A13681, ""[^-]+- [^-]+- [^-]+ - (.+?)\.jpg""), "".jpg"", """"), ""-"", "", ""), """")"),"")</f>
        <v/>
      </c>
      <c r="L13681" s="12"/>
      <c r="M13681" s="13"/>
      <c r="N13681" s="2"/>
      <c r="O13681" s="20"/>
      <c r="P13681" s="42"/>
      <c r="R13681" s="23"/>
    </row>
    <row r="13682" spans="1:18" ht="12.75">
      <c r="A13682" s="12"/>
      <c r="D13682" s="12"/>
      <c r="E13682" s="12"/>
      <c r="H13682" s="11" t="str">
        <f ca="1">IFERROR(__xludf.DUMMYFUNCTION("IFERROR(SUBSTITUTE(SUBSTITUTE(REGEXEXTRACT(A13682, ""[^-]+- [^-]+- [^-]+ - (.+?)\.jpg""), "".jpg"", """"), ""-"", "", ""), """")"),"")</f>
        <v/>
      </c>
      <c r="L13682" s="12"/>
      <c r="M13682" s="13"/>
      <c r="N13682" s="2"/>
      <c r="O13682" s="20"/>
      <c r="P13682" s="42"/>
      <c r="R13682" s="23"/>
    </row>
    <row r="13683" spans="1:18" ht="12.75">
      <c r="A13683" s="12"/>
      <c r="D13683" s="12"/>
      <c r="E13683" s="12"/>
      <c r="H13683" s="11" t="str">
        <f ca="1">IFERROR(__xludf.DUMMYFUNCTION("IFERROR(SUBSTITUTE(SUBSTITUTE(REGEXEXTRACT(A13683, ""[^-]+- [^-]+- [^-]+ - (.+?)\.jpg""), "".jpg"", """"), ""-"", "", ""), """")"),"")</f>
        <v/>
      </c>
      <c r="L13683" s="12"/>
      <c r="M13683" s="13"/>
      <c r="N13683" s="2"/>
      <c r="O13683" s="20"/>
      <c r="P13683" s="42"/>
      <c r="R13683" s="23"/>
    </row>
    <row r="13684" spans="1:18" ht="12.75">
      <c r="A13684" s="12"/>
      <c r="D13684" s="12"/>
      <c r="E13684" s="12"/>
      <c r="H13684" s="11" t="str">
        <f ca="1">IFERROR(__xludf.DUMMYFUNCTION("IFERROR(SUBSTITUTE(SUBSTITUTE(REGEXEXTRACT(A13684, ""[^-]+- [^-]+- [^-]+ - (.+?)\.jpg""), "".jpg"", """"), ""-"", "", ""), """")"),"")</f>
        <v/>
      </c>
      <c r="L13684" s="12"/>
      <c r="M13684" s="13"/>
      <c r="N13684" s="2"/>
      <c r="O13684" s="20"/>
      <c r="P13684" s="42"/>
      <c r="R13684" s="23"/>
    </row>
    <row r="13685" spans="1:18" ht="12.75">
      <c r="A13685" s="12"/>
      <c r="D13685" s="12"/>
      <c r="E13685" s="12"/>
      <c r="H13685" s="11" t="str">
        <f ca="1">IFERROR(__xludf.DUMMYFUNCTION("IFERROR(SUBSTITUTE(SUBSTITUTE(REGEXEXTRACT(A13685, ""[^-]+- [^-]+- [^-]+ - (.+?)\.jpg""), "".jpg"", """"), ""-"", "", ""), """")"),"")</f>
        <v/>
      </c>
      <c r="L13685" s="12"/>
      <c r="M13685" s="13"/>
      <c r="N13685" s="2"/>
      <c r="O13685" s="20"/>
      <c r="P13685" s="42"/>
      <c r="R13685" s="23"/>
    </row>
    <row r="13686" spans="1:18" ht="12.75">
      <c r="A13686" s="12"/>
      <c r="D13686" s="12"/>
      <c r="E13686" s="12"/>
      <c r="H13686" s="11" t="str">
        <f ca="1">IFERROR(__xludf.DUMMYFUNCTION("IFERROR(SUBSTITUTE(SUBSTITUTE(REGEXEXTRACT(A13686, ""[^-]+- [^-]+- [^-]+ - (.+?)\.jpg""), "".jpg"", """"), ""-"", "", ""), """")"),"")</f>
        <v/>
      </c>
      <c r="L13686" s="12"/>
      <c r="M13686" s="13"/>
      <c r="N13686" s="2"/>
      <c r="O13686" s="20"/>
      <c r="P13686" s="42"/>
      <c r="R13686" s="23"/>
    </row>
    <row r="13687" spans="1:18" ht="12.75">
      <c r="A13687" s="12"/>
      <c r="D13687" s="12"/>
      <c r="E13687" s="12"/>
      <c r="H13687" s="11" t="str">
        <f ca="1">IFERROR(__xludf.DUMMYFUNCTION("IFERROR(SUBSTITUTE(SUBSTITUTE(REGEXEXTRACT(A13687, ""[^-]+- [^-]+- [^-]+ - (.+?)\.jpg""), "".jpg"", """"), ""-"", "", ""), """")"),"")</f>
        <v/>
      </c>
      <c r="L13687" s="12"/>
      <c r="M13687" s="13"/>
      <c r="N13687" s="2"/>
      <c r="O13687" s="20"/>
      <c r="P13687" s="42"/>
      <c r="R13687" s="23"/>
    </row>
    <row r="13688" spans="1:18" ht="12.75">
      <c r="A13688" s="12"/>
      <c r="D13688" s="12"/>
      <c r="E13688" s="12"/>
      <c r="H13688" s="11" t="str">
        <f ca="1">IFERROR(__xludf.DUMMYFUNCTION("IFERROR(SUBSTITUTE(SUBSTITUTE(REGEXEXTRACT(A13688, ""[^-]+- [^-]+- [^-]+ - (.+?)\.jpg""), "".jpg"", """"), ""-"", "", ""), """")"),"")</f>
        <v/>
      </c>
      <c r="L13688" s="12"/>
      <c r="M13688" s="13"/>
      <c r="N13688" s="2"/>
      <c r="O13688" s="20"/>
      <c r="P13688" s="42"/>
      <c r="R13688" s="23"/>
    </row>
    <row r="13689" spans="1:18" ht="12.75">
      <c r="A13689" s="12"/>
      <c r="D13689" s="12"/>
      <c r="E13689" s="12"/>
      <c r="H13689" s="11" t="str">
        <f ca="1">IFERROR(__xludf.DUMMYFUNCTION("IFERROR(SUBSTITUTE(SUBSTITUTE(REGEXEXTRACT(A13689, ""[^-]+- [^-]+- [^-]+ - (.+?)\.jpg""), "".jpg"", """"), ""-"", "", ""), """")"),"")</f>
        <v/>
      </c>
      <c r="L13689" s="12"/>
      <c r="M13689" s="13"/>
      <c r="N13689" s="2"/>
      <c r="O13689" s="20"/>
      <c r="P13689" s="42"/>
      <c r="R13689" s="23"/>
    </row>
    <row r="13690" spans="1:18" ht="12.75">
      <c r="A13690" s="12"/>
      <c r="D13690" s="12"/>
      <c r="E13690" s="12"/>
      <c r="H13690" s="11" t="str">
        <f ca="1">IFERROR(__xludf.DUMMYFUNCTION("IFERROR(SUBSTITUTE(SUBSTITUTE(REGEXEXTRACT(A13690, ""[^-]+- [^-]+- [^-]+ - (.+?)\.jpg""), "".jpg"", """"), ""-"", "", ""), """")"),"")</f>
        <v/>
      </c>
      <c r="L13690" s="12"/>
      <c r="M13690" s="13"/>
      <c r="N13690" s="2"/>
      <c r="O13690" s="20"/>
      <c r="P13690" s="42"/>
      <c r="R13690" s="23"/>
    </row>
    <row r="13691" spans="1:18" ht="12.75">
      <c r="A13691" s="12"/>
      <c r="D13691" s="12"/>
      <c r="E13691" s="12"/>
      <c r="H13691" s="11" t="str">
        <f ca="1">IFERROR(__xludf.DUMMYFUNCTION("IFERROR(SUBSTITUTE(SUBSTITUTE(REGEXEXTRACT(A13691, ""[^-]+- [^-]+- [^-]+ - (.+?)\.jpg""), "".jpg"", """"), ""-"", "", ""), """")"),"")</f>
        <v/>
      </c>
      <c r="L13691" s="12"/>
      <c r="M13691" s="13"/>
      <c r="N13691" s="2"/>
      <c r="O13691" s="20"/>
      <c r="P13691" s="42"/>
      <c r="R13691" s="23"/>
    </row>
    <row r="13692" spans="1:18" ht="12.75">
      <c r="A13692" s="12"/>
      <c r="D13692" s="12"/>
      <c r="E13692" s="12"/>
      <c r="H13692" s="11" t="str">
        <f ca="1">IFERROR(__xludf.DUMMYFUNCTION("IFERROR(SUBSTITUTE(SUBSTITUTE(REGEXEXTRACT(A13692, ""[^-]+- [^-]+- [^-]+ - (.+?)\.jpg""), "".jpg"", """"), ""-"", "", ""), """")"),"")</f>
        <v/>
      </c>
      <c r="L13692" s="12"/>
      <c r="M13692" s="13"/>
      <c r="N13692" s="2"/>
      <c r="O13692" s="20"/>
      <c r="P13692" s="42"/>
      <c r="R13692" s="23"/>
    </row>
    <row r="13693" spans="1:18" ht="12.75">
      <c r="A13693" s="12"/>
      <c r="D13693" s="12"/>
      <c r="E13693" s="12"/>
      <c r="H13693" s="11" t="str">
        <f ca="1">IFERROR(__xludf.DUMMYFUNCTION("IFERROR(SUBSTITUTE(SUBSTITUTE(REGEXEXTRACT(A13693, ""[^-]+- [^-]+- [^-]+ - (.+?)\.jpg""), "".jpg"", """"), ""-"", "", ""), """")"),"")</f>
        <v/>
      </c>
      <c r="L13693" s="12"/>
      <c r="M13693" s="13"/>
      <c r="N13693" s="2"/>
      <c r="O13693" s="20"/>
      <c r="P13693" s="42"/>
      <c r="R13693" s="23"/>
    </row>
    <row r="13694" spans="1:18" ht="12.75">
      <c r="A13694" s="12"/>
      <c r="D13694" s="12"/>
      <c r="E13694" s="12"/>
      <c r="H13694" s="11" t="str">
        <f ca="1">IFERROR(__xludf.DUMMYFUNCTION("IFERROR(SUBSTITUTE(SUBSTITUTE(REGEXEXTRACT(A13694, ""[^-]+- [^-]+- [^-]+ - (.+?)\.jpg""), "".jpg"", """"), ""-"", "", ""), """")"),"")</f>
        <v/>
      </c>
      <c r="L13694" s="12"/>
      <c r="M13694" s="13"/>
      <c r="N13694" s="2"/>
      <c r="O13694" s="20"/>
      <c r="P13694" s="42"/>
      <c r="R13694" s="23"/>
    </row>
    <row r="13695" spans="1:18" ht="12.75">
      <c r="A13695" s="12"/>
      <c r="D13695" s="12"/>
      <c r="E13695" s="12"/>
      <c r="H13695" s="11" t="str">
        <f ca="1">IFERROR(__xludf.DUMMYFUNCTION("IFERROR(SUBSTITUTE(SUBSTITUTE(REGEXEXTRACT(A13695, ""[^-]+- [^-]+- [^-]+ - (.+?)\.jpg""), "".jpg"", """"), ""-"", "", ""), """")"),"")</f>
        <v/>
      </c>
      <c r="L13695" s="12"/>
      <c r="M13695" s="13"/>
      <c r="N13695" s="2"/>
      <c r="O13695" s="20"/>
      <c r="P13695" s="42"/>
      <c r="R13695" s="23"/>
    </row>
    <row r="13696" spans="1:18" ht="12.75">
      <c r="A13696" s="12"/>
      <c r="D13696" s="12"/>
      <c r="E13696" s="12"/>
      <c r="H13696" s="11" t="str">
        <f ca="1">IFERROR(__xludf.DUMMYFUNCTION("IFERROR(SUBSTITUTE(SUBSTITUTE(REGEXEXTRACT(A13696, ""[^-]+- [^-]+- [^-]+ - (.+?)\.jpg""), "".jpg"", """"), ""-"", "", ""), """")"),"")</f>
        <v/>
      </c>
      <c r="L13696" s="12"/>
      <c r="M13696" s="13"/>
      <c r="N13696" s="2"/>
      <c r="O13696" s="20"/>
      <c r="P13696" s="42"/>
      <c r="R13696" s="23"/>
    </row>
    <row r="13697" spans="1:18" ht="12.75">
      <c r="A13697" s="12"/>
      <c r="D13697" s="12"/>
      <c r="E13697" s="12"/>
      <c r="H13697" s="11" t="str">
        <f ca="1">IFERROR(__xludf.DUMMYFUNCTION("IFERROR(SUBSTITUTE(SUBSTITUTE(REGEXEXTRACT(A13697, ""[^-]+- [^-]+- [^-]+ - (.+?)\.jpg""), "".jpg"", """"), ""-"", "", ""), """")"),"")</f>
        <v/>
      </c>
      <c r="L13697" s="12"/>
      <c r="M13697" s="13"/>
      <c r="N13697" s="2"/>
      <c r="O13697" s="20"/>
      <c r="P13697" s="42"/>
      <c r="R13697" s="23"/>
    </row>
    <row r="13698" spans="1:18" ht="12.75">
      <c r="A13698" s="12"/>
      <c r="D13698" s="12"/>
      <c r="E13698" s="12"/>
      <c r="H13698" s="11" t="str">
        <f ca="1">IFERROR(__xludf.DUMMYFUNCTION("IFERROR(SUBSTITUTE(SUBSTITUTE(REGEXEXTRACT(A13698, ""[^-]+- [^-]+- [^-]+ - (.+?)\.jpg""), "".jpg"", """"), ""-"", "", ""), """")"),"")</f>
        <v/>
      </c>
      <c r="L13698" s="12"/>
      <c r="M13698" s="13"/>
      <c r="N13698" s="2"/>
      <c r="O13698" s="20"/>
      <c r="P13698" s="42"/>
      <c r="R13698" s="23"/>
    </row>
    <row r="13699" spans="1:18" ht="12.75">
      <c r="A13699" s="12"/>
      <c r="D13699" s="12"/>
      <c r="E13699" s="12"/>
      <c r="H13699" s="11" t="str">
        <f ca="1">IFERROR(__xludf.DUMMYFUNCTION("IFERROR(SUBSTITUTE(SUBSTITUTE(REGEXEXTRACT(A13699, ""[^-]+- [^-]+- [^-]+ - (.+?)\.jpg""), "".jpg"", """"), ""-"", "", ""), """")"),"")</f>
        <v/>
      </c>
      <c r="L13699" s="12"/>
      <c r="M13699" s="13"/>
      <c r="N13699" s="2"/>
      <c r="O13699" s="20"/>
      <c r="P13699" s="42"/>
      <c r="R13699" s="23"/>
    </row>
    <row r="13700" spans="1:18" ht="12.75">
      <c r="A13700" s="12"/>
      <c r="D13700" s="12"/>
      <c r="E13700" s="12"/>
      <c r="H13700" s="11" t="str">
        <f ca="1">IFERROR(__xludf.DUMMYFUNCTION("IFERROR(SUBSTITUTE(SUBSTITUTE(REGEXEXTRACT(A13700, ""[^-]+- [^-]+- [^-]+ - (.+?)\.jpg""), "".jpg"", """"), ""-"", "", ""), """")"),"")</f>
        <v/>
      </c>
      <c r="L13700" s="12"/>
      <c r="M13700" s="13"/>
      <c r="N13700" s="2"/>
      <c r="O13700" s="20"/>
      <c r="P13700" s="42"/>
      <c r="R13700" s="23"/>
    </row>
    <row r="13701" spans="1:18" ht="12.75">
      <c r="A13701" s="12"/>
      <c r="D13701" s="12"/>
      <c r="E13701" s="12"/>
      <c r="H13701" s="11" t="str">
        <f ca="1">IFERROR(__xludf.DUMMYFUNCTION("IFERROR(SUBSTITUTE(SUBSTITUTE(REGEXEXTRACT(A13701, ""[^-]+- [^-]+- [^-]+ - (.+?)\.jpg""), "".jpg"", """"), ""-"", "", ""), """")"),"")</f>
        <v/>
      </c>
      <c r="L13701" s="12"/>
      <c r="M13701" s="13"/>
      <c r="N13701" s="2"/>
      <c r="O13701" s="20"/>
      <c r="P13701" s="42"/>
      <c r="R13701" s="23"/>
    </row>
    <row r="13702" spans="1:18" ht="12.75">
      <c r="A13702" s="12"/>
      <c r="D13702" s="12"/>
      <c r="E13702" s="12"/>
      <c r="H13702" s="11" t="str">
        <f ca="1">IFERROR(__xludf.DUMMYFUNCTION("IFERROR(SUBSTITUTE(SUBSTITUTE(REGEXEXTRACT(A13702, ""[^-]+- [^-]+- [^-]+ - (.+?)\.jpg""), "".jpg"", """"), ""-"", "", ""), """")"),"")</f>
        <v/>
      </c>
      <c r="L13702" s="12"/>
      <c r="M13702" s="13"/>
      <c r="N13702" s="2"/>
      <c r="O13702" s="20"/>
      <c r="P13702" s="42"/>
      <c r="R13702" s="23"/>
    </row>
    <row r="13703" spans="1:18" ht="12.75">
      <c r="A13703" s="12"/>
      <c r="D13703" s="12"/>
      <c r="E13703" s="12"/>
      <c r="H13703" s="11" t="str">
        <f ca="1">IFERROR(__xludf.DUMMYFUNCTION("IFERROR(SUBSTITUTE(SUBSTITUTE(REGEXEXTRACT(A13703, ""[^-]+- [^-]+- [^-]+ - (.+?)\.jpg""), "".jpg"", """"), ""-"", "", ""), """")"),"")</f>
        <v/>
      </c>
      <c r="L13703" s="12"/>
      <c r="M13703" s="13"/>
      <c r="N13703" s="2"/>
      <c r="O13703" s="20"/>
      <c r="P13703" s="42"/>
      <c r="R13703" s="23"/>
    </row>
    <row r="13704" spans="1:18" ht="12.75">
      <c r="A13704" s="12"/>
      <c r="D13704" s="12"/>
      <c r="E13704" s="12"/>
      <c r="H13704" s="11" t="str">
        <f ca="1">IFERROR(__xludf.DUMMYFUNCTION("IFERROR(SUBSTITUTE(SUBSTITUTE(REGEXEXTRACT(A13704, ""[^-]+- [^-]+- [^-]+ - (.+?)\.jpg""), "".jpg"", """"), ""-"", "", ""), """")"),"")</f>
        <v/>
      </c>
      <c r="L13704" s="12"/>
      <c r="M13704" s="13"/>
      <c r="N13704" s="2"/>
      <c r="O13704" s="20"/>
      <c r="P13704" s="42"/>
      <c r="R13704" s="23"/>
    </row>
    <row r="13705" spans="1:18" ht="12.75">
      <c r="A13705" s="12"/>
      <c r="D13705" s="12"/>
      <c r="E13705" s="12"/>
      <c r="H13705" s="11" t="str">
        <f ca="1">IFERROR(__xludf.DUMMYFUNCTION("IFERROR(SUBSTITUTE(SUBSTITUTE(REGEXEXTRACT(A13705, ""[^-]+- [^-]+- [^-]+ - (.+?)\.jpg""), "".jpg"", """"), ""-"", "", ""), """")"),"")</f>
        <v/>
      </c>
      <c r="L13705" s="12"/>
      <c r="M13705" s="13"/>
      <c r="N13705" s="2"/>
      <c r="O13705" s="20"/>
      <c r="P13705" s="42"/>
      <c r="R13705" s="23"/>
    </row>
    <row r="13706" spans="1:18" ht="12.75">
      <c r="A13706" s="12"/>
      <c r="D13706" s="12"/>
      <c r="E13706" s="12"/>
      <c r="H13706" s="11" t="str">
        <f ca="1">IFERROR(__xludf.DUMMYFUNCTION("IFERROR(SUBSTITUTE(SUBSTITUTE(REGEXEXTRACT(A13706, ""[^-]+- [^-]+- [^-]+ - (.+?)\.jpg""), "".jpg"", """"), ""-"", "", ""), """")"),"")</f>
        <v/>
      </c>
      <c r="L13706" s="12"/>
      <c r="M13706" s="13"/>
      <c r="N13706" s="2"/>
      <c r="O13706" s="20"/>
      <c r="P13706" s="42"/>
      <c r="R13706" s="23"/>
    </row>
    <row r="13707" spans="1:18" ht="12.75">
      <c r="A13707" s="12"/>
      <c r="D13707" s="12"/>
      <c r="E13707" s="12"/>
      <c r="H13707" s="11" t="str">
        <f ca="1">IFERROR(__xludf.DUMMYFUNCTION("IFERROR(SUBSTITUTE(SUBSTITUTE(REGEXEXTRACT(A13707, ""[^-]+- [^-]+- [^-]+ - (.+?)\.jpg""), "".jpg"", """"), ""-"", "", ""), """")"),"")</f>
        <v/>
      </c>
      <c r="L13707" s="12"/>
      <c r="M13707" s="13"/>
      <c r="N13707" s="2"/>
      <c r="O13707" s="20"/>
      <c r="P13707" s="42"/>
      <c r="R13707" s="23"/>
    </row>
    <row r="13708" spans="1:18" ht="12.75">
      <c r="A13708" s="12"/>
      <c r="D13708" s="12"/>
      <c r="E13708" s="12"/>
      <c r="H13708" s="11" t="str">
        <f ca="1">IFERROR(__xludf.DUMMYFUNCTION("IFERROR(SUBSTITUTE(SUBSTITUTE(REGEXEXTRACT(A13708, ""[^-]+- [^-]+- [^-]+ - (.+?)\.jpg""), "".jpg"", """"), ""-"", "", ""), """")"),"")</f>
        <v/>
      </c>
      <c r="L13708" s="12"/>
      <c r="M13708" s="13"/>
      <c r="N13708" s="2"/>
      <c r="O13708" s="20"/>
      <c r="P13708" s="42"/>
      <c r="R13708" s="23"/>
    </row>
    <row r="13709" spans="1:18" ht="12.75">
      <c r="A13709" s="12"/>
      <c r="D13709" s="12"/>
      <c r="E13709" s="12"/>
      <c r="H13709" s="11" t="str">
        <f ca="1">IFERROR(__xludf.DUMMYFUNCTION("IFERROR(SUBSTITUTE(SUBSTITUTE(REGEXEXTRACT(A13709, ""[^-]+- [^-]+- [^-]+ - (.+?)\.jpg""), "".jpg"", """"), ""-"", "", ""), """")"),"")</f>
        <v/>
      </c>
      <c r="L13709" s="12"/>
      <c r="M13709" s="13"/>
      <c r="N13709" s="2"/>
      <c r="O13709" s="20"/>
      <c r="P13709" s="42"/>
      <c r="R13709" s="23"/>
    </row>
    <row r="13710" spans="1:18" ht="12.75">
      <c r="A13710" s="12"/>
      <c r="D13710" s="12"/>
      <c r="E13710" s="12"/>
      <c r="H13710" s="11" t="str">
        <f ca="1">IFERROR(__xludf.DUMMYFUNCTION("IFERROR(SUBSTITUTE(SUBSTITUTE(REGEXEXTRACT(A13710, ""[^-]+- [^-]+- [^-]+ - (.+?)\.jpg""), "".jpg"", """"), ""-"", "", ""), """")"),"")</f>
        <v/>
      </c>
      <c r="L13710" s="12"/>
      <c r="M13710" s="13"/>
      <c r="N13710" s="2"/>
      <c r="O13710" s="20"/>
      <c r="P13710" s="42"/>
      <c r="R13710" s="23"/>
    </row>
    <row r="13711" spans="1:18" ht="12.75">
      <c r="A13711" s="12"/>
      <c r="D13711" s="12"/>
      <c r="E13711" s="12"/>
      <c r="H13711" s="11" t="str">
        <f ca="1">IFERROR(__xludf.DUMMYFUNCTION("IFERROR(SUBSTITUTE(SUBSTITUTE(REGEXEXTRACT(A13711, ""[^-]+- [^-]+- [^-]+ - (.+?)\.jpg""), "".jpg"", """"), ""-"", "", ""), """")"),"")</f>
        <v/>
      </c>
      <c r="L13711" s="12"/>
      <c r="M13711" s="13"/>
      <c r="N13711" s="2"/>
      <c r="O13711" s="20"/>
      <c r="P13711" s="42"/>
      <c r="R13711" s="23"/>
    </row>
    <row r="13712" spans="1:18" ht="12.75">
      <c r="A13712" s="12"/>
      <c r="D13712" s="12"/>
      <c r="E13712" s="12"/>
      <c r="H13712" s="11" t="str">
        <f ca="1">IFERROR(__xludf.DUMMYFUNCTION("IFERROR(SUBSTITUTE(SUBSTITUTE(REGEXEXTRACT(A13712, ""[^-]+- [^-]+- [^-]+ - (.+?)\.jpg""), "".jpg"", """"), ""-"", "", ""), """")"),"")</f>
        <v/>
      </c>
      <c r="L13712" s="12"/>
      <c r="M13712" s="13"/>
      <c r="N13712" s="2"/>
      <c r="O13712" s="20"/>
      <c r="P13712" s="42"/>
      <c r="R13712" s="23"/>
    </row>
    <row r="13713" spans="1:18" ht="12.75">
      <c r="A13713" s="12"/>
      <c r="D13713" s="12"/>
      <c r="E13713" s="12"/>
      <c r="H13713" s="11" t="str">
        <f ca="1">IFERROR(__xludf.DUMMYFUNCTION("IFERROR(SUBSTITUTE(SUBSTITUTE(REGEXEXTRACT(A13713, ""[^-]+- [^-]+- [^-]+ - (.+?)\.jpg""), "".jpg"", """"), ""-"", "", ""), """")"),"")</f>
        <v/>
      </c>
      <c r="L13713" s="12"/>
      <c r="M13713" s="13"/>
      <c r="N13713" s="2"/>
      <c r="O13713" s="20"/>
      <c r="P13713" s="42"/>
      <c r="R13713" s="23"/>
    </row>
    <row r="13714" spans="1:18" ht="12.75">
      <c r="A13714" s="12"/>
      <c r="D13714" s="12"/>
      <c r="E13714" s="12"/>
      <c r="H13714" s="11" t="str">
        <f ca="1">IFERROR(__xludf.DUMMYFUNCTION("IFERROR(SUBSTITUTE(SUBSTITUTE(REGEXEXTRACT(A13714, ""[^-]+- [^-]+- [^-]+ - (.+?)\.jpg""), "".jpg"", """"), ""-"", "", ""), """")"),"")</f>
        <v/>
      </c>
      <c r="L13714" s="12"/>
      <c r="M13714" s="13"/>
      <c r="N13714" s="2"/>
      <c r="O13714" s="20"/>
      <c r="P13714" s="42"/>
      <c r="R13714" s="23"/>
    </row>
    <row r="13715" spans="1:18" ht="12.75">
      <c r="A13715" s="12"/>
      <c r="D13715" s="12"/>
      <c r="E13715" s="12"/>
      <c r="H13715" s="11" t="str">
        <f ca="1">IFERROR(__xludf.DUMMYFUNCTION("IFERROR(SUBSTITUTE(SUBSTITUTE(REGEXEXTRACT(A13715, ""[^-]+- [^-]+- [^-]+ - (.+?)\.jpg""), "".jpg"", """"), ""-"", "", ""), """")"),"")</f>
        <v/>
      </c>
      <c r="L13715" s="12"/>
      <c r="M13715" s="13"/>
      <c r="N13715" s="2"/>
      <c r="O13715" s="20"/>
      <c r="P13715" s="42"/>
      <c r="R13715" s="23"/>
    </row>
    <row r="13716" spans="1:18" ht="12.75">
      <c r="A13716" s="12"/>
      <c r="D13716" s="12"/>
      <c r="E13716" s="12"/>
      <c r="H13716" s="11" t="str">
        <f ca="1">IFERROR(__xludf.DUMMYFUNCTION("IFERROR(SUBSTITUTE(SUBSTITUTE(REGEXEXTRACT(A13716, ""[^-]+- [^-]+- [^-]+ - (.+?)\.jpg""), "".jpg"", """"), ""-"", "", ""), """")"),"")</f>
        <v/>
      </c>
      <c r="L13716" s="12"/>
      <c r="M13716" s="13"/>
      <c r="N13716" s="2"/>
      <c r="O13716" s="20"/>
      <c r="P13716" s="42"/>
      <c r="R13716" s="23"/>
    </row>
    <row r="13717" spans="1:18" ht="12.75">
      <c r="A13717" s="12"/>
      <c r="D13717" s="12"/>
      <c r="E13717" s="12"/>
      <c r="H13717" s="11" t="str">
        <f ca="1">IFERROR(__xludf.DUMMYFUNCTION("IFERROR(SUBSTITUTE(SUBSTITUTE(REGEXEXTRACT(A13717, ""[^-]+- [^-]+- [^-]+ - (.+?)\.jpg""), "".jpg"", """"), ""-"", "", ""), """")"),"")</f>
        <v/>
      </c>
      <c r="L13717" s="12"/>
      <c r="M13717" s="13"/>
      <c r="N13717" s="2"/>
      <c r="O13717" s="20"/>
      <c r="P13717" s="42"/>
      <c r="R13717" s="23"/>
    </row>
    <row r="13718" spans="1:18" ht="12.75">
      <c r="A13718" s="12"/>
      <c r="D13718" s="12"/>
      <c r="E13718" s="12"/>
      <c r="H13718" s="11" t="str">
        <f ca="1">IFERROR(__xludf.DUMMYFUNCTION("IFERROR(SUBSTITUTE(SUBSTITUTE(REGEXEXTRACT(A13718, ""[^-]+- [^-]+- [^-]+ - (.+?)\.jpg""), "".jpg"", """"), ""-"", "", ""), """")"),"")</f>
        <v/>
      </c>
      <c r="L13718" s="12"/>
      <c r="M13718" s="13"/>
      <c r="N13718" s="2"/>
      <c r="O13718" s="20"/>
      <c r="P13718" s="42"/>
      <c r="R13718" s="23"/>
    </row>
    <row r="13719" spans="1:18" ht="12.75">
      <c r="A13719" s="12"/>
      <c r="D13719" s="12"/>
      <c r="E13719" s="12"/>
      <c r="H13719" s="11" t="str">
        <f ca="1">IFERROR(__xludf.DUMMYFUNCTION("IFERROR(SUBSTITUTE(SUBSTITUTE(REGEXEXTRACT(A13719, ""[^-]+- [^-]+- [^-]+ - (.+?)\.jpg""), "".jpg"", """"), ""-"", "", ""), """")"),"")</f>
        <v/>
      </c>
      <c r="L13719" s="12"/>
      <c r="M13719" s="13"/>
      <c r="N13719" s="2"/>
      <c r="O13719" s="20"/>
      <c r="P13719" s="42"/>
      <c r="R13719" s="23"/>
    </row>
    <row r="13720" spans="1:18" ht="12.75">
      <c r="A13720" s="12"/>
      <c r="D13720" s="12"/>
      <c r="E13720" s="12"/>
      <c r="H13720" s="11" t="str">
        <f ca="1">IFERROR(__xludf.DUMMYFUNCTION("IFERROR(SUBSTITUTE(SUBSTITUTE(REGEXEXTRACT(A13720, ""[^-]+- [^-]+- [^-]+ - (.+?)\.jpg""), "".jpg"", """"), ""-"", "", ""), """")"),"")</f>
        <v/>
      </c>
      <c r="L13720" s="12"/>
      <c r="M13720" s="13"/>
      <c r="N13720" s="2"/>
      <c r="O13720" s="20"/>
      <c r="P13720" s="42"/>
      <c r="R13720" s="23"/>
    </row>
    <row r="13721" spans="1:18" ht="12.75">
      <c r="A13721" s="12"/>
      <c r="D13721" s="12"/>
      <c r="E13721" s="12"/>
      <c r="H13721" s="11" t="str">
        <f ca="1">IFERROR(__xludf.DUMMYFUNCTION("IFERROR(SUBSTITUTE(SUBSTITUTE(REGEXEXTRACT(A13721, ""[^-]+- [^-]+- [^-]+ - (.+?)\.jpg""), "".jpg"", """"), ""-"", "", ""), """")"),"")</f>
        <v/>
      </c>
      <c r="L13721" s="12"/>
      <c r="M13721" s="13"/>
      <c r="N13721" s="2"/>
      <c r="O13721" s="20"/>
      <c r="P13721" s="42"/>
      <c r="R13721" s="23"/>
    </row>
    <row r="13722" spans="1:18" ht="12.75">
      <c r="A13722" s="12"/>
      <c r="D13722" s="12"/>
      <c r="E13722" s="12"/>
      <c r="H13722" s="11" t="str">
        <f ca="1">IFERROR(__xludf.DUMMYFUNCTION("IFERROR(SUBSTITUTE(SUBSTITUTE(REGEXEXTRACT(A13722, ""[^-]+- [^-]+- [^-]+ - (.+?)\.jpg""), "".jpg"", """"), ""-"", "", ""), """")"),"")</f>
        <v/>
      </c>
      <c r="L13722" s="12"/>
      <c r="M13722" s="13"/>
      <c r="N13722" s="2"/>
      <c r="O13722" s="20"/>
      <c r="P13722" s="42"/>
      <c r="R13722" s="23"/>
    </row>
    <row r="13723" spans="1:18" ht="12.75">
      <c r="A13723" s="12"/>
      <c r="D13723" s="12"/>
      <c r="E13723" s="12"/>
      <c r="H13723" s="11" t="str">
        <f ca="1">IFERROR(__xludf.DUMMYFUNCTION("IFERROR(SUBSTITUTE(SUBSTITUTE(REGEXEXTRACT(A13723, ""[^-]+- [^-]+- [^-]+ - (.+?)\.jpg""), "".jpg"", """"), ""-"", "", ""), """")"),"")</f>
        <v/>
      </c>
      <c r="L13723" s="12"/>
      <c r="M13723" s="13"/>
      <c r="N13723" s="2"/>
      <c r="O13723" s="20"/>
      <c r="P13723" s="42"/>
      <c r="R13723" s="23"/>
    </row>
    <row r="13724" spans="1:18" ht="12.75">
      <c r="A13724" s="12"/>
      <c r="D13724" s="12"/>
      <c r="E13724" s="12"/>
      <c r="H13724" s="11" t="str">
        <f ca="1">IFERROR(__xludf.DUMMYFUNCTION("IFERROR(SUBSTITUTE(SUBSTITUTE(REGEXEXTRACT(A13724, ""[^-]+- [^-]+- [^-]+ - (.+?)\.jpg""), "".jpg"", """"), ""-"", "", ""), """")"),"")</f>
        <v/>
      </c>
      <c r="L13724" s="12"/>
      <c r="M13724" s="13"/>
      <c r="N13724" s="2"/>
      <c r="O13724" s="20"/>
      <c r="P13724" s="42"/>
      <c r="R13724" s="23"/>
    </row>
    <row r="13725" spans="1:18" ht="12.75">
      <c r="A13725" s="12"/>
      <c r="D13725" s="12"/>
      <c r="E13725" s="12"/>
      <c r="H13725" s="11" t="str">
        <f ca="1">IFERROR(__xludf.DUMMYFUNCTION("IFERROR(SUBSTITUTE(SUBSTITUTE(REGEXEXTRACT(A13725, ""[^-]+- [^-]+- [^-]+ - (.+?)\.jpg""), "".jpg"", """"), ""-"", "", ""), """")"),"")</f>
        <v/>
      </c>
      <c r="L13725" s="12"/>
      <c r="M13725" s="13"/>
      <c r="N13725" s="2"/>
      <c r="O13725" s="20"/>
      <c r="P13725" s="42"/>
      <c r="R13725" s="23"/>
    </row>
    <row r="13726" spans="1:18" ht="12.75">
      <c r="A13726" s="12"/>
      <c r="D13726" s="12"/>
      <c r="E13726" s="12"/>
      <c r="H13726" s="11" t="str">
        <f ca="1">IFERROR(__xludf.DUMMYFUNCTION("IFERROR(SUBSTITUTE(SUBSTITUTE(REGEXEXTRACT(A13726, ""[^-]+- [^-]+- [^-]+ - (.+?)\.jpg""), "".jpg"", """"), ""-"", "", ""), """")"),"")</f>
        <v/>
      </c>
      <c r="L13726" s="12"/>
      <c r="M13726" s="13"/>
      <c r="N13726" s="2"/>
      <c r="O13726" s="20"/>
      <c r="P13726" s="42"/>
      <c r="R13726" s="23"/>
    </row>
    <row r="13727" spans="1:18" ht="12.75">
      <c r="A13727" s="12"/>
      <c r="D13727" s="12"/>
      <c r="E13727" s="12"/>
      <c r="H13727" s="11" t="str">
        <f ca="1">IFERROR(__xludf.DUMMYFUNCTION("IFERROR(SUBSTITUTE(SUBSTITUTE(REGEXEXTRACT(A13727, ""[^-]+- [^-]+- [^-]+ - (.+?)\.jpg""), "".jpg"", """"), ""-"", "", ""), """")"),"")</f>
        <v/>
      </c>
      <c r="L13727" s="12"/>
      <c r="M13727" s="13"/>
      <c r="N13727" s="2"/>
      <c r="O13727" s="20"/>
      <c r="P13727" s="42"/>
      <c r="R13727" s="23"/>
    </row>
    <row r="13728" spans="1:18" ht="12.75">
      <c r="A13728" s="12"/>
      <c r="D13728" s="12"/>
      <c r="E13728" s="12"/>
      <c r="H13728" s="11" t="str">
        <f ca="1">IFERROR(__xludf.DUMMYFUNCTION("IFERROR(SUBSTITUTE(SUBSTITUTE(REGEXEXTRACT(A13728, ""[^-]+- [^-]+- [^-]+ - (.+?)\.jpg""), "".jpg"", """"), ""-"", "", ""), """")"),"")</f>
        <v/>
      </c>
      <c r="L13728" s="12"/>
      <c r="M13728" s="13"/>
      <c r="N13728" s="2"/>
      <c r="O13728" s="20"/>
      <c r="P13728" s="42"/>
      <c r="R13728" s="23"/>
    </row>
    <row r="13729" spans="1:18" ht="12.75">
      <c r="A13729" s="12"/>
      <c r="D13729" s="12"/>
      <c r="E13729" s="12"/>
      <c r="H13729" s="11" t="str">
        <f ca="1">IFERROR(__xludf.DUMMYFUNCTION("IFERROR(SUBSTITUTE(SUBSTITUTE(REGEXEXTRACT(A13729, ""[^-]+- [^-]+- [^-]+ - (.+?)\.jpg""), "".jpg"", """"), ""-"", "", ""), """")"),"")</f>
        <v/>
      </c>
      <c r="L13729" s="12"/>
      <c r="M13729" s="13"/>
      <c r="N13729" s="2"/>
      <c r="O13729" s="20"/>
      <c r="P13729" s="42"/>
      <c r="R13729" s="23"/>
    </row>
    <row r="13730" spans="1:18" ht="12.75">
      <c r="A13730" s="12"/>
      <c r="D13730" s="12"/>
      <c r="E13730" s="12"/>
      <c r="H13730" s="11" t="str">
        <f ca="1">IFERROR(__xludf.DUMMYFUNCTION("IFERROR(SUBSTITUTE(SUBSTITUTE(REGEXEXTRACT(A13730, ""[^-]+- [^-]+- [^-]+ - (.+?)\.jpg""), "".jpg"", """"), ""-"", "", ""), """")"),"")</f>
        <v/>
      </c>
      <c r="L13730" s="12"/>
      <c r="M13730" s="13"/>
      <c r="N13730" s="2"/>
      <c r="O13730" s="20"/>
      <c r="P13730" s="42"/>
      <c r="R13730" s="23"/>
    </row>
    <row r="13731" spans="1:18" ht="12.75">
      <c r="A13731" s="12"/>
      <c r="D13731" s="12"/>
      <c r="E13731" s="12"/>
      <c r="H13731" s="11" t="str">
        <f ca="1">IFERROR(__xludf.DUMMYFUNCTION("IFERROR(SUBSTITUTE(SUBSTITUTE(REGEXEXTRACT(A13731, ""[^-]+- [^-]+- [^-]+ - (.+?)\.jpg""), "".jpg"", """"), ""-"", "", ""), """")"),"")</f>
        <v/>
      </c>
      <c r="L13731" s="12"/>
      <c r="M13731" s="13"/>
      <c r="N13731" s="2"/>
      <c r="O13731" s="20"/>
      <c r="P13731" s="42"/>
      <c r="R13731" s="23"/>
    </row>
    <row r="13732" spans="1:18" ht="12.75">
      <c r="A13732" s="12"/>
      <c r="D13732" s="12"/>
      <c r="E13732" s="12"/>
      <c r="H13732" s="11" t="str">
        <f ca="1">IFERROR(__xludf.DUMMYFUNCTION("IFERROR(SUBSTITUTE(SUBSTITUTE(REGEXEXTRACT(A13732, ""[^-]+- [^-]+- [^-]+ - (.+?)\.jpg""), "".jpg"", """"), ""-"", "", ""), """")"),"")</f>
        <v/>
      </c>
      <c r="L13732" s="12"/>
      <c r="M13732" s="13"/>
      <c r="N13732" s="2"/>
      <c r="O13732" s="20"/>
      <c r="P13732" s="42"/>
      <c r="R13732" s="23"/>
    </row>
    <row r="13733" spans="1:18" ht="12.75">
      <c r="A13733" s="12"/>
      <c r="D13733" s="12"/>
      <c r="E13733" s="12"/>
      <c r="H13733" s="11" t="str">
        <f ca="1">IFERROR(__xludf.DUMMYFUNCTION("IFERROR(SUBSTITUTE(SUBSTITUTE(REGEXEXTRACT(A13733, ""[^-]+- [^-]+- [^-]+ - (.+?)\.jpg""), "".jpg"", """"), ""-"", "", ""), """")"),"")</f>
        <v/>
      </c>
      <c r="L13733" s="12"/>
      <c r="M13733" s="13"/>
      <c r="N13733" s="2"/>
      <c r="O13733" s="20"/>
      <c r="P13733" s="42"/>
      <c r="R13733" s="23"/>
    </row>
    <row r="13734" spans="1:18" ht="12.75">
      <c r="A13734" s="12"/>
      <c r="D13734" s="12"/>
      <c r="E13734" s="12"/>
      <c r="H13734" s="11" t="str">
        <f ca="1">IFERROR(__xludf.DUMMYFUNCTION("IFERROR(SUBSTITUTE(SUBSTITUTE(REGEXEXTRACT(A13734, ""[^-]+- [^-]+- [^-]+ - (.+?)\.jpg""), "".jpg"", """"), ""-"", "", ""), """")"),"")</f>
        <v/>
      </c>
      <c r="L13734" s="12"/>
      <c r="M13734" s="13"/>
      <c r="N13734" s="2"/>
      <c r="O13734" s="20"/>
      <c r="P13734" s="42"/>
      <c r="R13734" s="23"/>
    </row>
    <row r="13735" spans="1:18" ht="12.75">
      <c r="A13735" s="12"/>
      <c r="D13735" s="12"/>
      <c r="E13735" s="12"/>
      <c r="H13735" s="11" t="str">
        <f ca="1">IFERROR(__xludf.DUMMYFUNCTION("IFERROR(SUBSTITUTE(SUBSTITUTE(REGEXEXTRACT(A13735, ""[^-]+- [^-]+- [^-]+ - (.+?)\.jpg""), "".jpg"", """"), ""-"", "", ""), """")"),"")</f>
        <v/>
      </c>
      <c r="L13735" s="12"/>
      <c r="M13735" s="13"/>
      <c r="N13735" s="2"/>
      <c r="O13735" s="20"/>
      <c r="P13735" s="42"/>
      <c r="R13735" s="23"/>
    </row>
    <row r="13736" spans="1:18" ht="12.75">
      <c r="A13736" s="12"/>
      <c r="D13736" s="12"/>
      <c r="E13736" s="12"/>
      <c r="H13736" s="11" t="str">
        <f ca="1">IFERROR(__xludf.DUMMYFUNCTION("IFERROR(SUBSTITUTE(SUBSTITUTE(REGEXEXTRACT(A13736, ""[^-]+- [^-]+- [^-]+ - (.+?)\.jpg""), "".jpg"", """"), ""-"", "", ""), """")"),"")</f>
        <v/>
      </c>
      <c r="L13736" s="12"/>
      <c r="M13736" s="13"/>
      <c r="N13736" s="2"/>
      <c r="O13736" s="20"/>
      <c r="P13736" s="42"/>
      <c r="R13736" s="23"/>
    </row>
    <row r="13737" spans="1:18" ht="12.75">
      <c r="A13737" s="12"/>
      <c r="D13737" s="12"/>
      <c r="E13737" s="12"/>
      <c r="H13737" s="11" t="str">
        <f ca="1">IFERROR(__xludf.DUMMYFUNCTION("IFERROR(SUBSTITUTE(SUBSTITUTE(REGEXEXTRACT(A13737, ""[^-]+- [^-]+- [^-]+ - (.+?)\.jpg""), "".jpg"", """"), ""-"", "", ""), """")"),"")</f>
        <v/>
      </c>
      <c r="L13737" s="12"/>
      <c r="M13737" s="13"/>
      <c r="N13737" s="2"/>
      <c r="O13737" s="20"/>
      <c r="P13737" s="42"/>
      <c r="R13737" s="23"/>
    </row>
    <row r="13738" spans="1:18" ht="12.75">
      <c r="A13738" s="12"/>
      <c r="D13738" s="12"/>
      <c r="E13738" s="12"/>
      <c r="H13738" s="11" t="str">
        <f ca="1">IFERROR(__xludf.DUMMYFUNCTION("IFERROR(SUBSTITUTE(SUBSTITUTE(REGEXEXTRACT(A13738, ""[^-]+- [^-]+- [^-]+ - (.+?)\.jpg""), "".jpg"", """"), ""-"", "", ""), """")"),"")</f>
        <v/>
      </c>
      <c r="L13738" s="12"/>
      <c r="M13738" s="13"/>
      <c r="N13738" s="2"/>
      <c r="O13738" s="20"/>
      <c r="P13738" s="42"/>
      <c r="R13738" s="23"/>
    </row>
    <row r="13739" spans="1:18" ht="12.75">
      <c r="A13739" s="12"/>
      <c r="D13739" s="12"/>
      <c r="E13739" s="12"/>
      <c r="H13739" s="11" t="str">
        <f ca="1">IFERROR(__xludf.DUMMYFUNCTION("IFERROR(SUBSTITUTE(SUBSTITUTE(REGEXEXTRACT(A13739, ""[^-]+- [^-]+- [^-]+ - (.+?)\.jpg""), "".jpg"", """"), ""-"", "", ""), """")"),"")</f>
        <v/>
      </c>
      <c r="L13739" s="12"/>
      <c r="M13739" s="13"/>
      <c r="N13739" s="2"/>
      <c r="O13739" s="20"/>
      <c r="P13739" s="42"/>
      <c r="R13739" s="23"/>
    </row>
    <row r="13740" spans="1:18" ht="12.75">
      <c r="A13740" s="12"/>
      <c r="D13740" s="12"/>
      <c r="E13740" s="12"/>
      <c r="H13740" s="11" t="str">
        <f ca="1">IFERROR(__xludf.DUMMYFUNCTION("IFERROR(SUBSTITUTE(SUBSTITUTE(REGEXEXTRACT(A13740, ""[^-]+- [^-]+- [^-]+ - (.+?)\.jpg""), "".jpg"", """"), ""-"", "", ""), """")"),"")</f>
        <v/>
      </c>
      <c r="L13740" s="12"/>
      <c r="M13740" s="13"/>
      <c r="N13740" s="2"/>
      <c r="O13740" s="20"/>
      <c r="P13740" s="42"/>
      <c r="R13740" s="23"/>
    </row>
    <row r="13741" spans="1:18" ht="12.75">
      <c r="A13741" s="12"/>
      <c r="D13741" s="12"/>
      <c r="E13741" s="12"/>
      <c r="H13741" s="11" t="str">
        <f ca="1">IFERROR(__xludf.DUMMYFUNCTION("IFERROR(SUBSTITUTE(SUBSTITUTE(REGEXEXTRACT(A13741, ""[^-]+- [^-]+- [^-]+ - (.+?)\.jpg""), "".jpg"", """"), ""-"", "", ""), """")"),"")</f>
        <v/>
      </c>
      <c r="L13741" s="12"/>
      <c r="M13741" s="13"/>
      <c r="N13741" s="2"/>
      <c r="O13741" s="20"/>
      <c r="P13741" s="42"/>
      <c r="R13741" s="23"/>
    </row>
    <row r="13742" spans="1:18" ht="12.75">
      <c r="A13742" s="12"/>
      <c r="D13742" s="12"/>
      <c r="E13742" s="12"/>
      <c r="H13742" s="11" t="str">
        <f ca="1">IFERROR(__xludf.DUMMYFUNCTION("IFERROR(SUBSTITUTE(SUBSTITUTE(REGEXEXTRACT(A13742, ""[^-]+- [^-]+- [^-]+ - (.+?)\.jpg""), "".jpg"", """"), ""-"", "", ""), """")"),"")</f>
        <v/>
      </c>
      <c r="L13742" s="12"/>
      <c r="M13742" s="13"/>
      <c r="N13742" s="2"/>
      <c r="O13742" s="20"/>
      <c r="P13742" s="42"/>
      <c r="R13742" s="23"/>
    </row>
    <row r="13743" spans="1:18" ht="12.75">
      <c r="A13743" s="12"/>
      <c r="D13743" s="12"/>
      <c r="E13743" s="12"/>
      <c r="H13743" s="11" t="str">
        <f ca="1">IFERROR(__xludf.DUMMYFUNCTION("IFERROR(SUBSTITUTE(SUBSTITUTE(REGEXEXTRACT(A13743, ""[^-]+- [^-]+- [^-]+ - (.+?)\.jpg""), "".jpg"", """"), ""-"", "", ""), """")"),"")</f>
        <v/>
      </c>
      <c r="L13743" s="12"/>
      <c r="M13743" s="13"/>
      <c r="N13743" s="2"/>
      <c r="O13743" s="20"/>
      <c r="P13743" s="42"/>
      <c r="R13743" s="23"/>
    </row>
    <row r="13744" spans="1:18" ht="12.75">
      <c r="A13744" s="12"/>
      <c r="D13744" s="12"/>
      <c r="E13744" s="12"/>
      <c r="H13744" s="11" t="str">
        <f ca="1">IFERROR(__xludf.DUMMYFUNCTION("IFERROR(SUBSTITUTE(SUBSTITUTE(REGEXEXTRACT(A13744, ""[^-]+- [^-]+- [^-]+ - (.+?)\.jpg""), "".jpg"", """"), ""-"", "", ""), """")"),"")</f>
        <v/>
      </c>
      <c r="L13744" s="12"/>
      <c r="M13744" s="13"/>
      <c r="N13744" s="2"/>
      <c r="O13744" s="20"/>
      <c r="P13744" s="42"/>
      <c r="R13744" s="23"/>
    </row>
    <row r="13745" spans="1:18" ht="12.75">
      <c r="A13745" s="12"/>
      <c r="D13745" s="12"/>
      <c r="E13745" s="12"/>
      <c r="H13745" s="11" t="str">
        <f ca="1">IFERROR(__xludf.DUMMYFUNCTION("IFERROR(SUBSTITUTE(SUBSTITUTE(REGEXEXTRACT(A13745, ""[^-]+- [^-]+- [^-]+ - (.+?)\.jpg""), "".jpg"", """"), ""-"", "", ""), """")"),"")</f>
        <v/>
      </c>
      <c r="L13745" s="12"/>
      <c r="M13745" s="13"/>
      <c r="N13745" s="2"/>
      <c r="O13745" s="20"/>
      <c r="P13745" s="42"/>
      <c r="R13745" s="23"/>
    </row>
    <row r="13746" spans="1:18" ht="12.75">
      <c r="A13746" s="12"/>
      <c r="D13746" s="12"/>
      <c r="E13746" s="12"/>
      <c r="H13746" s="11" t="str">
        <f ca="1">IFERROR(__xludf.DUMMYFUNCTION("IFERROR(SUBSTITUTE(SUBSTITUTE(REGEXEXTRACT(A13746, ""[^-]+- [^-]+- [^-]+ - (.+?)\.jpg""), "".jpg"", """"), ""-"", "", ""), """")"),"")</f>
        <v/>
      </c>
      <c r="L13746" s="12"/>
      <c r="M13746" s="13"/>
      <c r="N13746" s="2"/>
      <c r="O13746" s="20"/>
      <c r="P13746" s="42"/>
      <c r="R13746" s="23"/>
    </row>
    <row r="13747" spans="1:18" ht="12.75">
      <c r="A13747" s="12"/>
      <c r="D13747" s="12"/>
      <c r="E13747" s="12"/>
      <c r="H13747" s="11" t="str">
        <f ca="1">IFERROR(__xludf.DUMMYFUNCTION("IFERROR(SUBSTITUTE(SUBSTITUTE(REGEXEXTRACT(A13747, ""[^-]+- [^-]+- [^-]+ - (.+?)\.jpg""), "".jpg"", """"), ""-"", "", ""), """")"),"")</f>
        <v/>
      </c>
      <c r="L13747" s="12"/>
      <c r="M13747" s="13"/>
      <c r="N13747" s="2"/>
      <c r="O13747" s="20"/>
      <c r="P13747" s="42"/>
      <c r="R13747" s="23"/>
    </row>
    <row r="13748" spans="1:18" ht="12.75">
      <c r="A13748" s="12"/>
      <c r="D13748" s="12"/>
      <c r="E13748" s="12"/>
      <c r="H13748" s="11" t="str">
        <f ca="1">IFERROR(__xludf.DUMMYFUNCTION("IFERROR(SUBSTITUTE(SUBSTITUTE(REGEXEXTRACT(A13748, ""[^-]+- [^-]+- [^-]+ - (.+?)\.jpg""), "".jpg"", """"), ""-"", "", ""), """")"),"")</f>
        <v/>
      </c>
      <c r="L13748" s="12"/>
      <c r="M13748" s="13"/>
      <c r="N13748" s="2"/>
      <c r="O13748" s="20"/>
      <c r="P13748" s="42"/>
      <c r="R13748" s="23"/>
    </row>
    <row r="13749" spans="1:18" ht="12.75">
      <c r="A13749" s="12"/>
      <c r="D13749" s="12"/>
      <c r="E13749" s="12"/>
      <c r="H13749" s="11" t="str">
        <f ca="1">IFERROR(__xludf.DUMMYFUNCTION("IFERROR(SUBSTITUTE(SUBSTITUTE(REGEXEXTRACT(A13749, ""[^-]+- [^-]+- [^-]+ - (.+?)\.jpg""), "".jpg"", """"), ""-"", "", ""), """")"),"")</f>
        <v/>
      </c>
      <c r="L13749" s="12"/>
      <c r="M13749" s="13"/>
      <c r="N13749" s="2"/>
      <c r="O13749" s="20"/>
      <c r="P13749" s="42"/>
      <c r="R13749" s="23"/>
    </row>
    <row r="13750" spans="1:18" ht="12.75">
      <c r="A13750" s="12"/>
      <c r="D13750" s="12"/>
      <c r="E13750" s="12"/>
      <c r="H13750" s="11" t="str">
        <f ca="1">IFERROR(__xludf.DUMMYFUNCTION("IFERROR(SUBSTITUTE(SUBSTITUTE(REGEXEXTRACT(A13750, ""[^-]+- [^-]+- [^-]+ - (.+?)\.jpg""), "".jpg"", """"), ""-"", "", ""), """")"),"")</f>
        <v/>
      </c>
      <c r="L13750" s="12"/>
      <c r="M13750" s="13"/>
      <c r="N13750" s="2"/>
      <c r="O13750" s="20"/>
      <c r="P13750" s="42"/>
      <c r="R13750" s="23"/>
    </row>
    <row r="13751" spans="1:18" ht="12.75">
      <c r="A13751" s="12"/>
      <c r="D13751" s="12"/>
      <c r="E13751" s="12"/>
      <c r="H13751" s="11" t="str">
        <f ca="1">IFERROR(__xludf.DUMMYFUNCTION("IFERROR(SUBSTITUTE(SUBSTITUTE(REGEXEXTRACT(A13751, ""[^-]+- [^-]+- [^-]+ - (.+?)\.jpg""), "".jpg"", """"), ""-"", "", ""), """")"),"")</f>
        <v/>
      </c>
      <c r="L13751" s="12"/>
      <c r="M13751" s="13"/>
      <c r="N13751" s="2"/>
      <c r="O13751" s="20"/>
      <c r="P13751" s="42"/>
      <c r="R13751" s="23"/>
    </row>
    <row r="13752" spans="1:18" ht="12.75">
      <c r="A13752" s="12"/>
      <c r="D13752" s="12"/>
      <c r="E13752" s="12"/>
      <c r="H13752" s="11" t="str">
        <f ca="1">IFERROR(__xludf.DUMMYFUNCTION("IFERROR(SUBSTITUTE(SUBSTITUTE(REGEXEXTRACT(A13752, ""[^-]+- [^-]+- [^-]+ - (.+?)\.jpg""), "".jpg"", """"), ""-"", "", ""), """")"),"")</f>
        <v/>
      </c>
      <c r="L13752" s="12"/>
      <c r="M13752" s="13"/>
      <c r="N13752" s="2"/>
      <c r="O13752" s="20"/>
      <c r="P13752" s="42"/>
      <c r="R13752" s="23"/>
    </row>
    <row r="13753" spans="1:18" ht="12.75">
      <c r="A13753" s="12"/>
      <c r="D13753" s="12"/>
      <c r="E13753" s="12"/>
      <c r="H13753" s="11" t="str">
        <f ca="1">IFERROR(__xludf.DUMMYFUNCTION("IFERROR(SUBSTITUTE(SUBSTITUTE(REGEXEXTRACT(A13753, ""[^-]+- [^-]+- [^-]+ - (.+?)\.jpg""), "".jpg"", """"), ""-"", "", ""), """")"),"")</f>
        <v/>
      </c>
      <c r="L13753" s="12"/>
      <c r="M13753" s="13"/>
      <c r="N13753" s="2"/>
      <c r="O13753" s="20"/>
      <c r="P13753" s="42"/>
      <c r="R13753" s="23"/>
    </row>
    <row r="13754" spans="1:18" ht="12.75">
      <c r="A13754" s="12"/>
      <c r="D13754" s="12"/>
      <c r="E13754" s="12"/>
      <c r="H13754" s="11" t="str">
        <f ca="1">IFERROR(__xludf.DUMMYFUNCTION("IFERROR(SUBSTITUTE(SUBSTITUTE(REGEXEXTRACT(A13754, ""[^-]+- [^-]+- [^-]+ - (.+?)\.jpg""), "".jpg"", """"), ""-"", "", ""), """")"),"")</f>
        <v/>
      </c>
      <c r="L13754" s="12"/>
      <c r="M13754" s="13"/>
      <c r="N13754" s="2"/>
      <c r="O13754" s="20"/>
      <c r="P13754" s="42"/>
      <c r="R13754" s="23"/>
    </row>
    <row r="13755" spans="1:18" ht="12.75">
      <c r="A13755" s="12"/>
      <c r="D13755" s="12"/>
      <c r="E13755" s="12"/>
      <c r="H13755" s="11" t="str">
        <f ca="1">IFERROR(__xludf.DUMMYFUNCTION("IFERROR(SUBSTITUTE(SUBSTITUTE(REGEXEXTRACT(A13755, ""[^-]+- [^-]+- [^-]+ - (.+?)\.jpg""), "".jpg"", """"), ""-"", "", ""), """")"),"")</f>
        <v/>
      </c>
      <c r="L13755" s="12"/>
      <c r="M13755" s="13"/>
      <c r="N13755" s="2"/>
      <c r="O13755" s="20"/>
      <c r="P13755" s="42"/>
      <c r="R13755" s="23"/>
    </row>
    <row r="13756" spans="1:18" ht="12.75">
      <c r="A13756" s="12"/>
      <c r="D13756" s="12"/>
      <c r="E13756" s="12"/>
      <c r="H13756" s="11" t="str">
        <f ca="1">IFERROR(__xludf.DUMMYFUNCTION("IFERROR(SUBSTITUTE(SUBSTITUTE(REGEXEXTRACT(A13756, ""[^-]+- [^-]+- [^-]+ - (.+?)\.jpg""), "".jpg"", """"), ""-"", "", ""), """")"),"")</f>
        <v/>
      </c>
      <c r="L13756" s="12"/>
      <c r="M13756" s="13"/>
      <c r="N13756" s="2"/>
      <c r="O13756" s="20"/>
      <c r="P13756" s="42"/>
      <c r="R13756" s="23"/>
    </row>
    <row r="13757" spans="1:18" ht="12.75">
      <c r="A13757" s="12"/>
      <c r="D13757" s="12"/>
      <c r="E13757" s="12"/>
      <c r="H13757" s="11" t="str">
        <f ca="1">IFERROR(__xludf.DUMMYFUNCTION("IFERROR(SUBSTITUTE(SUBSTITUTE(REGEXEXTRACT(A13757, ""[^-]+- [^-]+- [^-]+ - (.+?)\.jpg""), "".jpg"", """"), ""-"", "", ""), """")"),"")</f>
        <v/>
      </c>
      <c r="L13757" s="12"/>
      <c r="M13757" s="13"/>
      <c r="N13757" s="2"/>
      <c r="O13757" s="20"/>
      <c r="P13757" s="42"/>
      <c r="R13757" s="23"/>
    </row>
    <row r="13758" spans="1:18" ht="12.75">
      <c r="A13758" s="12"/>
      <c r="D13758" s="12"/>
      <c r="E13758" s="12"/>
      <c r="H13758" s="11" t="str">
        <f ca="1">IFERROR(__xludf.DUMMYFUNCTION("IFERROR(SUBSTITUTE(SUBSTITUTE(REGEXEXTRACT(A13758, ""[^-]+- [^-]+- [^-]+ - (.+?)\.jpg""), "".jpg"", """"), ""-"", "", ""), """")"),"")</f>
        <v/>
      </c>
      <c r="L13758" s="12"/>
      <c r="M13758" s="13"/>
      <c r="N13758" s="2"/>
      <c r="O13758" s="20"/>
      <c r="P13758" s="42"/>
      <c r="R13758" s="23"/>
    </row>
    <row r="13759" spans="1:18" ht="12.75">
      <c r="A13759" s="12"/>
      <c r="D13759" s="12"/>
      <c r="E13759" s="12"/>
      <c r="H13759" s="11" t="str">
        <f ca="1">IFERROR(__xludf.DUMMYFUNCTION("IFERROR(SUBSTITUTE(SUBSTITUTE(REGEXEXTRACT(A13759, ""[^-]+- [^-]+- [^-]+ - (.+?)\.jpg""), "".jpg"", """"), ""-"", "", ""), """")"),"")</f>
        <v/>
      </c>
      <c r="L13759" s="12"/>
      <c r="M13759" s="13"/>
      <c r="N13759" s="2"/>
      <c r="O13759" s="20"/>
      <c r="P13759" s="42"/>
      <c r="R13759" s="23"/>
    </row>
    <row r="13760" spans="1:18" ht="12.75">
      <c r="A13760" s="12"/>
      <c r="D13760" s="12"/>
      <c r="E13760" s="12"/>
      <c r="H13760" s="11" t="str">
        <f ca="1">IFERROR(__xludf.DUMMYFUNCTION("IFERROR(SUBSTITUTE(SUBSTITUTE(REGEXEXTRACT(A13760, ""[^-]+- [^-]+- [^-]+ - (.+?)\.jpg""), "".jpg"", """"), ""-"", "", ""), """")"),"")</f>
        <v/>
      </c>
      <c r="L13760" s="12"/>
      <c r="M13760" s="13"/>
      <c r="N13760" s="2"/>
      <c r="O13760" s="20"/>
      <c r="P13760" s="42"/>
      <c r="R13760" s="23"/>
    </row>
    <row r="13761" spans="1:18" ht="12.75">
      <c r="A13761" s="12"/>
      <c r="D13761" s="12"/>
      <c r="E13761" s="12"/>
      <c r="H13761" s="11" t="str">
        <f ca="1">IFERROR(__xludf.DUMMYFUNCTION("IFERROR(SUBSTITUTE(SUBSTITUTE(REGEXEXTRACT(A13761, ""[^-]+- [^-]+- [^-]+ - (.+?)\.jpg""), "".jpg"", """"), ""-"", "", ""), """")"),"")</f>
        <v/>
      </c>
      <c r="L13761" s="12"/>
      <c r="M13761" s="13"/>
      <c r="N13761" s="2"/>
      <c r="O13761" s="20"/>
      <c r="P13761" s="42"/>
      <c r="R13761" s="23"/>
    </row>
    <row r="13762" spans="1:18" ht="12.75">
      <c r="A13762" s="12"/>
      <c r="D13762" s="12"/>
      <c r="E13762" s="12"/>
      <c r="H13762" s="11" t="str">
        <f ca="1">IFERROR(__xludf.DUMMYFUNCTION("IFERROR(SUBSTITUTE(SUBSTITUTE(REGEXEXTRACT(A13762, ""[^-]+- [^-]+- [^-]+ - (.+?)\.jpg""), "".jpg"", """"), ""-"", "", ""), """")"),"")</f>
        <v/>
      </c>
      <c r="L13762" s="12"/>
      <c r="M13762" s="13"/>
      <c r="N13762" s="2"/>
      <c r="O13762" s="20"/>
      <c r="P13762" s="42"/>
      <c r="R13762" s="23"/>
    </row>
    <row r="13763" spans="1:18" ht="12.75">
      <c r="A13763" s="12"/>
      <c r="D13763" s="12"/>
      <c r="E13763" s="12"/>
      <c r="H13763" s="11" t="str">
        <f ca="1">IFERROR(__xludf.DUMMYFUNCTION("IFERROR(SUBSTITUTE(SUBSTITUTE(REGEXEXTRACT(A13763, ""[^-]+- [^-]+- [^-]+ - (.+?)\.jpg""), "".jpg"", """"), ""-"", "", ""), """")"),"")</f>
        <v/>
      </c>
      <c r="L13763" s="12"/>
      <c r="M13763" s="13"/>
      <c r="N13763" s="2"/>
      <c r="O13763" s="20"/>
      <c r="P13763" s="42"/>
      <c r="R13763" s="23"/>
    </row>
    <row r="13764" spans="1:18" ht="12.75">
      <c r="A13764" s="12"/>
      <c r="D13764" s="12"/>
      <c r="E13764" s="12"/>
      <c r="H13764" s="11" t="str">
        <f ca="1">IFERROR(__xludf.DUMMYFUNCTION("IFERROR(SUBSTITUTE(SUBSTITUTE(REGEXEXTRACT(A13764, ""[^-]+- [^-]+- [^-]+ - (.+?)\.jpg""), "".jpg"", """"), ""-"", "", ""), """")"),"")</f>
        <v/>
      </c>
      <c r="L13764" s="12"/>
      <c r="M13764" s="13"/>
      <c r="N13764" s="2"/>
      <c r="O13764" s="20"/>
      <c r="P13764" s="42"/>
      <c r="R13764" s="23"/>
    </row>
    <row r="13765" spans="1:18" ht="12.75">
      <c r="A13765" s="12"/>
      <c r="D13765" s="12"/>
      <c r="E13765" s="12"/>
      <c r="H13765" s="11" t="str">
        <f ca="1">IFERROR(__xludf.DUMMYFUNCTION("IFERROR(SUBSTITUTE(SUBSTITUTE(REGEXEXTRACT(A13765, ""[^-]+- [^-]+- [^-]+ - (.+?)\.jpg""), "".jpg"", """"), ""-"", "", ""), """")"),"")</f>
        <v/>
      </c>
      <c r="L13765" s="12"/>
      <c r="M13765" s="13"/>
      <c r="N13765" s="2"/>
      <c r="O13765" s="20"/>
      <c r="P13765" s="42"/>
      <c r="R13765" s="23"/>
    </row>
    <row r="13766" spans="1:18" ht="12.75">
      <c r="A13766" s="12"/>
      <c r="D13766" s="12"/>
      <c r="E13766" s="12"/>
      <c r="H13766" s="11" t="str">
        <f ca="1">IFERROR(__xludf.DUMMYFUNCTION("IFERROR(SUBSTITUTE(SUBSTITUTE(REGEXEXTRACT(A13766, ""[^-]+- [^-]+- [^-]+ - (.+?)\.jpg""), "".jpg"", """"), ""-"", "", ""), """")"),"")</f>
        <v/>
      </c>
      <c r="L13766" s="12"/>
      <c r="M13766" s="13"/>
      <c r="N13766" s="2"/>
      <c r="O13766" s="20"/>
      <c r="P13766" s="42"/>
      <c r="R13766" s="23"/>
    </row>
    <row r="13767" spans="1:18" ht="12.75">
      <c r="A13767" s="12"/>
      <c r="D13767" s="12"/>
      <c r="E13767" s="12"/>
      <c r="H13767" s="11" t="str">
        <f ca="1">IFERROR(__xludf.DUMMYFUNCTION("IFERROR(SUBSTITUTE(SUBSTITUTE(REGEXEXTRACT(A13767, ""[^-]+- [^-]+- [^-]+ - (.+?)\.jpg""), "".jpg"", """"), ""-"", "", ""), """")"),"")</f>
        <v/>
      </c>
      <c r="L13767" s="12"/>
      <c r="M13767" s="13"/>
      <c r="N13767" s="2"/>
      <c r="O13767" s="20"/>
      <c r="P13767" s="42"/>
      <c r="R13767" s="23"/>
    </row>
    <row r="13768" spans="1:18" ht="12.75">
      <c r="A13768" s="12"/>
      <c r="D13768" s="12"/>
      <c r="E13768" s="12"/>
      <c r="H13768" s="11" t="str">
        <f ca="1">IFERROR(__xludf.DUMMYFUNCTION("IFERROR(SUBSTITUTE(SUBSTITUTE(REGEXEXTRACT(A13768, ""[^-]+- [^-]+- [^-]+ - (.+?)\.jpg""), "".jpg"", """"), ""-"", "", ""), """")"),"")</f>
        <v/>
      </c>
      <c r="L13768" s="12"/>
      <c r="M13768" s="13"/>
      <c r="N13768" s="2"/>
      <c r="O13768" s="20"/>
      <c r="P13768" s="42"/>
      <c r="R13768" s="23"/>
    </row>
    <row r="13769" spans="1:18" ht="12.75">
      <c r="A13769" s="12"/>
      <c r="D13769" s="12"/>
      <c r="E13769" s="12"/>
      <c r="H13769" s="11" t="str">
        <f ca="1">IFERROR(__xludf.DUMMYFUNCTION("IFERROR(SUBSTITUTE(SUBSTITUTE(REGEXEXTRACT(A13769, ""[^-]+- [^-]+- [^-]+ - (.+?)\.jpg""), "".jpg"", """"), ""-"", "", ""), """")"),"")</f>
        <v/>
      </c>
      <c r="L13769" s="12"/>
      <c r="M13769" s="13"/>
      <c r="N13769" s="2"/>
      <c r="O13769" s="20"/>
      <c r="P13769" s="42"/>
      <c r="R13769" s="23"/>
    </row>
    <row r="13770" spans="1:18" ht="12.75">
      <c r="A13770" s="12"/>
      <c r="D13770" s="12"/>
      <c r="E13770" s="12"/>
      <c r="H13770" s="11" t="str">
        <f ca="1">IFERROR(__xludf.DUMMYFUNCTION("IFERROR(SUBSTITUTE(SUBSTITUTE(REGEXEXTRACT(A13770, ""[^-]+- [^-]+- [^-]+ - (.+?)\.jpg""), "".jpg"", """"), ""-"", "", ""), """")"),"")</f>
        <v/>
      </c>
      <c r="L13770" s="12"/>
      <c r="M13770" s="13"/>
      <c r="N13770" s="2"/>
      <c r="O13770" s="20"/>
      <c r="P13770" s="42"/>
      <c r="R13770" s="23"/>
    </row>
    <row r="13771" spans="1:18" ht="12.75">
      <c r="A13771" s="12"/>
      <c r="D13771" s="12"/>
      <c r="E13771" s="12"/>
      <c r="H13771" s="11" t="str">
        <f ca="1">IFERROR(__xludf.DUMMYFUNCTION("IFERROR(SUBSTITUTE(SUBSTITUTE(REGEXEXTRACT(A13771, ""[^-]+- [^-]+- [^-]+ - (.+?)\.jpg""), "".jpg"", """"), ""-"", "", ""), """")"),"")</f>
        <v/>
      </c>
      <c r="L13771" s="12"/>
      <c r="M13771" s="13"/>
      <c r="N13771" s="2"/>
      <c r="O13771" s="20"/>
      <c r="P13771" s="42"/>
      <c r="R13771" s="23"/>
    </row>
    <row r="13772" spans="1:18" ht="12.75">
      <c r="A13772" s="12"/>
      <c r="D13772" s="12"/>
      <c r="E13772" s="12"/>
      <c r="H13772" s="11" t="str">
        <f ca="1">IFERROR(__xludf.DUMMYFUNCTION("IFERROR(SUBSTITUTE(SUBSTITUTE(REGEXEXTRACT(A13772, ""[^-]+- [^-]+- [^-]+ - (.+?)\.jpg""), "".jpg"", """"), ""-"", "", ""), """")"),"")</f>
        <v/>
      </c>
      <c r="L13772" s="12"/>
      <c r="M13772" s="13"/>
      <c r="N13772" s="2"/>
      <c r="O13772" s="20"/>
      <c r="P13772" s="42"/>
      <c r="R13772" s="23"/>
    </row>
    <row r="13773" spans="1:18" ht="12.75">
      <c r="A13773" s="12"/>
      <c r="D13773" s="12"/>
      <c r="E13773" s="12"/>
      <c r="H13773" s="11" t="str">
        <f ca="1">IFERROR(__xludf.DUMMYFUNCTION("IFERROR(SUBSTITUTE(SUBSTITUTE(REGEXEXTRACT(A13773, ""[^-]+- [^-]+- [^-]+ - (.+?)\.jpg""), "".jpg"", """"), ""-"", "", ""), """")"),"")</f>
        <v/>
      </c>
      <c r="L13773" s="12"/>
      <c r="M13773" s="13"/>
      <c r="N13773" s="2"/>
      <c r="O13773" s="20"/>
      <c r="P13773" s="42"/>
      <c r="R13773" s="23"/>
    </row>
    <row r="13774" spans="1:18" ht="12.75">
      <c r="A13774" s="12"/>
      <c r="D13774" s="12"/>
      <c r="E13774" s="12"/>
      <c r="H13774" s="11" t="str">
        <f ca="1">IFERROR(__xludf.DUMMYFUNCTION("IFERROR(SUBSTITUTE(SUBSTITUTE(REGEXEXTRACT(A13774, ""[^-]+- [^-]+- [^-]+ - (.+?)\.jpg""), "".jpg"", """"), ""-"", "", ""), """")"),"")</f>
        <v/>
      </c>
      <c r="L13774" s="12"/>
      <c r="M13774" s="13"/>
      <c r="N13774" s="2"/>
      <c r="O13774" s="20"/>
      <c r="P13774" s="42"/>
      <c r="R13774" s="23"/>
    </row>
    <row r="13775" spans="1:18" ht="12.75">
      <c r="A13775" s="12"/>
      <c r="D13775" s="12"/>
      <c r="E13775" s="12"/>
      <c r="H13775" s="11" t="str">
        <f ca="1">IFERROR(__xludf.DUMMYFUNCTION("IFERROR(SUBSTITUTE(SUBSTITUTE(REGEXEXTRACT(A13775, ""[^-]+- [^-]+- [^-]+ - (.+?)\.jpg""), "".jpg"", """"), ""-"", "", ""), """")"),"")</f>
        <v/>
      </c>
      <c r="L13775" s="12"/>
      <c r="M13775" s="13"/>
      <c r="N13775" s="2"/>
      <c r="O13775" s="20"/>
      <c r="P13775" s="42"/>
      <c r="R13775" s="23"/>
    </row>
    <row r="13776" spans="1:18" ht="12.75">
      <c r="A13776" s="12"/>
      <c r="D13776" s="12"/>
      <c r="E13776" s="12"/>
      <c r="H13776" s="11" t="str">
        <f ca="1">IFERROR(__xludf.DUMMYFUNCTION("IFERROR(SUBSTITUTE(SUBSTITUTE(REGEXEXTRACT(A13776, ""[^-]+- [^-]+- [^-]+ - (.+?)\.jpg""), "".jpg"", """"), ""-"", "", ""), """")"),"")</f>
        <v/>
      </c>
      <c r="L13776" s="12"/>
      <c r="M13776" s="13"/>
      <c r="N13776" s="2"/>
      <c r="O13776" s="20"/>
      <c r="P13776" s="42"/>
      <c r="R13776" s="23"/>
    </row>
    <row r="13777" spans="1:18" ht="12.75">
      <c r="A13777" s="12"/>
      <c r="D13777" s="12"/>
      <c r="E13777" s="12"/>
      <c r="H13777" s="11" t="str">
        <f ca="1">IFERROR(__xludf.DUMMYFUNCTION("IFERROR(SUBSTITUTE(SUBSTITUTE(REGEXEXTRACT(A13777, ""[^-]+- [^-]+- [^-]+ - (.+?)\.jpg""), "".jpg"", """"), ""-"", "", ""), """")"),"")</f>
        <v/>
      </c>
      <c r="L13777" s="12"/>
      <c r="M13777" s="13"/>
      <c r="N13777" s="2"/>
      <c r="O13777" s="20"/>
      <c r="P13777" s="42"/>
      <c r="R13777" s="23"/>
    </row>
    <row r="13778" spans="1:18" ht="12.75">
      <c r="A13778" s="12"/>
      <c r="D13778" s="12"/>
      <c r="E13778" s="12"/>
      <c r="H13778" s="11" t="str">
        <f ca="1">IFERROR(__xludf.DUMMYFUNCTION("IFERROR(SUBSTITUTE(SUBSTITUTE(REGEXEXTRACT(A13778, ""[^-]+- [^-]+- [^-]+ - (.+?)\.jpg""), "".jpg"", """"), ""-"", "", ""), """")"),"")</f>
        <v/>
      </c>
      <c r="L13778" s="12"/>
      <c r="M13778" s="13"/>
      <c r="N13778" s="2"/>
      <c r="O13778" s="20"/>
      <c r="P13778" s="42"/>
      <c r="R13778" s="23"/>
    </row>
    <row r="13779" spans="1:18" ht="12.75">
      <c r="A13779" s="12"/>
      <c r="D13779" s="12"/>
      <c r="E13779" s="12"/>
      <c r="H13779" s="11" t="str">
        <f ca="1">IFERROR(__xludf.DUMMYFUNCTION("IFERROR(SUBSTITUTE(SUBSTITUTE(REGEXEXTRACT(A13779, ""[^-]+- [^-]+- [^-]+ - (.+?)\.jpg""), "".jpg"", """"), ""-"", "", ""), """")"),"")</f>
        <v/>
      </c>
      <c r="L13779" s="12"/>
      <c r="M13779" s="13"/>
      <c r="N13779" s="2"/>
      <c r="O13779" s="20"/>
      <c r="P13779" s="42"/>
      <c r="R13779" s="23"/>
    </row>
    <row r="13780" spans="1:18" ht="12.75">
      <c r="A13780" s="12"/>
      <c r="D13780" s="12"/>
      <c r="E13780" s="12"/>
      <c r="H13780" s="11" t="str">
        <f ca="1">IFERROR(__xludf.DUMMYFUNCTION("IFERROR(SUBSTITUTE(SUBSTITUTE(REGEXEXTRACT(A13780, ""[^-]+- [^-]+- [^-]+ - (.+?)\.jpg""), "".jpg"", """"), ""-"", "", ""), """")"),"")</f>
        <v/>
      </c>
      <c r="L13780" s="12"/>
      <c r="M13780" s="13"/>
      <c r="N13780" s="2"/>
      <c r="O13780" s="20"/>
      <c r="P13780" s="42"/>
      <c r="R13780" s="23"/>
    </row>
    <row r="13781" spans="1:18" ht="12.75">
      <c r="A13781" s="12"/>
      <c r="D13781" s="12"/>
      <c r="E13781" s="12"/>
      <c r="H13781" s="11" t="str">
        <f ca="1">IFERROR(__xludf.DUMMYFUNCTION("IFERROR(SUBSTITUTE(SUBSTITUTE(REGEXEXTRACT(A13781, ""[^-]+- [^-]+- [^-]+ - (.+?)\.jpg""), "".jpg"", """"), ""-"", "", ""), """")"),"")</f>
        <v/>
      </c>
      <c r="L13781" s="12"/>
      <c r="M13781" s="13"/>
      <c r="N13781" s="2"/>
      <c r="O13781" s="20"/>
      <c r="P13781" s="42"/>
      <c r="R13781" s="23"/>
    </row>
    <row r="13782" spans="1:18" ht="12.75">
      <c r="A13782" s="12"/>
      <c r="D13782" s="12"/>
      <c r="E13782" s="12"/>
      <c r="H13782" s="11" t="str">
        <f ca="1">IFERROR(__xludf.DUMMYFUNCTION("IFERROR(SUBSTITUTE(SUBSTITUTE(REGEXEXTRACT(A13782, ""[^-]+- [^-]+- [^-]+ - (.+?)\.jpg""), "".jpg"", """"), ""-"", "", ""), """")"),"")</f>
        <v/>
      </c>
      <c r="L13782" s="12"/>
      <c r="M13782" s="13"/>
      <c r="N13782" s="2"/>
      <c r="O13782" s="20"/>
      <c r="P13782" s="42"/>
      <c r="R13782" s="23"/>
    </row>
    <row r="13783" spans="1:18" ht="12.75">
      <c r="A13783" s="12"/>
      <c r="D13783" s="12"/>
      <c r="E13783" s="12"/>
      <c r="H13783" s="11" t="str">
        <f ca="1">IFERROR(__xludf.DUMMYFUNCTION("IFERROR(SUBSTITUTE(SUBSTITUTE(REGEXEXTRACT(A13783, ""[^-]+- [^-]+- [^-]+ - (.+?)\.jpg""), "".jpg"", """"), ""-"", "", ""), """")"),"")</f>
        <v/>
      </c>
      <c r="L13783" s="12"/>
      <c r="M13783" s="13"/>
      <c r="N13783" s="2"/>
      <c r="O13783" s="20"/>
      <c r="P13783" s="42"/>
      <c r="R13783" s="23"/>
    </row>
    <row r="13784" spans="1:18" ht="12.75">
      <c r="A13784" s="12"/>
      <c r="D13784" s="12"/>
      <c r="E13784" s="12"/>
      <c r="H13784" s="11" t="str">
        <f ca="1">IFERROR(__xludf.DUMMYFUNCTION("IFERROR(SUBSTITUTE(SUBSTITUTE(REGEXEXTRACT(A13784, ""[^-]+- [^-]+- [^-]+ - (.+?)\.jpg""), "".jpg"", """"), ""-"", "", ""), """")"),"")</f>
        <v/>
      </c>
      <c r="L13784" s="12"/>
      <c r="M13784" s="13"/>
      <c r="N13784" s="2"/>
      <c r="O13784" s="20"/>
      <c r="P13784" s="42"/>
      <c r="R13784" s="23"/>
    </row>
    <row r="13785" spans="1:18" ht="12.75">
      <c r="A13785" s="12"/>
      <c r="D13785" s="12"/>
      <c r="E13785" s="12"/>
      <c r="H13785" s="11" t="str">
        <f ca="1">IFERROR(__xludf.DUMMYFUNCTION("IFERROR(SUBSTITUTE(SUBSTITUTE(REGEXEXTRACT(A13785, ""[^-]+- [^-]+- [^-]+ - (.+?)\.jpg""), "".jpg"", """"), ""-"", "", ""), """")"),"")</f>
        <v/>
      </c>
      <c r="L13785" s="12"/>
      <c r="M13785" s="13"/>
      <c r="N13785" s="2"/>
      <c r="O13785" s="20"/>
      <c r="P13785" s="42"/>
      <c r="R13785" s="23"/>
    </row>
    <row r="13786" spans="1:18" ht="12.75">
      <c r="A13786" s="12"/>
      <c r="D13786" s="12"/>
      <c r="E13786" s="12"/>
      <c r="H13786" s="11" t="str">
        <f ca="1">IFERROR(__xludf.DUMMYFUNCTION("IFERROR(SUBSTITUTE(SUBSTITUTE(REGEXEXTRACT(A13786, ""[^-]+- [^-]+- [^-]+ - (.+?)\.jpg""), "".jpg"", """"), ""-"", "", ""), """")"),"")</f>
        <v/>
      </c>
      <c r="L13786" s="12"/>
      <c r="M13786" s="13"/>
      <c r="N13786" s="2"/>
      <c r="O13786" s="20"/>
      <c r="P13786" s="42"/>
      <c r="R13786" s="23"/>
    </row>
    <row r="13787" spans="1:18" ht="12.75">
      <c r="A13787" s="12"/>
      <c r="D13787" s="12"/>
      <c r="E13787" s="12"/>
      <c r="H13787" s="11" t="str">
        <f ca="1">IFERROR(__xludf.DUMMYFUNCTION("IFERROR(SUBSTITUTE(SUBSTITUTE(REGEXEXTRACT(A13787, ""[^-]+- [^-]+- [^-]+ - (.+?)\.jpg""), "".jpg"", """"), ""-"", "", ""), """")"),"")</f>
        <v/>
      </c>
      <c r="L13787" s="12"/>
      <c r="M13787" s="13"/>
      <c r="N13787" s="2"/>
      <c r="O13787" s="20"/>
      <c r="P13787" s="42"/>
      <c r="R13787" s="23"/>
    </row>
    <row r="13788" spans="1:18" ht="12.75">
      <c r="A13788" s="12"/>
      <c r="D13788" s="12"/>
      <c r="E13788" s="12"/>
      <c r="H13788" s="11" t="str">
        <f ca="1">IFERROR(__xludf.DUMMYFUNCTION("IFERROR(SUBSTITUTE(SUBSTITUTE(REGEXEXTRACT(A13788, ""[^-]+- [^-]+- [^-]+ - (.+?)\.jpg""), "".jpg"", """"), ""-"", "", ""), """")"),"")</f>
        <v/>
      </c>
      <c r="L13788" s="12"/>
      <c r="M13788" s="13"/>
      <c r="N13788" s="2"/>
      <c r="O13788" s="20"/>
      <c r="P13788" s="42"/>
      <c r="R13788" s="23"/>
    </row>
    <row r="13789" spans="1:18" ht="12.75">
      <c r="A13789" s="12"/>
      <c r="D13789" s="12"/>
      <c r="E13789" s="12"/>
      <c r="H13789" s="11" t="str">
        <f ca="1">IFERROR(__xludf.DUMMYFUNCTION("IFERROR(SUBSTITUTE(SUBSTITUTE(REGEXEXTRACT(A13789, ""[^-]+- [^-]+- [^-]+ - (.+?)\.jpg""), "".jpg"", """"), ""-"", "", ""), """")"),"")</f>
        <v/>
      </c>
      <c r="L13789" s="12"/>
      <c r="M13789" s="13"/>
      <c r="N13789" s="2"/>
      <c r="O13789" s="20"/>
      <c r="P13789" s="42"/>
      <c r="R13789" s="23"/>
    </row>
    <row r="13790" spans="1:18" ht="12.75">
      <c r="A13790" s="12"/>
      <c r="D13790" s="12"/>
      <c r="E13790" s="12"/>
      <c r="H13790" s="11" t="str">
        <f ca="1">IFERROR(__xludf.DUMMYFUNCTION("IFERROR(SUBSTITUTE(SUBSTITUTE(REGEXEXTRACT(A13790, ""[^-]+- [^-]+- [^-]+ - (.+?)\.jpg""), "".jpg"", """"), ""-"", "", ""), """")"),"")</f>
        <v/>
      </c>
      <c r="L13790" s="12"/>
      <c r="M13790" s="13"/>
      <c r="N13790" s="2"/>
      <c r="O13790" s="20"/>
      <c r="P13790" s="42"/>
      <c r="R13790" s="23"/>
    </row>
    <row r="13791" spans="1:18" ht="12.75">
      <c r="A13791" s="12"/>
      <c r="D13791" s="12"/>
      <c r="E13791" s="12"/>
      <c r="H13791" s="11" t="str">
        <f ca="1">IFERROR(__xludf.DUMMYFUNCTION("IFERROR(SUBSTITUTE(SUBSTITUTE(REGEXEXTRACT(A13791, ""[^-]+- [^-]+- [^-]+ - (.+?)\.jpg""), "".jpg"", """"), ""-"", "", ""), """")"),"")</f>
        <v/>
      </c>
      <c r="L13791" s="12"/>
      <c r="M13791" s="13"/>
      <c r="N13791" s="2"/>
      <c r="O13791" s="20"/>
      <c r="P13791" s="42"/>
      <c r="R13791" s="23"/>
    </row>
    <row r="13792" spans="1:18" ht="12.75">
      <c r="A13792" s="12"/>
      <c r="D13792" s="12"/>
      <c r="E13792" s="12"/>
      <c r="H13792" s="11" t="str">
        <f ca="1">IFERROR(__xludf.DUMMYFUNCTION("IFERROR(SUBSTITUTE(SUBSTITUTE(REGEXEXTRACT(A13792, ""[^-]+- [^-]+- [^-]+ - (.+?)\.jpg""), "".jpg"", """"), ""-"", "", ""), """")"),"")</f>
        <v/>
      </c>
      <c r="L13792" s="12"/>
      <c r="M13792" s="13"/>
      <c r="N13792" s="2"/>
      <c r="O13792" s="20"/>
      <c r="P13792" s="42"/>
      <c r="R13792" s="23"/>
    </row>
    <row r="13793" spans="1:18" ht="12.75">
      <c r="A13793" s="12"/>
      <c r="D13793" s="12"/>
      <c r="E13793" s="12"/>
      <c r="H13793" s="11" t="str">
        <f ca="1">IFERROR(__xludf.DUMMYFUNCTION("IFERROR(SUBSTITUTE(SUBSTITUTE(REGEXEXTRACT(A13793, ""[^-]+- [^-]+- [^-]+ - (.+?)\.jpg""), "".jpg"", """"), ""-"", "", ""), """")"),"")</f>
        <v/>
      </c>
      <c r="L13793" s="12"/>
      <c r="M13793" s="13"/>
      <c r="N13793" s="2"/>
      <c r="O13793" s="20"/>
      <c r="P13793" s="42"/>
      <c r="R13793" s="23"/>
    </row>
    <row r="13794" spans="1:18" ht="12.75">
      <c r="A13794" s="12"/>
      <c r="D13794" s="12"/>
      <c r="E13794" s="12"/>
      <c r="H13794" s="11" t="str">
        <f ca="1">IFERROR(__xludf.DUMMYFUNCTION("IFERROR(SUBSTITUTE(SUBSTITUTE(REGEXEXTRACT(A13794, ""[^-]+- [^-]+- [^-]+ - (.+?)\.jpg""), "".jpg"", """"), ""-"", "", ""), """")"),"")</f>
        <v/>
      </c>
      <c r="L13794" s="12"/>
      <c r="M13794" s="13"/>
      <c r="N13794" s="2"/>
      <c r="O13794" s="20"/>
      <c r="P13794" s="42"/>
      <c r="R13794" s="23"/>
    </row>
    <row r="13795" spans="1:18" ht="12.75">
      <c r="A13795" s="12"/>
      <c r="D13795" s="12"/>
      <c r="E13795" s="12"/>
      <c r="H13795" s="11" t="str">
        <f ca="1">IFERROR(__xludf.DUMMYFUNCTION("IFERROR(SUBSTITUTE(SUBSTITUTE(REGEXEXTRACT(A13795, ""[^-]+- [^-]+- [^-]+ - (.+?)\.jpg""), "".jpg"", """"), ""-"", "", ""), """")"),"")</f>
        <v/>
      </c>
      <c r="L13795" s="12"/>
      <c r="M13795" s="13"/>
      <c r="N13795" s="2"/>
      <c r="O13795" s="20"/>
      <c r="P13795" s="42"/>
      <c r="R13795" s="23"/>
    </row>
    <row r="13796" spans="1:18" ht="12.75">
      <c r="A13796" s="12"/>
      <c r="D13796" s="12"/>
      <c r="E13796" s="12"/>
      <c r="H13796" s="11" t="str">
        <f ca="1">IFERROR(__xludf.DUMMYFUNCTION("IFERROR(SUBSTITUTE(SUBSTITUTE(REGEXEXTRACT(A13796, ""[^-]+- [^-]+- [^-]+ - (.+?)\.jpg""), "".jpg"", """"), ""-"", "", ""), """")"),"")</f>
        <v/>
      </c>
      <c r="L13796" s="12"/>
      <c r="M13796" s="13"/>
      <c r="N13796" s="2"/>
      <c r="O13796" s="20"/>
      <c r="P13796" s="42"/>
      <c r="R13796" s="23"/>
    </row>
    <row r="13797" spans="1:18" ht="12.75">
      <c r="A13797" s="12"/>
      <c r="D13797" s="12"/>
      <c r="E13797" s="12"/>
      <c r="H13797" s="11" t="str">
        <f ca="1">IFERROR(__xludf.DUMMYFUNCTION("IFERROR(SUBSTITUTE(SUBSTITUTE(REGEXEXTRACT(A13797, ""[^-]+- [^-]+- [^-]+ - (.+?)\.jpg""), "".jpg"", """"), ""-"", "", ""), """")"),"")</f>
        <v/>
      </c>
      <c r="L13797" s="12"/>
      <c r="M13797" s="13"/>
      <c r="N13797" s="2"/>
      <c r="O13797" s="20"/>
      <c r="P13797" s="42"/>
      <c r="R13797" s="23"/>
    </row>
    <row r="13798" spans="1:18" ht="12.75">
      <c r="A13798" s="12"/>
      <c r="D13798" s="12"/>
      <c r="E13798" s="12"/>
      <c r="H13798" s="11" t="str">
        <f ca="1">IFERROR(__xludf.DUMMYFUNCTION("IFERROR(SUBSTITUTE(SUBSTITUTE(REGEXEXTRACT(A13798, ""[^-]+- [^-]+- [^-]+ - (.+?)\.jpg""), "".jpg"", """"), ""-"", "", ""), """")"),"")</f>
        <v/>
      </c>
      <c r="L13798" s="12"/>
      <c r="M13798" s="13"/>
      <c r="N13798" s="2"/>
      <c r="O13798" s="20"/>
      <c r="P13798" s="42"/>
      <c r="R13798" s="23"/>
    </row>
    <row r="13799" spans="1:18" ht="12.75">
      <c r="A13799" s="12"/>
      <c r="D13799" s="12"/>
      <c r="E13799" s="12"/>
      <c r="H13799" s="11" t="str">
        <f ca="1">IFERROR(__xludf.DUMMYFUNCTION("IFERROR(SUBSTITUTE(SUBSTITUTE(REGEXEXTRACT(A13799, ""[^-]+- [^-]+- [^-]+ - (.+?)\.jpg""), "".jpg"", """"), ""-"", "", ""), """")"),"")</f>
        <v/>
      </c>
      <c r="L13799" s="12"/>
      <c r="M13799" s="13"/>
      <c r="N13799" s="2"/>
      <c r="O13799" s="20"/>
      <c r="P13799" s="42"/>
      <c r="R13799" s="23"/>
    </row>
    <row r="13800" spans="1:18" ht="12.75">
      <c r="A13800" s="12"/>
      <c r="D13800" s="12"/>
      <c r="E13800" s="12"/>
      <c r="H13800" s="11" t="str">
        <f ca="1">IFERROR(__xludf.DUMMYFUNCTION("IFERROR(SUBSTITUTE(SUBSTITUTE(REGEXEXTRACT(A13800, ""[^-]+- [^-]+- [^-]+ - (.+?)\.jpg""), "".jpg"", """"), ""-"", "", ""), """")"),"")</f>
        <v/>
      </c>
      <c r="L13800" s="12"/>
      <c r="M13800" s="13"/>
      <c r="N13800" s="2"/>
      <c r="O13800" s="20"/>
      <c r="P13800" s="42"/>
      <c r="R13800" s="23"/>
    </row>
    <row r="13801" spans="1:18" ht="12.75">
      <c r="A13801" s="12"/>
      <c r="D13801" s="12"/>
      <c r="E13801" s="12"/>
      <c r="H13801" s="11" t="str">
        <f ca="1">IFERROR(__xludf.DUMMYFUNCTION("IFERROR(SUBSTITUTE(SUBSTITUTE(REGEXEXTRACT(A13801, ""[^-]+- [^-]+- [^-]+ - (.+?)\.jpg""), "".jpg"", """"), ""-"", "", ""), """")"),"")</f>
        <v/>
      </c>
      <c r="L13801" s="12"/>
      <c r="M13801" s="13"/>
      <c r="N13801" s="2"/>
      <c r="O13801" s="20"/>
      <c r="P13801" s="42"/>
      <c r="R13801" s="23"/>
    </row>
    <row r="13802" spans="1:18" ht="12.75">
      <c r="A13802" s="12"/>
      <c r="D13802" s="12"/>
      <c r="E13802" s="12"/>
      <c r="H13802" s="11" t="str">
        <f ca="1">IFERROR(__xludf.DUMMYFUNCTION("IFERROR(SUBSTITUTE(SUBSTITUTE(REGEXEXTRACT(A13802, ""[^-]+- [^-]+- [^-]+ - (.+?)\.jpg""), "".jpg"", """"), ""-"", "", ""), """")"),"")</f>
        <v/>
      </c>
      <c r="L13802" s="12"/>
      <c r="M13802" s="13"/>
      <c r="N13802" s="2"/>
      <c r="O13802" s="20"/>
      <c r="P13802" s="42"/>
      <c r="R13802" s="23"/>
    </row>
    <row r="13803" spans="1:18" ht="12.75">
      <c r="A13803" s="12"/>
      <c r="D13803" s="12"/>
      <c r="E13803" s="12"/>
      <c r="H13803" s="11" t="str">
        <f ca="1">IFERROR(__xludf.DUMMYFUNCTION("IFERROR(SUBSTITUTE(SUBSTITUTE(REGEXEXTRACT(A13803, ""[^-]+- [^-]+- [^-]+ - (.+?)\.jpg""), "".jpg"", """"), ""-"", "", ""), """")"),"")</f>
        <v/>
      </c>
      <c r="L13803" s="12"/>
      <c r="M13803" s="13"/>
      <c r="N13803" s="2"/>
      <c r="O13803" s="20"/>
      <c r="P13803" s="42"/>
      <c r="R13803" s="23"/>
    </row>
    <row r="13804" spans="1:18" ht="12.75">
      <c r="A13804" s="12"/>
      <c r="D13804" s="12"/>
      <c r="E13804" s="12"/>
      <c r="H13804" s="11" t="str">
        <f ca="1">IFERROR(__xludf.DUMMYFUNCTION("IFERROR(SUBSTITUTE(SUBSTITUTE(REGEXEXTRACT(A13804, ""[^-]+- [^-]+- [^-]+ - (.+?)\.jpg""), "".jpg"", """"), ""-"", "", ""), """")"),"")</f>
        <v/>
      </c>
      <c r="L13804" s="12"/>
      <c r="M13804" s="13"/>
      <c r="N13804" s="2"/>
      <c r="O13804" s="20"/>
      <c r="P13804" s="42"/>
      <c r="R13804" s="23"/>
    </row>
    <row r="13805" spans="1:18" ht="12.75">
      <c r="A13805" s="12"/>
      <c r="D13805" s="12"/>
      <c r="E13805" s="12"/>
      <c r="H13805" s="11" t="str">
        <f ca="1">IFERROR(__xludf.DUMMYFUNCTION("IFERROR(SUBSTITUTE(SUBSTITUTE(REGEXEXTRACT(A13805, ""[^-]+- [^-]+- [^-]+ - (.+?)\.jpg""), "".jpg"", """"), ""-"", "", ""), """")"),"")</f>
        <v/>
      </c>
      <c r="L13805" s="12"/>
      <c r="M13805" s="13"/>
      <c r="N13805" s="2"/>
      <c r="O13805" s="20"/>
      <c r="P13805" s="42"/>
      <c r="R13805" s="23"/>
    </row>
    <row r="13806" spans="1:18" ht="12.75">
      <c r="A13806" s="12"/>
      <c r="D13806" s="12"/>
      <c r="E13806" s="12"/>
      <c r="H13806" s="11" t="str">
        <f ca="1">IFERROR(__xludf.DUMMYFUNCTION("IFERROR(SUBSTITUTE(SUBSTITUTE(REGEXEXTRACT(A13806, ""[^-]+- [^-]+- [^-]+ - (.+?)\.jpg""), "".jpg"", """"), ""-"", "", ""), """")"),"")</f>
        <v/>
      </c>
      <c r="L13806" s="12"/>
      <c r="M13806" s="13"/>
      <c r="N13806" s="2"/>
      <c r="O13806" s="20"/>
      <c r="P13806" s="42"/>
      <c r="R13806" s="23"/>
    </row>
    <row r="13807" spans="1:18" ht="12.75">
      <c r="A13807" s="12"/>
      <c r="D13807" s="12"/>
      <c r="E13807" s="12"/>
      <c r="H13807" s="11" t="str">
        <f ca="1">IFERROR(__xludf.DUMMYFUNCTION("IFERROR(SUBSTITUTE(SUBSTITUTE(REGEXEXTRACT(A13807, ""[^-]+- [^-]+- [^-]+ - (.+?)\.jpg""), "".jpg"", """"), ""-"", "", ""), """")"),"")</f>
        <v/>
      </c>
      <c r="L13807" s="12"/>
      <c r="M13807" s="13"/>
      <c r="N13807" s="2"/>
      <c r="O13807" s="20"/>
      <c r="P13807" s="42"/>
      <c r="R13807" s="23"/>
    </row>
    <row r="13808" spans="1:18" ht="12.75">
      <c r="A13808" s="12"/>
      <c r="D13808" s="12"/>
      <c r="E13808" s="12"/>
      <c r="H13808" s="11" t="str">
        <f ca="1">IFERROR(__xludf.DUMMYFUNCTION("IFERROR(SUBSTITUTE(SUBSTITUTE(REGEXEXTRACT(A13808, ""[^-]+- [^-]+- [^-]+ - (.+?)\.jpg""), "".jpg"", """"), ""-"", "", ""), """")"),"")</f>
        <v/>
      </c>
      <c r="L13808" s="12"/>
      <c r="M13808" s="13"/>
      <c r="N13808" s="2"/>
      <c r="O13808" s="20"/>
      <c r="P13808" s="42"/>
      <c r="R13808" s="23"/>
    </row>
    <row r="13809" spans="1:18" ht="12.75">
      <c r="A13809" s="12"/>
      <c r="D13809" s="12"/>
      <c r="E13809" s="12"/>
      <c r="H13809" s="11" t="str">
        <f ca="1">IFERROR(__xludf.DUMMYFUNCTION("IFERROR(SUBSTITUTE(SUBSTITUTE(REGEXEXTRACT(A13809, ""[^-]+- [^-]+- [^-]+ - (.+?)\.jpg""), "".jpg"", """"), ""-"", "", ""), """")"),"")</f>
        <v/>
      </c>
      <c r="L13809" s="12"/>
      <c r="M13809" s="13"/>
      <c r="N13809" s="2"/>
      <c r="O13809" s="20"/>
      <c r="P13809" s="42"/>
      <c r="R13809" s="23"/>
    </row>
    <row r="13810" spans="1:18" ht="12.75">
      <c r="A13810" s="12"/>
      <c r="D13810" s="12"/>
      <c r="E13810" s="12"/>
      <c r="H13810" s="11" t="str">
        <f ca="1">IFERROR(__xludf.DUMMYFUNCTION("IFERROR(SUBSTITUTE(SUBSTITUTE(REGEXEXTRACT(A13810, ""[^-]+- [^-]+- [^-]+ - (.+?)\.jpg""), "".jpg"", """"), ""-"", "", ""), """")"),"")</f>
        <v/>
      </c>
      <c r="L13810" s="12"/>
      <c r="M13810" s="13"/>
      <c r="N13810" s="2"/>
      <c r="O13810" s="20"/>
      <c r="P13810" s="42"/>
      <c r="R13810" s="23"/>
    </row>
    <row r="13811" spans="1:18" ht="12.75">
      <c r="A13811" s="12"/>
      <c r="D13811" s="12"/>
      <c r="E13811" s="12"/>
      <c r="H13811" s="11" t="str">
        <f ca="1">IFERROR(__xludf.DUMMYFUNCTION("IFERROR(SUBSTITUTE(SUBSTITUTE(REGEXEXTRACT(A13811, ""[^-]+- [^-]+- [^-]+ - (.+?)\.jpg""), "".jpg"", """"), ""-"", "", ""), """")"),"")</f>
        <v/>
      </c>
      <c r="L13811" s="12"/>
      <c r="M13811" s="13"/>
      <c r="N13811" s="2"/>
      <c r="O13811" s="20"/>
      <c r="P13811" s="42"/>
      <c r="R13811" s="23"/>
    </row>
    <row r="13812" spans="1:18" ht="12.75">
      <c r="A13812" s="12"/>
      <c r="D13812" s="12"/>
      <c r="E13812" s="12"/>
      <c r="H13812" s="11" t="str">
        <f ca="1">IFERROR(__xludf.DUMMYFUNCTION("IFERROR(SUBSTITUTE(SUBSTITUTE(REGEXEXTRACT(A13812, ""[^-]+- [^-]+- [^-]+ - (.+?)\.jpg""), "".jpg"", """"), ""-"", "", ""), """")"),"")</f>
        <v/>
      </c>
      <c r="L13812" s="12"/>
      <c r="M13812" s="13"/>
      <c r="N13812" s="2"/>
      <c r="O13812" s="20"/>
      <c r="P13812" s="42"/>
      <c r="R13812" s="23"/>
    </row>
    <row r="13813" spans="1:18" ht="12.75">
      <c r="A13813" s="12"/>
      <c r="D13813" s="12"/>
      <c r="E13813" s="12"/>
      <c r="H13813" s="11" t="str">
        <f ca="1">IFERROR(__xludf.DUMMYFUNCTION("IFERROR(SUBSTITUTE(SUBSTITUTE(REGEXEXTRACT(A13813, ""[^-]+- [^-]+- [^-]+ - (.+?)\.jpg""), "".jpg"", """"), ""-"", "", ""), """")"),"")</f>
        <v/>
      </c>
      <c r="L13813" s="12"/>
      <c r="M13813" s="13"/>
      <c r="N13813" s="2"/>
      <c r="O13813" s="20"/>
      <c r="P13813" s="42"/>
      <c r="R13813" s="23"/>
    </row>
    <row r="13814" spans="1:18" ht="12.75">
      <c r="A13814" s="12"/>
      <c r="D13814" s="12"/>
      <c r="E13814" s="12"/>
      <c r="H13814" s="11" t="str">
        <f ca="1">IFERROR(__xludf.DUMMYFUNCTION("IFERROR(SUBSTITUTE(SUBSTITUTE(REGEXEXTRACT(A13814, ""[^-]+- [^-]+- [^-]+ - (.+?)\.jpg""), "".jpg"", """"), ""-"", "", ""), """")"),"")</f>
        <v/>
      </c>
      <c r="L13814" s="12"/>
      <c r="M13814" s="13"/>
      <c r="N13814" s="2"/>
      <c r="O13814" s="20"/>
      <c r="P13814" s="42"/>
      <c r="R13814" s="23"/>
    </row>
    <row r="13815" spans="1:18" ht="12.75">
      <c r="A13815" s="12"/>
      <c r="D13815" s="12"/>
      <c r="E13815" s="12"/>
      <c r="H13815" s="11" t="str">
        <f ca="1">IFERROR(__xludf.DUMMYFUNCTION("IFERROR(SUBSTITUTE(SUBSTITUTE(REGEXEXTRACT(A13815, ""[^-]+- [^-]+- [^-]+ - (.+?)\.jpg""), "".jpg"", """"), ""-"", "", ""), """")"),"")</f>
        <v/>
      </c>
      <c r="L13815" s="12"/>
      <c r="M13815" s="13"/>
      <c r="N13815" s="2"/>
      <c r="O13815" s="20"/>
      <c r="P13815" s="42"/>
      <c r="R13815" s="23"/>
    </row>
    <row r="13816" spans="1:18" ht="12.75">
      <c r="A13816" s="12"/>
      <c r="D13816" s="12"/>
      <c r="E13816" s="12"/>
      <c r="H13816" s="11" t="str">
        <f ca="1">IFERROR(__xludf.DUMMYFUNCTION("IFERROR(SUBSTITUTE(SUBSTITUTE(REGEXEXTRACT(A13816, ""[^-]+- [^-]+- [^-]+ - (.+?)\.jpg""), "".jpg"", """"), ""-"", "", ""), """")"),"")</f>
        <v/>
      </c>
      <c r="L13816" s="12"/>
      <c r="M13816" s="13"/>
      <c r="N13816" s="2"/>
      <c r="O13816" s="20"/>
      <c r="P13816" s="42"/>
      <c r="R13816" s="23"/>
    </row>
    <row r="13817" spans="1:18" ht="12.75">
      <c r="A13817" s="12"/>
      <c r="D13817" s="12"/>
      <c r="E13817" s="12"/>
      <c r="H13817" s="11" t="str">
        <f ca="1">IFERROR(__xludf.DUMMYFUNCTION("IFERROR(SUBSTITUTE(SUBSTITUTE(REGEXEXTRACT(A13817, ""[^-]+- [^-]+- [^-]+ - (.+?)\.jpg""), "".jpg"", """"), ""-"", "", ""), """")"),"")</f>
        <v/>
      </c>
      <c r="L13817" s="12"/>
      <c r="M13817" s="13"/>
      <c r="N13817" s="2"/>
      <c r="O13817" s="20"/>
      <c r="P13817" s="42"/>
      <c r="R13817" s="23"/>
    </row>
    <row r="13818" spans="1:18" ht="12.75">
      <c r="A13818" s="12"/>
      <c r="D13818" s="12"/>
      <c r="E13818" s="12"/>
      <c r="H13818" s="11" t="str">
        <f ca="1">IFERROR(__xludf.DUMMYFUNCTION("IFERROR(SUBSTITUTE(SUBSTITUTE(REGEXEXTRACT(A13818, ""[^-]+- [^-]+- [^-]+ - (.+?)\.jpg""), "".jpg"", """"), ""-"", "", ""), """")"),"")</f>
        <v/>
      </c>
      <c r="L13818" s="12"/>
      <c r="M13818" s="13"/>
      <c r="N13818" s="2"/>
      <c r="O13818" s="20"/>
      <c r="P13818" s="42"/>
      <c r="R13818" s="23"/>
    </row>
    <row r="13819" spans="1:18" ht="12.75">
      <c r="A13819" s="12"/>
      <c r="D13819" s="12"/>
      <c r="E13819" s="12"/>
      <c r="H13819" s="11" t="str">
        <f ca="1">IFERROR(__xludf.DUMMYFUNCTION("IFERROR(SUBSTITUTE(SUBSTITUTE(REGEXEXTRACT(A13819, ""[^-]+- [^-]+- [^-]+ - (.+?)\.jpg""), "".jpg"", """"), ""-"", "", ""), """")"),"")</f>
        <v/>
      </c>
      <c r="L13819" s="12"/>
      <c r="M13819" s="13"/>
      <c r="N13819" s="2"/>
      <c r="O13819" s="20"/>
      <c r="P13819" s="42"/>
      <c r="R13819" s="23"/>
    </row>
    <row r="13820" spans="1:18" ht="12.75">
      <c r="A13820" s="12"/>
      <c r="D13820" s="12"/>
      <c r="E13820" s="12"/>
      <c r="H13820" s="11" t="str">
        <f ca="1">IFERROR(__xludf.DUMMYFUNCTION("IFERROR(SUBSTITUTE(SUBSTITUTE(REGEXEXTRACT(A13820, ""[^-]+- [^-]+- [^-]+ - (.+?)\.jpg""), "".jpg"", """"), ""-"", "", ""), """")"),"")</f>
        <v/>
      </c>
      <c r="L13820" s="12"/>
      <c r="M13820" s="13"/>
      <c r="N13820" s="2"/>
      <c r="O13820" s="20"/>
      <c r="P13820" s="42"/>
      <c r="R13820" s="23"/>
    </row>
    <row r="13821" spans="1:18" ht="12.75">
      <c r="A13821" s="12"/>
      <c r="D13821" s="12"/>
      <c r="E13821" s="12"/>
      <c r="H13821" s="11" t="str">
        <f ca="1">IFERROR(__xludf.DUMMYFUNCTION("IFERROR(SUBSTITUTE(SUBSTITUTE(REGEXEXTRACT(A13821, ""[^-]+- [^-]+- [^-]+ - (.+?)\.jpg""), "".jpg"", """"), ""-"", "", ""), """")"),"")</f>
        <v/>
      </c>
      <c r="L13821" s="12"/>
      <c r="M13821" s="13"/>
      <c r="N13821" s="2"/>
      <c r="O13821" s="20"/>
      <c r="P13821" s="42"/>
      <c r="R13821" s="23"/>
    </row>
    <row r="13822" spans="1:18" ht="12.75">
      <c r="A13822" s="12"/>
      <c r="D13822" s="12"/>
      <c r="E13822" s="12"/>
      <c r="H13822" s="11" t="str">
        <f ca="1">IFERROR(__xludf.DUMMYFUNCTION("IFERROR(SUBSTITUTE(SUBSTITUTE(REGEXEXTRACT(A13822, ""[^-]+- [^-]+- [^-]+ - (.+?)\.jpg""), "".jpg"", """"), ""-"", "", ""), """")"),"")</f>
        <v/>
      </c>
      <c r="L13822" s="12"/>
      <c r="M13822" s="13"/>
      <c r="N13822" s="2"/>
      <c r="O13822" s="20"/>
      <c r="P13822" s="42"/>
      <c r="R13822" s="23"/>
    </row>
    <row r="13823" spans="1:18" ht="12.75">
      <c r="A13823" s="12"/>
      <c r="D13823" s="12"/>
      <c r="E13823" s="12"/>
      <c r="H13823" s="11" t="str">
        <f ca="1">IFERROR(__xludf.DUMMYFUNCTION("IFERROR(SUBSTITUTE(SUBSTITUTE(REGEXEXTRACT(A13823, ""[^-]+- [^-]+- [^-]+ - (.+?)\.jpg""), "".jpg"", """"), ""-"", "", ""), """")"),"")</f>
        <v/>
      </c>
      <c r="L13823" s="12"/>
      <c r="M13823" s="13"/>
      <c r="N13823" s="2"/>
      <c r="O13823" s="20"/>
      <c r="P13823" s="42"/>
      <c r="R13823" s="23"/>
    </row>
    <row r="13824" spans="1:18" ht="12.75">
      <c r="A13824" s="12"/>
      <c r="D13824" s="12"/>
      <c r="E13824" s="12"/>
      <c r="H13824" s="11" t="str">
        <f ca="1">IFERROR(__xludf.DUMMYFUNCTION("IFERROR(SUBSTITUTE(SUBSTITUTE(REGEXEXTRACT(A13824, ""[^-]+- [^-]+- [^-]+ - (.+?)\.jpg""), "".jpg"", """"), ""-"", "", ""), """")"),"")</f>
        <v/>
      </c>
      <c r="L13824" s="12"/>
      <c r="M13824" s="13"/>
      <c r="N13824" s="2"/>
      <c r="O13824" s="20"/>
      <c r="P13824" s="42"/>
      <c r="R13824" s="23"/>
    </row>
    <row r="13825" spans="1:18" ht="12.75">
      <c r="A13825" s="12"/>
      <c r="D13825" s="12"/>
      <c r="E13825" s="12"/>
      <c r="H13825" s="11" t="str">
        <f ca="1">IFERROR(__xludf.DUMMYFUNCTION("IFERROR(SUBSTITUTE(SUBSTITUTE(REGEXEXTRACT(A13825, ""[^-]+- [^-]+- [^-]+ - (.+?)\.jpg""), "".jpg"", """"), ""-"", "", ""), """")"),"")</f>
        <v/>
      </c>
      <c r="L13825" s="12"/>
      <c r="M13825" s="13"/>
      <c r="N13825" s="2"/>
      <c r="O13825" s="20"/>
      <c r="P13825" s="42"/>
      <c r="R13825" s="23"/>
    </row>
    <row r="13826" spans="1:18" ht="12.75">
      <c r="A13826" s="12"/>
      <c r="D13826" s="12"/>
      <c r="E13826" s="12"/>
      <c r="H13826" s="11" t="str">
        <f ca="1">IFERROR(__xludf.DUMMYFUNCTION("IFERROR(SUBSTITUTE(SUBSTITUTE(REGEXEXTRACT(A13826, ""[^-]+- [^-]+- [^-]+ - (.+?)\.jpg""), "".jpg"", """"), ""-"", "", ""), """")"),"")</f>
        <v/>
      </c>
      <c r="L13826" s="12"/>
      <c r="M13826" s="13"/>
      <c r="N13826" s="2"/>
      <c r="O13826" s="20"/>
      <c r="P13826" s="42"/>
      <c r="R13826" s="23"/>
    </row>
    <row r="13827" spans="1:18" ht="12.75">
      <c r="A13827" s="12"/>
      <c r="D13827" s="12"/>
      <c r="E13827" s="12"/>
      <c r="H13827" s="11" t="str">
        <f ca="1">IFERROR(__xludf.DUMMYFUNCTION("IFERROR(SUBSTITUTE(SUBSTITUTE(REGEXEXTRACT(A13827, ""[^-]+- [^-]+- [^-]+ - (.+?)\.jpg""), "".jpg"", """"), ""-"", "", ""), """")"),"")</f>
        <v/>
      </c>
      <c r="L13827" s="12"/>
      <c r="M13827" s="13"/>
      <c r="N13827" s="2"/>
      <c r="O13827" s="20"/>
      <c r="P13827" s="42"/>
      <c r="R13827" s="23"/>
    </row>
    <row r="13828" spans="1:18" ht="12.75">
      <c r="A13828" s="12"/>
      <c r="D13828" s="12"/>
      <c r="E13828" s="12"/>
      <c r="H13828" s="11" t="str">
        <f ca="1">IFERROR(__xludf.DUMMYFUNCTION("IFERROR(SUBSTITUTE(SUBSTITUTE(REGEXEXTRACT(A13828, ""[^-]+- [^-]+- [^-]+ - (.+?)\.jpg""), "".jpg"", """"), ""-"", "", ""), """")"),"")</f>
        <v/>
      </c>
      <c r="L13828" s="12"/>
      <c r="M13828" s="13"/>
      <c r="N13828" s="2"/>
      <c r="O13828" s="20"/>
      <c r="P13828" s="42"/>
      <c r="R13828" s="23"/>
    </row>
    <row r="13829" spans="1:18" ht="12.75">
      <c r="A13829" s="12"/>
      <c r="D13829" s="12"/>
      <c r="E13829" s="12"/>
      <c r="H13829" s="11" t="str">
        <f ca="1">IFERROR(__xludf.DUMMYFUNCTION("IFERROR(SUBSTITUTE(SUBSTITUTE(REGEXEXTRACT(A13829, ""[^-]+- [^-]+- [^-]+ - (.+?)\.jpg""), "".jpg"", """"), ""-"", "", ""), """")"),"")</f>
        <v/>
      </c>
      <c r="L13829" s="12"/>
      <c r="M13829" s="13"/>
      <c r="N13829" s="2"/>
      <c r="O13829" s="20"/>
      <c r="P13829" s="42"/>
      <c r="R13829" s="23"/>
    </row>
    <row r="13830" spans="1:18" ht="12.75">
      <c r="A13830" s="12"/>
      <c r="D13830" s="12"/>
      <c r="E13830" s="12"/>
      <c r="H13830" s="11" t="str">
        <f ca="1">IFERROR(__xludf.DUMMYFUNCTION("IFERROR(SUBSTITUTE(SUBSTITUTE(REGEXEXTRACT(A13830, ""[^-]+- [^-]+- [^-]+ - (.+?)\.jpg""), "".jpg"", """"), ""-"", "", ""), """")"),"")</f>
        <v/>
      </c>
      <c r="L13830" s="12"/>
      <c r="M13830" s="13"/>
      <c r="N13830" s="2"/>
      <c r="O13830" s="20"/>
      <c r="P13830" s="42"/>
      <c r="R13830" s="23"/>
    </row>
    <row r="13831" spans="1:18" ht="12.75">
      <c r="A13831" s="12"/>
      <c r="D13831" s="12"/>
      <c r="E13831" s="12"/>
      <c r="H13831" s="11" t="str">
        <f ca="1">IFERROR(__xludf.DUMMYFUNCTION("IFERROR(SUBSTITUTE(SUBSTITUTE(REGEXEXTRACT(A13831, ""[^-]+- [^-]+- [^-]+ - (.+?)\.jpg""), "".jpg"", """"), ""-"", "", ""), """")"),"")</f>
        <v/>
      </c>
      <c r="L13831" s="12"/>
      <c r="M13831" s="13"/>
      <c r="N13831" s="2"/>
      <c r="O13831" s="20"/>
      <c r="P13831" s="42"/>
      <c r="R13831" s="23"/>
    </row>
    <row r="13832" spans="1:18" ht="12.75">
      <c r="A13832" s="12"/>
      <c r="D13832" s="12"/>
      <c r="E13832" s="12"/>
      <c r="H13832" s="11" t="str">
        <f ca="1">IFERROR(__xludf.DUMMYFUNCTION("IFERROR(SUBSTITUTE(SUBSTITUTE(REGEXEXTRACT(A13832, ""[^-]+- [^-]+- [^-]+ - (.+?)\.jpg""), "".jpg"", """"), ""-"", "", ""), """")"),"")</f>
        <v/>
      </c>
      <c r="L13832" s="12"/>
      <c r="M13832" s="13"/>
      <c r="N13832" s="2"/>
      <c r="O13832" s="20"/>
      <c r="P13832" s="42"/>
      <c r="R13832" s="23"/>
    </row>
    <row r="13833" spans="1:18" ht="12.75">
      <c r="A13833" s="12"/>
      <c r="D13833" s="12"/>
      <c r="E13833" s="12"/>
      <c r="H13833" s="11" t="str">
        <f ca="1">IFERROR(__xludf.DUMMYFUNCTION("IFERROR(SUBSTITUTE(SUBSTITUTE(REGEXEXTRACT(A13833, ""[^-]+- [^-]+- [^-]+ - (.+?)\.jpg""), "".jpg"", """"), ""-"", "", ""), """")"),"")</f>
        <v/>
      </c>
      <c r="L13833" s="12"/>
      <c r="M13833" s="13"/>
      <c r="N13833" s="2"/>
      <c r="O13833" s="20"/>
      <c r="P13833" s="42"/>
      <c r="R13833" s="23"/>
    </row>
    <row r="13834" spans="1:18" ht="12.75">
      <c r="A13834" s="12"/>
      <c r="D13834" s="12"/>
      <c r="E13834" s="12"/>
      <c r="H13834" s="11" t="str">
        <f ca="1">IFERROR(__xludf.DUMMYFUNCTION("IFERROR(SUBSTITUTE(SUBSTITUTE(REGEXEXTRACT(A13834, ""[^-]+- [^-]+- [^-]+ - (.+?)\.jpg""), "".jpg"", """"), ""-"", "", ""), """")"),"")</f>
        <v/>
      </c>
      <c r="L13834" s="12"/>
      <c r="M13834" s="13"/>
      <c r="N13834" s="2"/>
      <c r="O13834" s="20"/>
      <c r="P13834" s="42"/>
      <c r="R13834" s="23"/>
    </row>
    <row r="13835" spans="1:18" ht="12.75">
      <c r="A13835" s="12"/>
      <c r="D13835" s="12"/>
      <c r="E13835" s="12"/>
      <c r="H13835" s="11" t="str">
        <f ca="1">IFERROR(__xludf.DUMMYFUNCTION("IFERROR(SUBSTITUTE(SUBSTITUTE(REGEXEXTRACT(A13835, ""[^-]+- [^-]+- [^-]+ - (.+?)\.jpg""), "".jpg"", """"), ""-"", "", ""), """")"),"")</f>
        <v/>
      </c>
      <c r="L13835" s="12"/>
      <c r="M13835" s="13"/>
      <c r="N13835" s="2"/>
      <c r="O13835" s="20"/>
      <c r="P13835" s="42"/>
      <c r="R13835" s="23"/>
    </row>
    <row r="13836" spans="1:18" ht="12.75">
      <c r="A13836" s="12"/>
      <c r="D13836" s="12"/>
      <c r="E13836" s="12"/>
      <c r="H13836" s="11" t="str">
        <f ca="1">IFERROR(__xludf.DUMMYFUNCTION("IFERROR(SUBSTITUTE(SUBSTITUTE(REGEXEXTRACT(A13836, ""[^-]+- [^-]+- [^-]+ - (.+?)\.jpg""), "".jpg"", """"), ""-"", "", ""), """")"),"")</f>
        <v/>
      </c>
      <c r="L13836" s="12"/>
      <c r="M13836" s="13"/>
      <c r="N13836" s="2"/>
      <c r="O13836" s="20"/>
      <c r="P13836" s="42"/>
      <c r="R13836" s="23"/>
    </row>
    <row r="13837" spans="1:18" ht="12.75">
      <c r="A13837" s="12"/>
      <c r="D13837" s="12"/>
      <c r="E13837" s="12"/>
      <c r="H13837" s="11" t="str">
        <f ca="1">IFERROR(__xludf.DUMMYFUNCTION("IFERROR(SUBSTITUTE(SUBSTITUTE(REGEXEXTRACT(A13837, ""[^-]+- [^-]+- [^-]+ - (.+?)\.jpg""), "".jpg"", """"), ""-"", "", ""), """")"),"")</f>
        <v/>
      </c>
      <c r="L13837" s="12"/>
      <c r="M13837" s="13"/>
      <c r="N13837" s="2"/>
      <c r="O13837" s="20"/>
      <c r="P13837" s="42"/>
      <c r="R13837" s="23"/>
    </row>
    <row r="13838" spans="1:18" ht="12.75">
      <c r="A13838" s="12"/>
      <c r="D13838" s="12"/>
      <c r="E13838" s="12"/>
      <c r="H13838" s="11" t="str">
        <f ca="1">IFERROR(__xludf.DUMMYFUNCTION("IFERROR(SUBSTITUTE(SUBSTITUTE(REGEXEXTRACT(A13838, ""[^-]+- [^-]+- [^-]+ - (.+?)\.jpg""), "".jpg"", """"), ""-"", "", ""), """")"),"")</f>
        <v/>
      </c>
      <c r="L13838" s="12"/>
      <c r="M13838" s="13"/>
      <c r="N13838" s="2"/>
      <c r="O13838" s="20"/>
      <c r="P13838" s="42"/>
      <c r="R13838" s="23"/>
    </row>
    <row r="13839" spans="1:18" ht="12.75">
      <c r="A13839" s="12"/>
      <c r="D13839" s="12"/>
      <c r="E13839" s="12"/>
      <c r="H13839" s="11" t="str">
        <f ca="1">IFERROR(__xludf.DUMMYFUNCTION("IFERROR(SUBSTITUTE(SUBSTITUTE(REGEXEXTRACT(A13839, ""[^-]+- [^-]+- [^-]+ - (.+?)\.jpg""), "".jpg"", """"), ""-"", "", ""), """")"),"")</f>
        <v/>
      </c>
      <c r="L13839" s="12"/>
      <c r="M13839" s="13"/>
      <c r="N13839" s="2"/>
      <c r="O13839" s="20"/>
      <c r="P13839" s="42"/>
      <c r="R13839" s="23"/>
    </row>
    <row r="13840" spans="1:18" ht="12.75">
      <c r="A13840" s="12"/>
      <c r="D13840" s="12"/>
      <c r="E13840" s="12"/>
      <c r="H13840" s="11" t="str">
        <f ca="1">IFERROR(__xludf.DUMMYFUNCTION("IFERROR(SUBSTITUTE(SUBSTITUTE(REGEXEXTRACT(A13840, ""[^-]+- [^-]+- [^-]+ - (.+?)\.jpg""), "".jpg"", """"), ""-"", "", ""), """")"),"")</f>
        <v/>
      </c>
      <c r="L13840" s="12"/>
      <c r="M13840" s="13"/>
      <c r="N13840" s="2"/>
      <c r="O13840" s="20"/>
      <c r="P13840" s="42"/>
      <c r="R13840" s="23"/>
    </row>
    <row r="13841" spans="1:18" ht="12.75">
      <c r="A13841" s="12"/>
      <c r="D13841" s="12"/>
      <c r="E13841" s="12"/>
      <c r="H13841" s="11" t="str">
        <f ca="1">IFERROR(__xludf.DUMMYFUNCTION("IFERROR(SUBSTITUTE(SUBSTITUTE(REGEXEXTRACT(A13841, ""[^-]+- [^-]+- [^-]+ - (.+?)\.jpg""), "".jpg"", """"), ""-"", "", ""), """")"),"")</f>
        <v/>
      </c>
      <c r="L13841" s="12"/>
      <c r="M13841" s="13"/>
      <c r="N13841" s="2"/>
      <c r="O13841" s="20"/>
      <c r="P13841" s="42"/>
      <c r="R13841" s="23"/>
    </row>
    <row r="13842" spans="1:18" ht="12.75">
      <c r="A13842" s="12"/>
      <c r="D13842" s="12"/>
      <c r="E13842" s="12"/>
      <c r="H13842" s="11" t="str">
        <f ca="1">IFERROR(__xludf.DUMMYFUNCTION("IFERROR(SUBSTITUTE(SUBSTITUTE(REGEXEXTRACT(A13842, ""[^-]+- [^-]+- [^-]+ - (.+?)\.jpg""), "".jpg"", """"), ""-"", "", ""), """")"),"")</f>
        <v/>
      </c>
      <c r="L13842" s="12"/>
      <c r="M13842" s="13"/>
      <c r="N13842" s="2"/>
      <c r="O13842" s="20"/>
      <c r="P13842" s="42"/>
      <c r="R13842" s="23"/>
    </row>
    <row r="13843" spans="1:18" ht="12.75">
      <c r="A13843" s="12"/>
      <c r="D13843" s="12"/>
      <c r="E13843" s="12"/>
      <c r="H13843" s="11" t="str">
        <f ca="1">IFERROR(__xludf.DUMMYFUNCTION("IFERROR(SUBSTITUTE(SUBSTITUTE(REGEXEXTRACT(A13843, ""[^-]+- [^-]+- [^-]+ - (.+?)\.jpg""), "".jpg"", """"), ""-"", "", ""), """")"),"")</f>
        <v/>
      </c>
      <c r="L13843" s="12"/>
      <c r="M13843" s="13"/>
      <c r="N13843" s="2"/>
      <c r="O13843" s="20"/>
      <c r="P13843" s="42"/>
      <c r="R13843" s="23"/>
    </row>
    <row r="13844" spans="1:18" ht="12.75">
      <c r="A13844" s="12"/>
      <c r="D13844" s="12"/>
      <c r="E13844" s="12"/>
      <c r="H13844" s="11" t="str">
        <f ca="1">IFERROR(__xludf.DUMMYFUNCTION("IFERROR(SUBSTITUTE(SUBSTITUTE(REGEXEXTRACT(A13844, ""[^-]+- [^-]+- [^-]+ - (.+?)\.jpg""), "".jpg"", """"), ""-"", "", ""), """")"),"")</f>
        <v/>
      </c>
      <c r="L13844" s="12"/>
      <c r="M13844" s="13"/>
      <c r="N13844" s="2"/>
      <c r="O13844" s="20"/>
      <c r="P13844" s="42"/>
      <c r="R13844" s="23"/>
    </row>
    <row r="13845" spans="1:18" ht="12.75">
      <c r="A13845" s="12"/>
      <c r="D13845" s="12"/>
      <c r="E13845" s="12"/>
      <c r="H13845" s="11" t="str">
        <f ca="1">IFERROR(__xludf.DUMMYFUNCTION("IFERROR(SUBSTITUTE(SUBSTITUTE(REGEXEXTRACT(A13845, ""[^-]+- [^-]+- [^-]+ - (.+?)\.jpg""), "".jpg"", """"), ""-"", "", ""), """")"),"")</f>
        <v/>
      </c>
      <c r="L13845" s="12"/>
      <c r="M13845" s="13"/>
      <c r="N13845" s="2"/>
      <c r="O13845" s="20"/>
      <c r="P13845" s="42"/>
      <c r="R13845" s="23"/>
    </row>
    <row r="13846" spans="1:18" ht="12.75">
      <c r="A13846" s="12"/>
      <c r="D13846" s="12"/>
      <c r="E13846" s="12"/>
      <c r="H13846" s="11" t="str">
        <f ca="1">IFERROR(__xludf.DUMMYFUNCTION("IFERROR(SUBSTITUTE(SUBSTITUTE(REGEXEXTRACT(A13846, ""[^-]+- [^-]+- [^-]+ - (.+?)\.jpg""), "".jpg"", """"), ""-"", "", ""), """")"),"")</f>
        <v/>
      </c>
      <c r="L13846" s="12"/>
      <c r="M13846" s="13"/>
      <c r="N13846" s="2"/>
      <c r="O13846" s="20"/>
      <c r="P13846" s="42"/>
      <c r="R13846" s="23"/>
    </row>
    <row r="13847" spans="1:18" ht="12.75">
      <c r="A13847" s="12"/>
      <c r="D13847" s="12"/>
      <c r="E13847" s="12"/>
      <c r="H13847" s="11" t="str">
        <f ca="1">IFERROR(__xludf.DUMMYFUNCTION("IFERROR(SUBSTITUTE(SUBSTITUTE(REGEXEXTRACT(A13847, ""[^-]+- [^-]+- [^-]+ - (.+?)\.jpg""), "".jpg"", """"), ""-"", "", ""), """")"),"")</f>
        <v/>
      </c>
      <c r="L13847" s="12"/>
      <c r="M13847" s="13"/>
      <c r="N13847" s="2"/>
      <c r="O13847" s="20"/>
      <c r="P13847" s="42"/>
      <c r="R13847" s="23"/>
    </row>
    <row r="13848" spans="1:18" ht="12.75">
      <c r="A13848" s="12"/>
      <c r="D13848" s="12"/>
      <c r="E13848" s="12"/>
      <c r="H13848" s="11" t="str">
        <f ca="1">IFERROR(__xludf.DUMMYFUNCTION("IFERROR(SUBSTITUTE(SUBSTITUTE(REGEXEXTRACT(A13848, ""[^-]+- [^-]+- [^-]+ - (.+?)\.jpg""), "".jpg"", """"), ""-"", "", ""), """")"),"")</f>
        <v/>
      </c>
      <c r="L13848" s="12"/>
      <c r="M13848" s="13"/>
      <c r="N13848" s="2"/>
      <c r="O13848" s="20"/>
      <c r="P13848" s="42"/>
      <c r="R13848" s="23"/>
    </row>
    <row r="13849" spans="1:18" ht="12.75">
      <c r="A13849" s="12"/>
      <c r="D13849" s="12"/>
      <c r="E13849" s="12"/>
      <c r="H13849" s="11" t="str">
        <f ca="1">IFERROR(__xludf.DUMMYFUNCTION("IFERROR(SUBSTITUTE(SUBSTITUTE(REGEXEXTRACT(A13849, ""[^-]+- [^-]+- [^-]+ - (.+?)\.jpg""), "".jpg"", """"), ""-"", "", ""), """")"),"")</f>
        <v/>
      </c>
      <c r="L13849" s="12"/>
      <c r="M13849" s="13"/>
      <c r="N13849" s="2"/>
      <c r="O13849" s="20"/>
      <c r="P13849" s="42"/>
      <c r="R13849" s="23"/>
    </row>
    <row r="13850" spans="1:18" ht="12.75">
      <c r="A13850" s="12"/>
      <c r="D13850" s="12"/>
      <c r="E13850" s="12"/>
      <c r="H13850" s="11" t="str">
        <f ca="1">IFERROR(__xludf.DUMMYFUNCTION("IFERROR(SUBSTITUTE(SUBSTITUTE(REGEXEXTRACT(A13850, ""[^-]+- [^-]+- [^-]+ - (.+?)\.jpg""), "".jpg"", """"), ""-"", "", ""), """")"),"")</f>
        <v/>
      </c>
      <c r="L13850" s="12"/>
      <c r="M13850" s="13"/>
      <c r="N13850" s="2"/>
      <c r="O13850" s="20"/>
      <c r="P13850" s="42"/>
      <c r="R13850" s="23"/>
    </row>
    <row r="13851" spans="1:18" ht="12.75">
      <c r="A13851" s="12"/>
      <c r="D13851" s="12"/>
      <c r="E13851" s="12"/>
      <c r="H13851" s="11" t="str">
        <f ca="1">IFERROR(__xludf.DUMMYFUNCTION("IFERROR(SUBSTITUTE(SUBSTITUTE(REGEXEXTRACT(A13851, ""[^-]+- [^-]+- [^-]+ - (.+?)\.jpg""), "".jpg"", """"), ""-"", "", ""), """")"),"")</f>
        <v/>
      </c>
      <c r="L13851" s="12"/>
      <c r="M13851" s="13"/>
      <c r="N13851" s="2"/>
      <c r="O13851" s="20"/>
      <c r="P13851" s="42"/>
      <c r="R13851" s="23"/>
    </row>
    <row r="13852" spans="1:18" ht="12.75">
      <c r="A13852" s="12"/>
      <c r="D13852" s="12"/>
      <c r="E13852" s="12"/>
      <c r="H13852" s="11" t="str">
        <f ca="1">IFERROR(__xludf.DUMMYFUNCTION("IFERROR(SUBSTITUTE(SUBSTITUTE(REGEXEXTRACT(A13852, ""[^-]+- [^-]+- [^-]+ - (.+?)\.jpg""), "".jpg"", """"), ""-"", "", ""), """")"),"")</f>
        <v/>
      </c>
      <c r="L13852" s="12"/>
      <c r="M13852" s="13"/>
      <c r="N13852" s="2"/>
      <c r="O13852" s="20"/>
      <c r="P13852" s="42"/>
      <c r="R13852" s="23"/>
    </row>
    <row r="13853" spans="1:18" ht="12.75">
      <c r="A13853" s="12"/>
      <c r="D13853" s="12"/>
      <c r="E13853" s="12"/>
      <c r="H13853" s="11" t="str">
        <f ca="1">IFERROR(__xludf.DUMMYFUNCTION("IFERROR(SUBSTITUTE(SUBSTITUTE(REGEXEXTRACT(A13853, ""[^-]+- [^-]+- [^-]+ - (.+?)\.jpg""), "".jpg"", """"), ""-"", "", ""), """")"),"")</f>
        <v/>
      </c>
      <c r="L13853" s="12"/>
      <c r="M13853" s="13"/>
      <c r="N13853" s="2"/>
      <c r="O13853" s="20"/>
      <c r="P13853" s="42"/>
      <c r="R13853" s="23"/>
    </row>
    <row r="13854" spans="1:18" ht="12.75">
      <c r="A13854" s="12"/>
      <c r="D13854" s="12"/>
      <c r="E13854" s="12"/>
      <c r="H13854" s="11" t="str">
        <f ca="1">IFERROR(__xludf.DUMMYFUNCTION("IFERROR(SUBSTITUTE(SUBSTITUTE(REGEXEXTRACT(A13854, ""[^-]+- [^-]+- [^-]+ - (.+?)\.jpg""), "".jpg"", """"), ""-"", "", ""), """")"),"")</f>
        <v/>
      </c>
      <c r="L13854" s="12"/>
      <c r="M13854" s="13"/>
      <c r="N13854" s="2"/>
      <c r="O13854" s="20"/>
      <c r="P13854" s="42"/>
      <c r="R13854" s="23"/>
    </row>
    <row r="13855" spans="1:18" ht="12.75">
      <c r="A13855" s="12"/>
      <c r="D13855" s="12"/>
      <c r="E13855" s="12"/>
      <c r="H13855" s="11" t="str">
        <f ca="1">IFERROR(__xludf.DUMMYFUNCTION("IFERROR(SUBSTITUTE(SUBSTITUTE(REGEXEXTRACT(A13855, ""[^-]+- [^-]+- [^-]+ - (.+?)\.jpg""), "".jpg"", """"), ""-"", "", ""), """")"),"")</f>
        <v/>
      </c>
      <c r="L13855" s="12"/>
      <c r="M13855" s="13"/>
      <c r="N13855" s="2"/>
      <c r="O13855" s="20"/>
      <c r="P13855" s="42"/>
      <c r="R13855" s="23"/>
    </row>
    <row r="13856" spans="1:18" ht="12.75">
      <c r="A13856" s="12"/>
      <c r="D13856" s="12"/>
      <c r="E13856" s="12"/>
      <c r="H13856" s="11" t="str">
        <f ca="1">IFERROR(__xludf.DUMMYFUNCTION("IFERROR(SUBSTITUTE(SUBSTITUTE(REGEXEXTRACT(A13856, ""[^-]+- [^-]+- [^-]+ - (.+?)\.jpg""), "".jpg"", """"), ""-"", "", ""), """")"),"")</f>
        <v/>
      </c>
      <c r="L13856" s="12"/>
      <c r="M13856" s="13"/>
      <c r="N13856" s="2"/>
      <c r="O13856" s="20"/>
      <c r="P13856" s="42"/>
      <c r="R13856" s="23"/>
    </row>
    <row r="13857" spans="1:18" ht="12.75">
      <c r="A13857" s="12"/>
      <c r="D13857" s="12"/>
      <c r="E13857" s="12"/>
      <c r="H13857" s="11" t="str">
        <f ca="1">IFERROR(__xludf.DUMMYFUNCTION("IFERROR(SUBSTITUTE(SUBSTITUTE(REGEXEXTRACT(A13857, ""[^-]+- [^-]+- [^-]+ - (.+?)\.jpg""), "".jpg"", """"), ""-"", "", ""), """")"),"")</f>
        <v/>
      </c>
      <c r="L13857" s="12"/>
      <c r="M13857" s="13"/>
      <c r="N13857" s="2"/>
      <c r="O13857" s="20"/>
      <c r="P13857" s="42"/>
      <c r="R13857" s="23"/>
    </row>
    <row r="13858" spans="1:18" ht="12.75">
      <c r="A13858" s="12"/>
      <c r="D13858" s="12"/>
      <c r="E13858" s="12"/>
      <c r="H13858" s="11" t="str">
        <f ca="1">IFERROR(__xludf.DUMMYFUNCTION("IFERROR(SUBSTITUTE(SUBSTITUTE(REGEXEXTRACT(A13858, ""[^-]+- [^-]+- [^-]+ - (.+?)\.jpg""), "".jpg"", """"), ""-"", "", ""), """")"),"")</f>
        <v/>
      </c>
      <c r="L13858" s="12"/>
      <c r="M13858" s="13"/>
      <c r="N13858" s="2"/>
      <c r="O13858" s="20"/>
      <c r="P13858" s="42"/>
      <c r="R13858" s="23"/>
    </row>
    <row r="13859" spans="1:18" ht="12.75">
      <c r="A13859" s="12"/>
      <c r="D13859" s="12"/>
      <c r="E13859" s="12"/>
      <c r="H13859" s="11" t="str">
        <f ca="1">IFERROR(__xludf.DUMMYFUNCTION("IFERROR(SUBSTITUTE(SUBSTITUTE(REGEXEXTRACT(A13859, ""[^-]+- [^-]+- [^-]+ - (.+?)\.jpg""), "".jpg"", """"), ""-"", "", ""), """")"),"")</f>
        <v/>
      </c>
      <c r="L13859" s="12"/>
      <c r="M13859" s="13"/>
      <c r="N13859" s="2"/>
      <c r="O13859" s="20"/>
      <c r="P13859" s="42"/>
      <c r="R13859" s="23"/>
    </row>
    <row r="13860" spans="1:18" ht="12.75">
      <c r="A13860" s="12"/>
      <c r="D13860" s="12"/>
      <c r="E13860" s="12"/>
      <c r="H13860" s="11" t="str">
        <f ca="1">IFERROR(__xludf.DUMMYFUNCTION("IFERROR(SUBSTITUTE(SUBSTITUTE(REGEXEXTRACT(A13860, ""[^-]+- [^-]+- [^-]+ - (.+?)\.jpg""), "".jpg"", """"), ""-"", "", ""), """")"),"")</f>
        <v/>
      </c>
      <c r="L13860" s="12"/>
      <c r="M13860" s="13"/>
      <c r="N13860" s="2"/>
      <c r="O13860" s="20"/>
      <c r="P13860" s="42"/>
      <c r="R13860" s="23"/>
    </row>
    <row r="13861" spans="1:18" ht="12.75">
      <c r="A13861" s="12"/>
      <c r="D13861" s="12"/>
      <c r="E13861" s="12"/>
      <c r="H13861" s="11" t="str">
        <f ca="1">IFERROR(__xludf.DUMMYFUNCTION("IFERROR(SUBSTITUTE(SUBSTITUTE(REGEXEXTRACT(A13861, ""[^-]+- [^-]+- [^-]+ - (.+?)\.jpg""), "".jpg"", """"), ""-"", "", ""), """")"),"")</f>
        <v/>
      </c>
      <c r="L13861" s="12"/>
      <c r="M13861" s="13"/>
      <c r="N13861" s="2"/>
      <c r="O13861" s="20"/>
      <c r="P13861" s="42"/>
      <c r="R13861" s="23"/>
    </row>
    <row r="13862" spans="1:18" ht="12.75">
      <c r="A13862" s="12"/>
      <c r="D13862" s="12"/>
      <c r="E13862" s="12"/>
      <c r="H13862" s="11" t="str">
        <f ca="1">IFERROR(__xludf.DUMMYFUNCTION("IFERROR(SUBSTITUTE(SUBSTITUTE(REGEXEXTRACT(A13862, ""[^-]+- [^-]+- [^-]+ - (.+?)\.jpg""), "".jpg"", """"), ""-"", "", ""), """")"),"")</f>
        <v/>
      </c>
      <c r="L13862" s="12"/>
      <c r="M13862" s="13"/>
      <c r="N13862" s="2"/>
      <c r="O13862" s="20"/>
      <c r="P13862" s="42"/>
      <c r="R13862" s="23"/>
    </row>
    <row r="13863" spans="1:18" ht="12.75">
      <c r="A13863" s="12"/>
      <c r="D13863" s="12"/>
      <c r="E13863" s="12"/>
      <c r="H13863" s="11" t="str">
        <f ca="1">IFERROR(__xludf.DUMMYFUNCTION("IFERROR(SUBSTITUTE(SUBSTITUTE(REGEXEXTRACT(A13863, ""[^-]+- [^-]+- [^-]+ - (.+?)\.jpg""), "".jpg"", """"), ""-"", "", ""), """")"),"")</f>
        <v/>
      </c>
      <c r="L13863" s="12"/>
      <c r="M13863" s="13"/>
      <c r="N13863" s="2"/>
      <c r="O13863" s="20"/>
      <c r="P13863" s="42"/>
      <c r="R13863" s="23"/>
    </row>
    <row r="13864" spans="1:18" ht="12.75">
      <c r="A13864" s="12"/>
      <c r="D13864" s="12"/>
      <c r="E13864" s="12"/>
      <c r="H13864" s="11" t="str">
        <f ca="1">IFERROR(__xludf.DUMMYFUNCTION("IFERROR(SUBSTITUTE(SUBSTITUTE(REGEXEXTRACT(A13864, ""[^-]+- [^-]+- [^-]+ - (.+?)\.jpg""), "".jpg"", """"), ""-"", "", ""), """")"),"")</f>
        <v/>
      </c>
      <c r="L13864" s="12"/>
      <c r="M13864" s="13"/>
      <c r="N13864" s="2"/>
      <c r="O13864" s="20"/>
      <c r="P13864" s="42"/>
      <c r="R13864" s="23"/>
    </row>
    <row r="13865" spans="1:18" ht="12.75">
      <c r="A13865" s="12"/>
      <c r="D13865" s="12"/>
      <c r="E13865" s="12"/>
      <c r="H13865" s="11" t="str">
        <f ca="1">IFERROR(__xludf.DUMMYFUNCTION("IFERROR(SUBSTITUTE(SUBSTITUTE(REGEXEXTRACT(A13865, ""[^-]+- [^-]+- [^-]+ - (.+?)\.jpg""), "".jpg"", """"), ""-"", "", ""), """")"),"")</f>
        <v/>
      </c>
      <c r="L13865" s="12"/>
      <c r="M13865" s="13"/>
      <c r="N13865" s="2"/>
      <c r="O13865" s="20"/>
      <c r="P13865" s="42"/>
      <c r="R13865" s="23"/>
    </row>
    <row r="13866" spans="1:18" ht="12.75">
      <c r="A13866" s="12"/>
      <c r="D13866" s="12"/>
      <c r="E13866" s="12"/>
      <c r="H13866" s="11" t="str">
        <f ca="1">IFERROR(__xludf.DUMMYFUNCTION("IFERROR(SUBSTITUTE(SUBSTITUTE(REGEXEXTRACT(A13866, ""[^-]+- [^-]+- [^-]+ - (.+?)\.jpg""), "".jpg"", """"), ""-"", "", ""), """")"),"")</f>
        <v/>
      </c>
      <c r="L13866" s="12"/>
      <c r="M13866" s="13"/>
      <c r="N13866" s="2"/>
      <c r="O13866" s="20"/>
      <c r="P13866" s="42"/>
      <c r="R13866" s="23"/>
    </row>
    <row r="13867" spans="1:18" ht="12.75">
      <c r="A13867" s="12"/>
      <c r="D13867" s="12"/>
      <c r="E13867" s="12"/>
      <c r="H13867" s="11" t="str">
        <f ca="1">IFERROR(__xludf.DUMMYFUNCTION("IFERROR(SUBSTITUTE(SUBSTITUTE(REGEXEXTRACT(A13867, ""[^-]+- [^-]+- [^-]+ - (.+?)\.jpg""), "".jpg"", """"), ""-"", "", ""), """")"),"")</f>
        <v/>
      </c>
      <c r="L13867" s="12"/>
      <c r="M13867" s="13"/>
      <c r="N13867" s="2"/>
      <c r="O13867" s="20"/>
      <c r="P13867" s="42"/>
      <c r="R13867" s="23"/>
    </row>
    <row r="13868" spans="1:18" ht="12.75">
      <c r="A13868" s="12"/>
      <c r="D13868" s="12"/>
      <c r="E13868" s="12"/>
      <c r="H13868" s="11" t="str">
        <f ca="1">IFERROR(__xludf.DUMMYFUNCTION("IFERROR(SUBSTITUTE(SUBSTITUTE(REGEXEXTRACT(A13868, ""[^-]+- [^-]+- [^-]+ - (.+?)\.jpg""), "".jpg"", """"), ""-"", "", ""), """")"),"")</f>
        <v/>
      </c>
      <c r="L13868" s="12"/>
      <c r="M13868" s="13"/>
      <c r="N13868" s="2"/>
      <c r="O13868" s="20"/>
      <c r="P13868" s="42"/>
      <c r="R13868" s="23"/>
    </row>
    <row r="13869" spans="1:18" ht="12.75">
      <c r="A13869" s="12"/>
      <c r="D13869" s="12"/>
      <c r="E13869" s="12"/>
      <c r="H13869" s="11" t="str">
        <f ca="1">IFERROR(__xludf.DUMMYFUNCTION("IFERROR(SUBSTITUTE(SUBSTITUTE(REGEXEXTRACT(A13869, ""[^-]+- [^-]+- [^-]+ - (.+?)\.jpg""), "".jpg"", """"), ""-"", "", ""), """")"),"")</f>
        <v/>
      </c>
      <c r="L13869" s="12"/>
      <c r="M13869" s="13"/>
      <c r="N13869" s="2"/>
      <c r="O13869" s="20"/>
      <c r="P13869" s="42"/>
      <c r="R13869" s="23"/>
    </row>
    <row r="13870" spans="1:18" ht="12.75">
      <c r="A13870" s="12"/>
      <c r="D13870" s="12"/>
      <c r="E13870" s="12"/>
      <c r="H13870" s="11" t="str">
        <f ca="1">IFERROR(__xludf.DUMMYFUNCTION("IFERROR(SUBSTITUTE(SUBSTITUTE(REGEXEXTRACT(A13870, ""[^-]+- [^-]+- [^-]+ - (.+?)\.jpg""), "".jpg"", """"), ""-"", "", ""), """")"),"")</f>
        <v/>
      </c>
      <c r="L13870" s="12"/>
      <c r="M13870" s="13"/>
      <c r="N13870" s="2"/>
      <c r="O13870" s="20"/>
      <c r="P13870" s="42"/>
      <c r="R13870" s="23"/>
    </row>
    <row r="13871" spans="1:18" ht="12.75">
      <c r="A13871" s="12"/>
      <c r="D13871" s="12"/>
      <c r="E13871" s="12"/>
      <c r="H13871" s="11" t="str">
        <f ca="1">IFERROR(__xludf.DUMMYFUNCTION("IFERROR(SUBSTITUTE(SUBSTITUTE(REGEXEXTRACT(A13871, ""[^-]+- [^-]+- [^-]+ - (.+?)\.jpg""), "".jpg"", """"), ""-"", "", ""), """")"),"")</f>
        <v/>
      </c>
      <c r="L13871" s="12"/>
      <c r="M13871" s="13"/>
      <c r="N13871" s="2"/>
      <c r="O13871" s="20"/>
      <c r="P13871" s="42"/>
      <c r="R13871" s="23"/>
    </row>
    <row r="13872" spans="1:18" ht="12.75">
      <c r="A13872" s="12"/>
      <c r="D13872" s="12"/>
      <c r="E13872" s="12"/>
      <c r="H13872" s="11" t="str">
        <f ca="1">IFERROR(__xludf.DUMMYFUNCTION("IFERROR(SUBSTITUTE(SUBSTITUTE(REGEXEXTRACT(A13872, ""[^-]+- [^-]+- [^-]+ - (.+?)\.jpg""), "".jpg"", """"), ""-"", "", ""), """")"),"")</f>
        <v/>
      </c>
      <c r="L13872" s="12"/>
      <c r="M13872" s="13"/>
      <c r="N13872" s="2"/>
      <c r="O13872" s="20"/>
      <c r="P13872" s="42"/>
      <c r="R13872" s="23"/>
    </row>
    <row r="13873" spans="1:18" ht="12.75">
      <c r="A13873" s="12"/>
      <c r="D13873" s="12"/>
      <c r="E13873" s="12"/>
      <c r="H13873" s="11" t="str">
        <f ca="1">IFERROR(__xludf.DUMMYFUNCTION("IFERROR(SUBSTITUTE(SUBSTITUTE(REGEXEXTRACT(A13873, ""[^-]+- [^-]+- [^-]+ - (.+?)\.jpg""), "".jpg"", """"), ""-"", "", ""), """")"),"")</f>
        <v/>
      </c>
      <c r="L13873" s="12"/>
      <c r="M13873" s="13"/>
      <c r="N13873" s="2"/>
      <c r="O13873" s="20"/>
      <c r="P13873" s="42"/>
      <c r="R13873" s="23"/>
    </row>
    <row r="13874" spans="1:18" ht="12.75">
      <c r="A13874" s="12"/>
      <c r="D13874" s="12"/>
      <c r="E13874" s="12"/>
      <c r="H13874" s="11" t="str">
        <f ca="1">IFERROR(__xludf.DUMMYFUNCTION("IFERROR(SUBSTITUTE(SUBSTITUTE(REGEXEXTRACT(A13874, ""[^-]+- [^-]+- [^-]+ - (.+?)\.jpg""), "".jpg"", """"), ""-"", "", ""), """")"),"")</f>
        <v/>
      </c>
      <c r="L13874" s="12"/>
      <c r="M13874" s="13"/>
      <c r="N13874" s="2"/>
      <c r="O13874" s="20"/>
      <c r="P13874" s="42"/>
      <c r="R13874" s="23"/>
    </row>
    <row r="13875" spans="1:18" ht="12.75">
      <c r="A13875" s="12"/>
      <c r="D13875" s="12"/>
      <c r="E13875" s="12"/>
      <c r="H13875" s="11" t="str">
        <f ca="1">IFERROR(__xludf.DUMMYFUNCTION("IFERROR(SUBSTITUTE(SUBSTITUTE(REGEXEXTRACT(A13875, ""[^-]+- [^-]+- [^-]+ - (.+?)\.jpg""), "".jpg"", """"), ""-"", "", ""), """")"),"")</f>
        <v/>
      </c>
      <c r="L13875" s="12"/>
      <c r="M13875" s="13"/>
      <c r="N13875" s="2"/>
      <c r="O13875" s="20"/>
      <c r="P13875" s="42"/>
      <c r="R13875" s="23"/>
    </row>
    <row r="13876" spans="1:18" ht="12.75">
      <c r="A13876" s="12"/>
      <c r="D13876" s="12"/>
      <c r="E13876" s="12"/>
      <c r="H13876" s="11" t="str">
        <f ca="1">IFERROR(__xludf.DUMMYFUNCTION("IFERROR(SUBSTITUTE(SUBSTITUTE(REGEXEXTRACT(A13876, ""[^-]+- [^-]+- [^-]+ - (.+?)\.jpg""), "".jpg"", """"), ""-"", "", ""), """")"),"")</f>
        <v/>
      </c>
      <c r="L13876" s="12"/>
      <c r="M13876" s="13"/>
      <c r="N13876" s="2"/>
      <c r="O13876" s="20"/>
      <c r="P13876" s="42"/>
      <c r="R13876" s="23"/>
    </row>
    <row r="13877" spans="1:18" ht="12.75">
      <c r="A13877" s="12"/>
      <c r="D13877" s="12"/>
      <c r="E13877" s="12"/>
      <c r="H13877" s="11" t="str">
        <f ca="1">IFERROR(__xludf.DUMMYFUNCTION("IFERROR(SUBSTITUTE(SUBSTITUTE(REGEXEXTRACT(A13877, ""[^-]+- [^-]+- [^-]+ - (.+?)\.jpg""), "".jpg"", """"), ""-"", "", ""), """")"),"")</f>
        <v/>
      </c>
      <c r="L13877" s="12"/>
      <c r="M13877" s="13"/>
      <c r="N13877" s="2"/>
      <c r="O13877" s="20"/>
      <c r="P13877" s="42"/>
      <c r="R13877" s="23"/>
    </row>
    <row r="13878" spans="1:18" ht="12.75">
      <c r="A13878" s="12"/>
      <c r="D13878" s="12"/>
      <c r="E13878" s="12"/>
      <c r="H13878" s="11" t="str">
        <f ca="1">IFERROR(__xludf.DUMMYFUNCTION("IFERROR(SUBSTITUTE(SUBSTITUTE(REGEXEXTRACT(A13878, ""[^-]+- [^-]+- [^-]+ - (.+?)\.jpg""), "".jpg"", """"), ""-"", "", ""), """")"),"")</f>
        <v/>
      </c>
      <c r="L13878" s="12"/>
      <c r="M13878" s="13"/>
      <c r="N13878" s="2"/>
      <c r="O13878" s="20"/>
      <c r="P13878" s="42"/>
      <c r="R13878" s="23"/>
    </row>
    <row r="13879" spans="1:18" ht="12.75">
      <c r="A13879" s="12"/>
      <c r="D13879" s="12"/>
      <c r="E13879" s="12"/>
      <c r="H13879" s="11" t="str">
        <f ca="1">IFERROR(__xludf.DUMMYFUNCTION("IFERROR(SUBSTITUTE(SUBSTITUTE(REGEXEXTRACT(A13879, ""[^-]+- [^-]+- [^-]+ - (.+?)\.jpg""), "".jpg"", """"), ""-"", "", ""), """")"),"")</f>
        <v/>
      </c>
      <c r="L13879" s="12"/>
      <c r="M13879" s="13"/>
      <c r="N13879" s="2"/>
      <c r="O13879" s="20"/>
      <c r="P13879" s="42"/>
      <c r="R13879" s="23"/>
    </row>
    <row r="13880" spans="1:18" ht="12.75">
      <c r="A13880" s="12"/>
      <c r="D13880" s="12"/>
      <c r="E13880" s="12"/>
      <c r="H13880" s="11" t="str">
        <f ca="1">IFERROR(__xludf.DUMMYFUNCTION("IFERROR(SUBSTITUTE(SUBSTITUTE(REGEXEXTRACT(A13880, ""[^-]+- [^-]+- [^-]+ - (.+?)\.jpg""), "".jpg"", """"), ""-"", "", ""), """")"),"")</f>
        <v/>
      </c>
      <c r="L13880" s="12"/>
      <c r="M13880" s="13"/>
      <c r="N13880" s="2"/>
      <c r="O13880" s="20"/>
      <c r="P13880" s="42"/>
      <c r="R13880" s="23"/>
    </row>
    <row r="13881" spans="1:18" ht="12.75">
      <c r="A13881" s="12"/>
      <c r="D13881" s="12"/>
      <c r="E13881" s="12"/>
      <c r="H13881" s="11" t="str">
        <f ca="1">IFERROR(__xludf.DUMMYFUNCTION("IFERROR(SUBSTITUTE(SUBSTITUTE(REGEXEXTRACT(A13881, ""[^-]+- [^-]+- [^-]+ - (.+?)\.jpg""), "".jpg"", """"), ""-"", "", ""), """")"),"")</f>
        <v/>
      </c>
      <c r="L13881" s="12"/>
      <c r="M13881" s="13"/>
      <c r="N13881" s="2"/>
      <c r="O13881" s="20"/>
      <c r="P13881" s="42"/>
      <c r="R13881" s="23"/>
    </row>
    <row r="13882" spans="1:18" ht="12.75">
      <c r="A13882" s="12"/>
      <c r="D13882" s="12"/>
      <c r="E13882" s="12"/>
      <c r="H13882" s="11" t="str">
        <f ca="1">IFERROR(__xludf.DUMMYFUNCTION("IFERROR(SUBSTITUTE(SUBSTITUTE(REGEXEXTRACT(A13882, ""[^-]+- [^-]+- [^-]+ - (.+?)\.jpg""), "".jpg"", """"), ""-"", "", ""), """")"),"")</f>
        <v/>
      </c>
      <c r="L13882" s="12"/>
      <c r="M13882" s="13"/>
      <c r="N13882" s="2"/>
      <c r="O13882" s="20"/>
      <c r="P13882" s="42"/>
      <c r="R13882" s="23"/>
    </row>
    <row r="13883" spans="1:18" ht="12.75">
      <c r="A13883" s="12"/>
      <c r="D13883" s="12"/>
      <c r="E13883" s="12"/>
      <c r="H13883" s="11" t="str">
        <f ca="1">IFERROR(__xludf.DUMMYFUNCTION("IFERROR(SUBSTITUTE(SUBSTITUTE(REGEXEXTRACT(A13883, ""[^-]+- [^-]+- [^-]+ - (.+?)\.jpg""), "".jpg"", """"), ""-"", "", ""), """")"),"")</f>
        <v/>
      </c>
      <c r="L13883" s="12"/>
      <c r="M13883" s="13"/>
      <c r="N13883" s="2"/>
      <c r="O13883" s="20"/>
      <c r="P13883" s="42"/>
      <c r="R13883" s="23"/>
    </row>
    <row r="13884" spans="1:18" ht="12.75">
      <c r="A13884" s="12"/>
      <c r="D13884" s="12"/>
      <c r="E13884" s="12"/>
      <c r="H13884" s="11" t="str">
        <f ca="1">IFERROR(__xludf.DUMMYFUNCTION("IFERROR(SUBSTITUTE(SUBSTITUTE(REGEXEXTRACT(A13884, ""[^-]+- [^-]+- [^-]+ - (.+?)\.jpg""), "".jpg"", """"), ""-"", "", ""), """")"),"")</f>
        <v/>
      </c>
      <c r="L13884" s="12"/>
      <c r="M13884" s="13"/>
      <c r="N13884" s="2"/>
      <c r="O13884" s="20"/>
      <c r="P13884" s="42"/>
      <c r="R13884" s="23"/>
    </row>
    <row r="13885" spans="1:18" ht="12.75">
      <c r="A13885" s="12"/>
      <c r="D13885" s="12"/>
      <c r="E13885" s="12"/>
      <c r="H13885" s="11" t="str">
        <f ca="1">IFERROR(__xludf.DUMMYFUNCTION("IFERROR(SUBSTITUTE(SUBSTITUTE(REGEXEXTRACT(A13885, ""[^-]+- [^-]+- [^-]+ - (.+?)\.jpg""), "".jpg"", """"), ""-"", "", ""), """")"),"")</f>
        <v/>
      </c>
      <c r="L13885" s="12"/>
      <c r="M13885" s="13"/>
      <c r="N13885" s="2"/>
      <c r="O13885" s="20"/>
      <c r="P13885" s="42"/>
      <c r="R13885" s="23"/>
    </row>
    <row r="13886" spans="1:18" ht="12.75">
      <c r="A13886" s="12"/>
      <c r="D13886" s="12"/>
      <c r="E13886" s="12"/>
      <c r="H13886" s="11" t="str">
        <f ca="1">IFERROR(__xludf.DUMMYFUNCTION("IFERROR(SUBSTITUTE(SUBSTITUTE(REGEXEXTRACT(A13886, ""[^-]+- [^-]+- [^-]+ - (.+?)\.jpg""), "".jpg"", """"), ""-"", "", ""), """")"),"")</f>
        <v/>
      </c>
      <c r="L13886" s="12"/>
      <c r="M13886" s="13"/>
      <c r="N13886" s="2"/>
      <c r="O13886" s="20"/>
      <c r="P13886" s="42"/>
      <c r="R13886" s="23"/>
    </row>
    <row r="13887" spans="1:18" ht="12.75">
      <c r="A13887" s="12"/>
      <c r="D13887" s="12"/>
      <c r="E13887" s="12"/>
      <c r="H13887" s="11" t="str">
        <f ca="1">IFERROR(__xludf.DUMMYFUNCTION("IFERROR(SUBSTITUTE(SUBSTITUTE(REGEXEXTRACT(A13887, ""[^-]+- [^-]+- [^-]+ - (.+?)\.jpg""), "".jpg"", """"), ""-"", "", ""), """")"),"")</f>
        <v/>
      </c>
      <c r="L13887" s="12"/>
      <c r="M13887" s="13"/>
      <c r="N13887" s="2"/>
      <c r="O13887" s="20"/>
      <c r="P13887" s="42"/>
      <c r="R13887" s="23"/>
    </row>
    <row r="13888" spans="1:18" ht="12.75">
      <c r="A13888" s="12"/>
      <c r="D13888" s="12"/>
      <c r="E13888" s="12"/>
      <c r="H13888" s="11" t="str">
        <f ca="1">IFERROR(__xludf.DUMMYFUNCTION("IFERROR(SUBSTITUTE(SUBSTITUTE(REGEXEXTRACT(A13888, ""[^-]+- [^-]+- [^-]+ - (.+?)\.jpg""), "".jpg"", """"), ""-"", "", ""), """")"),"")</f>
        <v/>
      </c>
      <c r="L13888" s="12"/>
      <c r="M13888" s="13"/>
      <c r="N13888" s="2"/>
      <c r="O13888" s="20"/>
      <c r="P13888" s="42"/>
      <c r="R13888" s="23"/>
    </row>
    <row r="13889" spans="1:18" ht="12.75">
      <c r="A13889" s="12"/>
      <c r="D13889" s="12"/>
      <c r="E13889" s="12"/>
      <c r="H13889" s="11" t="str">
        <f ca="1">IFERROR(__xludf.DUMMYFUNCTION("IFERROR(SUBSTITUTE(SUBSTITUTE(REGEXEXTRACT(A13889, ""[^-]+- [^-]+- [^-]+ - (.+?)\.jpg""), "".jpg"", """"), ""-"", "", ""), """")"),"")</f>
        <v/>
      </c>
      <c r="L13889" s="12"/>
      <c r="M13889" s="13"/>
      <c r="N13889" s="2"/>
      <c r="O13889" s="20"/>
      <c r="P13889" s="42"/>
      <c r="R13889" s="23"/>
    </row>
    <row r="13890" spans="1:18" ht="12.75">
      <c r="A13890" s="12"/>
      <c r="D13890" s="12"/>
      <c r="E13890" s="12"/>
      <c r="H13890" s="11" t="str">
        <f ca="1">IFERROR(__xludf.DUMMYFUNCTION("IFERROR(SUBSTITUTE(SUBSTITUTE(REGEXEXTRACT(A13890, ""[^-]+- [^-]+- [^-]+ - (.+?)\.jpg""), "".jpg"", """"), ""-"", "", ""), """")"),"")</f>
        <v/>
      </c>
      <c r="L13890" s="12"/>
      <c r="M13890" s="13"/>
      <c r="N13890" s="2"/>
      <c r="O13890" s="20"/>
      <c r="P13890" s="42"/>
      <c r="R13890" s="23"/>
    </row>
    <row r="13891" spans="1:18" ht="12.75">
      <c r="A13891" s="12"/>
      <c r="D13891" s="12"/>
      <c r="E13891" s="12"/>
      <c r="H13891" s="11" t="str">
        <f ca="1">IFERROR(__xludf.DUMMYFUNCTION("IFERROR(SUBSTITUTE(SUBSTITUTE(REGEXEXTRACT(A13891, ""[^-]+- [^-]+- [^-]+ - (.+?)\.jpg""), "".jpg"", """"), ""-"", "", ""), """")"),"")</f>
        <v/>
      </c>
      <c r="L13891" s="12"/>
      <c r="M13891" s="13"/>
      <c r="N13891" s="2"/>
      <c r="O13891" s="20"/>
      <c r="P13891" s="42"/>
      <c r="R13891" s="23"/>
    </row>
    <row r="13892" spans="1:18" ht="12.75">
      <c r="A13892" s="12"/>
      <c r="D13892" s="12"/>
      <c r="E13892" s="12"/>
      <c r="H13892" s="11" t="str">
        <f ca="1">IFERROR(__xludf.DUMMYFUNCTION("IFERROR(SUBSTITUTE(SUBSTITUTE(REGEXEXTRACT(A13892, ""[^-]+- [^-]+- [^-]+ - (.+?)\.jpg""), "".jpg"", """"), ""-"", "", ""), """")"),"")</f>
        <v/>
      </c>
      <c r="L13892" s="12"/>
      <c r="M13892" s="13"/>
      <c r="N13892" s="2"/>
      <c r="O13892" s="20"/>
      <c r="P13892" s="42"/>
      <c r="R13892" s="23"/>
    </row>
    <row r="13893" spans="1:18" ht="12.75">
      <c r="A13893" s="12"/>
      <c r="D13893" s="12"/>
      <c r="E13893" s="12"/>
      <c r="H13893" s="11" t="str">
        <f ca="1">IFERROR(__xludf.DUMMYFUNCTION("IFERROR(SUBSTITUTE(SUBSTITUTE(REGEXEXTRACT(A13893, ""[^-]+- [^-]+- [^-]+ - (.+?)\.jpg""), "".jpg"", """"), ""-"", "", ""), """")"),"")</f>
        <v/>
      </c>
      <c r="L13893" s="12"/>
      <c r="M13893" s="13"/>
      <c r="N13893" s="2"/>
      <c r="O13893" s="20"/>
      <c r="P13893" s="42"/>
      <c r="R13893" s="23"/>
    </row>
    <row r="13894" spans="1:18" ht="12.75">
      <c r="A13894" s="12"/>
      <c r="D13894" s="12"/>
      <c r="E13894" s="12"/>
      <c r="H13894" s="11" t="str">
        <f ca="1">IFERROR(__xludf.DUMMYFUNCTION("IFERROR(SUBSTITUTE(SUBSTITUTE(REGEXEXTRACT(A13894, ""[^-]+- [^-]+- [^-]+ - (.+?)\.jpg""), "".jpg"", """"), ""-"", "", ""), """")"),"")</f>
        <v/>
      </c>
      <c r="L13894" s="12"/>
      <c r="M13894" s="13"/>
      <c r="N13894" s="2"/>
      <c r="O13894" s="20"/>
      <c r="P13894" s="42"/>
      <c r="R13894" s="23"/>
    </row>
    <row r="13895" spans="1:18" ht="12.75">
      <c r="A13895" s="12"/>
      <c r="D13895" s="12"/>
      <c r="E13895" s="12"/>
      <c r="H13895" s="11" t="str">
        <f ca="1">IFERROR(__xludf.DUMMYFUNCTION("IFERROR(SUBSTITUTE(SUBSTITUTE(REGEXEXTRACT(A13895, ""[^-]+- [^-]+- [^-]+ - (.+?)\.jpg""), "".jpg"", """"), ""-"", "", ""), """")"),"")</f>
        <v/>
      </c>
      <c r="L13895" s="12"/>
      <c r="M13895" s="13"/>
      <c r="N13895" s="2"/>
      <c r="O13895" s="20"/>
      <c r="P13895" s="42"/>
      <c r="R13895" s="23"/>
    </row>
    <row r="13896" spans="1:18" ht="12.75">
      <c r="A13896" s="12"/>
      <c r="D13896" s="12"/>
      <c r="E13896" s="12"/>
      <c r="H13896" s="11" t="str">
        <f ca="1">IFERROR(__xludf.DUMMYFUNCTION("IFERROR(SUBSTITUTE(SUBSTITUTE(REGEXEXTRACT(A13896, ""[^-]+- [^-]+- [^-]+ - (.+?)\.jpg""), "".jpg"", """"), ""-"", "", ""), """")"),"")</f>
        <v/>
      </c>
      <c r="L13896" s="12"/>
      <c r="M13896" s="13"/>
      <c r="N13896" s="2"/>
      <c r="O13896" s="20"/>
      <c r="P13896" s="42"/>
      <c r="R13896" s="23"/>
    </row>
    <row r="13897" spans="1:18" ht="12.75">
      <c r="A13897" s="12"/>
      <c r="D13897" s="12"/>
      <c r="E13897" s="12"/>
      <c r="H13897" s="11" t="str">
        <f ca="1">IFERROR(__xludf.DUMMYFUNCTION("IFERROR(SUBSTITUTE(SUBSTITUTE(REGEXEXTRACT(A13897, ""[^-]+- [^-]+- [^-]+ - (.+?)\.jpg""), "".jpg"", """"), ""-"", "", ""), """")"),"")</f>
        <v/>
      </c>
      <c r="L13897" s="12"/>
      <c r="M13897" s="13"/>
      <c r="N13897" s="2"/>
      <c r="O13897" s="20"/>
      <c r="P13897" s="42"/>
      <c r="R13897" s="23"/>
    </row>
    <row r="13898" spans="1:18" ht="12.75">
      <c r="A13898" s="12"/>
      <c r="D13898" s="12"/>
      <c r="E13898" s="12"/>
      <c r="H13898" s="11" t="str">
        <f ca="1">IFERROR(__xludf.DUMMYFUNCTION("IFERROR(SUBSTITUTE(SUBSTITUTE(REGEXEXTRACT(A13898, ""[^-]+- [^-]+- [^-]+ - (.+?)\.jpg""), "".jpg"", """"), ""-"", "", ""), """")"),"")</f>
        <v/>
      </c>
      <c r="L13898" s="12"/>
      <c r="M13898" s="13"/>
      <c r="N13898" s="2"/>
      <c r="O13898" s="20"/>
      <c r="P13898" s="42"/>
      <c r="R13898" s="23"/>
    </row>
    <row r="13899" spans="1:18" ht="12.75">
      <c r="A13899" s="12"/>
      <c r="D13899" s="12"/>
      <c r="E13899" s="12"/>
      <c r="H13899" s="11" t="str">
        <f ca="1">IFERROR(__xludf.DUMMYFUNCTION("IFERROR(SUBSTITUTE(SUBSTITUTE(REGEXEXTRACT(A13899, ""[^-]+- [^-]+- [^-]+ - (.+?)\.jpg""), "".jpg"", """"), ""-"", "", ""), """")"),"")</f>
        <v/>
      </c>
      <c r="L13899" s="12"/>
      <c r="M13899" s="13"/>
      <c r="N13899" s="2"/>
      <c r="O13899" s="20"/>
      <c r="P13899" s="42"/>
      <c r="R13899" s="23"/>
    </row>
    <row r="13900" spans="1:18" ht="12.75">
      <c r="A13900" s="12"/>
      <c r="D13900" s="12"/>
      <c r="E13900" s="12"/>
      <c r="H13900" s="11" t="str">
        <f ca="1">IFERROR(__xludf.DUMMYFUNCTION("IFERROR(SUBSTITUTE(SUBSTITUTE(REGEXEXTRACT(A13900, ""[^-]+- [^-]+- [^-]+ - (.+?)\.jpg""), "".jpg"", """"), ""-"", "", ""), """")"),"")</f>
        <v/>
      </c>
      <c r="L13900" s="12"/>
      <c r="M13900" s="13"/>
      <c r="N13900" s="2"/>
      <c r="O13900" s="20"/>
      <c r="P13900" s="42"/>
      <c r="R13900" s="23"/>
    </row>
    <row r="13901" spans="1:18" ht="12.75">
      <c r="A13901" s="12"/>
      <c r="D13901" s="12"/>
      <c r="E13901" s="12"/>
      <c r="H13901" s="11" t="str">
        <f ca="1">IFERROR(__xludf.DUMMYFUNCTION("IFERROR(SUBSTITUTE(SUBSTITUTE(REGEXEXTRACT(A13901, ""[^-]+- [^-]+- [^-]+ - (.+?)\.jpg""), "".jpg"", """"), ""-"", "", ""), """")"),"")</f>
        <v/>
      </c>
      <c r="L13901" s="12"/>
      <c r="M13901" s="13"/>
      <c r="N13901" s="2"/>
      <c r="O13901" s="20"/>
      <c r="P13901" s="42"/>
      <c r="R13901" s="23"/>
    </row>
    <row r="13902" spans="1:18" ht="12.75">
      <c r="A13902" s="12"/>
      <c r="D13902" s="12"/>
      <c r="E13902" s="12"/>
      <c r="H13902" s="11" t="str">
        <f ca="1">IFERROR(__xludf.DUMMYFUNCTION("IFERROR(SUBSTITUTE(SUBSTITUTE(REGEXEXTRACT(A13902, ""[^-]+- [^-]+- [^-]+ - (.+?)\.jpg""), "".jpg"", """"), ""-"", "", ""), """")"),"")</f>
        <v/>
      </c>
      <c r="L13902" s="12"/>
      <c r="M13902" s="13"/>
      <c r="N13902" s="2"/>
      <c r="O13902" s="20"/>
      <c r="P13902" s="42"/>
      <c r="R13902" s="23"/>
    </row>
    <row r="13903" spans="1:18" ht="12.75">
      <c r="A13903" s="12"/>
      <c r="D13903" s="12"/>
      <c r="E13903" s="12"/>
      <c r="H13903" s="11" t="str">
        <f ca="1">IFERROR(__xludf.DUMMYFUNCTION("IFERROR(SUBSTITUTE(SUBSTITUTE(REGEXEXTRACT(A13903, ""[^-]+- [^-]+- [^-]+ - (.+?)\.jpg""), "".jpg"", """"), ""-"", "", ""), """")"),"")</f>
        <v/>
      </c>
      <c r="L13903" s="12"/>
      <c r="M13903" s="13"/>
      <c r="N13903" s="2"/>
      <c r="O13903" s="20"/>
      <c r="P13903" s="42"/>
      <c r="R13903" s="23"/>
    </row>
    <row r="13904" spans="1:18" ht="12.75">
      <c r="A13904" s="12"/>
      <c r="D13904" s="12"/>
      <c r="E13904" s="12"/>
      <c r="H13904" s="11" t="str">
        <f ca="1">IFERROR(__xludf.DUMMYFUNCTION("IFERROR(SUBSTITUTE(SUBSTITUTE(REGEXEXTRACT(A13904, ""[^-]+- [^-]+- [^-]+ - (.+?)\.jpg""), "".jpg"", """"), ""-"", "", ""), """")"),"")</f>
        <v/>
      </c>
      <c r="L13904" s="12"/>
      <c r="M13904" s="13"/>
      <c r="N13904" s="2"/>
      <c r="O13904" s="20"/>
      <c r="P13904" s="42"/>
      <c r="R13904" s="23"/>
    </row>
    <row r="13905" spans="1:18" ht="12.75">
      <c r="A13905" s="12"/>
      <c r="D13905" s="12"/>
      <c r="E13905" s="12"/>
      <c r="H13905" s="11" t="str">
        <f ca="1">IFERROR(__xludf.DUMMYFUNCTION("IFERROR(SUBSTITUTE(SUBSTITUTE(REGEXEXTRACT(A13905, ""[^-]+- [^-]+- [^-]+ - (.+?)\.jpg""), "".jpg"", """"), ""-"", "", ""), """")"),"")</f>
        <v/>
      </c>
      <c r="L13905" s="12"/>
      <c r="M13905" s="13"/>
      <c r="N13905" s="2"/>
      <c r="O13905" s="20"/>
      <c r="P13905" s="42"/>
      <c r="R13905" s="23"/>
    </row>
    <row r="13906" spans="1:18" ht="12.75">
      <c r="A13906" s="12"/>
      <c r="D13906" s="12"/>
      <c r="E13906" s="12"/>
      <c r="H13906" s="11" t="str">
        <f ca="1">IFERROR(__xludf.DUMMYFUNCTION("IFERROR(SUBSTITUTE(SUBSTITUTE(REGEXEXTRACT(A13906, ""[^-]+- [^-]+- [^-]+ - (.+?)\.jpg""), "".jpg"", """"), ""-"", "", ""), """")"),"")</f>
        <v/>
      </c>
      <c r="L13906" s="12"/>
      <c r="M13906" s="13"/>
      <c r="N13906" s="2"/>
      <c r="O13906" s="20"/>
      <c r="P13906" s="42"/>
      <c r="R13906" s="23"/>
    </row>
    <row r="13907" spans="1:18" ht="12.75">
      <c r="A13907" s="12"/>
      <c r="D13907" s="12"/>
      <c r="E13907" s="12"/>
      <c r="H13907" s="11" t="str">
        <f ca="1">IFERROR(__xludf.DUMMYFUNCTION("IFERROR(SUBSTITUTE(SUBSTITUTE(REGEXEXTRACT(A13907, ""[^-]+- [^-]+- [^-]+ - (.+?)\.jpg""), "".jpg"", """"), ""-"", "", ""), """")"),"")</f>
        <v/>
      </c>
      <c r="L13907" s="12"/>
      <c r="M13907" s="13"/>
      <c r="N13907" s="2"/>
      <c r="O13907" s="20"/>
      <c r="P13907" s="42"/>
      <c r="R13907" s="23"/>
    </row>
    <row r="13908" spans="1:18" ht="12.75">
      <c r="A13908" s="12"/>
      <c r="D13908" s="12"/>
      <c r="E13908" s="12"/>
      <c r="H13908" s="11" t="str">
        <f ca="1">IFERROR(__xludf.DUMMYFUNCTION("IFERROR(SUBSTITUTE(SUBSTITUTE(REGEXEXTRACT(A13908, ""[^-]+- [^-]+- [^-]+ - (.+?)\.jpg""), "".jpg"", """"), ""-"", "", ""), """")"),"")</f>
        <v/>
      </c>
      <c r="L13908" s="12"/>
      <c r="M13908" s="13"/>
      <c r="N13908" s="2"/>
      <c r="O13908" s="20"/>
      <c r="P13908" s="42"/>
      <c r="R13908" s="23"/>
    </row>
    <row r="13909" spans="1:18" ht="12.75">
      <c r="A13909" s="12"/>
      <c r="D13909" s="12"/>
      <c r="E13909" s="12"/>
      <c r="H13909" s="11" t="str">
        <f ca="1">IFERROR(__xludf.DUMMYFUNCTION("IFERROR(SUBSTITUTE(SUBSTITUTE(REGEXEXTRACT(A13909, ""[^-]+- [^-]+- [^-]+ - (.+?)\.jpg""), "".jpg"", """"), ""-"", "", ""), """")"),"")</f>
        <v/>
      </c>
      <c r="L13909" s="12"/>
      <c r="M13909" s="13"/>
      <c r="N13909" s="2"/>
      <c r="O13909" s="20"/>
      <c r="P13909" s="42"/>
      <c r="R13909" s="23"/>
    </row>
    <row r="13910" spans="1:18" ht="12.75">
      <c r="A13910" s="12"/>
      <c r="D13910" s="12"/>
      <c r="E13910" s="12"/>
      <c r="H13910" s="11" t="str">
        <f ca="1">IFERROR(__xludf.DUMMYFUNCTION("IFERROR(SUBSTITUTE(SUBSTITUTE(REGEXEXTRACT(A13910, ""[^-]+- [^-]+- [^-]+ - (.+?)\.jpg""), "".jpg"", """"), ""-"", "", ""), """")"),"")</f>
        <v/>
      </c>
      <c r="L13910" s="12"/>
      <c r="M13910" s="13"/>
      <c r="N13910" s="2"/>
      <c r="O13910" s="20"/>
      <c r="P13910" s="42"/>
      <c r="R13910" s="23"/>
    </row>
    <row r="13911" spans="1:18" ht="12.75">
      <c r="A13911" s="12"/>
      <c r="D13911" s="12"/>
      <c r="E13911" s="12"/>
      <c r="H13911" s="11" t="str">
        <f ca="1">IFERROR(__xludf.DUMMYFUNCTION("IFERROR(SUBSTITUTE(SUBSTITUTE(REGEXEXTRACT(A13911, ""[^-]+- [^-]+- [^-]+ - (.+?)\.jpg""), "".jpg"", """"), ""-"", "", ""), """")"),"")</f>
        <v/>
      </c>
      <c r="L13911" s="12"/>
      <c r="M13911" s="13"/>
      <c r="N13911" s="2"/>
      <c r="O13911" s="20"/>
      <c r="P13911" s="42"/>
      <c r="R13911" s="23"/>
    </row>
    <row r="13912" spans="1:18" ht="12.75">
      <c r="A13912" s="12"/>
      <c r="D13912" s="12"/>
      <c r="E13912" s="12"/>
      <c r="H13912" s="11" t="str">
        <f ca="1">IFERROR(__xludf.DUMMYFUNCTION("IFERROR(SUBSTITUTE(SUBSTITUTE(REGEXEXTRACT(A13912, ""[^-]+- [^-]+- [^-]+ - (.+?)\.jpg""), "".jpg"", """"), ""-"", "", ""), """")"),"")</f>
        <v/>
      </c>
      <c r="L13912" s="12"/>
      <c r="M13912" s="13"/>
      <c r="N13912" s="2"/>
      <c r="O13912" s="20"/>
      <c r="P13912" s="42"/>
      <c r="R13912" s="23"/>
    </row>
    <row r="13913" spans="1:18" ht="12.75">
      <c r="A13913" s="12"/>
      <c r="D13913" s="12"/>
      <c r="E13913" s="12"/>
      <c r="H13913" s="11" t="str">
        <f ca="1">IFERROR(__xludf.DUMMYFUNCTION("IFERROR(SUBSTITUTE(SUBSTITUTE(REGEXEXTRACT(A13913, ""[^-]+- [^-]+- [^-]+ - (.+?)\.jpg""), "".jpg"", """"), ""-"", "", ""), """")"),"")</f>
        <v/>
      </c>
      <c r="L13913" s="12"/>
      <c r="M13913" s="13"/>
      <c r="N13913" s="2"/>
      <c r="O13913" s="20"/>
      <c r="P13913" s="42"/>
      <c r="R13913" s="23"/>
    </row>
    <row r="13914" spans="1:18" ht="12.75">
      <c r="A13914" s="12"/>
      <c r="D13914" s="12"/>
      <c r="E13914" s="12"/>
      <c r="H13914" s="11" t="str">
        <f ca="1">IFERROR(__xludf.DUMMYFUNCTION("IFERROR(SUBSTITUTE(SUBSTITUTE(REGEXEXTRACT(A13914, ""[^-]+- [^-]+- [^-]+ - (.+?)\.jpg""), "".jpg"", """"), ""-"", "", ""), """")"),"")</f>
        <v/>
      </c>
      <c r="L13914" s="12"/>
      <c r="M13914" s="13"/>
      <c r="N13914" s="2"/>
      <c r="O13914" s="20"/>
      <c r="P13914" s="42"/>
      <c r="R13914" s="23"/>
    </row>
    <row r="13915" spans="1:18" ht="12.75">
      <c r="A13915" s="12"/>
      <c r="D13915" s="12"/>
      <c r="E13915" s="12"/>
      <c r="H13915" s="11" t="str">
        <f ca="1">IFERROR(__xludf.DUMMYFUNCTION("IFERROR(SUBSTITUTE(SUBSTITUTE(REGEXEXTRACT(A13915, ""[^-]+- [^-]+- [^-]+ - (.+?)\.jpg""), "".jpg"", """"), ""-"", "", ""), """")"),"")</f>
        <v/>
      </c>
      <c r="L13915" s="12"/>
      <c r="M13915" s="13"/>
      <c r="N13915" s="2"/>
      <c r="O13915" s="20"/>
      <c r="P13915" s="42"/>
      <c r="R13915" s="23"/>
    </row>
    <row r="13916" spans="1:18" ht="12.75">
      <c r="A13916" s="12"/>
      <c r="D13916" s="12"/>
      <c r="E13916" s="12"/>
      <c r="H13916" s="11" t="str">
        <f ca="1">IFERROR(__xludf.DUMMYFUNCTION("IFERROR(SUBSTITUTE(SUBSTITUTE(REGEXEXTRACT(A13916, ""[^-]+- [^-]+- [^-]+ - (.+?)\.jpg""), "".jpg"", """"), ""-"", "", ""), """")"),"")</f>
        <v/>
      </c>
      <c r="L13916" s="12"/>
      <c r="M13916" s="13"/>
      <c r="N13916" s="2"/>
      <c r="O13916" s="20"/>
      <c r="P13916" s="42"/>
      <c r="R13916" s="23"/>
    </row>
    <row r="13917" spans="1:18" ht="12.75">
      <c r="A13917" s="12"/>
      <c r="D13917" s="12"/>
      <c r="E13917" s="12"/>
      <c r="H13917" s="11" t="str">
        <f ca="1">IFERROR(__xludf.DUMMYFUNCTION("IFERROR(SUBSTITUTE(SUBSTITUTE(REGEXEXTRACT(A13917, ""[^-]+- [^-]+- [^-]+ - (.+?)\.jpg""), "".jpg"", """"), ""-"", "", ""), """")"),"")</f>
        <v/>
      </c>
      <c r="L13917" s="12"/>
      <c r="M13917" s="13"/>
      <c r="N13917" s="2"/>
      <c r="O13917" s="20"/>
      <c r="P13917" s="42"/>
      <c r="R13917" s="23"/>
    </row>
    <row r="13918" spans="1:18" ht="12.75">
      <c r="A13918" s="12"/>
      <c r="D13918" s="12"/>
      <c r="E13918" s="12"/>
      <c r="H13918" s="11" t="str">
        <f ca="1">IFERROR(__xludf.DUMMYFUNCTION("IFERROR(SUBSTITUTE(SUBSTITUTE(REGEXEXTRACT(A13918, ""[^-]+- [^-]+- [^-]+ - (.+?)\.jpg""), "".jpg"", """"), ""-"", "", ""), """")"),"")</f>
        <v/>
      </c>
      <c r="L13918" s="12"/>
      <c r="M13918" s="13"/>
      <c r="N13918" s="2"/>
      <c r="O13918" s="20"/>
      <c r="P13918" s="42"/>
      <c r="R13918" s="23"/>
    </row>
    <row r="13919" spans="1:18" ht="12.75">
      <c r="A13919" s="12"/>
      <c r="D13919" s="12"/>
      <c r="E13919" s="12"/>
      <c r="H13919" s="11" t="str">
        <f ca="1">IFERROR(__xludf.DUMMYFUNCTION("IFERROR(SUBSTITUTE(SUBSTITUTE(REGEXEXTRACT(A13919, ""[^-]+- [^-]+- [^-]+ - (.+?)\.jpg""), "".jpg"", """"), ""-"", "", ""), """")"),"")</f>
        <v/>
      </c>
      <c r="L13919" s="12"/>
      <c r="M13919" s="13"/>
      <c r="N13919" s="2"/>
      <c r="O13919" s="20"/>
      <c r="P13919" s="42"/>
      <c r="R13919" s="23"/>
    </row>
    <row r="13920" spans="1:18" ht="12.75">
      <c r="A13920" s="12"/>
      <c r="D13920" s="12"/>
      <c r="E13920" s="12"/>
      <c r="H13920" s="11" t="str">
        <f ca="1">IFERROR(__xludf.DUMMYFUNCTION("IFERROR(SUBSTITUTE(SUBSTITUTE(REGEXEXTRACT(A13920, ""[^-]+- [^-]+- [^-]+ - (.+?)\.jpg""), "".jpg"", """"), ""-"", "", ""), """")"),"")</f>
        <v/>
      </c>
      <c r="L13920" s="12"/>
      <c r="M13920" s="13"/>
      <c r="N13920" s="2"/>
      <c r="O13920" s="20"/>
      <c r="P13920" s="42"/>
      <c r="R13920" s="23"/>
    </row>
    <row r="13921" spans="1:18" ht="12.75">
      <c r="A13921" s="12"/>
      <c r="D13921" s="12"/>
      <c r="E13921" s="12"/>
      <c r="H13921" s="11" t="str">
        <f ca="1">IFERROR(__xludf.DUMMYFUNCTION("IFERROR(SUBSTITUTE(SUBSTITUTE(REGEXEXTRACT(A13921, ""[^-]+- [^-]+- [^-]+ - (.+?)\.jpg""), "".jpg"", """"), ""-"", "", ""), """")"),"")</f>
        <v/>
      </c>
      <c r="L13921" s="12"/>
      <c r="M13921" s="13"/>
      <c r="N13921" s="2"/>
      <c r="O13921" s="20"/>
      <c r="P13921" s="42"/>
      <c r="R13921" s="23"/>
    </row>
    <row r="13922" spans="1:18" ht="12.75">
      <c r="A13922" s="12"/>
      <c r="D13922" s="12"/>
      <c r="E13922" s="12"/>
      <c r="H13922" s="11" t="str">
        <f ca="1">IFERROR(__xludf.DUMMYFUNCTION("IFERROR(SUBSTITUTE(SUBSTITUTE(REGEXEXTRACT(A13922, ""[^-]+- [^-]+- [^-]+ - (.+?)\.jpg""), "".jpg"", """"), ""-"", "", ""), """")"),"")</f>
        <v/>
      </c>
      <c r="L13922" s="12"/>
      <c r="M13922" s="13"/>
      <c r="N13922" s="2"/>
      <c r="O13922" s="20"/>
      <c r="P13922" s="42"/>
      <c r="R13922" s="23"/>
    </row>
    <row r="13923" spans="1:18" ht="12.75">
      <c r="A13923" s="12"/>
      <c r="D13923" s="12"/>
      <c r="E13923" s="12"/>
      <c r="H13923" s="11" t="str">
        <f ca="1">IFERROR(__xludf.DUMMYFUNCTION("IFERROR(SUBSTITUTE(SUBSTITUTE(REGEXEXTRACT(A13923, ""[^-]+- [^-]+- [^-]+ - (.+?)\.jpg""), "".jpg"", """"), ""-"", "", ""), """")"),"")</f>
        <v/>
      </c>
      <c r="L13923" s="12"/>
      <c r="M13923" s="13"/>
      <c r="N13923" s="2"/>
      <c r="O13923" s="20"/>
      <c r="P13923" s="42"/>
      <c r="R13923" s="23"/>
    </row>
    <row r="13924" spans="1:18" ht="12.75">
      <c r="A13924" s="12"/>
      <c r="D13924" s="12"/>
      <c r="E13924" s="12"/>
      <c r="H13924" s="11" t="str">
        <f ca="1">IFERROR(__xludf.DUMMYFUNCTION("IFERROR(SUBSTITUTE(SUBSTITUTE(REGEXEXTRACT(A13924, ""[^-]+- [^-]+- [^-]+ - (.+?)\.jpg""), "".jpg"", """"), ""-"", "", ""), """")"),"")</f>
        <v/>
      </c>
      <c r="L13924" s="12"/>
      <c r="M13924" s="13"/>
      <c r="N13924" s="2"/>
      <c r="O13924" s="20"/>
      <c r="P13924" s="42"/>
      <c r="R13924" s="23"/>
    </row>
    <row r="13925" spans="1:18" ht="12.75">
      <c r="A13925" s="12"/>
      <c r="D13925" s="12"/>
      <c r="E13925" s="12"/>
      <c r="H13925" s="11" t="str">
        <f ca="1">IFERROR(__xludf.DUMMYFUNCTION("IFERROR(SUBSTITUTE(SUBSTITUTE(REGEXEXTRACT(A13925, ""[^-]+- [^-]+- [^-]+ - (.+?)\.jpg""), "".jpg"", """"), ""-"", "", ""), """")"),"")</f>
        <v/>
      </c>
      <c r="L13925" s="12"/>
      <c r="M13925" s="13"/>
      <c r="N13925" s="2"/>
      <c r="O13925" s="20"/>
      <c r="P13925" s="42"/>
      <c r="R13925" s="23"/>
    </row>
    <row r="13926" spans="1:18" ht="12.75">
      <c r="A13926" s="12"/>
      <c r="D13926" s="12"/>
      <c r="E13926" s="12"/>
      <c r="H13926" s="11" t="str">
        <f ca="1">IFERROR(__xludf.DUMMYFUNCTION("IFERROR(SUBSTITUTE(SUBSTITUTE(REGEXEXTRACT(A13926, ""[^-]+- [^-]+- [^-]+ - (.+?)\.jpg""), "".jpg"", """"), ""-"", "", ""), """")"),"")</f>
        <v/>
      </c>
      <c r="L13926" s="12"/>
      <c r="M13926" s="13"/>
      <c r="N13926" s="2"/>
      <c r="O13926" s="20"/>
      <c r="P13926" s="42"/>
      <c r="R13926" s="23"/>
    </row>
    <row r="13927" spans="1:18" ht="12.75">
      <c r="A13927" s="12"/>
      <c r="D13927" s="12"/>
      <c r="E13927" s="12"/>
      <c r="H13927" s="11" t="str">
        <f ca="1">IFERROR(__xludf.DUMMYFUNCTION("IFERROR(SUBSTITUTE(SUBSTITUTE(REGEXEXTRACT(A13927, ""[^-]+- [^-]+- [^-]+ - (.+?)\.jpg""), "".jpg"", """"), ""-"", "", ""), """")"),"")</f>
        <v/>
      </c>
      <c r="L13927" s="12"/>
      <c r="M13927" s="13"/>
      <c r="N13927" s="2"/>
      <c r="O13927" s="20"/>
      <c r="P13927" s="42"/>
      <c r="R13927" s="23"/>
    </row>
    <row r="13928" spans="1:18" ht="12.75">
      <c r="A13928" s="12"/>
      <c r="D13928" s="12"/>
      <c r="E13928" s="12"/>
      <c r="H13928" s="11" t="str">
        <f ca="1">IFERROR(__xludf.DUMMYFUNCTION("IFERROR(SUBSTITUTE(SUBSTITUTE(REGEXEXTRACT(A13928, ""[^-]+- [^-]+- [^-]+ - (.+?)\.jpg""), "".jpg"", """"), ""-"", "", ""), """")"),"")</f>
        <v/>
      </c>
      <c r="L13928" s="12"/>
      <c r="M13928" s="13"/>
      <c r="N13928" s="2"/>
      <c r="O13928" s="20"/>
      <c r="P13928" s="42"/>
      <c r="R13928" s="23"/>
    </row>
    <row r="13929" spans="1:18" ht="12.75">
      <c r="A13929" s="12"/>
      <c r="D13929" s="12"/>
      <c r="E13929" s="12"/>
      <c r="H13929" s="11" t="str">
        <f ca="1">IFERROR(__xludf.DUMMYFUNCTION("IFERROR(SUBSTITUTE(SUBSTITUTE(REGEXEXTRACT(A13929, ""[^-]+- [^-]+- [^-]+ - (.+?)\.jpg""), "".jpg"", """"), ""-"", "", ""), """")"),"")</f>
        <v/>
      </c>
      <c r="L13929" s="12"/>
      <c r="M13929" s="13"/>
      <c r="N13929" s="2"/>
      <c r="O13929" s="20"/>
      <c r="P13929" s="42"/>
      <c r="R13929" s="23"/>
    </row>
    <row r="13930" spans="1:18" ht="12.75">
      <c r="A13930" s="12"/>
      <c r="D13930" s="12"/>
      <c r="E13930" s="12"/>
      <c r="H13930" s="11" t="str">
        <f ca="1">IFERROR(__xludf.DUMMYFUNCTION("IFERROR(SUBSTITUTE(SUBSTITUTE(REGEXEXTRACT(A13930, ""[^-]+- [^-]+- [^-]+ - (.+?)\.jpg""), "".jpg"", """"), ""-"", "", ""), """")"),"")</f>
        <v/>
      </c>
      <c r="L13930" s="12"/>
      <c r="M13930" s="13"/>
      <c r="N13930" s="2"/>
      <c r="O13930" s="20"/>
      <c r="P13930" s="42"/>
      <c r="R13930" s="23"/>
    </row>
    <row r="13931" spans="1:18" ht="12.75">
      <c r="A13931" s="12"/>
      <c r="D13931" s="12"/>
      <c r="E13931" s="12"/>
      <c r="H13931" s="11" t="str">
        <f ca="1">IFERROR(__xludf.DUMMYFUNCTION("IFERROR(SUBSTITUTE(SUBSTITUTE(REGEXEXTRACT(A13931, ""[^-]+- [^-]+- [^-]+ - (.+?)\.jpg""), "".jpg"", """"), ""-"", "", ""), """")"),"")</f>
        <v/>
      </c>
      <c r="L13931" s="12"/>
      <c r="M13931" s="13"/>
      <c r="N13931" s="2"/>
      <c r="O13931" s="20"/>
      <c r="P13931" s="42"/>
      <c r="R13931" s="23"/>
    </row>
    <row r="13932" spans="1:18" ht="12.75">
      <c r="A13932" s="12"/>
      <c r="D13932" s="12"/>
      <c r="E13932" s="12"/>
      <c r="H13932" s="11" t="str">
        <f ca="1">IFERROR(__xludf.DUMMYFUNCTION("IFERROR(SUBSTITUTE(SUBSTITUTE(REGEXEXTRACT(A13932, ""[^-]+- [^-]+- [^-]+ - (.+?)\.jpg""), "".jpg"", """"), ""-"", "", ""), """")"),"")</f>
        <v/>
      </c>
      <c r="L13932" s="12"/>
      <c r="M13932" s="13"/>
      <c r="N13932" s="2"/>
      <c r="O13932" s="20"/>
      <c r="P13932" s="42"/>
      <c r="R13932" s="23"/>
    </row>
    <row r="13933" spans="1:18" ht="12.75">
      <c r="A13933" s="12"/>
      <c r="D13933" s="12"/>
      <c r="E13933" s="12"/>
      <c r="H13933" s="11" t="str">
        <f ca="1">IFERROR(__xludf.DUMMYFUNCTION("IFERROR(SUBSTITUTE(SUBSTITUTE(REGEXEXTRACT(A13933, ""[^-]+- [^-]+- [^-]+ - (.+?)\.jpg""), "".jpg"", """"), ""-"", "", ""), """")"),"")</f>
        <v/>
      </c>
      <c r="L13933" s="12"/>
      <c r="M13933" s="13"/>
      <c r="N13933" s="2"/>
      <c r="O13933" s="20"/>
      <c r="P13933" s="42"/>
      <c r="R13933" s="23"/>
    </row>
    <row r="13934" spans="1:18" ht="12.75">
      <c r="A13934" s="12"/>
      <c r="D13934" s="12"/>
      <c r="E13934" s="12"/>
      <c r="H13934" s="11" t="str">
        <f ca="1">IFERROR(__xludf.DUMMYFUNCTION("IFERROR(SUBSTITUTE(SUBSTITUTE(REGEXEXTRACT(A13934, ""[^-]+- [^-]+- [^-]+ - (.+?)\.jpg""), "".jpg"", """"), ""-"", "", ""), """")"),"")</f>
        <v/>
      </c>
      <c r="L13934" s="12"/>
      <c r="M13934" s="13"/>
      <c r="N13934" s="2"/>
      <c r="O13934" s="20"/>
      <c r="P13934" s="42"/>
      <c r="R13934" s="23"/>
    </row>
    <row r="13935" spans="1:18" ht="12.75">
      <c r="A13935" s="12"/>
      <c r="D13935" s="12"/>
      <c r="E13935" s="12"/>
      <c r="H13935" s="11" t="str">
        <f ca="1">IFERROR(__xludf.DUMMYFUNCTION("IFERROR(SUBSTITUTE(SUBSTITUTE(REGEXEXTRACT(A13935, ""[^-]+- [^-]+- [^-]+ - (.+?)\.jpg""), "".jpg"", """"), ""-"", "", ""), """")"),"")</f>
        <v/>
      </c>
      <c r="L13935" s="12"/>
      <c r="M13935" s="13"/>
      <c r="N13935" s="2"/>
      <c r="O13935" s="20"/>
      <c r="P13935" s="42"/>
      <c r="R13935" s="23"/>
    </row>
    <row r="13936" spans="1:18" ht="12.75">
      <c r="A13936" s="12"/>
      <c r="D13936" s="12"/>
      <c r="E13936" s="12"/>
      <c r="H13936" s="11" t="str">
        <f ca="1">IFERROR(__xludf.DUMMYFUNCTION("IFERROR(SUBSTITUTE(SUBSTITUTE(REGEXEXTRACT(A13936, ""[^-]+- [^-]+- [^-]+ - (.+?)\.jpg""), "".jpg"", """"), ""-"", "", ""), """")"),"")</f>
        <v/>
      </c>
      <c r="L13936" s="12"/>
      <c r="M13936" s="13"/>
      <c r="N13936" s="2"/>
      <c r="O13936" s="20"/>
      <c r="P13936" s="42"/>
      <c r="R13936" s="23"/>
    </row>
    <row r="13937" spans="1:18" ht="12.75">
      <c r="A13937" s="12"/>
      <c r="D13937" s="12"/>
      <c r="E13937" s="12"/>
      <c r="H13937" s="11" t="str">
        <f ca="1">IFERROR(__xludf.DUMMYFUNCTION("IFERROR(SUBSTITUTE(SUBSTITUTE(REGEXEXTRACT(A13937, ""[^-]+- [^-]+- [^-]+ - (.+?)\.jpg""), "".jpg"", """"), ""-"", "", ""), """")"),"")</f>
        <v/>
      </c>
      <c r="L13937" s="12"/>
      <c r="M13937" s="13"/>
      <c r="N13937" s="2"/>
      <c r="O13937" s="20"/>
      <c r="P13937" s="42"/>
      <c r="R13937" s="23"/>
    </row>
    <row r="13938" spans="1:18" ht="12.75">
      <c r="A13938" s="12"/>
      <c r="D13938" s="12"/>
      <c r="E13938" s="12"/>
      <c r="H13938" s="11" t="str">
        <f ca="1">IFERROR(__xludf.DUMMYFUNCTION("IFERROR(SUBSTITUTE(SUBSTITUTE(REGEXEXTRACT(A13938, ""[^-]+- [^-]+- [^-]+ - (.+?)\.jpg""), "".jpg"", """"), ""-"", "", ""), """")"),"")</f>
        <v/>
      </c>
      <c r="L13938" s="12"/>
      <c r="M13938" s="13"/>
      <c r="N13938" s="2"/>
      <c r="O13938" s="20"/>
      <c r="P13938" s="42"/>
      <c r="R13938" s="23"/>
    </row>
    <row r="13939" spans="1:18" ht="12.75">
      <c r="A13939" s="12"/>
      <c r="D13939" s="12"/>
      <c r="E13939" s="12"/>
      <c r="H13939" s="11" t="str">
        <f ca="1">IFERROR(__xludf.DUMMYFUNCTION("IFERROR(SUBSTITUTE(SUBSTITUTE(REGEXEXTRACT(A13939, ""[^-]+- [^-]+- [^-]+ - (.+?)\.jpg""), "".jpg"", """"), ""-"", "", ""), """")"),"")</f>
        <v/>
      </c>
      <c r="L13939" s="12"/>
      <c r="M13939" s="13"/>
      <c r="N13939" s="2"/>
      <c r="O13939" s="20"/>
      <c r="P13939" s="42"/>
      <c r="R13939" s="23"/>
    </row>
    <row r="13940" spans="1:18" ht="12.75">
      <c r="A13940" s="12"/>
      <c r="D13940" s="12"/>
      <c r="E13940" s="12"/>
      <c r="H13940" s="11" t="str">
        <f ca="1">IFERROR(__xludf.DUMMYFUNCTION("IFERROR(SUBSTITUTE(SUBSTITUTE(REGEXEXTRACT(A13940, ""[^-]+- [^-]+- [^-]+ - (.+?)\.jpg""), "".jpg"", """"), ""-"", "", ""), """")"),"")</f>
        <v/>
      </c>
      <c r="L13940" s="12"/>
      <c r="M13940" s="13"/>
      <c r="N13940" s="2"/>
      <c r="O13940" s="20"/>
      <c r="P13940" s="42"/>
      <c r="R13940" s="23"/>
    </row>
    <row r="13941" spans="1:18" ht="12.75">
      <c r="A13941" s="12"/>
      <c r="D13941" s="12"/>
      <c r="E13941" s="12"/>
      <c r="H13941" s="11" t="str">
        <f ca="1">IFERROR(__xludf.DUMMYFUNCTION("IFERROR(SUBSTITUTE(SUBSTITUTE(REGEXEXTRACT(A13941, ""[^-]+- [^-]+- [^-]+ - (.+?)\.jpg""), "".jpg"", """"), ""-"", "", ""), """")"),"")</f>
        <v/>
      </c>
      <c r="L13941" s="12"/>
      <c r="M13941" s="13"/>
      <c r="N13941" s="2"/>
      <c r="O13941" s="20"/>
      <c r="P13941" s="42"/>
      <c r="R13941" s="23"/>
    </row>
    <row r="13942" spans="1:18" ht="12.75">
      <c r="A13942" s="12"/>
      <c r="D13942" s="12"/>
      <c r="E13942" s="12"/>
      <c r="H13942" s="11" t="str">
        <f ca="1">IFERROR(__xludf.DUMMYFUNCTION("IFERROR(SUBSTITUTE(SUBSTITUTE(REGEXEXTRACT(A13942, ""[^-]+- [^-]+- [^-]+ - (.+?)\.jpg""), "".jpg"", """"), ""-"", "", ""), """")"),"")</f>
        <v/>
      </c>
      <c r="L13942" s="12"/>
      <c r="M13942" s="13"/>
      <c r="N13942" s="2"/>
      <c r="O13942" s="20"/>
      <c r="P13942" s="42"/>
      <c r="R13942" s="23"/>
    </row>
    <row r="13943" spans="1:18" ht="12.75">
      <c r="A13943" s="12"/>
      <c r="D13943" s="12"/>
      <c r="E13943" s="12"/>
      <c r="H13943" s="11" t="str">
        <f ca="1">IFERROR(__xludf.DUMMYFUNCTION("IFERROR(SUBSTITUTE(SUBSTITUTE(REGEXEXTRACT(A13943, ""[^-]+- [^-]+- [^-]+ - (.+?)\.jpg""), "".jpg"", """"), ""-"", "", ""), """")"),"")</f>
        <v/>
      </c>
      <c r="L13943" s="12"/>
      <c r="M13943" s="13"/>
      <c r="N13943" s="2"/>
      <c r="O13943" s="20"/>
      <c r="P13943" s="42"/>
      <c r="R13943" s="23"/>
    </row>
    <row r="13944" spans="1:18" ht="12.75">
      <c r="A13944" s="12"/>
      <c r="D13944" s="12"/>
      <c r="E13944" s="12"/>
      <c r="H13944" s="11" t="str">
        <f ca="1">IFERROR(__xludf.DUMMYFUNCTION("IFERROR(SUBSTITUTE(SUBSTITUTE(REGEXEXTRACT(A13944, ""[^-]+- [^-]+- [^-]+ - (.+?)\.jpg""), "".jpg"", """"), ""-"", "", ""), """")"),"")</f>
        <v/>
      </c>
      <c r="L13944" s="12"/>
      <c r="M13944" s="13"/>
      <c r="N13944" s="2"/>
      <c r="O13944" s="20"/>
      <c r="P13944" s="42"/>
      <c r="R13944" s="23"/>
    </row>
    <row r="13945" spans="1:18" ht="12.75">
      <c r="A13945" s="12"/>
      <c r="D13945" s="12"/>
      <c r="E13945" s="12"/>
      <c r="H13945" s="11" t="str">
        <f ca="1">IFERROR(__xludf.DUMMYFUNCTION("IFERROR(SUBSTITUTE(SUBSTITUTE(REGEXEXTRACT(A13945, ""[^-]+- [^-]+- [^-]+ - (.+?)\.jpg""), "".jpg"", """"), ""-"", "", ""), """")"),"")</f>
        <v/>
      </c>
      <c r="L13945" s="12"/>
      <c r="M13945" s="13"/>
      <c r="N13945" s="2"/>
      <c r="O13945" s="20"/>
      <c r="P13945" s="42"/>
      <c r="R13945" s="23"/>
    </row>
    <row r="13946" spans="1:18" ht="12.75">
      <c r="A13946" s="12"/>
      <c r="D13946" s="12"/>
      <c r="E13946" s="12"/>
      <c r="H13946" s="11" t="str">
        <f ca="1">IFERROR(__xludf.DUMMYFUNCTION("IFERROR(SUBSTITUTE(SUBSTITUTE(REGEXEXTRACT(A13946, ""[^-]+- [^-]+- [^-]+ - (.+?)\.jpg""), "".jpg"", """"), ""-"", "", ""), """")"),"")</f>
        <v/>
      </c>
      <c r="L13946" s="12"/>
      <c r="M13946" s="13"/>
      <c r="N13946" s="2"/>
      <c r="O13946" s="20"/>
      <c r="P13946" s="42"/>
      <c r="R13946" s="23"/>
    </row>
    <row r="13947" spans="1:18" ht="12.75">
      <c r="A13947" s="12"/>
      <c r="D13947" s="12"/>
      <c r="E13947" s="12"/>
      <c r="H13947" s="11" t="str">
        <f ca="1">IFERROR(__xludf.DUMMYFUNCTION("IFERROR(SUBSTITUTE(SUBSTITUTE(REGEXEXTRACT(A13947, ""[^-]+- [^-]+- [^-]+ - (.+?)\.jpg""), "".jpg"", """"), ""-"", "", ""), """")"),"")</f>
        <v/>
      </c>
      <c r="L13947" s="12"/>
      <c r="M13947" s="13"/>
      <c r="N13947" s="2"/>
      <c r="O13947" s="20"/>
      <c r="P13947" s="42"/>
      <c r="R13947" s="23"/>
    </row>
    <row r="13948" spans="1:18" ht="12.75">
      <c r="A13948" s="12"/>
      <c r="D13948" s="12"/>
      <c r="E13948" s="12"/>
      <c r="H13948" s="11" t="str">
        <f ca="1">IFERROR(__xludf.DUMMYFUNCTION("IFERROR(SUBSTITUTE(SUBSTITUTE(REGEXEXTRACT(A13948, ""[^-]+- [^-]+- [^-]+ - (.+?)\.jpg""), "".jpg"", """"), ""-"", "", ""), """")"),"")</f>
        <v/>
      </c>
      <c r="L13948" s="12"/>
      <c r="M13948" s="13"/>
      <c r="N13948" s="2"/>
      <c r="O13948" s="20"/>
      <c r="P13948" s="42"/>
      <c r="R13948" s="23"/>
    </row>
    <row r="13949" spans="1:18" ht="12.75">
      <c r="A13949" s="12"/>
      <c r="D13949" s="12"/>
      <c r="E13949" s="12"/>
      <c r="H13949" s="11" t="str">
        <f ca="1">IFERROR(__xludf.DUMMYFUNCTION("IFERROR(SUBSTITUTE(SUBSTITUTE(REGEXEXTRACT(A13949, ""[^-]+- [^-]+- [^-]+ - (.+?)\.jpg""), "".jpg"", """"), ""-"", "", ""), """")"),"")</f>
        <v/>
      </c>
      <c r="L13949" s="12"/>
      <c r="M13949" s="13"/>
      <c r="N13949" s="2"/>
      <c r="O13949" s="20"/>
      <c r="P13949" s="42"/>
      <c r="R13949" s="23"/>
    </row>
    <row r="13950" spans="1:18" ht="12.75">
      <c r="A13950" s="12"/>
      <c r="D13950" s="12"/>
      <c r="E13950" s="12"/>
      <c r="H13950" s="11" t="str">
        <f ca="1">IFERROR(__xludf.DUMMYFUNCTION("IFERROR(SUBSTITUTE(SUBSTITUTE(REGEXEXTRACT(A13950, ""[^-]+- [^-]+- [^-]+ - (.+?)\.jpg""), "".jpg"", """"), ""-"", "", ""), """")"),"")</f>
        <v/>
      </c>
      <c r="L13950" s="12"/>
      <c r="M13950" s="13"/>
      <c r="N13950" s="2"/>
      <c r="O13950" s="20"/>
      <c r="P13950" s="42"/>
      <c r="R13950" s="23"/>
    </row>
    <row r="13951" spans="1:18" ht="12.75">
      <c r="A13951" s="12"/>
      <c r="D13951" s="12"/>
      <c r="E13951" s="12"/>
      <c r="H13951" s="11" t="str">
        <f ca="1">IFERROR(__xludf.DUMMYFUNCTION("IFERROR(SUBSTITUTE(SUBSTITUTE(REGEXEXTRACT(A13951, ""[^-]+- [^-]+- [^-]+ - (.+?)\.jpg""), "".jpg"", """"), ""-"", "", ""), """")"),"")</f>
        <v/>
      </c>
      <c r="L13951" s="12"/>
      <c r="M13951" s="13"/>
      <c r="N13951" s="2"/>
      <c r="O13951" s="20"/>
      <c r="P13951" s="42"/>
      <c r="R13951" s="23"/>
    </row>
    <row r="13952" spans="1:18" ht="12.75">
      <c r="A13952" s="12"/>
      <c r="D13952" s="12"/>
      <c r="E13952" s="12"/>
      <c r="H13952" s="11" t="str">
        <f ca="1">IFERROR(__xludf.DUMMYFUNCTION("IFERROR(SUBSTITUTE(SUBSTITUTE(REGEXEXTRACT(A13952, ""[^-]+- [^-]+- [^-]+ - (.+?)\.jpg""), "".jpg"", """"), ""-"", "", ""), """")"),"")</f>
        <v/>
      </c>
      <c r="L13952" s="12"/>
      <c r="M13952" s="13"/>
      <c r="N13952" s="2"/>
      <c r="O13952" s="20"/>
      <c r="P13952" s="42"/>
      <c r="R13952" s="23"/>
    </row>
    <row r="13953" spans="1:18" ht="12.75">
      <c r="A13953" s="12"/>
      <c r="D13953" s="12"/>
      <c r="E13953" s="12"/>
      <c r="H13953" s="11" t="str">
        <f ca="1">IFERROR(__xludf.DUMMYFUNCTION("IFERROR(SUBSTITUTE(SUBSTITUTE(REGEXEXTRACT(A13953, ""[^-]+- [^-]+- [^-]+ - (.+?)\.jpg""), "".jpg"", """"), ""-"", "", ""), """")"),"")</f>
        <v/>
      </c>
      <c r="L13953" s="12"/>
      <c r="M13953" s="13"/>
      <c r="N13953" s="2"/>
      <c r="O13953" s="20"/>
      <c r="P13953" s="42"/>
      <c r="R13953" s="23"/>
    </row>
    <row r="13954" spans="1:18" ht="12.75">
      <c r="A13954" s="12"/>
      <c r="D13954" s="12"/>
      <c r="E13954" s="12"/>
      <c r="H13954" s="11" t="str">
        <f ca="1">IFERROR(__xludf.DUMMYFUNCTION("IFERROR(SUBSTITUTE(SUBSTITUTE(REGEXEXTRACT(A13954, ""[^-]+- [^-]+- [^-]+ - (.+?)\.jpg""), "".jpg"", """"), ""-"", "", ""), """")"),"")</f>
        <v/>
      </c>
      <c r="L13954" s="12"/>
      <c r="M13954" s="13"/>
      <c r="N13954" s="2"/>
      <c r="O13954" s="20"/>
      <c r="P13954" s="42"/>
      <c r="R13954" s="23"/>
    </row>
    <row r="13955" spans="1:18" ht="12.75">
      <c r="A13955" s="12"/>
      <c r="D13955" s="12"/>
      <c r="E13955" s="12"/>
      <c r="H13955" s="11" t="str">
        <f ca="1">IFERROR(__xludf.DUMMYFUNCTION("IFERROR(SUBSTITUTE(SUBSTITUTE(REGEXEXTRACT(A13955, ""[^-]+- [^-]+- [^-]+ - (.+?)\.jpg""), "".jpg"", """"), ""-"", "", ""), """")"),"")</f>
        <v/>
      </c>
      <c r="L13955" s="12"/>
      <c r="M13955" s="13"/>
      <c r="N13955" s="2"/>
      <c r="O13955" s="20"/>
      <c r="P13955" s="42"/>
      <c r="R13955" s="23"/>
    </row>
    <row r="13956" spans="1:18" ht="12.75">
      <c r="A13956" s="12"/>
      <c r="D13956" s="12"/>
      <c r="E13956" s="12"/>
      <c r="H13956" s="11" t="str">
        <f ca="1">IFERROR(__xludf.DUMMYFUNCTION("IFERROR(SUBSTITUTE(SUBSTITUTE(REGEXEXTRACT(A13956, ""[^-]+- [^-]+- [^-]+ - (.+?)\.jpg""), "".jpg"", """"), ""-"", "", ""), """")"),"")</f>
        <v/>
      </c>
      <c r="L13956" s="12"/>
      <c r="M13956" s="13"/>
      <c r="N13956" s="2"/>
      <c r="O13956" s="20"/>
      <c r="P13956" s="42"/>
      <c r="R13956" s="23"/>
    </row>
    <row r="13957" spans="1:18" ht="12.75">
      <c r="A13957" s="12"/>
      <c r="D13957" s="12"/>
      <c r="E13957" s="12"/>
      <c r="H13957" s="11" t="str">
        <f ca="1">IFERROR(__xludf.DUMMYFUNCTION("IFERROR(SUBSTITUTE(SUBSTITUTE(REGEXEXTRACT(A13957, ""[^-]+- [^-]+- [^-]+ - (.+?)\.jpg""), "".jpg"", """"), ""-"", "", ""), """")"),"")</f>
        <v/>
      </c>
      <c r="L13957" s="12"/>
      <c r="M13957" s="13"/>
      <c r="N13957" s="2"/>
      <c r="O13957" s="20"/>
      <c r="P13957" s="42"/>
      <c r="R13957" s="23"/>
    </row>
    <row r="13958" spans="1:18" ht="12.75">
      <c r="A13958" s="12"/>
      <c r="D13958" s="12"/>
      <c r="E13958" s="12"/>
      <c r="H13958" s="11" t="str">
        <f ca="1">IFERROR(__xludf.DUMMYFUNCTION("IFERROR(SUBSTITUTE(SUBSTITUTE(REGEXEXTRACT(A13958, ""[^-]+- [^-]+- [^-]+ - (.+?)\.jpg""), "".jpg"", """"), ""-"", "", ""), """")"),"")</f>
        <v/>
      </c>
      <c r="L13958" s="12"/>
      <c r="M13958" s="13"/>
      <c r="N13958" s="2"/>
      <c r="O13958" s="20"/>
      <c r="P13958" s="42"/>
      <c r="R13958" s="23"/>
    </row>
    <row r="13959" spans="1:18" ht="12.75">
      <c r="A13959" s="12"/>
      <c r="D13959" s="12"/>
      <c r="E13959" s="12"/>
      <c r="H13959" s="11" t="str">
        <f ca="1">IFERROR(__xludf.DUMMYFUNCTION("IFERROR(SUBSTITUTE(SUBSTITUTE(REGEXEXTRACT(A13959, ""[^-]+- [^-]+- [^-]+ - (.+?)\.jpg""), "".jpg"", """"), ""-"", "", ""), """")"),"")</f>
        <v/>
      </c>
      <c r="L13959" s="12"/>
      <c r="M13959" s="13"/>
      <c r="N13959" s="2"/>
      <c r="O13959" s="20"/>
      <c r="P13959" s="42"/>
      <c r="R13959" s="23"/>
    </row>
    <row r="13960" spans="1:18" ht="12.75">
      <c r="A13960" s="12"/>
      <c r="D13960" s="12"/>
      <c r="E13960" s="12"/>
      <c r="H13960" s="11" t="str">
        <f ca="1">IFERROR(__xludf.DUMMYFUNCTION("IFERROR(SUBSTITUTE(SUBSTITUTE(REGEXEXTRACT(A13960, ""[^-]+- [^-]+- [^-]+ - (.+?)\.jpg""), "".jpg"", """"), ""-"", "", ""), """")"),"")</f>
        <v/>
      </c>
      <c r="L13960" s="12"/>
      <c r="M13960" s="13"/>
      <c r="N13960" s="2"/>
      <c r="O13960" s="20"/>
      <c r="P13960" s="42"/>
      <c r="R13960" s="23"/>
    </row>
    <row r="13961" spans="1:18" ht="12.75">
      <c r="A13961" s="12"/>
      <c r="D13961" s="12"/>
      <c r="E13961" s="12"/>
      <c r="H13961" s="11" t="str">
        <f ca="1">IFERROR(__xludf.DUMMYFUNCTION("IFERROR(SUBSTITUTE(SUBSTITUTE(REGEXEXTRACT(A13961, ""[^-]+- [^-]+- [^-]+ - (.+?)\.jpg""), "".jpg"", """"), ""-"", "", ""), """")"),"")</f>
        <v/>
      </c>
      <c r="L13961" s="12"/>
      <c r="M13961" s="13"/>
      <c r="N13961" s="2"/>
      <c r="O13961" s="20"/>
      <c r="P13961" s="42"/>
      <c r="R13961" s="23"/>
    </row>
    <row r="13962" spans="1:18" ht="12.75">
      <c r="A13962" s="12"/>
      <c r="D13962" s="12"/>
      <c r="E13962" s="12"/>
      <c r="H13962" s="11" t="str">
        <f ca="1">IFERROR(__xludf.DUMMYFUNCTION("IFERROR(SUBSTITUTE(SUBSTITUTE(REGEXEXTRACT(A13962, ""[^-]+- [^-]+- [^-]+ - (.+?)\.jpg""), "".jpg"", """"), ""-"", "", ""), """")"),"")</f>
        <v/>
      </c>
      <c r="L13962" s="12"/>
      <c r="M13962" s="13"/>
      <c r="N13962" s="2"/>
      <c r="O13962" s="20"/>
      <c r="P13962" s="42"/>
      <c r="R13962" s="23"/>
    </row>
    <row r="13963" spans="1:18" ht="12.75">
      <c r="A13963" s="12"/>
      <c r="D13963" s="12"/>
      <c r="E13963" s="12"/>
      <c r="H13963" s="11" t="str">
        <f ca="1">IFERROR(__xludf.DUMMYFUNCTION("IFERROR(SUBSTITUTE(SUBSTITUTE(REGEXEXTRACT(A13963, ""[^-]+- [^-]+- [^-]+ - (.+?)\.jpg""), "".jpg"", """"), ""-"", "", ""), """")"),"")</f>
        <v/>
      </c>
      <c r="L13963" s="12"/>
      <c r="M13963" s="13"/>
      <c r="N13963" s="2"/>
      <c r="O13963" s="20"/>
      <c r="P13963" s="42"/>
      <c r="R13963" s="23"/>
    </row>
    <row r="13964" spans="1:18" ht="12.75">
      <c r="A13964" s="12"/>
      <c r="D13964" s="12"/>
      <c r="E13964" s="12"/>
      <c r="H13964" s="11" t="str">
        <f ca="1">IFERROR(__xludf.DUMMYFUNCTION("IFERROR(SUBSTITUTE(SUBSTITUTE(REGEXEXTRACT(A13964, ""[^-]+- [^-]+- [^-]+ - (.+?)\.jpg""), "".jpg"", """"), ""-"", "", ""), """")"),"")</f>
        <v/>
      </c>
      <c r="L13964" s="12"/>
      <c r="M13964" s="13"/>
      <c r="N13964" s="2"/>
      <c r="O13964" s="20"/>
      <c r="P13964" s="42"/>
      <c r="R13964" s="23"/>
    </row>
    <row r="13965" spans="1:18" ht="12.75">
      <c r="A13965" s="12"/>
      <c r="D13965" s="12"/>
      <c r="E13965" s="12"/>
      <c r="H13965" s="11" t="str">
        <f ca="1">IFERROR(__xludf.DUMMYFUNCTION("IFERROR(SUBSTITUTE(SUBSTITUTE(REGEXEXTRACT(A13965, ""[^-]+- [^-]+- [^-]+ - (.+?)\.jpg""), "".jpg"", """"), ""-"", "", ""), """")"),"")</f>
        <v/>
      </c>
      <c r="L13965" s="12"/>
      <c r="M13965" s="13"/>
      <c r="N13965" s="2"/>
      <c r="O13965" s="20"/>
      <c r="P13965" s="42"/>
      <c r="R13965" s="23"/>
    </row>
    <row r="13966" spans="1:18" ht="12.75">
      <c r="A13966" s="12"/>
      <c r="D13966" s="12"/>
      <c r="E13966" s="12"/>
      <c r="H13966" s="11" t="str">
        <f ca="1">IFERROR(__xludf.DUMMYFUNCTION("IFERROR(SUBSTITUTE(SUBSTITUTE(REGEXEXTRACT(A13966, ""[^-]+- [^-]+- [^-]+ - (.+?)\.jpg""), "".jpg"", """"), ""-"", "", ""), """")"),"")</f>
        <v/>
      </c>
      <c r="L13966" s="12"/>
      <c r="M13966" s="13"/>
      <c r="N13966" s="2"/>
      <c r="O13966" s="20"/>
      <c r="P13966" s="42"/>
      <c r="R13966" s="23"/>
    </row>
    <row r="13967" spans="1:18" ht="12.75">
      <c r="A13967" s="12"/>
      <c r="D13967" s="12"/>
      <c r="E13967" s="12"/>
      <c r="H13967" s="11" t="str">
        <f ca="1">IFERROR(__xludf.DUMMYFUNCTION("IFERROR(SUBSTITUTE(SUBSTITUTE(REGEXEXTRACT(A13967, ""[^-]+- [^-]+- [^-]+ - (.+?)\.jpg""), "".jpg"", """"), ""-"", "", ""), """")"),"")</f>
        <v/>
      </c>
      <c r="L13967" s="12"/>
      <c r="M13967" s="13"/>
      <c r="N13967" s="2"/>
      <c r="O13967" s="20"/>
      <c r="P13967" s="42"/>
      <c r="R13967" s="23"/>
    </row>
    <row r="13968" spans="1:18" ht="12.75">
      <c r="A13968" s="12"/>
      <c r="D13968" s="12"/>
      <c r="E13968" s="12"/>
      <c r="H13968" s="11" t="str">
        <f ca="1">IFERROR(__xludf.DUMMYFUNCTION("IFERROR(SUBSTITUTE(SUBSTITUTE(REGEXEXTRACT(A13968, ""[^-]+- [^-]+- [^-]+ - (.+?)\.jpg""), "".jpg"", """"), ""-"", "", ""), """")"),"")</f>
        <v/>
      </c>
      <c r="L13968" s="12"/>
      <c r="M13968" s="13"/>
      <c r="N13968" s="2"/>
      <c r="O13968" s="20"/>
      <c r="P13968" s="42"/>
      <c r="R13968" s="23"/>
    </row>
    <row r="13969" spans="1:18" ht="12.75">
      <c r="A13969" s="12"/>
      <c r="D13969" s="12"/>
      <c r="E13969" s="12"/>
      <c r="H13969" s="11" t="str">
        <f ca="1">IFERROR(__xludf.DUMMYFUNCTION("IFERROR(SUBSTITUTE(SUBSTITUTE(REGEXEXTRACT(A13969, ""[^-]+- [^-]+- [^-]+ - (.+?)\.jpg""), "".jpg"", """"), ""-"", "", ""), """")"),"")</f>
        <v/>
      </c>
      <c r="L13969" s="12"/>
      <c r="M13969" s="13"/>
      <c r="N13969" s="2"/>
      <c r="O13969" s="20"/>
      <c r="P13969" s="42"/>
      <c r="R13969" s="23"/>
    </row>
    <row r="13970" spans="1:18" ht="12.75">
      <c r="A13970" s="12"/>
      <c r="D13970" s="12"/>
      <c r="E13970" s="12"/>
      <c r="H13970" s="11" t="str">
        <f ca="1">IFERROR(__xludf.DUMMYFUNCTION("IFERROR(SUBSTITUTE(SUBSTITUTE(REGEXEXTRACT(A13970, ""[^-]+- [^-]+- [^-]+ - (.+?)\.jpg""), "".jpg"", """"), ""-"", "", ""), """")"),"")</f>
        <v/>
      </c>
      <c r="L13970" s="12"/>
      <c r="M13970" s="13"/>
      <c r="N13970" s="2"/>
      <c r="O13970" s="20"/>
      <c r="P13970" s="42"/>
      <c r="R13970" s="23"/>
    </row>
    <row r="13971" spans="1:18" ht="12.75">
      <c r="A13971" s="12"/>
      <c r="D13971" s="12"/>
      <c r="E13971" s="12"/>
      <c r="H13971" s="11" t="str">
        <f ca="1">IFERROR(__xludf.DUMMYFUNCTION("IFERROR(SUBSTITUTE(SUBSTITUTE(REGEXEXTRACT(A13971, ""[^-]+- [^-]+- [^-]+ - (.+?)\.jpg""), "".jpg"", """"), ""-"", "", ""), """")"),"")</f>
        <v/>
      </c>
      <c r="L13971" s="12"/>
      <c r="M13971" s="13"/>
      <c r="N13971" s="2"/>
      <c r="O13971" s="20"/>
      <c r="P13971" s="42"/>
      <c r="R13971" s="23"/>
    </row>
    <row r="13972" spans="1:18" ht="12.75">
      <c r="A13972" s="12"/>
      <c r="D13972" s="12"/>
      <c r="E13972" s="12"/>
      <c r="H13972" s="11" t="str">
        <f ca="1">IFERROR(__xludf.DUMMYFUNCTION("IFERROR(SUBSTITUTE(SUBSTITUTE(REGEXEXTRACT(A13972, ""[^-]+- [^-]+- [^-]+ - (.+?)\.jpg""), "".jpg"", """"), ""-"", "", ""), """")"),"")</f>
        <v/>
      </c>
      <c r="L13972" s="12"/>
      <c r="M13972" s="13"/>
      <c r="N13972" s="2"/>
      <c r="O13972" s="20"/>
      <c r="P13972" s="42"/>
      <c r="R13972" s="23"/>
    </row>
    <row r="13973" spans="1:18" ht="12.75">
      <c r="A13973" s="12"/>
      <c r="D13973" s="12"/>
      <c r="E13973" s="12"/>
      <c r="H13973" s="11" t="str">
        <f ca="1">IFERROR(__xludf.DUMMYFUNCTION("IFERROR(SUBSTITUTE(SUBSTITUTE(REGEXEXTRACT(A13973, ""[^-]+- [^-]+- [^-]+ - (.+?)\.jpg""), "".jpg"", """"), ""-"", "", ""), """")"),"")</f>
        <v/>
      </c>
      <c r="L13973" s="12"/>
      <c r="M13973" s="13"/>
      <c r="N13973" s="2"/>
      <c r="O13973" s="20"/>
      <c r="P13973" s="42"/>
      <c r="R13973" s="23"/>
    </row>
    <row r="13974" spans="1:18" ht="12.75">
      <c r="A13974" s="12"/>
      <c r="D13974" s="12"/>
      <c r="E13974" s="12"/>
      <c r="H13974" s="11" t="str">
        <f ca="1">IFERROR(__xludf.DUMMYFUNCTION("IFERROR(SUBSTITUTE(SUBSTITUTE(REGEXEXTRACT(A13974, ""[^-]+- [^-]+- [^-]+ - (.+?)\.jpg""), "".jpg"", """"), ""-"", "", ""), """")"),"")</f>
        <v/>
      </c>
      <c r="L13974" s="12"/>
      <c r="M13974" s="13"/>
      <c r="N13974" s="2"/>
      <c r="O13974" s="20"/>
      <c r="P13974" s="42"/>
      <c r="R13974" s="23"/>
    </row>
    <row r="13975" spans="1:18" ht="12.75">
      <c r="A13975" s="12"/>
      <c r="D13975" s="12"/>
      <c r="E13975" s="12"/>
      <c r="H13975" s="11" t="str">
        <f ca="1">IFERROR(__xludf.DUMMYFUNCTION("IFERROR(SUBSTITUTE(SUBSTITUTE(REGEXEXTRACT(A13975, ""[^-]+- [^-]+- [^-]+ - (.+?)\.jpg""), "".jpg"", """"), ""-"", "", ""), """")"),"")</f>
        <v/>
      </c>
      <c r="L13975" s="12"/>
      <c r="M13975" s="13"/>
      <c r="N13975" s="2"/>
      <c r="O13975" s="20"/>
      <c r="P13975" s="42"/>
      <c r="R13975" s="23"/>
    </row>
    <row r="13976" spans="1:18" ht="12.75">
      <c r="A13976" s="12"/>
      <c r="D13976" s="12"/>
      <c r="E13976" s="12"/>
      <c r="H13976" s="11" t="str">
        <f ca="1">IFERROR(__xludf.DUMMYFUNCTION("IFERROR(SUBSTITUTE(SUBSTITUTE(REGEXEXTRACT(A13976, ""[^-]+- [^-]+- [^-]+ - (.+?)\.jpg""), "".jpg"", """"), ""-"", "", ""), """")"),"")</f>
        <v/>
      </c>
      <c r="L13976" s="12"/>
      <c r="M13976" s="13"/>
      <c r="N13976" s="2"/>
      <c r="O13976" s="20"/>
      <c r="P13976" s="42"/>
      <c r="R13976" s="23"/>
    </row>
    <row r="13977" spans="1:18" ht="12.75">
      <c r="A13977" s="12"/>
      <c r="D13977" s="12"/>
      <c r="E13977" s="12"/>
      <c r="H13977" s="11" t="str">
        <f ca="1">IFERROR(__xludf.DUMMYFUNCTION("IFERROR(SUBSTITUTE(SUBSTITUTE(REGEXEXTRACT(A13977, ""[^-]+- [^-]+- [^-]+ - (.+?)\.jpg""), "".jpg"", """"), ""-"", "", ""), """")"),"")</f>
        <v/>
      </c>
      <c r="L13977" s="12"/>
      <c r="M13977" s="13"/>
      <c r="N13977" s="2"/>
      <c r="O13977" s="20"/>
      <c r="P13977" s="42"/>
      <c r="R13977" s="23"/>
    </row>
    <row r="13978" spans="1:18" ht="12.75">
      <c r="A13978" s="12"/>
      <c r="D13978" s="12"/>
      <c r="E13978" s="12"/>
      <c r="H13978" s="11" t="str">
        <f ca="1">IFERROR(__xludf.DUMMYFUNCTION("IFERROR(SUBSTITUTE(SUBSTITUTE(REGEXEXTRACT(A13978, ""[^-]+- [^-]+- [^-]+ - (.+?)\.jpg""), "".jpg"", """"), ""-"", "", ""), """")"),"")</f>
        <v/>
      </c>
      <c r="L13978" s="12"/>
      <c r="M13978" s="13"/>
      <c r="N13978" s="2"/>
      <c r="O13978" s="20"/>
      <c r="P13978" s="42"/>
      <c r="R13978" s="23"/>
    </row>
    <row r="13979" spans="1:18" ht="12.75">
      <c r="A13979" s="12"/>
      <c r="D13979" s="12"/>
      <c r="E13979" s="12"/>
      <c r="H13979" s="11" t="str">
        <f ca="1">IFERROR(__xludf.DUMMYFUNCTION("IFERROR(SUBSTITUTE(SUBSTITUTE(REGEXEXTRACT(A13979, ""[^-]+- [^-]+- [^-]+ - (.+?)\.jpg""), "".jpg"", """"), ""-"", "", ""), """")"),"")</f>
        <v/>
      </c>
      <c r="L13979" s="12"/>
      <c r="M13979" s="13"/>
      <c r="N13979" s="2"/>
      <c r="O13979" s="20"/>
      <c r="P13979" s="42"/>
      <c r="R13979" s="23"/>
    </row>
    <row r="13980" spans="1:18" ht="12.75">
      <c r="A13980" s="12"/>
      <c r="D13980" s="12"/>
      <c r="E13980" s="12"/>
      <c r="H13980" s="11" t="str">
        <f ca="1">IFERROR(__xludf.DUMMYFUNCTION("IFERROR(SUBSTITUTE(SUBSTITUTE(REGEXEXTRACT(A13980, ""[^-]+- [^-]+- [^-]+ - (.+?)\.jpg""), "".jpg"", """"), ""-"", "", ""), """")"),"")</f>
        <v/>
      </c>
      <c r="L13980" s="12"/>
      <c r="M13980" s="13"/>
      <c r="N13980" s="2"/>
      <c r="O13980" s="20"/>
      <c r="P13980" s="42"/>
      <c r="R13980" s="23"/>
    </row>
    <row r="13981" spans="1:18" ht="12.75">
      <c r="A13981" s="12"/>
      <c r="D13981" s="12"/>
      <c r="E13981" s="12"/>
      <c r="H13981" s="11" t="str">
        <f ca="1">IFERROR(__xludf.DUMMYFUNCTION("IFERROR(SUBSTITUTE(SUBSTITUTE(REGEXEXTRACT(A13981, ""[^-]+- [^-]+- [^-]+ - (.+?)\.jpg""), "".jpg"", """"), ""-"", "", ""), """")"),"")</f>
        <v/>
      </c>
      <c r="L13981" s="12"/>
      <c r="M13981" s="13"/>
      <c r="N13981" s="2"/>
      <c r="O13981" s="20"/>
      <c r="P13981" s="42"/>
      <c r="R13981" s="23"/>
    </row>
    <row r="13982" spans="1:18" ht="12.75">
      <c r="A13982" s="12"/>
      <c r="D13982" s="12"/>
      <c r="E13982" s="12"/>
      <c r="H13982" s="11" t="str">
        <f ca="1">IFERROR(__xludf.DUMMYFUNCTION("IFERROR(SUBSTITUTE(SUBSTITUTE(REGEXEXTRACT(A13982, ""[^-]+- [^-]+- [^-]+ - (.+?)\.jpg""), "".jpg"", """"), ""-"", "", ""), """")"),"")</f>
        <v/>
      </c>
      <c r="L13982" s="12"/>
      <c r="M13982" s="13"/>
      <c r="N13982" s="2"/>
      <c r="O13982" s="20"/>
      <c r="P13982" s="42"/>
      <c r="R13982" s="23"/>
    </row>
    <row r="13983" spans="1:18" ht="12.75">
      <c r="A13983" s="12"/>
      <c r="D13983" s="12"/>
      <c r="E13983" s="12"/>
      <c r="H13983" s="11" t="str">
        <f ca="1">IFERROR(__xludf.DUMMYFUNCTION("IFERROR(SUBSTITUTE(SUBSTITUTE(REGEXEXTRACT(A13983, ""[^-]+- [^-]+- [^-]+ - (.+?)\.jpg""), "".jpg"", """"), ""-"", "", ""), """")"),"")</f>
        <v/>
      </c>
      <c r="L13983" s="12"/>
      <c r="M13983" s="13"/>
      <c r="N13983" s="2"/>
      <c r="O13983" s="20"/>
      <c r="P13983" s="42"/>
      <c r="R13983" s="23"/>
    </row>
    <row r="13984" spans="1:18" ht="12.75">
      <c r="A13984" s="12"/>
      <c r="D13984" s="12"/>
      <c r="E13984" s="12"/>
      <c r="H13984" s="11" t="str">
        <f ca="1">IFERROR(__xludf.DUMMYFUNCTION("IFERROR(SUBSTITUTE(SUBSTITUTE(REGEXEXTRACT(A13984, ""[^-]+- [^-]+- [^-]+ - (.+?)\.jpg""), "".jpg"", """"), ""-"", "", ""), """")"),"")</f>
        <v/>
      </c>
      <c r="L13984" s="12"/>
      <c r="M13984" s="13"/>
      <c r="N13984" s="2"/>
      <c r="O13984" s="20"/>
      <c r="P13984" s="42"/>
      <c r="R13984" s="23"/>
    </row>
    <row r="13985" spans="1:18" ht="12.75">
      <c r="A13985" s="12"/>
      <c r="D13985" s="12"/>
      <c r="E13985" s="12"/>
      <c r="H13985" s="11" t="str">
        <f ca="1">IFERROR(__xludf.DUMMYFUNCTION("IFERROR(SUBSTITUTE(SUBSTITUTE(REGEXEXTRACT(A13985, ""[^-]+- [^-]+- [^-]+ - (.+?)\.jpg""), "".jpg"", """"), ""-"", "", ""), """")"),"")</f>
        <v/>
      </c>
      <c r="L13985" s="12"/>
      <c r="M13985" s="13"/>
      <c r="N13985" s="2"/>
      <c r="O13985" s="20"/>
      <c r="P13985" s="42"/>
      <c r="R13985" s="23"/>
    </row>
    <row r="13986" spans="1:18" ht="12.75">
      <c r="A13986" s="12"/>
      <c r="D13986" s="12"/>
      <c r="E13986" s="12"/>
      <c r="H13986" s="11" t="str">
        <f ca="1">IFERROR(__xludf.DUMMYFUNCTION("IFERROR(SUBSTITUTE(SUBSTITUTE(REGEXEXTRACT(A13986, ""[^-]+- [^-]+- [^-]+ - (.+?)\.jpg""), "".jpg"", """"), ""-"", "", ""), """")"),"")</f>
        <v/>
      </c>
      <c r="L13986" s="12"/>
      <c r="M13986" s="13"/>
      <c r="N13986" s="2"/>
      <c r="O13986" s="20"/>
      <c r="P13986" s="42"/>
      <c r="R13986" s="23"/>
    </row>
    <row r="13987" spans="1:18" ht="12.75">
      <c r="A13987" s="12"/>
      <c r="D13987" s="12"/>
      <c r="E13987" s="12"/>
      <c r="H13987" s="11" t="str">
        <f ca="1">IFERROR(__xludf.DUMMYFUNCTION("IFERROR(SUBSTITUTE(SUBSTITUTE(REGEXEXTRACT(A13987, ""[^-]+- [^-]+- [^-]+ - (.+?)\.jpg""), "".jpg"", """"), ""-"", "", ""), """")"),"")</f>
        <v/>
      </c>
      <c r="L13987" s="12"/>
      <c r="M13987" s="13"/>
      <c r="N13987" s="2"/>
      <c r="O13987" s="20"/>
      <c r="P13987" s="42"/>
      <c r="R13987" s="23"/>
    </row>
    <row r="13988" spans="1:18" ht="12.75">
      <c r="A13988" s="12"/>
      <c r="D13988" s="12"/>
      <c r="E13988" s="12"/>
      <c r="H13988" s="11" t="str">
        <f ca="1">IFERROR(__xludf.DUMMYFUNCTION("IFERROR(SUBSTITUTE(SUBSTITUTE(REGEXEXTRACT(A13988, ""[^-]+- [^-]+- [^-]+ - (.+?)\.jpg""), "".jpg"", """"), ""-"", "", ""), """")"),"")</f>
        <v/>
      </c>
      <c r="L13988" s="12"/>
      <c r="M13988" s="13"/>
      <c r="N13988" s="2"/>
      <c r="O13988" s="20"/>
      <c r="P13988" s="42"/>
      <c r="R13988" s="23"/>
    </row>
    <row r="13989" spans="1:18" ht="12.75">
      <c r="A13989" s="12"/>
      <c r="D13989" s="12"/>
      <c r="E13989" s="12"/>
      <c r="H13989" s="11" t="str">
        <f ca="1">IFERROR(__xludf.DUMMYFUNCTION("IFERROR(SUBSTITUTE(SUBSTITUTE(REGEXEXTRACT(A13989, ""[^-]+- [^-]+- [^-]+ - (.+?)\.jpg""), "".jpg"", """"), ""-"", "", ""), """")"),"")</f>
        <v/>
      </c>
      <c r="L13989" s="12"/>
      <c r="M13989" s="13"/>
      <c r="N13989" s="2"/>
      <c r="O13989" s="20"/>
      <c r="P13989" s="42"/>
      <c r="R13989" s="23"/>
    </row>
    <row r="13990" spans="1:18" ht="12.75">
      <c r="A13990" s="12"/>
      <c r="D13990" s="12"/>
      <c r="E13990" s="12"/>
      <c r="H13990" s="11" t="str">
        <f ca="1">IFERROR(__xludf.DUMMYFUNCTION("IFERROR(SUBSTITUTE(SUBSTITUTE(REGEXEXTRACT(A13990, ""[^-]+- [^-]+- [^-]+ - (.+?)\.jpg""), "".jpg"", """"), ""-"", "", ""), """")"),"")</f>
        <v/>
      </c>
      <c r="L13990" s="12"/>
      <c r="M13990" s="13"/>
      <c r="N13990" s="2"/>
      <c r="O13990" s="20"/>
      <c r="P13990" s="42"/>
      <c r="R13990" s="23"/>
    </row>
    <row r="13991" spans="1:18" ht="12.75">
      <c r="A13991" s="12"/>
      <c r="D13991" s="12"/>
      <c r="E13991" s="12"/>
      <c r="H13991" s="11" t="str">
        <f ca="1">IFERROR(__xludf.DUMMYFUNCTION("IFERROR(SUBSTITUTE(SUBSTITUTE(REGEXEXTRACT(A13991, ""[^-]+- [^-]+- [^-]+ - (.+?)\.jpg""), "".jpg"", """"), ""-"", "", ""), """")"),"")</f>
        <v/>
      </c>
      <c r="L13991" s="12"/>
      <c r="M13991" s="13"/>
      <c r="N13991" s="2"/>
      <c r="O13991" s="20"/>
      <c r="P13991" s="42"/>
      <c r="R13991" s="23"/>
    </row>
    <row r="13992" spans="1:18" ht="12.75">
      <c r="A13992" s="12"/>
      <c r="D13992" s="12"/>
      <c r="E13992" s="12"/>
      <c r="H13992" s="11" t="str">
        <f ca="1">IFERROR(__xludf.DUMMYFUNCTION("IFERROR(SUBSTITUTE(SUBSTITUTE(REGEXEXTRACT(A13992, ""[^-]+- [^-]+- [^-]+ - (.+?)\.jpg""), "".jpg"", """"), ""-"", "", ""), """")"),"")</f>
        <v/>
      </c>
      <c r="L13992" s="12"/>
      <c r="M13992" s="13"/>
      <c r="N13992" s="2"/>
      <c r="O13992" s="20"/>
      <c r="P13992" s="42"/>
      <c r="R13992" s="23"/>
    </row>
    <row r="13993" spans="1:18" ht="12.75">
      <c r="A13993" s="12"/>
      <c r="D13993" s="12"/>
      <c r="E13993" s="12"/>
      <c r="H13993" s="11" t="str">
        <f ca="1">IFERROR(__xludf.DUMMYFUNCTION("IFERROR(SUBSTITUTE(SUBSTITUTE(REGEXEXTRACT(A13993, ""[^-]+- [^-]+- [^-]+ - (.+?)\.jpg""), "".jpg"", """"), ""-"", "", ""), """")"),"")</f>
        <v/>
      </c>
      <c r="L13993" s="12"/>
      <c r="M13993" s="13"/>
      <c r="N13993" s="2"/>
      <c r="O13993" s="20"/>
      <c r="P13993" s="42"/>
      <c r="R13993" s="23"/>
    </row>
    <row r="13994" spans="1:18" ht="12.75">
      <c r="A13994" s="12"/>
      <c r="D13994" s="12"/>
      <c r="E13994" s="12"/>
      <c r="H13994" s="11" t="str">
        <f ca="1">IFERROR(__xludf.DUMMYFUNCTION("IFERROR(SUBSTITUTE(SUBSTITUTE(REGEXEXTRACT(A13994, ""[^-]+- [^-]+- [^-]+ - (.+?)\.jpg""), "".jpg"", """"), ""-"", "", ""), """")"),"")</f>
        <v/>
      </c>
      <c r="L13994" s="12"/>
      <c r="M13994" s="13"/>
      <c r="N13994" s="2"/>
      <c r="O13994" s="20"/>
      <c r="P13994" s="42"/>
      <c r="R13994" s="23"/>
    </row>
    <row r="13995" spans="1:18" ht="12.75">
      <c r="A13995" s="12"/>
      <c r="D13995" s="12"/>
      <c r="E13995" s="12"/>
      <c r="H13995" s="11" t="str">
        <f ca="1">IFERROR(__xludf.DUMMYFUNCTION("IFERROR(SUBSTITUTE(SUBSTITUTE(REGEXEXTRACT(A13995, ""[^-]+- [^-]+- [^-]+ - (.+?)\.jpg""), "".jpg"", """"), ""-"", "", ""), """")"),"")</f>
        <v/>
      </c>
      <c r="L13995" s="12"/>
      <c r="M13995" s="13"/>
      <c r="N13995" s="2"/>
      <c r="O13995" s="20"/>
      <c r="P13995" s="42"/>
      <c r="R13995" s="23"/>
    </row>
    <row r="13996" spans="1:18" ht="12.75">
      <c r="A13996" s="12"/>
      <c r="D13996" s="12"/>
      <c r="E13996" s="12"/>
      <c r="H13996" s="11" t="str">
        <f ca="1">IFERROR(__xludf.DUMMYFUNCTION("IFERROR(SUBSTITUTE(SUBSTITUTE(REGEXEXTRACT(A13996, ""[^-]+- [^-]+- [^-]+ - (.+?)\.jpg""), "".jpg"", """"), ""-"", "", ""), """")"),"")</f>
        <v/>
      </c>
      <c r="L13996" s="12"/>
      <c r="M13996" s="13"/>
      <c r="N13996" s="2"/>
      <c r="O13996" s="20"/>
      <c r="P13996" s="42"/>
      <c r="R13996" s="23"/>
    </row>
    <row r="13997" spans="1:18" ht="12.75">
      <c r="A13997" s="12"/>
      <c r="D13997" s="12"/>
      <c r="E13997" s="12"/>
      <c r="H13997" s="11" t="str">
        <f ca="1">IFERROR(__xludf.DUMMYFUNCTION("IFERROR(SUBSTITUTE(SUBSTITUTE(REGEXEXTRACT(A13997, ""[^-]+- [^-]+- [^-]+ - (.+?)\.jpg""), "".jpg"", """"), ""-"", "", ""), """")"),"")</f>
        <v/>
      </c>
      <c r="L13997" s="12"/>
      <c r="M13997" s="13"/>
      <c r="N13997" s="2"/>
      <c r="O13997" s="20"/>
      <c r="P13997" s="42"/>
      <c r="R13997" s="23"/>
    </row>
    <row r="13998" spans="1:18" ht="12.75">
      <c r="A13998" s="12"/>
      <c r="D13998" s="12"/>
      <c r="E13998" s="12"/>
      <c r="H13998" s="11" t="str">
        <f ca="1">IFERROR(__xludf.DUMMYFUNCTION("IFERROR(SUBSTITUTE(SUBSTITUTE(REGEXEXTRACT(A13998, ""[^-]+- [^-]+- [^-]+ - (.+?)\.jpg""), "".jpg"", """"), ""-"", "", ""), """")"),"")</f>
        <v/>
      </c>
      <c r="L13998" s="12"/>
      <c r="M13998" s="13"/>
      <c r="N13998" s="2"/>
      <c r="O13998" s="20"/>
      <c r="P13998" s="42"/>
      <c r="R13998" s="23"/>
    </row>
    <row r="13999" spans="1:18" ht="12.75">
      <c r="A13999" s="12"/>
      <c r="D13999" s="12"/>
      <c r="E13999" s="12"/>
      <c r="H13999" s="11" t="str">
        <f ca="1">IFERROR(__xludf.DUMMYFUNCTION("IFERROR(SUBSTITUTE(SUBSTITUTE(REGEXEXTRACT(A13999, ""[^-]+- [^-]+- [^-]+ - (.+?)\.jpg""), "".jpg"", """"), ""-"", "", ""), """")"),"")</f>
        <v/>
      </c>
      <c r="L13999" s="12"/>
      <c r="M13999" s="13"/>
      <c r="N13999" s="2"/>
      <c r="O13999" s="20"/>
      <c r="P13999" s="42"/>
      <c r="R13999" s="23"/>
    </row>
    <row r="14000" spans="1:18" ht="12.75">
      <c r="A14000" s="12"/>
      <c r="D14000" s="12"/>
      <c r="E14000" s="12"/>
      <c r="H14000" s="11" t="str">
        <f ca="1">IFERROR(__xludf.DUMMYFUNCTION("IFERROR(SUBSTITUTE(SUBSTITUTE(REGEXEXTRACT(A14000, ""[^-]+- [^-]+- [^-]+ - (.+?)\.jpg""), "".jpg"", """"), ""-"", "", ""), """")"),"")</f>
        <v/>
      </c>
      <c r="L14000" s="12"/>
      <c r="M14000" s="13"/>
      <c r="N14000" s="2"/>
      <c r="O14000" s="20"/>
      <c r="P14000" s="42"/>
      <c r="R14000" s="23"/>
    </row>
    <row r="14001" spans="1:18" ht="12.75">
      <c r="A14001" s="12"/>
      <c r="D14001" s="12"/>
      <c r="E14001" s="12"/>
      <c r="H14001" s="11" t="str">
        <f ca="1">IFERROR(__xludf.DUMMYFUNCTION("IFERROR(SUBSTITUTE(SUBSTITUTE(REGEXEXTRACT(A14001, ""[^-]+- [^-]+- [^-]+ - (.+?)\.jpg""), "".jpg"", """"), ""-"", "", ""), """")"),"")</f>
        <v/>
      </c>
      <c r="L14001" s="12"/>
      <c r="M14001" s="13"/>
      <c r="N14001" s="2"/>
      <c r="O14001" s="20"/>
      <c r="P14001" s="42"/>
      <c r="R14001" s="23"/>
    </row>
    <row r="14002" spans="1:18" ht="12.75">
      <c r="A14002" s="12"/>
      <c r="D14002" s="12"/>
      <c r="E14002" s="12"/>
      <c r="H14002" s="11" t="str">
        <f ca="1">IFERROR(__xludf.DUMMYFUNCTION("IFERROR(SUBSTITUTE(SUBSTITUTE(REGEXEXTRACT(A14002, ""[^-]+- [^-]+- [^-]+ - (.+?)\.jpg""), "".jpg"", """"), ""-"", "", ""), """")"),"")</f>
        <v/>
      </c>
      <c r="L14002" s="12"/>
      <c r="M14002" s="13"/>
      <c r="N14002" s="2"/>
      <c r="O14002" s="20"/>
      <c r="P14002" s="42"/>
      <c r="R14002" s="23"/>
    </row>
    <row r="14003" spans="1:18" ht="12.75">
      <c r="A14003" s="12"/>
      <c r="D14003" s="12"/>
      <c r="E14003" s="12"/>
      <c r="H14003" s="11" t="str">
        <f ca="1">IFERROR(__xludf.DUMMYFUNCTION("IFERROR(SUBSTITUTE(SUBSTITUTE(REGEXEXTRACT(A14003, ""[^-]+- [^-]+- [^-]+ - (.+?)\.jpg""), "".jpg"", """"), ""-"", "", ""), """")"),"")</f>
        <v/>
      </c>
      <c r="L14003" s="12"/>
      <c r="M14003" s="13"/>
      <c r="N14003" s="2"/>
      <c r="O14003" s="20"/>
      <c r="P14003" s="42"/>
      <c r="R14003" s="23"/>
    </row>
    <row r="14004" spans="1:18" ht="12.75">
      <c r="A14004" s="12"/>
      <c r="D14004" s="12"/>
      <c r="E14004" s="12"/>
      <c r="H14004" s="11" t="str">
        <f ca="1">IFERROR(__xludf.DUMMYFUNCTION("IFERROR(SUBSTITUTE(SUBSTITUTE(REGEXEXTRACT(A14004, ""[^-]+- [^-]+- [^-]+ - (.+?)\.jpg""), "".jpg"", """"), ""-"", "", ""), """")"),"")</f>
        <v/>
      </c>
      <c r="L14004" s="12"/>
      <c r="M14004" s="13"/>
      <c r="N14004" s="2"/>
      <c r="O14004" s="20"/>
      <c r="P14004" s="42"/>
      <c r="R14004" s="23"/>
    </row>
    <row r="14005" spans="1:18" ht="12.75">
      <c r="A14005" s="12"/>
      <c r="D14005" s="12"/>
      <c r="E14005" s="12"/>
      <c r="H14005" s="11" t="str">
        <f ca="1">IFERROR(__xludf.DUMMYFUNCTION("IFERROR(SUBSTITUTE(SUBSTITUTE(REGEXEXTRACT(A14005, ""[^-]+- [^-]+- [^-]+ - (.+?)\.jpg""), "".jpg"", """"), ""-"", "", ""), """")"),"")</f>
        <v/>
      </c>
      <c r="L14005" s="12"/>
      <c r="M14005" s="13"/>
      <c r="N14005" s="2"/>
      <c r="O14005" s="20"/>
      <c r="P14005" s="42"/>
      <c r="R14005" s="23"/>
    </row>
    <row r="14006" spans="1:18" ht="12.75">
      <c r="A14006" s="12"/>
      <c r="D14006" s="12"/>
      <c r="E14006" s="12"/>
      <c r="H14006" s="11" t="str">
        <f ca="1">IFERROR(__xludf.DUMMYFUNCTION("IFERROR(SUBSTITUTE(SUBSTITUTE(REGEXEXTRACT(A14006, ""[^-]+- [^-]+- [^-]+ - (.+?)\.jpg""), "".jpg"", """"), ""-"", "", ""), """")"),"")</f>
        <v/>
      </c>
      <c r="L14006" s="12"/>
      <c r="M14006" s="13"/>
      <c r="N14006" s="2"/>
      <c r="O14006" s="20"/>
      <c r="P14006" s="42"/>
      <c r="R14006" s="23"/>
    </row>
    <row r="14007" spans="1:18" ht="12.75">
      <c r="A14007" s="12"/>
      <c r="D14007" s="12"/>
      <c r="E14007" s="12"/>
      <c r="H14007" s="11" t="str">
        <f ca="1">IFERROR(__xludf.DUMMYFUNCTION("IFERROR(SUBSTITUTE(SUBSTITUTE(REGEXEXTRACT(A14007, ""[^-]+- [^-]+- [^-]+ - (.+?)\.jpg""), "".jpg"", """"), ""-"", "", ""), """")"),"")</f>
        <v/>
      </c>
      <c r="L14007" s="12"/>
      <c r="M14007" s="13"/>
      <c r="N14007" s="2"/>
      <c r="O14007" s="20"/>
      <c r="P14007" s="42"/>
      <c r="R14007" s="23"/>
    </row>
    <row r="14008" spans="1:18" ht="12.75">
      <c r="A14008" s="12"/>
      <c r="D14008" s="12"/>
      <c r="E14008" s="12"/>
      <c r="H14008" s="11" t="str">
        <f ca="1">IFERROR(__xludf.DUMMYFUNCTION("IFERROR(SUBSTITUTE(SUBSTITUTE(REGEXEXTRACT(A14008, ""[^-]+- [^-]+- [^-]+ - (.+?)\.jpg""), "".jpg"", """"), ""-"", "", ""), """")"),"")</f>
        <v/>
      </c>
      <c r="L14008" s="12"/>
      <c r="M14008" s="13"/>
      <c r="N14008" s="2"/>
      <c r="O14008" s="20"/>
      <c r="P14008" s="42"/>
      <c r="R14008" s="23"/>
    </row>
    <row r="14009" spans="1:18" ht="12.75">
      <c r="A14009" s="12"/>
      <c r="D14009" s="12"/>
      <c r="E14009" s="12"/>
      <c r="H14009" s="11" t="str">
        <f ca="1">IFERROR(__xludf.DUMMYFUNCTION("IFERROR(SUBSTITUTE(SUBSTITUTE(REGEXEXTRACT(A14009, ""[^-]+- [^-]+- [^-]+ - (.+?)\.jpg""), "".jpg"", """"), ""-"", "", ""), """")"),"")</f>
        <v/>
      </c>
      <c r="L14009" s="12"/>
      <c r="M14009" s="13"/>
      <c r="N14009" s="2"/>
      <c r="O14009" s="20"/>
      <c r="P14009" s="42"/>
      <c r="R14009" s="23"/>
    </row>
    <row r="14010" spans="1:18" ht="12.75">
      <c r="A14010" s="12"/>
      <c r="D14010" s="12"/>
      <c r="E14010" s="12"/>
      <c r="H14010" s="11" t="str">
        <f ca="1">IFERROR(__xludf.DUMMYFUNCTION("IFERROR(SUBSTITUTE(SUBSTITUTE(REGEXEXTRACT(A14010, ""[^-]+- [^-]+- [^-]+ - (.+?)\.jpg""), "".jpg"", """"), ""-"", "", ""), """")"),"")</f>
        <v/>
      </c>
      <c r="L14010" s="12"/>
      <c r="M14010" s="13"/>
      <c r="N14010" s="2"/>
      <c r="O14010" s="20"/>
      <c r="P14010" s="42"/>
      <c r="R14010" s="23"/>
    </row>
    <row r="14011" spans="1:18" ht="12.75">
      <c r="A14011" s="12"/>
      <c r="D14011" s="12"/>
      <c r="E14011" s="12"/>
      <c r="H14011" s="11" t="str">
        <f ca="1">IFERROR(__xludf.DUMMYFUNCTION("IFERROR(SUBSTITUTE(SUBSTITUTE(REGEXEXTRACT(A14011, ""[^-]+- [^-]+- [^-]+ - (.+?)\.jpg""), "".jpg"", """"), ""-"", "", ""), """")"),"")</f>
        <v/>
      </c>
      <c r="L14011" s="12"/>
      <c r="M14011" s="13"/>
      <c r="N14011" s="2"/>
      <c r="O14011" s="20"/>
      <c r="P14011" s="42"/>
      <c r="R14011" s="23"/>
    </row>
    <row r="14012" spans="1:18" ht="12.75">
      <c r="A14012" s="12"/>
      <c r="D14012" s="12"/>
      <c r="E14012" s="12"/>
      <c r="H14012" s="11" t="str">
        <f ca="1">IFERROR(__xludf.DUMMYFUNCTION("IFERROR(SUBSTITUTE(SUBSTITUTE(REGEXEXTRACT(A14012, ""[^-]+- [^-]+- [^-]+ - (.+?)\.jpg""), "".jpg"", """"), ""-"", "", ""), """")"),"")</f>
        <v/>
      </c>
      <c r="L14012" s="12"/>
      <c r="M14012" s="13"/>
      <c r="N14012" s="2"/>
      <c r="O14012" s="20"/>
      <c r="P14012" s="42"/>
      <c r="R14012" s="23"/>
    </row>
    <row r="14013" spans="1:18" ht="12.75">
      <c r="A14013" s="12"/>
      <c r="D14013" s="12"/>
      <c r="E14013" s="12"/>
      <c r="H14013" s="11" t="str">
        <f ca="1">IFERROR(__xludf.DUMMYFUNCTION("IFERROR(SUBSTITUTE(SUBSTITUTE(REGEXEXTRACT(A14013, ""[^-]+- [^-]+- [^-]+ - (.+?)\.jpg""), "".jpg"", """"), ""-"", "", ""), """")"),"")</f>
        <v/>
      </c>
      <c r="L14013" s="12"/>
      <c r="M14013" s="13"/>
      <c r="N14013" s="2"/>
      <c r="O14013" s="20"/>
      <c r="P14013" s="42"/>
      <c r="R14013" s="23"/>
    </row>
    <row r="14014" spans="1:18" ht="12.75">
      <c r="A14014" s="12"/>
      <c r="D14014" s="12"/>
      <c r="E14014" s="12"/>
      <c r="H14014" s="11" t="str">
        <f ca="1">IFERROR(__xludf.DUMMYFUNCTION("IFERROR(SUBSTITUTE(SUBSTITUTE(REGEXEXTRACT(A14014, ""[^-]+- [^-]+- [^-]+ - (.+?)\.jpg""), "".jpg"", """"), ""-"", "", ""), """")"),"")</f>
        <v/>
      </c>
      <c r="L14014" s="12"/>
      <c r="M14014" s="13"/>
      <c r="N14014" s="2"/>
      <c r="O14014" s="20"/>
      <c r="P14014" s="42"/>
      <c r="R14014" s="23"/>
    </row>
    <row r="14015" spans="1:18" ht="12.75">
      <c r="A14015" s="12"/>
      <c r="D14015" s="12"/>
      <c r="E14015" s="12"/>
      <c r="H14015" s="11" t="str">
        <f ca="1">IFERROR(__xludf.DUMMYFUNCTION("IFERROR(SUBSTITUTE(SUBSTITUTE(REGEXEXTRACT(A14015, ""[^-]+- [^-]+- [^-]+ - (.+?)\.jpg""), "".jpg"", """"), ""-"", "", ""), """")"),"")</f>
        <v/>
      </c>
      <c r="L14015" s="12"/>
      <c r="M14015" s="13"/>
      <c r="N14015" s="2"/>
      <c r="O14015" s="20"/>
      <c r="P14015" s="42"/>
      <c r="R14015" s="23"/>
    </row>
    <row r="14016" spans="1:18" ht="12.75">
      <c r="A14016" s="12"/>
      <c r="D14016" s="12"/>
      <c r="E14016" s="12"/>
      <c r="H14016" s="11" t="str">
        <f ca="1">IFERROR(__xludf.DUMMYFUNCTION("IFERROR(SUBSTITUTE(SUBSTITUTE(REGEXEXTRACT(A14016, ""[^-]+- [^-]+- [^-]+ - (.+?)\.jpg""), "".jpg"", """"), ""-"", "", ""), """")"),"")</f>
        <v/>
      </c>
      <c r="L14016" s="12"/>
      <c r="M14016" s="13"/>
      <c r="N14016" s="2"/>
      <c r="O14016" s="20"/>
      <c r="P14016" s="42"/>
      <c r="R14016" s="23"/>
    </row>
    <row r="14017" spans="1:18" ht="12.75">
      <c r="A14017" s="12"/>
      <c r="D14017" s="12"/>
      <c r="E14017" s="12"/>
      <c r="H14017" s="11" t="str">
        <f ca="1">IFERROR(__xludf.DUMMYFUNCTION("IFERROR(SUBSTITUTE(SUBSTITUTE(REGEXEXTRACT(A14017, ""[^-]+- [^-]+- [^-]+ - (.+?)\.jpg""), "".jpg"", """"), ""-"", "", ""), """")"),"")</f>
        <v/>
      </c>
      <c r="L14017" s="12"/>
      <c r="M14017" s="13"/>
      <c r="N14017" s="2"/>
      <c r="O14017" s="20"/>
      <c r="P14017" s="42"/>
      <c r="R14017" s="23"/>
    </row>
    <row r="14018" spans="1:18" ht="12.75">
      <c r="A14018" s="12"/>
      <c r="D14018" s="12"/>
      <c r="E14018" s="12"/>
      <c r="H14018" s="11" t="str">
        <f ca="1">IFERROR(__xludf.DUMMYFUNCTION("IFERROR(SUBSTITUTE(SUBSTITUTE(REGEXEXTRACT(A14018, ""[^-]+- [^-]+- [^-]+ - (.+?)\.jpg""), "".jpg"", """"), ""-"", "", ""), """")"),"")</f>
        <v/>
      </c>
      <c r="L14018" s="12"/>
      <c r="M14018" s="13"/>
      <c r="N14018" s="2"/>
      <c r="O14018" s="20"/>
      <c r="P14018" s="42"/>
      <c r="R14018" s="23"/>
    </row>
    <row r="14019" spans="1:18" ht="12.75">
      <c r="A14019" s="12"/>
      <c r="D14019" s="12"/>
      <c r="E14019" s="12"/>
      <c r="H14019" s="11" t="str">
        <f ca="1">IFERROR(__xludf.DUMMYFUNCTION("IFERROR(SUBSTITUTE(SUBSTITUTE(REGEXEXTRACT(A14019, ""[^-]+- [^-]+- [^-]+ - (.+?)\.jpg""), "".jpg"", """"), ""-"", "", ""), """")"),"")</f>
        <v/>
      </c>
      <c r="L14019" s="12"/>
      <c r="M14019" s="13"/>
      <c r="N14019" s="2"/>
      <c r="O14019" s="20"/>
      <c r="P14019" s="42"/>
      <c r="R14019" s="23"/>
    </row>
    <row r="14020" spans="1:18" ht="12.75">
      <c r="A14020" s="12"/>
      <c r="D14020" s="12"/>
      <c r="E14020" s="12"/>
      <c r="H14020" s="11" t="str">
        <f ca="1">IFERROR(__xludf.DUMMYFUNCTION("IFERROR(SUBSTITUTE(SUBSTITUTE(REGEXEXTRACT(A14020, ""[^-]+- [^-]+- [^-]+ - (.+?)\.jpg""), "".jpg"", """"), ""-"", "", ""), """")"),"")</f>
        <v/>
      </c>
      <c r="L14020" s="12"/>
      <c r="M14020" s="13"/>
      <c r="N14020" s="2"/>
      <c r="O14020" s="20"/>
      <c r="P14020" s="42"/>
      <c r="R14020" s="23"/>
    </row>
    <row r="14021" spans="1:18" ht="12.75">
      <c r="A14021" s="12"/>
      <c r="D14021" s="12"/>
      <c r="E14021" s="12"/>
      <c r="H14021" s="11" t="str">
        <f ca="1">IFERROR(__xludf.DUMMYFUNCTION("IFERROR(SUBSTITUTE(SUBSTITUTE(REGEXEXTRACT(A14021, ""[^-]+- [^-]+- [^-]+ - (.+?)\.jpg""), "".jpg"", """"), ""-"", "", ""), """")"),"")</f>
        <v/>
      </c>
      <c r="L14021" s="12"/>
      <c r="M14021" s="13"/>
      <c r="N14021" s="2"/>
      <c r="O14021" s="20"/>
      <c r="P14021" s="42"/>
      <c r="R14021" s="23"/>
    </row>
    <row r="14022" spans="1:18" ht="12.75">
      <c r="A14022" s="12"/>
      <c r="D14022" s="12"/>
      <c r="E14022" s="12"/>
      <c r="H14022" s="11" t="str">
        <f ca="1">IFERROR(__xludf.DUMMYFUNCTION("IFERROR(SUBSTITUTE(SUBSTITUTE(REGEXEXTRACT(A14022, ""[^-]+- [^-]+- [^-]+ - (.+?)\.jpg""), "".jpg"", """"), ""-"", "", ""), """")"),"")</f>
        <v/>
      </c>
      <c r="L14022" s="12"/>
      <c r="M14022" s="13"/>
      <c r="N14022" s="2"/>
      <c r="O14022" s="20"/>
      <c r="P14022" s="42"/>
      <c r="R14022" s="23"/>
    </row>
    <row r="14023" spans="1:18" ht="12.75">
      <c r="A14023" s="12"/>
      <c r="D14023" s="12"/>
      <c r="E14023" s="12"/>
      <c r="H14023" s="11" t="str">
        <f ca="1">IFERROR(__xludf.DUMMYFUNCTION("IFERROR(SUBSTITUTE(SUBSTITUTE(REGEXEXTRACT(A14023, ""[^-]+- [^-]+- [^-]+ - (.+?)\.jpg""), "".jpg"", """"), ""-"", "", ""), """")"),"")</f>
        <v/>
      </c>
      <c r="L14023" s="12"/>
      <c r="M14023" s="13"/>
      <c r="N14023" s="2"/>
      <c r="O14023" s="20"/>
      <c r="P14023" s="42"/>
      <c r="R14023" s="23"/>
    </row>
    <row r="14024" spans="1:18" ht="12.75">
      <c r="A14024" s="12"/>
      <c r="D14024" s="12"/>
      <c r="E14024" s="12"/>
      <c r="H14024" s="11" t="str">
        <f ca="1">IFERROR(__xludf.DUMMYFUNCTION("IFERROR(SUBSTITUTE(SUBSTITUTE(REGEXEXTRACT(A14024, ""[^-]+- [^-]+- [^-]+ - (.+?)\.jpg""), "".jpg"", """"), ""-"", "", ""), """")"),"")</f>
        <v/>
      </c>
      <c r="L14024" s="12"/>
      <c r="M14024" s="13"/>
      <c r="N14024" s="2"/>
      <c r="O14024" s="20"/>
      <c r="P14024" s="42"/>
      <c r="R14024" s="23"/>
    </row>
    <row r="14025" spans="1:18" ht="12.75">
      <c r="A14025" s="12"/>
      <c r="D14025" s="12"/>
      <c r="E14025" s="12"/>
      <c r="H14025" s="11" t="str">
        <f ca="1">IFERROR(__xludf.DUMMYFUNCTION("IFERROR(SUBSTITUTE(SUBSTITUTE(REGEXEXTRACT(A14025, ""[^-]+- [^-]+- [^-]+ - (.+?)\.jpg""), "".jpg"", """"), ""-"", "", ""), """")"),"")</f>
        <v/>
      </c>
      <c r="L14025" s="12"/>
      <c r="M14025" s="13"/>
      <c r="N14025" s="2"/>
      <c r="O14025" s="20"/>
      <c r="P14025" s="42"/>
      <c r="R14025" s="23"/>
    </row>
    <row r="14026" spans="1:18" ht="12.75">
      <c r="A14026" s="12"/>
      <c r="D14026" s="12"/>
      <c r="E14026" s="12"/>
      <c r="H14026" s="11" t="str">
        <f ca="1">IFERROR(__xludf.DUMMYFUNCTION("IFERROR(SUBSTITUTE(SUBSTITUTE(REGEXEXTRACT(A14026, ""[^-]+- [^-]+- [^-]+ - (.+?)\.jpg""), "".jpg"", """"), ""-"", "", ""), """")"),"")</f>
        <v/>
      </c>
      <c r="L14026" s="12"/>
      <c r="M14026" s="13"/>
      <c r="N14026" s="2"/>
      <c r="O14026" s="20"/>
      <c r="P14026" s="42"/>
      <c r="R14026" s="23"/>
    </row>
    <row r="14027" spans="1:18" ht="12.75">
      <c r="A14027" s="12"/>
      <c r="D14027" s="12"/>
      <c r="E14027" s="12"/>
      <c r="H14027" s="11" t="str">
        <f ca="1">IFERROR(__xludf.DUMMYFUNCTION("IFERROR(SUBSTITUTE(SUBSTITUTE(REGEXEXTRACT(A14027, ""[^-]+- [^-]+- [^-]+ - (.+?)\.jpg""), "".jpg"", """"), ""-"", "", ""), """")"),"")</f>
        <v/>
      </c>
      <c r="L14027" s="12"/>
      <c r="M14027" s="13"/>
      <c r="N14027" s="2"/>
      <c r="O14027" s="20"/>
      <c r="P14027" s="42"/>
      <c r="R14027" s="23"/>
    </row>
    <row r="14028" spans="1:18" ht="12.75">
      <c r="A14028" s="12"/>
      <c r="D14028" s="12"/>
      <c r="E14028" s="12"/>
      <c r="H14028" s="11" t="str">
        <f ca="1">IFERROR(__xludf.DUMMYFUNCTION("IFERROR(SUBSTITUTE(SUBSTITUTE(REGEXEXTRACT(A14028, ""[^-]+- [^-]+- [^-]+ - (.+?)\.jpg""), "".jpg"", """"), ""-"", "", ""), """")"),"")</f>
        <v/>
      </c>
      <c r="L14028" s="12"/>
      <c r="M14028" s="13"/>
      <c r="N14028" s="2"/>
      <c r="O14028" s="20"/>
      <c r="P14028" s="42"/>
      <c r="R14028" s="23"/>
    </row>
    <row r="14029" spans="1:18" ht="12.75">
      <c r="A14029" s="12"/>
      <c r="D14029" s="12"/>
      <c r="E14029" s="12"/>
      <c r="H14029" s="11" t="str">
        <f ca="1">IFERROR(__xludf.DUMMYFUNCTION("IFERROR(SUBSTITUTE(SUBSTITUTE(REGEXEXTRACT(A14029, ""[^-]+- [^-]+- [^-]+ - (.+?)\.jpg""), "".jpg"", """"), ""-"", "", ""), """")"),"")</f>
        <v/>
      </c>
      <c r="L14029" s="12"/>
      <c r="M14029" s="13"/>
      <c r="N14029" s="2"/>
      <c r="O14029" s="20"/>
      <c r="P14029" s="42"/>
      <c r="R14029" s="23"/>
    </row>
    <row r="14030" spans="1:18" ht="12.75">
      <c r="A14030" s="12"/>
      <c r="D14030" s="12"/>
      <c r="E14030" s="12"/>
      <c r="H14030" s="11" t="str">
        <f ca="1">IFERROR(__xludf.DUMMYFUNCTION("IFERROR(SUBSTITUTE(SUBSTITUTE(REGEXEXTRACT(A14030, ""[^-]+- [^-]+- [^-]+ - (.+?)\.jpg""), "".jpg"", """"), ""-"", "", ""), """")"),"")</f>
        <v/>
      </c>
      <c r="L14030" s="12"/>
      <c r="M14030" s="13"/>
      <c r="N14030" s="2"/>
      <c r="O14030" s="20"/>
      <c r="P14030" s="42"/>
      <c r="R14030" s="23"/>
    </row>
    <row r="14031" spans="1:18" ht="12.75">
      <c r="A14031" s="12"/>
      <c r="D14031" s="12"/>
      <c r="E14031" s="12"/>
      <c r="H14031" s="11" t="str">
        <f ca="1">IFERROR(__xludf.DUMMYFUNCTION("IFERROR(SUBSTITUTE(SUBSTITUTE(REGEXEXTRACT(A14031, ""[^-]+- [^-]+- [^-]+ - (.+?)\.jpg""), "".jpg"", """"), ""-"", "", ""), """")"),"")</f>
        <v/>
      </c>
      <c r="L14031" s="12"/>
      <c r="M14031" s="13"/>
      <c r="N14031" s="2"/>
      <c r="O14031" s="20"/>
      <c r="P14031" s="42"/>
      <c r="R14031" s="23"/>
    </row>
    <row r="14032" spans="1:18" ht="12.75">
      <c r="A14032" s="12"/>
      <c r="D14032" s="12"/>
      <c r="E14032" s="12"/>
      <c r="H14032" s="11" t="str">
        <f ca="1">IFERROR(__xludf.DUMMYFUNCTION("IFERROR(SUBSTITUTE(SUBSTITUTE(REGEXEXTRACT(A14032, ""[^-]+- [^-]+- [^-]+ - (.+?)\.jpg""), "".jpg"", """"), ""-"", "", ""), """")"),"")</f>
        <v/>
      </c>
      <c r="L14032" s="12"/>
      <c r="M14032" s="13"/>
      <c r="N14032" s="2"/>
      <c r="O14032" s="20"/>
      <c r="P14032" s="42"/>
      <c r="R14032" s="23"/>
    </row>
    <row r="14033" spans="1:18" ht="12.75">
      <c r="A14033" s="12"/>
      <c r="D14033" s="12"/>
      <c r="E14033" s="12"/>
      <c r="H14033" s="11" t="str">
        <f ca="1">IFERROR(__xludf.DUMMYFUNCTION("IFERROR(SUBSTITUTE(SUBSTITUTE(REGEXEXTRACT(A14033, ""[^-]+- [^-]+- [^-]+ - (.+?)\.jpg""), "".jpg"", """"), ""-"", "", ""), """")"),"")</f>
        <v/>
      </c>
      <c r="L14033" s="12"/>
      <c r="M14033" s="13"/>
      <c r="N14033" s="2"/>
      <c r="O14033" s="20"/>
      <c r="P14033" s="42"/>
      <c r="R14033" s="23"/>
    </row>
    <row r="14034" spans="1:18" ht="12.75">
      <c r="A14034" s="12"/>
      <c r="D14034" s="12"/>
      <c r="E14034" s="12"/>
      <c r="H14034" s="11" t="str">
        <f ca="1">IFERROR(__xludf.DUMMYFUNCTION("IFERROR(SUBSTITUTE(SUBSTITUTE(REGEXEXTRACT(A14034, ""[^-]+- [^-]+- [^-]+ - (.+?)\.jpg""), "".jpg"", """"), ""-"", "", ""), """")"),"")</f>
        <v/>
      </c>
      <c r="L14034" s="12"/>
      <c r="M14034" s="13"/>
      <c r="N14034" s="2"/>
      <c r="O14034" s="20"/>
      <c r="P14034" s="42"/>
      <c r="R14034" s="23"/>
    </row>
    <row r="14035" spans="1:18" ht="12.75">
      <c r="A14035" s="12"/>
      <c r="D14035" s="12"/>
      <c r="E14035" s="12"/>
      <c r="H14035" s="11" t="str">
        <f ca="1">IFERROR(__xludf.DUMMYFUNCTION("IFERROR(SUBSTITUTE(SUBSTITUTE(REGEXEXTRACT(A14035, ""[^-]+- [^-]+- [^-]+ - (.+?)\.jpg""), "".jpg"", """"), ""-"", "", ""), """")"),"")</f>
        <v/>
      </c>
      <c r="L14035" s="12"/>
      <c r="M14035" s="13"/>
      <c r="N14035" s="2"/>
      <c r="O14035" s="20"/>
      <c r="P14035" s="42"/>
      <c r="R14035" s="23"/>
    </row>
    <row r="14036" spans="1:18" ht="12.75">
      <c r="A14036" s="12"/>
      <c r="D14036" s="12"/>
      <c r="E14036" s="12"/>
      <c r="H14036" s="11" t="str">
        <f ca="1">IFERROR(__xludf.DUMMYFUNCTION("IFERROR(SUBSTITUTE(SUBSTITUTE(REGEXEXTRACT(A14036, ""[^-]+- [^-]+- [^-]+ - (.+?)\.jpg""), "".jpg"", """"), ""-"", "", ""), """")"),"")</f>
        <v/>
      </c>
      <c r="L14036" s="12"/>
      <c r="M14036" s="13"/>
      <c r="N14036" s="2"/>
      <c r="O14036" s="20"/>
      <c r="P14036" s="42"/>
      <c r="R14036" s="23"/>
    </row>
    <row r="14037" spans="1:18" ht="12.75">
      <c r="A14037" s="12"/>
      <c r="D14037" s="12"/>
      <c r="E14037" s="12"/>
      <c r="H14037" s="11" t="str">
        <f ca="1">IFERROR(__xludf.DUMMYFUNCTION("IFERROR(SUBSTITUTE(SUBSTITUTE(REGEXEXTRACT(A14037, ""[^-]+- [^-]+- [^-]+ - (.+?)\.jpg""), "".jpg"", """"), ""-"", "", ""), """")"),"")</f>
        <v/>
      </c>
      <c r="L14037" s="12"/>
      <c r="M14037" s="13"/>
      <c r="N14037" s="2"/>
      <c r="O14037" s="20"/>
      <c r="P14037" s="42"/>
      <c r="R14037" s="23"/>
    </row>
    <row r="14038" spans="1:18" ht="12.75">
      <c r="A14038" s="12"/>
      <c r="D14038" s="12"/>
      <c r="E14038" s="12"/>
      <c r="H14038" s="11" t="str">
        <f ca="1">IFERROR(__xludf.DUMMYFUNCTION("IFERROR(SUBSTITUTE(SUBSTITUTE(REGEXEXTRACT(A14038, ""[^-]+- [^-]+- [^-]+ - (.+?)\.jpg""), "".jpg"", """"), ""-"", "", ""), """")"),"")</f>
        <v/>
      </c>
      <c r="L14038" s="12"/>
      <c r="M14038" s="13"/>
      <c r="N14038" s="2"/>
      <c r="O14038" s="20"/>
      <c r="P14038" s="42"/>
      <c r="R14038" s="23"/>
    </row>
    <row r="14039" spans="1:18" ht="12.75">
      <c r="A14039" s="12"/>
      <c r="D14039" s="12"/>
      <c r="E14039" s="12"/>
      <c r="H14039" s="11" t="str">
        <f ca="1">IFERROR(__xludf.DUMMYFUNCTION("IFERROR(SUBSTITUTE(SUBSTITUTE(REGEXEXTRACT(A14039, ""[^-]+- [^-]+- [^-]+ - (.+?)\.jpg""), "".jpg"", """"), ""-"", "", ""), """")"),"")</f>
        <v/>
      </c>
      <c r="L14039" s="12"/>
      <c r="M14039" s="13"/>
      <c r="N14039" s="2"/>
      <c r="O14039" s="20"/>
      <c r="P14039" s="42"/>
      <c r="R14039" s="23"/>
    </row>
    <row r="14040" spans="1:18" ht="12.75">
      <c r="A14040" s="12"/>
      <c r="D14040" s="12"/>
      <c r="E14040" s="12"/>
      <c r="H14040" s="11" t="str">
        <f ca="1">IFERROR(__xludf.DUMMYFUNCTION("IFERROR(SUBSTITUTE(SUBSTITUTE(REGEXEXTRACT(A14040, ""[^-]+- [^-]+- [^-]+ - (.+?)\.jpg""), "".jpg"", """"), ""-"", "", ""), """")"),"")</f>
        <v/>
      </c>
      <c r="L14040" s="12"/>
      <c r="M14040" s="13"/>
      <c r="N14040" s="2"/>
      <c r="O14040" s="20"/>
      <c r="P14040" s="42"/>
      <c r="R14040" s="23"/>
    </row>
    <row r="14041" spans="1:18" ht="12.75">
      <c r="A14041" s="12"/>
      <c r="D14041" s="12"/>
      <c r="E14041" s="12"/>
      <c r="H14041" s="11" t="str">
        <f ca="1">IFERROR(__xludf.DUMMYFUNCTION("IFERROR(SUBSTITUTE(SUBSTITUTE(REGEXEXTRACT(A14041, ""[^-]+- [^-]+- [^-]+ - (.+?)\.jpg""), "".jpg"", """"), ""-"", "", ""), """")"),"")</f>
        <v/>
      </c>
      <c r="L14041" s="12"/>
      <c r="M14041" s="13"/>
      <c r="N14041" s="2"/>
      <c r="O14041" s="20"/>
      <c r="P14041" s="42"/>
      <c r="R14041" s="23"/>
    </row>
    <row r="14042" spans="1:18" ht="12.75">
      <c r="A14042" s="12"/>
      <c r="D14042" s="12"/>
      <c r="E14042" s="12"/>
      <c r="H14042" s="11" t="str">
        <f ca="1">IFERROR(__xludf.DUMMYFUNCTION("IFERROR(SUBSTITUTE(SUBSTITUTE(REGEXEXTRACT(A14042, ""[^-]+- [^-]+- [^-]+ - (.+?)\.jpg""), "".jpg"", """"), ""-"", "", ""), """")"),"")</f>
        <v/>
      </c>
      <c r="L14042" s="12"/>
      <c r="M14042" s="13"/>
      <c r="N14042" s="2"/>
      <c r="O14042" s="20"/>
      <c r="P14042" s="42"/>
      <c r="R14042" s="23"/>
    </row>
    <row r="14043" spans="1:18" ht="12.75">
      <c r="A14043" s="12"/>
      <c r="D14043" s="12"/>
      <c r="E14043" s="12"/>
      <c r="H14043" s="11" t="str">
        <f ca="1">IFERROR(__xludf.DUMMYFUNCTION("IFERROR(SUBSTITUTE(SUBSTITUTE(REGEXEXTRACT(A14043, ""[^-]+- [^-]+- [^-]+ - (.+?)\.jpg""), "".jpg"", """"), ""-"", "", ""), """")"),"")</f>
        <v/>
      </c>
      <c r="L14043" s="12"/>
      <c r="M14043" s="13"/>
      <c r="N14043" s="2"/>
      <c r="O14043" s="20"/>
      <c r="P14043" s="42"/>
      <c r="R14043" s="23"/>
    </row>
    <row r="14044" spans="1:18" ht="12.75">
      <c r="A14044" s="12"/>
      <c r="D14044" s="12"/>
      <c r="E14044" s="12"/>
      <c r="H14044" s="11" t="str">
        <f ca="1">IFERROR(__xludf.DUMMYFUNCTION("IFERROR(SUBSTITUTE(SUBSTITUTE(REGEXEXTRACT(A14044, ""[^-]+- [^-]+- [^-]+ - (.+?)\.jpg""), "".jpg"", """"), ""-"", "", ""), """")"),"")</f>
        <v/>
      </c>
      <c r="L14044" s="12"/>
      <c r="M14044" s="13"/>
      <c r="N14044" s="2"/>
      <c r="O14044" s="20"/>
      <c r="P14044" s="42"/>
      <c r="R14044" s="23"/>
    </row>
    <row r="14045" spans="1:18" ht="12.75">
      <c r="A14045" s="12"/>
      <c r="D14045" s="12"/>
      <c r="E14045" s="12"/>
      <c r="H14045" s="11" t="str">
        <f ca="1">IFERROR(__xludf.DUMMYFUNCTION("IFERROR(SUBSTITUTE(SUBSTITUTE(REGEXEXTRACT(A14045, ""[^-]+- [^-]+- [^-]+ - (.+?)\.jpg""), "".jpg"", """"), ""-"", "", ""), """")"),"")</f>
        <v/>
      </c>
      <c r="L14045" s="12"/>
      <c r="M14045" s="13"/>
      <c r="N14045" s="2"/>
      <c r="O14045" s="20"/>
      <c r="P14045" s="42"/>
      <c r="R14045" s="23"/>
    </row>
    <row r="14046" spans="1:18" ht="12.75">
      <c r="A14046" s="12"/>
      <c r="D14046" s="12"/>
      <c r="E14046" s="12"/>
      <c r="H14046" s="11" t="str">
        <f ca="1">IFERROR(__xludf.DUMMYFUNCTION("IFERROR(SUBSTITUTE(SUBSTITUTE(REGEXEXTRACT(A14046, ""[^-]+- [^-]+- [^-]+ - (.+?)\.jpg""), "".jpg"", """"), ""-"", "", ""), """")"),"")</f>
        <v/>
      </c>
      <c r="L14046" s="12"/>
      <c r="M14046" s="13"/>
      <c r="N14046" s="2"/>
      <c r="O14046" s="20"/>
      <c r="P14046" s="42"/>
      <c r="R14046" s="23"/>
    </row>
    <row r="14047" spans="1:18" ht="12.75">
      <c r="A14047" s="12"/>
      <c r="D14047" s="12"/>
      <c r="E14047" s="12"/>
      <c r="H14047" s="11" t="str">
        <f ca="1">IFERROR(__xludf.DUMMYFUNCTION("IFERROR(SUBSTITUTE(SUBSTITUTE(REGEXEXTRACT(A14047, ""[^-]+- [^-]+- [^-]+ - (.+?)\.jpg""), "".jpg"", """"), ""-"", "", ""), """")"),"")</f>
        <v/>
      </c>
      <c r="L14047" s="12"/>
      <c r="M14047" s="13"/>
      <c r="N14047" s="2"/>
      <c r="O14047" s="20"/>
      <c r="P14047" s="42"/>
      <c r="R14047" s="23"/>
    </row>
    <row r="14048" spans="1:18" ht="12.75">
      <c r="A14048" s="12"/>
      <c r="D14048" s="12"/>
      <c r="E14048" s="12"/>
      <c r="H14048" s="11" t="str">
        <f ca="1">IFERROR(__xludf.DUMMYFUNCTION("IFERROR(SUBSTITUTE(SUBSTITUTE(REGEXEXTRACT(A14048, ""[^-]+- [^-]+- [^-]+ - (.+?)\.jpg""), "".jpg"", """"), ""-"", "", ""), """")"),"")</f>
        <v/>
      </c>
      <c r="L14048" s="12"/>
      <c r="M14048" s="13"/>
      <c r="N14048" s="2"/>
      <c r="O14048" s="20"/>
      <c r="P14048" s="42"/>
      <c r="R14048" s="23"/>
    </row>
    <row r="14049" spans="1:18" ht="12.75">
      <c r="A14049" s="12"/>
      <c r="D14049" s="12"/>
      <c r="E14049" s="12"/>
      <c r="H14049" s="11" t="str">
        <f ca="1">IFERROR(__xludf.DUMMYFUNCTION("IFERROR(SUBSTITUTE(SUBSTITUTE(REGEXEXTRACT(A14049, ""[^-]+- [^-]+- [^-]+ - (.+?)\.jpg""), "".jpg"", """"), ""-"", "", ""), """")"),"")</f>
        <v/>
      </c>
      <c r="L14049" s="12"/>
      <c r="M14049" s="13"/>
      <c r="N14049" s="2"/>
      <c r="O14049" s="20"/>
      <c r="P14049" s="42"/>
      <c r="R14049" s="23"/>
    </row>
    <row r="14050" spans="1:18" ht="12.75">
      <c r="A14050" s="12"/>
      <c r="D14050" s="12"/>
      <c r="E14050" s="12"/>
      <c r="H14050" s="11" t="str">
        <f ca="1">IFERROR(__xludf.DUMMYFUNCTION("IFERROR(SUBSTITUTE(SUBSTITUTE(REGEXEXTRACT(A14050, ""[^-]+- [^-]+- [^-]+ - (.+?)\.jpg""), "".jpg"", """"), ""-"", "", ""), """")"),"")</f>
        <v/>
      </c>
      <c r="L14050" s="12"/>
      <c r="M14050" s="13"/>
      <c r="N14050" s="2"/>
      <c r="O14050" s="20"/>
      <c r="P14050" s="42"/>
      <c r="R14050" s="23"/>
    </row>
    <row r="14051" spans="1:18" ht="12.75">
      <c r="A14051" s="12"/>
      <c r="D14051" s="12"/>
      <c r="E14051" s="12"/>
      <c r="H14051" s="11" t="str">
        <f ca="1">IFERROR(__xludf.DUMMYFUNCTION("IFERROR(SUBSTITUTE(SUBSTITUTE(REGEXEXTRACT(A14051, ""[^-]+- [^-]+- [^-]+ - (.+?)\.jpg""), "".jpg"", """"), ""-"", "", ""), """")"),"")</f>
        <v/>
      </c>
      <c r="L14051" s="12"/>
      <c r="M14051" s="13"/>
      <c r="N14051" s="2"/>
      <c r="O14051" s="20"/>
      <c r="P14051" s="42"/>
      <c r="R14051" s="23"/>
    </row>
    <row r="14052" spans="1:18" ht="12.75">
      <c r="A14052" s="12"/>
      <c r="D14052" s="12"/>
      <c r="E14052" s="12"/>
      <c r="H14052" s="11" t="str">
        <f ca="1">IFERROR(__xludf.DUMMYFUNCTION("IFERROR(SUBSTITUTE(SUBSTITUTE(REGEXEXTRACT(A14052, ""[^-]+- [^-]+- [^-]+ - (.+?)\.jpg""), "".jpg"", """"), ""-"", "", ""), """")"),"")</f>
        <v/>
      </c>
      <c r="L14052" s="12"/>
      <c r="M14052" s="13"/>
      <c r="N14052" s="2"/>
      <c r="O14052" s="20"/>
      <c r="P14052" s="42"/>
      <c r="R14052" s="23"/>
    </row>
    <row r="14053" spans="1:18" ht="12.75">
      <c r="A14053" s="12"/>
      <c r="D14053" s="12"/>
      <c r="E14053" s="12"/>
      <c r="H14053" s="11" t="str">
        <f ca="1">IFERROR(__xludf.DUMMYFUNCTION("IFERROR(SUBSTITUTE(SUBSTITUTE(REGEXEXTRACT(A14053, ""[^-]+- [^-]+- [^-]+ - (.+?)\.jpg""), "".jpg"", """"), ""-"", "", ""), """")"),"")</f>
        <v/>
      </c>
      <c r="L14053" s="12"/>
      <c r="M14053" s="13"/>
      <c r="N14053" s="2"/>
      <c r="O14053" s="20"/>
      <c r="P14053" s="42"/>
      <c r="R14053" s="23"/>
    </row>
    <row r="14054" spans="1:18" ht="12.75">
      <c r="A14054" s="12"/>
      <c r="D14054" s="12"/>
      <c r="E14054" s="12"/>
      <c r="H14054" s="11" t="str">
        <f ca="1">IFERROR(__xludf.DUMMYFUNCTION("IFERROR(SUBSTITUTE(SUBSTITUTE(REGEXEXTRACT(A14054, ""[^-]+- [^-]+- [^-]+ - (.+?)\.jpg""), "".jpg"", """"), ""-"", "", ""), """")"),"")</f>
        <v/>
      </c>
      <c r="L14054" s="12"/>
      <c r="M14054" s="13"/>
      <c r="N14054" s="2"/>
      <c r="O14054" s="20"/>
      <c r="P14054" s="42"/>
      <c r="R14054" s="23"/>
    </row>
    <row r="14055" spans="1:18" ht="12.75">
      <c r="A14055" s="12"/>
      <c r="D14055" s="12"/>
      <c r="E14055" s="12"/>
      <c r="H14055" s="11" t="str">
        <f ca="1">IFERROR(__xludf.DUMMYFUNCTION("IFERROR(SUBSTITUTE(SUBSTITUTE(REGEXEXTRACT(A14055, ""[^-]+- [^-]+- [^-]+ - (.+?)\.jpg""), "".jpg"", """"), ""-"", "", ""), """")"),"")</f>
        <v/>
      </c>
      <c r="L14055" s="12"/>
      <c r="M14055" s="13"/>
      <c r="N14055" s="2"/>
      <c r="O14055" s="20"/>
      <c r="P14055" s="42"/>
      <c r="R14055" s="23"/>
    </row>
    <row r="14056" spans="1:18" ht="12.75">
      <c r="A14056" s="12"/>
      <c r="D14056" s="12"/>
      <c r="E14056" s="12"/>
      <c r="H14056" s="11" t="str">
        <f ca="1">IFERROR(__xludf.DUMMYFUNCTION("IFERROR(SUBSTITUTE(SUBSTITUTE(REGEXEXTRACT(A14056, ""[^-]+- [^-]+- [^-]+ - (.+?)\.jpg""), "".jpg"", """"), ""-"", "", ""), """")"),"")</f>
        <v/>
      </c>
      <c r="L14056" s="12"/>
      <c r="M14056" s="13"/>
      <c r="N14056" s="2"/>
      <c r="O14056" s="20"/>
      <c r="P14056" s="42"/>
      <c r="R14056" s="23"/>
    </row>
    <row r="14057" spans="1:18" ht="12.75">
      <c r="A14057" s="12"/>
      <c r="D14057" s="12"/>
      <c r="E14057" s="12"/>
      <c r="H14057" s="11" t="str">
        <f ca="1">IFERROR(__xludf.DUMMYFUNCTION("IFERROR(SUBSTITUTE(SUBSTITUTE(REGEXEXTRACT(A14057, ""[^-]+- [^-]+- [^-]+ - (.+?)\.jpg""), "".jpg"", """"), ""-"", "", ""), """")"),"")</f>
        <v/>
      </c>
      <c r="L14057" s="12"/>
      <c r="M14057" s="13"/>
      <c r="N14057" s="2"/>
      <c r="O14057" s="20"/>
      <c r="P14057" s="42"/>
      <c r="R14057" s="23"/>
    </row>
    <row r="14058" spans="1:18" ht="12.75">
      <c r="A14058" s="12"/>
      <c r="D14058" s="12"/>
      <c r="E14058" s="12"/>
      <c r="H14058" s="11" t="str">
        <f ca="1">IFERROR(__xludf.DUMMYFUNCTION("IFERROR(SUBSTITUTE(SUBSTITUTE(REGEXEXTRACT(A14058, ""[^-]+- [^-]+- [^-]+ - (.+?)\.jpg""), "".jpg"", """"), ""-"", "", ""), """")"),"")</f>
        <v/>
      </c>
      <c r="L14058" s="12"/>
      <c r="M14058" s="13"/>
      <c r="N14058" s="2"/>
      <c r="O14058" s="20"/>
      <c r="P14058" s="42"/>
      <c r="R14058" s="23"/>
    </row>
    <row r="14059" spans="1:18" ht="12.75">
      <c r="A14059" s="12"/>
      <c r="D14059" s="12"/>
      <c r="E14059" s="12"/>
      <c r="H14059" s="11" t="str">
        <f ca="1">IFERROR(__xludf.DUMMYFUNCTION("IFERROR(SUBSTITUTE(SUBSTITUTE(REGEXEXTRACT(A14059, ""[^-]+- [^-]+- [^-]+ - (.+?)\.jpg""), "".jpg"", """"), ""-"", "", ""), """")"),"")</f>
        <v/>
      </c>
      <c r="L14059" s="12"/>
      <c r="M14059" s="13"/>
      <c r="N14059" s="2"/>
      <c r="O14059" s="20"/>
      <c r="P14059" s="42"/>
      <c r="R14059" s="23"/>
    </row>
    <row r="14060" spans="1:18" ht="12.75">
      <c r="A14060" s="12"/>
      <c r="D14060" s="12"/>
      <c r="E14060" s="12"/>
      <c r="H14060" s="11" t="str">
        <f ca="1">IFERROR(__xludf.DUMMYFUNCTION("IFERROR(SUBSTITUTE(SUBSTITUTE(REGEXEXTRACT(A14060, ""[^-]+- [^-]+- [^-]+ - (.+?)\.jpg""), "".jpg"", """"), ""-"", "", ""), """")"),"")</f>
        <v/>
      </c>
      <c r="L14060" s="12"/>
      <c r="M14060" s="13"/>
      <c r="N14060" s="2"/>
      <c r="O14060" s="20"/>
      <c r="P14060" s="42"/>
      <c r="R14060" s="23"/>
    </row>
    <row r="14061" spans="1:18" ht="12.75">
      <c r="A14061" s="12"/>
      <c r="D14061" s="12"/>
      <c r="E14061" s="12"/>
      <c r="H14061" s="11" t="str">
        <f ca="1">IFERROR(__xludf.DUMMYFUNCTION("IFERROR(SUBSTITUTE(SUBSTITUTE(REGEXEXTRACT(A14061, ""[^-]+- [^-]+- [^-]+ - (.+?)\.jpg""), "".jpg"", """"), ""-"", "", ""), """")"),"")</f>
        <v/>
      </c>
      <c r="L14061" s="12"/>
      <c r="M14061" s="13"/>
      <c r="N14061" s="2"/>
      <c r="O14061" s="20"/>
      <c r="P14061" s="42"/>
      <c r="R14061" s="23"/>
    </row>
    <row r="14062" spans="1:18" ht="12.75">
      <c r="A14062" s="12"/>
      <c r="D14062" s="12"/>
      <c r="E14062" s="12"/>
      <c r="H14062" s="11" t="str">
        <f ca="1">IFERROR(__xludf.DUMMYFUNCTION("IFERROR(SUBSTITUTE(SUBSTITUTE(REGEXEXTRACT(A14062, ""[^-]+- [^-]+- [^-]+ - (.+?)\.jpg""), "".jpg"", """"), ""-"", "", ""), """")"),"")</f>
        <v/>
      </c>
      <c r="L14062" s="12"/>
      <c r="M14062" s="13"/>
      <c r="N14062" s="2"/>
      <c r="O14062" s="20"/>
      <c r="P14062" s="42"/>
      <c r="R14062" s="23"/>
    </row>
    <row r="14063" spans="1:18" ht="12.75">
      <c r="A14063" s="12"/>
      <c r="D14063" s="12"/>
      <c r="E14063" s="12"/>
      <c r="H14063" s="11" t="str">
        <f ca="1">IFERROR(__xludf.DUMMYFUNCTION("IFERROR(SUBSTITUTE(SUBSTITUTE(REGEXEXTRACT(A14063, ""[^-]+- [^-]+- [^-]+ - (.+?)\.jpg""), "".jpg"", """"), ""-"", "", ""), """")"),"")</f>
        <v/>
      </c>
      <c r="L14063" s="12"/>
      <c r="M14063" s="13"/>
      <c r="N14063" s="2"/>
      <c r="O14063" s="20"/>
      <c r="P14063" s="42"/>
      <c r="R14063" s="23"/>
    </row>
    <row r="14064" spans="1:18" ht="12.75">
      <c r="A14064" s="12"/>
      <c r="D14064" s="12"/>
      <c r="E14064" s="12"/>
      <c r="H14064" s="11" t="str">
        <f ca="1">IFERROR(__xludf.DUMMYFUNCTION("IFERROR(SUBSTITUTE(SUBSTITUTE(REGEXEXTRACT(A14064, ""[^-]+- [^-]+- [^-]+ - (.+?)\.jpg""), "".jpg"", """"), ""-"", "", ""), """")"),"")</f>
        <v/>
      </c>
      <c r="L14064" s="12"/>
      <c r="M14064" s="13"/>
      <c r="N14064" s="2"/>
      <c r="O14064" s="20"/>
      <c r="P14064" s="42"/>
      <c r="R14064" s="23"/>
    </row>
    <row r="14065" spans="1:18" ht="12.75">
      <c r="A14065" s="12"/>
      <c r="D14065" s="12"/>
      <c r="E14065" s="12"/>
      <c r="H14065" s="11" t="str">
        <f ca="1">IFERROR(__xludf.DUMMYFUNCTION("IFERROR(SUBSTITUTE(SUBSTITUTE(REGEXEXTRACT(A14065, ""[^-]+- [^-]+- [^-]+ - (.+?)\.jpg""), "".jpg"", """"), ""-"", "", ""), """")"),"")</f>
        <v/>
      </c>
      <c r="L14065" s="12"/>
      <c r="M14065" s="13"/>
      <c r="N14065" s="2"/>
      <c r="O14065" s="20"/>
      <c r="P14065" s="42"/>
      <c r="R14065" s="23"/>
    </row>
    <row r="14066" spans="1:18" ht="12.75">
      <c r="A14066" s="12"/>
      <c r="D14066" s="12"/>
      <c r="E14066" s="12"/>
      <c r="H14066" s="11" t="str">
        <f ca="1">IFERROR(__xludf.DUMMYFUNCTION("IFERROR(SUBSTITUTE(SUBSTITUTE(REGEXEXTRACT(A14066, ""[^-]+- [^-]+- [^-]+ - (.+?)\.jpg""), "".jpg"", """"), ""-"", "", ""), """")"),"")</f>
        <v/>
      </c>
      <c r="L14066" s="12"/>
      <c r="M14066" s="13"/>
      <c r="N14066" s="2"/>
      <c r="O14066" s="20"/>
      <c r="P14066" s="42"/>
      <c r="R14066" s="23"/>
    </row>
    <row r="14067" spans="1:18" ht="12.75">
      <c r="A14067" s="12"/>
      <c r="D14067" s="12"/>
      <c r="E14067" s="12"/>
      <c r="H14067" s="11" t="str">
        <f ca="1">IFERROR(__xludf.DUMMYFUNCTION("IFERROR(SUBSTITUTE(SUBSTITUTE(REGEXEXTRACT(A14067, ""[^-]+- [^-]+- [^-]+ - (.+?)\.jpg""), "".jpg"", """"), ""-"", "", ""), """")"),"")</f>
        <v/>
      </c>
      <c r="L14067" s="12"/>
      <c r="M14067" s="13"/>
      <c r="N14067" s="2"/>
      <c r="O14067" s="20"/>
      <c r="P14067" s="42"/>
      <c r="R14067" s="23"/>
    </row>
    <row r="14068" spans="1:18" ht="12.75">
      <c r="A14068" s="12"/>
      <c r="D14068" s="12"/>
      <c r="E14068" s="12"/>
      <c r="H14068" s="11" t="str">
        <f ca="1">IFERROR(__xludf.DUMMYFUNCTION("IFERROR(SUBSTITUTE(SUBSTITUTE(REGEXEXTRACT(A14068, ""[^-]+- [^-]+- [^-]+ - (.+?)\.jpg""), "".jpg"", """"), ""-"", "", ""), """")"),"")</f>
        <v/>
      </c>
      <c r="L14068" s="12"/>
      <c r="M14068" s="13"/>
      <c r="N14068" s="2"/>
      <c r="O14068" s="20"/>
      <c r="P14068" s="42"/>
      <c r="R14068" s="23"/>
    </row>
    <row r="14069" spans="1:18" ht="12.75">
      <c r="A14069" s="12"/>
      <c r="D14069" s="12"/>
      <c r="E14069" s="12"/>
      <c r="H14069" s="11" t="str">
        <f ca="1">IFERROR(__xludf.DUMMYFUNCTION("IFERROR(SUBSTITUTE(SUBSTITUTE(REGEXEXTRACT(A14069, ""[^-]+- [^-]+- [^-]+ - (.+?)\.jpg""), "".jpg"", """"), ""-"", "", ""), """")"),"")</f>
        <v/>
      </c>
      <c r="L14069" s="12"/>
      <c r="M14069" s="13"/>
      <c r="N14069" s="2"/>
      <c r="O14069" s="20"/>
      <c r="P14069" s="42"/>
      <c r="R14069" s="23"/>
    </row>
    <row r="14070" spans="1:18" ht="12.75">
      <c r="A14070" s="12"/>
      <c r="D14070" s="12"/>
      <c r="E14070" s="12"/>
      <c r="H14070" s="11" t="str">
        <f ca="1">IFERROR(__xludf.DUMMYFUNCTION("IFERROR(SUBSTITUTE(SUBSTITUTE(REGEXEXTRACT(A14070, ""[^-]+- [^-]+- [^-]+ - (.+?)\.jpg""), "".jpg"", """"), ""-"", "", ""), """")"),"")</f>
        <v/>
      </c>
      <c r="L14070" s="12"/>
      <c r="M14070" s="13"/>
      <c r="N14070" s="2"/>
      <c r="O14070" s="20"/>
      <c r="P14070" s="42"/>
      <c r="R14070" s="23"/>
    </row>
    <row r="14071" spans="1:18" ht="12.75">
      <c r="A14071" s="12"/>
      <c r="D14071" s="12"/>
      <c r="E14071" s="12"/>
      <c r="H14071" s="11" t="str">
        <f ca="1">IFERROR(__xludf.DUMMYFUNCTION("IFERROR(SUBSTITUTE(SUBSTITUTE(REGEXEXTRACT(A14071, ""[^-]+- [^-]+- [^-]+ - (.+?)\.jpg""), "".jpg"", """"), ""-"", "", ""), """")"),"")</f>
        <v/>
      </c>
      <c r="L14071" s="12"/>
      <c r="M14071" s="13"/>
      <c r="N14071" s="2"/>
      <c r="O14071" s="20"/>
      <c r="P14071" s="42"/>
      <c r="R14071" s="23"/>
    </row>
    <row r="14072" spans="1:18" ht="12.75">
      <c r="A14072" s="12"/>
      <c r="D14072" s="12"/>
      <c r="E14072" s="12"/>
      <c r="H14072" s="11" t="str">
        <f ca="1">IFERROR(__xludf.DUMMYFUNCTION("IFERROR(SUBSTITUTE(SUBSTITUTE(REGEXEXTRACT(A14072, ""[^-]+- [^-]+- [^-]+ - (.+?)\.jpg""), "".jpg"", """"), ""-"", "", ""), """")"),"")</f>
        <v/>
      </c>
      <c r="L14072" s="12"/>
      <c r="M14072" s="13"/>
      <c r="N14072" s="2"/>
      <c r="O14072" s="20"/>
      <c r="P14072" s="42"/>
      <c r="R14072" s="23"/>
    </row>
    <row r="14073" spans="1:18" ht="12.75">
      <c r="A14073" s="12"/>
      <c r="D14073" s="12"/>
      <c r="E14073" s="12"/>
      <c r="H14073" s="11" t="str">
        <f ca="1">IFERROR(__xludf.DUMMYFUNCTION("IFERROR(SUBSTITUTE(SUBSTITUTE(REGEXEXTRACT(A14073, ""[^-]+- [^-]+- [^-]+ - (.+?)\.jpg""), "".jpg"", """"), ""-"", "", ""), """")"),"")</f>
        <v/>
      </c>
      <c r="L14073" s="12"/>
      <c r="M14073" s="13"/>
      <c r="N14073" s="2"/>
      <c r="O14073" s="20"/>
      <c r="P14073" s="42"/>
      <c r="R14073" s="23"/>
    </row>
    <row r="14074" spans="1:18" ht="12.75">
      <c r="A14074" s="12"/>
      <c r="D14074" s="12"/>
      <c r="E14074" s="12"/>
      <c r="H14074" s="11" t="str">
        <f ca="1">IFERROR(__xludf.DUMMYFUNCTION("IFERROR(SUBSTITUTE(SUBSTITUTE(REGEXEXTRACT(A14074, ""[^-]+- [^-]+- [^-]+ - (.+?)\.jpg""), "".jpg"", """"), ""-"", "", ""), """")"),"")</f>
        <v/>
      </c>
      <c r="L14074" s="12"/>
      <c r="M14074" s="13"/>
      <c r="N14074" s="2"/>
      <c r="O14074" s="20"/>
      <c r="P14074" s="42"/>
      <c r="R14074" s="23"/>
    </row>
    <row r="14075" spans="1:18" ht="12.75">
      <c r="A14075" s="12"/>
      <c r="D14075" s="12"/>
      <c r="E14075" s="12"/>
      <c r="H14075" s="11" t="str">
        <f ca="1">IFERROR(__xludf.DUMMYFUNCTION("IFERROR(SUBSTITUTE(SUBSTITUTE(REGEXEXTRACT(A14075, ""[^-]+- [^-]+- [^-]+ - (.+?)\.jpg""), "".jpg"", """"), ""-"", "", ""), """")"),"")</f>
        <v/>
      </c>
      <c r="L14075" s="12"/>
      <c r="M14075" s="13"/>
      <c r="N14075" s="2"/>
      <c r="O14075" s="20"/>
      <c r="P14075" s="42"/>
      <c r="R14075" s="23"/>
    </row>
    <row r="14076" spans="1:18" ht="12.75">
      <c r="A14076" s="12"/>
      <c r="D14076" s="12"/>
      <c r="E14076" s="12"/>
      <c r="H14076" s="11" t="str">
        <f ca="1">IFERROR(__xludf.DUMMYFUNCTION("IFERROR(SUBSTITUTE(SUBSTITUTE(REGEXEXTRACT(A14076, ""[^-]+- [^-]+- [^-]+ - (.+?)\.jpg""), "".jpg"", """"), ""-"", "", ""), """")"),"")</f>
        <v/>
      </c>
      <c r="L14076" s="12"/>
      <c r="M14076" s="13"/>
      <c r="N14076" s="2"/>
      <c r="O14076" s="20"/>
      <c r="P14076" s="42"/>
      <c r="R14076" s="23"/>
    </row>
    <row r="14077" spans="1:18" ht="12.75">
      <c r="A14077" s="12"/>
      <c r="D14077" s="12"/>
      <c r="E14077" s="12"/>
      <c r="H14077" s="11" t="str">
        <f ca="1">IFERROR(__xludf.DUMMYFUNCTION("IFERROR(SUBSTITUTE(SUBSTITUTE(REGEXEXTRACT(A14077, ""[^-]+- [^-]+- [^-]+ - (.+?)\.jpg""), "".jpg"", """"), ""-"", "", ""), """")"),"")</f>
        <v/>
      </c>
      <c r="L14077" s="12"/>
      <c r="M14077" s="13"/>
      <c r="N14077" s="2"/>
      <c r="O14077" s="20"/>
      <c r="P14077" s="42"/>
      <c r="R14077" s="23"/>
    </row>
    <row r="14078" spans="1:18" ht="12.75">
      <c r="A14078" s="12"/>
      <c r="D14078" s="12"/>
      <c r="E14078" s="12"/>
      <c r="H14078" s="11" t="str">
        <f ca="1">IFERROR(__xludf.DUMMYFUNCTION("IFERROR(SUBSTITUTE(SUBSTITUTE(REGEXEXTRACT(A14078, ""[^-]+- [^-]+- [^-]+ - (.+?)\.jpg""), "".jpg"", """"), ""-"", "", ""), """")"),"")</f>
        <v/>
      </c>
      <c r="L14078" s="12"/>
      <c r="M14078" s="13"/>
      <c r="N14078" s="2"/>
      <c r="O14078" s="20"/>
      <c r="P14078" s="42"/>
      <c r="R14078" s="23"/>
    </row>
    <row r="14079" spans="1:18" ht="12.75">
      <c r="A14079" s="12"/>
      <c r="D14079" s="12"/>
      <c r="E14079" s="12"/>
      <c r="H14079" s="11" t="str">
        <f ca="1">IFERROR(__xludf.DUMMYFUNCTION("IFERROR(SUBSTITUTE(SUBSTITUTE(REGEXEXTRACT(A14079, ""[^-]+- [^-]+- [^-]+ - (.+?)\.jpg""), "".jpg"", """"), ""-"", "", ""), """")"),"")</f>
        <v/>
      </c>
      <c r="L14079" s="12"/>
      <c r="M14079" s="13"/>
      <c r="N14079" s="2"/>
      <c r="O14079" s="20"/>
      <c r="P14079" s="42"/>
      <c r="R14079" s="23"/>
    </row>
    <row r="14080" spans="1:18" ht="12.75">
      <c r="A14080" s="12"/>
      <c r="D14080" s="12"/>
      <c r="E14080" s="12"/>
      <c r="H14080" s="11" t="str">
        <f ca="1">IFERROR(__xludf.DUMMYFUNCTION("IFERROR(SUBSTITUTE(SUBSTITUTE(REGEXEXTRACT(A14080, ""[^-]+- [^-]+- [^-]+ - (.+?)\.jpg""), "".jpg"", """"), ""-"", "", ""), """")"),"")</f>
        <v/>
      </c>
      <c r="L14080" s="12"/>
      <c r="M14080" s="13"/>
      <c r="N14080" s="2"/>
      <c r="O14080" s="20"/>
      <c r="P14080" s="42"/>
      <c r="R14080" s="23"/>
    </row>
    <row r="14081" spans="1:18" ht="12.75">
      <c r="A14081" s="12"/>
      <c r="D14081" s="12"/>
      <c r="E14081" s="12"/>
      <c r="H14081" s="11" t="str">
        <f ca="1">IFERROR(__xludf.DUMMYFUNCTION("IFERROR(SUBSTITUTE(SUBSTITUTE(REGEXEXTRACT(A14081, ""[^-]+- [^-]+- [^-]+ - (.+?)\.jpg""), "".jpg"", """"), ""-"", "", ""), """")"),"")</f>
        <v/>
      </c>
      <c r="L14081" s="12"/>
      <c r="M14081" s="13"/>
      <c r="N14081" s="2"/>
      <c r="O14081" s="20"/>
      <c r="P14081" s="42"/>
      <c r="R14081" s="23"/>
    </row>
    <row r="14082" spans="1:18" ht="12.75">
      <c r="A14082" s="12"/>
      <c r="D14082" s="12"/>
      <c r="E14082" s="12"/>
      <c r="H14082" s="11" t="str">
        <f ca="1">IFERROR(__xludf.DUMMYFUNCTION("IFERROR(SUBSTITUTE(SUBSTITUTE(REGEXEXTRACT(A14082, ""[^-]+- [^-]+- [^-]+ - (.+?)\.jpg""), "".jpg"", """"), ""-"", "", ""), """")"),"")</f>
        <v/>
      </c>
      <c r="L14082" s="12"/>
      <c r="M14082" s="13"/>
      <c r="N14082" s="2"/>
      <c r="O14082" s="20"/>
      <c r="P14082" s="42"/>
      <c r="R14082" s="23"/>
    </row>
    <row r="14083" spans="1:18" ht="12.75">
      <c r="A14083" s="12"/>
      <c r="D14083" s="12"/>
      <c r="E14083" s="12"/>
      <c r="H14083" s="11" t="str">
        <f ca="1">IFERROR(__xludf.DUMMYFUNCTION("IFERROR(SUBSTITUTE(SUBSTITUTE(REGEXEXTRACT(A14083, ""[^-]+- [^-]+- [^-]+ - (.+?)\.jpg""), "".jpg"", """"), ""-"", "", ""), """")"),"")</f>
        <v/>
      </c>
      <c r="L14083" s="12"/>
      <c r="M14083" s="13"/>
      <c r="N14083" s="2"/>
      <c r="O14083" s="20"/>
      <c r="P14083" s="42"/>
      <c r="R14083" s="23"/>
    </row>
    <row r="14084" spans="1:18" ht="12.75">
      <c r="A14084" s="12"/>
      <c r="D14084" s="12"/>
      <c r="E14084" s="12"/>
      <c r="H14084" s="11" t="str">
        <f ca="1">IFERROR(__xludf.DUMMYFUNCTION("IFERROR(SUBSTITUTE(SUBSTITUTE(REGEXEXTRACT(A14084, ""[^-]+- [^-]+- [^-]+ - (.+?)\.jpg""), "".jpg"", """"), ""-"", "", ""), """")"),"")</f>
        <v/>
      </c>
      <c r="L14084" s="12"/>
      <c r="M14084" s="13"/>
      <c r="N14084" s="2"/>
      <c r="O14084" s="20"/>
      <c r="P14084" s="42"/>
      <c r="R14084" s="23"/>
    </row>
    <row r="14085" spans="1:18" ht="12.75">
      <c r="A14085" s="12"/>
      <c r="D14085" s="12"/>
      <c r="E14085" s="12"/>
      <c r="H14085" s="11" t="str">
        <f ca="1">IFERROR(__xludf.DUMMYFUNCTION("IFERROR(SUBSTITUTE(SUBSTITUTE(REGEXEXTRACT(A14085, ""[^-]+- [^-]+- [^-]+ - (.+?)\.jpg""), "".jpg"", """"), ""-"", "", ""), """")"),"")</f>
        <v/>
      </c>
      <c r="L14085" s="12"/>
      <c r="M14085" s="13"/>
      <c r="N14085" s="2"/>
      <c r="O14085" s="20"/>
      <c r="P14085" s="42"/>
      <c r="R14085" s="23"/>
    </row>
    <row r="14086" spans="1:18" ht="12.75">
      <c r="A14086" s="12"/>
      <c r="D14086" s="12"/>
      <c r="E14086" s="12"/>
      <c r="H14086" s="11" t="str">
        <f ca="1">IFERROR(__xludf.DUMMYFUNCTION("IFERROR(SUBSTITUTE(SUBSTITUTE(REGEXEXTRACT(A14086, ""[^-]+- [^-]+- [^-]+ - (.+?)\.jpg""), "".jpg"", """"), ""-"", "", ""), """")"),"")</f>
        <v/>
      </c>
      <c r="L14086" s="12"/>
      <c r="M14086" s="13"/>
      <c r="N14086" s="2"/>
      <c r="O14086" s="20"/>
      <c r="P14086" s="42"/>
      <c r="R14086" s="23"/>
    </row>
    <row r="14087" spans="1:18" ht="12.75">
      <c r="A14087" s="12"/>
      <c r="D14087" s="12"/>
      <c r="E14087" s="12"/>
      <c r="H14087" s="11" t="str">
        <f ca="1">IFERROR(__xludf.DUMMYFUNCTION("IFERROR(SUBSTITUTE(SUBSTITUTE(REGEXEXTRACT(A14087, ""[^-]+- [^-]+- [^-]+ - (.+?)\.jpg""), "".jpg"", """"), ""-"", "", ""), """")"),"")</f>
        <v/>
      </c>
      <c r="L14087" s="12"/>
      <c r="M14087" s="13"/>
      <c r="N14087" s="2"/>
      <c r="O14087" s="20"/>
      <c r="P14087" s="42"/>
      <c r="R14087" s="23"/>
    </row>
    <row r="14088" spans="1:18" ht="12.75">
      <c r="A14088" s="12"/>
      <c r="D14088" s="12"/>
      <c r="E14088" s="12"/>
      <c r="H14088" s="11" t="str">
        <f ca="1">IFERROR(__xludf.DUMMYFUNCTION("IFERROR(SUBSTITUTE(SUBSTITUTE(REGEXEXTRACT(A14088, ""[^-]+- [^-]+- [^-]+ - (.+?)\.jpg""), "".jpg"", """"), ""-"", "", ""), """")"),"")</f>
        <v/>
      </c>
      <c r="L14088" s="12"/>
      <c r="M14088" s="13"/>
      <c r="N14088" s="2"/>
      <c r="O14088" s="20"/>
      <c r="P14088" s="42"/>
      <c r="R14088" s="23"/>
    </row>
    <row r="14089" spans="1:18" ht="12.75">
      <c r="A14089" s="12"/>
      <c r="D14089" s="12"/>
      <c r="E14089" s="12"/>
      <c r="H14089" s="11" t="str">
        <f ca="1">IFERROR(__xludf.DUMMYFUNCTION("IFERROR(SUBSTITUTE(SUBSTITUTE(REGEXEXTRACT(A14089, ""[^-]+- [^-]+- [^-]+ - (.+?)\.jpg""), "".jpg"", """"), ""-"", "", ""), """")"),"")</f>
        <v/>
      </c>
      <c r="L14089" s="12"/>
      <c r="M14089" s="13"/>
      <c r="N14089" s="2"/>
      <c r="O14089" s="20"/>
      <c r="P14089" s="42"/>
      <c r="R14089" s="23"/>
    </row>
    <row r="14090" spans="1:18" ht="12.75">
      <c r="A14090" s="12"/>
      <c r="D14090" s="12"/>
      <c r="E14090" s="12"/>
      <c r="H14090" s="11" t="str">
        <f ca="1">IFERROR(__xludf.DUMMYFUNCTION("IFERROR(SUBSTITUTE(SUBSTITUTE(REGEXEXTRACT(A14090, ""[^-]+- [^-]+- [^-]+ - (.+?)\.jpg""), "".jpg"", """"), ""-"", "", ""), """")"),"")</f>
        <v/>
      </c>
      <c r="L14090" s="12"/>
      <c r="M14090" s="13"/>
      <c r="N14090" s="2"/>
      <c r="O14090" s="20"/>
      <c r="P14090" s="42"/>
      <c r="R14090" s="23"/>
    </row>
    <row r="14091" spans="1:18" ht="12.75">
      <c r="A14091" s="12"/>
      <c r="D14091" s="12"/>
      <c r="E14091" s="12"/>
      <c r="H14091" s="11" t="str">
        <f ca="1">IFERROR(__xludf.DUMMYFUNCTION("IFERROR(SUBSTITUTE(SUBSTITUTE(REGEXEXTRACT(A14091, ""[^-]+- [^-]+- [^-]+ - (.+?)\.jpg""), "".jpg"", """"), ""-"", "", ""), """")"),"")</f>
        <v/>
      </c>
      <c r="L14091" s="12"/>
      <c r="M14091" s="13"/>
      <c r="N14091" s="2"/>
      <c r="O14091" s="20"/>
      <c r="P14091" s="42"/>
      <c r="R14091" s="23"/>
    </row>
    <row r="14092" spans="1:18" ht="12.75">
      <c r="A14092" s="12"/>
      <c r="D14092" s="12"/>
      <c r="E14092" s="12"/>
      <c r="H14092" s="11" t="str">
        <f ca="1">IFERROR(__xludf.DUMMYFUNCTION("IFERROR(SUBSTITUTE(SUBSTITUTE(REGEXEXTRACT(A14092, ""[^-]+- [^-]+- [^-]+ - (.+?)\.jpg""), "".jpg"", """"), ""-"", "", ""), """")"),"")</f>
        <v/>
      </c>
      <c r="L14092" s="12"/>
      <c r="M14092" s="13"/>
      <c r="N14092" s="2"/>
      <c r="O14092" s="20"/>
      <c r="P14092" s="42"/>
      <c r="R14092" s="23"/>
    </row>
    <row r="14093" spans="1:18" ht="12.75">
      <c r="A14093" s="12"/>
      <c r="D14093" s="12"/>
      <c r="E14093" s="12"/>
      <c r="H14093" s="11" t="str">
        <f ca="1">IFERROR(__xludf.DUMMYFUNCTION("IFERROR(SUBSTITUTE(SUBSTITUTE(REGEXEXTRACT(A14093, ""[^-]+- [^-]+- [^-]+ - (.+?)\.jpg""), "".jpg"", """"), ""-"", "", ""), """")"),"")</f>
        <v/>
      </c>
      <c r="L14093" s="12"/>
      <c r="M14093" s="13"/>
      <c r="N14093" s="2"/>
      <c r="O14093" s="20"/>
      <c r="P14093" s="42"/>
      <c r="R14093" s="23"/>
    </row>
    <row r="14094" spans="1:18" ht="12.75">
      <c r="A14094" s="12"/>
      <c r="D14094" s="12"/>
      <c r="E14094" s="12"/>
      <c r="H14094" s="11" t="str">
        <f ca="1">IFERROR(__xludf.DUMMYFUNCTION("IFERROR(SUBSTITUTE(SUBSTITUTE(REGEXEXTRACT(A14094, ""[^-]+- [^-]+- [^-]+ - (.+?)\.jpg""), "".jpg"", """"), ""-"", "", ""), """")"),"")</f>
        <v/>
      </c>
      <c r="L14094" s="12"/>
      <c r="M14094" s="13"/>
      <c r="N14094" s="2"/>
      <c r="O14094" s="20"/>
      <c r="P14094" s="42"/>
      <c r="R14094" s="23"/>
    </row>
    <row r="14095" spans="1:18" ht="12.75">
      <c r="A14095" s="12"/>
      <c r="D14095" s="12"/>
      <c r="E14095" s="12"/>
      <c r="H14095" s="11" t="str">
        <f ca="1">IFERROR(__xludf.DUMMYFUNCTION("IFERROR(SUBSTITUTE(SUBSTITUTE(REGEXEXTRACT(A14095, ""[^-]+- [^-]+- [^-]+ - (.+?)\.jpg""), "".jpg"", """"), ""-"", "", ""), """")"),"")</f>
        <v/>
      </c>
      <c r="L14095" s="12"/>
      <c r="M14095" s="13"/>
      <c r="N14095" s="2"/>
      <c r="O14095" s="20"/>
      <c r="P14095" s="42"/>
      <c r="R14095" s="23"/>
    </row>
    <row r="14096" spans="1:18" ht="12.75">
      <c r="A14096" s="12"/>
      <c r="D14096" s="12"/>
      <c r="E14096" s="12"/>
      <c r="H14096" s="11" t="str">
        <f ca="1">IFERROR(__xludf.DUMMYFUNCTION("IFERROR(SUBSTITUTE(SUBSTITUTE(REGEXEXTRACT(A14096, ""[^-]+- [^-]+- [^-]+ - (.+?)\.jpg""), "".jpg"", """"), ""-"", "", ""), """")"),"")</f>
        <v/>
      </c>
      <c r="L14096" s="12"/>
      <c r="M14096" s="13"/>
      <c r="N14096" s="2"/>
      <c r="O14096" s="20"/>
      <c r="P14096" s="42"/>
      <c r="R14096" s="23"/>
    </row>
    <row r="14097" spans="1:18" ht="12.75">
      <c r="A14097" s="12"/>
      <c r="D14097" s="12"/>
      <c r="E14097" s="12"/>
      <c r="H14097" s="11" t="str">
        <f ca="1">IFERROR(__xludf.DUMMYFUNCTION("IFERROR(SUBSTITUTE(SUBSTITUTE(REGEXEXTRACT(A14097, ""[^-]+- [^-]+- [^-]+ - (.+?)\.jpg""), "".jpg"", """"), ""-"", "", ""), """")"),"")</f>
        <v/>
      </c>
      <c r="L14097" s="12"/>
      <c r="M14097" s="13"/>
      <c r="N14097" s="2"/>
      <c r="O14097" s="20"/>
      <c r="P14097" s="42"/>
      <c r="R14097" s="23"/>
    </row>
    <row r="14098" spans="1:18" ht="12.75">
      <c r="A14098" s="12"/>
      <c r="D14098" s="12"/>
      <c r="E14098" s="12"/>
      <c r="H14098" s="11" t="str">
        <f ca="1">IFERROR(__xludf.DUMMYFUNCTION("IFERROR(SUBSTITUTE(SUBSTITUTE(REGEXEXTRACT(A14098, ""[^-]+- [^-]+- [^-]+ - (.+?)\.jpg""), "".jpg"", """"), ""-"", "", ""), """")"),"")</f>
        <v/>
      </c>
      <c r="L14098" s="12"/>
      <c r="M14098" s="13"/>
      <c r="N14098" s="2"/>
      <c r="O14098" s="20"/>
      <c r="P14098" s="42"/>
      <c r="R14098" s="23"/>
    </row>
    <row r="14099" spans="1:18" ht="12.75">
      <c r="A14099" s="12"/>
      <c r="D14099" s="12"/>
      <c r="E14099" s="12"/>
      <c r="H14099" s="11" t="str">
        <f ca="1">IFERROR(__xludf.DUMMYFUNCTION("IFERROR(SUBSTITUTE(SUBSTITUTE(REGEXEXTRACT(A14099, ""[^-]+- [^-]+- [^-]+ - (.+?)\.jpg""), "".jpg"", """"), ""-"", "", ""), """")"),"")</f>
        <v/>
      </c>
      <c r="L14099" s="12"/>
      <c r="M14099" s="13"/>
      <c r="N14099" s="2"/>
      <c r="O14099" s="20"/>
      <c r="P14099" s="42"/>
      <c r="R14099" s="23"/>
    </row>
    <row r="14100" spans="1:18" ht="12.75">
      <c r="A14100" s="12"/>
      <c r="D14100" s="12"/>
      <c r="E14100" s="12"/>
      <c r="H14100" s="11" t="str">
        <f ca="1">IFERROR(__xludf.DUMMYFUNCTION("IFERROR(SUBSTITUTE(SUBSTITUTE(REGEXEXTRACT(A14100, ""[^-]+- [^-]+- [^-]+ - (.+?)\.jpg""), "".jpg"", """"), ""-"", "", ""), """")"),"")</f>
        <v/>
      </c>
      <c r="L14100" s="12"/>
      <c r="M14100" s="13"/>
      <c r="N14100" s="2"/>
      <c r="O14100" s="20"/>
      <c r="P14100" s="42"/>
      <c r="R14100" s="23"/>
    </row>
    <row r="14101" spans="1:18" ht="12.75">
      <c r="A14101" s="12"/>
      <c r="D14101" s="12"/>
      <c r="E14101" s="12"/>
      <c r="H14101" s="11" t="str">
        <f ca="1">IFERROR(__xludf.DUMMYFUNCTION("IFERROR(SUBSTITUTE(SUBSTITUTE(REGEXEXTRACT(A14101, ""[^-]+- [^-]+- [^-]+ - (.+?)\.jpg""), "".jpg"", """"), ""-"", "", ""), """")"),"")</f>
        <v/>
      </c>
      <c r="L14101" s="12"/>
      <c r="M14101" s="13"/>
      <c r="N14101" s="2"/>
      <c r="O14101" s="20"/>
      <c r="P14101" s="42"/>
      <c r="R14101" s="23"/>
    </row>
    <row r="14102" spans="1:18" ht="12.75">
      <c r="A14102" s="12"/>
      <c r="D14102" s="12"/>
      <c r="E14102" s="12"/>
      <c r="H14102" s="11" t="str">
        <f ca="1">IFERROR(__xludf.DUMMYFUNCTION("IFERROR(SUBSTITUTE(SUBSTITUTE(REGEXEXTRACT(A14102, ""[^-]+- [^-]+- [^-]+ - (.+?)\.jpg""), "".jpg"", """"), ""-"", "", ""), """")"),"")</f>
        <v/>
      </c>
      <c r="L14102" s="12"/>
      <c r="M14102" s="13"/>
      <c r="N14102" s="2"/>
      <c r="O14102" s="20"/>
      <c r="P14102" s="42"/>
      <c r="R14102" s="23"/>
    </row>
    <row r="14103" spans="1:18" ht="12.75">
      <c r="A14103" s="12"/>
      <c r="D14103" s="12"/>
      <c r="E14103" s="12"/>
      <c r="H14103" s="11" t="str">
        <f ca="1">IFERROR(__xludf.DUMMYFUNCTION("IFERROR(SUBSTITUTE(SUBSTITUTE(REGEXEXTRACT(A14103, ""[^-]+- [^-]+- [^-]+ - (.+?)\.jpg""), "".jpg"", """"), ""-"", "", ""), """")"),"")</f>
        <v/>
      </c>
      <c r="L14103" s="12"/>
      <c r="M14103" s="13"/>
      <c r="N14103" s="2"/>
      <c r="O14103" s="20"/>
      <c r="P14103" s="42"/>
      <c r="R14103" s="23"/>
    </row>
    <row r="14104" spans="1:18" ht="12.75">
      <c r="A14104" s="12"/>
      <c r="D14104" s="12"/>
      <c r="E14104" s="12"/>
      <c r="H14104" s="11" t="str">
        <f ca="1">IFERROR(__xludf.DUMMYFUNCTION("IFERROR(SUBSTITUTE(SUBSTITUTE(REGEXEXTRACT(A14104, ""[^-]+- [^-]+- [^-]+ - (.+?)\.jpg""), "".jpg"", """"), ""-"", "", ""), """")"),"")</f>
        <v/>
      </c>
      <c r="L14104" s="12"/>
      <c r="M14104" s="13"/>
      <c r="N14104" s="2"/>
      <c r="O14104" s="20"/>
      <c r="P14104" s="42"/>
      <c r="R14104" s="23"/>
    </row>
    <row r="14105" spans="1:18" ht="12.75">
      <c r="A14105" s="12"/>
      <c r="D14105" s="12"/>
      <c r="E14105" s="12"/>
      <c r="H14105" s="11" t="str">
        <f ca="1">IFERROR(__xludf.DUMMYFUNCTION("IFERROR(SUBSTITUTE(SUBSTITUTE(REGEXEXTRACT(A14105, ""[^-]+- [^-]+- [^-]+ - (.+?)\.jpg""), "".jpg"", """"), ""-"", "", ""), """")"),"")</f>
        <v/>
      </c>
      <c r="L14105" s="12"/>
      <c r="M14105" s="13"/>
      <c r="N14105" s="2"/>
      <c r="O14105" s="20"/>
      <c r="P14105" s="42"/>
      <c r="R14105" s="23"/>
    </row>
    <row r="14106" spans="1:18" ht="12.75">
      <c r="A14106" s="12"/>
      <c r="D14106" s="12"/>
      <c r="E14106" s="12"/>
      <c r="H14106" s="11" t="str">
        <f ca="1">IFERROR(__xludf.DUMMYFUNCTION("IFERROR(SUBSTITUTE(SUBSTITUTE(REGEXEXTRACT(A14106, ""[^-]+- [^-]+- [^-]+ - (.+?)\.jpg""), "".jpg"", """"), ""-"", "", ""), """")"),"")</f>
        <v/>
      </c>
      <c r="L14106" s="12"/>
      <c r="M14106" s="13"/>
      <c r="N14106" s="2"/>
      <c r="O14106" s="20"/>
      <c r="P14106" s="42"/>
      <c r="R14106" s="23"/>
    </row>
    <row r="14107" spans="1:18" ht="12.75">
      <c r="A14107" s="12"/>
      <c r="D14107" s="12"/>
      <c r="E14107" s="12"/>
      <c r="H14107" s="11" t="str">
        <f ca="1">IFERROR(__xludf.DUMMYFUNCTION("IFERROR(SUBSTITUTE(SUBSTITUTE(REGEXEXTRACT(A14107, ""[^-]+- [^-]+- [^-]+ - (.+?)\.jpg""), "".jpg"", """"), ""-"", "", ""), """")"),"")</f>
        <v/>
      </c>
      <c r="L14107" s="12"/>
      <c r="M14107" s="13"/>
      <c r="N14107" s="2"/>
      <c r="O14107" s="20"/>
      <c r="P14107" s="42"/>
      <c r="R14107" s="23"/>
    </row>
    <row r="14108" spans="1:18" ht="12.75">
      <c r="A14108" s="12"/>
      <c r="D14108" s="12"/>
      <c r="E14108" s="12"/>
      <c r="H14108" s="11" t="str">
        <f ca="1">IFERROR(__xludf.DUMMYFUNCTION("IFERROR(SUBSTITUTE(SUBSTITUTE(REGEXEXTRACT(A14108, ""[^-]+- [^-]+- [^-]+ - (.+?)\.jpg""), "".jpg"", """"), ""-"", "", ""), """")"),"")</f>
        <v/>
      </c>
      <c r="L14108" s="12"/>
      <c r="M14108" s="13"/>
      <c r="N14108" s="2"/>
      <c r="O14108" s="20"/>
      <c r="P14108" s="42"/>
      <c r="R14108" s="23"/>
    </row>
    <row r="14109" spans="1:18" ht="12.75">
      <c r="A14109" s="12"/>
      <c r="D14109" s="12"/>
      <c r="E14109" s="12"/>
      <c r="H14109" s="11" t="str">
        <f ca="1">IFERROR(__xludf.DUMMYFUNCTION("IFERROR(SUBSTITUTE(SUBSTITUTE(REGEXEXTRACT(A14109, ""[^-]+- [^-]+- [^-]+ - (.+?)\.jpg""), "".jpg"", """"), ""-"", "", ""), """")"),"")</f>
        <v/>
      </c>
      <c r="L14109" s="12"/>
      <c r="M14109" s="13"/>
      <c r="N14109" s="2"/>
      <c r="O14109" s="20"/>
      <c r="P14109" s="42"/>
      <c r="R14109" s="23"/>
    </row>
    <row r="14110" spans="1:18" ht="12.75">
      <c r="A14110" s="12"/>
      <c r="D14110" s="12"/>
      <c r="E14110" s="12"/>
      <c r="H14110" s="11" t="str">
        <f ca="1">IFERROR(__xludf.DUMMYFUNCTION("IFERROR(SUBSTITUTE(SUBSTITUTE(REGEXEXTRACT(A14110, ""[^-]+- [^-]+- [^-]+ - (.+?)\.jpg""), "".jpg"", """"), ""-"", "", ""), """")"),"")</f>
        <v/>
      </c>
      <c r="L14110" s="12"/>
      <c r="M14110" s="13"/>
      <c r="N14110" s="2"/>
      <c r="O14110" s="20"/>
      <c r="P14110" s="42"/>
      <c r="R14110" s="23"/>
    </row>
    <row r="14111" spans="1:18" ht="12.75">
      <c r="A14111" s="12"/>
      <c r="D14111" s="12"/>
      <c r="E14111" s="12"/>
      <c r="H14111" s="11" t="str">
        <f ca="1">IFERROR(__xludf.DUMMYFUNCTION("IFERROR(SUBSTITUTE(SUBSTITUTE(REGEXEXTRACT(A14111, ""[^-]+- [^-]+- [^-]+ - (.+?)\.jpg""), "".jpg"", """"), ""-"", "", ""), """")"),"")</f>
        <v/>
      </c>
      <c r="L14111" s="12"/>
      <c r="M14111" s="13"/>
      <c r="N14111" s="2"/>
      <c r="O14111" s="20"/>
      <c r="P14111" s="42"/>
      <c r="R14111" s="23"/>
    </row>
    <row r="14112" spans="1:18" ht="12.75">
      <c r="A14112" s="12"/>
      <c r="D14112" s="12"/>
      <c r="E14112" s="12"/>
      <c r="H14112" s="11" t="str">
        <f ca="1">IFERROR(__xludf.DUMMYFUNCTION("IFERROR(SUBSTITUTE(SUBSTITUTE(REGEXEXTRACT(A14112, ""[^-]+- [^-]+- [^-]+ - (.+?)\.jpg""), "".jpg"", """"), ""-"", "", ""), """")"),"")</f>
        <v/>
      </c>
      <c r="L14112" s="12"/>
      <c r="M14112" s="13"/>
      <c r="N14112" s="2"/>
      <c r="O14112" s="20"/>
      <c r="P14112" s="42"/>
      <c r="R14112" s="23"/>
    </row>
    <row r="14113" spans="1:18" ht="12.75">
      <c r="A14113" s="12"/>
      <c r="D14113" s="12"/>
      <c r="E14113" s="12"/>
      <c r="H14113" s="11" t="str">
        <f ca="1">IFERROR(__xludf.DUMMYFUNCTION("IFERROR(SUBSTITUTE(SUBSTITUTE(REGEXEXTRACT(A14113, ""[^-]+- [^-]+- [^-]+ - (.+?)\.jpg""), "".jpg"", """"), ""-"", "", ""), """")"),"")</f>
        <v/>
      </c>
      <c r="L14113" s="12"/>
      <c r="M14113" s="13"/>
      <c r="N14113" s="2"/>
      <c r="O14113" s="20"/>
      <c r="P14113" s="42"/>
      <c r="R14113" s="23"/>
    </row>
    <row r="14114" spans="1:18" ht="12.75">
      <c r="A14114" s="12"/>
      <c r="D14114" s="12"/>
      <c r="E14114" s="12"/>
      <c r="H14114" s="11" t="str">
        <f ca="1">IFERROR(__xludf.DUMMYFUNCTION("IFERROR(SUBSTITUTE(SUBSTITUTE(REGEXEXTRACT(A14114, ""[^-]+- [^-]+- [^-]+ - (.+?)\.jpg""), "".jpg"", """"), ""-"", "", ""), """")"),"")</f>
        <v/>
      </c>
      <c r="L14114" s="12"/>
      <c r="M14114" s="13"/>
      <c r="N14114" s="2"/>
      <c r="O14114" s="20"/>
      <c r="P14114" s="42"/>
      <c r="R14114" s="23"/>
    </row>
    <row r="14115" spans="1:18" ht="12.75">
      <c r="A14115" s="12"/>
      <c r="D14115" s="12"/>
      <c r="E14115" s="12"/>
      <c r="H14115" s="11" t="str">
        <f ca="1">IFERROR(__xludf.DUMMYFUNCTION("IFERROR(SUBSTITUTE(SUBSTITUTE(REGEXEXTRACT(A14115, ""[^-]+- [^-]+- [^-]+ - (.+?)\.jpg""), "".jpg"", """"), ""-"", "", ""), """")"),"")</f>
        <v/>
      </c>
      <c r="L14115" s="12"/>
      <c r="M14115" s="13"/>
      <c r="N14115" s="2"/>
      <c r="O14115" s="20"/>
      <c r="P14115" s="42"/>
      <c r="R14115" s="23"/>
    </row>
    <row r="14116" spans="1:18" ht="12.75">
      <c r="A14116" s="12"/>
      <c r="D14116" s="12"/>
      <c r="E14116" s="12"/>
      <c r="H14116" s="11" t="str">
        <f ca="1">IFERROR(__xludf.DUMMYFUNCTION("IFERROR(SUBSTITUTE(SUBSTITUTE(REGEXEXTRACT(A14116, ""[^-]+- [^-]+- [^-]+ - (.+?)\.jpg""), "".jpg"", """"), ""-"", "", ""), """")"),"")</f>
        <v/>
      </c>
      <c r="L14116" s="12"/>
      <c r="M14116" s="13"/>
      <c r="N14116" s="2"/>
      <c r="O14116" s="20"/>
      <c r="P14116" s="42"/>
      <c r="R14116" s="23"/>
    </row>
    <row r="14117" spans="1:18" ht="12.75">
      <c r="A14117" s="12"/>
      <c r="D14117" s="12"/>
      <c r="E14117" s="12"/>
      <c r="H14117" s="11" t="str">
        <f ca="1">IFERROR(__xludf.DUMMYFUNCTION("IFERROR(SUBSTITUTE(SUBSTITUTE(REGEXEXTRACT(A14117, ""[^-]+- [^-]+- [^-]+ - (.+?)\.jpg""), "".jpg"", """"), ""-"", "", ""), """")"),"")</f>
        <v/>
      </c>
      <c r="L14117" s="12"/>
      <c r="M14117" s="13"/>
      <c r="N14117" s="2"/>
      <c r="O14117" s="20"/>
      <c r="P14117" s="42"/>
      <c r="R14117" s="23"/>
    </row>
    <row r="14118" spans="1:18" ht="12.75">
      <c r="A14118" s="12"/>
      <c r="D14118" s="12"/>
      <c r="E14118" s="12"/>
      <c r="H14118" s="11" t="str">
        <f ca="1">IFERROR(__xludf.DUMMYFUNCTION("IFERROR(SUBSTITUTE(SUBSTITUTE(REGEXEXTRACT(A14118, ""[^-]+- [^-]+- [^-]+ - (.+?)\.jpg""), "".jpg"", """"), ""-"", "", ""), """")"),"")</f>
        <v/>
      </c>
      <c r="L14118" s="12"/>
      <c r="M14118" s="13"/>
      <c r="N14118" s="2"/>
      <c r="O14118" s="20"/>
      <c r="P14118" s="42"/>
      <c r="R14118" s="23"/>
    </row>
    <row r="14119" spans="1:18" ht="12.75">
      <c r="A14119" s="12"/>
      <c r="D14119" s="12"/>
      <c r="E14119" s="12"/>
      <c r="H14119" s="11" t="str">
        <f ca="1">IFERROR(__xludf.DUMMYFUNCTION("IFERROR(SUBSTITUTE(SUBSTITUTE(REGEXEXTRACT(A14119, ""[^-]+- [^-]+- [^-]+ - (.+?)\.jpg""), "".jpg"", """"), ""-"", "", ""), """")"),"")</f>
        <v/>
      </c>
      <c r="L14119" s="12"/>
      <c r="M14119" s="13"/>
      <c r="N14119" s="2"/>
      <c r="O14119" s="20"/>
      <c r="P14119" s="42"/>
      <c r="R14119" s="23"/>
    </row>
    <row r="14120" spans="1:18" ht="12.75">
      <c r="A14120" s="12"/>
      <c r="D14120" s="12"/>
      <c r="E14120" s="12"/>
      <c r="H14120" s="11" t="str">
        <f ca="1">IFERROR(__xludf.DUMMYFUNCTION("IFERROR(SUBSTITUTE(SUBSTITUTE(REGEXEXTRACT(A14120, ""[^-]+- [^-]+- [^-]+ - (.+?)\.jpg""), "".jpg"", """"), ""-"", "", ""), """")"),"")</f>
        <v/>
      </c>
      <c r="L14120" s="12"/>
      <c r="M14120" s="13"/>
      <c r="N14120" s="2"/>
      <c r="O14120" s="20"/>
      <c r="P14120" s="42"/>
      <c r="R14120" s="23"/>
    </row>
    <row r="14121" spans="1:18" ht="12.75">
      <c r="A14121" s="12"/>
      <c r="D14121" s="12"/>
      <c r="E14121" s="12"/>
      <c r="H14121" s="11" t="str">
        <f ca="1">IFERROR(__xludf.DUMMYFUNCTION("IFERROR(SUBSTITUTE(SUBSTITUTE(REGEXEXTRACT(A14121, ""[^-]+- [^-]+- [^-]+ - (.+?)\.jpg""), "".jpg"", """"), ""-"", "", ""), """")"),"")</f>
        <v/>
      </c>
      <c r="L14121" s="12"/>
      <c r="M14121" s="13"/>
      <c r="N14121" s="2"/>
      <c r="O14121" s="20"/>
      <c r="P14121" s="42"/>
      <c r="R14121" s="23"/>
    </row>
    <row r="14122" spans="1:18" ht="12.75">
      <c r="A14122" s="12"/>
      <c r="D14122" s="12"/>
      <c r="E14122" s="12"/>
      <c r="H14122" s="11" t="str">
        <f ca="1">IFERROR(__xludf.DUMMYFUNCTION("IFERROR(SUBSTITUTE(SUBSTITUTE(REGEXEXTRACT(A14122, ""[^-]+- [^-]+- [^-]+ - (.+?)\.jpg""), "".jpg"", """"), ""-"", "", ""), """")"),"")</f>
        <v/>
      </c>
      <c r="L14122" s="12"/>
      <c r="M14122" s="13"/>
      <c r="N14122" s="2"/>
      <c r="O14122" s="20"/>
      <c r="P14122" s="42"/>
      <c r="R14122" s="23"/>
    </row>
    <row r="14123" spans="1:18" ht="12.75">
      <c r="A14123" s="12"/>
      <c r="D14123" s="12"/>
      <c r="E14123" s="12"/>
      <c r="H14123" s="11" t="str">
        <f ca="1">IFERROR(__xludf.DUMMYFUNCTION("IFERROR(SUBSTITUTE(SUBSTITUTE(REGEXEXTRACT(A14123, ""[^-]+- [^-]+- [^-]+ - (.+?)\.jpg""), "".jpg"", """"), ""-"", "", ""), """")"),"")</f>
        <v/>
      </c>
      <c r="L14123" s="12"/>
      <c r="M14123" s="13"/>
      <c r="N14123" s="2"/>
      <c r="O14123" s="20"/>
      <c r="P14123" s="42"/>
      <c r="R14123" s="23"/>
    </row>
    <row r="14124" spans="1:18" ht="12.75">
      <c r="A14124" s="12"/>
      <c r="D14124" s="12"/>
      <c r="E14124" s="12"/>
      <c r="H14124" s="11" t="str">
        <f ca="1">IFERROR(__xludf.DUMMYFUNCTION("IFERROR(SUBSTITUTE(SUBSTITUTE(REGEXEXTRACT(A14124, ""[^-]+- [^-]+- [^-]+ - (.+?)\.jpg""), "".jpg"", """"), ""-"", "", ""), """")"),"")</f>
        <v/>
      </c>
      <c r="L14124" s="12"/>
      <c r="M14124" s="13"/>
      <c r="N14124" s="2"/>
      <c r="O14124" s="20"/>
      <c r="P14124" s="42"/>
      <c r="R14124" s="23"/>
    </row>
    <row r="14125" spans="1:18" ht="12.75">
      <c r="A14125" s="12"/>
      <c r="D14125" s="12"/>
      <c r="E14125" s="12"/>
      <c r="H14125" s="11" t="str">
        <f ca="1">IFERROR(__xludf.DUMMYFUNCTION("IFERROR(SUBSTITUTE(SUBSTITUTE(REGEXEXTRACT(A14125, ""[^-]+- [^-]+- [^-]+ - (.+?)\.jpg""), "".jpg"", """"), ""-"", "", ""), """")"),"")</f>
        <v/>
      </c>
      <c r="L14125" s="12"/>
      <c r="M14125" s="13"/>
      <c r="N14125" s="2"/>
      <c r="O14125" s="20"/>
      <c r="P14125" s="42"/>
      <c r="R14125" s="23"/>
    </row>
    <row r="14126" spans="1:18" ht="12.75">
      <c r="A14126" s="12"/>
      <c r="D14126" s="12"/>
      <c r="E14126" s="12"/>
      <c r="H14126" s="11" t="str">
        <f ca="1">IFERROR(__xludf.DUMMYFUNCTION("IFERROR(SUBSTITUTE(SUBSTITUTE(REGEXEXTRACT(A14126, ""[^-]+- [^-]+- [^-]+ - (.+?)\.jpg""), "".jpg"", """"), ""-"", "", ""), """")"),"")</f>
        <v/>
      </c>
      <c r="L14126" s="12"/>
      <c r="M14126" s="13"/>
      <c r="N14126" s="2"/>
      <c r="O14126" s="20"/>
      <c r="P14126" s="42"/>
      <c r="R14126" s="23"/>
    </row>
    <row r="14127" spans="1:18" ht="12.75">
      <c r="A14127" s="12"/>
      <c r="D14127" s="12"/>
      <c r="E14127" s="12"/>
      <c r="H14127" s="11" t="str">
        <f ca="1">IFERROR(__xludf.DUMMYFUNCTION("IFERROR(SUBSTITUTE(SUBSTITUTE(REGEXEXTRACT(A14127, ""[^-]+- [^-]+- [^-]+ - (.+?)\.jpg""), "".jpg"", """"), ""-"", "", ""), """")"),"")</f>
        <v/>
      </c>
      <c r="L14127" s="12"/>
      <c r="M14127" s="13"/>
      <c r="N14127" s="2"/>
      <c r="O14127" s="20"/>
      <c r="P14127" s="42"/>
      <c r="R14127" s="23"/>
    </row>
    <row r="14128" spans="1:18" ht="12.75">
      <c r="A14128" s="12"/>
      <c r="D14128" s="12"/>
      <c r="E14128" s="12"/>
      <c r="H14128" s="11" t="str">
        <f ca="1">IFERROR(__xludf.DUMMYFUNCTION("IFERROR(SUBSTITUTE(SUBSTITUTE(REGEXEXTRACT(A14128, ""[^-]+- [^-]+- [^-]+ - (.+?)\.jpg""), "".jpg"", """"), ""-"", "", ""), """")"),"")</f>
        <v/>
      </c>
      <c r="L14128" s="12"/>
      <c r="M14128" s="13"/>
      <c r="N14128" s="2"/>
      <c r="O14128" s="20"/>
      <c r="P14128" s="42"/>
      <c r="R14128" s="23"/>
    </row>
    <row r="14129" spans="1:18" ht="12.75">
      <c r="A14129" s="12"/>
      <c r="D14129" s="12"/>
      <c r="E14129" s="12"/>
      <c r="H14129" s="11" t="str">
        <f ca="1">IFERROR(__xludf.DUMMYFUNCTION("IFERROR(SUBSTITUTE(SUBSTITUTE(REGEXEXTRACT(A14129, ""[^-]+- [^-]+- [^-]+ - (.+?)\.jpg""), "".jpg"", """"), ""-"", "", ""), """")"),"")</f>
        <v/>
      </c>
      <c r="L14129" s="12"/>
      <c r="M14129" s="13"/>
      <c r="N14129" s="2"/>
      <c r="O14129" s="20"/>
      <c r="P14129" s="42"/>
      <c r="R14129" s="23"/>
    </row>
    <row r="14130" spans="1:18" ht="12.75">
      <c r="A14130" s="12"/>
      <c r="D14130" s="12"/>
      <c r="E14130" s="12"/>
      <c r="H14130" s="11" t="str">
        <f ca="1">IFERROR(__xludf.DUMMYFUNCTION("IFERROR(SUBSTITUTE(SUBSTITUTE(REGEXEXTRACT(A14130, ""[^-]+- [^-]+- [^-]+ - (.+?)\.jpg""), "".jpg"", """"), ""-"", "", ""), """")"),"")</f>
        <v/>
      </c>
      <c r="L14130" s="12"/>
      <c r="M14130" s="13"/>
      <c r="N14130" s="2"/>
      <c r="O14130" s="20"/>
      <c r="P14130" s="42"/>
      <c r="R14130" s="23"/>
    </row>
    <row r="14131" spans="1:18" ht="12.75">
      <c r="A14131" s="12"/>
      <c r="D14131" s="12"/>
      <c r="E14131" s="12"/>
      <c r="H14131" s="11" t="str">
        <f ca="1">IFERROR(__xludf.DUMMYFUNCTION("IFERROR(SUBSTITUTE(SUBSTITUTE(REGEXEXTRACT(A14131, ""[^-]+- [^-]+- [^-]+ - (.+?)\.jpg""), "".jpg"", """"), ""-"", "", ""), """")"),"")</f>
        <v/>
      </c>
      <c r="L14131" s="12"/>
      <c r="M14131" s="13"/>
      <c r="N14131" s="2"/>
      <c r="O14131" s="20"/>
      <c r="P14131" s="42"/>
      <c r="R14131" s="23"/>
    </row>
    <row r="14132" spans="1:18" ht="12.75">
      <c r="A14132" s="12"/>
      <c r="D14132" s="12"/>
      <c r="E14132" s="12"/>
      <c r="H14132" s="11" t="str">
        <f ca="1">IFERROR(__xludf.DUMMYFUNCTION("IFERROR(SUBSTITUTE(SUBSTITUTE(REGEXEXTRACT(A14132, ""[^-]+- [^-]+- [^-]+ - (.+?)\.jpg""), "".jpg"", """"), ""-"", "", ""), """")"),"")</f>
        <v/>
      </c>
      <c r="L14132" s="12"/>
      <c r="M14132" s="13"/>
      <c r="N14132" s="2"/>
      <c r="O14132" s="20"/>
      <c r="P14132" s="42"/>
      <c r="R14132" s="23"/>
    </row>
    <row r="14133" spans="1:18" ht="12.75">
      <c r="A14133" s="12"/>
      <c r="D14133" s="12"/>
      <c r="E14133" s="12"/>
      <c r="H14133" s="11" t="str">
        <f ca="1">IFERROR(__xludf.DUMMYFUNCTION("IFERROR(SUBSTITUTE(SUBSTITUTE(REGEXEXTRACT(A14133, ""[^-]+- [^-]+- [^-]+ - (.+?)\.jpg""), "".jpg"", """"), ""-"", "", ""), """")"),"")</f>
        <v/>
      </c>
      <c r="L14133" s="12"/>
      <c r="M14133" s="13"/>
      <c r="N14133" s="2"/>
      <c r="O14133" s="20"/>
      <c r="P14133" s="42"/>
      <c r="R14133" s="23"/>
    </row>
    <row r="14134" spans="1:18" ht="12.75">
      <c r="A14134" s="12"/>
      <c r="D14134" s="12"/>
      <c r="E14134" s="12"/>
      <c r="H14134" s="11" t="str">
        <f ca="1">IFERROR(__xludf.DUMMYFUNCTION("IFERROR(SUBSTITUTE(SUBSTITUTE(REGEXEXTRACT(A14134, ""[^-]+- [^-]+- [^-]+ - (.+?)\.jpg""), "".jpg"", """"), ""-"", "", ""), """")"),"")</f>
        <v/>
      </c>
      <c r="L14134" s="12"/>
      <c r="M14134" s="13"/>
      <c r="N14134" s="2"/>
      <c r="O14134" s="20"/>
      <c r="P14134" s="42"/>
      <c r="R14134" s="23"/>
    </row>
    <row r="14135" spans="1:18" ht="12.75">
      <c r="A14135" s="12"/>
      <c r="D14135" s="12"/>
      <c r="E14135" s="12"/>
      <c r="H14135" s="11" t="str">
        <f ca="1">IFERROR(__xludf.DUMMYFUNCTION("IFERROR(SUBSTITUTE(SUBSTITUTE(REGEXEXTRACT(A14135, ""[^-]+- [^-]+- [^-]+ - (.+?)\.jpg""), "".jpg"", """"), ""-"", "", ""), """")"),"")</f>
        <v/>
      </c>
      <c r="L14135" s="12"/>
      <c r="M14135" s="13"/>
      <c r="N14135" s="2"/>
      <c r="O14135" s="20"/>
      <c r="P14135" s="42"/>
      <c r="R14135" s="23"/>
    </row>
    <row r="14136" spans="1:18" ht="12.75">
      <c r="A14136" s="12"/>
      <c r="D14136" s="12"/>
      <c r="E14136" s="12"/>
      <c r="H14136" s="11" t="str">
        <f ca="1">IFERROR(__xludf.DUMMYFUNCTION("IFERROR(SUBSTITUTE(SUBSTITUTE(REGEXEXTRACT(A14136, ""[^-]+- [^-]+- [^-]+ - (.+?)\.jpg""), "".jpg"", """"), ""-"", "", ""), """")"),"")</f>
        <v/>
      </c>
      <c r="L14136" s="12"/>
      <c r="M14136" s="13"/>
      <c r="N14136" s="2"/>
      <c r="O14136" s="20"/>
      <c r="P14136" s="42"/>
      <c r="R14136" s="23"/>
    </row>
    <row r="14137" spans="1:18" ht="12.75">
      <c r="A14137" s="12"/>
      <c r="D14137" s="12"/>
      <c r="E14137" s="12"/>
      <c r="H14137" s="11" t="str">
        <f ca="1">IFERROR(__xludf.DUMMYFUNCTION("IFERROR(SUBSTITUTE(SUBSTITUTE(REGEXEXTRACT(A14137, ""[^-]+- [^-]+- [^-]+ - (.+?)\.jpg""), "".jpg"", """"), ""-"", "", ""), """")"),"")</f>
        <v/>
      </c>
      <c r="L14137" s="12"/>
      <c r="M14137" s="13"/>
      <c r="N14137" s="2"/>
      <c r="O14137" s="20"/>
      <c r="P14137" s="42"/>
      <c r="R14137" s="23"/>
    </row>
    <row r="14138" spans="1:18" ht="12.75">
      <c r="A14138" s="12"/>
      <c r="D14138" s="12"/>
      <c r="E14138" s="12"/>
      <c r="H14138" s="11" t="str">
        <f ca="1">IFERROR(__xludf.DUMMYFUNCTION("IFERROR(SUBSTITUTE(SUBSTITUTE(REGEXEXTRACT(A14138, ""[^-]+- [^-]+- [^-]+ - (.+?)\.jpg""), "".jpg"", """"), ""-"", "", ""), """")"),"")</f>
        <v/>
      </c>
      <c r="L14138" s="12"/>
      <c r="M14138" s="13"/>
      <c r="N14138" s="2"/>
      <c r="O14138" s="20"/>
      <c r="P14138" s="42"/>
      <c r="R14138" s="23"/>
    </row>
    <row r="14139" spans="1:18" ht="12.75">
      <c r="A14139" s="12"/>
      <c r="D14139" s="12"/>
      <c r="E14139" s="12"/>
      <c r="H14139" s="11" t="str">
        <f ca="1">IFERROR(__xludf.DUMMYFUNCTION("IFERROR(SUBSTITUTE(SUBSTITUTE(REGEXEXTRACT(A14139, ""[^-]+- [^-]+- [^-]+ - (.+?)\.jpg""), "".jpg"", """"), ""-"", "", ""), """")"),"")</f>
        <v/>
      </c>
      <c r="L14139" s="12"/>
      <c r="M14139" s="13"/>
      <c r="N14139" s="2"/>
      <c r="O14139" s="20"/>
      <c r="P14139" s="42"/>
      <c r="R14139" s="23"/>
    </row>
    <row r="14140" spans="1:18" ht="12.75">
      <c r="A14140" s="12"/>
      <c r="D14140" s="12"/>
      <c r="E14140" s="12"/>
      <c r="H14140" s="11" t="str">
        <f ca="1">IFERROR(__xludf.DUMMYFUNCTION("IFERROR(SUBSTITUTE(SUBSTITUTE(REGEXEXTRACT(A14140, ""[^-]+- [^-]+- [^-]+ - (.+?)\.jpg""), "".jpg"", """"), ""-"", "", ""), """")"),"")</f>
        <v/>
      </c>
      <c r="L14140" s="12"/>
      <c r="M14140" s="13"/>
      <c r="N14140" s="2"/>
      <c r="O14140" s="20"/>
      <c r="P14140" s="42"/>
      <c r="R14140" s="23"/>
    </row>
    <row r="14141" spans="1:18" ht="12.75">
      <c r="A14141" s="12"/>
      <c r="D14141" s="12"/>
      <c r="E14141" s="12"/>
      <c r="H14141" s="11" t="str">
        <f ca="1">IFERROR(__xludf.DUMMYFUNCTION("IFERROR(SUBSTITUTE(SUBSTITUTE(REGEXEXTRACT(A14141, ""[^-]+- [^-]+- [^-]+ - (.+?)\.jpg""), "".jpg"", """"), ""-"", "", ""), """")"),"")</f>
        <v/>
      </c>
      <c r="L14141" s="12"/>
      <c r="M14141" s="13"/>
      <c r="N14141" s="2"/>
      <c r="O14141" s="20"/>
      <c r="P14141" s="42"/>
      <c r="R14141" s="23"/>
    </row>
    <row r="14142" spans="1:18" ht="12.75">
      <c r="A14142" s="12"/>
      <c r="D14142" s="12"/>
      <c r="E14142" s="12"/>
      <c r="H14142" s="11" t="str">
        <f ca="1">IFERROR(__xludf.DUMMYFUNCTION("IFERROR(SUBSTITUTE(SUBSTITUTE(REGEXEXTRACT(A14142, ""[^-]+- [^-]+- [^-]+ - (.+?)\.jpg""), "".jpg"", """"), ""-"", "", ""), """")"),"")</f>
        <v/>
      </c>
      <c r="L14142" s="12"/>
      <c r="M14142" s="13"/>
      <c r="N14142" s="2"/>
      <c r="O14142" s="20"/>
      <c r="P14142" s="42"/>
      <c r="R14142" s="23"/>
    </row>
    <row r="14143" spans="1:18" ht="12.75">
      <c r="A14143" s="12"/>
      <c r="D14143" s="12"/>
      <c r="E14143" s="12"/>
      <c r="H14143" s="11" t="str">
        <f ca="1">IFERROR(__xludf.DUMMYFUNCTION("IFERROR(SUBSTITUTE(SUBSTITUTE(REGEXEXTRACT(A14143, ""[^-]+- [^-]+- [^-]+ - (.+?)\.jpg""), "".jpg"", """"), ""-"", "", ""), """")"),"")</f>
        <v/>
      </c>
      <c r="L14143" s="12"/>
      <c r="M14143" s="13"/>
      <c r="N14143" s="2"/>
      <c r="O14143" s="20"/>
      <c r="P14143" s="42"/>
      <c r="R14143" s="23"/>
    </row>
    <row r="14144" spans="1:18" ht="12.75">
      <c r="A14144" s="12"/>
      <c r="D14144" s="12"/>
      <c r="E14144" s="12"/>
      <c r="H14144" s="11" t="str">
        <f ca="1">IFERROR(__xludf.DUMMYFUNCTION("IFERROR(SUBSTITUTE(SUBSTITUTE(REGEXEXTRACT(A14144, ""[^-]+- [^-]+- [^-]+ - (.+?)\.jpg""), "".jpg"", """"), ""-"", "", ""), """")"),"")</f>
        <v/>
      </c>
      <c r="L14144" s="12"/>
      <c r="M14144" s="13"/>
      <c r="N14144" s="2"/>
      <c r="O14144" s="20"/>
      <c r="P14144" s="42"/>
      <c r="R14144" s="23"/>
    </row>
    <row r="14145" spans="1:18" ht="12.75">
      <c r="A14145" s="12"/>
      <c r="D14145" s="12"/>
      <c r="E14145" s="12"/>
      <c r="H14145" s="11" t="str">
        <f ca="1">IFERROR(__xludf.DUMMYFUNCTION("IFERROR(SUBSTITUTE(SUBSTITUTE(REGEXEXTRACT(A14145, ""[^-]+- [^-]+- [^-]+ - (.+?)\.jpg""), "".jpg"", """"), ""-"", "", ""), """")"),"")</f>
        <v/>
      </c>
      <c r="L14145" s="12"/>
      <c r="M14145" s="13"/>
      <c r="N14145" s="2"/>
      <c r="O14145" s="20"/>
      <c r="P14145" s="42"/>
      <c r="R14145" s="23"/>
    </row>
    <row r="14146" spans="1:18" ht="12.75">
      <c r="A14146" s="12"/>
      <c r="D14146" s="12"/>
      <c r="E14146" s="12"/>
      <c r="H14146" s="11" t="str">
        <f ca="1">IFERROR(__xludf.DUMMYFUNCTION("IFERROR(SUBSTITUTE(SUBSTITUTE(REGEXEXTRACT(A14146, ""[^-]+- [^-]+- [^-]+ - (.+?)\.jpg""), "".jpg"", """"), ""-"", "", ""), """")"),"")</f>
        <v/>
      </c>
      <c r="L14146" s="12"/>
      <c r="M14146" s="13"/>
      <c r="N14146" s="2"/>
      <c r="O14146" s="20"/>
      <c r="P14146" s="42"/>
      <c r="R14146" s="23"/>
    </row>
    <row r="14147" spans="1:18" ht="12.75">
      <c r="A14147" s="12"/>
      <c r="D14147" s="12"/>
      <c r="E14147" s="12"/>
      <c r="H14147" s="11" t="str">
        <f ca="1">IFERROR(__xludf.DUMMYFUNCTION("IFERROR(SUBSTITUTE(SUBSTITUTE(REGEXEXTRACT(A14147, ""[^-]+- [^-]+- [^-]+ - (.+?)\.jpg""), "".jpg"", """"), ""-"", "", ""), """")"),"")</f>
        <v/>
      </c>
      <c r="L14147" s="12"/>
      <c r="M14147" s="13"/>
      <c r="N14147" s="2"/>
      <c r="O14147" s="20"/>
      <c r="P14147" s="42"/>
      <c r="R14147" s="23"/>
    </row>
    <row r="14148" spans="1:18" ht="12.75">
      <c r="A14148" s="12"/>
      <c r="D14148" s="12"/>
      <c r="E14148" s="12"/>
      <c r="H14148" s="11" t="str">
        <f ca="1">IFERROR(__xludf.DUMMYFUNCTION("IFERROR(SUBSTITUTE(SUBSTITUTE(REGEXEXTRACT(A14148, ""[^-]+- [^-]+- [^-]+ - (.+?)\.jpg""), "".jpg"", """"), ""-"", "", ""), """")"),"")</f>
        <v/>
      </c>
      <c r="L14148" s="12"/>
      <c r="M14148" s="13"/>
      <c r="N14148" s="2"/>
      <c r="O14148" s="20"/>
      <c r="P14148" s="42"/>
      <c r="R14148" s="23"/>
    </row>
    <row r="14149" spans="1:18" ht="12.75">
      <c r="A14149" s="12"/>
      <c r="D14149" s="12"/>
      <c r="E14149" s="12"/>
      <c r="H14149" s="11" t="str">
        <f ca="1">IFERROR(__xludf.DUMMYFUNCTION("IFERROR(SUBSTITUTE(SUBSTITUTE(REGEXEXTRACT(A14149, ""[^-]+- [^-]+- [^-]+ - (.+?)\.jpg""), "".jpg"", """"), ""-"", "", ""), """")"),"")</f>
        <v/>
      </c>
      <c r="L14149" s="12"/>
      <c r="M14149" s="13"/>
      <c r="N14149" s="2"/>
      <c r="O14149" s="20"/>
      <c r="P14149" s="42"/>
      <c r="R14149" s="23"/>
    </row>
    <row r="14150" spans="1:18" ht="12.75">
      <c r="A14150" s="12"/>
      <c r="D14150" s="12"/>
      <c r="E14150" s="12"/>
      <c r="H14150" s="11" t="str">
        <f ca="1">IFERROR(__xludf.DUMMYFUNCTION("IFERROR(SUBSTITUTE(SUBSTITUTE(REGEXEXTRACT(A14150, ""[^-]+- [^-]+- [^-]+ - (.+?)\.jpg""), "".jpg"", """"), ""-"", "", ""), """")"),"")</f>
        <v/>
      </c>
      <c r="L14150" s="12"/>
      <c r="M14150" s="13"/>
      <c r="N14150" s="2"/>
      <c r="O14150" s="20"/>
      <c r="P14150" s="42"/>
      <c r="R14150" s="23"/>
    </row>
    <row r="14151" spans="1:18" ht="12.75">
      <c r="A14151" s="12"/>
      <c r="D14151" s="12"/>
      <c r="E14151" s="12"/>
      <c r="H14151" s="11" t="str">
        <f ca="1">IFERROR(__xludf.DUMMYFUNCTION("IFERROR(SUBSTITUTE(SUBSTITUTE(REGEXEXTRACT(A14151, ""[^-]+- [^-]+- [^-]+ - (.+?)\.jpg""), "".jpg"", """"), ""-"", "", ""), """")"),"")</f>
        <v/>
      </c>
      <c r="L14151" s="12"/>
      <c r="M14151" s="13"/>
      <c r="N14151" s="2"/>
      <c r="O14151" s="20"/>
      <c r="P14151" s="42"/>
      <c r="R14151" s="23"/>
    </row>
    <row r="14152" spans="1:18" ht="12.75">
      <c r="A14152" s="12"/>
      <c r="D14152" s="12"/>
      <c r="E14152" s="12"/>
      <c r="H14152" s="11" t="str">
        <f ca="1">IFERROR(__xludf.DUMMYFUNCTION("IFERROR(SUBSTITUTE(SUBSTITUTE(REGEXEXTRACT(A14152, ""[^-]+- [^-]+- [^-]+ - (.+?)\.jpg""), "".jpg"", """"), ""-"", "", ""), """")"),"")</f>
        <v/>
      </c>
      <c r="L14152" s="12"/>
      <c r="M14152" s="13"/>
      <c r="N14152" s="2"/>
      <c r="O14152" s="20"/>
      <c r="P14152" s="42"/>
      <c r="R14152" s="23"/>
    </row>
    <row r="14153" spans="1:18" ht="12.75">
      <c r="A14153" s="12"/>
      <c r="D14153" s="12"/>
      <c r="E14153" s="12"/>
      <c r="H14153" s="11" t="str">
        <f ca="1">IFERROR(__xludf.DUMMYFUNCTION("IFERROR(SUBSTITUTE(SUBSTITUTE(REGEXEXTRACT(A14153, ""[^-]+- [^-]+- [^-]+ - (.+?)\.jpg""), "".jpg"", """"), ""-"", "", ""), """")"),"")</f>
        <v/>
      </c>
      <c r="L14153" s="12"/>
      <c r="M14153" s="13"/>
      <c r="N14153" s="2"/>
      <c r="O14153" s="20"/>
      <c r="P14153" s="42"/>
      <c r="R14153" s="23"/>
    </row>
    <row r="14154" spans="1:18" ht="12.75">
      <c r="A14154" s="12"/>
      <c r="D14154" s="12"/>
      <c r="E14154" s="12"/>
      <c r="H14154" s="11" t="str">
        <f ca="1">IFERROR(__xludf.DUMMYFUNCTION("IFERROR(SUBSTITUTE(SUBSTITUTE(REGEXEXTRACT(A14154, ""[^-]+- [^-]+- [^-]+ - (.+?)\.jpg""), "".jpg"", """"), ""-"", "", ""), """")"),"")</f>
        <v/>
      </c>
      <c r="L14154" s="12"/>
      <c r="M14154" s="13"/>
      <c r="N14154" s="2"/>
      <c r="O14154" s="20"/>
      <c r="P14154" s="42"/>
      <c r="R14154" s="23"/>
    </row>
    <row r="14155" spans="1:18" ht="12.75">
      <c r="A14155" s="12"/>
      <c r="D14155" s="12"/>
      <c r="E14155" s="12"/>
      <c r="H14155" s="11" t="str">
        <f ca="1">IFERROR(__xludf.DUMMYFUNCTION("IFERROR(SUBSTITUTE(SUBSTITUTE(REGEXEXTRACT(A14155, ""[^-]+- [^-]+- [^-]+ - (.+?)\.jpg""), "".jpg"", """"), ""-"", "", ""), """")"),"")</f>
        <v/>
      </c>
      <c r="L14155" s="12"/>
      <c r="M14155" s="13"/>
      <c r="N14155" s="2"/>
      <c r="O14155" s="20"/>
      <c r="P14155" s="42"/>
      <c r="R14155" s="23"/>
    </row>
    <row r="14156" spans="1:18" ht="12.75">
      <c r="A14156" s="12"/>
      <c r="D14156" s="12"/>
      <c r="E14156" s="12"/>
      <c r="H14156" s="11" t="str">
        <f ca="1">IFERROR(__xludf.DUMMYFUNCTION("IFERROR(SUBSTITUTE(SUBSTITUTE(REGEXEXTRACT(A14156, ""[^-]+- [^-]+- [^-]+ - (.+?)\.jpg""), "".jpg"", """"), ""-"", "", ""), """")"),"")</f>
        <v/>
      </c>
      <c r="L14156" s="12"/>
      <c r="M14156" s="13"/>
      <c r="N14156" s="2"/>
      <c r="O14156" s="20"/>
      <c r="P14156" s="42"/>
      <c r="R14156" s="23"/>
    </row>
    <row r="14157" spans="1:18" ht="12.75">
      <c r="A14157" s="12"/>
      <c r="D14157" s="12"/>
      <c r="E14157" s="12"/>
      <c r="H14157" s="11" t="str">
        <f ca="1">IFERROR(__xludf.DUMMYFUNCTION("IFERROR(SUBSTITUTE(SUBSTITUTE(REGEXEXTRACT(A14157, ""[^-]+- [^-]+- [^-]+ - (.+?)\.jpg""), "".jpg"", """"), ""-"", "", ""), """")"),"")</f>
        <v/>
      </c>
      <c r="L14157" s="12"/>
      <c r="M14157" s="13"/>
      <c r="N14157" s="2"/>
      <c r="O14157" s="20"/>
      <c r="P14157" s="42"/>
      <c r="R14157" s="23"/>
    </row>
    <row r="14158" spans="1:18" ht="12.75">
      <c r="A14158" s="12"/>
      <c r="D14158" s="12"/>
      <c r="E14158" s="12"/>
      <c r="H14158" s="11" t="str">
        <f ca="1">IFERROR(__xludf.DUMMYFUNCTION("IFERROR(SUBSTITUTE(SUBSTITUTE(REGEXEXTRACT(A14158, ""[^-]+- [^-]+- [^-]+ - (.+?)\.jpg""), "".jpg"", """"), ""-"", "", ""), """")"),"")</f>
        <v/>
      </c>
      <c r="L14158" s="12"/>
      <c r="M14158" s="13"/>
      <c r="N14158" s="2"/>
      <c r="O14158" s="20"/>
      <c r="P14158" s="42"/>
      <c r="R14158" s="23"/>
    </row>
    <row r="14159" spans="1:18" ht="12.75">
      <c r="A14159" s="12"/>
      <c r="D14159" s="12"/>
      <c r="E14159" s="12"/>
      <c r="H14159" s="11" t="str">
        <f ca="1">IFERROR(__xludf.DUMMYFUNCTION("IFERROR(SUBSTITUTE(SUBSTITUTE(REGEXEXTRACT(A14159, ""[^-]+- [^-]+- [^-]+ - (.+?)\.jpg""), "".jpg"", """"), ""-"", "", ""), """")"),"")</f>
        <v/>
      </c>
      <c r="L14159" s="12"/>
      <c r="M14159" s="13"/>
      <c r="N14159" s="2"/>
      <c r="O14159" s="20"/>
      <c r="P14159" s="42"/>
      <c r="R14159" s="23"/>
    </row>
    <row r="14160" spans="1:18" ht="12.75">
      <c r="A14160" s="12"/>
      <c r="D14160" s="12"/>
      <c r="E14160" s="12"/>
      <c r="H14160" s="11" t="str">
        <f ca="1">IFERROR(__xludf.DUMMYFUNCTION("IFERROR(SUBSTITUTE(SUBSTITUTE(REGEXEXTRACT(A14160, ""[^-]+- [^-]+- [^-]+ - (.+?)\.jpg""), "".jpg"", """"), ""-"", "", ""), """")"),"")</f>
        <v/>
      </c>
      <c r="L14160" s="12"/>
      <c r="M14160" s="13"/>
      <c r="N14160" s="2"/>
      <c r="O14160" s="20"/>
      <c r="P14160" s="42"/>
      <c r="R14160" s="23"/>
    </row>
    <row r="14161" spans="1:18" ht="12.75">
      <c r="A14161" s="12"/>
      <c r="D14161" s="12"/>
      <c r="E14161" s="12"/>
      <c r="H14161" s="11" t="str">
        <f ca="1">IFERROR(__xludf.DUMMYFUNCTION("IFERROR(SUBSTITUTE(SUBSTITUTE(REGEXEXTRACT(A14161, ""[^-]+- [^-]+- [^-]+ - (.+?)\.jpg""), "".jpg"", """"), ""-"", "", ""), """")"),"")</f>
        <v/>
      </c>
      <c r="L14161" s="12"/>
      <c r="M14161" s="13"/>
      <c r="N14161" s="2"/>
      <c r="O14161" s="20"/>
      <c r="P14161" s="42"/>
      <c r="R14161" s="23"/>
    </row>
    <row r="14162" spans="1:18" ht="12.75">
      <c r="A14162" s="12"/>
      <c r="D14162" s="12"/>
      <c r="E14162" s="12"/>
      <c r="H14162" s="11" t="str">
        <f ca="1">IFERROR(__xludf.DUMMYFUNCTION("IFERROR(SUBSTITUTE(SUBSTITUTE(REGEXEXTRACT(A14162, ""[^-]+- [^-]+- [^-]+ - (.+?)\.jpg""), "".jpg"", """"), ""-"", "", ""), """")"),"")</f>
        <v/>
      </c>
      <c r="L14162" s="12"/>
      <c r="M14162" s="13"/>
      <c r="N14162" s="2"/>
      <c r="O14162" s="20"/>
      <c r="P14162" s="42"/>
      <c r="R14162" s="23"/>
    </row>
    <row r="14163" spans="1:18" ht="12.75">
      <c r="A14163" s="12"/>
      <c r="D14163" s="12"/>
      <c r="E14163" s="12"/>
      <c r="H14163" s="11" t="str">
        <f ca="1">IFERROR(__xludf.DUMMYFUNCTION("IFERROR(SUBSTITUTE(SUBSTITUTE(REGEXEXTRACT(A14163, ""[^-]+- [^-]+- [^-]+ - (.+?)\.jpg""), "".jpg"", """"), ""-"", "", ""), """")"),"")</f>
        <v/>
      </c>
      <c r="L14163" s="12"/>
      <c r="M14163" s="13"/>
      <c r="N14163" s="2"/>
      <c r="O14163" s="20"/>
      <c r="P14163" s="42"/>
      <c r="R14163" s="23"/>
    </row>
    <row r="14164" spans="1:18" ht="12.75">
      <c r="A14164" s="12"/>
      <c r="D14164" s="12"/>
      <c r="E14164" s="12"/>
      <c r="H14164" s="11" t="str">
        <f ca="1">IFERROR(__xludf.DUMMYFUNCTION("IFERROR(SUBSTITUTE(SUBSTITUTE(REGEXEXTRACT(A14164, ""[^-]+- [^-]+- [^-]+ - (.+?)\.jpg""), "".jpg"", """"), ""-"", "", ""), """")"),"")</f>
        <v/>
      </c>
      <c r="L14164" s="12"/>
      <c r="M14164" s="13"/>
      <c r="N14164" s="2"/>
      <c r="O14164" s="20"/>
      <c r="P14164" s="42"/>
      <c r="R14164" s="23"/>
    </row>
    <row r="14165" spans="1:18" ht="12.75">
      <c r="A14165" s="12"/>
      <c r="D14165" s="12"/>
      <c r="E14165" s="12"/>
      <c r="H14165" s="11" t="str">
        <f ca="1">IFERROR(__xludf.DUMMYFUNCTION("IFERROR(SUBSTITUTE(SUBSTITUTE(REGEXEXTRACT(A14165, ""[^-]+- [^-]+- [^-]+ - (.+?)\.jpg""), "".jpg"", """"), ""-"", "", ""), """")"),"")</f>
        <v/>
      </c>
      <c r="L14165" s="12"/>
      <c r="M14165" s="13"/>
      <c r="N14165" s="2"/>
      <c r="O14165" s="20"/>
      <c r="P14165" s="42"/>
      <c r="R14165" s="23"/>
    </row>
    <row r="14166" spans="1:18" ht="12.75">
      <c r="A14166" s="12"/>
      <c r="D14166" s="12"/>
      <c r="E14166" s="12"/>
      <c r="H14166" s="11" t="str">
        <f ca="1">IFERROR(__xludf.DUMMYFUNCTION("IFERROR(SUBSTITUTE(SUBSTITUTE(REGEXEXTRACT(A14166, ""[^-]+- [^-]+- [^-]+ - (.+?)\.jpg""), "".jpg"", """"), ""-"", "", ""), """")"),"")</f>
        <v/>
      </c>
      <c r="L14166" s="12"/>
      <c r="M14166" s="13"/>
      <c r="N14166" s="2"/>
      <c r="O14166" s="20"/>
      <c r="P14166" s="42"/>
      <c r="R14166" s="23"/>
    </row>
    <row r="14167" spans="1:18" ht="12.75">
      <c r="A14167" s="12"/>
      <c r="D14167" s="12"/>
      <c r="E14167" s="12"/>
      <c r="H14167" s="11" t="str">
        <f ca="1">IFERROR(__xludf.DUMMYFUNCTION("IFERROR(SUBSTITUTE(SUBSTITUTE(REGEXEXTRACT(A14167, ""[^-]+- [^-]+- [^-]+ - (.+?)\.jpg""), "".jpg"", """"), ""-"", "", ""), """")"),"")</f>
        <v/>
      </c>
      <c r="L14167" s="12"/>
      <c r="M14167" s="13"/>
      <c r="N14167" s="2"/>
      <c r="O14167" s="20"/>
      <c r="P14167" s="42"/>
      <c r="R14167" s="23"/>
    </row>
    <row r="14168" spans="1:18" ht="12.75">
      <c r="A14168" s="12"/>
      <c r="D14168" s="12"/>
      <c r="E14168" s="12"/>
      <c r="H14168" s="11" t="str">
        <f ca="1">IFERROR(__xludf.DUMMYFUNCTION("IFERROR(SUBSTITUTE(SUBSTITUTE(REGEXEXTRACT(A14168, ""[^-]+- [^-]+- [^-]+ - (.+?)\.jpg""), "".jpg"", """"), ""-"", "", ""), """")"),"")</f>
        <v/>
      </c>
      <c r="L14168" s="12"/>
      <c r="M14168" s="13"/>
      <c r="N14168" s="2"/>
      <c r="O14168" s="20"/>
      <c r="P14168" s="42"/>
      <c r="R14168" s="23"/>
    </row>
    <row r="14169" spans="1:18" ht="12.75">
      <c r="A14169" s="12"/>
      <c r="D14169" s="12"/>
      <c r="E14169" s="12"/>
      <c r="H14169" s="11" t="str">
        <f ca="1">IFERROR(__xludf.DUMMYFUNCTION("IFERROR(SUBSTITUTE(SUBSTITUTE(REGEXEXTRACT(A14169, ""[^-]+- [^-]+- [^-]+ - (.+?)\.jpg""), "".jpg"", """"), ""-"", "", ""), """")"),"")</f>
        <v/>
      </c>
      <c r="L14169" s="12"/>
      <c r="M14169" s="13"/>
      <c r="N14169" s="2"/>
      <c r="O14169" s="20"/>
      <c r="P14169" s="42"/>
      <c r="R14169" s="23"/>
    </row>
    <row r="14170" spans="1:18" ht="12.75">
      <c r="A14170" s="12"/>
      <c r="D14170" s="12"/>
      <c r="E14170" s="12"/>
      <c r="H14170" s="11" t="str">
        <f ca="1">IFERROR(__xludf.DUMMYFUNCTION("IFERROR(SUBSTITUTE(SUBSTITUTE(REGEXEXTRACT(A14170, ""[^-]+- [^-]+- [^-]+ - (.+?)\.jpg""), "".jpg"", """"), ""-"", "", ""), """")"),"")</f>
        <v/>
      </c>
      <c r="L14170" s="12"/>
      <c r="M14170" s="13"/>
      <c r="N14170" s="2"/>
      <c r="O14170" s="20"/>
      <c r="P14170" s="42"/>
      <c r="R14170" s="23"/>
    </row>
    <row r="14171" spans="1:18" ht="12.75">
      <c r="A14171" s="12"/>
      <c r="D14171" s="12"/>
      <c r="E14171" s="12"/>
      <c r="H14171" s="11" t="str">
        <f ca="1">IFERROR(__xludf.DUMMYFUNCTION("IFERROR(SUBSTITUTE(SUBSTITUTE(REGEXEXTRACT(A14171, ""[^-]+- [^-]+- [^-]+ - (.+?)\.jpg""), "".jpg"", """"), ""-"", "", ""), """")"),"")</f>
        <v/>
      </c>
      <c r="L14171" s="12"/>
      <c r="M14171" s="13"/>
      <c r="N14171" s="2"/>
      <c r="O14171" s="20"/>
      <c r="P14171" s="42"/>
      <c r="R14171" s="23"/>
    </row>
    <row r="14172" spans="1:18" ht="12.75">
      <c r="A14172" s="12"/>
      <c r="D14172" s="12"/>
      <c r="E14172" s="12"/>
      <c r="H14172" s="11" t="str">
        <f ca="1">IFERROR(__xludf.DUMMYFUNCTION("IFERROR(SUBSTITUTE(SUBSTITUTE(REGEXEXTRACT(A14172, ""[^-]+- [^-]+- [^-]+ - (.+?)\.jpg""), "".jpg"", """"), ""-"", "", ""), """")"),"")</f>
        <v/>
      </c>
      <c r="L14172" s="12"/>
      <c r="M14172" s="13"/>
      <c r="N14172" s="2"/>
      <c r="O14172" s="20"/>
      <c r="P14172" s="42"/>
      <c r="R14172" s="23"/>
    </row>
    <row r="14173" spans="1:18" ht="12.75">
      <c r="A14173" s="12"/>
      <c r="D14173" s="12"/>
      <c r="E14173" s="12"/>
      <c r="H14173" s="11" t="str">
        <f ca="1">IFERROR(__xludf.DUMMYFUNCTION("IFERROR(SUBSTITUTE(SUBSTITUTE(REGEXEXTRACT(A14173, ""[^-]+- [^-]+- [^-]+ - (.+?)\.jpg""), "".jpg"", """"), ""-"", "", ""), """")"),"")</f>
        <v/>
      </c>
      <c r="L14173" s="12"/>
      <c r="M14173" s="13"/>
      <c r="N14173" s="2"/>
      <c r="O14173" s="20"/>
      <c r="P14173" s="42"/>
      <c r="R14173" s="23"/>
    </row>
    <row r="14174" spans="1:18" ht="12.75">
      <c r="A14174" s="12"/>
      <c r="D14174" s="12"/>
      <c r="E14174" s="12"/>
      <c r="H14174" s="11" t="str">
        <f ca="1">IFERROR(__xludf.DUMMYFUNCTION("IFERROR(SUBSTITUTE(SUBSTITUTE(REGEXEXTRACT(A14174, ""[^-]+- [^-]+- [^-]+ - (.+?)\.jpg""), "".jpg"", """"), ""-"", "", ""), """")"),"")</f>
        <v/>
      </c>
      <c r="L14174" s="12"/>
      <c r="M14174" s="13"/>
      <c r="N14174" s="2"/>
      <c r="O14174" s="20"/>
      <c r="P14174" s="42"/>
      <c r="R14174" s="23"/>
    </row>
    <row r="14175" spans="1:18" ht="12.75">
      <c r="A14175" s="12"/>
      <c r="D14175" s="12"/>
      <c r="E14175" s="12"/>
      <c r="H14175" s="11" t="str">
        <f ca="1">IFERROR(__xludf.DUMMYFUNCTION("IFERROR(SUBSTITUTE(SUBSTITUTE(REGEXEXTRACT(A14175, ""[^-]+- [^-]+- [^-]+ - (.+?)\.jpg""), "".jpg"", """"), ""-"", "", ""), """")"),"")</f>
        <v/>
      </c>
      <c r="L14175" s="12"/>
      <c r="M14175" s="13"/>
      <c r="N14175" s="2"/>
      <c r="O14175" s="20"/>
      <c r="P14175" s="42"/>
      <c r="R14175" s="23"/>
    </row>
    <row r="14176" spans="1:18" ht="12.75">
      <c r="A14176" s="12"/>
      <c r="D14176" s="12"/>
      <c r="E14176" s="12"/>
      <c r="H14176" s="11" t="str">
        <f ca="1">IFERROR(__xludf.DUMMYFUNCTION("IFERROR(SUBSTITUTE(SUBSTITUTE(REGEXEXTRACT(A14176, ""[^-]+- [^-]+- [^-]+ - (.+?)\.jpg""), "".jpg"", """"), ""-"", "", ""), """")"),"")</f>
        <v/>
      </c>
      <c r="L14176" s="12"/>
      <c r="M14176" s="13"/>
      <c r="N14176" s="2"/>
      <c r="O14176" s="20"/>
      <c r="P14176" s="42"/>
      <c r="R14176" s="23"/>
    </row>
    <row r="14177" spans="1:18" ht="12.75">
      <c r="A14177" s="12"/>
      <c r="D14177" s="12"/>
      <c r="E14177" s="12"/>
      <c r="H14177" s="11" t="str">
        <f ca="1">IFERROR(__xludf.DUMMYFUNCTION("IFERROR(SUBSTITUTE(SUBSTITUTE(REGEXEXTRACT(A14177, ""[^-]+- [^-]+- [^-]+ - (.+?)\.jpg""), "".jpg"", """"), ""-"", "", ""), """")"),"")</f>
        <v/>
      </c>
      <c r="L14177" s="12"/>
      <c r="M14177" s="13"/>
      <c r="N14177" s="2"/>
      <c r="O14177" s="20"/>
      <c r="P14177" s="42"/>
      <c r="R14177" s="23"/>
    </row>
    <row r="14178" spans="1:18" ht="12.75">
      <c r="A14178" s="12"/>
      <c r="D14178" s="12"/>
      <c r="E14178" s="12"/>
      <c r="H14178" s="11" t="str">
        <f ca="1">IFERROR(__xludf.DUMMYFUNCTION("IFERROR(SUBSTITUTE(SUBSTITUTE(REGEXEXTRACT(A14178, ""[^-]+- [^-]+- [^-]+ - (.+?)\.jpg""), "".jpg"", """"), ""-"", "", ""), """")"),"")</f>
        <v/>
      </c>
      <c r="L14178" s="12"/>
      <c r="M14178" s="13"/>
      <c r="N14178" s="2"/>
      <c r="O14178" s="20"/>
      <c r="P14178" s="42"/>
      <c r="R14178" s="23"/>
    </row>
    <row r="14179" spans="1:18" ht="12.75">
      <c r="A14179" s="12"/>
      <c r="D14179" s="12"/>
      <c r="E14179" s="12"/>
      <c r="H14179" s="11" t="str">
        <f ca="1">IFERROR(__xludf.DUMMYFUNCTION("IFERROR(SUBSTITUTE(SUBSTITUTE(REGEXEXTRACT(A14179, ""[^-]+- [^-]+- [^-]+ - (.+?)\.jpg""), "".jpg"", """"), ""-"", "", ""), """")"),"")</f>
        <v/>
      </c>
      <c r="L14179" s="12"/>
      <c r="M14179" s="13"/>
      <c r="N14179" s="2"/>
      <c r="O14179" s="20"/>
      <c r="P14179" s="42"/>
      <c r="R14179" s="23"/>
    </row>
    <row r="14180" spans="1:18" ht="12.75">
      <c r="A14180" s="12"/>
      <c r="D14180" s="12"/>
      <c r="E14180" s="12"/>
      <c r="H14180" s="11" t="str">
        <f ca="1">IFERROR(__xludf.DUMMYFUNCTION("IFERROR(SUBSTITUTE(SUBSTITUTE(REGEXEXTRACT(A14180, ""[^-]+- [^-]+- [^-]+ - (.+?)\.jpg""), "".jpg"", """"), ""-"", "", ""), """")"),"")</f>
        <v/>
      </c>
      <c r="L14180" s="12"/>
      <c r="M14180" s="13"/>
      <c r="N14180" s="2"/>
      <c r="O14180" s="20"/>
      <c r="P14180" s="42"/>
      <c r="R14180" s="23"/>
    </row>
    <row r="14181" spans="1:18" ht="12.75">
      <c r="A14181" s="12"/>
      <c r="D14181" s="12"/>
      <c r="E14181" s="12"/>
      <c r="H14181" s="11" t="str">
        <f ca="1">IFERROR(__xludf.DUMMYFUNCTION("IFERROR(SUBSTITUTE(SUBSTITUTE(REGEXEXTRACT(A14181, ""[^-]+- [^-]+- [^-]+ - (.+?)\.jpg""), "".jpg"", """"), ""-"", "", ""), """")"),"")</f>
        <v/>
      </c>
      <c r="L14181" s="12"/>
      <c r="M14181" s="13"/>
      <c r="N14181" s="2"/>
      <c r="O14181" s="20"/>
      <c r="P14181" s="42"/>
      <c r="R14181" s="23"/>
    </row>
    <row r="14182" spans="1:18" ht="12.75">
      <c r="A14182" s="12"/>
      <c r="D14182" s="12"/>
      <c r="E14182" s="12"/>
      <c r="H14182" s="11" t="str">
        <f ca="1">IFERROR(__xludf.DUMMYFUNCTION("IFERROR(SUBSTITUTE(SUBSTITUTE(REGEXEXTRACT(A14182, ""[^-]+- [^-]+- [^-]+ - (.+?)\.jpg""), "".jpg"", """"), ""-"", "", ""), """")"),"")</f>
        <v/>
      </c>
      <c r="L14182" s="12"/>
      <c r="M14182" s="13"/>
      <c r="N14182" s="2"/>
      <c r="O14182" s="20"/>
      <c r="P14182" s="42"/>
      <c r="R14182" s="23"/>
    </row>
    <row r="14183" spans="1:18" ht="12.75">
      <c r="A14183" s="12"/>
      <c r="D14183" s="12"/>
      <c r="E14183" s="12"/>
      <c r="H14183" s="11" t="str">
        <f ca="1">IFERROR(__xludf.DUMMYFUNCTION("IFERROR(SUBSTITUTE(SUBSTITUTE(REGEXEXTRACT(A14183, ""[^-]+- [^-]+- [^-]+ - (.+?)\.jpg""), "".jpg"", """"), ""-"", "", ""), """")"),"")</f>
        <v/>
      </c>
      <c r="L14183" s="12"/>
      <c r="M14183" s="13"/>
      <c r="N14183" s="2"/>
      <c r="O14183" s="20"/>
      <c r="P14183" s="42"/>
      <c r="R14183" s="23"/>
    </row>
    <row r="14184" spans="1:18" ht="12.75">
      <c r="A14184" s="12"/>
      <c r="D14184" s="12"/>
      <c r="E14184" s="12"/>
      <c r="H14184" s="11" t="str">
        <f ca="1">IFERROR(__xludf.DUMMYFUNCTION("IFERROR(SUBSTITUTE(SUBSTITUTE(REGEXEXTRACT(A14184, ""[^-]+- [^-]+- [^-]+ - (.+?)\.jpg""), "".jpg"", """"), ""-"", "", ""), """")"),"")</f>
        <v/>
      </c>
      <c r="L14184" s="12"/>
      <c r="M14184" s="13"/>
      <c r="N14184" s="2"/>
      <c r="O14184" s="20"/>
      <c r="P14184" s="42"/>
      <c r="R14184" s="23"/>
    </row>
    <row r="14185" spans="1:18" ht="12.75">
      <c r="A14185" s="12"/>
      <c r="D14185" s="12"/>
      <c r="E14185" s="12"/>
      <c r="H14185" s="11" t="str">
        <f ca="1">IFERROR(__xludf.DUMMYFUNCTION("IFERROR(SUBSTITUTE(SUBSTITUTE(REGEXEXTRACT(A14185, ""[^-]+- [^-]+- [^-]+ - (.+?)\.jpg""), "".jpg"", """"), ""-"", "", ""), """")"),"")</f>
        <v/>
      </c>
      <c r="L14185" s="12"/>
      <c r="M14185" s="13"/>
      <c r="N14185" s="2"/>
      <c r="O14185" s="20"/>
      <c r="P14185" s="42"/>
      <c r="R14185" s="23"/>
    </row>
    <row r="14186" spans="1:18" ht="12.75">
      <c r="A14186" s="12"/>
      <c r="D14186" s="12"/>
      <c r="E14186" s="12"/>
      <c r="H14186" s="11" t="str">
        <f ca="1">IFERROR(__xludf.DUMMYFUNCTION("IFERROR(SUBSTITUTE(SUBSTITUTE(REGEXEXTRACT(A14186, ""[^-]+- [^-]+- [^-]+ - (.+?)\.jpg""), "".jpg"", """"), ""-"", "", ""), """")"),"")</f>
        <v/>
      </c>
      <c r="L14186" s="12"/>
      <c r="M14186" s="13"/>
      <c r="N14186" s="2"/>
      <c r="O14186" s="20"/>
      <c r="P14186" s="42"/>
      <c r="R14186" s="23"/>
    </row>
    <row r="14187" spans="1:18" ht="12.75">
      <c r="A14187" s="12"/>
      <c r="D14187" s="12"/>
      <c r="E14187" s="12"/>
      <c r="H14187" s="11" t="str">
        <f ca="1">IFERROR(__xludf.DUMMYFUNCTION("IFERROR(SUBSTITUTE(SUBSTITUTE(REGEXEXTRACT(A14187, ""[^-]+- [^-]+- [^-]+ - (.+?)\.jpg""), "".jpg"", """"), ""-"", "", ""), """")"),"")</f>
        <v/>
      </c>
      <c r="L14187" s="12"/>
      <c r="M14187" s="13"/>
      <c r="N14187" s="2"/>
      <c r="O14187" s="20"/>
      <c r="P14187" s="42"/>
      <c r="R14187" s="23"/>
    </row>
    <row r="14188" spans="1:18" ht="12.75">
      <c r="A14188" s="12"/>
      <c r="D14188" s="12"/>
      <c r="E14188" s="12"/>
      <c r="H14188" s="11" t="str">
        <f ca="1">IFERROR(__xludf.DUMMYFUNCTION("IFERROR(SUBSTITUTE(SUBSTITUTE(REGEXEXTRACT(A14188, ""[^-]+- [^-]+- [^-]+ - (.+?)\.jpg""), "".jpg"", """"), ""-"", "", ""), """")"),"")</f>
        <v/>
      </c>
      <c r="L14188" s="12"/>
      <c r="M14188" s="13"/>
      <c r="N14188" s="2"/>
      <c r="O14188" s="20"/>
      <c r="P14188" s="42"/>
      <c r="R14188" s="23"/>
    </row>
    <row r="14189" spans="1:18" ht="12.75">
      <c r="A14189" s="12"/>
      <c r="D14189" s="12"/>
      <c r="E14189" s="12"/>
      <c r="H14189" s="11" t="str">
        <f ca="1">IFERROR(__xludf.DUMMYFUNCTION("IFERROR(SUBSTITUTE(SUBSTITUTE(REGEXEXTRACT(A14189, ""[^-]+- [^-]+- [^-]+ - (.+?)\.jpg""), "".jpg"", """"), ""-"", "", ""), """")"),"")</f>
        <v/>
      </c>
      <c r="L14189" s="12"/>
      <c r="M14189" s="13"/>
      <c r="N14189" s="2"/>
      <c r="O14189" s="20"/>
      <c r="P14189" s="42"/>
      <c r="R14189" s="23"/>
    </row>
    <row r="14190" spans="1:18" ht="12.75">
      <c r="A14190" s="12"/>
      <c r="D14190" s="12"/>
      <c r="E14190" s="12"/>
      <c r="H14190" s="11" t="str">
        <f ca="1">IFERROR(__xludf.DUMMYFUNCTION("IFERROR(SUBSTITUTE(SUBSTITUTE(REGEXEXTRACT(A14190, ""[^-]+- [^-]+- [^-]+ - (.+?)\.jpg""), "".jpg"", """"), ""-"", "", ""), """")"),"")</f>
        <v/>
      </c>
      <c r="L14190" s="12"/>
      <c r="M14190" s="13"/>
      <c r="N14190" s="2"/>
      <c r="O14190" s="20"/>
      <c r="P14190" s="42"/>
      <c r="R14190" s="23"/>
    </row>
    <row r="14191" spans="1:18" ht="12.75">
      <c r="A14191" s="12"/>
      <c r="D14191" s="12"/>
      <c r="E14191" s="12"/>
      <c r="H14191" s="11" t="str">
        <f ca="1">IFERROR(__xludf.DUMMYFUNCTION("IFERROR(SUBSTITUTE(SUBSTITUTE(REGEXEXTRACT(A14191, ""[^-]+- [^-]+- [^-]+ - (.+?)\.jpg""), "".jpg"", """"), ""-"", "", ""), """")"),"")</f>
        <v/>
      </c>
      <c r="L14191" s="12"/>
      <c r="M14191" s="13"/>
      <c r="N14191" s="2"/>
      <c r="O14191" s="20"/>
      <c r="P14191" s="42"/>
      <c r="R14191" s="23"/>
    </row>
    <row r="14192" spans="1:18" ht="12.75">
      <c r="A14192" s="12"/>
      <c r="D14192" s="12"/>
      <c r="E14192" s="12"/>
      <c r="H14192" s="11" t="str">
        <f ca="1">IFERROR(__xludf.DUMMYFUNCTION("IFERROR(SUBSTITUTE(SUBSTITUTE(REGEXEXTRACT(A14192, ""[^-]+- [^-]+- [^-]+ - (.+?)\.jpg""), "".jpg"", """"), ""-"", "", ""), """")"),"")</f>
        <v/>
      </c>
      <c r="L14192" s="12"/>
      <c r="M14192" s="13"/>
      <c r="N14192" s="2"/>
      <c r="O14192" s="20"/>
      <c r="P14192" s="42"/>
      <c r="R14192" s="23"/>
    </row>
    <row r="14193" spans="1:18" ht="12.75">
      <c r="A14193" s="12"/>
      <c r="D14193" s="12"/>
      <c r="E14193" s="12"/>
      <c r="H14193" s="11" t="str">
        <f ca="1">IFERROR(__xludf.DUMMYFUNCTION("IFERROR(SUBSTITUTE(SUBSTITUTE(REGEXEXTRACT(A14193, ""[^-]+- [^-]+- [^-]+ - (.+?)\.jpg""), "".jpg"", """"), ""-"", "", ""), """")"),"")</f>
        <v/>
      </c>
      <c r="L14193" s="12"/>
      <c r="M14193" s="13"/>
      <c r="N14193" s="2"/>
      <c r="O14193" s="20"/>
      <c r="P14193" s="42"/>
      <c r="R14193" s="23"/>
    </row>
    <row r="14194" spans="1:18" ht="12.75">
      <c r="A14194" s="12"/>
      <c r="D14194" s="12"/>
      <c r="E14194" s="12"/>
      <c r="H14194" s="11" t="str">
        <f ca="1">IFERROR(__xludf.DUMMYFUNCTION("IFERROR(SUBSTITUTE(SUBSTITUTE(REGEXEXTRACT(A14194, ""[^-]+- [^-]+- [^-]+ - (.+?)\.jpg""), "".jpg"", """"), ""-"", "", ""), """")"),"")</f>
        <v/>
      </c>
      <c r="L14194" s="12"/>
      <c r="M14194" s="13"/>
      <c r="N14194" s="2"/>
      <c r="O14194" s="20"/>
      <c r="P14194" s="42"/>
      <c r="R14194" s="23"/>
    </row>
    <row r="14195" spans="1:18" ht="12.75">
      <c r="A14195" s="12"/>
      <c r="D14195" s="12"/>
      <c r="E14195" s="12"/>
      <c r="H14195" s="11" t="str">
        <f ca="1">IFERROR(__xludf.DUMMYFUNCTION("IFERROR(SUBSTITUTE(SUBSTITUTE(REGEXEXTRACT(A14195, ""[^-]+- [^-]+- [^-]+ - (.+?)\.jpg""), "".jpg"", """"), ""-"", "", ""), """")"),"")</f>
        <v/>
      </c>
      <c r="L14195" s="12"/>
      <c r="M14195" s="13"/>
      <c r="N14195" s="2"/>
      <c r="O14195" s="20"/>
      <c r="P14195" s="42"/>
      <c r="R14195" s="23"/>
    </row>
    <row r="14196" spans="1:18" ht="12.75">
      <c r="A14196" s="12"/>
      <c r="D14196" s="12"/>
      <c r="E14196" s="12"/>
      <c r="H14196" s="11" t="str">
        <f ca="1">IFERROR(__xludf.DUMMYFUNCTION("IFERROR(SUBSTITUTE(SUBSTITUTE(REGEXEXTRACT(A14196, ""[^-]+- [^-]+- [^-]+ - (.+?)\.jpg""), "".jpg"", """"), ""-"", "", ""), """")"),"")</f>
        <v/>
      </c>
      <c r="L14196" s="12"/>
      <c r="M14196" s="13"/>
      <c r="N14196" s="2"/>
      <c r="O14196" s="20"/>
      <c r="P14196" s="42"/>
      <c r="R14196" s="23"/>
    </row>
    <row r="14197" spans="1:18" ht="12.75">
      <c r="A14197" s="12"/>
      <c r="D14197" s="12"/>
      <c r="E14197" s="12"/>
      <c r="H14197" s="11" t="str">
        <f ca="1">IFERROR(__xludf.DUMMYFUNCTION("IFERROR(SUBSTITUTE(SUBSTITUTE(REGEXEXTRACT(A14197, ""[^-]+- [^-]+- [^-]+ - (.+?)\.jpg""), "".jpg"", """"), ""-"", "", ""), """")"),"")</f>
        <v/>
      </c>
      <c r="L14197" s="12"/>
      <c r="M14197" s="13"/>
      <c r="N14197" s="2"/>
      <c r="O14197" s="20"/>
      <c r="P14197" s="42"/>
      <c r="R14197" s="23"/>
    </row>
    <row r="14198" spans="1:18" ht="12.75">
      <c r="A14198" s="12"/>
      <c r="D14198" s="12"/>
      <c r="E14198" s="12"/>
      <c r="H14198" s="11" t="str">
        <f ca="1">IFERROR(__xludf.DUMMYFUNCTION("IFERROR(SUBSTITUTE(SUBSTITUTE(REGEXEXTRACT(A14198, ""[^-]+- [^-]+- [^-]+ - (.+?)\.jpg""), "".jpg"", """"), ""-"", "", ""), """")"),"")</f>
        <v/>
      </c>
      <c r="L14198" s="12"/>
      <c r="M14198" s="13"/>
      <c r="N14198" s="2"/>
      <c r="O14198" s="20"/>
      <c r="P14198" s="42"/>
      <c r="R14198" s="23"/>
    </row>
    <row r="14199" spans="1:18" ht="12.75">
      <c r="A14199" s="12"/>
      <c r="D14199" s="12"/>
      <c r="E14199" s="12"/>
      <c r="H14199" s="11" t="str">
        <f ca="1">IFERROR(__xludf.DUMMYFUNCTION("IFERROR(SUBSTITUTE(SUBSTITUTE(REGEXEXTRACT(A14199, ""[^-]+- [^-]+- [^-]+ - (.+?)\.jpg""), "".jpg"", """"), ""-"", "", ""), """")"),"")</f>
        <v/>
      </c>
      <c r="L14199" s="12"/>
      <c r="M14199" s="13"/>
      <c r="N14199" s="2"/>
      <c r="O14199" s="20"/>
      <c r="P14199" s="42"/>
      <c r="R14199" s="23"/>
    </row>
    <row r="14200" spans="1:18" ht="12.75">
      <c r="A14200" s="12"/>
      <c r="D14200" s="12"/>
      <c r="E14200" s="12"/>
      <c r="H14200" s="11" t="str">
        <f ca="1">IFERROR(__xludf.DUMMYFUNCTION("IFERROR(SUBSTITUTE(SUBSTITUTE(REGEXEXTRACT(A14200, ""[^-]+- [^-]+- [^-]+ - (.+?)\.jpg""), "".jpg"", """"), ""-"", "", ""), """")"),"")</f>
        <v/>
      </c>
      <c r="L14200" s="12"/>
      <c r="M14200" s="13"/>
      <c r="N14200" s="2"/>
      <c r="O14200" s="20"/>
      <c r="P14200" s="42"/>
      <c r="R14200" s="23"/>
    </row>
    <row r="14201" spans="1:18" ht="12.75">
      <c r="A14201" s="12"/>
      <c r="D14201" s="12"/>
      <c r="E14201" s="12"/>
      <c r="H14201" s="11" t="str">
        <f ca="1">IFERROR(__xludf.DUMMYFUNCTION("IFERROR(SUBSTITUTE(SUBSTITUTE(REGEXEXTRACT(A14201, ""[^-]+- [^-]+- [^-]+ - (.+?)\.jpg""), "".jpg"", """"), ""-"", "", ""), """")"),"")</f>
        <v/>
      </c>
      <c r="L14201" s="12"/>
      <c r="M14201" s="13"/>
      <c r="N14201" s="2"/>
      <c r="O14201" s="20"/>
      <c r="P14201" s="42"/>
      <c r="R14201" s="23"/>
    </row>
    <row r="14202" spans="1:18" ht="12.75">
      <c r="A14202" s="12"/>
      <c r="D14202" s="12"/>
      <c r="E14202" s="12"/>
      <c r="H14202" s="11" t="str">
        <f ca="1">IFERROR(__xludf.DUMMYFUNCTION("IFERROR(SUBSTITUTE(SUBSTITUTE(REGEXEXTRACT(A14202, ""[^-]+- [^-]+- [^-]+ - (.+?)\.jpg""), "".jpg"", """"), ""-"", "", ""), """")"),"")</f>
        <v/>
      </c>
      <c r="L14202" s="12"/>
      <c r="M14202" s="13"/>
      <c r="N14202" s="2"/>
      <c r="O14202" s="20"/>
      <c r="P14202" s="42"/>
      <c r="R14202" s="23"/>
    </row>
    <row r="14203" spans="1:18" ht="12.75">
      <c r="A14203" s="12"/>
      <c r="D14203" s="12"/>
      <c r="E14203" s="12"/>
      <c r="H14203" s="11" t="str">
        <f ca="1">IFERROR(__xludf.DUMMYFUNCTION("IFERROR(SUBSTITUTE(SUBSTITUTE(REGEXEXTRACT(A14203, ""[^-]+- [^-]+- [^-]+ - (.+?)\.jpg""), "".jpg"", """"), ""-"", "", ""), """")"),"")</f>
        <v/>
      </c>
      <c r="L14203" s="12"/>
      <c r="M14203" s="13"/>
      <c r="N14203" s="2"/>
      <c r="O14203" s="20"/>
      <c r="P14203" s="42"/>
      <c r="R14203" s="23"/>
    </row>
    <row r="14204" spans="1:18" ht="12.75">
      <c r="A14204" s="12"/>
      <c r="D14204" s="12"/>
      <c r="E14204" s="12"/>
      <c r="H14204" s="11" t="str">
        <f ca="1">IFERROR(__xludf.DUMMYFUNCTION("IFERROR(SUBSTITUTE(SUBSTITUTE(REGEXEXTRACT(A14204, ""[^-]+- [^-]+- [^-]+ - (.+?)\.jpg""), "".jpg"", """"), ""-"", "", ""), """")"),"")</f>
        <v/>
      </c>
      <c r="L14204" s="12"/>
      <c r="M14204" s="13"/>
      <c r="N14204" s="2"/>
      <c r="O14204" s="20"/>
      <c r="P14204" s="42"/>
      <c r="R14204" s="23"/>
    </row>
    <row r="14205" spans="1:18" ht="12.75">
      <c r="A14205" s="12"/>
      <c r="D14205" s="12"/>
      <c r="E14205" s="12"/>
      <c r="H14205" s="11" t="str">
        <f ca="1">IFERROR(__xludf.DUMMYFUNCTION("IFERROR(SUBSTITUTE(SUBSTITUTE(REGEXEXTRACT(A14205, ""[^-]+- [^-]+- [^-]+ - (.+?)\.jpg""), "".jpg"", """"), ""-"", "", ""), """")"),"")</f>
        <v/>
      </c>
      <c r="L14205" s="12"/>
      <c r="M14205" s="13"/>
      <c r="N14205" s="2"/>
      <c r="O14205" s="20"/>
      <c r="P14205" s="42"/>
      <c r="R14205" s="23"/>
    </row>
    <row r="14206" spans="1:18" ht="12.75">
      <c r="A14206" s="12"/>
      <c r="D14206" s="12"/>
      <c r="E14206" s="12"/>
      <c r="H14206" s="11" t="str">
        <f ca="1">IFERROR(__xludf.DUMMYFUNCTION("IFERROR(SUBSTITUTE(SUBSTITUTE(REGEXEXTRACT(A14206, ""[^-]+- [^-]+- [^-]+ - (.+?)\.jpg""), "".jpg"", """"), ""-"", "", ""), """")"),"")</f>
        <v/>
      </c>
      <c r="L14206" s="12"/>
      <c r="M14206" s="13"/>
      <c r="N14206" s="2"/>
      <c r="O14206" s="20"/>
      <c r="P14206" s="42"/>
      <c r="R14206" s="23"/>
    </row>
    <row r="14207" spans="1:18" ht="12.75">
      <c r="A14207" s="12"/>
      <c r="D14207" s="12"/>
      <c r="E14207" s="12"/>
      <c r="H14207" s="11" t="str">
        <f ca="1">IFERROR(__xludf.DUMMYFUNCTION("IFERROR(SUBSTITUTE(SUBSTITUTE(REGEXEXTRACT(A14207, ""[^-]+- [^-]+- [^-]+ - (.+?)\.jpg""), "".jpg"", """"), ""-"", "", ""), """")"),"")</f>
        <v/>
      </c>
      <c r="L14207" s="12"/>
      <c r="M14207" s="13"/>
      <c r="N14207" s="2"/>
      <c r="O14207" s="20"/>
      <c r="P14207" s="42"/>
      <c r="R14207" s="23"/>
    </row>
    <row r="14208" spans="1:18" ht="12.75">
      <c r="A14208" s="12"/>
      <c r="D14208" s="12"/>
      <c r="E14208" s="12"/>
      <c r="H14208" s="11" t="str">
        <f ca="1">IFERROR(__xludf.DUMMYFUNCTION("IFERROR(SUBSTITUTE(SUBSTITUTE(REGEXEXTRACT(A14208, ""[^-]+- [^-]+- [^-]+ - (.+?)\.jpg""), "".jpg"", """"), ""-"", "", ""), """")"),"")</f>
        <v/>
      </c>
      <c r="L14208" s="12"/>
      <c r="M14208" s="13"/>
      <c r="N14208" s="2"/>
      <c r="O14208" s="20"/>
      <c r="P14208" s="42"/>
      <c r="R14208" s="23"/>
    </row>
    <row r="14209" spans="1:18" ht="12.75">
      <c r="A14209" s="12"/>
      <c r="D14209" s="12"/>
      <c r="E14209" s="12"/>
      <c r="H14209" s="11" t="str">
        <f ca="1">IFERROR(__xludf.DUMMYFUNCTION("IFERROR(SUBSTITUTE(SUBSTITUTE(REGEXEXTRACT(A14209, ""[^-]+- [^-]+- [^-]+ - (.+?)\.jpg""), "".jpg"", """"), ""-"", "", ""), """")"),"")</f>
        <v/>
      </c>
      <c r="L14209" s="12"/>
      <c r="M14209" s="13"/>
      <c r="N14209" s="2"/>
      <c r="O14209" s="20"/>
      <c r="P14209" s="42"/>
      <c r="R14209" s="23"/>
    </row>
    <row r="14210" spans="1:18" ht="12.75">
      <c r="A14210" s="12"/>
      <c r="D14210" s="12"/>
      <c r="E14210" s="12"/>
      <c r="H14210" s="11" t="str">
        <f ca="1">IFERROR(__xludf.DUMMYFUNCTION("IFERROR(SUBSTITUTE(SUBSTITUTE(REGEXEXTRACT(A14210, ""[^-]+- [^-]+- [^-]+ - (.+?)\.jpg""), "".jpg"", """"), ""-"", "", ""), """")"),"")</f>
        <v/>
      </c>
      <c r="L14210" s="12"/>
      <c r="M14210" s="13"/>
      <c r="N14210" s="2"/>
      <c r="O14210" s="20"/>
      <c r="P14210" s="42"/>
      <c r="R14210" s="23"/>
    </row>
    <row r="14211" spans="1:18" ht="12.75">
      <c r="A14211" s="12"/>
      <c r="D14211" s="12"/>
      <c r="E14211" s="12"/>
      <c r="H14211" s="11" t="str">
        <f ca="1">IFERROR(__xludf.DUMMYFUNCTION("IFERROR(SUBSTITUTE(SUBSTITUTE(REGEXEXTRACT(A14211, ""[^-]+- [^-]+- [^-]+ - (.+?)\.jpg""), "".jpg"", """"), ""-"", "", ""), """")"),"")</f>
        <v/>
      </c>
      <c r="L14211" s="12"/>
      <c r="M14211" s="13"/>
      <c r="N14211" s="2"/>
      <c r="O14211" s="20"/>
      <c r="P14211" s="42"/>
      <c r="R14211" s="23"/>
    </row>
    <row r="14212" spans="1:18" ht="12.75">
      <c r="A14212" s="12"/>
      <c r="D14212" s="12"/>
      <c r="E14212" s="12"/>
      <c r="H14212" s="11" t="str">
        <f ca="1">IFERROR(__xludf.DUMMYFUNCTION("IFERROR(SUBSTITUTE(SUBSTITUTE(REGEXEXTRACT(A14212, ""[^-]+- [^-]+- [^-]+ - (.+?)\.jpg""), "".jpg"", """"), ""-"", "", ""), """")"),"")</f>
        <v/>
      </c>
      <c r="L14212" s="12"/>
      <c r="M14212" s="13"/>
      <c r="N14212" s="2"/>
      <c r="O14212" s="20"/>
      <c r="P14212" s="42"/>
      <c r="R14212" s="23"/>
    </row>
    <row r="14213" spans="1:18" ht="12.75">
      <c r="A14213" s="12"/>
      <c r="D14213" s="12"/>
      <c r="E14213" s="12"/>
      <c r="H14213" s="11" t="str">
        <f ca="1">IFERROR(__xludf.DUMMYFUNCTION("IFERROR(SUBSTITUTE(SUBSTITUTE(REGEXEXTRACT(A14213, ""[^-]+- [^-]+- [^-]+ - (.+?)\.jpg""), "".jpg"", """"), ""-"", "", ""), """")"),"")</f>
        <v/>
      </c>
      <c r="L14213" s="12"/>
      <c r="M14213" s="13"/>
      <c r="N14213" s="2"/>
      <c r="O14213" s="20"/>
      <c r="P14213" s="42"/>
      <c r="R14213" s="23"/>
    </row>
    <row r="14214" spans="1:18" ht="12.75">
      <c r="A14214" s="12"/>
      <c r="D14214" s="12"/>
      <c r="E14214" s="12"/>
      <c r="H14214" s="11" t="str">
        <f ca="1">IFERROR(__xludf.DUMMYFUNCTION("IFERROR(SUBSTITUTE(SUBSTITUTE(REGEXEXTRACT(A14214, ""[^-]+- [^-]+- [^-]+ - (.+?)\.jpg""), "".jpg"", """"), ""-"", "", ""), """")"),"")</f>
        <v/>
      </c>
      <c r="L14214" s="12"/>
      <c r="M14214" s="13"/>
      <c r="N14214" s="2"/>
      <c r="O14214" s="20"/>
      <c r="P14214" s="42"/>
      <c r="R14214" s="23"/>
    </row>
    <row r="14215" spans="1:18" ht="12.75">
      <c r="A14215" s="12"/>
      <c r="D14215" s="12"/>
      <c r="E14215" s="12"/>
      <c r="H14215" s="11" t="str">
        <f ca="1">IFERROR(__xludf.DUMMYFUNCTION("IFERROR(SUBSTITUTE(SUBSTITUTE(REGEXEXTRACT(A14215, ""[^-]+- [^-]+- [^-]+ - (.+?)\.jpg""), "".jpg"", """"), ""-"", "", ""), """")"),"")</f>
        <v/>
      </c>
      <c r="L14215" s="12"/>
      <c r="M14215" s="13"/>
      <c r="N14215" s="2"/>
      <c r="O14215" s="20"/>
      <c r="P14215" s="42"/>
      <c r="R14215" s="23"/>
    </row>
    <row r="14216" spans="1:18" ht="12.75">
      <c r="A14216" s="12"/>
      <c r="D14216" s="12"/>
      <c r="E14216" s="12"/>
      <c r="H14216" s="11" t="str">
        <f ca="1">IFERROR(__xludf.DUMMYFUNCTION("IFERROR(SUBSTITUTE(SUBSTITUTE(REGEXEXTRACT(A14216, ""[^-]+- [^-]+- [^-]+ - (.+?)\.jpg""), "".jpg"", """"), ""-"", "", ""), """")"),"")</f>
        <v/>
      </c>
      <c r="L14216" s="12"/>
      <c r="M14216" s="13"/>
      <c r="N14216" s="2"/>
      <c r="O14216" s="20"/>
      <c r="P14216" s="42"/>
      <c r="R14216" s="23"/>
    </row>
    <row r="14217" spans="1:18" ht="12.75">
      <c r="A14217" s="12"/>
      <c r="D14217" s="12"/>
      <c r="E14217" s="12"/>
      <c r="H14217" s="11" t="str">
        <f ca="1">IFERROR(__xludf.DUMMYFUNCTION("IFERROR(SUBSTITUTE(SUBSTITUTE(REGEXEXTRACT(A14217, ""[^-]+- [^-]+- [^-]+ - (.+?)\.jpg""), "".jpg"", """"), ""-"", "", ""), """")"),"")</f>
        <v/>
      </c>
      <c r="L14217" s="12"/>
      <c r="M14217" s="13"/>
      <c r="N14217" s="2"/>
      <c r="O14217" s="20"/>
      <c r="P14217" s="42"/>
      <c r="R14217" s="23"/>
    </row>
    <row r="14218" spans="1:18" ht="12.75">
      <c r="A14218" s="12"/>
      <c r="D14218" s="12"/>
      <c r="E14218" s="12"/>
      <c r="H14218" s="11" t="str">
        <f ca="1">IFERROR(__xludf.DUMMYFUNCTION("IFERROR(SUBSTITUTE(SUBSTITUTE(REGEXEXTRACT(A14218, ""[^-]+- [^-]+- [^-]+ - (.+?)\.jpg""), "".jpg"", """"), ""-"", "", ""), """")"),"")</f>
        <v/>
      </c>
      <c r="L14218" s="12"/>
      <c r="M14218" s="13"/>
      <c r="N14218" s="2"/>
      <c r="O14218" s="20"/>
      <c r="P14218" s="42"/>
      <c r="R14218" s="23"/>
    </row>
    <row r="14219" spans="1:18" ht="12.75">
      <c r="A14219" s="12"/>
      <c r="D14219" s="12"/>
      <c r="E14219" s="12"/>
      <c r="H14219" s="11" t="str">
        <f ca="1">IFERROR(__xludf.DUMMYFUNCTION("IFERROR(SUBSTITUTE(SUBSTITUTE(REGEXEXTRACT(A14219, ""[^-]+- [^-]+- [^-]+ - (.+?)\.jpg""), "".jpg"", """"), ""-"", "", ""), """")"),"")</f>
        <v/>
      </c>
      <c r="L14219" s="12"/>
      <c r="M14219" s="13"/>
      <c r="N14219" s="2"/>
      <c r="O14219" s="20"/>
      <c r="P14219" s="42"/>
      <c r="R14219" s="23"/>
    </row>
    <row r="14220" spans="1:18" ht="12.75">
      <c r="A14220" s="12"/>
      <c r="D14220" s="12"/>
      <c r="E14220" s="12"/>
      <c r="H14220" s="11" t="str">
        <f ca="1">IFERROR(__xludf.DUMMYFUNCTION("IFERROR(SUBSTITUTE(SUBSTITUTE(REGEXEXTRACT(A14220, ""[^-]+- [^-]+- [^-]+ - (.+?)\.jpg""), "".jpg"", """"), ""-"", "", ""), """")"),"")</f>
        <v/>
      </c>
      <c r="L14220" s="12"/>
      <c r="M14220" s="13"/>
      <c r="N14220" s="2"/>
      <c r="O14220" s="20"/>
      <c r="P14220" s="42"/>
      <c r="R14220" s="23"/>
    </row>
    <row r="14221" spans="1:18" ht="12.75">
      <c r="A14221" s="12"/>
      <c r="D14221" s="12"/>
      <c r="E14221" s="12"/>
      <c r="H14221" s="11" t="str">
        <f ca="1">IFERROR(__xludf.DUMMYFUNCTION("IFERROR(SUBSTITUTE(SUBSTITUTE(REGEXEXTRACT(A14221, ""[^-]+- [^-]+- [^-]+ - (.+?)\.jpg""), "".jpg"", """"), ""-"", "", ""), """")"),"")</f>
        <v/>
      </c>
      <c r="L14221" s="12"/>
      <c r="M14221" s="13"/>
      <c r="N14221" s="2"/>
      <c r="O14221" s="20"/>
      <c r="P14221" s="42"/>
      <c r="R14221" s="23"/>
    </row>
    <row r="14222" spans="1:18" ht="12.75">
      <c r="A14222" s="12"/>
      <c r="D14222" s="12"/>
      <c r="E14222" s="12"/>
      <c r="H14222" s="11" t="str">
        <f ca="1">IFERROR(__xludf.DUMMYFUNCTION("IFERROR(SUBSTITUTE(SUBSTITUTE(REGEXEXTRACT(A14222, ""[^-]+- [^-]+- [^-]+ - (.+?)\.jpg""), "".jpg"", """"), ""-"", "", ""), """")"),"")</f>
        <v/>
      </c>
      <c r="L14222" s="12"/>
      <c r="M14222" s="13"/>
      <c r="N14222" s="2"/>
      <c r="O14222" s="20"/>
      <c r="P14222" s="42"/>
      <c r="R14222" s="23"/>
    </row>
    <row r="14223" spans="1:18" ht="12.75">
      <c r="A14223" s="12"/>
      <c r="D14223" s="12"/>
      <c r="E14223" s="12"/>
      <c r="H14223" s="11" t="str">
        <f ca="1">IFERROR(__xludf.DUMMYFUNCTION("IFERROR(SUBSTITUTE(SUBSTITUTE(REGEXEXTRACT(A14223, ""[^-]+- [^-]+- [^-]+ - (.+?)\.jpg""), "".jpg"", """"), ""-"", "", ""), """")"),"")</f>
        <v/>
      </c>
      <c r="L14223" s="12"/>
      <c r="M14223" s="13"/>
      <c r="N14223" s="2"/>
      <c r="O14223" s="20"/>
      <c r="P14223" s="42"/>
      <c r="R14223" s="23"/>
    </row>
    <row r="14224" spans="1:18" ht="12.75">
      <c r="A14224" s="12"/>
      <c r="D14224" s="12"/>
      <c r="E14224" s="12"/>
      <c r="H14224" s="11" t="str">
        <f ca="1">IFERROR(__xludf.DUMMYFUNCTION("IFERROR(SUBSTITUTE(SUBSTITUTE(REGEXEXTRACT(A14224, ""[^-]+- [^-]+- [^-]+ - (.+?)\.jpg""), "".jpg"", """"), ""-"", "", ""), """")"),"")</f>
        <v/>
      </c>
      <c r="L14224" s="12"/>
      <c r="M14224" s="13"/>
      <c r="N14224" s="2"/>
      <c r="O14224" s="20"/>
      <c r="P14224" s="42"/>
      <c r="R14224" s="23"/>
    </row>
    <row r="14225" spans="1:18" ht="12.75">
      <c r="A14225" s="12"/>
      <c r="D14225" s="12"/>
      <c r="E14225" s="12"/>
      <c r="H14225" s="11" t="str">
        <f ca="1">IFERROR(__xludf.DUMMYFUNCTION("IFERROR(SUBSTITUTE(SUBSTITUTE(REGEXEXTRACT(A14225, ""[^-]+- [^-]+- [^-]+ - (.+?)\.jpg""), "".jpg"", """"), ""-"", "", ""), """")"),"")</f>
        <v/>
      </c>
      <c r="L14225" s="12"/>
      <c r="M14225" s="13"/>
      <c r="N14225" s="2"/>
      <c r="O14225" s="20"/>
      <c r="P14225" s="42"/>
      <c r="R14225" s="23"/>
    </row>
    <row r="14226" spans="1:18" ht="12.75">
      <c r="A14226" s="12"/>
      <c r="D14226" s="12"/>
      <c r="E14226" s="12"/>
      <c r="H14226" s="11" t="str">
        <f ca="1">IFERROR(__xludf.DUMMYFUNCTION("IFERROR(SUBSTITUTE(SUBSTITUTE(REGEXEXTRACT(A14226, ""[^-]+- [^-]+- [^-]+ - (.+?)\.jpg""), "".jpg"", """"), ""-"", "", ""), """")"),"")</f>
        <v/>
      </c>
      <c r="L14226" s="12"/>
      <c r="M14226" s="13"/>
      <c r="N14226" s="2"/>
      <c r="O14226" s="20"/>
      <c r="P14226" s="42"/>
      <c r="R14226" s="23"/>
    </row>
    <row r="14227" spans="1:18" ht="12.75">
      <c r="A14227" s="12"/>
      <c r="D14227" s="12"/>
      <c r="E14227" s="12"/>
      <c r="H14227" s="11" t="str">
        <f ca="1">IFERROR(__xludf.DUMMYFUNCTION("IFERROR(SUBSTITUTE(SUBSTITUTE(REGEXEXTRACT(A14227, ""[^-]+- [^-]+- [^-]+ - (.+?)\.jpg""), "".jpg"", """"), ""-"", "", ""), """")"),"")</f>
        <v/>
      </c>
      <c r="L14227" s="12"/>
      <c r="M14227" s="13"/>
      <c r="N14227" s="2"/>
      <c r="O14227" s="20"/>
      <c r="P14227" s="42"/>
      <c r="R14227" s="23"/>
    </row>
    <row r="14228" spans="1:18" ht="12.75">
      <c r="A14228" s="12"/>
      <c r="D14228" s="12"/>
      <c r="E14228" s="12"/>
      <c r="H14228" s="11" t="str">
        <f ca="1">IFERROR(__xludf.DUMMYFUNCTION("IFERROR(SUBSTITUTE(SUBSTITUTE(REGEXEXTRACT(A14228, ""[^-]+- [^-]+- [^-]+ - (.+?)\.jpg""), "".jpg"", """"), ""-"", "", ""), """")"),"")</f>
        <v/>
      </c>
      <c r="L14228" s="12"/>
      <c r="M14228" s="13"/>
      <c r="N14228" s="2"/>
      <c r="O14228" s="20"/>
      <c r="P14228" s="42"/>
      <c r="R14228" s="23"/>
    </row>
    <row r="14229" spans="1:18" ht="12.75">
      <c r="A14229" s="12"/>
      <c r="D14229" s="12"/>
      <c r="E14229" s="12"/>
      <c r="H14229" s="11" t="str">
        <f ca="1">IFERROR(__xludf.DUMMYFUNCTION("IFERROR(SUBSTITUTE(SUBSTITUTE(REGEXEXTRACT(A14229, ""[^-]+- [^-]+- [^-]+ - (.+?)\.jpg""), "".jpg"", """"), ""-"", "", ""), """")"),"")</f>
        <v/>
      </c>
      <c r="L14229" s="12"/>
      <c r="M14229" s="13"/>
      <c r="N14229" s="2"/>
      <c r="O14229" s="20"/>
      <c r="P14229" s="42"/>
      <c r="R14229" s="23"/>
    </row>
    <row r="14230" spans="1:18" ht="12.75">
      <c r="A14230" s="12"/>
      <c r="D14230" s="12"/>
      <c r="E14230" s="12"/>
      <c r="H14230" s="11" t="str">
        <f ca="1">IFERROR(__xludf.DUMMYFUNCTION("IFERROR(SUBSTITUTE(SUBSTITUTE(REGEXEXTRACT(A14230, ""[^-]+- [^-]+- [^-]+ - (.+?)\.jpg""), "".jpg"", """"), ""-"", "", ""), """")"),"")</f>
        <v/>
      </c>
      <c r="L14230" s="12"/>
      <c r="M14230" s="13"/>
      <c r="N14230" s="2"/>
      <c r="O14230" s="20"/>
      <c r="P14230" s="42"/>
      <c r="R14230" s="23"/>
    </row>
    <row r="14231" spans="1:18" ht="12.75">
      <c r="A14231" s="12"/>
      <c r="D14231" s="12"/>
      <c r="E14231" s="12"/>
      <c r="H14231" s="11" t="str">
        <f ca="1">IFERROR(__xludf.DUMMYFUNCTION("IFERROR(SUBSTITUTE(SUBSTITUTE(REGEXEXTRACT(A14231, ""[^-]+- [^-]+- [^-]+ - (.+?)\.jpg""), "".jpg"", """"), ""-"", "", ""), """")"),"")</f>
        <v/>
      </c>
      <c r="L14231" s="12"/>
      <c r="M14231" s="13"/>
      <c r="N14231" s="2"/>
      <c r="O14231" s="20"/>
      <c r="P14231" s="42"/>
      <c r="R14231" s="23"/>
    </row>
    <row r="14232" spans="1:18" ht="12.75">
      <c r="A14232" s="12"/>
      <c r="D14232" s="12"/>
      <c r="E14232" s="12"/>
      <c r="H14232" s="11" t="str">
        <f ca="1">IFERROR(__xludf.DUMMYFUNCTION("IFERROR(SUBSTITUTE(SUBSTITUTE(REGEXEXTRACT(A14232, ""[^-]+- [^-]+- [^-]+ - (.+?)\.jpg""), "".jpg"", """"), ""-"", "", ""), """")"),"")</f>
        <v/>
      </c>
      <c r="L14232" s="12"/>
      <c r="M14232" s="13"/>
      <c r="N14232" s="2"/>
      <c r="O14232" s="20"/>
      <c r="P14232" s="42"/>
      <c r="R14232" s="23"/>
    </row>
    <row r="14233" spans="1:18" ht="12.75">
      <c r="A14233" s="12"/>
      <c r="D14233" s="12"/>
      <c r="E14233" s="12"/>
      <c r="H14233" s="11" t="str">
        <f ca="1">IFERROR(__xludf.DUMMYFUNCTION("IFERROR(SUBSTITUTE(SUBSTITUTE(REGEXEXTRACT(A14233, ""[^-]+- [^-]+- [^-]+ - (.+?)\.jpg""), "".jpg"", """"), ""-"", "", ""), """")"),"")</f>
        <v/>
      </c>
      <c r="L14233" s="12"/>
      <c r="M14233" s="13"/>
      <c r="N14233" s="2"/>
      <c r="O14233" s="20"/>
      <c r="P14233" s="42"/>
      <c r="R14233" s="23"/>
    </row>
    <row r="14234" spans="1:18" ht="12.75">
      <c r="A14234" s="12"/>
      <c r="D14234" s="12"/>
      <c r="E14234" s="12"/>
      <c r="H14234" s="11" t="str">
        <f ca="1">IFERROR(__xludf.DUMMYFUNCTION("IFERROR(SUBSTITUTE(SUBSTITUTE(REGEXEXTRACT(A14234, ""[^-]+- [^-]+- [^-]+ - (.+?)\.jpg""), "".jpg"", """"), ""-"", "", ""), """")"),"")</f>
        <v/>
      </c>
      <c r="L14234" s="12"/>
      <c r="M14234" s="13"/>
      <c r="N14234" s="2"/>
      <c r="O14234" s="20"/>
      <c r="P14234" s="42"/>
      <c r="R14234" s="23"/>
    </row>
    <row r="14235" spans="1:18" ht="12.75">
      <c r="A14235" s="12"/>
      <c r="D14235" s="12"/>
      <c r="E14235" s="12"/>
      <c r="H14235" s="11" t="str">
        <f ca="1">IFERROR(__xludf.DUMMYFUNCTION("IFERROR(SUBSTITUTE(SUBSTITUTE(REGEXEXTRACT(A14235, ""[^-]+- [^-]+- [^-]+ - (.+?)\.jpg""), "".jpg"", """"), ""-"", "", ""), """")"),"")</f>
        <v/>
      </c>
      <c r="L14235" s="12"/>
      <c r="M14235" s="13"/>
      <c r="N14235" s="2"/>
      <c r="O14235" s="20"/>
      <c r="P14235" s="42"/>
      <c r="R14235" s="23"/>
    </row>
    <row r="14236" spans="1:18" ht="12.75">
      <c r="A14236" s="12"/>
      <c r="D14236" s="12"/>
      <c r="E14236" s="12"/>
      <c r="H14236" s="11" t="str">
        <f ca="1">IFERROR(__xludf.DUMMYFUNCTION("IFERROR(SUBSTITUTE(SUBSTITUTE(REGEXEXTRACT(A14236, ""[^-]+- [^-]+- [^-]+ - (.+?)\.jpg""), "".jpg"", """"), ""-"", "", ""), """")"),"")</f>
        <v/>
      </c>
      <c r="L14236" s="12"/>
      <c r="M14236" s="13"/>
      <c r="N14236" s="2"/>
      <c r="O14236" s="20"/>
      <c r="P14236" s="42"/>
      <c r="R14236" s="23"/>
    </row>
    <row r="14237" spans="1:18" ht="12.75">
      <c r="A14237" s="12"/>
      <c r="D14237" s="12"/>
      <c r="E14237" s="12"/>
      <c r="H14237" s="11" t="str">
        <f ca="1">IFERROR(__xludf.DUMMYFUNCTION("IFERROR(SUBSTITUTE(SUBSTITUTE(REGEXEXTRACT(A14237, ""[^-]+- [^-]+- [^-]+ - (.+?)\.jpg""), "".jpg"", """"), ""-"", "", ""), """")"),"")</f>
        <v/>
      </c>
      <c r="L14237" s="12"/>
      <c r="M14237" s="13"/>
      <c r="N14237" s="2"/>
      <c r="O14237" s="20"/>
      <c r="P14237" s="42"/>
      <c r="R14237" s="23"/>
    </row>
    <row r="14238" spans="1:18" ht="12.75">
      <c r="A14238" s="12"/>
      <c r="D14238" s="12"/>
      <c r="E14238" s="12"/>
      <c r="H14238" s="11" t="str">
        <f ca="1">IFERROR(__xludf.DUMMYFUNCTION("IFERROR(SUBSTITUTE(SUBSTITUTE(REGEXEXTRACT(A14238, ""[^-]+- [^-]+- [^-]+ - (.+?)\.jpg""), "".jpg"", """"), ""-"", "", ""), """")"),"")</f>
        <v/>
      </c>
      <c r="L14238" s="12"/>
      <c r="M14238" s="13"/>
      <c r="N14238" s="2"/>
      <c r="O14238" s="20"/>
      <c r="P14238" s="42"/>
      <c r="R14238" s="23"/>
    </row>
    <row r="14239" spans="1:18" ht="12.75">
      <c r="A14239" s="12"/>
      <c r="D14239" s="12"/>
      <c r="E14239" s="12"/>
      <c r="H14239" s="11" t="str">
        <f ca="1">IFERROR(__xludf.DUMMYFUNCTION("IFERROR(SUBSTITUTE(SUBSTITUTE(REGEXEXTRACT(A14239, ""[^-]+- [^-]+- [^-]+ - (.+?)\.jpg""), "".jpg"", """"), ""-"", "", ""), """")"),"")</f>
        <v/>
      </c>
      <c r="L14239" s="12"/>
      <c r="M14239" s="13"/>
      <c r="N14239" s="2"/>
      <c r="O14239" s="20"/>
      <c r="P14239" s="42"/>
      <c r="R14239" s="23"/>
    </row>
    <row r="14240" spans="1:18" ht="12.75">
      <c r="A14240" s="12"/>
      <c r="D14240" s="12"/>
      <c r="E14240" s="12"/>
      <c r="H14240" s="11" t="str">
        <f ca="1">IFERROR(__xludf.DUMMYFUNCTION("IFERROR(SUBSTITUTE(SUBSTITUTE(REGEXEXTRACT(A14240, ""[^-]+- [^-]+- [^-]+ - (.+?)\.jpg""), "".jpg"", """"), ""-"", "", ""), """")"),"")</f>
        <v/>
      </c>
      <c r="L14240" s="12"/>
      <c r="M14240" s="13"/>
      <c r="N14240" s="2"/>
      <c r="O14240" s="20"/>
      <c r="P14240" s="42"/>
      <c r="R14240" s="23"/>
    </row>
    <row r="14241" spans="1:18" ht="12.75">
      <c r="A14241" s="12"/>
      <c r="D14241" s="12"/>
      <c r="E14241" s="12"/>
      <c r="H14241" s="11" t="str">
        <f ca="1">IFERROR(__xludf.DUMMYFUNCTION("IFERROR(SUBSTITUTE(SUBSTITUTE(REGEXEXTRACT(A14241, ""[^-]+- [^-]+- [^-]+ - (.+?)\.jpg""), "".jpg"", """"), ""-"", "", ""), """")"),"")</f>
        <v/>
      </c>
      <c r="L14241" s="12"/>
      <c r="M14241" s="13"/>
      <c r="N14241" s="2"/>
      <c r="O14241" s="20"/>
      <c r="P14241" s="42"/>
      <c r="R14241" s="23"/>
    </row>
    <row r="14242" spans="1:18" ht="12.75">
      <c r="A14242" s="12"/>
      <c r="D14242" s="12"/>
      <c r="E14242" s="12"/>
      <c r="H14242" s="11" t="str">
        <f ca="1">IFERROR(__xludf.DUMMYFUNCTION("IFERROR(SUBSTITUTE(SUBSTITUTE(REGEXEXTRACT(A14242, ""[^-]+- [^-]+- [^-]+ - (.+?)\.jpg""), "".jpg"", """"), ""-"", "", ""), """")"),"")</f>
        <v/>
      </c>
      <c r="L14242" s="12"/>
      <c r="M14242" s="13"/>
      <c r="N14242" s="2"/>
      <c r="O14242" s="20"/>
      <c r="P14242" s="42"/>
      <c r="R14242" s="23"/>
    </row>
    <row r="14243" spans="1:18" ht="12.75">
      <c r="A14243" s="12"/>
      <c r="D14243" s="12"/>
      <c r="E14243" s="12"/>
      <c r="H14243" s="11" t="str">
        <f ca="1">IFERROR(__xludf.DUMMYFUNCTION("IFERROR(SUBSTITUTE(SUBSTITUTE(REGEXEXTRACT(A14243, ""[^-]+- [^-]+- [^-]+ - (.+?)\.jpg""), "".jpg"", """"), ""-"", "", ""), """")"),"")</f>
        <v/>
      </c>
      <c r="L14243" s="12"/>
      <c r="M14243" s="13"/>
      <c r="N14243" s="2"/>
      <c r="O14243" s="20"/>
      <c r="P14243" s="42"/>
      <c r="R14243" s="23"/>
    </row>
    <row r="14244" spans="1:18" ht="12.75">
      <c r="A14244" s="12"/>
      <c r="D14244" s="12"/>
      <c r="E14244" s="12"/>
      <c r="H14244" s="11" t="str">
        <f ca="1">IFERROR(__xludf.DUMMYFUNCTION("IFERROR(SUBSTITUTE(SUBSTITUTE(REGEXEXTRACT(A14244, ""[^-]+- [^-]+- [^-]+ - (.+?)\.jpg""), "".jpg"", """"), ""-"", "", ""), """")"),"")</f>
        <v/>
      </c>
      <c r="L14244" s="12"/>
      <c r="M14244" s="13"/>
      <c r="N14244" s="2"/>
      <c r="O14244" s="20"/>
      <c r="P14244" s="42"/>
      <c r="R14244" s="23"/>
    </row>
    <row r="14245" spans="1:18" ht="12.75">
      <c r="A14245" s="12"/>
      <c r="D14245" s="12"/>
      <c r="E14245" s="12"/>
      <c r="H14245" s="11" t="str">
        <f ca="1">IFERROR(__xludf.DUMMYFUNCTION("IFERROR(SUBSTITUTE(SUBSTITUTE(REGEXEXTRACT(A14245, ""[^-]+- [^-]+- [^-]+ - (.+?)\.jpg""), "".jpg"", """"), ""-"", "", ""), """")"),"")</f>
        <v/>
      </c>
      <c r="L14245" s="12"/>
      <c r="M14245" s="13"/>
      <c r="N14245" s="2"/>
      <c r="O14245" s="20"/>
      <c r="P14245" s="42"/>
      <c r="R14245" s="23"/>
    </row>
    <row r="14246" spans="1:18" ht="12.75">
      <c r="A14246" s="12"/>
      <c r="D14246" s="12"/>
      <c r="E14246" s="12"/>
      <c r="H14246" s="11" t="str">
        <f ca="1">IFERROR(__xludf.DUMMYFUNCTION("IFERROR(SUBSTITUTE(SUBSTITUTE(REGEXEXTRACT(A14246, ""[^-]+- [^-]+- [^-]+ - (.+?)\.jpg""), "".jpg"", """"), ""-"", "", ""), """")"),"")</f>
        <v/>
      </c>
      <c r="L14246" s="12"/>
      <c r="M14246" s="13"/>
      <c r="N14246" s="2"/>
      <c r="O14246" s="20"/>
      <c r="P14246" s="42"/>
      <c r="R14246" s="23"/>
    </row>
    <row r="14247" spans="1:18" ht="12.75">
      <c r="A14247" s="12"/>
      <c r="D14247" s="12"/>
      <c r="E14247" s="12"/>
      <c r="H14247" s="11" t="str">
        <f ca="1">IFERROR(__xludf.DUMMYFUNCTION("IFERROR(SUBSTITUTE(SUBSTITUTE(REGEXEXTRACT(A14247, ""[^-]+- [^-]+- [^-]+ - (.+?)\.jpg""), "".jpg"", """"), ""-"", "", ""), """")"),"")</f>
        <v/>
      </c>
      <c r="L14247" s="12"/>
      <c r="M14247" s="13"/>
      <c r="N14247" s="2"/>
      <c r="O14247" s="20"/>
      <c r="P14247" s="42"/>
      <c r="R14247" s="23"/>
    </row>
    <row r="14248" spans="1:18" ht="12.75">
      <c r="A14248" s="12"/>
      <c r="D14248" s="12"/>
      <c r="E14248" s="12"/>
      <c r="H14248" s="11" t="str">
        <f ca="1">IFERROR(__xludf.DUMMYFUNCTION("IFERROR(SUBSTITUTE(SUBSTITUTE(REGEXEXTRACT(A14248, ""[^-]+- [^-]+- [^-]+ - (.+?)\.jpg""), "".jpg"", """"), ""-"", "", ""), """")"),"")</f>
        <v/>
      </c>
      <c r="L14248" s="12"/>
      <c r="M14248" s="13"/>
      <c r="N14248" s="2"/>
      <c r="O14248" s="20"/>
      <c r="P14248" s="42"/>
      <c r="R14248" s="23"/>
    </row>
    <row r="14249" spans="1:18" ht="12.75">
      <c r="A14249" s="12"/>
      <c r="D14249" s="12"/>
      <c r="E14249" s="12"/>
      <c r="H14249" s="11" t="str">
        <f ca="1">IFERROR(__xludf.DUMMYFUNCTION("IFERROR(SUBSTITUTE(SUBSTITUTE(REGEXEXTRACT(A14249, ""[^-]+- [^-]+- [^-]+ - (.+?)\.jpg""), "".jpg"", """"), ""-"", "", ""), """")"),"")</f>
        <v/>
      </c>
      <c r="L14249" s="12"/>
      <c r="M14249" s="13"/>
      <c r="N14249" s="2"/>
      <c r="O14249" s="20"/>
      <c r="P14249" s="42"/>
      <c r="R14249" s="23"/>
    </row>
    <row r="14250" spans="1:18" ht="12.75">
      <c r="A14250" s="12"/>
      <c r="D14250" s="12"/>
      <c r="E14250" s="12"/>
      <c r="H14250" s="11" t="str">
        <f ca="1">IFERROR(__xludf.DUMMYFUNCTION("IFERROR(SUBSTITUTE(SUBSTITUTE(REGEXEXTRACT(A14250, ""[^-]+- [^-]+- [^-]+ - (.+?)\.jpg""), "".jpg"", """"), ""-"", "", ""), """")"),"")</f>
        <v/>
      </c>
      <c r="L14250" s="12"/>
      <c r="M14250" s="13"/>
      <c r="N14250" s="2"/>
      <c r="O14250" s="20"/>
      <c r="P14250" s="42"/>
      <c r="R14250" s="23"/>
    </row>
    <row r="14251" spans="1:18" ht="12.75">
      <c r="A14251" s="12"/>
      <c r="D14251" s="12"/>
      <c r="E14251" s="12"/>
      <c r="H14251" s="11" t="str">
        <f ca="1">IFERROR(__xludf.DUMMYFUNCTION("IFERROR(SUBSTITUTE(SUBSTITUTE(REGEXEXTRACT(A14251, ""[^-]+- [^-]+- [^-]+ - (.+?)\.jpg""), "".jpg"", """"), ""-"", "", ""), """")"),"")</f>
        <v/>
      </c>
      <c r="L14251" s="12"/>
      <c r="M14251" s="13"/>
      <c r="N14251" s="2"/>
      <c r="O14251" s="20"/>
      <c r="P14251" s="42"/>
      <c r="R14251" s="23"/>
    </row>
    <row r="14252" spans="1:18" ht="12.75">
      <c r="A14252" s="12"/>
      <c r="D14252" s="12"/>
      <c r="E14252" s="12"/>
      <c r="H14252" s="11" t="str">
        <f ca="1">IFERROR(__xludf.DUMMYFUNCTION("IFERROR(SUBSTITUTE(SUBSTITUTE(REGEXEXTRACT(A14252, ""[^-]+- [^-]+- [^-]+ - (.+?)\.jpg""), "".jpg"", """"), ""-"", "", ""), """")"),"")</f>
        <v/>
      </c>
      <c r="L14252" s="12"/>
      <c r="M14252" s="13"/>
      <c r="N14252" s="2"/>
      <c r="O14252" s="20"/>
      <c r="P14252" s="42"/>
      <c r="R14252" s="23"/>
    </row>
    <row r="14253" spans="1:18" ht="12.75">
      <c r="A14253" s="12"/>
      <c r="D14253" s="12"/>
      <c r="E14253" s="12"/>
      <c r="H14253" s="11" t="str">
        <f ca="1">IFERROR(__xludf.DUMMYFUNCTION("IFERROR(SUBSTITUTE(SUBSTITUTE(REGEXEXTRACT(A14253, ""[^-]+- [^-]+- [^-]+ - (.+?)\.jpg""), "".jpg"", """"), ""-"", "", ""), """")"),"")</f>
        <v/>
      </c>
      <c r="L14253" s="12"/>
      <c r="M14253" s="13"/>
      <c r="N14253" s="2"/>
      <c r="O14253" s="20"/>
      <c r="P14253" s="42"/>
      <c r="R14253" s="23"/>
    </row>
    <row r="14254" spans="1:18" ht="12.75">
      <c r="A14254" s="12"/>
      <c r="D14254" s="12"/>
      <c r="E14254" s="12"/>
      <c r="H14254" s="11" t="str">
        <f ca="1">IFERROR(__xludf.DUMMYFUNCTION("IFERROR(SUBSTITUTE(SUBSTITUTE(REGEXEXTRACT(A14254, ""[^-]+- [^-]+- [^-]+ - (.+?)\.jpg""), "".jpg"", """"), ""-"", "", ""), """")"),"")</f>
        <v/>
      </c>
      <c r="L14254" s="12"/>
      <c r="M14254" s="13"/>
      <c r="N14254" s="2"/>
      <c r="O14254" s="20"/>
      <c r="P14254" s="42"/>
      <c r="R14254" s="23"/>
    </row>
    <row r="14255" spans="1:18" ht="12.75">
      <c r="A14255" s="12"/>
      <c r="D14255" s="12"/>
      <c r="E14255" s="12"/>
      <c r="H14255" s="11" t="str">
        <f ca="1">IFERROR(__xludf.DUMMYFUNCTION("IFERROR(SUBSTITUTE(SUBSTITUTE(REGEXEXTRACT(A14255, ""[^-]+- [^-]+- [^-]+ - (.+?)\.jpg""), "".jpg"", """"), ""-"", "", ""), """")"),"")</f>
        <v/>
      </c>
      <c r="L14255" s="12"/>
      <c r="M14255" s="13"/>
      <c r="N14255" s="2"/>
      <c r="O14255" s="20"/>
      <c r="P14255" s="42"/>
      <c r="R14255" s="23"/>
    </row>
    <row r="14256" spans="1:18" ht="12.75">
      <c r="A14256" s="12"/>
      <c r="D14256" s="12"/>
      <c r="E14256" s="12"/>
      <c r="H14256" s="11" t="str">
        <f ca="1">IFERROR(__xludf.DUMMYFUNCTION("IFERROR(SUBSTITUTE(SUBSTITUTE(REGEXEXTRACT(A14256, ""[^-]+- [^-]+- [^-]+ - (.+?)\.jpg""), "".jpg"", """"), ""-"", "", ""), """")"),"")</f>
        <v/>
      </c>
      <c r="L14256" s="12"/>
      <c r="M14256" s="13"/>
      <c r="N14256" s="2"/>
      <c r="O14256" s="20"/>
      <c r="P14256" s="42"/>
      <c r="R14256" s="23"/>
    </row>
    <row r="14257" spans="1:18" ht="12.75">
      <c r="A14257" s="12"/>
      <c r="D14257" s="12"/>
      <c r="E14257" s="12"/>
      <c r="H14257" s="11" t="str">
        <f ca="1">IFERROR(__xludf.DUMMYFUNCTION("IFERROR(SUBSTITUTE(SUBSTITUTE(REGEXEXTRACT(A14257, ""[^-]+- [^-]+- [^-]+ - (.+?)\.jpg""), "".jpg"", """"), ""-"", "", ""), """")"),"")</f>
        <v/>
      </c>
      <c r="L14257" s="12"/>
      <c r="M14257" s="13"/>
      <c r="N14257" s="2"/>
      <c r="O14257" s="20"/>
      <c r="P14257" s="42"/>
      <c r="R14257" s="23"/>
    </row>
    <row r="14258" spans="1:18" ht="12.75">
      <c r="A14258" s="12"/>
      <c r="D14258" s="12"/>
      <c r="E14258" s="12"/>
      <c r="H14258" s="11" t="str">
        <f ca="1">IFERROR(__xludf.DUMMYFUNCTION("IFERROR(SUBSTITUTE(SUBSTITUTE(REGEXEXTRACT(A14258, ""[^-]+- [^-]+- [^-]+ - (.+?)\.jpg""), "".jpg"", """"), ""-"", "", ""), """")"),"")</f>
        <v/>
      </c>
      <c r="L14258" s="12"/>
      <c r="M14258" s="13"/>
      <c r="N14258" s="2"/>
      <c r="O14258" s="20"/>
      <c r="P14258" s="42"/>
      <c r="R14258" s="23"/>
    </row>
    <row r="14259" spans="1:18" ht="12.75">
      <c r="A14259" s="12"/>
      <c r="D14259" s="12"/>
      <c r="E14259" s="12"/>
      <c r="H14259" s="11" t="str">
        <f ca="1">IFERROR(__xludf.DUMMYFUNCTION("IFERROR(SUBSTITUTE(SUBSTITUTE(REGEXEXTRACT(A14259, ""[^-]+- [^-]+- [^-]+ - (.+?)\.jpg""), "".jpg"", """"), ""-"", "", ""), """")"),"")</f>
        <v/>
      </c>
      <c r="L14259" s="12"/>
      <c r="M14259" s="13"/>
      <c r="N14259" s="2"/>
      <c r="O14259" s="20"/>
      <c r="P14259" s="42"/>
      <c r="R14259" s="23"/>
    </row>
    <row r="14260" spans="1:18" ht="12.75">
      <c r="A14260" s="12"/>
      <c r="D14260" s="12"/>
      <c r="E14260" s="12"/>
      <c r="H14260" s="11" t="str">
        <f ca="1">IFERROR(__xludf.DUMMYFUNCTION("IFERROR(SUBSTITUTE(SUBSTITUTE(REGEXEXTRACT(A14260, ""[^-]+- [^-]+- [^-]+ - (.+?)\.jpg""), "".jpg"", """"), ""-"", "", ""), """")"),"")</f>
        <v/>
      </c>
      <c r="L14260" s="12"/>
      <c r="M14260" s="13"/>
      <c r="N14260" s="2"/>
      <c r="O14260" s="20"/>
      <c r="P14260" s="42"/>
      <c r="R14260" s="23"/>
    </row>
    <row r="14261" spans="1:18" ht="12.75">
      <c r="A14261" s="12"/>
      <c r="D14261" s="12"/>
      <c r="E14261" s="12"/>
      <c r="H14261" s="11" t="str">
        <f ca="1">IFERROR(__xludf.DUMMYFUNCTION("IFERROR(SUBSTITUTE(SUBSTITUTE(REGEXEXTRACT(A14261, ""[^-]+- [^-]+- [^-]+ - (.+?)\.jpg""), "".jpg"", """"), ""-"", "", ""), """")"),"")</f>
        <v/>
      </c>
      <c r="L14261" s="12"/>
      <c r="M14261" s="13"/>
      <c r="N14261" s="2"/>
      <c r="O14261" s="20"/>
      <c r="P14261" s="42"/>
      <c r="R14261" s="23"/>
    </row>
    <row r="14262" spans="1:18" ht="12.75">
      <c r="A14262" s="12"/>
      <c r="D14262" s="12"/>
      <c r="E14262" s="12"/>
      <c r="H14262" s="11" t="str">
        <f ca="1">IFERROR(__xludf.DUMMYFUNCTION("IFERROR(SUBSTITUTE(SUBSTITUTE(REGEXEXTRACT(A14262, ""[^-]+- [^-]+- [^-]+ - (.+?)\.jpg""), "".jpg"", """"), ""-"", "", ""), """")"),"")</f>
        <v/>
      </c>
      <c r="L14262" s="12"/>
      <c r="M14262" s="13"/>
      <c r="N14262" s="2"/>
      <c r="O14262" s="20"/>
      <c r="P14262" s="42"/>
      <c r="R14262" s="23"/>
    </row>
    <row r="14263" spans="1:18" ht="12.75">
      <c r="A14263" s="12"/>
      <c r="D14263" s="12"/>
      <c r="E14263" s="12"/>
      <c r="H14263" s="11" t="str">
        <f ca="1">IFERROR(__xludf.DUMMYFUNCTION("IFERROR(SUBSTITUTE(SUBSTITUTE(REGEXEXTRACT(A14263, ""[^-]+- [^-]+- [^-]+ - (.+?)\.jpg""), "".jpg"", """"), ""-"", "", ""), """")"),"")</f>
        <v/>
      </c>
      <c r="L14263" s="12"/>
      <c r="M14263" s="13"/>
      <c r="N14263" s="2"/>
      <c r="O14263" s="20"/>
      <c r="P14263" s="42"/>
      <c r="R14263" s="23"/>
    </row>
    <row r="14264" spans="1:18" ht="12.75">
      <c r="A14264" s="12"/>
      <c r="D14264" s="12"/>
      <c r="E14264" s="12"/>
      <c r="H14264" s="11" t="str">
        <f ca="1">IFERROR(__xludf.DUMMYFUNCTION("IFERROR(SUBSTITUTE(SUBSTITUTE(REGEXEXTRACT(A14264, ""[^-]+- [^-]+- [^-]+ - (.+?)\.jpg""), "".jpg"", """"), ""-"", "", ""), """")"),"")</f>
        <v/>
      </c>
      <c r="L14264" s="12"/>
      <c r="M14264" s="13"/>
      <c r="N14264" s="2"/>
      <c r="O14264" s="20"/>
      <c r="P14264" s="42"/>
      <c r="R14264" s="23"/>
    </row>
    <row r="14265" spans="1:18" ht="12.75">
      <c r="A14265" s="12"/>
      <c r="D14265" s="12"/>
      <c r="E14265" s="12"/>
      <c r="H14265" s="11" t="str">
        <f ca="1">IFERROR(__xludf.DUMMYFUNCTION("IFERROR(SUBSTITUTE(SUBSTITUTE(REGEXEXTRACT(A14265, ""[^-]+- [^-]+- [^-]+ - (.+?)\.jpg""), "".jpg"", """"), ""-"", "", ""), """")"),"")</f>
        <v/>
      </c>
      <c r="L14265" s="12"/>
      <c r="M14265" s="13"/>
      <c r="N14265" s="2"/>
      <c r="O14265" s="20"/>
      <c r="P14265" s="42"/>
      <c r="R14265" s="23"/>
    </row>
    <row r="14266" spans="1:18" ht="12.75">
      <c r="A14266" s="12"/>
      <c r="D14266" s="12"/>
      <c r="E14266" s="12"/>
      <c r="H14266" s="11" t="str">
        <f ca="1">IFERROR(__xludf.DUMMYFUNCTION("IFERROR(SUBSTITUTE(SUBSTITUTE(REGEXEXTRACT(A14266, ""[^-]+- [^-]+- [^-]+ - (.+?)\.jpg""), "".jpg"", """"), ""-"", "", ""), """")"),"")</f>
        <v/>
      </c>
      <c r="L14266" s="12"/>
      <c r="M14266" s="13"/>
      <c r="N14266" s="2"/>
      <c r="O14266" s="20"/>
      <c r="P14266" s="42"/>
      <c r="R14266" s="23"/>
    </row>
    <row r="14267" spans="1:18" ht="12.75">
      <c r="A14267" s="12"/>
      <c r="D14267" s="12"/>
      <c r="E14267" s="12"/>
      <c r="H14267" s="11" t="str">
        <f ca="1">IFERROR(__xludf.DUMMYFUNCTION("IFERROR(SUBSTITUTE(SUBSTITUTE(REGEXEXTRACT(A14267, ""[^-]+- [^-]+- [^-]+ - (.+?)\.jpg""), "".jpg"", """"), ""-"", "", ""), """")"),"")</f>
        <v/>
      </c>
      <c r="L14267" s="12"/>
      <c r="M14267" s="13"/>
      <c r="N14267" s="2"/>
      <c r="O14267" s="20"/>
      <c r="P14267" s="42"/>
      <c r="R14267" s="23"/>
    </row>
    <row r="14268" spans="1:18" ht="12.75">
      <c r="A14268" s="12"/>
      <c r="D14268" s="12"/>
      <c r="E14268" s="12"/>
      <c r="H14268" s="11" t="str">
        <f ca="1">IFERROR(__xludf.DUMMYFUNCTION("IFERROR(SUBSTITUTE(SUBSTITUTE(REGEXEXTRACT(A14268, ""[^-]+- [^-]+- [^-]+ - (.+?)\.jpg""), "".jpg"", """"), ""-"", "", ""), """")"),"")</f>
        <v/>
      </c>
      <c r="L14268" s="12"/>
      <c r="M14268" s="13"/>
      <c r="N14268" s="2"/>
      <c r="O14268" s="20"/>
      <c r="P14268" s="42"/>
      <c r="R14268" s="23"/>
    </row>
    <row r="14269" spans="1:18" ht="12.75">
      <c r="A14269" s="12"/>
      <c r="D14269" s="12"/>
      <c r="E14269" s="12"/>
      <c r="H14269" s="11" t="str">
        <f ca="1">IFERROR(__xludf.DUMMYFUNCTION("IFERROR(SUBSTITUTE(SUBSTITUTE(REGEXEXTRACT(A14269, ""[^-]+- [^-]+- [^-]+ - (.+?)\.jpg""), "".jpg"", """"), ""-"", "", ""), """")"),"")</f>
        <v/>
      </c>
      <c r="L14269" s="12"/>
      <c r="M14269" s="13"/>
      <c r="N14269" s="2"/>
      <c r="O14269" s="20"/>
      <c r="P14269" s="42"/>
      <c r="R14269" s="23"/>
    </row>
    <row r="14270" spans="1:18" ht="12.75">
      <c r="A14270" s="12"/>
      <c r="D14270" s="12"/>
      <c r="E14270" s="12"/>
      <c r="H14270" s="11" t="str">
        <f ca="1">IFERROR(__xludf.DUMMYFUNCTION("IFERROR(SUBSTITUTE(SUBSTITUTE(REGEXEXTRACT(A14270, ""[^-]+- [^-]+- [^-]+ - (.+?)\.jpg""), "".jpg"", """"), ""-"", "", ""), """")"),"")</f>
        <v/>
      </c>
      <c r="L14270" s="12"/>
      <c r="M14270" s="13"/>
      <c r="N14270" s="2"/>
      <c r="O14270" s="20"/>
      <c r="P14270" s="42"/>
      <c r="R14270" s="23"/>
    </row>
    <row r="14271" spans="1:18" ht="12.75">
      <c r="A14271" s="12"/>
      <c r="D14271" s="12"/>
      <c r="E14271" s="12"/>
      <c r="H14271" s="11" t="str">
        <f ca="1">IFERROR(__xludf.DUMMYFUNCTION("IFERROR(SUBSTITUTE(SUBSTITUTE(REGEXEXTRACT(A14271, ""[^-]+- [^-]+- [^-]+ - (.+?)\.jpg""), "".jpg"", """"), ""-"", "", ""), """")"),"")</f>
        <v/>
      </c>
      <c r="L14271" s="12"/>
      <c r="M14271" s="13"/>
      <c r="N14271" s="2"/>
      <c r="O14271" s="20"/>
      <c r="P14271" s="42"/>
      <c r="R14271" s="23"/>
    </row>
    <row r="14272" spans="1:18" ht="12.75">
      <c r="A14272" s="12"/>
      <c r="D14272" s="12"/>
      <c r="E14272" s="12"/>
      <c r="H14272" s="11" t="str">
        <f ca="1">IFERROR(__xludf.DUMMYFUNCTION("IFERROR(SUBSTITUTE(SUBSTITUTE(REGEXEXTRACT(A14272, ""[^-]+- [^-]+- [^-]+ - (.+?)\.jpg""), "".jpg"", """"), ""-"", "", ""), """")"),"")</f>
        <v/>
      </c>
      <c r="L14272" s="12"/>
      <c r="M14272" s="13"/>
      <c r="N14272" s="2"/>
      <c r="O14272" s="20"/>
      <c r="P14272" s="42"/>
      <c r="R14272" s="23"/>
    </row>
    <row r="14273" spans="1:18" ht="12.75">
      <c r="A14273" s="12"/>
      <c r="D14273" s="12"/>
      <c r="E14273" s="12"/>
      <c r="H14273" s="11" t="str">
        <f ca="1">IFERROR(__xludf.DUMMYFUNCTION("IFERROR(SUBSTITUTE(SUBSTITUTE(REGEXEXTRACT(A14273, ""[^-]+- [^-]+- [^-]+ - (.+?)\.jpg""), "".jpg"", """"), ""-"", "", ""), """")"),"")</f>
        <v/>
      </c>
      <c r="L14273" s="12"/>
      <c r="M14273" s="13"/>
      <c r="N14273" s="2"/>
      <c r="O14273" s="20"/>
      <c r="P14273" s="42"/>
      <c r="R14273" s="23"/>
    </row>
    <row r="14274" spans="1:18" ht="12.75">
      <c r="A14274" s="12"/>
      <c r="D14274" s="12"/>
      <c r="E14274" s="12"/>
      <c r="H14274" s="11" t="str">
        <f ca="1">IFERROR(__xludf.DUMMYFUNCTION("IFERROR(SUBSTITUTE(SUBSTITUTE(REGEXEXTRACT(A14274, ""[^-]+- [^-]+- [^-]+ - (.+?)\.jpg""), "".jpg"", """"), ""-"", "", ""), """")"),"")</f>
        <v/>
      </c>
      <c r="L14274" s="12"/>
      <c r="M14274" s="13"/>
      <c r="N14274" s="2"/>
      <c r="O14274" s="20"/>
      <c r="P14274" s="42"/>
      <c r="R14274" s="23"/>
    </row>
    <row r="14275" spans="1:18" ht="12.75">
      <c r="A14275" s="12"/>
      <c r="D14275" s="12"/>
      <c r="E14275" s="12"/>
      <c r="H14275" s="11" t="str">
        <f ca="1">IFERROR(__xludf.DUMMYFUNCTION("IFERROR(SUBSTITUTE(SUBSTITUTE(REGEXEXTRACT(A14275, ""[^-]+- [^-]+- [^-]+ - (.+?)\.jpg""), "".jpg"", """"), ""-"", "", ""), """")"),"")</f>
        <v/>
      </c>
      <c r="L14275" s="12"/>
      <c r="M14275" s="13"/>
      <c r="N14275" s="2"/>
      <c r="O14275" s="20"/>
      <c r="P14275" s="42"/>
      <c r="R14275" s="23"/>
    </row>
    <row r="14276" spans="1:18" ht="12.75">
      <c r="A14276" s="12"/>
      <c r="D14276" s="12"/>
      <c r="E14276" s="12"/>
      <c r="H14276" s="11" t="str">
        <f ca="1">IFERROR(__xludf.DUMMYFUNCTION("IFERROR(SUBSTITUTE(SUBSTITUTE(REGEXEXTRACT(A14276, ""[^-]+- [^-]+- [^-]+ - (.+?)\.jpg""), "".jpg"", """"), ""-"", "", ""), """")"),"")</f>
        <v/>
      </c>
      <c r="L14276" s="12"/>
      <c r="M14276" s="13"/>
      <c r="N14276" s="2"/>
      <c r="O14276" s="20"/>
      <c r="P14276" s="42"/>
      <c r="R14276" s="23"/>
    </row>
    <row r="14277" spans="1:18" ht="12.75">
      <c r="A14277" s="12"/>
      <c r="D14277" s="12"/>
      <c r="E14277" s="12"/>
      <c r="H14277" s="11" t="str">
        <f ca="1">IFERROR(__xludf.DUMMYFUNCTION("IFERROR(SUBSTITUTE(SUBSTITUTE(REGEXEXTRACT(A14277, ""[^-]+- [^-]+- [^-]+ - (.+?)\.jpg""), "".jpg"", """"), ""-"", "", ""), """")"),"")</f>
        <v/>
      </c>
      <c r="L14277" s="12"/>
      <c r="M14277" s="13"/>
      <c r="N14277" s="2"/>
      <c r="O14277" s="20"/>
      <c r="P14277" s="42"/>
      <c r="R14277" s="23"/>
    </row>
    <row r="14278" spans="1:18" ht="12.75">
      <c r="A14278" s="12"/>
      <c r="D14278" s="12"/>
      <c r="E14278" s="12"/>
      <c r="H14278" s="11" t="str">
        <f ca="1">IFERROR(__xludf.DUMMYFUNCTION("IFERROR(SUBSTITUTE(SUBSTITUTE(REGEXEXTRACT(A14278, ""[^-]+- [^-]+- [^-]+ - (.+?)\.jpg""), "".jpg"", """"), ""-"", "", ""), """")"),"")</f>
        <v/>
      </c>
      <c r="L14278" s="12"/>
      <c r="M14278" s="13"/>
      <c r="N14278" s="2"/>
      <c r="O14278" s="20"/>
      <c r="P14278" s="42"/>
      <c r="R14278" s="23"/>
    </row>
    <row r="14279" spans="1:18" ht="12.75">
      <c r="A14279" s="12"/>
      <c r="D14279" s="12"/>
      <c r="E14279" s="12"/>
      <c r="H14279" s="11" t="str">
        <f ca="1">IFERROR(__xludf.DUMMYFUNCTION("IFERROR(SUBSTITUTE(SUBSTITUTE(REGEXEXTRACT(A14279, ""[^-]+- [^-]+- [^-]+ - (.+?)\.jpg""), "".jpg"", """"), ""-"", "", ""), """")"),"")</f>
        <v/>
      </c>
      <c r="L14279" s="12"/>
      <c r="M14279" s="13"/>
      <c r="N14279" s="2"/>
      <c r="O14279" s="20"/>
      <c r="P14279" s="42"/>
      <c r="R14279" s="23"/>
    </row>
    <row r="14280" spans="1:18" ht="12.75">
      <c r="A14280" s="12"/>
      <c r="D14280" s="12"/>
      <c r="E14280" s="12"/>
      <c r="H14280" s="11" t="str">
        <f ca="1">IFERROR(__xludf.DUMMYFUNCTION("IFERROR(SUBSTITUTE(SUBSTITUTE(REGEXEXTRACT(A14280, ""[^-]+- [^-]+- [^-]+ - (.+?)\.jpg""), "".jpg"", """"), ""-"", "", ""), """")"),"")</f>
        <v/>
      </c>
      <c r="L14280" s="12"/>
      <c r="M14280" s="13"/>
      <c r="N14280" s="2"/>
      <c r="O14280" s="20"/>
      <c r="P14280" s="42"/>
      <c r="R14280" s="23"/>
    </row>
    <row r="14281" spans="1:18" ht="12.75">
      <c r="A14281" s="12"/>
      <c r="D14281" s="12"/>
      <c r="E14281" s="12"/>
      <c r="H14281" s="11" t="str">
        <f ca="1">IFERROR(__xludf.DUMMYFUNCTION("IFERROR(SUBSTITUTE(SUBSTITUTE(REGEXEXTRACT(A14281, ""[^-]+- [^-]+- [^-]+ - (.+?)\.jpg""), "".jpg"", """"), ""-"", "", ""), """")"),"")</f>
        <v/>
      </c>
      <c r="L14281" s="12"/>
      <c r="M14281" s="13"/>
      <c r="N14281" s="2"/>
      <c r="O14281" s="20"/>
      <c r="P14281" s="42"/>
      <c r="R14281" s="23"/>
    </row>
    <row r="14282" spans="1:18" ht="12.75">
      <c r="A14282" s="12"/>
      <c r="D14282" s="12"/>
      <c r="E14282" s="12"/>
      <c r="H14282" s="11" t="str">
        <f ca="1">IFERROR(__xludf.DUMMYFUNCTION("IFERROR(SUBSTITUTE(SUBSTITUTE(REGEXEXTRACT(A14282, ""[^-]+- [^-]+- [^-]+ - (.+?)\.jpg""), "".jpg"", """"), ""-"", "", ""), """")"),"")</f>
        <v/>
      </c>
      <c r="L14282" s="12"/>
      <c r="M14282" s="13"/>
      <c r="N14282" s="2"/>
      <c r="O14282" s="20"/>
      <c r="P14282" s="42"/>
      <c r="R14282" s="23"/>
    </row>
    <row r="14283" spans="1:18" ht="12.75">
      <c r="A14283" s="12"/>
      <c r="D14283" s="12"/>
      <c r="E14283" s="12"/>
      <c r="H14283" s="11" t="str">
        <f ca="1">IFERROR(__xludf.DUMMYFUNCTION("IFERROR(SUBSTITUTE(SUBSTITUTE(REGEXEXTRACT(A14283, ""[^-]+- [^-]+- [^-]+ - (.+?)\.jpg""), "".jpg"", """"), ""-"", "", ""), """")"),"")</f>
        <v/>
      </c>
      <c r="L14283" s="12"/>
      <c r="M14283" s="13"/>
      <c r="N14283" s="2"/>
      <c r="O14283" s="20"/>
      <c r="P14283" s="42"/>
      <c r="R14283" s="23"/>
    </row>
    <row r="14284" spans="1:18" ht="12.75">
      <c r="A14284" s="12"/>
      <c r="D14284" s="12"/>
      <c r="E14284" s="12"/>
      <c r="H14284" s="11" t="str">
        <f ca="1">IFERROR(__xludf.DUMMYFUNCTION("IFERROR(SUBSTITUTE(SUBSTITUTE(REGEXEXTRACT(A14284, ""[^-]+- [^-]+- [^-]+ - (.+?)\.jpg""), "".jpg"", """"), ""-"", "", ""), """")"),"")</f>
        <v/>
      </c>
      <c r="L14284" s="12"/>
      <c r="M14284" s="13"/>
      <c r="N14284" s="2"/>
      <c r="O14284" s="20"/>
      <c r="P14284" s="42"/>
      <c r="R14284" s="23"/>
    </row>
    <row r="14285" spans="1:18" ht="12.75">
      <c r="A14285" s="12"/>
      <c r="D14285" s="12"/>
      <c r="E14285" s="12"/>
      <c r="H14285" s="11" t="str">
        <f ca="1">IFERROR(__xludf.DUMMYFUNCTION("IFERROR(SUBSTITUTE(SUBSTITUTE(REGEXEXTRACT(A14285, ""[^-]+- [^-]+- [^-]+ - (.+?)\.jpg""), "".jpg"", """"), ""-"", "", ""), """")"),"")</f>
        <v/>
      </c>
      <c r="L14285" s="12"/>
      <c r="M14285" s="13"/>
      <c r="N14285" s="2"/>
      <c r="O14285" s="20"/>
      <c r="P14285" s="42"/>
      <c r="R14285" s="23"/>
    </row>
    <row r="14286" spans="1:18" ht="12.75">
      <c r="A14286" s="12"/>
      <c r="D14286" s="12"/>
      <c r="E14286" s="12"/>
      <c r="H14286" s="11" t="str">
        <f ca="1">IFERROR(__xludf.DUMMYFUNCTION("IFERROR(SUBSTITUTE(SUBSTITUTE(REGEXEXTRACT(A14286, ""[^-]+- [^-]+- [^-]+ - (.+?)\.jpg""), "".jpg"", """"), ""-"", "", ""), """")"),"")</f>
        <v/>
      </c>
      <c r="L14286" s="12"/>
      <c r="M14286" s="13"/>
      <c r="N14286" s="2"/>
      <c r="O14286" s="20"/>
      <c r="P14286" s="42"/>
      <c r="R14286" s="23"/>
    </row>
    <row r="14287" spans="1:18" ht="12.75">
      <c r="A14287" s="12"/>
      <c r="D14287" s="12"/>
      <c r="E14287" s="12"/>
      <c r="H14287" s="11" t="str">
        <f ca="1">IFERROR(__xludf.DUMMYFUNCTION("IFERROR(SUBSTITUTE(SUBSTITUTE(REGEXEXTRACT(A14287, ""[^-]+- [^-]+- [^-]+ - (.+?)\.jpg""), "".jpg"", """"), ""-"", "", ""), """")"),"")</f>
        <v/>
      </c>
      <c r="L14287" s="12"/>
      <c r="M14287" s="13"/>
      <c r="N14287" s="2"/>
      <c r="O14287" s="20"/>
      <c r="P14287" s="42"/>
      <c r="R14287" s="23"/>
    </row>
    <row r="14288" spans="1:18" ht="12.75">
      <c r="A14288" s="12"/>
      <c r="D14288" s="12"/>
      <c r="E14288" s="12"/>
      <c r="H14288" s="11" t="str">
        <f ca="1">IFERROR(__xludf.DUMMYFUNCTION("IFERROR(SUBSTITUTE(SUBSTITUTE(REGEXEXTRACT(A14288, ""[^-]+- [^-]+- [^-]+ - (.+?)\.jpg""), "".jpg"", """"), ""-"", "", ""), """")"),"")</f>
        <v/>
      </c>
      <c r="L14288" s="12"/>
      <c r="M14288" s="13"/>
      <c r="N14288" s="2"/>
      <c r="O14288" s="20"/>
      <c r="P14288" s="42"/>
      <c r="R14288" s="23"/>
    </row>
    <row r="14289" spans="1:18" ht="12.75">
      <c r="A14289" s="12"/>
      <c r="D14289" s="12"/>
      <c r="E14289" s="12"/>
      <c r="H14289" s="11" t="str">
        <f ca="1">IFERROR(__xludf.DUMMYFUNCTION("IFERROR(SUBSTITUTE(SUBSTITUTE(REGEXEXTRACT(A14289, ""[^-]+- [^-]+- [^-]+ - (.+?)\.jpg""), "".jpg"", """"), ""-"", "", ""), """")"),"")</f>
        <v/>
      </c>
      <c r="L14289" s="12"/>
      <c r="M14289" s="13"/>
      <c r="N14289" s="2"/>
      <c r="O14289" s="20"/>
      <c r="P14289" s="42"/>
      <c r="R14289" s="23"/>
    </row>
    <row r="14290" spans="1:18" ht="12.75">
      <c r="A14290" s="12"/>
      <c r="D14290" s="12"/>
      <c r="E14290" s="12"/>
      <c r="H14290" s="11" t="str">
        <f ca="1">IFERROR(__xludf.DUMMYFUNCTION("IFERROR(SUBSTITUTE(SUBSTITUTE(REGEXEXTRACT(A14290, ""[^-]+- [^-]+- [^-]+ - (.+?)\.jpg""), "".jpg"", """"), ""-"", "", ""), """")"),"")</f>
        <v/>
      </c>
      <c r="L14290" s="12"/>
      <c r="M14290" s="13"/>
      <c r="N14290" s="2"/>
      <c r="O14290" s="20"/>
      <c r="P14290" s="42"/>
      <c r="R14290" s="23"/>
    </row>
    <row r="14291" spans="1:18" ht="12.75">
      <c r="A14291" s="12"/>
      <c r="D14291" s="12"/>
      <c r="E14291" s="12"/>
      <c r="H14291" s="11" t="str">
        <f ca="1">IFERROR(__xludf.DUMMYFUNCTION("IFERROR(SUBSTITUTE(SUBSTITUTE(REGEXEXTRACT(A14291, ""[^-]+- [^-]+- [^-]+ - (.+?)\.jpg""), "".jpg"", """"), ""-"", "", ""), """")"),"")</f>
        <v/>
      </c>
      <c r="L14291" s="12"/>
      <c r="M14291" s="13"/>
      <c r="N14291" s="2"/>
      <c r="O14291" s="20"/>
      <c r="P14291" s="42"/>
      <c r="R14291" s="23"/>
    </row>
    <row r="14292" spans="1:18" ht="12.75">
      <c r="A14292" s="12"/>
      <c r="D14292" s="12"/>
      <c r="E14292" s="12"/>
      <c r="H14292" s="11" t="str">
        <f ca="1">IFERROR(__xludf.DUMMYFUNCTION("IFERROR(SUBSTITUTE(SUBSTITUTE(REGEXEXTRACT(A14292, ""[^-]+- [^-]+- [^-]+ - (.+?)\.jpg""), "".jpg"", """"), ""-"", "", ""), """")"),"")</f>
        <v/>
      </c>
      <c r="L14292" s="12"/>
      <c r="M14292" s="13"/>
      <c r="N14292" s="2"/>
      <c r="O14292" s="20"/>
      <c r="P14292" s="42"/>
      <c r="R14292" s="23"/>
    </row>
    <row r="14293" spans="1:18" ht="12.75">
      <c r="A14293" s="12"/>
      <c r="D14293" s="12"/>
      <c r="E14293" s="12"/>
      <c r="H14293" s="11" t="str">
        <f ca="1">IFERROR(__xludf.DUMMYFUNCTION("IFERROR(SUBSTITUTE(SUBSTITUTE(REGEXEXTRACT(A14293, ""[^-]+- [^-]+- [^-]+ - (.+?)\.jpg""), "".jpg"", """"), ""-"", "", ""), """")"),"")</f>
        <v/>
      </c>
      <c r="L14293" s="12"/>
      <c r="M14293" s="13"/>
      <c r="N14293" s="2"/>
      <c r="O14293" s="20"/>
      <c r="P14293" s="42"/>
      <c r="R14293" s="23"/>
    </row>
    <row r="14294" spans="1:18" ht="12.75">
      <c r="A14294" s="12"/>
      <c r="D14294" s="12"/>
      <c r="E14294" s="12"/>
      <c r="H14294" s="11" t="str">
        <f ca="1">IFERROR(__xludf.DUMMYFUNCTION("IFERROR(SUBSTITUTE(SUBSTITUTE(REGEXEXTRACT(A14294, ""[^-]+- [^-]+- [^-]+ - (.+?)\.jpg""), "".jpg"", """"), ""-"", "", ""), """")"),"")</f>
        <v/>
      </c>
      <c r="L14294" s="12"/>
      <c r="M14294" s="13"/>
      <c r="N14294" s="2"/>
      <c r="O14294" s="20"/>
      <c r="P14294" s="42"/>
      <c r="R14294" s="23"/>
    </row>
    <row r="14295" spans="1:18" ht="12.75">
      <c r="A14295" s="12"/>
      <c r="D14295" s="12"/>
      <c r="E14295" s="12"/>
      <c r="H14295" s="11" t="str">
        <f ca="1">IFERROR(__xludf.DUMMYFUNCTION("IFERROR(SUBSTITUTE(SUBSTITUTE(REGEXEXTRACT(A14295, ""[^-]+- [^-]+- [^-]+ - (.+?)\.jpg""), "".jpg"", """"), ""-"", "", ""), """")"),"")</f>
        <v/>
      </c>
      <c r="L14295" s="12"/>
      <c r="M14295" s="13"/>
      <c r="N14295" s="2"/>
      <c r="O14295" s="20"/>
      <c r="P14295" s="42"/>
      <c r="R14295" s="23"/>
    </row>
    <row r="14296" spans="1:18" ht="12.75">
      <c r="A14296" s="12"/>
      <c r="D14296" s="12"/>
      <c r="E14296" s="12"/>
      <c r="H14296" s="11" t="str">
        <f ca="1">IFERROR(__xludf.DUMMYFUNCTION("IFERROR(SUBSTITUTE(SUBSTITUTE(REGEXEXTRACT(A14296, ""[^-]+- [^-]+- [^-]+ - (.+?)\.jpg""), "".jpg"", """"), ""-"", "", ""), """")"),"")</f>
        <v/>
      </c>
      <c r="L14296" s="12"/>
      <c r="M14296" s="13"/>
      <c r="N14296" s="2"/>
      <c r="O14296" s="20"/>
      <c r="P14296" s="42"/>
      <c r="R14296" s="23"/>
    </row>
    <row r="14297" spans="1:18" ht="12.75">
      <c r="A14297" s="12"/>
      <c r="D14297" s="12"/>
      <c r="E14297" s="12"/>
      <c r="H14297" s="11" t="str">
        <f ca="1">IFERROR(__xludf.DUMMYFUNCTION("IFERROR(SUBSTITUTE(SUBSTITUTE(REGEXEXTRACT(A14297, ""[^-]+- [^-]+- [^-]+ - (.+?)\.jpg""), "".jpg"", """"), ""-"", "", ""), """")"),"")</f>
        <v/>
      </c>
      <c r="L14297" s="12"/>
      <c r="M14297" s="13"/>
      <c r="N14297" s="2"/>
      <c r="O14297" s="20"/>
      <c r="P14297" s="42"/>
      <c r="R14297" s="23"/>
    </row>
    <row r="14298" spans="1:18" ht="12.75">
      <c r="A14298" s="12"/>
      <c r="D14298" s="12"/>
      <c r="E14298" s="12"/>
      <c r="H14298" s="11" t="str">
        <f ca="1">IFERROR(__xludf.DUMMYFUNCTION("IFERROR(SUBSTITUTE(SUBSTITUTE(REGEXEXTRACT(A14298, ""[^-]+- [^-]+- [^-]+ - (.+?)\.jpg""), "".jpg"", """"), ""-"", "", ""), """")"),"")</f>
        <v/>
      </c>
      <c r="L14298" s="12"/>
      <c r="M14298" s="13"/>
      <c r="N14298" s="2"/>
      <c r="O14298" s="20"/>
      <c r="P14298" s="42"/>
      <c r="R14298" s="23"/>
    </row>
    <row r="14299" spans="1:18" ht="12.75">
      <c r="A14299" s="12"/>
      <c r="D14299" s="12"/>
      <c r="E14299" s="12"/>
      <c r="H14299" s="11" t="str">
        <f ca="1">IFERROR(__xludf.DUMMYFUNCTION("IFERROR(SUBSTITUTE(SUBSTITUTE(REGEXEXTRACT(A14299, ""[^-]+- [^-]+- [^-]+ - (.+?)\.jpg""), "".jpg"", """"), ""-"", "", ""), """")"),"")</f>
        <v/>
      </c>
      <c r="L14299" s="12"/>
      <c r="M14299" s="13"/>
      <c r="N14299" s="2"/>
      <c r="O14299" s="20"/>
      <c r="P14299" s="42"/>
      <c r="R14299" s="23"/>
    </row>
    <row r="14300" spans="1:18" ht="12.75">
      <c r="A14300" s="12"/>
      <c r="D14300" s="12"/>
      <c r="E14300" s="12"/>
      <c r="H14300" s="11" t="str">
        <f ca="1">IFERROR(__xludf.DUMMYFUNCTION("IFERROR(SUBSTITUTE(SUBSTITUTE(REGEXEXTRACT(A14300, ""[^-]+- [^-]+- [^-]+ - (.+?)\.jpg""), "".jpg"", """"), ""-"", "", ""), """")"),"")</f>
        <v/>
      </c>
      <c r="L14300" s="12"/>
      <c r="M14300" s="13"/>
      <c r="N14300" s="2"/>
      <c r="O14300" s="20"/>
      <c r="P14300" s="42"/>
      <c r="R14300" s="23"/>
    </row>
    <row r="14301" spans="1:18" ht="12.75">
      <c r="A14301" s="12"/>
      <c r="D14301" s="12"/>
      <c r="E14301" s="12"/>
      <c r="H14301" s="11" t="str">
        <f ca="1">IFERROR(__xludf.DUMMYFUNCTION("IFERROR(SUBSTITUTE(SUBSTITUTE(REGEXEXTRACT(A14301, ""[^-]+- [^-]+- [^-]+ - (.+?)\.jpg""), "".jpg"", """"), ""-"", "", ""), """")"),"")</f>
        <v/>
      </c>
      <c r="L14301" s="12"/>
      <c r="M14301" s="13"/>
      <c r="N14301" s="2"/>
      <c r="O14301" s="20"/>
      <c r="P14301" s="42"/>
      <c r="R14301" s="23"/>
    </row>
    <row r="14302" spans="1:18" ht="12.75">
      <c r="A14302" s="12"/>
      <c r="D14302" s="12"/>
      <c r="E14302" s="12"/>
      <c r="H14302" s="11" t="str">
        <f ca="1">IFERROR(__xludf.DUMMYFUNCTION("IFERROR(SUBSTITUTE(SUBSTITUTE(REGEXEXTRACT(A14302, ""[^-]+- [^-]+- [^-]+ - (.+?)\.jpg""), "".jpg"", """"), ""-"", "", ""), """")"),"")</f>
        <v/>
      </c>
      <c r="L14302" s="12"/>
      <c r="M14302" s="13"/>
      <c r="N14302" s="2"/>
      <c r="O14302" s="20"/>
      <c r="P14302" s="42"/>
      <c r="R14302" s="23"/>
    </row>
    <row r="14303" spans="1:18" ht="12.75">
      <c r="A14303" s="12"/>
      <c r="D14303" s="12"/>
      <c r="E14303" s="12"/>
      <c r="H14303" s="11" t="str">
        <f ca="1">IFERROR(__xludf.DUMMYFUNCTION("IFERROR(SUBSTITUTE(SUBSTITUTE(REGEXEXTRACT(A14303, ""[^-]+- [^-]+- [^-]+ - (.+?)\.jpg""), "".jpg"", """"), ""-"", "", ""), """")"),"")</f>
        <v/>
      </c>
      <c r="L14303" s="12"/>
      <c r="M14303" s="13"/>
      <c r="N14303" s="2"/>
      <c r="O14303" s="20"/>
      <c r="P14303" s="42"/>
      <c r="R14303" s="23"/>
    </row>
    <row r="14304" spans="1:18" ht="12.75">
      <c r="A14304" s="12"/>
      <c r="D14304" s="12"/>
      <c r="E14304" s="12"/>
      <c r="H14304" s="11" t="str">
        <f ca="1">IFERROR(__xludf.DUMMYFUNCTION("IFERROR(SUBSTITUTE(SUBSTITUTE(REGEXEXTRACT(A14304, ""[^-]+- [^-]+- [^-]+ - (.+?)\.jpg""), "".jpg"", """"), ""-"", "", ""), """")"),"")</f>
        <v/>
      </c>
      <c r="L14304" s="12"/>
      <c r="M14304" s="13"/>
      <c r="N14304" s="2"/>
      <c r="O14304" s="20"/>
      <c r="P14304" s="42"/>
      <c r="R14304" s="23"/>
    </row>
    <row r="14305" spans="1:18" ht="12.75">
      <c r="A14305" s="12"/>
      <c r="D14305" s="12"/>
      <c r="E14305" s="12"/>
      <c r="H14305" s="11" t="str">
        <f ca="1">IFERROR(__xludf.DUMMYFUNCTION("IFERROR(SUBSTITUTE(SUBSTITUTE(REGEXEXTRACT(A14305, ""[^-]+- [^-]+- [^-]+ - (.+?)\.jpg""), "".jpg"", """"), ""-"", "", ""), """")"),"")</f>
        <v/>
      </c>
      <c r="L14305" s="12"/>
      <c r="M14305" s="13"/>
      <c r="N14305" s="2"/>
      <c r="O14305" s="20"/>
      <c r="P14305" s="42"/>
      <c r="R14305" s="23"/>
    </row>
    <row r="14306" spans="1:18" ht="12.75">
      <c r="A14306" s="12"/>
      <c r="D14306" s="12"/>
      <c r="E14306" s="12"/>
      <c r="H14306" s="11" t="str">
        <f ca="1">IFERROR(__xludf.DUMMYFUNCTION("IFERROR(SUBSTITUTE(SUBSTITUTE(REGEXEXTRACT(A14306, ""[^-]+- [^-]+- [^-]+ - (.+?)\.jpg""), "".jpg"", """"), ""-"", "", ""), """")"),"")</f>
        <v/>
      </c>
      <c r="L14306" s="12"/>
      <c r="M14306" s="13"/>
      <c r="N14306" s="2"/>
      <c r="O14306" s="20"/>
      <c r="P14306" s="42"/>
      <c r="R14306" s="23"/>
    </row>
    <row r="14307" spans="1:18" ht="12.75">
      <c r="A14307" s="12"/>
      <c r="D14307" s="12"/>
      <c r="E14307" s="12"/>
      <c r="H14307" s="11" t="str">
        <f ca="1">IFERROR(__xludf.DUMMYFUNCTION("IFERROR(SUBSTITUTE(SUBSTITUTE(REGEXEXTRACT(A14307, ""[^-]+- [^-]+- [^-]+ - (.+?)\.jpg""), "".jpg"", """"), ""-"", "", ""), """")"),"")</f>
        <v/>
      </c>
      <c r="L14307" s="12"/>
      <c r="M14307" s="13"/>
      <c r="N14307" s="2"/>
      <c r="O14307" s="20"/>
      <c r="P14307" s="42"/>
      <c r="R14307" s="23"/>
    </row>
    <row r="14308" spans="1:18" ht="12.75">
      <c r="A14308" s="12"/>
      <c r="D14308" s="12"/>
      <c r="E14308" s="12"/>
      <c r="H14308" s="11" t="str">
        <f ca="1">IFERROR(__xludf.DUMMYFUNCTION("IFERROR(SUBSTITUTE(SUBSTITUTE(REGEXEXTRACT(A14308, ""[^-]+- [^-]+- [^-]+ - (.+?)\.jpg""), "".jpg"", """"), ""-"", "", ""), """")"),"")</f>
        <v/>
      </c>
      <c r="L14308" s="12"/>
      <c r="M14308" s="13"/>
      <c r="N14308" s="2"/>
      <c r="O14308" s="20"/>
      <c r="P14308" s="42"/>
      <c r="R14308" s="23"/>
    </row>
    <row r="14309" spans="1:18" ht="12.75">
      <c r="A14309" s="12"/>
      <c r="D14309" s="12"/>
      <c r="E14309" s="12"/>
      <c r="H14309" s="11" t="str">
        <f ca="1">IFERROR(__xludf.DUMMYFUNCTION("IFERROR(SUBSTITUTE(SUBSTITUTE(REGEXEXTRACT(A14309, ""[^-]+- [^-]+- [^-]+ - (.+?)\.jpg""), "".jpg"", """"), ""-"", "", ""), """")"),"")</f>
        <v/>
      </c>
      <c r="L14309" s="12"/>
      <c r="M14309" s="13"/>
      <c r="N14309" s="2"/>
      <c r="O14309" s="20"/>
      <c r="P14309" s="42"/>
      <c r="R14309" s="23"/>
    </row>
    <row r="14310" spans="1:18" ht="12.75">
      <c r="A14310" s="12"/>
      <c r="D14310" s="12"/>
      <c r="E14310" s="12"/>
      <c r="H14310" s="11" t="str">
        <f ca="1">IFERROR(__xludf.DUMMYFUNCTION("IFERROR(SUBSTITUTE(SUBSTITUTE(REGEXEXTRACT(A14310, ""[^-]+- [^-]+- [^-]+ - (.+?)\.jpg""), "".jpg"", """"), ""-"", "", ""), """")"),"")</f>
        <v/>
      </c>
      <c r="L14310" s="12"/>
      <c r="M14310" s="13"/>
      <c r="N14310" s="2"/>
      <c r="O14310" s="20"/>
      <c r="P14310" s="42"/>
      <c r="R14310" s="23"/>
    </row>
    <row r="14311" spans="1:18" ht="12.75">
      <c r="A14311" s="12"/>
      <c r="D14311" s="12"/>
      <c r="E14311" s="12"/>
      <c r="H14311" s="11" t="str">
        <f ca="1">IFERROR(__xludf.DUMMYFUNCTION("IFERROR(SUBSTITUTE(SUBSTITUTE(REGEXEXTRACT(A14311, ""[^-]+- [^-]+- [^-]+ - (.+?)\.jpg""), "".jpg"", """"), ""-"", "", ""), """")"),"")</f>
        <v/>
      </c>
      <c r="L14311" s="12"/>
      <c r="M14311" s="13"/>
      <c r="N14311" s="2"/>
      <c r="O14311" s="20"/>
      <c r="P14311" s="42"/>
      <c r="R14311" s="23"/>
    </row>
    <row r="14312" spans="1:18" ht="12.75">
      <c r="A14312" s="12"/>
      <c r="D14312" s="12"/>
      <c r="E14312" s="12"/>
      <c r="H14312" s="11" t="str">
        <f ca="1">IFERROR(__xludf.DUMMYFUNCTION("IFERROR(SUBSTITUTE(SUBSTITUTE(REGEXEXTRACT(A14312, ""[^-]+- [^-]+- [^-]+ - (.+?)\.jpg""), "".jpg"", """"), ""-"", "", ""), """")"),"")</f>
        <v/>
      </c>
      <c r="L14312" s="12"/>
      <c r="M14312" s="13"/>
      <c r="N14312" s="2"/>
      <c r="O14312" s="20"/>
      <c r="P14312" s="42"/>
      <c r="R14312" s="23"/>
    </row>
    <row r="14313" spans="1:18" ht="12.75">
      <c r="A14313" s="12"/>
      <c r="D14313" s="12"/>
      <c r="E14313" s="12"/>
      <c r="H14313" s="11" t="str">
        <f ca="1">IFERROR(__xludf.DUMMYFUNCTION("IFERROR(SUBSTITUTE(SUBSTITUTE(REGEXEXTRACT(A14313, ""[^-]+- [^-]+- [^-]+ - (.+?)\.jpg""), "".jpg"", """"), ""-"", "", ""), """")"),"")</f>
        <v/>
      </c>
      <c r="L14313" s="12"/>
      <c r="M14313" s="13"/>
      <c r="N14313" s="2"/>
      <c r="O14313" s="20"/>
      <c r="P14313" s="42"/>
      <c r="R14313" s="23"/>
    </row>
    <row r="14314" spans="1:18" ht="12.75">
      <c r="A14314" s="12"/>
      <c r="D14314" s="12"/>
      <c r="E14314" s="12"/>
      <c r="H14314" s="11" t="str">
        <f ca="1">IFERROR(__xludf.DUMMYFUNCTION("IFERROR(SUBSTITUTE(SUBSTITUTE(REGEXEXTRACT(A14314, ""[^-]+- [^-]+- [^-]+ - (.+?)\.jpg""), "".jpg"", """"), ""-"", "", ""), """")"),"")</f>
        <v/>
      </c>
      <c r="L14314" s="12"/>
      <c r="M14314" s="13"/>
      <c r="N14314" s="2"/>
      <c r="O14314" s="20"/>
      <c r="P14314" s="42"/>
      <c r="R14314" s="23"/>
    </row>
    <row r="14315" spans="1:18" ht="12.75">
      <c r="A14315" s="12"/>
      <c r="D14315" s="12"/>
      <c r="E14315" s="12"/>
      <c r="H14315" s="11" t="str">
        <f ca="1">IFERROR(__xludf.DUMMYFUNCTION("IFERROR(SUBSTITUTE(SUBSTITUTE(REGEXEXTRACT(A14315, ""[^-]+- [^-]+- [^-]+ - (.+?)\.jpg""), "".jpg"", """"), ""-"", "", ""), """")"),"")</f>
        <v/>
      </c>
      <c r="L14315" s="12"/>
      <c r="M14315" s="13"/>
      <c r="N14315" s="2"/>
      <c r="O14315" s="20"/>
      <c r="P14315" s="42"/>
      <c r="R14315" s="23"/>
    </row>
    <row r="14316" spans="1:18" ht="12.75">
      <c r="A14316" s="12"/>
      <c r="D14316" s="12"/>
      <c r="E14316" s="12"/>
      <c r="H14316" s="11" t="str">
        <f ca="1">IFERROR(__xludf.DUMMYFUNCTION("IFERROR(SUBSTITUTE(SUBSTITUTE(REGEXEXTRACT(A14316, ""[^-]+- [^-]+- [^-]+ - (.+?)\.jpg""), "".jpg"", """"), ""-"", "", ""), """")"),"")</f>
        <v/>
      </c>
      <c r="L14316" s="12"/>
      <c r="M14316" s="13"/>
      <c r="N14316" s="2"/>
      <c r="O14316" s="20"/>
      <c r="P14316" s="42"/>
      <c r="R14316" s="23"/>
    </row>
    <row r="14317" spans="1:18" ht="12.75">
      <c r="A14317" s="12"/>
      <c r="D14317" s="12"/>
      <c r="E14317" s="12"/>
      <c r="H14317" s="11" t="str">
        <f ca="1">IFERROR(__xludf.DUMMYFUNCTION("IFERROR(SUBSTITUTE(SUBSTITUTE(REGEXEXTRACT(A14317, ""[^-]+- [^-]+- [^-]+ - (.+?)\.jpg""), "".jpg"", """"), ""-"", "", ""), """")"),"")</f>
        <v/>
      </c>
      <c r="L14317" s="12"/>
      <c r="M14317" s="13"/>
      <c r="N14317" s="2"/>
      <c r="O14317" s="20"/>
      <c r="P14317" s="42"/>
      <c r="R14317" s="23"/>
    </row>
    <row r="14318" spans="1:18" ht="12.75">
      <c r="A14318" s="12"/>
      <c r="D14318" s="12"/>
      <c r="E14318" s="12"/>
      <c r="H14318" s="11" t="str">
        <f ca="1">IFERROR(__xludf.DUMMYFUNCTION("IFERROR(SUBSTITUTE(SUBSTITUTE(REGEXEXTRACT(A14318, ""[^-]+- [^-]+- [^-]+ - (.+?)\.jpg""), "".jpg"", """"), ""-"", "", ""), """")"),"")</f>
        <v/>
      </c>
      <c r="L14318" s="12"/>
      <c r="M14318" s="13"/>
      <c r="N14318" s="2"/>
      <c r="O14318" s="20"/>
      <c r="P14318" s="42"/>
      <c r="R14318" s="23"/>
    </row>
    <row r="14319" spans="1:18" ht="12.75">
      <c r="A14319" s="12"/>
      <c r="D14319" s="12"/>
      <c r="E14319" s="12"/>
      <c r="H14319" s="11" t="str">
        <f ca="1">IFERROR(__xludf.DUMMYFUNCTION("IFERROR(SUBSTITUTE(SUBSTITUTE(REGEXEXTRACT(A14319, ""[^-]+- [^-]+- [^-]+ - (.+?)\.jpg""), "".jpg"", """"), ""-"", "", ""), """")"),"")</f>
        <v/>
      </c>
      <c r="L14319" s="12"/>
      <c r="M14319" s="13"/>
      <c r="N14319" s="2"/>
      <c r="O14319" s="20"/>
      <c r="P14319" s="42"/>
      <c r="R14319" s="23"/>
    </row>
    <row r="14320" spans="1:18" ht="12.75">
      <c r="A14320" s="12"/>
      <c r="D14320" s="12"/>
      <c r="E14320" s="12"/>
      <c r="H14320" s="11" t="str">
        <f ca="1">IFERROR(__xludf.DUMMYFUNCTION("IFERROR(SUBSTITUTE(SUBSTITUTE(REGEXEXTRACT(A14320, ""[^-]+- [^-]+- [^-]+ - (.+?)\.jpg""), "".jpg"", """"), ""-"", "", ""), """")"),"")</f>
        <v/>
      </c>
      <c r="L14320" s="12"/>
      <c r="M14320" s="13"/>
      <c r="N14320" s="2"/>
      <c r="O14320" s="20"/>
      <c r="P14320" s="42"/>
      <c r="R14320" s="23"/>
    </row>
    <row r="14321" spans="1:18" ht="12.75">
      <c r="A14321" s="12"/>
      <c r="D14321" s="12"/>
      <c r="E14321" s="12"/>
      <c r="H14321" s="11" t="str">
        <f ca="1">IFERROR(__xludf.DUMMYFUNCTION("IFERROR(SUBSTITUTE(SUBSTITUTE(REGEXEXTRACT(A14321, ""[^-]+- [^-]+- [^-]+ - (.+?)\.jpg""), "".jpg"", """"), ""-"", "", ""), """")"),"")</f>
        <v/>
      </c>
      <c r="L14321" s="12"/>
      <c r="M14321" s="13"/>
      <c r="N14321" s="2"/>
      <c r="O14321" s="20"/>
      <c r="P14321" s="42"/>
      <c r="R14321" s="23"/>
    </row>
    <row r="14322" spans="1:18" ht="12.75">
      <c r="A14322" s="12"/>
      <c r="D14322" s="12"/>
      <c r="E14322" s="12"/>
      <c r="H14322" s="11" t="str">
        <f ca="1">IFERROR(__xludf.DUMMYFUNCTION("IFERROR(SUBSTITUTE(SUBSTITUTE(REGEXEXTRACT(A14322, ""[^-]+- [^-]+- [^-]+ - (.+?)\.jpg""), "".jpg"", """"), ""-"", "", ""), """")"),"")</f>
        <v/>
      </c>
      <c r="L14322" s="12"/>
      <c r="M14322" s="13"/>
      <c r="N14322" s="2"/>
      <c r="O14322" s="20"/>
      <c r="P14322" s="42"/>
      <c r="R14322" s="23"/>
    </row>
    <row r="14323" spans="1:18" ht="12.75">
      <c r="A14323" s="12"/>
      <c r="D14323" s="12"/>
      <c r="E14323" s="12"/>
      <c r="H14323" s="11" t="str">
        <f ca="1">IFERROR(__xludf.DUMMYFUNCTION("IFERROR(SUBSTITUTE(SUBSTITUTE(REGEXEXTRACT(A14323, ""[^-]+- [^-]+- [^-]+ - (.+?)\.jpg""), "".jpg"", """"), ""-"", "", ""), """")"),"")</f>
        <v/>
      </c>
      <c r="L14323" s="12"/>
      <c r="M14323" s="13"/>
      <c r="N14323" s="2"/>
      <c r="O14323" s="20"/>
      <c r="P14323" s="42"/>
      <c r="R14323" s="23"/>
    </row>
    <row r="14324" spans="1:18" ht="12.75">
      <c r="A14324" s="12"/>
      <c r="D14324" s="12"/>
      <c r="E14324" s="12"/>
      <c r="H14324" s="11" t="str">
        <f ca="1">IFERROR(__xludf.DUMMYFUNCTION("IFERROR(SUBSTITUTE(SUBSTITUTE(REGEXEXTRACT(A14324, ""[^-]+- [^-]+- [^-]+ - (.+?)\.jpg""), "".jpg"", """"), ""-"", "", ""), """")"),"")</f>
        <v/>
      </c>
      <c r="L14324" s="12"/>
      <c r="M14324" s="13"/>
      <c r="N14324" s="2"/>
      <c r="O14324" s="20"/>
      <c r="P14324" s="42"/>
      <c r="R14324" s="23"/>
    </row>
    <row r="14325" spans="1:18" ht="12.75">
      <c r="A14325" s="12"/>
      <c r="D14325" s="12"/>
      <c r="E14325" s="12"/>
      <c r="H14325" s="11" t="str">
        <f ca="1">IFERROR(__xludf.DUMMYFUNCTION("IFERROR(SUBSTITUTE(SUBSTITUTE(REGEXEXTRACT(A14325, ""[^-]+- [^-]+- [^-]+ - (.+?)\.jpg""), "".jpg"", """"), ""-"", "", ""), """")"),"")</f>
        <v/>
      </c>
      <c r="L14325" s="12"/>
      <c r="M14325" s="13"/>
      <c r="N14325" s="2"/>
      <c r="O14325" s="20"/>
      <c r="P14325" s="42"/>
      <c r="R14325" s="23"/>
    </row>
    <row r="14326" spans="1:18" ht="12.75">
      <c r="A14326" s="12"/>
      <c r="D14326" s="12"/>
      <c r="E14326" s="12"/>
      <c r="H14326" s="11" t="str">
        <f ca="1">IFERROR(__xludf.DUMMYFUNCTION("IFERROR(SUBSTITUTE(SUBSTITUTE(REGEXEXTRACT(A14326, ""[^-]+- [^-]+- [^-]+ - (.+?)\.jpg""), "".jpg"", """"), ""-"", "", ""), """")"),"")</f>
        <v/>
      </c>
      <c r="L14326" s="12"/>
      <c r="M14326" s="13"/>
      <c r="N14326" s="2"/>
      <c r="O14326" s="20"/>
      <c r="P14326" s="42"/>
      <c r="R14326" s="23"/>
    </row>
    <row r="14327" spans="1:18" ht="12.75">
      <c r="A14327" s="12"/>
      <c r="D14327" s="12"/>
      <c r="E14327" s="12"/>
      <c r="H14327" s="11" t="str">
        <f ca="1">IFERROR(__xludf.DUMMYFUNCTION("IFERROR(SUBSTITUTE(SUBSTITUTE(REGEXEXTRACT(A14327, ""[^-]+- [^-]+- [^-]+ - (.+?)\.jpg""), "".jpg"", """"), ""-"", "", ""), """")"),"")</f>
        <v/>
      </c>
      <c r="L14327" s="12"/>
      <c r="M14327" s="13"/>
      <c r="N14327" s="2"/>
      <c r="O14327" s="20"/>
      <c r="P14327" s="42"/>
      <c r="R14327" s="23"/>
    </row>
    <row r="14328" spans="1:18" ht="12.75">
      <c r="A14328" s="12"/>
      <c r="D14328" s="12"/>
      <c r="E14328" s="12"/>
      <c r="H14328" s="11" t="str">
        <f ca="1">IFERROR(__xludf.DUMMYFUNCTION("IFERROR(SUBSTITUTE(SUBSTITUTE(REGEXEXTRACT(A14328, ""[^-]+- [^-]+- [^-]+ - (.+?)\.jpg""), "".jpg"", """"), ""-"", "", ""), """")"),"")</f>
        <v/>
      </c>
      <c r="L14328" s="12"/>
      <c r="M14328" s="13"/>
      <c r="N14328" s="2"/>
      <c r="O14328" s="20"/>
      <c r="P14328" s="42"/>
      <c r="R14328" s="23"/>
    </row>
    <row r="14329" spans="1:18" ht="12.75">
      <c r="A14329" s="12"/>
      <c r="D14329" s="12"/>
      <c r="E14329" s="12"/>
      <c r="H14329" s="11" t="str">
        <f ca="1">IFERROR(__xludf.DUMMYFUNCTION("IFERROR(SUBSTITUTE(SUBSTITUTE(REGEXEXTRACT(A14329, ""[^-]+- [^-]+- [^-]+ - (.+?)\.jpg""), "".jpg"", """"), ""-"", "", ""), """")"),"")</f>
        <v/>
      </c>
      <c r="L14329" s="12"/>
      <c r="M14329" s="13"/>
      <c r="N14329" s="2"/>
      <c r="O14329" s="20"/>
      <c r="P14329" s="42"/>
      <c r="R14329" s="23"/>
    </row>
    <row r="14330" spans="1:18" ht="12.75">
      <c r="A14330" s="12"/>
      <c r="D14330" s="12"/>
      <c r="E14330" s="12"/>
      <c r="H14330" s="11" t="str">
        <f ca="1">IFERROR(__xludf.DUMMYFUNCTION("IFERROR(SUBSTITUTE(SUBSTITUTE(REGEXEXTRACT(A14330, ""[^-]+- [^-]+- [^-]+ - (.+?)\.jpg""), "".jpg"", """"), ""-"", "", ""), """")"),"")</f>
        <v/>
      </c>
      <c r="L14330" s="12"/>
      <c r="M14330" s="13"/>
      <c r="N14330" s="2"/>
      <c r="O14330" s="20"/>
      <c r="P14330" s="42"/>
      <c r="R14330" s="23"/>
    </row>
    <row r="14331" spans="1:18" ht="12.75">
      <c r="A14331" s="12"/>
      <c r="D14331" s="12"/>
      <c r="E14331" s="12"/>
      <c r="H14331" s="11" t="str">
        <f ca="1">IFERROR(__xludf.DUMMYFUNCTION("IFERROR(SUBSTITUTE(SUBSTITUTE(REGEXEXTRACT(A14331, ""[^-]+- [^-]+- [^-]+ - (.+?)\.jpg""), "".jpg"", """"), ""-"", "", ""), """")"),"")</f>
        <v/>
      </c>
      <c r="L14331" s="12"/>
      <c r="M14331" s="13"/>
      <c r="N14331" s="2"/>
      <c r="O14331" s="20"/>
      <c r="P14331" s="42"/>
      <c r="R14331" s="23"/>
    </row>
    <row r="14332" spans="1:18" ht="12.75">
      <c r="A14332" s="12"/>
      <c r="D14332" s="12"/>
      <c r="E14332" s="12"/>
      <c r="H14332" s="11" t="str">
        <f ca="1">IFERROR(__xludf.DUMMYFUNCTION("IFERROR(SUBSTITUTE(SUBSTITUTE(REGEXEXTRACT(A14332, ""[^-]+- [^-]+- [^-]+ - (.+?)\.jpg""), "".jpg"", """"), ""-"", "", ""), """")"),"")</f>
        <v/>
      </c>
      <c r="L14332" s="12"/>
      <c r="M14332" s="13"/>
      <c r="N14332" s="2"/>
      <c r="O14332" s="20"/>
      <c r="P14332" s="42"/>
      <c r="R14332" s="23"/>
    </row>
    <row r="14333" spans="1:18" ht="12.75">
      <c r="A14333" s="12"/>
      <c r="D14333" s="12"/>
      <c r="E14333" s="12"/>
      <c r="H14333" s="11" t="str">
        <f ca="1">IFERROR(__xludf.DUMMYFUNCTION("IFERROR(SUBSTITUTE(SUBSTITUTE(REGEXEXTRACT(A14333, ""[^-]+- [^-]+- [^-]+ - (.+?)\.jpg""), "".jpg"", """"), ""-"", "", ""), """")"),"")</f>
        <v/>
      </c>
      <c r="L14333" s="12"/>
      <c r="M14333" s="13"/>
      <c r="N14333" s="2"/>
      <c r="O14333" s="20"/>
      <c r="P14333" s="42"/>
      <c r="R14333" s="23"/>
    </row>
    <row r="14334" spans="1:18" ht="12.75">
      <c r="A14334" s="12"/>
      <c r="D14334" s="12"/>
      <c r="E14334" s="12"/>
      <c r="H14334" s="11" t="str">
        <f ca="1">IFERROR(__xludf.DUMMYFUNCTION("IFERROR(SUBSTITUTE(SUBSTITUTE(REGEXEXTRACT(A14334, ""[^-]+- [^-]+- [^-]+ - (.+?)\.jpg""), "".jpg"", """"), ""-"", "", ""), """")"),"")</f>
        <v/>
      </c>
      <c r="L14334" s="12"/>
      <c r="M14334" s="13"/>
      <c r="N14334" s="2"/>
      <c r="O14334" s="20"/>
      <c r="P14334" s="42"/>
      <c r="R14334" s="23"/>
    </row>
    <row r="14335" spans="1:18" ht="12.75">
      <c r="A14335" s="12"/>
      <c r="D14335" s="12"/>
      <c r="E14335" s="12"/>
      <c r="H14335" s="11" t="str">
        <f ca="1">IFERROR(__xludf.DUMMYFUNCTION("IFERROR(SUBSTITUTE(SUBSTITUTE(REGEXEXTRACT(A14335, ""[^-]+- [^-]+- [^-]+ - (.+?)\.jpg""), "".jpg"", """"), ""-"", "", ""), """")"),"")</f>
        <v/>
      </c>
      <c r="L14335" s="12"/>
      <c r="M14335" s="13"/>
      <c r="N14335" s="2"/>
      <c r="O14335" s="20"/>
      <c r="P14335" s="42"/>
      <c r="R14335" s="23"/>
    </row>
    <row r="14336" spans="1:18" ht="12.75">
      <c r="A14336" s="12"/>
      <c r="D14336" s="12"/>
      <c r="E14336" s="12"/>
      <c r="H14336" s="11" t="str">
        <f ca="1">IFERROR(__xludf.DUMMYFUNCTION("IFERROR(SUBSTITUTE(SUBSTITUTE(REGEXEXTRACT(A14336, ""[^-]+- [^-]+- [^-]+ - (.+?)\.jpg""), "".jpg"", """"), ""-"", "", ""), """")"),"")</f>
        <v/>
      </c>
      <c r="L14336" s="12"/>
      <c r="M14336" s="13"/>
      <c r="N14336" s="2"/>
      <c r="O14336" s="20"/>
      <c r="P14336" s="42"/>
      <c r="R14336" s="23"/>
    </row>
    <row r="14337" spans="1:18" ht="12.75">
      <c r="A14337" s="12"/>
      <c r="D14337" s="12"/>
      <c r="E14337" s="12"/>
      <c r="H14337" s="11" t="str">
        <f ca="1">IFERROR(__xludf.DUMMYFUNCTION("IFERROR(SUBSTITUTE(SUBSTITUTE(REGEXEXTRACT(A14337, ""[^-]+- [^-]+- [^-]+ - (.+?)\.jpg""), "".jpg"", """"), ""-"", "", ""), """")"),"")</f>
        <v/>
      </c>
      <c r="L14337" s="12"/>
      <c r="M14337" s="13"/>
      <c r="N14337" s="2"/>
      <c r="O14337" s="20"/>
      <c r="P14337" s="42"/>
      <c r="R14337" s="23"/>
    </row>
    <row r="14338" spans="1:18" ht="12.75">
      <c r="A14338" s="12"/>
      <c r="D14338" s="12"/>
      <c r="E14338" s="12"/>
      <c r="H14338" s="11" t="str">
        <f ca="1">IFERROR(__xludf.DUMMYFUNCTION("IFERROR(SUBSTITUTE(SUBSTITUTE(REGEXEXTRACT(A14338, ""[^-]+- [^-]+- [^-]+ - (.+?)\.jpg""), "".jpg"", """"), ""-"", "", ""), """")"),"")</f>
        <v/>
      </c>
      <c r="L14338" s="12"/>
      <c r="M14338" s="13"/>
      <c r="N14338" s="2"/>
      <c r="O14338" s="20"/>
      <c r="P14338" s="42"/>
      <c r="R14338" s="23"/>
    </row>
    <row r="14339" spans="1:18" ht="12.75">
      <c r="A14339" s="12"/>
      <c r="D14339" s="12"/>
      <c r="E14339" s="12"/>
      <c r="H14339" s="11" t="str">
        <f ca="1">IFERROR(__xludf.DUMMYFUNCTION("IFERROR(SUBSTITUTE(SUBSTITUTE(REGEXEXTRACT(A14339, ""[^-]+- [^-]+- [^-]+ - (.+?)\.jpg""), "".jpg"", """"), ""-"", "", ""), """")"),"")</f>
        <v/>
      </c>
      <c r="L14339" s="12"/>
      <c r="M14339" s="13"/>
      <c r="N14339" s="2"/>
      <c r="O14339" s="20"/>
      <c r="P14339" s="42"/>
      <c r="R14339" s="23"/>
    </row>
    <row r="14340" spans="1:18" ht="12.75">
      <c r="A14340" s="12"/>
      <c r="D14340" s="12"/>
      <c r="E14340" s="12"/>
      <c r="H14340" s="11" t="str">
        <f ca="1">IFERROR(__xludf.DUMMYFUNCTION("IFERROR(SUBSTITUTE(SUBSTITUTE(REGEXEXTRACT(A14340, ""[^-]+- [^-]+- [^-]+ - (.+?)\.jpg""), "".jpg"", """"), ""-"", "", ""), """")"),"")</f>
        <v/>
      </c>
      <c r="L14340" s="12"/>
      <c r="M14340" s="13"/>
      <c r="N14340" s="2"/>
      <c r="O14340" s="20"/>
      <c r="P14340" s="42"/>
      <c r="R14340" s="23"/>
    </row>
    <row r="14341" spans="1:18" ht="12.75">
      <c r="A14341" s="12"/>
      <c r="D14341" s="12"/>
      <c r="E14341" s="12"/>
      <c r="H14341" s="11" t="str">
        <f ca="1">IFERROR(__xludf.DUMMYFUNCTION("IFERROR(SUBSTITUTE(SUBSTITUTE(REGEXEXTRACT(A14341, ""[^-]+- [^-]+- [^-]+ - (.+?)\.jpg""), "".jpg"", """"), ""-"", "", ""), """")"),"")</f>
        <v/>
      </c>
      <c r="L14341" s="12"/>
      <c r="M14341" s="13"/>
      <c r="N14341" s="2"/>
      <c r="O14341" s="20"/>
      <c r="P14341" s="42"/>
      <c r="R14341" s="23"/>
    </row>
    <row r="14342" spans="1:18" ht="12.75">
      <c r="A14342" s="12"/>
      <c r="D14342" s="12"/>
      <c r="E14342" s="12"/>
      <c r="H14342" s="11" t="str">
        <f ca="1">IFERROR(__xludf.DUMMYFUNCTION("IFERROR(SUBSTITUTE(SUBSTITUTE(REGEXEXTRACT(A14342, ""[^-]+- [^-]+- [^-]+ - (.+?)\.jpg""), "".jpg"", """"), ""-"", "", ""), """")"),"")</f>
        <v/>
      </c>
      <c r="L14342" s="12"/>
      <c r="M14342" s="13"/>
      <c r="N14342" s="2"/>
      <c r="O14342" s="20"/>
      <c r="P14342" s="42"/>
      <c r="R14342" s="23"/>
    </row>
    <row r="14343" spans="1:18" ht="12.75">
      <c r="A14343" s="12"/>
      <c r="D14343" s="12"/>
      <c r="E14343" s="12"/>
      <c r="H14343" s="11" t="str">
        <f ca="1">IFERROR(__xludf.DUMMYFUNCTION("IFERROR(SUBSTITUTE(SUBSTITUTE(REGEXEXTRACT(A14343, ""[^-]+- [^-]+- [^-]+ - (.+?)\.jpg""), "".jpg"", """"), ""-"", "", ""), """")"),"")</f>
        <v/>
      </c>
      <c r="L14343" s="12"/>
      <c r="M14343" s="13"/>
      <c r="N14343" s="2"/>
      <c r="O14343" s="20"/>
      <c r="P14343" s="42"/>
      <c r="R14343" s="23"/>
    </row>
    <row r="14344" spans="1:18" ht="12.75">
      <c r="A14344" s="12"/>
      <c r="D14344" s="12"/>
      <c r="E14344" s="12"/>
      <c r="H14344" s="11" t="str">
        <f ca="1">IFERROR(__xludf.DUMMYFUNCTION("IFERROR(SUBSTITUTE(SUBSTITUTE(REGEXEXTRACT(A14344, ""[^-]+- [^-]+- [^-]+ - (.+?)\.jpg""), "".jpg"", """"), ""-"", "", ""), """")"),"")</f>
        <v/>
      </c>
      <c r="L14344" s="12"/>
      <c r="M14344" s="13"/>
      <c r="N14344" s="2"/>
      <c r="O14344" s="20"/>
      <c r="P14344" s="42"/>
      <c r="R14344" s="23"/>
    </row>
    <row r="14345" spans="1:18" ht="12.75">
      <c r="A14345" s="12"/>
      <c r="D14345" s="12"/>
      <c r="E14345" s="12"/>
      <c r="H14345" s="11" t="str">
        <f ca="1">IFERROR(__xludf.DUMMYFUNCTION("IFERROR(SUBSTITUTE(SUBSTITUTE(REGEXEXTRACT(A14345, ""[^-]+- [^-]+- [^-]+ - (.+?)\.jpg""), "".jpg"", """"), ""-"", "", ""), """")"),"")</f>
        <v/>
      </c>
      <c r="L14345" s="12"/>
      <c r="M14345" s="13"/>
      <c r="N14345" s="2"/>
      <c r="O14345" s="20"/>
      <c r="P14345" s="42"/>
      <c r="R14345" s="23"/>
    </row>
    <row r="14346" spans="1:18" ht="12.75">
      <c r="A14346" s="12"/>
      <c r="D14346" s="12"/>
      <c r="E14346" s="12"/>
      <c r="H14346" s="11" t="str">
        <f ca="1">IFERROR(__xludf.DUMMYFUNCTION("IFERROR(SUBSTITUTE(SUBSTITUTE(REGEXEXTRACT(A14346, ""[^-]+- [^-]+- [^-]+ - (.+?)\.jpg""), "".jpg"", """"), ""-"", "", ""), """")"),"")</f>
        <v/>
      </c>
      <c r="L14346" s="12"/>
      <c r="M14346" s="13"/>
      <c r="N14346" s="2"/>
      <c r="O14346" s="20"/>
      <c r="P14346" s="42"/>
      <c r="R14346" s="23"/>
    </row>
    <row r="14347" spans="1:18" ht="12.75">
      <c r="A14347" s="12"/>
      <c r="D14347" s="12"/>
      <c r="E14347" s="12"/>
      <c r="H14347" s="11" t="str">
        <f ca="1">IFERROR(__xludf.DUMMYFUNCTION("IFERROR(SUBSTITUTE(SUBSTITUTE(REGEXEXTRACT(A14347, ""[^-]+- [^-]+- [^-]+ - (.+?)\.jpg""), "".jpg"", """"), ""-"", "", ""), """")"),"")</f>
        <v/>
      </c>
      <c r="L14347" s="12"/>
      <c r="M14347" s="13"/>
      <c r="N14347" s="2"/>
      <c r="O14347" s="20"/>
      <c r="P14347" s="42"/>
      <c r="R14347" s="23"/>
    </row>
    <row r="14348" spans="1:18" ht="12.75">
      <c r="A14348" s="12"/>
      <c r="D14348" s="12"/>
      <c r="E14348" s="12"/>
      <c r="H14348" s="11" t="str">
        <f ca="1">IFERROR(__xludf.DUMMYFUNCTION("IFERROR(SUBSTITUTE(SUBSTITUTE(REGEXEXTRACT(A14348, ""[^-]+- [^-]+- [^-]+ - (.+?)\.jpg""), "".jpg"", """"), ""-"", "", ""), """")"),"")</f>
        <v/>
      </c>
      <c r="L14348" s="12"/>
      <c r="M14348" s="13"/>
      <c r="N14348" s="2"/>
      <c r="O14348" s="20"/>
      <c r="P14348" s="42"/>
      <c r="R14348" s="23"/>
    </row>
    <row r="14349" spans="1:18" ht="12.75">
      <c r="A14349" s="12"/>
      <c r="D14349" s="12"/>
      <c r="E14349" s="12"/>
      <c r="H14349" s="11" t="str">
        <f ca="1">IFERROR(__xludf.DUMMYFUNCTION("IFERROR(SUBSTITUTE(SUBSTITUTE(REGEXEXTRACT(A14349, ""[^-]+- [^-]+- [^-]+ - (.+?)\.jpg""), "".jpg"", """"), ""-"", "", ""), """")"),"")</f>
        <v/>
      </c>
      <c r="L14349" s="12"/>
      <c r="M14349" s="13"/>
      <c r="N14349" s="2"/>
      <c r="O14349" s="20"/>
      <c r="P14349" s="42"/>
      <c r="R14349" s="23"/>
    </row>
    <row r="14350" spans="1:18" ht="12.75">
      <c r="A14350" s="12"/>
      <c r="D14350" s="12"/>
      <c r="E14350" s="12"/>
      <c r="H14350" s="11" t="str">
        <f ca="1">IFERROR(__xludf.DUMMYFUNCTION("IFERROR(SUBSTITUTE(SUBSTITUTE(REGEXEXTRACT(A14350, ""[^-]+- [^-]+- [^-]+ - (.+?)\.jpg""), "".jpg"", """"), ""-"", "", ""), """")"),"")</f>
        <v/>
      </c>
      <c r="L14350" s="12"/>
      <c r="M14350" s="13"/>
      <c r="N14350" s="2"/>
      <c r="O14350" s="20"/>
      <c r="P14350" s="42"/>
      <c r="R14350" s="23"/>
    </row>
    <row r="14351" spans="1:18" ht="12.75">
      <c r="A14351" s="12"/>
      <c r="D14351" s="12"/>
      <c r="E14351" s="12"/>
      <c r="H14351" s="11" t="str">
        <f ca="1">IFERROR(__xludf.DUMMYFUNCTION("IFERROR(SUBSTITUTE(SUBSTITUTE(REGEXEXTRACT(A14351, ""[^-]+- [^-]+- [^-]+ - (.+?)\.jpg""), "".jpg"", """"), ""-"", "", ""), """")"),"")</f>
        <v/>
      </c>
      <c r="L14351" s="12"/>
      <c r="M14351" s="13"/>
      <c r="N14351" s="2"/>
      <c r="O14351" s="20"/>
      <c r="P14351" s="42"/>
      <c r="R14351" s="23"/>
    </row>
    <row r="14352" spans="1:18" ht="12.75">
      <c r="A14352" s="12"/>
      <c r="D14352" s="12"/>
      <c r="E14352" s="12"/>
      <c r="H14352" s="11" t="str">
        <f ca="1">IFERROR(__xludf.DUMMYFUNCTION("IFERROR(SUBSTITUTE(SUBSTITUTE(REGEXEXTRACT(A14352, ""[^-]+- [^-]+- [^-]+ - (.+?)\.jpg""), "".jpg"", """"), ""-"", "", ""), """")"),"")</f>
        <v/>
      </c>
      <c r="L14352" s="12"/>
      <c r="M14352" s="13"/>
      <c r="N14352" s="2"/>
      <c r="O14352" s="20"/>
      <c r="P14352" s="42"/>
      <c r="R14352" s="23"/>
    </row>
    <row r="14353" spans="1:18" ht="12.75">
      <c r="A14353" s="12"/>
      <c r="D14353" s="12"/>
      <c r="E14353" s="12"/>
      <c r="H14353" s="11" t="str">
        <f ca="1">IFERROR(__xludf.DUMMYFUNCTION("IFERROR(SUBSTITUTE(SUBSTITUTE(REGEXEXTRACT(A14353, ""[^-]+- [^-]+- [^-]+ - (.+?)\.jpg""), "".jpg"", """"), ""-"", "", ""), """")"),"")</f>
        <v/>
      </c>
      <c r="L14353" s="12"/>
      <c r="M14353" s="13"/>
      <c r="N14353" s="2"/>
      <c r="O14353" s="20"/>
      <c r="P14353" s="42"/>
      <c r="R14353" s="23"/>
    </row>
    <row r="14354" spans="1:18" ht="12.75">
      <c r="A14354" s="12"/>
      <c r="D14354" s="12"/>
      <c r="E14354" s="12"/>
      <c r="H14354" s="11" t="str">
        <f ca="1">IFERROR(__xludf.DUMMYFUNCTION("IFERROR(SUBSTITUTE(SUBSTITUTE(REGEXEXTRACT(A14354, ""[^-]+- [^-]+- [^-]+ - (.+?)\.jpg""), "".jpg"", """"), ""-"", "", ""), """")"),"")</f>
        <v/>
      </c>
      <c r="L14354" s="12"/>
      <c r="M14354" s="13"/>
      <c r="N14354" s="2"/>
      <c r="O14354" s="20"/>
      <c r="P14354" s="42"/>
      <c r="R14354" s="23"/>
    </row>
    <row r="14355" spans="1:18" ht="12.75">
      <c r="A14355" s="12"/>
      <c r="D14355" s="12"/>
      <c r="E14355" s="12"/>
      <c r="H14355" s="11" t="str">
        <f ca="1">IFERROR(__xludf.DUMMYFUNCTION("IFERROR(SUBSTITUTE(SUBSTITUTE(REGEXEXTRACT(A14355, ""[^-]+- [^-]+- [^-]+ - (.+?)\.jpg""), "".jpg"", """"), ""-"", "", ""), """")"),"")</f>
        <v/>
      </c>
      <c r="L14355" s="12"/>
      <c r="M14355" s="13"/>
      <c r="N14355" s="2"/>
      <c r="O14355" s="20"/>
      <c r="P14355" s="42"/>
      <c r="R14355" s="23"/>
    </row>
    <row r="14356" spans="1:18" ht="12.75">
      <c r="A14356" s="12"/>
      <c r="D14356" s="12"/>
      <c r="E14356" s="12"/>
      <c r="H14356" s="11" t="str">
        <f ca="1">IFERROR(__xludf.DUMMYFUNCTION("IFERROR(SUBSTITUTE(SUBSTITUTE(REGEXEXTRACT(A14356, ""[^-]+- [^-]+- [^-]+ - (.+?)\.jpg""), "".jpg"", """"), ""-"", "", ""), """")"),"")</f>
        <v/>
      </c>
      <c r="L14356" s="12"/>
      <c r="M14356" s="13"/>
      <c r="N14356" s="2"/>
      <c r="O14356" s="20"/>
      <c r="P14356" s="42"/>
      <c r="R14356" s="23"/>
    </row>
    <row r="14357" spans="1:18" ht="12.75">
      <c r="A14357" s="12"/>
      <c r="D14357" s="12"/>
      <c r="E14357" s="12"/>
      <c r="H14357" s="11" t="str">
        <f ca="1">IFERROR(__xludf.DUMMYFUNCTION("IFERROR(SUBSTITUTE(SUBSTITUTE(REGEXEXTRACT(A14357, ""[^-]+- [^-]+- [^-]+ - (.+?)\.jpg""), "".jpg"", """"), ""-"", "", ""), """")"),"")</f>
        <v/>
      </c>
      <c r="L14357" s="12"/>
      <c r="M14357" s="13"/>
      <c r="N14357" s="2"/>
      <c r="O14357" s="20"/>
      <c r="P14357" s="42"/>
      <c r="R14357" s="23"/>
    </row>
    <row r="14358" spans="1:18" ht="12.75">
      <c r="A14358" s="12"/>
      <c r="D14358" s="12"/>
      <c r="E14358" s="12"/>
      <c r="H14358" s="11" t="str">
        <f ca="1">IFERROR(__xludf.DUMMYFUNCTION("IFERROR(SUBSTITUTE(SUBSTITUTE(REGEXEXTRACT(A14358, ""[^-]+- [^-]+- [^-]+ - (.+?)\.jpg""), "".jpg"", """"), ""-"", "", ""), """")"),"")</f>
        <v/>
      </c>
      <c r="L14358" s="12"/>
      <c r="M14358" s="13"/>
      <c r="N14358" s="2"/>
      <c r="O14358" s="20"/>
      <c r="P14358" s="42"/>
      <c r="R14358" s="23"/>
    </row>
    <row r="14359" spans="1:18" ht="12.75">
      <c r="A14359" s="12"/>
      <c r="D14359" s="12"/>
      <c r="E14359" s="12"/>
      <c r="H14359" s="11" t="str">
        <f ca="1">IFERROR(__xludf.DUMMYFUNCTION("IFERROR(SUBSTITUTE(SUBSTITUTE(REGEXEXTRACT(A14359, ""[^-]+- [^-]+- [^-]+ - (.+?)\.jpg""), "".jpg"", """"), ""-"", "", ""), """")"),"")</f>
        <v/>
      </c>
      <c r="L14359" s="12"/>
      <c r="M14359" s="13"/>
      <c r="N14359" s="2"/>
      <c r="O14359" s="20"/>
      <c r="P14359" s="42"/>
      <c r="R14359" s="23"/>
    </row>
    <row r="14360" spans="1:18" ht="12.75">
      <c r="A14360" s="12"/>
      <c r="D14360" s="12"/>
      <c r="E14360" s="12"/>
      <c r="H14360" s="11" t="str">
        <f ca="1">IFERROR(__xludf.DUMMYFUNCTION("IFERROR(SUBSTITUTE(SUBSTITUTE(REGEXEXTRACT(A14360, ""[^-]+- [^-]+- [^-]+ - (.+?)\.jpg""), "".jpg"", """"), ""-"", "", ""), """")"),"")</f>
        <v/>
      </c>
      <c r="L14360" s="12"/>
      <c r="M14360" s="13"/>
      <c r="N14360" s="2"/>
      <c r="O14360" s="20"/>
      <c r="P14360" s="42"/>
      <c r="R14360" s="23"/>
    </row>
    <row r="14361" spans="1:18" ht="12.75">
      <c r="A14361" s="12"/>
      <c r="D14361" s="12"/>
      <c r="E14361" s="12"/>
      <c r="H14361" s="11" t="str">
        <f ca="1">IFERROR(__xludf.DUMMYFUNCTION("IFERROR(SUBSTITUTE(SUBSTITUTE(REGEXEXTRACT(A14361, ""[^-]+- [^-]+- [^-]+ - (.+?)\.jpg""), "".jpg"", """"), ""-"", "", ""), """")"),"")</f>
        <v/>
      </c>
      <c r="L14361" s="12"/>
      <c r="M14361" s="13"/>
      <c r="N14361" s="2"/>
      <c r="O14361" s="20"/>
      <c r="P14361" s="42"/>
      <c r="R14361" s="23"/>
    </row>
    <row r="14362" spans="1:18" ht="12.75">
      <c r="A14362" s="12"/>
      <c r="D14362" s="12"/>
      <c r="E14362" s="12"/>
      <c r="H14362" s="11" t="str">
        <f ca="1">IFERROR(__xludf.DUMMYFUNCTION("IFERROR(SUBSTITUTE(SUBSTITUTE(REGEXEXTRACT(A14362, ""[^-]+- [^-]+- [^-]+ - (.+?)\.jpg""), "".jpg"", """"), ""-"", "", ""), """")"),"")</f>
        <v/>
      </c>
      <c r="L14362" s="12"/>
      <c r="M14362" s="13"/>
      <c r="N14362" s="2"/>
      <c r="O14362" s="20"/>
      <c r="P14362" s="42"/>
      <c r="R14362" s="23"/>
    </row>
    <row r="14363" spans="1:18" ht="12.75">
      <c r="A14363" s="12"/>
      <c r="D14363" s="12"/>
      <c r="E14363" s="12"/>
      <c r="H14363" s="11" t="str">
        <f ca="1">IFERROR(__xludf.DUMMYFUNCTION("IFERROR(SUBSTITUTE(SUBSTITUTE(REGEXEXTRACT(A14363, ""[^-]+- [^-]+- [^-]+ - (.+?)\.jpg""), "".jpg"", """"), ""-"", "", ""), """")"),"")</f>
        <v/>
      </c>
      <c r="L14363" s="12"/>
      <c r="M14363" s="13"/>
      <c r="N14363" s="2"/>
      <c r="O14363" s="20"/>
      <c r="P14363" s="42"/>
      <c r="R14363" s="23"/>
    </row>
    <row r="14364" spans="1:18" ht="12.75">
      <c r="A14364" s="12"/>
      <c r="D14364" s="12"/>
      <c r="E14364" s="12"/>
      <c r="H14364" s="11" t="str">
        <f ca="1">IFERROR(__xludf.DUMMYFUNCTION("IFERROR(SUBSTITUTE(SUBSTITUTE(REGEXEXTRACT(A14364, ""[^-]+- [^-]+- [^-]+ - (.+?)\.jpg""), "".jpg"", """"), ""-"", "", ""), """")"),"")</f>
        <v/>
      </c>
      <c r="L14364" s="12"/>
      <c r="M14364" s="13"/>
      <c r="N14364" s="2"/>
      <c r="O14364" s="20"/>
      <c r="P14364" s="42"/>
      <c r="R14364" s="23"/>
    </row>
    <row r="14365" spans="1:18" ht="12.75">
      <c r="A14365" s="12"/>
      <c r="D14365" s="12"/>
      <c r="E14365" s="12"/>
      <c r="H14365" s="11" t="str">
        <f ca="1">IFERROR(__xludf.DUMMYFUNCTION("IFERROR(SUBSTITUTE(SUBSTITUTE(REGEXEXTRACT(A14365, ""[^-]+- [^-]+- [^-]+ - (.+?)\.jpg""), "".jpg"", """"), ""-"", "", ""), """")"),"")</f>
        <v/>
      </c>
      <c r="L14365" s="12"/>
      <c r="M14365" s="13"/>
      <c r="N14365" s="2"/>
      <c r="O14365" s="20"/>
      <c r="P14365" s="42"/>
      <c r="R14365" s="23"/>
    </row>
    <row r="14366" spans="1:18" ht="12.75">
      <c r="A14366" s="12"/>
      <c r="D14366" s="12"/>
      <c r="E14366" s="12"/>
      <c r="H14366" s="11" t="str">
        <f ca="1">IFERROR(__xludf.DUMMYFUNCTION("IFERROR(SUBSTITUTE(SUBSTITUTE(REGEXEXTRACT(A14366, ""[^-]+- [^-]+- [^-]+ - (.+?)\.jpg""), "".jpg"", """"), ""-"", "", ""), """")"),"")</f>
        <v/>
      </c>
      <c r="L14366" s="12"/>
      <c r="M14366" s="13"/>
      <c r="N14366" s="2"/>
      <c r="O14366" s="20"/>
      <c r="P14366" s="42"/>
      <c r="R14366" s="23"/>
    </row>
    <row r="14367" spans="1:18" ht="12.75">
      <c r="A14367" s="12"/>
      <c r="D14367" s="12"/>
      <c r="E14367" s="12"/>
      <c r="H14367" s="11" t="str">
        <f ca="1">IFERROR(__xludf.DUMMYFUNCTION("IFERROR(SUBSTITUTE(SUBSTITUTE(REGEXEXTRACT(A14367, ""[^-]+- [^-]+- [^-]+ - (.+?)\.jpg""), "".jpg"", """"), ""-"", "", ""), """")"),"")</f>
        <v/>
      </c>
      <c r="L14367" s="12"/>
      <c r="M14367" s="13"/>
      <c r="N14367" s="2"/>
      <c r="O14367" s="20"/>
      <c r="P14367" s="42"/>
      <c r="R14367" s="23"/>
    </row>
    <row r="14368" spans="1:18" ht="12.75">
      <c r="A14368" s="12"/>
      <c r="D14368" s="12"/>
      <c r="E14368" s="12"/>
      <c r="H14368" s="11" t="str">
        <f ca="1">IFERROR(__xludf.DUMMYFUNCTION("IFERROR(SUBSTITUTE(SUBSTITUTE(REGEXEXTRACT(A14368, ""[^-]+- [^-]+- [^-]+ - (.+?)\.jpg""), "".jpg"", """"), ""-"", "", ""), """")"),"")</f>
        <v/>
      </c>
      <c r="L14368" s="12"/>
      <c r="M14368" s="13"/>
      <c r="N14368" s="2"/>
      <c r="O14368" s="20"/>
      <c r="P14368" s="42"/>
      <c r="R14368" s="23"/>
    </row>
    <row r="14369" spans="1:18" ht="12.75">
      <c r="A14369" s="12"/>
      <c r="D14369" s="12"/>
      <c r="E14369" s="12"/>
      <c r="H14369" s="11" t="str">
        <f ca="1">IFERROR(__xludf.DUMMYFUNCTION("IFERROR(SUBSTITUTE(SUBSTITUTE(REGEXEXTRACT(A14369, ""[^-]+- [^-]+- [^-]+ - (.+?)\.jpg""), "".jpg"", """"), ""-"", "", ""), """")"),"")</f>
        <v/>
      </c>
      <c r="L14369" s="12"/>
      <c r="M14369" s="13"/>
      <c r="N14369" s="2"/>
      <c r="O14369" s="20"/>
      <c r="P14369" s="42"/>
      <c r="R14369" s="23"/>
    </row>
    <row r="14370" spans="1:18" ht="12.75">
      <c r="A14370" s="12"/>
      <c r="D14370" s="12"/>
      <c r="E14370" s="12"/>
      <c r="H14370" s="11" t="str">
        <f ca="1">IFERROR(__xludf.DUMMYFUNCTION("IFERROR(SUBSTITUTE(SUBSTITUTE(REGEXEXTRACT(A14370, ""[^-]+- [^-]+- [^-]+ - (.+?)\.jpg""), "".jpg"", """"), ""-"", "", ""), """")"),"")</f>
        <v/>
      </c>
      <c r="L14370" s="12"/>
      <c r="M14370" s="13"/>
      <c r="N14370" s="2"/>
      <c r="O14370" s="20"/>
      <c r="P14370" s="42"/>
      <c r="R14370" s="23"/>
    </row>
    <row r="14371" spans="1:18" ht="12.75">
      <c r="A14371" s="12"/>
      <c r="D14371" s="12"/>
      <c r="E14371" s="12"/>
      <c r="H14371" s="11" t="str">
        <f ca="1">IFERROR(__xludf.DUMMYFUNCTION("IFERROR(SUBSTITUTE(SUBSTITUTE(REGEXEXTRACT(A14371, ""[^-]+- [^-]+- [^-]+ - (.+?)\.jpg""), "".jpg"", """"), ""-"", "", ""), """")"),"")</f>
        <v/>
      </c>
      <c r="L14371" s="12"/>
      <c r="M14371" s="13"/>
      <c r="N14371" s="2"/>
      <c r="O14371" s="20"/>
      <c r="P14371" s="42"/>
      <c r="R14371" s="23"/>
    </row>
    <row r="14372" spans="1:18" ht="12.75">
      <c r="A14372" s="12"/>
      <c r="D14372" s="12"/>
      <c r="E14372" s="12"/>
      <c r="H14372" s="11" t="str">
        <f ca="1">IFERROR(__xludf.DUMMYFUNCTION("IFERROR(SUBSTITUTE(SUBSTITUTE(REGEXEXTRACT(A14372, ""[^-]+- [^-]+- [^-]+ - (.+?)\.jpg""), "".jpg"", """"), ""-"", "", ""), """")"),"")</f>
        <v/>
      </c>
      <c r="L14372" s="12"/>
      <c r="M14372" s="13"/>
      <c r="N14372" s="2"/>
      <c r="O14372" s="20"/>
      <c r="P14372" s="42"/>
      <c r="R14372" s="23"/>
    </row>
    <row r="14373" spans="1:18" ht="12.75">
      <c r="A14373" s="12"/>
      <c r="D14373" s="12"/>
      <c r="E14373" s="12"/>
      <c r="H14373" s="11" t="str">
        <f ca="1">IFERROR(__xludf.DUMMYFUNCTION("IFERROR(SUBSTITUTE(SUBSTITUTE(REGEXEXTRACT(A14373, ""[^-]+- [^-]+- [^-]+ - (.+?)\.jpg""), "".jpg"", """"), ""-"", "", ""), """")"),"")</f>
        <v/>
      </c>
      <c r="L14373" s="12"/>
      <c r="M14373" s="13"/>
      <c r="N14373" s="2"/>
      <c r="O14373" s="20"/>
      <c r="P14373" s="42"/>
      <c r="R14373" s="23"/>
    </row>
    <row r="14374" spans="1:18" ht="12.75">
      <c r="A14374" s="12"/>
      <c r="D14374" s="12"/>
      <c r="E14374" s="12"/>
      <c r="H14374" s="11" t="str">
        <f ca="1">IFERROR(__xludf.DUMMYFUNCTION("IFERROR(SUBSTITUTE(SUBSTITUTE(REGEXEXTRACT(A14374, ""[^-]+- [^-]+- [^-]+ - (.+?)\.jpg""), "".jpg"", """"), ""-"", "", ""), """")"),"")</f>
        <v/>
      </c>
      <c r="L14374" s="12"/>
      <c r="M14374" s="13"/>
      <c r="N14374" s="2"/>
      <c r="O14374" s="20"/>
      <c r="P14374" s="42"/>
      <c r="R14374" s="23"/>
    </row>
    <row r="14375" spans="1:18" ht="12.75">
      <c r="A14375" s="12"/>
      <c r="D14375" s="12"/>
      <c r="E14375" s="12"/>
      <c r="H14375" s="11" t="str">
        <f ca="1">IFERROR(__xludf.DUMMYFUNCTION("IFERROR(SUBSTITUTE(SUBSTITUTE(REGEXEXTRACT(A14375, ""[^-]+- [^-]+- [^-]+ - (.+?)\.jpg""), "".jpg"", """"), ""-"", "", ""), """")"),"")</f>
        <v/>
      </c>
      <c r="L14375" s="12"/>
      <c r="M14375" s="13"/>
      <c r="N14375" s="2"/>
      <c r="O14375" s="20"/>
      <c r="P14375" s="42"/>
      <c r="R14375" s="23"/>
    </row>
    <row r="14376" spans="1:18" ht="12.75">
      <c r="A14376" s="12"/>
      <c r="D14376" s="12"/>
      <c r="E14376" s="12"/>
      <c r="H14376" s="11" t="str">
        <f ca="1">IFERROR(__xludf.DUMMYFUNCTION("IFERROR(SUBSTITUTE(SUBSTITUTE(REGEXEXTRACT(A14376, ""[^-]+- [^-]+- [^-]+ - (.+?)\.jpg""), "".jpg"", """"), ""-"", "", ""), """")"),"")</f>
        <v/>
      </c>
      <c r="L14376" s="12"/>
      <c r="M14376" s="13"/>
      <c r="N14376" s="2"/>
      <c r="O14376" s="20"/>
      <c r="P14376" s="42"/>
      <c r="R14376" s="23"/>
    </row>
    <row r="14377" spans="1:18" ht="12.75">
      <c r="A14377" s="12"/>
      <c r="D14377" s="12"/>
      <c r="E14377" s="12"/>
      <c r="H14377" s="11" t="str">
        <f ca="1">IFERROR(__xludf.DUMMYFUNCTION("IFERROR(SUBSTITUTE(SUBSTITUTE(REGEXEXTRACT(A14377, ""[^-]+- [^-]+- [^-]+ - (.+?)\.jpg""), "".jpg"", """"), ""-"", "", ""), """")"),"")</f>
        <v/>
      </c>
      <c r="L14377" s="12"/>
      <c r="M14377" s="13"/>
      <c r="N14377" s="2"/>
      <c r="O14377" s="20"/>
      <c r="P14377" s="42"/>
      <c r="R14377" s="23"/>
    </row>
    <row r="14378" spans="1:18" ht="12.75">
      <c r="A14378" s="12"/>
      <c r="D14378" s="12"/>
      <c r="E14378" s="12"/>
      <c r="H14378" s="11" t="str">
        <f ca="1">IFERROR(__xludf.DUMMYFUNCTION("IFERROR(SUBSTITUTE(SUBSTITUTE(REGEXEXTRACT(A14378, ""[^-]+- [^-]+- [^-]+ - (.+?)\.jpg""), "".jpg"", """"), ""-"", "", ""), """")"),"")</f>
        <v/>
      </c>
      <c r="L14378" s="12"/>
      <c r="M14378" s="13"/>
      <c r="N14378" s="2"/>
      <c r="O14378" s="20"/>
      <c r="P14378" s="42"/>
      <c r="R14378" s="23"/>
    </row>
    <row r="14379" spans="1:18" ht="12.75">
      <c r="A14379" s="12"/>
      <c r="D14379" s="12"/>
      <c r="E14379" s="12"/>
      <c r="H14379" s="11" t="str">
        <f ca="1">IFERROR(__xludf.DUMMYFUNCTION("IFERROR(SUBSTITUTE(SUBSTITUTE(REGEXEXTRACT(A14379, ""[^-]+- [^-]+- [^-]+ - (.+?)\.jpg""), "".jpg"", """"), ""-"", "", ""), """")"),"")</f>
        <v/>
      </c>
      <c r="L14379" s="12"/>
      <c r="M14379" s="13"/>
      <c r="N14379" s="2"/>
      <c r="O14379" s="20"/>
      <c r="P14379" s="42"/>
      <c r="R14379" s="23"/>
    </row>
    <row r="14380" spans="1:18" ht="12.75">
      <c r="A14380" s="12"/>
      <c r="D14380" s="12"/>
      <c r="E14380" s="12"/>
      <c r="H14380" s="11" t="str">
        <f ca="1">IFERROR(__xludf.DUMMYFUNCTION("IFERROR(SUBSTITUTE(SUBSTITUTE(REGEXEXTRACT(A14380, ""[^-]+- [^-]+- [^-]+ - (.+?)\.jpg""), "".jpg"", """"), ""-"", "", ""), """")"),"")</f>
        <v/>
      </c>
      <c r="L14380" s="12"/>
      <c r="M14380" s="13"/>
      <c r="N14380" s="2"/>
      <c r="O14380" s="20"/>
      <c r="P14380" s="42"/>
      <c r="R14380" s="23"/>
    </row>
    <row r="14381" spans="1:18" ht="12.75">
      <c r="A14381" s="12"/>
      <c r="D14381" s="12"/>
      <c r="E14381" s="12"/>
      <c r="H14381" s="11" t="str">
        <f ca="1">IFERROR(__xludf.DUMMYFUNCTION("IFERROR(SUBSTITUTE(SUBSTITUTE(REGEXEXTRACT(A14381, ""[^-]+- [^-]+- [^-]+ - (.+?)\.jpg""), "".jpg"", """"), ""-"", "", ""), """")"),"")</f>
        <v/>
      </c>
      <c r="L14381" s="12"/>
      <c r="M14381" s="13"/>
      <c r="N14381" s="2"/>
      <c r="O14381" s="20"/>
      <c r="P14381" s="42"/>
      <c r="R14381" s="23"/>
    </row>
    <row r="14382" spans="1:18" ht="12.75">
      <c r="A14382" s="12"/>
      <c r="D14382" s="12"/>
      <c r="E14382" s="12"/>
      <c r="H14382" s="11" t="str">
        <f ca="1">IFERROR(__xludf.DUMMYFUNCTION("IFERROR(SUBSTITUTE(SUBSTITUTE(REGEXEXTRACT(A14382, ""[^-]+- [^-]+- [^-]+ - (.+?)\.jpg""), "".jpg"", """"), ""-"", "", ""), """")"),"")</f>
        <v/>
      </c>
      <c r="L14382" s="12"/>
      <c r="M14382" s="13"/>
      <c r="N14382" s="2"/>
      <c r="O14382" s="20"/>
      <c r="P14382" s="42"/>
      <c r="R14382" s="23"/>
    </row>
    <row r="14383" spans="1:18" ht="12.75">
      <c r="A14383" s="12"/>
      <c r="D14383" s="12"/>
      <c r="E14383" s="12"/>
      <c r="H14383" s="11" t="str">
        <f ca="1">IFERROR(__xludf.DUMMYFUNCTION("IFERROR(SUBSTITUTE(SUBSTITUTE(REGEXEXTRACT(A14383, ""[^-]+- [^-]+- [^-]+ - (.+?)\.jpg""), "".jpg"", """"), ""-"", "", ""), """")"),"")</f>
        <v/>
      </c>
      <c r="L14383" s="12"/>
      <c r="M14383" s="13"/>
      <c r="N14383" s="2"/>
      <c r="O14383" s="20"/>
      <c r="P14383" s="42"/>
      <c r="R14383" s="23"/>
    </row>
    <row r="14384" spans="1:18" ht="12.75">
      <c r="A14384" s="12"/>
      <c r="D14384" s="12"/>
      <c r="E14384" s="12"/>
      <c r="H14384" s="11" t="str">
        <f ca="1">IFERROR(__xludf.DUMMYFUNCTION("IFERROR(SUBSTITUTE(SUBSTITUTE(REGEXEXTRACT(A14384, ""[^-]+- [^-]+- [^-]+ - (.+?)\.jpg""), "".jpg"", """"), ""-"", "", ""), """")"),"")</f>
        <v/>
      </c>
      <c r="L14384" s="12"/>
      <c r="M14384" s="13"/>
      <c r="N14384" s="2"/>
      <c r="O14384" s="20"/>
      <c r="P14384" s="42"/>
      <c r="R14384" s="23"/>
    </row>
    <row r="14385" spans="1:18" ht="12.75">
      <c r="A14385" s="12"/>
      <c r="D14385" s="12"/>
      <c r="E14385" s="12"/>
      <c r="H14385" s="11" t="str">
        <f ca="1">IFERROR(__xludf.DUMMYFUNCTION("IFERROR(SUBSTITUTE(SUBSTITUTE(REGEXEXTRACT(A14385, ""[^-]+- [^-]+- [^-]+ - (.+?)\.jpg""), "".jpg"", """"), ""-"", "", ""), """")"),"")</f>
        <v/>
      </c>
      <c r="L14385" s="12"/>
      <c r="M14385" s="13"/>
      <c r="N14385" s="2"/>
      <c r="O14385" s="20"/>
      <c r="P14385" s="42"/>
      <c r="R14385" s="23"/>
    </row>
    <row r="14386" spans="1:18" ht="12.75">
      <c r="A14386" s="12"/>
      <c r="D14386" s="12"/>
      <c r="E14386" s="12"/>
      <c r="H14386" s="11" t="str">
        <f ca="1">IFERROR(__xludf.DUMMYFUNCTION("IFERROR(SUBSTITUTE(SUBSTITUTE(REGEXEXTRACT(A14386, ""[^-]+- [^-]+- [^-]+ - (.+?)\.jpg""), "".jpg"", """"), ""-"", "", ""), """")"),"")</f>
        <v/>
      </c>
      <c r="L14386" s="12"/>
      <c r="M14386" s="13"/>
      <c r="N14386" s="2"/>
      <c r="O14386" s="20"/>
      <c r="P14386" s="42"/>
      <c r="R14386" s="23"/>
    </row>
    <row r="14387" spans="1:18" ht="12.75">
      <c r="A14387" s="12"/>
      <c r="D14387" s="12"/>
      <c r="E14387" s="12"/>
      <c r="H14387" s="11" t="str">
        <f ca="1">IFERROR(__xludf.DUMMYFUNCTION("IFERROR(SUBSTITUTE(SUBSTITUTE(REGEXEXTRACT(A14387, ""[^-]+- [^-]+- [^-]+ - (.+?)\.jpg""), "".jpg"", """"), ""-"", "", ""), """")"),"")</f>
        <v/>
      </c>
      <c r="L14387" s="12"/>
      <c r="M14387" s="13"/>
      <c r="N14387" s="2"/>
      <c r="O14387" s="20"/>
      <c r="P14387" s="42"/>
      <c r="R14387" s="23"/>
    </row>
    <row r="14388" spans="1:18" ht="12.75">
      <c r="A14388" s="12"/>
      <c r="D14388" s="12"/>
      <c r="E14388" s="12"/>
      <c r="H14388" s="11" t="str">
        <f ca="1">IFERROR(__xludf.DUMMYFUNCTION("IFERROR(SUBSTITUTE(SUBSTITUTE(REGEXEXTRACT(A14388, ""[^-]+- [^-]+- [^-]+ - (.+?)\.jpg""), "".jpg"", """"), ""-"", "", ""), """")"),"")</f>
        <v/>
      </c>
      <c r="L14388" s="12"/>
      <c r="M14388" s="13"/>
      <c r="N14388" s="2"/>
      <c r="O14388" s="20"/>
      <c r="P14388" s="42"/>
      <c r="R14388" s="23"/>
    </row>
    <row r="14389" spans="1:18" ht="12.75">
      <c r="A14389" s="12"/>
      <c r="D14389" s="12"/>
      <c r="E14389" s="12"/>
      <c r="H14389" s="11" t="str">
        <f ca="1">IFERROR(__xludf.DUMMYFUNCTION("IFERROR(SUBSTITUTE(SUBSTITUTE(REGEXEXTRACT(A14389, ""[^-]+- [^-]+- [^-]+ - (.+?)\.jpg""), "".jpg"", """"), ""-"", "", ""), """")"),"")</f>
        <v/>
      </c>
      <c r="L14389" s="12"/>
      <c r="M14389" s="13"/>
      <c r="N14389" s="2"/>
      <c r="O14389" s="20"/>
      <c r="P14389" s="42"/>
      <c r="R14389" s="23"/>
    </row>
    <row r="14390" spans="1:18" ht="12.75">
      <c r="A14390" s="12"/>
      <c r="D14390" s="12"/>
      <c r="E14390" s="12"/>
      <c r="H14390" s="11" t="str">
        <f ca="1">IFERROR(__xludf.DUMMYFUNCTION("IFERROR(SUBSTITUTE(SUBSTITUTE(REGEXEXTRACT(A14390, ""[^-]+- [^-]+- [^-]+ - (.+?)\.jpg""), "".jpg"", """"), ""-"", "", ""), """")"),"")</f>
        <v/>
      </c>
      <c r="L14390" s="12"/>
      <c r="M14390" s="13"/>
      <c r="N14390" s="2"/>
      <c r="O14390" s="20"/>
      <c r="P14390" s="42"/>
      <c r="R14390" s="23"/>
    </row>
    <row r="14391" spans="1:18" ht="12.75">
      <c r="A14391" s="12"/>
      <c r="D14391" s="12"/>
      <c r="E14391" s="12"/>
      <c r="H14391" s="11" t="str">
        <f ca="1">IFERROR(__xludf.DUMMYFUNCTION("IFERROR(SUBSTITUTE(SUBSTITUTE(REGEXEXTRACT(A14391, ""[^-]+- [^-]+- [^-]+ - (.+?)\.jpg""), "".jpg"", """"), ""-"", "", ""), """")"),"")</f>
        <v/>
      </c>
      <c r="L14391" s="12"/>
      <c r="M14391" s="13"/>
      <c r="N14391" s="2"/>
      <c r="O14391" s="20"/>
      <c r="P14391" s="42"/>
      <c r="R14391" s="23"/>
    </row>
    <row r="14392" spans="1:18" ht="12.75">
      <c r="A14392" s="12"/>
      <c r="D14392" s="12"/>
      <c r="E14392" s="12"/>
      <c r="H14392" s="11" t="str">
        <f ca="1">IFERROR(__xludf.DUMMYFUNCTION("IFERROR(SUBSTITUTE(SUBSTITUTE(REGEXEXTRACT(A14392, ""[^-]+- [^-]+- [^-]+ - (.+?)\.jpg""), "".jpg"", """"), ""-"", "", ""), """")"),"")</f>
        <v/>
      </c>
      <c r="L14392" s="12"/>
      <c r="M14392" s="13"/>
      <c r="N14392" s="2"/>
      <c r="O14392" s="20"/>
      <c r="P14392" s="42"/>
      <c r="R14392" s="23"/>
    </row>
    <row r="14393" spans="1:18" ht="12.75">
      <c r="A14393" s="12"/>
      <c r="D14393" s="12"/>
      <c r="E14393" s="12"/>
      <c r="H14393" s="11" t="str">
        <f ca="1">IFERROR(__xludf.DUMMYFUNCTION("IFERROR(SUBSTITUTE(SUBSTITUTE(REGEXEXTRACT(A14393, ""[^-]+- [^-]+- [^-]+ - (.+?)\.jpg""), "".jpg"", """"), ""-"", "", ""), """")"),"")</f>
        <v/>
      </c>
      <c r="L14393" s="12"/>
      <c r="M14393" s="13"/>
      <c r="N14393" s="2"/>
      <c r="O14393" s="20"/>
      <c r="P14393" s="42"/>
      <c r="R14393" s="23"/>
    </row>
    <row r="14394" spans="1:18" ht="12.75">
      <c r="A14394" s="12"/>
      <c r="D14394" s="12"/>
      <c r="E14394" s="12"/>
      <c r="H14394" s="11" t="str">
        <f ca="1">IFERROR(__xludf.DUMMYFUNCTION("IFERROR(SUBSTITUTE(SUBSTITUTE(REGEXEXTRACT(A14394, ""[^-]+- [^-]+- [^-]+ - (.+?)\.jpg""), "".jpg"", """"), ""-"", "", ""), """")"),"")</f>
        <v/>
      </c>
      <c r="L14394" s="12"/>
      <c r="M14394" s="13"/>
      <c r="N14394" s="2"/>
      <c r="O14394" s="20"/>
      <c r="P14394" s="42"/>
      <c r="R14394" s="23"/>
    </row>
    <row r="14395" spans="1:18" ht="12.75">
      <c r="A14395" s="12"/>
      <c r="D14395" s="12"/>
      <c r="E14395" s="12"/>
      <c r="H14395" s="11" t="str">
        <f ca="1">IFERROR(__xludf.DUMMYFUNCTION("IFERROR(SUBSTITUTE(SUBSTITUTE(REGEXEXTRACT(A14395, ""[^-]+- [^-]+- [^-]+ - (.+?)\.jpg""), "".jpg"", """"), ""-"", "", ""), """")"),"")</f>
        <v/>
      </c>
      <c r="L14395" s="12"/>
      <c r="M14395" s="13"/>
      <c r="N14395" s="2"/>
      <c r="O14395" s="20"/>
      <c r="P14395" s="42"/>
      <c r="R14395" s="23"/>
    </row>
    <row r="14396" spans="1:18" ht="12.75">
      <c r="A14396" s="12"/>
      <c r="D14396" s="12"/>
      <c r="E14396" s="12"/>
      <c r="H14396" s="11" t="str">
        <f ca="1">IFERROR(__xludf.DUMMYFUNCTION("IFERROR(SUBSTITUTE(SUBSTITUTE(REGEXEXTRACT(A14396, ""[^-]+- [^-]+- [^-]+ - (.+?)\.jpg""), "".jpg"", """"), ""-"", "", ""), """")"),"")</f>
        <v/>
      </c>
      <c r="L14396" s="12"/>
      <c r="M14396" s="13"/>
      <c r="N14396" s="2"/>
      <c r="O14396" s="20"/>
      <c r="P14396" s="42"/>
      <c r="R14396" s="23"/>
    </row>
    <row r="14397" spans="1:18" ht="12.75">
      <c r="A14397" s="12"/>
      <c r="D14397" s="12"/>
      <c r="E14397" s="12"/>
      <c r="H14397" s="11" t="str">
        <f ca="1">IFERROR(__xludf.DUMMYFUNCTION("IFERROR(SUBSTITUTE(SUBSTITUTE(REGEXEXTRACT(A14397, ""[^-]+- [^-]+- [^-]+ - (.+?)\.jpg""), "".jpg"", """"), ""-"", "", ""), """")"),"")</f>
        <v/>
      </c>
      <c r="L14397" s="12"/>
      <c r="M14397" s="13"/>
      <c r="N14397" s="2"/>
      <c r="O14397" s="20"/>
      <c r="P14397" s="42"/>
      <c r="R14397" s="23"/>
    </row>
    <row r="14398" spans="1:18" ht="12.75">
      <c r="A14398" s="12"/>
      <c r="D14398" s="12"/>
      <c r="E14398" s="12"/>
      <c r="H14398" s="11" t="str">
        <f ca="1">IFERROR(__xludf.DUMMYFUNCTION("IFERROR(SUBSTITUTE(SUBSTITUTE(REGEXEXTRACT(A14398, ""[^-]+- [^-]+- [^-]+ - (.+?)\.jpg""), "".jpg"", """"), ""-"", "", ""), """")"),"")</f>
        <v/>
      </c>
      <c r="L14398" s="12"/>
      <c r="M14398" s="13"/>
      <c r="N14398" s="2"/>
      <c r="O14398" s="20"/>
      <c r="P14398" s="42"/>
      <c r="R14398" s="23"/>
    </row>
    <row r="14399" spans="1:18" ht="12.75">
      <c r="A14399" s="12"/>
      <c r="D14399" s="12"/>
      <c r="E14399" s="12"/>
      <c r="H14399" s="11" t="str">
        <f ca="1">IFERROR(__xludf.DUMMYFUNCTION("IFERROR(SUBSTITUTE(SUBSTITUTE(REGEXEXTRACT(A14399, ""[^-]+- [^-]+- [^-]+ - (.+?)\.jpg""), "".jpg"", """"), ""-"", "", ""), """")"),"")</f>
        <v/>
      </c>
      <c r="L14399" s="12"/>
      <c r="M14399" s="13"/>
      <c r="N14399" s="2"/>
      <c r="O14399" s="20"/>
      <c r="P14399" s="42"/>
      <c r="R14399" s="23"/>
    </row>
    <row r="14400" spans="1:18" ht="12.75">
      <c r="A14400" s="12"/>
      <c r="D14400" s="12"/>
      <c r="E14400" s="12"/>
      <c r="H14400" s="11" t="str">
        <f ca="1">IFERROR(__xludf.DUMMYFUNCTION("IFERROR(SUBSTITUTE(SUBSTITUTE(REGEXEXTRACT(A14400, ""[^-]+- [^-]+- [^-]+ - (.+?)\.jpg""), "".jpg"", """"), ""-"", "", ""), """")"),"")</f>
        <v/>
      </c>
      <c r="L14400" s="12"/>
      <c r="M14400" s="13"/>
      <c r="N14400" s="2"/>
      <c r="O14400" s="20"/>
      <c r="P14400" s="42"/>
      <c r="R14400" s="23"/>
    </row>
    <row r="14401" spans="1:18" ht="12.75">
      <c r="A14401" s="12"/>
      <c r="D14401" s="12"/>
      <c r="E14401" s="12"/>
      <c r="H14401" s="11" t="str">
        <f ca="1">IFERROR(__xludf.DUMMYFUNCTION("IFERROR(SUBSTITUTE(SUBSTITUTE(REGEXEXTRACT(A14401, ""[^-]+- [^-]+- [^-]+ - (.+?)\.jpg""), "".jpg"", """"), ""-"", "", ""), """")"),"")</f>
        <v/>
      </c>
      <c r="L14401" s="12"/>
      <c r="M14401" s="13"/>
      <c r="N14401" s="2"/>
      <c r="O14401" s="20"/>
      <c r="P14401" s="42"/>
      <c r="R14401" s="23"/>
    </row>
    <row r="14402" spans="1:18" ht="12.75">
      <c r="A14402" s="12"/>
      <c r="D14402" s="12"/>
      <c r="E14402" s="12"/>
      <c r="H14402" s="11" t="str">
        <f ca="1">IFERROR(__xludf.DUMMYFUNCTION("IFERROR(SUBSTITUTE(SUBSTITUTE(REGEXEXTRACT(A14402, ""[^-]+- [^-]+- [^-]+ - (.+?)\.jpg""), "".jpg"", """"), ""-"", "", ""), """")"),"")</f>
        <v/>
      </c>
      <c r="L14402" s="12"/>
      <c r="M14402" s="13"/>
      <c r="N14402" s="2"/>
      <c r="O14402" s="20"/>
      <c r="P14402" s="42"/>
      <c r="R14402" s="23"/>
    </row>
    <row r="14403" spans="1:18" ht="12.75">
      <c r="A14403" s="12"/>
      <c r="D14403" s="12"/>
      <c r="E14403" s="12"/>
      <c r="H14403" s="11" t="str">
        <f ca="1">IFERROR(__xludf.DUMMYFUNCTION("IFERROR(SUBSTITUTE(SUBSTITUTE(REGEXEXTRACT(A14403, ""[^-]+- [^-]+- [^-]+ - (.+?)\.jpg""), "".jpg"", """"), ""-"", "", ""), """")"),"")</f>
        <v/>
      </c>
      <c r="L14403" s="12"/>
      <c r="M14403" s="13"/>
      <c r="N14403" s="2"/>
      <c r="O14403" s="20"/>
      <c r="P14403" s="42"/>
      <c r="R14403" s="23"/>
    </row>
    <row r="14404" spans="1:18" ht="12.75">
      <c r="A14404" s="12"/>
      <c r="D14404" s="12"/>
      <c r="E14404" s="12"/>
      <c r="H14404" s="11" t="str">
        <f ca="1">IFERROR(__xludf.DUMMYFUNCTION("IFERROR(SUBSTITUTE(SUBSTITUTE(REGEXEXTRACT(A14404, ""[^-]+- [^-]+- [^-]+ - (.+?)\.jpg""), "".jpg"", """"), ""-"", "", ""), """")"),"")</f>
        <v/>
      </c>
      <c r="L14404" s="12"/>
      <c r="M14404" s="13"/>
      <c r="N14404" s="2"/>
      <c r="O14404" s="20"/>
      <c r="P14404" s="42"/>
      <c r="R14404" s="23"/>
    </row>
    <row r="14405" spans="1:18" ht="12.75">
      <c r="A14405" s="12"/>
      <c r="D14405" s="12"/>
      <c r="E14405" s="12"/>
      <c r="H14405" s="11" t="str">
        <f ca="1">IFERROR(__xludf.DUMMYFUNCTION("IFERROR(SUBSTITUTE(SUBSTITUTE(REGEXEXTRACT(A14405, ""[^-]+- [^-]+- [^-]+ - (.+?)\.jpg""), "".jpg"", """"), ""-"", "", ""), """")"),"")</f>
        <v/>
      </c>
      <c r="L14405" s="12"/>
      <c r="M14405" s="13"/>
      <c r="N14405" s="2"/>
      <c r="O14405" s="20"/>
      <c r="P14405" s="42"/>
      <c r="R14405" s="23"/>
    </row>
    <row r="14406" spans="1:18" ht="12.75">
      <c r="A14406" s="12"/>
      <c r="D14406" s="12"/>
      <c r="E14406" s="12"/>
      <c r="H14406" s="11" t="str">
        <f ca="1">IFERROR(__xludf.DUMMYFUNCTION("IFERROR(SUBSTITUTE(SUBSTITUTE(REGEXEXTRACT(A14406, ""[^-]+- [^-]+- [^-]+ - (.+?)\.jpg""), "".jpg"", """"), ""-"", "", ""), """")"),"")</f>
        <v/>
      </c>
      <c r="L14406" s="12"/>
      <c r="M14406" s="13"/>
      <c r="N14406" s="2"/>
      <c r="O14406" s="20"/>
      <c r="P14406" s="42"/>
      <c r="R14406" s="23"/>
    </row>
    <row r="14407" spans="1:18" ht="12.75">
      <c r="A14407" s="12"/>
      <c r="D14407" s="12"/>
      <c r="E14407" s="12"/>
      <c r="H14407" s="11" t="str">
        <f ca="1">IFERROR(__xludf.DUMMYFUNCTION("IFERROR(SUBSTITUTE(SUBSTITUTE(REGEXEXTRACT(A14407, ""[^-]+- [^-]+- [^-]+ - (.+?)\.jpg""), "".jpg"", """"), ""-"", "", ""), """")"),"")</f>
        <v/>
      </c>
      <c r="L14407" s="12"/>
      <c r="M14407" s="13"/>
      <c r="N14407" s="2"/>
      <c r="O14407" s="20"/>
      <c r="P14407" s="42"/>
      <c r="R14407" s="23"/>
    </row>
    <row r="14408" spans="1:18" ht="12.75">
      <c r="A14408" s="12"/>
      <c r="D14408" s="12"/>
      <c r="E14408" s="12"/>
      <c r="H14408" s="11" t="str">
        <f ca="1">IFERROR(__xludf.DUMMYFUNCTION("IFERROR(SUBSTITUTE(SUBSTITUTE(REGEXEXTRACT(A14408, ""[^-]+- [^-]+- [^-]+ - (.+?)\.jpg""), "".jpg"", """"), ""-"", "", ""), """")"),"")</f>
        <v/>
      </c>
      <c r="L14408" s="12"/>
      <c r="M14408" s="13"/>
      <c r="N14408" s="2"/>
      <c r="O14408" s="20"/>
      <c r="P14408" s="42"/>
      <c r="R14408" s="23"/>
    </row>
    <row r="14409" spans="1:18" ht="12.75">
      <c r="A14409" s="12"/>
      <c r="D14409" s="12"/>
      <c r="E14409" s="12"/>
      <c r="H14409" s="11" t="str">
        <f ca="1">IFERROR(__xludf.DUMMYFUNCTION("IFERROR(SUBSTITUTE(SUBSTITUTE(REGEXEXTRACT(A14409, ""[^-]+- [^-]+- [^-]+ - (.+?)\.jpg""), "".jpg"", """"), ""-"", "", ""), """")"),"")</f>
        <v/>
      </c>
      <c r="L14409" s="12"/>
      <c r="M14409" s="13"/>
      <c r="N14409" s="2"/>
      <c r="O14409" s="20"/>
      <c r="P14409" s="42"/>
      <c r="R14409" s="23"/>
    </row>
    <row r="14410" spans="1:18" ht="12.75">
      <c r="A14410" s="12"/>
      <c r="D14410" s="12"/>
      <c r="E14410" s="12"/>
      <c r="H14410" s="11" t="str">
        <f ca="1">IFERROR(__xludf.DUMMYFUNCTION("IFERROR(SUBSTITUTE(SUBSTITUTE(REGEXEXTRACT(A14410, ""[^-]+- [^-]+- [^-]+ - (.+?)\.jpg""), "".jpg"", """"), ""-"", "", ""), """")"),"")</f>
        <v/>
      </c>
      <c r="L14410" s="12"/>
      <c r="M14410" s="13"/>
      <c r="N14410" s="2"/>
      <c r="O14410" s="20"/>
      <c r="P14410" s="42"/>
      <c r="R14410" s="23"/>
    </row>
    <row r="14411" spans="1:18" ht="12.75">
      <c r="A14411" s="12"/>
      <c r="D14411" s="12"/>
      <c r="E14411" s="12"/>
      <c r="H14411" s="11" t="str">
        <f ca="1">IFERROR(__xludf.DUMMYFUNCTION("IFERROR(SUBSTITUTE(SUBSTITUTE(REGEXEXTRACT(A14411, ""[^-]+- [^-]+- [^-]+ - (.+?)\.jpg""), "".jpg"", """"), ""-"", "", ""), """")"),"")</f>
        <v/>
      </c>
      <c r="L14411" s="12"/>
      <c r="M14411" s="13"/>
      <c r="N14411" s="2"/>
      <c r="O14411" s="20"/>
      <c r="P14411" s="42"/>
      <c r="R14411" s="23"/>
    </row>
    <row r="14412" spans="1:18" ht="12.75">
      <c r="A14412" s="12"/>
      <c r="D14412" s="12"/>
      <c r="E14412" s="12"/>
      <c r="H14412" s="11" t="str">
        <f ca="1">IFERROR(__xludf.DUMMYFUNCTION("IFERROR(SUBSTITUTE(SUBSTITUTE(REGEXEXTRACT(A14412, ""[^-]+- [^-]+- [^-]+ - (.+?)\.jpg""), "".jpg"", """"), ""-"", "", ""), """")"),"")</f>
        <v/>
      </c>
      <c r="L14412" s="12"/>
      <c r="M14412" s="13"/>
      <c r="N14412" s="2"/>
      <c r="O14412" s="20"/>
      <c r="P14412" s="42"/>
      <c r="R14412" s="23"/>
    </row>
    <row r="14413" spans="1:18" ht="12.75">
      <c r="A14413" s="12"/>
      <c r="D14413" s="12"/>
      <c r="E14413" s="12"/>
      <c r="H14413" s="11" t="str">
        <f ca="1">IFERROR(__xludf.DUMMYFUNCTION("IFERROR(SUBSTITUTE(SUBSTITUTE(REGEXEXTRACT(A14413, ""[^-]+- [^-]+- [^-]+ - (.+?)\.jpg""), "".jpg"", """"), ""-"", "", ""), """")"),"")</f>
        <v/>
      </c>
      <c r="L14413" s="12"/>
      <c r="M14413" s="13"/>
      <c r="N14413" s="2"/>
      <c r="O14413" s="20"/>
      <c r="P14413" s="42"/>
      <c r="R14413" s="23"/>
    </row>
    <row r="14414" spans="1:18" ht="12.75">
      <c r="A14414" s="12"/>
      <c r="D14414" s="12"/>
      <c r="E14414" s="12"/>
      <c r="H14414" s="11" t="str">
        <f ca="1">IFERROR(__xludf.DUMMYFUNCTION("IFERROR(SUBSTITUTE(SUBSTITUTE(REGEXEXTRACT(A14414, ""[^-]+- [^-]+- [^-]+ - (.+?)\.jpg""), "".jpg"", """"), ""-"", "", ""), """")"),"")</f>
        <v/>
      </c>
      <c r="L14414" s="12"/>
      <c r="M14414" s="13"/>
      <c r="N14414" s="2"/>
      <c r="O14414" s="20"/>
      <c r="P14414" s="42"/>
      <c r="R14414" s="23"/>
    </row>
    <row r="14415" spans="1:18" ht="12.75">
      <c r="A14415" s="12"/>
      <c r="D14415" s="12"/>
      <c r="E14415" s="12"/>
      <c r="H14415" s="11" t="str">
        <f ca="1">IFERROR(__xludf.DUMMYFUNCTION("IFERROR(SUBSTITUTE(SUBSTITUTE(REGEXEXTRACT(A14415, ""[^-]+- [^-]+- [^-]+ - (.+?)\.jpg""), "".jpg"", """"), ""-"", "", ""), """")"),"")</f>
        <v/>
      </c>
      <c r="L14415" s="12"/>
      <c r="M14415" s="13"/>
      <c r="N14415" s="2"/>
      <c r="O14415" s="20"/>
      <c r="P14415" s="42"/>
      <c r="R14415" s="23"/>
    </row>
    <row r="14416" spans="1:18" ht="12.75">
      <c r="A14416" s="12"/>
      <c r="D14416" s="12"/>
      <c r="E14416" s="12"/>
      <c r="H14416" s="11" t="str">
        <f ca="1">IFERROR(__xludf.DUMMYFUNCTION("IFERROR(SUBSTITUTE(SUBSTITUTE(REGEXEXTRACT(A14416, ""[^-]+- [^-]+- [^-]+ - (.+?)\.jpg""), "".jpg"", """"), ""-"", "", ""), """")"),"")</f>
        <v/>
      </c>
      <c r="L14416" s="12"/>
      <c r="M14416" s="13"/>
      <c r="N14416" s="2"/>
      <c r="O14416" s="20"/>
      <c r="P14416" s="42"/>
      <c r="R14416" s="23"/>
    </row>
    <row r="14417" spans="1:18" ht="12.75">
      <c r="A14417" s="12"/>
      <c r="D14417" s="12"/>
      <c r="E14417" s="12"/>
      <c r="H14417" s="11" t="str">
        <f ca="1">IFERROR(__xludf.DUMMYFUNCTION("IFERROR(SUBSTITUTE(SUBSTITUTE(REGEXEXTRACT(A14417, ""[^-]+- [^-]+- [^-]+ - (.+?)\.jpg""), "".jpg"", """"), ""-"", "", ""), """")"),"")</f>
        <v/>
      </c>
      <c r="L14417" s="12"/>
      <c r="M14417" s="13"/>
      <c r="N14417" s="2"/>
      <c r="O14417" s="20"/>
      <c r="P14417" s="42"/>
      <c r="R14417" s="23"/>
    </row>
    <row r="14418" spans="1:18" ht="12.75">
      <c r="A14418" s="12"/>
      <c r="D14418" s="12"/>
      <c r="E14418" s="12"/>
      <c r="H14418" s="11" t="str">
        <f ca="1">IFERROR(__xludf.DUMMYFUNCTION("IFERROR(SUBSTITUTE(SUBSTITUTE(REGEXEXTRACT(A14418, ""[^-]+- [^-]+- [^-]+ - (.+?)\.jpg""), "".jpg"", """"), ""-"", "", ""), """")"),"")</f>
        <v/>
      </c>
      <c r="L14418" s="12"/>
      <c r="M14418" s="13"/>
      <c r="N14418" s="2"/>
      <c r="O14418" s="20"/>
      <c r="P14418" s="42"/>
      <c r="R14418" s="23"/>
    </row>
    <row r="14419" spans="1:18" ht="12.75">
      <c r="A14419" s="12"/>
      <c r="D14419" s="12"/>
      <c r="E14419" s="12"/>
      <c r="H14419" s="11" t="str">
        <f ca="1">IFERROR(__xludf.DUMMYFUNCTION("IFERROR(SUBSTITUTE(SUBSTITUTE(REGEXEXTRACT(A14419, ""[^-]+- [^-]+- [^-]+ - (.+?)\.jpg""), "".jpg"", """"), ""-"", "", ""), """")"),"")</f>
        <v/>
      </c>
      <c r="L14419" s="12"/>
      <c r="M14419" s="13"/>
      <c r="N14419" s="2"/>
      <c r="O14419" s="20"/>
      <c r="P14419" s="42"/>
      <c r="R14419" s="23"/>
    </row>
    <row r="14420" spans="1:18" ht="12.75">
      <c r="A14420" s="12"/>
      <c r="D14420" s="12"/>
      <c r="E14420" s="12"/>
      <c r="H14420" s="11" t="str">
        <f ca="1">IFERROR(__xludf.DUMMYFUNCTION("IFERROR(SUBSTITUTE(SUBSTITUTE(REGEXEXTRACT(A14420, ""[^-]+- [^-]+- [^-]+ - (.+?)\.jpg""), "".jpg"", """"), ""-"", "", ""), """")"),"")</f>
        <v/>
      </c>
      <c r="L14420" s="12"/>
      <c r="M14420" s="13"/>
      <c r="N14420" s="2"/>
      <c r="O14420" s="20"/>
      <c r="P14420" s="42"/>
      <c r="R14420" s="23"/>
    </row>
    <row r="14421" spans="1:18" ht="12.75">
      <c r="A14421" s="12"/>
      <c r="D14421" s="12"/>
      <c r="E14421" s="12"/>
      <c r="H14421" s="11" t="str">
        <f ca="1">IFERROR(__xludf.DUMMYFUNCTION("IFERROR(SUBSTITUTE(SUBSTITUTE(REGEXEXTRACT(A14421, ""[^-]+- [^-]+- [^-]+ - (.+?)\.jpg""), "".jpg"", """"), ""-"", "", ""), """")"),"")</f>
        <v/>
      </c>
      <c r="L14421" s="12"/>
      <c r="M14421" s="13"/>
      <c r="N14421" s="2"/>
      <c r="O14421" s="20"/>
      <c r="P14421" s="42"/>
      <c r="R14421" s="23"/>
    </row>
    <row r="14422" spans="1:18" ht="12.75">
      <c r="A14422" s="12"/>
      <c r="D14422" s="12"/>
      <c r="E14422" s="12"/>
      <c r="H14422" s="11" t="str">
        <f ca="1">IFERROR(__xludf.DUMMYFUNCTION("IFERROR(SUBSTITUTE(SUBSTITUTE(REGEXEXTRACT(A14422, ""[^-]+- [^-]+- [^-]+ - (.+?)\.jpg""), "".jpg"", """"), ""-"", "", ""), """")"),"")</f>
        <v/>
      </c>
      <c r="L14422" s="12"/>
      <c r="M14422" s="13"/>
      <c r="N14422" s="2"/>
      <c r="O14422" s="20"/>
      <c r="P14422" s="42"/>
      <c r="R14422" s="23"/>
    </row>
    <row r="14423" spans="1:18" ht="12.75">
      <c r="A14423" s="12"/>
      <c r="D14423" s="12"/>
      <c r="E14423" s="12"/>
      <c r="H14423" s="11" t="str">
        <f ca="1">IFERROR(__xludf.DUMMYFUNCTION("IFERROR(SUBSTITUTE(SUBSTITUTE(REGEXEXTRACT(A14423, ""[^-]+- [^-]+- [^-]+ - (.+?)\.jpg""), "".jpg"", """"), ""-"", "", ""), """")"),"")</f>
        <v/>
      </c>
      <c r="L14423" s="12"/>
      <c r="M14423" s="13"/>
      <c r="N14423" s="2"/>
      <c r="O14423" s="20"/>
      <c r="P14423" s="42"/>
      <c r="R14423" s="23"/>
    </row>
    <row r="14424" spans="1:18" ht="12.75">
      <c r="A14424" s="12"/>
      <c r="D14424" s="12"/>
      <c r="E14424" s="12"/>
      <c r="H14424" s="11" t="str">
        <f ca="1">IFERROR(__xludf.DUMMYFUNCTION("IFERROR(SUBSTITUTE(SUBSTITUTE(REGEXEXTRACT(A14424, ""[^-]+- [^-]+- [^-]+ - (.+?)\.jpg""), "".jpg"", """"), ""-"", "", ""), """")"),"")</f>
        <v/>
      </c>
      <c r="L14424" s="12"/>
      <c r="M14424" s="13"/>
      <c r="N14424" s="2"/>
      <c r="O14424" s="20"/>
      <c r="P14424" s="42"/>
      <c r="R14424" s="23"/>
    </row>
    <row r="14425" spans="1:18" ht="12.75">
      <c r="A14425" s="12"/>
      <c r="D14425" s="12"/>
      <c r="E14425" s="12"/>
      <c r="H14425" s="11" t="str">
        <f ca="1">IFERROR(__xludf.DUMMYFUNCTION("IFERROR(SUBSTITUTE(SUBSTITUTE(REGEXEXTRACT(A14425, ""[^-]+- [^-]+- [^-]+ - (.+?)\.jpg""), "".jpg"", """"), ""-"", "", ""), """")"),"")</f>
        <v/>
      </c>
      <c r="L14425" s="12"/>
      <c r="M14425" s="13"/>
      <c r="N14425" s="2"/>
      <c r="O14425" s="20"/>
      <c r="P14425" s="42"/>
      <c r="R14425" s="23"/>
    </row>
    <row r="14426" spans="1:18" ht="12.75">
      <c r="A14426" s="12"/>
      <c r="D14426" s="12"/>
      <c r="E14426" s="12"/>
      <c r="H14426" s="11" t="str">
        <f ca="1">IFERROR(__xludf.DUMMYFUNCTION("IFERROR(SUBSTITUTE(SUBSTITUTE(REGEXEXTRACT(A14426, ""[^-]+- [^-]+- [^-]+ - (.+?)\.jpg""), "".jpg"", """"), ""-"", "", ""), """")"),"")</f>
        <v/>
      </c>
      <c r="L14426" s="12"/>
      <c r="M14426" s="13"/>
      <c r="N14426" s="2"/>
      <c r="O14426" s="20"/>
      <c r="P14426" s="42"/>
      <c r="R14426" s="23"/>
    </row>
    <row r="14427" spans="1:18" ht="12.75">
      <c r="A14427" s="12"/>
      <c r="D14427" s="12"/>
      <c r="E14427" s="12"/>
      <c r="H14427" s="11" t="str">
        <f ca="1">IFERROR(__xludf.DUMMYFUNCTION("IFERROR(SUBSTITUTE(SUBSTITUTE(REGEXEXTRACT(A14427, ""[^-]+- [^-]+- [^-]+ - (.+?)\.jpg""), "".jpg"", """"), ""-"", "", ""), """")"),"")</f>
        <v/>
      </c>
      <c r="L14427" s="12"/>
      <c r="M14427" s="13"/>
      <c r="N14427" s="2"/>
      <c r="O14427" s="20"/>
      <c r="P14427" s="42"/>
      <c r="R14427" s="23"/>
    </row>
    <row r="14428" spans="1:18" ht="12.75">
      <c r="A14428" s="12"/>
      <c r="D14428" s="12"/>
      <c r="E14428" s="12"/>
      <c r="H14428" s="11" t="str">
        <f ca="1">IFERROR(__xludf.DUMMYFUNCTION("IFERROR(SUBSTITUTE(SUBSTITUTE(REGEXEXTRACT(A14428, ""[^-]+- [^-]+- [^-]+ - (.+?)\.jpg""), "".jpg"", """"), ""-"", "", ""), """")"),"")</f>
        <v/>
      </c>
      <c r="L14428" s="12"/>
      <c r="M14428" s="13"/>
      <c r="N14428" s="2"/>
      <c r="O14428" s="20"/>
      <c r="P14428" s="42"/>
      <c r="R14428" s="23"/>
    </row>
    <row r="14429" spans="1:18" ht="12.75">
      <c r="A14429" s="12"/>
      <c r="D14429" s="12"/>
      <c r="E14429" s="12"/>
      <c r="H14429" s="11" t="str">
        <f ca="1">IFERROR(__xludf.DUMMYFUNCTION("IFERROR(SUBSTITUTE(SUBSTITUTE(REGEXEXTRACT(A14429, ""[^-]+- [^-]+- [^-]+ - (.+?)\.jpg""), "".jpg"", """"), ""-"", "", ""), """")"),"")</f>
        <v/>
      </c>
      <c r="L14429" s="12"/>
      <c r="M14429" s="13"/>
      <c r="N14429" s="2"/>
      <c r="O14429" s="20"/>
      <c r="P14429" s="42"/>
      <c r="R14429" s="23"/>
    </row>
    <row r="14430" spans="1:18" ht="12.75">
      <c r="A14430" s="12"/>
      <c r="D14430" s="12"/>
      <c r="E14430" s="12"/>
      <c r="H14430" s="11" t="str">
        <f ca="1">IFERROR(__xludf.DUMMYFUNCTION("IFERROR(SUBSTITUTE(SUBSTITUTE(REGEXEXTRACT(A14430, ""[^-]+- [^-]+- [^-]+ - (.+?)\.jpg""), "".jpg"", """"), ""-"", "", ""), """")"),"")</f>
        <v/>
      </c>
      <c r="L14430" s="12"/>
      <c r="M14430" s="13"/>
      <c r="N14430" s="2"/>
      <c r="O14430" s="20"/>
      <c r="P14430" s="42"/>
      <c r="R14430" s="23"/>
    </row>
    <row r="14431" spans="1:18" ht="12.75">
      <c r="A14431" s="12"/>
      <c r="D14431" s="12"/>
      <c r="E14431" s="12"/>
      <c r="H14431" s="11" t="str">
        <f ca="1">IFERROR(__xludf.DUMMYFUNCTION("IFERROR(SUBSTITUTE(SUBSTITUTE(REGEXEXTRACT(A14431, ""[^-]+- [^-]+- [^-]+ - (.+?)\.jpg""), "".jpg"", """"), ""-"", "", ""), """")"),"")</f>
        <v/>
      </c>
      <c r="L14431" s="12"/>
      <c r="M14431" s="13"/>
      <c r="N14431" s="2"/>
      <c r="O14431" s="20"/>
      <c r="P14431" s="42"/>
      <c r="R14431" s="23"/>
    </row>
    <row r="14432" spans="1:18" ht="12.75">
      <c r="A14432" s="12"/>
      <c r="D14432" s="12"/>
      <c r="E14432" s="12"/>
      <c r="H14432" s="11" t="str">
        <f ca="1">IFERROR(__xludf.DUMMYFUNCTION("IFERROR(SUBSTITUTE(SUBSTITUTE(REGEXEXTRACT(A14432, ""[^-]+- [^-]+- [^-]+ - (.+?)\.jpg""), "".jpg"", """"), ""-"", "", ""), """")"),"")</f>
        <v/>
      </c>
      <c r="L14432" s="12"/>
      <c r="M14432" s="13"/>
      <c r="N14432" s="2"/>
      <c r="O14432" s="20"/>
      <c r="P14432" s="42"/>
      <c r="R14432" s="23"/>
    </row>
    <row r="14433" spans="1:18" ht="12.75">
      <c r="A14433" s="12"/>
      <c r="D14433" s="12"/>
      <c r="E14433" s="12"/>
      <c r="H14433" s="11" t="str">
        <f ca="1">IFERROR(__xludf.DUMMYFUNCTION("IFERROR(SUBSTITUTE(SUBSTITUTE(REGEXEXTRACT(A14433, ""[^-]+- [^-]+- [^-]+ - (.+?)\.jpg""), "".jpg"", """"), ""-"", "", ""), """")"),"")</f>
        <v/>
      </c>
      <c r="L14433" s="12"/>
      <c r="M14433" s="13"/>
      <c r="N14433" s="2"/>
      <c r="O14433" s="20"/>
      <c r="P14433" s="42"/>
      <c r="R14433" s="23"/>
    </row>
    <row r="14434" spans="1:18" ht="12.75">
      <c r="A14434" s="12"/>
      <c r="D14434" s="12"/>
      <c r="E14434" s="12"/>
      <c r="H14434" s="11" t="str">
        <f ca="1">IFERROR(__xludf.DUMMYFUNCTION("IFERROR(SUBSTITUTE(SUBSTITUTE(REGEXEXTRACT(A14434, ""[^-]+- [^-]+- [^-]+ - (.+?)\.jpg""), "".jpg"", """"), ""-"", "", ""), """")"),"")</f>
        <v/>
      </c>
      <c r="L14434" s="12"/>
      <c r="M14434" s="13"/>
      <c r="N14434" s="2"/>
      <c r="O14434" s="20"/>
      <c r="P14434" s="42"/>
      <c r="R14434" s="23"/>
    </row>
    <row r="14435" spans="1:18" ht="12.75">
      <c r="A14435" s="12"/>
      <c r="D14435" s="12"/>
      <c r="E14435" s="12"/>
      <c r="H14435" s="11" t="str">
        <f ca="1">IFERROR(__xludf.DUMMYFUNCTION("IFERROR(SUBSTITUTE(SUBSTITUTE(REGEXEXTRACT(A14435, ""[^-]+- [^-]+- [^-]+ - (.+?)\.jpg""), "".jpg"", """"), ""-"", "", ""), """")"),"")</f>
        <v/>
      </c>
      <c r="L14435" s="12"/>
      <c r="M14435" s="13"/>
      <c r="N14435" s="2"/>
      <c r="O14435" s="20"/>
      <c r="P14435" s="42"/>
      <c r="R14435" s="23"/>
    </row>
    <row r="14436" spans="1:18" ht="12.75">
      <c r="A14436" s="12"/>
      <c r="D14436" s="12"/>
      <c r="E14436" s="12"/>
      <c r="H14436" s="11" t="str">
        <f ca="1">IFERROR(__xludf.DUMMYFUNCTION("IFERROR(SUBSTITUTE(SUBSTITUTE(REGEXEXTRACT(A14436, ""[^-]+- [^-]+- [^-]+ - (.+?)\.jpg""), "".jpg"", """"), ""-"", "", ""), """")"),"")</f>
        <v/>
      </c>
      <c r="L14436" s="12"/>
      <c r="M14436" s="13"/>
      <c r="N14436" s="2"/>
      <c r="O14436" s="20"/>
      <c r="P14436" s="42"/>
      <c r="R14436" s="23"/>
    </row>
    <row r="14437" spans="1:18" ht="12.75">
      <c r="A14437" s="12"/>
      <c r="D14437" s="12"/>
      <c r="E14437" s="12"/>
      <c r="H14437" s="11" t="str">
        <f ca="1">IFERROR(__xludf.DUMMYFUNCTION("IFERROR(SUBSTITUTE(SUBSTITUTE(REGEXEXTRACT(A14437, ""[^-]+- [^-]+- [^-]+ - (.+?)\.jpg""), "".jpg"", """"), ""-"", "", ""), """")"),"")</f>
        <v/>
      </c>
      <c r="L14437" s="12"/>
      <c r="M14437" s="13"/>
      <c r="N14437" s="2"/>
      <c r="O14437" s="20"/>
      <c r="P14437" s="42"/>
      <c r="R14437" s="23"/>
    </row>
    <row r="14438" spans="1:18" ht="12.75">
      <c r="A14438" s="12"/>
      <c r="D14438" s="12"/>
      <c r="E14438" s="12"/>
      <c r="H14438" s="11" t="str">
        <f ca="1">IFERROR(__xludf.DUMMYFUNCTION("IFERROR(SUBSTITUTE(SUBSTITUTE(REGEXEXTRACT(A14438, ""[^-]+- [^-]+- [^-]+ - (.+?)\.jpg""), "".jpg"", """"), ""-"", "", ""), """")"),"")</f>
        <v/>
      </c>
      <c r="L14438" s="12"/>
      <c r="M14438" s="13"/>
      <c r="N14438" s="2"/>
      <c r="O14438" s="20"/>
      <c r="P14438" s="42"/>
      <c r="R14438" s="23"/>
    </row>
    <row r="14439" spans="1:18" ht="12.75">
      <c r="A14439" s="12"/>
      <c r="D14439" s="12"/>
      <c r="E14439" s="12"/>
      <c r="H14439" s="11" t="str">
        <f ca="1">IFERROR(__xludf.DUMMYFUNCTION("IFERROR(SUBSTITUTE(SUBSTITUTE(REGEXEXTRACT(A14439, ""[^-]+- [^-]+- [^-]+ - (.+?)\.jpg""), "".jpg"", """"), ""-"", "", ""), """")"),"")</f>
        <v/>
      </c>
      <c r="L14439" s="12"/>
      <c r="M14439" s="13"/>
      <c r="N14439" s="2"/>
      <c r="O14439" s="20"/>
      <c r="P14439" s="42"/>
      <c r="R14439" s="23"/>
    </row>
    <row r="14440" spans="1:18" ht="12.75">
      <c r="A14440" s="12"/>
      <c r="D14440" s="12"/>
      <c r="E14440" s="12"/>
      <c r="H14440" s="11" t="str">
        <f ca="1">IFERROR(__xludf.DUMMYFUNCTION("IFERROR(SUBSTITUTE(SUBSTITUTE(REGEXEXTRACT(A14440, ""[^-]+- [^-]+- [^-]+ - (.+?)\.jpg""), "".jpg"", """"), ""-"", "", ""), """")"),"")</f>
        <v/>
      </c>
      <c r="L14440" s="12"/>
      <c r="M14440" s="13"/>
      <c r="N14440" s="2"/>
      <c r="O14440" s="20"/>
      <c r="P14440" s="42"/>
      <c r="R14440" s="23"/>
    </row>
    <row r="14441" spans="1:18" ht="12.75">
      <c r="A14441" s="12"/>
      <c r="D14441" s="12"/>
      <c r="E14441" s="12"/>
      <c r="H14441" s="11" t="str">
        <f ca="1">IFERROR(__xludf.DUMMYFUNCTION("IFERROR(SUBSTITUTE(SUBSTITUTE(REGEXEXTRACT(A14441, ""[^-]+- [^-]+- [^-]+ - (.+?)\.jpg""), "".jpg"", """"), ""-"", "", ""), """")"),"")</f>
        <v/>
      </c>
      <c r="L14441" s="12"/>
      <c r="M14441" s="13"/>
      <c r="N14441" s="2"/>
      <c r="O14441" s="20"/>
      <c r="P14441" s="42"/>
      <c r="R14441" s="23"/>
    </row>
    <row r="14442" spans="1:18" ht="12.75">
      <c r="A14442" s="12"/>
      <c r="D14442" s="12"/>
      <c r="E14442" s="12"/>
      <c r="H14442" s="11" t="str">
        <f ca="1">IFERROR(__xludf.DUMMYFUNCTION("IFERROR(SUBSTITUTE(SUBSTITUTE(REGEXEXTRACT(A14442, ""[^-]+- [^-]+- [^-]+ - (.+?)\.jpg""), "".jpg"", """"), ""-"", "", ""), """")"),"")</f>
        <v/>
      </c>
      <c r="L14442" s="12"/>
      <c r="M14442" s="13"/>
      <c r="N14442" s="2"/>
      <c r="O14442" s="20"/>
      <c r="P14442" s="42"/>
      <c r="R14442" s="23"/>
    </row>
    <row r="14443" spans="1:18" ht="12.75">
      <c r="A14443" s="12"/>
      <c r="D14443" s="12"/>
      <c r="E14443" s="12"/>
      <c r="H14443" s="11" t="str">
        <f ca="1">IFERROR(__xludf.DUMMYFUNCTION("IFERROR(SUBSTITUTE(SUBSTITUTE(REGEXEXTRACT(A14443, ""[^-]+- [^-]+- [^-]+ - (.+?)\.jpg""), "".jpg"", """"), ""-"", "", ""), """")"),"")</f>
        <v/>
      </c>
      <c r="L14443" s="12"/>
      <c r="M14443" s="13"/>
      <c r="N14443" s="2"/>
      <c r="O14443" s="20"/>
      <c r="P14443" s="42"/>
      <c r="R14443" s="23"/>
    </row>
    <row r="14444" spans="1:18" ht="12.75">
      <c r="A14444" s="12"/>
      <c r="D14444" s="12"/>
      <c r="E14444" s="12"/>
      <c r="H14444" s="11" t="str">
        <f ca="1">IFERROR(__xludf.DUMMYFUNCTION("IFERROR(SUBSTITUTE(SUBSTITUTE(REGEXEXTRACT(A14444, ""[^-]+- [^-]+- [^-]+ - (.+?)\.jpg""), "".jpg"", """"), ""-"", "", ""), """")"),"")</f>
        <v/>
      </c>
      <c r="L14444" s="12"/>
      <c r="M14444" s="13"/>
      <c r="N14444" s="2"/>
      <c r="O14444" s="20"/>
      <c r="P14444" s="42"/>
      <c r="R14444" s="23"/>
    </row>
    <row r="14445" spans="1:18" ht="12.75">
      <c r="A14445" s="12"/>
      <c r="D14445" s="12"/>
      <c r="E14445" s="12"/>
      <c r="H14445" s="11" t="str">
        <f ca="1">IFERROR(__xludf.DUMMYFUNCTION("IFERROR(SUBSTITUTE(SUBSTITUTE(REGEXEXTRACT(A14445, ""[^-]+- [^-]+- [^-]+ - (.+?)\.jpg""), "".jpg"", """"), ""-"", "", ""), """")"),"")</f>
        <v/>
      </c>
      <c r="L14445" s="12"/>
      <c r="M14445" s="13"/>
      <c r="N14445" s="2"/>
      <c r="O14445" s="20"/>
      <c r="P14445" s="42"/>
      <c r="R14445" s="23"/>
    </row>
    <row r="14446" spans="1:18" ht="12.75">
      <c r="A14446" s="12"/>
      <c r="D14446" s="12"/>
      <c r="E14446" s="12"/>
      <c r="H14446" s="11" t="str">
        <f ca="1">IFERROR(__xludf.DUMMYFUNCTION("IFERROR(SUBSTITUTE(SUBSTITUTE(REGEXEXTRACT(A14446, ""[^-]+- [^-]+- [^-]+ - (.+?)\.jpg""), "".jpg"", """"), ""-"", "", ""), """")"),"")</f>
        <v/>
      </c>
      <c r="L14446" s="12"/>
      <c r="M14446" s="13"/>
      <c r="N14446" s="2"/>
      <c r="O14446" s="20"/>
      <c r="P14446" s="42"/>
      <c r="R14446" s="23"/>
    </row>
    <row r="14447" spans="1:18" ht="12.75">
      <c r="A14447" s="12"/>
      <c r="D14447" s="12"/>
      <c r="E14447" s="12"/>
      <c r="H14447" s="11" t="str">
        <f ca="1">IFERROR(__xludf.DUMMYFUNCTION("IFERROR(SUBSTITUTE(SUBSTITUTE(REGEXEXTRACT(A14447, ""[^-]+- [^-]+- [^-]+ - (.+?)\.jpg""), "".jpg"", """"), ""-"", "", ""), """")"),"")</f>
        <v/>
      </c>
      <c r="L14447" s="12"/>
      <c r="M14447" s="13"/>
      <c r="N14447" s="2"/>
      <c r="O14447" s="20"/>
      <c r="P14447" s="42"/>
      <c r="R14447" s="23"/>
    </row>
    <row r="14448" spans="1:18" ht="12.75">
      <c r="A14448" s="12"/>
      <c r="D14448" s="12"/>
      <c r="E14448" s="12"/>
      <c r="H14448" s="11" t="str">
        <f ca="1">IFERROR(__xludf.DUMMYFUNCTION("IFERROR(SUBSTITUTE(SUBSTITUTE(REGEXEXTRACT(A14448, ""[^-]+- [^-]+- [^-]+ - (.+?)\.jpg""), "".jpg"", """"), ""-"", "", ""), """")"),"")</f>
        <v/>
      </c>
      <c r="L14448" s="12"/>
      <c r="M14448" s="13"/>
      <c r="N14448" s="2"/>
      <c r="O14448" s="20"/>
      <c r="P14448" s="42"/>
      <c r="R14448" s="23"/>
    </row>
    <row r="14449" spans="1:18" ht="12.75">
      <c r="A14449" s="12"/>
      <c r="D14449" s="12"/>
      <c r="E14449" s="12"/>
      <c r="H14449" s="11" t="str">
        <f ca="1">IFERROR(__xludf.DUMMYFUNCTION("IFERROR(SUBSTITUTE(SUBSTITUTE(REGEXEXTRACT(A14449, ""[^-]+- [^-]+- [^-]+ - (.+?)\.jpg""), "".jpg"", """"), ""-"", "", ""), """")"),"")</f>
        <v/>
      </c>
      <c r="L14449" s="12"/>
      <c r="M14449" s="13"/>
      <c r="N14449" s="2"/>
      <c r="O14449" s="20"/>
      <c r="P14449" s="42"/>
      <c r="R14449" s="23"/>
    </row>
    <row r="14450" spans="1:18" ht="12.75">
      <c r="A14450" s="12"/>
      <c r="D14450" s="12"/>
      <c r="E14450" s="12"/>
      <c r="H14450" s="11" t="str">
        <f ca="1">IFERROR(__xludf.DUMMYFUNCTION("IFERROR(SUBSTITUTE(SUBSTITUTE(REGEXEXTRACT(A14450, ""[^-]+- [^-]+- [^-]+ - (.+?)\.jpg""), "".jpg"", """"), ""-"", "", ""), """")"),"")</f>
        <v/>
      </c>
      <c r="L14450" s="12"/>
      <c r="M14450" s="13"/>
      <c r="N14450" s="2"/>
      <c r="O14450" s="20"/>
      <c r="P14450" s="42"/>
      <c r="R14450" s="23"/>
    </row>
    <row r="14451" spans="1:18" ht="12.75">
      <c r="A14451" s="12"/>
      <c r="D14451" s="12"/>
      <c r="E14451" s="12"/>
      <c r="H14451" s="11" t="str">
        <f ca="1">IFERROR(__xludf.DUMMYFUNCTION("IFERROR(SUBSTITUTE(SUBSTITUTE(REGEXEXTRACT(A14451, ""[^-]+- [^-]+- [^-]+ - (.+?)\.jpg""), "".jpg"", """"), ""-"", "", ""), """")"),"")</f>
        <v/>
      </c>
      <c r="L14451" s="12"/>
      <c r="M14451" s="13"/>
      <c r="N14451" s="2"/>
      <c r="O14451" s="20"/>
      <c r="P14451" s="42"/>
      <c r="R14451" s="23"/>
    </row>
    <row r="14452" spans="1:18" ht="12.75">
      <c r="A14452" s="12"/>
      <c r="D14452" s="12"/>
      <c r="E14452" s="12"/>
      <c r="H14452" s="11" t="str">
        <f ca="1">IFERROR(__xludf.DUMMYFUNCTION("IFERROR(SUBSTITUTE(SUBSTITUTE(REGEXEXTRACT(A14452, ""[^-]+- [^-]+- [^-]+ - (.+?)\.jpg""), "".jpg"", """"), ""-"", "", ""), """")"),"")</f>
        <v/>
      </c>
      <c r="L14452" s="12"/>
      <c r="M14452" s="13"/>
      <c r="N14452" s="2"/>
      <c r="O14452" s="20"/>
      <c r="P14452" s="42"/>
      <c r="R14452" s="23"/>
    </row>
    <row r="14453" spans="1:18" ht="12.75">
      <c r="A14453" s="12"/>
      <c r="D14453" s="12"/>
      <c r="E14453" s="12"/>
      <c r="H14453" s="11" t="str">
        <f ca="1">IFERROR(__xludf.DUMMYFUNCTION("IFERROR(SUBSTITUTE(SUBSTITUTE(REGEXEXTRACT(A14453, ""[^-]+- [^-]+- [^-]+ - (.+?)\.jpg""), "".jpg"", """"), ""-"", "", ""), """")"),"")</f>
        <v/>
      </c>
      <c r="L14453" s="12"/>
      <c r="M14453" s="13"/>
      <c r="N14453" s="2"/>
      <c r="O14453" s="20"/>
      <c r="P14453" s="42"/>
      <c r="R14453" s="23"/>
    </row>
    <row r="14454" spans="1:18" ht="12.75">
      <c r="A14454" s="12"/>
      <c r="D14454" s="12"/>
      <c r="E14454" s="12"/>
      <c r="H14454" s="11" t="str">
        <f ca="1">IFERROR(__xludf.DUMMYFUNCTION("IFERROR(SUBSTITUTE(SUBSTITUTE(REGEXEXTRACT(A14454, ""[^-]+- [^-]+- [^-]+ - (.+?)\.jpg""), "".jpg"", """"), ""-"", "", ""), """")"),"")</f>
        <v/>
      </c>
      <c r="L14454" s="12"/>
      <c r="M14454" s="13"/>
      <c r="N14454" s="2"/>
      <c r="O14454" s="20"/>
      <c r="P14454" s="42"/>
      <c r="R14454" s="23"/>
    </row>
    <row r="14455" spans="1:18" ht="12.75">
      <c r="A14455" s="12"/>
      <c r="D14455" s="12"/>
      <c r="E14455" s="12"/>
      <c r="H14455" s="11" t="str">
        <f ca="1">IFERROR(__xludf.DUMMYFUNCTION("IFERROR(SUBSTITUTE(SUBSTITUTE(REGEXEXTRACT(A14455, ""[^-]+- [^-]+- [^-]+ - (.+?)\.jpg""), "".jpg"", """"), ""-"", "", ""), """")"),"")</f>
        <v/>
      </c>
      <c r="L14455" s="12"/>
      <c r="M14455" s="13"/>
      <c r="N14455" s="2"/>
      <c r="O14455" s="20"/>
      <c r="P14455" s="42"/>
      <c r="R14455" s="23"/>
    </row>
    <row r="14456" spans="1:18" ht="12.75">
      <c r="A14456" s="12"/>
      <c r="D14456" s="12"/>
      <c r="E14456" s="12"/>
      <c r="H14456" s="11" t="str">
        <f ca="1">IFERROR(__xludf.DUMMYFUNCTION("IFERROR(SUBSTITUTE(SUBSTITUTE(REGEXEXTRACT(A14456, ""[^-]+- [^-]+- [^-]+ - (.+?)\.jpg""), "".jpg"", """"), ""-"", "", ""), """")"),"")</f>
        <v/>
      </c>
      <c r="L14456" s="12"/>
      <c r="M14456" s="13"/>
      <c r="N14456" s="2"/>
      <c r="O14456" s="20"/>
      <c r="P14456" s="42"/>
      <c r="R14456" s="23"/>
    </row>
    <row r="14457" spans="1:18" ht="12.75">
      <c r="A14457" s="12"/>
      <c r="D14457" s="12"/>
      <c r="E14457" s="12"/>
      <c r="H14457" s="11" t="str">
        <f ca="1">IFERROR(__xludf.DUMMYFUNCTION("IFERROR(SUBSTITUTE(SUBSTITUTE(REGEXEXTRACT(A14457, ""[^-]+- [^-]+- [^-]+ - (.+?)\.jpg""), "".jpg"", """"), ""-"", "", ""), """")"),"")</f>
        <v/>
      </c>
      <c r="L14457" s="12"/>
      <c r="M14457" s="13"/>
      <c r="N14457" s="2"/>
      <c r="O14457" s="20"/>
      <c r="P14457" s="42"/>
      <c r="R14457" s="23"/>
    </row>
    <row r="14458" spans="1:18" ht="12.75">
      <c r="A14458" s="12"/>
      <c r="D14458" s="12"/>
      <c r="E14458" s="12"/>
      <c r="H14458" s="11" t="str">
        <f ca="1">IFERROR(__xludf.DUMMYFUNCTION("IFERROR(SUBSTITUTE(SUBSTITUTE(REGEXEXTRACT(A14458, ""[^-]+- [^-]+- [^-]+ - (.+?)\.jpg""), "".jpg"", """"), ""-"", "", ""), """")"),"")</f>
        <v/>
      </c>
      <c r="L14458" s="12"/>
      <c r="M14458" s="13"/>
      <c r="N14458" s="2"/>
      <c r="O14458" s="20"/>
      <c r="P14458" s="42"/>
      <c r="R14458" s="23"/>
    </row>
    <row r="14459" spans="1:18" ht="12.75">
      <c r="A14459" s="12"/>
      <c r="D14459" s="12"/>
      <c r="E14459" s="12"/>
      <c r="H14459" s="11" t="str">
        <f ca="1">IFERROR(__xludf.DUMMYFUNCTION("IFERROR(SUBSTITUTE(SUBSTITUTE(REGEXEXTRACT(A14459, ""[^-]+- [^-]+- [^-]+ - (.+?)\.jpg""), "".jpg"", """"), ""-"", "", ""), """")"),"")</f>
        <v/>
      </c>
      <c r="L14459" s="12"/>
      <c r="M14459" s="13"/>
      <c r="N14459" s="2"/>
      <c r="O14459" s="20"/>
      <c r="P14459" s="42"/>
      <c r="R14459" s="23"/>
    </row>
    <row r="14460" spans="1:18" ht="12.75">
      <c r="A14460" s="12"/>
      <c r="D14460" s="12"/>
      <c r="E14460" s="12"/>
      <c r="H14460" s="11" t="str">
        <f ca="1">IFERROR(__xludf.DUMMYFUNCTION("IFERROR(SUBSTITUTE(SUBSTITUTE(REGEXEXTRACT(A14460, ""[^-]+- [^-]+- [^-]+ - (.+?)\.jpg""), "".jpg"", """"), ""-"", "", ""), """")"),"")</f>
        <v/>
      </c>
      <c r="L14460" s="12"/>
      <c r="M14460" s="13"/>
      <c r="N14460" s="2"/>
      <c r="O14460" s="20"/>
      <c r="P14460" s="42"/>
      <c r="R14460" s="23"/>
    </row>
    <row r="14461" spans="1:18" ht="12.75">
      <c r="A14461" s="12"/>
      <c r="D14461" s="12"/>
      <c r="E14461" s="12"/>
      <c r="H14461" s="11" t="str">
        <f ca="1">IFERROR(__xludf.DUMMYFUNCTION("IFERROR(SUBSTITUTE(SUBSTITUTE(REGEXEXTRACT(A14461, ""[^-]+- [^-]+- [^-]+ - (.+?)\.jpg""), "".jpg"", """"), ""-"", "", ""), """")"),"")</f>
        <v/>
      </c>
      <c r="L14461" s="12"/>
      <c r="M14461" s="13"/>
      <c r="N14461" s="2"/>
      <c r="O14461" s="20"/>
      <c r="P14461" s="42"/>
      <c r="R14461" s="23"/>
    </row>
    <row r="14462" spans="1:18" ht="12.75">
      <c r="A14462" s="12"/>
      <c r="D14462" s="12"/>
      <c r="E14462" s="12"/>
      <c r="H14462" s="11" t="str">
        <f ca="1">IFERROR(__xludf.DUMMYFUNCTION("IFERROR(SUBSTITUTE(SUBSTITUTE(REGEXEXTRACT(A14462, ""[^-]+- [^-]+- [^-]+ - (.+?)\.jpg""), "".jpg"", """"), ""-"", "", ""), """")"),"")</f>
        <v/>
      </c>
      <c r="L14462" s="12"/>
      <c r="M14462" s="13"/>
      <c r="N14462" s="2"/>
      <c r="O14462" s="20"/>
      <c r="P14462" s="42"/>
      <c r="R14462" s="23"/>
    </row>
    <row r="14463" spans="1:18" ht="12.75">
      <c r="A14463" s="12"/>
      <c r="D14463" s="12"/>
      <c r="E14463" s="12"/>
      <c r="H14463" s="11" t="str">
        <f ca="1">IFERROR(__xludf.DUMMYFUNCTION("IFERROR(SUBSTITUTE(SUBSTITUTE(REGEXEXTRACT(A14463, ""[^-]+- [^-]+- [^-]+ - (.+?)\.jpg""), "".jpg"", """"), ""-"", "", ""), """")"),"")</f>
        <v/>
      </c>
      <c r="L14463" s="12"/>
      <c r="M14463" s="13"/>
      <c r="N14463" s="2"/>
      <c r="O14463" s="20"/>
      <c r="P14463" s="42"/>
      <c r="R14463" s="23"/>
    </row>
    <row r="14464" spans="1:18" ht="12.75">
      <c r="A14464" s="12"/>
      <c r="D14464" s="12"/>
      <c r="E14464" s="12"/>
      <c r="H14464" s="11" t="str">
        <f ca="1">IFERROR(__xludf.DUMMYFUNCTION("IFERROR(SUBSTITUTE(SUBSTITUTE(REGEXEXTRACT(A14464, ""[^-]+- [^-]+- [^-]+ - (.+?)\.jpg""), "".jpg"", """"), ""-"", "", ""), """")"),"")</f>
        <v/>
      </c>
      <c r="L14464" s="12"/>
      <c r="M14464" s="13"/>
      <c r="N14464" s="2"/>
      <c r="O14464" s="20"/>
      <c r="P14464" s="42"/>
      <c r="R14464" s="23"/>
    </row>
    <row r="14465" spans="1:18" ht="12.75">
      <c r="A14465" s="12"/>
      <c r="D14465" s="12"/>
      <c r="E14465" s="12"/>
      <c r="H14465" s="11" t="str">
        <f ca="1">IFERROR(__xludf.DUMMYFUNCTION("IFERROR(SUBSTITUTE(SUBSTITUTE(REGEXEXTRACT(A14465, ""[^-]+- [^-]+- [^-]+ - (.+?)\.jpg""), "".jpg"", """"), ""-"", "", ""), """")"),"")</f>
        <v/>
      </c>
      <c r="L14465" s="12"/>
      <c r="M14465" s="13"/>
      <c r="N14465" s="2"/>
      <c r="O14465" s="20"/>
      <c r="P14465" s="42"/>
      <c r="R14465" s="23"/>
    </row>
    <row r="14466" spans="1:18" ht="12.75">
      <c r="A14466" s="12"/>
      <c r="D14466" s="12"/>
      <c r="E14466" s="12"/>
      <c r="H14466" s="11" t="str">
        <f ca="1">IFERROR(__xludf.DUMMYFUNCTION("IFERROR(SUBSTITUTE(SUBSTITUTE(REGEXEXTRACT(A14466, ""[^-]+- [^-]+- [^-]+ - (.+?)\.jpg""), "".jpg"", """"), ""-"", "", ""), """")"),"")</f>
        <v/>
      </c>
      <c r="L14466" s="12"/>
      <c r="M14466" s="13"/>
      <c r="N14466" s="2"/>
      <c r="O14466" s="20"/>
      <c r="P14466" s="42"/>
      <c r="R14466" s="23"/>
    </row>
    <row r="14467" spans="1:18" ht="12.75">
      <c r="A14467" s="12"/>
      <c r="D14467" s="12"/>
      <c r="E14467" s="12"/>
      <c r="H14467" s="11" t="str">
        <f ca="1">IFERROR(__xludf.DUMMYFUNCTION("IFERROR(SUBSTITUTE(SUBSTITUTE(REGEXEXTRACT(A14467, ""[^-]+- [^-]+- [^-]+ - (.+?)\.jpg""), "".jpg"", """"), ""-"", "", ""), """")"),"")</f>
        <v/>
      </c>
      <c r="L14467" s="12"/>
      <c r="M14467" s="13"/>
      <c r="N14467" s="2"/>
      <c r="O14467" s="20"/>
      <c r="P14467" s="42"/>
      <c r="R14467" s="23"/>
    </row>
    <row r="14468" spans="1:18" ht="12.75">
      <c r="A14468" s="12"/>
      <c r="D14468" s="12"/>
      <c r="E14468" s="12"/>
      <c r="H14468" s="11" t="str">
        <f ca="1">IFERROR(__xludf.DUMMYFUNCTION("IFERROR(SUBSTITUTE(SUBSTITUTE(REGEXEXTRACT(A14468, ""[^-]+- [^-]+- [^-]+ - (.+?)\.jpg""), "".jpg"", """"), ""-"", "", ""), """")"),"")</f>
        <v/>
      </c>
      <c r="L14468" s="12"/>
      <c r="M14468" s="13"/>
      <c r="N14468" s="2"/>
      <c r="O14468" s="20"/>
      <c r="P14468" s="42"/>
      <c r="R14468" s="23"/>
    </row>
    <row r="14469" spans="1:18" ht="12.75">
      <c r="A14469" s="12"/>
      <c r="D14469" s="12"/>
      <c r="E14469" s="12"/>
      <c r="H14469" s="11" t="str">
        <f ca="1">IFERROR(__xludf.DUMMYFUNCTION("IFERROR(SUBSTITUTE(SUBSTITUTE(REGEXEXTRACT(A14469, ""[^-]+- [^-]+- [^-]+ - (.+?)\.jpg""), "".jpg"", """"), ""-"", "", ""), """")"),"")</f>
        <v/>
      </c>
      <c r="L14469" s="12"/>
      <c r="M14469" s="13"/>
      <c r="N14469" s="2"/>
      <c r="O14469" s="20"/>
      <c r="P14469" s="42"/>
      <c r="R14469" s="23"/>
    </row>
    <row r="14470" spans="1:18" ht="12.75">
      <c r="A14470" s="12"/>
      <c r="D14470" s="12"/>
      <c r="E14470" s="12"/>
      <c r="H14470" s="11" t="str">
        <f ca="1">IFERROR(__xludf.DUMMYFUNCTION("IFERROR(SUBSTITUTE(SUBSTITUTE(REGEXEXTRACT(A14470, ""[^-]+- [^-]+- [^-]+ - (.+?)\.jpg""), "".jpg"", """"), ""-"", "", ""), """")"),"")</f>
        <v/>
      </c>
      <c r="L14470" s="12"/>
      <c r="M14470" s="13"/>
      <c r="N14470" s="2"/>
      <c r="O14470" s="20"/>
      <c r="P14470" s="42"/>
      <c r="R14470" s="23"/>
    </row>
    <row r="14471" spans="1:18" ht="12.75">
      <c r="A14471" s="12"/>
      <c r="D14471" s="12"/>
      <c r="E14471" s="12"/>
      <c r="H14471" s="11" t="str">
        <f ca="1">IFERROR(__xludf.DUMMYFUNCTION("IFERROR(SUBSTITUTE(SUBSTITUTE(REGEXEXTRACT(A14471, ""[^-]+- [^-]+- [^-]+ - (.+?)\.jpg""), "".jpg"", """"), ""-"", "", ""), """")"),"")</f>
        <v/>
      </c>
      <c r="L14471" s="12"/>
      <c r="M14471" s="13"/>
      <c r="N14471" s="2"/>
      <c r="O14471" s="20"/>
      <c r="P14471" s="42"/>
      <c r="R14471" s="23"/>
    </row>
    <row r="14472" spans="1:18" ht="12.75">
      <c r="A14472" s="12"/>
      <c r="D14472" s="12"/>
      <c r="E14472" s="12"/>
      <c r="H14472" s="11" t="str">
        <f ca="1">IFERROR(__xludf.DUMMYFUNCTION("IFERROR(SUBSTITUTE(SUBSTITUTE(REGEXEXTRACT(A14472, ""[^-]+- [^-]+- [^-]+ - (.+?)\.jpg""), "".jpg"", """"), ""-"", "", ""), """")"),"")</f>
        <v/>
      </c>
      <c r="L14472" s="12"/>
      <c r="M14472" s="13"/>
      <c r="N14472" s="2"/>
      <c r="O14472" s="20"/>
      <c r="P14472" s="42"/>
      <c r="R14472" s="23"/>
    </row>
    <row r="14473" spans="1:18" ht="12.75">
      <c r="A14473" s="12"/>
      <c r="D14473" s="12"/>
      <c r="E14473" s="12"/>
      <c r="H14473" s="11" t="str">
        <f ca="1">IFERROR(__xludf.DUMMYFUNCTION("IFERROR(SUBSTITUTE(SUBSTITUTE(REGEXEXTRACT(A14473, ""[^-]+- [^-]+- [^-]+ - (.+?)\.jpg""), "".jpg"", """"), ""-"", "", ""), """")"),"")</f>
        <v/>
      </c>
      <c r="L14473" s="12"/>
      <c r="M14473" s="13"/>
      <c r="N14473" s="2"/>
      <c r="O14473" s="20"/>
      <c r="P14473" s="42"/>
      <c r="R14473" s="23"/>
    </row>
    <row r="14474" spans="1:18" ht="12.75">
      <c r="A14474" s="12"/>
      <c r="D14474" s="12"/>
      <c r="E14474" s="12"/>
      <c r="H14474" s="11" t="str">
        <f ca="1">IFERROR(__xludf.DUMMYFUNCTION("IFERROR(SUBSTITUTE(SUBSTITUTE(REGEXEXTRACT(A14474, ""[^-]+- [^-]+- [^-]+ - (.+?)\.jpg""), "".jpg"", """"), ""-"", "", ""), """")"),"")</f>
        <v/>
      </c>
      <c r="L14474" s="12"/>
      <c r="M14474" s="13"/>
      <c r="N14474" s="2"/>
      <c r="O14474" s="20"/>
      <c r="P14474" s="42"/>
      <c r="R14474" s="23"/>
    </row>
    <row r="14475" spans="1:18" ht="12.75">
      <c r="A14475" s="12"/>
      <c r="D14475" s="12"/>
      <c r="E14475" s="12"/>
      <c r="H14475" s="11" t="str">
        <f ca="1">IFERROR(__xludf.DUMMYFUNCTION("IFERROR(SUBSTITUTE(SUBSTITUTE(REGEXEXTRACT(A14475, ""[^-]+- [^-]+- [^-]+ - (.+?)\.jpg""), "".jpg"", """"), ""-"", "", ""), """")"),"")</f>
        <v/>
      </c>
      <c r="L14475" s="12"/>
      <c r="M14475" s="13"/>
      <c r="N14475" s="2"/>
      <c r="O14475" s="20"/>
      <c r="P14475" s="42"/>
      <c r="R14475" s="23"/>
    </row>
    <row r="14476" spans="1:18" ht="12.75">
      <c r="A14476" s="12"/>
      <c r="D14476" s="12"/>
      <c r="E14476" s="12"/>
      <c r="H14476" s="11" t="str">
        <f ca="1">IFERROR(__xludf.DUMMYFUNCTION("IFERROR(SUBSTITUTE(SUBSTITUTE(REGEXEXTRACT(A14476, ""[^-]+- [^-]+- [^-]+ - (.+?)\.jpg""), "".jpg"", """"), ""-"", "", ""), """")"),"")</f>
        <v/>
      </c>
      <c r="L14476" s="12"/>
      <c r="M14476" s="13"/>
      <c r="N14476" s="2"/>
      <c r="O14476" s="20"/>
      <c r="P14476" s="42"/>
      <c r="R14476" s="23"/>
    </row>
    <row r="14477" spans="1:18" ht="12.75">
      <c r="A14477" s="12"/>
      <c r="D14477" s="12"/>
      <c r="E14477" s="12"/>
      <c r="H14477" s="11" t="str">
        <f ca="1">IFERROR(__xludf.DUMMYFUNCTION("IFERROR(SUBSTITUTE(SUBSTITUTE(REGEXEXTRACT(A14477, ""[^-]+- [^-]+- [^-]+ - (.+?)\.jpg""), "".jpg"", """"), ""-"", "", ""), """")"),"")</f>
        <v/>
      </c>
      <c r="L14477" s="12"/>
      <c r="M14477" s="13"/>
      <c r="N14477" s="2"/>
      <c r="O14477" s="20"/>
      <c r="P14477" s="42"/>
      <c r="R14477" s="23"/>
    </row>
    <row r="14478" spans="1:18" ht="12.75">
      <c r="A14478" s="12"/>
      <c r="D14478" s="12"/>
      <c r="E14478" s="12"/>
      <c r="H14478" s="11" t="str">
        <f ca="1">IFERROR(__xludf.DUMMYFUNCTION("IFERROR(SUBSTITUTE(SUBSTITUTE(REGEXEXTRACT(A14478, ""[^-]+- [^-]+- [^-]+ - (.+?)\.jpg""), "".jpg"", """"), ""-"", "", ""), """")"),"")</f>
        <v/>
      </c>
      <c r="L14478" s="12"/>
      <c r="M14478" s="13"/>
      <c r="N14478" s="2"/>
      <c r="O14478" s="20"/>
      <c r="P14478" s="42"/>
      <c r="R14478" s="23"/>
    </row>
    <row r="14479" spans="1:18" ht="12.75">
      <c r="A14479" s="12"/>
      <c r="D14479" s="12"/>
      <c r="E14479" s="12"/>
      <c r="H14479" s="11" t="str">
        <f ca="1">IFERROR(__xludf.DUMMYFUNCTION("IFERROR(SUBSTITUTE(SUBSTITUTE(REGEXEXTRACT(A14479, ""[^-]+- [^-]+- [^-]+ - (.+?)\.jpg""), "".jpg"", """"), ""-"", "", ""), """")"),"")</f>
        <v/>
      </c>
      <c r="L14479" s="12"/>
      <c r="M14479" s="13"/>
      <c r="N14479" s="2"/>
      <c r="O14479" s="20"/>
      <c r="P14479" s="42"/>
      <c r="R14479" s="23"/>
    </row>
    <row r="14480" spans="1:18" ht="12.75">
      <c r="A14480" s="12"/>
      <c r="D14480" s="12"/>
      <c r="E14480" s="12"/>
      <c r="H14480" s="11" t="str">
        <f ca="1">IFERROR(__xludf.DUMMYFUNCTION("IFERROR(SUBSTITUTE(SUBSTITUTE(REGEXEXTRACT(A14480, ""[^-]+- [^-]+- [^-]+ - (.+?)\.jpg""), "".jpg"", """"), ""-"", "", ""), """")"),"")</f>
        <v/>
      </c>
      <c r="L14480" s="12"/>
      <c r="M14480" s="13"/>
      <c r="N14480" s="2"/>
      <c r="O14480" s="20"/>
      <c r="P14480" s="42"/>
      <c r="R14480" s="23"/>
    </row>
    <row r="14481" spans="1:18" ht="12.75">
      <c r="A14481" s="12"/>
      <c r="D14481" s="12"/>
      <c r="E14481" s="12"/>
      <c r="H14481" s="11" t="str">
        <f ca="1">IFERROR(__xludf.DUMMYFUNCTION("IFERROR(SUBSTITUTE(SUBSTITUTE(REGEXEXTRACT(A14481, ""[^-]+- [^-]+- [^-]+ - (.+?)\.jpg""), "".jpg"", """"), ""-"", "", ""), """")"),"")</f>
        <v/>
      </c>
      <c r="L14481" s="12"/>
      <c r="M14481" s="13"/>
      <c r="N14481" s="2"/>
      <c r="O14481" s="20"/>
      <c r="P14481" s="42"/>
      <c r="R14481" s="23"/>
    </row>
    <row r="14482" spans="1:18" ht="12.75">
      <c r="A14482" s="12"/>
      <c r="D14482" s="12"/>
      <c r="E14482" s="12"/>
      <c r="H14482" s="11" t="str">
        <f ca="1">IFERROR(__xludf.DUMMYFUNCTION("IFERROR(SUBSTITUTE(SUBSTITUTE(REGEXEXTRACT(A14482, ""[^-]+- [^-]+- [^-]+ - (.+?)\.jpg""), "".jpg"", """"), ""-"", "", ""), """")"),"")</f>
        <v/>
      </c>
      <c r="L14482" s="12"/>
      <c r="M14482" s="13"/>
      <c r="N14482" s="2"/>
      <c r="O14482" s="20"/>
      <c r="P14482" s="42"/>
      <c r="R14482" s="23"/>
    </row>
    <row r="14483" spans="1:18" ht="12.75">
      <c r="A14483" s="12"/>
      <c r="D14483" s="12"/>
      <c r="E14483" s="12"/>
      <c r="H14483" s="11" t="str">
        <f ca="1">IFERROR(__xludf.DUMMYFUNCTION("IFERROR(SUBSTITUTE(SUBSTITUTE(REGEXEXTRACT(A14483, ""[^-]+- [^-]+- [^-]+ - (.+?)\.jpg""), "".jpg"", """"), ""-"", "", ""), """")"),"")</f>
        <v/>
      </c>
      <c r="L14483" s="12"/>
      <c r="M14483" s="13"/>
      <c r="N14483" s="2"/>
      <c r="O14483" s="20"/>
      <c r="P14483" s="42"/>
      <c r="R14483" s="23"/>
    </row>
    <row r="14484" spans="1:18" ht="12.75">
      <c r="A14484" s="12"/>
      <c r="D14484" s="12"/>
      <c r="E14484" s="12"/>
      <c r="H14484" s="11" t="str">
        <f ca="1">IFERROR(__xludf.DUMMYFUNCTION("IFERROR(SUBSTITUTE(SUBSTITUTE(REGEXEXTRACT(A14484, ""[^-]+- [^-]+- [^-]+ - (.+?)\.jpg""), "".jpg"", """"), ""-"", "", ""), """")"),"")</f>
        <v/>
      </c>
      <c r="L14484" s="12"/>
      <c r="M14484" s="13"/>
      <c r="N14484" s="2"/>
      <c r="O14484" s="20"/>
      <c r="P14484" s="42"/>
      <c r="R14484" s="23"/>
    </row>
    <row r="14485" spans="1:18" ht="12.75">
      <c r="A14485" s="12"/>
      <c r="D14485" s="12"/>
      <c r="E14485" s="12"/>
      <c r="H14485" s="11" t="str">
        <f ca="1">IFERROR(__xludf.DUMMYFUNCTION("IFERROR(SUBSTITUTE(SUBSTITUTE(REGEXEXTRACT(A14485, ""[^-]+- [^-]+- [^-]+ - (.+?)\.jpg""), "".jpg"", """"), ""-"", "", ""), """")"),"")</f>
        <v/>
      </c>
      <c r="L14485" s="12"/>
      <c r="M14485" s="13"/>
      <c r="N14485" s="2"/>
      <c r="O14485" s="20"/>
      <c r="P14485" s="42"/>
      <c r="R14485" s="23"/>
    </row>
    <row r="14486" spans="1:18" ht="12.75">
      <c r="A14486" s="12"/>
      <c r="D14486" s="12"/>
      <c r="E14486" s="12"/>
      <c r="H14486" s="11" t="str">
        <f ca="1">IFERROR(__xludf.DUMMYFUNCTION("IFERROR(SUBSTITUTE(SUBSTITUTE(REGEXEXTRACT(A14486, ""[^-]+- [^-]+- [^-]+ - (.+?)\.jpg""), "".jpg"", """"), ""-"", "", ""), """")"),"")</f>
        <v/>
      </c>
      <c r="L14486" s="12"/>
      <c r="M14486" s="13"/>
      <c r="N14486" s="2"/>
      <c r="O14486" s="20"/>
      <c r="P14486" s="42"/>
      <c r="R14486" s="23"/>
    </row>
    <row r="14487" spans="1:18" ht="12.75">
      <c r="A14487" s="12"/>
      <c r="D14487" s="12"/>
      <c r="E14487" s="12"/>
      <c r="H14487" s="11" t="str">
        <f ca="1">IFERROR(__xludf.DUMMYFUNCTION("IFERROR(SUBSTITUTE(SUBSTITUTE(REGEXEXTRACT(A14487, ""[^-]+- [^-]+- [^-]+ - (.+?)\.jpg""), "".jpg"", """"), ""-"", "", ""), """")"),"")</f>
        <v/>
      </c>
      <c r="L14487" s="12"/>
      <c r="M14487" s="13"/>
      <c r="N14487" s="2"/>
      <c r="O14487" s="20"/>
      <c r="P14487" s="42"/>
      <c r="R14487" s="23"/>
    </row>
    <row r="14488" spans="1:18" ht="12.75">
      <c r="A14488" s="12"/>
      <c r="D14488" s="12"/>
      <c r="E14488" s="12"/>
      <c r="H14488" s="11" t="str">
        <f ca="1">IFERROR(__xludf.DUMMYFUNCTION("IFERROR(SUBSTITUTE(SUBSTITUTE(REGEXEXTRACT(A14488, ""[^-]+- [^-]+- [^-]+ - (.+?)\.jpg""), "".jpg"", """"), ""-"", "", ""), """")"),"")</f>
        <v/>
      </c>
      <c r="L14488" s="12"/>
      <c r="M14488" s="13"/>
      <c r="N14488" s="2"/>
      <c r="O14488" s="20"/>
      <c r="P14488" s="42"/>
      <c r="R14488" s="23"/>
    </row>
    <row r="14489" spans="1:18" ht="12.75">
      <c r="A14489" s="12"/>
      <c r="D14489" s="12"/>
      <c r="E14489" s="12"/>
      <c r="H14489" s="11" t="str">
        <f ca="1">IFERROR(__xludf.DUMMYFUNCTION("IFERROR(SUBSTITUTE(SUBSTITUTE(REGEXEXTRACT(A14489, ""[^-]+- [^-]+- [^-]+ - (.+?)\.jpg""), "".jpg"", """"), ""-"", "", ""), """")"),"")</f>
        <v/>
      </c>
      <c r="L14489" s="12"/>
      <c r="M14489" s="13"/>
      <c r="N14489" s="2"/>
      <c r="O14489" s="20"/>
      <c r="P14489" s="42"/>
      <c r="R14489" s="23"/>
    </row>
    <row r="14490" spans="1:18" ht="12.75">
      <c r="A14490" s="12"/>
      <c r="D14490" s="12"/>
      <c r="E14490" s="12"/>
      <c r="H14490" s="11" t="str">
        <f ca="1">IFERROR(__xludf.DUMMYFUNCTION("IFERROR(SUBSTITUTE(SUBSTITUTE(REGEXEXTRACT(A14490, ""[^-]+- [^-]+- [^-]+ - (.+?)\.jpg""), "".jpg"", """"), ""-"", "", ""), """")"),"")</f>
        <v/>
      </c>
      <c r="L14490" s="12"/>
      <c r="M14490" s="13"/>
      <c r="N14490" s="2"/>
      <c r="O14490" s="20"/>
      <c r="P14490" s="42"/>
      <c r="R14490" s="23"/>
    </row>
    <row r="14491" spans="1:18" ht="12.75">
      <c r="A14491" s="12"/>
      <c r="D14491" s="12"/>
      <c r="E14491" s="12"/>
      <c r="H14491" s="11" t="str">
        <f ca="1">IFERROR(__xludf.DUMMYFUNCTION("IFERROR(SUBSTITUTE(SUBSTITUTE(REGEXEXTRACT(A14491, ""[^-]+- [^-]+- [^-]+ - (.+?)\.jpg""), "".jpg"", """"), ""-"", "", ""), """")"),"")</f>
        <v/>
      </c>
      <c r="L14491" s="12"/>
      <c r="M14491" s="13"/>
      <c r="N14491" s="2"/>
      <c r="O14491" s="20"/>
      <c r="P14491" s="42"/>
      <c r="R14491" s="23"/>
    </row>
    <row r="14492" spans="1:18" ht="12.75">
      <c r="A14492" s="12"/>
      <c r="D14492" s="12"/>
      <c r="E14492" s="12"/>
      <c r="H14492" s="11" t="str">
        <f ca="1">IFERROR(__xludf.DUMMYFUNCTION("IFERROR(SUBSTITUTE(SUBSTITUTE(REGEXEXTRACT(A14492, ""[^-]+- [^-]+- [^-]+ - (.+?)\.jpg""), "".jpg"", """"), ""-"", "", ""), """")"),"")</f>
        <v/>
      </c>
      <c r="L14492" s="12"/>
      <c r="M14492" s="13"/>
      <c r="N14492" s="2"/>
      <c r="O14492" s="20"/>
      <c r="P14492" s="42"/>
      <c r="R14492" s="23"/>
    </row>
    <row r="14493" spans="1:18" ht="12.75">
      <c r="A14493" s="12"/>
      <c r="D14493" s="12"/>
      <c r="E14493" s="12"/>
      <c r="H14493" s="11" t="str">
        <f ca="1">IFERROR(__xludf.DUMMYFUNCTION("IFERROR(SUBSTITUTE(SUBSTITUTE(REGEXEXTRACT(A14493, ""[^-]+- [^-]+- [^-]+ - (.+?)\.jpg""), "".jpg"", """"), ""-"", "", ""), """")"),"")</f>
        <v/>
      </c>
      <c r="L14493" s="12"/>
      <c r="M14493" s="13"/>
      <c r="N14493" s="2"/>
      <c r="O14493" s="20"/>
      <c r="P14493" s="42"/>
      <c r="R14493" s="23"/>
    </row>
    <row r="14494" spans="1:18" ht="12.75">
      <c r="A14494" s="12"/>
      <c r="D14494" s="12"/>
      <c r="E14494" s="12"/>
      <c r="H14494" s="11" t="str">
        <f ca="1">IFERROR(__xludf.DUMMYFUNCTION("IFERROR(SUBSTITUTE(SUBSTITUTE(REGEXEXTRACT(A14494, ""[^-]+- [^-]+- [^-]+ - (.+?)\.jpg""), "".jpg"", """"), ""-"", "", ""), """")"),"")</f>
        <v/>
      </c>
      <c r="L14494" s="12"/>
      <c r="M14494" s="13"/>
      <c r="N14494" s="2"/>
      <c r="O14494" s="20"/>
      <c r="P14494" s="42"/>
      <c r="R14494" s="23"/>
    </row>
    <row r="14495" spans="1:18" ht="12.75">
      <c r="A14495" s="12"/>
      <c r="D14495" s="12"/>
      <c r="E14495" s="12"/>
      <c r="H14495" s="11" t="str">
        <f ca="1">IFERROR(__xludf.DUMMYFUNCTION("IFERROR(SUBSTITUTE(SUBSTITUTE(REGEXEXTRACT(A14495, ""[^-]+- [^-]+- [^-]+ - (.+?)\.jpg""), "".jpg"", """"), ""-"", "", ""), """")"),"")</f>
        <v/>
      </c>
      <c r="L14495" s="12"/>
      <c r="M14495" s="13"/>
      <c r="N14495" s="2"/>
      <c r="O14495" s="20"/>
      <c r="P14495" s="42"/>
      <c r="R14495" s="23"/>
    </row>
    <row r="14496" spans="1:18" ht="12.75">
      <c r="A14496" s="12"/>
      <c r="D14496" s="12"/>
      <c r="E14496" s="12"/>
      <c r="H14496" s="11" t="str">
        <f ca="1">IFERROR(__xludf.DUMMYFUNCTION("IFERROR(SUBSTITUTE(SUBSTITUTE(REGEXEXTRACT(A14496, ""[^-]+- [^-]+- [^-]+ - (.+?)\.jpg""), "".jpg"", """"), ""-"", "", ""), """")"),"")</f>
        <v/>
      </c>
      <c r="L14496" s="12"/>
      <c r="M14496" s="13"/>
      <c r="N14496" s="2"/>
      <c r="O14496" s="20"/>
      <c r="P14496" s="42"/>
      <c r="R14496" s="23"/>
    </row>
    <row r="14497" spans="1:18" ht="12.75">
      <c r="A14497" s="12"/>
      <c r="D14497" s="12"/>
      <c r="E14497" s="12"/>
      <c r="H14497" s="11" t="str">
        <f ca="1">IFERROR(__xludf.DUMMYFUNCTION("IFERROR(SUBSTITUTE(SUBSTITUTE(REGEXEXTRACT(A14497, ""[^-]+- [^-]+- [^-]+ - (.+?)\.jpg""), "".jpg"", """"), ""-"", "", ""), """")"),"")</f>
        <v/>
      </c>
      <c r="L14497" s="12"/>
      <c r="M14497" s="13"/>
      <c r="N14497" s="2"/>
      <c r="O14497" s="20"/>
      <c r="P14497" s="42"/>
      <c r="R14497" s="23"/>
    </row>
    <row r="14498" spans="1:18" ht="12.75">
      <c r="A14498" s="12"/>
      <c r="D14498" s="12"/>
      <c r="E14498" s="12"/>
      <c r="H14498" s="11" t="str">
        <f ca="1">IFERROR(__xludf.DUMMYFUNCTION("IFERROR(SUBSTITUTE(SUBSTITUTE(REGEXEXTRACT(A14498, ""[^-]+- [^-]+- [^-]+ - (.+?)\.jpg""), "".jpg"", """"), ""-"", "", ""), """")"),"")</f>
        <v/>
      </c>
      <c r="L14498" s="12"/>
      <c r="M14498" s="13"/>
      <c r="N14498" s="2"/>
      <c r="O14498" s="20"/>
      <c r="P14498" s="42"/>
      <c r="R14498" s="23"/>
    </row>
    <row r="14499" spans="1:18" ht="12.75">
      <c r="A14499" s="12"/>
      <c r="D14499" s="12"/>
      <c r="E14499" s="12"/>
      <c r="H14499" s="11" t="str">
        <f ca="1">IFERROR(__xludf.DUMMYFUNCTION("IFERROR(SUBSTITUTE(SUBSTITUTE(REGEXEXTRACT(A14499, ""[^-]+- [^-]+- [^-]+ - (.+?)\.jpg""), "".jpg"", """"), ""-"", "", ""), """")"),"")</f>
        <v/>
      </c>
      <c r="L14499" s="12"/>
      <c r="M14499" s="13"/>
      <c r="N14499" s="2"/>
      <c r="O14499" s="20"/>
      <c r="P14499" s="42"/>
      <c r="R14499" s="23"/>
    </row>
    <row r="14500" spans="1:18" ht="12.75">
      <c r="A14500" s="12"/>
      <c r="D14500" s="12"/>
      <c r="E14500" s="12"/>
      <c r="H14500" s="11" t="str">
        <f ca="1">IFERROR(__xludf.DUMMYFUNCTION("IFERROR(SUBSTITUTE(SUBSTITUTE(REGEXEXTRACT(A14500, ""[^-]+- [^-]+- [^-]+ - (.+?)\.jpg""), "".jpg"", """"), ""-"", "", ""), """")"),"")</f>
        <v/>
      </c>
      <c r="L14500" s="12"/>
      <c r="M14500" s="13"/>
      <c r="N14500" s="2"/>
      <c r="O14500" s="20"/>
      <c r="P14500" s="42"/>
      <c r="R14500" s="23"/>
    </row>
    <row r="14501" spans="1:18" ht="12.75">
      <c r="A14501" s="12"/>
      <c r="D14501" s="12"/>
      <c r="E14501" s="12"/>
      <c r="H14501" s="11" t="str">
        <f ca="1">IFERROR(__xludf.DUMMYFUNCTION("IFERROR(SUBSTITUTE(SUBSTITUTE(REGEXEXTRACT(A14501, ""[^-]+- [^-]+- [^-]+ - (.+?)\.jpg""), "".jpg"", """"), ""-"", "", ""), """")"),"")</f>
        <v/>
      </c>
      <c r="L14501" s="12"/>
      <c r="M14501" s="13"/>
      <c r="N14501" s="2"/>
      <c r="O14501" s="20"/>
      <c r="P14501" s="42"/>
      <c r="R14501" s="23"/>
    </row>
    <row r="14502" spans="1:18" ht="12.75">
      <c r="A14502" s="12"/>
      <c r="D14502" s="12"/>
      <c r="E14502" s="12"/>
      <c r="H14502" s="11" t="str">
        <f ca="1">IFERROR(__xludf.DUMMYFUNCTION("IFERROR(SUBSTITUTE(SUBSTITUTE(REGEXEXTRACT(A14502, ""[^-]+- [^-]+- [^-]+ - (.+?)\.jpg""), "".jpg"", """"), ""-"", "", ""), """")"),"")</f>
        <v/>
      </c>
      <c r="L14502" s="12"/>
      <c r="M14502" s="13"/>
      <c r="N14502" s="2"/>
      <c r="O14502" s="20"/>
      <c r="P14502" s="42"/>
      <c r="R14502" s="23"/>
    </row>
    <row r="14503" spans="1:18" ht="12.75">
      <c r="A14503" s="12"/>
      <c r="D14503" s="12"/>
      <c r="E14503" s="12"/>
      <c r="H14503" s="11" t="str">
        <f ca="1">IFERROR(__xludf.DUMMYFUNCTION("IFERROR(SUBSTITUTE(SUBSTITUTE(REGEXEXTRACT(A14503, ""[^-]+- [^-]+- [^-]+ - (.+?)\.jpg""), "".jpg"", """"), ""-"", "", ""), """")"),"")</f>
        <v/>
      </c>
      <c r="L14503" s="12"/>
      <c r="M14503" s="13"/>
      <c r="N14503" s="2"/>
      <c r="O14503" s="20"/>
      <c r="P14503" s="42"/>
      <c r="R14503" s="23"/>
    </row>
    <row r="14504" spans="1:18" ht="12.75">
      <c r="A14504" s="12"/>
      <c r="D14504" s="12"/>
      <c r="E14504" s="12"/>
      <c r="H14504" s="11" t="str">
        <f ca="1">IFERROR(__xludf.DUMMYFUNCTION("IFERROR(SUBSTITUTE(SUBSTITUTE(REGEXEXTRACT(A14504, ""[^-]+- [^-]+- [^-]+ - (.+?)\.jpg""), "".jpg"", """"), ""-"", "", ""), """")"),"")</f>
        <v/>
      </c>
      <c r="L14504" s="12"/>
      <c r="M14504" s="13"/>
      <c r="N14504" s="2"/>
      <c r="O14504" s="20"/>
      <c r="P14504" s="42"/>
      <c r="R14504" s="23"/>
    </row>
    <row r="14505" spans="1:18" ht="12.75">
      <c r="A14505" s="12"/>
      <c r="D14505" s="12"/>
      <c r="E14505" s="12"/>
      <c r="H14505" s="11" t="str">
        <f ca="1">IFERROR(__xludf.DUMMYFUNCTION("IFERROR(SUBSTITUTE(SUBSTITUTE(REGEXEXTRACT(A14505, ""[^-]+- [^-]+- [^-]+ - (.+?)\.jpg""), "".jpg"", """"), ""-"", "", ""), """")"),"")</f>
        <v/>
      </c>
      <c r="L14505" s="12"/>
      <c r="M14505" s="13"/>
      <c r="N14505" s="2"/>
      <c r="O14505" s="20"/>
      <c r="P14505" s="42"/>
      <c r="R14505" s="23"/>
    </row>
    <row r="14506" spans="1:18" ht="12.75">
      <c r="A14506" s="12"/>
      <c r="D14506" s="12"/>
      <c r="E14506" s="12"/>
      <c r="H14506" s="11" t="str">
        <f ca="1">IFERROR(__xludf.DUMMYFUNCTION("IFERROR(SUBSTITUTE(SUBSTITUTE(REGEXEXTRACT(A14506, ""[^-]+- [^-]+- [^-]+ - (.+?)\.jpg""), "".jpg"", """"), ""-"", "", ""), """")"),"")</f>
        <v/>
      </c>
      <c r="L14506" s="12"/>
      <c r="M14506" s="13"/>
      <c r="N14506" s="2"/>
      <c r="O14506" s="20"/>
      <c r="P14506" s="42"/>
      <c r="R14506" s="23"/>
    </row>
    <row r="14507" spans="1:18" ht="12.75">
      <c r="A14507" s="12"/>
      <c r="D14507" s="12"/>
      <c r="E14507" s="12"/>
      <c r="H14507" s="11" t="str">
        <f ca="1">IFERROR(__xludf.DUMMYFUNCTION("IFERROR(SUBSTITUTE(SUBSTITUTE(REGEXEXTRACT(A14507, ""[^-]+- [^-]+- [^-]+ - (.+?)\.jpg""), "".jpg"", """"), ""-"", "", ""), """")"),"")</f>
        <v/>
      </c>
      <c r="L14507" s="12"/>
      <c r="M14507" s="13"/>
      <c r="N14507" s="2"/>
      <c r="O14507" s="20"/>
      <c r="P14507" s="42"/>
      <c r="R14507" s="23"/>
    </row>
    <row r="14508" spans="1:18" ht="12.75">
      <c r="A14508" s="12"/>
      <c r="D14508" s="12"/>
      <c r="E14508" s="12"/>
      <c r="H14508" s="11" t="str">
        <f ca="1">IFERROR(__xludf.DUMMYFUNCTION("IFERROR(SUBSTITUTE(SUBSTITUTE(REGEXEXTRACT(A14508, ""[^-]+- [^-]+- [^-]+ - (.+?)\.jpg""), "".jpg"", """"), ""-"", "", ""), """")"),"")</f>
        <v/>
      </c>
      <c r="L14508" s="12"/>
      <c r="M14508" s="13"/>
      <c r="N14508" s="2"/>
      <c r="O14508" s="20"/>
      <c r="P14508" s="42"/>
      <c r="R14508" s="23"/>
    </row>
    <row r="14509" spans="1:18" ht="12.75">
      <c r="A14509" s="12"/>
      <c r="D14509" s="12"/>
      <c r="E14509" s="12"/>
      <c r="H14509" s="11" t="str">
        <f ca="1">IFERROR(__xludf.DUMMYFUNCTION("IFERROR(SUBSTITUTE(SUBSTITUTE(REGEXEXTRACT(A14509, ""[^-]+- [^-]+- [^-]+ - (.+?)\.jpg""), "".jpg"", """"), ""-"", "", ""), """")"),"")</f>
        <v/>
      </c>
      <c r="L14509" s="12"/>
      <c r="M14509" s="13"/>
      <c r="N14509" s="2"/>
      <c r="O14509" s="20"/>
      <c r="P14509" s="42"/>
      <c r="R14509" s="23"/>
    </row>
    <row r="14510" spans="1:18" ht="12.75">
      <c r="A14510" s="12"/>
      <c r="D14510" s="12"/>
      <c r="E14510" s="12"/>
      <c r="H14510" s="11" t="str">
        <f ca="1">IFERROR(__xludf.DUMMYFUNCTION("IFERROR(SUBSTITUTE(SUBSTITUTE(REGEXEXTRACT(A14510, ""[^-]+- [^-]+- [^-]+ - (.+?)\.jpg""), "".jpg"", """"), ""-"", "", ""), """")"),"")</f>
        <v/>
      </c>
      <c r="L14510" s="12"/>
      <c r="M14510" s="13"/>
      <c r="N14510" s="2"/>
      <c r="O14510" s="20"/>
      <c r="P14510" s="42"/>
      <c r="R14510" s="23"/>
    </row>
    <row r="14511" spans="1:18" ht="12.75">
      <c r="A14511" s="12"/>
      <c r="D14511" s="12"/>
      <c r="E14511" s="12"/>
      <c r="H14511" s="11" t="str">
        <f ca="1">IFERROR(__xludf.DUMMYFUNCTION("IFERROR(SUBSTITUTE(SUBSTITUTE(REGEXEXTRACT(A14511, ""[^-]+- [^-]+- [^-]+ - (.+?)\.jpg""), "".jpg"", """"), ""-"", "", ""), """")"),"")</f>
        <v/>
      </c>
      <c r="L14511" s="12"/>
      <c r="M14511" s="13"/>
      <c r="N14511" s="2"/>
      <c r="O14511" s="20"/>
      <c r="P14511" s="42"/>
      <c r="R14511" s="23"/>
    </row>
    <row r="14512" spans="1:18" ht="12.75">
      <c r="A14512" s="12"/>
      <c r="D14512" s="12"/>
      <c r="E14512" s="12"/>
      <c r="H14512" s="11" t="str">
        <f ca="1">IFERROR(__xludf.DUMMYFUNCTION("IFERROR(SUBSTITUTE(SUBSTITUTE(REGEXEXTRACT(A14512, ""[^-]+- [^-]+- [^-]+ - (.+?)\.jpg""), "".jpg"", """"), ""-"", "", ""), """")"),"")</f>
        <v/>
      </c>
      <c r="L14512" s="12"/>
      <c r="M14512" s="13"/>
      <c r="N14512" s="2"/>
      <c r="O14512" s="20"/>
      <c r="P14512" s="42"/>
      <c r="R14512" s="23"/>
    </row>
    <row r="14513" spans="1:18" ht="12.75">
      <c r="A14513" s="12"/>
      <c r="D14513" s="12"/>
      <c r="E14513" s="12"/>
      <c r="H14513" s="11" t="str">
        <f ca="1">IFERROR(__xludf.DUMMYFUNCTION("IFERROR(SUBSTITUTE(SUBSTITUTE(REGEXEXTRACT(A14513, ""[^-]+- [^-]+- [^-]+ - (.+?)\.jpg""), "".jpg"", """"), ""-"", "", ""), """")"),"")</f>
        <v/>
      </c>
      <c r="L14513" s="12"/>
      <c r="M14513" s="13"/>
      <c r="N14513" s="2"/>
      <c r="O14513" s="20"/>
      <c r="P14513" s="42"/>
      <c r="R14513" s="23"/>
    </row>
    <row r="14514" spans="1:18" ht="12.75">
      <c r="A14514" s="12"/>
      <c r="D14514" s="12"/>
      <c r="E14514" s="12"/>
      <c r="H14514" s="11" t="str">
        <f ca="1">IFERROR(__xludf.DUMMYFUNCTION("IFERROR(SUBSTITUTE(SUBSTITUTE(REGEXEXTRACT(A14514, ""[^-]+- [^-]+- [^-]+ - (.+?)\.jpg""), "".jpg"", """"), ""-"", "", ""), """")"),"")</f>
        <v/>
      </c>
      <c r="L14514" s="12"/>
      <c r="M14514" s="13"/>
      <c r="N14514" s="2"/>
      <c r="O14514" s="20"/>
      <c r="P14514" s="42"/>
      <c r="R14514" s="23"/>
    </row>
    <row r="14515" spans="1:18" ht="12.75">
      <c r="A14515" s="12"/>
      <c r="D14515" s="12"/>
      <c r="E14515" s="12"/>
      <c r="H14515" s="11" t="str">
        <f ca="1">IFERROR(__xludf.DUMMYFUNCTION("IFERROR(SUBSTITUTE(SUBSTITUTE(REGEXEXTRACT(A14515, ""[^-]+- [^-]+- [^-]+ - (.+?)\.jpg""), "".jpg"", """"), ""-"", "", ""), """")"),"")</f>
        <v/>
      </c>
      <c r="L14515" s="12"/>
      <c r="M14515" s="13"/>
      <c r="N14515" s="2"/>
      <c r="O14515" s="20"/>
      <c r="P14515" s="42"/>
      <c r="R14515" s="23"/>
    </row>
    <row r="14516" spans="1:18" ht="12.75">
      <c r="A14516" s="12"/>
      <c r="D14516" s="12"/>
      <c r="E14516" s="12"/>
      <c r="H14516" s="11" t="str">
        <f ca="1">IFERROR(__xludf.DUMMYFUNCTION("IFERROR(SUBSTITUTE(SUBSTITUTE(REGEXEXTRACT(A14516, ""[^-]+- [^-]+- [^-]+ - (.+?)\.jpg""), "".jpg"", """"), ""-"", "", ""), """")"),"")</f>
        <v/>
      </c>
      <c r="L14516" s="12"/>
      <c r="M14516" s="13"/>
      <c r="N14516" s="2"/>
      <c r="O14516" s="20"/>
      <c r="P14516" s="42"/>
      <c r="R14516" s="23"/>
    </row>
    <row r="14517" spans="1:18" ht="12.75">
      <c r="A14517" s="12"/>
      <c r="D14517" s="12"/>
      <c r="E14517" s="12"/>
      <c r="H14517" s="11" t="str">
        <f ca="1">IFERROR(__xludf.DUMMYFUNCTION("IFERROR(SUBSTITUTE(SUBSTITUTE(REGEXEXTRACT(A14517, ""[^-]+- [^-]+- [^-]+ - (.+?)\.jpg""), "".jpg"", """"), ""-"", "", ""), """")"),"")</f>
        <v/>
      </c>
      <c r="L14517" s="12"/>
      <c r="M14517" s="13"/>
      <c r="N14517" s="2"/>
      <c r="O14517" s="20"/>
      <c r="P14517" s="42"/>
      <c r="R14517" s="23"/>
    </row>
    <row r="14518" spans="1:18" ht="12.75">
      <c r="A14518" s="12"/>
      <c r="D14518" s="12"/>
      <c r="E14518" s="12"/>
      <c r="H14518" s="11" t="str">
        <f ca="1">IFERROR(__xludf.DUMMYFUNCTION("IFERROR(SUBSTITUTE(SUBSTITUTE(REGEXEXTRACT(A14518, ""[^-]+- [^-]+- [^-]+ - (.+?)\.jpg""), "".jpg"", """"), ""-"", "", ""), """")"),"")</f>
        <v/>
      </c>
      <c r="L14518" s="12"/>
      <c r="M14518" s="13"/>
      <c r="N14518" s="2"/>
      <c r="O14518" s="20"/>
      <c r="P14518" s="42"/>
      <c r="R14518" s="23"/>
    </row>
    <row r="14519" spans="1:18" ht="12.75">
      <c r="A14519" s="12"/>
      <c r="D14519" s="12"/>
      <c r="E14519" s="12"/>
      <c r="H14519" s="11" t="str">
        <f ca="1">IFERROR(__xludf.DUMMYFUNCTION("IFERROR(SUBSTITUTE(SUBSTITUTE(REGEXEXTRACT(A14519, ""[^-]+- [^-]+- [^-]+ - (.+?)\.jpg""), "".jpg"", """"), ""-"", "", ""), """")"),"")</f>
        <v/>
      </c>
      <c r="L14519" s="12"/>
      <c r="M14519" s="13"/>
      <c r="N14519" s="2"/>
      <c r="O14519" s="20"/>
      <c r="P14519" s="42"/>
      <c r="R14519" s="23"/>
    </row>
    <row r="14520" spans="1:18" ht="12.75">
      <c r="A14520" s="12"/>
      <c r="D14520" s="12"/>
      <c r="E14520" s="12"/>
      <c r="H14520" s="11" t="str">
        <f ca="1">IFERROR(__xludf.DUMMYFUNCTION("IFERROR(SUBSTITUTE(SUBSTITUTE(REGEXEXTRACT(A14520, ""[^-]+- [^-]+- [^-]+ - (.+?)\.jpg""), "".jpg"", """"), ""-"", "", ""), """")"),"")</f>
        <v/>
      </c>
      <c r="L14520" s="12"/>
      <c r="M14520" s="13"/>
      <c r="N14520" s="2"/>
      <c r="O14520" s="20"/>
      <c r="P14520" s="42"/>
      <c r="R14520" s="23"/>
    </row>
    <row r="14521" spans="1:18" ht="12.75">
      <c r="A14521" s="12"/>
      <c r="D14521" s="12"/>
      <c r="E14521" s="12"/>
      <c r="H14521" s="11" t="str">
        <f ca="1">IFERROR(__xludf.DUMMYFUNCTION("IFERROR(SUBSTITUTE(SUBSTITUTE(REGEXEXTRACT(A14521, ""[^-]+- [^-]+- [^-]+ - (.+?)\.jpg""), "".jpg"", """"), ""-"", "", ""), """")"),"")</f>
        <v/>
      </c>
      <c r="L14521" s="12"/>
      <c r="M14521" s="13"/>
      <c r="N14521" s="2"/>
      <c r="O14521" s="20"/>
      <c r="P14521" s="42"/>
      <c r="R14521" s="23"/>
    </row>
    <row r="14522" spans="1:18" ht="12.75">
      <c r="A14522" s="12"/>
      <c r="D14522" s="12"/>
      <c r="E14522" s="12"/>
      <c r="H14522" s="11" t="str">
        <f ca="1">IFERROR(__xludf.DUMMYFUNCTION("IFERROR(SUBSTITUTE(SUBSTITUTE(REGEXEXTRACT(A14522, ""[^-]+- [^-]+- [^-]+ - (.+?)\.jpg""), "".jpg"", """"), ""-"", "", ""), """")"),"")</f>
        <v/>
      </c>
      <c r="L14522" s="12"/>
      <c r="M14522" s="13"/>
      <c r="N14522" s="2"/>
      <c r="O14522" s="20"/>
      <c r="P14522" s="42"/>
      <c r="R14522" s="23"/>
    </row>
    <row r="14523" spans="1:18" ht="12.75">
      <c r="A14523" s="12"/>
      <c r="D14523" s="12"/>
      <c r="E14523" s="12"/>
      <c r="H14523" s="11" t="str">
        <f ca="1">IFERROR(__xludf.DUMMYFUNCTION("IFERROR(SUBSTITUTE(SUBSTITUTE(REGEXEXTRACT(A14523, ""[^-]+- [^-]+- [^-]+ - (.+?)\.jpg""), "".jpg"", """"), ""-"", "", ""), """")"),"")</f>
        <v/>
      </c>
      <c r="L14523" s="12"/>
      <c r="M14523" s="13"/>
      <c r="N14523" s="2"/>
      <c r="O14523" s="20"/>
      <c r="P14523" s="42"/>
      <c r="R14523" s="23"/>
    </row>
    <row r="14524" spans="1:18" ht="12.75">
      <c r="A14524" s="12"/>
      <c r="D14524" s="12"/>
      <c r="E14524" s="12"/>
      <c r="H14524" s="11" t="str">
        <f ca="1">IFERROR(__xludf.DUMMYFUNCTION("IFERROR(SUBSTITUTE(SUBSTITUTE(REGEXEXTRACT(A14524, ""[^-]+- [^-]+- [^-]+ - (.+?)\.jpg""), "".jpg"", """"), ""-"", "", ""), """")"),"")</f>
        <v/>
      </c>
      <c r="L14524" s="12"/>
      <c r="M14524" s="13"/>
      <c r="N14524" s="2"/>
      <c r="O14524" s="20"/>
      <c r="P14524" s="42"/>
      <c r="R14524" s="23"/>
    </row>
    <row r="14525" spans="1:18" ht="12.75">
      <c r="A14525" s="12"/>
      <c r="D14525" s="12"/>
      <c r="E14525" s="12"/>
      <c r="H14525" s="11" t="str">
        <f ca="1">IFERROR(__xludf.DUMMYFUNCTION("IFERROR(SUBSTITUTE(SUBSTITUTE(REGEXEXTRACT(A14525, ""[^-]+- [^-]+- [^-]+ - (.+?)\.jpg""), "".jpg"", """"), ""-"", "", ""), """")"),"")</f>
        <v/>
      </c>
      <c r="L14525" s="12"/>
      <c r="M14525" s="13"/>
      <c r="N14525" s="2"/>
      <c r="O14525" s="20"/>
      <c r="P14525" s="42"/>
      <c r="R14525" s="23"/>
    </row>
    <row r="14526" spans="1:18" ht="12.75">
      <c r="A14526" s="12"/>
      <c r="D14526" s="12"/>
      <c r="E14526" s="12"/>
      <c r="H14526" s="11" t="str">
        <f ca="1">IFERROR(__xludf.DUMMYFUNCTION("IFERROR(SUBSTITUTE(SUBSTITUTE(REGEXEXTRACT(A14526, ""[^-]+- [^-]+- [^-]+ - (.+?)\.jpg""), "".jpg"", """"), ""-"", "", ""), """")"),"")</f>
        <v/>
      </c>
      <c r="L14526" s="12"/>
      <c r="M14526" s="13"/>
      <c r="N14526" s="2"/>
      <c r="O14526" s="20"/>
      <c r="P14526" s="42"/>
      <c r="R14526" s="23"/>
    </row>
    <row r="14527" spans="1:18" ht="12.75">
      <c r="A14527" s="12"/>
      <c r="D14527" s="12"/>
      <c r="E14527" s="12"/>
      <c r="H14527" s="11" t="str">
        <f ca="1">IFERROR(__xludf.DUMMYFUNCTION("IFERROR(SUBSTITUTE(SUBSTITUTE(REGEXEXTRACT(A14527, ""[^-]+- [^-]+- [^-]+ - (.+?)\.jpg""), "".jpg"", """"), ""-"", "", ""), """")"),"")</f>
        <v/>
      </c>
      <c r="L14527" s="12"/>
      <c r="M14527" s="13"/>
      <c r="N14527" s="2"/>
      <c r="O14527" s="20"/>
      <c r="P14527" s="42"/>
      <c r="R14527" s="23"/>
    </row>
    <row r="14528" spans="1:18" ht="12.75">
      <c r="A14528" s="12"/>
      <c r="D14528" s="12"/>
      <c r="E14528" s="12"/>
      <c r="H14528" s="11" t="str">
        <f ca="1">IFERROR(__xludf.DUMMYFUNCTION("IFERROR(SUBSTITUTE(SUBSTITUTE(REGEXEXTRACT(A14528, ""[^-]+- [^-]+- [^-]+ - (.+?)\.jpg""), "".jpg"", """"), ""-"", "", ""), """")"),"")</f>
        <v/>
      </c>
      <c r="L14528" s="12"/>
      <c r="M14528" s="13"/>
      <c r="N14528" s="2"/>
      <c r="O14528" s="20"/>
      <c r="P14528" s="42"/>
      <c r="R14528" s="23"/>
    </row>
    <row r="14529" spans="1:18" ht="12.75">
      <c r="A14529" s="12"/>
      <c r="D14529" s="12"/>
      <c r="E14529" s="12"/>
      <c r="H14529" s="11" t="str">
        <f ca="1">IFERROR(__xludf.DUMMYFUNCTION("IFERROR(SUBSTITUTE(SUBSTITUTE(REGEXEXTRACT(A14529, ""[^-]+- [^-]+- [^-]+ - (.+?)\.jpg""), "".jpg"", """"), ""-"", "", ""), """")"),"")</f>
        <v/>
      </c>
      <c r="L14529" s="12"/>
      <c r="M14529" s="13"/>
      <c r="N14529" s="2"/>
      <c r="O14529" s="20"/>
      <c r="P14529" s="42"/>
      <c r="R14529" s="23"/>
    </row>
    <row r="14530" spans="1:18" ht="12.75">
      <c r="A14530" s="12"/>
      <c r="D14530" s="12"/>
      <c r="E14530" s="12"/>
      <c r="H14530" s="11" t="str">
        <f ca="1">IFERROR(__xludf.DUMMYFUNCTION("IFERROR(SUBSTITUTE(SUBSTITUTE(REGEXEXTRACT(A14530, ""[^-]+- [^-]+- [^-]+ - (.+?)\.jpg""), "".jpg"", """"), ""-"", "", ""), """")"),"")</f>
        <v/>
      </c>
      <c r="L14530" s="12"/>
      <c r="M14530" s="13"/>
      <c r="N14530" s="2"/>
      <c r="O14530" s="20"/>
      <c r="P14530" s="42"/>
      <c r="R14530" s="23"/>
    </row>
    <row r="14531" spans="1:18" ht="12.75">
      <c r="A14531" s="12"/>
      <c r="D14531" s="12"/>
      <c r="E14531" s="12"/>
      <c r="H14531" s="11" t="str">
        <f ca="1">IFERROR(__xludf.DUMMYFUNCTION("IFERROR(SUBSTITUTE(SUBSTITUTE(REGEXEXTRACT(A14531, ""[^-]+- [^-]+- [^-]+ - (.+?)\.jpg""), "".jpg"", """"), ""-"", "", ""), """")"),"")</f>
        <v/>
      </c>
      <c r="L14531" s="12"/>
      <c r="M14531" s="13"/>
      <c r="N14531" s="2"/>
      <c r="O14531" s="20"/>
      <c r="P14531" s="42"/>
      <c r="R14531" s="23"/>
    </row>
    <row r="14532" spans="1:18" ht="12.75">
      <c r="A14532" s="12"/>
      <c r="D14532" s="12"/>
      <c r="E14532" s="12"/>
      <c r="H14532" s="11" t="str">
        <f ca="1">IFERROR(__xludf.DUMMYFUNCTION("IFERROR(SUBSTITUTE(SUBSTITUTE(REGEXEXTRACT(A14532, ""[^-]+- [^-]+- [^-]+ - (.+?)\.jpg""), "".jpg"", """"), ""-"", "", ""), """")"),"")</f>
        <v/>
      </c>
      <c r="L14532" s="12"/>
      <c r="M14532" s="13"/>
      <c r="N14532" s="2"/>
      <c r="O14532" s="20"/>
      <c r="P14532" s="42"/>
      <c r="R14532" s="23"/>
    </row>
    <row r="14533" spans="1:18" ht="12.75">
      <c r="A14533" s="12"/>
      <c r="D14533" s="12"/>
      <c r="E14533" s="12"/>
      <c r="H14533" s="11" t="str">
        <f ca="1">IFERROR(__xludf.DUMMYFUNCTION("IFERROR(SUBSTITUTE(SUBSTITUTE(REGEXEXTRACT(A14533, ""[^-]+- [^-]+- [^-]+ - (.+?)\.jpg""), "".jpg"", """"), ""-"", "", ""), """")"),"")</f>
        <v/>
      </c>
      <c r="L14533" s="12"/>
      <c r="M14533" s="13"/>
      <c r="N14533" s="2"/>
      <c r="O14533" s="20"/>
      <c r="P14533" s="42"/>
      <c r="R14533" s="23"/>
    </row>
    <row r="14534" spans="1:18" ht="12.75">
      <c r="A14534" s="12"/>
      <c r="D14534" s="12"/>
      <c r="E14534" s="12"/>
      <c r="H14534" s="11" t="str">
        <f ca="1">IFERROR(__xludf.DUMMYFUNCTION("IFERROR(SUBSTITUTE(SUBSTITUTE(REGEXEXTRACT(A14534, ""[^-]+- [^-]+- [^-]+ - (.+?)\.jpg""), "".jpg"", """"), ""-"", "", ""), """")"),"")</f>
        <v/>
      </c>
      <c r="L14534" s="12"/>
      <c r="M14534" s="13"/>
      <c r="N14534" s="2"/>
      <c r="O14534" s="20"/>
      <c r="P14534" s="42"/>
      <c r="R14534" s="23"/>
    </row>
    <row r="14535" spans="1:18" ht="12.75">
      <c r="A14535" s="12"/>
      <c r="D14535" s="12"/>
      <c r="E14535" s="12"/>
      <c r="H14535" s="11" t="str">
        <f ca="1">IFERROR(__xludf.DUMMYFUNCTION("IFERROR(SUBSTITUTE(SUBSTITUTE(REGEXEXTRACT(A14535, ""[^-]+- [^-]+- [^-]+ - (.+?)\.jpg""), "".jpg"", """"), ""-"", "", ""), """")"),"")</f>
        <v/>
      </c>
      <c r="L14535" s="12"/>
      <c r="M14535" s="13"/>
      <c r="N14535" s="2"/>
      <c r="O14535" s="20"/>
      <c r="P14535" s="42"/>
      <c r="R14535" s="23"/>
    </row>
    <row r="14536" spans="1:18" ht="12.75">
      <c r="A14536" s="12"/>
      <c r="D14536" s="12"/>
      <c r="E14536" s="12"/>
      <c r="H14536" s="11" t="str">
        <f ca="1">IFERROR(__xludf.DUMMYFUNCTION("IFERROR(SUBSTITUTE(SUBSTITUTE(REGEXEXTRACT(A14536, ""[^-]+- [^-]+- [^-]+ - (.+?)\.jpg""), "".jpg"", """"), ""-"", "", ""), """")"),"")</f>
        <v/>
      </c>
      <c r="L14536" s="12"/>
      <c r="M14536" s="13"/>
      <c r="N14536" s="2"/>
      <c r="O14536" s="20"/>
      <c r="P14536" s="42"/>
      <c r="R14536" s="23"/>
    </row>
    <row r="14537" spans="1:18" ht="12.75">
      <c r="A14537" s="12"/>
      <c r="D14537" s="12"/>
      <c r="E14537" s="12"/>
      <c r="H14537" s="11" t="str">
        <f ca="1">IFERROR(__xludf.DUMMYFUNCTION("IFERROR(SUBSTITUTE(SUBSTITUTE(REGEXEXTRACT(A14537, ""[^-]+- [^-]+- [^-]+ - (.+?)\.jpg""), "".jpg"", """"), ""-"", "", ""), """")"),"")</f>
        <v/>
      </c>
      <c r="L14537" s="12"/>
      <c r="M14537" s="13"/>
      <c r="N14537" s="2"/>
      <c r="O14537" s="20"/>
      <c r="P14537" s="42"/>
      <c r="R14537" s="23"/>
    </row>
    <row r="14538" spans="1:18" ht="12.75">
      <c r="A14538" s="12"/>
      <c r="D14538" s="12"/>
      <c r="E14538" s="12"/>
      <c r="H14538" s="11" t="str">
        <f ca="1">IFERROR(__xludf.DUMMYFUNCTION("IFERROR(SUBSTITUTE(SUBSTITUTE(REGEXEXTRACT(A14538, ""[^-]+- [^-]+- [^-]+ - (.+?)\.jpg""), "".jpg"", """"), ""-"", "", ""), """")"),"")</f>
        <v/>
      </c>
      <c r="L14538" s="12"/>
      <c r="M14538" s="13"/>
      <c r="N14538" s="2"/>
      <c r="O14538" s="20"/>
      <c r="P14538" s="42"/>
      <c r="R14538" s="23"/>
    </row>
    <row r="14539" spans="1:18" ht="12.75">
      <c r="A14539" s="12"/>
      <c r="D14539" s="12"/>
      <c r="E14539" s="12"/>
      <c r="H14539" s="11" t="str">
        <f ca="1">IFERROR(__xludf.DUMMYFUNCTION("IFERROR(SUBSTITUTE(SUBSTITUTE(REGEXEXTRACT(A14539, ""[^-]+- [^-]+- [^-]+ - (.+?)\.jpg""), "".jpg"", """"), ""-"", "", ""), """")"),"")</f>
        <v/>
      </c>
      <c r="L14539" s="12"/>
      <c r="M14539" s="13"/>
      <c r="N14539" s="2"/>
      <c r="O14539" s="20"/>
      <c r="P14539" s="42"/>
      <c r="R14539" s="23"/>
    </row>
    <row r="14540" spans="1:18" ht="12.75">
      <c r="A14540" s="12"/>
      <c r="D14540" s="12"/>
      <c r="E14540" s="12"/>
      <c r="H14540" s="11" t="str">
        <f ca="1">IFERROR(__xludf.DUMMYFUNCTION("IFERROR(SUBSTITUTE(SUBSTITUTE(REGEXEXTRACT(A14540, ""[^-]+- [^-]+- [^-]+ - (.+?)\.jpg""), "".jpg"", """"), ""-"", "", ""), """")"),"")</f>
        <v/>
      </c>
      <c r="L14540" s="12"/>
      <c r="M14540" s="13"/>
      <c r="N14540" s="2"/>
      <c r="O14540" s="20"/>
      <c r="P14540" s="42"/>
      <c r="R14540" s="23"/>
    </row>
    <row r="14541" spans="1:18" ht="12.75">
      <c r="A14541" s="12"/>
      <c r="D14541" s="12"/>
      <c r="E14541" s="12"/>
      <c r="H14541" s="11" t="str">
        <f ca="1">IFERROR(__xludf.DUMMYFUNCTION("IFERROR(SUBSTITUTE(SUBSTITUTE(REGEXEXTRACT(A14541, ""[^-]+- [^-]+- [^-]+ - (.+?)\.jpg""), "".jpg"", """"), ""-"", "", ""), """")"),"")</f>
        <v/>
      </c>
      <c r="L14541" s="12"/>
      <c r="M14541" s="13"/>
      <c r="N14541" s="2"/>
      <c r="O14541" s="20"/>
      <c r="P14541" s="42"/>
      <c r="R14541" s="23"/>
    </row>
    <row r="14542" spans="1:18" ht="12.75">
      <c r="A14542" s="12"/>
      <c r="D14542" s="12"/>
      <c r="E14542" s="12"/>
      <c r="H14542" s="11" t="str">
        <f ca="1">IFERROR(__xludf.DUMMYFUNCTION("IFERROR(SUBSTITUTE(SUBSTITUTE(REGEXEXTRACT(A14542, ""[^-]+- [^-]+- [^-]+ - (.+?)\.jpg""), "".jpg"", """"), ""-"", "", ""), """")"),"")</f>
        <v/>
      </c>
      <c r="L14542" s="12"/>
      <c r="M14542" s="13"/>
      <c r="N14542" s="2"/>
      <c r="O14542" s="20"/>
      <c r="P14542" s="42"/>
      <c r="R14542" s="23"/>
    </row>
    <row r="14543" spans="1:18" ht="12.75">
      <c r="A14543" s="12"/>
      <c r="D14543" s="12"/>
      <c r="E14543" s="12"/>
      <c r="H14543" s="11" t="str">
        <f ca="1">IFERROR(__xludf.DUMMYFUNCTION("IFERROR(SUBSTITUTE(SUBSTITUTE(REGEXEXTRACT(A14543, ""[^-]+- [^-]+- [^-]+ - (.+?)\.jpg""), "".jpg"", """"), ""-"", "", ""), """")"),"")</f>
        <v/>
      </c>
      <c r="L14543" s="12"/>
      <c r="M14543" s="13"/>
      <c r="N14543" s="2"/>
      <c r="O14543" s="20"/>
      <c r="P14543" s="42"/>
      <c r="R14543" s="23"/>
    </row>
    <row r="14544" spans="1:18" ht="12.75">
      <c r="A14544" s="12"/>
      <c r="D14544" s="12"/>
      <c r="E14544" s="12"/>
      <c r="H14544" s="11" t="str">
        <f ca="1">IFERROR(__xludf.DUMMYFUNCTION("IFERROR(SUBSTITUTE(SUBSTITUTE(REGEXEXTRACT(A14544, ""[^-]+- [^-]+- [^-]+ - (.+?)\.jpg""), "".jpg"", """"), ""-"", "", ""), """")"),"")</f>
        <v/>
      </c>
      <c r="L14544" s="12"/>
      <c r="M14544" s="13"/>
      <c r="N14544" s="2"/>
      <c r="O14544" s="20"/>
      <c r="P14544" s="42"/>
      <c r="R14544" s="23"/>
    </row>
    <row r="14545" spans="1:18" ht="12.75">
      <c r="A14545" s="12"/>
      <c r="D14545" s="12"/>
      <c r="E14545" s="12"/>
      <c r="H14545" s="11" t="str">
        <f ca="1">IFERROR(__xludf.DUMMYFUNCTION("IFERROR(SUBSTITUTE(SUBSTITUTE(REGEXEXTRACT(A14545, ""[^-]+- [^-]+- [^-]+ - (.+?)\.jpg""), "".jpg"", """"), ""-"", "", ""), """")"),"")</f>
        <v/>
      </c>
      <c r="L14545" s="12"/>
      <c r="M14545" s="13"/>
      <c r="N14545" s="2"/>
      <c r="O14545" s="20"/>
      <c r="P14545" s="42"/>
      <c r="R14545" s="23"/>
    </row>
    <row r="14546" spans="1:18" ht="12.75">
      <c r="A14546" s="12"/>
      <c r="D14546" s="12"/>
      <c r="E14546" s="12"/>
      <c r="H14546" s="11" t="str">
        <f ca="1">IFERROR(__xludf.DUMMYFUNCTION("IFERROR(SUBSTITUTE(SUBSTITUTE(REGEXEXTRACT(A14546, ""[^-]+- [^-]+- [^-]+ - (.+?)\.jpg""), "".jpg"", """"), ""-"", "", ""), """")"),"")</f>
        <v/>
      </c>
      <c r="L14546" s="12"/>
      <c r="M14546" s="13"/>
      <c r="N14546" s="2"/>
      <c r="O14546" s="20"/>
      <c r="P14546" s="42"/>
      <c r="R14546" s="23"/>
    </row>
    <row r="14547" spans="1:18" ht="12.75">
      <c r="A14547" s="12"/>
      <c r="D14547" s="12"/>
      <c r="E14547" s="12"/>
      <c r="H14547" s="11" t="str">
        <f ca="1">IFERROR(__xludf.DUMMYFUNCTION("IFERROR(SUBSTITUTE(SUBSTITUTE(REGEXEXTRACT(A14547, ""[^-]+- [^-]+- [^-]+ - (.+?)\.jpg""), "".jpg"", """"), ""-"", "", ""), """")"),"")</f>
        <v/>
      </c>
      <c r="L14547" s="12"/>
      <c r="M14547" s="13"/>
      <c r="N14547" s="2"/>
      <c r="O14547" s="20"/>
      <c r="P14547" s="42"/>
      <c r="R14547" s="23"/>
    </row>
    <row r="14548" spans="1:18" ht="12.75">
      <c r="A14548" s="12"/>
      <c r="D14548" s="12"/>
      <c r="E14548" s="12"/>
      <c r="H14548" s="11" t="str">
        <f ca="1">IFERROR(__xludf.DUMMYFUNCTION("IFERROR(SUBSTITUTE(SUBSTITUTE(REGEXEXTRACT(A14548, ""[^-]+- [^-]+- [^-]+ - (.+?)\.jpg""), "".jpg"", """"), ""-"", "", ""), """")"),"")</f>
        <v/>
      </c>
      <c r="L14548" s="12"/>
      <c r="M14548" s="13"/>
      <c r="N14548" s="2"/>
      <c r="O14548" s="20"/>
      <c r="P14548" s="42"/>
      <c r="R14548" s="23"/>
    </row>
    <row r="14549" spans="1:18" ht="12.75">
      <c r="A14549" s="12"/>
      <c r="D14549" s="12"/>
      <c r="E14549" s="12"/>
      <c r="H14549" s="11" t="str">
        <f ca="1">IFERROR(__xludf.DUMMYFUNCTION("IFERROR(SUBSTITUTE(SUBSTITUTE(REGEXEXTRACT(A14549, ""[^-]+- [^-]+- [^-]+ - (.+?)\.jpg""), "".jpg"", """"), ""-"", "", ""), """")"),"")</f>
        <v/>
      </c>
      <c r="L14549" s="12"/>
      <c r="M14549" s="13"/>
      <c r="N14549" s="2"/>
      <c r="O14549" s="20"/>
      <c r="P14549" s="42"/>
      <c r="R14549" s="23"/>
    </row>
    <row r="14550" spans="1:18" ht="12.75">
      <c r="A14550" s="12"/>
      <c r="D14550" s="12"/>
      <c r="E14550" s="12"/>
      <c r="H14550" s="11" t="str">
        <f ca="1">IFERROR(__xludf.DUMMYFUNCTION("IFERROR(SUBSTITUTE(SUBSTITUTE(REGEXEXTRACT(A14550, ""[^-]+- [^-]+- [^-]+ - (.+?)\.jpg""), "".jpg"", """"), ""-"", "", ""), """")"),"")</f>
        <v/>
      </c>
      <c r="L14550" s="12"/>
      <c r="M14550" s="13"/>
      <c r="N14550" s="2"/>
      <c r="O14550" s="20"/>
      <c r="P14550" s="42"/>
      <c r="R14550" s="23"/>
    </row>
    <row r="14551" spans="1:18" ht="12.75">
      <c r="A14551" s="12"/>
      <c r="D14551" s="12"/>
      <c r="E14551" s="12"/>
      <c r="H14551" s="11" t="str">
        <f ca="1">IFERROR(__xludf.DUMMYFUNCTION("IFERROR(SUBSTITUTE(SUBSTITUTE(REGEXEXTRACT(A14551, ""[^-]+- [^-]+- [^-]+ - (.+?)\.jpg""), "".jpg"", """"), ""-"", "", ""), """")"),"")</f>
        <v/>
      </c>
      <c r="L14551" s="12"/>
      <c r="M14551" s="13"/>
      <c r="N14551" s="2"/>
      <c r="O14551" s="20"/>
      <c r="P14551" s="42"/>
      <c r="R14551" s="23"/>
    </row>
    <row r="14552" spans="1:18" ht="12.75">
      <c r="A14552" s="12"/>
      <c r="D14552" s="12"/>
      <c r="E14552" s="12"/>
      <c r="H14552" s="11" t="str">
        <f ca="1">IFERROR(__xludf.DUMMYFUNCTION("IFERROR(SUBSTITUTE(SUBSTITUTE(REGEXEXTRACT(A14552, ""[^-]+- [^-]+- [^-]+ - (.+?)\.jpg""), "".jpg"", """"), ""-"", "", ""), """")"),"")</f>
        <v/>
      </c>
      <c r="L14552" s="12"/>
      <c r="M14552" s="13"/>
      <c r="N14552" s="2"/>
      <c r="O14552" s="20"/>
      <c r="P14552" s="42"/>
      <c r="R14552" s="23"/>
    </row>
    <row r="14553" spans="1:18" ht="12.75">
      <c r="A14553" s="12"/>
      <c r="D14553" s="12"/>
      <c r="E14553" s="12"/>
      <c r="H14553" s="11" t="str">
        <f ca="1">IFERROR(__xludf.DUMMYFUNCTION("IFERROR(SUBSTITUTE(SUBSTITUTE(REGEXEXTRACT(A14553, ""[^-]+- [^-]+- [^-]+ - (.+?)\.jpg""), "".jpg"", """"), ""-"", "", ""), """")"),"")</f>
        <v/>
      </c>
      <c r="L14553" s="12"/>
      <c r="M14553" s="13"/>
      <c r="N14553" s="2"/>
      <c r="O14553" s="20"/>
      <c r="P14553" s="42"/>
      <c r="R14553" s="23"/>
    </row>
    <row r="14554" spans="1:18" ht="12.75">
      <c r="A14554" s="12"/>
      <c r="D14554" s="12"/>
      <c r="E14554" s="12"/>
      <c r="H14554" s="11" t="str">
        <f ca="1">IFERROR(__xludf.DUMMYFUNCTION("IFERROR(SUBSTITUTE(SUBSTITUTE(REGEXEXTRACT(A14554, ""[^-]+- [^-]+- [^-]+ - (.+?)\.jpg""), "".jpg"", """"), ""-"", "", ""), """")"),"")</f>
        <v/>
      </c>
      <c r="L14554" s="12"/>
      <c r="M14554" s="13"/>
      <c r="N14554" s="2"/>
      <c r="O14554" s="20"/>
      <c r="P14554" s="42"/>
      <c r="R14554" s="23"/>
    </row>
    <row r="14555" spans="1:18" ht="12.75">
      <c r="A14555" s="12"/>
      <c r="D14555" s="12"/>
      <c r="E14555" s="12"/>
      <c r="H14555" s="11" t="str">
        <f ca="1">IFERROR(__xludf.DUMMYFUNCTION("IFERROR(SUBSTITUTE(SUBSTITUTE(REGEXEXTRACT(A14555, ""[^-]+- [^-]+- [^-]+ - (.+?)\.jpg""), "".jpg"", """"), ""-"", "", ""), """")"),"")</f>
        <v/>
      </c>
      <c r="L14555" s="12"/>
      <c r="M14555" s="13"/>
      <c r="N14555" s="2"/>
      <c r="O14555" s="20"/>
      <c r="P14555" s="42"/>
      <c r="R14555" s="23"/>
    </row>
    <row r="14556" spans="1:18" ht="12.75">
      <c r="A14556" s="12"/>
      <c r="D14556" s="12"/>
      <c r="E14556" s="12"/>
      <c r="H14556" s="11" t="str">
        <f ca="1">IFERROR(__xludf.DUMMYFUNCTION("IFERROR(SUBSTITUTE(SUBSTITUTE(REGEXEXTRACT(A14556, ""[^-]+- [^-]+- [^-]+ - (.+?)\.jpg""), "".jpg"", """"), ""-"", "", ""), """")"),"")</f>
        <v/>
      </c>
      <c r="L14556" s="12"/>
      <c r="M14556" s="13"/>
      <c r="N14556" s="2"/>
      <c r="O14556" s="20"/>
      <c r="P14556" s="42"/>
      <c r="R14556" s="23"/>
    </row>
    <row r="14557" spans="1:18" ht="12.75">
      <c r="A14557" s="12"/>
      <c r="D14557" s="12"/>
      <c r="E14557" s="12"/>
      <c r="H14557" s="11" t="str">
        <f ca="1">IFERROR(__xludf.DUMMYFUNCTION("IFERROR(SUBSTITUTE(SUBSTITUTE(REGEXEXTRACT(A14557, ""[^-]+- [^-]+- [^-]+ - (.+?)\.jpg""), "".jpg"", """"), ""-"", "", ""), """")"),"")</f>
        <v/>
      </c>
      <c r="L14557" s="12"/>
      <c r="M14557" s="13"/>
      <c r="N14557" s="2"/>
      <c r="O14557" s="20"/>
      <c r="P14557" s="42"/>
      <c r="R14557" s="23"/>
    </row>
    <row r="14558" spans="1:18" ht="12.75">
      <c r="A14558" s="12"/>
      <c r="D14558" s="12"/>
      <c r="E14558" s="12"/>
      <c r="H14558" s="11" t="str">
        <f ca="1">IFERROR(__xludf.DUMMYFUNCTION("IFERROR(SUBSTITUTE(SUBSTITUTE(REGEXEXTRACT(A14558, ""[^-]+- [^-]+- [^-]+ - (.+?)\.jpg""), "".jpg"", """"), ""-"", "", ""), """")"),"")</f>
        <v/>
      </c>
      <c r="L14558" s="12"/>
      <c r="M14558" s="13"/>
      <c r="N14558" s="2"/>
      <c r="O14558" s="20"/>
      <c r="P14558" s="42"/>
      <c r="R14558" s="23"/>
    </row>
    <row r="14559" spans="1:18" ht="12.75">
      <c r="A14559" s="12"/>
      <c r="D14559" s="12"/>
      <c r="E14559" s="12"/>
      <c r="H14559" s="11" t="str">
        <f ca="1">IFERROR(__xludf.DUMMYFUNCTION("IFERROR(SUBSTITUTE(SUBSTITUTE(REGEXEXTRACT(A14559, ""[^-]+- [^-]+- [^-]+ - (.+?)\.jpg""), "".jpg"", """"), ""-"", "", ""), """")"),"")</f>
        <v/>
      </c>
      <c r="L14559" s="12"/>
      <c r="M14559" s="13"/>
      <c r="N14559" s="2"/>
      <c r="O14559" s="20"/>
      <c r="P14559" s="42"/>
      <c r="R14559" s="23"/>
    </row>
    <row r="14560" spans="1:18" ht="12.75">
      <c r="A14560" s="12"/>
      <c r="D14560" s="12"/>
      <c r="E14560" s="12"/>
      <c r="H14560" s="11" t="str">
        <f ca="1">IFERROR(__xludf.DUMMYFUNCTION("IFERROR(SUBSTITUTE(SUBSTITUTE(REGEXEXTRACT(A14560, ""[^-]+- [^-]+- [^-]+ - (.+?)\.jpg""), "".jpg"", """"), ""-"", "", ""), """")"),"")</f>
        <v/>
      </c>
      <c r="L14560" s="12"/>
      <c r="M14560" s="13"/>
      <c r="N14560" s="2"/>
      <c r="O14560" s="20"/>
      <c r="P14560" s="42"/>
      <c r="R14560" s="23"/>
    </row>
    <row r="14561" spans="1:18" ht="12.75">
      <c r="A14561" s="12"/>
      <c r="D14561" s="12"/>
      <c r="E14561" s="12"/>
      <c r="H14561" s="11" t="str">
        <f ca="1">IFERROR(__xludf.DUMMYFUNCTION("IFERROR(SUBSTITUTE(SUBSTITUTE(REGEXEXTRACT(A14561, ""[^-]+- [^-]+- [^-]+ - (.+?)\.jpg""), "".jpg"", """"), ""-"", "", ""), """")"),"")</f>
        <v/>
      </c>
      <c r="L14561" s="12"/>
      <c r="M14561" s="13"/>
      <c r="N14561" s="2"/>
      <c r="O14561" s="20"/>
      <c r="P14561" s="42"/>
      <c r="R14561" s="23"/>
    </row>
    <row r="14562" spans="1:18" ht="12.75">
      <c r="A14562" s="12"/>
      <c r="D14562" s="12"/>
      <c r="E14562" s="12"/>
      <c r="H14562" s="11" t="str">
        <f ca="1">IFERROR(__xludf.DUMMYFUNCTION("IFERROR(SUBSTITUTE(SUBSTITUTE(REGEXEXTRACT(A14562, ""[^-]+- [^-]+- [^-]+ - (.+?)\.jpg""), "".jpg"", """"), ""-"", "", ""), """")"),"")</f>
        <v/>
      </c>
      <c r="L14562" s="12"/>
      <c r="M14562" s="13"/>
      <c r="N14562" s="2"/>
      <c r="O14562" s="20"/>
      <c r="P14562" s="42"/>
      <c r="R14562" s="23"/>
    </row>
    <row r="14563" spans="1:18" ht="12.75">
      <c r="A14563" s="12"/>
      <c r="D14563" s="12"/>
      <c r="E14563" s="12"/>
      <c r="H14563" s="11" t="str">
        <f ca="1">IFERROR(__xludf.DUMMYFUNCTION("IFERROR(SUBSTITUTE(SUBSTITUTE(REGEXEXTRACT(A14563, ""[^-]+- [^-]+- [^-]+ - (.+?)\.jpg""), "".jpg"", """"), ""-"", "", ""), """")"),"")</f>
        <v/>
      </c>
      <c r="L14563" s="12"/>
      <c r="M14563" s="13"/>
      <c r="N14563" s="2"/>
      <c r="O14563" s="20"/>
      <c r="P14563" s="42"/>
      <c r="R14563" s="23"/>
    </row>
    <row r="14564" spans="1:18" ht="12.75">
      <c r="A14564" s="12"/>
      <c r="D14564" s="12"/>
      <c r="E14564" s="12"/>
      <c r="H14564" s="11" t="str">
        <f ca="1">IFERROR(__xludf.DUMMYFUNCTION("IFERROR(SUBSTITUTE(SUBSTITUTE(REGEXEXTRACT(A14564, ""[^-]+- [^-]+- [^-]+ - (.+?)\.jpg""), "".jpg"", """"), ""-"", "", ""), """")"),"")</f>
        <v/>
      </c>
      <c r="L14564" s="12"/>
      <c r="M14564" s="13"/>
      <c r="N14564" s="2"/>
      <c r="O14564" s="20"/>
      <c r="P14564" s="42"/>
      <c r="R14564" s="23"/>
    </row>
    <row r="14565" spans="1:18" ht="12.75">
      <c r="A14565" s="12"/>
      <c r="D14565" s="12"/>
      <c r="E14565" s="12"/>
      <c r="H14565" s="11" t="str">
        <f ca="1">IFERROR(__xludf.DUMMYFUNCTION("IFERROR(SUBSTITUTE(SUBSTITUTE(REGEXEXTRACT(A14565, ""[^-]+- [^-]+- [^-]+ - (.+?)\.jpg""), "".jpg"", """"), ""-"", "", ""), """")"),"")</f>
        <v/>
      </c>
      <c r="L14565" s="12"/>
      <c r="M14565" s="13"/>
      <c r="N14565" s="2"/>
      <c r="O14565" s="20"/>
      <c r="P14565" s="42"/>
      <c r="R14565" s="23"/>
    </row>
    <row r="14566" spans="1:18" ht="12.75">
      <c r="A14566" s="12"/>
      <c r="D14566" s="12"/>
      <c r="E14566" s="12"/>
      <c r="H14566" s="11" t="str">
        <f ca="1">IFERROR(__xludf.DUMMYFUNCTION("IFERROR(SUBSTITUTE(SUBSTITUTE(REGEXEXTRACT(A14566, ""[^-]+- [^-]+- [^-]+ - (.+?)\.jpg""), "".jpg"", """"), ""-"", "", ""), """")"),"")</f>
        <v/>
      </c>
      <c r="L14566" s="12"/>
      <c r="M14566" s="13"/>
      <c r="N14566" s="2"/>
      <c r="O14566" s="20"/>
      <c r="P14566" s="42"/>
      <c r="R14566" s="23"/>
    </row>
    <row r="14567" spans="1:18" ht="12.75">
      <c r="A14567" s="12"/>
      <c r="D14567" s="12"/>
      <c r="E14567" s="12"/>
      <c r="H14567" s="11" t="str">
        <f ca="1">IFERROR(__xludf.DUMMYFUNCTION("IFERROR(SUBSTITUTE(SUBSTITUTE(REGEXEXTRACT(A14567, ""[^-]+- [^-]+- [^-]+ - (.+?)\.jpg""), "".jpg"", """"), ""-"", "", ""), """")"),"")</f>
        <v/>
      </c>
      <c r="L14567" s="12"/>
      <c r="M14567" s="13"/>
      <c r="N14567" s="2"/>
      <c r="O14567" s="20"/>
      <c r="P14567" s="42"/>
      <c r="R14567" s="23"/>
    </row>
    <row r="14568" spans="1:18" ht="12.75">
      <c r="A14568" s="12"/>
      <c r="D14568" s="12"/>
      <c r="E14568" s="12"/>
      <c r="H14568" s="11" t="str">
        <f ca="1">IFERROR(__xludf.DUMMYFUNCTION("IFERROR(SUBSTITUTE(SUBSTITUTE(REGEXEXTRACT(A14568, ""[^-]+- [^-]+- [^-]+ - (.+?)\.jpg""), "".jpg"", """"), ""-"", "", ""), """")"),"")</f>
        <v/>
      </c>
      <c r="L14568" s="12"/>
      <c r="M14568" s="13"/>
      <c r="N14568" s="2"/>
      <c r="O14568" s="20"/>
      <c r="P14568" s="42"/>
      <c r="R14568" s="23"/>
    </row>
    <row r="14569" spans="1:18" ht="12.75">
      <c r="A14569" s="12"/>
      <c r="D14569" s="12"/>
      <c r="E14569" s="12"/>
      <c r="H14569" s="11" t="str">
        <f ca="1">IFERROR(__xludf.DUMMYFUNCTION("IFERROR(SUBSTITUTE(SUBSTITUTE(REGEXEXTRACT(A14569, ""[^-]+- [^-]+- [^-]+ - (.+?)\.jpg""), "".jpg"", """"), ""-"", "", ""), """")"),"")</f>
        <v/>
      </c>
      <c r="L14569" s="12"/>
      <c r="M14569" s="13"/>
      <c r="N14569" s="2"/>
      <c r="O14569" s="20"/>
      <c r="P14569" s="42"/>
      <c r="R14569" s="23"/>
    </row>
    <row r="14570" spans="1:18" ht="12.75">
      <c r="A14570" s="12"/>
      <c r="D14570" s="12"/>
      <c r="E14570" s="12"/>
      <c r="H14570" s="11" t="str">
        <f ca="1">IFERROR(__xludf.DUMMYFUNCTION("IFERROR(SUBSTITUTE(SUBSTITUTE(REGEXEXTRACT(A14570, ""[^-]+- [^-]+- [^-]+ - (.+?)\.jpg""), "".jpg"", """"), ""-"", "", ""), """")"),"")</f>
        <v/>
      </c>
      <c r="L14570" s="12"/>
      <c r="M14570" s="13"/>
      <c r="N14570" s="2"/>
      <c r="O14570" s="20"/>
      <c r="P14570" s="42"/>
      <c r="R14570" s="23"/>
    </row>
    <row r="14571" spans="1:18" ht="12.75">
      <c r="A14571" s="12"/>
      <c r="D14571" s="12"/>
      <c r="E14571" s="12"/>
      <c r="H14571" s="11" t="str">
        <f ca="1">IFERROR(__xludf.DUMMYFUNCTION("IFERROR(SUBSTITUTE(SUBSTITUTE(REGEXEXTRACT(A14571, ""[^-]+- [^-]+- [^-]+ - (.+?)\.jpg""), "".jpg"", """"), ""-"", "", ""), """")"),"")</f>
        <v/>
      </c>
      <c r="L14571" s="12"/>
      <c r="M14571" s="13"/>
      <c r="N14571" s="2"/>
      <c r="O14571" s="20"/>
      <c r="P14571" s="42"/>
      <c r="R14571" s="23"/>
    </row>
    <row r="14572" spans="1:18" ht="12.75">
      <c r="A14572" s="12"/>
      <c r="D14572" s="12"/>
      <c r="E14572" s="12"/>
      <c r="H14572" s="11" t="str">
        <f ca="1">IFERROR(__xludf.DUMMYFUNCTION("IFERROR(SUBSTITUTE(SUBSTITUTE(REGEXEXTRACT(A14572, ""[^-]+- [^-]+- [^-]+ - (.+?)\.jpg""), "".jpg"", """"), ""-"", "", ""), """")"),"")</f>
        <v/>
      </c>
      <c r="L14572" s="12"/>
      <c r="M14572" s="13"/>
      <c r="N14572" s="2"/>
      <c r="O14572" s="20"/>
      <c r="P14572" s="42"/>
      <c r="R14572" s="23"/>
    </row>
    <row r="14573" spans="1:18" ht="12.75">
      <c r="A14573" s="12"/>
      <c r="D14573" s="12"/>
      <c r="E14573" s="12"/>
      <c r="H14573" s="11" t="str">
        <f ca="1">IFERROR(__xludf.DUMMYFUNCTION("IFERROR(SUBSTITUTE(SUBSTITUTE(REGEXEXTRACT(A14573, ""[^-]+- [^-]+- [^-]+ - (.+?)\.jpg""), "".jpg"", """"), ""-"", "", ""), """")"),"")</f>
        <v/>
      </c>
      <c r="L14573" s="12"/>
      <c r="M14573" s="13"/>
      <c r="N14573" s="2"/>
      <c r="O14573" s="20"/>
      <c r="P14573" s="42"/>
      <c r="R14573" s="23"/>
    </row>
    <row r="14574" spans="1:18" ht="12.75">
      <c r="A14574" s="12"/>
      <c r="D14574" s="12"/>
      <c r="E14574" s="12"/>
      <c r="H14574" s="11" t="str">
        <f ca="1">IFERROR(__xludf.DUMMYFUNCTION("IFERROR(SUBSTITUTE(SUBSTITUTE(REGEXEXTRACT(A14574, ""[^-]+- [^-]+- [^-]+ - (.+?)\.jpg""), "".jpg"", """"), ""-"", "", ""), """")"),"")</f>
        <v/>
      </c>
      <c r="L14574" s="12"/>
      <c r="M14574" s="13"/>
      <c r="N14574" s="2"/>
      <c r="O14574" s="20"/>
      <c r="P14574" s="42"/>
      <c r="R14574" s="23"/>
    </row>
    <row r="14575" spans="1:18" ht="12.75">
      <c r="A14575" s="12"/>
      <c r="D14575" s="12"/>
      <c r="E14575" s="12"/>
      <c r="H14575" s="11" t="str">
        <f ca="1">IFERROR(__xludf.DUMMYFUNCTION("IFERROR(SUBSTITUTE(SUBSTITUTE(REGEXEXTRACT(A14575, ""[^-]+- [^-]+- [^-]+ - (.+?)\.jpg""), "".jpg"", """"), ""-"", "", ""), """")"),"")</f>
        <v/>
      </c>
      <c r="L14575" s="12"/>
      <c r="M14575" s="13"/>
      <c r="N14575" s="2"/>
      <c r="O14575" s="20"/>
      <c r="P14575" s="42"/>
      <c r="R14575" s="23"/>
    </row>
    <row r="14576" spans="1:18" ht="12.75">
      <c r="A14576" s="12"/>
      <c r="D14576" s="12"/>
      <c r="E14576" s="12"/>
      <c r="H14576" s="11" t="str">
        <f ca="1">IFERROR(__xludf.DUMMYFUNCTION("IFERROR(SUBSTITUTE(SUBSTITUTE(REGEXEXTRACT(A14576, ""[^-]+- [^-]+- [^-]+ - (.+?)\.jpg""), "".jpg"", """"), ""-"", "", ""), """")"),"")</f>
        <v/>
      </c>
      <c r="L14576" s="12"/>
      <c r="M14576" s="13"/>
      <c r="N14576" s="2"/>
      <c r="O14576" s="20"/>
      <c r="P14576" s="42"/>
      <c r="R14576" s="23"/>
    </row>
    <row r="14577" spans="1:18" ht="12.75">
      <c r="A14577" s="12"/>
      <c r="D14577" s="12"/>
      <c r="E14577" s="12"/>
      <c r="H14577" s="11" t="str">
        <f ca="1">IFERROR(__xludf.DUMMYFUNCTION("IFERROR(SUBSTITUTE(SUBSTITUTE(REGEXEXTRACT(A14577, ""[^-]+- [^-]+- [^-]+ - (.+?)\.jpg""), "".jpg"", """"), ""-"", "", ""), """")"),"")</f>
        <v/>
      </c>
      <c r="L14577" s="12"/>
      <c r="M14577" s="13"/>
      <c r="N14577" s="2"/>
      <c r="O14577" s="20"/>
      <c r="P14577" s="42"/>
      <c r="R14577" s="23"/>
    </row>
    <row r="14578" spans="1:18" ht="12.75">
      <c r="A14578" s="12"/>
      <c r="D14578" s="12"/>
      <c r="E14578" s="12"/>
      <c r="H14578" s="11" t="str">
        <f ca="1">IFERROR(__xludf.DUMMYFUNCTION("IFERROR(SUBSTITUTE(SUBSTITUTE(REGEXEXTRACT(A14578, ""[^-]+- [^-]+- [^-]+ - (.+?)\.jpg""), "".jpg"", """"), ""-"", "", ""), """")"),"")</f>
        <v/>
      </c>
      <c r="L14578" s="12"/>
      <c r="M14578" s="13"/>
      <c r="N14578" s="2"/>
      <c r="O14578" s="20"/>
      <c r="P14578" s="42"/>
      <c r="R14578" s="23"/>
    </row>
    <row r="14579" spans="1:18" ht="12.75">
      <c r="A14579" s="12"/>
      <c r="D14579" s="12"/>
      <c r="E14579" s="12"/>
      <c r="H14579" s="11" t="str">
        <f ca="1">IFERROR(__xludf.DUMMYFUNCTION("IFERROR(SUBSTITUTE(SUBSTITUTE(REGEXEXTRACT(A14579, ""[^-]+- [^-]+- [^-]+ - (.+?)\.jpg""), "".jpg"", """"), ""-"", "", ""), """")"),"")</f>
        <v/>
      </c>
      <c r="L14579" s="12"/>
      <c r="M14579" s="13"/>
      <c r="N14579" s="2"/>
      <c r="O14579" s="20"/>
      <c r="P14579" s="42"/>
      <c r="R14579" s="23"/>
    </row>
    <row r="14580" spans="1:18" ht="12.75">
      <c r="A14580" s="12"/>
      <c r="D14580" s="12"/>
      <c r="E14580" s="12"/>
      <c r="H14580" s="11" t="str">
        <f ca="1">IFERROR(__xludf.DUMMYFUNCTION("IFERROR(SUBSTITUTE(SUBSTITUTE(REGEXEXTRACT(A14580, ""[^-]+- [^-]+- [^-]+ - (.+?)\.jpg""), "".jpg"", """"), ""-"", "", ""), """")"),"")</f>
        <v/>
      </c>
      <c r="L14580" s="12"/>
      <c r="M14580" s="13"/>
      <c r="N14580" s="2"/>
      <c r="O14580" s="20"/>
      <c r="P14580" s="42"/>
      <c r="R14580" s="23"/>
    </row>
    <row r="14581" spans="1:18" ht="12.75">
      <c r="A14581" s="12"/>
      <c r="D14581" s="12"/>
      <c r="E14581" s="12"/>
      <c r="H14581" s="11" t="str">
        <f ca="1">IFERROR(__xludf.DUMMYFUNCTION("IFERROR(SUBSTITUTE(SUBSTITUTE(REGEXEXTRACT(A14581, ""[^-]+- [^-]+- [^-]+ - (.+?)\.jpg""), "".jpg"", """"), ""-"", "", ""), """")"),"")</f>
        <v/>
      </c>
      <c r="L14581" s="12"/>
      <c r="M14581" s="13"/>
      <c r="N14581" s="2"/>
      <c r="O14581" s="20"/>
      <c r="P14581" s="42"/>
      <c r="R14581" s="23"/>
    </row>
    <row r="14582" spans="1:18" ht="12.75">
      <c r="A14582" s="12"/>
      <c r="D14582" s="12"/>
      <c r="E14582" s="12"/>
      <c r="H14582" s="11" t="str">
        <f ca="1">IFERROR(__xludf.DUMMYFUNCTION("IFERROR(SUBSTITUTE(SUBSTITUTE(REGEXEXTRACT(A14582, ""[^-]+- [^-]+- [^-]+ - (.+?)\.jpg""), "".jpg"", """"), ""-"", "", ""), """")"),"")</f>
        <v/>
      </c>
      <c r="L14582" s="12"/>
      <c r="M14582" s="13"/>
      <c r="N14582" s="2"/>
      <c r="O14582" s="20"/>
      <c r="P14582" s="42"/>
      <c r="R14582" s="23"/>
    </row>
    <row r="14583" spans="1:18" ht="12.75">
      <c r="A14583" s="12"/>
      <c r="D14583" s="12"/>
      <c r="E14583" s="12"/>
      <c r="H14583" s="11" t="str">
        <f ca="1">IFERROR(__xludf.DUMMYFUNCTION("IFERROR(SUBSTITUTE(SUBSTITUTE(REGEXEXTRACT(A14583, ""[^-]+- [^-]+- [^-]+ - (.+?)\.jpg""), "".jpg"", """"), ""-"", "", ""), """")"),"")</f>
        <v/>
      </c>
      <c r="L14583" s="12"/>
      <c r="M14583" s="13"/>
      <c r="N14583" s="2"/>
      <c r="O14583" s="20"/>
      <c r="P14583" s="42"/>
      <c r="R14583" s="23"/>
    </row>
    <row r="14584" spans="1:18" ht="12.75">
      <c r="A14584" s="12"/>
      <c r="D14584" s="12"/>
      <c r="E14584" s="12"/>
      <c r="H14584" s="11" t="str">
        <f ca="1">IFERROR(__xludf.DUMMYFUNCTION("IFERROR(SUBSTITUTE(SUBSTITUTE(REGEXEXTRACT(A14584, ""[^-]+- [^-]+- [^-]+ - (.+?)\.jpg""), "".jpg"", """"), ""-"", "", ""), """")"),"")</f>
        <v/>
      </c>
      <c r="L14584" s="12"/>
      <c r="M14584" s="13"/>
      <c r="N14584" s="2"/>
      <c r="O14584" s="20"/>
      <c r="P14584" s="42"/>
      <c r="R14584" s="23"/>
    </row>
    <row r="14585" spans="1:18" ht="12.75">
      <c r="A14585" s="12"/>
      <c r="D14585" s="12"/>
      <c r="E14585" s="12"/>
      <c r="H14585" s="11" t="str">
        <f ca="1">IFERROR(__xludf.DUMMYFUNCTION("IFERROR(SUBSTITUTE(SUBSTITUTE(REGEXEXTRACT(A14585, ""[^-]+- [^-]+- [^-]+ - (.+?)\.jpg""), "".jpg"", """"), ""-"", "", ""), """")"),"")</f>
        <v/>
      </c>
      <c r="L14585" s="12"/>
      <c r="M14585" s="13"/>
      <c r="N14585" s="2"/>
      <c r="O14585" s="20"/>
      <c r="P14585" s="42"/>
      <c r="R14585" s="23"/>
    </row>
    <row r="14586" spans="1:18" ht="12.75">
      <c r="A14586" s="12"/>
      <c r="D14586" s="12"/>
      <c r="E14586" s="12"/>
      <c r="H14586" s="11" t="str">
        <f ca="1">IFERROR(__xludf.DUMMYFUNCTION("IFERROR(SUBSTITUTE(SUBSTITUTE(REGEXEXTRACT(A14586, ""[^-]+- [^-]+- [^-]+ - (.+?)\.jpg""), "".jpg"", """"), ""-"", "", ""), """")"),"")</f>
        <v/>
      </c>
      <c r="L14586" s="12"/>
      <c r="M14586" s="13"/>
      <c r="N14586" s="2"/>
      <c r="O14586" s="20"/>
      <c r="P14586" s="42"/>
      <c r="R14586" s="23"/>
    </row>
    <row r="14587" spans="1:18" ht="12.75">
      <c r="A14587" s="12"/>
      <c r="D14587" s="12"/>
      <c r="E14587" s="12"/>
      <c r="H14587" s="11" t="str">
        <f ca="1">IFERROR(__xludf.DUMMYFUNCTION("IFERROR(SUBSTITUTE(SUBSTITUTE(REGEXEXTRACT(A14587, ""[^-]+- [^-]+- [^-]+ - (.+?)\.jpg""), "".jpg"", """"), ""-"", "", ""), """")"),"")</f>
        <v/>
      </c>
      <c r="L14587" s="12"/>
      <c r="M14587" s="13"/>
      <c r="N14587" s="2"/>
      <c r="O14587" s="20"/>
      <c r="P14587" s="42"/>
      <c r="R14587" s="23"/>
    </row>
    <row r="14588" spans="1:18" ht="12.75">
      <c r="A14588" s="12"/>
      <c r="D14588" s="12"/>
      <c r="E14588" s="12"/>
      <c r="H14588" s="11" t="str">
        <f ca="1">IFERROR(__xludf.DUMMYFUNCTION("IFERROR(SUBSTITUTE(SUBSTITUTE(REGEXEXTRACT(A14588, ""[^-]+- [^-]+- [^-]+ - (.+?)\.jpg""), "".jpg"", """"), ""-"", "", ""), """")"),"")</f>
        <v/>
      </c>
      <c r="L14588" s="12"/>
      <c r="M14588" s="13"/>
      <c r="N14588" s="2"/>
      <c r="O14588" s="20"/>
      <c r="P14588" s="42"/>
      <c r="R14588" s="23"/>
    </row>
    <row r="14589" spans="1:18" ht="12.75">
      <c r="A14589" s="12"/>
      <c r="D14589" s="12"/>
      <c r="E14589" s="12"/>
      <c r="H14589" s="11" t="str">
        <f ca="1">IFERROR(__xludf.DUMMYFUNCTION("IFERROR(SUBSTITUTE(SUBSTITUTE(REGEXEXTRACT(A14589, ""[^-]+- [^-]+- [^-]+ - (.+?)\.jpg""), "".jpg"", """"), ""-"", "", ""), """")"),"")</f>
        <v/>
      </c>
      <c r="L14589" s="12"/>
      <c r="M14589" s="13"/>
      <c r="N14589" s="2"/>
      <c r="O14589" s="20"/>
      <c r="P14589" s="42"/>
      <c r="R14589" s="23"/>
    </row>
    <row r="14590" spans="1:18" ht="12.75">
      <c r="A14590" s="12"/>
      <c r="D14590" s="12"/>
      <c r="E14590" s="12"/>
      <c r="H14590" s="11" t="str">
        <f ca="1">IFERROR(__xludf.DUMMYFUNCTION("IFERROR(SUBSTITUTE(SUBSTITUTE(REGEXEXTRACT(A14590, ""[^-]+- [^-]+- [^-]+ - (.+?)\.jpg""), "".jpg"", """"), ""-"", "", ""), """")"),"")</f>
        <v/>
      </c>
      <c r="L14590" s="12"/>
      <c r="M14590" s="13"/>
      <c r="N14590" s="2"/>
      <c r="O14590" s="20"/>
      <c r="P14590" s="42"/>
      <c r="R14590" s="23"/>
    </row>
    <row r="14591" spans="1:18" ht="12.75">
      <c r="A14591" s="12"/>
      <c r="D14591" s="12"/>
      <c r="E14591" s="12"/>
      <c r="H14591" s="11" t="str">
        <f ca="1">IFERROR(__xludf.DUMMYFUNCTION("IFERROR(SUBSTITUTE(SUBSTITUTE(REGEXEXTRACT(A14591, ""[^-]+- [^-]+- [^-]+ - (.+?)\.jpg""), "".jpg"", """"), ""-"", "", ""), """")"),"")</f>
        <v/>
      </c>
      <c r="L14591" s="12"/>
      <c r="M14591" s="13"/>
      <c r="N14591" s="2"/>
      <c r="O14591" s="20"/>
      <c r="P14591" s="42"/>
      <c r="R14591" s="23"/>
    </row>
    <row r="14592" spans="1:18" ht="12.75">
      <c r="A14592" s="12"/>
      <c r="D14592" s="12"/>
      <c r="E14592" s="12"/>
      <c r="H14592" s="11" t="str">
        <f ca="1">IFERROR(__xludf.DUMMYFUNCTION("IFERROR(SUBSTITUTE(SUBSTITUTE(REGEXEXTRACT(A14592, ""[^-]+- [^-]+- [^-]+ - (.+?)\.jpg""), "".jpg"", """"), ""-"", "", ""), """")"),"")</f>
        <v/>
      </c>
      <c r="L14592" s="12"/>
      <c r="M14592" s="13"/>
      <c r="N14592" s="2"/>
      <c r="O14592" s="20"/>
      <c r="P14592" s="42"/>
      <c r="R14592" s="23"/>
    </row>
    <row r="14593" spans="1:18" ht="12.75">
      <c r="A14593" s="12"/>
      <c r="D14593" s="12"/>
      <c r="E14593" s="12"/>
      <c r="H14593" s="11" t="str">
        <f ca="1">IFERROR(__xludf.DUMMYFUNCTION("IFERROR(SUBSTITUTE(SUBSTITUTE(REGEXEXTRACT(A14593, ""[^-]+- [^-]+- [^-]+ - (.+?)\.jpg""), "".jpg"", """"), ""-"", "", ""), """")"),"")</f>
        <v/>
      </c>
      <c r="L14593" s="12"/>
      <c r="M14593" s="13"/>
      <c r="N14593" s="2"/>
      <c r="O14593" s="20"/>
      <c r="P14593" s="42"/>
      <c r="R14593" s="23"/>
    </row>
    <row r="14594" spans="1:18" ht="12.75">
      <c r="A14594" s="12"/>
      <c r="D14594" s="12"/>
      <c r="E14594" s="12"/>
      <c r="H14594" s="11" t="str">
        <f ca="1">IFERROR(__xludf.DUMMYFUNCTION("IFERROR(SUBSTITUTE(SUBSTITUTE(REGEXEXTRACT(A14594, ""[^-]+- [^-]+- [^-]+ - (.+?)\.jpg""), "".jpg"", """"), ""-"", "", ""), """")"),"")</f>
        <v/>
      </c>
      <c r="L14594" s="12"/>
      <c r="M14594" s="13"/>
      <c r="N14594" s="2"/>
      <c r="O14594" s="20"/>
      <c r="P14594" s="42"/>
      <c r="R14594" s="23"/>
    </row>
    <row r="14595" spans="1:18" ht="12.75">
      <c r="A14595" s="12"/>
      <c r="D14595" s="12"/>
      <c r="E14595" s="12"/>
      <c r="H14595" s="11" t="str">
        <f ca="1">IFERROR(__xludf.DUMMYFUNCTION("IFERROR(SUBSTITUTE(SUBSTITUTE(REGEXEXTRACT(A14595, ""[^-]+- [^-]+- [^-]+ - (.+?)\.jpg""), "".jpg"", """"), ""-"", "", ""), """")"),"")</f>
        <v/>
      </c>
      <c r="L14595" s="12"/>
      <c r="M14595" s="13"/>
      <c r="N14595" s="2"/>
      <c r="O14595" s="20"/>
      <c r="P14595" s="42"/>
      <c r="R14595" s="23"/>
    </row>
    <row r="14596" spans="1:18" ht="12.75">
      <c r="A14596" s="12"/>
      <c r="D14596" s="12"/>
      <c r="E14596" s="12"/>
      <c r="H14596" s="11" t="str">
        <f ca="1">IFERROR(__xludf.DUMMYFUNCTION("IFERROR(SUBSTITUTE(SUBSTITUTE(REGEXEXTRACT(A14596, ""[^-]+- [^-]+- [^-]+ - (.+?)\.jpg""), "".jpg"", """"), ""-"", "", ""), """")"),"")</f>
        <v/>
      </c>
      <c r="L14596" s="12"/>
      <c r="M14596" s="13"/>
      <c r="N14596" s="2"/>
      <c r="O14596" s="20"/>
      <c r="P14596" s="42"/>
      <c r="R14596" s="23"/>
    </row>
    <row r="14597" spans="1:18" ht="12.75">
      <c r="A14597" s="12"/>
      <c r="D14597" s="12"/>
      <c r="E14597" s="12"/>
      <c r="H14597" s="11" t="str">
        <f ca="1">IFERROR(__xludf.DUMMYFUNCTION("IFERROR(SUBSTITUTE(SUBSTITUTE(REGEXEXTRACT(A14597, ""[^-]+- [^-]+- [^-]+ - (.+?)\.jpg""), "".jpg"", """"), ""-"", "", ""), """")"),"")</f>
        <v/>
      </c>
      <c r="L14597" s="12"/>
      <c r="M14597" s="13"/>
      <c r="N14597" s="2"/>
      <c r="O14597" s="20"/>
      <c r="P14597" s="42"/>
      <c r="R14597" s="23"/>
    </row>
    <row r="14598" spans="1:18" ht="12.75">
      <c r="A14598" s="12"/>
      <c r="D14598" s="12"/>
      <c r="E14598" s="12"/>
      <c r="H14598" s="11" t="str">
        <f ca="1">IFERROR(__xludf.DUMMYFUNCTION("IFERROR(SUBSTITUTE(SUBSTITUTE(REGEXEXTRACT(A14598, ""[^-]+- [^-]+- [^-]+ - (.+?)\.jpg""), "".jpg"", """"), ""-"", "", ""), """")"),"")</f>
        <v/>
      </c>
      <c r="L14598" s="12"/>
      <c r="M14598" s="13"/>
      <c r="N14598" s="2"/>
      <c r="O14598" s="20"/>
      <c r="P14598" s="42"/>
      <c r="R14598" s="23"/>
    </row>
    <row r="14599" spans="1:18" ht="12.75">
      <c r="A14599" s="12"/>
      <c r="D14599" s="12"/>
      <c r="E14599" s="12"/>
      <c r="H14599" s="11" t="str">
        <f ca="1">IFERROR(__xludf.DUMMYFUNCTION("IFERROR(SUBSTITUTE(SUBSTITUTE(REGEXEXTRACT(A14599, ""[^-]+- [^-]+- [^-]+ - (.+?)\.jpg""), "".jpg"", """"), ""-"", "", ""), """")"),"")</f>
        <v/>
      </c>
      <c r="L14599" s="12"/>
      <c r="M14599" s="13"/>
      <c r="N14599" s="2"/>
      <c r="O14599" s="20"/>
      <c r="P14599" s="42"/>
      <c r="R14599" s="23"/>
    </row>
    <row r="14600" spans="1:18" ht="12.75">
      <c r="A14600" s="12"/>
      <c r="D14600" s="12"/>
      <c r="E14600" s="12"/>
      <c r="H14600" s="11" t="str">
        <f ca="1">IFERROR(__xludf.DUMMYFUNCTION("IFERROR(SUBSTITUTE(SUBSTITUTE(REGEXEXTRACT(A14600, ""[^-]+- [^-]+- [^-]+ - (.+?)\.jpg""), "".jpg"", """"), ""-"", "", ""), """")"),"")</f>
        <v/>
      </c>
      <c r="L14600" s="12"/>
      <c r="M14600" s="13"/>
      <c r="N14600" s="2"/>
      <c r="O14600" s="20"/>
      <c r="P14600" s="42"/>
      <c r="R14600" s="23"/>
    </row>
    <row r="14601" spans="1:18" ht="12.75">
      <c r="A14601" s="12"/>
      <c r="D14601" s="12"/>
      <c r="E14601" s="12"/>
      <c r="H14601" s="11" t="str">
        <f ca="1">IFERROR(__xludf.DUMMYFUNCTION("IFERROR(SUBSTITUTE(SUBSTITUTE(REGEXEXTRACT(A14601, ""[^-]+- [^-]+- [^-]+ - (.+?)\.jpg""), "".jpg"", """"), ""-"", "", ""), """")"),"")</f>
        <v/>
      </c>
      <c r="L14601" s="12"/>
      <c r="M14601" s="13"/>
      <c r="N14601" s="2"/>
      <c r="O14601" s="20"/>
      <c r="P14601" s="42"/>
      <c r="R14601" s="23"/>
    </row>
    <row r="14602" spans="1:18" ht="12.75">
      <c r="A14602" s="12"/>
      <c r="D14602" s="12"/>
      <c r="E14602" s="12"/>
      <c r="H14602" s="11" t="str">
        <f ca="1">IFERROR(__xludf.DUMMYFUNCTION("IFERROR(SUBSTITUTE(SUBSTITUTE(REGEXEXTRACT(A14602, ""[^-]+- [^-]+- [^-]+ - (.+?)\.jpg""), "".jpg"", """"), ""-"", "", ""), """")"),"")</f>
        <v/>
      </c>
      <c r="L14602" s="12"/>
      <c r="M14602" s="13"/>
      <c r="N14602" s="2"/>
      <c r="O14602" s="20"/>
      <c r="P14602" s="42"/>
      <c r="R14602" s="23"/>
    </row>
    <row r="14603" spans="1:18" ht="12.75">
      <c r="A14603" s="12"/>
      <c r="D14603" s="12"/>
      <c r="E14603" s="12"/>
      <c r="H14603" s="11" t="str">
        <f ca="1">IFERROR(__xludf.DUMMYFUNCTION("IFERROR(SUBSTITUTE(SUBSTITUTE(REGEXEXTRACT(A14603, ""[^-]+- [^-]+- [^-]+ - (.+?)\.jpg""), "".jpg"", """"), ""-"", "", ""), """")"),"")</f>
        <v/>
      </c>
      <c r="L14603" s="12"/>
      <c r="M14603" s="13"/>
      <c r="N14603" s="2"/>
      <c r="O14603" s="20"/>
      <c r="P14603" s="42"/>
      <c r="R14603" s="23"/>
    </row>
    <row r="14604" spans="1:18" ht="12.75">
      <c r="A14604" s="12"/>
      <c r="D14604" s="12"/>
      <c r="E14604" s="12"/>
      <c r="H14604" s="11" t="str">
        <f ca="1">IFERROR(__xludf.DUMMYFUNCTION("IFERROR(SUBSTITUTE(SUBSTITUTE(REGEXEXTRACT(A14604, ""[^-]+- [^-]+- [^-]+ - (.+?)\.jpg""), "".jpg"", """"), ""-"", "", ""), """")"),"")</f>
        <v/>
      </c>
      <c r="L14604" s="12"/>
      <c r="M14604" s="13"/>
      <c r="N14604" s="2"/>
      <c r="O14604" s="20"/>
      <c r="P14604" s="42"/>
      <c r="R14604" s="23"/>
    </row>
    <row r="14605" spans="1:18" ht="12.75">
      <c r="A14605" s="12"/>
      <c r="D14605" s="12"/>
      <c r="E14605" s="12"/>
      <c r="H14605" s="11" t="str">
        <f ca="1">IFERROR(__xludf.DUMMYFUNCTION("IFERROR(SUBSTITUTE(SUBSTITUTE(REGEXEXTRACT(A14605, ""[^-]+- [^-]+- [^-]+ - (.+?)\.jpg""), "".jpg"", """"), ""-"", "", ""), """")"),"")</f>
        <v/>
      </c>
      <c r="L14605" s="12"/>
      <c r="M14605" s="13"/>
      <c r="N14605" s="2"/>
      <c r="O14605" s="20"/>
      <c r="P14605" s="42"/>
      <c r="R14605" s="23"/>
    </row>
    <row r="14606" spans="1:18" ht="12.75">
      <c r="A14606" s="12"/>
      <c r="D14606" s="12"/>
      <c r="E14606" s="12"/>
      <c r="H14606" s="11" t="str">
        <f ca="1">IFERROR(__xludf.DUMMYFUNCTION("IFERROR(SUBSTITUTE(SUBSTITUTE(REGEXEXTRACT(A14606, ""[^-]+- [^-]+- [^-]+ - (.+?)\.jpg""), "".jpg"", """"), ""-"", "", ""), """")"),"")</f>
        <v/>
      </c>
      <c r="L14606" s="12"/>
      <c r="M14606" s="13"/>
      <c r="N14606" s="2"/>
      <c r="O14606" s="20"/>
      <c r="P14606" s="42"/>
      <c r="R14606" s="23"/>
    </row>
    <row r="14607" spans="1:18" ht="12.75">
      <c r="A14607" s="12"/>
      <c r="D14607" s="12"/>
      <c r="E14607" s="12"/>
      <c r="H14607" s="11" t="str">
        <f ca="1">IFERROR(__xludf.DUMMYFUNCTION("IFERROR(SUBSTITUTE(SUBSTITUTE(REGEXEXTRACT(A14607, ""[^-]+- [^-]+- [^-]+ - (.+?)\.jpg""), "".jpg"", """"), ""-"", "", ""), """")"),"")</f>
        <v/>
      </c>
      <c r="L14607" s="12"/>
      <c r="M14607" s="13"/>
      <c r="N14607" s="2"/>
      <c r="O14607" s="20"/>
      <c r="P14607" s="42"/>
      <c r="R14607" s="23"/>
    </row>
    <row r="14608" spans="1:18" ht="12.75">
      <c r="A14608" s="12"/>
      <c r="D14608" s="12"/>
      <c r="E14608" s="12"/>
      <c r="H14608" s="11" t="str">
        <f ca="1">IFERROR(__xludf.DUMMYFUNCTION("IFERROR(SUBSTITUTE(SUBSTITUTE(REGEXEXTRACT(A14608, ""[^-]+- [^-]+- [^-]+ - (.+?)\.jpg""), "".jpg"", """"), ""-"", "", ""), """")"),"")</f>
        <v/>
      </c>
      <c r="L14608" s="12"/>
      <c r="M14608" s="13"/>
      <c r="N14608" s="2"/>
      <c r="O14608" s="20"/>
      <c r="P14608" s="42"/>
      <c r="R14608" s="23"/>
    </row>
    <row r="14609" spans="1:18" ht="12.75">
      <c r="A14609" s="12"/>
      <c r="D14609" s="12"/>
      <c r="E14609" s="12"/>
      <c r="H14609" s="11" t="str">
        <f ca="1">IFERROR(__xludf.DUMMYFUNCTION("IFERROR(SUBSTITUTE(SUBSTITUTE(REGEXEXTRACT(A14609, ""[^-]+- [^-]+- [^-]+ - (.+?)\.jpg""), "".jpg"", """"), ""-"", "", ""), """")"),"")</f>
        <v/>
      </c>
      <c r="L14609" s="12"/>
      <c r="M14609" s="13"/>
      <c r="N14609" s="2"/>
      <c r="O14609" s="20"/>
      <c r="P14609" s="42"/>
      <c r="R14609" s="23"/>
    </row>
    <row r="14610" spans="1:18" ht="12.75">
      <c r="A14610" s="12"/>
      <c r="D14610" s="12"/>
      <c r="E14610" s="12"/>
      <c r="H14610" s="11" t="str">
        <f ca="1">IFERROR(__xludf.DUMMYFUNCTION("IFERROR(SUBSTITUTE(SUBSTITUTE(REGEXEXTRACT(A14610, ""[^-]+- [^-]+- [^-]+ - (.+?)\.jpg""), "".jpg"", """"), ""-"", "", ""), """")"),"")</f>
        <v/>
      </c>
      <c r="L14610" s="12"/>
      <c r="M14610" s="13"/>
      <c r="N14610" s="2"/>
      <c r="O14610" s="20"/>
      <c r="P14610" s="42"/>
      <c r="R14610" s="23"/>
    </row>
    <row r="14611" spans="1:18" ht="12.75">
      <c r="A14611" s="12"/>
      <c r="D14611" s="12"/>
      <c r="E14611" s="12"/>
      <c r="H14611" s="11" t="str">
        <f ca="1">IFERROR(__xludf.DUMMYFUNCTION("IFERROR(SUBSTITUTE(SUBSTITUTE(REGEXEXTRACT(A14611, ""[^-]+- [^-]+- [^-]+ - (.+?)\.jpg""), "".jpg"", """"), ""-"", "", ""), """")"),"")</f>
        <v/>
      </c>
      <c r="L14611" s="12"/>
      <c r="M14611" s="13"/>
      <c r="N14611" s="2"/>
      <c r="O14611" s="20"/>
      <c r="P14611" s="42"/>
      <c r="R14611" s="23"/>
    </row>
    <row r="14612" spans="1:18" ht="12.75">
      <c r="A14612" s="12"/>
      <c r="D14612" s="12"/>
      <c r="E14612" s="12"/>
      <c r="H14612" s="11" t="str">
        <f ca="1">IFERROR(__xludf.DUMMYFUNCTION("IFERROR(SUBSTITUTE(SUBSTITUTE(REGEXEXTRACT(A14612, ""[^-]+- [^-]+- [^-]+ - (.+?)\.jpg""), "".jpg"", """"), ""-"", "", ""), """")"),"")</f>
        <v/>
      </c>
      <c r="L14612" s="12"/>
      <c r="M14612" s="13"/>
      <c r="N14612" s="2"/>
      <c r="O14612" s="20"/>
      <c r="P14612" s="42"/>
      <c r="R14612" s="23"/>
    </row>
    <row r="14613" spans="1:18" ht="12.75">
      <c r="A14613" s="12"/>
      <c r="D14613" s="12"/>
      <c r="E14613" s="12"/>
      <c r="H14613" s="11" t="str">
        <f ca="1">IFERROR(__xludf.DUMMYFUNCTION("IFERROR(SUBSTITUTE(SUBSTITUTE(REGEXEXTRACT(A14613, ""[^-]+- [^-]+- [^-]+ - (.+?)\.jpg""), "".jpg"", """"), ""-"", "", ""), """")"),"")</f>
        <v/>
      </c>
      <c r="L14613" s="12"/>
      <c r="M14613" s="13"/>
      <c r="N14613" s="2"/>
      <c r="O14613" s="20"/>
      <c r="P14613" s="42"/>
      <c r="R14613" s="23"/>
    </row>
    <row r="14614" spans="1:18" ht="12.75">
      <c r="A14614" s="12"/>
      <c r="D14614" s="12"/>
      <c r="E14614" s="12"/>
      <c r="H14614" s="11" t="str">
        <f ca="1">IFERROR(__xludf.DUMMYFUNCTION("IFERROR(SUBSTITUTE(SUBSTITUTE(REGEXEXTRACT(A14614, ""[^-]+- [^-]+- [^-]+ - (.+?)\.jpg""), "".jpg"", """"), ""-"", "", ""), """")"),"")</f>
        <v/>
      </c>
      <c r="L14614" s="12"/>
      <c r="M14614" s="13"/>
      <c r="N14614" s="2"/>
      <c r="O14614" s="20"/>
      <c r="P14614" s="42"/>
      <c r="R14614" s="23"/>
    </row>
    <row r="14615" spans="1:18" ht="12.75">
      <c r="A14615" s="12"/>
      <c r="D14615" s="12"/>
      <c r="E14615" s="12"/>
      <c r="H14615" s="11" t="str">
        <f ca="1">IFERROR(__xludf.DUMMYFUNCTION("IFERROR(SUBSTITUTE(SUBSTITUTE(REGEXEXTRACT(A14615, ""[^-]+- [^-]+- [^-]+ - (.+?)\.jpg""), "".jpg"", """"), ""-"", "", ""), """")"),"")</f>
        <v/>
      </c>
      <c r="L14615" s="12"/>
      <c r="M14615" s="13"/>
      <c r="N14615" s="2"/>
      <c r="O14615" s="20"/>
      <c r="P14615" s="42"/>
      <c r="R14615" s="23"/>
    </row>
    <row r="14616" spans="1:18" ht="12.75">
      <c r="A14616" s="12"/>
      <c r="D14616" s="12"/>
      <c r="E14616" s="12"/>
      <c r="H14616" s="11" t="str">
        <f ca="1">IFERROR(__xludf.DUMMYFUNCTION("IFERROR(SUBSTITUTE(SUBSTITUTE(REGEXEXTRACT(A14616, ""[^-]+- [^-]+- [^-]+ - (.+?)\.jpg""), "".jpg"", """"), ""-"", "", ""), """")"),"")</f>
        <v/>
      </c>
      <c r="L14616" s="12"/>
      <c r="M14616" s="13"/>
      <c r="N14616" s="2"/>
      <c r="O14616" s="20"/>
      <c r="P14616" s="42"/>
      <c r="R14616" s="23"/>
    </row>
    <row r="14617" spans="1:18" ht="12.75">
      <c r="A14617" s="12"/>
      <c r="D14617" s="12"/>
      <c r="E14617" s="12"/>
      <c r="H14617" s="11" t="str">
        <f ca="1">IFERROR(__xludf.DUMMYFUNCTION("IFERROR(SUBSTITUTE(SUBSTITUTE(REGEXEXTRACT(A14617, ""[^-]+- [^-]+- [^-]+ - (.+?)\.jpg""), "".jpg"", """"), ""-"", "", ""), """")"),"")</f>
        <v/>
      </c>
      <c r="L14617" s="12"/>
      <c r="M14617" s="13"/>
      <c r="N14617" s="2"/>
      <c r="O14617" s="20"/>
      <c r="P14617" s="42"/>
      <c r="R14617" s="23"/>
    </row>
    <row r="14618" spans="1:18" ht="12.75">
      <c r="A14618" s="12"/>
      <c r="D14618" s="12"/>
      <c r="E14618" s="12"/>
      <c r="H14618" s="11" t="str">
        <f ca="1">IFERROR(__xludf.DUMMYFUNCTION("IFERROR(SUBSTITUTE(SUBSTITUTE(REGEXEXTRACT(A14618, ""[^-]+- [^-]+- [^-]+ - (.+?)\.jpg""), "".jpg"", """"), ""-"", "", ""), """")"),"")</f>
        <v/>
      </c>
      <c r="L14618" s="12"/>
      <c r="M14618" s="13"/>
      <c r="N14618" s="2"/>
      <c r="O14618" s="20"/>
      <c r="P14618" s="42"/>
      <c r="R14618" s="23"/>
    </row>
    <row r="14619" spans="1:18" ht="12.75">
      <c r="A14619" s="12"/>
      <c r="D14619" s="12"/>
      <c r="E14619" s="12"/>
      <c r="H14619" s="11" t="str">
        <f ca="1">IFERROR(__xludf.DUMMYFUNCTION("IFERROR(SUBSTITUTE(SUBSTITUTE(REGEXEXTRACT(A14619, ""[^-]+- [^-]+- [^-]+ - (.+?)\.jpg""), "".jpg"", """"), ""-"", "", ""), """")"),"")</f>
        <v/>
      </c>
      <c r="L14619" s="12"/>
      <c r="M14619" s="13"/>
      <c r="N14619" s="2"/>
      <c r="O14619" s="20"/>
      <c r="P14619" s="42"/>
      <c r="R14619" s="23"/>
    </row>
    <row r="14620" spans="1:18" ht="12.75">
      <c r="A14620" s="12"/>
      <c r="D14620" s="12"/>
      <c r="E14620" s="12"/>
      <c r="H14620" s="11" t="str">
        <f ca="1">IFERROR(__xludf.DUMMYFUNCTION("IFERROR(SUBSTITUTE(SUBSTITUTE(REGEXEXTRACT(A14620, ""[^-]+- [^-]+- [^-]+ - (.+?)\.jpg""), "".jpg"", """"), ""-"", "", ""), """")"),"")</f>
        <v/>
      </c>
      <c r="L14620" s="12"/>
      <c r="M14620" s="13"/>
      <c r="N14620" s="2"/>
      <c r="O14620" s="20"/>
      <c r="P14620" s="42"/>
      <c r="R14620" s="23"/>
    </row>
    <row r="14621" spans="1:18" ht="12.75">
      <c r="A14621" s="12"/>
      <c r="D14621" s="12"/>
      <c r="E14621" s="12"/>
      <c r="H14621" s="11" t="str">
        <f ca="1">IFERROR(__xludf.DUMMYFUNCTION("IFERROR(SUBSTITUTE(SUBSTITUTE(REGEXEXTRACT(A14621, ""[^-]+- [^-]+- [^-]+ - (.+?)\.jpg""), "".jpg"", """"), ""-"", "", ""), """")"),"")</f>
        <v/>
      </c>
      <c r="L14621" s="12"/>
      <c r="M14621" s="13"/>
      <c r="N14621" s="2"/>
      <c r="O14621" s="20"/>
      <c r="P14621" s="42"/>
      <c r="R14621" s="23"/>
    </row>
    <row r="14622" spans="1:18" ht="12.75">
      <c r="A14622" s="12"/>
      <c r="D14622" s="12"/>
      <c r="E14622" s="12"/>
      <c r="H14622" s="11" t="str">
        <f ca="1">IFERROR(__xludf.DUMMYFUNCTION("IFERROR(SUBSTITUTE(SUBSTITUTE(REGEXEXTRACT(A14622, ""[^-]+- [^-]+- [^-]+ - (.+?)\.jpg""), "".jpg"", """"), ""-"", "", ""), """")"),"")</f>
        <v/>
      </c>
      <c r="L14622" s="12"/>
      <c r="M14622" s="13"/>
      <c r="N14622" s="2"/>
      <c r="O14622" s="20"/>
      <c r="P14622" s="42"/>
      <c r="R14622" s="23"/>
    </row>
    <row r="14623" spans="1:18" ht="12.75">
      <c r="A14623" s="12"/>
      <c r="D14623" s="12"/>
      <c r="E14623" s="12"/>
      <c r="H14623" s="11" t="str">
        <f ca="1">IFERROR(__xludf.DUMMYFUNCTION("IFERROR(SUBSTITUTE(SUBSTITUTE(REGEXEXTRACT(A14623, ""[^-]+- [^-]+- [^-]+ - (.+?)\.jpg""), "".jpg"", """"), ""-"", "", ""), """")"),"")</f>
        <v/>
      </c>
      <c r="L14623" s="12"/>
      <c r="M14623" s="13"/>
      <c r="N14623" s="2"/>
      <c r="O14623" s="20"/>
      <c r="P14623" s="42"/>
      <c r="R14623" s="23"/>
    </row>
    <row r="14624" spans="1:18" ht="12.75">
      <c r="A14624" s="12"/>
      <c r="D14624" s="12"/>
      <c r="E14624" s="12"/>
      <c r="H14624" s="11" t="str">
        <f ca="1">IFERROR(__xludf.DUMMYFUNCTION("IFERROR(SUBSTITUTE(SUBSTITUTE(REGEXEXTRACT(A14624, ""[^-]+- [^-]+- [^-]+ - (.+?)\.jpg""), "".jpg"", """"), ""-"", "", ""), """")"),"")</f>
        <v/>
      </c>
      <c r="L14624" s="12"/>
      <c r="M14624" s="13"/>
      <c r="N14624" s="2"/>
      <c r="O14624" s="20"/>
      <c r="P14624" s="42"/>
      <c r="R14624" s="23"/>
    </row>
    <row r="14625" spans="1:18" ht="12.75">
      <c r="A14625" s="12"/>
      <c r="D14625" s="12"/>
      <c r="E14625" s="12"/>
      <c r="H14625" s="11" t="str">
        <f ca="1">IFERROR(__xludf.DUMMYFUNCTION("IFERROR(SUBSTITUTE(SUBSTITUTE(REGEXEXTRACT(A14625, ""[^-]+- [^-]+- [^-]+ - (.+?)\.jpg""), "".jpg"", """"), ""-"", "", ""), """")"),"")</f>
        <v/>
      </c>
      <c r="L14625" s="12"/>
      <c r="M14625" s="13"/>
      <c r="N14625" s="2"/>
      <c r="O14625" s="20"/>
      <c r="P14625" s="42"/>
      <c r="R14625" s="23"/>
    </row>
    <row r="14626" spans="1:18" ht="12.75">
      <c r="A14626" s="12"/>
      <c r="D14626" s="12"/>
      <c r="E14626" s="12"/>
      <c r="H14626" s="11" t="str">
        <f ca="1">IFERROR(__xludf.DUMMYFUNCTION("IFERROR(SUBSTITUTE(SUBSTITUTE(REGEXEXTRACT(A14626, ""[^-]+- [^-]+- [^-]+ - (.+?)\.jpg""), "".jpg"", """"), ""-"", "", ""), """")"),"")</f>
        <v/>
      </c>
      <c r="L14626" s="12"/>
      <c r="M14626" s="13"/>
      <c r="N14626" s="2"/>
      <c r="O14626" s="20"/>
      <c r="P14626" s="42"/>
      <c r="R14626" s="23"/>
    </row>
    <row r="14627" spans="1:18" ht="12.75">
      <c r="A14627" s="12"/>
      <c r="D14627" s="12"/>
      <c r="E14627" s="12"/>
      <c r="H14627" s="11" t="str">
        <f ca="1">IFERROR(__xludf.DUMMYFUNCTION("IFERROR(SUBSTITUTE(SUBSTITUTE(REGEXEXTRACT(A14627, ""[^-]+- [^-]+- [^-]+ - (.+?)\.jpg""), "".jpg"", """"), ""-"", "", ""), """")"),"")</f>
        <v/>
      </c>
      <c r="L14627" s="12"/>
      <c r="M14627" s="13"/>
      <c r="N14627" s="2"/>
      <c r="O14627" s="20"/>
      <c r="P14627" s="42"/>
      <c r="R14627" s="23"/>
    </row>
    <row r="14628" spans="1:18" ht="12.75">
      <c r="A14628" s="12"/>
      <c r="D14628" s="12"/>
      <c r="E14628" s="12"/>
      <c r="H14628" s="11" t="str">
        <f ca="1">IFERROR(__xludf.DUMMYFUNCTION("IFERROR(SUBSTITUTE(SUBSTITUTE(REGEXEXTRACT(A14628, ""[^-]+- [^-]+- [^-]+ - (.+?)\.jpg""), "".jpg"", """"), ""-"", "", ""), """")"),"")</f>
        <v/>
      </c>
      <c r="L14628" s="12"/>
      <c r="M14628" s="13"/>
      <c r="N14628" s="2"/>
      <c r="O14628" s="20"/>
      <c r="P14628" s="42"/>
      <c r="R14628" s="23"/>
    </row>
    <row r="14629" spans="1:18" ht="12.75">
      <c r="A14629" s="12"/>
      <c r="D14629" s="12"/>
      <c r="E14629" s="12"/>
      <c r="H14629" s="11" t="str">
        <f ca="1">IFERROR(__xludf.DUMMYFUNCTION("IFERROR(SUBSTITUTE(SUBSTITUTE(REGEXEXTRACT(A14629, ""[^-]+- [^-]+- [^-]+ - (.+?)\.jpg""), "".jpg"", """"), ""-"", "", ""), """")"),"")</f>
        <v/>
      </c>
      <c r="L14629" s="12"/>
      <c r="M14629" s="13"/>
      <c r="N14629" s="2"/>
      <c r="O14629" s="20"/>
      <c r="P14629" s="42"/>
      <c r="R14629" s="23"/>
    </row>
    <row r="14630" spans="1:18" ht="12.75">
      <c r="A14630" s="12"/>
      <c r="D14630" s="12"/>
      <c r="E14630" s="12"/>
      <c r="H14630" s="11" t="str">
        <f ca="1">IFERROR(__xludf.DUMMYFUNCTION("IFERROR(SUBSTITUTE(SUBSTITUTE(REGEXEXTRACT(A14630, ""[^-]+- [^-]+- [^-]+ - (.+?)\.jpg""), "".jpg"", """"), ""-"", "", ""), """")"),"")</f>
        <v/>
      </c>
      <c r="L14630" s="12"/>
      <c r="M14630" s="13"/>
      <c r="N14630" s="2"/>
      <c r="O14630" s="20"/>
      <c r="P14630" s="42"/>
      <c r="R14630" s="23"/>
    </row>
    <row r="14631" spans="1:18" ht="12.75">
      <c r="A14631" s="12"/>
      <c r="D14631" s="12"/>
      <c r="E14631" s="12"/>
      <c r="H14631" s="11" t="str">
        <f ca="1">IFERROR(__xludf.DUMMYFUNCTION("IFERROR(SUBSTITUTE(SUBSTITUTE(REGEXEXTRACT(A14631, ""[^-]+- [^-]+- [^-]+ - (.+?)\.jpg""), "".jpg"", """"), ""-"", "", ""), """")"),"")</f>
        <v/>
      </c>
      <c r="L14631" s="12"/>
      <c r="M14631" s="13"/>
      <c r="N14631" s="2"/>
      <c r="O14631" s="20"/>
      <c r="P14631" s="42"/>
      <c r="R14631" s="23"/>
    </row>
    <row r="14632" spans="1:18" ht="12.75">
      <c r="A14632" s="12"/>
      <c r="D14632" s="12"/>
      <c r="E14632" s="12"/>
      <c r="H14632" s="11" t="str">
        <f ca="1">IFERROR(__xludf.DUMMYFUNCTION("IFERROR(SUBSTITUTE(SUBSTITUTE(REGEXEXTRACT(A14632, ""[^-]+- [^-]+- [^-]+ - (.+?)\.jpg""), "".jpg"", """"), ""-"", "", ""), """")"),"")</f>
        <v/>
      </c>
      <c r="L14632" s="12"/>
      <c r="M14632" s="13"/>
      <c r="N14632" s="2"/>
      <c r="O14632" s="20"/>
      <c r="P14632" s="42"/>
      <c r="R14632" s="23"/>
    </row>
    <row r="14633" spans="1:18" ht="12.75">
      <c r="A14633" s="12"/>
      <c r="D14633" s="12"/>
      <c r="E14633" s="12"/>
      <c r="H14633" s="11" t="str">
        <f ca="1">IFERROR(__xludf.DUMMYFUNCTION("IFERROR(SUBSTITUTE(SUBSTITUTE(REGEXEXTRACT(A14633, ""[^-]+- [^-]+- [^-]+ - (.+?)\.jpg""), "".jpg"", """"), ""-"", "", ""), """")"),"")</f>
        <v/>
      </c>
      <c r="L14633" s="12"/>
      <c r="M14633" s="13"/>
      <c r="N14633" s="2"/>
      <c r="O14633" s="20"/>
      <c r="P14633" s="42"/>
      <c r="R14633" s="23"/>
    </row>
    <row r="14634" spans="1:18" ht="12.75">
      <c r="A14634" s="12"/>
      <c r="D14634" s="12"/>
      <c r="E14634" s="12"/>
      <c r="H14634" s="11" t="str">
        <f ca="1">IFERROR(__xludf.DUMMYFUNCTION("IFERROR(SUBSTITUTE(SUBSTITUTE(REGEXEXTRACT(A14634, ""[^-]+- [^-]+- [^-]+ - (.+?)\.jpg""), "".jpg"", """"), ""-"", "", ""), """")"),"")</f>
        <v/>
      </c>
      <c r="L14634" s="12"/>
      <c r="M14634" s="13"/>
      <c r="N14634" s="2"/>
      <c r="O14634" s="20"/>
      <c r="P14634" s="42"/>
      <c r="R14634" s="23"/>
    </row>
    <row r="14635" spans="1:18" ht="12.75">
      <c r="A14635" s="12"/>
      <c r="D14635" s="12"/>
      <c r="E14635" s="12"/>
      <c r="H14635" s="11" t="str">
        <f ca="1">IFERROR(__xludf.DUMMYFUNCTION("IFERROR(SUBSTITUTE(SUBSTITUTE(REGEXEXTRACT(A14635, ""[^-]+- [^-]+- [^-]+ - (.+?)\.jpg""), "".jpg"", """"), ""-"", "", ""), """")"),"")</f>
        <v/>
      </c>
      <c r="L14635" s="12"/>
      <c r="M14635" s="13"/>
      <c r="N14635" s="2"/>
      <c r="O14635" s="20"/>
      <c r="P14635" s="42"/>
      <c r="R14635" s="23"/>
    </row>
    <row r="14636" spans="1:18" ht="12.75">
      <c r="A14636" s="12"/>
      <c r="D14636" s="12"/>
      <c r="E14636" s="12"/>
      <c r="H14636" s="11" t="str">
        <f ca="1">IFERROR(__xludf.DUMMYFUNCTION("IFERROR(SUBSTITUTE(SUBSTITUTE(REGEXEXTRACT(A14636, ""[^-]+- [^-]+- [^-]+ - (.+?)\.jpg""), "".jpg"", """"), ""-"", "", ""), """")"),"")</f>
        <v/>
      </c>
      <c r="L14636" s="12"/>
      <c r="M14636" s="13"/>
      <c r="N14636" s="2"/>
      <c r="O14636" s="20"/>
      <c r="P14636" s="42"/>
      <c r="R14636" s="23"/>
    </row>
    <row r="14637" spans="1:18" ht="12.75">
      <c r="A14637" s="12"/>
      <c r="D14637" s="12"/>
      <c r="E14637" s="12"/>
      <c r="H14637" s="11" t="str">
        <f ca="1">IFERROR(__xludf.DUMMYFUNCTION("IFERROR(SUBSTITUTE(SUBSTITUTE(REGEXEXTRACT(A14637, ""[^-]+- [^-]+- [^-]+ - (.+?)\.jpg""), "".jpg"", """"), ""-"", "", ""), """")"),"")</f>
        <v/>
      </c>
      <c r="L14637" s="12"/>
      <c r="M14637" s="13"/>
      <c r="N14637" s="2"/>
      <c r="O14637" s="20"/>
      <c r="P14637" s="42"/>
      <c r="R14637" s="23"/>
    </row>
    <row r="14638" spans="1:18" ht="12.75">
      <c r="A14638" s="12"/>
      <c r="D14638" s="12"/>
      <c r="E14638" s="12"/>
      <c r="H14638" s="11" t="str">
        <f ca="1">IFERROR(__xludf.DUMMYFUNCTION("IFERROR(SUBSTITUTE(SUBSTITUTE(REGEXEXTRACT(A14638, ""[^-]+- [^-]+- [^-]+ - (.+?)\.jpg""), "".jpg"", """"), ""-"", "", ""), """")"),"")</f>
        <v/>
      </c>
      <c r="L14638" s="12"/>
      <c r="M14638" s="13"/>
      <c r="N14638" s="2"/>
      <c r="O14638" s="20"/>
      <c r="P14638" s="42"/>
      <c r="R14638" s="23"/>
    </row>
    <row r="14639" spans="1:18" ht="12.75">
      <c r="A14639" s="12"/>
      <c r="D14639" s="12"/>
      <c r="E14639" s="12"/>
      <c r="H14639" s="11" t="str">
        <f ca="1">IFERROR(__xludf.DUMMYFUNCTION("IFERROR(SUBSTITUTE(SUBSTITUTE(REGEXEXTRACT(A14639, ""[^-]+- [^-]+- [^-]+ - (.+?)\.jpg""), "".jpg"", """"), ""-"", "", ""), """")"),"")</f>
        <v/>
      </c>
      <c r="L14639" s="12"/>
      <c r="M14639" s="13"/>
      <c r="N14639" s="2"/>
      <c r="O14639" s="20"/>
      <c r="P14639" s="42"/>
      <c r="R14639" s="23"/>
    </row>
    <row r="14640" spans="1:18" ht="12.75">
      <c r="A14640" s="12"/>
      <c r="D14640" s="12"/>
      <c r="E14640" s="12"/>
      <c r="H14640" s="11" t="str">
        <f ca="1">IFERROR(__xludf.DUMMYFUNCTION("IFERROR(SUBSTITUTE(SUBSTITUTE(REGEXEXTRACT(A14640, ""[^-]+- [^-]+- [^-]+ - (.+?)\.jpg""), "".jpg"", """"), ""-"", "", ""), """")"),"")</f>
        <v/>
      </c>
      <c r="L14640" s="12"/>
      <c r="M14640" s="13"/>
      <c r="N14640" s="2"/>
      <c r="O14640" s="20"/>
      <c r="P14640" s="42"/>
      <c r="R14640" s="23"/>
    </row>
    <row r="14641" spans="1:18" ht="12.75">
      <c r="A14641" s="12"/>
      <c r="D14641" s="12"/>
      <c r="E14641" s="12"/>
      <c r="H14641" s="11" t="str">
        <f ca="1">IFERROR(__xludf.DUMMYFUNCTION("IFERROR(SUBSTITUTE(SUBSTITUTE(REGEXEXTRACT(A14641, ""[^-]+- [^-]+- [^-]+ - (.+?)\.jpg""), "".jpg"", """"), ""-"", "", ""), """")"),"")</f>
        <v/>
      </c>
      <c r="L14641" s="12"/>
      <c r="M14641" s="13"/>
      <c r="N14641" s="2"/>
      <c r="O14641" s="20"/>
      <c r="P14641" s="42"/>
      <c r="R14641" s="23"/>
    </row>
    <row r="14642" spans="1:18" ht="12.75">
      <c r="A14642" s="12"/>
      <c r="D14642" s="12"/>
      <c r="E14642" s="12"/>
      <c r="H14642" s="11" t="str">
        <f ca="1">IFERROR(__xludf.DUMMYFUNCTION("IFERROR(SUBSTITUTE(SUBSTITUTE(REGEXEXTRACT(A14642, ""[^-]+- [^-]+- [^-]+ - (.+?)\.jpg""), "".jpg"", """"), ""-"", "", ""), """")"),"")</f>
        <v/>
      </c>
      <c r="L14642" s="12"/>
      <c r="M14642" s="13"/>
      <c r="N14642" s="2"/>
      <c r="O14642" s="20"/>
      <c r="P14642" s="42"/>
      <c r="R14642" s="23"/>
    </row>
    <row r="14643" spans="1:18" ht="12.75">
      <c r="A14643" s="12"/>
      <c r="D14643" s="12"/>
      <c r="E14643" s="12"/>
      <c r="H14643" s="11" t="str">
        <f ca="1">IFERROR(__xludf.DUMMYFUNCTION("IFERROR(SUBSTITUTE(SUBSTITUTE(REGEXEXTRACT(A14643, ""[^-]+- [^-]+- [^-]+ - (.+?)\.jpg""), "".jpg"", """"), ""-"", "", ""), """")"),"")</f>
        <v/>
      </c>
      <c r="L14643" s="12"/>
      <c r="M14643" s="13"/>
      <c r="N14643" s="2"/>
      <c r="O14643" s="20"/>
      <c r="P14643" s="42"/>
      <c r="R14643" s="23"/>
    </row>
    <row r="14644" spans="1:18" ht="12.75">
      <c r="A14644" s="12"/>
      <c r="D14644" s="12"/>
      <c r="E14644" s="12"/>
      <c r="H14644" s="11" t="str">
        <f ca="1">IFERROR(__xludf.DUMMYFUNCTION("IFERROR(SUBSTITUTE(SUBSTITUTE(REGEXEXTRACT(A14644, ""[^-]+- [^-]+- [^-]+ - (.+?)\.jpg""), "".jpg"", """"), ""-"", "", ""), """")"),"")</f>
        <v/>
      </c>
      <c r="L14644" s="12"/>
      <c r="M14644" s="13"/>
      <c r="N14644" s="2"/>
      <c r="O14644" s="20"/>
      <c r="P14644" s="42"/>
      <c r="R14644" s="23"/>
    </row>
    <row r="14645" spans="1:18" ht="12.75">
      <c r="A14645" s="12"/>
      <c r="D14645" s="12"/>
      <c r="E14645" s="12"/>
      <c r="H14645" s="11" t="str">
        <f ca="1">IFERROR(__xludf.DUMMYFUNCTION("IFERROR(SUBSTITUTE(SUBSTITUTE(REGEXEXTRACT(A14645, ""[^-]+- [^-]+- [^-]+ - (.+?)\.jpg""), "".jpg"", """"), ""-"", "", ""), """")"),"")</f>
        <v/>
      </c>
      <c r="L14645" s="12"/>
      <c r="M14645" s="13"/>
      <c r="N14645" s="2"/>
      <c r="O14645" s="20"/>
      <c r="P14645" s="42"/>
      <c r="R14645" s="23"/>
    </row>
    <row r="14646" spans="1:18" ht="12.75">
      <c r="A14646" s="12"/>
      <c r="D14646" s="12"/>
      <c r="E14646" s="12"/>
      <c r="H14646" s="11" t="str">
        <f ca="1">IFERROR(__xludf.DUMMYFUNCTION("IFERROR(SUBSTITUTE(SUBSTITUTE(REGEXEXTRACT(A14646, ""[^-]+- [^-]+- [^-]+ - (.+?)\.jpg""), "".jpg"", """"), ""-"", "", ""), """")"),"")</f>
        <v/>
      </c>
      <c r="L14646" s="12"/>
      <c r="M14646" s="13"/>
      <c r="N14646" s="2"/>
      <c r="O14646" s="20"/>
      <c r="P14646" s="42"/>
      <c r="R14646" s="23"/>
    </row>
    <row r="14647" spans="1:18" ht="12.75">
      <c r="A14647" s="12"/>
      <c r="D14647" s="12"/>
      <c r="E14647" s="12"/>
      <c r="H14647" s="11" t="str">
        <f ca="1">IFERROR(__xludf.DUMMYFUNCTION("IFERROR(SUBSTITUTE(SUBSTITUTE(REGEXEXTRACT(A14647, ""[^-]+- [^-]+- [^-]+ - (.+?)\.jpg""), "".jpg"", """"), ""-"", "", ""), """")"),"")</f>
        <v/>
      </c>
      <c r="L14647" s="12"/>
      <c r="M14647" s="13"/>
      <c r="N14647" s="2"/>
      <c r="O14647" s="20"/>
      <c r="P14647" s="42"/>
      <c r="R14647" s="23"/>
    </row>
    <row r="14648" spans="1:18" ht="12.75">
      <c r="A14648" s="12"/>
      <c r="D14648" s="12"/>
      <c r="E14648" s="12"/>
      <c r="H14648" s="11" t="str">
        <f ca="1">IFERROR(__xludf.DUMMYFUNCTION("IFERROR(SUBSTITUTE(SUBSTITUTE(REGEXEXTRACT(A14648, ""[^-]+- [^-]+- [^-]+ - (.+?)\.jpg""), "".jpg"", """"), ""-"", "", ""), """")"),"")</f>
        <v/>
      </c>
      <c r="L14648" s="12"/>
      <c r="M14648" s="13"/>
      <c r="N14648" s="2"/>
      <c r="O14648" s="20"/>
      <c r="P14648" s="42"/>
      <c r="R14648" s="23"/>
    </row>
    <row r="14649" spans="1:18" ht="12.75">
      <c r="A14649" s="12"/>
      <c r="D14649" s="12"/>
      <c r="E14649" s="12"/>
      <c r="H14649" s="11" t="str">
        <f ca="1">IFERROR(__xludf.DUMMYFUNCTION("IFERROR(SUBSTITUTE(SUBSTITUTE(REGEXEXTRACT(A14649, ""[^-]+- [^-]+- [^-]+ - (.+?)\.jpg""), "".jpg"", """"), ""-"", "", ""), """")"),"")</f>
        <v/>
      </c>
      <c r="L14649" s="12"/>
      <c r="M14649" s="13"/>
      <c r="N14649" s="2"/>
      <c r="O14649" s="20"/>
      <c r="P14649" s="42"/>
      <c r="R14649" s="23"/>
    </row>
    <row r="14650" spans="1:18" ht="12.75">
      <c r="A14650" s="12"/>
      <c r="D14650" s="12"/>
      <c r="E14650" s="12"/>
      <c r="H14650" s="11" t="str">
        <f ca="1">IFERROR(__xludf.DUMMYFUNCTION("IFERROR(SUBSTITUTE(SUBSTITUTE(REGEXEXTRACT(A14650, ""[^-]+- [^-]+- [^-]+ - (.+?)\.jpg""), "".jpg"", """"), ""-"", "", ""), """")"),"")</f>
        <v/>
      </c>
      <c r="L14650" s="12"/>
      <c r="M14650" s="13"/>
      <c r="N14650" s="2"/>
      <c r="O14650" s="20"/>
      <c r="P14650" s="42"/>
      <c r="R14650" s="23"/>
    </row>
    <row r="14651" spans="1:18" ht="12.75">
      <c r="A14651" s="12"/>
      <c r="D14651" s="12"/>
      <c r="E14651" s="12"/>
      <c r="H14651" s="11" t="str">
        <f ca="1">IFERROR(__xludf.DUMMYFUNCTION("IFERROR(SUBSTITUTE(SUBSTITUTE(REGEXEXTRACT(A14651, ""[^-]+- [^-]+- [^-]+ - (.+?)\.jpg""), "".jpg"", """"), ""-"", "", ""), """")"),"")</f>
        <v/>
      </c>
      <c r="L14651" s="12"/>
      <c r="M14651" s="13"/>
      <c r="N14651" s="2"/>
      <c r="O14651" s="20"/>
      <c r="P14651" s="42"/>
      <c r="R14651" s="23"/>
    </row>
    <row r="14652" spans="1:18" ht="12.75">
      <c r="A14652" s="12"/>
      <c r="D14652" s="12"/>
      <c r="E14652" s="12"/>
      <c r="H14652" s="11" t="str">
        <f ca="1">IFERROR(__xludf.DUMMYFUNCTION("IFERROR(SUBSTITUTE(SUBSTITUTE(REGEXEXTRACT(A14652, ""[^-]+- [^-]+- [^-]+ - (.+?)\.jpg""), "".jpg"", """"), ""-"", "", ""), """")"),"")</f>
        <v/>
      </c>
      <c r="L14652" s="12"/>
      <c r="M14652" s="13"/>
      <c r="N14652" s="2"/>
      <c r="O14652" s="20"/>
      <c r="P14652" s="42"/>
      <c r="R14652" s="23"/>
    </row>
    <row r="14653" spans="1:18" ht="12.75">
      <c r="A14653" s="12"/>
      <c r="D14653" s="12"/>
      <c r="E14653" s="12"/>
      <c r="H14653" s="11" t="str">
        <f ca="1">IFERROR(__xludf.DUMMYFUNCTION("IFERROR(SUBSTITUTE(SUBSTITUTE(REGEXEXTRACT(A14653, ""[^-]+- [^-]+- [^-]+ - (.+?)\.jpg""), "".jpg"", """"), ""-"", "", ""), """")"),"")</f>
        <v/>
      </c>
      <c r="L14653" s="12"/>
      <c r="M14653" s="13"/>
      <c r="N14653" s="2"/>
      <c r="O14653" s="20"/>
      <c r="P14653" s="42"/>
      <c r="R14653" s="23"/>
    </row>
    <row r="14654" spans="1:18" ht="12.75">
      <c r="A14654" s="12"/>
      <c r="D14654" s="12"/>
      <c r="E14654" s="12"/>
      <c r="H14654" s="11" t="str">
        <f ca="1">IFERROR(__xludf.DUMMYFUNCTION("IFERROR(SUBSTITUTE(SUBSTITUTE(REGEXEXTRACT(A14654, ""[^-]+- [^-]+- [^-]+ - (.+?)\.jpg""), "".jpg"", """"), ""-"", "", ""), """")"),"")</f>
        <v/>
      </c>
      <c r="L14654" s="12"/>
      <c r="M14654" s="13"/>
      <c r="N14654" s="2"/>
      <c r="O14654" s="20"/>
      <c r="P14654" s="42"/>
      <c r="R14654" s="23"/>
    </row>
    <row r="14655" spans="1:18" ht="12.75">
      <c r="A14655" s="12"/>
      <c r="D14655" s="12"/>
      <c r="E14655" s="12"/>
      <c r="H14655" s="11" t="str">
        <f ca="1">IFERROR(__xludf.DUMMYFUNCTION("IFERROR(SUBSTITUTE(SUBSTITUTE(REGEXEXTRACT(A14655, ""[^-]+- [^-]+- [^-]+ - (.+?)\.jpg""), "".jpg"", """"), ""-"", "", ""), """")"),"")</f>
        <v/>
      </c>
      <c r="L14655" s="12"/>
      <c r="M14655" s="13"/>
      <c r="N14655" s="2"/>
      <c r="O14655" s="20"/>
      <c r="P14655" s="42"/>
      <c r="R14655" s="23"/>
    </row>
    <row r="14656" spans="1:18" ht="12.75">
      <c r="A14656" s="12"/>
      <c r="D14656" s="12"/>
      <c r="E14656" s="12"/>
      <c r="H14656" s="11" t="str">
        <f ca="1">IFERROR(__xludf.DUMMYFUNCTION("IFERROR(SUBSTITUTE(SUBSTITUTE(REGEXEXTRACT(A14656, ""[^-]+- [^-]+- [^-]+ - (.+?)\.jpg""), "".jpg"", """"), ""-"", "", ""), """")"),"")</f>
        <v/>
      </c>
      <c r="L14656" s="12"/>
      <c r="M14656" s="13"/>
      <c r="N14656" s="2"/>
      <c r="O14656" s="20"/>
      <c r="P14656" s="42"/>
      <c r="R14656" s="23"/>
    </row>
    <row r="14657" spans="1:18" ht="12.75">
      <c r="A14657" s="12"/>
      <c r="D14657" s="12"/>
      <c r="E14657" s="12"/>
      <c r="H14657" s="11" t="str">
        <f ca="1">IFERROR(__xludf.DUMMYFUNCTION("IFERROR(SUBSTITUTE(SUBSTITUTE(REGEXEXTRACT(A14657, ""[^-]+- [^-]+- [^-]+ - (.+?)\.jpg""), "".jpg"", """"), ""-"", "", ""), """")"),"")</f>
        <v/>
      </c>
      <c r="L14657" s="12"/>
      <c r="M14657" s="13"/>
      <c r="N14657" s="2"/>
      <c r="O14657" s="20"/>
      <c r="P14657" s="42"/>
      <c r="R14657" s="23"/>
    </row>
    <row r="14658" spans="1:18" ht="12.75">
      <c r="A14658" s="12"/>
      <c r="D14658" s="12"/>
      <c r="E14658" s="12"/>
      <c r="H14658" s="11" t="str">
        <f ca="1">IFERROR(__xludf.DUMMYFUNCTION("IFERROR(SUBSTITUTE(SUBSTITUTE(REGEXEXTRACT(A14658, ""[^-]+- [^-]+- [^-]+ - (.+?)\.jpg""), "".jpg"", """"), ""-"", "", ""), """")"),"")</f>
        <v/>
      </c>
      <c r="L14658" s="12"/>
      <c r="M14658" s="13"/>
      <c r="N14658" s="2"/>
      <c r="O14658" s="20"/>
      <c r="P14658" s="42"/>
      <c r="R14658" s="23"/>
    </row>
    <row r="14659" spans="1:18" ht="12.75">
      <c r="A14659" s="12"/>
      <c r="D14659" s="12"/>
      <c r="E14659" s="12"/>
      <c r="H14659" s="11" t="str">
        <f ca="1">IFERROR(__xludf.DUMMYFUNCTION("IFERROR(SUBSTITUTE(SUBSTITUTE(REGEXEXTRACT(A14659, ""[^-]+- [^-]+- [^-]+ - (.+?)\.jpg""), "".jpg"", """"), ""-"", "", ""), """")"),"")</f>
        <v/>
      </c>
      <c r="L14659" s="12"/>
      <c r="M14659" s="13"/>
      <c r="N14659" s="2"/>
      <c r="O14659" s="20"/>
      <c r="P14659" s="42"/>
      <c r="R14659" s="23"/>
    </row>
    <row r="14660" spans="1:18" ht="12.75">
      <c r="A14660" s="12"/>
      <c r="D14660" s="12"/>
      <c r="E14660" s="12"/>
      <c r="H14660" s="11" t="str">
        <f ca="1">IFERROR(__xludf.DUMMYFUNCTION("IFERROR(SUBSTITUTE(SUBSTITUTE(REGEXEXTRACT(A14660, ""[^-]+- [^-]+- [^-]+ - (.+?)\.jpg""), "".jpg"", """"), ""-"", "", ""), """")"),"")</f>
        <v/>
      </c>
      <c r="L14660" s="12"/>
      <c r="M14660" s="13"/>
      <c r="N14660" s="2"/>
      <c r="O14660" s="20"/>
      <c r="P14660" s="42"/>
      <c r="R14660" s="23"/>
    </row>
    <row r="14661" spans="1:18" ht="12.75">
      <c r="A14661" s="12"/>
      <c r="D14661" s="12"/>
      <c r="E14661" s="12"/>
      <c r="H14661" s="11" t="str">
        <f ca="1">IFERROR(__xludf.DUMMYFUNCTION("IFERROR(SUBSTITUTE(SUBSTITUTE(REGEXEXTRACT(A14661, ""[^-]+- [^-]+- [^-]+ - (.+?)\.jpg""), "".jpg"", """"), ""-"", "", ""), """")"),"")</f>
        <v/>
      </c>
      <c r="L14661" s="12"/>
      <c r="M14661" s="13"/>
      <c r="N14661" s="2"/>
      <c r="O14661" s="20"/>
      <c r="P14661" s="42"/>
      <c r="R14661" s="23"/>
    </row>
    <row r="14662" spans="1:18" ht="12.75">
      <c r="A14662" s="12"/>
      <c r="D14662" s="12"/>
      <c r="E14662" s="12"/>
      <c r="H14662" s="11" t="str">
        <f ca="1">IFERROR(__xludf.DUMMYFUNCTION("IFERROR(SUBSTITUTE(SUBSTITUTE(REGEXEXTRACT(A14662, ""[^-]+- [^-]+- [^-]+ - (.+?)\.jpg""), "".jpg"", """"), ""-"", "", ""), """")"),"")</f>
        <v/>
      </c>
      <c r="L14662" s="12"/>
      <c r="M14662" s="13"/>
      <c r="N14662" s="2"/>
      <c r="O14662" s="20"/>
      <c r="P14662" s="42"/>
      <c r="R14662" s="23"/>
    </row>
    <row r="14663" spans="1:18" ht="12.75">
      <c r="A14663" s="12"/>
      <c r="D14663" s="12"/>
      <c r="E14663" s="12"/>
      <c r="H14663" s="11" t="str">
        <f ca="1">IFERROR(__xludf.DUMMYFUNCTION("IFERROR(SUBSTITUTE(SUBSTITUTE(REGEXEXTRACT(A14663, ""[^-]+- [^-]+- [^-]+ - (.+?)\.jpg""), "".jpg"", """"), ""-"", "", ""), """")"),"")</f>
        <v/>
      </c>
      <c r="L14663" s="12"/>
      <c r="M14663" s="13"/>
      <c r="N14663" s="2"/>
      <c r="O14663" s="20"/>
      <c r="P14663" s="42"/>
      <c r="R14663" s="23"/>
    </row>
    <row r="14664" spans="1:18" ht="12.75">
      <c r="A14664" s="12"/>
      <c r="D14664" s="12"/>
      <c r="E14664" s="12"/>
      <c r="H14664" s="11" t="str">
        <f ca="1">IFERROR(__xludf.DUMMYFUNCTION("IFERROR(SUBSTITUTE(SUBSTITUTE(REGEXEXTRACT(A14664, ""[^-]+- [^-]+- [^-]+ - (.+?)\.jpg""), "".jpg"", """"), ""-"", "", ""), """")"),"")</f>
        <v/>
      </c>
      <c r="L14664" s="12"/>
      <c r="M14664" s="13"/>
      <c r="N14664" s="2"/>
      <c r="O14664" s="20"/>
      <c r="P14664" s="42"/>
      <c r="R14664" s="23"/>
    </row>
    <row r="14665" spans="1:18" ht="12.75">
      <c r="A14665" s="12"/>
      <c r="D14665" s="12"/>
      <c r="E14665" s="12"/>
      <c r="H14665" s="11" t="str">
        <f ca="1">IFERROR(__xludf.DUMMYFUNCTION("IFERROR(SUBSTITUTE(SUBSTITUTE(REGEXEXTRACT(A14665, ""[^-]+- [^-]+- [^-]+ - (.+?)\.jpg""), "".jpg"", """"), ""-"", "", ""), """")"),"")</f>
        <v/>
      </c>
      <c r="L14665" s="12"/>
      <c r="M14665" s="13"/>
      <c r="N14665" s="2"/>
      <c r="O14665" s="20"/>
      <c r="P14665" s="42"/>
      <c r="R14665" s="23"/>
    </row>
    <row r="14666" spans="1:18" ht="12.75">
      <c r="A14666" s="12"/>
      <c r="D14666" s="12"/>
      <c r="E14666" s="12"/>
      <c r="H14666" s="11" t="str">
        <f ca="1">IFERROR(__xludf.DUMMYFUNCTION("IFERROR(SUBSTITUTE(SUBSTITUTE(REGEXEXTRACT(A14666, ""[^-]+- [^-]+- [^-]+ - (.+?)\.jpg""), "".jpg"", """"), ""-"", "", ""), """")"),"")</f>
        <v/>
      </c>
      <c r="L14666" s="12"/>
      <c r="M14666" s="13"/>
      <c r="N14666" s="2"/>
      <c r="O14666" s="20"/>
      <c r="P14666" s="42"/>
      <c r="R14666" s="23"/>
    </row>
    <row r="14667" spans="1:18" ht="12.75">
      <c r="A14667" s="12"/>
      <c r="D14667" s="12"/>
      <c r="E14667" s="12"/>
      <c r="H14667" s="11" t="str">
        <f ca="1">IFERROR(__xludf.DUMMYFUNCTION("IFERROR(SUBSTITUTE(SUBSTITUTE(REGEXEXTRACT(A14667, ""[^-]+- [^-]+- [^-]+ - (.+?)\.jpg""), "".jpg"", """"), ""-"", "", ""), """")"),"")</f>
        <v/>
      </c>
      <c r="L14667" s="12"/>
      <c r="M14667" s="13"/>
      <c r="N14667" s="2"/>
      <c r="O14667" s="20"/>
      <c r="P14667" s="42"/>
      <c r="R14667" s="23"/>
    </row>
    <row r="14668" spans="1:18" ht="12.75">
      <c r="A14668" s="12"/>
      <c r="D14668" s="12"/>
      <c r="E14668" s="12"/>
      <c r="H14668" s="11" t="str">
        <f ca="1">IFERROR(__xludf.DUMMYFUNCTION("IFERROR(SUBSTITUTE(SUBSTITUTE(REGEXEXTRACT(A14668, ""[^-]+- [^-]+- [^-]+ - (.+?)\.jpg""), "".jpg"", """"), ""-"", "", ""), """")"),"")</f>
        <v/>
      </c>
      <c r="L14668" s="12"/>
      <c r="M14668" s="13"/>
      <c r="N14668" s="2"/>
      <c r="O14668" s="20"/>
      <c r="P14668" s="42"/>
      <c r="R14668" s="23"/>
    </row>
    <row r="14669" spans="1:18" ht="12.75">
      <c r="A14669" s="12"/>
      <c r="D14669" s="12"/>
      <c r="E14669" s="12"/>
      <c r="H14669" s="11" t="str">
        <f ca="1">IFERROR(__xludf.DUMMYFUNCTION("IFERROR(SUBSTITUTE(SUBSTITUTE(REGEXEXTRACT(A14669, ""[^-]+- [^-]+- [^-]+ - (.+?)\.jpg""), "".jpg"", """"), ""-"", "", ""), """")"),"")</f>
        <v/>
      </c>
      <c r="L14669" s="12"/>
      <c r="M14669" s="13"/>
      <c r="N14669" s="2"/>
      <c r="O14669" s="20"/>
      <c r="P14669" s="42"/>
      <c r="R14669" s="23"/>
    </row>
    <row r="14670" spans="1:18" ht="12.75">
      <c r="A14670" s="12"/>
      <c r="D14670" s="12"/>
      <c r="E14670" s="12"/>
      <c r="H14670" s="11" t="str">
        <f ca="1">IFERROR(__xludf.DUMMYFUNCTION("IFERROR(SUBSTITUTE(SUBSTITUTE(REGEXEXTRACT(A14670, ""[^-]+- [^-]+- [^-]+ - (.+?)\.jpg""), "".jpg"", """"), ""-"", "", ""), """")"),"")</f>
        <v/>
      </c>
      <c r="L14670" s="12"/>
      <c r="M14670" s="13"/>
      <c r="N14670" s="2"/>
      <c r="O14670" s="20"/>
      <c r="P14670" s="42"/>
      <c r="R14670" s="23"/>
    </row>
    <row r="14671" spans="1:18" ht="12.75">
      <c r="A14671" s="12"/>
      <c r="D14671" s="12"/>
      <c r="E14671" s="12"/>
      <c r="H14671" s="11" t="str">
        <f ca="1">IFERROR(__xludf.DUMMYFUNCTION("IFERROR(SUBSTITUTE(SUBSTITUTE(REGEXEXTRACT(A14671, ""[^-]+- [^-]+- [^-]+ - (.+?)\.jpg""), "".jpg"", """"), ""-"", "", ""), """")"),"")</f>
        <v/>
      </c>
      <c r="L14671" s="12"/>
      <c r="M14671" s="13"/>
      <c r="N14671" s="2"/>
      <c r="O14671" s="20"/>
      <c r="P14671" s="42"/>
      <c r="R14671" s="23"/>
    </row>
    <row r="14672" spans="1:18" ht="12.75">
      <c r="A14672" s="12"/>
      <c r="D14672" s="12"/>
      <c r="E14672" s="12"/>
      <c r="H14672" s="11" t="str">
        <f ca="1">IFERROR(__xludf.DUMMYFUNCTION("IFERROR(SUBSTITUTE(SUBSTITUTE(REGEXEXTRACT(A14672, ""[^-]+- [^-]+- [^-]+ - (.+?)\.jpg""), "".jpg"", """"), ""-"", "", ""), """")"),"")</f>
        <v/>
      </c>
      <c r="L14672" s="12"/>
      <c r="M14672" s="13"/>
      <c r="N14672" s="2"/>
      <c r="O14672" s="20"/>
      <c r="P14672" s="42"/>
      <c r="R14672" s="23"/>
    </row>
    <row r="14673" spans="1:18" ht="12.75">
      <c r="A14673" s="12"/>
      <c r="D14673" s="12"/>
      <c r="E14673" s="12"/>
      <c r="H14673" s="11" t="str">
        <f ca="1">IFERROR(__xludf.DUMMYFUNCTION("IFERROR(SUBSTITUTE(SUBSTITUTE(REGEXEXTRACT(A14673, ""[^-]+- [^-]+- [^-]+ - (.+?)\.jpg""), "".jpg"", """"), ""-"", "", ""), """")"),"")</f>
        <v/>
      </c>
      <c r="L14673" s="12"/>
      <c r="M14673" s="13"/>
      <c r="N14673" s="2"/>
      <c r="O14673" s="20"/>
      <c r="P14673" s="42"/>
      <c r="R14673" s="23"/>
    </row>
    <row r="14674" spans="1:18" ht="12.75">
      <c r="A14674" s="12"/>
      <c r="D14674" s="12"/>
      <c r="E14674" s="12"/>
      <c r="H14674" s="11" t="str">
        <f ca="1">IFERROR(__xludf.DUMMYFUNCTION("IFERROR(SUBSTITUTE(SUBSTITUTE(REGEXEXTRACT(A14674, ""[^-]+- [^-]+- [^-]+ - (.+?)\.jpg""), "".jpg"", """"), ""-"", "", ""), """")"),"")</f>
        <v/>
      </c>
      <c r="L14674" s="12"/>
      <c r="M14674" s="13"/>
      <c r="N14674" s="2"/>
      <c r="O14674" s="20"/>
      <c r="P14674" s="42"/>
      <c r="R14674" s="23"/>
    </row>
    <row r="14675" spans="1:18" ht="12.75">
      <c r="A14675" s="12"/>
      <c r="D14675" s="12"/>
      <c r="E14675" s="12"/>
      <c r="H14675" s="11" t="str">
        <f ca="1">IFERROR(__xludf.DUMMYFUNCTION("IFERROR(SUBSTITUTE(SUBSTITUTE(REGEXEXTRACT(A14675, ""[^-]+- [^-]+- [^-]+ - (.+?)\.jpg""), "".jpg"", """"), ""-"", "", ""), """")"),"")</f>
        <v/>
      </c>
      <c r="L14675" s="12"/>
      <c r="M14675" s="13"/>
      <c r="N14675" s="2"/>
      <c r="O14675" s="20"/>
      <c r="P14675" s="42"/>
      <c r="R14675" s="23"/>
    </row>
    <row r="14676" spans="1:18" ht="12.75">
      <c r="A14676" s="12"/>
      <c r="D14676" s="12"/>
      <c r="E14676" s="12"/>
      <c r="H14676" s="11" t="str">
        <f ca="1">IFERROR(__xludf.DUMMYFUNCTION("IFERROR(SUBSTITUTE(SUBSTITUTE(REGEXEXTRACT(A14676, ""[^-]+- [^-]+- [^-]+ - (.+?)\.jpg""), "".jpg"", """"), ""-"", "", ""), """")"),"")</f>
        <v/>
      </c>
      <c r="L14676" s="12"/>
      <c r="M14676" s="13"/>
      <c r="N14676" s="2"/>
      <c r="O14676" s="20"/>
      <c r="P14676" s="42"/>
      <c r="R14676" s="23"/>
    </row>
    <row r="14677" spans="1:18" ht="12.75">
      <c r="A14677" s="12"/>
      <c r="D14677" s="12"/>
      <c r="E14677" s="12"/>
      <c r="H14677" s="11" t="str">
        <f ca="1">IFERROR(__xludf.DUMMYFUNCTION("IFERROR(SUBSTITUTE(SUBSTITUTE(REGEXEXTRACT(A14677, ""[^-]+- [^-]+- [^-]+ - (.+?)\.jpg""), "".jpg"", """"), ""-"", "", ""), """")"),"")</f>
        <v/>
      </c>
      <c r="L14677" s="12"/>
      <c r="M14677" s="13"/>
      <c r="N14677" s="2"/>
      <c r="O14677" s="20"/>
      <c r="P14677" s="42"/>
      <c r="R14677" s="23"/>
    </row>
    <row r="14678" spans="1:18" ht="12.75">
      <c r="A14678" s="12"/>
      <c r="D14678" s="12"/>
      <c r="E14678" s="12"/>
      <c r="H14678" s="11" t="str">
        <f ca="1">IFERROR(__xludf.DUMMYFUNCTION("IFERROR(SUBSTITUTE(SUBSTITUTE(REGEXEXTRACT(A14678, ""[^-]+- [^-]+- [^-]+ - (.+?)\.jpg""), "".jpg"", """"), ""-"", "", ""), """")"),"")</f>
        <v/>
      </c>
      <c r="L14678" s="12"/>
      <c r="M14678" s="13"/>
      <c r="N14678" s="2"/>
      <c r="O14678" s="20"/>
      <c r="P14678" s="42"/>
      <c r="R14678" s="23"/>
    </row>
    <row r="14679" spans="1:18" ht="12.75">
      <c r="A14679" s="12"/>
      <c r="D14679" s="12"/>
      <c r="E14679" s="12"/>
      <c r="H14679" s="11" t="str">
        <f ca="1">IFERROR(__xludf.DUMMYFUNCTION("IFERROR(SUBSTITUTE(SUBSTITUTE(REGEXEXTRACT(A14679, ""[^-]+- [^-]+- [^-]+ - (.+?)\.jpg""), "".jpg"", """"), ""-"", "", ""), """")"),"")</f>
        <v/>
      </c>
      <c r="L14679" s="12"/>
      <c r="M14679" s="13"/>
      <c r="N14679" s="2"/>
      <c r="O14679" s="20"/>
      <c r="P14679" s="42"/>
      <c r="R14679" s="23"/>
    </row>
    <row r="14680" spans="1:18" ht="12.75">
      <c r="A14680" s="12"/>
      <c r="D14680" s="12"/>
      <c r="E14680" s="12"/>
      <c r="H14680" s="11" t="str">
        <f ca="1">IFERROR(__xludf.DUMMYFUNCTION("IFERROR(SUBSTITUTE(SUBSTITUTE(REGEXEXTRACT(A14680, ""[^-]+- [^-]+- [^-]+ - (.+?)\.jpg""), "".jpg"", """"), ""-"", "", ""), """")"),"")</f>
        <v/>
      </c>
      <c r="L14680" s="12"/>
      <c r="M14680" s="13"/>
      <c r="N14680" s="2"/>
      <c r="O14680" s="20"/>
      <c r="P14680" s="42"/>
      <c r="R14680" s="23"/>
    </row>
    <row r="14681" spans="1:18" ht="12.75">
      <c r="A14681" s="12"/>
      <c r="D14681" s="12"/>
      <c r="E14681" s="12"/>
      <c r="H14681" s="11" t="str">
        <f ca="1">IFERROR(__xludf.DUMMYFUNCTION("IFERROR(SUBSTITUTE(SUBSTITUTE(REGEXEXTRACT(A14681, ""[^-]+- [^-]+- [^-]+ - (.+?)\.jpg""), "".jpg"", """"), ""-"", "", ""), """")"),"")</f>
        <v/>
      </c>
      <c r="L14681" s="12"/>
      <c r="M14681" s="13"/>
      <c r="N14681" s="2"/>
      <c r="O14681" s="20"/>
      <c r="P14681" s="42"/>
      <c r="R14681" s="23"/>
    </row>
    <row r="14682" spans="1:18" ht="12.75">
      <c r="A14682" s="12"/>
      <c r="D14682" s="12"/>
      <c r="E14682" s="12"/>
      <c r="H14682" s="11" t="str">
        <f ca="1">IFERROR(__xludf.DUMMYFUNCTION("IFERROR(SUBSTITUTE(SUBSTITUTE(REGEXEXTRACT(A14682, ""[^-]+- [^-]+- [^-]+ - (.+?)\.jpg""), "".jpg"", """"), ""-"", "", ""), """")"),"")</f>
        <v/>
      </c>
      <c r="L14682" s="12"/>
      <c r="M14682" s="13"/>
      <c r="N14682" s="2"/>
      <c r="O14682" s="20"/>
      <c r="P14682" s="42"/>
      <c r="R14682" s="23"/>
    </row>
    <row r="14683" spans="1:18" ht="12.75">
      <c r="A14683" s="12"/>
      <c r="D14683" s="12"/>
      <c r="E14683" s="12"/>
      <c r="H14683" s="11" t="str">
        <f ca="1">IFERROR(__xludf.DUMMYFUNCTION("IFERROR(SUBSTITUTE(SUBSTITUTE(REGEXEXTRACT(A14683, ""[^-]+- [^-]+- [^-]+ - (.+?)\.jpg""), "".jpg"", """"), ""-"", "", ""), """")"),"")</f>
        <v/>
      </c>
      <c r="L14683" s="12"/>
      <c r="M14683" s="13"/>
      <c r="N14683" s="2"/>
      <c r="O14683" s="20"/>
      <c r="P14683" s="42"/>
      <c r="R14683" s="23"/>
    </row>
    <row r="14684" spans="1:18" ht="12.75">
      <c r="A14684" s="12"/>
      <c r="D14684" s="12"/>
      <c r="E14684" s="12"/>
      <c r="H14684" s="11" t="str">
        <f ca="1">IFERROR(__xludf.DUMMYFUNCTION("IFERROR(SUBSTITUTE(SUBSTITUTE(REGEXEXTRACT(A14684, ""[^-]+- [^-]+- [^-]+ - (.+?)\.jpg""), "".jpg"", """"), ""-"", "", ""), """")"),"")</f>
        <v/>
      </c>
      <c r="L14684" s="12"/>
      <c r="M14684" s="13"/>
      <c r="N14684" s="2"/>
      <c r="O14684" s="20"/>
      <c r="P14684" s="42"/>
      <c r="R14684" s="23"/>
    </row>
    <row r="14685" spans="1:18" ht="12.75">
      <c r="A14685" s="12"/>
      <c r="D14685" s="12"/>
      <c r="E14685" s="12"/>
      <c r="H14685" s="11" t="str">
        <f ca="1">IFERROR(__xludf.DUMMYFUNCTION("IFERROR(SUBSTITUTE(SUBSTITUTE(REGEXEXTRACT(A14685, ""[^-]+- [^-]+- [^-]+ - (.+?)\.jpg""), "".jpg"", """"), ""-"", "", ""), """")"),"")</f>
        <v/>
      </c>
      <c r="L14685" s="12"/>
      <c r="M14685" s="13"/>
      <c r="N14685" s="2"/>
      <c r="O14685" s="20"/>
      <c r="P14685" s="42"/>
      <c r="R14685" s="23"/>
    </row>
    <row r="14686" spans="1:18" ht="12.75">
      <c r="A14686" s="12"/>
      <c r="D14686" s="12"/>
      <c r="E14686" s="12"/>
      <c r="H14686" s="11" t="str">
        <f ca="1">IFERROR(__xludf.DUMMYFUNCTION("IFERROR(SUBSTITUTE(SUBSTITUTE(REGEXEXTRACT(A14686, ""[^-]+- [^-]+- [^-]+ - (.+?)\.jpg""), "".jpg"", """"), ""-"", "", ""), """")"),"")</f>
        <v/>
      </c>
      <c r="L14686" s="12"/>
      <c r="M14686" s="13"/>
      <c r="N14686" s="2"/>
      <c r="O14686" s="20"/>
      <c r="P14686" s="42"/>
      <c r="R14686" s="23"/>
    </row>
    <row r="14687" spans="1:18" ht="12.75">
      <c r="A14687" s="12"/>
      <c r="D14687" s="12"/>
      <c r="E14687" s="12"/>
      <c r="H14687" s="11" t="str">
        <f ca="1">IFERROR(__xludf.DUMMYFUNCTION("IFERROR(SUBSTITUTE(SUBSTITUTE(REGEXEXTRACT(A14687, ""[^-]+- [^-]+- [^-]+ - (.+?)\.jpg""), "".jpg"", """"), ""-"", "", ""), """")"),"")</f>
        <v/>
      </c>
      <c r="L14687" s="12"/>
      <c r="M14687" s="13"/>
      <c r="N14687" s="2"/>
      <c r="O14687" s="20"/>
      <c r="P14687" s="42"/>
      <c r="R14687" s="23"/>
    </row>
    <row r="14688" spans="1:18" ht="12.75">
      <c r="A14688" s="12"/>
      <c r="D14688" s="12"/>
      <c r="E14688" s="12"/>
      <c r="H14688" s="11" t="str">
        <f ca="1">IFERROR(__xludf.DUMMYFUNCTION("IFERROR(SUBSTITUTE(SUBSTITUTE(REGEXEXTRACT(A14688, ""[^-]+- [^-]+- [^-]+ - (.+?)\.jpg""), "".jpg"", """"), ""-"", "", ""), """")"),"")</f>
        <v/>
      </c>
      <c r="L14688" s="12"/>
      <c r="M14688" s="13"/>
      <c r="N14688" s="2"/>
      <c r="O14688" s="20"/>
      <c r="P14688" s="42"/>
      <c r="R14688" s="23"/>
    </row>
    <row r="14689" spans="1:18" ht="12.75">
      <c r="A14689" s="12"/>
      <c r="D14689" s="12"/>
      <c r="E14689" s="12"/>
      <c r="H14689" s="11" t="str">
        <f ca="1">IFERROR(__xludf.DUMMYFUNCTION("IFERROR(SUBSTITUTE(SUBSTITUTE(REGEXEXTRACT(A14689, ""[^-]+- [^-]+- [^-]+ - (.+?)\.jpg""), "".jpg"", """"), ""-"", "", ""), """")"),"")</f>
        <v/>
      </c>
      <c r="L14689" s="12"/>
      <c r="M14689" s="13"/>
      <c r="N14689" s="2"/>
      <c r="O14689" s="20"/>
      <c r="P14689" s="42"/>
      <c r="R14689" s="23"/>
    </row>
    <row r="14690" spans="1:18" ht="12.75">
      <c r="A14690" s="12"/>
      <c r="D14690" s="12"/>
      <c r="E14690" s="12"/>
      <c r="H14690" s="11" t="str">
        <f ca="1">IFERROR(__xludf.DUMMYFUNCTION("IFERROR(SUBSTITUTE(SUBSTITUTE(REGEXEXTRACT(A14690, ""[^-]+- [^-]+- [^-]+ - (.+?)\.jpg""), "".jpg"", """"), ""-"", "", ""), """")"),"")</f>
        <v/>
      </c>
      <c r="L14690" s="12"/>
      <c r="M14690" s="13"/>
      <c r="N14690" s="2"/>
      <c r="O14690" s="20"/>
      <c r="P14690" s="42"/>
      <c r="R14690" s="23"/>
    </row>
    <row r="14691" spans="1:18" ht="12.75">
      <c r="A14691" s="12"/>
      <c r="D14691" s="12"/>
      <c r="E14691" s="12"/>
      <c r="H14691" s="11" t="str">
        <f ca="1">IFERROR(__xludf.DUMMYFUNCTION("IFERROR(SUBSTITUTE(SUBSTITUTE(REGEXEXTRACT(A14691, ""[^-]+- [^-]+- [^-]+ - (.+?)\.jpg""), "".jpg"", """"), ""-"", "", ""), """")"),"")</f>
        <v/>
      </c>
      <c r="L14691" s="12"/>
      <c r="M14691" s="13"/>
      <c r="N14691" s="2"/>
      <c r="O14691" s="20"/>
      <c r="P14691" s="42"/>
      <c r="R14691" s="23"/>
    </row>
    <row r="14692" spans="1:18" ht="12.75">
      <c r="A14692" s="12"/>
      <c r="D14692" s="12"/>
      <c r="E14692" s="12"/>
      <c r="H14692" s="11" t="str">
        <f ca="1">IFERROR(__xludf.DUMMYFUNCTION("IFERROR(SUBSTITUTE(SUBSTITUTE(REGEXEXTRACT(A14692, ""[^-]+- [^-]+- [^-]+ - (.+?)\.jpg""), "".jpg"", """"), ""-"", "", ""), """")"),"")</f>
        <v/>
      </c>
      <c r="L14692" s="12"/>
      <c r="M14692" s="13"/>
      <c r="N14692" s="2"/>
      <c r="O14692" s="20"/>
      <c r="P14692" s="42"/>
      <c r="R14692" s="23"/>
    </row>
    <row r="14693" spans="1:18" ht="12.75">
      <c r="A14693" s="12"/>
      <c r="D14693" s="12"/>
      <c r="E14693" s="12"/>
      <c r="H14693" s="11" t="str">
        <f ca="1">IFERROR(__xludf.DUMMYFUNCTION("IFERROR(SUBSTITUTE(SUBSTITUTE(REGEXEXTRACT(A14693, ""[^-]+- [^-]+- [^-]+ - (.+?)\.jpg""), "".jpg"", """"), ""-"", "", ""), """")"),"")</f>
        <v/>
      </c>
      <c r="L14693" s="12"/>
      <c r="M14693" s="13"/>
      <c r="N14693" s="2"/>
      <c r="O14693" s="20"/>
      <c r="P14693" s="42"/>
      <c r="R14693" s="23"/>
    </row>
    <row r="14694" spans="1:18" ht="12.75">
      <c r="A14694" s="12"/>
      <c r="D14694" s="12"/>
      <c r="E14694" s="12"/>
      <c r="H14694" s="11" t="str">
        <f ca="1">IFERROR(__xludf.DUMMYFUNCTION("IFERROR(SUBSTITUTE(SUBSTITUTE(REGEXEXTRACT(A14694, ""[^-]+- [^-]+- [^-]+ - (.+?)\.jpg""), "".jpg"", """"), ""-"", "", ""), """")"),"")</f>
        <v/>
      </c>
      <c r="L14694" s="12"/>
      <c r="M14694" s="13"/>
      <c r="N14694" s="2"/>
      <c r="O14694" s="20"/>
      <c r="P14694" s="42"/>
      <c r="R14694" s="23"/>
    </row>
    <row r="14695" spans="1:18" ht="12.75">
      <c r="A14695" s="12"/>
      <c r="D14695" s="12"/>
      <c r="E14695" s="12"/>
      <c r="H14695" s="11" t="str">
        <f ca="1">IFERROR(__xludf.DUMMYFUNCTION("IFERROR(SUBSTITUTE(SUBSTITUTE(REGEXEXTRACT(A14695, ""[^-]+- [^-]+- [^-]+ - (.+?)\.jpg""), "".jpg"", """"), ""-"", "", ""), """")"),"")</f>
        <v/>
      </c>
      <c r="L14695" s="12"/>
      <c r="M14695" s="13"/>
      <c r="N14695" s="2"/>
      <c r="O14695" s="20"/>
      <c r="P14695" s="42"/>
      <c r="R14695" s="23"/>
    </row>
    <row r="14696" spans="1:18" ht="12.75">
      <c r="A14696" s="12"/>
      <c r="D14696" s="12"/>
      <c r="E14696" s="12"/>
      <c r="H14696" s="11" t="str">
        <f ca="1">IFERROR(__xludf.DUMMYFUNCTION("IFERROR(SUBSTITUTE(SUBSTITUTE(REGEXEXTRACT(A14696, ""[^-]+- [^-]+- [^-]+ - (.+?)\.jpg""), "".jpg"", """"), ""-"", "", ""), """")"),"")</f>
        <v/>
      </c>
      <c r="L14696" s="12"/>
      <c r="M14696" s="13"/>
      <c r="N14696" s="2"/>
      <c r="O14696" s="20"/>
      <c r="P14696" s="42"/>
      <c r="R14696" s="23"/>
    </row>
    <row r="14697" spans="1:18" ht="12.75">
      <c r="A14697" s="12"/>
      <c r="D14697" s="12"/>
      <c r="E14697" s="12"/>
      <c r="H14697" s="11" t="str">
        <f ca="1">IFERROR(__xludf.DUMMYFUNCTION("IFERROR(SUBSTITUTE(SUBSTITUTE(REGEXEXTRACT(A14697, ""[^-]+- [^-]+- [^-]+ - (.+?)\.jpg""), "".jpg"", """"), ""-"", "", ""), """")"),"")</f>
        <v/>
      </c>
      <c r="L14697" s="12"/>
      <c r="M14697" s="13"/>
      <c r="N14697" s="2"/>
      <c r="O14697" s="20"/>
      <c r="P14697" s="42"/>
      <c r="R14697" s="23"/>
    </row>
    <row r="14698" spans="1:18" ht="12.75">
      <c r="A14698" s="12"/>
      <c r="D14698" s="12"/>
      <c r="E14698" s="12"/>
      <c r="H14698" s="11" t="str">
        <f ca="1">IFERROR(__xludf.DUMMYFUNCTION("IFERROR(SUBSTITUTE(SUBSTITUTE(REGEXEXTRACT(A14698, ""[^-]+- [^-]+- [^-]+ - (.+?)\.jpg""), "".jpg"", """"), ""-"", "", ""), """")"),"")</f>
        <v/>
      </c>
      <c r="L14698" s="12"/>
      <c r="M14698" s="13"/>
      <c r="N14698" s="2"/>
      <c r="O14698" s="20"/>
      <c r="P14698" s="42"/>
      <c r="R14698" s="23"/>
    </row>
    <row r="14699" spans="1:18" ht="12.75">
      <c r="A14699" s="12"/>
      <c r="D14699" s="12"/>
      <c r="E14699" s="12"/>
      <c r="H14699" s="11" t="str">
        <f ca="1">IFERROR(__xludf.DUMMYFUNCTION("IFERROR(SUBSTITUTE(SUBSTITUTE(REGEXEXTRACT(A14699, ""[^-]+- [^-]+- [^-]+ - (.+?)\.jpg""), "".jpg"", """"), ""-"", "", ""), """")"),"")</f>
        <v/>
      </c>
      <c r="L14699" s="12"/>
      <c r="M14699" s="13"/>
      <c r="N14699" s="2"/>
      <c r="O14699" s="20"/>
      <c r="P14699" s="42"/>
      <c r="R14699" s="23"/>
    </row>
    <row r="14700" spans="1:18" ht="12.75">
      <c r="A14700" s="12"/>
      <c r="D14700" s="12"/>
      <c r="E14700" s="12"/>
      <c r="H14700" s="11" t="str">
        <f ca="1">IFERROR(__xludf.DUMMYFUNCTION("IFERROR(SUBSTITUTE(SUBSTITUTE(REGEXEXTRACT(A14700, ""[^-]+- [^-]+- [^-]+ - (.+?)\.jpg""), "".jpg"", """"), ""-"", "", ""), """")"),"")</f>
        <v/>
      </c>
      <c r="L14700" s="12"/>
      <c r="M14700" s="13"/>
      <c r="N14700" s="2"/>
      <c r="O14700" s="20"/>
      <c r="P14700" s="42"/>
      <c r="R14700" s="23"/>
    </row>
    <row r="14701" spans="1:18" ht="12.75">
      <c r="A14701" s="12"/>
      <c r="D14701" s="12"/>
      <c r="E14701" s="12"/>
      <c r="H14701" s="11" t="str">
        <f ca="1">IFERROR(__xludf.DUMMYFUNCTION("IFERROR(SUBSTITUTE(SUBSTITUTE(REGEXEXTRACT(A14701, ""[^-]+- [^-]+- [^-]+ - (.+?)\.jpg""), "".jpg"", """"), ""-"", "", ""), """")"),"")</f>
        <v/>
      </c>
      <c r="L14701" s="12"/>
      <c r="M14701" s="13"/>
      <c r="N14701" s="2"/>
      <c r="O14701" s="20"/>
      <c r="P14701" s="42"/>
      <c r="R14701" s="23"/>
    </row>
    <row r="14702" spans="1:18" ht="12.75">
      <c r="A14702" s="12"/>
      <c r="D14702" s="12"/>
      <c r="E14702" s="12"/>
      <c r="H14702" s="11" t="str">
        <f ca="1">IFERROR(__xludf.DUMMYFUNCTION("IFERROR(SUBSTITUTE(SUBSTITUTE(REGEXEXTRACT(A14702, ""[^-]+- [^-]+- [^-]+ - (.+?)\.jpg""), "".jpg"", """"), ""-"", "", ""), """")"),"")</f>
        <v/>
      </c>
      <c r="L14702" s="12"/>
      <c r="M14702" s="13"/>
      <c r="N14702" s="2"/>
      <c r="O14702" s="20"/>
      <c r="P14702" s="42"/>
      <c r="R14702" s="23"/>
    </row>
    <row r="14703" spans="1:18" ht="12.75">
      <c r="A14703" s="12"/>
      <c r="D14703" s="12"/>
      <c r="E14703" s="12"/>
      <c r="H14703" s="11" t="str">
        <f ca="1">IFERROR(__xludf.DUMMYFUNCTION("IFERROR(SUBSTITUTE(SUBSTITUTE(REGEXEXTRACT(A14703, ""[^-]+- [^-]+- [^-]+ - (.+?)\.jpg""), "".jpg"", """"), ""-"", "", ""), """")"),"")</f>
        <v/>
      </c>
      <c r="L14703" s="12"/>
      <c r="M14703" s="13"/>
      <c r="N14703" s="2"/>
      <c r="O14703" s="20"/>
      <c r="P14703" s="42"/>
      <c r="R14703" s="23"/>
    </row>
    <row r="14704" spans="1:18" ht="12.75">
      <c r="A14704" s="12"/>
      <c r="D14704" s="12"/>
      <c r="E14704" s="12"/>
      <c r="H14704" s="11" t="str">
        <f ca="1">IFERROR(__xludf.DUMMYFUNCTION("IFERROR(SUBSTITUTE(SUBSTITUTE(REGEXEXTRACT(A14704, ""[^-]+- [^-]+- [^-]+ - (.+?)\.jpg""), "".jpg"", """"), ""-"", "", ""), """")"),"")</f>
        <v/>
      </c>
      <c r="L14704" s="12"/>
      <c r="M14704" s="13"/>
      <c r="N14704" s="2"/>
      <c r="O14704" s="20"/>
      <c r="P14704" s="42"/>
      <c r="R14704" s="23"/>
    </row>
    <row r="14705" spans="1:18" ht="12.75">
      <c r="A14705" s="12"/>
      <c r="D14705" s="12"/>
      <c r="E14705" s="12"/>
      <c r="H14705" s="11" t="str">
        <f ca="1">IFERROR(__xludf.DUMMYFUNCTION("IFERROR(SUBSTITUTE(SUBSTITUTE(REGEXEXTRACT(A14705, ""[^-]+- [^-]+- [^-]+ - (.+?)\.jpg""), "".jpg"", """"), ""-"", "", ""), """")"),"")</f>
        <v/>
      </c>
      <c r="L14705" s="12"/>
      <c r="M14705" s="13"/>
      <c r="N14705" s="2"/>
      <c r="O14705" s="20"/>
      <c r="P14705" s="42"/>
      <c r="R14705" s="23"/>
    </row>
    <row r="14706" spans="1:18" ht="12.75">
      <c r="A14706" s="12"/>
      <c r="D14706" s="12"/>
      <c r="E14706" s="12"/>
      <c r="H14706" s="11" t="str">
        <f ca="1">IFERROR(__xludf.DUMMYFUNCTION("IFERROR(SUBSTITUTE(SUBSTITUTE(REGEXEXTRACT(A14706, ""[^-]+- [^-]+- [^-]+ - (.+?)\.jpg""), "".jpg"", """"), ""-"", "", ""), """")"),"")</f>
        <v/>
      </c>
      <c r="L14706" s="12"/>
      <c r="M14706" s="13"/>
      <c r="N14706" s="2"/>
      <c r="O14706" s="20"/>
      <c r="P14706" s="42"/>
      <c r="R14706" s="23"/>
    </row>
    <row r="14707" spans="1:18" ht="12.75">
      <c r="A14707" s="12"/>
      <c r="D14707" s="12"/>
      <c r="E14707" s="12"/>
      <c r="H14707" s="11" t="str">
        <f ca="1">IFERROR(__xludf.DUMMYFUNCTION("IFERROR(SUBSTITUTE(SUBSTITUTE(REGEXEXTRACT(A14707, ""[^-]+- [^-]+- [^-]+ - (.+?)\.jpg""), "".jpg"", """"), ""-"", "", ""), """")"),"")</f>
        <v/>
      </c>
      <c r="L14707" s="12"/>
      <c r="M14707" s="13"/>
      <c r="N14707" s="2"/>
      <c r="O14707" s="20"/>
      <c r="P14707" s="42"/>
      <c r="R14707" s="23"/>
    </row>
    <row r="14708" spans="1:18" ht="12.75">
      <c r="A14708" s="12"/>
      <c r="D14708" s="12"/>
      <c r="E14708" s="12"/>
      <c r="H14708" s="11" t="str">
        <f ca="1">IFERROR(__xludf.DUMMYFUNCTION("IFERROR(SUBSTITUTE(SUBSTITUTE(REGEXEXTRACT(A14708, ""[^-]+- [^-]+- [^-]+ - (.+?)\.jpg""), "".jpg"", """"), ""-"", "", ""), """")"),"")</f>
        <v/>
      </c>
      <c r="L14708" s="12"/>
      <c r="M14708" s="13"/>
      <c r="N14708" s="2"/>
      <c r="O14708" s="20"/>
      <c r="P14708" s="42"/>
      <c r="R14708" s="23"/>
    </row>
    <row r="14709" spans="1:18" ht="12.75">
      <c r="A14709" s="12"/>
      <c r="D14709" s="12"/>
      <c r="E14709" s="12"/>
      <c r="H14709" s="11" t="str">
        <f ca="1">IFERROR(__xludf.DUMMYFUNCTION("IFERROR(SUBSTITUTE(SUBSTITUTE(REGEXEXTRACT(A14709, ""[^-]+- [^-]+- [^-]+ - (.+?)\.jpg""), "".jpg"", """"), ""-"", "", ""), """")"),"")</f>
        <v/>
      </c>
      <c r="L14709" s="12"/>
      <c r="M14709" s="13"/>
      <c r="N14709" s="2"/>
      <c r="O14709" s="20"/>
      <c r="P14709" s="42"/>
      <c r="R14709" s="23"/>
    </row>
    <row r="14710" spans="1:18" ht="12.75">
      <c r="A14710" s="12"/>
      <c r="D14710" s="12"/>
      <c r="E14710" s="12"/>
      <c r="H14710" s="11" t="str">
        <f ca="1">IFERROR(__xludf.DUMMYFUNCTION("IFERROR(SUBSTITUTE(SUBSTITUTE(REGEXEXTRACT(A14710, ""[^-]+- [^-]+- [^-]+ - (.+?)\.jpg""), "".jpg"", """"), ""-"", "", ""), """")"),"")</f>
        <v/>
      </c>
      <c r="L14710" s="12"/>
      <c r="M14710" s="13"/>
      <c r="N14710" s="2"/>
      <c r="O14710" s="20"/>
      <c r="P14710" s="42"/>
      <c r="R14710" s="23"/>
    </row>
    <row r="14711" spans="1:18" ht="12.75">
      <c r="A14711" s="12"/>
      <c r="D14711" s="12"/>
      <c r="E14711" s="12"/>
      <c r="H14711" s="11" t="str">
        <f ca="1">IFERROR(__xludf.DUMMYFUNCTION("IFERROR(SUBSTITUTE(SUBSTITUTE(REGEXEXTRACT(A14711, ""[^-]+- [^-]+- [^-]+ - (.+?)\.jpg""), "".jpg"", """"), ""-"", "", ""), """")"),"")</f>
        <v/>
      </c>
      <c r="L14711" s="12"/>
      <c r="M14711" s="13"/>
      <c r="N14711" s="2"/>
      <c r="O14711" s="20"/>
      <c r="P14711" s="42"/>
      <c r="R14711" s="23"/>
    </row>
    <row r="14712" spans="1:18" ht="12.75">
      <c r="A14712" s="12"/>
      <c r="D14712" s="12"/>
      <c r="E14712" s="12"/>
      <c r="H14712" s="11" t="str">
        <f ca="1">IFERROR(__xludf.DUMMYFUNCTION("IFERROR(SUBSTITUTE(SUBSTITUTE(REGEXEXTRACT(A14712, ""[^-]+- [^-]+- [^-]+ - (.+?)\.jpg""), "".jpg"", """"), ""-"", "", ""), """")"),"")</f>
        <v/>
      </c>
      <c r="L14712" s="12"/>
      <c r="M14712" s="13"/>
      <c r="N14712" s="2"/>
      <c r="O14712" s="20"/>
      <c r="P14712" s="42"/>
      <c r="R14712" s="23"/>
    </row>
    <row r="14713" spans="1:18" ht="12.75">
      <c r="A14713" s="12"/>
      <c r="D14713" s="12"/>
      <c r="E14713" s="12"/>
      <c r="H14713" s="11" t="str">
        <f ca="1">IFERROR(__xludf.DUMMYFUNCTION("IFERROR(SUBSTITUTE(SUBSTITUTE(REGEXEXTRACT(A14713, ""[^-]+- [^-]+- [^-]+ - (.+?)\.jpg""), "".jpg"", """"), ""-"", "", ""), """")"),"")</f>
        <v/>
      </c>
      <c r="L14713" s="12"/>
      <c r="M14713" s="13"/>
      <c r="N14713" s="2"/>
      <c r="O14713" s="20"/>
      <c r="P14713" s="42"/>
      <c r="R14713" s="23"/>
    </row>
    <row r="14714" spans="1:18" ht="12.75">
      <c r="A14714" s="12"/>
      <c r="D14714" s="12"/>
      <c r="E14714" s="12"/>
      <c r="H14714" s="11" t="str">
        <f ca="1">IFERROR(__xludf.DUMMYFUNCTION("IFERROR(SUBSTITUTE(SUBSTITUTE(REGEXEXTRACT(A14714, ""[^-]+- [^-]+- [^-]+ - (.+?)\.jpg""), "".jpg"", """"), ""-"", "", ""), """")"),"")</f>
        <v/>
      </c>
      <c r="L14714" s="12"/>
      <c r="M14714" s="13"/>
      <c r="N14714" s="2"/>
      <c r="O14714" s="20"/>
      <c r="P14714" s="42"/>
      <c r="R14714" s="23"/>
    </row>
    <row r="14715" spans="1:18" ht="12.75">
      <c r="A14715" s="12"/>
      <c r="D14715" s="12"/>
      <c r="E14715" s="12"/>
      <c r="H14715" s="11" t="str">
        <f ca="1">IFERROR(__xludf.DUMMYFUNCTION("IFERROR(SUBSTITUTE(SUBSTITUTE(REGEXEXTRACT(A14715, ""[^-]+- [^-]+- [^-]+ - (.+?)\.jpg""), "".jpg"", """"), ""-"", "", ""), """")"),"")</f>
        <v/>
      </c>
      <c r="L14715" s="12"/>
      <c r="M14715" s="13"/>
      <c r="N14715" s="2"/>
      <c r="O14715" s="20"/>
      <c r="P14715" s="42"/>
      <c r="R14715" s="23"/>
    </row>
    <row r="14716" spans="1:18" ht="12.75">
      <c r="A14716" s="12"/>
      <c r="D14716" s="12"/>
      <c r="E14716" s="12"/>
      <c r="H14716" s="11" t="str">
        <f ca="1">IFERROR(__xludf.DUMMYFUNCTION("IFERROR(SUBSTITUTE(SUBSTITUTE(REGEXEXTRACT(A14716, ""[^-]+- [^-]+- [^-]+ - (.+?)\.jpg""), "".jpg"", """"), ""-"", "", ""), """")"),"")</f>
        <v/>
      </c>
      <c r="L14716" s="12"/>
      <c r="M14716" s="13"/>
      <c r="N14716" s="2"/>
      <c r="O14716" s="20"/>
      <c r="P14716" s="42"/>
      <c r="R14716" s="23"/>
    </row>
    <row r="14717" spans="1:18" ht="12.75">
      <c r="A14717" s="12"/>
      <c r="D14717" s="12"/>
      <c r="E14717" s="12"/>
      <c r="H14717" s="11" t="str">
        <f ca="1">IFERROR(__xludf.DUMMYFUNCTION("IFERROR(SUBSTITUTE(SUBSTITUTE(REGEXEXTRACT(A14717, ""[^-]+- [^-]+- [^-]+ - (.+?)\.jpg""), "".jpg"", """"), ""-"", "", ""), """")"),"")</f>
        <v/>
      </c>
      <c r="L14717" s="12"/>
      <c r="M14717" s="13"/>
      <c r="N14717" s="2"/>
      <c r="O14717" s="20"/>
      <c r="P14717" s="42"/>
      <c r="R14717" s="23"/>
    </row>
    <row r="14718" spans="1:18" ht="12.75">
      <c r="A14718" s="12"/>
      <c r="D14718" s="12"/>
      <c r="E14718" s="12"/>
      <c r="H14718" s="11" t="str">
        <f ca="1">IFERROR(__xludf.DUMMYFUNCTION("IFERROR(SUBSTITUTE(SUBSTITUTE(REGEXEXTRACT(A14718, ""[^-]+- [^-]+- [^-]+ - (.+?)\.jpg""), "".jpg"", """"), ""-"", "", ""), """")"),"")</f>
        <v/>
      </c>
      <c r="L14718" s="12"/>
      <c r="M14718" s="13"/>
      <c r="N14718" s="2"/>
      <c r="O14718" s="20"/>
      <c r="P14718" s="42"/>
      <c r="R14718" s="23"/>
    </row>
    <row r="14719" spans="1:18" ht="12.75">
      <c r="A14719" s="12"/>
      <c r="D14719" s="12"/>
      <c r="E14719" s="12"/>
      <c r="H14719" s="11" t="str">
        <f ca="1">IFERROR(__xludf.DUMMYFUNCTION("IFERROR(SUBSTITUTE(SUBSTITUTE(REGEXEXTRACT(A14719, ""[^-]+- [^-]+- [^-]+ - (.+?)\.jpg""), "".jpg"", """"), ""-"", "", ""), """")"),"")</f>
        <v/>
      </c>
      <c r="L14719" s="12"/>
      <c r="M14719" s="13"/>
      <c r="N14719" s="2"/>
      <c r="O14719" s="20"/>
      <c r="P14719" s="42"/>
      <c r="R14719" s="23"/>
    </row>
    <row r="14720" spans="1:18" ht="12.75">
      <c r="A14720" s="12"/>
      <c r="D14720" s="12"/>
      <c r="E14720" s="12"/>
      <c r="H14720" s="11" t="str">
        <f ca="1">IFERROR(__xludf.DUMMYFUNCTION("IFERROR(SUBSTITUTE(SUBSTITUTE(REGEXEXTRACT(A14720, ""[^-]+- [^-]+- [^-]+ - (.+?)\.jpg""), "".jpg"", """"), ""-"", "", ""), """")"),"")</f>
        <v/>
      </c>
      <c r="L14720" s="12"/>
      <c r="M14720" s="13"/>
      <c r="N14720" s="2"/>
      <c r="O14720" s="20"/>
      <c r="P14720" s="42"/>
      <c r="R14720" s="23"/>
    </row>
    <row r="14721" spans="1:18" ht="12.75">
      <c r="A14721" s="12"/>
      <c r="D14721" s="12"/>
      <c r="E14721" s="12"/>
      <c r="H14721" s="11" t="str">
        <f ca="1">IFERROR(__xludf.DUMMYFUNCTION("IFERROR(SUBSTITUTE(SUBSTITUTE(REGEXEXTRACT(A14721, ""[^-]+- [^-]+- [^-]+ - (.+?)\.jpg""), "".jpg"", """"), ""-"", "", ""), """")"),"")</f>
        <v/>
      </c>
      <c r="L14721" s="12"/>
      <c r="M14721" s="13"/>
      <c r="N14721" s="2"/>
      <c r="O14721" s="20"/>
      <c r="P14721" s="42"/>
      <c r="R14721" s="23"/>
    </row>
    <row r="14722" spans="1:18" ht="12.75">
      <c r="A14722" s="12"/>
      <c r="D14722" s="12"/>
      <c r="E14722" s="12"/>
      <c r="H14722" s="11" t="str">
        <f ca="1">IFERROR(__xludf.DUMMYFUNCTION("IFERROR(SUBSTITUTE(SUBSTITUTE(REGEXEXTRACT(A14722, ""[^-]+- [^-]+- [^-]+ - (.+?)\.jpg""), "".jpg"", """"), ""-"", "", ""), """")"),"")</f>
        <v/>
      </c>
      <c r="L14722" s="12"/>
      <c r="M14722" s="13"/>
      <c r="N14722" s="2"/>
      <c r="O14722" s="20"/>
      <c r="P14722" s="42"/>
      <c r="R14722" s="23"/>
    </row>
    <row r="14723" spans="1:18" ht="12.75">
      <c r="A14723" s="12"/>
      <c r="D14723" s="12"/>
      <c r="E14723" s="12"/>
      <c r="H14723" s="11" t="str">
        <f ca="1">IFERROR(__xludf.DUMMYFUNCTION("IFERROR(SUBSTITUTE(SUBSTITUTE(REGEXEXTRACT(A14723, ""[^-]+- [^-]+- [^-]+ - (.+?)\.jpg""), "".jpg"", """"), ""-"", "", ""), """")"),"")</f>
        <v/>
      </c>
      <c r="L14723" s="12"/>
      <c r="M14723" s="13"/>
      <c r="N14723" s="2"/>
      <c r="O14723" s="20"/>
      <c r="P14723" s="42"/>
      <c r="R14723" s="23"/>
    </row>
    <row r="14724" spans="1:18" ht="12.75">
      <c r="A14724" s="12"/>
      <c r="D14724" s="12"/>
      <c r="E14724" s="12"/>
      <c r="H14724" s="11" t="str">
        <f ca="1">IFERROR(__xludf.DUMMYFUNCTION("IFERROR(SUBSTITUTE(SUBSTITUTE(REGEXEXTRACT(A14724, ""[^-]+- [^-]+- [^-]+ - (.+?)\.jpg""), "".jpg"", """"), ""-"", "", ""), """")"),"")</f>
        <v/>
      </c>
      <c r="L14724" s="12"/>
      <c r="M14724" s="13"/>
      <c r="N14724" s="2"/>
      <c r="O14724" s="20"/>
      <c r="P14724" s="42"/>
      <c r="R14724" s="23"/>
    </row>
    <row r="14725" spans="1:18" ht="12.75">
      <c r="A14725" s="12"/>
      <c r="D14725" s="12"/>
      <c r="E14725" s="12"/>
      <c r="H14725" s="11" t="str">
        <f ca="1">IFERROR(__xludf.DUMMYFUNCTION("IFERROR(SUBSTITUTE(SUBSTITUTE(REGEXEXTRACT(A14725, ""[^-]+- [^-]+- [^-]+ - (.+?)\.jpg""), "".jpg"", """"), ""-"", "", ""), """")"),"")</f>
        <v/>
      </c>
      <c r="L14725" s="12"/>
      <c r="M14725" s="13"/>
      <c r="N14725" s="2"/>
      <c r="O14725" s="20"/>
      <c r="P14725" s="42"/>
      <c r="R14725" s="23"/>
    </row>
    <row r="14726" spans="1:18" ht="12.75">
      <c r="A14726" s="12"/>
      <c r="D14726" s="12"/>
      <c r="E14726" s="12"/>
      <c r="H14726" s="11" t="str">
        <f ca="1">IFERROR(__xludf.DUMMYFUNCTION("IFERROR(SUBSTITUTE(SUBSTITUTE(REGEXEXTRACT(A14726, ""[^-]+- [^-]+- [^-]+ - (.+?)\.jpg""), "".jpg"", """"), ""-"", "", ""), """")"),"")</f>
        <v/>
      </c>
      <c r="L14726" s="12"/>
      <c r="M14726" s="13"/>
      <c r="N14726" s="2"/>
      <c r="O14726" s="20"/>
      <c r="P14726" s="42"/>
      <c r="R14726" s="23"/>
    </row>
    <row r="14727" spans="1:18" ht="12.75">
      <c r="A14727" s="12"/>
      <c r="D14727" s="12"/>
      <c r="E14727" s="12"/>
      <c r="H14727" s="11" t="str">
        <f ca="1">IFERROR(__xludf.DUMMYFUNCTION("IFERROR(SUBSTITUTE(SUBSTITUTE(REGEXEXTRACT(A14727, ""[^-]+- [^-]+- [^-]+ - (.+?)\.jpg""), "".jpg"", """"), ""-"", "", ""), """")"),"")</f>
        <v/>
      </c>
      <c r="L14727" s="12"/>
      <c r="M14727" s="13"/>
      <c r="N14727" s="2"/>
      <c r="O14727" s="20"/>
      <c r="P14727" s="42"/>
      <c r="R14727" s="23"/>
    </row>
    <row r="14728" spans="1:18" ht="12.75">
      <c r="A14728" s="12"/>
      <c r="D14728" s="12"/>
      <c r="E14728" s="12"/>
      <c r="H14728" s="11" t="str">
        <f ca="1">IFERROR(__xludf.DUMMYFUNCTION("IFERROR(SUBSTITUTE(SUBSTITUTE(REGEXEXTRACT(A14728, ""[^-]+- [^-]+- [^-]+ - (.+?)\.jpg""), "".jpg"", """"), ""-"", "", ""), """")"),"")</f>
        <v/>
      </c>
      <c r="L14728" s="12"/>
      <c r="M14728" s="13"/>
      <c r="N14728" s="2"/>
      <c r="O14728" s="20"/>
      <c r="P14728" s="42"/>
      <c r="R14728" s="23"/>
    </row>
    <row r="14729" spans="1:18" ht="12.75">
      <c r="A14729" s="12"/>
      <c r="D14729" s="12"/>
      <c r="E14729" s="12"/>
      <c r="H14729" s="11" t="str">
        <f ca="1">IFERROR(__xludf.DUMMYFUNCTION("IFERROR(SUBSTITUTE(SUBSTITUTE(REGEXEXTRACT(A14729, ""[^-]+- [^-]+- [^-]+ - (.+?)\.jpg""), "".jpg"", """"), ""-"", "", ""), """")"),"")</f>
        <v/>
      </c>
      <c r="L14729" s="12"/>
      <c r="M14729" s="13"/>
      <c r="N14729" s="2"/>
      <c r="O14729" s="20"/>
      <c r="P14729" s="42"/>
      <c r="R14729" s="23"/>
    </row>
    <row r="14730" spans="1:18" ht="12.75">
      <c r="A14730" s="12"/>
      <c r="D14730" s="12"/>
      <c r="E14730" s="12"/>
      <c r="H14730" s="11" t="str">
        <f ca="1">IFERROR(__xludf.DUMMYFUNCTION("IFERROR(SUBSTITUTE(SUBSTITUTE(REGEXEXTRACT(A14730, ""[^-]+- [^-]+- [^-]+ - (.+?)\.jpg""), "".jpg"", """"), ""-"", "", ""), """")"),"")</f>
        <v/>
      </c>
      <c r="L14730" s="12"/>
      <c r="M14730" s="13"/>
      <c r="N14730" s="2"/>
      <c r="O14730" s="20"/>
      <c r="P14730" s="42"/>
      <c r="R14730" s="23"/>
    </row>
    <row r="14731" spans="1:18" ht="12.75">
      <c r="A14731" s="12"/>
      <c r="D14731" s="12"/>
      <c r="E14731" s="12"/>
      <c r="H14731" s="11" t="str">
        <f ca="1">IFERROR(__xludf.DUMMYFUNCTION("IFERROR(SUBSTITUTE(SUBSTITUTE(REGEXEXTRACT(A14731, ""[^-]+- [^-]+- [^-]+ - (.+?)\.jpg""), "".jpg"", """"), ""-"", "", ""), """")"),"")</f>
        <v/>
      </c>
      <c r="L14731" s="12"/>
      <c r="M14731" s="13"/>
      <c r="N14731" s="2"/>
      <c r="O14731" s="20"/>
      <c r="P14731" s="42"/>
      <c r="R14731" s="23"/>
    </row>
    <row r="14732" spans="1:18" ht="12.75">
      <c r="A14732" s="12"/>
      <c r="D14732" s="12"/>
      <c r="E14732" s="12"/>
      <c r="H14732" s="11" t="str">
        <f ca="1">IFERROR(__xludf.DUMMYFUNCTION("IFERROR(SUBSTITUTE(SUBSTITUTE(REGEXEXTRACT(A14732, ""[^-]+- [^-]+- [^-]+ - (.+?)\.jpg""), "".jpg"", """"), ""-"", "", ""), """")"),"")</f>
        <v/>
      </c>
      <c r="L14732" s="12"/>
      <c r="M14732" s="13"/>
      <c r="N14732" s="2"/>
      <c r="O14732" s="20"/>
      <c r="P14732" s="42"/>
      <c r="R14732" s="23"/>
    </row>
    <row r="14733" spans="1:18" ht="12.75">
      <c r="A14733" s="12"/>
      <c r="D14733" s="12"/>
      <c r="E14733" s="12"/>
      <c r="H14733" s="11" t="str">
        <f ca="1">IFERROR(__xludf.DUMMYFUNCTION("IFERROR(SUBSTITUTE(SUBSTITUTE(REGEXEXTRACT(A14733, ""[^-]+- [^-]+- [^-]+ - (.+?)\.jpg""), "".jpg"", """"), ""-"", "", ""), """")"),"")</f>
        <v/>
      </c>
      <c r="L14733" s="12"/>
      <c r="M14733" s="13"/>
      <c r="N14733" s="2"/>
      <c r="O14733" s="20"/>
      <c r="P14733" s="42"/>
      <c r="R14733" s="23"/>
    </row>
    <row r="14734" spans="1:18" ht="12.75">
      <c r="A14734" s="12"/>
      <c r="D14734" s="12"/>
      <c r="E14734" s="12"/>
      <c r="H14734" s="11" t="str">
        <f ca="1">IFERROR(__xludf.DUMMYFUNCTION("IFERROR(SUBSTITUTE(SUBSTITUTE(REGEXEXTRACT(A14734, ""[^-]+- [^-]+- [^-]+ - (.+?)\.jpg""), "".jpg"", """"), ""-"", "", ""), """")"),"")</f>
        <v/>
      </c>
      <c r="L14734" s="12"/>
      <c r="M14734" s="13"/>
      <c r="N14734" s="2"/>
      <c r="O14734" s="20"/>
      <c r="P14734" s="42"/>
      <c r="R14734" s="23"/>
    </row>
    <row r="14735" spans="1:18" ht="12.75">
      <c r="A14735" s="12"/>
      <c r="D14735" s="12"/>
      <c r="E14735" s="12"/>
      <c r="H14735" s="11" t="str">
        <f ca="1">IFERROR(__xludf.DUMMYFUNCTION("IFERROR(SUBSTITUTE(SUBSTITUTE(REGEXEXTRACT(A14735, ""[^-]+- [^-]+- [^-]+ - (.+?)\.jpg""), "".jpg"", """"), ""-"", "", ""), """")"),"")</f>
        <v/>
      </c>
      <c r="L14735" s="12"/>
      <c r="M14735" s="13"/>
      <c r="N14735" s="2"/>
      <c r="O14735" s="20"/>
      <c r="P14735" s="42"/>
      <c r="R14735" s="23"/>
    </row>
    <row r="14736" spans="1:18" ht="12.75">
      <c r="A14736" s="12"/>
      <c r="D14736" s="12"/>
      <c r="E14736" s="12"/>
      <c r="H14736" s="11" t="str">
        <f ca="1">IFERROR(__xludf.DUMMYFUNCTION("IFERROR(SUBSTITUTE(SUBSTITUTE(REGEXEXTRACT(A14736, ""[^-]+- [^-]+- [^-]+ - (.+?)\.jpg""), "".jpg"", """"), ""-"", "", ""), """")"),"")</f>
        <v/>
      </c>
      <c r="L14736" s="12"/>
      <c r="M14736" s="13"/>
      <c r="N14736" s="2"/>
      <c r="O14736" s="20"/>
      <c r="P14736" s="42"/>
      <c r="R14736" s="23"/>
    </row>
    <row r="14737" spans="1:18" ht="12.75">
      <c r="A14737" s="12"/>
      <c r="D14737" s="12"/>
      <c r="E14737" s="12"/>
      <c r="H14737" s="11" t="str">
        <f ca="1">IFERROR(__xludf.DUMMYFUNCTION("IFERROR(SUBSTITUTE(SUBSTITUTE(REGEXEXTRACT(A14737, ""[^-]+- [^-]+- [^-]+ - (.+?)\.jpg""), "".jpg"", """"), ""-"", "", ""), """")"),"")</f>
        <v/>
      </c>
      <c r="L14737" s="12"/>
      <c r="M14737" s="13"/>
      <c r="N14737" s="2"/>
      <c r="O14737" s="20"/>
      <c r="P14737" s="42"/>
      <c r="R14737" s="23"/>
    </row>
    <row r="14738" spans="1:18" ht="12.75">
      <c r="A14738" s="12"/>
      <c r="D14738" s="12"/>
      <c r="E14738" s="12"/>
      <c r="H14738" s="11" t="str">
        <f ca="1">IFERROR(__xludf.DUMMYFUNCTION("IFERROR(SUBSTITUTE(SUBSTITUTE(REGEXEXTRACT(A14738, ""[^-]+- [^-]+- [^-]+ - (.+?)\.jpg""), "".jpg"", """"), ""-"", "", ""), """")"),"")</f>
        <v/>
      </c>
      <c r="L14738" s="12"/>
      <c r="M14738" s="13"/>
      <c r="N14738" s="2"/>
      <c r="O14738" s="20"/>
      <c r="P14738" s="42"/>
      <c r="R14738" s="23"/>
    </row>
    <row r="14739" spans="1:18" ht="12.75">
      <c r="A14739" s="12"/>
      <c r="D14739" s="12"/>
      <c r="E14739" s="12"/>
      <c r="H14739" s="11" t="str">
        <f ca="1">IFERROR(__xludf.DUMMYFUNCTION("IFERROR(SUBSTITUTE(SUBSTITUTE(REGEXEXTRACT(A14739, ""[^-]+- [^-]+- [^-]+ - (.+?)\.jpg""), "".jpg"", """"), ""-"", "", ""), """")"),"")</f>
        <v/>
      </c>
      <c r="L14739" s="12"/>
      <c r="M14739" s="13"/>
      <c r="N14739" s="2"/>
      <c r="O14739" s="20"/>
      <c r="P14739" s="42"/>
      <c r="R14739" s="23"/>
    </row>
    <row r="14740" spans="1:18" ht="12.75">
      <c r="A14740" s="12"/>
      <c r="D14740" s="12"/>
      <c r="E14740" s="12"/>
      <c r="H14740" s="11" t="str">
        <f ca="1">IFERROR(__xludf.DUMMYFUNCTION("IFERROR(SUBSTITUTE(SUBSTITUTE(REGEXEXTRACT(A14740, ""[^-]+- [^-]+- [^-]+ - (.+?)\.jpg""), "".jpg"", """"), ""-"", "", ""), """")"),"")</f>
        <v/>
      </c>
      <c r="L14740" s="12"/>
      <c r="M14740" s="13"/>
      <c r="N14740" s="2"/>
      <c r="O14740" s="20"/>
      <c r="P14740" s="42"/>
      <c r="R14740" s="23"/>
    </row>
    <row r="14741" spans="1:18" ht="12.75">
      <c r="A14741" s="12"/>
      <c r="D14741" s="12"/>
      <c r="E14741" s="12"/>
      <c r="H14741" s="11" t="str">
        <f ca="1">IFERROR(__xludf.DUMMYFUNCTION("IFERROR(SUBSTITUTE(SUBSTITUTE(REGEXEXTRACT(A14741, ""[^-]+- [^-]+- [^-]+ - (.+?)\.jpg""), "".jpg"", """"), ""-"", "", ""), """")"),"")</f>
        <v/>
      </c>
      <c r="L14741" s="12"/>
      <c r="M14741" s="13"/>
      <c r="N14741" s="2"/>
      <c r="O14741" s="20"/>
      <c r="P14741" s="42"/>
      <c r="R14741" s="23"/>
    </row>
    <row r="14742" spans="1:18" ht="12.75">
      <c r="A14742" s="12"/>
      <c r="D14742" s="12"/>
      <c r="E14742" s="12"/>
      <c r="H14742" s="11" t="str">
        <f ca="1">IFERROR(__xludf.DUMMYFUNCTION("IFERROR(SUBSTITUTE(SUBSTITUTE(REGEXEXTRACT(A14742, ""[^-]+- [^-]+- [^-]+ - (.+?)\.jpg""), "".jpg"", """"), ""-"", "", ""), """")"),"")</f>
        <v/>
      </c>
      <c r="L14742" s="12"/>
      <c r="M14742" s="13"/>
      <c r="N14742" s="2"/>
      <c r="O14742" s="20"/>
      <c r="P14742" s="42"/>
      <c r="R14742" s="23"/>
    </row>
    <row r="14743" spans="1:18" ht="12.75">
      <c r="A14743" s="12"/>
      <c r="D14743" s="12"/>
      <c r="E14743" s="12"/>
      <c r="H14743" s="11" t="str">
        <f ca="1">IFERROR(__xludf.DUMMYFUNCTION("IFERROR(SUBSTITUTE(SUBSTITUTE(REGEXEXTRACT(A14743, ""[^-]+- [^-]+- [^-]+ - (.+?)\.jpg""), "".jpg"", """"), ""-"", "", ""), """")"),"")</f>
        <v/>
      </c>
      <c r="L14743" s="12"/>
      <c r="M14743" s="13"/>
      <c r="N14743" s="2"/>
      <c r="O14743" s="20"/>
      <c r="P14743" s="42"/>
      <c r="R14743" s="23"/>
    </row>
    <row r="14744" spans="1:18" ht="12.75">
      <c r="A14744" s="12"/>
      <c r="D14744" s="12"/>
      <c r="E14744" s="12"/>
      <c r="H14744" s="11" t="str">
        <f ca="1">IFERROR(__xludf.DUMMYFUNCTION("IFERROR(SUBSTITUTE(SUBSTITUTE(REGEXEXTRACT(A14744, ""[^-]+- [^-]+- [^-]+ - (.+?)\.jpg""), "".jpg"", """"), ""-"", "", ""), """")"),"")</f>
        <v/>
      </c>
      <c r="L14744" s="12"/>
      <c r="M14744" s="13"/>
      <c r="N14744" s="2"/>
      <c r="O14744" s="20"/>
      <c r="P14744" s="42"/>
      <c r="R14744" s="23"/>
    </row>
    <row r="14745" spans="1:18" ht="12.75">
      <c r="A14745" s="12"/>
      <c r="D14745" s="12"/>
      <c r="E14745" s="12"/>
      <c r="H14745" s="11" t="str">
        <f ca="1">IFERROR(__xludf.DUMMYFUNCTION("IFERROR(SUBSTITUTE(SUBSTITUTE(REGEXEXTRACT(A14745, ""[^-]+- [^-]+- [^-]+ - (.+?)\.jpg""), "".jpg"", """"), ""-"", "", ""), """")"),"")</f>
        <v/>
      </c>
      <c r="L14745" s="12"/>
      <c r="M14745" s="13"/>
      <c r="N14745" s="2"/>
      <c r="O14745" s="20"/>
      <c r="P14745" s="42"/>
      <c r="R14745" s="23"/>
    </row>
    <row r="14746" spans="1:18" ht="12.75">
      <c r="A14746" s="12"/>
      <c r="D14746" s="12"/>
      <c r="E14746" s="12"/>
      <c r="H14746" s="11" t="str">
        <f ca="1">IFERROR(__xludf.DUMMYFUNCTION("IFERROR(SUBSTITUTE(SUBSTITUTE(REGEXEXTRACT(A14746, ""[^-]+- [^-]+- [^-]+ - (.+?)\.jpg""), "".jpg"", """"), ""-"", "", ""), """")"),"")</f>
        <v/>
      </c>
      <c r="L14746" s="12"/>
      <c r="M14746" s="13"/>
      <c r="N14746" s="2"/>
      <c r="O14746" s="20"/>
      <c r="P14746" s="42"/>
      <c r="R14746" s="23"/>
    </row>
    <row r="14747" spans="1:18" ht="12.75">
      <c r="A14747" s="12"/>
      <c r="D14747" s="12"/>
      <c r="E14747" s="12"/>
      <c r="H14747" s="11" t="str">
        <f ca="1">IFERROR(__xludf.DUMMYFUNCTION("IFERROR(SUBSTITUTE(SUBSTITUTE(REGEXEXTRACT(A14747, ""[^-]+- [^-]+- [^-]+ - (.+?)\.jpg""), "".jpg"", """"), ""-"", "", ""), """")"),"")</f>
        <v/>
      </c>
      <c r="L14747" s="12"/>
      <c r="M14747" s="13"/>
      <c r="N14747" s="2"/>
      <c r="O14747" s="20"/>
      <c r="P14747" s="42"/>
      <c r="R14747" s="23"/>
    </row>
    <row r="14748" spans="1:18" ht="12.75">
      <c r="A14748" s="12"/>
      <c r="D14748" s="12"/>
      <c r="E14748" s="12"/>
      <c r="H14748" s="11" t="str">
        <f ca="1">IFERROR(__xludf.DUMMYFUNCTION("IFERROR(SUBSTITUTE(SUBSTITUTE(REGEXEXTRACT(A14748, ""[^-]+- [^-]+- [^-]+ - (.+?)\.jpg""), "".jpg"", """"), ""-"", "", ""), """")"),"")</f>
        <v/>
      </c>
      <c r="L14748" s="12"/>
      <c r="M14748" s="13"/>
      <c r="N14748" s="2"/>
      <c r="O14748" s="20"/>
      <c r="P14748" s="42"/>
      <c r="R14748" s="23"/>
    </row>
    <row r="14749" spans="1:18" ht="12.75">
      <c r="A14749" s="12"/>
      <c r="D14749" s="12"/>
      <c r="E14749" s="12"/>
      <c r="H14749" s="11" t="str">
        <f ca="1">IFERROR(__xludf.DUMMYFUNCTION("IFERROR(SUBSTITUTE(SUBSTITUTE(REGEXEXTRACT(A14749, ""[^-]+- [^-]+- [^-]+ - (.+?)\.jpg""), "".jpg"", """"), ""-"", "", ""), """")"),"")</f>
        <v/>
      </c>
      <c r="L14749" s="12"/>
      <c r="M14749" s="13"/>
      <c r="N14749" s="2"/>
      <c r="O14749" s="20"/>
      <c r="P14749" s="42"/>
      <c r="R14749" s="23"/>
    </row>
    <row r="14750" spans="1:18" ht="12.75">
      <c r="A14750" s="12"/>
      <c r="D14750" s="12"/>
      <c r="E14750" s="12"/>
      <c r="H14750" s="11" t="str">
        <f ca="1">IFERROR(__xludf.DUMMYFUNCTION("IFERROR(SUBSTITUTE(SUBSTITUTE(REGEXEXTRACT(A14750, ""[^-]+- [^-]+- [^-]+ - (.+?)\.jpg""), "".jpg"", """"), ""-"", "", ""), """")"),"")</f>
        <v/>
      </c>
      <c r="L14750" s="12"/>
      <c r="M14750" s="13"/>
      <c r="N14750" s="2"/>
      <c r="O14750" s="20"/>
      <c r="P14750" s="42"/>
      <c r="R14750" s="23"/>
    </row>
    <row r="14751" spans="1:18" ht="12.75">
      <c r="A14751" s="12"/>
      <c r="D14751" s="12"/>
      <c r="E14751" s="12"/>
      <c r="H14751" s="11" t="str">
        <f ca="1">IFERROR(__xludf.DUMMYFUNCTION("IFERROR(SUBSTITUTE(SUBSTITUTE(REGEXEXTRACT(A14751, ""[^-]+- [^-]+- [^-]+ - (.+?)\.jpg""), "".jpg"", """"), ""-"", "", ""), """")"),"")</f>
        <v/>
      </c>
      <c r="L14751" s="12"/>
      <c r="M14751" s="13"/>
      <c r="N14751" s="2"/>
      <c r="O14751" s="20"/>
      <c r="P14751" s="42"/>
      <c r="R14751" s="23"/>
    </row>
    <row r="14752" spans="1:18" ht="12.75">
      <c r="A14752" s="12"/>
      <c r="D14752" s="12"/>
      <c r="E14752" s="12"/>
      <c r="H14752" s="11" t="str">
        <f ca="1">IFERROR(__xludf.DUMMYFUNCTION("IFERROR(SUBSTITUTE(SUBSTITUTE(REGEXEXTRACT(A14752, ""[^-]+- [^-]+- [^-]+ - (.+?)\.jpg""), "".jpg"", """"), ""-"", "", ""), """")"),"")</f>
        <v/>
      </c>
      <c r="L14752" s="12"/>
      <c r="M14752" s="13"/>
      <c r="N14752" s="2"/>
      <c r="O14752" s="20"/>
      <c r="P14752" s="42"/>
      <c r="R14752" s="23"/>
    </row>
    <row r="14753" spans="1:18" ht="12.75">
      <c r="A14753" s="12"/>
      <c r="D14753" s="12"/>
      <c r="E14753" s="12"/>
      <c r="H14753" s="11" t="str">
        <f ca="1">IFERROR(__xludf.DUMMYFUNCTION("IFERROR(SUBSTITUTE(SUBSTITUTE(REGEXEXTRACT(A14753, ""[^-]+- [^-]+- [^-]+ - (.+?)\.jpg""), "".jpg"", """"), ""-"", "", ""), """")"),"")</f>
        <v/>
      </c>
      <c r="L14753" s="12"/>
      <c r="M14753" s="13"/>
      <c r="N14753" s="2"/>
      <c r="O14753" s="20"/>
      <c r="P14753" s="42"/>
      <c r="R14753" s="23"/>
    </row>
    <row r="14754" spans="1:18" ht="12.75">
      <c r="A14754" s="12"/>
      <c r="D14754" s="12"/>
      <c r="E14754" s="12"/>
      <c r="H14754" s="11" t="str">
        <f ca="1">IFERROR(__xludf.DUMMYFUNCTION("IFERROR(SUBSTITUTE(SUBSTITUTE(REGEXEXTRACT(A14754, ""[^-]+- [^-]+- [^-]+ - (.+?)\.jpg""), "".jpg"", """"), ""-"", "", ""), """")"),"")</f>
        <v/>
      </c>
      <c r="L14754" s="12"/>
      <c r="M14754" s="13"/>
      <c r="N14754" s="2"/>
      <c r="O14754" s="20"/>
      <c r="P14754" s="42"/>
      <c r="R14754" s="23"/>
    </row>
    <row r="14755" spans="1:18" ht="12.75">
      <c r="A14755" s="12"/>
      <c r="D14755" s="12"/>
      <c r="E14755" s="12"/>
      <c r="H14755" s="11" t="str">
        <f ca="1">IFERROR(__xludf.DUMMYFUNCTION("IFERROR(SUBSTITUTE(SUBSTITUTE(REGEXEXTRACT(A14755, ""[^-]+- [^-]+- [^-]+ - (.+?)\.jpg""), "".jpg"", """"), ""-"", "", ""), """")"),"")</f>
        <v/>
      </c>
      <c r="L14755" s="12"/>
      <c r="M14755" s="13"/>
      <c r="N14755" s="2"/>
      <c r="O14755" s="20"/>
      <c r="P14755" s="42"/>
      <c r="R14755" s="23"/>
    </row>
    <row r="14756" spans="1:18" ht="12.75">
      <c r="A14756" s="12"/>
      <c r="D14756" s="12"/>
      <c r="E14756" s="12"/>
      <c r="H14756" s="11" t="str">
        <f ca="1">IFERROR(__xludf.DUMMYFUNCTION("IFERROR(SUBSTITUTE(SUBSTITUTE(REGEXEXTRACT(A14756, ""[^-]+- [^-]+- [^-]+ - (.+?)\.jpg""), "".jpg"", """"), ""-"", "", ""), """")"),"")</f>
        <v/>
      </c>
      <c r="L14756" s="12"/>
      <c r="M14756" s="13"/>
      <c r="N14756" s="2"/>
      <c r="O14756" s="20"/>
      <c r="P14756" s="42"/>
      <c r="R14756" s="23"/>
    </row>
    <row r="14757" spans="1:18" ht="12.75">
      <c r="A14757" s="12"/>
      <c r="D14757" s="12"/>
      <c r="E14757" s="12"/>
      <c r="H14757" s="11" t="str">
        <f ca="1">IFERROR(__xludf.DUMMYFUNCTION("IFERROR(SUBSTITUTE(SUBSTITUTE(REGEXEXTRACT(A14757, ""[^-]+- [^-]+- [^-]+ - (.+?)\.jpg""), "".jpg"", """"), ""-"", "", ""), """")"),"")</f>
        <v/>
      </c>
      <c r="L14757" s="12"/>
      <c r="M14757" s="13"/>
      <c r="N14757" s="2"/>
      <c r="O14757" s="20"/>
      <c r="P14757" s="42"/>
      <c r="R14757" s="23"/>
    </row>
    <row r="14758" spans="1:18" ht="12.75">
      <c r="A14758" s="12"/>
      <c r="D14758" s="12"/>
      <c r="E14758" s="12"/>
      <c r="H14758" s="11" t="str">
        <f ca="1">IFERROR(__xludf.DUMMYFUNCTION("IFERROR(SUBSTITUTE(SUBSTITUTE(REGEXEXTRACT(A14758, ""[^-]+- [^-]+- [^-]+ - (.+?)\.jpg""), "".jpg"", """"), ""-"", "", ""), """")"),"")</f>
        <v/>
      </c>
      <c r="L14758" s="12"/>
      <c r="M14758" s="13"/>
      <c r="N14758" s="2"/>
      <c r="O14758" s="20"/>
      <c r="P14758" s="42"/>
      <c r="R14758" s="23"/>
    </row>
    <row r="14759" spans="1:18" ht="12.75">
      <c r="A14759" s="12"/>
      <c r="D14759" s="12"/>
      <c r="E14759" s="12"/>
      <c r="H14759" s="11" t="str">
        <f ca="1">IFERROR(__xludf.DUMMYFUNCTION("IFERROR(SUBSTITUTE(SUBSTITUTE(REGEXEXTRACT(A14759, ""[^-]+- [^-]+- [^-]+ - (.+?)\.jpg""), "".jpg"", """"), ""-"", "", ""), """")"),"")</f>
        <v/>
      </c>
      <c r="L14759" s="12"/>
      <c r="M14759" s="13"/>
      <c r="N14759" s="2"/>
      <c r="O14759" s="20"/>
      <c r="P14759" s="42"/>
      <c r="R14759" s="23"/>
    </row>
    <row r="14760" spans="1:18" ht="12.75">
      <c r="A14760" s="12"/>
      <c r="D14760" s="12"/>
      <c r="E14760" s="12"/>
      <c r="H14760" s="11" t="str">
        <f ca="1">IFERROR(__xludf.DUMMYFUNCTION("IFERROR(SUBSTITUTE(SUBSTITUTE(REGEXEXTRACT(A14760, ""[^-]+- [^-]+- [^-]+ - (.+?)\.jpg""), "".jpg"", """"), ""-"", "", ""), """")"),"")</f>
        <v/>
      </c>
      <c r="L14760" s="12"/>
      <c r="M14760" s="13"/>
      <c r="N14760" s="2"/>
      <c r="O14760" s="20"/>
      <c r="P14760" s="42"/>
      <c r="R14760" s="23"/>
    </row>
    <row r="14761" spans="1:18" ht="12.75">
      <c r="A14761" s="12"/>
      <c r="D14761" s="12"/>
      <c r="E14761" s="12"/>
      <c r="H14761" s="11" t="str">
        <f ca="1">IFERROR(__xludf.DUMMYFUNCTION("IFERROR(SUBSTITUTE(SUBSTITUTE(REGEXEXTRACT(A14761, ""[^-]+- [^-]+- [^-]+ - (.+?)\.jpg""), "".jpg"", """"), ""-"", "", ""), """")"),"")</f>
        <v/>
      </c>
      <c r="L14761" s="12"/>
      <c r="M14761" s="13"/>
      <c r="N14761" s="2"/>
      <c r="O14761" s="20"/>
      <c r="P14761" s="42"/>
      <c r="R14761" s="23"/>
    </row>
    <row r="14762" spans="1:18" ht="12.75">
      <c r="A14762" s="12"/>
      <c r="D14762" s="12"/>
      <c r="E14762" s="12"/>
      <c r="H14762" s="11" t="str">
        <f ca="1">IFERROR(__xludf.DUMMYFUNCTION("IFERROR(SUBSTITUTE(SUBSTITUTE(REGEXEXTRACT(A14762, ""[^-]+- [^-]+- [^-]+ - (.+?)\.jpg""), "".jpg"", """"), ""-"", "", ""), """")"),"")</f>
        <v/>
      </c>
      <c r="L14762" s="12"/>
      <c r="M14762" s="13"/>
      <c r="N14762" s="2"/>
      <c r="O14762" s="20"/>
      <c r="P14762" s="42"/>
      <c r="R14762" s="23"/>
    </row>
    <row r="14763" spans="1:18" ht="12.75">
      <c r="A14763" s="12"/>
      <c r="D14763" s="12"/>
      <c r="E14763" s="12"/>
      <c r="H14763" s="11" t="str">
        <f ca="1">IFERROR(__xludf.DUMMYFUNCTION("IFERROR(SUBSTITUTE(SUBSTITUTE(REGEXEXTRACT(A14763, ""[^-]+- [^-]+- [^-]+ - (.+?)\.jpg""), "".jpg"", """"), ""-"", "", ""), """")"),"")</f>
        <v/>
      </c>
      <c r="L14763" s="12"/>
      <c r="M14763" s="13"/>
      <c r="N14763" s="2"/>
      <c r="O14763" s="20"/>
      <c r="P14763" s="42"/>
      <c r="R14763" s="23"/>
    </row>
    <row r="14764" spans="1:18" ht="12.75">
      <c r="A14764" s="12"/>
      <c r="D14764" s="12"/>
      <c r="E14764" s="12"/>
      <c r="H14764" s="11" t="str">
        <f ca="1">IFERROR(__xludf.DUMMYFUNCTION("IFERROR(SUBSTITUTE(SUBSTITUTE(REGEXEXTRACT(A14764, ""[^-]+- [^-]+- [^-]+ - (.+?)\.jpg""), "".jpg"", """"), ""-"", "", ""), """")"),"")</f>
        <v/>
      </c>
      <c r="L14764" s="12"/>
      <c r="M14764" s="13"/>
      <c r="N14764" s="2"/>
      <c r="O14764" s="20"/>
      <c r="P14764" s="42"/>
      <c r="R14764" s="23"/>
    </row>
    <row r="14765" spans="1:18" ht="12.75">
      <c r="A14765" s="12"/>
      <c r="D14765" s="12"/>
      <c r="E14765" s="12"/>
      <c r="H14765" s="11" t="str">
        <f ca="1">IFERROR(__xludf.DUMMYFUNCTION("IFERROR(SUBSTITUTE(SUBSTITUTE(REGEXEXTRACT(A14765, ""[^-]+- [^-]+- [^-]+ - (.+?)\.jpg""), "".jpg"", """"), ""-"", "", ""), """")"),"")</f>
        <v/>
      </c>
      <c r="L14765" s="12"/>
      <c r="M14765" s="13"/>
      <c r="N14765" s="2"/>
      <c r="O14765" s="20"/>
      <c r="P14765" s="42"/>
      <c r="R14765" s="23"/>
    </row>
    <row r="14766" spans="1:18" ht="12.75">
      <c r="A14766" s="12"/>
      <c r="D14766" s="12"/>
      <c r="E14766" s="12"/>
      <c r="H14766" s="11" t="str">
        <f ca="1">IFERROR(__xludf.DUMMYFUNCTION("IFERROR(SUBSTITUTE(SUBSTITUTE(REGEXEXTRACT(A14766, ""[^-]+- [^-]+- [^-]+ - (.+?)\.jpg""), "".jpg"", """"), ""-"", "", ""), """")"),"")</f>
        <v/>
      </c>
      <c r="L14766" s="12"/>
      <c r="M14766" s="13"/>
      <c r="N14766" s="2"/>
      <c r="O14766" s="20"/>
      <c r="P14766" s="42"/>
      <c r="R14766" s="23"/>
    </row>
    <row r="14767" spans="1:18" ht="12.75">
      <c r="A14767" s="12"/>
      <c r="D14767" s="12"/>
      <c r="E14767" s="12"/>
      <c r="H14767" s="11" t="str">
        <f ca="1">IFERROR(__xludf.DUMMYFUNCTION("IFERROR(SUBSTITUTE(SUBSTITUTE(REGEXEXTRACT(A14767, ""[^-]+- [^-]+- [^-]+ - (.+?)\.jpg""), "".jpg"", """"), ""-"", "", ""), """")"),"")</f>
        <v/>
      </c>
      <c r="L14767" s="12"/>
      <c r="M14767" s="13"/>
      <c r="N14767" s="2"/>
      <c r="O14767" s="20"/>
      <c r="P14767" s="42"/>
      <c r="R14767" s="23"/>
    </row>
    <row r="14768" spans="1:18" ht="12.75">
      <c r="A14768" s="12"/>
      <c r="D14768" s="12"/>
      <c r="E14768" s="12"/>
      <c r="H14768" s="11" t="str">
        <f ca="1">IFERROR(__xludf.DUMMYFUNCTION("IFERROR(SUBSTITUTE(SUBSTITUTE(REGEXEXTRACT(A14768, ""[^-]+- [^-]+- [^-]+ - (.+?)\.jpg""), "".jpg"", """"), ""-"", "", ""), """")"),"")</f>
        <v/>
      </c>
      <c r="L14768" s="12"/>
      <c r="M14768" s="13"/>
      <c r="N14768" s="2"/>
      <c r="O14768" s="20"/>
      <c r="P14768" s="42"/>
      <c r="R14768" s="23"/>
    </row>
    <row r="14769" spans="1:18" ht="12.75">
      <c r="A14769" s="12"/>
      <c r="D14769" s="12"/>
      <c r="E14769" s="12"/>
      <c r="H14769" s="11" t="str">
        <f ca="1">IFERROR(__xludf.DUMMYFUNCTION("IFERROR(SUBSTITUTE(SUBSTITUTE(REGEXEXTRACT(A14769, ""[^-]+- [^-]+- [^-]+ - (.+?)\.jpg""), "".jpg"", """"), ""-"", "", ""), """")"),"")</f>
        <v/>
      </c>
      <c r="L14769" s="12"/>
      <c r="M14769" s="13"/>
      <c r="N14769" s="2"/>
      <c r="O14769" s="20"/>
      <c r="P14769" s="42"/>
      <c r="R14769" s="23"/>
    </row>
    <row r="14770" spans="1:18" ht="12.75">
      <c r="A14770" s="12"/>
      <c r="D14770" s="12"/>
      <c r="E14770" s="12"/>
      <c r="H14770" s="11" t="str">
        <f ca="1">IFERROR(__xludf.DUMMYFUNCTION("IFERROR(SUBSTITUTE(SUBSTITUTE(REGEXEXTRACT(A14770, ""[^-]+- [^-]+- [^-]+ - (.+?)\.jpg""), "".jpg"", """"), ""-"", "", ""), """")"),"")</f>
        <v/>
      </c>
      <c r="L14770" s="12"/>
      <c r="M14770" s="13"/>
      <c r="N14770" s="2"/>
      <c r="O14770" s="20"/>
      <c r="P14770" s="42"/>
      <c r="R14770" s="23"/>
    </row>
    <row r="14771" spans="1:18" ht="12.75">
      <c r="A14771" s="12"/>
      <c r="D14771" s="12"/>
      <c r="E14771" s="12"/>
      <c r="H14771" s="11" t="str">
        <f ca="1">IFERROR(__xludf.DUMMYFUNCTION("IFERROR(SUBSTITUTE(SUBSTITUTE(REGEXEXTRACT(A14771, ""[^-]+- [^-]+- [^-]+ - (.+?)\.jpg""), "".jpg"", """"), ""-"", "", ""), """")"),"")</f>
        <v/>
      </c>
      <c r="L14771" s="12"/>
      <c r="M14771" s="13"/>
      <c r="N14771" s="2"/>
      <c r="O14771" s="20"/>
      <c r="P14771" s="42"/>
      <c r="R14771" s="23"/>
    </row>
    <row r="14772" spans="1:18" ht="12.75">
      <c r="A14772" s="12"/>
      <c r="D14772" s="12"/>
      <c r="E14772" s="12"/>
      <c r="H14772" s="11" t="str">
        <f ca="1">IFERROR(__xludf.DUMMYFUNCTION("IFERROR(SUBSTITUTE(SUBSTITUTE(REGEXEXTRACT(A14772, ""[^-]+- [^-]+- [^-]+ - (.+?)\.jpg""), "".jpg"", """"), ""-"", "", ""), """")"),"")</f>
        <v/>
      </c>
      <c r="L14772" s="12"/>
      <c r="M14772" s="13"/>
      <c r="N14772" s="2"/>
      <c r="O14772" s="20"/>
      <c r="P14772" s="42"/>
      <c r="R14772" s="23"/>
    </row>
    <row r="14773" spans="1:18" ht="12.75">
      <c r="A14773" s="12"/>
      <c r="D14773" s="12"/>
      <c r="E14773" s="12"/>
      <c r="H14773" s="11" t="str">
        <f ca="1">IFERROR(__xludf.DUMMYFUNCTION("IFERROR(SUBSTITUTE(SUBSTITUTE(REGEXEXTRACT(A14773, ""[^-]+- [^-]+- [^-]+ - (.+?)\.jpg""), "".jpg"", """"), ""-"", "", ""), """")"),"")</f>
        <v/>
      </c>
      <c r="L14773" s="12"/>
      <c r="M14773" s="13"/>
      <c r="N14773" s="2"/>
      <c r="O14773" s="20"/>
      <c r="P14773" s="42"/>
      <c r="R14773" s="23"/>
    </row>
    <row r="14774" spans="1:18" ht="12.75">
      <c r="A14774" s="12"/>
      <c r="D14774" s="12"/>
      <c r="E14774" s="12"/>
      <c r="H14774" s="11" t="str">
        <f ca="1">IFERROR(__xludf.DUMMYFUNCTION("IFERROR(SUBSTITUTE(SUBSTITUTE(REGEXEXTRACT(A14774, ""[^-]+- [^-]+- [^-]+ - (.+?)\.jpg""), "".jpg"", """"), ""-"", "", ""), """")"),"")</f>
        <v/>
      </c>
      <c r="L14774" s="12"/>
      <c r="M14774" s="13"/>
      <c r="N14774" s="2"/>
      <c r="O14774" s="20"/>
      <c r="P14774" s="42"/>
      <c r="R14774" s="23"/>
    </row>
    <row r="14775" spans="1:18" ht="12.75">
      <c r="A14775" s="12"/>
      <c r="D14775" s="12"/>
      <c r="E14775" s="12"/>
      <c r="H14775" s="11" t="str">
        <f ca="1">IFERROR(__xludf.DUMMYFUNCTION("IFERROR(SUBSTITUTE(SUBSTITUTE(REGEXEXTRACT(A14775, ""[^-]+- [^-]+- [^-]+ - (.+?)\.jpg""), "".jpg"", """"), ""-"", "", ""), """")"),"")</f>
        <v/>
      </c>
      <c r="L14775" s="12"/>
      <c r="M14775" s="13"/>
      <c r="N14775" s="2"/>
      <c r="O14775" s="20"/>
      <c r="P14775" s="42"/>
      <c r="R14775" s="23"/>
    </row>
    <row r="14776" spans="1:18" ht="12.75">
      <c r="A14776" s="12"/>
      <c r="D14776" s="12"/>
      <c r="E14776" s="12"/>
      <c r="H14776" s="11" t="str">
        <f ca="1">IFERROR(__xludf.DUMMYFUNCTION("IFERROR(SUBSTITUTE(SUBSTITUTE(REGEXEXTRACT(A14776, ""[^-]+- [^-]+- [^-]+ - (.+?)\.jpg""), "".jpg"", """"), ""-"", "", ""), """")"),"")</f>
        <v/>
      </c>
      <c r="L14776" s="12"/>
      <c r="M14776" s="13"/>
      <c r="N14776" s="2"/>
      <c r="O14776" s="20"/>
      <c r="P14776" s="42"/>
      <c r="R14776" s="23"/>
    </row>
    <row r="14777" spans="1:18" ht="12.75">
      <c r="A14777" s="12"/>
      <c r="D14777" s="12"/>
      <c r="E14777" s="12"/>
      <c r="H14777" s="11" t="str">
        <f ca="1">IFERROR(__xludf.DUMMYFUNCTION("IFERROR(SUBSTITUTE(SUBSTITUTE(REGEXEXTRACT(A14777, ""[^-]+- [^-]+- [^-]+ - (.+?)\.jpg""), "".jpg"", """"), ""-"", "", ""), """")"),"")</f>
        <v/>
      </c>
      <c r="L14777" s="12"/>
      <c r="M14777" s="13"/>
      <c r="N14777" s="2"/>
      <c r="O14777" s="20"/>
      <c r="P14777" s="42"/>
      <c r="R14777" s="23"/>
    </row>
    <row r="14778" spans="1:18" ht="12.75">
      <c r="A14778" s="12"/>
      <c r="D14778" s="12"/>
      <c r="E14778" s="12"/>
      <c r="H14778" s="11" t="str">
        <f ca="1">IFERROR(__xludf.DUMMYFUNCTION("IFERROR(SUBSTITUTE(SUBSTITUTE(REGEXEXTRACT(A14778, ""[^-]+- [^-]+- [^-]+ - (.+?)\.jpg""), "".jpg"", """"), ""-"", "", ""), """")"),"")</f>
        <v/>
      </c>
      <c r="L14778" s="12"/>
      <c r="M14778" s="13"/>
      <c r="N14778" s="2"/>
      <c r="O14778" s="20"/>
      <c r="P14778" s="42"/>
      <c r="R14778" s="23"/>
    </row>
    <row r="14779" spans="1:18" ht="12.75">
      <c r="A14779" s="12"/>
      <c r="D14779" s="12"/>
      <c r="E14779" s="12"/>
      <c r="H14779" s="11" t="str">
        <f ca="1">IFERROR(__xludf.DUMMYFUNCTION("IFERROR(SUBSTITUTE(SUBSTITUTE(REGEXEXTRACT(A14779, ""[^-]+- [^-]+- [^-]+ - (.+?)\.jpg""), "".jpg"", """"), ""-"", "", ""), """")"),"")</f>
        <v/>
      </c>
      <c r="L14779" s="12"/>
      <c r="M14779" s="13"/>
      <c r="N14779" s="2"/>
      <c r="O14779" s="20"/>
      <c r="P14779" s="42"/>
      <c r="R14779" s="23"/>
    </row>
    <row r="14780" spans="1:18" ht="12.75">
      <c r="A14780" s="12"/>
      <c r="D14780" s="12"/>
      <c r="E14780" s="12"/>
      <c r="H14780" s="11" t="str">
        <f ca="1">IFERROR(__xludf.DUMMYFUNCTION("IFERROR(SUBSTITUTE(SUBSTITUTE(REGEXEXTRACT(A14780, ""[^-]+- [^-]+- [^-]+ - (.+?)\.jpg""), "".jpg"", """"), ""-"", "", ""), """")"),"")</f>
        <v/>
      </c>
      <c r="L14780" s="12"/>
      <c r="M14780" s="13"/>
      <c r="N14780" s="2"/>
      <c r="O14780" s="20"/>
      <c r="P14780" s="42"/>
      <c r="R14780" s="23"/>
    </row>
    <row r="14781" spans="1:18" ht="12.75">
      <c r="A14781" s="12"/>
      <c r="D14781" s="12"/>
      <c r="E14781" s="12"/>
      <c r="H14781" s="11" t="str">
        <f ca="1">IFERROR(__xludf.DUMMYFUNCTION("IFERROR(SUBSTITUTE(SUBSTITUTE(REGEXEXTRACT(A14781, ""[^-]+- [^-]+- [^-]+ - (.+?)\.jpg""), "".jpg"", """"), ""-"", "", ""), """")"),"")</f>
        <v/>
      </c>
      <c r="L14781" s="12"/>
      <c r="M14781" s="13"/>
      <c r="N14781" s="2"/>
      <c r="O14781" s="20"/>
      <c r="P14781" s="42"/>
      <c r="R14781" s="23"/>
    </row>
    <row r="14782" spans="1:18" ht="12.75">
      <c r="A14782" s="12"/>
      <c r="D14782" s="12"/>
      <c r="E14782" s="12"/>
      <c r="H14782" s="11" t="str">
        <f ca="1">IFERROR(__xludf.DUMMYFUNCTION("IFERROR(SUBSTITUTE(SUBSTITUTE(REGEXEXTRACT(A14782, ""[^-]+- [^-]+- [^-]+ - (.+?)\.jpg""), "".jpg"", """"), ""-"", "", ""), """")"),"")</f>
        <v/>
      </c>
      <c r="L14782" s="12"/>
      <c r="M14782" s="13"/>
      <c r="N14782" s="2"/>
      <c r="O14782" s="20"/>
      <c r="P14782" s="42"/>
      <c r="R14782" s="23"/>
    </row>
    <row r="14783" spans="1:18" ht="12.75">
      <c r="A14783" s="12"/>
      <c r="D14783" s="12"/>
      <c r="E14783" s="12"/>
      <c r="H14783" s="11" t="str">
        <f ca="1">IFERROR(__xludf.DUMMYFUNCTION("IFERROR(SUBSTITUTE(SUBSTITUTE(REGEXEXTRACT(A14783, ""[^-]+- [^-]+- [^-]+ - (.+?)\.jpg""), "".jpg"", """"), ""-"", "", ""), """")"),"")</f>
        <v/>
      </c>
      <c r="L14783" s="12"/>
      <c r="M14783" s="13"/>
      <c r="N14783" s="2"/>
      <c r="O14783" s="20"/>
      <c r="P14783" s="42"/>
      <c r="R14783" s="23"/>
    </row>
    <row r="14784" spans="1:18" ht="12.75">
      <c r="A14784" s="12"/>
      <c r="D14784" s="12"/>
      <c r="E14784" s="12"/>
      <c r="H14784" s="11" t="str">
        <f ca="1">IFERROR(__xludf.DUMMYFUNCTION("IFERROR(SUBSTITUTE(SUBSTITUTE(REGEXEXTRACT(A14784, ""[^-]+- [^-]+- [^-]+ - (.+?)\.jpg""), "".jpg"", """"), ""-"", "", ""), """")"),"")</f>
        <v/>
      </c>
      <c r="L14784" s="12"/>
      <c r="M14784" s="13"/>
      <c r="N14784" s="2"/>
      <c r="O14784" s="20"/>
      <c r="P14784" s="42"/>
      <c r="R14784" s="23"/>
    </row>
    <row r="14785" spans="1:18" ht="12.75">
      <c r="A14785" s="12"/>
      <c r="D14785" s="12"/>
      <c r="E14785" s="12"/>
      <c r="H14785" s="11" t="str">
        <f ca="1">IFERROR(__xludf.DUMMYFUNCTION("IFERROR(SUBSTITUTE(SUBSTITUTE(REGEXEXTRACT(A14785, ""[^-]+- [^-]+- [^-]+ - (.+?)\.jpg""), "".jpg"", """"), ""-"", "", ""), """")"),"")</f>
        <v/>
      </c>
      <c r="L14785" s="12"/>
      <c r="M14785" s="13"/>
      <c r="N14785" s="2"/>
      <c r="O14785" s="20"/>
      <c r="P14785" s="42"/>
      <c r="R14785" s="23"/>
    </row>
    <row r="14786" spans="1:18" ht="12.75">
      <c r="A14786" s="12"/>
      <c r="D14786" s="12"/>
      <c r="E14786" s="12"/>
      <c r="H14786" s="11" t="str">
        <f ca="1">IFERROR(__xludf.DUMMYFUNCTION("IFERROR(SUBSTITUTE(SUBSTITUTE(REGEXEXTRACT(A14786, ""[^-]+- [^-]+- [^-]+ - (.+?)\.jpg""), "".jpg"", """"), ""-"", "", ""), """")"),"")</f>
        <v/>
      </c>
      <c r="L14786" s="12"/>
      <c r="M14786" s="13"/>
      <c r="N14786" s="2"/>
      <c r="O14786" s="20"/>
      <c r="P14786" s="42"/>
      <c r="R14786" s="23"/>
    </row>
    <row r="14787" spans="1:18" ht="12.75">
      <c r="A14787" s="12"/>
      <c r="D14787" s="12"/>
      <c r="E14787" s="12"/>
      <c r="H14787" s="11" t="str">
        <f ca="1">IFERROR(__xludf.DUMMYFUNCTION("IFERROR(SUBSTITUTE(SUBSTITUTE(REGEXEXTRACT(A14787, ""[^-]+- [^-]+- [^-]+ - (.+?)\.jpg""), "".jpg"", """"), ""-"", "", ""), """")"),"")</f>
        <v/>
      </c>
      <c r="L14787" s="12"/>
      <c r="M14787" s="13"/>
      <c r="N14787" s="2"/>
      <c r="O14787" s="20"/>
      <c r="P14787" s="42"/>
      <c r="R14787" s="23"/>
    </row>
    <row r="14788" spans="1:18" ht="12.75">
      <c r="A14788" s="12"/>
      <c r="D14788" s="12"/>
      <c r="E14788" s="12"/>
      <c r="H14788" s="11" t="str">
        <f ca="1">IFERROR(__xludf.DUMMYFUNCTION("IFERROR(SUBSTITUTE(SUBSTITUTE(REGEXEXTRACT(A14788, ""[^-]+- [^-]+- [^-]+ - (.+?)\.jpg""), "".jpg"", """"), ""-"", "", ""), """")"),"")</f>
        <v/>
      </c>
      <c r="L14788" s="12"/>
      <c r="M14788" s="13"/>
      <c r="N14788" s="2"/>
      <c r="O14788" s="20"/>
      <c r="P14788" s="42"/>
      <c r="R14788" s="23"/>
    </row>
    <row r="14789" spans="1:18" ht="12.75">
      <c r="A14789" s="12"/>
      <c r="D14789" s="12"/>
      <c r="E14789" s="12"/>
      <c r="H14789" s="11" t="str">
        <f ca="1">IFERROR(__xludf.DUMMYFUNCTION("IFERROR(SUBSTITUTE(SUBSTITUTE(REGEXEXTRACT(A14789, ""[^-]+- [^-]+- [^-]+ - (.+?)\.jpg""), "".jpg"", """"), ""-"", "", ""), """")"),"")</f>
        <v/>
      </c>
      <c r="L14789" s="12"/>
      <c r="M14789" s="13"/>
      <c r="N14789" s="2"/>
      <c r="O14789" s="20"/>
      <c r="P14789" s="42"/>
      <c r="R14789" s="23"/>
    </row>
    <row r="14790" spans="1:18" ht="12.75">
      <c r="A14790" s="12"/>
      <c r="D14790" s="12"/>
      <c r="E14790" s="12"/>
      <c r="H14790" s="11" t="str">
        <f ca="1">IFERROR(__xludf.DUMMYFUNCTION("IFERROR(SUBSTITUTE(SUBSTITUTE(REGEXEXTRACT(A14790, ""[^-]+- [^-]+- [^-]+ - (.+?)\.jpg""), "".jpg"", """"), ""-"", "", ""), """")"),"")</f>
        <v/>
      </c>
      <c r="L14790" s="12"/>
      <c r="M14790" s="13"/>
      <c r="N14790" s="2"/>
      <c r="O14790" s="20"/>
      <c r="P14790" s="42"/>
      <c r="R14790" s="23"/>
    </row>
    <row r="14791" spans="1:18" ht="12.75">
      <c r="A14791" s="12"/>
      <c r="D14791" s="12"/>
      <c r="E14791" s="12"/>
      <c r="H14791" s="11" t="str">
        <f ca="1">IFERROR(__xludf.DUMMYFUNCTION("IFERROR(SUBSTITUTE(SUBSTITUTE(REGEXEXTRACT(A14791, ""[^-]+- [^-]+- [^-]+ - (.+?)\.jpg""), "".jpg"", """"), ""-"", "", ""), """")"),"")</f>
        <v/>
      </c>
      <c r="L14791" s="12"/>
      <c r="M14791" s="13"/>
      <c r="N14791" s="2"/>
      <c r="O14791" s="20"/>
      <c r="P14791" s="42"/>
      <c r="R14791" s="23"/>
    </row>
    <row r="14792" spans="1:18" ht="12.75">
      <c r="A14792" s="12"/>
      <c r="D14792" s="12"/>
      <c r="E14792" s="12"/>
      <c r="H14792" s="11" t="str">
        <f ca="1">IFERROR(__xludf.DUMMYFUNCTION("IFERROR(SUBSTITUTE(SUBSTITUTE(REGEXEXTRACT(A14792, ""[^-]+- [^-]+- [^-]+ - (.+?)\.jpg""), "".jpg"", """"), ""-"", "", ""), """")"),"")</f>
        <v/>
      </c>
      <c r="L14792" s="12"/>
      <c r="M14792" s="13"/>
      <c r="N14792" s="2"/>
      <c r="O14792" s="20"/>
      <c r="P14792" s="42"/>
      <c r="R14792" s="23"/>
    </row>
    <row r="14793" spans="1:18" ht="12.75">
      <c r="A14793" s="12"/>
      <c r="D14793" s="12"/>
      <c r="E14793" s="12"/>
      <c r="H14793" s="11" t="str">
        <f ca="1">IFERROR(__xludf.DUMMYFUNCTION("IFERROR(SUBSTITUTE(SUBSTITUTE(REGEXEXTRACT(A14793, ""[^-]+- [^-]+- [^-]+ - (.+?)\.jpg""), "".jpg"", """"), ""-"", "", ""), """")"),"")</f>
        <v/>
      </c>
      <c r="L14793" s="12"/>
      <c r="M14793" s="13"/>
      <c r="N14793" s="2"/>
      <c r="O14793" s="20"/>
      <c r="P14793" s="42"/>
      <c r="R14793" s="23"/>
    </row>
    <row r="14794" spans="1:18" ht="12.75">
      <c r="A14794" s="12"/>
      <c r="D14794" s="12"/>
      <c r="E14794" s="12"/>
      <c r="H14794" s="11" t="str">
        <f ca="1">IFERROR(__xludf.DUMMYFUNCTION("IFERROR(SUBSTITUTE(SUBSTITUTE(REGEXEXTRACT(A14794, ""[^-]+- [^-]+- [^-]+ - (.+?)\.jpg""), "".jpg"", """"), ""-"", "", ""), """")"),"")</f>
        <v/>
      </c>
      <c r="L14794" s="12"/>
      <c r="M14794" s="13"/>
      <c r="N14794" s="2"/>
      <c r="O14794" s="20"/>
      <c r="P14794" s="42"/>
      <c r="R14794" s="23"/>
    </row>
    <row r="14795" spans="1:18" ht="12.75">
      <c r="A14795" s="12"/>
      <c r="D14795" s="12"/>
      <c r="E14795" s="12"/>
      <c r="H14795" s="11" t="str">
        <f ca="1">IFERROR(__xludf.DUMMYFUNCTION("IFERROR(SUBSTITUTE(SUBSTITUTE(REGEXEXTRACT(A14795, ""[^-]+- [^-]+- [^-]+ - (.+?)\.jpg""), "".jpg"", """"), ""-"", "", ""), """")"),"")</f>
        <v/>
      </c>
      <c r="L14795" s="12"/>
      <c r="M14795" s="13"/>
      <c r="N14795" s="2"/>
      <c r="O14795" s="20"/>
      <c r="P14795" s="42"/>
      <c r="R14795" s="23"/>
    </row>
    <row r="14796" spans="1:18" ht="12.75">
      <c r="A14796" s="12"/>
      <c r="D14796" s="12"/>
      <c r="E14796" s="12"/>
      <c r="H14796" s="11" t="str">
        <f ca="1">IFERROR(__xludf.DUMMYFUNCTION("IFERROR(SUBSTITUTE(SUBSTITUTE(REGEXEXTRACT(A14796, ""[^-]+- [^-]+- [^-]+ - (.+?)\.jpg""), "".jpg"", """"), ""-"", "", ""), """")"),"")</f>
        <v/>
      </c>
      <c r="L14796" s="12"/>
      <c r="M14796" s="13"/>
      <c r="N14796" s="2"/>
      <c r="O14796" s="20"/>
      <c r="P14796" s="42"/>
      <c r="R14796" s="23"/>
    </row>
    <row r="14797" spans="1:18" ht="12.75">
      <c r="A14797" s="12"/>
      <c r="D14797" s="12"/>
      <c r="E14797" s="12"/>
      <c r="H14797" s="11" t="str">
        <f ca="1">IFERROR(__xludf.DUMMYFUNCTION("IFERROR(SUBSTITUTE(SUBSTITUTE(REGEXEXTRACT(A14797, ""[^-]+- [^-]+- [^-]+ - (.+?)\.jpg""), "".jpg"", """"), ""-"", "", ""), """")"),"")</f>
        <v/>
      </c>
      <c r="L14797" s="12"/>
      <c r="M14797" s="13"/>
      <c r="N14797" s="2"/>
      <c r="O14797" s="20"/>
      <c r="P14797" s="42"/>
      <c r="R14797" s="23"/>
    </row>
    <row r="14798" spans="1:18" ht="12.75">
      <c r="A14798" s="12"/>
      <c r="D14798" s="12"/>
      <c r="E14798" s="12"/>
      <c r="H14798" s="11" t="str">
        <f ca="1">IFERROR(__xludf.DUMMYFUNCTION("IFERROR(SUBSTITUTE(SUBSTITUTE(REGEXEXTRACT(A14798, ""[^-]+- [^-]+- [^-]+ - (.+?)\.jpg""), "".jpg"", """"), ""-"", "", ""), """")"),"")</f>
        <v/>
      </c>
      <c r="L14798" s="12"/>
      <c r="M14798" s="13"/>
      <c r="N14798" s="2"/>
      <c r="O14798" s="20"/>
      <c r="P14798" s="42"/>
      <c r="R14798" s="23"/>
    </row>
    <row r="14799" spans="1:18" ht="12.75">
      <c r="A14799" s="12"/>
      <c r="D14799" s="12"/>
      <c r="E14799" s="12"/>
      <c r="H14799" s="11" t="str">
        <f ca="1">IFERROR(__xludf.DUMMYFUNCTION("IFERROR(SUBSTITUTE(SUBSTITUTE(REGEXEXTRACT(A14799, ""[^-]+- [^-]+- [^-]+ - (.+?)\.jpg""), "".jpg"", """"), ""-"", "", ""), """")"),"")</f>
        <v/>
      </c>
      <c r="L14799" s="12"/>
      <c r="M14799" s="13"/>
      <c r="N14799" s="2"/>
      <c r="O14799" s="20"/>
      <c r="P14799" s="42"/>
      <c r="R14799" s="23"/>
    </row>
    <row r="14800" spans="1:18" ht="12.75">
      <c r="A14800" s="12"/>
      <c r="D14800" s="12"/>
      <c r="E14800" s="12"/>
      <c r="H14800" s="11" t="str">
        <f ca="1">IFERROR(__xludf.DUMMYFUNCTION("IFERROR(SUBSTITUTE(SUBSTITUTE(REGEXEXTRACT(A14800, ""[^-]+- [^-]+- [^-]+ - (.+?)\.jpg""), "".jpg"", """"), ""-"", "", ""), """")"),"")</f>
        <v/>
      </c>
      <c r="L14800" s="12"/>
      <c r="M14800" s="13"/>
      <c r="N14800" s="2"/>
      <c r="O14800" s="20"/>
      <c r="P14800" s="42"/>
      <c r="R14800" s="23"/>
    </row>
    <row r="14801" spans="1:18" ht="12.75">
      <c r="A14801" s="12"/>
      <c r="D14801" s="12"/>
      <c r="E14801" s="12"/>
      <c r="H14801" s="11" t="str">
        <f ca="1">IFERROR(__xludf.DUMMYFUNCTION("IFERROR(SUBSTITUTE(SUBSTITUTE(REGEXEXTRACT(A14801, ""[^-]+- [^-]+- [^-]+ - (.+?)\.jpg""), "".jpg"", """"), ""-"", "", ""), """")"),"")</f>
        <v/>
      </c>
      <c r="L14801" s="12"/>
      <c r="M14801" s="13"/>
      <c r="N14801" s="2"/>
      <c r="O14801" s="20"/>
      <c r="P14801" s="42"/>
      <c r="R14801" s="23"/>
    </row>
    <row r="14802" spans="1:18" ht="12.75">
      <c r="A14802" s="12"/>
      <c r="D14802" s="12"/>
      <c r="E14802" s="12"/>
      <c r="H14802" s="11" t="str">
        <f ca="1">IFERROR(__xludf.DUMMYFUNCTION("IFERROR(SUBSTITUTE(SUBSTITUTE(REGEXEXTRACT(A14802, ""[^-]+- [^-]+- [^-]+ - (.+?)\.jpg""), "".jpg"", """"), ""-"", "", ""), """")"),"")</f>
        <v/>
      </c>
      <c r="L14802" s="12"/>
      <c r="M14802" s="13"/>
      <c r="N14802" s="2"/>
      <c r="O14802" s="20"/>
      <c r="P14802" s="42"/>
      <c r="R14802" s="23"/>
    </row>
    <row r="14803" spans="1:18" ht="12.75">
      <c r="A14803" s="12"/>
      <c r="D14803" s="12"/>
      <c r="E14803" s="12"/>
      <c r="H14803" s="11" t="str">
        <f ca="1">IFERROR(__xludf.DUMMYFUNCTION("IFERROR(SUBSTITUTE(SUBSTITUTE(REGEXEXTRACT(A14803, ""[^-]+- [^-]+- [^-]+ - (.+?)\.jpg""), "".jpg"", """"), ""-"", "", ""), """")"),"")</f>
        <v/>
      </c>
      <c r="L14803" s="12"/>
      <c r="M14803" s="13"/>
      <c r="N14803" s="2"/>
      <c r="O14803" s="20"/>
      <c r="P14803" s="42"/>
      <c r="R14803" s="23"/>
    </row>
    <row r="14804" spans="1:18" ht="12.75">
      <c r="A14804" s="12"/>
      <c r="D14804" s="12"/>
      <c r="E14804" s="12"/>
      <c r="H14804" s="11" t="str">
        <f ca="1">IFERROR(__xludf.DUMMYFUNCTION("IFERROR(SUBSTITUTE(SUBSTITUTE(REGEXEXTRACT(A14804, ""[^-]+- [^-]+- [^-]+ - (.+?)\.jpg""), "".jpg"", """"), ""-"", "", ""), """")"),"")</f>
        <v/>
      </c>
      <c r="L14804" s="12"/>
      <c r="M14804" s="13"/>
      <c r="N14804" s="2"/>
      <c r="O14804" s="20"/>
      <c r="P14804" s="42"/>
      <c r="R14804" s="23"/>
    </row>
    <row r="14805" spans="1:18" ht="12.75">
      <c r="A14805" s="12"/>
      <c r="D14805" s="12"/>
      <c r="E14805" s="12"/>
      <c r="H14805" s="11" t="str">
        <f ca="1">IFERROR(__xludf.DUMMYFUNCTION("IFERROR(SUBSTITUTE(SUBSTITUTE(REGEXEXTRACT(A14805, ""[^-]+- [^-]+- [^-]+ - (.+?)\.jpg""), "".jpg"", """"), ""-"", "", ""), """")"),"")</f>
        <v/>
      </c>
      <c r="L14805" s="12"/>
      <c r="M14805" s="13"/>
      <c r="N14805" s="2"/>
      <c r="O14805" s="20"/>
      <c r="P14805" s="42"/>
      <c r="R14805" s="23"/>
    </row>
    <row r="14806" spans="1:18" ht="12.75">
      <c r="A14806" s="12"/>
      <c r="D14806" s="12"/>
      <c r="E14806" s="12"/>
      <c r="H14806" s="11" t="str">
        <f ca="1">IFERROR(__xludf.DUMMYFUNCTION("IFERROR(SUBSTITUTE(SUBSTITUTE(REGEXEXTRACT(A14806, ""[^-]+- [^-]+- [^-]+ - (.+?)\.jpg""), "".jpg"", """"), ""-"", "", ""), """")"),"")</f>
        <v/>
      </c>
      <c r="L14806" s="12"/>
      <c r="M14806" s="13"/>
      <c r="N14806" s="2"/>
      <c r="O14806" s="20"/>
      <c r="P14806" s="42"/>
      <c r="R14806" s="23"/>
    </row>
    <row r="14807" spans="1:18" ht="12.75">
      <c r="A14807" s="12"/>
      <c r="D14807" s="12"/>
      <c r="E14807" s="12"/>
      <c r="H14807" s="11" t="str">
        <f ca="1">IFERROR(__xludf.DUMMYFUNCTION("IFERROR(SUBSTITUTE(SUBSTITUTE(REGEXEXTRACT(A14807, ""[^-]+- [^-]+- [^-]+ - (.+?)\.jpg""), "".jpg"", """"), ""-"", "", ""), """")"),"")</f>
        <v/>
      </c>
      <c r="L14807" s="12"/>
      <c r="M14807" s="13"/>
      <c r="N14807" s="2"/>
      <c r="O14807" s="20"/>
      <c r="P14807" s="42"/>
      <c r="R14807" s="23"/>
    </row>
    <row r="14808" spans="1:18" ht="12.75">
      <c r="A14808" s="12"/>
      <c r="D14808" s="12"/>
      <c r="E14808" s="12"/>
      <c r="H14808" s="11" t="str">
        <f ca="1">IFERROR(__xludf.DUMMYFUNCTION("IFERROR(SUBSTITUTE(SUBSTITUTE(REGEXEXTRACT(A14808, ""[^-]+- [^-]+- [^-]+ - (.+?)\.jpg""), "".jpg"", """"), ""-"", "", ""), """")"),"")</f>
        <v/>
      </c>
      <c r="L14808" s="12"/>
      <c r="M14808" s="13"/>
      <c r="N14808" s="2"/>
      <c r="O14808" s="20"/>
      <c r="P14808" s="42"/>
      <c r="R14808" s="23"/>
    </row>
    <row r="14809" spans="1:18" ht="12.75">
      <c r="A14809" s="12"/>
      <c r="D14809" s="12"/>
      <c r="E14809" s="12"/>
      <c r="H14809" s="11" t="str">
        <f ca="1">IFERROR(__xludf.DUMMYFUNCTION("IFERROR(SUBSTITUTE(SUBSTITUTE(REGEXEXTRACT(A14809, ""[^-]+- [^-]+- [^-]+ - (.+?)\.jpg""), "".jpg"", """"), ""-"", "", ""), """")"),"")</f>
        <v/>
      </c>
      <c r="L14809" s="12"/>
      <c r="M14809" s="13"/>
      <c r="N14809" s="2"/>
      <c r="O14809" s="20"/>
      <c r="P14809" s="42"/>
      <c r="R14809" s="23"/>
    </row>
    <row r="14810" spans="1:18" ht="12.75">
      <c r="A14810" s="12"/>
      <c r="D14810" s="12"/>
      <c r="E14810" s="12"/>
      <c r="H14810" s="11" t="str">
        <f ca="1">IFERROR(__xludf.DUMMYFUNCTION("IFERROR(SUBSTITUTE(SUBSTITUTE(REGEXEXTRACT(A14810, ""[^-]+- [^-]+- [^-]+ - (.+?)\.jpg""), "".jpg"", """"), ""-"", "", ""), """")"),"")</f>
        <v/>
      </c>
      <c r="L14810" s="12"/>
      <c r="M14810" s="13"/>
      <c r="N14810" s="2"/>
      <c r="O14810" s="20"/>
      <c r="P14810" s="42"/>
      <c r="R14810" s="23"/>
    </row>
    <row r="14811" spans="1:18" ht="12.75">
      <c r="A14811" s="12"/>
      <c r="D14811" s="12"/>
      <c r="E14811" s="12"/>
      <c r="H14811" s="11" t="str">
        <f ca="1">IFERROR(__xludf.DUMMYFUNCTION("IFERROR(SUBSTITUTE(SUBSTITUTE(REGEXEXTRACT(A14811, ""[^-]+- [^-]+- [^-]+ - (.+?)\.jpg""), "".jpg"", """"), ""-"", "", ""), """")"),"")</f>
        <v/>
      </c>
      <c r="L14811" s="12"/>
      <c r="M14811" s="13"/>
      <c r="N14811" s="2"/>
      <c r="O14811" s="20"/>
      <c r="P14811" s="42"/>
      <c r="R14811" s="23"/>
    </row>
    <row r="14812" spans="1:18" ht="12.75">
      <c r="A14812" s="12"/>
      <c r="D14812" s="12"/>
      <c r="E14812" s="12"/>
      <c r="H14812" s="11" t="str">
        <f ca="1">IFERROR(__xludf.DUMMYFUNCTION("IFERROR(SUBSTITUTE(SUBSTITUTE(REGEXEXTRACT(A14812, ""[^-]+- [^-]+- [^-]+ - (.+?)\.jpg""), "".jpg"", """"), ""-"", "", ""), """")"),"")</f>
        <v/>
      </c>
      <c r="L14812" s="12"/>
      <c r="M14812" s="13"/>
      <c r="N14812" s="2"/>
      <c r="O14812" s="20"/>
      <c r="P14812" s="42"/>
      <c r="R14812" s="23"/>
    </row>
    <row r="14813" spans="1:18" ht="12.75">
      <c r="A14813" s="12"/>
      <c r="D14813" s="12"/>
      <c r="E14813" s="12"/>
      <c r="H14813" s="11" t="str">
        <f ca="1">IFERROR(__xludf.DUMMYFUNCTION("IFERROR(SUBSTITUTE(SUBSTITUTE(REGEXEXTRACT(A14813, ""[^-]+- [^-]+- [^-]+ - (.+?)\.jpg""), "".jpg"", """"), ""-"", "", ""), """")"),"")</f>
        <v/>
      </c>
      <c r="L14813" s="12"/>
      <c r="M14813" s="13"/>
      <c r="N14813" s="2"/>
      <c r="O14813" s="20"/>
      <c r="P14813" s="42"/>
      <c r="R14813" s="23"/>
    </row>
    <row r="14814" spans="1:18" ht="12.75">
      <c r="A14814" s="12"/>
      <c r="D14814" s="12"/>
      <c r="E14814" s="12"/>
      <c r="H14814" s="11" t="str">
        <f ca="1">IFERROR(__xludf.DUMMYFUNCTION("IFERROR(SUBSTITUTE(SUBSTITUTE(REGEXEXTRACT(A14814, ""[^-]+- [^-]+- [^-]+ - (.+?)\.jpg""), "".jpg"", """"), ""-"", "", ""), """")"),"")</f>
        <v/>
      </c>
      <c r="L14814" s="12"/>
      <c r="M14814" s="13"/>
      <c r="N14814" s="2"/>
      <c r="O14814" s="20"/>
      <c r="P14814" s="42"/>
      <c r="R14814" s="23"/>
    </row>
    <row r="14815" spans="1:18" ht="12.75">
      <c r="A14815" s="12"/>
      <c r="D14815" s="12"/>
      <c r="E14815" s="12"/>
      <c r="H14815" s="11" t="str">
        <f ca="1">IFERROR(__xludf.DUMMYFUNCTION("IFERROR(SUBSTITUTE(SUBSTITUTE(REGEXEXTRACT(A14815, ""[^-]+- [^-]+- [^-]+ - (.+?)\.jpg""), "".jpg"", """"), ""-"", "", ""), """")"),"")</f>
        <v/>
      </c>
      <c r="L14815" s="12"/>
      <c r="M14815" s="13"/>
      <c r="N14815" s="2"/>
      <c r="O14815" s="20"/>
      <c r="P14815" s="42"/>
      <c r="R14815" s="23"/>
    </row>
    <row r="14816" spans="1:18" ht="12.75">
      <c r="A14816" s="12"/>
      <c r="D14816" s="12"/>
      <c r="E14816" s="12"/>
      <c r="H14816" s="11" t="str">
        <f ca="1">IFERROR(__xludf.DUMMYFUNCTION("IFERROR(SUBSTITUTE(SUBSTITUTE(REGEXEXTRACT(A14816, ""[^-]+- [^-]+- [^-]+ - (.+?)\.jpg""), "".jpg"", """"), ""-"", "", ""), """")"),"")</f>
        <v/>
      </c>
      <c r="L14816" s="12"/>
      <c r="M14816" s="13"/>
      <c r="N14816" s="2"/>
      <c r="O14816" s="20"/>
      <c r="P14816" s="42"/>
      <c r="R14816" s="23"/>
    </row>
    <row r="14817" spans="1:18" ht="12.75">
      <c r="A14817" s="12"/>
      <c r="D14817" s="12"/>
      <c r="E14817" s="12"/>
      <c r="H14817" s="11" t="str">
        <f ca="1">IFERROR(__xludf.DUMMYFUNCTION("IFERROR(SUBSTITUTE(SUBSTITUTE(REGEXEXTRACT(A14817, ""[^-]+- [^-]+- [^-]+ - (.+?)\.jpg""), "".jpg"", """"), ""-"", "", ""), """")"),"")</f>
        <v/>
      </c>
      <c r="L14817" s="12"/>
      <c r="M14817" s="13"/>
      <c r="N14817" s="2"/>
      <c r="O14817" s="20"/>
      <c r="P14817" s="42"/>
      <c r="R14817" s="23"/>
    </row>
    <row r="14818" spans="1:18" ht="12.75">
      <c r="A14818" s="12"/>
      <c r="D14818" s="12"/>
      <c r="E14818" s="12"/>
      <c r="H14818" s="11" t="str">
        <f ca="1">IFERROR(__xludf.DUMMYFUNCTION("IFERROR(SUBSTITUTE(SUBSTITUTE(REGEXEXTRACT(A14818, ""[^-]+- [^-]+- [^-]+ - (.+?)\.jpg""), "".jpg"", """"), ""-"", "", ""), """")"),"")</f>
        <v/>
      </c>
      <c r="L14818" s="12"/>
      <c r="M14818" s="13"/>
      <c r="N14818" s="2"/>
      <c r="O14818" s="20"/>
      <c r="P14818" s="42"/>
      <c r="R14818" s="23"/>
    </row>
    <row r="14819" spans="1:18" ht="12.75">
      <c r="A14819" s="12"/>
      <c r="D14819" s="12"/>
      <c r="E14819" s="12"/>
      <c r="H14819" s="11" t="str">
        <f ca="1">IFERROR(__xludf.DUMMYFUNCTION("IFERROR(SUBSTITUTE(SUBSTITUTE(REGEXEXTRACT(A14819, ""[^-]+- [^-]+- [^-]+ - (.+?)\.jpg""), "".jpg"", """"), ""-"", "", ""), """")"),"")</f>
        <v/>
      </c>
      <c r="L14819" s="12"/>
      <c r="M14819" s="13"/>
      <c r="N14819" s="2"/>
      <c r="O14819" s="20"/>
      <c r="P14819" s="42"/>
      <c r="R14819" s="23"/>
    </row>
    <row r="14820" spans="1:18" ht="12.75">
      <c r="A14820" s="12"/>
      <c r="D14820" s="12"/>
      <c r="E14820" s="12"/>
      <c r="H14820" s="11" t="str">
        <f ca="1">IFERROR(__xludf.DUMMYFUNCTION("IFERROR(SUBSTITUTE(SUBSTITUTE(REGEXEXTRACT(A14820, ""[^-]+- [^-]+- [^-]+ - (.+?)\.jpg""), "".jpg"", """"), ""-"", "", ""), """")"),"")</f>
        <v/>
      </c>
      <c r="L14820" s="12"/>
      <c r="M14820" s="13"/>
      <c r="N14820" s="2"/>
      <c r="O14820" s="20"/>
      <c r="P14820" s="42"/>
      <c r="R14820" s="23"/>
    </row>
    <row r="14821" spans="1:18" ht="12.75">
      <c r="A14821" s="12"/>
      <c r="D14821" s="12"/>
      <c r="E14821" s="12"/>
      <c r="H14821" s="11" t="str">
        <f ca="1">IFERROR(__xludf.DUMMYFUNCTION("IFERROR(SUBSTITUTE(SUBSTITUTE(REGEXEXTRACT(A14821, ""[^-]+- [^-]+- [^-]+ - (.+?)\.jpg""), "".jpg"", """"), ""-"", "", ""), """")"),"")</f>
        <v/>
      </c>
      <c r="L14821" s="12"/>
      <c r="M14821" s="13"/>
      <c r="N14821" s="2"/>
      <c r="O14821" s="20"/>
      <c r="P14821" s="42"/>
      <c r="R14821" s="23"/>
    </row>
    <row r="14822" spans="1:18" ht="12.75">
      <c r="A14822" s="12"/>
      <c r="D14822" s="12"/>
      <c r="E14822" s="12"/>
      <c r="H14822" s="11" t="str">
        <f ca="1">IFERROR(__xludf.DUMMYFUNCTION("IFERROR(SUBSTITUTE(SUBSTITUTE(REGEXEXTRACT(A14822, ""[^-]+- [^-]+- [^-]+ - (.+?)\.jpg""), "".jpg"", """"), ""-"", "", ""), """")"),"")</f>
        <v/>
      </c>
      <c r="L14822" s="12"/>
      <c r="M14822" s="13"/>
      <c r="N14822" s="2"/>
      <c r="O14822" s="20"/>
      <c r="P14822" s="42"/>
      <c r="R14822" s="23"/>
    </row>
    <row r="14823" spans="1:18" ht="12.75">
      <c r="A14823" s="12"/>
      <c r="D14823" s="12"/>
      <c r="E14823" s="12"/>
      <c r="H14823" s="11" t="str">
        <f ca="1">IFERROR(__xludf.DUMMYFUNCTION("IFERROR(SUBSTITUTE(SUBSTITUTE(REGEXEXTRACT(A14823, ""[^-]+- [^-]+- [^-]+ - (.+?)\.jpg""), "".jpg"", """"), ""-"", "", ""), """")"),"")</f>
        <v/>
      </c>
      <c r="L14823" s="12"/>
      <c r="M14823" s="13"/>
      <c r="N14823" s="2"/>
      <c r="O14823" s="20"/>
      <c r="P14823" s="42"/>
      <c r="R14823" s="23"/>
    </row>
    <row r="14824" spans="1:18" ht="12.75">
      <c r="A14824" s="12"/>
      <c r="D14824" s="12"/>
      <c r="E14824" s="12"/>
      <c r="H14824" s="11" t="str">
        <f ca="1">IFERROR(__xludf.DUMMYFUNCTION("IFERROR(SUBSTITUTE(SUBSTITUTE(REGEXEXTRACT(A14824, ""[^-]+- [^-]+- [^-]+ - (.+?)\.jpg""), "".jpg"", """"), ""-"", "", ""), """")"),"")</f>
        <v/>
      </c>
      <c r="L14824" s="12"/>
      <c r="M14824" s="13"/>
      <c r="N14824" s="2"/>
      <c r="O14824" s="20"/>
      <c r="P14824" s="42"/>
      <c r="R14824" s="23"/>
    </row>
    <row r="14825" spans="1:18" ht="12.75">
      <c r="A14825" s="12"/>
      <c r="D14825" s="12"/>
      <c r="E14825" s="12"/>
      <c r="H14825" s="11" t="str">
        <f ca="1">IFERROR(__xludf.DUMMYFUNCTION("IFERROR(SUBSTITUTE(SUBSTITUTE(REGEXEXTRACT(A14825, ""[^-]+- [^-]+- [^-]+ - (.+?)\.jpg""), "".jpg"", """"), ""-"", "", ""), """")"),"")</f>
        <v/>
      </c>
      <c r="L14825" s="12"/>
      <c r="M14825" s="13"/>
      <c r="N14825" s="2"/>
      <c r="O14825" s="20"/>
      <c r="P14825" s="42"/>
      <c r="R14825" s="23"/>
    </row>
    <row r="14826" spans="1:18" ht="12.75">
      <c r="A14826" s="12"/>
      <c r="D14826" s="12"/>
      <c r="E14826" s="12"/>
      <c r="H14826" s="11" t="str">
        <f ca="1">IFERROR(__xludf.DUMMYFUNCTION("IFERROR(SUBSTITUTE(SUBSTITUTE(REGEXEXTRACT(A14826, ""[^-]+- [^-]+- [^-]+ - (.+?)\.jpg""), "".jpg"", """"), ""-"", "", ""), """")"),"")</f>
        <v/>
      </c>
      <c r="L14826" s="12"/>
      <c r="M14826" s="13"/>
      <c r="N14826" s="2"/>
      <c r="O14826" s="20"/>
      <c r="P14826" s="42"/>
      <c r="R14826" s="23"/>
    </row>
    <row r="14827" spans="1:18" ht="12.75">
      <c r="A14827" s="12"/>
      <c r="D14827" s="12"/>
      <c r="E14827" s="12"/>
      <c r="H14827" s="11" t="str">
        <f ca="1">IFERROR(__xludf.DUMMYFUNCTION("IFERROR(SUBSTITUTE(SUBSTITUTE(REGEXEXTRACT(A14827, ""[^-]+- [^-]+- [^-]+ - (.+?)\.jpg""), "".jpg"", """"), ""-"", "", ""), """")"),"")</f>
        <v/>
      </c>
      <c r="L14827" s="12"/>
      <c r="M14827" s="13"/>
      <c r="N14827" s="2"/>
      <c r="O14827" s="20"/>
      <c r="P14827" s="42"/>
      <c r="R14827" s="23"/>
    </row>
    <row r="14828" spans="1:18" ht="12.75">
      <c r="A14828" s="12"/>
      <c r="D14828" s="12"/>
      <c r="E14828" s="12"/>
      <c r="H14828" s="11" t="str">
        <f ca="1">IFERROR(__xludf.DUMMYFUNCTION("IFERROR(SUBSTITUTE(SUBSTITUTE(REGEXEXTRACT(A14828, ""[^-]+- [^-]+- [^-]+ - (.+?)\.jpg""), "".jpg"", """"), ""-"", "", ""), """")"),"")</f>
        <v/>
      </c>
      <c r="L14828" s="12"/>
      <c r="M14828" s="13"/>
      <c r="N14828" s="2"/>
      <c r="O14828" s="20"/>
      <c r="P14828" s="42"/>
      <c r="R14828" s="23"/>
    </row>
    <row r="14829" spans="1:18" ht="12.75">
      <c r="A14829" s="12"/>
      <c r="D14829" s="12"/>
      <c r="E14829" s="12"/>
      <c r="H14829" s="11" t="str">
        <f ca="1">IFERROR(__xludf.DUMMYFUNCTION("IFERROR(SUBSTITUTE(SUBSTITUTE(REGEXEXTRACT(A14829, ""[^-]+- [^-]+- [^-]+ - (.+?)\.jpg""), "".jpg"", """"), ""-"", "", ""), """")"),"")</f>
        <v/>
      </c>
      <c r="L14829" s="12"/>
      <c r="M14829" s="13"/>
      <c r="N14829" s="2"/>
      <c r="O14829" s="20"/>
      <c r="P14829" s="42"/>
      <c r="R14829" s="23"/>
    </row>
    <row r="14830" spans="1:18" ht="12.75">
      <c r="A14830" s="12"/>
      <c r="D14830" s="12"/>
      <c r="E14830" s="12"/>
      <c r="H14830" s="11" t="str">
        <f ca="1">IFERROR(__xludf.DUMMYFUNCTION("IFERROR(SUBSTITUTE(SUBSTITUTE(REGEXEXTRACT(A14830, ""[^-]+- [^-]+- [^-]+ - (.+?)\.jpg""), "".jpg"", """"), ""-"", "", ""), """")"),"")</f>
        <v/>
      </c>
      <c r="L14830" s="12"/>
      <c r="M14830" s="13"/>
      <c r="N14830" s="2"/>
      <c r="O14830" s="20"/>
      <c r="P14830" s="42"/>
      <c r="R14830" s="23"/>
    </row>
    <row r="14831" spans="1:18" ht="12.75">
      <c r="A14831" s="12"/>
      <c r="D14831" s="12"/>
      <c r="E14831" s="12"/>
      <c r="H14831" s="11" t="str">
        <f ca="1">IFERROR(__xludf.DUMMYFUNCTION("IFERROR(SUBSTITUTE(SUBSTITUTE(REGEXEXTRACT(A14831, ""[^-]+- [^-]+- [^-]+ - (.+?)\.jpg""), "".jpg"", """"), ""-"", "", ""), """")"),"")</f>
        <v/>
      </c>
      <c r="L14831" s="12"/>
      <c r="M14831" s="13"/>
      <c r="N14831" s="2"/>
      <c r="O14831" s="20"/>
      <c r="P14831" s="42"/>
      <c r="R14831" s="23"/>
    </row>
    <row r="14832" spans="1:18" ht="12.75">
      <c r="A14832" s="12"/>
      <c r="D14832" s="12"/>
      <c r="E14832" s="12"/>
      <c r="H14832" s="11" t="str">
        <f ca="1">IFERROR(__xludf.DUMMYFUNCTION("IFERROR(SUBSTITUTE(SUBSTITUTE(REGEXEXTRACT(A14832, ""[^-]+- [^-]+- [^-]+ - (.+?)\.jpg""), "".jpg"", """"), ""-"", "", ""), """")"),"")</f>
        <v/>
      </c>
      <c r="L14832" s="12"/>
      <c r="M14832" s="13"/>
      <c r="N14832" s="2"/>
      <c r="O14832" s="20"/>
      <c r="P14832" s="42"/>
      <c r="R14832" s="23"/>
    </row>
    <row r="14833" spans="1:18" ht="12.75">
      <c r="A14833" s="12"/>
      <c r="D14833" s="12"/>
      <c r="E14833" s="12"/>
      <c r="H14833" s="11" t="str">
        <f ca="1">IFERROR(__xludf.DUMMYFUNCTION("IFERROR(SUBSTITUTE(SUBSTITUTE(REGEXEXTRACT(A14833, ""[^-]+- [^-]+- [^-]+ - (.+?)\.jpg""), "".jpg"", """"), ""-"", "", ""), """")"),"")</f>
        <v/>
      </c>
      <c r="L14833" s="12"/>
      <c r="M14833" s="13"/>
      <c r="N14833" s="2"/>
      <c r="O14833" s="20"/>
      <c r="P14833" s="42"/>
      <c r="R14833" s="23"/>
    </row>
    <row r="14834" spans="1:18" ht="12.75">
      <c r="A14834" s="12"/>
      <c r="D14834" s="12"/>
      <c r="E14834" s="12"/>
      <c r="H14834" s="11" t="str">
        <f ca="1">IFERROR(__xludf.DUMMYFUNCTION("IFERROR(SUBSTITUTE(SUBSTITUTE(REGEXEXTRACT(A14834, ""[^-]+- [^-]+- [^-]+ - (.+?)\.jpg""), "".jpg"", """"), ""-"", "", ""), """")"),"")</f>
        <v/>
      </c>
      <c r="L14834" s="12"/>
      <c r="M14834" s="13"/>
      <c r="N14834" s="2"/>
      <c r="O14834" s="20"/>
      <c r="P14834" s="42"/>
      <c r="R14834" s="23"/>
    </row>
    <row r="14835" spans="1:18" ht="12.75">
      <c r="A14835" s="12"/>
      <c r="D14835" s="12"/>
      <c r="E14835" s="12"/>
      <c r="H14835" s="11" t="str">
        <f ca="1">IFERROR(__xludf.DUMMYFUNCTION("IFERROR(SUBSTITUTE(SUBSTITUTE(REGEXEXTRACT(A14835, ""[^-]+- [^-]+- [^-]+ - (.+?)\.jpg""), "".jpg"", """"), ""-"", "", ""), """")"),"")</f>
        <v/>
      </c>
      <c r="L14835" s="12"/>
      <c r="M14835" s="13"/>
      <c r="N14835" s="2"/>
      <c r="O14835" s="20"/>
      <c r="P14835" s="42"/>
      <c r="R14835" s="23"/>
    </row>
    <row r="14836" spans="1:18" ht="12.75">
      <c r="A14836" s="12"/>
      <c r="D14836" s="12"/>
      <c r="E14836" s="12"/>
      <c r="H14836" s="11" t="str">
        <f ca="1">IFERROR(__xludf.DUMMYFUNCTION("IFERROR(SUBSTITUTE(SUBSTITUTE(REGEXEXTRACT(A14836, ""[^-]+- [^-]+- [^-]+ - (.+?)\.jpg""), "".jpg"", """"), ""-"", "", ""), """")"),"")</f>
        <v/>
      </c>
      <c r="L14836" s="12"/>
      <c r="M14836" s="13"/>
      <c r="N14836" s="2"/>
      <c r="O14836" s="20"/>
      <c r="P14836" s="42"/>
      <c r="R14836" s="23"/>
    </row>
    <row r="14837" spans="1:18" ht="12.75">
      <c r="A14837" s="12"/>
      <c r="D14837" s="12"/>
      <c r="E14837" s="12"/>
      <c r="H14837" s="11" t="str">
        <f ca="1">IFERROR(__xludf.DUMMYFUNCTION("IFERROR(SUBSTITUTE(SUBSTITUTE(REGEXEXTRACT(A14837, ""[^-]+- [^-]+- [^-]+ - (.+?)\.jpg""), "".jpg"", """"), ""-"", "", ""), """")"),"")</f>
        <v/>
      </c>
      <c r="L14837" s="12"/>
      <c r="M14837" s="13"/>
      <c r="N14837" s="2"/>
      <c r="O14837" s="20"/>
      <c r="P14837" s="42"/>
      <c r="R14837" s="23"/>
    </row>
    <row r="14838" spans="1:18" ht="12.75">
      <c r="A14838" s="12"/>
      <c r="D14838" s="12"/>
      <c r="E14838" s="12"/>
      <c r="H14838" s="11" t="str">
        <f ca="1">IFERROR(__xludf.DUMMYFUNCTION("IFERROR(SUBSTITUTE(SUBSTITUTE(REGEXEXTRACT(A14838, ""[^-]+- [^-]+- [^-]+ - (.+?)\.jpg""), "".jpg"", """"), ""-"", "", ""), """")"),"")</f>
        <v/>
      </c>
      <c r="L14838" s="12"/>
      <c r="M14838" s="13"/>
      <c r="N14838" s="2"/>
      <c r="O14838" s="20"/>
      <c r="P14838" s="42"/>
      <c r="R14838" s="23"/>
    </row>
    <row r="14839" spans="1:18" ht="12.75">
      <c r="A14839" s="12"/>
      <c r="D14839" s="12"/>
      <c r="E14839" s="12"/>
      <c r="H14839" s="11" t="str">
        <f ca="1">IFERROR(__xludf.DUMMYFUNCTION("IFERROR(SUBSTITUTE(SUBSTITUTE(REGEXEXTRACT(A14839, ""[^-]+- [^-]+- [^-]+ - (.+?)\.jpg""), "".jpg"", """"), ""-"", "", ""), """")"),"")</f>
        <v/>
      </c>
      <c r="L14839" s="12"/>
      <c r="M14839" s="13"/>
      <c r="N14839" s="2"/>
      <c r="O14839" s="20"/>
      <c r="P14839" s="42"/>
      <c r="R14839" s="23"/>
    </row>
    <row r="14840" spans="1:18" ht="12.75">
      <c r="A14840" s="12"/>
      <c r="D14840" s="12"/>
      <c r="E14840" s="12"/>
      <c r="H14840" s="11" t="str">
        <f ca="1">IFERROR(__xludf.DUMMYFUNCTION("IFERROR(SUBSTITUTE(SUBSTITUTE(REGEXEXTRACT(A14840, ""[^-]+- [^-]+- [^-]+ - (.+?)\.jpg""), "".jpg"", """"), ""-"", "", ""), """")"),"")</f>
        <v/>
      </c>
      <c r="L14840" s="12"/>
      <c r="M14840" s="13"/>
      <c r="N14840" s="2"/>
      <c r="O14840" s="20"/>
      <c r="P14840" s="42"/>
      <c r="R14840" s="23"/>
    </row>
    <row r="14841" spans="1:18" ht="12.75">
      <c r="A14841" s="12"/>
      <c r="D14841" s="12"/>
      <c r="E14841" s="12"/>
      <c r="H14841" s="11" t="str">
        <f ca="1">IFERROR(__xludf.DUMMYFUNCTION("IFERROR(SUBSTITUTE(SUBSTITUTE(REGEXEXTRACT(A14841, ""[^-]+- [^-]+- [^-]+ - (.+?)\.jpg""), "".jpg"", """"), ""-"", "", ""), """")"),"")</f>
        <v/>
      </c>
      <c r="L14841" s="12"/>
      <c r="M14841" s="13"/>
      <c r="N14841" s="2"/>
      <c r="O14841" s="20"/>
      <c r="P14841" s="42"/>
      <c r="R14841" s="23"/>
    </row>
    <row r="14842" spans="1:18" ht="12.75">
      <c r="A14842" s="12"/>
      <c r="D14842" s="12"/>
      <c r="E14842" s="12"/>
      <c r="H14842" s="11" t="str">
        <f ca="1">IFERROR(__xludf.DUMMYFUNCTION("IFERROR(SUBSTITUTE(SUBSTITUTE(REGEXEXTRACT(A14842, ""[^-]+- [^-]+- [^-]+ - (.+?)\.jpg""), "".jpg"", """"), ""-"", "", ""), """")"),"")</f>
        <v/>
      </c>
      <c r="L14842" s="12"/>
      <c r="M14842" s="13"/>
      <c r="N14842" s="2"/>
      <c r="O14842" s="20"/>
      <c r="P14842" s="42"/>
      <c r="R14842" s="23"/>
    </row>
    <row r="14843" spans="1:18" ht="12.75">
      <c r="A14843" s="12"/>
      <c r="D14843" s="12"/>
      <c r="E14843" s="12"/>
      <c r="H14843" s="11" t="str">
        <f ca="1">IFERROR(__xludf.DUMMYFUNCTION("IFERROR(SUBSTITUTE(SUBSTITUTE(REGEXEXTRACT(A14843, ""[^-]+- [^-]+- [^-]+ - (.+?)\.jpg""), "".jpg"", """"), ""-"", "", ""), """")"),"")</f>
        <v/>
      </c>
      <c r="L14843" s="12"/>
      <c r="M14843" s="13"/>
      <c r="N14843" s="2"/>
      <c r="O14843" s="20"/>
      <c r="P14843" s="42"/>
      <c r="R14843" s="23"/>
    </row>
    <row r="14844" spans="1:18" ht="12.75">
      <c r="A14844" s="12"/>
      <c r="D14844" s="12"/>
      <c r="E14844" s="12"/>
      <c r="H14844" s="11" t="str">
        <f ca="1">IFERROR(__xludf.DUMMYFUNCTION("IFERROR(SUBSTITUTE(SUBSTITUTE(REGEXEXTRACT(A14844, ""[^-]+- [^-]+- [^-]+ - (.+?)\.jpg""), "".jpg"", """"), ""-"", "", ""), """")"),"")</f>
        <v/>
      </c>
      <c r="L14844" s="12"/>
      <c r="M14844" s="13"/>
      <c r="N14844" s="2"/>
      <c r="O14844" s="20"/>
      <c r="P14844" s="42"/>
      <c r="R14844" s="23"/>
    </row>
    <row r="14845" spans="1:18" ht="12.75">
      <c r="A14845" s="12"/>
      <c r="D14845" s="12"/>
      <c r="E14845" s="12"/>
      <c r="H14845" s="11" t="str">
        <f ca="1">IFERROR(__xludf.DUMMYFUNCTION("IFERROR(SUBSTITUTE(SUBSTITUTE(REGEXEXTRACT(A14845, ""[^-]+- [^-]+- [^-]+ - (.+?)\.jpg""), "".jpg"", """"), ""-"", "", ""), """")"),"")</f>
        <v/>
      </c>
      <c r="L14845" s="12"/>
      <c r="M14845" s="13"/>
      <c r="N14845" s="2"/>
      <c r="O14845" s="20"/>
      <c r="P14845" s="42"/>
      <c r="R14845" s="23"/>
    </row>
    <row r="14846" spans="1:18" ht="12.75">
      <c r="A14846" s="12"/>
      <c r="D14846" s="12"/>
      <c r="E14846" s="12"/>
      <c r="H14846" s="11" t="str">
        <f ca="1">IFERROR(__xludf.DUMMYFUNCTION("IFERROR(SUBSTITUTE(SUBSTITUTE(REGEXEXTRACT(A14846, ""[^-]+- [^-]+- [^-]+ - (.+?)\.jpg""), "".jpg"", """"), ""-"", "", ""), """")"),"")</f>
        <v/>
      </c>
      <c r="L14846" s="12"/>
      <c r="M14846" s="13"/>
      <c r="N14846" s="2"/>
      <c r="O14846" s="20"/>
      <c r="P14846" s="42"/>
      <c r="R14846" s="23"/>
    </row>
    <row r="14847" spans="1:18" ht="12.75">
      <c r="A14847" s="12"/>
      <c r="D14847" s="12"/>
      <c r="E14847" s="12"/>
      <c r="H14847" s="11" t="str">
        <f ca="1">IFERROR(__xludf.DUMMYFUNCTION("IFERROR(SUBSTITUTE(SUBSTITUTE(REGEXEXTRACT(A14847, ""[^-]+- [^-]+- [^-]+ - (.+?)\.jpg""), "".jpg"", """"), ""-"", "", ""), """")"),"")</f>
        <v/>
      </c>
      <c r="L14847" s="12"/>
      <c r="M14847" s="13"/>
      <c r="N14847" s="2"/>
      <c r="O14847" s="20"/>
      <c r="P14847" s="42"/>
      <c r="R14847" s="23"/>
    </row>
    <row r="14848" spans="1:18" ht="12.75">
      <c r="A14848" s="12"/>
      <c r="D14848" s="12"/>
      <c r="E14848" s="12"/>
      <c r="H14848" s="11" t="str">
        <f ca="1">IFERROR(__xludf.DUMMYFUNCTION("IFERROR(SUBSTITUTE(SUBSTITUTE(REGEXEXTRACT(A14848, ""[^-]+- [^-]+- [^-]+ - (.+?)\.jpg""), "".jpg"", """"), ""-"", "", ""), """")"),"")</f>
        <v/>
      </c>
      <c r="L14848" s="12"/>
      <c r="M14848" s="13"/>
      <c r="N14848" s="2"/>
      <c r="O14848" s="20"/>
      <c r="P14848" s="42"/>
      <c r="R14848" s="23"/>
    </row>
    <row r="14849" spans="1:18" ht="12.75">
      <c r="A14849" s="12"/>
      <c r="D14849" s="12"/>
      <c r="E14849" s="12"/>
      <c r="H14849" s="11" t="str">
        <f ca="1">IFERROR(__xludf.DUMMYFUNCTION("IFERROR(SUBSTITUTE(SUBSTITUTE(REGEXEXTRACT(A14849, ""[^-]+- [^-]+- [^-]+ - (.+?)\.jpg""), "".jpg"", """"), ""-"", "", ""), """")"),"")</f>
        <v/>
      </c>
      <c r="L14849" s="12"/>
      <c r="M14849" s="13"/>
      <c r="N14849" s="2"/>
      <c r="O14849" s="20"/>
      <c r="P14849" s="42"/>
      <c r="R14849" s="23"/>
    </row>
    <row r="14850" spans="1:18" ht="12.75">
      <c r="A14850" s="12"/>
      <c r="D14850" s="12"/>
      <c r="E14850" s="12"/>
      <c r="H14850" s="11" t="str">
        <f ca="1">IFERROR(__xludf.DUMMYFUNCTION("IFERROR(SUBSTITUTE(SUBSTITUTE(REGEXEXTRACT(A14850, ""[^-]+- [^-]+- [^-]+ - (.+?)\.jpg""), "".jpg"", """"), ""-"", "", ""), """")"),"")</f>
        <v/>
      </c>
      <c r="L14850" s="12"/>
      <c r="M14850" s="13"/>
      <c r="N14850" s="2"/>
      <c r="O14850" s="20"/>
      <c r="P14850" s="42"/>
      <c r="R14850" s="23"/>
    </row>
    <row r="14851" spans="1:18" ht="12.75">
      <c r="A14851" s="12"/>
      <c r="D14851" s="12"/>
      <c r="E14851" s="12"/>
      <c r="H14851" s="11" t="str">
        <f ca="1">IFERROR(__xludf.DUMMYFUNCTION("IFERROR(SUBSTITUTE(SUBSTITUTE(REGEXEXTRACT(A14851, ""[^-]+- [^-]+- [^-]+ - (.+?)\.jpg""), "".jpg"", """"), ""-"", "", ""), """")"),"")</f>
        <v/>
      </c>
      <c r="L14851" s="12"/>
      <c r="M14851" s="13"/>
      <c r="N14851" s="2"/>
      <c r="O14851" s="20"/>
      <c r="P14851" s="42"/>
      <c r="R14851" s="23"/>
    </row>
    <row r="14852" spans="1:18" ht="12.75">
      <c r="A14852" s="12"/>
      <c r="D14852" s="12"/>
      <c r="E14852" s="12"/>
      <c r="H14852" s="11" t="str">
        <f ca="1">IFERROR(__xludf.DUMMYFUNCTION("IFERROR(SUBSTITUTE(SUBSTITUTE(REGEXEXTRACT(A14852, ""[^-]+- [^-]+- [^-]+ - (.+?)\.jpg""), "".jpg"", """"), ""-"", "", ""), """")"),"")</f>
        <v/>
      </c>
      <c r="L14852" s="12"/>
      <c r="M14852" s="13"/>
      <c r="N14852" s="2"/>
      <c r="O14852" s="20"/>
      <c r="P14852" s="42"/>
      <c r="R14852" s="23"/>
    </row>
    <row r="14853" spans="1:18" ht="12.75">
      <c r="A14853" s="12"/>
      <c r="D14853" s="12"/>
      <c r="E14853" s="12"/>
      <c r="H14853" s="11" t="str">
        <f ca="1">IFERROR(__xludf.DUMMYFUNCTION("IFERROR(SUBSTITUTE(SUBSTITUTE(REGEXEXTRACT(A14853, ""[^-]+- [^-]+- [^-]+ - (.+?)\.jpg""), "".jpg"", """"), ""-"", "", ""), """")"),"")</f>
        <v/>
      </c>
      <c r="L14853" s="12"/>
      <c r="M14853" s="13"/>
      <c r="N14853" s="2"/>
      <c r="O14853" s="20"/>
      <c r="P14853" s="42"/>
      <c r="R14853" s="23"/>
    </row>
    <row r="14854" spans="1:18" ht="12.75">
      <c r="A14854" s="12"/>
      <c r="D14854" s="12"/>
      <c r="E14854" s="12"/>
      <c r="H14854" s="11" t="str">
        <f ca="1">IFERROR(__xludf.DUMMYFUNCTION("IFERROR(SUBSTITUTE(SUBSTITUTE(REGEXEXTRACT(A14854, ""[^-]+- [^-]+- [^-]+ - (.+?)\.jpg""), "".jpg"", """"), ""-"", "", ""), """")"),"")</f>
        <v/>
      </c>
      <c r="L14854" s="12"/>
      <c r="M14854" s="13"/>
      <c r="N14854" s="2"/>
      <c r="O14854" s="20"/>
      <c r="P14854" s="42"/>
      <c r="R14854" s="23"/>
    </row>
    <row r="14855" spans="1:18" ht="12.75">
      <c r="A14855" s="12"/>
      <c r="D14855" s="12"/>
      <c r="E14855" s="12"/>
      <c r="H14855" s="11" t="str">
        <f ca="1">IFERROR(__xludf.DUMMYFUNCTION("IFERROR(SUBSTITUTE(SUBSTITUTE(REGEXEXTRACT(A14855, ""[^-]+- [^-]+- [^-]+ - (.+?)\.jpg""), "".jpg"", """"), ""-"", "", ""), """")"),"")</f>
        <v/>
      </c>
      <c r="L14855" s="12"/>
      <c r="M14855" s="13"/>
      <c r="N14855" s="2"/>
      <c r="O14855" s="20"/>
      <c r="P14855" s="42"/>
      <c r="R14855" s="23"/>
    </row>
    <row r="14856" spans="1:18" ht="12.75">
      <c r="A14856" s="12"/>
      <c r="D14856" s="12"/>
      <c r="E14856" s="12"/>
      <c r="H14856" s="11" t="str">
        <f ca="1">IFERROR(__xludf.DUMMYFUNCTION("IFERROR(SUBSTITUTE(SUBSTITUTE(REGEXEXTRACT(A14856, ""[^-]+- [^-]+- [^-]+ - (.+?)\.jpg""), "".jpg"", """"), ""-"", "", ""), """")"),"")</f>
        <v/>
      </c>
      <c r="L14856" s="12"/>
      <c r="M14856" s="13"/>
      <c r="N14856" s="2"/>
      <c r="O14856" s="20"/>
      <c r="P14856" s="42"/>
      <c r="R14856" s="23"/>
    </row>
    <row r="14857" spans="1:18" ht="12.75">
      <c r="A14857" s="12"/>
      <c r="D14857" s="12"/>
      <c r="E14857" s="12"/>
      <c r="H14857" s="11" t="str">
        <f ca="1">IFERROR(__xludf.DUMMYFUNCTION("IFERROR(SUBSTITUTE(SUBSTITUTE(REGEXEXTRACT(A14857, ""[^-]+- [^-]+- [^-]+ - (.+?)\.jpg""), "".jpg"", """"), ""-"", "", ""), """")"),"")</f>
        <v/>
      </c>
      <c r="L14857" s="12"/>
      <c r="M14857" s="13"/>
      <c r="N14857" s="2"/>
      <c r="O14857" s="20"/>
      <c r="P14857" s="42"/>
      <c r="R14857" s="23"/>
    </row>
    <row r="14858" spans="1:18" ht="12.75">
      <c r="A14858" s="12"/>
      <c r="D14858" s="12"/>
      <c r="E14858" s="12"/>
      <c r="H14858" s="11" t="str">
        <f ca="1">IFERROR(__xludf.DUMMYFUNCTION("IFERROR(SUBSTITUTE(SUBSTITUTE(REGEXEXTRACT(A14858, ""[^-]+- [^-]+- [^-]+ - (.+?)\.jpg""), "".jpg"", """"), ""-"", "", ""), """")"),"")</f>
        <v/>
      </c>
      <c r="L14858" s="12"/>
      <c r="M14858" s="13"/>
      <c r="N14858" s="2"/>
      <c r="O14858" s="20"/>
      <c r="P14858" s="42"/>
      <c r="R14858" s="23"/>
    </row>
    <row r="14859" spans="1:18" ht="12.75">
      <c r="A14859" s="12"/>
      <c r="D14859" s="12"/>
      <c r="E14859" s="12"/>
      <c r="H14859" s="11" t="str">
        <f ca="1">IFERROR(__xludf.DUMMYFUNCTION("IFERROR(SUBSTITUTE(SUBSTITUTE(REGEXEXTRACT(A14859, ""[^-]+- [^-]+- [^-]+ - (.+?)\.jpg""), "".jpg"", """"), ""-"", "", ""), """")"),"")</f>
        <v/>
      </c>
      <c r="L14859" s="12"/>
      <c r="M14859" s="13"/>
      <c r="N14859" s="2"/>
      <c r="O14859" s="20"/>
      <c r="P14859" s="42"/>
      <c r="R14859" s="23"/>
    </row>
    <row r="14860" spans="1:18" ht="12.75">
      <c r="A14860" s="12"/>
      <c r="D14860" s="12"/>
      <c r="E14860" s="12"/>
      <c r="H14860" s="11" t="str">
        <f ca="1">IFERROR(__xludf.DUMMYFUNCTION("IFERROR(SUBSTITUTE(SUBSTITUTE(REGEXEXTRACT(A14860, ""[^-]+- [^-]+- [^-]+ - (.+?)\.jpg""), "".jpg"", """"), ""-"", "", ""), """")"),"")</f>
        <v/>
      </c>
      <c r="L14860" s="12"/>
      <c r="M14860" s="13"/>
      <c r="N14860" s="2"/>
      <c r="O14860" s="20"/>
      <c r="P14860" s="42"/>
      <c r="R14860" s="23"/>
    </row>
    <row r="14861" spans="1:18" ht="12.75">
      <c r="A14861" s="12"/>
      <c r="D14861" s="12"/>
      <c r="E14861" s="12"/>
      <c r="H14861" s="11" t="str">
        <f ca="1">IFERROR(__xludf.DUMMYFUNCTION("IFERROR(SUBSTITUTE(SUBSTITUTE(REGEXEXTRACT(A14861, ""[^-]+- [^-]+- [^-]+ - (.+?)\.jpg""), "".jpg"", """"), ""-"", "", ""), """")"),"")</f>
        <v/>
      </c>
      <c r="L14861" s="12"/>
      <c r="M14861" s="13"/>
      <c r="N14861" s="2"/>
      <c r="O14861" s="20"/>
      <c r="P14861" s="42"/>
      <c r="R14861" s="23"/>
    </row>
    <row r="14862" spans="1:18" ht="12.75">
      <c r="A14862" s="12"/>
      <c r="D14862" s="12"/>
      <c r="E14862" s="12"/>
      <c r="H14862" s="11" t="str">
        <f ca="1">IFERROR(__xludf.DUMMYFUNCTION("IFERROR(SUBSTITUTE(SUBSTITUTE(REGEXEXTRACT(A14862, ""[^-]+- [^-]+- [^-]+ - (.+?)\.jpg""), "".jpg"", """"), ""-"", "", ""), """")"),"")</f>
        <v/>
      </c>
      <c r="L14862" s="12"/>
      <c r="M14862" s="13"/>
      <c r="N14862" s="2"/>
      <c r="O14862" s="20"/>
      <c r="P14862" s="42"/>
      <c r="R14862" s="23"/>
    </row>
    <row r="14863" spans="1:18" ht="12.75">
      <c r="A14863" s="12"/>
      <c r="D14863" s="12"/>
      <c r="E14863" s="12"/>
      <c r="H14863" s="11" t="str">
        <f ca="1">IFERROR(__xludf.DUMMYFUNCTION("IFERROR(SUBSTITUTE(SUBSTITUTE(REGEXEXTRACT(A14863, ""[^-]+- [^-]+- [^-]+ - (.+?)\.jpg""), "".jpg"", """"), ""-"", "", ""), """")"),"")</f>
        <v/>
      </c>
      <c r="L14863" s="12"/>
      <c r="M14863" s="13"/>
      <c r="N14863" s="2"/>
      <c r="O14863" s="20"/>
      <c r="P14863" s="42"/>
      <c r="R14863" s="23"/>
    </row>
    <row r="14864" spans="1:18" ht="12.75">
      <c r="A14864" s="12"/>
      <c r="D14864" s="12"/>
      <c r="E14864" s="12"/>
      <c r="H14864" s="11" t="str">
        <f ca="1">IFERROR(__xludf.DUMMYFUNCTION("IFERROR(SUBSTITUTE(SUBSTITUTE(REGEXEXTRACT(A14864, ""[^-]+- [^-]+- [^-]+ - (.+?)\.jpg""), "".jpg"", """"), ""-"", "", ""), """")"),"")</f>
        <v/>
      </c>
      <c r="L14864" s="12"/>
      <c r="M14864" s="13"/>
      <c r="N14864" s="2"/>
      <c r="O14864" s="20"/>
      <c r="P14864" s="42"/>
      <c r="R14864" s="23"/>
    </row>
    <row r="14865" spans="1:18" ht="12.75">
      <c r="A14865" s="12"/>
      <c r="D14865" s="12"/>
      <c r="E14865" s="12"/>
      <c r="H14865" s="11" t="str">
        <f ca="1">IFERROR(__xludf.DUMMYFUNCTION("IFERROR(SUBSTITUTE(SUBSTITUTE(REGEXEXTRACT(A14865, ""[^-]+- [^-]+- [^-]+ - (.+?)\.jpg""), "".jpg"", """"), ""-"", "", ""), """")"),"")</f>
        <v/>
      </c>
      <c r="L14865" s="12"/>
      <c r="M14865" s="13"/>
      <c r="N14865" s="2"/>
      <c r="O14865" s="20"/>
      <c r="P14865" s="42"/>
      <c r="R14865" s="23"/>
    </row>
    <row r="14866" spans="1:18" ht="12.75">
      <c r="A14866" s="12"/>
      <c r="D14866" s="12"/>
      <c r="E14866" s="12"/>
      <c r="H14866" s="11" t="str">
        <f ca="1">IFERROR(__xludf.DUMMYFUNCTION("IFERROR(SUBSTITUTE(SUBSTITUTE(REGEXEXTRACT(A14866, ""[^-]+- [^-]+- [^-]+ - (.+?)\.jpg""), "".jpg"", """"), ""-"", "", ""), """")"),"")</f>
        <v/>
      </c>
      <c r="L14866" s="12"/>
      <c r="M14866" s="13"/>
      <c r="N14866" s="2"/>
      <c r="O14866" s="20"/>
      <c r="P14866" s="42"/>
      <c r="R14866" s="23"/>
    </row>
    <row r="14867" spans="1:18" ht="12.75">
      <c r="A14867" s="12"/>
      <c r="D14867" s="12"/>
      <c r="E14867" s="12"/>
      <c r="H14867" s="11" t="str">
        <f ca="1">IFERROR(__xludf.DUMMYFUNCTION("IFERROR(SUBSTITUTE(SUBSTITUTE(REGEXEXTRACT(A14867, ""[^-]+- [^-]+- [^-]+ - (.+?)\.jpg""), "".jpg"", """"), ""-"", "", ""), """")"),"")</f>
        <v/>
      </c>
      <c r="L14867" s="12"/>
      <c r="M14867" s="13"/>
      <c r="N14867" s="2"/>
      <c r="O14867" s="20"/>
      <c r="P14867" s="42"/>
      <c r="R14867" s="23"/>
    </row>
    <row r="14868" spans="1:18" ht="12.75">
      <c r="A14868" s="12"/>
      <c r="D14868" s="12"/>
      <c r="E14868" s="12"/>
      <c r="H14868" s="11" t="str">
        <f ca="1">IFERROR(__xludf.DUMMYFUNCTION("IFERROR(SUBSTITUTE(SUBSTITUTE(REGEXEXTRACT(A14868, ""[^-]+- [^-]+- [^-]+ - (.+?)\.jpg""), "".jpg"", """"), ""-"", "", ""), """")"),"")</f>
        <v/>
      </c>
      <c r="L14868" s="12"/>
      <c r="M14868" s="13"/>
      <c r="N14868" s="2"/>
      <c r="O14868" s="20"/>
      <c r="P14868" s="42"/>
      <c r="R14868" s="23"/>
    </row>
    <row r="14869" spans="1:18" ht="12.75">
      <c r="A14869" s="12"/>
      <c r="D14869" s="12"/>
      <c r="E14869" s="12"/>
      <c r="H14869" s="11" t="str">
        <f ca="1">IFERROR(__xludf.DUMMYFUNCTION("IFERROR(SUBSTITUTE(SUBSTITUTE(REGEXEXTRACT(A14869, ""[^-]+- [^-]+- [^-]+ - (.+?)\.jpg""), "".jpg"", """"), ""-"", "", ""), """")"),"")</f>
        <v/>
      </c>
      <c r="L14869" s="12"/>
      <c r="M14869" s="13"/>
      <c r="N14869" s="2"/>
      <c r="O14869" s="20"/>
      <c r="P14869" s="42"/>
      <c r="R14869" s="23"/>
    </row>
    <row r="14870" spans="1:18" ht="12.75">
      <c r="A14870" s="12"/>
      <c r="D14870" s="12"/>
      <c r="E14870" s="12"/>
      <c r="H14870" s="11" t="str">
        <f ca="1">IFERROR(__xludf.DUMMYFUNCTION("IFERROR(SUBSTITUTE(SUBSTITUTE(REGEXEXTRACT(A14870, ""[^-]+- [^-]+- [^-]+ - (.+?)\.jpg""), "".jpg"", """"), ""-"", "", ""), """")"),"")</f>
        <v/>
      </c>
      <c r="L14870" s="12"/>
      <c r="M14870" s="13"/>
      <c r="N14870" s="2"/>
      <c r="O14870" s="20"/>
      <c r="P14870" s="42"/>
      <c r="R14870" s="23"/>
    </row>
    <row r="14871" spans="1:18" ht="12.75">
      <c r="A14871" s="12"/>
      <c r="D14871" s="12"/>
      <c r="E14871" s="12"/>
      <c r="H14871" s="11" t="str">
        <f ca="1">IFERROR(__xludf.DUMMYFUNCTION("IFERROR(SUBSTITUTE(SUBSTITUTE(REGEXEXTRACT(A14871, ""[^-]+- [^-]+- [^-]+ - (.+?)\.jpg""), "".jpg"", """"), ""-"", "", ""), """")"),"")</f>
        <v/>
      </c>
      <c r="L14871" s="12"/>
      <c r="M14871" s="13"/>
      <c r="N14871" s="2"/>
      <c r="O14871" s="20"/>
      <c r="P14871" s="42"/>
      <c r="R14871" s="23"/>
    </row>
    <row r="14872" spans="1:18" ht="12.75">
      <c r="A14872" s="12"/>
      <c r="D14872" s="12"/>
      <c r="E14872" s="12"/>
      <c r="H14872" s="11" t="str">
        <f ca="1">IFERROR(__xludf.DUMMYFUNCTION("IFERROR(SUBSTITUTE(SUBSTITUTE(REGEXEXTRACT(A14872, ""[^-]+- [^-]+- [^-]+ - (.+?)\.jpg""), "".jpg"", """"), ""-"", "", ""), """")"),"")</f>
        <v/>
      </c>
      <c r="L14872" s="12"/>
      <c r="M14872" s="13"/>
      <c r="N14872" s="2"/>
      <c r="O14872" s="20"/>
      <c r="P14872" s="42"/>
      <c r="R14872" s="23"/>
    </row>
    <row r="14873" spans="1:18" ht="12.75">
      <c r="A14873" s="12"/>
      <c r="D14873" s="12"/>
      <c r="E14873" s="12"/>
      <c r="H14873" s="11" t="str">
        <f ca="1">IFERROR(__xludf.DUMMYFUNCTION("IFERROR(SUBSTITUTE(SUBSTITUTE(REGEXEXTRACT(A14873, ""[^-]+- [^-]+- [^-]+ - (.+?)\.jpg""), "".jpg"", """"), ""-"", "", ""), """")"),"")</f>
        <v/>
      </c>
      <c r="L14873" s="12"/>
      <c r="M14873" s="13"/>
      <c r="N14873" s="2"/>
      <c r="O14873" s="20"/>
      <c r="P14873" s="42"/>
      <c r="R14873" s="23"/>
    </row>
    <row r="14874" spans="1:18" ht="12.75">
      <c r="A14874" s="12"/>
      <c r="D14874" s="12"/>
      <c r="E14874" s="12"/>
      <c r="H14874" s="11" t="str">
        <f ca="1">IFERROR(__xludf.DUMMYFUNCTION("IFERROR(SUBSTITUTE(SUBSTITUTE(REGEXEXTRACT(A14874, ""[^-]+- [^-]+- [^-]+ - (.+?)\.jpg""), "".jpg"", """"), ""-"", "", ""), """")"),"")</f>
        <v/>
      </c>
      <c r="L14874" s="12"/>
      <c r="M14874" s="13"/>
      <c r="N14874" s="2"/>
      <c r="O14874" s="20"/>
      <c r="P14874" s="42"/>
      <c r="R14874" s="23"/>
    </row>
    <row r="14875" spans="1:18" ht="12.75">
      <c r="A14875" s="12"/>
      <c r="D14875" s="12"/>
      <c r="E14875" s="12"/>
      <c r="H14875" s="11" t="str">
        <f ca="1">IFERROR(__xludf.DUMMYFUNCTION("IFERROR(SUBSTITUTE(SUBSTITUTE(REGEXEXTRACT(A14875, ""[^-]+- [^-]+- [^-]+ - (.+?)\.jpg""), "".jpg"", """"), ""-"", "", ""), """")"),"")</f>
        <v/>
      </c>
      <c r="L14875" s="12"/>
      <c r="M14875" s="13"/>
      <c r="N14875" s="2"/>
      <c r="O14875" s="20"/>
      <c r="P14875" s="42"/>
      <c r="R14875" s="23"/>
    </row>
    <row r="14876" spans="1:18" ht="12.75">
      <c r="A14876" s="12"/>
      <c r="D14876" s="12"/>
      <c r="E14876" s="12"/>
      <c r="H14876" s="11" t="str">
        <f ca="1">IFERROR(__xludf.DUMMYFUNCTION("IFERROR(SUBSTITUTE(SUBSTITUTE(REGEXEXTRACT(A14876, ""[^-]+- [^-]+- [^-]+ - (.+?)\.jpg""), "".jpg"", """"), ""-"", "", ""), """")"),"")</f>
        <v/>
      </c>
      <c r="L14876" s="12"/>
      <c r="M14876" s="13"/>
      <c r="N14876" s="2"/>
      <c r="O14876" s="20"/>
      <c r="P14876" s="42"/>
      <c r="R14876" s="23"/>
    </row>
    <row r="14877" spans="1:18" ht="12.75">
      <c r="A14877" s="12"/>
      <c r="D14877" s="12"/>
      <c r="E14877" s="12"/>
      <c r="H14877" s="11" t="str">
        <f ca="1">IFERROR(__xludf.DUMMYFUNCTION("IFERROR(SUBSTITUTE(SUBSTITUTE(REGEXEXTRACT(A14877, ""[^-]+- [^-]+- [^-]+ - (.+?)\.jpg""), "".jpg"", """"), ""-"", "", ""), """")"),"")</f>
        <v/>
      </c>
      <c r="L14877" s="12"/>
      <c r="M14877" s="13"/>
      <c r="N14877" s="2"/>
      <c r="O14877" s="20"/>
      <c r="P14877" s="42"/>
      <c r="R14877" s="23"/>
    </row>
    <row r="14878" spans="1:18" ht="12.75">
      <c r="A14878" s="12"/>
      <c r="D14878" s="12"/>
      <c r="E14878" s="12"/>
      <c r="H14878" s="11" t="str">
        <f ca="1">IFERROR(__xludf.DUMMYFUNCTION("IFERROR(SUBSTITUTE(SUBSTITUTE(REGEXEXTRACT(A14878, ""[^-]+- [^-]+- [^-]+ - (.+?)\.jpg""), "".jpg"", """"), ""-"", "", ""), """")"),"")</f>
        <v/>
      </c>
      <c r="L14878" s="12"/>
      <c r="M14878" s="13"/>
      <c r="N14878" s="2"/>
      <c r="O14878" s="20"/>
      <c r="P14878" s="42"/>
      <c r="R14878" s="23"/>
    </row>
    <row r="14879" spans="1:18" ht="12.75">
      <c r="A14879" s="12"/>
      <c r="D14879" s="12"/>
      <c r="E14879" s="12"/>
      <c r="H14879" s="11" t="str">
        <f ca="1">IFERROR(__xludf.DUMMYFUNCTION("IFERROR(SUBSTITUTE(SUBSTITUTE(REGEXEXTRACT(A14879, ""[^-]+- [^-]+- [^-]+ - (.+?)\.jpg""), "".jpg"", """"), ""-"", "", ""), """")"),"")</f>
        <v/>
      </c>
      <c r="L14879" s="12"/>
      <c r="M14879" s="13"/>
      <c r="N14879" s="2"/>
      <c r="O14879" s="20"/>
      <c r="P14879" s="42"/>
      <c r="R14879" s="23"/>
    </row>
    <row r="14880" spans="1:18" ht="12.75">
      <c r="A14880" s="12"/>
      <c r="D14880" s="12"/>
      <c r="E14880" s="12"/>
      <c r="H14880" s="11" t="str">
        <f ca="1">IFERROR(__xludf.DUMMYFUNCTION("IFERROR(SUBSTITUTE(SUBSTITUTE(REGEXEXTRACT(A14880, ""[^-]+- [^-]+- [^-]+ - (.+?)\.jpg""), "".jpg"", """"), ""-"", "", ""), """")"),"")</f>
        <v/>
      </c>
      <c r="L14880" s="12"/>
      <c r="M14880" s="13"/>
      <c r="N14880" s="2"/>
      <c r="O14880" s="20"/>
      <c r="P14880" s="42"/>
      <c r="R14880" s="23"/>
    </row>
    <row r="14881" spans="1:18" ht="12.75">
      <c r="A14881" s="12"/>
      <c r="D14881" s="12"/>
      <c r="E14881" s="12"/>
      <c r="H14881" s="11" t="str">
        <f ca="1">IFERROR(__xludf.DUMMYFUNCTION("IFERROR(SUBSTITUTE(SUBSTITUTE(REGEXEXTRACT(A14881, ""[^-]+- [^-]+- [^-]+ - (.+?)\.jpg""), "".jpg"", """"), ""-"", "", ""), """")"),"")</f>
        <v/>
      </c>
      <c r="L14881" s="12"/>
      <c r="M14881" s="13"/>
      <c r="N14881" s="2"/>
      <c r="O14881" s="20"/>
      <c r="P14881" s="42"/>
      <c r="R14881" s="23"/>
    </row>
    <row r="14882" spans="1:18" ht="12.75">
      <c r="A14882" s="12"/>
      <c r="D14882" s="12"/>
      <c r="E14882" s="12"/>
      <c r="H14882" s="11" t="str">
        <f ca="1">IFERROR(__xludf.DUMMYFUNCTION("IFERROR(SUBSTITUTE(SUBSTITUTE(REGEXEXTRACT(A14882, ""[^-]+- [^-]+- [^-]+ - (.+?)\.jpg""), "".jpg"", """"), ""-"", "", ""), """")"),"")</f>
        <v/>
      </c>
      <c r="L14882" s="12"/>
      <c r="M14882" s="13"/>
      <c r="N14882" s="2"/>
      <c r="O14882" s="20"/>
      <c r="P14882" s="42"/>
      <c r="R14882" s="23"/>
    </row>
    <row r="14883" spans="1:18" ht="12.75">
      <c r="A14883" s="12"/>
      <c r="D14883" s="12"/>
      <c r="E14883" s="12"/>
      <c r="H14883" s="11" t="str">
        <f ca="1">IFERROR(__xludf.DUMMYFUNCTION("IFERROR(SUBSTITUTE(SUBSTITUTE(REGEXEXTRACT(A14883, ""[^-]+- [^-]+- [^-]+ - (.+?)\.jpg""), "".jpg"", """"), ""-"", "", ""), """")"),"")</f>
        <v/>
      </c>
      <c r="L14883" s="12"/>
      <c r="M14883" s="13"/>
      <c r="N14883" s="2"/>
      <c r="O14883" s="20"/>
      <c r="P14883" s="42"/>
      <c r="R14883" s="23"/>
    </row>
    <row r="14884" spans="1:18" ht="12.75">
      <c r="A14884" s="12"/>
      <c r="D14884" s="12"/>
      <c r="E14884" s="12"/>
      <c r="H14884" s="11" t="str">
        <f ca="1">IFERROR(__xludf.DUMMYFUNCTION("IFERROR(SUBSTITUTE(SUBSTITUTE(REGEXEXTRACT(A14884, ""[^-]+- [^-]+- [^-]+ - (.+?)\.jpg""), "".jpg"", """"), ""-"", "", ""), """")"),"")</f>
        <v/>
      </c>
      <c r="L14884" s="12"/>
      <c r="M14884" s="13"/>
      <c r="N14884" s="2"/>
      <c r="O14884" s="20"/>
      <c r="P14884" s="42"/>
      <c r="R14884" s="23"/>
    </row>
    <row r="14885" spans="1:18" ht="12.75">
      <c r="A14885" s="12"/>
      <c r="D14885" s="12"/>
      <c r="E14885" s="12"/>
      <c r="H14885" s="11" t="str">
        <f ca="1">IFERROR(__xludf.DUMMYFUNCTION("IFERROR(SUBSTITUTE(SUBSTITUTE(REGEXEXTRACT(A14885, ""[^-]+- [^-]+- [^-]+ - (.+?)\.jpg""), "".jpg"", """"), ""-"", "", ""), """")"),"")</f>
        <v/>
      </c>
      <c r="L14885" s="12"/>
      <c r="M14885" s="13"/>
      <c r="N14885" s="2"/>
      <c r="O14885" s="20"/>
      <c r="P14885" s="42"/>
      <c r="R14885" s="23"/>
    </row>
    <row r="14886" spans="1:18" ht="12.75">
      <c r="A14886" s="12"/>
      <c r="D14886" s="12"/>
      <c r="E14886" s="12"/>
      <c r="H14886" s="11" t="str">
        <f ca="1">IFERROR(__xludf.DUMMYFUNCTION("IFERROR(SUBSTITUTE(SUBSTITUTE(REGEXEXTRACT(A14886, ""[^-]+- [^-]+- [^-]+ - (.+?)\.jpg""), "".jpg"", """"), ""-"", "", ""), """")"),"")</f>
        <v/>
      </c>
      <c r="L14886" s="12"/>
      <c r="M14886" s="13"/>
      <c r="N14886" s="2"/>
      <c r="O14886" s="20"/>
      <c r="P14886" s="42"/>
      <c r="R14886" s="23"/>
    </row>
    <row r="14887" spans="1:18" ht="12.75">
      <c r="A14887" s="12"/>
      <c r="D14887" s="12"/>
      <c r="E14887" s="12"/>
      <c r="H14887" s="11" t="str">
        <f ca="1">IFERROR(__xludf.DUMMYFUNCTION("IFERROR(SUBSTITUTE(SUBSTITUTE(REGEXEXTRACT(A14887, ""[^-]+- [^-]+- [^-]+ - (.+?)\.jpg""), "".jpg"", """"), ""-"", "", ""), """")"),"")</f>
        <v/>
      </c>
      <c r="L14887" s="12"/>
      <c r="M14887" s="13"/>
      <c r="N14887" s="2"/>
      <c r="O14887" s="20"/>
      <c r="P14887" s="42"/>
      <c r="R14887" s="23"/>
    </row>
    <row r="14888" spans="1:18" ht="12.75">
      <c r="A14888" s="12"/>
      <c r="D14888" s="12"/>
      <c r="E14888" s="12"/>
      <c r="H14888" s="11" t="str">
        <f ca="1">IFERROR(__xludf.DUMMYFUNCTION("IFERROR(SUBSTITUTE(SUBSTITUTE(REGEXEXTRACT(A14888, ""[^-]+- [^-]+- [^-]+ - (.+?)\.jpg""), "".jpg"", """"), ""-"", "", ""), """")"),"")</f>
        <v/>
      </c>
      <c r="L14888" s="12"/>
      <c r="M14888" s="13"/>
      <c r="N14888" s="2"/>
      <c r="O14888" s="20"/>
      <c r="P14888" s="42"/>
      <c r="R14888" s="23"/>
    </row>
    <row r="14889" spans="1:18" ht="12.75">
      <c r="A14889" s="12"/>
      <c r="D14889" s="12"/>
      <c r="E14889" s="12"/>
      <c r="H14889" s="11" t="str">
        <f ca="1">IFERROR(__xludf.DUMMYFUNCTION("IFERROR(SUBSTITUTE(SUBSTITUTE(REGEXEXTRACT(A14889, ""[^-]+- [^-]+- [^-]+ - (.+?)\.jpg""), "".jpg"", """"), ""-"", "", ""), """")"),"")</f>
        <v/>
      </c>
      <c r="L14889" s="12"/>
      <c r="M14889" s="13"/>
      <c r="N14889" s="2"/>
      <c r="O14889" s="20"/>
      <c r="P14889" s="42"/>
      <c r="R14889" s="23"/>
    </row>
    <row r="14890" spans="1:18" ht="12.75">
      <c r="A14890" s="12"/>
      <c r="D14890" s="12"/>
      <c r="E14890" s="12"/>
      <c r="H14890" s="11" t="str">
        <f ca="1">IFERROR(__xludf.DUMMYFUNCTION("IFERROR(SUBSTITUTE(SUBSTITUTE(REGEXEXTRACT(A14890, ""[^-]+- [^-]+- [^-]+ - (.+?)\.jpg""), "".jpg"", """"), ""-"", "", ""), """")"),"")</f>
        <v/>
      </c>
      <c r="L14890" s="12"/>
      <c r="M14890" s="13"/>
      <c r="N14890" s="2"/>
      <c r="O14890" s="20"/>
      <c r="P14890" s="42"/>
      <c r="R14890" s="23"/>
    </row>
    <row r="14891" spans="1:18" ht="12.75">
      <c r="A14891" s="12"/>
      <c r="D14891" s="12"/>
      <c r="E14891" s="12"/>
      <c r="H14891" s="11" t="str">
        <f ca="1">IFERROR(__xludf.DUMMYFUNCTION("IFERROR(SUBSTITUTE(SUBSTITUTE(REGEXEXTRACT(A14891, ""[^-]+- [^-]+- [^-]+ - (.+?)\.jpg""), "".jpg"", """"), ""-"", "", ""), """")"),"")</f>
        <v/>
      </c>
      <c r="L14891" s="12"/>
      <c r="M14891" s="13"/>
      <c r="N14891" s="2"/>
      <c r="O14891" s="20"/>
      <c r="P14891" s="42"/>
      <c r="R14891" s="23"/>
    </row>
    <row r="14892" spans="1:18" ht="12.75">
      <c r="A14892" s="12"/>
      <c r="D14892" s="12"/>
      <c r="E14892" s="12"/>
      <c r="H14892" s="11" t="str">
        <f ca="1">IFERROR(__xludf.DUMMYFUNCTION("IFERROR(SUBSTITUTE(SUBSTITUTE(REGEXEXTRACT(A14892, ""[^-]+- [^-]+- [^-]+ - (.+?)\.jpg""), "".jpg"", """"), ""-"", "", ""), """")"),"")</f>
        <v/>
      </c>
      <c r="L14892" s="12"/>
      <c r="M14892" s="13"/>
      <c r="N14892" s="2"/>
      <c r="O14892" s="20"/>
      <c r="P14892" s="42"/>
      <c r="R14892" s="23"/>
    </row>
    <row r="14893" spans="1:18" ht="12.75">
      <c r="A14893" s="12"/>
      <c r="D14893" s="12"/>
      <c r="E14893" s="12"/>
      <c r="H14893" s="11" t="str">
        <f ca="1">IFERROR(__xludf.DUMMYFUNCTION("IFERROR(SUBSTITUTE(SUBSTITUTE(REGEXEXTRACT(A14893, ""[^-]+- [^-]+- [^-]+ - (.+?)\.jpg""), "".jpg"", """"), ""-"", "", ""), """")"),"")</f>
        <v/>
      </c>
      <c r="L14893" s="12"/>
      <c r="M14893" s="13"/>
      <c r="N14893" s="2"/>
      <c r="O14893" s="20"/>
      <c r="P14893" s="42"/>
      <c r="R14893" s="23"/>
    </row>
    <row r="14894" spans="1:18" ht="12.75">
      <c r="A14894" s="12"/>
      <c r="D14894" s="12"/>
      <c r="E14894" s="12"/>
      <c r="H14894" s="11" t="str">
        <f ca="1">IFERROR(__xludf.DUMMYFUNCTION("IFERROR(SUBSTITUTE(SUBSTITUTE(REGEXEXTRACT(A14894, ""[^-]+- [^-]+- [^-]+ - (.+?)\.jpg""), "".jpg"", """"), ""-"", "", ""), """")"),"")</f>
        <v/>
      </c>
      <c r="L14894" s="12"/>
      <c r="M14894" s="13"/>
      <c r="N14894" s="2"/>
      <c r="O14894" s="20"/>
      <c r="P14894" s="42"/>
      <c r="R14894" s="23"/>
    </row>
    <row r="14895" spans="1:18" ht="12.75">
      <c r="A14895" s="12"/>
      <c r="D14895" s="12"/>
      <c r="E14895" s="12"/>
      <c r="H14895" s="11" t="str">
        <f ca="1">IFERROR(__xludf.DUMMYFUNCTION("IFERROR(SUBSTITUTE(SUBSTITUTE(REGEXEXTRACT(A14895, ""[^-]+- [^-]+- [^-]+ - (.+?)\.jpg""), "".jpg"", """"), ""-"", "", ""), """")"),"")</f>
        <v/>
      </c>
      <c r="L14895" s="12"/>
      <c r="M14895" s="13"/>
      <c r="N14895" s="2"/>
      <c r="O14895" s="20"/>
      <c r="P14895" s="42"/>
      <c r="R14895" s="23"/>
    </row>
    <row r="14896" spans="1:18" ht="12.75">
      <c r="A14896" s="12"/>
      <c r="D14896" s="12"/>
      <c r="E14896" s="12"/>
      <c r="H14896" s="11" t="str">
        <f ca="1">IFERROR(__xludf.DUMMYFUNCTION("IFERROR(SUBSTITUTE(SUBSTITUTE(REGEXEXTRACT(A14896, ""[^-]+- [^-]+- [^-]+ - (.+?)\.jpg""), "".jpg"", """"), ""-"", "", ""), """")"),"")</f>
        <v/>
      </c>
      <c r="L14896" s="12"/>
      <c r="M14896" s="13"/>
      <c r="N14896" s="2"/>
      <c r="O14896" s="20"/>
      <c r="P14896" s="42"/>
      <c r="R14896" s="23"/>
    </row>
    <row r="14897" spans="1:18" ht="12.75">
      <c r="A14897" s="12"/>
      <c r="D14897" s="12"/>
      <c r="E14897" s="12"/>
      <c r="H14897" s="11" t="str">
        <f ca="1">IFERROR(__xludf.DUMMYFUNCTION("IFERROR(SUBSTITUTE(SUBSTITUTE(REGEXEXTRACT(A14897, ""[^-]+- [^-]+- [^-]+ - (.+?)\.jpg""), "".jpg"", """"), ""-"", "", ""), """")"),"")</f>
        <v/>
      </c>
      <c r="L14897" s="12"/>
      <c r="M14897" s="13"/>
      <c r="N14897" s="2"/>
      <c r="O14897" s="20"/>
      <c r="P14897" s="42"/>
      <c r="R14897" s="23"/>
    </row>
    <row r="14898" spans="1:18" ht="12.75">
      <c r="A14898" s="12"/>
      <c r="D14898" s="12"/>
      <c r="E14898" s="12"/>
      <c r="H14898" s="11" t="str">
        <f ca="1">IFERROR(__xludf.DUMMYFUNCTION("IFERROR(SUBSTITUTE(SUBSTITUTE(REGEXEXTRACT(A14898, ""[^-]+- [^-]+- [^-]+ - (.+?)\.jpg""), "".jpg"", """"), ""-"", "", ""), """")"),"")</f>
        <v/>
      </c>
      <c r="L14898" s="12"/>
      <c r="M14898" s="13"/>
      <c r="N14898" s="2"/>
      <c r="O14898" s="20"/>
      <c r="P14898" s="42"/>
      <c r="R14898" s="23"/>
    </row>
    <row r="14899" spans="1:18" ht="12.75">
      <c r="A14899" s="12"/>
      <c r="D14899" s="12"/>
      <c r="E14899" s="12"/>
      <c r="H14899" s="11" t="str">
        <f ca="1">IFERROR(__xludf.DUMMYFUNCTION("IFERROR(SUBSTITUTE(SUBSTITUTE(REGEXEXTRACT(A14899, ""[^-]+- [^-]+- [^-]+ - (.+?)\.jpg""), "".jpg"", """"), ""-"", "", ""), """")"),"")</f>
        <v/>
      </c>
      <c r="L14899" s="12"/>
      <c r="M14899" s="13"/>
      <c r="N14899" s="2"/>
      <c r="O14899" s="20"/>
      <c r="P14899" s="42"/>
      <c r="R14899" s="23"/>
    </row>
    <row r="14900" spans="1:18" ht="12.75">
      <c r="A14900" s="12"/>
      <c r="D14900" s="12"/>
      <c r="E14900" s="12"/>
      <c r="H14900" s="11" t="str">
        <f ca="1">IFERROR(__xludf.DUMMYFUNCTION("IFERROR(SUBSTITUTE(SUBSTITUTE(REGEXEXTRACT(A14900, ""[^-]+- [^-]+- [^-]+ - (.+?)\.jpg""), "".jpg"", """"), ""-"", "", ""), """")"),"")</f>
        <v/>
      </c>
      <c r="L14900" s="12"/>
      <c r="M14900" s="13"/>
      <c r="N14900" s="2"/>
      <c r="O14900" s="20"/>
      <c r="P14900" s="42"/>
      <c r="R14900" s="23"/>
    </row>
    <row r="14901" spans="1:18" ht="12.75">
      <c r="A14901" s="12"/>
      <c r="D14901" s="12"/>
      <c r="E14901" s="12"/>
      <c r="H14901" s="11" t="str">
        <f ca="1">IFERROR(__xludf.DUMMYFUNCTION("IFERROR(SUBSTITUTE(SUBSTITUTE(REGEXEXTRACT(A14901, ""[^-]+- [^-]+- [^-]+ - (.+?)\.jpg""), "".jpg"", """"), ""-"", "", ""), """")"),"")</f>
        <v/>
      </c>
      <c r="L14901" s="12"/>
      <c r="M14901" s="13"/>
      <c r="N14901" s="2"/>
      <c r="O14901" s="20"/>
      <c r="P14901" s="42"/>
      <c r="R14901" s="23"/>
    </row>
    <row r="14902" spans="1:18" ht="12.75">
      <c r="A14902" s="12"/>
      <c r="D14902" s="12"/>
      <c r="E14902" s="12"/>
      <c r="H14902" s="11" t="str">
        <f ca="1">IFERROR(__xludf.DUMMYFUNCTION("IFERROR(SUBSTITUTE(SUBSTITUTE(REGEXEXTRACT(A14902, ""[^-]+- [^-]+- [^-]+ - (.+?)\.jpg""), "".jpg"", """"), ""-"", "", ""), """")"),"")</f>
        <v/>
      </c>
      <c r="L14902" s="12"/>
      <c r="M14902" s="13"/>
      <c r="N14902" s="2"/>
      <c r="O14902" s="20"/>
      <c r="P14902" s="42"/>
      <c r="R14902" s="23"/>
    </row>
    <row r="14903" spans="1:18" ht="12.75">
      <c r="A14903" s="12"/>
      <c r="D14903" s="12"/>
      <c r="E14903" s="12"/>
      <c r="H14903" s="11" t="str">
        <f ca="1">IFERROR(__xludf.DUMMYFUNCTION("IFERROR(SUBSTITUTE(SUBSTITUTE(REGEXEXTRACT(A14903, ""[^-]+- [^-]+- [^-]+ - (.+?)\.jpg""), "".jpg"", """"), ""-"", "", ""), """")"),"")</f>
        <v/>
      </c>
      <c r="L14903" s="12"/>
      <c r="M14903" s="13"/>
      <c r="N14903" s="2"/>
      <c r="O14903" s="20"/>
      <c r="P14903" s="42"/>
      <c r="R14903" s="23"/>
    </row>
    <row r="14904" spans="1:18" ht="12.75">
      <c r="A14904" s="12"/>
      <c r="D14904" s="12"/>
      <c r="E14904" s="12"/>
      <c r="H14904" s="11" t="str">
        <f ca="1">IFERROR(__xludf.DUMMYFUNCTION("IFERROR(SUBSTITUTE(SUBSTITUTE(REGEXEXTRACT(A14904, ""[^-]+- [^-]+- [^-]+ - (.+?)\.jpg""), "".jpg"", """"), ""-"", "", ""), """")"),"")</f>
        <v/>
      </c>
      <c r="L14904" s="12"/>
      <c r="M14904" s="13"/>
      <c r="N14904" s="2"/>
      <c r="O14904" s="20"/>
      <c r="P14904" s="42"/>
      <c r="R14904" s="23"/>
    </row>
    <row r="14905" spans="1:18" ht="12.75">
      <c r="A14905" s="12"/>
      <c r="D14905" s="12"/>
      <c r="E14905" s="12"/>
      <c r="H14905" s="11" t="str">
        <f ca="1">IFERROR(__xludf.DUMMYFUNCTION("IFERROR(SUBSTITUTE(SUBSTITUTE(REGEXEXTRACT(A14905, ""[^-]+- [^-]+- [^-]+ - (.+?)\.jpg""), "".jpg"", """"), ""-"", "", ""), """")"),"")</f>
        <v/>
      </c>
      <c r="L14905" s="12"/>
      <c r="M14905" s="13"/>
      <c r="N14905" s="2"/>
      <c r="O14905" s="20"/>
      <c r="P14905" s="42"/>
      <c r="R14905" s="23"/>
    </row>
    <row r="14906" spans="1:18" ht="12.75">
      <c r="A14906" s="12"/>
      <c r="D14906" s="12"/>
      <c r="E14906" s="12"/>
      <c r="H14906" s="11" t="str">
        <f ca="1">IFERROR(__xludf.DUMMYFUNCTION("IFERROR(SUBSTITUTE(SUBSTITUTE(REGEXEXTRACT(A14906, ""[^-]+- [^-]+- [^-]+ - (.+?)\.jpg""), "".jpg"", """"), ""-"", "", ""), """")"),"")</f>
        <v/>
      </c>
      <c r="L14906" s="12"/>
      <c r="M14906" s="13"/>
      <c r="N14906" s="2"/>
      <c r="O14906" s="20"/>
      <c r="P14906" s="42"/>
      <c r="R14906" s="23"/>
    </row>
    <row r="14907" spans="1:18" ht="12.75">
      <c r="A14907" s="12"/>
      <c r="D14907" s="12"/>
      <c r="E14907" s="12"/>
      <c r="H14907" s="11" t="str">
        <f ca="1">IFERROR(__xludf.DUMMYFUNCTION("IFERROR(SUBSTITUTE(SUBSTITUTE(REGEXEXTRACT(A14907, ""[^-]+- [^-]+- [^-]+ - (.+?)\.jpg""), "".jpg"", """"), ""-"", "", ""), """")"),"")</f>
        <v/>
      </c>
      <c r="L14907" s="12"/>
      <c r="M14907" s="13"/>
      <c r="N14907" s="2"/>
      <c r="O14907" s="20"/>
      <c r="P14907" s="42"/>
      <c r="R14907" s="23"/>
    </row>
    <row r="14908" spans="1:18" ht="12.75">
      <c r="A14908" s="12"/>
      <c r="D14908" s="12"/>
      <c r="E14908" s="12"/>
      <c r="H14908" s="11" t="str">
        <f ca="1">IFERROR(__xludf.DUMMYFUNCTION("IFERROR(SUBSTITUTE(SUBSTITUTE(REGEXEXTRACT(A14908, ""[^-]+- [^-]+- [^-]+ - (.+?)\.jpg""), "".jpg"", """"), ""-"", "", ""), """")"),"")</f>
        <v/>
      </c>
      <c r="L14908" s="12"/>
      <c r="M14908" s="13"/>
      <c r="N14908" s="2"/>
      <c r="O14908" s="20"/>
      <c r="P14908" s="42"/>
      <c r="R14908" s="23"/>
    </row>
    <row r="14909" spans="1:18" ht="12.75">
      <c r="A14909" s="12"/>
      <c r="D14909" s="12"/>
      <c r="E14909" s="12"/>
      <c r="H14909" s="11" t="str">
        <f ca="1">IFERROR(__xludf.DUMMYFUNCTION("IFERROR(SUBSTITUTE(SUBSTITUTE(REGEXEXTRACT(A14909, ""[^-]+- [^-]+- [^-]+ - (.+?)\.jpg""), "".jpg"", """"), ""-"", "", ""), """")"),"")</f>
        <v/>
      </c>
      <c r="L14909" s="12"/>
      <c r="M14909" s="13"/>
      <c r="N14909" s="2"/>
      <c r="O14909" s="20"/>
      <c r="P14909" s="42"/>
      <c r="R14909" s="23"/>
    </row>
    <row r="14910" spans="1:18" ht="12.75">
      <c r="A14910" s="12"/>
      <c r="D14910" s="12"/>
      <c r="E14910" s="12"/>
      <c r="H14910" s="11" t="str">
        <f ca="1">IFERROR(__xludf.DUMMYFUNCTION("IFERROR(SUBSTITUTE(SUBSTITUTE(REGEXEXTRACT(A14910, ""[^-]+- [^-]+- [^-]+ - (.+?)\.jpg""), "".jpg"", """"), ""-"", "", ""), """")"),"")</f>
        <v/>
      </c>
      <c r="L14910" s="12"/>
      <c r="M14910" s="13"/>
      <c r="N14910" s="2"/>
      <c r="O14910" s="20"/>
      <c r="P14910" s="42"/>
      <c r="R14910" s="23"/>
    </row>
    <row r="14911" spans="1:18" ht="12.75">
      <c r="A14911" s="12"/>
      <c r="D14911" s="12"/>
      <c r="E14911" s="12"/>
      <c r="H14911" s="11" t="str">
        <f ca="1">IFERROR(__xludf.DUMMYFUNCTION("IFERROR(SUBSTITUTE(SUBSTITUTE(REGEXEXTRACT(A14911, ""[^-]+- [^-]+- [^-]+ - (.+?)\.jpg""), "".jpg"", """"), ""-"", "", ""), """")"),"")</f>
        <v/>
      </c>
      <c r="L14911" s="12"/>
      <c r="M14911" s="13"/>
      <c r="N14911" s="2"/>
      <c r="O14911" s="20"/>
      <c r="P14911" s="42"/>
      <c r="R14911" s="23"/>
    </row>
    <row r="14912" spans="1:18" ht="12.75">
      <c r="A14912" s="12"/>
      <c r="D14912" s="12"/>
      <c r="E14912" s="12"/>
      <c r="H14912" s="11" t="str">
        <f ca="1">IFERROR(__xludf.DUMMYFUNCTION("IFERROR(SUBSTITUTE(SUBSTITUTE(REGEXEXTRACT(A14912, ""[^-]+- [^-]+- [^-]+ - (.+?)\.jpg""), "".jpg"", """"), ""-"", "", ""), """")"),"")</f>
        <v/>
      </c>
      <c r="L14912" s="12"/>
      <c r="M14912" s="13"/>
      <c r="N14912" s="2"/>
      <c r="O14912" s="20"/>
      <c r="P14912" s="42"/>
      <c r="R14912" s="23"/>
    </row>
    <row r="14913" spans="1:18" ht="12.75">
      <c r="A14913" s="12"/>
      <c r="D14913" s="12"/>
      <c r="E14913" s="12"/>
      <c r="H14913" s="11" t="str">
        <f ca="1">IFERROR(__xludf.DUMMYFUNCTION("IFERROR(SUBSTITUTE(SUBSTITUTE(REGEXEXTRACT(A14913, ""[^-]+- [^-]+- [^-]+ - (.+?)\.jpg""), "".jpg"", """"), ""-"", "", ""), """")"),"")</f>
        <v/>
      </c>
      <c r="L14913" s="12"/>
      <c r="M14913" s="13"/>
      <c r="N14913" s="2"/>
      <c r="O14913" s="20"/>
      <c r="P14913" s="42"/>
      <c r="R14913" s="23"/>
    </row>
    <row r="14914" spans="1:18" ht="12.75">
      <c r="A14914" s="12"/>
      <c r="D14914" s="12"/>
      <c r="E14914" s="12"/>
      <c r="H14914" s="11" t="str">
        <f ca="1">IFERROR(__xludf.DUMMYFUNCTION("IFERROR(SUBSTITUTE(SUBSTITUTE(REGEXEXTRACT(A14914, ""[^-]+- [^-]+- [^-]+ - (.+?)\.jpg""), "".jpg"", """"), ""-"", "", ""), """")"),"")</f>
        <v/>
      </c>
      <c r="L14914" s="12"/>
      <c r="M14914" s="13"/>
      <c r="N14914" s="2"/>
      <c r="O14914" s="20"/>
      <c r="P14914" s="42"/>
      <c r="R14914" s="23"/>
    </row>
    <row r="14915" spans="1:18" ht="12.75">
      <c r="A14915" s="12"/>
      <c r="D14915" s="12"/>
      <c r="E14915" s="12"/>
      <c r="H14915" s="11" t="str">
        <f ca="1">IFERROR(__xludf.DUMMYFUNCTION("IFERROR(SUBSTITUTE(SUBSTITUTE(REGEXEXTRACT(A14915, ""[^-]+- [^-]+- [^-]+ - (.+?)\.jpg""), "".jpg"", """"), ""-"", "", ""), """")"),"")</f>
        <v/>
      </c>
      <c r="L14915" s="12"/>
      <c r="M14915" s="13"/>
      <c r="N14915" s="2"/>
      <c r="O14915" s="20"/>
      <c r="P14915" s="42"/>
      <c r="R14915" s="23"/>
    </row>
    <row r="14916" spans="1:18" ht="12.75">
      <c r="A14916" s="12"/>
      <c r="D14916" s="12"/>
      <c r="E14916" s="12"/>
      <c r="H14916" s="11" t="str">
        <f ca="1">IFERROR(__xludf.DUMMYFUNCTION("IFERROR(SUBSTITUTE(SUBSTITUTE(REGEXEXTRACT(A14916, ""[^-]+- [^-]+- [^-]+ - (.+?)\.jpg""), "".jpg"", """"), ""-"", "", ""), """")"),"")</f>
        <v/>
      </c>
      <c r="L14916" s="12"/>
      <c r="M14916" s="13"/>
      <c r="N14916" s="2"/>
      <c r="O14916" s="20"/>
      <c r="P14916" s="42"/>
      <c r="R14916" s="23"/>
    </row>
    <row r="14917" spans="1:18" ht="12.75">
      <c r="A14917" s="12"/>
      <c r="D14917" s="12"/>
      <c r="E14917" s="12"/>
      <c r="H14917" s="11" t="str">
        <f ca="1">IFERROR(__xludf.DUMMYFUNCTION("IFERROR(SUBSTITUTE(SUBSTITUTE(REGEXEXTRACT(A14917, ""[^-]+- [^-]+- [^-]+ - (.+?)\.jpg""), "".jpg"", """"), ""-"", "", ""), """")"),"")</f>
        <v/>
      </c>
      <c r="L14917" s="12"/>
      <c r="M14917" s="13"/>
      <c r="N14917" s="2"/>
      <c r="O14917" s="20"/>
      <c r="P14917" s="42"/>
      <c r="R14917" s="23"/>
    </row>
    <row r="14918" spans="1:18" ht="12.75">
      <c r="A14918" s="12"/>
      <c r="D14918" s="12"/>
      <c r="E14918" s="12"/>
      <c r="H14918" s="11" t="str">
        <f ca="1">IFERROR(__xludf.DUMMYFUNCTION("IFERROR(SUBSTITUTE(SUBSTITUTE(REGEXEXTRACT(A14918, ""[^-]+- [^-]+- [^-]+ - (.+?)\.jpg""), "".jpg"", """"), ""-"", "", ""), """")"),"")</f>
        <v/>
      </c>
      <c r="L14918" s="12"/>
      <c r="M14918" s="13"/>
      <c r="N14918" s="2"/>
      <c r="O14918" s="20"/>
      <c r="P14918" s="42"/>
      <c r="R14918" s="23"/>
    </row>
    <row r="14919" spans="1:18" ht="12.75">
      <c r="A14919" s="12"/>
      <c r="D14919" s="12"/>
      <c r="E14919" s="12"/>
      <c r="H14919" s="11" t="str">
        <f ca="1">IFERROR(__xludf.DUMMYFUNCTION("IFERROR(SUBSTITUTE(SUBSTITUTE(REGEXEXTRACT(A14919, ""[^-]+- [^-]+- [^-]+ - (.+?)\.jpg""), "".jpg"", """"), ""-"", "", ""), """")"),"")</f>
        <v/>
      </c>
      <c r="L14919" s="12"/>
      <c r="M14919" s="13"/>
      <c r="N14919" s="2"/>
      <c r="O14919" s="20"/>
      <c r="P14919" s="42"/>
      <c r="R14919" s="23"/>
    </row>
    <row r="14920" spans="1:18" ht="12.75">
      <c r="A14920" s="12"/>
      <c r="D14920" s="12"/>
      <c r="E14920" s="12"/>
      <c r="H14920" s="11" t="str">
        <f ca="1">IFERROR(__xludf.DUMMYFUNCTION("IFERROR(SUBSTITUTE(SUBSTITUTE(REGEXEXTRACT(A14920, ""[^-]+- [^-]+- [^-]+ - (.+?)\.jpg""), "".jpg"", """"), ""-"", "", ""), """")"),"")</f>
        <v/>
      </c>
      <c r="L14920" s="12"/>
      <c r="M14920" s="13"/>
      <c r="N14920" s="2"/>
      <c r="O14920" s="20"/>
      <c r="P14920" s="42"/>
      <c r="R14920" s="23"/>
    </row>
    <row r="14921" spans="1:18" ht="12.75">
      <c r="A14921" s="12"/>
      <c r="D14921" s="12"/>
      <c r="E14921" s="12"/>
      <c r="H14921" s="11" t="str">
        <f ca="1">IFERROR(__xludf.DUMMYFUNCTION("IFERROR(SUBSTITUTE(SUBSTITUTE(REGEXEXTRACT(A14921, ""[^-]+- [^-]+- [^-]+ - (.+?)\.jpg""), "".jpg"", """"), ""-"", "", ""), """")"),"")</f>
        <v/>
      </c>
      <c r="L14921" s="12"/>
      <c r="M14921" s="13"/>
      <c r="N14921" s="2"/>
      <c r="O14921" s="20"/>
      <c r="P14921" s="42"/>
      <c r="R14921" s="23"/>
    </row>
    <row r="14922" spans="1:18" ht="12.75">
      <c r="A14922" s="12"/>
      <c r="D14922" s="12"/>
      <c r="E14922" s="12"/>
      <c r="H14922" s="11" t="str">
        <f ca="1">IFERROR(__xludf.DUMMYFUNCTION("IFERROR(SUBSTITUTE(SUBSTITUTE(REGEXEXTRACT(A14922, ""[^-]+- [^-]+- [^-]+ - (.+?)\.jpg""), "".jpg"", """"), ""-"", "", ""), """")"),"")</f>
        <v/>
      </c>
      <c r="L14922" s="12"/>
      <c r="M14922" s="13"/>
      <c r="N14922" s="2"/>
      <c r="O14922" s="20"/>
      <c r="P14922" s="42"/>
      <c r="R14922" s="23"/>
    </row>
    <row r="14923" spans="1:18" ht="12.75">
      <c r="A14923" s="12"/>
      <c r="D14923" s="12"/>
      <c r="E14923" s="12"/>
      <c r="H14923" s="11" t="str">
        <f ca="1">IFERROR(__xludf.DUMMYFUNCTION("IFERROR(SUBSTITUTE(SUBSTITUTE(REGEXEXTRACT(A14923, ""[^-]+- [^-]+- [^-]+ - (.+?)\.jpg""), "".jpg"", """"), ""-"", "", ""), """")"),"")</f>
        <v/>
      </c>
      <c r="L14923" s="12"/>
      <c r="M14923" s="13"/>
      <c r="N14923" s="2"/>
      <c r="O14923" s="20"/>
      <c r="P14923" s="42"/>
      <c r="R14923" s="23"/>
    </row>
    <row r="14924" spans="1:18" ht="12.75">
      <c r="A14924" s="12"/>
      <c r="D14924" s="12"/>
      <c r="E14924" s="12"/>
      <c r="H14924" s="11" t="str">
        <f ca="1">IFERROR(__xludf.DUMMYFUNCTION("IFERROR(SUBSTITUTE(SUBSTITUTE(REGEXEXTRACT(A14924, ""[^-]+- [^-]+- [^-]+ - (.+?)\.jpg""), "".jpg"", """"), ""-"", "", ""), """")"),"")</f>
        <v/>
      </c>
      <c r="L14924" s="12"/>
      <c r="M14924" s="13"/>
      <c r="N14924" s="2"/>
      <c r="O14924" s="20"/>
      <c r="P14924" s="42"/>
      <c r="R14924" s="23"/>
    </row>
    <row r="14925" spans="1:18" ht="12.75">
      <c r="A14925" s="12"/>
      <c r="D14925" s="12"/>
      <c r="E14925" s="12"/>
      <c r="H14925" s="11" t="str">
        <f ca="1">IFERROR(__xludf.DUMMYFUNCTION("IFERROR(SUBSTITUTE(SUBSTITUTE(REGEXEXTRACT(A14925, ""[^-]+- [^-]+- [^-]+ - (.+?)\.jpg""), "".jpg"", """"), ""-"", "", ""), """")"),"")</f>
        <v/>
      </c>
      <c r="L14925" s="12"/>
      <c r="M14925" s="13"/>
      <c r="N14925" s="2"/>
      <c r="O14925" s="20"/>
      <c r="P14925" s="42"/>
      <c r="R14925" s="23"/>
    </row>
    <row r="14926" spans="1:18" ht="12.75">
      <c r="A14926" s="12"/>
      <c r="D14926" s="12"/>
      <c r="E14926" s="12"/>
      <c r="H14926" s="11" t="str">
        <f ca="1">IFERROR(__xludf.DUMMYFUNCTION("IFERROR(SUBSTITUTE(SUBSTITUTE(REGEXEXTRACT(A14926, ""[^-]+- [^-]+- [^-]+ - (.+?)\.jpg""), "".jpg"", """"), ""-"", "", ""), """")"),"")</f>
        <v/>
      </c>
      <c r="L14926" s="12"/>
      <c r="M14926" s="13"/>
      <c r="N14926" s="2"/>
      <c r="O14926" s="20"/>
      <c r="P14926" s="42"/>
      <c r="R14926" s="23"/>
    </row>
    <row r="14927" spans="1:18" ht="12.75">
      <c r="A14927" s="12"/>
      <c r="D14927" s="12"/>
      <c r="E14927" s="12"/>
      <c r="H14927" s="11" t="str">
        <f ca="1">IFERROR(__xludf.DUMMYFUNCTION("IFERROR(SUBSTITUTE(SUBSTITUTE(REGEXEXTRACT(A14927, ""[^-]+- [^-]+- [^-]+ - (.+?)\.jpg""), "".jpg"", """"), ""-"", "", ""), """")"),"")</f>
        <v/>
      </c>
      <c r="L14927" s="12"/>
      <c r="M14927" s="13"/>
      <c r="N14927" s="2"/>
      <c r="O14927" s="20"/>
      <c r="P14927" s="42"/>
      <c r="R14927" s="23"/>
    </row>
    <row r="14928" spans="1:18" ht="12.75">
      <c r="A14928" s="12"/>
      <c r="D14928" s="12"/>
      <c r="E14928" s="12"/>
      <c r="H14928" s="11" t="str">
        <f ca="1">IFERROR(__xludf.DUMMYFUNCTION("IFERROR(SUBSTITUTE(SUBSTITUTE(REGEXEXTRACT(A14928, ""[^-]+- [^-]+- [^-]+ - (.+?)\.jpg""), "".jpg"", """"), ""-"", "", ""), """")"),"")</f>
        <v/>
      </c>
      <c r="L14928" s="12"/>
      <c r="M14928" s="13"/>
      <c r="N14928" s="2"/>
      <c r="O14928" s="20"/>
      <c r="P14928" s="42"/>
      <c r="R14928" s="23"/>
    </row>
    <row r="14929" spans="1:18" ht="12.75">
      <c r="A14929" s="12"/>
      <c r="D14929" s="12"/>
      <c r="E14929" s="12"/>
      <c r="H14929" s="11" t="str">
        <f ca="1">IFERROR(__xludf.DUMMYFUNCTION("IFERROR(SUBSTITUTE(SUBSTITUTE(REGEXEXTRACT(A14929, ""[^-]+- [^-]+- [^-]+ - (.+?)\.jpg""), "".jpg"", """"), ""-"", "", ""), """")"),"")</f>
        <v/>
      </c>
      <c r="L14929" s="12"/>
      <c r="M14929" s="13"/>
      <c r="N14929" s="2"/>
      <c r="O14929" s="20"/>
      <c r="P14929" s="42"/>
      <c r="R14929" s="23"/>
    </row>
    <row r="14930" spans="1:18" ht="12.75">
      <c r="A14930" s="12"/>
      <c r="D14930" s="12"/>
      <c r="E14930" s="12"/>
      <c r="H14930" s="11" t="str">
        <f ca="1">IFERROR(__xludf.DUMMYFUNCTION("IFERROR(SUBSTITUTE(SUBSTITUTE(REGEXEXTRACT(A14930, ""[^-]+- [^-]+- [^-]+ - (.+?)\.jpg""), "".jpg"", """"), ""-"", "", ""), """")"),"")</f>
        <v/>
      </c>
      <c r="L14930" s="12"/>
      <c r="M14930" s="13"/>
      <c r="N14930" s="2"/>
      <c r="O14930" s="20"/>
      <c r="P14930" s="42"/>
      <c r="R14930" s="23"/>
    </row>
    <row r="14931" spans="1:18" ht="12.75">
      <c r="A14931" s="12"/>
      <c r="D14931" s="12"/>
      <c r="E14931" s="12"/>
      <c r="H14931" s="11" t="str">
        <f ca="1">IFERROR(__xludf.DUMMYFUNCTION("IFERROR(SUBSTITUTE(SUBSTITUTE(REGEXEXTRACT(A14931, ""[^-]+- [^-]+- [^-]+ - (.+?)\.jpg""), "".jpg"", """"), ""-"", "", ""), """")"),"")</f>
        <v/>
      </c>
      <c r="L14931" s="12"/>
      <c r="M14931" s="13"/>
      <c r="N14931" s="2"/>
      <c r="O14931" s="20"/>
      <c r="P14931" s="42"/>
      <c r="R14931" s="23"/>
    </row>
    <row r="14932" spans="1:18" ht="12.75">
      <c r="A14932" s="12"/>
      <c r="D14932" s="12"/>
      <c r="E14932" s="12"/>
      <c r="H14932" s="11" t="str">
        <f ca="1">IFERROR(__xludf.DUMMYFUNCTION("IFERROR(SUBSTITUTE(SUBSTITUTE(REGEXEXTRACT(A14932, ""[^-]+- [^-]+- [^-]+ - (.+?)\.jpg""), "".jpg"", """"), ""-"", "", ""), """")"),"")</f>
        <v/>
      </c>
      <c r="L14932" s="12"/>
      <c r="M14932" s="13"/>
      <c r="N14932" s="2"/>
      <c r="O14932" s="20"/>
      <c r="P14932" s="42"/>
      <c r="R14932" s="23"/>
    </row>
    <row r="14933" spans="1:18" ht="12.75">
      <c r="A14933" s="12"/>
      <c r="D14933" s="12"/>
      <c r="E14933" s="12"/>
      <c r="H14933" s="11" t="str">
        <f ca="1">IFERROR(__xludf.DUMMYFUNCTION("IFERROR(SUBSTITUTE(SUBSTITUTE(REGEXEXTRACT(A14933, ""[^-]+- [^-]+- [^-]+ - (.+?)\.jpg""), "".jpg"", """"), ""-"", "", ""), """")"),"")</f>
        <v/>
      </c>
      <c r="L14933" s="12"/>
      <c r="M14933" s="13"/>
      <c r="N14933" s="2"/>
      <c r="O14933" s="20"/>
      <c r="P14933" s="42"/>
      <c r="R14933" s="23"/>
    </row>
    <row r="14934" spans="1:18" ht="12.75">
      <c r="A14934" s="12"/>
      <c r="D14934" s="12"/>
      <c r="E14934" s="12"/>
      <c r="H14934" s="11" t="str">
        <f ca="1">IFERROR(__xludf.DUMMYFUNCTION("IFERROR(SUBSTITUTE(SUBSTITUTE(REGEXEXTRACT(A14934, ""[^-]+- [^-]+- [^-]+ - (.+?)\.jpg""), "".jpg"", """"), ""-"", "", ""), """")"),"")</f>
        <v/>
      </c>
      <c r="L14934" s="12"/>
      <c r="M14934" s="13"/>
      <c r="N14934" s="2"/>
      <c r="O14934" s="20"/>
      <c r="P14934" s="42"/>
      <c r="R14934" s="23"/>
    </row>
    <row r="14935" spans="1:18" ht="12.75">
      <c r="A14935" s="12"/>
      <c r="D14935" s="12"/>
      <c r="E14935" s="12"/>
      <c r="H14935" s="11" t="str">
        <f ca="1">IFERROR(__xludf.DUMMYFUNCTION("IFERROR(SUBSTITUTE(SUBSTITUTE(REGEXEXTRACT(A14935, ""[^-]+- [^-]+- [^-]+ - (.+?)\.jpg""), "".jpg"", """"), ""-"", "", ""), """")"),"")</f>
        <v/>
      </c>
      <c r="L14935" s="12"/>
      <c r="M14935" s="13"/>
      <c r="N14935" s="2"/>
      <c r="O14935" s="20"/>
      <c r="P14935" s="42"/>
      <c r="R14935" s="23"/>
    </row>
    <row r="14936" spans="1:18" ht="12.75">
      <c r="A14936" s="12"/>
      <c r="D14936" s="12"/>
      <c r="E14936" s="12"/>
      <c r="H14936" s="11" t="str">
        <f ca="1">IFERROR(__xludf.DUMMYFUNCTION("IFERROR(SUBSTITUTE(SUBSTITUTE(REGEXEXTRACT(A14936, ""[^-]+- [^-]+- [^-]+ - (.+?)\.jpg""), "".jpg"", """"), ""-"", "", ""), """")"),"")</f>
        <v/>
      </c>
      <c r="L14936" s="12"/>
      <c r="M14936" s="13"/>
      <c r="N14936" s="2"/>
      <c r="O14936" s="20"/>
      <c r="P14936" s="42"/>
      <c r="R14936" s="23"/>
    </row>
    <row r="14937" spans="1:18" ht="12.75">
      <c r="A14937" s="12"/>
      <c r="D14937" s="12"/>
      <c r="E14937" s="12"/>
      <c r="H14937" s="11" t="str">
        <f ca="1">IFERROR(__xludf.DUMMYFUNCTION("IFERROR(SUBSTITUTE(SUBSTITUTE(REGEXEXTRACT(A14937, ""[^-]+- [^-]+- [^-]+ - (.+?)\.jpg""), "".jpg"", """"), ""-"", "", ""), """")"),"")</f>
        <v/>
      </c>
      <c r="L14937" s="12"/>
      <c r="M14937" s="13"/>
      <c r="N14937" s="2"/>
      <c r="O14937" s="20"/>
      <c r="P14937" s="42"/>
      <c r="R14937" s="23"/>
    </row>
    <row r="14938" spans="1:18" ht="12.75">
      <c r="A14938" s="12"/>
      <c r="D14938" s="12"/>
      <c r="E14938" s="12"/>
      <c r="H14938" s="11" t="str">
        <f ca="1">IFERROR(__xludf.DUMMYFUNCTION("IFERROR(SUBSTITUTE(SUBSTITUTE(REGEXEXTRACT(A14938, ""[^-]+- [^-]+- [^-]+ - (.+?)\.jpg""), "".jpg"", """"), ""-"", "", ""), """")"),"")</f>
        <v/>
      </c>
      <c r="L14938" s="12"/>
      <c r="M14938" s="13"/>
      <c r="N14938" s="2"/>
      <c r="O14938" s="20"/>
      <c r="P14938" s="42"/>
      <c r="R14938" s="23"/>
    </row>
    <row r="14939" spans="1:18" ht="12.75">
      <c r="A14939" s="12"/>
      <c r="D14939" s="12"/>
      <c r="E14939" s="12"/>
      <c r="H14939" s="11" t="str">
        <f ca="1">IFERROR(__xludf.DUMMYFUNCTION("IFERROR(SUBSTITUTE(SUBSTITUTE(REGEXEXTRACT(A14939, ""[^-]+- [^-]+- [^-]+ - (.+?)\.jpg""), "".jpg"", """"), ""-"", "", ""), """")"),"")</f>
        <v/>
      </c>
      <c r="L14939" s="12"/>
      <c r="M14939" s="13"/>
      <c r="N14939" s="2"/>
      <c r="O14939" s="20"/>
      <c r="P14939" s="42"/>
      <c r="R14939" s="23"/>
    </row>
    <row r="14940" spans="1:18" ht="12.75">
      <c r="A14940" s="12"/>
      <c r="D14940" s="12"/>
      <c r="E14940" s="12"/>
      <c r="H14940" s="11" t="str">
        <f ca="1">IFERROR(__xludf.DUMMYFUNCTION("IFERROR(SUBSTITUTE(SUBSTITUTE(REGEXEXTRACT(A14940, ""[^-]+- [^-]+- [^-]+ - (.+?)\.jpg""), "".jpg"", """"), ""-"", "", ""), """")"),"")</f>
        <v/>
      </c>
      <c r="L14940" s="12"/>
      <c r="M14940" s="13"/>
      <c r="N14940" s="2"/>
      <c r="O14940" s="20"/>
      <c r="P14940" s="42"/>
      <c r="R14940" s="23"/>
    </row>
    <row r="14941" spans="1:18" ht="12.75">
      <c r="A14941" s="12"/>
      <c r="D14941" s="12"/>
      <c r="E14941" s="12"/>
      <c r="H14941" s="11" t="str">
        <f ca="1">IFERROR(__xludf.DUMMYFUNCTION("IFERROR(SUBSTITUTE(SUBSTITUTE(REGEXEXTRACT(A14941, ""[^-]+- [^-]+- [^-]+ - (.+?)\.jpg""), "".jpg"", """"), ""-"", "", ""), """")"),"")</f>
        <v/>
      </c>
      <c r="L14941" s="12"/>
      <c r="M14941" s="13"/>
      <c r="N14941" s="2"/>
      <c r="O14941" s="20"/>
      <c r="P14941" s="42"/>
      <c r="R14941" s="23"/>
    </row>
    <row r="14942" spans="1:18" ht="12.75">
      <c r="A14942" s="12"/>
      <c r="D14942" s="12"/>
      <c r="E14942" s="12"/>
      <c r="H14942" s="11" t="str">
        <f ca="1">IFERROR(__xludf.DUMMYFUNCTION("IFERROR(SUBSTITUTE(SUBSTITUTE(REGEXEXTRACT(A14942, ""[^-]+- [^-]+- [^-]+ - (.+?)\.jpg""), "".jpg"", """"), ""-"", "", ""), """")"),"")</f>
        <v/>
      </c>
      <c r="L14942" s="12"/>
      <c r="M14942" s="13"/>
      <c r="N14942" s="2"/>
      <c r="O14942" s="20"/>
      <c r="P14942" s="42"/>
      <c r="R14942" s="23"/>
    </row>
    <row r="14943" spans="1:18" ht="12.75">
      <c r="A14943" s="12"/>
      <c r="D14943" s="12"/>
      <c r="E14943" s="12"/>
      <c r="H14943" s="11" t="str">
        <f ca="1">IFERROR(__xludf.DUMMYFUNCTION("IFERROR(SUBSTITUTE(SUBSTITUTE(REGEXEXTRACT(A14943, ""[^-]+- [^-]+- [^-]+ - (.+?)\.jpg""), "".jpg"", """"), ""-"", "", ""), """")"),"")</f>
        <v/>
      </c>
      <c r="L14943" s="12"/>
      <c r="M14943" s="13"/>
      <c r="N14943" s="2"/>
      <c r="O14943" s="20"/>
      <c r="P14943" s="42"/>
      <c r="R14943" s="23"/>
    </row>
    <row r="14944" spans="1:18" ht="12.75">
      <c r="A14944" s="12"/>
      <c r="D14944" s="12"/>
      <c r="E14944" s="12"/>
      <c r="H14944" s="11" t="str">
        <f ca="1">IFERROR(__xludf.DUMMYFUNCTION("IFERROR(SUBSTITUTE(SUBSTITUTE(REGEXEXTRACT(A14944, ""[^-]+- [^-]+- [^-]+ - (.+?)\.jpg""), "".jpg"", """"), ""-"", "", ""), """")"),"")</f>
        <v/>
      </c>
      <c r="L14944" s="12"/>
      <c r="M14944" s="13"/>
      <c r="N14944" s="2"/>
      <c r="O14944" s="20"/>
      <c r="P14944" s="42"/>
      <c r="R14944" s="23"/>
    </row>
    <row r="14945" spans="1:18" ht="12.75">
      <c r="A14945" s="12"/>
      <c r="D14945" s="12"/>
      <c r="E14945" s="12"/>
      <c r="H14945" s="11" t="str">
        <f ca="1">IFERROR(__xludf.DUMMYFUNCTION("IFERROR(SUBSTITUTE(SUBSTITUTE(REGEXEXTRACT(A14945, ""[^-]+- [^-]+- [^-]+ - (.+?)\.jpg""), "".jpg"", """"), ""-"", "", ""), """")"),"")</f>
        <v/>
      </c>
      <c r="L14945" s="12"/>
      <c r="M14945" s="13"/>
      <c r="N14945" s="2"/>
      <c r="O14945" s="20"/>
      <c r="P14945" s="42"/>
      <c r="R14945" s="23"/>
    </row>
    <row r="14946" spans="1:18" ht="12.75">
      <c r="A14946" s="12"/>
      <c r="D14946" s="12"/>
      <c r="E14946" s="12"/>
      <c r="H14946" s="11" t="str">
        <f ca="1">IFERROR(__xludf.DUMMYFUNCTION("IFERROR(SUBSTITUTE(SUBSTITUTE(REGEXEXTRACT(A14946, ""[^-]+- [^-]+- [^-]+ - (.+?)\.jpg""), "".jpg"", """"), ""-"", "", ""), """")"),"")</f>
        <v/>
      </c>
      <c r="L14946" s="12"/>
      <c r="M14946" s="13"/>
      <c r="N14946" s="2"/>
      <c r="O14946" s="20"/>
      <c r="P14946" s="42"/>
      <c r="R14946" s="23"/>
    </row>
    <row r="14947" spans="1:18" ht="12.75">
      <c r="A14947" s="12"/>
      <c r="D14947" s="12"/>
      <c r="E14947" s="12"/>
      <c r="H14947" s="11" t="str">
        <f ca="1">IFERROR(__xludf.DUMMYFUNCTION("IFERROR(SUBSTITUTE(SUBSTITUTE(REGEXEXTRACT(A14947, ""[^-]+- [^-]+- [^-]+ - (.+?)\.jpg""), "".jpg"", """"), ""-"", "", ""), """")"),"")</f>
        <v/>
      </c>
      <c r="L14947" s="12"/>
      <c r="M14947" s="13"/>
      <c r="N14947" s="2"/>
      <c r="O14947" s="20"/>
      <c r="P14947" s="42"/>
      <c r="R14947" s="23"/>
    </row>
    <row r="14948" spans="1:18" ht="12.75">
      <c r="A14948" s="12"/>
      <c r="D14948" s="12"/>
      <c r="E14948" s="12"/>
      <c r="H14948" s="11" t="str">
        <f ca="1">IFERROR(__xludf.DUMMYFUNCTION("IFERROR(SUBSTITUTE(SUBSTITUTE(REGEXEXTRACT(A14948, ""[^-]+- [^-]+- [^-]+ - (.+?)\.jpg""), "".jpg"", """"), ""-"", "", ""), """")"),"")</f>
        <v/>
      </c>
      <c r="L14948" s="12"/>
      <c r="M14948" s="13"/>
      <c r="N14948" s="2"/>
      <c r="O14948" s="20"/>
      <c r="P14948" s="42"/>
      <c r="R14948" s="23"/>
    </row>
    <row r="14949" spans="1:18" ht="12.75">
      <c r="A14949" s="12"/>
      <c r="D14949" s="12"/>
      <c r="E14949" s="12"/>
      <c r="H14949" s="11" t="str">
        <f ca="1">IFERROR(__xludf.DUMMYFUNCTION("IFERROR(SUBSTITUTE(SUBSTITUTE(REGEXEXTRACT(A14949, ""[^-]+- [^-]+- [^-]+ - (.+?)\.jpg""), "".jpg"", """"), ""-"", "", ""), """")"),"")</f>
        <v/>
      </c>
      <c r="L14949" s="12"/>
      <c r="M14949" s="13"/>
      <c r="N14949" s="2"/>
      <c r="O14949" s="20"/>
      <c r="P14949" s="42"/>
      <c r="R14949" s="23"/>
    </row>
    <row r="14950" spans="1:18" ht="12.75">
      <c r="A14950" s="12"/>
      <c r="D14950" s="12"/>
      <c r="E14950" s="12"/>
      <c r="H14950" s="11" t="str">
        <f ca="1">IFERROR(__xludf.DUMMYFUNCTION("IFERROR(SUBSTITUTE(SUBSTITUTE(REGEXEXTRACT(A14950, ""[^-]+- [^-]+- [^-]+ - (.+?)\.jpg""), "".jpg"", """"), ""-"", "", ""), """")"),"")</f>
        <v/>
      </c>
      <c r="L14950" s="12"/>
      <c r="M14950" s="13"/>
      <c r="N14950" s="2"/>
      <c r="O14950" s="20"/>
      <c r="P14950" s="42"/>
      <c r="R14950" s="23"/>
    </row>
    <row r="14951" spans="1:18" ht="12.75">
      <c r="A14951" s="12"/>
      <c r="D14951" s="12"/>
      <c r="E14951" s="12"/>
      <c r="H14951" s="11" t="str">
        <f ca="1">IFERROR(__xludf.DUMMYFUNCTION("IFERROR(SUBSTITUTE(SUBSTITUTE(REGEXEXTRACT(A14951, ""[^-]+- [^-]+- [^-]+ - (.+?)\.jpg""), "".jpg"", """"), ""-"", "", ""), """")"),"")</f>
        <v/>
      </c>
      <c r="L14951" s="12"/>
      <c r="M14951" s="13"/>
      <c r="N14951" s="2"/>
      <c r="O14951" s="20"/>
      <c r="P14951" s="42"/>
      <c r="R14951" s="23"/>
    </row>
    <row r="14952" spans="1:18" ht="12.75">
      <c r="A14952" s="12"/>
      <c r="D14952" s="12"/>
      <c r="E14952" s="12"/>
      <c r="H14952" s="11" t="str">
        <f ca="1">IFERROR(__xludf.DUMMYFUNCTION("IFERROR(SUBSTITUTE(SUBSTITUTE(REGEXEXTRACT(A14952, ""[^-]+- [^-]+- [^-]+ - (.+?)\.jpg""), "".jpg"", """"), ""-"", "", ""), """")"),"")</f>
        <v/>
      </c>
      <c r="L14952" s="12"/>
      <c r="M14952" s="13"/>
      <c r="N14952" s="2"/>
      <c r="O14952" s="20"/>
      <c r="P14952" s="42"/>
      <c r="R14952" s="23"/>
    </row>
    <row r="14953" spans="1:18" ht="12.75">
      <c r="A14953" s="12"/>
      <c r="D14953" s="12"/>
      <c r="E14953" s="12"/>
      <c r="H14953" s="11" t="str">
        <f ca="1">IFERROR(__xludf.DUMMYFUNCTION("IFERROR(SUBSTITUTE(SUBSTITUTE(REGEXEXTRACT(A14953, ""[^-]+- [^-]+- [^-]+ - (.+?)\.jpg""), "".jpg"", """"), ""-"", "", ""), """")"),"")</f>
        <v/>
      </c>
      <c r="L14953" s="12"/>
      <c r="M14953" s="13"/>
      <c r="N14953" s="2"/>
      <c r="O14953" s="20"/>
      <c r="P14953" s="42"/>
      <c r="R14953" s="23"/>
    </row>
    <row r="14954" spans="1:18" ht="12.75">
      <c r="A14954" s="12"/>
      <c r="D14954" s="12"/>
      <c r="E14954" s="12"/>
      <c r="H14954" s="11" t="str">
        <f ca="1">IFERROR(__xludf.DUMMYFUNCTION("IFERROR(SUBSTITUTE(SUBSTITUTE(REGEXEXTRACT(A14954, ""[^-]+- [^-]+- [^-]+ - (.+?)\.jpg""), "".jpg"", """"), ""-"", "", ""), """")"),"")</f>
        <v/>
      </c>
      <c r="L14954" s="12"/>
      <c r="M14954" s="13"/>
      <c r="N14954" s="2"/>
      <c r="O14954" s="20"/>
      <c r="P14954" s="42"/>
      <c r="R14954" s="23"/>
    </row>
    <row r="14955" spans="1:18" ht="12.75">
      <c r="A14955" s="12"/>
      <c r="D14955" s="12"/>
      <c r="E14955" s="12"/>
      <c r="H14955" s="11" t="str">
        <f ca="1">IFERROR(__xludf.DUMMYFUNCTION("IFERROR(SUBSTITUTE(SUBSTITUTE(REGEXEXTRACT(A14955, ""[^-]+- [^-]+- [^-]+ - (.+?)\.jpg""), "".jpg"", """"), ""-"", "", ""), """")"),"")</f>
        <v/>
      </c>
      <c r="L14955" s="12"/>
      <c r="M14955" s="13"/>
      <c r="N14955" s="2"/>
      <c r="O14955" s="20"/>
      <c r="P14955" s="42"/>
      <c r="R14955" s="23"/>
    </row>
    <row r="14956" spans="1:18" ht="12.75">
      <c r="A14956" s="12"/>
      <c r="D14956" s="12"/>
      <c r="E14956" s="12"/>
      <c r="H14956" s="11" t="str">
        <f ca="1">IFERROR(__xludf.DUMMYFUNCTION("IFERROR(SUBSTITUTE(SUBSTITUTE(REGEXEXTRACT(A14956, ""[^-]+- [^-]+- [^-]+ - (.+?)\.jpg""), "".jpg"", """"), ""-"", "", ""), """")"),"")</f>
        <v/>
      </c>
      <c r="L14956" s="12"/>
      <c r="M14956" s="13"/>
      <c r="N14956" s="2"/>
      <c r="O14956" s="20"/>
      <c r="P14956" s="42"/>
      <c r="R14956" s="23"/>
    </row>
    <row r="14957" spans="1:18" ht="12.75">
      <c r="A14957" s="12"/>
      <c r="D14957" s="12"/>
      <c r="E14957" s="12"/>
      <c r="H14957" s="11" t="str">
        <f ca="1">IFERROR(__xludf.DUMMYFUNCTION("IFERROR(SUBSTITUTE(SUBSTITUTE(REGEXEXTRACT(A14957, ""[^-]+- [^-]+- [^-]+ - (.+?)\.jpg""), "".jpg"", """"), ""-"", "", ""), """")"),"")</f>
        <v/>
      </c>
      <c r="L14957" s="12"/>
      <c r="M14957" s="13"/>
      <c r="N14957" s="2"/>
      <c r="O14957" s="20"/>
      <c r="P14957" s="42"/>
      <c r="R14957" s="23"/>
    </row>
    <row r="14958" spans="1:18" ht="12.75">
      <c r="A14958" s="12"/>
      <c r="D14958" s="12"/>
      <c r="E14958" s="12"/>
      <c r="H14958" s="11" t="str">
        <f ca="1">IFERROR(__xludf.DUMMYFUNCTION("IFERROR(SUBSTITUTE(SUBSTITUTE(REGEXEXTRACT(A14958, ""[^-]+- [^-]+- [^-]+ - (.+?)\.jpg""), "".jpg"", """"), ""-"", "", ""), """")"),"")</f>
        <v/>
      </c>
      <c r="L14958" s="12"/>
      <c r="M14958" s="13"/>
      <c r="N14958" s="2"/>
      <c r="O14958" s="20"/>
      <c r="P14958" s="42"/>
      <c r="R14958" s="23"/>
    </row>
    <row r="14959" spans="1:18" ht="12.75">
      <c r="A14959" s="12"/>
      <c r="D14959" s="12"/>
      <c r="E14959" s="12"/>
      <c r="H14959" s="11" t="str">
        <f ca="1">IFERROR(__xludf.DUMMYFUNCTION("IFERROR(SUBSTITUTE(SUBSTITUTE(REGEXEXTRACT(A14959, ""[^-]+- [^-]+- [^-]+ - (.+?)\.jpg""), "".jpg"", """"), ""-"", "", ""), """")"),"")</f>
        <v/>
      </c>
      <c r="L14959" s="12"/>
      <c r="M14959" s="13"/>
      <c r="N14959" s="2"/>
      <c r="O14959" s="20"/>
      <c r="P14959" s="42"/>
      <c r="R14959" s="23"/>
    </row>
    <row r="14960" spans="1:18" ht="12.75">
      <c r="A14960" s="12"/>
      <c r="D14960" s="12"/>
      <c r="E14960" s="12"/>
      <c r="H14960" s="11" t="str">
        <f ca="1">IFERROR(__xludf.DUMMYFUNCTION("IFERROR(SUBSTITUTE(SUBSTITUTE(REGEXEXTRACT(A14960, ""[^-]+- [^-]+- [^-]+ - (.+?)\.jpg""), "".jpg"", """"), ""-"", "", ""), """")"),"")</f>
        <v/>
      </c>
      <c r="L14960" s="12"/>
      <c r="M14960" s="13"/>
      <c r="N14960" s="2"/>
      <c r="O14960" s="20"/>
      <c r="P14960" s="42"/>
      <c r="R14960" s="23"/>
    </row>
    <row r="14961" spans="1:18" ht="12.75">
      <c r="A14961" s="12"/>
      <c r="D14961" s="12"/>
      <c r="E14961" s="12"/>
      <c r="H14961" s="11" t="str">
        <f ca="1">IFERROR(__xludf.DUMMYFUNCTION("IFERROR(SUBSTITUTE(SUBSTITUTE(REGEXEXTRACT(A14961, ""[^-]+- [^-]+- [^-]+ - (.+?)\.jpg""), "".jpg"", """"), ""-"", "", ""), """")"),"")</f>
        <v/>
      </c>
      <c r="L14961" s="12"/>
      <c r="M14961" s="13"/>
      <c r="N14961" s="2"/>
      <c r="O14961" s="20"/>
      <c r="P14961" s="42"/>
      <c r="R14961" s="23"/>
    </row>
    <row r="14962" spans="1:18" ht="12.75">
      <c r="A14962" s="12"/>
      <c r="D14962" s="12"/>
      <c r="E14962" s="12"/>
      <c r="H14962" s="11" t="str">
        <f ca="1">IFERROR(__xludf.DUMMYFUNCTION("IFERROR(SUBSTITUTE(SUBSTITUTE(REGEXEXTRACT(A14962, ""[^-]+- [^-]+- [^-]+ - (.+?)\.jpg""), "".jpg"", """"), ""-"", "", ""), """")"),"")</f>
        <v/>
      </c>
      <c r="L14962" s="12"/>
      <c r="M14962" s="13"/>
      <c r="N14962" s="2"/>
      <c r="O14962" s="20"/>
      <c r="P14962" s="42"/>
      <c r="R14962" s="23"/>
    </row>
    <row r="14963" spans="1:18" ht="12.75">
      <c r="A14963" s="12"/>
      <c r="D14963" s="12"/>
      <c r="E14963" s="12"/>
      <c r="H14963" s="11" t="str">
        <f ca="1">IFERROR(__xludf.DUMMYFUNCTION("IFERROR(SUBSTITUTE(SUBSTITUTE(REGEXEXTRACT(A14963, ""[^-]+- [^-]+- [^-]+ - (.+?)\.jpg""), "".jpg"", """"), ""-"", "", ""), """")"),"")</f>
        <v/>
      </c>
      <c r="L14963" s="12"/>
      <c r="M14963" s="13"/>
      <c r="N14963" s="2"/>
      <c r="O14963" s="20"/>
      <c r="P14963" s="42"/>
      <c r="R14963" s="23"/>
    </row>
    <row r="14964" spans="1:18" ht="12.75">
      <c r="A14964" s="12"/>
      <c r="D14964" s="12"/>
      <c r="E14964" s="12"/>
      <c r="H14964" s="11" t="str">
        <f ca="1">IFERROR(__xludf.DUMMYFUNCTION("IFERROR(SUBSTITUTE(SUBSTITUTE(REGEXEXTRACT(A14964, ""[^-]+- [^-]+- [^-]+ - (.+?)\.jpg""), "".jpg"", """"), ""-"", "", ""), """")"),"")</f>
        <v/>
      </c>
      <c r="L14964" s="12"/>
      <c r="M14964" s="13"/>
      <c r="N14964" s="2"/>
      <c r="O14964" s="20"/>
      <c r="P14964" s="42"/>
      <c r="R14964" s="23"/>
    </row>
    <row r="14965" spans="1:18" ht="12.75">
      <c r="A14965" s="12"/>
      <c r="D14965" s="12"/>
      <c r="E14965" s="12"/>
      <c r="H14965" s="11" t="str">
        <f ca="1">IFERROR(__xludf.DUMMYFUNCTION("IFERROR(SUBSTITUTE(SUBSTITUTE(REGEXEXTRACT(A14965, ""[^-]+- [^-]+- [^-]+ - (.+?)\.jpg""), "".jpg"", """"), ""-"", "", ""), """")"),"")</f>
        <v/>
      </c>
      <c r="L14965" s="12"/>
      <c r="M14965" s="13"/>
      <c r="N14965" s="2"/>
      <c r="O14965" s="20"/>
      <c r="P14965" s="42"/>
      <c r="R14965" s="23"/>
    </row>
    <row r="14966" spans="1:18" ht="12.75">
      <c r="A14966" s="12"/>
      <c r="D14966" s="12"/>
      <c r="E14966" s="12"/>
      <c r="H14966" s="11" t="str">
        <f ca="1">IFERROR(__xludf.DUMMYFUNCTION("IFERROR(SUBSTITUTE(SUBSTITUTE(REGEXEXTRACT(A14966, ""[^-]+- [^-]+- [^-]+ - (.+?)\.jpg""), "".jpg"", """"), ""-"", "", ""), """")"),"")</f>
        <v/>
      </c>
      <c r="L14966" s="12"/>
      <c r="M14966" s="13"/>
      <c r="N14966" s="2"/>
      <c r="O14966" s="20"/>
      <c r="P14966" s="42"/>
      <c r="R14966" s="23"/>
    </row>
    <row r="14967" spans="1:18" ht="12.75">
      <c r="A14967" s="12"/>
      <c r="D14967" s="12"/>
      <c r="E14967" s="12"/>
      <c r="H14967" s="11" t="str">
        <f ca="1">IFERROR(__xludf.DUMMYFUNCTION("IFERROR(SUBSTITUTE(SUBSTITUTE(REGEXEXTRACT(A14967, ""[^-]+- [^-]+- [^-]+ - (.+?)\.jpg""), "".jpg"", """"), ""-"", "", ""), """")"),"")</f>
        <v/>
      </c>
      <c r="L14967" s="12"/>
      <c r="M14967" s="13"/>
      <c r="N14967" s="2"/>
      <c r="O14967" s="20"/>
      <c r="P14967" s="42"/>
      <c r="R14967" s="23"/>
    </row>
    <row r="14968" spans="1:18" ht="12.75">
      <c r="A14968" s="12"/>
      <c r="D14968" s="12"/>
      <c r="E14968" s="12"/>
      <c r="H14968" s="11" t="str">
        <f ca="1">IFERROR(__xludf.DUMMYFUNCTION("IFERROR(SUBSTITUTE(SUBSTITUTE(REGEXEXTRACT(A14968, ""[^-]+- [^-]+- [^-]+ - (.+?)\.jpg""), "".jpg"", """"), ""-"", "", ""), """")"),"")</f>
        <v/>
      </c>
      <c r="L14968" s="12"/>
      <c r="M14968" s="13"/>
      <c r="N14968" s="2"/>
      <c r="O14968" s="20"/>
      <c r="P14968" s="42"/>
      <c r="R14968" s="23"/>
    </row>
    <row r="14969" spans="1:18" ht="12.75">
      <c r="A14969" s="12"/>
      <c r="D14969" s="12"/>
      <c r="E14969" s="12"/>
      <c r="H14969" s="11" t="str">
        <f ca="1">IFERROR(__xludf.DUMMYFUNCTION("IFERROR(SUBSTITUTE(SUBSTITUTE(REGEXEXTRACT(A14969, ""[^-]+- [^-]+- [^-]+ - (.+?)\.jpg""), "".jpg"", """"), ""-"", "", ""), """")"),"")</f>
        <v/>
      </c>
      <c r="L14969" s="12"/>
      <c r="M14969" s="13"/>
      <c r="N14969" s="2"/>
      <c r="O14969" s="20"/>
      <c r="P14969" s="42"/>
      <c r="R14969" s="23"/>
    </row>
    <row r="14970" spans="1:18" ht="12.75">
      <c r="A14970" s="12"/>
      <c r="D14970" s="12"/>
      <c r="E14970" s="12"/>
      <c r="H14970" s="11" t="str">
        <f ca="1">IFERROR(__xludf.DUMMYFUNCTION("IFERROR(SUBSTITUTE(SUBSTITUTE(REGEXEXTRACT(A14970, ""[^-]+- [^-]+- [^-]+ - (.+?)\.jpg""), "".jpg"", """"), ""-"", "", ""), """")"),"")</f>
        <v/>
      </c>
      <c r="L14970" s="12"/>
      <c r="M14970" s="13"/>
      <c r="N14970" s="2"/>
      <c r="O14970" s="20"/>
      <c r="P14970" s="42"/>
      <c r="R14970" s="23"/>
    </row>
    <row r="14971" spans="1:18" ht="12.75">
      <c r="A14971" s="12"/>
      <c r="D14971" s="12"/>
      <c r="E14971" s="12"/>
      <c r="H14971" s="11" t="str">
        <f ca="1">IFERROR(__xludf.DUMMYFUNCTION("IFERROR(SUBSTITUTE(SUBSTITUTE(REGEXEXTRACT(A14971, ""[^-]+- [^-]+- [^-]+ - (.+?)\.jpg""), "".jpg"", """"), ""-"", "", ""), """")"),"")</f>
        <v/>
      </c>
      <c r="L14971" s="12"/>
      <c r="M14971" s="13"/>
      <c r="N14971" s="2"/>
      <c r="O14971" s="20"/>
      <c r="P14971" s="42"/>
      <c r="R14971" s="23"/>
    </row>
    <row r="14972" spans="1:18" ht="12.75">
      <c r="A14972" s="12"/>
      <c r="D14972" s="12"/>
      <c r="E14972" s="12"/>
      <c r="H14972" s="11" t="str">
        <f ca="1">IFERROR(__xludf.DUMMYFUNCTION("IFERROR(SUBSTITUTE(SUBSTITUTE(REGEXEXTRACT(A14972, ""[^-]+- [^-]+- [^-]+ - (.+?)\.jpg""), "".jpg"", """"), ""-"", "", ""), """")"),"")</f>
        <v/>
      </c>
      <c r="L14972" s="12"/>
      <c r="M14972" s="13"/>
      <c r="N14972" s="2"/>
      <c r="O14972" s="20"/>
      <c r="P14972" s="42"/>
      <c r="R14972" s="23"/>
    </row>
    <row r="14973" spans="1:18" ht="12.75">
      <c r="A14973" s="12"/>
      <c r="D14973" s="12"/>
      <c r="E14973" s="12"/>
      <c r="H14973" s="11" t="str">
        <f ca="1">IFERROR(__xludf.DUMMYFUNCTION("IFERROR(SUBSTITUTE(SUBSTITUTE(REGEXEXTRACT(A14973, ""[^-]+- [^-]+- [^-]+ - (.+?)\.jpg""), "".jpg"", """"), ""-"", "", ""), """")"),"")</f>
        <v/>
      </c>
      <c r="L14973" s="12"/>
      <c r="M14973" s="13"/>
      <c r="N14973" s="2"/>
      <c r="O14973" s="20"/>
      <c r="P14973" s="42"/>
      <c r="R14973" s="23"/>
    </row>
    <row r="14974" spans="1:18" ht="12.75">
      <c r="A14974" s="12"/>
      <c r="D14974" s="12"/>
      <c r="E14974" s="12"/>
      <c r="H14974" s="11" t="str">
        <f ca="1">IFERROR(__xludf.DUMMYFUNCTION("IFERROR(SUBSTITUTE(SUBSTITUTE(REGEXEXTRACT(A14974, ""[^-]+- [^-]+- [^-]+ - (.+?)\.jpg""), "".jpg"", """"), ""-"", "", ""), """")"),"")</f>
        <v/>
      </c>
      <c r="L14974" s="12"/>
      <c r="M14974" s="13"/>
      <c r="N14974" s="2"/>
      <c r="O14974" s="20"/>
      <c r="P14974" s="42"/>
      <c r="R14974" s="23"/>
    </row>
    <row r="14975" spans="1:18" ht="12.75">
      <c r="A14975" s="12"/>
      <c r="D14975" s="12"/>
      <c r="E14975" s="12"/>
      <c r="H14975" s="11" t="str">
        <f ca="1">IFERROR(__xludf.DUMMYFUNCTION("IFERROR(SUBSTITUTE(SUBSTITUTE(REGEXEXTRACT(A14975, ""[^-]+- [^-]+- [^-]+ - (.+?)\.jpg""), "".jpg"", """"), ""-"", "", ""), """")"),"")</f>
        <v/>
      </c>
      <c r="L14975" s="12"/>
      <c r="M14975" s="13"/>
      <c r="N14975" s="2"/>
      <c r="O14975" s="20"/>
      <c r="P14975" s="42"/>
      <c r="R14975" s="23"/>
    </row>
    <row r="14976" spans="1:18" ht="12.75">
      <c r="A14976" s="12"/>
      <c r="D14976" s="12"/>
      <c r="E14976" s="12"/>
      <c r="H14976" s="11" t="str">
        <f ca="1">IFERROR(__xludf.DUMMYFUNCTION("IFERROR(SUBSTITUTE(SUBSTITUTE(REGEXEXTRACT(A14976, ""[^-]+- [^-]+- [^-]+ - (.+?)\.jpg""), "".jpg"", """"), ""-"", "", ""), """")"),"")</f>
        <v/>
      </c>
      <c r="L14976" s="12"/>
      <c r="M14976" s="13"/>
      <c r="N14976" s="2"/>
      <c r="O14976" s="20"/>
      <c r="P14976" s="42"/>
      <c r="R14976" s="23"/>
    </row>
    <row r="14977" spans="1:18" ht="12.75">
      <c r="A14977" s="12"/>
      <c r="D14977" s="12"/>
      <c r="E14977" s="12"/>
      <c r="H14977" s="11" t="str">
        <f ca="1">IFERROR(__xludf.DUMMYFUNCTION("IFERROR(SUBSTITUTE(SUBSTITUTE(REGEXEXTRACT(A14977, ""[^-]+- [^-]+- [^-]+ - (.+?)\.jpg""), "".jpg"", """"), ""-"", "", ""), """")"),"")</f>
        <v/>
      </c>
      <c r="L14977" s="12"/>
      <c r="M14977" s="13"/>
      <c r="N14977" s="2"/>
      <c r="O14977" s="20"/>
      <c r="P14977" s="42"/>
      <c r="R14977" s="23"/>
    </row>
    <row r="14978" spans="1:18" ht="12.75">
      <c r="A14978" s="12"/>
      <c r="D14978" s="12"/>
      <c r="E14978" s="12"/>
      <c r="H14978" s="11" t="str">
        <f ca="1">IFERROR(__xludf.DUMMYFUNCTION("IFERROR(SUBSTITUTE(SUBSTITUTE(REGEXEXTRACT(A14978, ""[^-]+- [^-]+- [^-]+ - (.+?)\.jpg""), "".jpg"", """"), ""-"", "", ""), """")"),"")</f>
        <v/>
      </c>
      <c r="L14978" s="12"/>
      <c r="M14978" s="13"/>
      <c r="N14978" s="2"/>
      <c r="O14978" s="20"/>
      <c r="P14978" s="42"/>
      <c r="R14978" s="23"/>
    </row>
    <row r="14979" spans="1:18" ht="12.75">
      <c r="A14979" s="12"/>
      <c r="D14979" s="12"/>
      <c r="E14979" s="12"/>
      <c r="H14979" s="11" t="str">
        <f ca="1">IFERROR(__xludf.DUMMYFUNCTION("IFERROR(SUBSTITUTE(SUBSTITUTE(REGEXEXTRACT(A14979, ""[^-]+- [^-]+- [^-]+ - (.+?)\.jpg""), "".jpg"", """"), ""-"", "", ""), """")"),"")</f>
        <v/>
      </c>
      <c r="L14979" s="12"/>
      <c r="M14979" s="13"/>
      <c r="N14979" s="2"/>
      <c r="O14979" s="20"/>
      <c r="P14979" s="42"/>
      <c r="R14979" s="23"/>
    </row>
    <row r="14980" spans="1:18" ht="12.75">
      <c r="A14980" s="12"/>
      <c r="D14980" s="12"/>
      <c r="E14980" s="12"/>
      <c r="H14980" s="11" t="str">
        <f ca="1">IFERROR(__xludf.DUMMYFUNCTION("IFERROR(SUBSTITUTE(SUBSTITUTE(REGEXEXTRACT(A14980, ""[^-]+- [^-]+- [^-]+ - (.+?)\.jpg""), "".jpg"", """"), ""-"", "", ""), """")"),"")</f>
        <v/>
      </c>
      <c r="L14980" s="12"/>
      <c r="M14980" s="13"/>
      <c r="N14980" s="2"/>
      <c r="O14980" s="20"/>
      <c r="P14980" s="42"/>
      <c r="R14980" s="23"/>
    </row>
    <row r="14981" spans="1:18" ht="12.75">
      <c r="A14981" s="12"/>
      <c r="D14981" s="12"/>
      <c r="E14981" s="12"/>
      <c r="H14981" s="11" t="str">
        <f ca="1">IFERROR(__xludf.DUMMYFUNCTION("IFERROR(SUBSTITUTE(SUBSTITUTE(REGEXEXTRACT(A14981, ""[^-]+- [^-]+- [^-]+ - (.+?)\.jpg""), "".jpg"", """"), ""-"", "", ""), """")"),"")</f>
        <v/>
      </c>
      <c r="L14981" s="12"/>
      <c r="M14981" s="13"/>
      <c r="N14981" s="2"/>
      <c r="O14981" s="20"/>
      <c r="P14981" s="42"/>
      <c r="R14981" s="23"/>
    </row>
    <row r="14982" spans="1:18" ht="12.75">
      <c r="A14982" s="12"/>
      <c r="D14982" s="12"/>
      <c r="E14982" s="12"/>
      <c r="H14982" s="11" t="str">
        <f ca="1">IFERROR(__xludf.DUMMYFUNCTION("IFERROR(SUBSTITUTE(SUBSTITUTE(REGEXEXTRACT(A14982, ""[^-]+- [^-]+- [^-]+ - (.+?)\.jpg""), "".jpg"", """"), ""-"", "", ""), """")"),"")</f>
        <v/>
      </c>
      <c r="L14982" s="12"/>
      <c r="M14982" s="13"/>
      <c r="N14982" s="2"/>
      <c r="O14982" s="20"/>
      <c r="P14982" s="42"/>
      <c r="R14982" s="23"/>
    </row>
    <row r="14983" spans="1:18" ht="12.75">
      <c r="A14983" s="12"/>
      <c r="D14983" s="12"/>
      <c r="E14983" s="12"/>
      <c r="H14983" s="11" t="str">
        <f ca="1">IFERROR(__xludf.DUMMYFUNCTION("IFERROR(SUBSTITUTE(SUBSTITUTE(REGEXEXTRACT(A14983, ""[^-]+- [^-]+- [^-]+ - (.+?)\.jpg""), "".jpg"", """"), ""-"", "", ""), """")"),"")</f>
        <v/>
      </c>
      <c r="L14983" s="12"/>
      <c r="M14983" s="13"/>
      <c r="N14983" s="2"/>
      <c r="O14983" s="20"/>
      <c r="P14983" s="42"/>
      <c r="R14983" s="23"/>
    </row>
    <row r="14984" spans="1:18" ht="12.75">
      <c r="A14984" s="12"/>
      <c r="D14984" s="12"/>
      <c r="E14984" s="12"/>
      <c r="H14984" s="11" t="str">
        <f ca="1">IFERROR(__xludf.DUMMYFUNCTION("IFERROR(SUBSTITUTE(SUBSTITUTE(REGEXEXTRACT(A14984, ""[^-]+- [^-]+- [^-]+ - (.+?)\.jpg""), "".jpg"", """"), ""-"", "", ""), """")"),"")</f>
        <v/>
      </c>
      <c r="L14984" s="12"/>
      <c r="M14984" s="13"/>
      <c r="N14984" s="2"/>
      <c r="O14984" s="20"/>
      <c r="P14984" s="42"/>
      <c r="R14984" s="23"/>
    </row>
    <row r="14985" spans="1:18" ht="12.75">
      <c r="A14985" s="12"/>
      <c r="D14985" s="12"/>
      <c r="E14985" s="12"/>
      <c r="H14985" s="11" t="str">
        <f ca="1">IFERROR(__xludf.DUMMYFUNCTION("IFERROR(SUBSTITUTE(SUBSTITUTE(REGEXEXTRACT(A14985, ""[^-]+- [^-]+- [^-]+ - (.+?)\.jpg""), "".jpg"", """"), ""-"", "", ""), """")"),"")</f>
        <v/>
      </c>
      <c r="L14985" s="12"/>
      <c r="M14985" s="13"/>
      <c r="N14985" s="2"/>
      <c r="O14985" s="20"/>
      <c r="P14985" s="42"/>
      <c r="R14985" s="23"/>
    </row>
    <row r="14986" spans="1:18" ht="12.75">
      <c r="A14986" s="12"/>
      <c r="D14986" s="12"/>
      <c r="E14986" s="12"/>
      <c r="H14986" s="11" t="str">
        <f ca="1">IFERROR(__xludf.DUMMYFUNCTION("IFERROR(SUBSTITUTE(SUBSTITUTE(REGEXEXTRACT(A14986, ""[^-]+- [^-]+- [^-]+ - (.+?)\.jpg""), "".jpg"", """"), ""-"", "", ""), """")"),"")</f>
        <v/>
      </c>
      <c r="L14986" s="12"/>
      <c r="M14986" s="13"/>
      <c r="N14986" s="2"/>
      <c r="O14986" s="20"/>
      <c r="P14986" s="42"/>
      <c r="R14986" s="23"/>
    </row>
    <row r="14987" spans="1:18" ht="12.75">
      <c r="A14987" s="12"/>
      <c r="D14987" s="12"/>
      <c r="E14987" s="12"/>
      <c r="H14987" s="11" t="str">
        <f ca="1">IFERROR(__xludf.DUMMYFUNCTION("IFERROR(SUBSTITUTE(SUBSTITUTE(REGEXEXTRACT(A14987, ""[^-]+- [^-]+- [^-]+ - (.+?)\.jpg""), "".jpg"", """"), ""-"", "", ""), """")"),"")</f>
        <v/>
      </c>
      <c r="L14987" s="12"/>
      <c r="M14987" s="13"/>
      <c r="N14987" s="2"/>
      <c r="O14987" s="20"/>
      <c r="P14987" s="42"/>
      <c r="R14987" s="23"/>
    </row>
    <row r="14988" spans="1:18" ht="12.75">
      <c r="A14988" s="12"/>
      <c r="D14988" s="12"/>
      <c r="E14988" s="12"/>
      <c r="H14988" s="11" t="str">
        <f ca="1">IFERROR(__xludf.DUMMYFUNCTION("IFERROR(SUBSTITUTE(SUBSTITUTE(REGEXEXTRACT(A14988, ""[^-]+- [^-]+- [^-]+ - (.+?)\.jpg""), "".jpg"", """"), ""-"", "", ""), """")"),"")</f>
        <v/>
      </c>
      <c r="L14988" s="12"/>
      <c r="M14988" s="13"/>
      <c r="N14988" s="2"/>
      <c r="O14988" s="20"/>
      <c r="P14988" s="42"/>
      <c r="R14988" s="23"/>
    </row>
    <row r="14989" spans="1:18" ht="12.75">
      <c r="A14989" s="12"/>
      <c r="D14989" s="12"/>
      <c r="E14989" s="12"/>
      <c r="H14989" s="11" t="str">
        <f ca="1">IFERROR(__xludf.DUMMYFUNCTION("IFERROR(SUBSTITUTE(SUBSTITUTE(REGEXEXTRACT(A14989, ""[^-]+- [^-]+- [^-]+ - (.+?)\.jpg""), "".jpg"", """"), ""-"", "", ""), """")"),"")</f>
        <v/>
      </c>
      <c r="L14989" s="12"/>
      <c r="M14989" s="13"/>
      <c r="N14989" s="2"/>
      <c r="O14989" s="20"/>
      <c r="P14989" s="42"/>
      <c r="R14989" s="23"/>
    </row>
    <row r="14990" spans="1:18" ht="12.75">
      <c r="A14990" s="12"/>
      <c r="D14990" s="12"/>
      <c r="E14990" s="12"/>
      <c r="H14990" s="11" t="str">
        <f ca="1">IFERROR(__xludf.DUMMYFUNCTION("IFERROR(SUBSTITUTE(SUBSTITUTE(REGEXEXTRACT(A14990, ""[^-]+- [^-]+- [^-]+ - (.+?)\.jpg""), "".jpg"", """"), ""-"", "", ""), """")"),"")</f>
        <v/>
      </c>
      <c r="L14990" s="12"/>
      <c r="M14990" s="13"/>
      <c r="N14990" s="2"/>
      <c r="O14990" s="20"/>
      <c r="P14990" s="42"/>
      <c r="R14990" s="23"/>
    </row>
    <row r="14991" spans="1:18" ht="12.75">
      <c r="A14991" s="12"/>
      <c r="D14991" s="12"/>
      <c r="E14991" s="12"/>
      <c r="H14991" s="11" t="str">
        <f ca="1">IFERROR(__xludf.DUMMYFUNCTION("IFERROR(SUBSTITUTE(SUBSTITUTE(REGEXEXTRACT(A14991, ""[^-]+- [^-]+- [^-]+ - (.+?)\.jpg""), "".jpg"", """"), ""-"", "", ""), """")"),"")</f>
        <v/>
      </c>
      <c r="L14991" s="12"/>
      <c r="M14991" s="13"/>
      <c r="N14991" s="2"/>
      <c r="O14991" s="20"/>
      <c r="P14991" s="42"/>
      <c r="R14991" s="23"/>
    </row>
    <row r="14992" spans="1:18" ht="12.75">
      <c r="A14992" s="12"/>
      <c r="D14992" s="12"/>
      <c r="E14992" s="12"/>
      <c r="H14992" s="11" t="str">
        <f ca="1">IFERROR(__xludf.DUMMYFUNCTION("IFERROR(SUBSTITUTE(SUBSTITUTE(REGEXEXTRACT(A14992, ""[^-]+- [^-]+- [^-]+ - (.+?)\.jpg""), "".jpg"", """"), ""-"", "", ""), """")"),"")</f>
        <v/>
      </c>
      <c r="L14992" s="12"/>
      <c r="M14992" s="13"/>
      <c r="N14992" s="2"/>
      <c r="O14992" s="20"/>
      <c r="P14992" s="42"/>
      <c r="R14992" s="23"/>
    </row>
    <row r="14993" spans="1:18" ht="12.75">
      <c r="A14993" s="12"/>
      <c r="D14993" s="12"/>
      <c r="E14993" s="12"/>
      <c r="H14993" s="11" t="str">
        <f ca="1">IFERROR(__xludf.DUMMYFUNCTION("IFERROR(SUBSTITUTE(SUBSTITUTE(REGEXEXTRACT(A14993, ""[^-]+- [^-]+- [^-]+ - (.+?)\.jpg""), "".jpg"", """"), ""-"", "", ""), """")"),"")</f>
        <v/>
      </c>
      <c r="L14993" s="12"/>
      <c r="M14993" s="13"/>
      <c r="N14993" s="2"/>
      <c r="O14993" s="20"/>
      <c r="P14993" s="42"/>
      <c r="R14993" s="23"/>
    </row>
    <row r="14994" spans="1:18" ht="12.75">
      <c r="A14994" s="12"/>
      <c r="D14994" s="12"/>
      <c r="E14994" s="12"/>
      <c r="H14994" s="11" t="str">
        <f ca="1">IFERROR(__xludf.DUMMYFUNCTION("IFERROR(SUBSTITUTE(SUBSTITUTE(REGEXEXTRACT(A14994, ""[^-]+- [^-]+- [^-]+ - (.+?)\.jpg""), "".jpg"", """"), ""-"", "", ""), """")"),"")</f>
        <v/>
      </c>
      <c r="L14994" s="12"/>
      <c r="M14994" s="13"/>
      <c r="N14994" s="2"/>
      <c r="O14994" s="20"/>
      <c r="P14994" s="42"/>
      <c r="R14994" s="23"/>
    </row>
    <row r="14995" spans="1:18" ht="12.75">
      <c r="A14995" s="12"/>
      <c r="D14995" s="12"/>
      <c r="E14995" s="12"/>
      <c r="H14995" s="11" t="str">
        <f ca="1">IFERROR(__xludf.DUMMYFUNCTION("IFERROR(SUBSTITUTE(SUBSTITUTE(REGEXEXTRACT(A14995, ""[^-]+- [^-]+- [^-]+ - (.+?)\.jpg""), "".jpg"", """"), ""-"", "", ""), """")"),"")</f>
        <v/>
      </c>
      <c r="L14995" s="12"/>
      <c r="M14995" s="13"/>
      <c r="N14995" s="2"/>
      <c r="O14995" s="20"/>
      <c r="P14995" s="42"/>
      <c r="R14995" s="23"/>
    </row>
    <row r="14996" spans="1:18" ht="12.75">
      <c r="A14996" s="12"/>
      <c r="D14996" s="12"/>
      <c r="E14996" s="12"/>
      <c r="H14996" s="11" t="str">
        <f ca="1">IFERROR(__xludf.DUMMYFUNCTION("IFERROR(SUBSTITUTE(SUBSTITUTE(REGEXEXTRACT(A14996, ""[^-]+- [^-]+- [^-]+ - (.+?)\.jpg""), "".jpg"", """"), ""-"", "", ""), """")"),"")</f>
        <v/>
      </c>
      <c r="L14996" s="12"/>
      <c r="M14996" s="13"/>
      <c r="N14996" s="2"/>
      <c r="O14996" s="20"/>
      <c r="P14996" s="42"/>
      <c r="R14996" s="23"/>
    </row>
    <row r="14997" spans="1:18" ht="12.75">
      <c r="A14997" s="12"/>
      <c r="D14997" s="12"/>
      <c r="E14997" s="12"/>
      <c r="H14997" s="11" t="str">
        <f ca="1">IFERROR(__xludf.DUMMYFUNCTION("IFERROR(SUBSTITUTE(SUBSTITUTE(REGEXEXTRACT(A14997, ""[^-]+- [^-]+- [^-]+ - (.+?)\.jpg""), "".jpg"", """"), ""-"", "", ""), """")"),"")</f>
        <v/>
      </c>
      <c r="L14997" s="12"/>
      <c r="M14997" s="13"/>
      <c r="N14997" s="2"/>
      <c r="O14997" s="20"/>
      <c r="P14997" s="42"/>
      <c r="R14997" s="23"/>
    </row>
    <row r="14998" spans="1:18" ht="12.75">
      <c r="A14998" s="12"/>
      <c r="D14998" s="12"/>
      <c r="E14998" s="12"/>
      <c r="H14998" s="11" t="str">
        <f ca="1">IFERROR(__xludf.DUMMYFUNCTION("IFERROR(SUBSTITUTE(SUBSTITUTE(REGEXEXTRACT(A14998, ""[^-]+- [^-]+- [^-]+ - (.+?)\.jpg""), "".jpg"", """"), ""-"", "", ""), """")"),"")</f>
        <v/>
      </c>
      <c r="L14998" s="12"/>
      <c r="M14998" s="13"/>
      <c r="N14998" s="2"/>
      <c r="O14998" s="20"/>
      <c r="P14998" s="42"/>
      <c r="R14998" s="23"/>
    </row>
    <row r="14999" spans="1:18" ht="12.75">
      <c r="A14999" s="12"/>
      <c r="D14999" s="12"/>
      <c r="E14999" s="12"/>
      <c r="H14999" s="11" t="str">
        <f ca="1">IFERROR(__xludf.DUMMYFUNCTION("IFERROR(SUBSTITUTE(SUBSTITUTE(REGEXEXTRACT(A14999, ""[^-]+- [^-]+- [^-]+ - (.+?)\.jpg""), "".jpg"", """"), ""-"", "", ""), """")"),"")</f>
        <v/>
      </c>
      <c r="L14999" s="12"/>
      <c r="M14999" s="13"/>
      <c r="N14999" s="2"/>
      <c r="O14999" s="20"/>
      <c r="P14999" s="42"/>
      <c r="R14999" s="23"/>
    </row>
    <row r="15000" spans="1:18" ht="12.75">
      <c r="A15000" s="12"/>
      <c r="D15000" s="12"/>
      <c r="E15000" s="12"/>
      <c r="H15000" s="11" t="str">
        <f ca="1">IFERROR(__xludf.DUMMYFUNCTION("IFERROR(SUBSTITUTE(SUBSTITUTE(REGEXEXTRACT(A15000, ""[^-]+- [^-]+- [^-]+ - (.+?)\.jpg""), "".jpg"", """"), ""-"", "", ""), """")"),"")</f>
        <v/>
      </c>
      <c r="L15000" s="12"/>
      <c r="M15000" s="13"/>
      <c r="N15000" s="2"/>
      <c r="O15000" s="20"/>
      <c r="P15000" s="42"/>
      <c r="R15000" s="23"/>
    </row>
    <row r="15001" spans="1:18" ht="12.75">
      <c r="A15001" s="12"/>
      <c r="D15001" s="12"/>
      <c r="E15001" s="12"/>
      <c r="H15001" s="11" t="str">
        <f ca="1">IFERROR(__xludf.DUMMYFUNCTION("IFERROR(SUBSTITUTE(SUBSTITUTE(REGEXEXTRACT(A15001, ""[^-]+- [^-]+- [^-]+ - (.+?)\.jpg""), "".jpg"", """"), ""-"", "", ""), """")"),"")</f>
        <v/>
      </c>
      <c r="L15001" s="12"/>
      <c r="M15001" s="13"/>
      <c r="N15001" s="2"/>
      <c r="O15001" s="20"/>
      <c r="P15001" s="42"/>
      <c r="R15001" s="23"/>
    </row>
    <row r="15002" spans="1:18" ht="12.75">
      <c r="A15002" s="12"/>
      <c r="D15002" s="12"/>
      <c r="E15002" s="12"/>
      <c r="H15002" s="11" t="str">
        <f ca="1">IFERROR(__xludf.DUMMYFUNCTION("IFERROR(SUBSTITUTE(SUBSTITUTE(REGEXEXTRACT(A15002, ""[^-]+- [^-]+- [^-]+ - (.+?)\.jpg""), "".jpg"", """"), ""-"", "", ""), """")"),"")</f>
        <v/>
      </c>
      <c r="L15002" s="12"/>
      <c r="M15002" s="13"/>
      <c r="N15002" s="2"/>
      <c r="O15002" s="20"/>
      <c r="P15002" s="42"/>
      <c r="R15002" s="23"/>
    </row>
    <row r="15003" spans="1:18" ht="12.75">
      <c r="A15003" s="12"/>
      <c r="D15003" s="12"/>
      <c r="E15003" s="12"/>
      <c r="H15003" s="11" t="str">
        <f ca="1">IFERROR(__xludf.DUMMYFUNCTION("IFERROR(SUBSTITUTE(SUBSTITUTE(REGEXEXTRACT(A15003, ""[^-]+- [^-]+- [^-]+ - (.+?)\.jpg""), "".jpg"", """"), ""-"", "", ""), """")"),"")</f>
        <v/>
      </c>
      <c r="L15003" s="12"/>
      <c r="M15003" s="13"/>
      <c r="N15003" s="2"/>
      <c r="O15003" s="20"/>
      <c r="P15003" s="42"/>
      <c r="R15003" s="23"/>
    </row>
    <row r="15004" spans="1:18" ht="12.75">
      <c r="A15004" s="12"/>
      <c r="D15004" s="12"/>
      <c r="E15004" s="12"/>
      <c r="H15004" s="11" t="str">
        <f ca="1">IFERROR(__xludf.DUMMYFUNCTION("IFERROR(SUBSTITUTE(SUBSTITUTE(REGEXEXTRACT(A15004, ""[^-]+- [^-]+- [^-]+ - (.+?)\.jpg""), "".jpg"", """"), ""-"", "", ""), """")"),"")</f>
        <v/>
      </c>
      <c r="L15004" s="12"/>
      <c r="M15004" s="13"/>
      <c r="N15004" s="2"/>
      <c r="O15004" s="20"/>
      <c r="P15004" s="42"/>
      <c r="R15004" s="23"/>
    </row>
    <row r="15005" spans="1:18" ht="12.75">
      <c r="A15005" s="12"/>
      <c r="D15005" s="12"/>
      <c r="E15005" s="12"/>
      <c r="H15005" s="11" t="str">
        <f ca="1">IFERROR(__xludf.DUMMYFUNCTION("IFERROR(SUBSTITUTE(SUBSTITUTE(REGEXEXTRACT(A15005, ""[^-]+- [^-]+- [^-]+ - (.+?)\.jpg""), "".jpg"", """"), ""-"", "", ""), """")"),"")</f>
        <v/>
      </c>
      <c r="L15005" s="12"/>
      <c r="M15005" s="13"/>
      <c r="N15005" s="2"/>
      <c r="O15005" s="20"/>
      <c r="P15005" s="42"/>
      <c r="R15005" s="23"/>
    </row>
    <row r="15006" spans="1:18" ht="12.75">
      <c r="A15006" s="12"/>
      <c r="D15006" s="12"/>
      <c r="E15006" s="12"/>
      <c r="H15006" s="11" t="str">
        <f ca="1">IFERROR(__xludf.DUMMYFUNCTION("IFERROR(SUBSTITUTE(SUBSTITUTE(REGEXEXTRACT(A15006, ""[^-]+- [^-]+- [^-]+ - (.+?)\.jpg""), "".jpg"", """"), ""-"", "", ""), """")"),"")</f>
        <v/>
      </c>
      <c r="L15006" s="12"/>
      <c r="M15006" s="13"/>
      <c r="N15006" s="2"/>
      <c r="O15006" s="20"/>
      <c r="P15006" s="42"/>
      <c r="R15006" s="23"/>
    </row>
    <row r="15007" spans="1:18" ht="12.75">
      <c r="A15007" s="12"/>
      <c r="D15007" s="12"/>
      <c r="E15007" s="12"/>
      <c r="H15007" s="11" t="str">
        <f ca="1">IFERROR(__xludf.DUMMYFUNCTION("IFERROR(SUBSTITUTE(SUBSTITUTE(REGEXEXTRACT(A15007, ""[^-]+- [^-]+- [^-]+ - (.+?)\.jpg""), "".jpg"", """"), ""-"", "", ""), """")"),"")</f>
        <v/>
      </c>
      <c r="L15007" s="12"/>
      <c r="M15007" s="13"/>
      <c r="N15007" s="2"/>
      <c r="O15007" s="20"/>
      <c r="P15007" s="42"/>
      <c r="R15007" s="23"/>
    </row>
    <row r="15008" spans="1:18" ht="12.75">
      <c r="A15008" s="12"/>
      <c r="D15008" s="12"/>
      <c r="E15008" s="12"/>
      <c r="H15008" s="11" t="str">
        <f ca="1">IFERROR(__xludf.DUMMYFUNCTION("IFERROR(SUBSTITUTE(SUBSTITUTE(REGEXEXTRACT(A15008, ""[^-]+- [^-]+- [^-]+ - (.+?)\.jpg""), "".jpg"", """"), ""-"", "", ""), """")"),"")</f>
        <v/>
      </c>
      <c r="L15008" s="12"/>
      <c r="M15008" s="13"/>
      <c r="N15008" s="2"/>
      <c r="O15008" s="20"/>
      <c r="P15008" s="42"/>
      <c r="R15008" s="23"/>
    </row>
    <row r="15009" spans="1:18" ht="12.75">
      <c r="A15009" s="12"/>
      <c r="D15009" s="12"/>
      <c r="E15009" s="12"/>
      <c r="H15009" s="11" t="str">
        <f ca="1">IFERROR(__xludf.DUMMYFUNCTION("IFERROR(SUBSTITUTE(SUBSTITUTE(REGEXEXTRACT(A15009, ""[^-]+- [^-]+- [^-]+ - (.+?)\.jpg""), "".jpg"", """"), ""-"", "", ""), """")"),"")</f>
        <v/>
      </c>
      <c r="L15009" s="12"/>
      <c r="M15009" s="13"/>
      <c r="N15009" s="2"/>
      <c r="O15009" s="20"/>
      <c r="P15009" s="42"/>
      <c r="R15009" s="23"/>
    </row>
    <row r="15010" spans="1:18" ht="12.75">
      <c r="A15010" s="12"/>
      <c r="D15010" s="12"/>
      <c r="E15010" s="12"/>
      <c r="H15010" s="11" t="str">
        <f ca="1">IFERROR(__xludf.DUMMYFUNCTION("IFERROR(SUBSTITUTE(SUBSTITUTE(REGEXEXTRACT(A15010, ""[^-]+- [^-]+- [^-]+ - (.+?)\.jpg""), "".jpg"", """"), ""-"", "", ""), """")"),"")</f>
        <v/>
      </c>
      <c r="L15010" s="12"/>
      <c r="M15010" s="13"/>
      <c r="N15010" s="2"/>
      <c r="O15010" s="20"/>
      <c r="P15010" s="42"/>
      <c r="R15010" s="23"/>
    </row>
    <row r="15011" spans="1:18" ht="12.75">
      <c r="A15011" s="12"/>
      <c r="D15011" s="12"/>
      <c r="E15011" s="12"/>
      <c r="H15011" s="11" t="str">
        <f ca="1">IFERROR(__xludf.DUMMYFUNCTION("IFERROR(SUBSTITUTE(SUBSTITUTE(REGEXEXTRACT(A15011, ""[^-]+- [^-]+- [^-]+ - (.+?)\.jpg""), "".jpg"", """"), ""-"", "", ""), """")"),"")</f>
        <v/>
      </c>
      <c r="L15011" s="12"/>
      <c r="M15011" s="13"/>
      <c r="N15011" s="2"/>
      <c r="O15011" s="20"/>
      <c r="P15011" s="42"/>
      <c r="R15011" s="23"/>
    </row>
    <row r="15012" spans="1:18" ht="12.75">
      <c r="A15012" s="12"/>
      <c r="D15012" s="12"/>
      <c r="E15012" s="12"/>
      <c r="H15012" s="11" t="str">
        <f ca="1">IFERROR(__xludf.DUMMYFUNCTION("IFERROR(SUBSTITUTE(SUBSTITUTE(REGEXEXTRACT(A15012, ""[^-]+- [^-]+- [^-]+ - (.+?)\.jpg""), "".jpg"", """"), ""-"", "", ""), """")"),"")</f>
        <v/>
      </c>
      <c r="L15012" s="12"/>
      <c r="M15012" s="13"/>
      <c r="N15012" s="2"/>
      <c r="O15012" s="20"/>
      <c r="P15012" s="42"/>
      <c r="R15012" s="23"/>
    </row>
    <row r="15013" spans="1:18" ht="12.75">
      <c r="A15013" s="12"/>
      <c r="D15013" s="12"/>
      <c r="E15013" s="12"/>
      <c r="H15013" s="11" t="str">
        <f ca="1">IFERROR(__xludf.DUMMYFUNCTION("IFERROR(SUBSTITUTE(SUBSTITUTE(REGEXEXTRACT(A15013, ""[^-]+- [^-]+- [^-]+ - (.+?)\.jpg""), "".jpg"", """"), ""-"", "", ""), """")"),"")</f>
        <v/>
      </c>
      <c r="L15013" s="12"/>
      <c r="M15013" s="13"/>
      <c r="N15013" s="2"/>
      <c r="O15013" s="20"/>
      <c r="P15013" s="42"/>
      <c r="R15013" s="23"/>
    </row>
    <row r="15014" spans="1:18" ht="12.75">
      <c r="A15014" s="12"/>
      <c r="D15014" s="12"/>
      <c r="E15014" s="12"/>
      <c r="H15014" s="11" t="str">
        <f ca="1">IFERROR(__xludf.DUMMYFUNCTION("IFERROR(SUBSTITUTE(SUBSTITUTE(REGEXEXTRACT(A15014, ""[^-]+- [^-]+- [^-]+ - (.+?)\.jpg""), "".jpg"", """"), ""-"", "", ""), """")"),"")</f>
        <v/>
      </c>
      <c r="L15014" s="12"/>
      <c r="M15014" s="13"/>
      <c r="N15014" s="2"/>
      <c r="O15014" s="20"/>
      <c r="P15014" s="42"/>
      <c r="R15014" s="23"/>
    </row>
    <row r="15015" spans="1:18" ht="12.75">
      <c r="A15015" s="12"/>
      <c r="D15015" s="12"/>
      <c r="E15015" s="12"/>
      <c r="H15015" s="11" t="str">
        <f ca="1">IFERROR(__xludf.DUMMYFUNCTION("IFERROR(SUBSTITUTE(SUBSTITUTE(REGEXEXTRACT(A15015, ""[^-]+- [^-]+- [^-]+ - (.+?)\.jpg""), "".jpg"", """"), ""-"", "", ""), """")"),"")</f>
        <v/>
      </c>
      <c r="L15015" s="12"/>
      <c r="M15015" s="13"/>
      <c r="N15015" s="2"/>
      <c r="O15015" s="20"/>
      <c r="P15015" s="42"/>
      <c r="R15015" s="23"/>
    </row>
    <row r="15016" spans="1:18" ht="12.75">
      <c r="A15016" s="12"/>
      <c r="D15016" s="12"/>
      <c r="E15016" s="12"/>
      <c r="H15016" s="11" t="str">
        <f ca="1">IFERROR(__xludf.DUMMYFUNCTION("IFERROR(SUBSTITUTE(SUBSTITUTE(REGEXEXTRACT(A15016, ""[^-]+- [^-]+- [^-]+ - (.+?)\.jpg""), "".jpg"", """"), ""-"", "", ""), """")"),"")</f>
        <v/>
      </c>
      <c r="L15016" s="12"/>
      <c r="M15016" s="13"/>
      <c r="N15016" s="2"/>
      <c r="O15016" s="20"/>
      <c r="P15016" s="42"/>
      <c r="R15016" s="23"/>
    </row>
    <row r="15017" spans="1:18" ht="12.75">
      <c r="A15017" s="12"/>
      <c r="D15017" s="12"/>
      <c r="E15017" s="12"/>
      <c r="H15017" s="11" t="str">
        <f ca="1">IFERROR(__xludf.DUMMYFUNCTION("IFERROR(SUBSTITUTE(SUBSTITUTE(REGEXEXTRACT(A15017, ""[^-]+- [^-]+- [^-]+ - (.+?)\.jpg""), "".jpg"", """"), ""-"", "", ""), """")"),"")</f>
        <v/>
      </c>
      <c r="L15017" s="12"/>
      <c r="M15017" s="13"/>
      <c r="N15017" s="2"/>
      <c r="O15017" s="20"/>
      <c r="P15017" s="42"/>
      <c r="R15017" s="23"/>
    </row>
    <row r="15018" spans="1:18" ht="12.75">
      <c r="A15018" s="12"/>
      <c r="D15018" s="12"/>
      <c r="E15018" s="12"/>
      <c r="H15018" s="11" t="str">
        <f ca="1">IFERROR(__xludf.DUMMYFUNCTION("IFERROR(SUBSTITUTE(SUBSTITUTE(REGEXEXTRACT(A15018, ""[^-]+- [^-]+- [^-]+ - (.+?)\.jpg""), "".jpg"", """"), ""-"", "", ""), """")"),"")</f>
        <v/>
      </c>
      <c r="L15018" s="12"/>
      <c r="M15018" s="13"/>
      <c r="N15018" s="2"/>
      <c r="O15018" s="20"/>
      <c r="P15018" s="42"/>
      <c r="R15018" s="23"/>
    </row>
    <row r="15019" spans="1:18" ht="12.75">
      <c r="A15019" s="12"/>
      <c r="D15019" s="12"/>
      <c r="E15019" s="12"/>
      <c r="H15019" s="11" t="str">
        <f ca="1">IFERROR(__xludf.DUMMYFUNCTION("IFERROR(SUBSTITUTE(SUBSTITUTE(REGEXEXTRACT(A15019, ""[^-]+- [^-]+- [^-]+ - (.+?)\.jpg""), "".jpg"", """"), ""-"", "", ""), """")"),"")</f>
        <v/>
      </c>
      <c r="L15019" s="12"/>
      <c r="M15019" s="13"/>
      <c r="N15019" s="2"/>
      <c r="O15019" s="20"/>
      <c r="P15019" s="42"/>
      <c r="R15019" s="23"/>
    </row>
    <row r="15020" spans="1:18" ht="12.75">
      <c r="A15020" s="12"/>
      <c r="D15020" s="12"/>
      <c r="E15020" s="12"/>
      <c r="H15020" s="11" t="str">
        <f ca="1">IFERROR(__xludf.DUMMYFUNCTION("IFERROR(SUBSTITUTE(SUBSTITUTE(REGEXEXTRACT(A15020, ""[^-]+- [^-]+- [^-]+ - (.+?)\.jpg""), "".jpg"", """"), ""-"", "", ""), """")"),"")</f>
        <v/>
      </c>
      <c r="L15020" s="12"/>
      <c r="M15020" s="13"/>
      <c r="N15020" s="2"/>
      <c r="O15020" s="20"/>
      <c r="P15020" s="42"/>
      <c r="R15020" s="23"/>
    </row>
    <row r="15021" spans="1:18" ht="12.75">
      <c r="A15021" s="12"/>
      <c r="D15021" s="12"/>
      <c r="E15021" s="12"/>
      <c r="H15021" s="11" t="str">
        <f ca="1">IFERROR(__xludf.DUMMYFUNCTION("IFERROR(SUBSTITUTE(SUBSTITUTE(REGEXEXTRACT(A15021, ""[^-]+- [^-]+- [^-]+ - (.+?)\.jpg""), "".jpg"", """"), ""-"", "", ""), """")"),"")</f>
        <v/>
      </c>
      <c r="L15021" s="12"/>
      <c r="M15021" s="13"/>
      <c r="N15021" s="2"/>
      <c r="O15021" s="20"/>
      <c r="P15021" s="42"/>
      <c r="R15021" s="23"/>
    </row>
    <row r="15022" spans="1:18" ht="12.75">
      <c r="A15022" s="12"/>
      <c r="D15022" s="12"/>
      <c r="E15022" s="12"/>
      <c r="H15022" s="11" t="str">
        <f ca="1">IFERROR(__xludf.DUMMYFUNCTION("IFERROR(SUBSTITUTE(SUBSTITUTE(REGEXEXTRACT(A15022, ""[^-]+- [^-]+- [^-]+ - (.+?)\.jpg""), "".jpg"", """"), ""-"", "", ""), """")"),"")</f>
        <v/>
      </c>
      <c r="L15022" s="12"/>
      <c r="M15022" s="13"/>
      <c r="N15022" s="2"/>
      <c r="O15022" s="20"/>
      <c r="P15022" s="42"/>
      <c r="R15022" s="23"/>
    </row>
    <row r="15023" spans="1:18" ht="12.75">
      <c r="A15023" s="12"/>
      <c r="D15023" s="12"/>
      <c r="E15023" s="12"/>
      <c r="H15023" s="11" t="str">
        <f ca="1">IFERROR(__xludf.DUMMYFUNCTION("IFERROR(SUBSTITUTE(SUBSTITUTE(REGEXEXTRACT(A15023, ""[^-]+- [^-]+- [^-]+ - (.+?)\.jpg""), "".jpg"", """"), ""-"", "", ""), """")"),"")</f>
        <v/>
      </c>
      <c r="L15023" s="12"/>
      <c r="M15023" s="13"/>
      <c r="N15023" s="2"/>
      <c r="O15023" s="20"/>
      <c r="P15023" s="42"/>
      <c r="R15023" s="23"/>
    </row>
    <row r="15024" spans="1:18" ht="12.75">
      <c r="A15024" s="12"/>
      <c r="D15024" s="12"/>
      <c r="E15024" s="12"/>
      <c r="H15024" s="11" t="str">
        <f ca="1">IFERROR(__xludf.DUMMYFUNCTION("IFERROR(SUBSTITUTE(SUBSTITUTE(REGEXEXTRACT(A15024, ""[^-]+- [^-]+- [^-]+ - (.+?)\.jpg""), "".jpg"", """"), ""-"", "", ""), """")"),"")</f>
        <v/>
      </c>
      <c r="L15024" s="12"/>
      <c r="M15024" s="13"/>
      <c r="N15024" s="2"/>
      <c r="O15024" s="20"/>
      <c r="P15024" s="42"/>
      <c r="R15024" s="23"/>
    </row>
    <row r="15025" spans="1:18" ht="12.75">
      <c r="A15025" s="12"/>
      <c r="D15025" s="12"/>
      <c r="E15025" s="12"/>
      <c r="H15025" s="11" t="str">
        <f ca="1">IFERROR(__xludf.DUMMYFUNCTION("IFERROR(SUBSTITUTE(SUBSTITUTE(REGEXEXTRACT(A15025, ""[^-]+- [^-]+- [^-]+ - (.+?)\.jpg""), "".jpg"", """"), ""-"", "", ""), """")"),"")</f>
        <v/>
      </c>
      <c r="L15025" s="12"/>
      <c r="M15025" s="13"/>
      <c r="N15025" s="2"/>
      <c r="O15025" s="20"/>
      <c r="P15025" s="42"/>
      <c r="R15025" s="23"/>
    </row>
    <row r="15026" spans="1:18" ht="12.75">
      <c r="A15026" s="12"/>
      <c r="D15026" s="12"/>
      <c r="E15026" s="12"/>
      <c r="H15026" s="11" t="str">
        <f ca="1">IFERROR(__xludf.DUMMYFUNCTION("IFERROR(SUBSTITUTE(SUBSTITUTE(REGEXEXTRACT(A15026, ""[^-]+- [^-]+- [^-]+ - (.+?)\.jpg""), "".jpg"", """"), ""-"", "", ""), """")"),"")</f>
        <v/>
      </c>
      <c r="L15026" s="12"/>
      <c r="M15026" s="13"/>
      <c r="N15026" s="2"/>
      <c r="O15026" s="20"/>
      <c r="P15026" s="42"/>
      <c r="R15026" s="23"/>
    </row>
    <row r="15027" spans="1:18" ht="12.75">
      <c r="A15027" s="12"/>
      <c r="D15027" s="12"/>
      <c r="E15027" s="12"/>
      <c r="H15027" s="11" t="str">
        <f ca="1">IFERROR(__xludf.DUMMYFUNCTION("IFERROR(SUBSTITUTE(SUBSTITUTE(REGEXEXTRACT(A15027, ""[^-]+- [^-]+- [^-]+ - (.+?)\.jpg""), "".jpg"", """"), ""-"", "", ""), """")"),"")</f>
        <v/>
      </c>
      <c r="L15027" s="12"/>
      <c r="M15027" s="13"/>
      <c r="N15027" s="2"/>
      <c r="O15027" s="20"/>
      <c r="P15027" s="42"/>
      <c r="R15027" s="23"/>
    </row>
    <row r="15028" spans="1:18" ht="12.75">
      <c r="A15028" s="12"/>
      <c r="D15028" s="12"/>
      <c r="E15028" s="12"/>
      <c r="H15028" s="11" t="str">
        <f ca="1">IFERROR(__xludf.DUMMYFUNCTION("IFERROR(SUBSTITUTE(SUBSTITUTE(REGEXEXTRACT(A15028, ""[^-]+- [^-]+- [^-]+ - (.+?)\.jpg""), "".jpg"", """"), ""-"", "", ""), """")"),"")</f>
        <v/>
      </c>
      <c r="L15028" s="12"/>
      <c r="M15028" s="13"/>
      <c r="N15028" s="2"/>
      <c r="O15028" s="20"/>
      <c r="P15028" s="42"/>
      <c r="R15028" s="23"/>
    </row>
    <row r="15029" spans="1:18" ht="12.75">
      <c r="A15029" s="12"/>
      <c r="D15029" s="12"/>
      <c r="E15029" s="12"/>
      <c r="H15029" s="11" t="str">
        <f ca="1">IFERROR(__xludf.DUMMYFUNCTION("IFERROR(SUBSTITUTE(SUBSTITUTE(REGEXEXTRACT(A15029, ""[^-]+- [^-]+- [^-]+ - (.+?)\.jpg""), "".jpg"", """"), ""-"", "", ""), """")"),"")</f>
        <v/>
      </c>
      <c r="L15029" s="12"/>
      <c r="M15029" s="13"/>
      <c r="N15029" s="2"/>
      <c r="O15029" s="20"/>
      <c r="P15029" s="42"/>
      <c r="R15029" s="23"/>
    </row>
    <row r="15030" spans="1:18" ht="12.75">
      <c r="A15030" s="12"/>
      <c r="D15030" s="12"/>
      <c r="E15030" s="12"/>
      <c r="H15030" s="11" t="str">
        <f ca="1">IFERROR(__xludf.DUMMYFUNCTION("IFERROR(SUBSTITUTE(SUBSTITUTE(REGEXEXTRACT(A15030, ""[^-]+- [^-]+- [^-]+ - (.+?)\.jpg""), "".jpg"", """"), ""-"", "", ""), """")"),"")</f>
        <v/>
      </c>
      <c r="L15030" s="12"/>
      <c r="M15030" s="13"/>
      <c r="N15030" s="2"/>
      <c r="O15030" s="20"/>
      <c r="P15030" s="42"/>
      <c r="R15030" s="23"/>
    </row>
    <row r="15031" spans="1:18" ht="12.75">
      <c r="A15031" s="12"/>
      <c r="D15031" s="12"/>
      <c r="E15031" s="12"/>
      <c r="H15031" s="11" t="str">
        <f ca="1">IFERROR(__xludf.DUMMYFUNCTION("IFERROR(SUBSTITUTE(SUBSTITUTE(REGEXEXTRACT(A15031, ""[^-]+- [^-]+- [^-]+ - (.+?)\.jpg""), "".jpg"", """"), ""-"", "", ""), """")"),"")</f>
        <v/>
      </c>
      <c r="L15031" s="12"/>
      <c r="M15031" s="13"/>
      <c r="N15031" s="2"/>
      <c r="O15031" s="20"/>
      <c r="P15031" s="42"/>
      <c r="R15031" s="23"/>
    </row>
    <row r="15032" spans="1:18" ht="12.75">
      <c r="A15032" s="12"/>
      <c r="D15032" s="12"/>
      <c r="E15032" s="12"/>
      <c r="H15032" s="11" t="str">
        <f ca="1">IFERROR(__xludf.DUMMYFUNCTION("IFERROR(SUBSTITUTE(SUBSTITUTE(REGEXEXTRACT(A15032, ""[^-]+- [^-]+- [^-]+ - (.+?)\.jpg""), "".jpg"", """"), ""-"", "", ""), """")"),"")</f>
        <v/>
      </c>
      <c r="L15032" s="12"/>
      <c r="M15032" s="13"/>
      <c r="N15032" s="2"/>
      <c r="O15032" s="20"/>
      <c r="P15032" s="42"/>
      <c r="R15032" s="23"/>
    </row>
    <row r="15033" spans="1:18" ht="12.75">
      <c r="A15033" s="12"/>
      <c r="D15033" s="12"/>
      <c r="E15033" s="12"/>
      <c r="H15033" s="11" t="str">
        <f ca="1">IFERROR(__xludf.DUMMYFUNCTION("IFERROR(SUBSTITUTE(SUBSTITUTE(REGEXEXTRACT(A15033, ""[^-]+- [^-]+- [^-]+ - (.+?)\.jpg""), "".jpg"", """"), ""-"", "", ""), """")"),"")</f>
        <v/>
      </c>
      <c r="L15033" s="12"/>
      <c r="M15033" s="13"/>
      <c r="N15033" s="2"/>
      <c r="O15033" s="20"/>
      <c r="P15033" s="42"/>
      <c r="R15033" s="23"/>
    </row>
    <row r="15034" spans="1:18" ht="12.75">
      <c r="A15034" s="12"/>
      <c r="D15034" s="12"/>
      <c r="E15034" s="12"/>
      <c r="H15034" s="11" t="str">
        <f ca="1">IFERROR(__xludf.DUMMYFUNCTION("IFERROR(SUBSTITUTE(SUBSTITUTE(REGEXEXTRACT(A15034, ""[^-]+- [^-]+- [^-]+ - (.+?)\.jpg""), "".jpg"", """"), ""-"", "", ""), """")"),"")</f>
        <v/>
      </c>
      <c r="L15034" s="12"/>
      <c r="M15034" s="13"/>
      <c r="N15034" s="2"/>
      <c r="O15034" s="20"/>
      <c r="P15034" s="42"/>
      <c r="R15034" s="23"/>
    </row>
    <row r="15035" spans="1:18" ht="12.75">
      <c r="A15035" s="12"/>
      <c r="D15035" s="12"/>
      <c r="E15035" s="12"/>
      <c r="H15035" s="11" t="str">
        <f ca="1">IFERROR(__xludf.DUMMYFUNCTION("IFERROR(SUBSTITUTE(SUBSTITUTE(REGEXEXTRACT(A15035, ""[^-]+- [^-]+- [^-]+ - (.+?)\.jpg""), "".jpg"", """"), ""-"", "", ""), """")"),"")</f>
        <v/>
      </c>
      <c r="L15035" s="12"/>
      <c r="M15035" s="13"/>
      <c r="N15035" s="2"/>
      <c r="O15035" s="20"/>
      <c r="P15035" s="42"/>
      <c r="R15035" s="23"/>
    </row>
    <row r="15036" spans="1:18" ht="12.75">
      <c r="A15036" s="12"/>
      <c r="D15036" s="12"/>
      <c r="E15036" s="12"/>
      <c r="H15036" s="11" t="str">
        <f ca="1">IFERROR(__xludf.DUMMYFUNCTION("IFERROR(SUBSTITUTE(SUBSTITUTE(REGEXEXTRACT(A15036, ""[^-]+- [^-]+- [^-]+ - (.+?)\.jpg""), "".jpg"", """"), ""-"", "", ""), """")"),"")</f>
        <v/>
      </c>
      <c r="L15036" s="12"/>
      <c r="M15036" s="13"/>
      <c r="N15036" s="2"/>
      <c r="O15036" s="20"/>
      <c r="P15036" s="42"/>
      <c r="R15036" s="23"/>
    </row>
    <row r="15037" spans="1:18" ht="12.75">
      <c r="A15037" s="12"/>
      <c r="D15037" s="12"/>
      <c r="E15037" s="12"/>
      <c r="H15037" s="11" t="str">
        <f ca="1">IFERROR(__xludf.DUMMYFUNCTION("IFERROR(SUBSTITUTE(SUBSTITUTE(REGEXEXTRACT(A15037, ""[^-]+- [^-]+- [^-]+ - (.+?)\.jpg""), "".jpg"", """"), ""-"", "", ""), """")"),"")</f>
        <v/>
      </c>
      <c r="L15037" s="12"/>
      <c r="M15037" s="13"/>
      <c r="N15037" s="2"/>
      <c r="O15037" s="20"/>
      <c r="P15037" s="42"/>
      <c r="R15037" s="23"/>
    </row>
    <row r="15038" spans="1:18" ht="12.75">
      <c r="A15038" s="12"/>
      <c r="D15038" s="12"/>
      <c r="E15038" s="12"/>
      <c r="H15038" s="11" t="str">
        <f ca="1">IFERROR(__xludf.DUMMYFUNCTION("IFERROR(SUBSTITUTE(SUBSTITUTE(REGEXEXTRACT(A15038, ""[^-]+- [^-]+- [^-]+ - (.+?)\.jpg""), "".jpg"", """"), ""-"", "", ""), """")"),"")</f>
        <v/>
      </c>
      <c r="L15038" s="12"/>
      <c r="M15038" s="13"/>
      <c r="N15038" s="2"/>
      <c r="O15038" s="20"/>
      <c r="P15038" s="42"/>
      <c r="R15038" s="23"/>
    </row>
    <row r="15039" spans="1:18" ht="12.75">
      <c r="A15039" s="12"/>
      <c r="D15039" s="12"/>
      <c r="E15039" s="12"/>
      <c r="H15039" s="11" t="str">
        <f ca="1">IFERROR(__xludf.DUMMYFUNCTION("IFERROR(SUBSTITUTE(SUBSTITUTE(REGEXEXTRACT(A15039, ""[^-]+- [^-]+- [^-]+ - (.+?)\.jpg""), "".jpg"", """"), ""-"", "", ""), """")"),"")</f>
        <v/>
      </c>
      <c r="L15039" s="12"/>
      <c r="M15039" s="13"/>
      <c r="N15039" s="2"/>
      <c r="O15039" s="20"/>
      <c r="P15039" s="42"/>
      <c r="R15039" s="23"/>
    </row>
    <row r="15040" spans="1:18" ht="12.75">
      <c r="A15040" s="12"/>
      <c r="D15040" s="12"/>
      <c r="E15040" s="12"/>
      <c r="H15040" s="11" t="str">
        <f ca="1">IFERROR(__xludf.DUMMYFUNCTION("IFERROR(SUBSTITUTE(SUBSTITUTE(REGEXEXTRACT(A15040, ""[^-]+- [^-]+- [^-]+ - (.+?)\.jpg""), "".jpg"", """"), ""-"", "", ""), """")"),"")</f>
        <v/>
      </c>
      <c r="L15040" s="12"/>
      <c r="M15040" s="13"/>
      <c r="N15040" s="2"/>
      <c r="O15040" s="20"/>
      <c r="P15040" s="42"/>
      <c r="R15040" s="23"/>
    </row>
    <row r="15041" spans="1:18" ht="12.75">
      <c r="A15041" s="12"/>
      <c r="D15041" s="12"/>
      <c r="E15041" s="12"/>
      <c r="H15041" s="11" t="str">
        <f ca="1">IFERROR(__xludf.DUMMYFUNCTION("IFERROR(SUBSTITUTE(SUBSTITUTE(REGEXEXTRACT(A15041, ""[^-]+- [^-]+- [^-]+ - (.+?)\.jpg""), "".jpg"", """"), ""-"", "", ""), """")"),"")</f>
        <v/>
      </c>
      <c r="L15041" s="12"/>
      <c r="M15041" s="13"/>
      <c r="N15041" s="2"/>
      <c r="O15041" s="20"/>
      <c r="P15041" s="42"/>
      <c r="R15041" s="23"/>
    </row>
    <row r="15042" spans="1:18" ht="12.75">
      <c r="A15042" s="12"/>
      <c r="D15042" s="12"/>
      <c r="E15042" s="12"/>
      <c r="H15042" s="11" t="str">
        <f ca="1">IFERROR(__xludf.DUMMYFUNCTION("IFERROR(SUBSTITUTE(SUBSTITUTE(REGEXEXTRACT(A15042, ""[^-]+- [^-]+- [^-]+ - (.+?)\.jpg""), "".jpg"", """"), ""-"", "", ""), """")"),"")</f>
        <v/>
      </c>
      <c r="L15042" s="12"/>
      <c r="M15042" s="13"/>
      <c r="N15042" s="2"/>
      <c r="O15042" s="20"/>
      <c r="P15042" s="42"/>
      <c r="R15042" s="23"/>
    </row>
    <row r="15043" spans="1:18" ht="12.75">
      <c r="A15043" s="12"/>
      <c r="D15043" s="12"/>
      <c r="E15043" s="12"/>
      <c r="H15043" s="11" t="str">
        <f ca="1">IFERROR(__xludf.DUMMYFUNCTION("IFERROR(SUBSTITUTE(SUBSTITUTE(REGEXEXTRACT(A15043, ""[^-]+- [^-]+- [^-]+ - (.+?)\.jpg""), "".jpg"", """"), ""-"", "", ""), """")"),"")</f>
        <v/>
      </c>
      <c r="L15043" s="12"/>
      <c r="M15043" s="13"/>
      <c r="N15043" s="2"/>
      <c r="O15043" s="20"/>
      <c r="P15043" s="42"/>
      <c r="R15043" s="23"/>
    </row>
    <row r="15044" spans="1:18" ht="12.75">
      <c r="A15044" s="12"/>
      <c r="D15044" s="12"/>
      <c r="E15044" s="12"/>
      <c r="H15044" s="11" t="str">
        <f ca="1">IFERROR(__xludf.DUMMYFUNCTION("IFERROR(SUBSTITUTE(SUBSTITUTE(REGEXEXTRACT(A15044, ""[^-]+- [^-]+- [^-]+ - (.+?)\.jpg""), "".jpg"", """"), ""-"", "", ""), """")"),"")</f>
        <v/>
      </c>
      <c r="L15044" s="12"/>
      <c r="M15044" s="13"/>
      <c r="N15044" s="2"/>
      <c r="O15044" s="20"/>
      <c r="P15044" s="42"/>
      <c r="R15044" s="23"/>
    </row>
    <row r="15045" spans="1:18" ht="12.75">
      <c r="A15045" s="12"/>
      <c r="D15045" s="12"/>
      <c r="E15045" s="12"/>
      <c r="H15045" s="11" t="str">
        <f ca="1">IFERROR(__xludf.DUMMYFUNCTION("IFERROR(SUBSTITUTE(SUBSTITUTE(REGEXEXTRACT(A15045, ""[^-]+- [^-]+- [^-]+ - (.+?)\.jpg""), "".jpg"", """"), ""-"", "", ""), """")"),"")</f>
        <v/>
      </c>
      <c r="L15045" s="12"/>
      <c r="M15045" s="13"/>
      <c r="N15045" s="2"/>
      <c r="O15045" s="20"/>
      <c r="P15045" s="42"/>
      <c r="R15045" s="23"/>
    </row>
    <row r="15046" spans="1:18" ht="12.75">
      <c r="A15046" s="12"/>
      <c r="D15046" s="12"/>
      <c r="E15046" s="12"/>
      <c r="H15046" s="11" t="str">
        <f ca="1">IFERROR(__xludf.DUMMYFUNCTION("IFERROR(SUBSTITUTE(SUBSTITUTE(REGEXEXTRACT(A15046, ""[^-]+- [^-]+- [^-]+ - (.+?)\.jpg""), "".jpg"", """"), ""-"", "", ""), """")"),"")</f>
        <v/>
      </c>
      <c r="L15046" s="12"/>
      <c r="M15046" s="13"/>
      <c r="N15046" s="2"/>
      <c r="O15046" s="20"/>
      <c r="P15046" s="42"/>
      <c r="R15046" s="23"/>
    </row>
    <row r="15047" spans="1:18" ht="12.75">
      <c r="A15047" s="12"/>
      <c r="D15047" s="12"/>
      <c r="E15047" s="12"/>
      <c r="H15047" s="11" t="str">
        <f ca="1">IFERROR(__xludf.DUMMYFUNCTION("IFERROR(SUBSTITUTE(SUBSTITUTE(REGEXEXTRACT(A15047, ""[^-]+- [^-]+- [^-]+ - (.+?)\.jpg""), "".jpg"", """"), ""-"", "", ""), """")"),"")</f>
        <v/>
      </c>
      <c r="L15047" s="12"/>
      <c r="M15047" s="13"/>
      <c r="N15047" s="2"/>
      <c r="O15047" s="20"/>
      <c r="P15047" s="42"/>
      <c r="R15047" s="23"/>
    </row>
    <row r="15048" spans="1:18" ht="12.75">
      <c r="A15048" s="12"/>
      <c r="D15048" s="12"/>
      <c r="E15048" s="12"/>
      <c r="H15048" s="11" t="str">
        <f ca="1">IFERROR(__xludf.DUMMYFUNCTION("IFERROR(SUBSTITUTE(SUBSTITUTE(REGEXEXTRACT(A15048, ""[^-]+- [^-]+- [^-]+ - (.+?)\.jpg""), "".jpg"", """"), ""-"", "", ""), """")"),"")</f>
        <v/>
      </c>
      <c r="L15048" s="12"/>
      <c r="M15048" s="13"/>
      <c r="N15048" s="2"/>
      <c r="O15048" s="20"/>
      <c r="P15048" s="42"/>
      <c r="R15048" s="23"/>
    </row>
    <row r="15049" spans="1:18" ht="12.75">
      <c r="A15049" s="12"/>
      <c r="D15049" s="12"/>
      <c r="E15049" s="12"/>
      <c r="H15049" s="11" t="str">
        <f ca="1">IFERROR(__xludf.DUMMYFUNCTION("IFERROR(SUBSTITUTE(SUBSTITUTE(REGEXEXTRACT(A15049, ""[^-]+- [^-]+- [^-]+ - (.+?)\.jpg""), "".jpg"", """"), ""-"", "", ""), """")"),"")</f>
        <v/>
      </c>
      <c r="L15049" s="12"/>
      <c r="M15049" s="13"/>
      <c r="N15049" s="2"/>
      <c r="O15049" s="20"/>
      <c r="P15049" s="42"/>
      <c r="R15049" s="23"/>
    </row>
    <row r="15050" spans="1:18" ht="12.75">
      <c r="A15050" s="12"/>
      <c r="D15050" s="12"/>
      <c r="E15050" s="12"/>
      <c r="H15050" s="11" t="str">
        <f ca="1">IFERROR(__xludf.DUMMYFUNCTION("IFERROR(SUBSTITUTE(SUBSTITUTE(REGEXEXTRACT(A15050, ""[^-]+- [^-]+- [^-]+ - (.+?)\.jpg""), "".jpg"", """"), ""-"", "", ""), """")"),"")</f>
        <v/>
      </c>
      <c r="L15050" s="12"/>
      <c r="M15050" s="13"/>
      <c r="N15050" s="2"/>
      <c r="O15050" s="20"/>
      <c r="P15050" s="42"/>
      <c r="R15050" s="23"/>
    </row>
    <row r="15051" spans="1:18" ht="12.75">
      <c r="A15051" s="12"/>
      <c r="D15051" s="12"/>
      <c r="E15051" s="12"/>
      <c r="H15051" s="11" t="str">
        <f ca="1">IFERROR(__xludf.DUMMYFUNCTION("IFERROR(SUBSTITUTE(SUBSTITUTE(REGEXEXTRACT(A15051, ""[^-]+- [^-]+- [^-]+ - (.+?)\.jpg""), "".jpg"", """"), ""-"", "", ""), """")"),"")</f>
        <v/>
      </c>
      <c r="L15051" s="12"/>
      <c r="M15051" s="13"/>
      <c r="N15051" s="2"/>
      <c r="O15051" s="20"/>
      <c r="P15051" s="42"/>
      <c r="R15051" s="23"/>
    </row>
    <row r="15052" spans="1:18" ht="12.75">
      <c r="A15052" s="12"/>
      <c r="D15052" s="12"/>
      <c r="E15052" s="12"/>
      <c r="H15052" s="11" t="str">
        <f ca="1">IFERROR(__xludf.DUMMYFUNCTION("IFERROR(SUBSTITUTE(SUBSTITUTE(REGEXEXTRACT(A15052, ""[^-]+- [^-]+- [^-]+ - (.+?)\.jpg""), "".jpg"", """"), ""-"", "", ""), """")"),"")</f>
        <v/>
      </c>
      <c r="L15052" s="12"/>
      <c r="M15052" s="13"/>
      <c r="N15052" s="2"/>
      <c r="O15052" s="20"/>
      <c r="P15052" s="42"/>
      <c r="R15052" s="23"/>
    </row>
    <row r="15053" spans="1:18" ht="12.75">
      <c r="A15053" s="12"/>
      <c r="D15053" s="12"/>
      <c r="E15053" s="12"/>
      <c r="H15053" s="11" t="str">
        <f ca="1">IFERROR(__xludf.DUMMYFUNCTION("IFERROR(SUBSTITUTE(SUBSTITUTE(REGEXEXTRACT(A15053, ""[^-]+- [^-]+- [^-]+ - (.+?)\.jpg""), "".jpg"", """"), ""-"", "", ""), """")"),"")</f>
        <v/>
      </c>
      <c r="L15053" s="12"/>
      <c r="M15053" s="13"/>
      <c r="N15053" s="2"/>
      <c r="O15053" s="20"/>
      <c r="P15053" s="42"/>
      <c r="R15053" s="23"/>
    </row>
    <row r="15054" spans="1:18" ht="12.75">
      <c r="A15054" s="12"/>
      <c r="D15054" s="12"/>
      <c r="E15054" s="12"/>
      <c r="H15054" s="11" t="str">
        <f ca="1">IFERROR(__xludf.DUMMYFUNCTION("IFERROR(SUBSTITUTE(SUBSTITUTE(REGEXEXTRACT(A15054, ""[^-]+- [^-]+- [^-]+ - (.+?)\.jpg""), "".jpg"", """"), ""-"", "", ""), """")"),"")</f>
        <v/>
      </c>
      <c r="L15054" s="12"/>
      <c r="M15054" s="13"/>
      <c r="N15054" s="2"/>
      <c r="O15054" s="20"/>
      <c r="P15054" s="42"/>
      <c r="R15054" s="23"/>
    </row>
    <row r="15055" spans="1:18" ht="12.75">
      <c r="A15055" s="12"/>
      <c r="D15055" s="12"/>
      <c r="E15055" s="12"/>
      <c r="H15055" s="11" t="str">
        <f ca="1">IFERROR(__xludf.DUMMYFUNCTION("IFERROR(SUBSTITUTE(SUBSTITUTE(REGEXEXTRACT(A15055, ""[^-]+- [^-]+- [^-]+ - (.+?)\.jpg""), "".jpg"", """"), ""-"", "", ""), """")"),"")</f>
        <v/>
      </c>
      <c r="L15055" s="12"/>
      <c r="M15055" s="13"/>
      <c r="N15055" s="2"/>
      <c r="O15055" s="20"/>
      <c r="P15055" s="42"/>
      <c r="R15055" s="23"/>
    </row>
    <row r="15056" spans="1:18" ht="12.75">
      <c r="A15056" s="12"/>
      <c r="D15056" s="12"/>
      <c r="E15056" s="12"/>
      <c r="H15056" s="11" t="str">
        <f ca="1">IFERROR(__xludf.DUMMYFUNCTION("IFERROR(SUBSTITUTE(SUBSTITUTE(REGEXEXTRACT(A15056, ""[^-]+- [^-]+- [^-]+ - (.+?)\.jpg""), "".jpg"", """"), ""-"", "", ""), """")"),"")</f>
        <v/>
      </c>
      <c r="L15056" s="12"/>
      <c r="M15056" s="13"/>
      <c r="N15056" s="2"/>
      <c r="O15056" s="20"/>
      <c r="P15056" s="42"/>
      <c r="R15056" s="23"/>
    </row>
    <row r="15057" spans="1:18" ht="12.75">
      <c r="A15057" s="12"/>
      <c r="D15057" s="12"/>
      <c r="E15057" s="12"/>
      <c r="H15057" s="11" t="str">
        <f ca="1">IFERROR(__xludf.DUMMYFUNCTION("IFERROR(SUBSTITUTE(SUBSTITUTE(REGEXEXTRACT(A15057, ""[^-]+- [^-]+- [^-]+ - (.+?)\.jpg""), "".jpg"", """"), ""-"", "", ""), """")"),"")</f>
        <v/>
      </c>
      <c r="L15057" s="12"/>
      <c r="M15057" s="13"/>
      <c r="N15057" s="2"/>
      <c r="O15057" s="20"/>
      <c r="P15057" s="42"/>
      <c r="R15057" s="23"/>
    </row>
    <row r="15058" spans="1:18" ht="12.75">
      <c r="A15058" s="12"/>
      <c r="D15058" s="12"/>
      <c r="E15058" s="12"/>
      <c r="H15058" s="11" t="str">
        <f ca="1">IFERROR(__xludf.DUMMYFUNCTION("IFERROR(SUBSTITUTE(SUBSTITUTE(REGEXEXTRACT(A15058, ""[^-]+- [^-]+- [^-]+ - (.+?)\.jpg""), "".jpg"", """"), ""-"", "", ""), """")"),"")</f>
        <v/>
      </c>
      <c r="L15058" s="12"/>
      <c r="M15058" s="13"/>
      <c r="N15058" s="2"/>
      <c r="O15058" s="20"/>
      <c r="P15058" s="42"/>
      <c r="R15058" s="23"/>
    </row>
    <row r="15059" spans="1:18" ht="12.75">
      <c r="A15059" s="12"/>
      <c r="D15059" s="12"/>
      <c r="E15059" s="12"/>
      <c r="H15059" s="11" t="str">
        <f ca="1">IFERROR(__xludf.DUMMYFUNCTION("IFERROR(SUBSTITUTE(SUBSTITUTE(REGEXEXTRACT(A15059, ""[^-]+- [^-]+- [^-]+ - (.+?)\.jpg""), "".jpg"", """"), ""-"", "", ""), """")"),"")</f>
        <v/>
      </c>
      <c r="L15059" s="12"/>
      <c r="M15059" s="13"/>
      <c r="N15059" s="2"/>
      <c r="O15059" s="20"/>
      <c r="P15059" s="42"/>
      <c r="R15059" s="23"/>
    </row>
    <row r="15060" spans="1:18" ht="12.75">
      <c r="A15060" s="12"/>
      <c r="D15060" s="12"/>
      <c r="E15060" s="12"/>
      <c r="H15060" s="11" t="str">
        <f ca="1">IFERROR(__xludf.DUMMYFUNCTION("IFERROR(SUBSTITUTE(SUBSTITUTE(REGEXEXTRACT(A15060, ""[^-]+- [^-]+- [^-]+ - (.+?)\.jpg""), "".jpg"", """"), ""-"", "", ""), """")"),"")</f>
        <v/>
      </c>
      <c r="L15060" s="12"/>
      <c r="M15060" s="13"/>
      <c r="N15060" s="2"/>
      <c r="O15060" s="20"/>
      <c r="P15060" s="42"/>
      <c r="R15060" s="23"/>
    </row>
    <row r="15061" spans="1:18" ht="12.75">
      <c r="A15061" s="12"/>
      <c r="D15061" s="12"/>
      <c r="E15061" s="12"/>
      <c r="H15061" s="11" t="str">
        <f ca="1">IFERROR(__xludf.DUMMYFUNCTION("IFERROR(SUBSTITUTE(SUBSTITUTE(REGEXEXTRACT(A15061, ""[^-]+- [^-]+- [^-]+ - (.+?)\.jpg""), "".jpg"", """"), ""-"", "", ""), """")"),"")</f>
        <v/>
      </c>
      <c r="L15061" s="12"/>
      <c r="M15061" s="13"/>
      <c r="N15061" s="2"/>
      <c r="O15061" s="20"/>
      <c r="P15061" s="42"/>
      <c r="R15061" s="23"/>
    </row>
    <row r="15062" spans="1:18" ht="12.75">
      <c r="A15062" s="12"/>
      <c r="D15062" s="12"/>
      <c r="E15062" s="12"/>
      <c r="H15062" s="11" t="str">
        <f ca="1">IFERROR(__xludf.DUMMYFUNCTION("IFERROR(SUBSTITUTE(SUBSTITUTE(REGEXEXTRACT(A15062, ""[^-]+- [^-]+- [^-]+ - (.+?)\.jpg""), "".jpg"", """"), ""-"", "", ""), """")"),"")</f>
        <v/>
      </c>
      <c r="L15062" s="12"/>
      <c r="M15062" s="13"/>
      <c r="N15062" s="2"/>
      <c r="O15062" s="20"/>
      <c r="P15062" s="42"/>
      <c r="R15062" s="23"/>
    </row>
    <row r="15063" spans="1:18" ht="12.75">
      <c r="A15063" s="12"/>
      <c r="D15063" s="12"/>
      <c r="E15063" s="12"/>
      <c r="H15063" s="11" t="str">
        <f ca="1">IFERROR(__xludf.DUMMYFUNCTION("IFERROR(SUBSTITUTE(SUBSTITUTE(REGEXEXTRACT(A15063, ""[^-]+- [^-]+- [^-]+ - (.+?)\.jpg""), "".jpg"", """"), ""-"", "", ""), """")"),"")</f>
        <v/>
      </c>
      <c r="L15063" s="12"/>
      <c r="M15063" s="13"/>
      <c r="N15063" s="2"/>
      <c r="O15063" s="20"/>
      <c r="P15063" s="42"/>
      <c r="R15063" s="23"/>
    </row>
    <row r="15064" spans="1:18" ht="12.75">
      <c r="A15064" s="12"/>
      <c r="D15064" s="12"/>
      <c r="E15064" s="12"/>
      <c r="H15064" s="11" t="str">
        <f ca="1">IFERROR(__xludf.DUMMYFUNCTION("IFERROR(SUBSTITUTE(SUBSTITUTE(REGEXEXTRACT(A15064, ""[^-]+- [^-]+- [^-]+ - (.+?)\.jpg""), "".jpg"", """"), ""-"", "", ""), """")"),"")</f>
        <v/>
      </c>
      <c r="L15064" s="12"/>
      <c r="M15064" s="13"/>
      <c r="N15064" s="2"/>
      <c r="O15064" s="20"/>
      <c r="P15064" s="42"/>
      <c r="R15064" s="23"/>
    </row>
    <row r="15065" spans="1:18" ht="12.75">
      <c r="A15065" s="12"/>
      <c r="D15065" s="12"/>
      <c r="E15065" s="12"/>
      <c r="H15065" s="11" t="str">
        <f ca="1">IFERROR(__xludf.DUMMYFUNCTION("IFERROR(SUBSTITUTE(SUBSTITUTE(REGEXEXTRACT(A15065, ""[^-]+- [^-]+- [^-]+ - (.+?)\.jpg""), "".jpg"", """"), ""-"", "", ""), """")"),"")</f>
        <v/>
      </c>
      <c r="L15065" s="12"/>
      <c r="M15065" s="13"/>
      <c r="N15065" s="2"/>
      <c r="O15065" s="20"/>
      <c r="P15065" s="42"/>
      <c r="R15065" s="23"/>
    </row>
    <row r="15066" spans="1:18" ht="12.75">
      <c r="A15066" s="12"/>
      <c r="D15066" s="12"/>
      <c r="E15066" s="12"/>
      <c r="H15066" s="11" t="str">
        <f ca="1">IFERROR(__xludf.DUMMYFUNCTION("IFERROR(SUBSTITUTE(SUBSTITUTE(REGEXEXTRACT(A15066, ""[^-]+- [^-]+- [^-]+ - (.+?)\.jpg""), "".jpg"", """"), ""-"", "", ""), """")"),"")</f>
        <v/>
      </c>
      <c r="L15066" s="12"/>
      <c r="M15066" s="13"/>
      <c r="N15066" s="2"/>
      <c r="O15066" s="20"/>
      <c r="P15066" s="42"/>
      <c r="R15066" s="23"/>
    </row>
    <row r="15067" spans="1:18" ht="12.75">
      <c r="A15067" s="12"/>
      <c r="D15067" s="12"/>
      <c r="E15067" s="12"/>
      <c r="H15067" s="11" t="str">
        <f ca="1">IFERROR(__xludf.DUMMYFUNCTION("IFERROR(SUBSTITUTE(SUBSTITUTE(REGEXEXTRACT(A15067, ""[^-]+- [^-]+- [^-]+ - (.+?)\.jpg""), "".jpg"", """"), ""-"", "", ""), """")"),"")</f>
        <v/>
      </c>
      <c r="L15067" s="12"/>
      <c r="M15067" s="13"/>
      <c r="N15067" s="2"/>
      <c r="O15067" s="20"/>
      <c r="P15067" s="42"/>
      <c r="R15067" s="23"/>
    </row>
    <row r="15068" spans="1:18" ht="12.75">
      <c r="A15068" s="12"/>
      <c r="D15068" s="12"/>
      <c r="E15068" s="12"/>
      <c r="H15068" s="11" t="str">
        <f ca="1">IFERROR(__xludf.DUMMYFUNCTION("IFERROR(SUBSTITUTE(SUBSTITUTE(REGEXEXTRACT(A15068, ""[^-]+- [^-]+- [^-]+ - (.+?)\.jpg""), "".jpg"", """"), ""-"", "", ""), """")"),"")</f>
        <v/>
      </c>
      <c r="L15068" s="12"/>
      <c r="M15068" s="13"/>
      <c r="N15068" s="2"/>
      <c r="O15068" s="20"/>
      <c r="P15068" s="42"/>
      <c r="R15068" s="23"/>
    </row>
    <row r="15069" spans="1:18" ht="12.75">
      <c r="A15069" s="12"/>
      <c r="D15069" s="12"/>
      <c r="E15069" s="12"/>
      <c r="H15069" s="11" t="str">
        <f ca="1">IFERROR(__xludf.DUMMYFUNCTION("IFERROR(SUBSTITUTE(SUBSTITUTE(REGEXEXTRACT(A15069, ""[^-]+- [^-]+- [^-]+ - (.+?)\.jpg""), "".jpg"", """"), ""-"", "", ""), """")"),"")</f>
        <v/>
      </c>
      <c r="L15069" s="12"/>
      <c r="M15069" s="13"/>
      <c r="N15069" s="2"/>
      <c r="O15069" s="20"/>
      <c r="P15069" s="42"/>
      <c r="R15069" s="23"/>
    </row>
    <row r="15070" spans="1:18" ht="12.75">
      <c r="A15070" s="12"/>
      <c r="D15070" s="12"/>
      <c r="E15070" s="12"/>
      <c r="H15070" s="11" t="str">
        <f ca="1">IFERROR(__xludf.DUMMYFUNCTION("IFERROR(SUBSTITUTE(SUBSTITUTE(REGEXEXTRACT(A15070, ""[^-]+- [^-]+- [^-]+ - (.+?)\.jpg""), "".jpg"", """"), ""-"", "", ""), """")"),"")</f>
        <v/>
      </c>
      <c r="L15070" s="12"/>
      <c r="M15070" s="13"/>
      <c r="N15070" s="2"/>
      <c r="O15070" s="20"/>
      <c r="P15070" s="42"/>
      <c r="R15070" s="23"/>
    </row>
    <row r="15071" spans="1:18" ht="12.75">
      <c r="A15071" s="12"/>
      <c r="D15071" s="12"/>
      <c r="E15071" s="12"/>
      <c r="H15071" s="11" t="str">
        <f ca="1">IFERROR(__xludf.DUMMYFUNCTION("IFERROR(SUBSTITUTE(SUBSTITUTE(REGEXEXTRACT(A15071, ""[^-]+- [^-]+- [^-]+ - (.+?)\.jpg""), "".jpg"", """"), ""-"", "", ""), """")"),"")</f>
        <v/>
      </c>
      <c r="L15071" s="12"/>
      <c r="M15071" s="13"/>
      <c r="N15071" s="2"/>
      <c r="O15071" s="20"/>
      <c r="P15071" s="42"/>
      <c r="R15071" s="23"/>
    </row>
    <row r="15072" spans="1:18" ht="12.75">
      <c r="A15072" s="12"/>
      <c r="D15072" s="12"/>
      <c r="E15072" s="12"/>
      <c r="H15072" s="11" t="str">
        <f ca="1">IFERROR(__xludf.DUMMYFUNCTION("IFERROR(SUBSTITUTE(SUBSTITUTE(REGEXEXTRACT(A15072, ""[^-]+- [^-]+- [^-]+ - (.+?)\.jpg""), "".jpg"", """"), ""-"", "", ""), """")"),"")</f>
        <v/>
      </c>
      <c r="L15072" s="12"/>
      <c r="M15072" s="13"/>
      <c r="N15072" s="2"/>
      <c r="O15072" s="20"/>
      <c r="P15072" s="42"/>
      <c r="R15072" s="23"/>
    </row>
    <row r="15073" spans="1:18" ht="12.75">
      <c r="A15073" s="12"/>
      <c r="D15073" s="12"/>
      <c r="E15073" s="12"/>
      <c r="H15073" s="11" t="str">
        <f ca="1">IFERROR(__xludf.DUMMYFUNCTION("IFERROR(SUBSTITUTE(SUBSTITUTE(REGEXEXTRACT(A15073, ""[^-]+- [^-]+- [^-]+ - (.+?)\.jpg""), "".jpg"", """"), ""-"", "", ""), """")"),"")</f>
        <v/>
      </c>
      <c r="L15073" s="12"/>
      <c r="M15073" s="13"/>
      <c r="N15073" s="2"/>
      <c r="O15073" s="20"/>
      <c r="P15073" s="42"/>
      <c r="R15073" s="23"/>
    </row>
    <row r="15074" spans="1:18" ht="12.75">
      <c r="A15074" s="12"/>
      <c r="D15074" s="12"/>
      <c r="E15074" s="12"/>
      <c r="H15074" s="11" t="str">
        <f ca="1">IFERROR(__xludf.DUMMYFUNCTION("IFERROR(SUBSTITUTE(SUBSTITUTE(REGEXEXTRACT(A15074, ""[^-]+- [^-]+- [^-]+ - (.+?)\.jpg""), "".jpg"", """"), ""-"", "", ""), """")"),"")</f>
        <v/>
      </c>
      <c r="L15074" s="12"/>
      <c r="M15074" s="13"/>
      <c r="N15074" s="2"/>
      <c r="O15074" s="20"/>
      <c r="P15074" s="42"/>
      <c r="R15074" s="23"/>
    </row>
    <row r="15075" spans="1:18" ht="12.75">
      <c r="A15075" s="12"/>
      <c r="D15075" s="12"/>
      <c r="E15075" s="12"/>
      <c r="H15075" s="11" t="str">
        <f ca="1">IFERROR(__xludf.DUMMYFUNCTION("IFERROR(SUBSTITUTE(SUBSTITUTE(REGEXEXTRACT(A15075, ""[^-]+- [^-]+- [^-]+ - (.+?)\.jpg""), "".jpg"", """"), ""-"", "", ""), """")"),"")</f>
        <v/>
      </c>
      <c r="L15075" s="12"/>
      <c r="M15075" s="13"/>
      <c r="N15075" s="2"/>
      <c r="O15075" s="20"/>
      <c r="P15075" s="42"/>
      <c r="R15075" s="23"/>
    </row>
    <row r="15076" spans="1:18" ht="12.75">
      <c r="A15076" s="12"/>
      <c r="D15076" s="12"/>
      <c r="E15076" s="12"/>
      <c r="H15076" s="11" t="str">
        <f ca="1">IFERROR(__xludf.DUMMYFUNCTION("IFERROR(SUBSTITUTE(SUBSTITUTE(REGEXEXTRACT(A15076, ""[^-]+- [^-]+- [^-]+ - (.+?)\.jpg""), "".jpg"", """"), ""-"", "", ""), """")"),"")</f>
        <v/>
      </c>
      <c r="L15076" s="12"/>
      <c r="M15076" s="13"/>
      <c r="N15076" s="2"/>
      <c r="O15076" s="20"/>
      <c r="P15076" s="42"/>
      <c r="R15076" s="23"/>
    </row>
    <row r="15077" spans="1:18" ht="12.75">
      <c r="A15077" s="12"/>
      <c r="D15077" s="12"/>
      <c r="E15077" s="12"/>
      <c r="H15077" s="11" t="str">
        <f ca="1">IFERROR(__xludf.DUMMYFUNCTION("IFERROR(SUBSTITUTE(SUBSTITUTE(REGEXEXTRACT(A15077, ""[^-]+- [^-]+- [^-]+ - (.+?)\.jpg""), "".jpg"", """"), ""-"", "", ""), """")"),"")</f>
        <v/>
      </c>
      <c r="L15077" s="12"/>
      <c r="M15077" s="13"/>
      <c r="N15077" s="2"/>
      <c r="O15077" s="20"/>
      <c r="P15077" s="42"/>
      <c r="R15077" s="23"/>
    </row>
    <row r="15078" spans="1:18" ht="12.75">
      <c r="A15078" s="12"/>
      <c r="D15078" s="12"/>
      <c r="E15078" s="12"/>
      <c r="H15078" s="11" t="str">
        <f ca="1">IFERROR(__xludf.DUMMYFUNCTION("IFERROR(SUBSTITUTE(SUBSTITUTE(REGEXEXTRACT(A15078, ""[^-]+- [^-]+- [^-]+ - (.+?)\.jpg""), "".jpg"", """"), ""-"", "", ""), """")"),"")</f>
        <v/>
      </c>
      <c r="L15078" s="12"/>
      <c r="M15078" s="13"/>
      <c r="N15078" s="2"/>
      <c r="O15078" s="20"/>
      <c r="P15078" s="42"/>
      <c r="R15078" s="23"/>
    </row>
    <row r="15079" spans="1:18" ht="12.75">
      <c r="A15079" s="12"/>
      <c r="D15079" s="12"/>
      <c r="E15079" s="12"/>
      <c r="H15079" s="11" t="str">
        <f ca="1">IFERROR(__xludf.DUMMYFUNCTION("IFERROR(SUBSTITUTE(SUBSTITUTE(REGEXEXTRACT(A15079, ""[^-]+- [^-]+- [^-]+ - (.+?)\.jpg""), "".jpg"", """"), ""-"", "", ""), """")"),"")</f>
        <v/>
      </c>
      <c r="L15079" s="12"/>
      <c r="M15079" s="13"/>
      <c r="N15079" s="2"/>
      <c r="O15079" s="20"/>
      <c r="P15079" s="42"/>
      <c r="R15079" s="23"/>
    </row>
    <row r="15080" spans="1:18" ht="12.75">
      <c r="A15080" s="12"/>
      <c r="D15080" s="12"/>
      <c r="E15080" s="12"/>
      <c r="H15080" s="11" t="str">
        <f ca="1">IFERROR(__xludf.DUMMYFUNCTION("IFERROR(SUBSTITUTE(SUBSTITUTE(REGEXEXTRACT(A15080, ""[^-]+- [^-]+- [^-]+ - (.+?)\.jpg""), "".jpg"", """"), ""-"", "", ""), """")"),"")</f>
        <v/>
      </c>
      <c r="L15080" s="12"/>
      <c r="M15080" s="13"/>
      <c r="N15080" s="2"/>
      <c r="O15080" s="20"/>
      <c r="P15080" s="42"/>
      <c r="R15080" s="23"/>
    </row>
    <row r="15081" spans="1:18" ht="12.75">
      <c r="A15081" s="12"/>
      <c r="D15081" s="12"/>
      <c r="E15081" s="12"/>
      <c r="H15081" s="11" t="str">
        <f ca="1">IFERROR(__xludf.DUMMYFUNCTION("IFERROR(SUBSTITUTE(SUBSTITUTE(REGEXEXTRACT(A15081, ""[^-]+- [^-]+- [^-]+ - (.+?)\.jpg""), "".jpg"", """"), ""-"", "", ""), """")"),"")</f>
        <v/>
      </c>
      <c r="L15081" s="12"/>
      <c r="M15081" s="13"/>
      <c r="N15081" s="2"/>
      <c r="O15081" s="20"/>
      <c r="P15081" s="42"/>
      <c r="R15081" s="23"/>
    </row>
    <row r="15082" spans="1:18" ht="12.75">
      <c r="A15082" s="12"/>
      <c r="D15082" s="12"/>
      <c r="E15082" s="12"/>
      <c r="H15082" s="11" t="str">
        <f ca="1">IFERROR(__xludf.DUMMYFUNCTION("IFERROR(SUBSTITUTE(SUBSTITUTE(REGEXEXTRACT(A15082, ""[^-]+- [^-]+- [^-]+ - (.+?)\.jpg""), "".jpg"", """"), ""-"", "", ""), """")"),"")</f>
        <v/>
      </c>
      <c r="L15082" s="12"/>
      <c r="M15082" s="13"/>
      <c r="N15082" s="2"/>
      <c r="O15082" s="20"/>
      <c r="P15082" s="42"/>
      <c r="R15082" s="23"/>
    </row>
    <row r="15083" spans="1:18" ht="12.75">
      <c r="A15083" s="12"/>
      <c r="D15083" s="12"/>
      <c r="E15083" s="12"/>
      <c r="H15083" s="11" t="str">
        <f ca="1">IFERROR(__xludf.DUMMYFUNCTION("IFERROR(SUBSTITUTE(SUBSTITUTE(REGEXEXTRACT(A15083, ""[^-]+- [^-]+- [^-]+ - (.+?)\.jpg""), "".jpg"", """"), ""-"", "", ""), """")"),"")</f>
        <v/>
      </c>
      <c r="L15083" s="12"/>
      <c r="M15083" s="13"/>
      <c r="N15083" s="2"/>
      <c r="O15083" s="20"/>
      <c r="P15083" s="42"/>
      <c r="R15083" s="23"/>
    </row>
    <row r="15084" spans="1:18" ht="12.75">
      <c r="A15084" s="12"/>
      <c r="D15084" s="12"/>
      <c r="E15084" s="12"/>
      <c r="H15084" s="11" t="str">
        <f ca="1">IFERROR(__xludf.DUMMYFUNCTION("IFERROR(SUBSTITUTE(SUBSTITUTE(REGEXEXTRACT(A15084, ""[^-]+- [^-]+- [^-]+ - (.+?)\.jpg""), "".jpg"", """"), ""-"", "", ""), """")"),"")</f>
        <v/>
      </c>
      <c r="L15084" s="12"/>
      <c r="M15084" s="13"/>
      <c r="N15084" s="2"/>
      <c r="O15084" s="20"/>
      <c r="P15084" s="42"/>
      <c r="R15084" s="23"/>
    </row>
    <row r="15085" spans="1:18" ht="12.75">
      <c r="A15085" s="12"/>
      <c r="D15085" s="12"/>
      <c r="E15085" s="12"/>
      <c r="H15085" s="11" t="str">
        <f ca="1">IFERROR(__xludf.DUMMYFUNCTION("IFERROR(SUBSTITUTE(SUBSTITUTE(REGEXEXTRACT(A15085, ""[^-]+- [^-]+- [^-]+ - (.+?)\.jpg""), "".jpg"", """"), ""-"", "", ""), """")"),"")</f>
        <v/>
      </c>
      <c r="L15085" s="12"/>
      <c r="M15085" s="13"/>
      <c r="N15085" s="2"/>
      <c r="O15085" s="20"/>
      <c r="P15085" s="42"/>
      <c r="R15085" s="23"/>
    </row>
    <row r="15086" spans="1:18" ht="12.75">
      <c r="A15086" s="12"/>
      <c r="D15086" s="12"/>
      <c r="E15086" s="12"/>
      <c r="H15086" s="11" t="str">
        <f ca="1">IFERROR(__xludf.DUMMYFUNCTION("IFERROR(SUBSTITUTE(SUBSTITUTE(REGEXEXTRACT(A15086, ""[^-]+- [^-]+- [^-]+ - (.+?)\.jpg""), "".jpg"", """"), ""-"", "", ""), """")"),"")</f>
        <v/>
      </c>
      <c r="L15086" s="12"/>
      <c r="M15086" s="13"/>
      <c r="N15086" s="2"/>
      <c r="O15086" s="20"/>
      <c r="P15086" s="42"/>
      <c r="R15086" s="23"/>
    </row>
    <row r="15087" spans="1:18" ht="12.75">
      <c r="A15087" s="12"/>
      <c r="D15087" s="12"/>
      <c r="E15087" s="12"/>
      <c r="H15087" s="11" t="str">
        <f ca="1">IFERROR(__xludf.DUMMYFUNCTION("IFERROR(SUBSTITUTE(SUBSTITUTE(REGEXEXTRACT(A15087, ""[^-]+- [^-]+- [^-]+ - (.+?)\.jpg""), "".jpg"", """"), ""-"", "", ""), """")"),"")</f>
        <v/>
      </c>
      <c r="L15087" s="12"/>
      <c r="M15087" s="13"/>
      <c r="N15087" s="2"/>
      <c r="O15087" s="20"/>
      <c r="P15087" s="42"/>
      <c r="R15087" s="23"/>
    </row>
    <row r="15088" spans="1:18" ht="12.75">
      <c r="A15088" s="12"/>
      <c r="D15088" s="12"/>
      <c r="E15088" s="12"/>
      <c r="H15088" s="11" t="str">
        <f ca="1">IFERROR(__xludf.DUMMYFUNCTION("IFERROR(SUBSTITUTE(SUBSTITUTE(REGEXEXTRACT(A15088, ""[^-]+- [^-]+- [^-]+ - (.+?)\.jpg""), "".jpg"", """"), ""-"", "", ""), """")"),"")</f>
        <v/>
      </c>
      <c r="L15088" s="12"/>
      <c r="M15088" s="13"/>
      <c r="N15088" s="2"/>
      <c r="O15088" s="20"/>
      <c r="P15088" s="42"/>
      <c r="R15088" s="23"/>
    </row>
    <row r="15089" spans="1:18" ht="12.75">
      <c r="A15089" s="12"/>
      <c r="D15089" s="12"/>
      <c r="E15089" s="12"/>
      <c r="H15089" s="11" t="str">
        <f ca="1">IFERROR(__xludf.DUMMYFUNCTION("IFERROR(SUBSTITUTE(SUBSTITUTE(REGEXEXTRACT(A15089, ""[^-]+- [^-]+- [^-]+ - (.+?)\.jpg""), "".jpg"", """"), ""-"", "", ""), """")"),"")</f>
        <v/>
      </c>
      <c r="L15089" s="12"/>
      <c r="M15089" s="13"/>
      <c r="N15089" s="2"/>
      <c r="O15089" s="20"/>
      <c r="P15089" s="42"/>
      <c r="R15089" s="23"/>
    </row>
    <row r="15090" spans="1:18" ht="12.75">
      <c r="A15090" s="12"/>
      <c r="D15090" s="12"/>
      <c r="E15090" s="12"/>
      <c r="H15090" s="11" t="str">
        <f ca="1">IFERROR(__xludf.DUMMYFUNCTION("IFERROR(SUBSTITUTE(SUBSTITUTE(REGEXEXTRACT(A15090, ""[^-]+- [^-]+- [^-]+ - (.+?)\.jpg""), "".jpg"", """"), ""-"", "", ""), """")"),"")</f>
        <v/>
      </c>
      <c r="L15090" s="12"/>
      <c r="M15090" s="13"/>
      <c r="N15090" s="2"/>
      <c r="O15090" s="20"/>
      <c r="P15090" s="42"/>
      <c r="R15090" s="23"/>
    </row>
    <row r="15091" spans="1:18" ht="12.75">
      <c r="A15091" s="12"/>
      <c r="D15091" s="12"/>
      <c r="E15091" s="12"/>
      <c r="H15091" s="11" t="str">
        <f ca="1">IFERROR(__xludf.DUMMYFUNCTION("IFERROR(SUBSTITUTE(SUBSTITUTE(REGEXEXTRACT(A15091, ""[^-]+- [^-]+- [^-]+ - (.+?)\.jpg""), "".jpg"", """"), ""-"", "", ""), """")"),"")</f>
        <v/>
      </c>
      <c r="L15091" s="12"/>
      <c r="M15091" s="13"/>
      <c r="N15091" s="2"/>
      <c r="O15091" s="20"/>
      <c r="P15091" s="42"/>
      <c r="R15091" s="23"/>
    </row>
    <row r="15092" spans="1:18" ht="12.75">
      <c r="A15092" s="12"/>
      <c r="D15092" s="12"/>
      <c r="E15092" s="12"/>
      <c r="H15092" s="11" t="str">
        <f ca="1">IFERROR(__xludf.DUMMYFUNCTION("IFERROR(SUBSTITUTE(SUBSTITUTE(REGEXEXTRACT(A15092, ""[^-]+- [^-]+- [^-]+ - (.+?)\.jpg""), "".jpg"", """"), ""-"", "", ""), """")"),"")</f>
        <v/>
      </c>
      <c r="L15092" s="12"/>
      <c r="M15092" s="13"/>
      <c r="N15092" s="2"/>
      <c r="O15092" s="20"/>
      <c r="P15092" s="42"/>
      <c r="R15092" s="23"/>
    </row>
    <row r="15093" spans="1:18" ht="12.75">
      <c r="A15093" s="12"/>
      <c r="D15093" s="12"/>
      <c r="E15093" s="12"/>
      <c r="H15093" s="11" t="str">
        <f ca="1">IFERROR(__xludf.DUMMYFUNCTION("IFERROR(SUBSTITUTE(SUBSTITUTE(REGEXEXTRACT(A15093, ""[^-]+- [^-]+- [^-]+ - (.+?)\.jpg""), "".jpg"", """"), ""-"", "", ""), """")"),"")</f>
        <v/>
      </c>
      <c r="L15093" s="12"/>
      <c r="M15093" s="13"/>
      <c r="N15093" s="2"/>
      <c r="O15093" s="20"/>
      <c r="P15093" s="42"/>
      <c r="R15093" s="23"/>
    </row>
    <row r="15094" spans="1:18" ht="12.75">
      <c r="A15094" s="12"/>
      <c r="D15094" s="12"/>
      <c r="E15094" s="12"/>
      <c r="H15094" s="11" t="str">
        <f ca="1">IFERROR(__xludf.DUMMYFUNCTION("IFERROR(SUBSTITUTE(SUBSTITUTE(REGEXEXTRACT(A15094, ""[^-]+- [^-]+- [^-]+ - (.+?)\.jpg""), "".jpg"", """"), ""-"", "", ""), """")"),"")</f>
        <v/>
      </c>
      <c r="L15094" s="12"/>
      <c r="M15094" s="13"/>
      <c r="N15094" s="2"/>
      <c r="O15094" s="20"/>
      <c r="P15094" s="42"/>
      <c r="R15094" s="23"/>
    </row>
    <row r="15095" spans="1:18" ht="12.75">
      <c r="A15095" s="12"/>
      <c r="D15095" s="12"/>
      <c r="E15095" s="12"/>
      <c r="H15095" s="11" t="str">
        <f ca="1">IFERROR(__xludf.DUMMYFUNCTION("IFERROR(SUBSTITUTE(SUBSTITUTE(REGEXEXTRACT(A15095, ""[^-]+- [^-]+- [^-]+ - (.+?)\.jpg""), "".jpg"", """"), ""-"", "", ""), """")"),"")</f>
        <v/>
      </c>
      <c r="L15095" s="12"/>
      <c r="M15095" s="13"/>
      <c r="N15095" s="2"/>
      <c r="O15095" s="20"/>
      <c r="P15095" s="42"/>
      <c r="R15095" s="23"/>
    </row>
    <row r="15096" spans="1:18" ht="12.75">
      <c r="A15096" s="12"/>
      <c r="D15096" s="12"/>
      <c r="E15096" s="12"/>
      <c r="H15096" s="11" t="str">
        <f ca="1">IFERROR(__xludf.DUMMYFUNCTION("IFERROR(SUBSTITUTE(SUBSTITUTE(REGEXEXTRACT(A15096, ""[^-]+- [^-]+- [^-]+ - (.+?)\.jpg""), "".jpg"", """"), ""-"", "", ""), """")"),"")</f>
        <v/>
      </c>
      <c r="L15096" s="12"/>
      <c r="M15096" s="13"/>
      <c r="N15096" s="2"/>
      <c r="O15096" s="20"/>
      <c r="P15096" s="42"/>
      <c r="R15096" s="23"/>
    </row>
    <row r="15097" spans="1:18" ht="12.75">
      <c r="A15097" s="12"/>
      <c r="D15097" s="12"/>
      <c r="E15097" s="12"/>
      <c r="H15097" s="11" t="str">
        <f ca="1">IFERROR(__xludf.DUMMYFUNCTION("IFERROR(SUBSTITUTE(SUBSTITUTE(REGEXEXTRACT(A15097, ""[^-]+- [^-]+- [^-]+ - (.+?)\.jpg""), "".jpg"", """"), ""-"", "", ""), """")"),"")</f>
        <v/>
      </c>
      <c r="L15097" s="12"/>
      <c r="M15097" s="13"/>
      <c r="N15097" s="2"/>
      <c r="O15097" s="20"/>
      <c r="P15097" s="42"/>
      <c r="R15097" s="23"/>
    </row>
    <row r="15098" spans="1:18" ht="12.75">
      <c r="A15098" s="12"/>
      <c r="D15098" s="12"/>
      <c r="E15098" s="12"/>
      <c r="H15098" s="11" t="str">
        <f ca="1">IFERROR(__xludf.DUMMYFUNCTION("IFERROR(SUBSTITUTE(SUBSTITUTE(REGEXEXTRACT(A15098, ""[^-]+- [^-]+- [^-]+ - (.+?)\.jpg""), "".jpg"", """"), ""-"", "", ""), """")"),"")</f>
        <v/>
      </c>
      <c r="L15098" s="12"/>
      <c r="M15098" s="13"/>
      <c r="N15098" s="2"/>
      <c r="O15098" s="20"/>
      <c r="P15098" s="42"/>
      <c r="R15098" s="23"/>
    </row>
    <row r="15099" spans="1:18" ht="12.75">
      <c r="A15099" s="12"/>
      <c r="D15099" s="12"/>
      <c r="E15099" s="12"/>
      <c r="H15099" s="11" t="str">
        <f ca="1">IFERROR(__xludf.DUMMYFUNCTION("IFERROR(SUBSTITUTE(SUBSTITUTE(REGEXEXTRACT(A15099, ""[^-]+- [^-]+- [^-]+ - (.+?)\.jpg""), "".jpg"", """"), ""-"", "", ""), """")"),"")</f>
        <v/>
      </c>
      <c r="L15099" s="12"/>
      <c r="M15099" s="13"/>
      <c r="N15099" s="2"/>
      <c r="O15099" s="20"/>
      <c r="P15099" s="42"/>
      <c r="R15099" s="23"/>
    </row>
    <row r="15100" spans="1:18" ht="12.75">
      <c r="A15100" s="12"/>
      <c r="D15100" s="12"/>
      <c r="E15100" s="12"/>
      <c r="H15100" s="11" t="str">
        <f ca="1">IFERROR(__xludf.DUMMYFUNCTION("IFERROR(SUBSTITUTE(SUBSTITUTE(REGEXEXTRACT(A15100, ""[^-]+- [^-]+- [^-]+ - (.+?)\.jpg""), "".jpg"", """"), ""-"", "", ""), """")"),"")</f>
        <v/>
      </c>
      <c r="L15100" s="12"/>
      <c r="M15100" s="13"/>
      <c r="N15100" s="2"/>
      <c r="O15100" s="20"/>
      <c r="P15100" s="42"/>
      <c r="R15100" s="23"/>
    </row>
    <row r="15101" spans="1:18" ht="12.75">
      <c r="A15101" s="12"/>
      <c r="D15101" s="12"/>
      <c r="E15101" s="12"/>
      <c r="H15101" s="11" t="str">
        <f ca="1">IFERROR(__xludf.DUMMYFUNCTION("IFERROR(SUBSTITUTE(SUBSTITUTE(REGEXEXTRACT(A15101, ""[^-]+- [^-]+- [^-]+ - (.+?)\.jpg""), "".jpg"", """"), ""-"", "", ""), """")"),"")</f>
        <v/>
      </c>
      <c r="L15101" s="12"/>
      <c r="M15101" s="13"/>
      <c r="N15101" s="2"/>
      <c r="O15101" s="20"/>
      <c r="P15101" s="42"/>
      <c r="R15101" s="23"/>
    </row>
    <row r="15102" spans="1:18" ht="12.75">
      <c r="A15102" s="12"/>
      <c r="D15102" s="12"/>
      <c r="E15102" s="12"/>
      <c r="H15102" s="11" t="str">
        <f ca="1">IFERROR(__xludf.DUMMYFUNCTION("IFERROR(SUBSTITUTE(SUBSTITUTE(REGEXEXTRACT(A15102, ""[^-]+- [^-]+- [^-]+ - (.+?)\.jpg""), "".jpg"", """"), ""-"", "", ""), """")"),"")</f>
        <v/>
      </c>
      <c r="L15102" s="12"/>
      <c r="M15102" s="13"/>
      <c r="N15102" s="2"/>
      <c r="O15102" s="20"/>
      <c r="P15102" s="42"/>
      <c r="R15102" s="23"/>
    </row>
    <row r="15103" spans="1:18" ht="12.75">
      <c r="A15103" s="12"/>
      <c r="D15103" s="12"/>
      <c r="E15103" s="12"/>
      <c r="H15103" s="11" t="str">
        <f ca="1">IFERROR(__xludf.DUMMYFUNCTION("IFERROR(SUBSTITUTE(SUBSTITUTE(REGEXEXTRACT(A15103, ""[^-]+- [^-]+- [^-]+ - (.+?)\.jpg""), "".jpg"", """"), ""-"", "", ""), """")"),"")</f>
        <v/>
      </c>
      <c r="L15103" s="12"/>
      <c r="M15103" s="13"/>
      <c r="N15103" s="2"/>
      <c r="O15103" s="20"/>
      <c r="P15103" s="42"/>
      <c r="R15103" s="23"/>
    </row>
    <row r="15104" spans="1:18" ht="12.75">
      <c r="A15104" s="12"/>
      <c r="D15104" s="12"/>
      <c r="E15104" s="12"/>
      <c r="H15104" s="11" t="str">
        <f ca="1">IFERROR(__xludf.DUMMYFUNCTION("IFERROR(SUBSTITUTE(SUBSTITUTE(REGEXEXTRACT(A15104, ""[^-]+- [^-]+- [^-]+ - (.+?)\.jpg""), "".jpg"", """"), ""-"", "", ""), """")"),"")</f>
        <v/>
      </c>
      <c r="L15104" s="12"/>
      <c r="M15104" s="13"/>
      <c r="N15104" s="2"/>
      <c r="O15104" s="20"/>
      <c r="P15104" s="42"/>
      <c r="R15104" s="23"/>
    </row>
    <row r="15105" spans="1:18" ht="12.75">
      <c r="A15105" s="12"/>
      <c r="D15105" s="12"/>
      <c r="E15105" s="12"/>
      <c r="H15105" s="11" t="str">
        <f ca="1">IFERROR(__xludf.DUMMYFUNCTION("IFERROR(SUBSTITUTE(SUBSTITUTE(REGEXEXTRACT(A15105, ""[^-]+- [^-]+- [^-]+ - (.+?)\.jpg""), "".jpg"", """"), ""-"", "", ""), """")"),"")</f>
        <v/>
      </c>
      <c r="L15105" s="12"/>
      <c r="M15105" s="13"/>
      <c r="N15105" s="2"/>
      <c r="O15105" s="20"/>
      <c r="P15105" s="42"/>
      <c r="R15105" s="23"/>
    </row>
    <row r="15106" spans="1:18" ht="12.75">
      <c r="A15106" s="12"/>
      <c r="D15106" s="12"/>
      <c r="E15106" s="12"/>
      <c r="H15106" s="11" t="str">
        <f ca="1">IFERROR(__xludf.DUMMYFUNCTION("IFERROR(SUBSTITUTE(SUBSTITUTE(REGEXEXTRACT(A15106, ""[^-]+- [^-]+- [^-]+ - (.+?)\.jpg""), "".jpg"", """"), ""-"", "", ""), """")"),"")</f>
        <v/>
      </c>
      <c r="L15106" s="12"/>
      <c r="M15106" s="13"/>
      <c r="N15106" s="2"/>
      <c r="O15106" s="20"/>
      <c r="P15106" s="42"/>
      <c r="R15106" s="23"/>
    </row>
    <row r="15107" spans="1:18" ht="12.75">
      <c r="A15107" s="12"/>
      <c r="D15107" s="12"/>
      <c r="E15107" s="12"/>
      <c r="H15107" s="11" t="str">
        <f ca="1">IFERROR(__xludf.DUMMYFUNCTION("IFERROR(SUBSTITUTE(SUBSTITUTE(REGEXEXTRACT(A15107, ""[^-]+- [^-]+- [^-]+ - (.+?)\.jpg""), "".jpg"", """"), ""-"", "", ""), """")"),"")</f>
        <v/>
      </c>
      <c r="L15107" s="12"/>
      <c r="M15107" s="13"/>
      <c r="N15107" s="2"/>
      <c r="O15107" s="20"/>
      <c r="P15107" s="42"/>
      <c r="R15107" s="23"/>
    </row>
    <row r="15108" spans="1:18" ht="12.75">
      <c r="A15108" s="12"/>
      <c r="D15108" s="12"/>
      <c r="E15108" s="12"/>
      <c r="H15108" s="11" t="str">
        <f ca="1">IFERROR(__xludf.DUMMYFUNCTION("IFERROR(SUBSTITUTE(SUBSTITUTE(REGEXEXTRACT(A15108, ""[^-]+- [^-]+- [^-]+ - (.+?)\.jpg""), "".jpg"", """"), ""-"", "", ""), """")"),"")</f>
        <v/>
      </c>
      <c r="L15108" s="12"/>
      <c r="M15108" s="13"/>
      <c r="N15108" s="2"/>
      <c r="O15108" s="20"/>
      <c r="P15108" s="42"/>
      <c r="R15108" s="23"/>
    </row>
    <row r="15109" spans="1:18" ht="12.75">
      <c r="A15109" s="12"/>
      <c r="D15109" s="12"/>
      <c r="E15109" s="12"/>
      <c r="H15109" s="11" t="str">
        <f ca="1">IFERROR(__xludf.DUMMYFUNCTION("IFERROR(SUBSTITUTE(SUBSTITUTE(REGEXEXTRACT(A15109, ""[^-]+- [^-]+- [^-]+ - (.+?)\.jpg""), "".jpg"", """"), ""-"", "", ""), """")"),"")</f>
        <v/>
      </c>
      <c r="L15109" s="12"/>
      <c r="M15109" s="13"/>
      <c r="N15109" s="2"/>
      <c r="O15109" s="20"/>
      <c r="P15109" s="42"/>
      <c r="R15109" s="23"/>
    </row>
    <row r="15110" spans="1:18" ht="12.75">
      <c r="A15110" s="12"/>
      <c r="D15110" s="12"/>
      <c r="E15110" s="12"/>
      <c r="H15110" s="11" t="str">
        <f ca="1">IFERROR(__xludf.DUMMYFUNCTION("IFERROR(SUBSTITUTE(SUBSTITUTE(REGEXEXTRACT(A15110, ""[^-]+- [^-]+- [^-]+ - (.+?)\.jpg""), "".jpg"", """"), ""-"", "", ""), """")"),"")</f>
        <v/>
      </c>
      <c r="L15110" s="12"/>
      <c r="M15110" s="13"/>
      <c r="N15110" s="2"/>
      <c r="O15110" s="20"/>
      <c r="P15110" s="42"/>
      <c r="R15110" s="23"/>
    </row>
    <row r="15111" spans="1:18" ht="12.75">
      <c r="A15111" s="12"/>
      <c r="D15111" s="12"/>
      <c r="E15111" s="12"/>
      <c r="H15111" s="11" t="str">
        <f ca="1">IFERROR(__xludf.DUMMYFUNCTION("IFERROR(SUBSTITUTE(SUBSTITUTE(REGEXEXTRACT(A15111, ""[^-]+- [^-]+- [^-]+ - (.+?)\.jpg""), "".jpg"", """"), ""-"", "", ""), """")"),"")</f>
        <v/>
      </c>
      <c r="L15111" s="12"/>
      <c r="M15111" s="13"/>
      <c r="N15111" s="2"/>
      <c r="O15111" s="20"/>
      <c r="P15111" s="42"/>
      <c r="R15111" s="23"/>
    </row>
    <row r="15112" spans="1:18" ht="12.75">
      <c r="A15112" s="12"/>
      <c r="D15112" s="12"/>
      <c r="E15112" s="12"/>
      <c r="H15112" s="11" t="str">
        <f ca="1">IFERROR(__xludf.DUMMYFUNCTION("IFERROR(SUBSTITUTE(SUBSTITUTE(REGEXEXTRACT(A15112, ""[^-]+- [^-]+- [^-]+ - (.+?)\.jpg""), "".jpg"", """"), ""-"", "", ""), """")"),"")</f>
        <v/>
      </c>
      <c r="L15112" s="12"/>
      <c r="M15112" s="13"/>
      <c r="N15112" s="2"/>
      <c r="O15112" s="20"/>
      <c r="P15112" s="42"/>
      <c r="R15112" s="23"/>
    </row>
    <row r="15113" spans="1:18" ht="12.75">
      <c r="A15113" s="12"/>
      <c r="D15113" s="12"/>
      <c r="E15113" s="12"/>
      <c r="H15113" s="11" t="str">
        <f ca="1">IFERROR(__xludf.DUMMYFUNCTION("IFERROR(SUBSTITUTE(SUBSTITUTE(REGEXEXTRACT(A15113, ""[^-]+- [^-]+- [^-]+ - (.+?)\.jpg""), "".jpg"", """"), ""-"", "", ""), """")"),"")</f>
        <v/>
      </c>
      <c r="L15113" s="12"/>
      <c r="M15113" s="13"/>
      <c r="N15113" s="2"/>
      <c r="O15113" s="20"/>
      <c r="P15113" s="42"/>
      <c r="R15113" s="23"/>
    </row>
    <row r="15114" spans="1:18" ht="12.75">
      <c r="A15114" s="12"/>
      <c r="D15114" s="12"/>
      <c r="E15114" s="12"/>
      <c r="H15114" s="11" t="str">
        <f ca="1">IFERROR(__xludf.DUMMYFUNCTION("IFERROR(SUBSTITUTE(SUBSTITUTE(REGEXEXTRACT(A15114, ""[^-]+- [^-]+- [^-]+ - (.+?)\.jpg""), "".jpg"", """"), ""-"", "", ""), """")"),"")</f>
        <v/>
      </c>
      <c r="L15114" s="12"/>
      <c r="M15114" s="13"/>
      <c r="N15114" s="2"/>
      <c r="O15114" s="20"/>
      <c r="P15114" s="42"/>
      <c r="R15114" s="23"/>
    </row>
    <row r="15115" spans="1:18" ht="12.75">
      <c r="A15115" s="12"/>
      <c r="D15115" s="12"/>
      <c r="E15115" s="12"/>
      <c r="H15115" s="11" t="str">
        <f ca="1">IFERROR(__xludf.DUMMYFUNCTION("IFERROR(SUBSTITUTE(SUBSTITUTE(REGEXEXTRACT(A15115, ""[^-]+- [^-]+- [^-]+ - (.+?)\.jpg""), "".jpg"", """"), ""-"", "", ""), """")"),"")</f>
        <v/>
      </c>
      <c r="L15115" s="12"/>
      <c r="M15115" s="13"/>
      <c r="N15115" s="2"/>
      <c r="O15115" s="20"/>
      <c r="P15115" s="42"/>
      <c r="R15115" s="23"/>
    </row>
    <row r="15116" spans="1:18" ht="12.75">
      <c r="A15116" s="12"/>
      <c r="D15116" s="12"/>
      <c r="E15116" s="12"/>
      <c r="H15116" s="11" t="str">
        <f ca="1">IFERROR(__xludf.DUMMYFUNCTION("IFERROR(SUBSTITUTE(SUBSTITUTE(REGEXEXTRACT(A15116, ""[^-]+- [^-]+- [^-]+ - (.+?)\.jpg""), "".jpg"", """"), ""-"", "", ""), """")"),"")</f>
        <v/>
      </c>
      <c r="L15116" s="12"/>
      <c r="M15116" s="13"/>
      <c r="N15116" s="2"/>
      <c r="O15116" s="20"/>
      <c r="P15116" s="42"/>
      <c r="R15116" s="23"/>
    </row>
    <row r="15117" spans="1:18" ht="12.75">
      <c r="A15117" s="12"/>
      <c r="D15117" s="12"/>
      <c r="E15117" s="12"/>
      <c r="H15117" s="11" t="str">
        <f ca="1">IFERROR(__xludf.DUMMYFUNCTION("IFERROR(SUBSTITUTE(SUBSTITUTE(REGEXEXTRACT(A15117, ""[^-]+- [^-]+- [^-]+ - (.+?)\.jpg""), "".jpg"", """"), ""-"", "", ""), """")"),"")</f>
        <v/>
      </c>
      <c r="L15117" s="12"/>
      <c r="M15117" s="13"/>
      <c r="N15117" s="2"/>
      <c r="O15117" s="20"/>
      <c r="P15117" s="42"/>
      <c r="R15117" s="23"/>
    </row>
    <row r="15118" spans="1:18" ht="12.75">
      <c r="A15118" s="12"/>
      <c r="D15118" s="12"/>
      <c r="E15118" s="12"/>
      <c r="H15118" s="11" t="str">
        <f ca="1">IFERROR(__xludf.DUMMYFUNCTION("IFERROR(SUBSTITUTE(SUBSTITUTE(REGEXEXTRACT(A15118, ""[^-]+- [^-]+- [^-]+ - (.+?)\.jpg""), "".jpg"", """"), ""-"", "", ""), """")"),"")</f>
        <v/>
      </c>
      <c r="L15118" s="12"/>
      <c r="M15118" s="13"/>
      <c r="N15118" s="2"/>
      <c r="O15118" s="20"/>
      <c r="P15118" s="42"/>
      <c r="R15118" s="23"/>
    </row>
    <row r="15119" spans="1:18" ht="12.75">
      <c r="A15119" s="12"/>
      <c r="D15119" s="12"/>
      <c r="E15119" s="12"/>
      <c r="H15119" s="11" t="str">
        <f ca="1">IFERROR(__xludf.DUMMYFUNCTION("IFERROR(SUBSTITUTE(SUBSTITUTE(REGEXEXTRACT(A15119, ""[^-]+- [^-]+- [^-]+ - (.+?)\.jpg""), "".jpg"", """"), ""-"", "", ""), """")"),"")</f>
        <v/>
      </c>
      <c r="L15119" s="12"/>
      <c r="M15119" s="13"/>
      <c r="N15119" s="2"/>
      <c r="O15119" s="20"/>
      <c r="P15119" s="42"/>
      <c r="R15119" s="23"/>
    </row>
    <row r="15120" spans="1:18" ht="12.75">
      <c r="A15120" s="12"/>
      <c r="D15120" s="12"/>
      <c r="E15120" s="12"/>
      <c r="H15120" s="11" t="str">
        <f ca="1">IFERROR(__xludf.DUMMYFUNCTION("IFERROR(SUBSTITUTE(SUBSTITUTE(REGEXEXTRACT(A15120, ""[^-]+- [^-]+- [^-]+ - (.+?)\.jpg""), "".jpg"", """"), ""-"", "", ""), """")"),"")</f>
        <v/>
      </c>
      <c r="L15120" s="12"/>
      <c r="M15120" s="13"/>
      <c r="N15120" s="2"/>
      <c r="O15120" s="20"/>
      <c r="P15120" s="42"/>
      <c r="R15120" s="23"/>
    </row>
    <row r="15121" spans="1:18" ht="12.75">
      <c r="A15121" s="12"/>
      <c r="D15121" s="12"/>
      <c r="E15121" s="12"/>
      <c r="H15121" s="11" t="str">
        <f ca="1">IFERROR(__xludf.DUMMYFUNCTION("IFERROR(SUBSTITUTE(SUBSTITUTE(REGEXEXTRACT(A15121, ""[^-]+- [^-]+- [^-]+ - (.+?)\.jpg""), "".jpg"", """"), ""-"", "", ""), """")"),"")</f>
        <v/>
      </c>
      <c r="L15121" s="12"/>
      <c r="M15121" s="13"/>
      <c r="N15121" s="2"/>
      <c r="O15121" s="20"/>
      <c r="P15121" s="42"/>
      <c r="R15121" s="23"/>
    </row>
    <row r="15122" spans="1:18" ht="12.75">
      <c r="A15122" s="12"/>
      <c r="D15122" s="12"/>
      <c r="E15122" s="12"/>
      <c r="H15122" s="11" t="str">
        <f ca="1">IFERROR(__xludf.DUMMYFUNCTION("IFERROR(SUBSTITUTE(SUBSTITUTE(REGEXEXTRACT(A15122, ""[^-]+- [^-]+- [^-]+ - (.+?)\.jpg""), "".jpg"", """"), ""-"", "", ""), """")"),"")</f>
        <v/>
      </c>
      <c r="L15122" s="12"/>
      <c r="M15122" s="13"/>
      <c r="N15122" s="2"/>
      <c r="O15122" s="20"/>
      <c r="P15122" s="42"/>
      <c r="R15122" s="23"/>
    </row>
    <row r="15123" spans="1:18" ht="12.75">
      <c r="A15123" s="12"/>
      <c r="D15123" s="12"/>
      <c r="E15123" s="12"/>
      <c r="H15123" s="11" t="str">
        <f ca="1">IFERROR(__xludf.DUMMYFUNCTION("IFERROR(SUBSTITUTE(SUBSTITUTE(REGEXEXTRACT(A15123, ""[^-]+- [^-]+- [^-]+ - (.+?)\.jpg""), "".jpg"", """"), ""-"", "", ""), """")"),"")</f>
        <v/>
      </c>
      <c r="L15123" s="12"/>
      <c r="M15123" s="13"/>
      <c r="N15123" s="2"/>
      <c r="O15123" s="20"/>
      <c r="P15123" s="42"/>
      <c r="R15123" s="23"/>
    </row>
    <row r="15124" spans="1:18" ht="12.75">
      <c r="A15124" s="12"/>
      <c r="D15124" s="12"/>
      <c r="E15124" s="12"/>
      <c r="H15124" s="11" t="str">
        <f ca="1">IFERROR(__xludf.DUMMYFUNCTION("IFERROR(SUBSTITUTE(SUBSTITUTE(REGEXEXTRACT(A15124, ""[^-]+- [^-]+- [^-]+ - (.+?)\.jpg""), "".jpg"", """"), ""-"", "", ""), """")"),"")</f>
        <v/>
      </c>
      <c r="L15124" s="12"/>
      <c r="M15124" s="13"/>
      <c r="N15124" s="2"/>
      <c r="O15124" s="20"/>
      <c r="P15124" s="42"/>
      <c r="R15124" s="23"/>
    </row>
    <row r="15125" spans="1:18" ht="12.75">
      <c r="A15125" s="12"/>
      <c r="D15125" s="12"/>
      <c r="E15125" s="12"/>
      <c r="H15125" s="11" t="str">
        <f ca="1">IFERROR(__xludf.DUMMYFUNCTION("IFERROR(SUBSTITUTE(SUBSTITUTE(REGEXEXTRACT(A15125, ""[^-]+- [^-]+- [^-]+ - (.+?)\.jpg""), "".jpg"", """"), ""-"", "", ""), """")"),"")</f>
        <v/>
      </c>
      <c r="L15125" s="12"/>
      <c r="M15125" s="13"/>
      <c r="N15125" s="2"/>
      <c r="O15125" s="20"/>
      <c r="P15125" s="42"/>
      <c r="R15125" s="23"/>
    </row>
    <row r="15126" spans="1:18" ht="12.75">
      <c r="A15126" s="12"/>
      <c r="D15126" s="12"/>
      <c r="E15126" s="12"/>
      <c r="H15126" s="11" t="str">
        <f ca="1">IFERROR(__xludf.DUMMYFUNCTION("IFERROR(SUBSTITUTE(SUBSTITUTE(REGEXEXTRACT(A15126, ""[^-]+- [^-]+- [^-]+ - (.+?)\.jpg""), "".jpg"", """"), ""-"", "", ""), """")"),"")</f>
        <v/>
      </c>
      <c r="L15126" s="12"/>
      <c r="M15126" s="13"/>
      <c r="N15126" s="2"/>
      <c r="O15126" s="20"/>
      <c r="P15126" s="42"/>
      <c r="R15126" s="23"/>
    </row>
    <row r="15127" spans="1:18" ht="12.75">
      <c r="A15127" s="12"/>
      <c r="D15127" s="12"/>
      <c r="E15127" s="12"/>
      <c r="H15127" s="11" t="str">
        <f ca="1">IFERROR(__xludf.DUMMYFUNCTION("IFERROR(SUBSTITUTE(SUBSTITUTE(REGEXEXTRACT(A15127, ""[^-]+- [^-]+- [^-]+ - (.+?)\.jpg""), "".jpg"", """"), ""-"", "", ""), """")"),"")</f>
        <v/>
      </c>
      <c r="L15127" s="12"/>
      <c r="M15127" s="13"/>
      <c r="N15127" s="2"/>
      <c r="O15127" s="20"/>
      <c r="P15127" s="42"/>
      <c r="R15127" s="23"/>
    </row>
    <row r="15128" spans="1:18" ht="12.75">
      <c r="A15128" s="12"/>
      <c r="D15128" s="12"/>
      <c r="E15128" s="12"/>
      <c r="H15128" s="11" t="str">
        <f ca="1">IFERROR(__xludf.DUMMYFUNCTION("IFERROR(SUBSTITUTE(SUBSTITUTE(REGEXEXTRACT(A15128, ""[^-]+- [^-]+- [^-]+ - (.+?)\.jpg""), "".jpg"", """"), ""-"", "", ""), """")"),"")</f>
        <v/>
      </c>
      <c r="L15128" s="12"/>
      <c r="M15128" s="13"/>
      <c r="N15128" s="2"/>
      <c r="O15128" s="20"/>
      <c r="P15128" s="42"/>
      <c r="R15128" s="23"/>
    </row>
    <row r="15129" spans="1:18" ht="12.75">
      <c r="A15129" s="12"/>
      <c r="D15129" s="12"/>
      <c r="E15129" s="12"/>
      <c r="H15129" s="11" t="str">
        <f ca="1">IFERROR(__xludf.DUMMYFUNCTION("IFERROR(SUBSTITUTE(SUBSTITUTE(REGEXEXTRACT(A15129, ""[^-]+- [^-]+- [^-]+ - (.+?)\.jpg""), "".jpg"", """"), ""-"", "", ""), """")"),"")</f>
        <v/>
      </c>
      <c r="L15129" s="12"/>
      <c r="M15129" s="13"/>
      <c r="N15129" s="2"/>
      <c r="O15129" s="20"/>
      <c r="P15129" s="42"/>
      <c r="R15129" s="23"/>
    </row>
    <row r="15130" spans="1:18" ht="12.75">
      <c r="A15130" s="12"/>
      <c r="D15130" s="12"/>
      <c r="E15130" s="12"/>
      <c r="H15130" s="11" t="str">
        <f ca="1">IFERROR(__xludf.DUMMYFUNCTION("IFERROR(SUBSTITUTE(SUBSTITUTE(REGEXEXTRACT(A15130, ""[^-]+- [^-]+- [^-]+ - (.+?)\.jpg""), "".jpg"", """"), ""-"", "", ""), """")"),"")</f>
        <v/>
      </c>
      <c r="L15130" s="12"/>
      <c r="M15130" s="13"/>
      <c r="N15130" s="2"/>
      <c r="O15130" s="20"/>
      <c r="P15130" s="42"/>
      <c r="R15130" s="23"/>
    </row>
    <row r="15131" spans="1:18" ht="12.75">
      <c r="A15131" s="12"/>
      <c r="D15131" s="12"/>
      <c r="E15131" s="12"/>
      <c r="H15131" s="11" t="str">
        <f ca="1">IFERROR(__xludf.DUMMYFUNCTION("IFERROR(SUBSTITUTE(SUBSTITUTE(REGEXEXTRACT(A15131, ""[^-]+- [^-]+- [^-]+ - (.+?)\.jpg""), "".jpg"", """"), ""-"", "", ""), """")"),"")</f>
        <v/>
      </c>
      <c r="L15131" s="12"/>
      <c r="M15131" s="13"/>
      <c r="N15131" s="2"/>
      <c r="O15131" s="20"/>
      <c r="P15131" s="42"/>
      <c r="R15131" s="23"/>
    </row>
    <row r="15132" spans="1:18" ht="12.75">
      <c r="A15132" s="12"/>
      <c r="D15132" s="12"/>
      <c r="E15132" s="12"/>
      <c r="H15132" s="11" t="str">
        <f ca="1">IFERROR(__xludf.DUMMYFUNCTION("IFERROR(SUBSTITUTE(SUBSTITUTE(REGEXEXTRACT(A15132, ""[^-]+- [^-]+- [^-]+ - (.+?)\.jpg""), "".jpg"", """"), ""-"", "", ""), """")"),"")</f>
        <v/>
      </c>
      <c r="L15132" s="12"/>
      <c r="M15132" s="13"/>
      <c r="N15132" s="2"/>
      <c r="O15132" s="20"/>
      <c r="P15132" s="42"/>
      <c r="R15132" s="23"/>
    </row>
    <row r="15133" spans="1:18" ht="12.75">
      <c r="A15133" s="12"/>
      <c r="D15133" s="12"/>
      <c r="E15133" s="12"/>
      <c r="H15133" s="11" t="str">
        <f ca="1">IFERROR(__xludf.DUMMYFUNCTION("IFERROR(SUBSTITUTE(SUBSTITUTE(REGEXEXTRACT(A15133, ""[^-]+- [^-]+- [^-]+ - (.+?)\.jpg""), "".jpg"", """"), ""-"", "", ""), """")"),"")</f>
        <v/>
      </c>
      <c r="L15133" s="12"/>
      <c r="M15133" s="13"/>
      <c r="N15133" s="2"/>
      <c r="O15133" s="20"/>
      <c r="P15133" s="42"/>
      <c r="R15133" s="23"/>
    </row>
    <row r="15134" spans="1:18" ht="12.75">
      <c r="A15134" s="12"/>
      <c r="D15134" s="12"/>
      <c r="E15134" s="12"/>
      <c r="H15134" s="11" t="str">
        <f ca="1">IFERROR(__xludf.DUMMYFUNCTION("IFERROR(SUBSTITUTE(SUBSTITUTE(REGEXEXTRACT(A15134, ""[^-]+- [^-]+- [^-]+ - (.+?)\.jpg""), "".jpg"", """"), ""-"", "", ""), """")"),"")</f>
        <v/>
      </c>
      <c r="L15134" s="12"/>
      <c r="M15134" s="13"/>
      <c r="N15134" s="2"/>
      <c r="O15134" s="20"/>
      <c r="P15134" s="42"/>
      <c r="R15134" s="23"/>
    </row>
    <row r="15135" spans="1:18" ht="12.75">
      <c r="A15135" s="12"/>
      <c r="D15135" s="12"/>
      <c r="E15135" s="12"/>
      <c r="H15135" s="11" t="str">
        <f ca="1">IFERROR(__xludf.DUMMYFUNCTION("IFERROR(SUBSTITUTE(SUBSTITUTE(REGEXEXTRACT(A15135, ""[^-]+- [^-]+- [^-]+ - (.+?)\.jpg""), "".jpg"", """"), ""-"", "", ""), """")"),"")</f>
        <v/>
      </c>
      <c r="L15135" s="12"/>
      <c r="M15135" s="13"/>
      <c r="N15135" s="2"/>
      <c r="O15135" s="20"/>
      <c r="P15135" s="42"/>
      <c r="R15135" s="23"/>
    </row>
    <row r="15136" spans="1:18" ht="12.75">
      <c r="A15136" s="12"/>
      <c r="D15136" s="12"/>
      <c r="E15136" s="12"/>
      <c r="H15136" s="11" t="str">
        <f ca="1">IFERROR(__xludf.DUMMYFUNCTION("IFERROR(SUBSTITUTE(SUBSTITUTE(REGEXEXTRACT(A15136, ""[^-]+- [^-]+- [^-]+ - (.+?)\.jpg""), "".jpg"", """"), ""-"", "", ""), """")"),"")</f>
        <v/>
      </c>
      <c r="L15136" s="12"/>
      <c r="M15136" s="13"/>
      <c r="N15136" s="2"/>
      <c r="O15136" s="20"/>
      <c r="P15136" s="42"/>
      <c r="R15136" s="23"/>
    </row>
    <row r="15137" spans="1:18" ht="12.75">
      <c r="A15137" s="12"/>
      <c r="D15137" s="12"/>
      <c r="E15137" s="12"/>
      <c r="H15137" s="11" t="str">
        <f ca="1">IFERROR(__xludf.DUMMYFUNCTION("IFERROR(SUBSTITUTE(SUBSTITUTE(REGEXEXTRACT(A15137, ""[^-]+- [^-]+- [^-]+ - (.+?)\.jpg""), "".jpg"", """"), ""-"", "", ""), """")"),"")</f>
        <v/>
      </c>
      <c r="L15137" s="12"/>
      <c r="M15137" s="13"/>
      <c r="N15137" s="2"/>
      <c r="O15137" s="20"/>
      <c r="P15137" s="42"/>
      <c r="R15137" s="23"/>
    </row>
    <row r="15138" spans="1:18" ht="12.75">
      <c r="A15138" s="12"/>
      <c r="D15138" s="12"/>
      <c r="E15138" s="12"/>
      <c r="H15138" s="11" t="str">
        <f ca="1">IFERROR(__xludf.DUMMYFUNCTION("IFERROR(SUBSTITUTE(SUBSTITUTE(REGEXEXTRACT(A15138, ""[^-]+- [^-]+- [^-]+ - (.+?)\.jpg""), "".jpg"", """"), ""-"", "", ""), """")"),"")</f>
        <v/>
      </c>
      <c r="L15138" s="12"/>
      <c r="M15138" s="13"/>
      <c r="N15138" s="2"/>
      <c r="O15138" s="20"/>
      <c r="P15138" s="42"/>
      <c r="R15138" s="23"/>
    </row>
    <row r="15139" spans="1:18" ht="12.75">
      <c r="A15139" s="12"/>
      <c r="D15139" s="12"/>
      <c r="E15139" s="12"/>
      <c r="H15139" s="11" t="str">
        <f ca="1">IFERROR(__xludf.DUMMYFUNCTION("IFERROR(SUBSTITUTE(SUBSTITUTE(REGEXEXTRACT(A15139, ""[^-]+- [^-]+- [^-]+ - (.+?)\.jpg""), "".jpg"", """"), ""-"", "", ""), """")"),"")</f>
        <v/>
      </c>
      <c r="L15139" s="12"/>
      <c r="M15139" s="13"/>
      <c r="N15139" s="2"/>
      <c r="O15139" s="20"/>
      <c r="P15139" s="42"/>
      <c r="R15139" s="23"/>
    </row>
    <row r="15140" spans="1:18" ht="12.75">
      <c r="A15140" s="12"/>
      <c r="D15140" s="12"/>
      <c r="E15140" s="12"/>
      <c r="H15140" s="11" t="str">
        <f ca="1">IFERROR(__xludf.DUMMYFUNCTION("IFERROR(SUBSTITUTE(SUBSTITUTE(REGEXEXTRACT(A15140, ""[^-]+- [^-]+- [^-]+ - (.+?)\.jpg""), "".jpg"", """"), ""-"", "", ""), """")"),"")</f>
        <v/>
      </c>
      <c r="L15140" s="12"/>
      <c r="M15140" s="13"/>
      <c r="N15140" s="2"/>
      <c r="O15140" s="20"/>
      <c r="P15140" s="42"/>
      <c r="R15140" s="23"/>
    </row>
    <row r="15141" spans="1:18" ht="12.75">
      <c r="A15141" s="12"/>
      <c r="D15141" s="12"/>
      <c r="E15141" s="12"/>
      <c r="H15141" s="11" t="str">
        <f ca="1">IFERROR(__xludf.DUMMYFUNCTION("IFERROR(SUBSTITUTE(SUBSTITUTE(REGEXEXTRACT(A15141, ""[^-]+- [^-]+- [^-]+ - (.+?)\.jpg""), "".jpg"", """"), ""-"", "", ""), """")"),"")</f>
        <v/>
      </c>
      <c r="L15141" s="12"/>
      <c r="M15141" s="13"/>
      <c r="N15141" s="2"/>
      <c r="O15141" s="20"/>
      <c r="P15141" s="42"/>
      <c r="R15141" s="23"/>
    </row>
    <row r="15142" spans="1:18" ht="12.75">
      <c r="A15142" s="12"/>
      <c r="D15142" s="12"/>
      <c r="E15142" s="12"/>
      <c r="H15142" s="11" t="str">
        <f ca="1">IFERROR(__xludf.DUMMYFUNCTION("IFERROR(SUBSTITUTE(SUBSTITUTE(REGEXEXTRACT(A15142, ""[^-]+- [^-]+- [^-]+ - (.+?)\.jpg""), "".jpg"", """"), ""-"", "", ""), """")"),"")</f>
        <v/>
      </c>
      <c r="L15142" s="12"/>
      <c r="M15142" s="13"/>
      <c r="N15142" s="2"/>
      <c r="O15142" s="20"/>
      <c r="P15142" s="42"/>
      <c r="R15142" s="23"/>
    </row>
    <row r="15143" spans="1:18" ht="12.75">
      <c r="A15143" s="12"/>
      <c r="D15143" s="12"/>
      <c r="E15143" s="12"/>
      <c r="H15143" s="11" t="str">
        <f ca="1">IFERROR(__xludf.DUMMYFUNCTION("IFERROR(SUBSTITUTE(SUBSTITUTE(REGEXEXTRACT(A15143, ""[^-]+- [^-]+- [^-]+ - (.+?)\.jpg""), "".jpg"", """"), ""-"", "", ""), """")"),"")</f>
        <v/>
      </c>
      <c r="L15143" s="12"/>
      <c r="M15143" s="13"/>
      <c r="N15143" s="2"/>
      <c r="O15143" s="20"/>
      <c r="P15143" s="42"/>
      <c r="R15143" s="23"/>
    </row>
    <row r="15144" spans="1:18" ht="12.75">
      <c r="A15144" s="12"/>
      <c r="D15144" s="12"/>
      <c r="E15144" s="12"/>
      <c r="H15144" s="11" t="str">
        <f ca="1">IFERROR(__xludf.DUMMYFUNCTION("IFERROR(SUBSTITUTE(SUBSTITUTE(REGEXEXTRACT(A15144, ""[^-]+- [^-]+- [^-]+ - (.+?)\.jpg""), "".jpg"", """"), ""-"", "", ""), """")"),"")</f>
        <v/>
      </c>
      <c r="L15144" s="12"/>
      <c r="M15144" s="13"/>
      <c r="N15144" s="2"/>
      <c r="O15144" s="20"/>
      <c r="P15144" s="42"/>
      <c r="R15144" s="23"/>
    </row>
    <row r="15145" spans="1:18" ht="12.75">
      <c r="A15145" s="12"/>
      <c r="D15145" s="12"/>
      <c r="E15145" s="12"/>
      <c r="H15145" s="11" t="str">
        <f ca="1">IFERROR(__xludf.DUMMYFUNCTION("IFERROR(SUBSTITUTE(SUBSTITUTE(REGEXEXTRACT(A15145, ""[^-]+- [^-]+- [^-]+ - (.+?)\.jpg""), "".jpg"", """"), ""-"", "", ""), """")"),"")</f>
        <v/>
      </c>
      <c r="L15145" s="12"/>
      <c r="M15145" s="13"/>
      <c r="N15145" s="2"/>
      <c r="O15145" s="20"/>
      <c r="P15145" s="42"/>
      <c r="R15145" s="23"/>
    </row>
    <row r="15146" spans="1:18" ht="12.75">
      <c r="A15146" s="12"/>
      <c r="D15146" s="12"/>
      <c r="E15146" s="12"/>
      <c r="H15146" s="11" t="str">
        <f ca="1">IFERROR(__xludf.DUMMYFUNCTION("IFERROR(SUBSTITUTE(SUBSTITUTE(REGEXEXTRACT(A15146, ""[^-]+- [^-]+- [^-]+ - (.+?)\.jpg""), "".jpg"", """"), ""-"", "", ""), """")"),"")</f>
        <v/>
      </c>
      <c r="L15146" s="12"/>
      <c r="M15146" s="13"/>
      <c r="N15146" s="2"/>
      <c r="O15146" s="20"/>
      <c r="P15146" s="42"/>
      <c r="R15146" s="23"/>
    </row>
    <row r="15147" spans="1:18" ht="12.75">
      <c r="A15147" s="12"/>
      <c r="D15147" s="12"/>
      <c r="E15147" s="12"/>
      <c r="H15147" s="11" t="str">
        <f ca="1">IFERROR(__xludf.DUMMYFUNCTION("IFERROR(SUBSTITUTE(SUBSTITUTE(REGEXEXTRACT(A15147, ""[^-]+- [^-]+- [^-]+ - (.+?)\.jpg""), "".jpg"", """"), ""-"", "", ""), """")"),"")</f>
        <v/>
      </c>
      <c r="L15147" s="12"/>
      <c r="M15147" s="13"/>
      <c r="N15147" s="2"/>
      <c r="O15147" s="20"/>
      <c r="P15147" s="42"/>
      <c r="R15147" s="23"/>
    </row>
    <row r="15148" spans="1:18" ht="12.75">
      <c r="A15148" s="12"/>
      <c r="D15148" s="12"/>
      <c r="E15148" s="12"/>
      <c r="H15148" s="11" t="str">
        <f ca="1">IFERROR(__xludf.DUMMYFUNCTION("IFERROR(SUBSTITUTE(SUBSTITUTE(REGEXEXTRACT(A15148, ""[^-]+- [^-]+- [^-]+ - (.+?)\.jpg""), "".jpg"", """"), ""-"", "", ""), """")"),"")</f>
        <v/>
      </c>
      <c r="L15148" s="12"/>
      <c r="M15148" s="13"/>
      <c r="N15148" s="2"/>
      <c r="O15148" s="20"/>
      <c r="P15148" s="42"/>
      <c r="R15148" s="23"/>
    </row>
    <row r="15149" spans="1:18" ht="12.75">
      <c r="A15149" s="12"/>
      <c r="D15149" s="12"/>
      <c r="E15149" s="12"/>
      <c r="H15149" s="11" t="str">
        <f ca="1">IFERROR(__xludf.DUMMYFUNCTION("IFERROR(SUBSTITUTE(SUBSTITUTE(REGEXEXTRACT(A15149, ""[^-]+- [^-]+- [^-]+ - (.+?)\.jpg""), "".jpg"", """"), ""-"", "", ""), """")"),"")</f>
        <v/>
      </c>
      <c r="L15149" s="12"/>
      <c r="M15149" s="13"/>
      <c r="N15149" s="2"/>
      <c r="O15149" s="20"/>
      <c r="P15149" s="42"/>
      <c r="R15149" s="23"/>
    </row>
    <row r="15150" spans="1:18" ht="12.75">
      <c r="A15150" s="12"/>
      <c r="D15150" s="12"/>
      <c r="E15150" s="12"/>
      <c r="H15150" s="11" t="str">
        <f ca="1">IFERROR(__xludf.DUMMYFUNCTION("IFERROR(SUBSTITUTE(SUBSTITUTE(REGEXEXTRACT(A15150, ""[^-]+- [^-]+- [^-]+ - (.+?)\.jpg""), "".jpg"", """"), ""-"", "", ""), """")"),"")</f>
        <v/>
      </c>
      <c r="L15150" s="12"/>
      <c r="M15150" s="13"/>
      <c r="N15150" s="2"/>
      <c r="O15150" s="20"/>
      <c r="P15150" s="42"/>
      <c r="R15150" s="23"/>
    </row>
    <row r="15151" spans="1:18" ht="12.75">
      <c r="A15151" s="12"/>
      <c r="D15151" s="12"/>
      <c r="E15151" s="12"/>
      <c r="H15151" s="11" t="str">
        <f ca="1">IFERROR(__xludf.DUMMYFUNCTION("IFERROR(SUBSTITUTE(SUBSTITUTE(REGEXEXTRACT(A15151, ""[^-]+- [^-]+- [^-]+ - (.+?)\.jpg""), "".jpg"", """"), ""-"", "", ""), """")"),"")</f>
        <v/>
      </c>
      <c r="L15151" s="12"/>
      <c r="M15151" s="13"/>
      <c r="N15151" s="2"/>
      <c r="O15151" s="20"/>
      <c r="P15151" s="42"/>
      <c r="R15151" s="23"/>
    </row>
    <row r="15152" spans="1:18" ht="12.75">
      <c r="A15152" s="12"/>
      <c r="D15152" s="12"/>
      <c r="E15152" s="12"/>
      <c r="H15152" s="11" t="str">
        <f ca="1">IFERROR(__xludf.DUMMYFUNCTION("IFERROR(SUBSTITUTE(SUBSTITUTE(REGEXEXTRACT(A15152, ""[^-]+- [^-]+- [^-]+ - (.+?)\.jpg""), "".jpg"", """"), ""-"", "", ""), """")"),"")</f>
        <v/>
      </c>
      <c r="L15152" s="12"/>
      <c r="M15152" s="13"/>
      <c r="N15152" s="2"/>
      <c r="O15152" s="20"/>
      <c r="P15152" s="42"/>
      <c r="R15152" s="23"/>
    </row>
    <row r="15153" spans="1:18" ht="12.75">
      <c r="A15153" s="12"/>
      <c r="D15153" s="12"/>
      <c r="E15153" s="12"/>
      <c r="H15153" s="11" t="str">
        <f ca="1">IFERROR(__xludf.DUMMYFUNCTION("IFERROR(SUBSTITUTE(SUBSTITUTE(REGEXEXTRACT(A15153, ""[^-]+- [^-]+- [^-]+ - (.+?)\.jpg""), "".jpg"", """"), ""-"", "", ""), """")"),"")</f>
        <v/>
      </c>
      <c r="L15153" s="12"/>
      <c r="M15153" s="13"/>
      <c r="N15153" s="2"/>
      <c r="O15153" s="20"/>
      <c r="P15153" s="42"/>
      <c r="R15153" s="23"/>
    </row>
    <row r="15154" spans="1:18" ht="12.75">
      <c r="A15154" s="12"/>
      <c r="D15154" s="12"/>
      <c r="E15154" s="12"/>
      <c r="H15154" s="11" t="str">
        <f ca="1">IFERROR(__xludf.DUMMYFUNCTION("IFERROR(SUBSTITUTE(SUBSTITUTE(REGEXEXTRACT(A15154, ""[^-]+- [^-]+- [^-]+ - (.+?)\.jpg""), "".jpg"", """"), ""-"", "", ""), """")"),"")</f>
        <v/>
      </c>
      <c r="L15154" s="12"/>
      <c r="M15154" s="13"/>
      <c r="N15154" s="2"/>
      <c r="O15154" s="20"/>
      <c r="P15154" s="42"/>
      <c r="R15154" s="23"/>
    </row>
    <row r="15155" spans="1:18" ht="12.75">
      <c r="A15155" s="12"/>
      <c r="D15155" s="12"/>
      <c r="E15155" s="12"/>
      <c r="H15155" s="11" t="str">
        <f ca="1">IFERROR(__xludf.DUMMYFUNCTION("IFERROR(SUBSTITUTE(SUBSTITUTE(REGEXEXTRACT(A15155, ""[^-]+- [^-]+- [^-]+ - (.+?)\.jpg""), "".jpg"", """"), ""-"", "", ""), """")"),"")</f>
        <v/>
      </c>
      <c r="L15155" s="12"/>
      <c r="M15155" s="13"/>
      <c r="N15155" s="2"/>
      <c r="O15155" s="20"/>
      <c r="P15155" s="42"/>
      <c r="R15155" s="23"/>
    </row>
    <row r="15156" spans="1:18" ht="12.75">
      <c r="A15156" s="12"/>
      <c r="D15156" s="12"/>
      <c r="E15156" s="12"/>
      <c r="H15156" s="11" t="str">
        <f ca="1">IFERROR(__xludf.DUMMYFUNCTION("IFERROR(SUBSTITUTE(SUBSTITUTE(REGEXEXTRACT(A15156, ""[^-]+- [^-]+- [^-]+ - (.+?)\.jpg""), "".jpg"", """"), ""-"", "", ""), """")"),"")</f>
        <v/>
      </c>
      <c r="L15156" s="12"/>
      <c r="M15156" s="13"/>
      <c r="N15156" s="2"/>
      <c r="O15156" s="20"/>
      <c r="P15156" s="42"/>
      <c r="R15156" s="23"/>
    </row>
    <row r="15157" spans="1:18" ht="12.75">
      <c r="A15157" s="12"/>
      <c r="D15157" s="12"/>
      <c r="E15157" s="12"/>
      <c r="H15157" s="11" t="str">
        <f ca="1">IFERROR(__xludf.DUMMYFUNCTION("IFERROR(SUBSTITUTE(SUBSTITUTE(REGEXEXTRACT(A15157, ""[^-]+- [^-]+- [^-]+ - (.+?)\.jpg""), "".jpg"", """"), ""-"", "", ""), """")"),"")</f>
        <v/>
      </c>
      <c r="L15157" s="12"/>
      <c r="M15157" s="13"/>
      <c r="N15157" s="2"/>
      <c r="O15157" s="20"/>
      <c r="P15157" s="42"/>
      <c r="R15157" s="23"/>
    </row>
    <row r="15158" spans="1:18" ht="12.75">
      <c r="A15158" s="12"/>
      <c r="D15158" s="12"/>
      <c r="E15158" s="12"/>
      <c r="H15158" s="11" t="str">
        <f ca="1">IFERROR(__xludf.DUMMYFUNCTION("IFERROR(SUBSTITUTE(SUBSTITUTE(REGEXEXTRACT(A15158, ""[^-]+- [^-]+- [^-]+ - (.+?)\.jpg""), "".jpg"", """"), ""-"", "", ""), """")"),"")</f>
        <v/>
      </c>
      <c r="L15158" s="12"/>
      <c r="M15158" s="13"/>
      <c r="N15158" s="2"/>
      <c r="O15158" s="20"/>
      <c r="P15158" s="42"/>
      <c r="R15158" s="23"/>
    </row>
    <row r="15159" spans="1:18" ht="12.75">
      <c r="A15159" s="12"/>
      <c r="D15159" s="12"/>
      <c r="E15159" s="12"/>
      <c r="H15159" s="11" t="str">
        <f ca="1">IFERROR(__xludf.DUMMYFUNCTION("IFERROR(SUBSTITUTE(SUBSTITUTE(REGEXEXTRACT(A15159, ""[^-]+- [^-]+- [^-]+ - (.+?)\.jpg""), "".jpg"", """"), ""-"", "", ""), """")"),"")</f>
        <v/>
      </c>
      <c r="L15159" s="12"/>
      <c r="M15159" s="13"/>
      <c r="N15159" s="2"/>
      <c r="O15159" s="20"/>
      <c r="P15159" s="42"/>
      <c r="R15159" s="23"/>
    </row>
    <row r="15160" spans="1:18" ht="12.75">
      <c r="A15160" s="12"/>
      <c r="D15160" s="12"/>
      <c r="E15160" s="12"/>
      <c r="H15160" s="11" t="str">
        <f ca="1">IFERROR(__xludf.DUMMYFUNCTION("IFERROR(SUBSTITUTE(SUBSTITUTE(REGEXEXTRACT(A15160, ""[^-]+- [^-]+- [^-]+ - (.+?)\.jpg""), "".jpg"", """"), ""-"", "", ""), """")"),"")</f>
        <v/>
      </c>
      <c r="L15160" s="12"/>
      <c r="M15160" s="13"/>
      <c r="N15160" s="2"/>
      <c r="O15160" s="20"/>
      <c r="P15160" s="42"/>
      <c r="R15160" s="23"/>
    </row>
    <row r="15161" spans="1:18" ht="12.75">
      <c r="A15161" s="12"/>
      <c r="D15161" s="12"/>
      <c r="E15161" s="12"/>
      <c r="H15161" s="11" t="str">
        <f ca="1">IFERROR(__xludf.DUMMYFUNCTION("IFERROR(SUBSTITUTE(SUBSTITUTE(REGEXEXTRACT(A15161, ""[^-]+- [^-]+- [^-]+ - (.+?)\.jpg""), "".jpg"", """"), ""-"", "", ""), """")"),"")</f>
        <v/>
      </c>
      <c r="L15161" s="12"/>
      <c r="M15161" s="13"/>
      <c r="N15161" s="2"/>
      <c r="O15161" s="20"/>
      <c r="P15161" s="42"/>
      <c r="R15161" s="23"/>
    </row>
    <row r="15162" spans="1:18" ht="12.75">
      <c r="A15162" s="12"/>
      <c r="D15162" s="12"/>
      <c r="E15162" s="12"/>
      <c r="H15162" s="11" t="str">
        <f ca="1">IFERROR(__xludf.DUMMYFUNCTION("IFERROR(SUBSTITUTE(SUBSTITUTE(REGEXEXTRACT(A15162, ""[^-]+- [^-]+- [^-]+ - (.+?)\.jpg""), "".jpg"", """"), ""-"", "", ""), """")"),"")</f>
        <v/>
      </c>
      <c r="L15162" s="12"/>
      <c r="M15162" s="13"/>
      <c r="N15162" s="2"/>
      <c r="O15162" s="20"/>
      <c r="P15162" s="42"/>
      <c r="R15162" s="23"/>
    </row>
    <row r="15163" spans="1:18" ht="12.75">
      <c r="A15163" s="12"/>
      <c r="D15163" s="12"/>
      <c r="E15163" s="12"/>
      <c r="H15163" s="11" t="str">
        <f ca="1">IFERROR(__xludf.DUMMYFUNCTION("IFERROR(SUBSTITUTE(SUBSTITUTE(REGEXEXTRACT(A15163, ""[^-]+- [^-]+- [^-]+ - (.+?)\.jpg""), "".jpg"", """"), ""-"", "", ""), """")"),"")</f>
        <v/>
      </c>
      <c r="L15163" s="12"/>
      <c r="M15163" s="13"/>
      <c r="N15163" s="2"/>
      <c r="O15163" s="20"/>
      <c r="P15163" s="42"/>
      <c r="R15163" s="23"/>
    </row>
    <row r="15164" spans="1:18" ht="12.75">
      <c r="A15164" s="12"/>
      <c r="D15164" s="12"/>
      <c r="E15164" s="12"/>
      <c r="H15164" s="11" t="str">
        <f ca="1">IFERROR(__xludf.DUMMYFUNCTION("IFERROR(SUBSTITUTE(SUBSTITUTE(REGEXEXTRACT(A15164, ""[^-]+- [^-]+- [^-]+ - (.+?)\.jpg""), "".jpg"", """"), ""-"", "", ""), """")"),"")</f>
        <v/>
      </c>
      <c r="L15164" s="12"/>
      <c r="M15164" s="13"/>
      <c r="N15164" s="2"/>
      <c r="O15164" s="20"/>
      <c r="P15164" s="42"/>
      <c r="R15164" s="23"/>
    </row>
    <row r="15165" spans="1:18" ht="12.75">
      <c r="A15165" s="12"/>
      <c r="D15165" s="12"/>
      <c r="E15165" s="12"/>
      <c r="H15165" s="11" t="str">
        <f ca="1">IFERROR(__xludf.DUMMYFUNCTION("IFERROR(SUBSTITUTE(SUBSTITUTE(REGEXEXTRACT(A15165, ""[^-]+- [^-]+- [^-]+ - (.+?)\.jpg""), "".jpg"", """"), ""-"", "", ""), """")"),"")</f>
        <v/>
      </c>
      <c r="L15165" s="12"/>
      <c r="M15165" s="13"/>
      <c r="N15165" s="2"/>
      <c r="O15165" s="20"/>
      <c r="P15165" s="42"/>
      <c r="R15165" s="23"/>
    </row>
  </sheetData>
  <hyperlinks>
    <hyperlink ref="E2" r:id="rId1" xr:uid="{00000000-0004-0000-0000-000000000000}"/>
    <hyperlink ref="O2" r:id="rId2" xr:uid="{00000000-0004-0000-0000-000001000000}"/>
    <hyperlink ref="E3" r:id="rId3" xr:uid="{00000000-0004-0000-0000-000002000000}"/>
    <hyperlink ref="O3" r:id="rId4" xr:uid="{00000000-0004-0000-0000-000003000000}"/>
    <hyperlink ref="E4" r:id="rId5" xr:uid="{00000000-0004-0000-0000-000004000000}"/>
    <hyperlink ref="O4" r:id="rId6" xr:uid="{00000000-0004-0000-0000-000005000000}"/>
    <hyperlink ref="D5" r:id="rId7" xr:uid="{00000000-0004-0000-0000-000006000000}"/>
    <hyperlink ref="E5" r:id="rId8" xr:uid="{00000000-0004-0000-0000-000007000000}"/>
    <hyperlink ref="O5" r:id="rId9" xr:uid="{00000000-0004-0000-0000-000008000000}"/>
    <hyperlink ref="E6" r:id="rId10" xr:uid="{00000000-0004-0000-0000-000009000000}"/>
    <hyperlink ref="O6" r:id="rId11" xr:uid="{00000000-0004-0000-0000-00000A000000}"/>
    <hyperlink ref="D7" r:id="rId12" xr:uid="{00000000-0004-0000-0000-00000B000000}"/>
    <hyperlink ref="E7" r:id="rId13" xr:uid="{00000000-0004-0000-0000-00000C000000}"/>
    <hyperlink ref="O7" r:id="rId14" xr:uid="{00000000-0004-0000-0000-00000D000000}"/>
    <hyperlink ref="D8" r:id="rId15" xr:uid="{00000000-0004-0000-0000-00000E000000}"/>
    <hyperlink ref="E8" r:id="rId16" xr:uid="{00000000-0004-0000-0000-00000F000000}"/>
    <hyperlink ref="O8" r:id="rId17" xr:uid="{00000000-0004-0000-0000-000010000000}"/>
    <hyperlink ref="D9" r:id="rId18" xr:uid="{00000000-0004-0000-0000-000011000000}"/>
    <hyperlink ref="E9" r:id="rId19" xr:uid="{00000000-0004-0000-0000-000012000000}"/>
    <hyperlink ref="O9" r:id="rId20" xr:uid="{00000000-0004-0000-0000-000013000000}"/>
    <hyperlink ref="E10" r:id="rId21" xr:uid="{00000000-0004-0000-0000-000014000000}"/>
    <hyperlink ref="O10" r:id="rId22" xr:uid="{00000000-0004-0000-0000-000015000000}"/>
    <hyperlink ref="D11" r:id="rId23" xr:uid="{00000000-0004-0000-0000-000016000000}"/>
    <hyperlink ref="E11" r:id="rId24" xr:uid="{00000000-0004-0000-0000-000017000000}"/>
    <hyperlink ref="O11" r:id="rId25" xr:uid="{00000000-0004-0000-0000-000018000000}"/>
    <hyperlink ref="D12" r:id="rId26" xr:uid="{00000000-0004-0000-0000-000019000000}"/>
    <hyperlink ref="E12" r:id="rId27" xr:uid="{00000000-0004-0000-0000-00001A000000}"/>
    <hyperlink ref="O12" r:id="rId28" xr:uid="{00000000-0004-0000-0000-00001B000000}"/>
    <hyperlink ref="D13" r:id="rId29" xr:uid="{00000000-0004-0000-0000-00001C000000}"/>
    <hyperlink ref="E13" r:id="rId30" xr:uid="{00000000-0004-0000-0000-00001D000000}"/>
    <hyperlink ref="O13" r:id="rId31" xr:uid="{00000000-0004-0000-0000-00001E000000}"/>
    <hyperlink ref="E14" r:id="rId32" xr:uid="{00000000-0004-0000-0000-00001F000000}"/>
    <hyperlink ref="O14" r:id="rId33" xr:uid="{00000000-0004-0000-0000-000020000000}"/>
    <hyperlink ref="D15" r:id="rId34" xr:uid="{00000000-0004-0000-0000-000021000000}"/>
    <hyperlink ref="E15" r:id="rId35" xr:uid="{00000000-0004-0000-0000-000022000000}"/>
    <hyperlink ref="O15" r:id="rId36" xr:uid="{00000000-0004-0000-0000-000023000000}"/>
    <hyperlink ref="E16" r:id="rId37" xr:uid="{00000000-0004-0000-0000-000024000000}"/>
    <hyperlink ref="O16" r:id="rId38" xr:uid="{00000000-0004-0000-0000-000025000000}"/>
    <hyperlink ref="D17" r:id="rId39" xr:uid="{00000000-0004-0000-0000-000026000000}"/>
    <hyperlink ref="E17" r:id="rId40" xr:uid="{00000000-0004-0000-0000-000027000000}"/>
    <hyperlink ref="O17" r:id="rId41" xr:uid="{00000000-0004-0000-0000-000028000000}"/>
    <hyperlink ref="D18" r:id="rId42" xr:uid="{00000000-0004-0000-0000-000029000000}"/>
    <hyperlink ref="E18" r:id="rId43" xr:uid="{00000000-0004-0000-0000-00002A000000}"/>
    <hyperlink ref="O18" r:id="rId44" xr:uid="{00000000-0004-0000-0000-00002B000000}"/>
    <hyperlink ref="D19" r:id="rId45" xr:uid="{00000000-0004-0000-0000-00002C000000}"/>
    <hyperlink ref="E19" r:id="rId46" xr:uid="{00000000-0004-0000-0000-00002D000000}"/>
    <hyperlink ref="O19" r:id="rId47" xr:uid="{00000000-0004-0000-0000-00002E000000}"/>
    <hyperlink ref="D20" r:id="rId48" xr:uid="{00000000-0004-0000-0000-00002F000000}"/>
    <hyperlink ref="E20" r:id="rId49" xr:uid="{00000000-0004-0000-0000-000030000000}"/>
    <hyperlink ref="O20" r:id="rId50" xr:uid="{00000000-0004-0000-0000-000031000000}"/>
    <hyperlink ref="D21" r:id="rId51" xr:uid="{00000000-0004-0000-0000-000032000000}"/>
    <hyperlink ref="E21" r:id="rId52" xr:uid="{00000000-0004-0000-0000-000033000000}"/>
    <hyperlink ref="O21" r:id="rId53" xr:uid="{00000000-0004-0000-0000-000034000000}"/>
    <hyperlink ref="D22" r:id="rId54" xr:uid="{00000000-0004-0000-0000-000035000000}"/>
    <hyperlink ref="E22" r:id="rId55" xr:uid="{00000000-0004-0000-0000-000036000000}"/>
    <hyperlink ref="O22" r:id="rId56" xr:uid="{00000000-0004-0000-0000-000037000000}"/>
    <hyperlink ref="E23" r:id="rId57" xr:uid="{00000000-0004-0000-0000-000038000000}"/>
    <hyperlink ref="O23" r:id="rId58" xr:uid="{00000000-0004-0000-0000-000039000000}"/>
    <hyperlink ref="D24" r:id="rId59" xr:uid="{00000000-0004-0000-0000-00003A000000}"/>
    <hyperlink ref="E24" r:id="rId60" xr:uid="{00000000-0004-0000-0000-00003B000000}"/>
    <hyperlink ref="O24" r:id="rId61" xr:uid="{00000000-0004-0000-0000-00003C000000}"/>
    <hyperlink ref="D25" r:id="rId62" xr:uid="{00000000-0004-0000-0000-00003D000000}"/>
    <hyperlink ref="E25" r:id="rId63" xr:uid="{00000000-0004-0000-0000-00003E000000}"/>
    <hyperlink ref="O25" r:id="rId64" xr:uid="{00000000-0004-0000-0000-00003F000000}"/>
    <hyperlink ref="D26" r:id="rId65" xr:uid="{00000000-0004-0000-0000-000040000000}"/>
    <hyperlink ref="E26" r:id="rId66" xr:uid="{00000000-0004-0000-0000-000041000000}"/>
    <hyperlink ref="O26" r:id="rId67" xr:uid="{00000000-0004-0000-0000-000042000000}"/>
    <hyperlink ref="D27" r:id="rId68" xr:uid="{00000000-0004-0000-0000-000043000000}"/>
    <hyperlink ref="E27" r:id="rId69" xr:uid="{00000000-0004-0000-0000-000044000000}"/>
    <hyperlink ref="O27" r:id="rId70" xr:uid="{00000000-0004-0000-0000-000045000000}"/>
    <hyperlink ref="E28" r:id="rId71" xr:uid="{00000000-0004-0000-0000-000046000000}"/>
    <hyperlink ref="O28" r:id="rId72" xr:uid="{00000000-0004-0000-0000-000047000000}"/>
    <hyperlink ref="E29" r:id="rId73" xr:uid="{00000000-0004-0000-0000-000048000000}"/>
    <hyperlink ref="O29" r:id="rId74" xr:uid="{00000000-0004-0000-0000-000049000000}"/>
    <hyperlink ref="D30" r:id="rId75" xr:uid="{00000000-0004-0000-0000-00004A000000}"/>
    <hyperlink ref="E30" r:id="rId76" xr:uid="{00000000-0004-0000-0000-00004B000000}"/>
    <hyperlink ref="O30" r:id="rId77" xr:uid="{00000000-0004-0000-0000-00004C000000}"/>
    <hyperlink ref="A31" r:id="rId78" xr:uid="{00000000-0004-0000-0000-00004D000000}"/>
    <hyperlink ref="E31" r:id="rId79" xr:uid="{00000000-0004-0000-0000-00004E000000}"/>
    <hyperlink ref="O31" r:id="rId80" xr:uid="{00000000-0004-0000-0000-00004F000000}"/>
    <hyperlink ref="E32" r:id="rId81" xr:uid="{00000000-0004-0000-0000-000050000000}"/>
    <hyperlink ref="O32" r:id="rId82" xr:uid="{00000000-0004-0000-0000-000051000000}"/>
    <hyperlink ref="E33" r:id="rId83" xr:uid="{00000000-0004-0000-0000-000052000000}"/>
    <hyperlink ref="O33" r:id="rId84" xr:uid="{00000000-0004-0000-0000-000053000000}"/>
    <hyperlink ref="D34" r:id="rId85" xr:uid="{00000000-0004-0000-0000-000054000000}"/>
    <hyperlink ref="E34" r:id="rId86" xr:uid="{00000000-0004-0000-0000-000055000000}"/>
    <hyperlink ref="O34" r:id="rId87" xr:uid="{00000000-0004-0000-0000-000056000000}"/>
    <hyperlink ref="E35" r:id="rId88" xr:uid="{00000000-0004-0000-0000-000057000000}"/>
    <hyperlink ref="O35" r:id="rId89" xr:uid="{00000000-0004-0000-0000-000058000000}"/>
    <hyperlink ref="E36" r:id="rId90" xr:uid="{00000000-0004-0000-0000-000059000000}"/>
    <hyperlink ref="O36" r:id="rId91" xr:uid="{00000000-0004-0000-0000-00005A000000}"/>
    <hyperlink ref="D37" r:id="rId92" xr:uid="{00000000-0004-0000-0000-00005B000000}"/>
    <hyperlink ref="E37" r:id="rId93" xr:uid="{00000000-0004-0000-0000-00005C000000}"/>
    <hyperlink ref="O37" r:id="rId94" xr:uid="{00000000-0004-0000-0000-00005D000000}"/>
    <hyperlink ref="D38" r:id="rId95" xr:uid="{00000000-0004-0000-0000-00005E000000}"/>
    <hyperlink ref="E38" r:id="rId96" xr:uid="{00000000-0004-0000-0000-00005F000000}"/>
    <hyperlink ref="O38" r:id="rId97" xr:uid="{00000000-0004-0000-0000-000060000000}"/>
    <hyperlink ref="E39" r:id="rId98" xr:uid="{00000000-0004-0000-0000-000061000000}"/>
    <hyperlink ref="O39" r:id="rId99" xr:uid="{00000000-0004-0000-0000-000062000000}"/>
    <hyperlink ref="D40" r:id="rId100" xr:uid="{00000000-0004-0000-0000-000063000000}"/>
    <hyperlink ref="E40" r:id="rId101" xr:uid="{00000000-0004-0000-0000-000064000000}"/>
    <hyperlink ref="O40" r:id="rId102" xr:uid="{00000000-0004-0000-0000-000065000000}"/>
    <hyperlink ref="E41" r:id="rId103" xr:uid="{00000000-0004-0000-0000-000066000000}"/>
    <hyperlink ref="O41" r:id="rId104" xr:uid="{00000000-0004-0000-0000-000067000000}"/>
    <hyperlink ref="D42" r:id="rId105" xr:uid="{00000000-0004-0000-0000-000068000000}"/>
    <hyperlink ref="E42" r:id="rId106" xr:uid="{00000000-0004-0000-0000-000069000000}"/>
    <hyperlink ref="O42" r:id="rId107" xr:uid="{00000000-0004-0000-0000-00006A000000}"/>
    <hyperlink ref="E43" r:id="rId108" xr:uid="{00000000-0004-0000-0000-00006B000000}"/>
    <hyperlink ref="O43" r:id="rId109" xr:uid="{00000000-0004-0000-0000-00006C000000}"/>
    <hyperlink ref="D44" r:id="rId110" xr:uid="{00000000-0004-0000-0000-00006D000000}"/>
    <hyperlink ref="E44" r:id="rId111" xr:uid="{00000000-0004-0000-0000-00006E000000}"/>
    <hyperlink ref="O44" r:id="rId112" xr:uid="{00000000-0004-0000-0000-00006F000000}"/>
    <hyperlink ref="E45" r:id="rId113" xr:uid="{00000000-0004-0000-0000-000070000000}"/>
    <hyperlink ref="O45" r:id="rId114" xr:uid="{00000000-0004-0000-0000-000071000000}"/>
    <hyperlink ref="D46" r:id="rId115" xr:uid="{00000000-0004-0000-0000-000072000000}"/>
    <hyperlink ref="E46" r:id="rId116" xr:uid="{00000000-0004-0000-0000-000073000000}"/>
    <hyperlink ref="O46" r:id="rId117" xr:uid="{00000000-0004-0000-0000-000074000000}"/>
    <hyperlink ref="D47" r:id="rId118" xr:uid="{00000000-0004-0000-0000-000075000000}"/>
    <hyperlink ref="E47" r:id="rId119" xr:uid="{00000000-0004-0000-0000-000076000000}"/>
    <hyperlink ref="O47" r:id="rId120" xr:uid="{00000000-0004-0000-0000-000077000000}"/>
    <hyperlink ref="D48" r:id="rId121" xr:uid="{00000000-0004-0000-0000-000078000000}"/>
    <hyperlink ref="E48" r:id="rId122" xr:uid="{00000000-0004-0000-0000-000079000000}"/>
    <hyperlink ref="O48" r:id="rId123" xr:uid="{00000000-0004-0000-0000-00007A000000}"/>
    <hyperlink ref="D49" r:id="rId124" xr:uid="{00000000-0004-0000-0000-00007B000000}"/>
    <hyperlink ref="E49" r:id="rId125" xr:uid="{00000000-0004-0000-0000-00007C000000}"/>
    <hyperlink ref="O49" r:id="rId126" xr:uid="{00000000-0004-0000-0000-00007D000000}"/>
    <hyperlink ref="E50" r:id="rId127" xr:uid="{00000000-0004-0000-0000-00007E000000}"/>
    <hyperlink ref="O50" r:id="rId128" xr:uid="{00000000-0004-0000-0000-00007F000000}"/>
    <hyperlink ref="E51" r:id="rId129" xr:uid="{00000000-0004-0000-0000-000080000000}"/>
    <hyperlink ref="O51" r:id="rId130" xr:uid="{00000000-0004-0000-0000-000081000000}"/>
    <hyperlink ref="E52" r:id="rId131" xr:uid="{00000000-0004-0000-0000-000082000000}"/>
    <hyperlink ref="O52" r:id="rId132" xr:uid="{00000000-0004-0000-0000-000083000000}"/>
    <hyperlink ref="E53" r:id="rId133" xr:uid="{00000000-0004-0000-0000-000084000000}"/>
    <hyperlink ref="O53" r:id="rId134" xr:uid="{00000000-0004-0000-0000-000085000000}"/>
    <hyperlink ref="E54" r:id="rId135" xr:uid="{00000000-0004-0000-0000-000086000000}"/>
    <hyperlink ref="O54" r:id="rId136" xr:uid="{00000000-0004-0000-0000-000087000000}"/>
    <hyperlink ref="D55" r:id="rId137" xr:uid="{00000000-0004-0000-0000-000088000000}"/>
    <hyperlink ref="E55" r:id="rId138" xr:uid="{00000000-0004-0000-0000-000089000000}"/>
    <hyperlink ref="O55" r:id="rId139" xr:uid="{00000000-0004-0000-0000-00008A000000}"/>
    <hyperlink ref="E56" r:id="rId140" xr:uid="{00000000-0004-0000-0000-00008B000000}"/>
    <hyperlink ref="O56" r:id="rId141" xr:uid="{00000000-0004-0000-0000-00008C000000}"/>
    <hyperlink ref="D57" r:id="rId142" xr:uid="{00000000-0004-0000-0000-00008D000000}"/>
    <hyperlink ref="E57" r:id="rId143" xr:uid="{00000000-0004-0000-0000-00008E000000}"/>
    <hyperlink ref="O57" r:id="rId144" xr:uid="{00000000-0004-0000-0000-00008F000000}"/>
    <hyperlink ref="D58" r:id="rId145" xr:uid="{00000000-0004-0000-0000-000090000000}"/>
    <hyperlink ref="E58" r:id="rId146" xr:uid="{00000000-0004-0000-0000-000091000000}"/>
    <hyperlink ref="O58" r:id="rId147" xr:uid="{00000000-0004-0000-0000-000092000000}"/>
    <hyperlink ref="D59" r:id="rId148" xr:uid="{00000000-0004-0000-0000-000093000000}"/>
    <hyperlink ref="E59" r:id="rId149" xr:uid="{00000000-0004-0000-0000-000094000000}"/>
    <hyperlink ref="O59" r:id="rId150" xr:uid="{00000000-0004-0000-0000-000095000000}"/>
    <hyperlink ref="D60" r:id="rId151" xr:uid="{00000000-0004-0000-0000-000096000000}"/>
    <hyperlink ref="E60" r:id="rId152" xr:uid="{00000000-0004-0000-0000-000097000000}"/>
    <hyperlink ref="O60" r:id="rId153" xr:uid="{00000000-0004-0000-0000-000098000000}"/>
    <hyperlink ref="D61" r:id="rId154" xr:uid="{00000000-0004-0000-0000-000099000000}"/>
    <hyperlink ref="E61" r:id="rId155" xr:uid="{00000000-0004-0000-0000-00009A000000}"/>
    <hyperlink ref="O61" r:id="rId156" xr:uid="{00000000-0004-0000-0000-00009B000000}"/>
    <hyperlink ref="D62" r:id="rId157" xr:uid="{00000000-0004-0000-0000-00009C000000}"/>
    <hyperlink ref="E62" r:id="rId158" xr:uid="{00000000-0004-0000-0000-00009D000000}"/>
    <hyperlink ref="O62" r:id="rId159" xr:uid="{00000000-0004-0000-0000-00009E000000}"/>
    <hyperlink ref="D63" r:id="rId160" xr:uid="{00000000-0004-0000-0000-00009F000000}"/>
    <hyperlink ref="E63" r:id="rId161" xr:uid="{00000000-0004-0000-0000-0000A0000000}"/>
    <hyperlink ref="O63" r:id="rId162" xr:uid="{00000000-0004-0000-0000-0000A1000000}"/>
    <hyperlink ref="D64" r:id="rId163" xr:uid="{00000000-0004-0000-0000-0000A2000000}"/>
    <hyperlink ref="E64" r:id="rId164" xr:uid="{00000000-0004-0000-0000-0000A3000000}"/>
    <hyperlink ref="O64" r:id="rId165" xr:uid="{00000000-0004-0000-0000-0000A4000000}"/>
    <hyperlink ref="D65" r:id="rId166" xr:uid="{00000000-0004-0000-0000-0000A5000000}"/>
    <hyperlink ref="E65" r:id="rId167" xr:uid="{00000000-0004-0000-0000-0000A6000000}"/>
    <hyperlink ref="O65" r:id="rId168" xr:uid="{00000000-0004-0000-0000-0000A7000000}"/>
    <hyperlink ref="D66" r:id="rId169" xr:uid="{00000000-0004-0000-0000-0000A8000000}"/>
    <hyperlink ref="E66" r:id="rId170" xr:uid="{00000000-0004-0000-0000-0000A9000000}"/>
    <hyperlink ref="O66" r:id="rId171" xr:uid="{00000000-0004-0000-0000-0000AA000000}"/>
    <hyperlink ref="D67" r:id="rId172" xr:uid="{00000000-0004-0000-0000-0000AB000000}"/>
    <hyperlink ref="E67" r:id="rId173" xr:uid="{00000000-0004-0000-0000-0000AC000000}"/>
    <hyperlink ref="O67" r:id="rId174" xr:uid="{00000000-0004-0000-0000-0000AD000000}"/>
    <hyperlink ref="D68" r:id="rId175" xr:uid="{00000000-0004-0000-0000-0000AE000000}"/>
    <hyperlink ref="E68" r:id="rId176" xr:uid="{00000000-0004-0000-0000-0000AF000000}"/>
    <hyperlink ref="O68" r:id="rId177" xr:uid="{00000000-0004-0000-0000-0000B0000000}"/>
    <hyperlink ref="E69" r:id="rId178" xr:uid="{00000000-0004-0000-0000-0000B1000000}"/>
    <hyperlink ref="O69" r:id="rId179" xr:uid="{00000000-0004-0000-0000-0000B2000000}"/>
    <hyperlink ref="D70" r:id="rId180" xr:uid="{00000000-0004-0000-0000-0000B3000000}"/>
    <hyperlink ref="E70" r:id="rId181" xr:uid="{00000000-0004-0000-0000-0000B4000000}"/>
    <hyperlink ref="O70" r:id="rId182" xr:uid="{00000000-0004-0000-0000-0000B5000000}"/>
    <hyperlink ref="D71" r:id="rId183" xr:uid="{00000000-0004-0000-0000-0000B6000000}"/>
    <hyperlink ref="E71" r:id="rId184" xr:uid="{00000000-0004-0000-0000-0000B7000000}"/>
    <hyperlink ref="O71" r:id="rId185" xr:uid="{00000000-0004-0000-0000-0000B8000000}"/>
    <hyperlink ref="D72" r:id="rId186" xr:uid="{00000000-0004-0000-0000-0000B9000000}"/>
    <hyperlink ref="E72" r:id="rId187" xr:uid="{00000000-0004-0000-0000-0000BA000000}"/>
    <hyperlink ref="O72" r:id="rId188" xr:uid="{00000000-0004-0000-0000-0000BB000000}"/>
    <hyperlink ref="E73" r:id="rId189" xr:uid="{00000000-0004-0000-0000-0000BC000000}"/>
    <hyperlink ref="O73" r:id="rId190" xr:uid="{00000000-0004-0000-0000-0000BD000000}"/>
    <hyperlink ref="D74" r:id="rId191" xr:uid="{00000000-0004-0000-0000-0000BE000000}"/>
    <hyperlink ref="E74" r:id="rId192" xr:uid="{00000000-0004-0000-0000-0000BF000000}"/>
    <hyperlink ref="O74" r:id="rId193" xr:uid="{00000000-0004-0000-0000-0000C0000000}"/>
    <hyperlink ref="D75" r:id="rId194" xr:uid="{00000000-0004-0000-0000-0000C1000000}"/>
    <hyperlink ref="E75" r:id="rId195" xr:uid="{00000000-0004-0000-0000-0000C2000000}"/>
    <hyperlink ref="O75" r:id="rId196" xr:uid="{00000000-0004-0000-0000-0000C3000000}"/>
    <hyperlink ref="D76" r:id="rId197" xr:uid="{00000000-0004-0000-0000-0000C4000000}"/>
    <hyperlink ref="E76" r:id="rId198" xr:uid="{00000000-0004-0000-0000-0000C5000000}"/>
    <hyperlink ref="O76" r:id="rId199" xr:uid="{00000000-0004-0000-0000-0000C6000000}"/>
    <hyperlink ref="D77" r:id="rId200" xr:uid="{00000000-0004-0000-0000-0000C7000000}"/>
    <hyperlink ref="E77" r:id="rId201" xr:uid="{00000000-0004-0000-0000-0000C8000000}"/>
    <hyperlink ref="O77" r:id="rId202" xr:uid="{00000000-0004-0000-0000-0000C9000000}"/>
    <hyperlink ref="D78" r:id="rId203" xr:uid="{00000000-0004-0000-0000-0000CA000000}"/>
    <hyperlink ref="E78" r:id="rId204" xr:uid="{00000000-0004-0000-0000-0000CB000000}"/>
    <hyperlink ref="O78" r:id="rId205" xr:uid="{00000000-0004-0000-0000-0000CC000000}"/>
    <hyperlink ref="D79" r:id="rId206" xr:uid="{00000000-0004-0000-0000-0000CD000000}"/>
    <hyperlink ref="E79" r:id="rId207" xr:uid="{00000000-0004-0000-0000-0000CE000000}"/>
    <hyperlink ref="O79" r:id="rId208" xr:uid="{00000000-0004-0000-0000-0000CF000000}"/>
    <hyperlink ref="D80" r:id="rId209" xr:uid="{00000000-0004-0000-0000-0000D0000000}"/>
    <hyperlink ref="E80" r:id="rId210" xr:uid="{00000000-0004-0000-0000-0000D1000000}"/>
    <hyperlink ref="O80" r:id="rId211" xr:uid="{00000000-0004-0000-0000-0000D2000000}"/>
    <hyperlink ref="D81" r:id="rId212" xr:uid="{00000000-0004-0000-0000-0000D3000000}"/>
    <hyperlink ref="E81" r:id="rId213" xr:uid="{00000000-0004-0000-0000-0000D4000000}"/>
    <hyperlink ref="O81" r:id="rId214" xr:uid="{00000000-0004-0000-0000-0000D5000000}"/>
    <hyperlink ref="E82" r:id="rId215" xr:uid="{00000000-0004-0000-0000-0000D6000000}"/>
    <hyperlink ref="O82" r:id="rId216" xr:uid="{00000000-0004-0000-0000-0000D7000000}"/>
    <hyperlink ref="D83" r:id="rId217" xr:uid="{00000000-0004-0000-0000-0000D8000000}"/>
    <hyperlink ref="E83" r:id="rId218" xr:uid="{00000000-0004-0000-0000-0000D9000000}"/>
    <hyperlink ref="O83" r:id="rId219" xr:uid="{00000000-0004-0000-0000-0000DA000000}"/>
    <hyperlink ref="D84" r:id="rId220" xr:uid="{00000000-0004-0000-0000-0000DB000000}"/>
    <hyperlink ref="E84" r:id="rId221" xr:uid="{00000000-0004-0000-0000-0000DC000000}"/>
    <hyperlink ref="O84" r:id="rId222" xr:uid="{00000000-0004-0000-0000-0000DD000000}"/>
    <hyperlink ref="D85" r:id="rId223" xr:uid="{00000000-0004-0000-0000-0000DE000000}"/>
    <hyperlink ref="E85" r:id="rId224" xr:uid="{00000000-0004-0000-0000-0000DF000000}"/>
    <hyperlink ref="O85" r:id="rId225" xr:uid="{00000000-0004-0000-0000-0000E0000000}"/>
    <hyperlink ref="E86" r:id="rId226" xr:uid="{00000000-0004-0000-0000-0000E1000000}"/>
    <hyperlink ref="O86" r:id="rId227" xr:uid="{00000000-0004-0000-0000-0000E2000000}"/>
    <hyperlink ref="E87" r:id="rId228" xr:uid="{00000000-0004-0000-0000-0000E3000000}"/>
    <hyperlink ref="O87" r:id="rId229" xr:uid="{00000000-0004-0000-0000-0000E4000000}"/>
    <hyperlink ref="D88" r:id="rId230" xr:uid="{00000000-0004-0000-0000-0000E5000000}"/>
    <hyperlink ref="E88" r:id="rId231" xr:uid="{00000000-0004-0000-0000-0000E6000000}"/>
    <hyperlink ref="O88" r:id="rId232" xr:uid="{00000000-0004-0000-0000-0000E7000000}"/>
    <hyperlink ref="E89" r:id="rId233" xr:uid="{00000000-0004-0000-0000-0000E8000000}"/>
    <hyperlink ref="O89" r:id="rId234" xr:uid="{00000000-0004-0000-0000-0000E9000000}"/>
    <hyperlink ref="D90" r:id="rId235" xr:uid="{00000000-0004-0000-0000-0000EA000000}"/>
    <hyperlink ref="E90" r:id="rId236" xr:uid="{00000000-0004-0000-0000-0000EB000000}"/>
    <hyperlink ref="O90" r:id="rId237" xr:uid="{00000000-0004-0000-0000-0000EC000000}"/>
    <hyperlink ref="E91" r:id="rId238" xr:uid="{00000000-0004-0000-0000-0000ED000000}"/>
    <hyperlink ref="O91" r:id="rId239" xr:uid="{00000000-0004-0000-0000-0000EE000000}"/>
    <hyperlink ref="E92" r:id="rId240" xr:uid="{00000000-0004-0000-0000-0000EF000000}"/>
    <hyperlink ref="O92" r:id="rId241" xr:uid="{00000000-0004-0000-0000-0000F0000000}"/>
    <hyperlink ref="E93" r:id="rId242" xr:uid="{00000000-0004-0000-0000-0000F1000000}"/>
    <hyperlink ref="O93" r:id="rId243" xr:uid="{00000000-0004-0000-0000-0000F2000000}"/>
    <hyperlink ref="D94" r:id="rId244" xr:uid="{00000000-0004-0000-0000-0000F3000000}"/>
    <hyperlink ref="E94" r:id="rId245" xr:uid="{00000000-0004-0000-0000-0000F4000000}"/>
    <hyperlink ref="O94" r:id="rId246" xr:uid="{00000000-0004-0000-0000-0000F5000000}"/>
    <hyperlink ref="D95" r:id="rId247" xr:uid="{00000000-0004-0000-0000-0000F6000000}"/>
    <hyperlink ref="E95" r:id="rId248" xr:uid="{00000000-0004-0000-0000-0000F7000000}"/>
    <hyperlink ref="O95" r:id="rId249" xr:uid="{00000000-0004-0000-0000-0000F8000000}"/>
    <hyperlink ref="D96" r:id="rId250" xr:uid="{00000000-0004-0000-0000-0000F9000000}"/>
    <hyperlink ref="E96" r:id="rId251" xr:uid="{00000000-0004-0000-0000-0000FA000000}"/>
    <hyperlink ref="O96" r:id="rId252" xr:uid="{00000000-0004-0000-0000-0000FB000000}"/>
    <hyperlink ref="E97" r:id="rId253" xr:uid="{00000000-0004-0000-0000-0000FC000000}"/>
    <hyperlink ref="O97" r:id="rId254" xr:uid="{00000000-0004-0000-0000-0000FD000000}"/>
    <hyperlink ref="D98" r:id="rId255" xr:uid="{00000000-0004-0000-0000-0000FE000000}"/>
    <hyperlink ref="E98" r:id="rId256" xr:uid="{00000000-0004-0000-0000-0000FF000000}"/>
    <hyperlink ref="O98" r:id="rId257" xr:uid="{00000000-0004-0000-0000-000000010000}"/>
    <hyperlink ref="E99" r:id="rId258" xr:uid="{00000000-0004-0000-0000-000001010000}"/>
    <hyperlink ref="O99" r:id="rId259" xr:uid="{00000000-0004-0000-0000-000002010000}"/>
    <hyperlink ref="D100" r:id="rId260" xr:uid="{00000000-0004-0000-0000-000003010000}"/>
    <hyperlink ref="E100" r:id="rId261" xr:uid="{00000000-0004-0000-0000-000004010000}"/>
    <hyperlink ref="O100" r:id="rId262" xr:uid="{00000000-0004-0000-0000-000005010000}"/>
    <hyperlink ref="D101" r:id="rId263" xr:uid="{00000000-0004-0000-0000-000006010000}"/>
    <hyperlink ref="E101" r:id="rId264" xr:uid="{00000000-0004-0000-0000-000007010000}"/>
    <hyperlink ref="O101" r:id="rId265" xr:uid="{00000000-0004-0000-0000-000008010000}"/>
    <hyperlink ref="E102" r:id="rId266" xr:uid="{00000000-0004-0000-0000-000009010000}"/>
    <hyperlink ref="O102" r:id="rId267" xr:uid="{00000000-0004-0000-0000-00000A010000}"/>
    <hyperlink ref="D103" r:id="rId268" xr:uid="{00000000-0004-0000-0000-00000B010000}"/>
    <hyperlink ref="E103" r:id="rId269" xr:uid="{00000000-0004-0000-0000-00000C010000}"/>
    <hyperlink ref="O103" r:id="rId270" xr:uid="{00000000-0004-0000-0000-00000D010000}"/>
    <hyperlink ref="D104" r:id="rId271" xr:uid="{00000000-0004-0000-0000-00000E010000}"/>
    <hyperlink ref="E104" r:id="rId272" xr:uid="{00000000-0004-0000-0000-00000F010000}"/>
    <hyperlink ref="O104" r:id="rId273" xr:uid="{00000000-0004-0000-0000-000010010000}"/>
    <hyperlink ref="D105" r:id="rId274" xr:uid="{00000000-0004-0000-0000-000011010000}"/>
    <hyperlink ref="E105" r:id="rId275" xr:uid="{00000000-0004-0000-0000-000012010000}"/>
    <hyperlink ref="O105" r:id="rId276" xr:uid="{00000000-0004-0000-0000-000013010000}"/>
    <hyperlink ref="D106" r:id="rId277" xr:uid="{00000000-0004-0000-0000-000014010000}"/>
    <hyperlink ref="E106" r:id="rId278" xr:uid="{00000000-0004-0000-0000-000015010000}"/>
    <hyperlink ref="O106" r:id="rId279" xr:uid="{00000000-0004-0000-0000-000016010000}"/>
    <hyperlink ref="D107" r:id="rId280" xr:uid="{00000000-0004-0000-0000-000017010000}"/>
    <hyperlink ref="E107" r:id="rId281" xr:uid="{00000000-0004-0000-0000-000018010000}"/>
    <hyperlink ref="O107" r:id="rId282" xr:uid="{00000000-0004-0000-0000-000019010000}"/>
    <hyperlink ref="E108" r:id="rId283" xr:uid="{00000000-0004-0000-0000-00001A010000}"/>
    <hyperlink ref="O108" r:id="rId284" xr:uid="{00000000-0004-0000-0000-00001B010000}"/>
    <hyperlink ref="E109" r:id="rId285" xr:uid="{00000000-0004-0000-0000-00001C010000}"/>
    <hyperlink ref="O109" r:id="rId286" xr:uid="{00000000-0004-0000-0000-00001D010000}"/>
    <hyperlink ref="E110" r:id="rId287" xr:uid="{00000000-0004-0000-0000-00001E010000}"/>
    <hyperlink ref="O110" r:id="rId288" xr:uid="{00000000-0004-0000-0000-00001F010000}"/>
    <hyperlink ref="D111" r:id="rId289" xr:uid="{00000000-0004-0000-0000-000020010000}"/>
    <hyperlink ref="E111" r:id="rId290" xr:uid="{00000000-0004-0000-0000-000021010000}"/>
    <hyperlink ref="O111" r:id="rId291" xr:uid="{00000000-0004-0000-0000-000022010000}"/>
    <hyperlink ref="D112" r:id="rId292" xr:uid="{00000000-0004-0000-0000-000023010000}"/>
    <hyperlink ref="E112" r:id="rId293" xr:uid="{00000000-0004-0000-0000-000024010000}"/>
    <hyperlink ref="O112" r:id="rId294" xr:uid="{00000000-0004-0000-0000-000025010000}"/>
    <hyperlink ref="E113" r:id="rId295" xr:uid="{00000000-0004-0000-0000-000026010000}"/>
    <hyperlink ref="O113" r:id="rId296" xr:uid="{00000000-0004-0000-0000-000027010000}"/>
    <hyperlink ref="E114" r:id="rId297" xr:uid="{00000000-0004-0000-0000-000028010000}"/>
    <hyperlink ref="O114" r:id="rId298" xr:uid="{00000000-0004-0000-0000-000029010000}"/>
    <hyperlink ref="D115" r:id="rId299" xr:uid="{00000000-0004-0000-0000-00002A010000}"/>
    <hyperlink ref="E115" r:id="rId300" xr:uid="{00000000-0004-0000-0000-00002B010000}"/>
    <hyperlink ref="O115" r:id="rId301" xr:uid="{00000000-0004-0000-0000-00002C010000}"/>
    <hyperlink ref="E116" r:id="rId302" xr:uid="{00000000-0004-0000-0000-00002D010000}"/>
    <hyperlink ref="O116" r:id="rId303" xr:uid="{00000000-0004-0000-0000-00002E010000}"/>
    <hyperlink ref="E117" r:id="rId304" xr:uid="{00000000-0004-0000-0000-00002F010000}"/>
    <hyperlink ref="O117" r:id="rId305" xr:uid="{00000000-0004-0000-0000-000030010000}"/>
    <hyperlink ref="D118" r:id="rId306" xr:uid="{00000000-0004-0000-0000-000031010000}"/>
    <hyperlink ref="E118" r:id="rId307" xr:uid="{00000000-0004-0000-0000-000032010000}"/>
    <hyperlink ref="O118" r:id="rId308" xr:uid="{00000000-0004-0000-0000-000033010000}"/>
    <hyperlink ref="E119" r:id="rId309" xr:uid="{00000000-0004-0000-0000-000034010000}"/>
    <hyperlink ref="O119" r:id="rId310" xr:uid="{00000000-0004-0000-0000-000035010000}"/>
    <hyperlink ref="D120" r:id="rId311" xr:uid="{00000000-0004-0000-0000-000036010000}"/>
    <hyperlink ref="E120" r:id="rId312" xr:uid="{00000000-0004-0000-0000-000037010000}"/>
    <hyperlink ref="O120" r:id="rId313" xr:uid="{00000000-0004-0000-0000-000038010000}"/>
    <hyperlink ref="E121" r:id="rId314" xr:uid="{00000000-0004-0000-0000-000039010000}"/>
    <hyperlink ref="O121" r:id="rId315" xr:uid="{00000000-0004-0000-0000-00003A010000}"/>
    <hyperlink ref="E122" r:id="rId316" xr:uid="{00000000-0004-0000-0000-00003B010000}"/>
    <hyperlink ref="O122" r:id="rId317" xr:uid="{00000000-0004-0000-0000-00003C010000}"/>
    <hyperlink ref="D123" r:id="rId318" xr:uid="{00000000-0004-0000-0000-00003D010000}"/>
    <hyperlink ref="E123" r:id="rId319" xr:uid="{00000000-0004-0000-0000-00003E010000}"/>
    <hyperlink ref="O123" r:id="rId320" xr:uid="{00000000-0004-0000-0000-00003F010000}"/>
    <hyperlink ref="D124" r:id="rId321" xr:uid="{00000000-0004-0000-0000-000040010000}"/>
    <hyperlink ref="E124" r:id="rId322" xr:uid="{00000000-0004-0000-0000-000041010000}"/>
    <hyperlink ref="O124" r:id="rId323" xr:uid="{00000000-0004-0000-0000-000042010000}"/>
    <hyperlink ref="E125" r:id="rId324" xr:uid="{00000000-0004-0000-0000-000043010000}"/>
    <hyperlink ref="O125" r:id="rId325" xr:uid="{00000000-0004-0000-0000-000044010000}"/>
    <hyperlink ref="E126" r:id="rId326" xr:uid="{00000000-0004-0000-0000-000045010000}"/>
    <hyperlink ref="O126" r:id="rId327" xr:uid="{00000000-0004-0000-0000-000046010000}"/>
    <hyperlink ref="E127" r:id="rId328" xr:uid="{00000000-0004-0000-0000-000047010000}"/>
    <hyperlink ref="O127" r:id="rId329" xr:uid="{00000000-0004-0000-0000-000048010000}"/>
    <hyperlink ref="D128" r:id="rId330" xr:uid="{00000000-0004-0000-0000-000049010000}"/>
    <hyperlink ref="E128" r:id="rId331" xr:uid="{00000000-0004-0000-0000-00004A010000}"/>
    <hyperlink ref="O128" r:id="rId332" xr:uid="{00000000-0004-0000-0000-00004B010000}"/>
    <hyperlink ref="E129" r:id="rId333" xr:uid="{00000000-0004-0000-0000-00004C010000}"/>
    <hyperlink ref="O129" r:id="rId334" xr:uid="{00000000-0004-0000-0000-00004D010000}"/>
    <hyperlink ref="D130" r:id="rId335" xr:uid="{00000000-0004-0000-0000-00004E010000}"/>
    <hyperlink ref="E130" r:id="rId336" xr:uid="{00000000-0004-0000-0000-00004F010000}"/>
    <hyperlink ref="O130" r:id="rId337" xr:uid="{00000000-0004-0000-0000-000050010000}"/>
    <hyperlink ref="E131" r:id="rId338" xr:uid="{00000000-0004-0000-0000-000051010000}"/>
    <hyperlink ref="O131" r:id="rId339" xr:uid="{00000000-0004-0000-0000-000052010000}"/>
    <hyperlink ref="D132" r:id="rId340" xr:uid="{00000000-0004-0000-0000-000053010000}"/>
    <hyperlink ref="E132" r:id="rId341" xr:uid="{00000000-0004-0000-0000-000054010000}"/>
    <hyperlink ref="O132" r:id="rId342" xr:uid="{00000000-0004-0000-0000-000055010000}"/>
    <hyperlink ref="E133" r:id="rId343" xr:uid="{00000000-0004-0000-0000-000056010000}"/>
    <hyperlink ref="O133" r:id="rId344" xr:uid="{00000000-0004-0000-0000-000057010000}"/>
    <hyperlink ref="E134" r:id="rId345" xr:uid="{00000000-0004-0000-0000-000058010000}"/>
    <hyperlink ref="O134" r:id="rId346" xr:uid="{00000000-0004-0000-0000-000059010000}"/>
    <hyperlink ref="D135" r:id="rId347" xr:uid="{00000000-0004-0000-0000-00005A010000}"/>
    <hyperlink ref="E135" r:id="rId348" xr:uid="{00000000-0004-0000-0000-00005B010000}"/>
    <hyperlink ref="O135" r:id="rId349" xr:uid="{00000000-0004-0000-0000-00005C010000}"/>
    <hyperlink ref="D136" r:id="rId350" xr:uid="{00000000-0004-0000-0000-00005D010000}"/>
    <hyperlink ref="E136" r:id="rId351" xr:uid="{00000000-0004-0000-0000-00005E010000}"/>
    <hyperlink ref="O136" r:id="rId352" xr:uid="{00000000-0004-0000-0000-00005F010000}"/>
    <hyperlink ref="D137" r:id="rId353" xr:uid="{00000000-0004-0000-0000-000060010000}"/>
    <hyperlink ref="E137" r:id="rId354" xr:uid="{00000000-0004-0000-0000-000061010000}"/>
    <hyperlink ref="O137" r:id="rId355" xr:uid="{00000000-0004-0000-0000-000062010000}"/>
    <hyperlink ref="D138" r:id="rId356" xr:uid="{00000000-0004-0000-0000-000063010000}"/>
    <hyperlink ref="E138" r:id="rId357" xr:uid="{00000000-0004-0000-0000-000064010000}"/>
    <hyperlink ref="F138" r:id="rId358" xr:uid="{00000000-0004-0000-0000-000065010000}"/>
    <hyperlink ref="O138" r:id="rId359" xr:uid="{00000000-0004-0000-0000-000066010000}"/>
    <hyperlink ref="D139" r:id="rId360" xr:uid="{00000000-0004-0000-0000-000067010000}"/>
    <hyperlink ref="E139" r:id="rId361" xr:uid="{00000000-0004-0000-0000-000068010000}"/>
    <hyperlink ref="F139" r:id="rId362" xr:uid="{00000000-0004-0000-0000-000069010000}"/>
    <hyperlink ref="O139" r:id="rId363" xr:uid="{00000000-0004-0000-0000-00006A010000}"/>
    <hyperlink ref="D140" r:id="rId364" xr:uid="{00000000-0004-0000-0000-00006B010000}"/>
    <hyperlink ref="E140" r:id="rId365" xr:uid="{00000000-0004-0000-0000-00006C010000}"/>
    <hyperlink ref="F140" r:id="rId366" xr:uid="{00000000-0004-0000-0000-00006D010000}"/>
    <hyperlink ref="O140" r:id="rId367" xr:uid="{00000000-0004-0000-0000-00006E010000}"/>
    <hyperlink ref="D141" r:id="rId368" xr:uid="{00000000-0004-0000-0000-00006F010000}"/>
    <hyperlink ref="E141" r:id="rId369" xr:uid="{00000000-0004-0000-0000-000070010000}"/>
    <hyperlink ref="F141" r:id="rId370" xr:uid="{00000000-0004-0000-0000-000071010000}"/>
    <hyperlink ref="O141" r:id="rId371" xr:uid="{00000000-0004-0000-0000-000072010000}"/>
    <hyperlink ref="E142" r:id="rId372" xr:uid="{00000000-0004-0000-0000-000073010000}"/>
    <hyperlink ref="F142" r:id="rId373" xr:uid="{00000000-0004-0000-0000-000074010000}"/>
    <hyperlink ref="O142" r:id="rId374" xr:uid="{00000000-0004-0000-0000-000075010000}"/>
    <hyperlink ref="D143" r:id="rId375" xr:uid="{00000000-0004-0000-0000-000076010000}"/>
    <hyperlink ref="E143" r:id="rId376" xr:uid="{00000000-0004-0000-0000-000077010000}"/>
    <hyperlink ref="F143" r:id="rId377" xr:uid="{00000000-0004-0000-0000-000078010000}"/>
    <hyperlink ref="O143" r:id="rId378" xr:uid="{00000000-0004-0000-0000-000079010000}"/>
    <hyperlink ref="E144" r:id="rId379" xr:uid="{00000000-0004-0000-0000-00007A010000}"/>
    <hyperlink ref="F144" r:id="rId380" xr:uid="{00000000-0004-0000-0000-00007B010000}"/>
    <hyperlink ref="O144" r:id="rId381" xr:uid="{00000000-0004-0000-0000-00007C010000}"/>
    <hyperlink ref="E145" r:id="rId382" xr:uid="{00000000-0004-0000-0000-00007D010000}"/>
    <hyperlink ref="F145" r:id="rId383" xr:uid="{00000000-0004-0000-0000-00007E010000}"/>
    <hyperlink ref="O145" r:id="rId384" xr:uid="{00000000-0004-0000-0000-00007F010000}"/>
    <hyperlink ref="E146" r:id="rId385" xr:uid="{00000000-0004-0000-0000-000080010000}"/>
    <hyperlink ref="F146" r:id="rId386" xr:uid="{00000000-0004-0000-0000-000081010000}"/>
    <hyperlink ref="O146" r:id="rId387" xr:uid="{00000000-0004-0000-0000-000082010000}"/>
    <hyperlink ref="D147" r:id="rId388" xr:uid="{00000000-0004-0000-0000-000083010000}"/>
    <hyperlink ref="E147" r:id="rId389" xr:uid="{00000000-0004-0000-0000-000084010000}"/>
    <hyperlink ref="F147" r:id="rId390" xr:uid="{00000000-0004-0000-0000-000085010000}"/>
    <hyperlink ref="O147" r:id="rId391" xr:uid="{00000000-0004-0000-0000-000086010000}"/>
    <hyperlink ref="E148" r:id="rId392" xr:uid="{00000000-0004-0000-0000-000087010000}"/>
    <hyperlink ref="F148" r:id="rId393" xr:uid="{00000000-0004-0000-0000-000088010000}"/>
    <hyperlink ref="O148" r:id="rId394" xr:uid="{00000000-0004-0000-0000-000089010000}"/>
    <hyperlink ref="E149" r:id="rId395" xr:uid="{00000000-0004-0000-0000-00008A010000}"/>
    <hyperlink ref="F149" r:id="rId396" xr:uid="{00000000-0004-0000-0000-00008B010000}"/>
    <hyperlink ref="O149" r:id="rId397" xr:uid="{00000000-0004-0000-0000-00008C010000}"/>
    <hyperlink ref="D150" r:id="rId398" xr:uid="{00000000-0004-0000-0000-00008D010000}"/>
    <hyperlink ref="E150" r:id="rId399" xr:uid="{00000000-0004-0000-0000-00008E010000}"/>
    <hyperlink ref="F150" r:id="rId400" xr:uid="{00000000-0004-0000-0000-00008F010000}"/>
    <hyperlink ref="O150" r:id="rId401" xr:uid="{00000000-0004-0000-0000-000090010000}"/>
    <hyperlink ref="E151" r:id="rId402" xr:uid="{00000000-0004-0000-0000-000091010000}"/>
    <hyperlink ref="F151" r:id="rId403" xr:uid="{00000000-0004-0000-0000-000092010000}"/>
    <hyperlink ref="O151" r:id="rId404" xr:uid="{00000000-0004-0000-0000-000093010000}"/>
    <hyperlink ref="D152" r:id="rId405" xr:uid="{00000000-0004-0000-0000-000094010000}"/>
    <hyperlink ref="E152" r:id="rId406" xr:uid="{00000000-0004-0000-0000-000095010000}"/>
    <hyperlink ref="F152" r:id="rId407" xr:uid="{00000000-0004-0000-0000-000096010000}"/>
    <hyperlink ref="O152" r:id="rId408" xr:uid="{00000000-0004-0000-0000-000097010000}"/>
    <hyperlink ref="E153" r:id="rId409" xr:uid="{00000000-0004-0000-0000-000098010000}"/>
    <hyperlink ref="F153" r:id="rId410" xr:uid="{00000000-0004-0000-0000-000099010000}"/>
    <hyperlink ref="O153" r:id="rId411" xr:uid="{00000000-0004-0000-0000-00009A010000}"/>
    <hyperlink ref="D154" r:id="rId412" xr:uid="{00000000-0004-0000-0000-00009B010000}"/>
    <hyperlink ref="E154" r:id="rId413" xr:uid="{00000000-0004-0000-0000-00009C010000}"/>
    <hyperlink ref="F154" r:id="rId414" xr:uid="{00000000-0004-0000-0000-00009D010000}"/>
    <hyperlink ref="O154" r:id="rId415" xr:uid="{00000000-0004-0000-0000-00009E010000}"/>
    <hyperlink ref="D155" r:id="rId416" xr:uid="{00000000-0004-0000-0000-00009F010000}"/>
    <hyperlink ref="E155" r:id="rId417" xr:uid="{00000000-0004-0000-0000-0000A0010000}"/>
    <hyperlink ref="F155" r:id="rId418" xr:uid="{00000000-0004-0000-0000-0000A1010000}"/>
    <hyperlink ref="O155" r:id="rId419" xr:uid="{00000000-0004-0000-0000-0000A2010000}"/>
    <hyperlink ref="D156" r:id="rId420" xr:uid="{00000000-0004-0000-0000-0000A3010000}"/>
    <hyperlink ref="E156" r:id="rId421" xr:uid="{00000000-0004-0000-0000-0000A4010000}"/>
    <hyperlink ref="F156" r:id="rId422" xr:uid="{00000000-0004-0000-0000-0000A5010000}"/>
    <hyperlink ref="O156" r:id="rId423" xr:uid="{00000000-0004-0000-0000-0000A6010000}"/>
    <hyperlink ref="D157" r:id="rId424" xr:uid="{00000000-0004-0000-0000-0000A7010000}"/>
    <hyperlink ref="E157" r:id="rId425" xr:uid="{00000000-0004-0000-0000-0000A8010000}"/>
    <hyperlink ref="F157" r:id="rId426" xr:uid="{00000000-0004-0000-0000-0000A9010000}"/>
    <hyperlink ref="O157" r:id="rId427" xr:uid="{00000000-0004-0000-0000-0000AA010000}"/>
    <hyperlink ref="E158" r:id="rId428" xr:uid="{00000000-0004-0000-0000-0000AB010000}"/>
    <hyperlink ref="F158" r:id="rId429" xr:uid="{00000000-0004-0000-0000-0000AC010000}"/>
    <hyperlink ref="O158" r:id="rId430" xr:uid="{00000000-0004-0000-0000-0000AD010000}"/>
    <hyperlink ref="E159" r:id="rId431" xr:uid="{00000000-0004-0000-0000-0000AE010000}"/>
    <hyperlink ref="F159" r:id="rId432" xr:uid="{00000000-0004-0000-0000-0000AF010000}"/>
    <hyperlink ref="O159" r:id="rId433" xr:uid="{00000000-0004-0000-0000-0000B0010000}"/>
    <hyperlink ref="D160" r:id="rId434" xr:uid="{00000000-0004-0000-0000-0000B1010000}"/>
    <hyperlink ref="E160" r:id="rId435" xr:uid="{00000000-0004-0000-0000-0000B2010000}"/>
    <hyperlink ref="F160" r:id="rId436" xr:uid="{00000000-0004-0000-0000-0000B3010000}"/>
    <hyperlink ref="O160" r:id="rId437" xr:uid="{00000000-0004-0000-0000-0000B4010000}"/>
    <hyperlink ref="E161" r:id="rId438" xr:uid="{00000000-0004-0000-0000-0000B5010000}"/>
    <hyperlink ref="F161" r:id="rId439" xr:uid="{00000000-0004-0000-0000-0000B6010000}"/>
    <hyperlink ref="O161" r:id="rId440" xr:uid="{00000000-0004-0000-0000-0000B7010000}"/>
    <hyperlink ref="E162" r:id="rId441" xr:uid="{00000000-0004-0000-0000-0000B8010000}"/>
    <hyperlink ref="F162" r:id="rId442" xr:uid="{00000000-0004-0000-0000-0000B9010000}"/>
    <hyperlink ref="O162" r:id="rId443" xr:uid="{00000000-0004-0000-0000-0000BA010000}"/>
    <hyperlink ref="D163" r:id="rId444" xr:uid="{00000000-0004-0000-0000-0000BB010000}"/>
    <hyperlink ref="E163" r:id="rId445" xr:uid="{00000000-0004-0000-0000-0000BC010000}"/>
    <hyperlink ref="F163" r:id="rId446" xr:uid="{00000000-0004-0000-0000-0000BD010000}"/>
    <hyperlink ref="O163" r:id="rId447" xr:uid="{00000000-0004-0000-0000-0000BE010000}"/>
    <hyperlink ref="D164" r:id="rId448" xr:uid="{00000000-0004-0000-0000-0000BF010000}"/>
    <hyperlink ref="E164" r:id="rId449" xr:uid="{00000000-0004-0000-0000-0000C0010000}"/>
    <hyperlink ref="F164" r:id="rId450" xr:uid="{00000000-0004-0000-0000-0000C1010000}"/>
    <hyperlink ref="O164" r:id="rId451" xr:uid="{00000000-0004-0000-0000-0000C2010000}"/>
    <hyperlink ref="D165" r:id="rId452" xr:uid="{00000000-0004-0000-0000-0000C3010000}"/>
    <hyperlink ref="E165" r:id="rId453" xr:uid="{00000000-0004-0000-0000-0000C4010000}"/>
    <hyperlink ref="F165" r:id="rId454" xr:uid="{00000000-0004-0000-0000-0000C5010000}"/>
    <hyperlink ref="O165" r:id="rId455" xr:uid="{00000000-0004-0000-0000-0000C6010000}"/>
    <hyperlink ref="D166" r:id="rId456" xr:uid="{00000000-0004-0000-0000-0000C7010000}"/>
    <hyperlink ref="E166" r:id="rId457" xr:uid="{00000000-0004-0000-0000-0000C8010000}"/>
    <hyperlink ref="F166" r:id="rId458" xr:uid="{00000000-0004-0000-0000-0000C9010000}"/>
    <hyperlink ref="O166" r:id="rId459" xr:uid="{00000000-0004-0000-0000-0000CA010000}"/>
    <hyperlink ref="E167" r:id="rId460" xr:uid="{00000000-0004-0000-0000-0000CB010000}"/>
    <hyperlink ref="F167" r:id="rId461" xr:uid="{00000000-0004-0000-0000-0000CC010000}"/>
    <hyperlink ref="O167" r:id="rId462" xr:uid="{00000000-0004-0000-0000-0000CD010000}"/>
    <hyperlink ref="D168" r:id="rId463" xr:uid="{00000000-0004-0000-0000-0000CE010000}"/>
    <hyperlink ref="E168" r:id="rId464" xr:uid="{00000000-0004-0000-0000-0000CF010000}"/>
    <hyperlink ref="F168" r:id="rId465" xr:uid="{00000000-0004-0000-0000-0000D0010000}"/>
    <hyperlink ref="O168" r:id="rId466" xr:uid="{00000000-0004-0000-0000-0000D1010000}"/>
    <hyperlink ref="E169" r:id="rId467" xr:uid="{00000000-0004-0000-0000-0000D2010000}"/>
    <hyperlink ref="F169" r:id="rId468" xr:uid="{00000000-0004-0000-0000-0000D3010000}"/>
    <hyperlink ref="O169" r:id="rId469" xr:uid="{00000000-0004-0000-0000-0000D4010000}"/>
    <hyperlink ref="E170" r:id="rId470" xr:uid="{00000000-0004-0000-0000-0000D5010000}"/>
    <hyperlink ref="F170" r:id="rId471" xr:uid="{00000000-0004-0000-0000-0000D6010000}"/>
    <hyperlink ref="O170" r:id="rId472" xr:uid="{00000000-0004-0000-0000-0000D7010000}"/>
    <hyperlink ref="D171" r:id="rId473" xr:uid="{00000000-0004-0000-0000-0000D8010000}"/>
    <hyperlink ref="E171" r:id="rId474" xr:uid="{00000000-0004-0000-0000-0000D9010000}"/>
    <hyperlink ref="F171" r:id="rId475" xr:uid="{00000000-0004-0000-0000-0000DA010000}"/>
    <hyperlink ref="O171" r:id="rId476" xr:uid="{00000000-0004-0000-0000-0000DB010000}"/>
    <hyperlink ref="D172" r:id="rId477" xr:uid="{00000000-0004-0000-0000-0000DC010000}"/>
    <hyperlink ref="E172" r:id="rId478" xr:uid="{00000000-0004-0000-0000-0000DD010000}"/>
    <hyperlink ref="F172" r:id="rId479" xr:uid="{00000000-0004-0000-0000-0000DE010000}"/>
    <hyperlink ref="O172" r:id="rId480" xr:uid="{00000000-0004-0000-0000-0000DF010000}"/>
    <hyperlink ref="D173" r:id="rId481" xr:uid="{00000000-0004-0000-0000-0000E0010000}"/>
    <hyperlink ref="E173" r:id="rId482" xr:uid="{00000000-0004-0000-0000-0000E1010000}"/>
    <hyperlink ref="F173" r:id="rId483" xr:uid="{00000000-0004-0000-0000-0000E2010000}"/>
    <hyperlink ref="O173" r:id="rId484" xr:uid="{00000000-0004-0000-0000-0000E3010000}"/>
    <hyperlink ref="D174" r:id="rId485" xr:uid="{00000000-0004-0000-0000-0000E4010000}"/>
    <hyperlink ref="E174" r:id="rId486" xr:uid="{00000000-0004-0000-0000-0000E5010000}"/>
    <hyperlink ref="F174" r:id="rId487" xr:uid="{00000000-0004-0000-0000-0000E6010000}"/>
    <hyperlink ref="O174" r:id="rId488" xr:uid="{00000000-0004-0000-0000-0000E7010000}"/>
    <hyperlink ref="E175" r:id="rId489" xr:uid="{00000000-0004-0000-0000-0000E8010000}"/>
    <hyperlink ref="F175" r:id="rId490" xr:uid="{00000000-0004-0000-0000-0000E9010000}"/>
    <hyperlink ref="O175" r:id="rId491" xr:uid="{00000000-0004-0000-0000-0000EA010000}"/>
    <hyperlink ref="D176" r:id="rId492" xr:uid="{00000000-0004-0000-0000-0000EB010000}"/>
    <hyperlink ref="E176" r:id="rId493" xr:uid="{00000000-0004-0000-0000-0000EC010000}"/>
    <hyperlink ref="F176" r:id="rId494" xr:uid="{00000000-0004-0000-0000-0000ED010000}"/>
    <hyperlink ref="O176" r:id="rId495" xr:uid="{00000000-0004-0000-0000-0000EE010000}"/>
    <hyperlink ref="D177" r:id="rId496" xr:uid="{00000000-0004-0000-0000-0000EF010000}"/>
    <hyperlink ref="E177" r:id="rId497" xr:uid="{00000000-0004-0000-0000-0000F0010000}"/>
    <hyperlink ref="F177" r:id="rId498" xr:uid="{00000000-0004-0000-0000-0000F1010000}"/>
    <hyperlink ref="O177" r:id="rId499" xr:uid="{00000000-0004-0000-0000-0000F2010000}"/>
    <hyperlink ref="D178" r:id="rId500" xr:uid="{00000000-0004-0000-0000-0000F3010000}"/>
    <hyperlink ref="E178" r:id="rId501" xr:uid="{00000000-0004-0000-0000-0000F4010000}"/>
    <hyperlink ref="F178" r:id="rId502" xr:uid="{00000000-0004-0000-0000-0000F5010000}"/>
    <hyperlink ref="O178" r:id="rId503" xr:uid="{00000000-0004-0000-0000-0000F6010000}"/>
    <hyperlink ref="E179" r:id="rId504" xr:uid="{00000000-0004-0000-0000-0000F7010000}"/>
    <hyperlink ref="F179" r:id="rId505" xr:uid="{00000000-0004-0000-0000-0000F8010000}"/>
    <hyperlink ref="O179" r:id="rId506" xr:uid="{00000000-0004-0000-0000-0000F9010000}"/>
    <hyperlink ref="E180" r:id="rId507" xr:uid="{00000000-0004-0000-0000-0000FA010000}"/>
    <hyperlink ref="F180" r:id="rId508" xr:uid="{00000000-0004-0000-0000-0000FB010000}"/>
    <hyperlink ref="O180" r:id="rId509" xr:uid="{00000000-0004-0000-0000-0000FC010000}"/>
    <hyperlink ref="D181" r:id="rId510" xr:uid="{00000000-0004-0000-0000-0000FD010000}"/>
    <hyperlink ref="E181" r:id="rId511" xr:uid="{00000000-0004-0000-0000-0000FE010000}"/>
    <hyperlink ref="F181" r:id="rId512" xr:uid="{00000000-0004-0000-0000-0000FF010000}"/>
    <hyperlink ref="O181" r:id="rId513" xr:uid="{00000000-0004-0000-0000-000000020000}"/>
    <hyperlink ref="E182" r:id="rId514" xr:uid="{00000000-0004-0000-0000-000001020000}"/>
    <hyperlink ref="F182" r:id="rId515" xr:uid="{00000000-0004-0000-0000-000002020000}"/>
    <hyperlink ref="O182" r:id="rId516" xr:uid="{00000000-0004-0000-0000-000003020000}"/>
    <hyperlink ref="D183" r:id="rId517" xr:uid="{00000000-0004-0000-0000-000004020000}"/>
    <hyperlink ref="E183" r:id="rId518" xr:uid="{00000000-0004-0000-0000-000005020000}"/>
    <hyperlink ref="F183" r:id="rId519" xr:uid="{00000000-0004-0000-0000-000006020000}"/>
    <hyperlink ref="O183" r:id="rId520" xr:uid="{00000000-0004-0000-0000-000007020000}"/>
    <hyperlink ref="D184" r:id="rId521" xr:uid="{00000000-0004-0000-0000-000008020000}"/>
    <hyperlink ref="E184" r:id="rId522" xr:uid="{00000000-0004-0000-0000-000009020000}"/>
    <hyperlink ref="F184" r:id="rId523" xr:uid="{00000000-0004-0000-0000-00000A020000}"/>
    <hyperlink ref="O184" r:id="rId524" xr:uid="{00000000-0004-0000-0000-00000B020000}"/>
    <hyperlink ref="E185" r:id="rId525" xr:uid="{00000000-0004-0000-0000-00000C020000}"/>
    <hyperlink ref="F185" r:id="rId526" xr:uid="{00000000-0004-0000-0000-00000D020000}"/>
    <hyperlink ref="O185" r:id="rId527" xr:uid="{00000000-0004-0000-0000-00000E020000}"/>
    <hyperlink ref="E186" r:id="rId528" xr:uid="{00000000-0004-0000-0000-00000F020000}"/>
    <hyperlink ref="F186" r:id="rId529" xr:uid="{00000000-0004-0000-0000-000010020000}"/>
    <hyperlink ref="O186" r:id="rId530" xr:uid="{00000000-0004-0000-0000-000011020000}"/>
    <hyperlink ref="D187" r:id="rId531" xr:uid="{00000000-0004-0000-0000-000012020000}"/>
    <hyperlink ref="E187" r:id="rId532" xr:uid="{00000000-0004-0000-0000-000013020000}"/>
    <hyperlink ref="F187" r:id="rId533" xr:uid="{00000000-0004-0000-0000-000014020000}"/>
    <hyperlink ref="O187" r:id="rId534" xr:uid="{00000000-0004-0000-0000-000015020000}"/>
    <hyperlink ref="E188" r:id="rId535" xr:uid="{00000000-0004-0000-0000-000016020000}"/>
    <hyperlink ref="F188" r:id="rId536" xr:uid="{00000000-0004-0000-0000-000017020000}"/>
    <hyperlink ref="O188" r:id="rId537" xr:uid="{00000000-0004-0000-0000-000018020000}"/>
    <hyperlink ref="E189" r:id="rId538" xr:uid="{00000000-0004-0000-0000-000019020000}"/>
    <hyperlink ref="F189" r:id="rId539" xr:uid="{00000000-0004-0000-0000-00001A020000}"/>
    <hyperlink ref="O189" r:id="rId540" xr:uid="{00000000-0004-0000-0000-00001B020000}"/>
    <hyperlink ref="D190" r:id="rId541" xr:uid="{00000000-0004-0000-0000-00001C020000}"/>
    <hyperlink ref="E190" r:id="rId542" xr:uid="{00000000-0004-0000-0000-00001D020000}"/>
    <hyperlink ref="F190" r:id="rId543" xr:uid="{00000000-0004-0000-0000-00001E020000}"/>
    <hyperlink ref="O190" r:id="rId544" xr:uid="{00000000-0004-0000-0000-00001F020000}"/>
    <hyperlink ref="D191" r:id="rId545" xr:uid="{00000000-0004-0000-0000-000020020000}"/>
    <hyperlink ref="E191" r:id="rId546" xr:uid="{00000000-0004-0000-0000-000021020000}"/>
    <hyperlink ref="O191" r:id="rId547" xr:uid="{00000000-0004-0000-0000-000022020000}"/>
    <hyperlink ref="D192" r:id="rId548" xr:uid="{00000000-0004-0000-0000-000023020000}"/>
    <hyperlink ref="E192" r:id="rId549" xr:uid="{00000000-0004-0000-0000-000024020000}"/>
    <hyperlink ref="O192" r:id="rId550" xr:uid="{00000000-0004-0000-0000-000025020000}"/>
    <hyperlink ref="D193" r:id="rId551" xr:uid="{00000000-0004-0000-0000-000026020000}"/>
    <hyperlink ref="E193" r:id="rId552" xr:uid="{00000000-0004-0000-0000-000027020000}"/>
    <hyperlink ref="O193" r:id="rId553" xr:uid="{00000000-0004-0000-0000-000028020000}"/>
    <hyperlink ref="E194" r:id="rId554" xr:uid="{00000000-0004-0000-0000-000029020000}"/>
    <hyperlink ref="O194" r:id="rId555" xr:uid="{00000000-0004-0000-0000-00002A020000}"/>
    <hyperlink ref="D195" r:id="rId556" xr:uid="{00000000-0004-0000-0000-00002B020000}"/>
    <hyperlink ref="E195" r:id="rId557" xr:uid="{00000000-0004-0000-0000-00002C020000}"/>
    <hyperlink ref="O195" r:id="rId558" xr:uid="{00000000-0004-0000-0000-00002D020000}"/>
    <hyperlink ref="D196" r:id="rId559" xr:uid="{00000000-0004-0000-0000-00002E020000}"/>
    <hyperlink ref="E196" r:id="rId560" xr:uid="{00000000-0004-0000-0000-00002F020000}"/>
    <hyperlink ref="O196" r:id="rId561" xr:uid="{00000000-0004-0000-0000-000030020000}"/>
    <hyperlink ref="D197" r:id="rId562" xr:uid="{00000000-0004-0000-0000-000031020000}"/>
    <hyperlink ref="E197" r:id="rId563" xr:uid="{00000000-0004-0000-0000-000032020000}"/>
    <hyperlink ref="O197" r:id="rId564" xr:uid="{00000000-0004-0000-0000-000033020000}"/>
    <hyperlink ref="D198" r:id="rId565" xr:uid="{00000000-0004-0000-0000-000034020000}"/>
    <hyperlink ref="E198" r:id="rId566" xr:uid="{00000000-0004-0000-0000-000035020000}"/>
    <hyperlink ref="O198" r:id="rId567" xr:uid="{00000000-0004-0000-0000-000036020000}"/>
    <hyperlink ref="D199" r:id="rId568" xr:uid="{00000000-0004-0000-0000-000037020000}"/>
    <hyperlink ref="E199" r:id="rId569" xr:uid="{00000000-0004-0000-0000-000038020000}"/>
    <hyperlink ref="O199" r:id="rId570" xr:uid="{00000000-0004-0000-0000-000039020000}"/>
    <hyperlink ref="D200" r:id="rId571" xr:uid="{00000000-0004-0000-0000-00003A020000}"/>
    <hyperlink ref="E200" r:id="rId572" xr:uid="{00000000-0004-0000-0000-00003B020000}"/>
    <hyperlink ref="O200" r:id="rId573" xr:uid="{00000000-0004-0000-0000-00003C020000}"/>
    <hyperlink ref="D201" r:id="rId574" xr:uid="{00000000-0004-0000-0000-00003D020000}"/>
    <hyperlink ref="E201" r:id="rId575" xr:uid="{00000000-0004-0000-0000-00003E020000}"/>
    <hyperlink ref="O201" r:id="rId576" xr:uid="{00000000-0004-0000-0000-00003F020000}"/>
    <hyperlink ref="D202" r:id="rId577" xr:uid="{00000000-0004-0000-0000-000040020000}"/>
    <hyperlink ref="E202" r:id="rId578" xr:uid="{00000000-0004-0000-0000-000041020000}"/>
    <hyperlink ref="O202" r:id="rId579" xr:uid="{00000000-0004-0000-0000-000042020000}"/>
    <hyperlink ref="E203" r:id="rId580" xr:uid="{00000000-0004-0000-0000-000043020000}"/>
    <hyperlink ref="O203" r:id="rId581" xr:uid="{00000000-0004-0000-0000-000044020000}"/>
    <hyperlink ref="D204" r:id="rId582" xr:uid="{00000000-0004-0000-0000-000045020000}"/>
    <hyperlink ref="E204" r:id="rId583" xr:uid="{00000000-0004-0000-0000-000046020000}"/>
    <hyperlink ref="O204" r:id="rId584" xr:uid="{00000000-0004-0000-0000-000047020000}"/>
    <hyperlink ref="E205" r:id="rId585" xr:uid="{00000000-0004-0000-0000-000048020000}"/>
    <hyperlink ref="O205" r:id="rId586" xr:uid="{00000000-0004-0000-0000-000049020000}"/>
    <hyperlink ref="E206" r:id="rId587" xr:uid="{00000000-0004-0000-0000-00004A020000}"/>
    <hyperlink ref="O206" r:id="rId588" xr:uid="{00000000-0004-0000-0000-00004B020000}"/>
    <hyperlink ref="E207" r:id="rId589" xr:uid="{00000000-0004-0000-0000-00004C020000}"/>
    <hyperlink ref="O207" r:id="rId590" xr:uid="{00000000-0004-0000-0000-00004D020000}"/>
    <hyperlink ref="E208" r:id="rId591" xr:uid="{00000000-0004-0000-0000-00004E020000}"/>
    <hyperlink ref="O208" r:id="rId592" xr:uid="{00000000-0004-0000-0000-00004F020000}"/>
    <hyperlink ref="E209" r:id="rId593" xr:uid="{00000000-0004-0000-0000-000050020000}"/>
    <hyperlink ref="O209" r:id="rId594" xr:uid="{00000000-0004-0000-0000-000051020000}"/>
    <hyperlink ref="E210" r:id="rId595" xr:uid="{00000000-0004-0000-0000-000052020000}"/>
    <hyperlink ref="O210" r:id="rId596" xr:uid="{00000000-0004-0000-0000-000053020000}"/>
    <hyperlink ref="E211" r:id="rId597" xr:uid="{00000000-0004-0000-0000-000054020000}"/>
    <hyperlink ref="O211" r:id="rId598" xr:uid="{00000000-0004-0000-0000-000055020000}"/>
    <hyperlink ref="E212" r:id="rId599" xr:uid="{00000000-0004-0000-0000-000056020000}"/>
    <hyperlink ref="O212" r:id="rId600" xr:uid="{00000000-0004-0000-0000-000057020000}"/>
    <hyperlink ref="E213" r:id="rId601" xr:uid="{00000000-0004-0000-0000-000058020000}"/>
    <hyperlink ref="O213" r:id="rId602" xr:uid="{00000000-0004-0000-0000-000059020000}"/>
    <hyperlink ref="E214" r:id="rId603" xr:uid="{00000000-0004-0000-0000-00005A020000}"/>
    <hyperlink ref="O214" r:id="rId604" xr:uid="{00000000-0004-0000-0000-00005B020000}"/>
    <hyperlink ref="E215" r:id="rId605" xr:uid="{00000000-0004-0000-0000-00005C020000}"/>
    <hyperlink ref="O215" r:id="rId606" xr:uid="{00000000-0004-0000-0000-00005D020000}"/>
    <hyperlink ref="D216" r:id="rId607" xr:uid="{00000000-0004-0000-0000-00005E020000}"/>
    <hyperlink ref="E216" r:id="rId608" xr:uid="{00000000-0004-0000-0000-00005F020000}"/>
    <hyperlink ref="O216" r:id="rId609" xr:uid="{00000000-0004-0000-0000-000060020000}"/>
    <hyperlink ref="D217" r:id="rId610" xr:uid="{00000000-0004-0000-0000-000061020000}"/>
    <hyperlink ref="E217" r:id="rId611" xr:uid="{00000000-0004-0000-0000-000062020000}"/>
    <hyperlink ref="O217" r:id="rId612" xr:uid="{00000000-0004-0000-0000-000063020000}"/>
    <hyperlink ref="E218" r:id="rId613" xr:uid="{00000000-0004-0000-0000-000064020000}"/>
    <hyperlink ref="O218" r:id="rId614" xr:uid="{00000000-0004-0000-0000-000065020000}"/>
    <hyperlink ref="E219" r:id="rId615" xr:uid="{00000000-0004-0000-0000-000066020000}"/>
    <hyperlink ref="O219" r:id="rId616" xr:uid="{00000000-0004-0000-0000-000067020000}"/>
    <hyperlink ref="E220" r:id="rId617" xr:uid="{00000000-0004-0000-0000-000068020000}"/>
    <hyperlink ref="O220" r:id="rId618" xr:uid="{00000000-0004-0000-0000-000069020000}"/>
    <hyperlink ref="E221" r:id="rId619" xr:uid="{00000000-0004-0000-0000-00006A020000}"/>
    <hyperlink ref="O221" r:id="rId620" xr:uid="{00000000-0004-0000-0000-00006B020000}"/>
    <hyperlink ref="E222" r:id="rId621" xr:uid="{00000000-0004-0000-0000-00006C020000}"/>
    <hyperlink ref="O222" r:id="rId622" xr:uid="{00000000-0004-0000-0000-00006D020000}"/>
    <hyperlink ref="E223" r:id="rId623" xr:uid="{00000000-0004-0000-0000-00006E020000}"/>
    <hyperlink ref="O223" r:id="rId624" xr:uid="{00000000-0004-0000-0000-00006F020000}"/>
    <hyperlink ref="E224" r:id="rId625" xr:uid="{00000000-0004-0000-0000-000070020000}"/>
    <hyperlink ref="O224" r:id="rId626" xr:uid="{00000000-0004-0000-0000-000071020000}"/>
    <hyperlink ref="E225" r:id="rId627" xr:uid="{00000000-0004-0000-0000-000072020000}"/>
    <hyperlink ref="O225" r:id="rId628" xr:uid="{00000000-0004-0000-0000-000073020000}"/>
    <hyperlink ref="E226" r:id="rId629" xr:uid="{00000000-0004-0000-0000-000074020000}"/>
    <hyperlink ref="O226" r:id="rId630" xr:uid="{00000000-0004-0000-0000-000075020000}"/>
    <hyperlink ref="E227" r:id="rId631" xr:uid="{00000000-0004-0000-0000-000076020000}"/>
    <hyperlink ref="O227" r:id="rId632" xr:uid="{00000000-0004-0000-0000-000077020000}"/>
    <hyperlink ref="E228" r:id="rId633" xr:uid="{00000000-0004-0000-0000-000078020000}"/>
    <hyperlink ref="O228" r:id="rId634" xr:uid="{00000000-0004-0000-0000-000079020000}"/>
    <hyperlink ref="E229" r:id="rId635" xr:uid="{00000000-0004-0000-0000-00007A020000}"/>
    <hyperlink ref="O229" r:id="rId636" xr:uid="{00000000-0004-0000-0000-00007B020000}"/>
    <hyperlink ref="E230" r:id="rId637" xr:uid="{00000000-0004-0000-0000-00007C020000}"/>
    <hyperlink ref="O230" r:id="rId638" xr:uid="{00000000-0004-0000-0000-00007D020000}"/>
    <hyperlink ref="D231" r:id="rId639" xr:uid="{00000000-0004-0000-0000-00007E020000}"/>
    <hyperlink ref="E231" r:id="rId640" xr:uid="{00000000-0004-0000-0000-00007F020000}"/>
    <hyperlink ref="O231" r:id="rId641" xr:uid="{00000000-0004-0000-0000-000080020000}"/>
    <hyperlink ref="E232" r:id="rId642" xr:uid="{00000000-0004-0000-0000-000081020000}"/>
    <hyperlink ref="O232" r:id="rId643" xr:uid="{00000000-0004-0000-0000-000082020000}"/>
    <hyperlink ref="E233" r:id="rId644" xr:uid="{00000000-0004-0000-0000-000083020000}"/>
    <hyperlink ref="O233" r:id="rId645" xr:uid="{00000000-0004-0000-0000-000084020000}"/>
    <hyperlink ref="D234" r:id="rId646" xr:uid="{00000000-0004-0000-0000-000085020000}"/>
    <hyperlink ref="E234" r:id="rId647" xr:uid="{00000000-0004-0000-0000-000086020000}"/>
    <hyperlink ref="O234" r:id="rId648" xr:uid="{00000000-0004-0000-0000-000087020000}"/>
    <hyperlink ref="E235" r:id="rId649" xr:uid="{00000000-0004-0000-0000-000088020000}"/>
    <hyperlink ref="O235" r:id="rId650" xr:uid="{00000000-0004-0000-0000-000089020000}"/>
    <hyperlink ref="E236" r:id="rId651" xr:uid="{00000000-0004-0000-0000-00008A020000}"/>
    <hyperlink ref="O236" r:id="rId652" xr:uid="{00000000-0004-0000-0000-00008B020000}"/>
    <hyperlink ref="D237" r:id="rId653" xr:uid="{00000000-0004-0000-0000-00008C020000}"/>
    <hyperlink ref="E237" r:id="rId654" xr:uid="{00000000-0004-0000-0000-00008D020000}"/>
    <hyperlink ref="O237" r:id="rId655" xr:uid="{00000000-0004-0000-0000-00008E020000}"/>
    <hyperlink ref="E238" r:id="rId656" xr:uid="{00000000-0004-0000-0000-00008F020000}"/>
    <hyperlink ref="O238" r:id="rId657" xr:uid="{00000000-0004-0000-0000-000090020000}"/>
    <hyperlink ref="E239" r:id="rId658" xr:uid="{00000000-0004-0000-0000-000091020000}"/>
    <hyperlink ref="O239" r:id="rId659" xr:uid="{00000000-0004-0000-0000-000092020000}"/>
    <hyperlink ref="E240" r:id="rId660" xr:uid="{00000000-0004-0000-0000-000093020000}"/>
    <hyperlink ref="O240" r:id="rId661" xr:uid="{00000000-0004-0000-0000-000094020000}"/>
    <hyperlink ref="D241" r:id="rId662" xr:uid="{00000000-0004-0000-0000-000095020000}"/>
    <hyperlink ref="E241" r:id="rId663" xr:uid="{00000000-0004-0000-0000-000096020000}"/>
    <hyperlink ref="O241" r:id="rId664" xr:uid="{00000000-0004-0000-0000-000097020000}"/>
    <hyperlink ref="D242" r:id="rId665" xr:uid="{00000000-0004-0000-0000-000098020000}"/>
    <hyperlink ref="E242" r:id="rId666" xr:uid="{00000000-0004-0000-0000-000099020000}"/>
    <hyperlink ref="O242" r:id="rId667" xr:uid="{00000000-0004-0000-0000-00009A020000}"/>
    <hyperlink ref="E243" r:id="rId668" xr:uid="{00000000-0004-0000-0000-00009B020000}"/>
    <hyperlink ref="O243" r:id="rId669" xr:uid="{00000000-0004-0000-0000-00009C020000}"/>
    <hyperlink ref="E244" r:id="rId670" xr:uid="{00000000-0004-0000-0000-00009D020000}"/>
    <hyperlink ref="O244" r:id="rId671" xr:uid="{00000000-0004-0000-0000-00009E020000}"/>
    <hyperlink ref="E245" r:id="rId672" xr:uid="{00000000-0004-0000-0000-00009F020000}"/>
    <hyperlink ref="O245" r:id="rId673" xr:uid="{00000000-0004-0000-0000-0000A0020000}"/>
    <hyperlink ref="E246" r:id="rId674" xr:uid="{00000000-0004-0000-0000-0000A1020000}"/>
    <hyperlink ref="O246" r:id="rId675" xr:uid="{00000000-0004-0000-0000-0000A2020000}"/>
    <hyperlink ref="D247" r:id="rId676" xr:uid="{00000000-0004-0000-0000-0000A3020000}"/>
    <hyperlink ref="E247" r:id="rId677" xr:uid="{00000000-0004-0000-0000-0000A4020000}"/>
    <hyperlink ref="O247" r:id="rId678" xr:uid="{00000000-0004-0000-0000-0000A5020000}"/>
    <hyperlink ref="E248" r:id="rId679" xr:uid="{00000000-0004-0000-0000-0000A6020000}"/>
    <hyperlink ref="O248" r:id="rId680" xr:uid="{00000000-0004-0000-0000-0000A7020000}"/>
    <hyperlink ref="E249" r:id="rId681" xr:uid="{00000000-0004-0000-0000-0000A8020000}"/>
    <hyperlink ref="O249" r:id="rId682" xr:uid="{00000000-0004-0000-0000-0000A9020000}"/>
    <hyperlink ref="D250" r:id="rId683" xr:uid="{00000000-0004-0000-0000-0000AA020000}"/>
    <hyperlink ref="E250" r:id="rId684" xr:uid="{00000000-0004-0000-0000-0000AB020000}"/>
    <hyperlink ref="O250" r:id="rId685" xr:uid="{00000000-0004-0000-0000-0000AC020000}"/>
    <hyperlink ref="E251" r:id="rId686" xr:uid="{00000000-0004-0000-0000-0000AD020000}"/>
    <hyperlink ref="O251" r:id="rId687" xr:uid="{00000000-0004-0000-0000-0000AE020000}"/>
    <hyperlink ref="E252" r:id="rId688" xr:uid="{00000000-0004-0000-0000-0000AF020000}"/>
    <hyperlink ref="O252" r:id="rId689" xr:uid="{00000000-0004-0000-0000-0000B0020000}"/>
    <hyperlink ref="E253" r:id="rId690" xr:uid="{00000000-0004-0000-0000-0000B1020000}"/>
    <hyperlink ref="O253" r:id="rId691" xr:uid="{00000000-0004-0000-0000-0000B2020000}"/>
    <hyperlink ref="E254" r:id="rId692" xr:uid="{00000000-0004-0000-0000-0000B3020000}"/>
    <hyperlink ref="O254" r:id="rId693" xr:uid="{00000000-0004-0000-0000-0000B4020000}"/>
    <hyperlink ref="D255" r:id="rId694" xr:uid="{00000000-0004-0000-0000-0000B5020000}"/>
    <hyperlink ref="E255" r:id="rId695" xr:uid="{00000000-0004-0000-0000-0000B6020000}"/>
    <hyperlink ref="O255" r:id="rId696" xr:uid="{00000000-0004-0000-0000-0000B7020000}"/>
    <hyperlink ref="D256" r:id="rId697" xr:uid="{00000000-0004-0000-0000-0000B8020000}"/>
    <hyperlink ref="E256" r:id="rId698" xr:uid="{00000000-0004-0000-0000-0000B9020000}"/>
    <hyperlink ref="O256" r:id="rId699" xr:uid="{00000000-0004-0000-0000-0000BA020000}"/>
    <hyperlink ref="A257" r:id="rId700" xr:uid="{00000000-0004-0000-0000-0000BB020000}"/>
    <hyperlink ref="E257" r:id="rId701" xr:uid="{00000000-0004-0000-0000-0000BC020000}"/>
    <hyperlink ref="O257" r:id="rId702" xr:uid="{00000000-0004-0000-0000-0000BD020000}"/>
    <hyperlink ref="D258" r:id="rId703" xr:uid="{00000000-0004-0000-0000-0000BE020000}"/>
    <hyperlink ref="E258" r:id="rId704" xr:uid="{00000000-0004-0000-0000-0000BF020000}"/>
    <hyperlink ref="O258" r:id="rId705" xr:uid="{00000000-0004-0000-0000-0000C0020000}"/>
    <hyperlink ref="E259" r:id="rId706" xr:uid="{00000000-0004-0000-0000-0000C1020000}"/>
    <hyperlink ref="O259" r:id="rId707" xr:uid="{00000000-0004-0000-0000-0000C2020000}"/>
    <hyperlink ref="E260" r:id="rId708" xr:uid="{00000000-0004-0000-0000-0000C3020000}"/>
    <hyperlink ref="O260" r:id="rId709" xr:uid="{00000000-0004-0000-0000-0000C4020000}"/>
    <hyperlink ref="E261" r:id="rId710" xr:uid="{00000000-0004-0000-0000-0000C5020000}"/>
    <hyperlink ref="O261" r:id="rId711" xr:uid="{00000000-0004-0000-0000-0000C6020000}"/>
    <hyperlink ref="E262" r:id="rId712" xr:uid="{00000000-0004-0000-0000-0000C7020000}"/>
    <hyperlink ref="O262" r:id="rId713" xr:uid="{00000000-0004-0000-0000-0000C8020000}"/>
    <hyperlink ref="D263" r:id="rId714" xr:uid="{00000000-0004-0000-0000-0000C9020000}"/>
    <hyperlink ref="E263" r:id="rId715" xr:uid="{00000000-0004-0000-0000-0000CA020000}"/>
    <hyperlink ref="O263" r:id="rId716" xr:uid="{00000000-0004-0000-0000-0000CB020000}"/>
    <hyperlink ref="E264" r:id="rId717" xr:uid="{00000000-0004-0000-0000-0000CC020000}"/>
    <hyperlink ref="O264" r:id="rId718" xr:uid="{00000000-0004-0000-0000-0000CD020000}"/>
    <hyperlink ref="E265" r:id="rId719" xr:uid="{00000000-0004-0000-0000-0000CE020000}"/>
    <hyperlink ref="O265" r:id="rId720" xr:uid="{00000000-0004-0000-0000-0000CF020000}"/>
    <hyperlink ref="D266" r:id="rId721" xr:uid="{00000000-0004-0000-0000-0000D0020000}"/>
    <hyperlink ref="E266" r:id="rId722" xr:uid="{00000000-0004-0000-0000-0000D1020000}"/>
    <hyperlink ref="O266" r:id="rId723" xr:uid="{00000000-0004-0000-0000-0000D2020000}"/>
    <hyperlink ref="E267" r:id="rId724" xr:uid="{00000000-0004-0000-0000-0000D3020000}"/>
    <hyperlink ref="O267" r:id="rId725" xr:uid="{00000000-0004-0000-0000-0000D4020000}"/>
    <hyperlink ref="E268" r:id="rId726" xr:uid="{00000000-0004-0000-0000-0000D5020000}"/>
    <hyperlink ref="O268" r:id="rId727" xr:uid="{00000000-0004-0000-0000-0000D6020000}"/>
    <hyperlink ref="E269" r:id="rId728" xr:uid="{00000000-0004-0000-0000-0000D7020000}"/>
    <hyperlink ref="O269" r:id="rId729" xr:uid="{00000000-0004-0000-0000-0000D8020000}"/>
    <hyperlink ref="D270" r:id="rId730" xr:uid="{00000000-0004-0000-0000-0000D9020000}"/>
    <hyperlink ref="E270" r:id="rId731" xr:uid="{00000000-0004-0000-0000-0000DA020000}"/>
    <hyperlink ref="O270" r:id="rId732" xr:uid="{00000000-0004-0000-0000-0000DB020000}"/>
    <hyperlink ref="E271" r:id="rId733" xr:uid="{00000000-0004-0000-0000-0000DC020000}"/>
    <hyperlink ref="O271" r:id="rId734" xr:uid="{00000000-0004-0000-0000-0000DD020000}"/>
    <hyperlink ref="E272" r:id="rId735" xr:uid="{00000000-0004-0000-0000-0000DE020000}"/>
    <hyperlink ref="O272" r:id="rId736" xr:uid="{00000000-0004-0000-0000-0000DF020000}"/>
    <hyperlink ref="D273" r:id="rId737" xr:uid="{00000000-0004-0000-0000-0000E0020000}"/>
    <hyperlink ref="E273" r:id="rId738" xr:uid="{00000000-0004-0000-0000-0000E1020000}"/>
    <hyperlink ref="O273" r:id="rId739" xr:uid="{00000000-0004-0000-0000-0000E2020000}"/>
    <hyperlink ref="D274" r:id="rId740" xr:uid="{00000000-0004-0000-0000-0000E3020000}"/>
    <hyperlink ref="E274" r:id="rId741" xr:uid="{00000000-0004-0000-0000-0000E4020000}"/>
    <hyperlink ref="O274" r:id="rId742" xr:uid="{00000000-0004-0000-0000-0000E5020000}"/>
    <hyperlink ref="E275" r:id="rId743" xr:uid="{00000000-0004-0000-0000-0000E6020000}"/>
    <hyperlink ref="O275" r:id="rId744" xr:uid="{00000000-0004-0000-0000-0000E7020000}"/>
    <hyperlink ref="D276" r:id="rId745" xr:uid="{00000000-0004-0000-0000-0000E8020000}"/>
    <hyperlink ref="E276" r:id="rId746" xr:uid="{00000000-0004-0000-0000-0000E9020000}"/>
    <hyperlink ref="O276" r:id="rId747" xr:uid="{00000000-0004-0000-0000-0000EA020000}"/>
    <hyperlink ref="E277" r:id="rId748" xr:uid="{00000000-0004-0000-0000-0000EB020000}"/>
    <hyperlink ref="O277" r:id="rId749" xr:uid="{00000000-0004-0000-0000-0000EC020000}"/>
    <hyperlink ref="E278" r:id="rId750" xr:uid="{00000000-0004-0000-0000-0000ED020000}"/>
    <hyperlink ref="O278" r:id="rId751" xr:uid="{00000000-0004-0000-0000-0000EE020000}"/>
    <hyperlink ref="E279" r:id="rId752" xr:uid="{00000000-0004-0000-0000-0000EF020000}"/>
    <hyperlink ref="O279" r:id="rId753" xr:uid="{00000000-0004-0000-0000-0000F0020000}"/>
    <hyperlink ref="D280" r:id="rId754" xr:uid="{00000000-0004-0000-0000-0000F1020000}"/>
    <hyperlink ref="E280" r:id="rId755" xr:uid="{00000000-0004-0000-0000-0000F2020000}"/>
    <hyperlink ref="O280" r:id="rId756" xr:uid="{00000000-0004-0000-0000-0000F3020000}"/>
    <hyperlink ref="E281" r:id="rId757" xr:uid="{00000000-0004-0000-0000-0000F4020000}"/>
    <hyperlink ref="O281" r:id="rId758" xr:uid="{00000000-0004-0000-0000-0000F5020000}"/>
    <hyperlink ref="E282" r:id="rId759" xr:uid="{00000000-0004-0000-0000-0000F6020000}"/>
    <hyperlink ref="O282" r:id="rId760" xr:uid="{00000000-0004-0000-0000-0000F7020000}"/>
    <hyperlink ref="E283" r:id="rId761" xr:uid="{00000000-0004-0000-0000-0000F8020000}"/>
    <hyperlink ref="O283" r:id="rId762" xr:uid="{00000000-0004-0000-0000-0000F9020000}"/>
    <hyperlink ref="E284" r:id="rId763" xr:uid="{00000000-0004-0000-0000-0000FA020000}"/>
    <hyperlink ref="O284" r:id="rId764" xr:uid="{00000000-0004-0000-0000-0000FB020000}"/>
    <hyperlink ref="D285" r:id="rId765" xr:uid="{00000000-0004-0000-0000-0000FC020000}"/>
    <hyperlink ref="E285" r:id="rId766" xr:uid="{00000000-0004-0000-0000-0000FD020000}"/>
    <hyperlink ref="O285" r:id="rId767" xr:uid="{00000000-0004-0000-0000-0000FE020000}"/>
    <hyperlink ref="E286" r:id="rId768" xr:uid="{00000000-0004-0000-0000-0000FF020000}"/>
    <hyperlink ref="O286" r:id="rId769" xr:uid="{00000000-0004-0000-0000-000000030000}"/>
    <hyperlink ref="D287" r:id="rId770" xr:uid="{00000000-0004-0000-0000-000001030000}"/>
    <hyperlink ref="E287" r:id="rId771" xr:uid="{00000000-0004-0000-0000-000002030000}"/>
    <hyperlink ref="O287" r:id="rId772" xr:uid="{00000000-0004-0000-0000-000003030000}"/>
    <hyperlink ref="E288" r:id="rId773" xr:uid="{00000000-0004-0000-0000-000004030000}"/>
    <hyperlink ref="O288" r:id="rId774" xr:uid="{00000000-0004-0000-0000-000005030000}"/>
    <hyperlink ref="E289" r:id="rId775" xr:uid="{00000000-0004-0000-0000-000006030000}"/>
    <hyperlink ref="O289" r:id="rId776" xr:uid="{00000000-0004-0000-0000-000007030000}"/>
    <hyperlink ref="E290" r:id="rId777" xr:uid="{00000000-0004-0000-0000-000008030000}"/>
    <hyperlink ref="O290" r:id="rId778" xr:uid="{00000000-0004-0000-0000-000009030000}"/>
    <hyperlink ref="D291" r:id="rId779" xr:uid="{00000000-0004-0000-0000-00000A030000}"/>
    <hyperlink ref="E291" r:id="rId780" xr:uid="{00000000-0004-0000-0000-00000B030000}"/>
    <hyperlink ref="O291" r:id="rId781" xr:uid="{00000000-0004-0000-0000-00000C030000}"/>
    <hyperlink ref="E292" r:id="rId782" xr:uid="{00000000-0004-0000-0000-00000D030000}"/>
    <hyperlink ref="O292" r:id="rId783" xr:uid="{00000000-0004-0000-0000-00000E030000}"/>
    <hyperlink ref="D293" r:id="rId784" xr:uid="{00000000-0004-0000-0000-00000F030000}"/>
    <hyperlink ref="E293" r:id="rId785" xr:uid="{00000000-0004-0000-0000-000010030000}"/>
    <hyperlink ref="O293" r:id="rId786" xr:uid="{00000000-0004-0000-0000-000011030000}"/>
    <hyperlink ref="E294" r:id="rId787" xr:uid="{00000000-0004-0000-0000-000012030000}"/>
    <hyperlink ref="O294" r:id="rId788" xr:uid="{00000000-0004-0000-0000-000013030000}"/>
    <hyperlink ref="E295" r:id="rId789" xr:uid="{00000000-0004-0000-0000-000014030000}"/>
    <hyperlink ref="O295" r:id="rId790" xr:uid="{00000000-0004-0000-0000-000015030000}"/>
    <hyperlink ref="D296" r:id="rId791" xr:uid="{00000000-0004-0000-0000-000016030000}"/>
    <hyperlink ref="E296" r:id="rId792" xr:uid="{00000000-0004-0000-0000-000017030000}"/>
    <hyperlink ref="O296" r:id="rId793" xr:uid="{00000000-0004-0000-0000-000018030000}"/>
    <hyperlink ref="D297" r:id="rId794" xr:uid="{00000000-0004-0000-0000-000019030000}"/>
    <hyperlink ref="E297" r:id="rId795" xr:uid="{00000000-0004-0000-0000-00001A030000}"/>
    <hyperlink ref="O297" r:id="rId796" xr:uid="{00000000-0004-0000-0000-00001B030000}"/>
    <hyperlink ref="D298" r:id="rId797" xr:uid="{00000000-0004-0000-0000-00001C030000}"/>
    <hyperlink ref="E298" r:id="rId798" xr:uid="{00000000-0004-0000-0000-00001D030000}"/>
    <hyperlink ref="O298" r:id="rId799" xr:uid="{00000000-0004-0000-0000-00001E030000}"/>
    <hyperlink ref="E299" r:id="rId800" xr:uid="{00000000-0004-0000-0000-00001F030000}"/>
    <hyperlink ref="O299" r:id="rId801" xr:uid="{00000000-0004-0000-0000-000020030000}"/>
    <hyperlink ref="D300" r:id="rId802" xr:uid="{00000000-0004-0000-0000-000021030000}"/>
    <hyperlink ref="E300" r:id="rId803" xr:uid="{00000000-0004-0000-0000-000022030000}"/>
    <hyperlink ref="O300" r:id="rId804" xr:uid="{00000000-0004-0000-0000-000023030000}"/>
    <hyperlink ref="D301" r:id="rId805" xr:uid="{00000000-0004-0000-0000-000024030000}"/>
    <hyperlink ref="E301" r:id="rId806" xr:uid="{00000000-0004-0000-0000-000025030000}"/>
    <hyperlink ref="O301" r:id="rId807" xr:uid="{00000000-0004-0000-0000-000026030000}"/>
    <hyperlink ref="D302" r:id="rId808" xr:uid="{00000000-0004-0000-0000-000027030000}"/>
    <hyperlink ref="E302" r:id="rId809" xr:uid="{00000000-0004-0000-0000-000028030000}"/>
    <hyperlink ref="O302" r:id="rId810" xr:uid="{00000000-0004-0000-0000-000029030000}"/>
    <hyperlink ref="E303" r:id="rId811" xr:uid="{00000000-0004-0000-0000-00002A030000}"/>
    <hyperlink ref="O303" r:id="rId812" xr:uid="{00000000-0004-0000-0000-00002B030000}"/>
    <hyperlink ref="D304" r:id="rId813" xr:uid="{00000000-0004-0000-0000-00002C030000}"/>
    <hyperlink ref="E304" r:id="rId814" xr:uid="{00000000-0004-0000-0000-00002D030000}"/>
    <hyperlink ref="O304" r:id="rId815" xr:uid="{00000000-0004-0000-0000-00002E030000}"/>
    <hyperlink ref="D305" r:id="rId816" xr:uid="{00000000-0004-0000-0000-00002F030000}"/>
    <hyperlink ref="E305" r:id="rId817" xr:uid="{00000000-0004-0000-0000-000030030000}"/>
    <hyperlink ref="O305" r:id="rId818" xr:uid="{00000000-0004-0000-0000-000031030000}"/>
    <hyperlink ref="E306" r:id="rId819" xr:uid="{00000000-0004-0000-0000-000032030000}"/>
    <hyperlink ref="O306" r:id="rId820" xr:uid="{00000000-0004-0000-0000-000033030000}"/>
    <hyperlink ref="E307" r:id="rId821" xr:uid="{00000000-0004-0000-0000-000034030000}"/>
    <hyperlink ref="O307" r:id="rId822" xr:uid="{00000000-0004-0000-0000-000035030000}"/>
    <hyperlink ref="D308" r:id="rId823" xr:uid="{00000000-0004-0000-0000-000036030000}"/>
    <hyperlink ref="E308" r:id="rId824" xr:uid="{00000000-0004-0000-0000-000037030000}"/>
    <hyperlink ref="O308" r:id="rId825" xr:uid="{00000000-0004-0000-0000-000038030000}"/>
    <hyperlink ref="D309" r:id="rId826" xr:uid="{00000000-0004-0000-0000-000039030000}"/>
    <hyperlink ref="E309" r:id="rId827" xr:uid="{00000000-0004-0000-0000-00003A030000}"/>
    <hyperlink ref="O309" r:id="rId828" xr:uid="{00000000-0004-0000-0000-00003B030000}"/>
    <hyperlink ref="E310" r:id="rId829" xr:uid="{00000000-0004-0000-0000-00003C030000}"/>
    <hyperlink ref="O310" r:id="rId830" xr:uid="{00000000-0004-0000-0000-00003D030000}"/>
    <hyperlink ref="D311" r:id="rId831" xr:uid="{00000000-0004-0000-0000-00003E030000}"/>
    <hyperlink ref="E311" r:id="rId832" xr:uid="{00000000-0004-0000-0000-00003F030000}"/>
    <hyperlink ref="O311" r:id="rId833" xr:uid="{00000000-0004-0000-0000-000040030000}"/>
    <hyperlink ref="E312" r:id="rId834" xr:uid="{00000000-0004-0000-0000-000041030000}"/>
    <hyperlink ref="O312" r:id="rId835" xr:uid="{00000000-0004-0000-0000-000042030000}"/>
    <hyperlink ref="E313" r:id="rId836" xr:uid="{00000000-0004-0000-0000-000043030000}"/>
    <hyperlink ref="O313" r:id="rId837" xr:uid="{00000000-0004-0000-0000-000044030000}"/>
    <hyperlink ref="D314" r:id="rId838" xr:uid="{00000000-0004-0000-0000-000045030000}"/>
    <hyperlink ref="E314" r:id="rId839" xr:uid="{00000000-0004-0000-0000-000046030000}"/>
    <hyperlink ref="O314" r:id="rId840" xr:uid="{00000000-0004-0000-0000-000047030000}"/>
    <hyperlink ref="E315" r:id="rId841" xr:uid="{00000000-0004-0000-0000-000048030000}"/>
    <hyperlink ref="O315" r:id="rId842" xr:uid="{00000000-0004-0000-0000-000049030000}"/>
    <hyperlink ref="D316" r:id="rId843" xr:uid="{00000000-0004-0000-0000-00004A030000}"/>
    <hyperlink ref="E316" r:id="rId844" xr:uid="{00000000-0004-0000-0000-00004B030000}"/>
    <hyperlink ref="O316" r:id="rId845" xr:uid="{00000000-0004-0000-0000-00004C030000}"/>
    <hyperlink ref="D317" r:id="rId846" xr:uid="{00000000-0004-0000-0000-00004D030000}"/>
    <hyperlink ref="E317" r:id="rId847" xr:uid="{00000000-0004-0000-0000-00004E030000}"/>
    <hyperlink ref="O317" r:id="rId848" xr:uid="{00000000-0004-0000-0000-00004F030000}"/>
    <hyperlink ref="D318" r:id="rId849" xr:uid="{00000000-0004-0000-0000-000050030000}"/>
    <hyperlink ref="E318" r:id="rId850" xr:uid="{00000000-0004-0000-0000-000051030000}"/>
    <hyperlink ref="O318" r:id="rId851" xr:uid="{00000000-0004-0000-0000-000052030000}"/>
    <hyperlink ref="D319" r:id="rId852" xr:uid="{00000000-0004-0000-0000-000053030000}"/>
    <hyperlink ref="E319" r:id="rId853" xr:uid="{00000000-0004-0000-0000-000054030000}"/>
    <hyperlink ref="O319" r:id="rId854" xr:uid="{00000000-0004-0000-0000-000055030000}"/>
    <hyperlink ref="E320" r:id="rId855" xr:uid="{00000000-0004-0000-0000-000056030000}"/>
    <hyperlink ref="O320" r:id="rId856" xr:uid="{00000000-0004-0000-0000-000057030000}"/>
    <hyperlink ref="D321" r:id="rId857" xr:uid="{00000000-0004-0000-0000-000058030000}"/>
    <hyperlink ref="E321" r:id="rId858" xr:uid="{00000000-0004-0000-0000-000059030000}"/>
    <hyperlink ref="O321" r:id="rId859" xr:uid="{00000000-0004-0000-0000-00005A030000}"/>
    <hyperlink ref="E322" r:id="rId860" xr:uid="{00000000-0004-0000-0000-00005B030000}"/>
    <hyperlink ref="O322" r:id="rId861" xr:uid="{00000000-0004-0000-0000-00005C030000}"/>
    <hyperlink ref="D323" r:id="rId862" xr:uid="{00000000-0004-0000-0000-00005D030000}"/>
    <hyperlink ref="E323" r:id="rId863" xr:uid="{00000000-0004-0000-0000-00005E030000}"/>
    <hyperlink ref="O323" r:id="rId864" xr:uid="{00000000-0004-0000-0000-00005F030000}"/>
    <hyperlink ref="D324" r:id="rId865" xr:uid="{00000000-0004-0000-0000-000060030000}"/>
    <hyperlink ref="E324" r:id="rId866" xr:uid="{00000000-0004-0000-0000-000061030000}"/>
    <hyperlink ref="O324" r:id="rId867" xr:uid="{00000000-0004-0000-0000-000062030000}"/>
    <hyperlink ref="D325" r:id="rId868" xr:uid="{00000000-0004-0000-0000-000063030000}"/>
    <hyperlink ref="E325" r:id="rId869" xr:uid="{00000000-0004-0000-0000-000064030000}"/>
    <hyperlink ref="O325" r:id="rId870" xr:uid="{00000000-0004-0000-0000-000065030000}"/>
    <hyperlink ref="D326" r:id="rId871" xr:uid="{00000000-0004-0000-0000-000066030000}"/>
    <hyperlink ref="E326" r:id="rId872" xr:uid="{00000000-0004-0000-0000-000067030000}"/>
    <hyperlink ref="O326" r:id="rId873" xr:uid="{00000000-0004-0000-0000-000068030000}"/>
    <hyperlink ref="D327" r:id="rId874" xr:uid="{00000000-0004-0000-0000-000069030000}"/>
    <hyperlink ref="E327" r:id="rId875" xr:uid="{00000000-0004-0000-0000-00006A030000}"/>
    <hyperlink ref="O327" r:id="rId876" xr:uid="{00000000-0004-0000-0000-00006B030000}"/>
    <hyperlink ref="D328" r:id="rId877" xr:uid="{00000000-0004-0000-0000-00006C030000}"/>
    <hyperlink ref="E328" r:id="rId878" xr:uid="{00000000-0004-0000-0000-00006D030000}"/>
    <hyperlink ref="O328" r:id="rId879" xr:uid="{00000000-0004-0000-0000-00006E030000}"/>
    <hyperlink ref="D329" r:id="rId880" xr:uid="{00000000-0004-0000-0000-00006F030000}"/>
    <hyperlink ref="E329" r:id="rId881" xr:uid="{00000000-0004-0000-0000-000070030000}"/>
    <hyperlink ref="O329" r:id="rId882" xr:uid="{00000000-0004-0000-0000-000071030000}"/>
    <hyperlink ref="D330" r:id="rId883" xr:uid="{00000000-0004-0000-0000-000072030000}"/>
    <hyperlink ref="E330" r:id="rId884" xr:uid="{00000000-0004-0000-0000-000073030000}"/>
    <hyperlink ref="O330" r:id="rId885" xr:uid="{00000000-0004-0000-0000-000074030000}"/>
    <hyperlink ref="D331" r:id="rId886" xr:uid="{00000000-0004-0000-0000-000075030000}"/>
    <hyperlink ref="E331" r:id="rId887" xr:uid="{00000000-0004-0000-0000-000076030000}"/>
    <hyperlink ref="O331" r:id="rId888" xr:uid="{00000000-0004-0000-0000-000077030000}"/>
    <hyperlink ref="D332" r:id="rId889" xr:uid="{00000000-0004-0000-0000-000078030000}"/>
    <hyperlink ref="E332" r:id="rId890" xr:uid="{00000000-0004-0000-0000-000079030000}"/>
    <hyperlink ref="O332" r:id="rId891" xr:uid="{00000000-0004-0000-0000-00007A030000}"/>
    <hyperlink ref="D333" r:id="rId892" xr:uid="{00000000-0004-0000-0000-00007B030000}"/>
    <hyperlink ref="E333" r:id="rId893" xr:uid="{00000000-0004-0000-0000-00007C030000}"/>
    <hyperlink ref="O333" r:id="rId894" xr:uid="{00000000-0004-0000-0000-00007D030000}"/>
    <hyperlink ref="D334" r:id="rId895" xr:uid="{00000000-0004-0000-0000-00007E030000}"/>
    <hyperlink ref="E334" r:id="rId896" xr:uid="{00000000-0004-0000-0000-00007F030000}"/>
    <hyperlink ref="O334" r:id="rId897" xr:uid="{00000000-0004-0000-0000-000080030000}"/>
    <hyperlink ref="D335" r:id="rId898" xr:uid="{00000000-0004-0000-0000-000081030000}"/>
    <hyperlink ref="E335" r:id="rId899" xr:uid="{00000000-0004-0000-0000-000082030000}"/>
    <hyperlink ref="O335" r:id="rId900" xr:uid="{00000000-0004-0000-0000-000083030000}"/>
    <hyperlink ref="D336" r:id="rId901" xr:uid="{00000000-0004-0000-0000-000084030000}"/>
    <hyperlink ref="E336" r:id="rId902" xr:uid="{00000000-0004-0000-0000-000085030000}"/>
    <hyperlink ref="O336" r:id="rId903" xr:uid="{00000000-0004-0000-0000-000086030000}"/>
    <hyperlink ref="D337" r:id="rId904" xr:uid="{00000000-0004-0000-0000-000087030000}"/>
    <hyperlink ref="E337" r:id="rId905" xr:uid="{00000000-0004-0000-0000-000088030000}"/>
    <hyperlink ref="O337" r:id="rId906" xr:uid="{00000000-0004-0000-0000-000089030000}"/>
    <hyperlink ref="D338" r:id="rId907" xr:uid="{00000000-0004-0000-0000-00008A030000}"/>
    <hyperlink ref="E338" r:id="rId908" xr:uid="{00000000-0004-0000-0000-00008B030000}"/>
    <hyperlink ref="O338" r:id="rId909" xr:uid="{00000000-0004-0000-0000-00008C030000}"/>
    <hyperlink ref="D339" r:id="rId910" xr:uid="{00000000-0004-0000-0000-00008D030000}"/>
    <hyperlink ref="E339" r:id="rId911" xr:uid="{00000000-0004-0000-0000-00008E030000}"/>
    <hyperlink ref="O339" r:id="rId912" xr:uid="{00000000-0004-0000-0000-00008F030000}"/>
    <hyperlink ref="D340" r:id="rId913" xr:uid="{00000000-0004-0000-0000-000090030000}"/>
    <hyperlink ref="E340" r:id="rId914" xr:uid="{00000000-0004-0000-0000-000091030000}"/>
    <hyperlink ref="O340" r:id="rId915" xr:uid="{00000000-0004-0000-0000-000092030000}"/>
    <hyperlink ref="D341" r:id="rId916" xr:uid="{00000000-0004-0000-0000-000093030000}"/>
    <hyperlink ref="E341" r:id="rId917" xr:uid="{00000000-0004-0000-0000-000094030000}"/>
    <hyperlink ref="O341" r:id="rId918" xr:uid="{00000000-0004-0000-0000-000095030000}"/>
    <hyperlink ref="D342" r:id="rId919" xr:uid="{00000000-0004-0000-0000-000096030000}"/>
    <hyperlink ref="E342" r:id="rId920" xr:uid="{00000000-0004-0000-0000-000097030000}"/>
    <hyperlink ref="O342" r:id="rId921" xr:uid="{00000000-0004-0000-0000-000098030000}"/>
    <hyperlink ref="D343" r:id="rId922" xr:uid="{00000000-0004-0000-0000-000099030000}"/>
    <hyperlink ref="E343" r:id="rId923" xr:uid="{00000000-0004-0000-0000-00009A030000}"/>
    <hyperlink ref="O343" r:id="rId924" xr:uid="{00000000-0004-0000-0000-00009B030000}"/>
    <hyperlink ref="D344" r:id="rId925" xr:uid="{00000000-0004-0000-0000-00009C030000}"/>
    <hyperlink ref="E344" r:id="rId926" xr:uid="{00000000-0004-0000-0000-00009D030000}"/>
    <hyperlink ref="O344" r:id="rId927" xr:uid="{00000000-0004-0000-0000-00009E030000}"/>
    <hyperlink ref="D345" r:id="rId928" xr:uid="{00000000-0004-0000-0000-00009F030000}"/>
    <hyperlink ref="E345" r:id="rId929" xr:uid="{00000000-0004-0000-0000-0000A0030000}"/>
    <hyperlink ref="O345" r:id="rId930" xr:uid="{00000000-0004-0000-0000-0000A1030000}"/>
    <hyperlink ref="D346" r:id="rId931" xr:uid="{00000000-0004-0000-0000-0000A2030000}"/>
    <hyperlink ref="E346" r:id="rId932" xr:uid="{00000000-0004-0000-0000-0000A3030000}"/>
    <hyperlink ref="O346" r:id="rId933" xr:uid="{00000000-0004-0000-0000-0000A4030000}"/>
    <hyperlink ref="D347" r:id="rId934" xr:uid="{00000000-0004-0000-0000-0000A5030000}"/>
    <hyperlink ref="E347" r:id="rId935" xr:uid="{00000000-0004-0000-0000-0000A6030000}"/>
    <hyperlink ref="O347" r:id="rId936" xr:uid="{00000000-0004-0000-0000-0000A7030000}"/>
    <hyperlink ref="D348" r:id="rId937" xr:uid="{00000000-0004-0000-0000-0000A8030000}"/>
    <hyperlink ref="E348" r:id="rId938" xr:uid="{00000000-0004-0000-0000-0000A9030000}"/>
    <hyperlink ref="O348" r:id="rId939" xr:uid="{00000000-0004-0000-0000-0000AA030000}"/>
    <hyperlink ref="D349" r:id="rId940" xr:uid="{00000000-0004-0000-0000-0000AB030000}"/>
    <hyperlink ref="E349" r:id="rId941" xr:uid="{00000000-0004-0000-0000-0000AC030000}"/>
    <hyperlink ref="O349" r:id="rId942" xr:uid="{00000000-0004-0000-0000-0000AD030000}"/>
    <hyperlink ref="D350" r:id="rId943" xr:uid="{00000000-0004-0000-0000-0000AE030000}"/>
    <hyperlink ref="E350" r:id="rId944" xr:uid="{00000000-0004-0000-0000-0000AF030000}"/>
    <hyperlink ref="O350" r:id="rId945" xr:uid="{00000000-0004-0000-0000-0000B0030000}"/>
    <hyperlink ref="D351" r:id="rId946" xr:uid="{00000000-0004-0000-0000-0000B1030000}"/>
    <hyperlink ref="E351" r:id="rId947" xr:uid="{00000000-0004-0000-0000-0000B2030000}"/>
    <hyperlink ref="O351" r:id="rId948" xr:uid="{00000000-0004-0000-0000-0000B3030000}"/>
    <hyperlink ref="D352" r:id="rId949" xr:uid="{00000000-0004-0000-0000-0000B4030000}"/>
    <hyperlink ref="E352" r:id="rId950" xr:uid="{00000000-0004-0000-0000-0000B5030000}"/>
    <hyperlink ref="O352" r:id="rId951" xr:uid="{00000000-0004-0000-0000-0000B6030000}"/>
    <hyperlink ref="E353" r:id="rId952" xr:uid="{00000000-0004-0000-0000-0000B7030000}"/>
    <hyperlink ref="O353" r:id="rId953" xr:uid="{00000000-0004-0000-0000-0000B8030000}"/>
    <hyperlink ref="D354" r:id="rId954" xr:uid="{00000000-0004-0000-0000-0000B9030000}"/>
    <hyperlink ref="E354" r:id="rId955" xr:uid="{00000000-0004-0000-0000-0000BA030000}"/>
    <hyperlink ref="O354" r:id="rId956" xr:uid="{00000000-0004-0000-0000-0000BB030000}"/>
    <hyperlink ref="E355" r:id="rId957" xr:uid="{00000000-0004-0000-0000-0000BC030000}"/>
    <hyperlink ref="O355" r:id="rId958" xr:uid="{00000000-0004-0000-0000-0000BD030000}"/>
    <hyperlink ref="D356" r:id="rId959" xr:uid="{00000000-0004-0000-0000-0000BE030000}"/>
    <hyperlink ref="E356" r:id="rId960" xr:uid="{00000000-0004-0000-0000-0000BF030000}"/>
    <hyperlink ref="O356" r:id="rId961" xr:uid="{00000000-0004-0000-0000-0000C0030000}"/>
    <hyperlink ref="D357" r:id="rId962" xr:uid="{00000000-0004-0000-0000-0000C1030000}"/>
    <hyperlink ref="E357" r:id="rId963" xr:uid="{00000000-0004-0000-0000-0000C2030000}"/>
    <hyperlink ref="O357" r:id="rId964" xr:uid="{00000000-0004-0000-0000-0000C3030000}"/>
    <hyperlink ref="D358" r:id="rId965" xr:uid="{00000000-0004-0000-0000-0000C4030000}"/>
    <hyperlink ref="E358" r:id="rId966" xr:uid="{00000000-0004-0000-0000-0000C5030000}"/>
    <hyperlink ref="O358" r:id="rId967" xr:uid="{00000000-0004-0000-0000-0000C6030000}"/>
    <hyperlink ref="D359" r:id="rId968" xr:uid="{00000000-0004-0000-0000-0000C7030000}"/>
    <hyperlink ref="E359" r:id="rId969" xr:uid="{00000000-0004-0000-0000-0000C8030000}"/>
    <hyperlink ref="O359" r:id="rId970" xr:uid="{00000000-0004-0000-0000-0000C9030000}"/>
    <hyperlink ref="D360" r:id="rId971" xr:uid="{00000000-0004-0000-0000-0000CA030000}"/>
    <hyperlink ref="E360" r:id="rId972" xr:uid="{00000000-0004-0000-0000-0000CB030000}"/>
    <hyperlink ref="O360" r:id="rId973" xr:uid="{00000000-0004-0000-0000-0000CC030000}"/>
    <hyperlink ref="D361" r:id="rId974" xr:uid="{00000000-0004-0000-0000-0000CD030000}"/>
    <hyperlink ref="E361" r:id="rId975" xr:uid="{00000000-0004-0000-0000-0000CE030000}"/>
    <hyperlink ref="O361" r:id="rId976" xr:uid="{00000000-0004-0000-0000-0000CF030000}"/>
    <hyperlink ref="D362" r:id="rId977" xr:uid="{00000000-0004-0000-0000-0000D0030000}"/>
    <hyperlink ref="E362" r:id="rId978" xr:uid="{00000000-0004-0000-0000-0000D1030000}"/>
    <hyperlink ref="O362" r:id="rId979" xr:uid="{00000000-0004-0000-0000-0000D2030000}"/>
    <hyperlink ref="D363" r:id="rId980" xr:uid="{00000000-0004-0000-0000-0000D3030000}"/>
    <hyperlink ref="E363" r:id="rId981" xr:uid="{00000000-0004-0000-0000-0000D4030000}"/>
    <hyperlink ref="O363" r:id="rId982" xr:uid="{00000000-0004-0000-0000-0000D5030000}"/>
    <hyperlink ref="D364" r:id="rId983" xr:uid="{00000000-0004-0000-0000-0000D6030000}"/>
    <hyperlink ref="E364" r:id="rId984" xr:uid="{00000000-0004-0000-0000-0000D7030000}"/>
    <hyperlink ref="O364" r:id="rId985" xr:uid="{00000000-0004-0000-0000-0000D8030000}"/>
    <hyperlink ref="D365" r:id="rId986" xr:uid="{00000000-0004-0000-0000-0000D9030000}"/>
    <hyperlink ref="E365" r:id="rId987" xr:uid="{00000000-0004-0000-0000-0000DA030000}"/>
    <hyperlink ref="O365" r:id="rId988" xr:uid="{00000000-0004-0000-0000-0000DB030000}"/>
    <hyperlink ref="D366" r:id="rId989" xr:uid="{00000000-0004-0000-0000-0000DC030000}"/>
    <hyperlink ref="E366" r:id="rId990" xr:uid="{00000000-0004-0000-0000-0000DD030000}"/>
    <hyperlink ref="O366" r:id="rId991" xr:uid="{00000000-0004-0000-0000-0000DE030000}"/>
    <hyperlink ref="D367" r:id="rId992" xr:uid="{00000000-0004-0000-0000-0000DF030000}"/>
    <hyperlink ref="E367" r:id="rId993" xr:uid="{00000000-0004-0000-0000-0000E0030000}"/>
    <hyperlink ref="O367" r:id="rId994" xr:uid="{00000000-0004-0000-0000-0000E1030000}"/>
    <hyperlink ref="D368" r:id="rId995" xr:uid="{00000000-0004-0000-0000-0000E2030000}"/>
    <hyperlink ref="E368" r:id="rId996" xr:uid="{00000000-0004-0000-0000-0000E3030000}"/>
    <hyperlink ref="O368" r:id="rId997" xr:uid="{00000000-0004-0000-0000-0000E4030000}"/>
    <hyperlink ref="E369" r:id="rId998" xr:uid="{00000000-0004-0000-0000-0000E5030000}"/>
    <hyperlink ref="O369" r:id="rId999" xr:uid="{00000000-0004-0000-0000-0000E6030000}"/>
    <hyperlink ref="D370" r:id="rId1000" xr:uid="{00000000-0004-0000-0000-0000E7030000}"/>
    <hyperlink ref="E370" r:id="rId1001" xr:uid="{00000000-0004-0000-0000-0000E8030000}"/>
    <hyperlink ref="O370" r:id="rId1002" xr:uid="{00000000-0004-0000-0000-0000E9030000}"/>
    <hyperlink ref="E371" r:id="rId1003" xr:uid="{00000000-0004-0000-0000-0000EA030000}"/>
    <hyperlink ref="O371" r:id="rId1004" xr:uid="{00000000-0004-0000-0000-0000EB030000}"/>
    <hyperlink ref="D372" r:id="rId1005" xr:uid="{00000000-0004-0000-0000-0000EC030000}"/>
    <hyperlink ref="E372" r:id="rId1006" xr:uid="{00000000-0004-0000-0000-0000ED030000}"/>
    <hyperlink ref="O372" r:id="rId1007" xr:uid="{00000000-0004-0000-0000-0000EE030000}"/>
    <hyperlink ref="D373" r:id="rId1008" xr:uid="{00000000-0004-0000-0000-0000EF030000}"/>
    <hyperlink ref="E373" r:id="rId1009" xr:uid="{00000000-0004-0000-0000-0000F0030000}"/>
    <hyperlink ref="O373" r:id="rId1010" xr:uid="{00000000-0004-0000-0000-0000F1030000}"/>
    <hyperlink ref="E374" r:id="rId1011" xr:uid="{00000000-0004-0000-0000-0000F2030000}"/>
    <hyperlink ref="O374" r:id="rId1012" xr:uid="{00000000-0004-0000-0000-0000F3030000}"/>
    <hyperlink ref="E375" r:id="rId1013" xr:uid="{00000000-0004-0000-0000-0000F4030000}"/>
    <hyperlink ref="O375" r:id="rId1014" xr:uid="{00000000-0004-0000-0000-0000F5030000}"/>
    <hyperlink ref="D376" r:id="rId1015" xr:uid="{00000000-0004-0000-0000-0000F6030000}"/>
    <hyperlink ref="E376" r:id="rId1016" xr:uid="{00000000-0004-0000-0000-0000F7030000}"/>
    <hyperlink ref="O376" r:id="rId1017" xr:uid="{00000000-0004-0000-0000-0000F8030000}"/>
    <hyperlink ref="D377" r:id="rId1018" xr:uid="{00000000-0004-0000-0000-0000F9030000}"/>
    <hyperlink ref="E377" r:id="rId1019" xr:uid="{00000000-0004-0000-0000-0000FA030000}"/>
    <hyperlink ref="O377" r:id="rId1020" xr:uid="{00000000-0004-0000-0000-0000FB030000}"/>
    <hyperlink ref="D378" r:id="rId1021" xr:uid="{00000000-0004-0000-0000-0000FC030000}"/>
    <hyperlink ref="E378" r:id="rId1022" xr:uid="{00000000-0004-0000-0000-0000FD030000}"/>
    <hyperlink ref="O378" r:id="rId1023" xr:uid="{00000000-0004-0000-0000-0000FE030000}"/>
    <hyperlink ref="D379" r:id="rId1024" xr:uid="{00000000-0004-0000-0000-0000FF030000}"/>
    <hyperlink ref="E379" r:id="rId1025" xr:uid="{00000000-0004-0000-0000-000000040000}"/>
    <hyperlink ref="O379" r:id="rId1026" xr:uid="{00000000-0004-0000-0000-000001040000}"/>
    <hyperlink ref="D380" r:id="rId1027" xr:uid="{00000000-0004-0000-0000-000002040000}"/>
    <hyperlink ref="E380" r:id="rId1028" xr:uid="{00000000-0004-0000-0000-000003040000}"/>
    <hyperlink ref="O380" r:id="rId1029" xr:uid="{00000000-0004-0000-0000-000004040000}"/>
    <hyperlink ref="D381" r:id="rId1030" xr:uid="{00000000-0004-0000-0000-000005040000}"/>
    <hyperlink ref="E381" r:id="rId1031" xr:uid="{00000000-0004-0000-0000-000006040000}"/>
    <hyperlink ref="O381" r:id="rId1032" xr:uid="{00000000-0004-0000-0000-000007040000}"/>
    <hyperlink ref="E382" r:id="rId1033" xr:uid="{00000000-0004-0000-0000-000008040000}"/>
    <hyperlink ref="O382" r:id="rId1034" xr:uid="{00000000-0004-0000-0000-000009040000}"/>
    <hyperlink ref="D383" r:id="rId1035" xr:uid="{00000000-0004-0000-0000-00000A040000}"/>
    <hyperlink ref="E383" r:id="rId1036" xr:uid="{00000000-0004-0000-0000-00000B040000}"/>
    <hyperlink ref="O383" r:id="rId1037" xr:uid="{00000000-0004-0000-0000-00000C040000}"/>
    <hyperlink ref="D384" r:id="rId1038" xr:uid="{00000000-0004-0000-0000-00000D040000}"/>
    <hyperlink ref="E384" r:id="rId1039" xr:uid="{00000000-0004-0000-0000-00000E040000}"/>
    <hyperlink ref="O384" r:id="rId1040" xr:uid="{00000000-0004-0000-0000-00000F040000}"/>
    <hyperlink ref="D385" r:id="rId1041" xr:uid="{00000000-0004-0000-0000-000010040000}"/>
    <hyperlink ref="E385" r:id="rId1042" xr:uid="{00000000-0004-0000-0000-000011040000}"/>
    <hyperlink ref="O385" r:id="rId1043" xr:uid="{00000000-0004-0000-0000-000012040000}"/>
    <hyperlink ref="D386" r:id="rId1044" xr:uid="{00000000-0004-0000-0000-000013040000}"/>
    <hyperlink ref="E386" r:id="rId1045" xr:uid="{00000000-0004-0000-0000-000014040000}"/>
    <hyperlink ref="O386" r:id="rId1046" xr:uid="{00000000-0004-0000-0000-000015040000}"/>
    <hyperlink ref="E387" r:id="rId1047" xr:uid="{00000000-0004-0000-0000-000016040000}"/>
    <hyperlink ref="O387" r:id="rId1048" xr:uid="{00000000-0004-0000-0000-000017040000}"/>
    <hyperlink ref="E388" r:id="rId1049" xr:uid="{00000000-0004-0000-0000-000018040000}"/>
    <hyperlink ref="O388" r:id="rId1050" xr:uid="{00000000-0004-0000-0000-000019040000}"/>
    <hyperlink ref="D389" r:id="rId1051" xr:uid="{00000000-0004-0000-0000-00001A040000}"/>
    <hyperlink ref="E389" r:id="rId1052" xr:uid="{00000000-0004-0000-0000-00001B040000}"/>
    <hyperlink ref="O389" r:id="rId1053" xr:uid="{00000000-0004-0000-0000-00001C040000}"/>
    <hyperlink ref="D390" r:id="rId1054" xr:uid="{00000000-0004-0000-0000-00001D040000}"/>
    <hyperlink ref="E390" r:id="rId1055" xr:uid="{00000000-0004-0000-0000-00001E040000}"/>
    <hyperlink ref="O390" r:id="rId1056" xr:uid="{00000000-0004-0000-0000-00001F040000}"/>
    <hyperlink ref="D391" r:id="rId1057" xr:uid="{00000000-0004-0000-0000-000020040000}"/>
    <hyperlink ref="E391" r:id="rId1058" xr:uid="{00000000-0004-0000-0000-000021040000}"/>
    <hyperlink ref="O391" r:id="rId1059" xr:uid="{00000000-0004-0000-0000-000022040000}"/>
    <hyperlink ref="E392" r:id="rId1060" xr:uid="{00000000-0004-0000-0000-000023040000}"/>
    <hyperlink ref="O392" r:id="rId1061" xr:uid="{00000000-0004-0000-0000-000024040000}"/>
    <hyperlink ref="D393" r:id="rId1062" xr:uid="{00000000-0004-0000-0000-000025040000}"/>
    <hyperlink ref="E393" r:id="rId1063" xr:uid="{00000000-0004-0000-0000-000026040000}"/>
    <hyperlink ref="O393" r:id="rId1064" xr:uid="{00000000-0004-0000-0000-000027040000}"/>
    <hyperlink ref="D394" r:id="rId1065" xr:uid="{00000000-0004-0000-0000-000028040000}"/>
    <hyperlink ref="E394" r:id="rId1066" xr:uid="{00000000-0004-0000-0000-000029040000}"/>
    <hyperlink ref="O394" r:id="rId1067" xr:uid="{00000000-0004-0000-0000-00002A040000}"/>
    <hyperlink ref="D395" r:id="rId1068" xr:uid="{00000000-0004-0000-0000-00002B040000}"/>
    <hyperlink ref="E395" r:id="rId1069" xr:uid="{00000000-0004-0000-0000-00002C040000}"/>
    <hyperlink ref="O395" r:id="rId1070" xr:uid="{00000000-0004-0000-0000-00002D040000}"/>
    <hyperlink ref="D396" r:id="rId1071" xr:uid="{00000000-0004-0000-0000-00002E040000}"/>
    <hyperlink ref="E396" r:id="rId1072" xr:uid="{00000000-0004-0000-0000-00002F040000}"/>
    <hyperlink ref="O396" r:id="rId1073" xr:uid="{00000000-0004-0000-0000-000030040000}"/>
    <hyperlink ref="E397" r:id="rId1074" xr:uid="{00000000-0004-0000-0000-000031040000}"/>
    <hyperlink ref="O397" r:id="rId1075" xr:uid="{00000000-0004-0000-0000-000032040000}"/>
    <hyperlink ref="E398" r:id="rId1076" xr:uid="{00000000-0004-0000-0000-000033040000}"/>
    <hyperlink ref="O398" r:id="rId1077" xr:uid="{00000000-0004-0000-0000-000034040000}"/>
    <hyperlink ref="E399" r:id="rId1078" xr:uid="{00000000-0004-0000-0000-000035040000}"/>
    <hyperlink ref="O399" r:id="rId1079" xr:uid="{00000000-0004-0000-0000-000036040000}"/>
    <hyperlink ref="D400" r:id="rId1080" xr:uid="{00000000-0004-0000-0000-000037040000}"/>
    <hyperlink ref="E400" r:id="rId1081" xr:uid="{00000000-0004-0000-0000-000038040000}"/>
    <hyperlink ref="O400" r:id="rId1082" xr:uid="{00000000-0004-0000-0000-000039040000}"/>
    <hyperlink ref="D401" r:id="rId1083" xr:uid="{00000000-0004-0000-0000-00003A040000}"/>
    <hyperlink ref="E401" r:id="rId1084" xr:uid="{00000000-0004-0000-0000-00003B040000}"/>
    <hyperlink ref="O401" r:id="rId1085" xr:uid="{00000000-0004-0000-0000-00003C040000}"/>
    <hyperlink ref="D402" r:id="rId1086" xr:uid="{00000000-0004-0000-0000-00003D040000}"/>
    <hyperlink ref="E402" r:id="rId1087" xr:uid="{00000000-0004-0000-0000-00003E040000}"/>
    <hyperlink ref="O402" r:id="rId1088" xr:uid="{00000000-0004-0000-0000-00003F040000}"/>
    <hyperlink ref="E403" r:id="rId1089" xr:uid="{00000000-0004-0000-0000-000040040000}"/>
    <hyperlink ref="O403" r:id="rId1090" xr:uid="{00000000-0004-0000-0000-000041040000}"/>
    <hyperlink ref="E404" r:id="rId1091" xr:uid="{00000000-0004-0000-0000-000042040000}"/>
    <hyperlink ref="O404" r:id="rId1092" xr:uid="{00000000-0004-0000-0000-000043040000}"/>
    <hyperlink ref="D405" r:id="rId1093" xr:uid="{00000000-0004-0000-0000-000044040000}"/>
    <hyperlink ref="E405" r:id="rId1094" xr:uid="{00000000-0004-0000-0000-000045040000}"/>
    <hyperlink ref="O405" r:id="rId1095" xr:uid="{00000000-0004-0000-0000-000046040000}"/>
    <hyperlink ref="D406" r:id="rId1096" xr:uid="{00000000-0004-0000-0000-000047040000}"/>
    <hyperlink ref="E406" r:id="rId1097" xr:uid="{00000000-0004-0000-0000-000048040000}"/>
    <hyperlink ref="O406" r:id="rId1098" xr:uid="{00000000-0004-0000-0000-000049040000}"/>
    <hyperlink ref="D407" r:id="rId1099" xr:uid="{00000000-0004-0000-0000-00004A040000}"/>
    <hyperlink ref="E407" r:id="rId1100" xr:uid="{00000000-0004-0000-0000-00004B040000}"/>
    <hyperlink ref="O407" r:id="rId1101" xr:uid="{00000000-0004-0000-0000-00004C040000}"/>
    <hyperlink ref="D408" r:id="rId1102" xr:uid="{00000000-0004-0000-0000-00004D040000}"/>
    <hyperlink ref="E408" r:id="rId1103" xr:uid="{00000000-0004-0000-0000-00004E040000}"/>
    <hyperlink ref="O408" r:id="rId1104" xr:uid="{00000000-0004-0000-0000-00004F040000}"/>
    <hyperlink ref="E409" r:id="rId1105" xr:uid="{00000000-0004-0000-0000-000050040000}"/>
    <hyperlink ref="O409" r:id="rId1106" xr:uid="{00000000-0004-0000-0000-000051040000}"/>
    <hyperlink ref="D410" r:id="rId1107" xr:uid="{00000000-0004-0000-0000-000052040000}"/>
    <hyperlink ref="E410" r:id="rId1108" xr:uid="{00000000-0004-0000-0000-000053040000}"/>
    <hyperlink ref="O410" r:id="rId1109" xr:uid="{00000000-0004-0000-0000-000054040000}"/>
    <hyperlink ref="D411" r:id="rId1110" xr:uid="{00000000-0004-0000-0000-000055040000}"/>
    <hyperlink ref="E411" r:id="rId1111" xr:uid="{00000000-0004-0000-0000-000056040000}"/>
    <hyperlink ref="O411" r:id="rId1112" xr:uid="{00000000-0004-0000-0000-000057040000}"/>
    <hyperlink ref="D412" r:id="rId1113" xr:uid="{00000000-0004-0000-0000-000058040000}"/>
    <hyperlink ref="E412" r:id="rId1114" xr:uid="{00000000-0004-0000-0000-000059040000}"/>
    <hyperlink ref="O412" r:id="rId1115" xr:uid="{00000000-0004-0000-0000-00005A040000}"/>
    <hyperlink ref="D413" r:id="rId1116" xr:uid="{00000000-0004-0000-0000-00005B040000}"/>
    <hyperlink ref="E413" r:id="rId1117" xr:uid="{00000000-0004-0000-0000-00005C040000}"/>
    <hyperlink ref="O413" r:id="rId1118" xr:uid="{00000000-0004-0000-0000-00005D040000}"/>
    <hyperlink ref="D414" r:id="rId1119" xr:uid="{00000000-0004-0000-0000-00005E040000}"/>
    <hyperlink ref="E414" r:id="rId1120" xr:uid="{00000000-0004-0000-0000-00005F040000}"/>
    <hyperlink ref="O414" r:id="rId1121" xr:uid="{00000000-0004-0000-0000-000060040000}"/>
    <hyperlink ref="D415" r:id="rId1122" xr:uid="{00000000-0004-0000-0000-000061040000}"/>
    <hyperlink ref="E415" r:id="rId1123" xr:uid="{00000000-0004-0000-0000-000062040000}"/>
    <hyperlink ref="O415" r:id="rId1124" xr:uid="{00000000-0004-0000-0000-000063040000}"/>
    <hyperlink ref="D416" r:id="rId1125" xr:uid="{00000000-0004-0000-0000-000064040000}"/>
    <hyperlink ref="E416" r:id="rId1126" xr:uid="{00000000-0004-0000-0000-000065040000}"/>
    <hyperlink ref="O416" r:id="rId1127" xr:uid="{00000000-0004-0000-0000-000066040000}"/>
    <hyperlink ref="D417" r:id="rId1128" xr:uid="{00000000-0004-0000-0000-000067040000}"/>
    <hyperlink ref="E417" r:id="rId1129" xr:uid="{00000000-0004-0000-0000-000068040000}"/>
    <hyperlink ref="O417" r:id="rId1130" xr:uid="{00000000-0004-0000-0000-000069040000}"/>
    <hyperlink ref="D418" r:id="rId1131" xr:uid="{00000000-0004-0000-0000-00006A040000}"/>
    <hyperlink ref="E418" r:id="rId1132" xr:uid="{00000000-0004-0000-0000-00006B040000}"/>
    <hyperlink ref="O418" r:id="rId1133" xr:uid="{00000000-0004-0000-0000-00006C040000}"/>
    <hyperlink ref="D419" r:id="rId1134" xr:uid="{00000000-0004-0000-0000-00006D040000}"/>
    <hyperlink ref="E419" r:id="rId1135" xr:uid="{00000000-0004-0000-0000-00006E040000}"/>
    <hyperlink ref="O419" r:id="rId1136" xr:uid="{00000000-0004-0000-0000-00006F040000}"/>
    <hyperlink ref="E420" r:id="rId1137" xr:uid="{00000000-0004-0000-0000-000070040000}"/>
    <hyperlink ref="O420" r:id="rId1138" xr:uid="{00000000-0004-0000-0000-000071040000}"/>
    <hyperlink ref="D421" r:id="rId1139" xr:uid="{00000000-0004-0000-0000-000072040000}"/>
    <hyperlink ref="E421" r:id="rId1140" xr:uid="{00000000-0004-0000-0000-000073040000}"/>
    <hyperlink ref="O421" r:id="rId1141" xr:uid="{00000000-0004-0000-0000-000074040000}"/>
    <hyperlink ref="E422" r:id="rId1142" xr:uid="{00000000-0004-0000-0000-000075040000}"/>
    <hyperlink ref="O422" r:id="rId1143" xr:uid="{00000000-0004-0000-0000-000076040000}"/>
    <hyperlink ref="D423" r:id="rId1144" xr:uid="{00000000-0004-0000-0000-000077040000}"/>
    <hyperlink ref="E423" r:id="rId1145" xr:uid="{00000000-0004-0000-0000-000078040000}"/>
    <hyperlink ref="O423" r:id="rId1146" xr:uid="{00000000-0004-0000-0000-000079040000}"/>
    <hyperlink ref="E424" r:id="rId1147" xr:uid="{00000000-0004-0000-0000-00007A040000}"/>
    <hyperlink ref="O424" r:id="rId1148" xr:uid="{00000000-0004-0000-0000-00007B040000}"/>
    <hyperlink ref="E425" r:id="rId1149" xr:uid="{00000000-0004-0000-0000-00007C040000}"/>
    <hyperlink ref="O425" r:id="rId1150" xr:uid="{00000000-0004-0000-0000-00007D040000}"/>
    <hyperlink ref="D426" r:id="rId1151" xr:uid="{00000000-0004-0000-0000-00007E040000}"/>
    <hyperlink ref="E426" r:id="rId1152" xr:uid="{00000000-0004-0000-0000-00007F040000}"/>
    <hyperlink ref="O426" r:id="rId1153" xr:uid="{00000000-0004-0000-0000-000080040000}"/>
    <hyperlink ref="E427" r:id="rId1154" xr:uid="{00000000-0004-0000-0000-000081040000}"/>
    <hyperlink ref="O427" r:id="rId1155" xr:uid="{00000000-0004-0000-0000-000082040000}"/>
    <hyperlink ref="D428" r:id="rId1156" xr:uid="{00000000-0004-0000-0000-000083040000}"/>
    <hyperlink ref="E428" r:id="rId1157" xr:uid="{00000000-0004-0000-0000-000084040000}"/>
    <hyperlink ref="O428" r:id="rId1158" xr:uid="{00000000-0004-0000-0000-000085040000}"/>
    <hyperlink ref="D429" r:id="rId1159" xr:uid="{00000000-0004-0000-0000-000086040000}"/>
    <hyperlink ref="E429" r:id="rId1160" xr:uid="{00000000-0004-0000-0000-000087040000}"/>
    <hyperlink ref="O429" r:id="rId1161" xr:uid="{00000000-0004-0000-0000-000088040000}"/>
    <hyperlink ref="E430" r:id="rId1162" xr:uid="{00000000-0004-0000-0000-000089040000}"/>
    <hyperlink ref="O430" r:id="rId1163" xr:uid="{00000000-0004-0000-0000-00008A040000}"/>
    <hyperlink ref="E431" r:id="rId1164" xr:uid="{00000000-0004-0000-0000-00008B040000}"/>
    <hyperlink ref="O431" r:id="rId1165" xr:uid="{00000000-0004-0000-0000-00008C040000}"/>
    <hyperlink ref="E432" r:id="rId1166" xr:uid="{00000000-0004-0000-0000-00008D040000}"/>
    <hyperlink ref="O432" r:id="rId1167" xr:uid="{00000000-0004-0000-0000-00008E040000}"/>
    <hyperlink ref="E433" r:id="rId1168" xr:uid="{00000000-0004-0000-0000-00008F040000}"/>
    <hyperlink ref="O433" r:id="rId1169" xr:uid="{00000000-0004-0000-0000-000090040000}"/>
    <hyperlink ref="D434" r:id="rId1170" xr:uid="{00000000-0004-0000-0000-000091040000}"/>
    <hyperlink ref="E434" r:id="rId1171" xr:uid="{00000000-0004-0000-0000-000092040000}"/>
    <hyperlink ref="O434" r:id="rId1172" xr:uid="{00000000-0004-0000-0000-000093040000}"/>
    <hyperlink ref="D435" r:id="rId1173" xr:uid="{00000000-0004-0000-0000-000094040000}"/>
    <hyperlink ref="E435" r:id="rId1174" xr:uid="{00000000-0004-0000-0000-000095040000}"/>
    <hyperlink ref="O435" r:id="rId1175" xr:uid="{00000000-0004-0000-0000-000096040000}"/>
    <hyperlink ref="D436" r:id="rId1176" xr:uid="{00000000-0004-0000-0000-000097040000}"/>
    <hyperlink ref="E436" r:id="rId1177" xr:uid="{00000000-0004-0000-0000-000098040000}"/>
    <hyperlink ref="O436" r:id="rId1178" xr:uid="{00000000-0004-0000-0000-000099040000}"/>
    <hyperlink ref="D437" r:id="rId1179" xr:uid="{00000000-0004-0000-0000-00009A040000}"/>
    <hyperlink ref="E437" r:id="rId1180" xr:uid="{00000000-0004-0000-0000-00009B040000}"/>
    <hyperlink ref="O437" r:id="rId1181" xr:uid="{00000000-0004-0000-0000-00009C040000}"/>
    <hyperlink ref="D438" r:id="rId1182" xr:uid="{00000000-0004-0000-0000-00009D040000}"/>
    <hyperlink ref="E438" r:id="rId1183" xr:uid="{00000000-0004-0000-0000-00009E040000}"/>
    <hyperlink ref="O438" r:id="rId1184" xr:uid="{00000000-0004-0000-0000-00009F040000}"/>
    <hyperlink ref="D439" r:id="rId1185" xr:uid="{00000000-0004-0000-0000-0000A0040000}"/>
    <hyperlink ref="E439" r:id="rId1186" xr:uid="{00000000-0004-0000-0000-0000A1040000}"/>
    <hyperlink ref="O439" r:id="rId1187" xr:uid="{00000000-0004-0000-0000-0000A2040000}"/>
    <hyperlink ref="D440" r:id="rId1188" xr:uid="{00000000-0004-0000-0000-0000A3040000}"/>
    <hyperlink ref="E440" r:id="rId1189" xr:uid="{00000000-0004-0000-0000-0000A4040000}"/>
    <hyperlink ref="O440" r:id="rId1190" xr:uid="{00000000-0004-0000-0000-0000A5040000}"/>
    <hyperlink ref="D441" r:id="rId1191" xr:uid="{00000000-0004-0000-0000-0000A6040000}"/>
    <hyperlink ref="E441" r:id="rId1192" xr:uid="{00000000-0004-0000-0000-0000A7040000}"/>
    <hyperlink ref="O441" r:id="rId1193" xr:uid="{00000000-0004-0000-0000-0000A8040000}"/>
    <hyperlink ref="D442" r:id="rId1194" xr:uid="{00000000-0004-0000-0000-0000A9040000}"/>
    <hyperlink ref="E442" r:id="rId1195" xr:uid="{00000000-0004-0000-0000-0000AA040000}"/>
    <hyperlink ref="O442" r:id="rId1196" xr:uid="{00000000-0004-0000-0000-0000AB040000}"/>
    <hyperlink ref="D443" r:id="rId1197" xr:uid="{00000000-0004-0000-0000-0000AC040000}"/>
    <hyperlink ref="E443" r:id="rId1198" xr:uid="{00000000-0004-0000-0000-0000AD040000}"/>
    <hyperlink ref="O443" r:id="rId1199" xr:uid="{00000000-0004-0000-0000-0000AE040000}"/>
    <hyperlink ref="E444" r:id="rId1200" xr:uid="{00000000-0004-0000-0000-0000AF040000}"/>
    <hyperlink ref="O444" r:id="rId1201" xr:uid="{00000000-0004-0000-0000-0000B0040000}"/>
    <hyperlink ref="D445" r:id="rId1202" xr:uid="{00000000-0004-0000-0000-0000B1040000}"/>
    <hyperlink ref="E445" r:id="rId1203" xr:uid="{00000000-0004-0000-0000-0000B2040000}"/>
    <hyperlink ref="O445" r:id="rId1204" xr:uid="{00000000-0004-0000-0000-0000B3040000}"/>
    <hyperlink ref="E446" r:id="rId1205" xr:uid="{00000000-0004-0000-0000-0000B4040000}"/>
    <hyperlink ref="O446" r:id="rId1206" xr:uid="{00000000-0004-0000-0000-0000B5040000}"/>
    <hyperlink ref="D447" r:id="rId1207" xr:uid="{00000000-0004-0000-0000-0000B6040000}"/>
    <hyperlink ref="E447" r:id="rId1208" xr:uid="{00000000-0004-0000-0000-0000B7040000}"/>
    <hyperlink ref="O447" r:id="rId1209" xr:uid="{00000000-0004-0000-0000-0000B8040000}"/>
    <hyperlink ref="E448" r:id="rId1210" xr:uid="{00000000-0004-0000-0000-0000B9040000}"/>
    <hyperlink ref="O448" r:id="rId1211" xr:uid="{00000000-0004-0000-0000-0000BA040000}"/>
    <hyperlink ref="D449" r:id="rId1212" xr:uid="{00000000-0004-0000-0000-0000BB040000}"/>
    <hyperlink ref="E449" r:id="rId1213" xr:uid="{00000000-0004-0000-0000-0000BC040000}"/>
    <hyperlink ref="O449" r:id="rId1214" xr:uid="{00000000-0004-0000-0000-0000BD040000}"/>
    <hyperlink ref="D450" r:id="rId1215" xr:uid="{00000000-0004-0000-0000-0000BE040000}"/>
    <hyperlink ref="E450" r:id="rId1216" xr:uid="{00000000-0004-0000-0000-0000BF040000}"/>
    <hyperlink ref="O450" r:id="rId1217" xr:uid="{00000000-0004-0000-0000-0000C0040000}"/>
    <hyperlink ref="D451" r:id="rId1218" xr:uid="{00000000-0004-0000-0000-0000C1040000}"/>
    <hyperlink ref="E451" r:id="rId1219" xr:uid="{00000000-0004-0000-0000-0000C2040000}"/>
    <hyperlink ref="O451" r:id="rId1220" xr:uid="{00000000-0004-0000-0000-0000C3040000}"/>
    <hyperlink ref="E452" r:id="rId1221" xr:uid="{00000000-0004-0000-0000-0000C4040000}"/>
    <hyperlink ref="O452" r:id="rId1222" xr:uid="{00000000-0004-0000-0000-0000C5040000}"/>
    <hyperlink ref="D453" r:id="rId1223" xr:uid="{00000000-0004-0000-0000-0000C6040000}"/>
    <hyperlink ref="E453" r:id="rId1224" xr:uid="{00000000-0004-0000-0000-0000C7040000}"/>
    <hyperlink ref="O453" r:id="rId1225" xr:uid="{00000000-0004-0000-0000-0000C8040000}"/>
    <hyperlink ref="D454" r:id="rId1226" xr:uid="{00000000-0004-0000-0000-0000C9040000}"/>
    <hyperlink ref="E454" r:id="rId1227" xr:uid="{00000000-0004-0000-0000-0000CA040000}"/>
    <hyperlink ref="O454" r:id="rId1228" xr:uid="{00000000-0004-0000-0000-0000CB040000}"/>
    <hyperlink ref="D455" r:id="rId1229" xr:uid="{00000000-0004-0000-0000-0000CC040000}"/>
    <hyperlink ref="E455" r:id="rId1230" xr:uid="{00000000-0004-0000-0000-0000CD040000}"/>
    <hyperlink ref="O455" r:id="rId1231" xr:uid="{00000000-0004-0000-0000-0000CE040000}"/>
    <hyperlink ref="E456" r:id="rId1232" xr:uid="{00000000-0004-0000-0000-0000CF040000}"/>
    <hyperlink ref="O456" r:id="rId1233" xr:uid="{00000000-0004-0000-0000-0000D0040000}"/>
    <hyperlink ref="E457" r:id="rId1234" xr:uid="{00000000-0004-0000-0000-0000D1040000}"/>
    <hyperlink ref="O457" r:id="rId1235" xr:uid="{00000000-0004-0000-0000-0000D2040000}"/>
    <hyperlink ref="D458" r:id="rId1236" xr:uid="{00000000-0004-0000-0000-0000D3040000}"/>
    <hyperlink ref="E458" r:id="rId1237" xr:uid="{00000000-0004-0000-0000-0000D4040000}"/>
    <hyperlink ref="O458" r:id="rId1238" xr:uid="{00000000-0004-0000-0000-0000D5040000}"/>
    <hyperlink ref="D459" r:id="rId1239" xr:uid="{00000000-0004-0000-0000-0000D6040000}"/>
    <hyperlink ref="E459" r:id="rId1240" xr:uid="{00000000-0004-0000-0000-0000D7040000}"/>
    <hyperlink ref="O459" r:id="rId1241" xr:uid="{00000000-0004-0000-0000-0000D8040000}"/>
    <hyperlink ref="D460" r:id="rId1242" xr:uid="{00000000-0004-0000-0000-0000D9040000}"/>
    <hyperlink ref="E460" r:id="rId1243" xr:uid="{00000000-0004-0000-0000-0000DA040000}"/>
    <hyperlink ref="O460" r:id="rId1244" xr:uid="{00000000-0004-0000-0000-0000DB040000}"/>
    <hyperlink ref="E461" r:id="rId1245" xr:uid="{00000000-0004-0000-0000-0000DC040000}"/>
    <hyperlink ref="O461" r:id="rId1246" xr:uid="{00000000-0004-0000-0000-0000DD040000}"/>
    <hyperlink ref="E462" r:id="rId1247" xr:uid="{00000000-0004-0000-0000-0000DE040000}"/>
    <hyperlink ref="O462" r:id="rId1248" xr:uid="{00000000-0004-0000-0000-0000DF040000}"/>
    <hyperlink ref="D463" r:id="rId1249" xr:uid="{00000000-0004-0000-0000-0000E0040000}"/>
    <hyperlink ref="E463" r:id="rId1250" xr:uid="{00000000-0004-0000-0000-0000E1040000}"/>
    <hyperlink ref="O463" r:id="rId1251" xr:uid="{00000000-0004-0000-0000-0000E2040000}"/>
    <hyperlink ref="D464" r:id="rId1252" xr:uid="{00000000-0004-0000-0000-0000E3040000}"/>
    <hyperlink ref="E464" r:id="rId1253" xr:uid="{00000000-0004-0000-0000-0000E4040000}"/>
    <hyperlink ref="O464" r:id="rId1254" xr:uid="{00000000-0004-0000-0000-0000E5040000}"/>
    <hyperlink ref="D465" r:id="rId1255" xr:uid="{00000000-0004-0000-0000-0000E6040000}"/>
    <hyperlink ref="E465" r:id="rId1256" xr:uid="{00000000-0004-0000-0000-0000E7040000}"/>
    <hyperlink ref="O465" r:id="rId1257" xr:uid="{00000000-0004-0000-0000-0000E8040000}"/>
    <hyperlink ref="D466" r:id="rId1258" xr:uid="{00000000-0004-0000-0000-0000E9040000}"/>
    <hyperlink ref="E466" r:id="rId1259" xr:uid="{00000000-0004-0000-0000-0000EA040000}"/>
    <hyperlink ref="O466" r:id="rId1260" xr:uid="{00000000-0004-0000-0000-0000EB040000}"/>
    <hyperlink ref="D467" r:id="rId1261" xr:uid="{00000000-0004-0000-0000-0000EC040000}"/>
    <hyperlink ref="E467" r:id="rId1262" xr:uid="{00000000-0004-0000-0000-0000ED040000}"/>
    <hyperlink ref="O467" r:id="rId1263" xr:uid="{00000000-0004-0000-0000-0000EE040000}"/>
    <hyperlink ref="D468" r:id="rId1264" xr:uid="{00000000-0004-0000-0000-0000EF040000}"/>
    <hyperlink ref="E468" r:id="rId1265" xr:uid="{00000000-0004-0000-0000-0000F0040000}"/>
    <hyperlink ref="O468" r:id="rId1266" xr:uid="{00000000-0004-0000-0000-0000F1040000}"/>
    <hyperlink ref="D469" r:id="rId1267" xr:uid="{00000000-0004-0000-0000-0000F2040000}"/>
    <hyperlink ref="E469" r:id="rId1268" xr:uid="{00000000-0004-0000-0000-0000F3040000}"/>
    <hyperlink ref="O469" r:id="rId1269" xr:uid="{00000000-0004-0000-0000-0000F4040000}"/>
    <hyperlink ref="E470" r:id="rId1270" xr:uid="{00000000-0004-0000-0000-0000F5040000}"/>
    <hyperlink ref="O470" r:id="rId1271" xr:uid="{00000000-0004-0000-0000-0000F6040000}"/>
    <hyperlink ref="E471" r:id="rId1272" xr:uid="{00000000-0004-0000-0000-0000F7040000}"/>
    <hyperlink ref="O471" r:id="rId1273" xr:uid="{00000000-0004-0000-0000-0000F8040000}"/>
    <hyperlink ref="D472" r:id="rId1274" xr:uid="{00000000-0004-0000-0000-0000F9040000}"/>
    <hyperlink ref="E472" r:id="rId1275" xr:uid="{00000000-0004-0000-0000-0000FA040000}"/>
    <hyperlink ref="O472" r:id="rId1276" xr:uid="{00000000-0004-0000-0000-0000FB040000}"/>
    <hyperlink ref="E473" r:id="rId1277" xr:uid="{00000000-0004-0000-0000-0000FC040000}"/>
    <hyperlink ref="O473" r:id="rId1278" xr:uid="{00000000-0004-0000-0000-0000FD040000}"/>
    <hyperlink ref="D474" r:id="rId1279" xr:uid="{00000000-0004-0000-0000-0000FE040000}"/>
    <hyperlink ref="E474" r:id="rId1280" xr:uid="{00000000-0004-0000-0000-0000FF040000}"/>
    <hyperlink ref="O474" r:id="rId1281" xr:uid="{00000000-0004-0000-0000-000000050000}"/>
    <hyperlink ref="D475" r:id="rId1282" xr:uid="{00000000-0004-0000-0000-000001050000}"/>
    <hyperlink ref="E475" r:id="rId1283" xr:uid="{00000000-0004-0000-0000-000002050000}"/>
    <hyperlink ref="O475" r:id="rId1284" xr:uid="{00000000-0004-0000-0000-000003050000}"/>
    <hyperlink ref="E476" r:id="rId1285" xr:uid="{00000000-0004-0000-0000-000004050000}"/>
    <hyperlink ref="O476" r:id="rId1286" xr:uid="{00000000-0004-0000-0000-000005050000}"/>
    <hyperlink ref="E477" r:id="rId1287" xr:uid="{00000000-0004-0000-0000-000006050000}"/>
    <hyperlink ref="O477" r:id="rId1288" xr:uid="{00000000-0004-0000-0000-000007050000}"/>
    <hyperlink ref="E478" r:id="rId1289" xr:uid="{00000000-0004-0000-0000-000008050000}"/>
    <hyperlink ref="O478" r:id="rId1290" xr:uid="{00000000-0004-0000-0000-000009050000}"/>
    <hyperlink ref="E479" r:id="rId1291" xr:uid="{00000000-0004-0000-0000-00000A050000}"/>
    <hyperlink ref="O479" r:id="rId1292" xr:uid="{00000000-0004-0000-0000-00000B050000}"/>
    <hyperlink ref="D480" r:id="rId1293" xr:uid="{00000000-0004-0000-0000-00000C050000}"/>
    <hyperlink ref="E480" r:id="rId1294" xr:uid="{00000000-0004-0000-0000-00000D050000}"/>
    <hyperlink ref="O480" r:id="rId1295" xr:uid="{00000000-0004-0000-0000-00000E050000}"/>
    <hyperlink ref="D481" r:id="rId1296" xr:uid="{00000000-0004-0000-0000-00000F050000}"/>
    <hyperlink ref="E481" r:id="rId1297" xr:uid="{00000000-0004-0000-0000-000010050000}"/>
    <hyperlink ref="O481" r:id="rId1298" xr:uid="{00000000-0004-0000-0000-000011050000}"/>
    <hyperlink ref="D482" r:id="rId1299" xr:uid="{00000000-0004-0000-0000-000012050000}"/>
    <hyperlink ref="E482" r:id="rId1300" xr:uid="{00000000-0004-0000-0000-000013050000}"/>
    <hyperlink ref="O482" r:id="rId1301" xr:uid="{00000000-0004-0000-0000-000014050000}"/>
    <hyperlink ref="D483" r:id="rId1302" xr:uid="{00000000-0004-0000-0000-000015050000}"/>
    <hyperlink ref="E483" r:id="rId1303" xr:uid="{00000000-0004-0000-0000-000016050000}"/>
    <hyperlink ref="O483" r:id="rId1304" xr:uid="{00000000-0004-0000-0000-000017050000}"/>
    <hyperlink ref="E484" r:id="rId1305" xr:uid="{00000000-0004-0000-0000-000018050000}"/>
    <hyperlink ref="O484" r:id="rId1306" xr:uid="{00000000-0004-0000-0000-000019050000}"/>
    <hyperlink ref="E485" r:id="rId1307" xr:uid="{00000000-0004-0000-0000-00001A050000}"/>
    <hyperlink ref="O485" r:id="rId1308" xr:uid="{00000000-0004-0000-0000-00001B050000}"/>
    <hyperlink ref="D486" r:id="rId1309" xr:uid="{00000000-0004-0000-0000-00001C050000}"/>
    <hyperlink ref="E486" r:id="rId1310" xr:uid="{00000000-0004-0000-0000-00001D050000}"/>
    <hyperlink ref="O486" r:id="rId1311" xr:uid="{00000000-0004-0000-0000-00001E050000}"/>
    <hyperlink ref="D487" r:id="rId1312" xr:uid="{00000000-0004-0000-0000-00001F050000}"/>
    <hyperlink ref="E487" r:id="rId1313" xr:uid="{00000000-0004-0000-0000-000020050000}"/>
    <hyperlink ref="O487" r:id="rId1314" xr:uid="{00000000-0004-0000-0000-000021050000}"/>
    <hyperlink ref="E488" r:id="rId1315" xr:uid="{00000000-0004-0000-0000-000022050000}"/>
    <hyperlink ref="O488" r:id="rId1316" xr:uid="{00000000-0004-0000-0000-000023050000}"/>
    <hyperlink ref="E489" r:id="rId1317" xr:uid="{00000000-0004-0000-0000-000024050000}"/>
    <hyperlink ref="O489" r:id="rId1318" xr:uid="{00000000-0004-0000-0000-000025050000}"/>
    <hyperlink ref="D490" r:id="rId1319" xr:uid="{00000000-0004-0000-0000-000026050000}"/>
    <hyperlink ref="E490" r:id="rId1320" xr:uid="{00000000-0004-0000-0000-000027050000}"/>
    <hyperlink ref="O490" r:id="rId1321" xr:uid="{00000000-0004-0000-0000-000028050000}"/>
    <hyperlink ref="D491" r:id="rId1322" xr:uid="{00000000-0004-0000-0000-000029050000}"/>
    <hyperlink ref="E491" r:id="rId1323" xr:uid="{00000000-0004-0000-0000-00002A050000}"/>
    <hyperlink ref="O491" r:id="rId1324" xr:uid="{00000000-0004-0000-0000-00002B050000}"/>
    <hyperlink ref="D492" r:id="rId1325" xr:uid="{00000000-0004-0000-0000-00002C050000}"/>
    <hyperlink ref="E492" r:id="rId1326" xr:uid="{00000000-0004-0000-0000-00002D050000}"/>
    <hyperlink ref="O492" r:id="rId1327" xr:uid="{00000000-0004-0000-0000-00002E050000}"/>
    <hyperlink ref="E493" r:id="rId1328" xr:uid="{00000000-0004-0000-0000-00002F050000}"/>
    <hyperlink ref="O493" r:id="rId1329" xr:uid="{00000000-0004-0000-0000-000030050000}"/>
    <hyperlink ref="D494" r:id="rId1330" xr:uid="{00000000-0004-0000-0000-000031050000}"/>
    <hyperlink ref="E494" r:id="rId1331" xr:uid="{00000000-0004-0000-0000-000032050000}"/>
    <hyperlink ref="O494" r:id="rId1332" xr:uid="{00000000-0004-0000-0000-000033050000}"/>
    <hyperlink ref="E495" r:id="rId1333" xr:uid="{00000000-0004-0000-0000-000034050000}"/>
    <hyperlink ref="O495" r:id="rId1334" xr:uid="{00000000-0004-0000-0000-000035050000}"/>
    <hyperlink ref="D496" r:id="rId1335" xr:uid="{00000000-0004-0000-0000-000036050000}"/>
    <hyperlink ref="E496" r:id="rId1336" xr:uid="{00000000-0004-0000-0000-000037050000}"/>
    <hyperlink ref="O496" r:id="rId1337" xr:uid="{00000000-0004-0000-0000-000038050000}"/>
    <hyperlink ref="D497" r:id="rId1338" xr:uid="{00000000-0004-0000-0000-000039050000}"/>
    <hyperlink ref="E497" r:id="rId1339" xr:uid="{00000000-0004-0000-0000-00003A050000}"/>
    <hyperlink ref="O497" r:id="rId1340" xr:uid="{00000000-0004-0000-0000-00003B050000}"/>
    <hyperlink ref="D498" r:id="rId1341" xr:uid="{00000000-0004-0000-0000-00003C050000}"/>
    <hyperlink ref="E498" r:id="rId1342" xr:uid="{00000000-0004-0000-0000-00003D050000}"/>
    <hyperlink ref="O498" r:id="rId1343" xr:uid="{00000000-0004-0000-0000-00003E050000}"/>
    <hyperlink ref="D499" r:id="rId1344" xr:uid="{00000000-0004-0000-0000-00003F050000}"/>
    <hyperlink ref="E499" r:id="rId1345" xr:uid="{00000000-0004-0000-0000-000040050000}"/>
    <hyperlink ref="O499" r:id="rId1346" xr:uid="{00000000-0004-0000-0000-000041050000}"/>
    <hyperlink ref="D500" r:id="rId1347" xr:uid="{00000000-0004-0000-0000-000042050000}"/>
    <hyperlink ref="E500" r:id="rId1348" xr:uid="{00000000-0004-0000-0000-000043050000}"/>
    <hyperlink ref="O500" r:id="rId1349" xr:uid="{00000000-0004-0000-0000-000044050000}"/>
    <hyperlink ref="D501" r:id="rId1350" xr:uid="{00000000-0004-0000-0000-000045050000}"/>
    <hyperlink ref="E501" r:id="rId1351" xr:uid="{00000000-0004-0000-0000-000046050000}"/>
    <hyperlink ref="O501" r:id="rId1352" xr:uid="{00000000-0004-0000-0000-000047050000}"/>
    <hyperlink ref="D502" r:id="rId1353" xr:uid="{00000000-0004-0000-0000-000048050000}"/>
    <hyperlink ref="E502" r:id="rId1354" xr:uid="{00000000-0004-0000-0000-000049050000}"/>
    <hyperlink ref="O502" r:id="rId1355" xr:uid="{00000000-0004-0000-0000-00004A050000}"/>
    <hyperlink ref="D503" r:id="rId1356" xr:uid="{00000000-0004-0000-0000-00004B050000}"/>
    <hyperlink ref="E503" r:id="rId1357" xr:uid="{00000000-0004-0000-0000-00004C050000}"/>
    <hyperlink ref="O503" r:id="rId1358" xr:uid="{00000000-0004-0000-0000-00004D050000}"/>
    <hyperlink ref="D504" r:id="rId1359" xr:uid="{00000000-0004-0000-0000-00004E050000}"/>
    <hyperlink ref="E504" r:id="rId1360" xr:uid="{00000000-0004-0000-0000-00004F050000}"/>
    <hyperlink ref="O504" r:id="rId1361" xr:uid="{00000000-0004-0000-0000-000050050000}"/>
    <hyperlink ref="D505" r:id="rId1362" xr:uid="{00000000-0004-0000-0000-000051050000}"/>
    <hyperlink ref="E505" r:id="rId1363" xr:uid="{00000000-0004-0000-0000-000052050000}"/>
    <hyperlink ref="O505" r:id="rId1364" xr:uid="{00000000-0004-0000-0000-000053050000}"/>
    <hyperlink ref="E506" r:id="rId1365" xr:uid="{00000000-0004-0000-0000-000054050000}"/>
    <hyperlink ref="O506" r:id="rId1366" xr:uid="{00000000-0004-0000-0000-000055050000}"/>
    <hyperlink ref="E507" r:id="rId1367" xr:uid="{00000000-0004-0000-0000-000056050000}"/>
    <hyperlink ref="O507" r:id="rId1368" xr:uid="{00000000-0004-0000-0000-000057050000}"/>
    <hyperlink ref="E508" r:id="rId1369" xr:uid="{00000000-0004-0000-0000-000058050000}"/>
    <hyperlink ref="O508" r:id="rId1370" xr:uid="{00000000-0004-0000-0000-000059050000}"/>
    <hyperlink ref="D509" r:id="rId1371" xr:uid="{00000000-0004-0000-0000-00005A050000}"/>
    <hyperlink ref="E509" r:id="rId1372" xr:uid="{00000000-0004-0000-0000-00005B050000}"/>
    <hyperlink ref="O509" r:id="rId1373" xr:uid="{00000000-0004-0000-0000-00005C050000}"/>
    <hyperlink ref="E510" r:id="rId1374" xr:uid="{00000000-0004-0000-0000-00005D050000}"/>
    <hyperlink ref="O510" r:id="rId1375" xr:uid="{00000000-0004-0000-0000-00005E050000}"/>
    <hyperlink ref="D511" r:id="rId1376" xr:uid="{00000000-0004-0000-0000-00005F050000}"/>
    <hyperlink ref="E511" r:id="rId1377" xr:uid="{00000000-0004-0000-0000-000060050000}"/>
    <hyperlink ref="O511" r:id="rId1378" xr:uid="{00000000-0004-0000-0000-000061050000}"/>
    <hyperlink ref="D512" r:id="rId1379" xr:uid="{00000000-0004-0000-0000-000062050000}"/>
    <hyperlink ref="E512" r:id="rId1380" xr:uid="{00000000-0004-0000-0000-000063050000}"/>
    <hyperlink ref="O512" r:id="rId1381" xr:uid="{00000000-0004-0000-0000-000064050000}"/>
    <hyperlink ref="D513" r:id="rId1382" xr:uid="{00000000-0004-0000-0000-000065050000}"/>
    <hyperlink ref="E513" r:id="rId1383" xr:uid="{00000000-0004-0000-0000-000066050000}"/>
    <hyperlink ref="O513" r:id="rId1384" xr:uid="{00000000-0004-0000-0000-000067050000}"/>
    <hyperlink ref="D514" r:id="rId1385" xr:uid="{00000000-0004-0000-0000-000068050000}"/>
    <hyperlink ref="E514" r:id="rId1386" xr:uid="{00000000-0004-0000-0000-000069050000}"/>
    <hyperlink ref="O514" r:id="rId1387" xr:uid="{00000000-0004-0000-0000-00006A050000}"/>
    <hyperlink ref="D515" r:id="rId1388" xr:uid="{00000000-0004-0000-0000-00006B050000}"/>
    <hyperlink ref="E515" r:id="rId1389" xr:uid="{00000000-0004-0000-0000-00006C050000}"/>
    <hyperlink ref="O515" r:id="rId1390" xr:uid="{00000000-0004-0000-0000-00006D050000}"/>
    <hyperlink ref="D516" r:id="rId1391" xr:uid="{00000000-0004-0000-0000-00006E050000}"/>
    <hyperlink ref="E516" r:id="rId1392" xr:uid="{00000000-0004-0000-0000-00006F050000}"/>
    <hyperlink ref="O516" r:id="rId1393" xr:uid="{00000000-0004-0000-0000-000070050000}"/>
    <hyperlink ref="D517" r:id="rId1394" xr:uid="{00000000-0004-0000-0000-000071050000}"/>
    <hyperlink ref="E517" r:id="rId1395" xr:uid="{00000000-0004-0000-0000-000072050000}"/>
    <hyperlink ref="O517" r:id="rId1396" xr:uid="{00000000-0004-0000-0000-000073050000}"/>
    <hyperlink ref="D518" r:id="rId1397" xr:uid="{00000000-0004-0000-0000-000074050000}"/>
    <hyperlink ref="E518" r:id="rId1398" xr:uid="{00000000-0004-0000-0000-000075050000}"/>
    <hyperlink ref="O518" r:id="rId1399" xr:uid="{00000000-0004-0000-0000-000076050000}"/>
    <hyperlink ref="E519" r:id="rId1400" xr:uid="{00000000-0004-0000-0000-000077050000}"/>
    <hyperlink ref="O519" r:id="rId1401" xr:uid="{00000000-0004-0000-0000-000078050000}"/>
    <hyperlink ref="D520" r:id="rId1402" xr:uid="{00000000-0004-0000-0000-000079050000}"/>
    <hyperlink ref="E520" r:id="rId1403" xr:uid="{00000000-0004-0000-0000-00007A050000}"/>
    <hyperlink ref="O520" r:id="rId1404" xr:uid="{00000000-0004-0000-0000-00007B050000}"/>
    <hyperlink ref="D521" r:id="rId1405" xr:uid="{00000000-0004-0000-0000-00007C050000}"/>
    <hyperlink ref="E521" r:id="rId1406" xr:uid="{00000000-0004-0000-0000-00007D050000}"/>
    <hyperlink ref="O521" r:id="rId1407" xr:uid="{00000000-0004-0000-0000-00007E050000}"/>
    <hyperlink ref="E522" r:id="rId1408" xr:uid="{00000000-0004-0000-0000-00007F050000}"/>
    <hyperlink ref="O522" r:id="rId1409" xr:uid="{00000000-0004-0000-0000-000080050000}"/>
    <hyperlink ref="D523" r:id="rId1410" xr:uid="{00000000-0004-0000-0000-000081050000}"/>
    <hyperlink ref="E523" r:id="rId1411" xr:uid="{00000000-0004-0000-0000-000082050000}"/>
    <hyperlink ref="O523" r:id="rId1412" xr:uid="{00000000-0004-0000-0000-000083050000}"/>
    <hyperlink ref="D524" r:id="rId1413" xr:uid="{00000000-0004-0000-0000-000084050000}"/>
    <hyperlink ref="E524" r:id="rId1414" xr:uid="{00000000-0004-0000-0000-000085050000}"/>
    <hyperlink ref="O524" r:id="rId1415" xr:uid="{00000000-0004-0000-0000-000086050000}"/>
    <hyperlink ref="E525" r:id="rId1416" xr:uid="{00000000-0004-0000-0000-000087050000}"/>
    <hyperlink ref="O525" r:id="rId1417" xr:uid="{00000000-0004-0000-0000-000088050000}"/>
    <hyperlink ref="E526" r:id="rId1418" xr:uid="{00000000-0004-0000-0000-000089050000}"/>
    <hyperlink ref="O526" r:id="rId1419" xr:uid="{00000000-0004-0000-0000-00008A050000}"/>
    <hyperlink ref="D527" r:id="rId1420" xr:uid="{00000000-0004-0000-0000-00008B050000}"/>
    <hyperlink ref="E527" r:id="rId1421" xr:uid="{00000000-0004-0000-0000-00008C050000}"/>
    <hyperlink ref="O527" r:id="rId1422" xr:uid="{00000000-0004-0000-0000-00008D050000}"/>
    <hyperlink ref="D528" r:id="rId1423" xr:uid="{00000000-0004-0000-0000-00008E050000}"/>
    <hyperlink ref="E528" r:id="rId1424" xr:uid="{00000000-0004-0000-0000-00008F050000}"/>
    <hyperlink ref="O528" r:id="rId1425" xr:uid="{00000000-0004-0000-0000-000090050000}"/>
    <hyperlink ref="E529" r:id="rId1426" xr:uid="{00000000-0004-0000-0000-000091050000}"/>
    <hyperlink ref="O529" r:id="rId1427" xr:uid="{00000000-0004-0000-0000-000092050000}"/>
    <hyperlink ref="A530" r:id="rId1428" xr:uid="{00000000-0004-0000-0000-000093050000}"/>
    <hyperlink ref="E530" r:id="rId1429" xr:uid="{00000000-0004-0000-0000-000094050000}"/>
    <hyperlink ref="O530" r:id="rId1430" xr:uid="{00000000-0004-0000-0000-000095050000}"/>
    <hyperlink ref="E531" r:id="rId1431" xr:uid="{00000000-0004-0000-0000-000096050000}"/>
    <hyperlink ref="O531" r:id="rId1432" xr:uid="{00000000-0004-0000-0000-000097050000}"/>
    <hyperlink ref="E532" r:id="rId1433" xr:uid="{00000000-0004-0000-0000-000098050000}"/>
    <hyperlink ref="O532" r:id="rId1434" xr:uid="{00000000-0004-0000-0000-000099050000}"/>
    <hyperlink ref="E533" r:id="rId1435" xr:uid="{00000000-0004-0000-0000-00009A050000}"/>
    <hyperlink ref="O533" r:id="rId1436" xr:uid="{00000000-0004-0000-0000-00009B050000}"/>
    <hyperlink ref="D534" r:id="rId1437" xr:uid="{00000000-0004-0000-0000-00009C050000}"/>
    <hyperlink ref="E534" r:id="rId1438" xr:uid="{00000000-0004-0000-0000-00009D050000}"/>
    <hyperlink ref="O534" r:id="rId1439" xr:uid="{00000000-0004-0000-0000-00009E050000}"/>
    <hyperlink ref="D535" r:id="rId1440" xr:uid="{00000000-0004-0000-0000-00009F050000}"/>
    <hyperlink ref="E535" r:id="rId1441" xr:uid="{00000000-0004-0000-0000-0000A0050000}"/>
    <hyperlink ref="O535" r:id="rId1442" xr:uid="{00000000-0004-0000-0000-0000A1050000}"/>
    <hyperlink ref="D536" r:id="rId1443" xr:uid="{00000000-0004-0000-0000-0000A2050000}"/>
    <hyperlink ref="E536" r:id="rId1444" xr:uid="{00000000-0004-0000-0000-0000A3050000}"/>
    <hyperlink ref="O536" r:id="rId1445" xr:uid="{00000000-0004-0000-0000-0000A4050000}"/>
    <hyperlink ref="D537" r:id="rId1446" xr:uid="{00000000-0004-0000-0000-0000A5050000}"/>
    <hyperlink ref="E537" r:id="rId1447" xr:uid="{00000000-0004-0000-0000-0000A6050000}"/>
    <hyperlink ref="O537" r:id="rId1448" xr:uid="{00000000-0004-0000-0000-0000A7050000}"/>
    <hyperlink ref="D538" r:id="rId1449" xr:uid="{00000000-0004-0000-0000-0000A8050000}"/>
    <hyperlink ref="E538" r:id="rId1450" xr:uid="{00000000-0004-0000-0000-0000A9050000}"/>
    <hyperlink ref="O538" r:id="rId1451" xr:uid="{00000000-0004-0000-0000-0000AA050000}"/>
    <hyperlink ref="D539" r:id="rId1452" xr:uid="{00000000-0004-0000-0000-0000AB050000}"/>
    <hyperlink ref="E539" r:id="rId1453" xr:uid="{00000000-0004-0000-0000-0000AC050000}"/>
    <hyperlink ref="O539" r:id="rId1454" xr:uid="{00000000-0004-0000-0000-0000AD050000}"/>
    <hyperlink ref="D540" r:id="rId1455" xr:uid="{00000000-0004-0000-0000-0000AE050000}"/>
    <hyperlink ref="E540" r:id="rId1456" xr:uid="{00000000-0004-0000-0000-0000AF050000}"/>
    <hyperlink ref="O540" r:id="rId1457" xr:uid="{00000000-0004-0000-0000-0000B0050000}"/>
    <hyperlink ref="E541" r:id="rId1458" xr:uid="{00000000-0004-0000-0000-0000B1050000}"/>
    <hyperlink ref="O541" r:id="rId1459" xr:uid="{00000000-0004-0000-0000-0000B2050000}"/>
    <hyperlink ref="D542" r:id="rId1460" xr:uid="{00000000-0004-0000-0000-0000B3050000}"/>
    <hyperlink ref="E542" r:id="rId1461" xr:uid="{00000000-0004-0000-0000-0000B4050000}"/>
    <hyperlink ref="O542" r:id="rId1462" xr:uid="{00000000-0004-0000-0000-0000B5050000}"/>
    <hyperlink ref="D543" r:id="rId1463" xr:uid="{00000000-0004-0000-0000-0000B6050000}"/>
    <hyperlink ref="E543" r:id="rId1464" xr:uid="{00000000-0004-0000-0000-0000B7050000}"/>
    <hyperlink ref="O543" r:id="rId1465" xr:uid="{00000000-0004-0000-0000-0000B8050000}"/>
    <hyperlink ref="D544" r:id="rId1466" xr:uid="{00000000-0004-0000-0000-0000B9050000}"/>
    <hyperlink ref="E544" r:id="rId1467" xr:uid="{00000000-0004-0000-0000-0000BA050000}"/>
    <hyperlink ref="O544" r:id="rId1468" xr:uid="{00000000-0004-0000-0000-0000BB050000}"/>
    <hyperlink ref="E545" r:id="rId1469" xr:uid="{00000000-0004-0000-0000-0000BC050000}"/>
    <hyperlink ref="O545" r:id="rId1470" xr:uid="{00000000-0004-0000-0000-0000BD050000}"/>
    <hyperlink ref="D546" r:id="rId1471" xr:uid="{00000000-0004-0000-0000-0000BE050000}"/>
    <hyperlink ref="E546" r:id="rId1472" xr:uid="{00000000-0004-0000-0000-0000BF050000}"/>
    <hyperlink ref="O546" r:id="rId1473" xr:uid="{00000000-0004-0000-0000-0000C0050000}"/>
    <hyperlink ref="D547" r:id="rId1474" xr:uid="{00000000-0004-0000-0000-0000C1050000}"/>
    <hyperlink ref="E547" r:id="rId1475" xr:uid="{00000000-0004-0000-0000-0000C2050000}"/>
    <hyperlink ref="O547" r:id="rId1476" xr:uid="{00000000-0004-0000-0000-0000C3050000}"/>
    <hyperlink ref="D548" r:id="rId1477" xr:uid="{00000000-0004-0000-0000-0000C4050000}"/>
    <hyperlink ref="E548" r:id="rId1478" xr:uid="{00000000-0004-0000-0000-0000C5050000}"/>
    <hyperlink ref="O548" r:id="rId1479" xr:uid="{00000000-0004-0000-0000-0000C6050000}"/>
    <hyperlink ref="D549" r:id="rId1480" xr:uid="{00000000-0004-0000-0000-0000C7050000}"/>
    <hyperlink ref="E549" r:id="rId1481" xr:uid="{00000000-0004-0000-0000-0000C8050000}"/>
    <hyperlink ref="O549" r:id="rId1482" xr:uid="{00000000-0004-0000-0000-0000C9050000}"/>
    <hyperlink ref="D550" r:id="rId1483" xr:uid="{00000000-0004-0000-0000-0000CA050000}"/>
    <hyperlink ref="E550" r:id="rId1484" xr:uid="{00000000-0004-0000-0000-0000CB050000}"/>
    <hyperlink ref="O550" r:id="rId1485" xr:uid="{00000000-0004-0000-0000-0000CC050000}"/>
    <hyperlink ref="D551" r:id="rId1486" xr:uid="{00000000-0004-0000-0000-0000CD050000}"/>
    <hyperlink ref="E551" r:id="rId1487" xr:uid="{00000000-0004-0000-0000-0000CE050000}"/>
    <hyperlink ref="O551" r:id="rId1488" xr:uid="{00000000-0004-0000-0000-0000CF050000}"/>
    <hyperlink ref="E552" r:id="rId1489" xr:uid="{00000000-0004-0000-0000-0000D0050000}"/>
    <hyperlink ref="O552" r:id="rId1490" xr:uid="{00000000-0004-0000-0000-0000D1050000}"/>
    <hyperlink ref="D553" r:id="rId1491" xr:uid="{00000000-0004-0000-0000-0000D2050000}"/>
    <hyperlink ref="E553" r:id="rId1492" xr:uid="{00000000-0004-0000-0000-0000D3050000}"/>
    <hyperlink ref="O553" r:id="rId1493" xr:uid="{00000000-0004-0000-0000-0000D4050000}"/>
    <hyperlink ref="E554" r:id="rId1494" xr:uid="{00000000-0004-0000-0000-0000D5050000}"/>
    <hyperlink ref="O554" r:id="rId1495" xr:uid="{00000000-0004-0000-0000-0000D6050000}"/>
    <hyperlink ref="D555" r:id="rId1496" xr:uid="{00000000-0004-0000-0000-0000D7050000}"/>
    <hyperlink ref="E555" r:id="rId1497" xr:uid="{00000000-0004-0000-0000-0000D8050000}"/>
    <hyperlink ref="O555" r:id="rId1498" xr:uid="{00000000-0004-0000-0000-0000D9050000}"/>
    <hyperlink ref="D556" r:id="rId1499" xr:uid="{00000000-0004-0000-0000-0000DA050000}"/>
    <hyperlink ref="E556" r:id="rId1500" xr:uid="{00000000-0004-0000-0000-0000DB050000}"/>
    <hyperlink ref="O556" r:id="rId1501" xr:uid="{00000000-0004-0000-0000-0000DC050000}"/>
    <hyperlink ref="E557" r:id="rId1502" xr:uid="{00000000-0004-0000-0000-0000DD050000}"/>
    <hyperlink ref="O557" r:id="rId1503" xr:uid="{00000000-0004-0000-0000-0000DE050000}"/>
    <hyperlink ref="E558" r:id="rId1504" xr:uid="{00000000-0004-0000-0000-0000DF050000}"/>
    <hyperlink ref="O558" r:id="rId1505" xr:uid="{00000000-0004-0000-0000-0000E0050000}"/>
    <hyperlink ref="D559" r:id="rId1506" xr:uid="{00000000-0004-0000-0000-0000E1050000}"/>
    <hyperlink ref="E559" r:id="rId1507" xr:uid="{00000000-0004-0000-0000-0000E2050000}"/>
    <hyperlink ref="O559" r:id="rId1508" xr:uid="{00000000-0004-0000-0000-0000E3050000}"/>
    <hyperlink ref="D560" r:id="rId1509" xr:uid="{00000000-0004-0000-0000-0000E4050000}"/>
    <hyperlink ref="E560" r:id="rId1510" xr:uid="{00000000-0004-0000-0000-0000E5050000}"/>
    <hyperlink ref="O560" r:id="rId1511" xr:uid="{00000000-0004-0000-0000-0000E6050000}"/>
    <hyperlink ref="D561" r:id="rId1512" xr:uid="{00000000-0004-0000-0000-0000E7050000}"/>
    <hyperlink ref="E561" r:id="rId1513" xr:uid="{00000000-0004-0000-0000-0000E8050000}"/>
    <hyperlink ref="O561" r:id="rId1514" xr:uid="{00000000-0004-0000-0000-0000E9050000}"/>
    <hyperlink ref="D562" r:id="rId1515" xr:uid="{00000000-0004-0000-0000-0000EA050000}"/>
    <hyperlink ref="E562" r:id="rId1516" xr:uid="{00000000-0004-0000-0000-0000EB050000}"/>
    <hyperlink ref="O562" r:id="rId1517" xr:uid="{00000000-0004-0000-0000-0000EC050000}"/>
    <hyperlink ref="D563" r:id="rId1518" xr:uid="{00000000-0004-0000-0000-0000ED050000}"/>
    <hyperlink ref="E563" r:id="rId1519" xr:uid="{00000000-0004-0000-0000-0000EE050000}"/>
    <hyperlink ref="O563" r:id="rId1520" xr:uid="{00000000-0004-0000-0000-0000EF050000}"/>
    <hyperlink ref="D564" r:id="rId1521" xr:uid="{00000000-0004-0000-0000-0000F0050000}"/>
    <hyperlink ref="E564" r:id="rId1522" xr:uid="{00000000-0004-0000-0000-0000F1050000}"/>
    <hyperlink ref="O564" r:id="rId1523" xr:uid="{00000000-0004-0000-0000-0000F2050000}"/>
    <hyperlink ref="D565" r:id="rId1524" xr:uid="{00000000-0004-0000-0000-0000F3050000}"/>
    <hyperlink ref="E565" r:id="rId1525" xr:uid="{00000000-0004-0000-0000-0000F4050000}"/>
    <hyperlink ref="O565" r:id="rId1526" xr:uid="{00000000-0004-0000-0000-0000F5050000}"/>
    <hyperlink ref="D566" r:id="rId1527" xr:uid="{00000000-0004-0000-0000-0000F6050000}"/>
    <hyperlink ref="E566" r:id="rId1528" xr:uid="{00000000-0004-0000-0000-0000F7050000}"/>
    <hyperlink ref="O566" r:id="rId1529" xr:uid="{00000000-0004-0000-0000-0000F8050000}"/>
    <hyperlink ref="D567" r:id="rId1530" xr:uid="{00000000-0004-0000-0000-0000F9050000}"/>
    <hyperlink ref="E567" r:id="rId1531" xr:uid="{00000000-0004-0000-0000-0000FA050000}"/>
    <hyperlink ref="O567" r:id="rId1532" xr:uid="{00000000-0004-0000-0000-0000FB050000}"/>
    <hyperlink ref="D568" r:id="rId1533" xr:uid="{00000000-0004-0000-0000-0000FC050000}"/>
    <hyperlink ref="E568" r:id="rId1534" xr:uid="{00000000-0004-0000-0000-0000FD050000}"/>
    <hyperlink ref="O568" r:id="rId1535" xr:uid="{00000000-0004-0000-0000-0000FE050000}"/>
    <hyperlink ref="E569" r:id="rId1536" xr:uid="{00000000-0004-0000-0000-0000FF050000}"/>
    <hyperlink ref="O569" r:id="rId1537" xr:uid="{00000000-0004-0000-0000-000000060000}"/>
    <hyperlink ref="D570" r:id="rId1538" xr:uid="{00000000-0004-0000-0000-000001060000}"/>
    <hyperlink ref="E570" r:id="rId1539" xr:uid="{00000000-0004-0000-0000-000002060000}"/>
    <hyperlink ref="O570" r:id="rId1540" xr:uid="{00000000-0004-0000-0000-000003060000}"/>
    <hyperlink ref="D571" r:id="rId1541" xr:uid="{00000000-0004-0000-0000-000004060000}"/>
    <hyperlink ref="E571" r:id="rId1542" xr:uid="{00000000-0004-0000-0000-000005060000}"/>
    <hyperlink ref="O571" r:id="rId1543" xr:uid="{00000000-0004-0000-0000-000006060000}"/>
    <hyperlink ref="D572" r:id="rId1544" xr:uid="{00000000-0004-0000-0000-000007060000}"/>
    <hyperlink ref="E572" r:id="rId1545" xr:uid="{00000000-0004-0000-0000-000008060000}"/>
    <hyperlink ref="O572" r:id="rId1546" xr:uid="{00000000-0004-0000-0000-000009060000}"/>
    <hyperlink ref="D573" r:id="rId1547" xr:uid="{00000000-0004-0000-0000-00000A060000}"/>
    <hyperlink ref="E573" r:id="rId1548" xr:uid="{00000000-0004-0000-0000-00000B060000}"/>
    <hyperlink ref="O573" r:id="rId1549" xr:uid="{00000000-0004-0000-0000-00000C060000}"/>
    <hyperlink ref="D574" r:id="rId1550" xr:uid="{00000000-0004-0000-0000-00000D060000}"/>
    <hyperlink ref="E574" r:id="rId1551" xr:uid="{00000000-0004-0000-0000-00000E060000}"/>
    <hyperlink ref="O574" r:id="rId1552" xr:uid="{00000000-0004-0000-0000-00000F060000}"/>
    <hyperlink ref="D575" r:id="rId1553" xr:uid="{00000000-0004-0000-0000-000010060000}"/>
    <hyperlink ref="E575" r:id="rId1554" xr:uid="{00000000-0004-0000-0000-000011060000}"/>
    <hyperlink ref="O575" r:id="rId1555" xr:uid="{00000000-0004-0000-0000-000012060000}"/>
    <hyperlink ref="E576" r:id="rId1556" xr:uid="{00000000-0004-0000-0000-000013060000}"/>
    <hyperlink ref="O576" r:id="rId1557" xr:uid="{00000000-0004-0000-0000-000014060000}"/>
    <hyperlink ref="D577" r:id="rId1558" xr:uid="{00000000-0004-0000-0000-000015060000}"/>
    <hyperlink ref="E577" r:id="rId1559" xr:uid="{00000000-0004-0000-0000-000016060000}"/>
    <hyperlink ref="O577" r:id="rId1560" xr:uid="{00000000-0004-0000-0000-000017060000}"/>
    <hyperlink ref="D578" r:id="rId1561" xr:uid="{00000000-0004-0000-0000-000018060000}"/>
    <hyperlink ref="E578" r:id="rId1562" xr:uid="{00000000-0004-0000-0000-000019060000}"/>
    <hyperlink ref="O578" r:id="rId1563" xr:uid="{00000000-0004-0000-0000-00001A060000}"/>
    <hyperlink ref="D579" r:id="rId1564" xr:uid="{00000000-0004-0000-0000-00001B060000}"/>
    <hyperlink ref="E579" r:id="rId1565" xr:uid="{00000000-0004-0000-0000-00001C060000}"/>
    <hyperlink ref="O579" r:id="rId1566" xr:uid="{00000000-0004-0000-0000-00001D060000}"/>
    <hyperlink ref="D580" r:id="rId1567" xr:uid="{00000000-0004-0000-0000-00001E060000}"/>
    <hyperlink ref="E580" r:id="rId1568" xr:uid="{00000000-0004-0000-0000-00001F060000}"/>
    <hyperlink ref="O580" r:id="rId1569" xr:uid="{00000000-0004-0000-0000-000020060000}"/>
    <hyperlink ref="E581" r:id="rId1570" xr:uid="{00000000-0004-0000-0000-000021060000}"/>
    <hyperlink ref="O581" r:id="rId1571" xr:uid="{00000000-0004-0000-0000-000022060000}"/>
    <hyperlink ref="D582" r:id="rId1572" xr:uid="{00000000-0004-0000-0000-000023060000}"/>
    <hyperlink ref="E582" r:id="rId1573" xr:uid="{00000000-0004-0000-0000-000024060000}"/>
    <hyperlink ref="O582" r:id="rId1574" xr:uid="{00000000-0004-0000-0000-000025060000}"/>
    <hyperlink ref="D583" r:id="rId1575" xr:uid="{00000000-0004-0000-0000-000026060000}"/>
    <hyperlink ref="E583" r:id="rId1576" xr:uid="{00000000-0004-0000-0000-000027060000}"/>
    <hyperlink ref="O583" r:id="rId1577" xr:uid="{00000000-0004-0000-0000-000028060000}"/>
    <hyperlink ref="E584" r:id="rId1578" xr:uid="{00000000-0004-0000-0000-000029060000}"/>
    <hyperlink ref="O584" r:id="rId1579" xr:uid="{00000000-0004-0000-0000-00002A060000}"/>
    <hyperlink ref="D585" r:id="rId1580" xr:uid="{00000000-0004-0000-0000-00002B060000}"/>
    <hyperlink ref="E585" r:id="rId1581" xr:uid="{00000000-0004-0000-0000-00002C060000}"/>
    <hyperlink ref="O585" r:id="rId1582" xr:uid="{00000000-0004-0000-0000-00002D060000}"/>
    <hyperlink ref="D586" r:id="rId1583" xr:uid="{00000000-0004-0000-0000-00002E060000}"/>
    <hyperlink ref="E586" r:id="rId1584" xr:uid="{00000000-0004-0000-0000-00002F060000}"/>
    <hyperlink ref="O586" r:id="rId1585" xr:uid="{00000000-0004-0000-0000-000030060000}"/>
    <hyperlink ref="D587" r:id="rId1586" xr:uid="{00000000-0004-0000-0000-000031060000}"/>
    <hyperlink ref="E587" r:id="rId1587" xr:uid="{00000000-0004-0000-0000-000032060000}"/>
    <hyperlink ref="O587" r:id="rId1588" xr:uid="{00000000-0004-0000-0000-000033060000}"/>
    <hyperlink ref="E588" r:id="rId1589" xr:uid="{00000000-0004-0000-0000-000034060000}"/>
    <hyperlink ref="O588" r:id="rId1590" xr:uid="{00000000-0004-0000-0000-000035060000}"/>
    <hyperlink ref="D589" r:id="rId1591" xr:uid="{00000000-0004-0000-0000-000036060000}"/>
    <hyperlink ref="E589" r:id="rId1592" xr:uid="{00000000-0004-0000-0000-000037060000}"/>
    <hyperlink ref="O589" r:id="rId1593" xr:uid="{00000000-0004-0000-0000-000038060000}"/>
    <hyperlink ref="D590" r:id="rId1594" xr:uid="{00000000-0004-0000-0000-000039060000}"/>
    <hyperlink ref="E590" r:id="rId1595" xr:uid="{00000000-0004-0000-0000-00003A060000}"/>
    <hyperlink ref="O590" r:id="rId1596" xr:uid="{00000000-0004-0000-0000-00003B060000}"/>
    <hyperlink ref="D591" r:id="rId1597" xr:uid="{00000000-0004-0000-0000-00003C060000}"/>
    <hyperlink ref="E591" r:id="rId1598" xr:uid="{00000000-0004-0000-0000-00003D060000}"/>
    <hyperlink ref="O591" r:id="rId1599" xr:uid="{00000000-0004-0000-0000-00003E060000}"/>
    <hyperlink ref="D592" r:id="rId1600" xr:uid="{00000000-0004-0000-0000-00003F060000}"/>
    <hyperlink ref="E592" r:id="rId1601" xr:uid="{00000000-0004-0000-0000-000040060000}"/>
    <hyperlink ref="O592" r:id="rId1602" xr:uid="{00000000-0004-0000-0000-000041060000}"/>
    <hyperlink ref="D593" r:id="rId1603" xr:uid="{00000000-0004-0000-0000-000042060000}"/>
    <hyperlink ref="E593" r:id="rId1604" xr:uid="{00000000-0004-0000-0000-000043060000}"/>
    <hyperlink ref="O593" r:id="rId1605" xr:uid="{00000000-0004-0000-0000-000044060000}"/>
    <hyperlink ref="D594" r:id="rId1606" xr:uid="{00000000-0004-0000-0000-000045060000}"/>
    <hyperlink ref="E594" r:id="rId1607" xr:uid="{00000000-0004-0000-0000-000046060000}"/>
    <hyperlink ref="O594" r:id="rId1608" xr:uid="{00000000-0004-0000-0000-000047060000}"/>
    <hyperlink ref="D595" r:id="rId1609" xr:uid="{00000000-0004-0000-0000-000048060000}"/>
    <hyperlink ref="E595" r:id="rId1610" xr:uid="{00000000-0004-0000-0000-000049060000}"/>
    <hyperlink ref="O595" r:id="rId1611" xr:uid="{00000000-0004-0000-0000-00004A060000}"/>
    <hyperlink ref="D596" r:id="rId1612" xr:uid="{00000000-0004-0000-0000-00004B060000}"/>
    <hyperlink ref="E596" r:id="rId1613" xr:uid="{00000000-0004-0000-0000-00004C060000}"/>
    <hyperlink ref="O596" r:id="rId1614" xr:uid="{00000000-0004-0000-0000-00004D060000}"/>
    <hyperlink ref="D597" r:id="rId1615" xr:uid="{00000000-0004-0000-0000-00004E060000}"/>
    <hyperlink ref="E597" r:id="rId1616" xr:uid="{00000000-0004-0000-0000-00004F060000}"/>
    <hyperlink ref="O597" r:id="rId1617" xr:uid="{00000000-0004-0000-0000-000050060000}"/>
    <hyperlink ref="D598" r:id="rId1618" xr:uid="{00000000-0004-0000-0000-000051060000}"/>
    <hyperlink ref="E598" r:id="rId1619" xr:uid="{00000000-0004-0000-0000-000052060000}"/>
    <hyperlink ref="O598" r:id="rId1620" xr:uid="{00000000-0004-0000-0000-000053060000}"/>
    <hyperlink ref="E599" r:id="rId1621" xr:uid="{00000000-0004-0000-0000-000054060000}"/>
    <hyperlink ref="O599" r:id="rId1622" xr:uid="{00000000-0004-0000-0000-000055060000}"/>
    <hyperlink ref="D600" r:id="rId1623" xr:uid="{00000000-0004-0000-0000-000056060000}"/>
    <hyperlink ref="E600" r:id="rId1624" xr:uid="{00000000-0004-0000-0000-000057060000}"/>
    <hyperlink ref="O600" r:id="rId1625" xr:uid="{00000000-0004-0000-0000-000058060000}"/>
    <hyperlink ref="D601" r:id="rId1626" xr:uid="{00000000-0004-0000-0000-000059060000}"/>
    <hyperlink ref="E601" r:id="rId1627" xr:uid="{00000000-0004-0000-0000-00005A060000}"/>
    <hyperlink ref="O601" r:id="rId1628" xr:uid="{00000000-0004-0000-0000-00005B060000}"/>
    <hyperlink ref="D602" r:id="rId1629" xr:uid="{00000000-0004-0000-0000-00005C060000}"/>
    <hyperlink ref="E602" r:id="rId1630" xr:uid="{00000000-0004-0000-0000-00005D060000}"/>
    <hyperlink ref="O602" r:id="rId1631" xr:uid="{00000000-0004-0000-0000-00005E060000}"/>
    <hyperlink ref="D603" r:id="rId1632" xr:uid="{00000000-0004-0000-0000-00005F060000}"/>
    <hyperlink ref="E603" r:id="rId1633" xr:uid="{00000000-0004-0000-0000-000060060000}"/>
    <hyperlink ref="O603" r:id="rId1634" xr:uid="{00000000-0004-0000-0000-000061060000}"/>
    <hyperlink ref="D604" r:id="rId1635" xr:uid="{00000000-0004-0000-0000-000062060000}"/>
    <hyperlink ref="E604" r:id="rId1636" xr:uid="{00000000-0004-0000-0000-000063060000}"/>
    <hyperlink ref="O604" r:id="rId1637" xr:uid="{00000000-0004-0000-0000-000064060000}"/>
    <hyperlink ref="D605" r:id="rId1638" xr:uid="{00000000-0004-0000-0000-000065060000}"/>
    <hyperlink ref="E605" r:id="rId1639" xr:uid="{00000000-0004-0000-0000-000066060000}"/>
    <hyperlink ref="O605" r:id="rId1640" xr:uid="{00000000-0004-0000-0000-000067060000}"/>
    <hyperlink ref="D606" r:id="rId1641" xr:uid="{00000000-0004-0000-0000-000068060000}"/>
    <hyperlink ref="E606" r:id="rId1642" xr:uid="{00000000-0004-0000-0000-000069060000}"/>
    <hyperlink ref="O606" r:id="rId1643" xr:uid="{00000000-0004-0000-0000-00006A060000}"/>
    <hyperlink ref="D607" r:id="rId1644" xr:uid="{00000000-0004-0000-0000-00006B060000}"/>
    <hyperlink ref="E607" r:id="rId1645" xr:uid="{00000000-0004-0000-0000-00006C060000}"/>
    <hyperlink ref="O607" r:id="rId1646" xr:uid="{00000000-0004-0000-0000-00006D060000}"/>
    <hyperlink ref="D608" r:id="rId1647" xr:uid="{00000000-0004-0000-0000-00006E060000}"/>
    <hyperlink ref="E608" r:id="rId1648" xr:uid="{00000000-0004-0000-0000-00006F060000}"/>
    <hyperlink ref="O608" r:id="rId1649" xr:uid="{00000000-0004-0000-0000-000070060000}"/>
    <hyperlink ref="E609" r:id="rId1650" xr:uid="{00000000-0004-0000-0000-000071060000}"/>
    <hyperlink ref="O609" r:id="rId1651" xr:uid="{00000000-0004-0000-0000-000072060000}"/>
    <hyperlink ref="D610" r:id="rId1652" xr:uid="{00000000-0004-0000-0000-000073060000}"/>
    <hyperlink ref="E610" r:id="rId1653" xr:uid="{00000000-0004-0000-0000-000074060000}"/>
    <hyperlink ref="O610" r:id="rId1654" xr:uid="{00000000-0004-0000-0000-000075060000}"/>
    <hyperlink ref="D611" r:id="rId1655" xr:uid="{00000000-0004-0000-0000-000076060000}"/>
    <hyperlink ref="E611" r:id="rId1656" xr:uid="{00000000-0004-0000-0000-000077060000}"/>
    <hyperlink ref="O611" r:id="rId1657" xr:uid="{00000000-0004-0000-0000-000078060000}"/>
    <hyperlink ref="D612" r:id="rId1658" xr:uid="{00000000-0004-0000-0000-000079060000}"/>
    <hyperlink ref="E612" r:id="rId1659" xr:uid="{00000000-0004-0000-0000-00007A060000}"/>
    <hyperlink ref="O612" r:id="rId1660" xr:uid="{00000000-0004-0000-0000-00007B060000}"/>
    <hyperlink ref="D613" r:id="rId1661" xr:uid="{00000000-0004-0000-0000-00007C060000}"/>
    <hyperlink ref="E613" r:id="rId1662" xr:uid="{00000000-0004-0000-0000-00007D060000}"/>
    <hyperlink ref="O613" r:id="rId1663" xr:uid="{00000000-0004-0000-0000-00007E060000}"/>
    <hyperlink ref="D614" r:id="rId1664" xr:uid="{00000000-0004-0000-0000-00007F060000}"/>
    <hyperlink ref="E614" r:id="rId1665" xr:uid="{00000000-0004-0000-0000-000080060000}"/>
    <hyperlink ref="O614" r:id="rId1666" xr:uid="{00000000-0004-0000-0000-000081060000}"/>
    <hyperlink ref="D615" r:id="rId1667" xr:uid="{00000000-0004-0000-0000-000082060000}"/>
    <hyperlink ref="E615" r:id="rId1668" xr:uid="{00000000-0004-0000-0000-000083060000}"/>
    <hyperlink ref="O615" r:id="rId1669" xr:uid="{00000000-0004-0000-0000-000084060000}"/>
    <hyperlink ref="D616" r:id="rId1670" xr:uid="{00000000-0004-0000-0000-000085060000}"/>
    <hyperlink ref="E616" r:id="rId1671" xr:uid="{00000000-0004-0000-0000-000086060000}"/>
    <hyperlink ref="O616" r:id="rId1672" xr:uid="{00000000-0004-0000-0000-000087060000}"/>
    <hyperlink ref="D617" r:id="rId1673" xr:uid="{00000000-0004-0000-0000-000088060000}"/>
    <hyperlink ref="E617" r:id="rId1674" xr:uid="{00000000-0004-0000-0000-000089060000}"/>
    <hyperlink ref="O617" r:id="rId1675" xr:uid="{00000000-0004-0000-0000-00008A060000}"/>
    <hyperlink ref="D618" r:id="rId1676" xr:uid="{00000000-0004-0000-0000-00008B060000}"/>
    <hyperlink ref="E618" r:id="rId1677" xr:uid="{00000000-0004-0000-0000-00008C060000}"/>
    <hyperlink ref="O618" r:id="rId1678" xr:uid="{00000000-0004-0000-0000-00008D060000}"/>
    <hyperlink ref="E619" r:id="rId1679" xr:uid="{00000000-0004-0000-0000-00008E060000}"/>
    <hyperlink ref="O619" r:id="rId1680" xr:uid="{00000000-0004-0000-0000-00008F060000}"/>
    <hyperlink ref="E620" r:id="rId1681" xr:uid="{00000000-0004-0000-0000-000090060000}"/>
    <hyperlink ref="O620" r:id="rId1682" xr:uid="{00000000-0004-0000-0000-000091060000}"/>
    <hyperlink ref="E621" r:id="rId1683" xr:uid="{00000000-0004-0000-0000-000092060000}"/>
    <hyperlink ref="O621" r:id="rId1684" xr:uid="{00000000-0004-0000-0000-000093060000}"/>
    <hyperlink ref="E622" r:id="rId1685" xr:uid="{00000000-0004-0000-0000-000094060000}"/>
    <hyperlink ref="O622" r:id="rId1686" xr:uid="{00000000-0004-0000-0000-000095060000}"/>
    <hyperlink ref="D623" r:id="rId1687" xr:uid="{00000000-0004-0000-0000-000096060000}"/>
    <hyperlink ref="E623" r:id="rId1688" xr:uid="{00000000-0004-0000-0000-000097060000}"/>
    <hyperlink ref="O623" r:id="rId1689" xr:uid="{00000000-0004-0000-0000-000098060000}"/>
    <hyperlink ref="D624" r:id="rId1690" xr:uid="{00000000-0004-0000-0000-000099060000}"/>
    <hyperlink ref="E624" r:id="rId1691" xr:uid="{00000000-0004-0000-0000-00009A060000}"/>
    <hyperlink ref="O624" r:id="rId1692" xr:uid="{00000000-0004-0000-0000-00009B060000}"/>
    <hyperlink ref="D625" r:id="rId1693" xr:uid="{00000000-0004-0000-0000-00009C060000}"/>
    <hyperlink ref="E625" r:id="rId1694" xr:uid="{00000000-0004-0000-0000-00009D060000}"/>
    <hyperlink ref="O625" r:id="rId1695" xr:uid="{00000000-0004-0000-0000-00009E060000}"/>
    <hyperlink ref="D626" r:id="rId1696" xr:uid="{00000000-0004-0000-0000-00009F060000}"/>
    <hyperlink ref="E626" r:id="rId1697" xr:uid="{00000000-0004-0000-0000-0000A0060000}"/>
    <hyperlink ref="O626" r:id="rId1698" xr:uid="{00000000-0004-0000-0000-0000A1060000}"/>
    <hyperlink ref="E627" r:id="rId1699" xr:uid="{00000000-0004-0000-0000-0000A2060000}"/>
    <hyperlink ref="O627" r:id="rId1700" xr:uid="{00000000-0004-0000-0000-0000A3060000}"/>
    <hyperlink ref="D628" r:id="rId1701" xr:uid="{00000000-0004-0000-0000-0000A4060000}"/>
    <hyperlink ref="E628" r:id="rId1702" xr:uid="{00000000-0004-0000-0000-0000A5060000}"/>
    <hyperlink ref="O628" r:id="rId1703" xr:uid="{00000000-0004-0000-0000-0000A6060000}"/>
    <hyperlink ref="E629" r:id="rId1704" xr:uid="{00000000-0004-0000-0000-0000A7060000}"/>
    <hyperlink ref="O629" r:id="rId1705" xr:uid="{00000000-0004-0000-0000-0000A8060000}"/>
    <hyperlink ref="D630" r:id="rId1706" xr:uid="{00000000-0004-0000-0000-0000A9060000}"/>
    <hyperlink ref="E630" r:id="rId1707" xr:uid="{00000000-0004-0000-0000-0000AA060000}"/>
    <hyperlink ref="O630" r:id="rId1708" xr:uid="{00000000-0004-0000-0000-0000AB060000}"/>
    <hyperlink ref="D631" r:id="rId1709" xr:uid="{00000000-0004-0000-0000-0000AC060000}"/>
    <hyperlink ref="E631" r:id="rId1710" xr:uid="{00000000-0004-0000-0000-0000AD060000}"/>
    <hyperlink ref="O631" r:id="rId1711" xr:uid="{00000000-0004-0000-0000-0000AE060000}"/>
    <hyperlink ref="D632" r:id="rId1712" xr:uid="{00000000-0004-0000-0000-0000AF060000}"/>
    <hyperlink ref="E632" r:id="rId1713" xr:uid="{00000000-0004-0000-0000-0000B0060000}"/>
    <hyperlink ref="O632" r:id="rId1714" xr:uid="{00000000-0004-0000-0000-0000B1060000}"/>
    <hyperlink ref="E633" r:id="rId1715" xr:uid="{00000000-0004-0000-0000-0000B2060000}"/>
    <hyperlink ref="O633" r:id="rId1716" xr:uid="{00000000-0004-0000-0000-0000B3060000}"/>
    <hyperlink ref="E634" r:id="rId1717" xr:uid="{00000000-0004-0000-0000-0000B4060000}"/>
    <hyperlink ref="O634" r:id="rId1718" xr:uid="{00000000-0004-0000-0000-0000B5060000}"/>
    <hyperlink ref="D635" r:id="rId1719" xr:uid="{00000000-0004-0000-0000-0000B6060000}"/>
    <hyperlink ref="E635" r:id="rId1720" xr:uid="{00000000-0004-0000-0000-0000B7060000}"/>
    <hyperlink ref="O635" r:id="rId1721" xr:uid="{00000000-0004-0000-0000-0000B8060000}"/>
    <hyperlink ref="D636" r:id="rId1722" xr:uid="{00000000-0004-0000-0000-0000B9060000}"/>
    <hyperlink ref="E636" r:id="rId1723" xr:uid="{00000000-0004-0000-0000-0000BA060000}"/>
    <hyperlink ref="O636" r:id="rId1724" xr:uid="{00000000-0004-0000-0000-0000BB060000}"/>
    <hyperlink ref="E637" r:id="rId1725" xr:uid="{00000000-0004-0000-0000-0000BC060000}"/>
    <hyperlink ref="O637" r:id="rId1726" xr:uid="{00000000-0004-0000-0000-0000BD060000}"/>
    <hyperlink ref="D638" r:id="rId1727" xr:uid="{00000000-0004-0000-0000-0000BE060000}"/>
    <hyperlink ref="E638" r:id="rId1728" xr:uid="{00000000-0004-0000-0000-0000BF060000}"/>
    <hyperlink ref="O638" r:id="rId1729" xr:uid="{00000000-0004-0000-0000-0000C0060000}"/>
    <hyperlink ref="D639" r:id="rId1730" xr:uid="{00000000-0004-0000-0000-0000C1060000}"/>
    <hyperlink ref="E639" r:id="rId1731" xr:uid="{00000000-0004-0000-0000-0000C2060000}"/>
    <hyperlink ref="O639" r:id="rId1732" xr:uid="{00000000-0004-0000-0000-0000C3060000}"/>
    <hyperlink ref="D640" r:id="rId1733" xr:uid="{00000000-0004-0000-0000-0000C4060000}"/>
    <hyperlink ref="E640" r:id="rId1734" xr:uid="{00000000-0004-0000-0000-0000C5060000}"/>
    <hyperlink ref="O640" r:id="rId1735" xr:uid="{00000000-0004-0000-0000-0000C6060000}"/>
    <hyperlink ref="E641" r:id="rId1736" xr:uid="{00000000-0004-0000-0000-0000C7060000}"/>
    <hyperlink ref="O641" r:id="rId1737" xr:uid="{00000000-0004-0000-0000-0000C8060000}"/>
    <hyperlink ref="E642" r:id="rId1738" xr:uid="{00000000-0004-0000-0000-0000C9060000}"/>
    <hyperlink ref="O642" r:id="rId1739" xr:uid="{00000000-0004-0000-0000-0000CA060000}"/>
    <hyperlink ref="D643" r:id="rId1740" xr:uid="{00000000-0004-0000-0000-0000CB060000}"/>
    <hyperlink ref="E643" r:id="rId1741" xr:uid="{00000000-0004-0000-0000-0000CC060000}"/>
    <hyperlink ref="O643" r:id="rId1742" xr:uid="{00000000-0004-0000-0000-0000CD060000}"/>
    <hyperlink ref="D644" r:id="rId1743" xr:uid="{00000000-0004-0000-0000-0000CE060000}"/>
    <hyperlink ref="E644" r:id="rId1744" xr:uid="{00000000-0004-0000-0000-0000CF060000}"/>
    <hyperlink ref="O644" r:id="rId1745" xr:uid="{00000000-0004-0000-0000-0000D0060000}"/>
    <hyperlink ref="D645" r:id="rId1746" xr:uid="{00000000-0004-0000-0000-0000D1060000}"/>
    <hyperlink ref="E645" r:id="rId1747" xr:uid="{00000000-0004-0000-0000-0000D2060000}"/>
    <hyperlink ref="O645" r:id="rId1748" xr:uid="{00000000-0004-0000-0000-0000D3060000}"/>
    <hyperlink ref="D646" r:id="rId1749" xr:uid="{00000000-0004-0000-0000-0000D4060000}"/>
    <hyperlink ref="E646" r:id="rId1750" xr:uid="{00000000-0004-0000-0000-0000D5060000}"/>
    <hyperlink ref="O646" r:id="rId1751" xr:uid="{00000000-0004-0000-0000-0000D6060000}"/>
    <hyperlink ref="D647" r:id="rId1752" xr:uid="{00000000-0004-0000-0000-0000D7060000}"/>
    <hyperlink ref="E647" r:id="rId1753" xr:uid="{00000000-0004-0000-0000-0000D8060000}"/>
    <hyperlink ref="O647" r:id="rId1754" xr:uid="{00000000-0004-0000-0000-0000D9060000}"/>
    <hyperlink ref="E648" r:id="rId1755" xr:uid="{00000000-0004-0000-0000-0000DA060000}"/>
    <hyperlink ref="O648" r:id="rId1756" xr:uid="{00000000-0004-0000-0000-0000DB060000}"/>
    <hyperlink ref="E649" r:id="rId1757" xr:uid="{00000000-0004-0000-0000-0000DC060000}"/>
    <hyperlink ref="O649" r:id="rId1758" xr:uid="{00000000-0004-0000-0000-0000DD060000}"/>
    <hyperlink ref="D650" r:id="rId1759" xr:uid="{00000000-0004-0000-0000-0000DE060000}"/>
    <hyperlink ref="E650" r:id="rId1760" xr:uid="{00000000-0004-0000-0000-0000DF060000}"/>
    <hyperlink ref="O650" r:id="rId1761" xr:uid="{00000000-0004-0000-0000-0000E0060000}"/>
    <hyperlink ref="D651" r:id="rId1762" xr:uid="{00000000-0004-0000-0000-0000E1060000}"/>
    <hyperlink ref="E651" r:id="rId1763" xr:uid="{00000000-0004-0000-0000-0000E2060000}"/>
    <hyperlink ref="O651" r:id="rId1764" xr:uid="{00000000-0004-0000-0000-0000E3060000}"/>
    <hyperlink ref="D652" r:id="rId1765" xr:uid="{00000000-0004-0000-0000-0000E4060000}"/>
    <hyperlink ref="E652" r:id="rId1766" xr:uid="{00000000-0004-0000-0000-0000E5060000}"/>
    <hyperlink ref="O652" r:id="rId1767" xr:uid="{00000000-0004-0000-0000-0000E6060000}"/>
    <hyperlink ref="D653" r:id="rId1768" xr:uid="{00000000-0004-0000-0000-0000E7060000}"/>
    <hyperlink ref="E653" r:id="rId1769" xr:uid="{00000000-0004-0000-0000-0000E8060000}"/>
    <hyperlink ref="O653" r:id="rId1770" xr:uid="{00000000-0004-0000-0000-0000E9060000}"/>
    <hyperlink ref="E654" r:id="rId1771" xr:uid="{00000000-0004-0000-0000-0000EA060000}"/>
    <hyperlink ref="O654" r:id="rId1772" xr:uid="{00000000-0004-0000-0000-0000EB060000}"/>
    <hyperlink ref="E655" r:id="rId1773" xr:uid="{00000000-0004-0000-0000-0000EC060000}"/>
    <hyperlink ref="O655" r:id="rId1774" xr:uid="{00000000-0004-0000-0000-0000ED060000}"/>
    <hyperlink ref="E656" r:id="rId1775" xr:uid="{00000000-0004-0000-0000-0000EE060000}"/>
    <hyperlink ref="O656" r:id="rId1776" xr:uid="{00000000-0004-0000-0000-0000EF060000}"/>
    <hyperlink ref="D657" r:id="rId1777" xr:uid="{00000000-0004-0000-0000-0000F0060000}"/>
    <hyperlink ref="E657" r:id="rId1778" xr:uid="{00000000-0004-0000-0000-0000F1060000}"/>
    <hyperlink ref="O657" r:id="rId1779" xr:uid="{00000000-0004-0000-0000-0000F2060000}"/>
    <hyperlink ref="E658" r:id="rId1780" xr:uid="{00000000-0004-0000-0000-0000F3060000}"/>
    <hyperlink ref="O658" r:id="rId1781" xr:uid="{00000000-0004-0000-0000-0000F4060000}"/>
    <hyperlink ref="E659" r:id="rId1782" xr:uid="{00000000-0004-0000-0000-0000F5060000}"/>
    <hyperlink ref="O659" r:id="rId1783" xr:uid="{00000000-0004-0000-0000-0000F6060000}"/>
    <hyperlink ref="E660" r:id="rId1784" xr:uid="{00000000-0004-0000-0000-0000F7060000}"/>
    <hyperlink ref="O660" r:id="rId1785" xr:uid="{00000000-0004-0000-0000-0000F8060000}"/>
    <hyperlink ref="D661" r:id="rId1786" xr:uid="{00000000-0004-0000-0000-0000F9060000}"/>
    <hyperlink ref="E661" r:id="rId1787" xr:uid="{00000000-0004-0000-0000-0000FA060000}"/>
    <hyperlink ref="O661" r:id="rId1788" xr:uid="{00000000-0004-0000-0000-0000FB060000}"/>
    <hyperlink ref="D662" r:id="rId1789" xr:uid="{00000000-0004-0000-0000-0000FC060000}"/>
    <hyperlink ref="E662" r:id="rId1790" xr:uid="{00000000-0004-0000-0000-0000FD060000}"/>
    <hyperlink ref="O662" r:id="rId1791" xr:uid="{00000000-0004-0000-0000-0000FE060000}"/>
    <hyperlink ref="D663" r:id="rId1792" xr:uid="{00000000-0004-0000-0000-0000FF060000}"/>
    <hyperlink ref="E663" r:id="rId1793" xr:uid="{00000000-0004-0000-0000-000000070000}"/>
    <hyperlink ref="O663" r:id="rId1794" xr:uid="{00000000-0004-0000-0000-000001070000}"/>
    <hyperlink ref="D664" r:id="rId1795" xr:uid="{00000000-0004-0000-0000-000002070000}"/>
    <hyperlink ref="E664" r:id="rId1796" xr:uid="{00000000-0004-0000-0000-000003070000}"/>
    <hyperlink ref="O664" r:id="rId1797" xr:uid="{00000000-0004-0000-0000-000004070000}"/>
    <hyperlink ref="D665" r:id="rId1798" xr:uid="{00000000-0004-0000-0000-000005070000}"/>
    <hyperlink ref="E665" r:id="rId1799" xr:uid="{00000000-0004-0000-0000-000006070000}"/>
    <hyperlink ref="O665" r:id="rId1800" xr:uid="{00000000-0004-0000-0000-000007070000}"/>
    <hyperlink ref="E666" r:id="rId1801" xr:uid="{00000000-0004-0000-0000-000008070000}"/>
    <hyperlink ref="O666" r:id="rId1802" xr:uid="{00000000-0004-0000-0000-000009070000}"/>
    <hyperlink ref="E667" r:id="rId1803" xr:uid="{00000000-0004-0000-0000-00000A070000}"/>
    <hyperlink ref="O667" r:id="rId1804" xr:uid="{00000000-0004-0000-0000-00000B070000}"/>
    <hyperlink ref="E668" r:id="rId1805" xr:uid="{00000000-0004-0000-0000-00000C070000}"/>
    <hyperlink ref="O668" r:id="rId1806" xr:uid="{00000000-0004-0000-0000-00000D070000}"/>
    <hyperlink ref="D669" r:id="rId1807" xr:uid="{00000000-0004-0000-0000-00000E070000}"/>
    <hyperlink ref="E669" r:id="rId1808" xr:uid="{00000000-0004-0000-0000-00000F070000}"/>
    <hyperlink ref="O669" r:id="rId1809" xr:uid="{00000000-0004-0000-0000-000010070000}"/>
    <hyperlink ref="D670" r:id="rId1810" xr:uid="{00000000-0004-0000-0000-000011070000}"/>
    <hyperlink ref="E670" r:id="rId1811" xr:uid="{00000000-0004-0000-0000-000012070000}"/>
    <hyperlink ref="O670" r:id="rId1812" xr:uid="{00000000-0004-0000-0000-000013070000}"/>
    <hyperlink ref="D671" r:id="rId1813" xr:uid="{00000000-0004-0000-0000-000014070000}"/>
    <hyperlink ref="E671" r:id="rId1814" xr:uid="{00000000-0004-0000-0000-000015070000}"/>
    <hyperlink ref="O671" r:id="rId1815" xr:uid="{00000000-0004-0000-0000-000016070000}"/>
    <hyperlink ref="D672" r:id="rId1816" xr:uid="{00000000-0004-0000-0000-000017070000}"/>
    <hyperlink ref="E672" r:id="rId1817" xr:uid="{00000000-0004-0000-0000-000018070000}"/>
    <hyperlink ref="O672" r:id="rId1818" xr:uid="{00000000-0004-0000-0000-000019070000}"/>
    <hyperlink ref="D673" r:id="rId1819" xr:uid="{00000000-0004-0000-0000-00001A070000}"/>
    <hyperlink ref="E673" r:id="rId1820" xr:uid="{00000000-0004-0000-0000-00001B070000}"/>
    <hyperlink ref="O673" r:id="rId1821" xr:uid="{00000000-0004-0000-0000-00001C070000}"/>
    <hyperlink ref="D674" r:id="rId1822" xr:uid="{00000000-0004-0000-0000-00001D070000}"/>
    <hyperlink ref="E674" r:id="rId1823" xr:uid="{00000000-0004-0000-0000-00001E070000}"/>
    <hyperlink ref="O674" r:id="rId1824" xr:uid="{00000000-0004-0000-0000-00001F070000}"/>
    <hyperlink ref="D675" r:id="rId1825" xr:uid="{00000000-0004-0000-0000-000020070000}"/>
    <hyperlink ref="E675" r:id="rId1826" xr:uid="{00000000-0004-0000-0000-000021070000}"/>
    <hyperlink ref="O675" r:id="rId1827" xr:uid="{00000000-0004-0000-0000-000022070000}"/>
    <hyperlink ref="D676" r:id="rId1828" xr:uid="{00000000-0004-0000-0000-000023070000}"/>
    <hyperlink ref="E676" r:id="rId1829" xr:uid="{00000000-0004-0000-0000-000024070000}"/>
    <hyperlink ref="O676" r:id="rId1830" xr:uid="{00000000-0004-0000-0000-000025070000}"/>
    <hyperlink ref="D677" r:id="rId1831" xr:uid="{00000000-0004-0000-0000-000026070000}"/>
    <hyperlink ref="E677" r:id="rId1832" xr:uid="{00000000-0004-0000-0000-000027070000}"/>
    <hyperlink ref="O677" r:id="rId1833" xr:uid="{00000000-0004-0000-0000-000028070000}"/>
    <hyperlink ref="D678" r:id="rId1834" xr:uid="{00000000-0004-0000-0000-000029070000}"/>
    <hyperlink ref="E678" r:id="rId1835" xr:uid="{00000000-0004-0000-0000-00002A070000}"/>
    <hyperlink ref="O678" r:id="rId1836" xr:uid="{00000000-0004-0000-0000-00002B070000}"/>
    <hyperlink ref="D679" r:id="rId1837" xr:uid="{00000000-0004-0000-0000-00002C070000}"/>
    <hyperlink ref="E679" r:id="rId1838" xr:uid="{00000000-0004-0000-0000-00002D070000}"/>
    <hyperlink ref="O679" r:id="rId1839" xr:uid="{00000000-0004-0000-0000-00002E070000}"/>
    <hyperlink ref="D680" r:id="rId1840" xr:uid="{00000000-0004-0000-0000-00002F070000}"/>
    <hyperlink ref="E680" r:id="rId1841" xr:uid="{00000000-0004-0000-0000-000030070000}"/>
    <hyperlink ref="O680" r:id="rId1842" xr:uid="{00000000-0004-0000-0000-000031070000}"/>
    <hyperlink ref="D681" r:id="rId1843" xr:uid="{00000000-0004-0000-0000-000032070000}"/>
    <hyperlink ref="E681" r:id="rId1844" xr:uid="{00000000-0004-0000-0000-000033070000}"/>
    <hyperlink ref="O681" r:id="rId1845" xr:uid="{00000000-0004-0000-0000-000034070000}"/>
    <hyperlink ref="D682" r:id="rId1846" xr:uid="{00000000-0004-0000-0000-000035070000}"/>
    <hyperlink ref="E682" r:id="rId1847" xr:uid="{00000000-0004-0000-0000-000036070000}"/>
    <hyperlink ref="O682" r:id="rId1848" xr:uid="{00000000-0004-0000-0000-000037070000}"/>
    <hyperlink ref="D683" r:id="rId1849" xr:uid="{00000000-0004-0000-0000-000038070000}"/>
    <hyperlink ref="E683" r:id="rId1850" xr:uid="{00000000-0004-0000-0000-000039070000}"/>
    <hyperlink ref="O683" r:id="rId1851" xr:uid="{00000000-0004-0000-0000-00003A070000}"/>
    <hyperlink ref="D684" r:id="rId1852" xr:uid="{00000000-0004-0000-0000-00003B070000}"/>
    <hyperlink ref="E684" r:id="rId1853" xr:uid="{00000000-0004-0000-0000-00003C070000}"/>
    <hyperlink ref="O684" r:id="rId1854" xr:uid="{00000000-0004-0000-0000-00003D070000}"/>
    <hyperlink ref="D685" r:id="rId1855" xr:uid="{00000000-0004-0000-0000-00003E070000}"/>
    <hyperlink ref="E685" r:id="rId1856" xr:uid="{00000000-0004-0000-0000-00003F070000}"/>
    <hyperlink ref="O685" r:id="rId1857" xr:uid="{00000000-0004-0000-0000-000040070000}"/>
    <hyperlink ref="D686" r:id="rId1858" xr:uid="{00000000-0004-0000-0000-000041070000}"/>
    <hyperlink ref="E686" r:id="rId1859" xr:uid="{00000000-0004-0000-0000-000042070000}"/>
    <hyperlink ref="O686" r:id="rId1860" xr:uid="{00000000-0004-0000-0000-000043070000}"/>
    <hyperlink ref="D687" r:id="rId1861" xr:uid="{00000000-0004-0000-0000-000044070000}"/>
    <hyperlink ref="E687" r:id="rId1862" xr:uid="{00000000-0004-0000-0000-000045070000}"/>
    <hyperlink ref="O687" r:id="rId1863" xr:uid="{00000000-0004-0000-0000-000046070000}"/>
    <hyperlink ref="D688" r:id="rId1864" xr:uid="{00000000-0004-0000-0000-000047070000}"/>
    <hyperlink ref="E688" r:id="rId1865" xr:uid="{00000000-0004-0000-0000-000048070000}"/>
    <hyperlink ref="O688" r:id="rId1866" xr:uid="{00000000-0004-0000-0000-000049070000}"/>
    <hyperlink ref="D689" r:id="rId1867" xr:uid="{00000000-0004-0000-0000-00004A070000}"/>
    <hyperlink ref="E689" r:id="rId1868" xr:uid="{00000000-0004-0000-0000-00004B070000}"/>
    <hyperlink ref="O689" r:id="rId1869" xr:uid="{00000000-0004-0000-0000-00004C070000}"/>
    <hyperlink ref="D690" r:id="rId1870" xr:uid="{00000000-0004-0000-0000-00004D070000}"/>
    <hyperlink ref="E690" r:id="rId1871" xr:uid="{00000000-0004-0000-0000-00004E070000}"/>
    <hyperlink ref="O690" r:id="rId1872" xr:uid="{00000000-0004-0000-0000-00004F070000}"/>
    <hyperlink ref="D691" r:id="rId1873" xr:uid="{00000000-0004-0000-0000-000050070000}"/>
    <hyperlink ref="E691" r:id="rId1874" xr:uid="{00000000-0004-0000-0000-000051070000}"/>
    <hyperlink ref="O691" r:id="rId1875" xr:uid="{00000000-0004-0000-0000-000052070000}"/>
    <hyperlink ref="D692" r:id="rId1876" xr:uid="{00000000-0004-0000-0000-000053070000}"/>
    <hyperlink ref="E692" r:id="rId1877" xr:uid="{00000000-0004-0000-0000-000054070000}"/>
    <hyperlink ref="O692" r:id="rId1878" xr:uid="{00000000-0004-0000-0000-000055070000}"/>
    <hyperlink ref="D693" r:id="rId1879" xr:uid="{00000000-0004-0000-0000-000056070000}"/>
    <hyperlink ref="E693" r:id="rId1880" xr:uid="{00000000-0004-0000-0000-000057070000}"/>
    <hyperlink ref="O693" r:id="rId1881" xr:uid="{00000000-0004-0000-0000-000058070000}"/>
    <hyperlink ref="D694" r:id="rId1882" xr:uid="{00000000-0004-0000-0000-000059070000}"/>
    <hyperlink ref="E694" r:id="rId1883" xr:uid="{00000000-0004-0000-0000-00005A070000}"/>
    <hyperlink ref="O694" r:id="rId1884" xr:uid="{00000000-0004-0000-0000-00005B070000}"/>
    <hyperlink ref="D695" r:id="rId1885" xr:uid="{00000000-0004-0000-0000-00005C070000}"/>
    <hyperlink ref="E695" r:id="rId1886" xr:uid="{00000000-0004-0000-0000-00005D070000}"/>
    <hyperlink ref="O695" r:id="rId1887" xr:uid="{00000000-0004-0000-0000-00005E070000}"/>
    <hyperlink ref="D696" r:id="rId1888" xr:uid="{00000000-0004-0000-0000-00005F070000}"/>
    <hyperlink ref="E696" r:id="rId1889" xr:uid="{00000000-0004-0000-0000-000060070000}"/>
    <hyperlink ref="O696" r:id="rId1890" xr:uid="{00000000-0004-0000-0000-000061070000}"/>
    <hyperlink ref="E697" r:id="rId1891" xr:uid="{00000000-0004-0000-0000-000062070000}"/>
    <hyperlink ref="O697" r:id="rId1892" xr:uid="{00000000-0004-0000-0000-000063070000}"/>
    <hyperlink ref="D698" r:id="rId1893" xr:uid="{00000000-0004-0000-0000-000064070000}"/>
    <hyperlink ref="E698" r:id="rId1894" xr:uid="{00000000-0004-0000-0000-000065070000}"/>
    <hyperlink ref="O698" r:id="rId1895" xr:uid="{00000000-0004-0000-0000-000066070000}"/>
    <hyperlink ref="E699" r:id="rId1896" xr:uid="{00000000-0004-0000-0000-000067070000}"/>
    <hyperlink ref="O699" r:id="rId1897" xr:uid="{00000000-0004-0000-0000-000068070000}"/>
    <hyperlink ref="E700" r:id="rId1898" xr:uid="{00000000-0004-0000-0000-000069070000}"/>
    <hyperlink ref="O700" r:id="rId1899" xr:uid="{00000000-0004-0000-0000-00006A070000}"/>
    <hyperlink ref="D701" r:id="rId1900" xr:uid="{00000000-0004-0000-0000-00006B070000}"/>
    <hyperlink ref="E701" r:id="rId1901" xr:uid="{00000000-0004-0000-0000-00006C070000}"/>
    <hyperlink ref="O701" r:id="rId1902" xr:uid="{00000000-0004-0000-0000-00006D070000}"/>
    <hyperlink ref="D702" r:id="rId1903" xr:uid="{00000000-0004-0000-0000-00006E070000}"/>
    <hyperlink ref="E702" r:id="rId1904" xr:uid="{00000000-0004-0000-0000-00006F070000}"/>
    <hyperlink ref="O702" r:id="rId1905" xr:uid="{00000000-0004-0000-0000-000070070000}"/>
    <hyperlink ref="E703" r:id="rId1906" xr:uid="{00000000-0004-0000-0000-000071070000}"/>
    <hyperlink ref="O703" r:id="rId1907" xr:uid="{00000000-0004-0000-0000-000072070000}"/>
    <hyperlink ref="D704" r:id="rId1908" xr:uid="{00000000-0004-0000-0000-000073070000}"/>
    <hyperlink ref="E704" r:id="rId1909" xr:uid="{00000000-0004-0000-0000-000074070000}"/>
    <hyperlink ref="O704" r:id="rId1910" xr:uid="{00000000-0004-0000-0000-000075070000}"/>
    <hyperlink ref="E705" r:id="rId1911" xr:uid="{00000000-0004-0000-0000-000076070000}"/>
    <hyperlink ref="O705" r:id="rId1912" xr:uid="{00000000-0004-0000-0000-000077070000}"/>
    <hyperlink ref="E706" r:id="rId1913" xr:uid="{00000000-0004-0000-0000-000078070000}"/>
    <hyperlink ref="O706" r:id="rId1914" xr:uid="{00000000-0004-0000-0000-000079070000}"/>
    <hyperlink ref="D707" r:id="rId1915" xr:uid="{00000000-0004-0000-0000-00007A070000}"/>
    <hyperlink ref="E707" r:id="rId1916" xr:uid="{00000000-0004-0000-0000-00007B070000}"/>
    <hyperlink ref="O707" r:id="rId1917" xr:uid="{00000000-0004-0000-0000-00007C070000}"/>
    <hyperlink ref="E708" r:id="rId1918" xr:uid="{00000000-0004-0000-0000-00007D070000}"/>
    <hyperlink ref="O708" r:id="rId1919" xr:uid="{00000000-0004-0000-0000-00007E070000}"/>
    <hyperlink ref="E709" r:id="rId1920" xr:uid="{00000000-0004-0000-0000-00007F070000}"/>
    <hyperlink ref="O709" r:id="rId1921" xr:uid="{00000000-0004-0000-0000-000080070000}"/>
    <hyperlink ref="D710" r:id="rId1922" xr:uid="{00000000-0004-0000-0000-000081070000}"/>
    <hyperlink ref="E710" r:id="rId1923" xr:uid="{00000000-0004-0000-0000-000082070000}"/>
    <hyperlink ref="O710" r:id="rId1924" xr:uid="{00000000-0004-0000-0000-000083070000}"/>
    <hyperlink ref="D711" r:id="rId1925" xr:uid="{00000000-0004-0000-0000-000084070000}"/>
    <hyperlink ref="E711" r:id="rId1926" xr:uid="{00000000-0004-0000-0000-000085070000}"/>
    <hyperlink ref="O711" r:id="rId1927" xr:uid="{00000000-0004-0000-0000-000086070000}"/>
    <hyperlink ref="D712" r:id="rId1928" xr:uid="{00000000-0004-0000-0000-000087070000}"/>
    <hyperlink ref="E712" r:id="rId1929" xr:uid="{00000000-0004-0000-0000-000088070000}"/>
    <hyperlink ref="O712" r:id="rId1930" xr:uid="{00000000-0004-0000-0000-000089070000}"/>
    <hyperlink ref="E713" r:id="rId1931" xr:uid="{00000000-0004-0000-0000-00008A070000}"/>
    <hyperlink ref="O713" r:id="rId1932" xr:uid="{00000000-0004-0000-0000-00008B070000}"/>
    <hyperlink ref="E714" r:id="rId1933" xr:uid="{00000000-0004-0000-0000-00008C070000}"/>
    <hyperlink ref="O714" r:id="rId1934" xr:uid="{00000000-0004-0000-0000-00008D070000}"/>
    <hyperlink ref="D715" r:id="rId1935" xr:uid="{00000000-0004-0000-0000-00008E070000}"/>
    <hyperlink ref="E715" r:id="rId1936" xr:uid="{00000000-0004-0000-0000-00008F070000}"/>
    <hyperlink ref="O715" r:id="rId1937" xr:uid="{00000000-0004-0000-0000-000090070000}"/>
    <hyperlink ref="E716" r:id="rId1938" xr:uid="{00000000-0004-0000-0000-000091070000}"/>
    <hyperlink ref="O716" r:id="rId1939" xr:uid="{00000000-0004-0000-0000-000092070000}"/>
    <hyperlink ref="D717" r:id="rId1940" xr:uid="{00000000-0004-0000-0000-000093070000}"/>
    <hyperlink ref="E717" r:id="rId1941" xr:uid="{00000000-0004-0000-0000-000094070000}"/>
    <hyperlink ref="O717" r:id="rId1942" xr:uid="{00000000-0004-0000-0000-000095070000}"/>
    <hyperlink ref="D718" r:id="rId1943" xr:uid="{00000000-0004-0000-0000-000096070000}"/>
    <hyperlink ref="E718" r:id="rId1944" xr:uid="{00000000-0004-0000-0000-000097070000}"/>
    <hyperlink ref="O718" r:id="rId1945" xr:uid="{00000000-0004-0000-0000-000098070000}"/>
    <hyperlink ref="D719" r:id="rId1946" xr:uid="{00000000-0004-0000-0000-000099070000}"/>
    <hyperlink ref="E719" r:id="rId1947" xr:uid="{00000000-0004-0000-0000-00009A070000}"/>
    <hyperlink ref="O719" r:id="rId1948" xr:uid="{00000000-0004-0000-0000-00009B070000}"/>
    <hyperlink ref="D720" r:id="rId1949" xr:uid="{00000000-0004-0000-0000-00009C070000}"/>
    <hyperlink ref="E720" r:id="rId1950" xr:uid="{00000000-0004-0000-0000-00009D070000}"/>
    <hyperlink ref="O720" r:id="rId1951" xr:uid="{00000000-0004-0000-0000-00009E070000}"/>
    <hyperlink ref="D721" r:id="rId1952" xr:uid="{00000000-0004-0000-0000-00009F070000}"/>
    <hyperlink ref="E721" r:id="rId1953" xr:uid="{00000000-0004-0000-0000-0000A0070000}"/>
    <hyperlink ref="O721" r:id="rId1954" xr:uid="{00000000-0004-0000-0000-0000A1070000}"/>
    <hyperlink ref="D722" r:id="rId1955" xr:uid="{00000000-0004-0000-0000-0000A2070000}"/>
    <hyperlink ref="E722" r:id="rId1956" xr:uid="{00000000-0004-0000-0000-0000A3070000}"/>
    <hyperlink ref="O722" r:id="rId1957" xr:uid="{00000000-0004-0000-0000-0000A4070000}"/>
    <hyperlink ref="D723" r:id="rId1958" xr:uid="{00000000-0004-0000-0000-0000A5070000}"/>
    <hyperlink ref="E723" r:id="rId1959" xr:uid="{00000000-0004-0000-0000-0000A6070000}"/>
    <hyperlink ref="O723" r:id="rId1960" xr:uid="{00000000-0004-0000-0000-0000A7070000}"/>
    <hyperlink ref="D724" r:id="rId1961" xr:uid="{00000000-0004-0000-0000-0000A8070000}"/>
    <hyperlink ref="E724" r:id="rId1962" xr:uid="{00000000-0004-0000-0000-0000A9070000}"/>
    <hyperlink ref="O724" r:id="rId1963" xr:uid="{00000000-0004-0000-0000-0000AA070000}"/>
    <hyperlink ref="D725" r:id="rId1964" xr:uid="{00000000-0004-0000-0000-0000AB070000}"/>
    <hyperlink ref="E725" r:id="rId1965" xr:uid="{00000000-0004-0000-0000-0000AC070000}"/>
    <hyperlink ref="O725" r:id="rId1966" xr:uid="{00000000-0004-0000-0000-0000AD070000}"/>
    <hyperlink ref="E726" r:id="rId1967" xr:uid="{00000000-0004-0000-0000-0000AE070000}"/>
    <hyperlink ref="O726" r:id="rId1968" xr:uid="{00000000-0004-0000-0000-0000AF070000}"/>
    <hyperlink ref="D727" r:id="rId1969" xr:uid="{00000000-0004-0000-0000-0000B0070000}"/>
    <hyperlink ref="E727" r:id="rId1970" xr:uid="{00000000-0004-0000-0000-0000B1070000}"/>
    <hyperlink ref="O727" r:id="rId1971" xr:uid="{00000000-0004-0000-0000-0000B2070000}"/>
    <hyperlink ref="D728" r:id="rId1972" xr:uid="{00000000-0004-0000-0000-0000B3070000}"/>
    <hyperlink ref="E728" r:id="rId1973" xr:uid="{00000000-0004-0000-0000-0000B4070000}"/>
    <hyperlink ref="O728" r:id="rId1974" xr:uid="{00000000-0004-0000-0000-0000B5070000}"/>
    <hyperlink ref="D729" r:id="rId1975" xr:uid="{00000000-0004-0000-0000-0000B6070000}"/>
    <hyperlink ref="E729" r:id="rId1976" xr:uid="{00000000-0004-0000-0000-0000B7070000}"/>
    <hyperlink ref="O729" r:id="rId1977" xr:uid="{00000000-0004-0000-0000-0000B8070000}"/>
    <hyperlink ref="D730" r:id="rId1978" xr:uid="{00000000-0004-0000-0000-0000B9070000}"/>
    <hyperlink ref="E730" r:id="rId1979" xr:uid="{00000000-0004-0000-0000-0000BA070000}"/>
    <hyperlink ref="O730" r:id="rId1980" xr:uid="{00000000-0004-0000-0000-0000BB070000}"/>
    <hyperlink ref="D731" r:id="rId1981" xr:uid="{00000000-0004-0000-0000-0000BC070000}"/>
    <hyperlink ref="E731" r:id="rId1982" xr:uid="{00000000-0004-0000-0000-0000BD070000}"/>
    <hyperlink ref="O731" r:id="rId1983" xr:uid="{00000000-0004-0000-0000-0000BE070000}"/>
    <hyperlink ref="D732" r:id="rId1984" xr:uid="{00000000-0004-0000-0000-0000BF070000}"/>
    <hyperlink ref="E732" r:id="rId1985" xr:uid="{00000000-0004-0000-0000-0000C0070000}"/>
    <hyperlink ref="O732" r:id="rId1986" xr:uid="{00000000-0004-0000-0000-0000C1070000}"/>
    <hyperlink ref="D733" r:id="rId1987" xr:uid="{00000000-0004-0000-0000-0000C2070000}"/>
    <hyperlink ref="E733" r:id="rId1988" xr:uid="{00000000-0004-0000-0000-0000C3070000}"/>
    <hyperlink ref="O733" r:id="rId1989" xr:uid="{00000000-0004-0000-0000-0000C4070000}"/>
    <hyperlink ref="D734" r:id="rId1990" xr:uid="{00000000-0004-0000-0000-0000C5070000}"/>
    <hyperlink ref="E734" r:id="rId1991" xr:uid="{00000000-0004-0000-0000-0000C6070000}"/>
    <hyperlink ref="O734" r:id="rId1992" xr:uid="{00000000-0004-0000-0000-0000C7070000}"/>
    <hyperlink ref="D735" r:id="rId1993" xr:uid="{00000000-0004-0000-0000-0000C8070000}"/>
    <hyperlink ref="E735" r:id="rId1994" xr:uid="{00000000-0004-0000-0000-0000C9070000}"/>
    <hyperlink ref="O735" r:id="rId1995" xr:uid="{00000000-0004-0000-0000-0000CA070000}"/>
    <hyperlink ref="E736" r:id="rId1996" xr:uid="{00000000-0004-0000-0000-0000CB070000}"/>
    <hyperlink ref="O736" r:id="rId1997" xr:uid="{00000000-0004-0000-0000-0000CC070000}"/>
    <hyperlink ref="E737" r:id="rId1998" xr:uid="{00000000-0004-0000-0000-0000CD070000}"/>
    <hyperlink ref="O737" r:id="rId1999" xr:uid="{00000000-0004-0000-0000-0000CE070000}"/>
    <hyperlink ref="D738" r:id="rId2000" xr:uid="{00000000-0004-0000-0000-0000CF070000}"/>
    <hyperlink ref="E738" r:id="rId2001" xr:uid="{00000000-0004-0000-0000-0000D0070000}"/>
    <hyperlink ref="O738" r:id="rId2002" xr:uid="{00000000-0004-0000-0000-0000D1070000}"/>
    <hyperlink ref="D739" r:id="rId2003" xr:uid="{00000000-0004-0000-0000-0000D2070000}"/>
    <hyperlink ref="E739" r:id="rId2004" xr:uid="{00000000-0004-0000-0000-0000D3070000}"/>
    <hyperlink ref="O739" r:id="rId2005" xr:uid="{00000000-0004-0000-0000-0000D4070000}"/>
    <hyperlink ref="D740" r:id="rId2006" xr:uid="{00000000-0004-0000-0000-0000D5070000}"/>
    <hyperlink ref="E740" r:id="rId2007" xr:uid="{00000000-0004-0000-0000-0000D6070000}"/>
    <hyperlink ref="O740" r:id="rId2008" xr:uid="{00000000-0004-0000-0000-0000D7070000}"/>
    <hyperlink ref="D741" r:id="rId2009" xr:uid="{00000000-0004-0000-0000-0000D8070000}"/>
    <hyperlink ref="E741" r:id="rId2010" xr:uid="{00000000-0004-0000-0000-0000D9070000}"/>
    <hyperlink ref="O741" r:id="rId2011" xr:uid="{00000000-0004-0000-0000-0000DA070000}"/>
    <hyperlink ref="D742" r:id="rId2012" xr:uid="{00000000-0004-0000-0000-0000DB070000}"/>
    <hyperlink ref="E742" r:id="rId2013" xr:uid="{00000000-0004-0000-0000-0000DC070000}"/>
    <hyperlink ref="O742" r:id="rId2014" xr:uid="{00000000-0004-0000-0000-0000DD070000}"/>
    <hyperlink ref="D743" r:id="rId2015" xr:uid="{00000000-0004-0000-0000-0000DE070000}"/>
    <hyperlink ref="E743" r:id="rId2016" xr:uid="{00000000-0004-0000-0000-0000DF070000}"/>
    <hyperlink ref="O743" r:id="rId2017" xr:uid="{00000000-0004-0000-0000-0000E0070000}"/>
    <hyperlink ref="D744" r:id="rId2018" xr:uid="{00000000-0004-0000-0000-0000E1070000}"/>
    <hyperlink ref="E744" r:id="rId2019" xr:uid="{00000000-0004-0000-0000-0000E2070000}"/>
    <hyperlink ref="O744" r:id="rId2020" xr:uid="{00000000-0004-0000-0000-0000E3070000}"/>
    <hyperlink ref="D745" r:id="rId2021" xr:uid="{00000000-0004-0000-0000-0000E4070000}"/>
    <hyperlink ref="E745" r:id="rId2022" xr:uid="{00000000-0004-0000-0000-0000E5070000}"/>
    <hyperlink ref="O745" r:id="rId2023" xr:uid="{00000000-0004-0000-0000-0000E6070000}"/>
    <hyperlink ref="D746" r:id="rId2024" xr:uid="{00000000-0004-0000-0000-0000E7070000}"/>
    <hyperlink ref="E746" r:id="rId2025" xr:uid="{00000000-0004-0000-0000-0000E8070000}"/>
    <hyperlink ref="O746" r:id="rId2026" xr:uid="{00000000-0004-0000-0000-0000E9070000}"/>
    <hyperlink ref="D747" r:id="rId2027" xr:uid="{00000000-0004-0000-0000-0000EA070000}"/>
    <hyperlink ref="E747" r:id="rId2028" xr:uid="{00000000-0004-0000-0000-0000EB070000}"/>
    <hyperlink ref="O747" r:id="rId2029" xr:uid="{00000000-0004-0000-0000-0000EC070000}"/>
    <hyperlink ref="D748" r:id="rId2030" xr:uid="{00000000-0004-0000-0000-0000ED070000}"/>
    <hyperlink ref="E748" r:id="rId2031" xr:uid="{00000000-0004-0000-0000-0000EE070000}"/>
    <hyperlink ref="O748" r:id="rId2032" xr:uid="{00000000-0004-0000-0000-0000EF070000}"/>
    <hyperlink ref="E749" r:id="rId2033" xr:uid="{00000000-0004-0000-0000-0000F0070000}"/>
    <hyperlink ref="O749" r:id="rId2034" xr:uid="{00000000-0004-0000-0000-0000F1070000}"/>
    <hyperlink ref="D750" r:id="rId2035" xr:uid="{00000000-0004-0000-0000-0000F2070000}"/>
    <hyperlink ref="E750" r:id="rId2036" xr:uid="{00000000-0004-0000-0000-0000F3070000}"/>
    <hyperlink ref="O750" r:id="rId2037" xr:uid="{00000000-0004-0000-0000-0000F4070000}"/>
    <hyperlink ref="D751" r:id="rId2038" xr:uid="{00000000-0004-0000-0000-0000F5070000}"/>
    <hyperlink ref="E751" r:id="rId2039" xr:uid="{00000000-0004-0000-0000-0000F6070000}"/>
    <hyperlink ref="O751" r:id="rId2040" xr:uid="{00000000-0004-0000-0000-0000F7070000}"/>
    <hyperlink ref="D752" r:id="rId2041" xr:uid="{00000000-0004-0000-0000-0000F8070000}"/>
    <hyperlink ref="E752" r:id="rId2042" xr:uid="{00000000-0004-0000-0000-0000F9070000}"/>
    <hyperlink ref="O752" r:id="rId2043" xr:uid="{00000000-0004-0000-0000-0000FA070000}"/>
    <hyperlink ref="D753" r:id="rId2044" xr:uid="{00000000-0004-0000-0000-0000FB070000}"/>
    <hyperlink ref="E753" r:id="rId2045" xr:uid="{00000000-0004-0000-0000-0000FC070000}"/>
    <hyperlink ref="O753" r:id="rId2046" xr:uid="{00000000-0004-0000-0000-0000FD070000}"/>
    <hyperlink ref="D754" r:id="rId2047" xr:uid="{00000000-0004-0000-0000-0000FE070000}"/>
    <hyperlink ref="E754" r:id="rId2048" xr:uid="{00000000-0004-0000-0000-0000FF070000}"/>
    <hyperlink ref="O754" r:id="rId2049" xr:uid="{00000000-0004-0000-0000-000000080000}"/>
    <hyperlink ref="D755" r:id="rId2050" xr:uid="{00000000-0004-0000-0000-000001080000}"/>
    <hyperlink ref="E755" r:id="rId2051" xr:uid="{00000000-0004-0000-0000-000002080000}"/>
    <hyperlink ref="O755" r:id="rId2052" xr:uid="{00000000-0004-0000-0000-000003080000}"/>
    <hyperlink ref="D756" r:id="rId2053" xr:uid="{00000000-0004-0000-0000-000004080000}"/>
    <hyperlink ref="E756" r:id="rId2054" xr:uid="{00000000-0004-0000-0000-000005080000}"/>
    <hyperlink ref="O756" r:id="rId2055" xr:uid="{00000000-0004-0000-0000-000006080000}"/>
    <hyperlink ref="D757" r:id="rId2056" xr:uid="{00000000-0004-0000-0000-000007080000}"/>
    <hyperlink ref="E757" r:id="rId2057" xr:uid="{00000000-0004-0000-0000-000008080000}"/>
    <hyperlink ref="O757" r:id="rId2058" xr:uid="{00000000-0004-0000-0000-000009080000}"/>
    <hyperlink ref="D758" r:id="rId2059" xr:uid="{00000000-0004-0000-0000-00000A080000}"/>
    <hyperlink ref="E758" r:id="rId2060" xr:uid="{00000000-0004-0000-0000-00000B080000}"/>
    <hyperlink ref="O758" r:id="rId2061" xr:uid="{00000000-0004-0000-0000-00000C080000}"/>
    <hyperlink ref="D759" r:id="rId2062" xr:uid="{00000000-0004-0000-0000-00000D080000}"/>
    <hyperlink ref="E759" r:id="rId2063" xr:uid="{00000000-0004-0000-0000-00000E080000}"/>
    <hyperlink ref="O759" r:id="rId2064" xr:uid="{00000000-0004-0000-0000-00000F080000}"/>
    <hyperlink ref="D760" r:id="rId2065" xr:uid="{00000000-0004-0000-0000-000010080000}"/>
    <hyperlink ref="E760" r:id="rId2066" xr:uid="{00000000-0004-0000-0000-000011080000}"/>
    <hyperlink ref="O760" r:id="rId2067" xr:uid="{00000000-0004-0000-0000-000012080000}"/>
    <hyperlink ref="D761" r:id="rId2068" xr:uid="{00000000-0004-0000-0000-000013080000}"/>
    <hyperlink ref="E761" r:id="rId2069" xr:uid="{00000000-0004-0000-0000-000014080000}"/>
    <hyperlink ref="O761" r:id="rId2070" xr:uid="{00000000-0004-0000-0000-000015080000}"/>
    <hyperlink ref="D762" r:id="rId2071" xr:uid="{00000000-0004-0000-0000-000016080000}"/>
    <hyperlink ref="E762" r:id="rId2072" xr:uid="{00000000-0004-0000-0000-000017080000}"/>
    <hyperlink ref="O762" r:id="rId2073" xr:uid="{00000000-0004-0000-0000-000018080000}"/>
    <hyperlink ref="D763" r:id="rId2074" xr:uid="{00000000-0004-0000-0000-000019080000}"/>
    <hyperlink ref="E763" r:id="rId2075" xr:uid="{00000000-0004-0000-0000-00001A080000}"/>
    <hyperlink ref="O763" r:id="rId2076" xr:uid="{00000000-0004-0000-0000-00001B080000}"/>
    <hyperlink ref="D764" r:id="rId2077" xr:uid="{00000000-0004-0000-0000-00001C080000}"/>
    <hyperlink ref="E764" r:id="rId2078" xr:uid="{00000000-0004-0000-0000-00001D080000}"/>
    <hyperlink ref="O764" r:id="rId2079" xr:uid="{00000000-0004-0000-0000-00001E080000}"/>
    <hyperlink ref="D765" r:id="rId2080" xr:uid="{00000000-0004-0000-0000-00001F080000}"/>
    <hyperlink ref="E765" r:id="rId2081" xr:uid="{00000000-0004-0000-0000-000020080000}"/>
    <hyperlink ref="O765" r:id="rId2082" xr:uid="{00000000-0004-0000-0000-000021080000}"/>
    <hyperlink ref="D766" r:id="rId2083" xr:uid="{00000000-0004-0000-0000-000022080000}"/>
    <hyperlink ref="E766" r:id="rId2084" xr:uid="{00000000-0004-0000-0000-000023080000}"/>
    <hyperlink ref="O766" r:id="rId2085" xr:uid="{00000000-0004-0000-0000-000024080000}"/>
    <hyperlink ref="D767" r:id="rId2086" xr:uid="{00000000-0004-0000-0000-000025080000}"/>
    <hyperlink ref="E767" r:id="rId2087" xr:uid="{00000000-0004-0000-0000-000026080000}"/>
    <hyperlink ref="O767" r:id="rId2088" xr:uid="{00000000-0004-0000-0000-000027080000}"/>
    <hyperlink ref="D768" r:id="rId2089" xr:uid="{00000000-0004-0000-0000-000028080000}"/>
    <hyperlink ref="E768" r:id="rId2090" xr:uid="{00000000-0004-0000-0000-000029080000}"/>
    <hyperlink ref="O768" r:id="rId2091" xr:uid="{00000000-0004-0000-0000-00002A080000}"/>
    <hyperlink ref="D769" r:id="rId2092" xr:uid="{00000000-0004-0000-0000-00002B080000}"/>
    <hyperlink ref="E769" r:id="rId2093" xr:uid="{00000000-0004-0000-0000-00002C080000}"/>
    <hyperlink ref="O769" r:id="rId2094" xr:uid="{00000000-0004-0000-0000-00002D080000}"/>
    <hyperlink ref="D770" r:id="rId2095" xr:uid="{00000000-0004-0000-0000-00002E080000}"/>
    <hyperlink ref="E770" r:id="rId2096" xr:uid="{00000000-0004-0000-0000-00002F080000}"/>
    <hyperlink ref="O770" r:id="rId2097" xr:uid="{00000000-0004-0000-0000-000030080000}"/>
    <hyperlink ref="D771" r:id="rId2098" xr:uid="{00000000-0004-0000-0000-000031080000}"/>
    <hyperlink ref="E771" r:id="rId2099" xr:uid="{00000000-0004-0000-0000-000032080000}"/>
    <hyperlink ref="O771" r:id="rId2100" xr:uid="{00000000-0004-0000-0000-000033080000}"/>
    <hyperlink ref="D772" r:id="rId2101" xr:uid="{00000000-0004-0000-0000-000034080000}"/>
    <hyperlink ref="E772" r:id="rId2102" xr:uid="{00000000-0004-0000-0000-000035080000}"/>
    <hyperlink ref="O772" r:id="rId2103" xr:uid="{00000000-0004-0000-0000-000036080000}"/>
    <hyperlink ref="D773" r:id="rId2104" xr:uid="{00000000-0004-0000-0000-000037080000}"/>
    <hyperlink ref="E773" r:id="rId2105" xr:uid="{00000000-0004-0000-0000-000038080000}"/>
    <hyperlink ref="O773" r:id="rId2106" xr:uid="{00000000-0004-0000-0000-000039080000}"/>
    <hyperlink ref="D774" r:id="rId2107" xr:uid="{00000000-0004-0000-0000-00003A080000}"/>
    <hyperlink ref="E774" r:id="rId2108" xr:uid="{00000000-0004-0000-0000-00003B080000}"/>
    <hyperlink ref="O774" r:id="rId2109" xr:uid="{00000000-0004-0000-0000-00003C080000}"/>
    <hyperlink ref="D775" r:id="rId2110" xr:uid="{00000000-0004-0000-0000-00003D080000}"/>
    <hyperlink ref="E775" r:id="rId2111" xr:uid="{00000000-0004-0000-0000-00003E080000}"/>
    <hyperlink ref="O775" r:id="rId2112" xr:uid="{00000000-0004-0000-0000-00003F080000}"/>
    <hyperlink ref="D776" r:id="rId2113" xr:uid="{00000000-0004-0000-0000-000040080000}"/>
    <hyperlink ref="E776" r:id="rId2114" xr:uid="{00000000-0004-0000-0000-000041080000}"/>
    <hyperlink ref="O776" r:id="rId2115" xr:uid="{00000000-0004-0000-0000-000042080000}"/>
    <hyperlink ref="E777" r:id="rId2116" xr:uid="{00000000-0004-0000-0000-000043080000}"/>
    <hyperlink ref="O777" r:id="rId2117" xr:uid="{00000000-0004-0000-0000-000044080000}"/>
    <hyperlink ref="D778" r:id="rId2118" xr:uid="{00000000-0004-0000-0000-000045080000}"/>
    <hyperlink ref="E778" r:id="rId2119" xr:uid="{00000000-0004-0000-0000-000046080000}"/>
    <hyperlink ref="O778" r:id="rId2120" xr:uid="{00000000-0004-0000-0000-000047080000}"/>
    <hyperlink ref="D779" r:id="rId2121" xr:uid="{00000000-0004-0000-0000-000048080000}"/>
    <hyperlink ref="E779" r:id="rId2122" xr:uid="{00000000-0004-0000-0000-000049080000}"/>
    <hyperlink ref="O779" r:id="rId2123" xr:uid="{00000000-0004-0000-0000-00004A080000}"/>
    <hyperlink ref="E780" r:id="rId2124" xr:uid="{00000000-0004-0000-0000-00004B080000}"/>
    <hyperlink ref="O780" r:id="rId2125" xr:uid="{00000000-0004-0000-0000-00004C080000}"/>
    <hyperlink ref="E781" r:id="rId2126" xr:uid="{00000000-0004-0000-0000-00004D080000}"/>
    <hyperlink ref="O781" r:id="rId2127" xr:uid="{00000000-0004-0000-0000-00004E080000}"/>
    <hyperlink ref="D782" r:id="rId2128" xr:uid="{00000000-0004-0000-0000-00004F080000}"/>
    <hyperlink ref="E782" r:id="rId2129" xr:uid="{00000000-0004-0000-0000-000050080000}"/>
    <hyperlink ref="O782" r:id="rId2130" xr:uid="{00000000-0004-0000-0000-000051080000}"/>
    <hyperlink ref="D783" r:id="rId2131" xr:uid="{00000000-0004-0000-0000-000052080000}"/>
    <hyperlink ref="E783" r:id="rId2132" xr:uid="{00000000-0004-0000-0000-000053080000}"/>
    <hyperlink ref="O783" r:id="rId2133" xr:uid="{00000000-0004-0000-0000-000054080000}"/>
    <hyperlink ref="D784" r:id="rId2134" xr:uid="{00000000-0004-0000-0000-000055080000}"/>
    <hyperlink ref="E784" r:id="rId2135" xr:uid="{00000000-0004-0000-0000-000056080000}"/>
    <hyperlink ref="O784" r:id="rId2136" xr:uid="{00000000-0004-0000-0000-000057080000}"/>
    <hyperlink ref="E785" r:id="rId2137" xr:uid="{00000000-0004-0000-0000-000058080000}"/>
    <hyperlink ref="O785" r:id="rId2138" xr:uid="{00000000-0004-0000-0000-000059080000}"/>
    <hyperlink ref="D786" r:id="rId2139" xr:uid="{00000000-0004-0000-0000-00005A080000}"/>
    <hyperlink ref="E786" r:id="rId2140" xr:uid="{00000000-0004-0000-0000-00005B080000}"/>
    <hyperlink ref="O786" r:id="rId2141" xr:uid="{00000000-0004-0000-0000-00005C080000}"/>
    <hyperlink ref="D787" r:id="rId2142" xr:uid="{00000000-0004-0000-0000-00005D080000}"/>
    <hyperlink ref="E787" r:id="rId2143" xr:uid="{00000000-0004-0000-0000-00005E080000}"/>
    <hyperlink ref="O787" r:id="rId2144" xr:uid="{00000000-0004-0000-0000-00005F080000}"/>
    <hyperlink ref="D788" r:id="rId2145" xr:uid="{00000000-0004-0000-0000-000060080000}"/>
    <hyperlink ref="E788" r:id="rId2146" xr:uid="{00000000-0004-0000-0000-000061080000}"/>
    <hyperlink ref="O788" r:id="rId2147" xr:uid="{00000000-0004-0000-0000-000062080000}"/>
    <hyperlink ref="E789" r:id="rId2148" xr:uid="{00000000-0004-0000-0000-000063080000}"/>
    <hyperlink ref="O789" r:id="rId2149" xr:uid="{00000000-0004-0000-0000-000064080000}"/>
    <hyperlink ref="E790" r:id="rId2150" xr:uid="{00000000-0004-0000-0000-000065080000}"/>
    <hyperlink ref="O790" r:id="rId2151" xr:uid="{00000000-0004-0000-0000-000066080000}"/>
    <hyperlink ref="E791" r:id="rId2152" xr:uid="{00000000-0004-0000-0000-000067080000}"/>
    <hyperlink ref="O791" r:id="rId2153" xr:uid="{00000000-0004-0000-0000-000068080000}"/>
    <hyperlink ref="E792" r:id="rId2154" xr:uid="{00000000-0004-0000-0000-000069080000}"/>
    <hyperlink ref="O792" r:id="rId2155" xr:uid="{00000000-0004-0000-0000-00006A080000}"/>
    <hyperlink ref="D793" r:id="rId2156" xr:uid="{00000000-0004-0000-0000-00006B080000}"/>
    <hyperlink ref="E793" r:id="rId2157" xr:uid="{00000000-0004-0000-0000-00006C080000}"/>
    <hyperlink ref="O793" r:id="rId2158" xr:uid="{00000000-0004-0000-0000-00006D080000}"/>
    <hyperlink ref="D794" r:id="rId2159" xr:uid="{00000000-0004-0000-0000-00006E080000}"/>
    <hyperlink ref="E794" r:id="rId2160" xr:uid="{00000000-0004-0000-0000-00006F080000}"/>
    <hyperlink ref="O794" r:id="rId2161" xr:uid="{00000000-0004-0000-0000-000070080000}"/>
    <hyperlink ref="D795" r:id="rId2162" xr:uid="{00000000-0004-0000-0000-000071080000}"/>
    <hyperlink ref="E795" r:id="rId2163" xr:uid="{00000000-0004-0000-0000-000072080000}"/>
    <hyperlink ref="O795" r:id="rId2164" xr:uid="{00000000-0004-0000-0000-000073080000}"/>
    <hyperlink ref="D796" r:id="rId2165" xr:uid="{00000000-0004-0000-0000-000074080000}"/>
    <hyperlink ref="E796" r:id="rId2166" xr:uid="{00000000-0004-0000-0000-000075080000}"/>
    <hyperlink ref="O796" r:id="rId2167" xr:uid="{00000000-0004-0000-0000-000076080000}"/>
    <hyperlink ref="D797" r:id="rId2168" xr:uid="{00000000-0004-0000-0000-000077080000}"/>
    <hyperlink ref="E797" r:id="rId2169" xr:uid="{00000000-0004-0000-0000-000078080000}"/>
    <hyperlink ref="O797" r:id="rId2170" xr:uid="{00000000-0004-0000-0000-000079080000}"/>
    <hyperlink ref="D798" r:id="rId2171" xr:uid="{00000000-0004-0000-0000-00007A080000}"/>
    <hyperlink ref="E798" r:id="rId2172" xr:uid="{00000000-0004-0000-0000-00007B080000}"/>
    <hyperlink ref="O798" r:id="rId2173" xr:uid="{00000000-0004-0000-0000-00007C080000}"/>
    <hyperlink ref="D799" r:id="rId2174" xr:uid="{00000000-0004-0000-0000-00007D080000}"/>
    <hyperlink ref="E799" r:id="rId2175" xr:uid="{00000000-0004-0000-0000-00007E080000}"/>
    <hyperlink ref="O799" r:id="rId2176" xr:uid="{00000000-0004-0000-0000-00007F080000}"/>
    <hyperlink ref="D800" r:id="rId2177" xr:uid="{00000000-0004-0000-0000-000080080000}"/>
    <hyperlink ref="E800" r:id="rId2178" xr:uid="{00000000-0004-0000-0000-000081080000}"/>
    <hyperlink ref="O800" r:id="rId2179" xr:uid="{00000000-0004-0000-0000-000082080000}"/>
    <hyperlink ref="D801" r:id="rId2180" xr:uid="{00000000-0004-0000-0000-000083080000}"/>
    <hyperlink ref="E801" r:id="rId2181" xr:uid="{00000000-0004-0000-0000-000084080000}"/>
    <hyperlink ref="O801" r:id="rId2182" xr:uid="{00000000-0004-0000-0000-000085080000}"/>
    <hyperlink ref="D802" r:id="rId2183" xr:uid="{00000000-0004-0000-0000-000086080000}"/>
    <hyperlink ref="E802" r:id="rId2184" xr:uid="{00000000-0004-0000-0000-000087080000}"/>
    <hyperlink ref="O802" r:id="rId2185" xr:uid="{00000000-0004-0000-0000-000088080000}"/>
    <hyperlink ref="E803" r:id="rId2186" xr:uid="{00000000-0004-0000-0000-000089080000}"/>
    <hyperlink ref="O803" r:id="rId2187" xr:uid="{00000000-0004-0000-0000-00008A080000}"/>
    <hyperlink ref="E804" r:id="rId2188" xr:uid="{00000000-0004-0000-0000-00008B080000}"/>
    <hyperlink ref="O804" r:id="rId2189" xr:uid="{00000000-0004-0000-0000-00008C080000}"/>
    <hyperlink ref="D805" r:id="rId2190" xr:uid="{00000000-0004-0000-0000-00008D080000}"/>
    <hyperlink ref="E805" r:id="rId2191" xr:uid="{00000000-0004-0000-0000-00008E080000}"/>
    <hyperlink ref="O805" r:id="rId2192" xr:uid="{00000000-0004-0000-0000-00008F080000}"/>
    <hyperlink ref="D806" r:id="rId2193" xr:uid="{00000000-0004-0000-0000-000090080000}"/>
    <hyperlink ref="E806" r:id="rId2194" xr:uid="{00000000-0004-0000-0000-000091080000}"/>
    <hyperlink ref="O806" r:id="rId2195" xr:uid="{00000000-0004-0000-0000-000092080000}"/>
    <hyperlink ref="E807" r:id="rId2196" xr:uid="{00000000-0004-0000-0000-000093080000}"/>
    <hyperlink ref="O807" r:id="rId2197" xr:uid="{00000000-0004-0000-0000-000094080000}"/>
    <hyperlink ref="E808" r:id="rId2198" xr:uid="{00000000-0004-0000-0000-000095080000}"/>
    <hyperlink ref="O808" r:id="rId2199" xr:uid="{00000000-0004-0000-0000-000096080000}"/>
    <hyperlink ref="E809" r:id="rId2200" xr:uid="{00000000-0004-0000-0000-000097080000}"/>
    <hyperlink ref="O809" r:id="rId2201" xr:uid="{00000000-0004-0000-0000-000098080000}"/>
    <hyperlink ref="E810" r:id="rId2202" xr:uid="{00000000-0004-0000-0000-000099080000}"/>
    <hyperlink ref="O810" r:id="rId2203" xr:uid="{00000000-0004-0000-0000-00009A080000}"/>
    <hyperlink ref="D811" r:id="rId2204" xr:uid="{00000000-0004-0000-0000-00009B080000}"/>
    <hyperlink ref="E811" r:id="rId2205" xr:uid="{00000000-0004-0000-0000-00009C080000}"/>
    <hyperlink ref="O811" r:id="rId2206" xr:uid="{00000000-0004-0000-0000-00009D080000}"/>
    <hyperlink ref="D812" r:id="rId2207" xr:uid="{00000000-0004-0000-0000-00009E080000}"/>
    <hyperlink ref="E812" r:id="rId2208" xr:uid="{00000000-0004-0000-0000-00009F080000}"/>
    <hyperlink ref="O812" r:id="rId2209" xr:uid="{00000000-0004-0000-0000-0000A0080000}"/>
    <hyperlink ref="D813" r:id="rId2210" xr:uid="{00000000-0004-0000-0000-0000A1080000}"/>
    <hyperlink ref="E813" r:id="rId2211" xr:uid="{00000000-0004-0000-0000-0000A2080000}"/>
    <hyperlink ref="O813" r:id="rId2212" xr:uid="{00000000-0004-0000-0000-0000A3080000}"/>
    <hyperlink ref="D814" r:id="rId2213" xr:uid="{00000000-0004-0000-0000-0000A4080000}"/>
    <hyperlink ref="E814" r:id="rId2214" xr:uid="{00000000-0004-0000-0000-0000A5080000}"/>
    <hyperlink ref="O814" r:id="rId2215" xr:uid="{00000000-0004-0000-0000-0000A6080000}"/>
    <hyperlink ref="D815" r:id="rId2216" xr:uid="{00000000-0004-0000-0000-0000A7080000}"/>
    <hyperlink ref="E815" r:id="rId2217" xr:uid="{00000000-0004-0000-0000-0000A8080000}"/>
    <hyperlink ref="O815" r:id="rId2218" xr:uid="{00000000-0004-0000-0000-0000A9080000}"/>
    <hyperlink ref="D816" r:id="rId2219" xr:uid="{00000000-0004-0000-0000-0000AA080000}"/>
    <hyperlink ref="E816" r:id="rId2220" xr:uid="{00000000-0004-0000-0000-0000AB080000}"/>
    <hyperlink ref="O816" r:id="rId2221" xr:uid="{00000000-0004-0000-0000-0000AC080000}"/>
    <hyperlink ref="D817" r:id="rId2222" xr:uid="{00000000-0004-0000-0000-0000AD080000}"/>
    <hyperlink ref="E817" r:id="rId2223" xr:uid="{00000000-0004-0000-0000-0000AE080000}"/>
    <hyperlink ref="O817" r:id="rId2224" xr:uid="{00000000-0004-0000-0000-0000AF080000}"/>
    <hyperlink ref="D818" r:id="rId2225" xr:uid="{00000000-0004-0000-0000-0000B0080000}"/>
    <hyperlink ref="E818" r:id="rId2226" xr:uid="{00000000-0004-0000-0000-0000B1080000}"/>
    <hyperlink ref="O818" r:id="rId2227" xr:uid="{00000000-0004-0000-0000-0000B2080000}"/>
    <hyperlink ref="D819" r:id="rId2228" xr:uid="{00000000-0004-0000-0000-0000B3080000}"/>
    <hyperlink ref="E819" r:id="rId2229" xr:uid="{00000000-0004-0000-0000-0000B4080000}"/>
    <hyperlink ref="O819" r:id="rId2230" xr:uid="{00000000-0004-0000-0000-0000B5080000}"/>
    <hyperlink ref="D820" r:id="rId2231" xr:uid="{00000000-0004-0000-0000-0000B6080000}"/>
    <hyperlink ref="E820" r:id="rId2232" xr:uid="{00000000-0004-0000-0000-0000B7080000}"/>
    <hyperlink ref="O820" r:id="rId2233" xr:uid="{00000000-0004-0000-0000-0000B8080000}"/>
    <hyperlink ref="D821" r:id="rId2234" xr:uid="{00000000-0004-0000-0000-0000B9080000}"/>
    <hyperlink ref="E821" r:id="rId2235" xr:uid="{00000000-0004-0000-0000-0000BA080000}"/>
    <hyperlink ref="O821" r:id="rId2236" xr:uid="{00000000-0004-0000-0000-0000BB080000}"/>
    <hyperlink ref="D822" r:id="rId2237" xr:uid="{00000000-0004-0000-0000-0000BC080000}"/>
    <hyperlink ref="E822" r:id="rId2238" xr:uid="{00000000-0004-0000-0000-0000BD080000}"/>
    <hyperlink ref="O822" r:id="rId2239" xr:uid="{00000000-0004-0000-0000-0000BE080000}"/>
    <hyperlink ref="D823" r:id="rId2240" xr:uid="{00000000-0004-0000-0000-0000BF080000}"/>
    <hyperlink ref="E823" r:id="rId2241" xr:uid="{00000000-0004-0000-0000-0000C0080000}"/>
    <hyperlink ref="O823" r:id="rId2242" xr:uid="{00000000-0004-0000-0000-0000C1080000}"/>
    <hyperlink ref="D824" r:id="rId2243" xr:uid="{00000000-0004-0000-0000-0000C2080000}"/>
    <hyperlink ref="E824" r:id="rId2244" xr:uid="{00000000-0004-0000-0000-0000C3080000}"/>
    <hyperlink ref="O824" r:id="rId2245" xr:uid="{00000000-0004-0000-0000-0000C4080000}"/>
    <hyperlink ref="D825" r:id="rId2246" xr:uid="{00000000-0004-0000-0000-0000C5080000}"/>
    <hyperlink ref="E825" r:id="rId2247" xr:uid="{00000000-0004-0000-0000-0000C6080000}"/>
    <hyperlink ref="O825" r:id="rId2248" xr:uid="{00000000-0004-0000-0000-0000C7080000}"/>
    <hyperlink ref="D826" r:id="rId2249" xr:uid="{00000000-0004-0000-0000-0000C8080000}"/>
    <hyperlink ref="E826" r:id="rId2250" xr:uid="{00000000-0004-0000-0000-0000C9080000}"/>
    <hyperlink ref="O826" r:id="rId2251" xr:uid="{00000000-0004-0000-0000-0000CA080000}"/>
    <hyperlink ref="D827" r:id="rId2252" xr:uid="{00000000-0004-0000-0000-0000CB080000}"/>
    <hyperlink ref="E827" r:id="rId2253" xr:uid="{00000000-0004-0000-0000-0000CC080000}"/>
    <hyperlink ref="O827" r:id="rId2254" xr:uid="{00000000-0004-0000-0000-0000CD080000}"/>
    <hyperlink ref="D828" r:id="rId2255" xr:uid="{00000000-0004-0000-0000-0000CE080000}"/>
    <hyperlink ref="E828" r:id="rId2256" xr:uid="{00000000-0004-0000-0000-0000CF080000}"/>
    <hyperlink ref="O828" r:id="rId2257" xr:uid="{00000000-0004-0000-0000-0000D0080000}"/>
    <hyperlink ref="D829" r:id="rId2258" xr:uid="{00000000-0004-0000-0000-0000D1080000}"/>
    <hyperlink ref="E829" r:id="rId2259" xr:uid="{00000000-0004-0000-0000-0000D2080000}"/>
    <hyperlink ref="O829" r:id="rId2260" xr:uid="{00000000-0004-0000-0000-0000D3080000}"/>
    <hyperlink ref="D830" r:id="rId2261" xr:uid="{00000000-0004-0000-0000-0000D4080000}"/>
    <hyperlink ref="E830" r:id="rId2262" xr:uid="{00000000-0004-0000-0000-0000D5080000}"/>
    <hyperlink ref="O830" r:id="rId2263" xr:uid="{00000000-0004-0000-0000-0000D6080000}"/>
    <hyperlink ref="E831" r:id="rId2264" xr:uid="{00000000-0004-0000-0000-0000D7080000}"/>
    <hyperlink ref="O831" r:id="rId2265" xr:uid="{00000000-0004-0000-0000-0000D8080000}"/>
    <hyperlink ref="D832" r:id="rId2266" xr:uid="{00000000-0004-0000-0000-0000D9080000}"/>
    <hyperlink ref="E832" r:id="rId2267" xr:uid="{00000000-0004-0000-0000-0000DA080000}"/>
    <hyperlink ref="O832" r:id="rId2268" xr:uid="{00000000-0004-0000-0000-0000DB080000}"/>
    <hyperlink ref="D833" r:id="rId2269" xr:uid="{00000000-0004-0000-0000-0000DC080000}"/>
    <hyperlink ref="E833" r:id="rId2270" xr:uid="{00000000-0004-0000-0000-0000DD080000}"/>
    <hyperlink ref="O833" r:id="rId2271" xr:uid="{00000000-0004-0000-0000-0000DE080000}"/>
    <hyperlink ref="D834" r:id="rId2272" xr:uid="{00000000-0004-0000-0000-0000DF080000}"/>
    <hyperlink ref="E834" r:id="rId2273" xr:uid="{00000000-0004-0000-0000-0000E0080000}"/>
    <hyperlink ref="O834" r:id="rId2274" xr:uid="{00000000-0004-0000-0000-0000E1080000}"/>
    <hyperlink ref="D835" r:id="rId2275" xr:uid="{00000000-0004-0000-0000-0000E2080000}"/>
    <hyperlink ref="E835" r:id="rId2276" xr:uid="{00000000-0004-0000-0000-0000E3080000}"/>
    <hyperlink ref="O835" r:id="rId2277" xr:uid="{00000000-0004-0000-0000-0000E4080000}"/>
    <hyperlink ref="D836" r:id="rId2278" xr:uid="{00000000-0004-0000-0000-0000E5080000}"/>
    <hyperlink ref="E836" r:id="rId2279" xr:uid="{00000000-0004-0000-0000-0000E6080000}"/>
    <hyperlink ref="O836" r:id="rId2280" xr:uid="{00000000-0004-0000-0000-0000E7080000}"/>
    <hyperlink ref="D837" r:id="rId2281" xr:uid="{00000000-0004-0000-0000-0000E8080000}"/>
    <hyperlink ref="E837" r:id="rId2282" xr:uid="{00000000-0004-0000-0000-0000E9080000}"/>
    <hyperlink ref="O837" r:id="rId2283" xr:uid="{00000000-0004-0000-0000-0000EA080000}"/>
    <hyperlink ref="D838" r:id="rId2284" xr:uid="{00000000-0004-0000-0000-0000EB080000}"/>
    <hyperlink ref="E838" r:id="rId2285" xr:uid="{00000000-0004-0000-0000-0000EC080000}"/>
    <hyperlink ref="O838" r:id="rId2286" xr:uid="{00000000-0004-0000-0000-0000ED080000}"/>
    <hyperlink ref="D839" r:id="rId2287" xr:uid="{00000000-0004-0000-0000-0000EE080000}"/>
    <hyperlink ref="E839" r:id="rId2288" xr:uid="{00000000-0004-0000-0000-0000EF080000}"/>
    <hyperlink ref="O839" r:id="rId2289" xr:uid="{00000000-0004-0000-0000-0000F0080000}"/>
    <hyperlink ref="D840" r:id="rId2290" xr:uid="{00000000-0004-0000-0000-0000F1080000}"/>
    <hyperlink ref="E840" r:id="rId2291" xr:uid="{00000000-0004-0000-0000-0000F2080000}"/>
    <hyperlink ref="O840" r:id="rId2292" xr:uid="{00000000-0004-0000-0000-0000F3080000}"/>
    <hyperlink ref="D841" r:id="rId2293" xr:uid="{00000000-0004-0000-0000-0000F4080000}"/>
    <hyperlink ref="E841" r:id="rId2294" xr:uid="{00000000-0004-0000-0000-0000F5080000}"/>
    <hyperlink ref="O841" r:id="rId2295" xr:uid="{00000000-0004-0000-0000-0000F6080000}"/>
    <hyperlink ref="D842" r:id="rId2296" xr:uid="{00000000-0004-0000-0000-0000F7080000}"/>
    <hyperlink ref="E842" r:id="rId2297" xr:uid="{00000000-0004-0000-0000-0000F8080000}"/>
    <hyperlink ref="O842" r:id="rId2298" xr:uid="{00000000-0004-0000-0000-0000F9080000}"/>
    <hyperlink ref="D843" r:id="rId2299" xr:uid="{00000000-0004-0000-0000-0000FA080000}"/>
    <hyperlink ref="E843" r:id="rId2300" xr:uid="{00000000-0004-0000-0000-0000FB080000}"/>
    <hyperlink ref="O843" r:id="rId2301" xr:uid="{00000000-0004-0000-0000-0000FC080000}"/>
    <hyperlink ref="D844" r:id="rId2302" xr:uid="{00000000-0004-0000-0000-0000FD080000}"/>
    <hyperlink ref="E844" r:id="rId2303" xr:uid="{00000000-0004-0000-0000-0000FE080000}"/>
    <hyperlink ref="O844" r:id="rId2304" xr:uid="{00000000-0004-0000-0000-0000FF080000}"/>
    <hyperlink ref="D845" r:id="rId2305" xr:uid="{00000000-0004-0000-0000-000000090000}"/>
    <hyperlink ref="E845" r:id="rId2306" xr:uid="{00000000-0004-0000-0000-000001090000}"/>
    <hyperlink ref="O845" r:id="rId2307" xr:uid="{00000000-0004-0000-0000-000002090000}"/>
    <hyperlink ref="D846" r:id="rId2308" xr:uid="{00000000-0004-0000-0000-000003090000}"/>
    <hyperlink ref="E846" r:id="rId2309" xr:uid="{00000000-0004-0000-0000-000004090000}"/>
    <hyperlink ref="O846" r:id="rId2310" xr:uid="{00000000-0004-0000-0000-000005090000}"/>
    <hyperlink ref="D847" r:id="rId2311" xr:uid="{00000000-0004-0000-0000-000006090000}"/>
    <hyperlink ref="E847" r:id="rId2312" xr:uid="{00000000-0004-0000-0000-000007090000}"/>
    <hyperlink ref="O847" r:id="rId2313" xr:uid="{00000000-0004-0000-0000-000008090000}"/>
    <hyperlink ref="D848" r:id="rId2314" xr:uid="{00000000-0004-0000-0000-000009090000}"/>
    <hyperlink ref="E848" r:id="rId2315" xr:uid="{00000000-0004-0000-0000-00000A090000}"/>
    <hyperlink ref="O848" r:id="rId2316" xr:uid="{00000000-0004-0000-0000-00000B090000}"/>
    <hyperlink ref="D849" r:id="rId2317" xr:uid="{00000000-0004-0000-0000-00000C090000}"/>
    <hyperlink ref="E849" r:id="rId2318" xr:uid="{00000000-0004-0000-0000-00000D090000}"/>
    <hyperlink ref="O849" r:id="rId2319" xr:uid="{00000000-0004-0000-0000-00000E090000}"/>
    <hyperlink ref="E850" r:id="rId2320" xr:uid="{00000000-0004-0000-0000-00000F090000}"/>
    <hyperlink ref="O850" r:id="rId2321" xr:uid="{00000000-0004-0000-0000-000010090000}"/>
    <hyperlink ref="D851" r:id="rId2322" xr:uid="{00000000-0004-0000-0000-000011090000}"/>
    <hyperlink ref="E851" r:id="rId2323" xr:uid="{00000000-0004-0000-0000-000012090000}"/>
    <hyperlink ref="O851" r:id="rId2324" xr:uid="{00000000-0004-0000-0000-000013090000}"/>
    <hyperlink ref="D852" r:id="rId2325" xr:uid="{00000000-0004-0000-0000-000014090000}"/>
    <hyperlink ref="E852" r:id="rId2326" xr:uid="{00000000-0004-0000-0000-000015090000}"/>
    <hyperlink ref="O852" r:id="rId2327" xr:uid="{00000000-0004-0000-0000-000016090000}"/>
    <hyperlink ref="D853" r:id="rId2328" xr:uid="{00000000-0004-0000-0000-000017090000}"/>
    <hyperlink ref="E853" r:id="rId2329" xr:uid="{00000000-0004-0000-0000-000018090000}"/>
    <hyperlink ref="O853" r:id="rId2330" xr:uid="{00000000-0004-0000-0000-000019090000}"/>
    <hyperlink ref="E854" r:id="rId2331" xr:uid="{00000000-0004-0000-0000-00001A090000}"/>
    <hyperlink ref="O854" r:id="rId2332" xr:uid="{00000000-0004-0000-0000-00001B090000}"/>
    <hyperlink ref="D855" r:id="rId2333" xr:uid="{00000000-0004-0000-0000-00001C090000}"/>
    <hyperlink ref="E855" r:id="rId2334" xr:uid="{00000000-0004-0000-0000-00001D090000}"/>
    <hyperlink ref="O855" r:id="rId2335" xr:uid="{00000000-0004-0000-0000-00001E090000}"/>
    <hyperlink ref="D856" r:id="rId2336" xr:uid="{00000000-0004-0000-0000-00001F090000}"/>
    <hyperlink ref="E856" r:id="rId2337" xr:uid="{00000000-0004-0000-0000-000020090000}"/>
    <hyperlink ref="O856" r:id="rId2338" xr:uid="{00000000-0004-0000-0000-000021090000}"/>
    <hyperlink ref="E857" r:id="rId2339" xr:uid="{00000000-0004-0000-0000-000022090000}"/>
    <hyperlink ref="O857" r:id="rId2340" xr:uid="{00000000-0004-0000-0000-000023090000}"/>
    <hyperlink ref="D858" r:id="rId2341" xr:uid="{00000000-0004-0000-0000-000024090000}"/>
    <hyperlink ref="E858" r:id="rId2342" xr:uid="{00000000-0004-0000-0000-000025090000}"/>
    <hyperlink ref="O858" r:id="rId2343" xr:uid="{00000000-0004-0000-0000-000026090000}"/>
    <hyperlink ref="D859" r:id="rId2344" xr:uid="{00000000-0004-0000-0000-000027090000}"/>
    <hyperlink ref="E859" r:id="rId2345" xr:uid="{00000000-0004-0000-0000-000028090000}"/>
    <hyperlink ref="O859" r:id="rId2346" xr:uid="{00000000-0004-0000-0000-000029090000}"/>
    <hyperlink ref="E860" r:id="rId2347" xr:uid="{00000000-0004-0000-0000-00002A090000}"/>
    <hyperlink ref="O860" r:id="rId2348" xr:uid="{00000000-0004-0000-0000-00002B090000}"/>
    <hyperlink ref="D861" r:id="rId2349" xr:uid="{00000000-0004-0000-0000-00002C090000}"/>
    <hyperlink ref="E861" r:id="rId2350" xr:uid="{00000000-0004-0000-0000-00002D090000}"/>
    <hyperlink ref="O861" r:id="rId2351" xr:uid="{00000000-0004-0000-0000-00002E090000}"/>
    <hyperlink ref="D862" r:id="rId2352" xr:uid="{00000000-0004-0000-0000-00002F090000}"/>
    <hyperlink ref="E862" r:id="rId2353" xr:uid="{00000000-0004-0000-0000-000030090000}"/>
    <hyperlink ref="O862" r:id="rId2354" xr:uid="{00000000-0004-0000-0000-000031090000}"/>
    <hyperlink ref="D863" r:id="rId2355" xr:uid="{00000000-0004-0000-0000-000032090000}"/>
    <hyperlink ref="E863" r:id="rId2356" xr:uid="{00000000-0004-0000-0000-000033090000}"/>
    <hyperlink ref="O863" r:id="rId2357" xr:uid="{00000000-0004-0000-0000-000034090000}"/>
    <hyperlink ref="E864" r:id="rId2358" xr:uid="{00000000-0004-0000-0000-000035090000}"/>
    <hyperlink ref="O864" r:id="rId2359" xr:uid="{00000000-0004-0000-0000-000036090000}"/>
    <hyperlink ref="D865" r:id="rId2360" xr:uid="{00000000-0004-0000-0000-000037090000}"/>
    <hyperlink ref="E865" r:id="rId2361" xr:uid="{00000000-0004-0000-0000-000038090000}"/>
    <hyperlink ref="O865" r:id="rId2362" xr:uid="{00000000-0004-0000-0000-000039090000}"/>
    <hyperlink ref="D866" r:id="rId2363" xr:uid="{00000000-0004-0000-0000-00003A090000}"/>
    <hyperlink ref="E866" r:id="rId2364" xr:uid="{00000000-0004-0000-0000-00003B090000}"/>
    <hyperlink ref="O866" r:id="rId2365" xr:uid="{00000000-0004-0000-0000-00003C090000}"/>
    <hyperlink ref="E867" r:id="rId2366" xr:uid="{00000000-0004-0000-0000-00003D090000}"/>
    <hyperlink ref="O867" r:id="rId2367" xr:uid="{00000000-0004-0000-0000-00003E090000}"/>
    <hyperlink ref="D868" r:id="rId2368" xr:uid="{00000000-0004-0000-0000-00003F090000}"/>
    <hyperlink ref="E868" r:id="rId2369" xr:uid="{00000000-0004-0000-0000-000040090000}"/>
    <hyperlink ref="O868" r:id="rId2370" xr:uid="{00000000-0004-0000-0000-000041090000}"/>
    <hyperlink ref="D869" r:id="rId2371" xr:uid="{00000000-0004-0000-0000-000042090000}"/>
    <hyperlink ref="E869" r:id="rId2372" xr:uid="{00000000-0004-0000-0000-000043090000}"/>
    <hyperlink ref="O869" r:id="rId2373" xr:uid="{00000000-0004-0000-0000-000044090000}"/>
    <hyperlink ref="D870" r:id="rId2374" xr:uid="{00000000-0004-0000-0000-000045090000}"/>
    <hyperlink ref="E870" r:id="rId2375" xr:uid="{00000000-0004-0000-0000-000046090000}"/>
    <hyperlink ref="O870" r:id="rId2376" xr:uid="{00000000-0004-0000-0000-000047090000}"/>
    <hyperlink ref="D871" r:id="rId2377" xr:uid="{00000000-0004-0000-0000-000048090000}"/>
    <hyperlink ref="E871" r:id="rId2378" xr:uid="{00000000-0004-0000-0000-000049090000}"/>
    <hyperlink ref="O871" r:id="rId2379" xr:uid="{00000000-0004-0000-0000-00004A090000}"/>
    <hyperlink ref="E872" r:id="rId2380" xr:uid="{00000000-0004-0000-0000-00004B090000}"/>
    <hyperlink ref="O872" r:id="rId2381" xr:uid="{00000000-0004-0000-0000-00004C090000}"/>
    <hyperlink ref="D873" r:id="rId2382" xr:uid="{00000000-0004-0000-0000-00004D090000}"/>
    <hyperlink ref="E873" r:id="rId2383" xr:uid="{00000000-0004-0000-0000-00004E090000}"/>
    <hyperlink ref="O873" r:id="rId2384" xr:uid="{00000000-0004-0000-0000-00004F090000}"/>
    <hyperlink ref="D874" r:id="rId2385" xr:uid="{00000000-0004-0000-0000-000050090000}"/>
    <hyperlink ref="E874" r:id="rId2386" xr:uid="{00000000-0004-0000-0000-000051090000}"/>
    <hyperlink ref="O874" r:id="rId2387" xr:uid="{00000000-0004-0000-0000-000052090000}"/>
    <hyperlink ref="D875" r:id="rId2388" xr:uid="{00000000-0004-0000-0000-000053090000}"/>
    <hyperlink ref="E875" r:id="rId2389" xr:uid="{00000000-0004-0000-0000-000054090000}"/>
    <hyperlink ref="O875" r:id="rId2390" xr:uid="{00000000-0004-0000-0000-000055090000}"/>
    <hyperlink ref="E876" r:id="rId2391" xr:uid="{00000000-0004-0000-0000-000056090000}"/>
    <hyperlink ref="O876" r:id="rId2392" xr:uid="{00000000-0004-0000-0000-000057090000}"/>
    <hyperlink ref="E877" r:id="rId2393" xr:uid="{00000000-0004-0000-0000-000058090000}"/>
    <hyperlink ref="O877" r:id="rId2394" xr:uid="{00000000-0004-0000-0000-000059090000}"/>
    <hyperlink ref="E878" r:id="rId2395" xr:uid="{00000000-0004-0000-0000-00005A090000}"/>
    <hyperlink ref="O878" r:id="rId2396" xr:uid="{00000000-0004-0000-0000-00005B090000}"/>
    <hyperlink ref="E879" r:id="rId2397" xr:uid="{00000000-0004-0000-0000-00005C090000}"/>
    <hyperlink ref="O879" r:id="rId2398" xr:uid="{00000000-0004-0000-0000-00005D090000}"/>
    <hyperlink ref="D880" r:id="rId2399" xr:uid="{00000000-0004-0000-0000-00005E090000}"/>
    <hyperlink ref="E880" r:id="rId2400" xr:uid="{00000000-0004-0000-0000-00005F090000}"/>
    <hyperlink ref="O880" r:id="rId2401" xr:uid="{00000000-0004-0000-0000-000060090000}"/>
    <hyperlink ref="E881" r:id="rId2402" xr:uid="{00000000-0004-0000-0000-000061090000}"/>
    <hyperlink ref="O881" r:id="rId2403" xr:uid="{00000000-0004-0000-0000-000062090000}"/>
    <hyperlink ref="E882" r:id="rId2404" xr:uid="{00000000-0004-0000-0000-000063090000}"/>
    <hyperlink ref="O882" r:id="rId2405" xr:uid="{00000000-0004-0000-0000-000064090000}"/>
    <hyperlink ref="D883" r:id="rId2406" xr:uid="{00000000-0004-0000-0000-000065090000}"/>
    <hyperlink ref="E883" r:id="rId2407" xr:uid="{00000000-0004-0000-0000-000066090000}"/>
    <hyperlink ref="O883" r:id="rId2408" xr:uid="{00000000-0004-0000-0000-000067090000}"/>
    <hyperlink ref="D884" r:id="rId2409" xr:uid="{00000000-0004-0000-0000-000068090000}"/>
    <hyperlink ref="E884" r:id="rId2410" xr:uid="{00000000-0004-0000-0000-000069090000}"/>
    <hyperlink ref="O884" r:id="rId2411" xr:uid="{00000000-0004-0000-0000-00006A090000}"/>
    <hyperlink ref="D885" r:id="rId2412" xr:uid="{00000000-0004-0000-0000-00006B090000}"/>
    <hyperlink ref="E885" r:id="rId2413" xr:uid="{00000000-0004-0000-0000-00006C090000}"/>
    <hyperlink ref="O885" r:id="rId2414" xr:uid="{00000000-0004-0000-0000-00006D090000}"/>
    <hyperlink ref="D886" r:id="rId2415" xr:uid="{00000000-0004-0000-0000-00006E090000}"/>
    <hyperlink ref="E886" r:id="rId2416" xr:uid="{00000000-0004-0000-0000-00006F090000}"/>
    <hyperlink ref="O886" r:id="rId2417" xr:uid="{00000000-0004-0000-0000-000070090000}"/>
    <hyperlink ref="D887" r:id="rId2418" xr:uid="{00000000-0004-0000-0000-000071090000}"/>
    <hyperlink ref="E887" r:id="rId2419" xr:uid="{00000000-0004-0000-0000-000072090000}"/>
    <hyperlink ref="O887" r:id="rId2420" xr:uid="{00000000-0004-0000-0000-000073090000}"/>
    <hyperlink ref="D888" r:id="rId2421" xr:uid="{00000000-0004-0000-0000-000074090000}"/>
    <hyperlink ref="E888" r:id="rId2422" xr:uid="{00000000-0004-0000-0000-000075090000}"/>
    <hyperlink ref="O888" r:id="rId2423" xr:uid="{00000000-0004-0000-0000-000076090000}"/>
    <hyperlink ref="E889" r:id="rId2424" xr:uid="{00000000-0004-0000-0000-000077090000}"/>
    <hyperlink ref="O889" r:id="rId2425" xr:uid="{00000000-0004-0000-0000-000078090000}"/>
    <hyperlink ref="D890" r:id="rId2426" xr:uid="{00000000-0004-0000-0000-000079090000}"/>
    <hyperlink ref="E890" r:id="rId2427" xr:uid="{00000000-0004-0000-0000-00007A090000}"/>
    <hyperlink ref="O890" r:id="rId2428" xr:uid="{00000000-0004-0000-0000-00007B090000}"/>
    <hyperlink ref="D891" r:id="rId2429" xr:uid="{00000000-0004-0000-0000-00007C090000}"/>
    <hyperlink ref="E891" r:id="rId2430" xr:uid="{00000000-0004-0000-0000-00007D090000}"/>
    <hyperlink ref="O891" r:id="rId2431" xr:uid="{00000000-0004-0000-0000-00007E090000}"/>
    <hyperlink ref="E892" r:id="rId2432" xr:uid="{00000000-0004-0000-0000-00007F090000}"/>
    <hyperlink ref="O892" r:id="rId2433" xr:uid="{00000000-0004-0000-0000-000080090000}"/>
    <hyperlink ref="D893" r:id="rId2434" xr:uid="{00000000-0004-0000-0000-000081090000}"/>
    <hyperlink ref="E893" r:id="rId2435" xr:uid="{00000000-0004-0000-0000-000082090000}"/>
    <hyperlink ref="O893" r:id="rId2436" xr:uid="{00000000-0004-0000-0000-000083090000}"/>
    <hyperlink ref="D894" r:id="rId2437" xr:uid="{00000000-0004-0000-0000-000084090000}"/>
    <hyperlink ref="E894" r:id="rId2438" xr:uid="{00000000-0004-0000-0000-000085090000}"/>
    <hyperlink ref="O894" r:id="rId2439" xr:uid="{00000000-0004-0000-0000-000086090000}"/>
    <hyperlink ref="D895" r:id="rId2440" xr:uid="{00000000-0004-0000-0000-000087090000}"/>
    <hyperlink ref="E895" r:id="rId2441" xr:uid="{00000000-0004-0000-0000-000088090000}"/>
    <hyperlink ref="O895" r:id="rId2442" xr:uid="{00000000-0004-0000-0000-000089090000}"/>
    <hyperlink ref="E896" r:id="rId2443" xr:uid="{00000000-0004-0000-0000-00008A090000}"/>
    <hyperlink ref="O896" r:id="rId2444" xr:uid="{00000000-0004-0000-0000-00008B090000}"/>
    <hyperlink ref="D897" r:id="rId2445" xr:uid="{00000000-0004-0000-0000-00008C090000}"/>
    <hyperlink ref="E897" r:id="rId2446" xr:uid="{00000000-0004-0000-0000-00008D090000}"/>
    <hyperlink ref="O897" r:id="rId2447" xr:uid="{00000000-0004-0000-0000-00008E090000}"/>
    <hyperlink ref="D898" r:id="rId2448" xr:uid="{00000000-0004-0000-0000-00008F090000}"/>
    <hyperlink ref="E898" r:id="rId2449" xr:uid="{00000000-0004-0000-0000-000090090000}"/>
    <hyperlink ref="O898" r:id="rId2450" xr:uid="{00000000-0004-0000-0000-000091090000}"/>
    <hyperlink ref="E899" r:id="rId2451" xr:uid="{00000000-0004-0000-0000-000092090000}"/>
    <hyperlink ref="O899" r:id="rId2452" xr:uid="{00000000-0004-0000-0000-000093090000}"/>
    <hyperlink ref="D900" r:id="rId2453" xr:uid="{00000000-0004-0000-0000-000094090000}"/>
    <hyperlink ref="E900" r:id="rId2454" xr:uid="{00000000-0004-0000-0000-000095090000}"/>
    <hyperlink ref="O900" r:id="rId2455" xr:uid="{00000000-0004-0000-0000-000096090000}"/>
    <hyperlink ref="D901" r:id="rId2456" xr:uid="{00000000-0004-0000-0000-000097090000}"/>
    <hyperlink ref="E901" r:id="rId2457" xr:uid="{00000000-0004-0000-0000-000098090000}"/>
    <hyperlink ref="O901" r:id="rId2458" xr:uid="{00000000-0004-0000-0000-000099090000}"/>
    <hyperlink ref="D902" r:id="rId2459" xr:uid="{00000000-0004-0000-0000-00009A090000}"/>
    <hyperlink ref="E902" r:id="rId2460" xr:uid="{00000000-0004-0000-0000-00009B090000}"/>
    <hyperlink ref="O902" r:id="rId2461" xr:uid="{00000000-0004-0000-0000-00009C090000}"/>
    <hyperlink ref="D903" r:id="rId2462" xr:uid="{00000000-0004-0000-0000-00009D090000}"/>
    <hyperlink ref="E903" r:id="rId2463" xr:uid="{00000000-0004-0000-0000-00009E090000}"/>
    <hyperlink ref="O903" r:id="rId2464" xr:uid="{00000000-0004-0000-0000-00009F090000}"/>
    <hyperlink ref="E904" r:id="rId2465" xr:uid="{00000000-0004-0000-0000-0000A0090000}"/>
    <hyperlink ref="O904" r:id="rId2466" xr:uid="{00000000-0004-0000-0000-0000A1090000}"/>
    <hyperlink ref="E905" r:id="rId2467" xr:uid="{00000000-0004-0000-0000-0000A2090000}"/>
    <hyperlink ref="O905" r:id="rId2468" xr:uid="{00000000-0004-0000-0000-0000A3090000}"/>
    <hyperlink ref="D906" r:id="rId2469" xr:uid="{00000000-0004-0000-0000-0000A4090000}"/>
    <hyperlink ref="E906" r:id="rId2470" xr:uid="{00000000-0004-0000-0000-0000A5090000}"/>
    <hyperlink ref="O906" r:id="rId2471" xr:uid="{00000000-0004-0000-0000-0000A6090000}"/>
    <hyperlink ref="E907" r:id="rId2472" xr:uid="{00000000-0004-0000-0000-0000A7090000}"/>
    <hyperlink ref="O907" r:id="rId2473" xr:uid="{00000000-0004-0000-0000-0000A8090000}"/>
    <hyperlink ref="E908" r:id="rId2474" xr:uid="{00000000-0004-0000-0000-0000A9090000}"/>
    <hyperlink ref="O908" r:id="rId2475" xr:uid="{00000000-0004-0000-0000-0000AA090000}"/>
    <hyperlink ref="D909" r:id="rId2476" xr:uid="{00000000-0004-0000-0000-0000AB090000}"/>
    <hyperlink ref="E909" r:id="rId2477" xr:uid="{00000000-0004-0000-0000-0000AC090000}"/>
    <hyperlink ref="O909" r:id="rId2478" xr:uid="{00000000-0004-0000-0000-0000AD090000}"/>
    <hyperlink ref="D910" r:id="rId2479" xr:uid="{00000000-0004-0000-0000-0000AE090000}"/>
    <hyperlink ref="E910" r:id="rId2480" xr:uid="{00000000-0004-0000-0000-0000AF090000}"/>
    <hyperlink ref="O910" r:id="rId2481" xr:uid="{00000000-0004-0000-0000-0000B0090000}"/>
    <hyperlink ref="D911" r:id="rId2482" xr:uid="{00000000-0004-0000-0000-0000B1090000}"/>
    <hyperlink ref="E911" r:id="rId2483" xr:uid="{00000000-0004-0000-0000-0000B2090000}"/>
    <hyperlink ref="O911" r:id="rId2484" xr:uid="{00000000-0004-0000-0000-0000B3090000}"/>
    <hyperlink ref="E912" r:id="rId2485" xr:uid="{00000000-0004-0000-0000-0000B4090000}"/>
    <hyperlink ref="O912" r:id="rId2486" xr:uid="{00000000-0004-0000-0000-0000B5090000}"/>
    <hyperlink ref="E913" r:id="rId2487" xr:uid="{00000000-0004-0000-0000-0000B6090000}"/>
    <hyperlink ref="O913" r:id="rId2488" xr:uid="{00000000-0004-0000-0000-0000B7090000}"/>
    <hyperlink ref="D914" r:id="rId2489" xr:uid="{00000000-0004-0000-0000-0000B8090000}"/>
    <hyperlink ref="E914" r:id="rId2490" xr:uid="{00000000-0004-0000-0000-0000B9090000}"/>
    <hyperlink ref="O914" r:id="rId2491" xr:uid="{00000000-0004-0000-0000-0000BA090000}"/>
    <hyperlink ref="E915" r:id="rId2492" xr:uid="{00000000-0004-0000-0000-0000BB090000}"/>
    <hyperlink ref="O915" r:id="rId2493" xr:uid="{00000000-0004-0000-0000-0000BC090000}"/>
    <hyperlink ref="D916" r:id="rId2494" xr:uid="{00000000-0004-0000-0000-0000BD090000}"/>
    <hyperlink ref="E916" r:id="rId2495" xr:uid="{00000000-0004-0000-0000-0000BE090000}"/>
    <hyperlink ref="O916" r:id="rId2496" xr:uid="{00000000-0004-0000-0000-0000BF090000}"/>
    <hyperlink ref="D917" r:id="rId2497" xr:uid="{00000000-0004-0000-0000-0000C0090000}"/>
    <hyperlink ref="E917" r:id="rId2498" xr:uid="{00000000-0004-0000-0000-0000C1090000}"/>
    <hyperlink ref="O917" r:id="rId2499" xr:uid="{00000000-0004-0000-0000-0000C2090000}"/>
    <hyperlink ref="D918" r:id="rId2500" xr:uid="{00000000-0004-0000-0000-0000C3090000}"/>
    <hyperlink ref="E918" r:id="rId2501" xr:uid="{00000000-0004-0000-0000-0000C4090000}"/>
    <hyperlink ref="O918" r:id="rId2502" xr:uid="{00000000-0004-0000-0000-0000C5090000}"/>
    <hyperlink ref="E919" r:id="rId2503" xr:uid="{00000000-0004-0000-0000-0000C6090000}"/>
    <hyperlink ref="O919" r:id="rId2504" xr:uid="{00000000-0004-0000-0000-0000C7090000}"/>
    <hyperlink ref="E920" r:id="rId2505" xr:uid="{00000000-0004-0000-0000-0000C8090000}"/>
    <hyperlink ref="O920" r:id="rId2506" xr:uid="{00000000-0004-0000-0000-0000C9090000}"/>
    <hyperlink ref="E921" r:id="rId2507" xr:uid="{00000000-0004-0000-0000-0000CA090000}"/>
    <hyperlink ref="O921" r:id="rId2508" xr:uid="{00000000-0004-0000-0000-0000CB090000}"/>
    <hyperlink ref="D922" r:id="rId2509" xr:uid="{00000000-0004-0000-0000-0000CC090000}"/>
    <hyperlink ref="E922" r:id="rId2510" xr:uid="{00000000-0004-0000-0000-0000CD090000}"/>
    <hyperlink ref="O922" r:id="rId2511" xr:uid="{00000000-0004-0000-0000-0000CE090000}"/>
    <hyperlink ref="D923" r:id="rId2512" xr:uid="{00000000-0004-0000-0000-0000CF090000}"/>
    <hyperlink ref="E923" r:id="rId2513" xr:uid="{00000000-0004-0000-0000-0000D0090000}"/>
    <hyperlink ref="O923" r:id="rId2514" xr:uid="{00000000-0004-0000-0000-0000D1090000}"/>
    <hyperlink ref="D924" r:id="rId2515" xr:uid="{00000000-0004-0000-0000-0000D2090000}"/>
    <hyperlink ref="E924" r:id="rId2516" xr:uid="{00000000-0004-0000-0000-0000D3090000}"/>
    <hyperlink ref="O924" r:id="rId2517" xr:uid="{00000000-0004-0000-0000-0000D4090000}"/>
    <hyperlink ref="D925" r:id="rId2518" xr:uid="{00000000-0004-0000-0000-0000D5090000}"/>
    <hyperlink ref="E925" r:id="rId2519" xr:uid="{00000000-0004-0000-0000-0000D6090000}"/>
    <hyperlink ref="O925" r:id="rId2520" xr:uid="{00000000-0004-0000-0000-0000D7090000}"/>
    <hyperlink ref="D926" r:id="rId2521" xr:uid="{00000000-0004-0000-0000-0000D8090000}"/>
    <hyperlink ref="E926" r:id="rId2522" xr:uid="{00000000-0004-0000-0000-0000D9090000}"/>
    <hyperlink ref="O926" r:id="rId2523" xr:uid="{00000000-0004-0000-0000-0000DA090000}"/>
    <hyperlink ref="D927" r:id="rId2524" xr:uid="{00000000-0004-0000-0000-0000DB090000}"/>
    <hyperlink ref="E927" r:id="rId2525" xr:uid="{00000000-0004-0000-0000-0000DC090000}"/>
    <hyperlink ref="O927" r:id="rId2526" xr:uid="{00000000-0004-0000-0000-0000DD090000}"/>
    <hyperlink ref="E928" r:id="rId2527" xr:uid="{00000000-0004-0000-0000-0000DE090000}"/>
    <hyperlink ref="O928" r:id="rId2528" xr:uid="{00000000-0004-0000-0000-0000DF090000}"/>
    <hyperlink ref="D929" r:id="rId2529" xr:uid="{00000000-0004-0000-0000-0000E0090000}"/>
    <hyperlink ref="E929" r:id="rId2530" xr:uid="{00000000-0004-0000-0000-0000E1090000}"/>
    <hyperlink ref="O929" r:id="rId2531" xr:uid="{00000000-0004-0000-0000-0000E2090000}"/>
    <hyperlink ref="D930" r:id="rId2532" xr:uid="{00000000-0004-0000-0000-0000E3090000}"/>
    <hyperlink ref="E930" r:id="rId2533" xr:uid="{00000000-0004-0000-0000-0000E4090000}"/>
    <hyperlink ref="O930" r:id="rId2534" xr:uid="{00000000-0004-0000-0000-0000E5090000}"/>
    <hyperlink ref="D931" r:id="rId2535" xr:uid="{00000000-0004-0000-0000-0000E6090000}"/>
    <hyperlink ref="E931" r:id="rId2536" xr:uid="{00000000-0004-0000-0000-0000E7090000}"/>
    <hyperlink ref="O931" r:id="rId2537" xr:uid="{00000000-0004-0000-0000-0000E8090000}"/>
    <hyperlink ref="D932" r:id="rId2538" xr:uid="{00000000-0004-0000-0000-0000E9090000}"/>
    <hyperlink ref="E932" r:id="rId2539" xr:uid="{00000000-0004-0000-0000-0000EA090000}"/>
    <hyperlink ref="O932" r:id="rId2540" xr:uid="{00000000-0004-0000-0000-0000EB090000}"/>
    <hyperlink ref="D933" r:id="rId2541" xr:uid="{00000000-0004-0000-0000-0000EC090000}"/>
    <hyperlink ref="E933" r:id="rId2542" xr:uid="{00000000-0004-0000-0000-0000ED090000}"/>
    <hyperlink ref="O933" r:id="rId2543" xr:uid="{00000000-0004-0000-0000-0000EE090000}"/>
    <hyperlink ref="D934" r:id="rId2544" xr:uid="{00000000-0004-0000-0000-0000EF090000}"/>
    <hyperlink ref="E934" r:id="rId2545" xr:uid="{00000000-0004-0000-0000-0000F0090000}"/>
    <hyperlink ref="O934" r:id="rId2546" xr:uid="{00000000-0004-0000-0000-0000F1090000}"/>
    <hyperlink ref="E935" r:id="rId2547" xr:uid="{00000000-0004-0000-0000-0000F2090000}"/>
    <hyperlink ref="O935" r:id="rId2548" xr:uid="{00000000-0004-0000-0000-0000F3090000}"/>
    <hyperlink ref="E936" r:id="rId2549" xr:uid="{00000000-0004-0000-0000-0000F4090000}"/>
    <hyperlink ref="O936" r:id="rId2550" xr:uid="{00000000-0004-0000-0000-0000F5090000}"/>
    <hyperlink ref="E937" r:id="rId2551" xr:uid="{00000000-0004-0000-0000-0000F6090000}"/>
    <hyperlink ref="O937" r:id="rId2552" xr:uid="{00000000-0004-0000-0000-0000F7090000}"/>
    <hyperlink ref="E938" r:id="rId2553" xr:uid="{00000000-0004-0000-0000-0000F8090000}"/>
    <hyperlink ref="O938" r:id="rId2554" xr:uid="{00000000-0004-0000-0000-0000F9090000}"/>
    <hyperlink ref="E939" r:id="rId2555" xr:uid="{00000000-0004-0000-0000-0000FA090000}"/>
    <hyperlink ref="O939" r:id="rId2556" xr:uid="{00000000-0004-0000-0000-0000FB090000}"/>
    <hyperlink ref="E940" r:id="rId2557" xr:uid="{00000000-0004-0000-0000-0000FC090000}"/>
    <hyperlink ref="O940" r:id="rId2558" xr:uid="{00000000-0004-0000-0000-0000FD090000}"/>
    <hyperlink ref="D941" r:id="rId2559" xr:uid="{00000000-0004-0000-0000-0000FE090000}"/>
    <hyperlink ref="E941" r:id="rId2560" xr:uid="{00000000-0004-0000-0000-0000FF090000}"/>
    <hyperlink ref="O941" r:id="rId2561" xr:uid="{00000000-0004-0000-0000-0000000A0000}"/>
    <hyperlink ref="D942" r:id="rId2562" xr:uid="{00000000-0004-0000-0000-0000010A0000}"/>
    <hyperlink ref="E942" r:id="rId2563" xr:uid="{00000000-0004-0000-0000-0000020A0000}"/>
    <hyperlink ref="O942" r:id="rId2564" xr:uid="{00000000-0004-0000-0000-0000030A0000}"/>
    <hyperlink ref="E943" r:id="rId2565" xr:uid="{00000000-0004-0000-0000-0000040A0000}"/>
    <hyperlink ref="O943" r:id="rId2566" xr:uid="{00000000-0004-0000-0000-0000050A0000}"/>
    <hyperlink ref="D944" r:id="rId2567" xr:uid="{00000000-0004-0000-0000-0000060A0000}"/>
    <hyperlink ref="E944" r:id="rId2568" xr:uid="{00000000-0004-0000-0000-0000070A0000}"/>
    <hyperlink ref="O944" r:id="rId2569" xr:uid="{00000000-0004-0000-0000-0000080A0000}"/>
    <hyperlink ref="D945" r:id="rId2570" xr:uid="{00000000-0004-0000-0000-0000090A0000}"/>
    <hyperlink ref="E945" r:id="rId2571" xr:uid="{00000000-0004-0000-0000-00000A0A0000}"/>
    <hyperlink ref="O945" r:id="rId2572" xr:uid="{00000000-0004-0000-0000-00000B0A0000}"/>
    <hyperlink ref="D946" r:id="rId2573" xr:uid="{00000000-0004-0000-0000-00000C0A0000}"/>
    <hyperlink ref="E946" r:id="rId2574" xr:uid="{00000000-0004-0000-0000-00000D0A0000}"/>
    <hyperlink ref="O946" r:id="rId2575" xr:uid="{00000000-0004-0000-0000-00000E0A0000}"/>
    <hyperlink ref="E947" r:id="rId2576" xr:uid="{00000000-0004-0000-0000-00000F0A0000}"/>
    <hyperlink ref="O947" r:id="rId2577" xr:uid="{00000000-0004-0000-0000-0000100A0000}"/>
    <hyperlink ref="D948" r:id="rId2578" xr:uid="{00000000-0004-0000-0000-0000110A0000}"/>
    <hyperlink ref="E948" r:id="rId2579" xr:uid="{00000000-0004-0000-0000-0000120A0000}"/>
    <hyperlink ref="O948" r:id="rId2580" xr:uid="{00000000-0004-0000-0000-0000130A0000}"/>
    <hyperlink ref="E949" r:id="rId2581" xr:uid="{00000000-0004-0000-0000-0000140A0000}"/>
    <hyperlink ref="O949" r:id="rId2582" xr:uid="{00000000-0004-0000-0000-0000150A0000}"/>
    <hyperlink ref="D950" r:id="rId2583" xr:uid="{00000000-0004-0000-0000-0000160A0000}"/>
    <hyperlink ref="E950" r:id="rId2584" xr:uid="{00000000-0004-0000-0000-0000170A0000}"/>
    <hyperlink ref="O950" r:id="rId2585" xr:uid="{00000000-0004-0000-0000-0000180A0000}"/>
    <hyperlink ref="D951" r:id="rId2586" xr:uid="{00000000-0004-0000-0000-0000190A0000}"/>
    <hyperlink ref="E951" r:id="rId2587" xr:uid="{00000000-0004-0000-0000-00001A0A0000}"/>
    <hyperlink ref="O951" r:id="rId2588" xr:uid="{00000000-0004-0000-0000-00001B0A0000}"/>
    <hyperlink ref="D952" r:id="rId2589" xr:uid="{00000000-0004-0000-0000-00001C0A0000}"/>
    <hyperlink ref="E952" r:id="rId2590" xr:uid="{00000000-0004-0000-0000-00001D0A0000}"/>
    <hyperlink ref="O952" r:id="rId2591" xr:uid="{00000000-0004-0000-0000-00001E0A0000}"/>
    <hyperlink ref="D953" r:id="rId2592" xr:uid="{00000000-0004-0000-0000-00001F0A0000}"/>
    <hyperlink ref="E953" r:id="rId2593" xr:uid="{00000000-0004-0000-0000-0000200A0000}"/>
    <hyperlink ref="O953" r:id="rId2594" xr:uid="{00000000-0004-0000-0000-0000210A0000}"/>
    <hyperlink ref="E954" r:id="rId2595" xr:uid="{00000000-0004-0000-0000-0000220A0000}"/>
    <hyperlink ref="O954" r:id="rId2596" xr:uid="{00000000-0004-0000-0000-0000230A0000}"/>
    <hyperlink ref="E955" r:id="rId2597" xr:uid="{00000000-0004-0000-0000-0000240A0000}"/>
    <hyperlink ref="O955" r:id="rId2598" xr:uid="{00000000-0004-0000-0000-0000250A0000}"/>
    <hyperlink ref="D956" r:id="rId2599" xr:uid="{00000000-0004-0000-0000-0000260A0000}"/>
    <hyperlink ref="E956" r:id="rId2600" xr:uid="{00000000-0004-0000-0000-0000270A0000}"/>
    <hyperlink ref="O956" r:id="rId2601" xr:uid="{00000000-0004-0000-0000-0000280A0000}"/>
    <hyperlink ref="E957" r:id="rId2602" xr:uid="{00000000-0004-0000-0000-0000290A0000}"/>
    <hyperlink ref="O957" r:id="rId2603" xr:uid="{00000000-0004-0000-0000-00002A0A0000}"/>
    <hyperlink ref="D958" r:id="rId2604" xr:uid="{00000000-0004-0000-0000-00002B0A0000}"/>
    <hyperlink ref="E958" r:id="rId2605" xr:uid="{00000000-0004-0000-0000-00002C0A0000}"/>
    <hyperlink ref="O958" r:id="rId2606" xr:uid="{00000000-0004-0000-0000-00002D0A0000}"/>
    <hyperlink ref="D959" r:id="rId2607" xr:uid="{00000000-0004-0000-0000-00002E0A0000}"/>
    <hyperlink ref="E959" r:id="rId2608" xr:uid="{00000000-0004-0000-0000-00002F0A0000}"/>
    <hyperlink ref="O959" r:id="rId2609" xr:uid="{00000000-0004-0000-0000-0000300A0000}"/>
    <hyperlink ref="D960" r:id="rId2610" xr:uid="{00000000-0004-0000-0000-0000310A0000}"/>
    <hyperlink ref="E960" r:id="rId2611" xr:uid="{00000000-0004-0000-0000-0000320A0000}"/>
    <hyperlink ref="O960" r:id="rId2612" xr:uid="{00000000-0004-0000-0000-0000330A0000}"/>
    <hyperlink ref="E961" r:id="rId2613" xr:uid="{00000000-0004-0000-0000-0000340A0000}"/>
    <hyperlink ref="O961" r:id="rId2614" xr:uid="{00000000-0004-0000-0000-0000350A0000}"/>
    <hyperlink ref="D962" r:id="rId2615" xr:uid="{00000000-0004-0000-0000-0000360A0000}"/>
    <hyperlink ref="E962" r:id="rId2616" xr:uid="{00000000-0004-0000-0000-0000370A0000}"/>
    <hyperlink ref="O962" r:id="rId2617" xr:uid="{00000000-0004-0000-0000-0000380A0000}"/>
    <hyperlink ref="E963" r:id="rId2618" xr:uid="{00000000-0004-0000-0000-0000390A0000}"/>
    <hyperlink ref="O963" r:id="rId2619" xr:uid="{00000000-0004-0000-0000-00003A0A0000}"/>
    <hyperlink ref="E964" r:id="rId2620" xr:uid="{00000000-0004-0000-0000-00003B0A0000}"/>
    <hyperlink ref="O964" r:id="rId2621" xr:uid="{00000000-0004-0000-0000-00003C0A0000}"/>
    <hyperlink ref="E965" r:id="rId2622" xr:uid="{00000000-0004-0000-0000-00003D0A0000}"/>
    <hyperlink ref="O965" r:id="rId2623" xr:uid="{00000000-0004-0000-0000-00003E0A0000}"/>
    <hyperlink ref="E966" r:id="rId2624" xr:uid="{00000000-0004-0000-0000-00003F0A0000}"/>
    <hyperlink ref="O966" r:id="rId2625" xr:uid="{00000000-0004-0000-0000-0000400A0000}"/>
    <hyperlink ref="D967" r:id="rId2626" xr:uid="{00000000-0004-0000-0000-0000410A0000}"/>
    <hyperlink ref="E967" r:id="rId2627" xr:uid="{00000000-0004-0000-0000-0000420A0000}"/>
    <hyperlink ref="O967" r:id="rId2628" xr:uid="{00000000-0004-0000-0000-0000430A0000}"/>
    <hyperlink ref="E968" r:id="rId2629" xr:uid="{00000000-0004-0000-0000-0000440A0000}"/>
    <hyperlink ref="O968" r:id="rId2630" xr:uid="{00000000-0004-0000-0000-0000450A0000}"/>
    <hyperlink ref="D969" r:id="rId2631" xr:uid="{00000000-0004-0000-0000-0000460A0000}"/>
    <hyperlink ref="E969" r:id="rId2632" xr:uid="{00000000-0004-0000-0000-0000470A0000}"/>
    <hyperlink ref="O969" r:id="rId2633" xr:uid="{00000000-0004-0000-0000-0000480A0000}"/>
    <hyperlink ref="D970" r:id="rId2634" xr:uid="{00000000-0004-0000-0000-0000490A0000}"/>
    <hyperlink ref="E970" r:id="rId2635" xr:uid="{00000000-0004-0000-0000-00004A0A0000}"/>
    <hyperlink ref="O970" r:id="rId2636" xr:uid="{00000000-0004-0000-0000-00004B0A0000}"/>
    <hyperlink ref="D971" r:id="rId2637" xr:uid="{00000000-0004-0000-0000-00004C0A0000}"/>
    <hyperlink ref="E971" r:id="rId2638" xr:uid="{00000000-0004-0000-0000-00004D0A0000}"/>
    <hyperlink ref="O971" r:id="rId2639" xr:uid="{00000000-0004-0000-0000-00004E0A0000}"/>
    <hyperlink ref="E972" r:id="rId2640" xr:uid="{00000000-0004-0000-0000-00004F0A0000}"/>
    <hyperlink ref="O972" r:id="rId2641" xr:uid="{00000000-0004-0000-0000-0000500A0000}"/>
    <hyperlink ref="E973" r:id="rId2642" xr:uid="{00000000-0004-0000-0000-0000510A0000}"/>
    <hyperlink ref="O973" r:id="rId2643" xr:uid="{00000000-0004-0000-0000-0000520A0000}"/>
    <hyperlink ref="E974" r:id="rId2644" xr:uid="{00000000-0004-0000-0000-0000530A0000}"/>
    <hyperlink ref="O974" r:id="rId2645" xr:uid="{00000000-0004-0000-0000-0000540A0000}"/>
    <hyperlink ref="E975" r:id="rId2646" xr:uid="{00000000-0004-0000-0000-0000550A0000}"/>
    <hyperlink ref="O975" r:id="rId2647" xr:uid="{00000000-0004-0000-0000-0000560A0000}"/>
    <hyperlink ref="E976" r:id="rId2648" xr:uid="{00000000-0004-0000-0000-0000570A0000}"/>
    <hyperlink ref="O976" r:id="rId2649" xr:uid="{00000000-0004-0000-0000-0000580A0000}"/>
    <hyperlink ref="D977" r:id="rId2650" xr:uid="{00000000-0004-0000-0000-0000590A0000}"/>
    <hyperlink ref="E977" r:id="rId2651" xr:uid="{00000000-0004-0000-0000-00005A0A0000}"/>
    <hyperlink ref="O977" r:id="rId2652" xr:uid="{00000000-0004-0000-0000-00005B0A0000}"/>
    <hyperlink ref="D978" r:id="rId2653" xr:uid="{00000000-0004-0000-0000-00005C0A0000}"/>
    <hyperlink ref="E978" r:id="rId2654" xr:uid="{00000000-0004-0000-0000-00005D0A0000}"/>
    <hyperlink ref="O978" r:id="rId2655" xr:uid="{00000000-0004-0000-0000-00005E0A0000}"/>
    <hyperlink ref="D979" r:id="rId2656" xr:uid="{00000000-0004-0000-0000-00005F0A0000}"/>
    <hyperlink ref="E979" r:id="rId2657" xr:uid="{00000000-0004-0000-0000-0000600A0000}"/>
    <hyperlink ref="O979" r:id="rId2658" xr:uid="{00000000-0004-0000-0000-0000610A0000}"/>
    <hyperlink ref="E980" r:id="rId2659" xr:uid="{00000000-0004-0000-0000-0000620A0000}"/>
    <hyperlink ref="O980" r:id="rId2660" xr:uid="{00000000-0004-0000-0000-0000630A0000}"/>
    <hyperlink ref="E981" r:id="rId2661" xr:uid="{00000000-0004-0000-0000-0000640A0000}"/>
    <hyperlink ref="O981" r:id="rId2662" xr:uid="{00000000-0004-0000-0000-0000650A0000}"/>
    <hyperlink ref="D982" r:id="rId2663" xr:uid="{00000000-0004-0000-0000-0000660A0000}"/>
    <hyperlink ref="E982" r:id="rId2664" xr:uid="{00000000-0004-0000-0000-0000670A0000}"/>
    <hyperlink ref="O982" r:id="rId2665" xr:uid="{00000000-0004-0000-0000-0000680A0000}"/>
    <hyperlink ref="D983" r:id="rId2666" xr:uid="{00000000-0004-0000-0000-0000690A0000}"/>
    <hyperlink ref="E983" r:id="rId2667" xr:uid="{00000000-0004-0000-0000-00006A0A0000}"/>
    <hyperlink ref="O983" r:id="rId2668" xr:uid="{00000000-0004-0000-0000-00006B0A0000}"/>
    <hyperlink ref="E984" r:id="rId2669" xr:uid="{00000000-0004-0000-0000-00006C0A0000}"/>
    <hyperlink ref="O984" r:id="rId2670" xr:uid="{00000000-0004-0000-0000-00006D0A0000}"/>
    <hyperlink ref="D985" r:id="rId2671" xr:uid="{00000000-0004-0000-0000-00006E0A0000}"/>
    <hyperlink ref="E985" r:id="rId2672" xr:uid="{00000000-0004-0000-0000-00006F0A0000}"/>
    <hyperlink ref="O985" r:id="rId2673" xr:uid="{00000000-0004-0000-0000-0000700A0000}"/>
    <hyperlink ref="D986" r:id="rId2674" xr:uid="{00000000-0004-0000-0000-0000710A0000}"/>
    <hyperlink ref="E986" r:id="rId2675" xr:uid="{00000000-0004-0000-0000-0000720A0000}"/>
    <hyperlink ref="O986" r:id="rId2676" xr:uid="{00000000-0004-0000-0000-0000730A0000}"/>
    <hyperlink ref="D987" r:id="rId2677" xr:uid="{00000000-0004-0000-0000-0000740A0000}"/>
    <hyperlink ref="E987" r:id="rId2678" xr:uid="{00000000-0004-0000-0000-0000750A0000}"/>
    <hyperlink ref="O987" r:id="rId2679" xr:uid="{00000000-0004-0000-0000-0000760A0000}"/>
    <hyperlink ref="E988" r:id="rId2680" xr:uid="{00000000-0004-0000-0000-0000770A0000}"/>
    <hyperlink ref="O988" r:id="rId2681" xr:uid="{00000000-0004-0000-0000-0000780A0000}"/>
    <hyperlink ref="E989" r:id="rId2682" xr:uid="{00000000-0004-0000-0000-0000790A0000}"/>
    <hyperlink ref="O989" r:id="rId2683" xr:uid="{00000000-0004-0000-0000-00007A0A0000}"/>
    <hyperlink ref="E990" r:id="rId2684" xr:uid="{00000000-0004-0000-0000-00007B0A0000}"/>
    <hyperlink ref="O990" r:id="rId2685" xr:uid="{00000000-0004-0000-0000-00007C0A0000}"/>
    <hyperlink ref="D991" r:id="rId2686" xr:uid="{00000000-0004-0000-0000-00007D0A0000}"/>
    <hyperlink ref="E991" r:id="rId2687" xr:uid="{00000000-0004-0000-0000-00007E0A0000}"/>
    <hyperlink ref="O991" r:id="rId2688" xr:uid="{00000000-0004-0000-0000-00007F0A0000}"/>
    <hyperlink ref="D992" r:id="rId2689" xr:uid="{00000000-0004-0000-0000-0000800A0000}"/>
    <hyperlink ref="E992" r:id="rId2690" xr:uid="{00000000-0004-0000-0000-0000810A0000}"/>
    <hyperlink ref="O992" r:id="rId2691" xr:uid="{00000000-0004-0000-0000-0000820A0000}"/>
    <hyperlink ref="E993" r:id="rId2692" xr:uid="{00000000-0004-0000-0000-0000830A0000}"/>
    <hyperlink ref="O993" r:id="rId2693" xr:uid="{00000000-0004-0000-0000-0000840A0000}"/>
    <hyperlink ref="D994" r:id="rId2694" xr:uid="{00000000-0004-0000-0000-0000850A0000}"/>
    <hyperlink ref="E994" r:id="rId2695" xr:uid="{00000000-0004-0000-0000-0000860A0000}"/>
    <hyperlink ref="O994" r:id="rId2696" xr:uid="{00000000-0004-0000-0000-0000870A0000}"/>
    <hyperlink ref="D995" r:id="rId2697" xr:uid="{00000000-0004-0000-0000-0000880A0000}"/>
    <hyperlink ref="E995" r:id="rId2698" xr:uid="{00000000-0004-0000-0000-0000890A0000}"/>
    <hyperlink ref="O995" r:id="rId2699" xr:uid="{00000000-0004-0000-0000-00008A0A0000}"/>
    <hyperlink ref="D996" r:id="rId2700" xr:uid="{00000000-0004-0000-0000-00008B0A0000}"/>
    <hyperlink ref="E996" r:id="rId2701" xr:uid="{00000000-0004-0000-0000-00008C0A0000}"/>
    <hyperlink ref="O996" r:id="rId2702" xr:uid="{00000000-0004-0000-0000-00008D0A0000}"/>
    <hyperlink ref="E997" r:id="rId2703" xr:uid="{00000000-0004-0000-0000-00008E0A0000}"/>
    <hyperlink ref="O997" r:id="rId2704" xr:uid="{00000000-0004-0000-0000-00008F0A0000}"/>
    <hyperlink ref="E998" r:id="rId2705" xr:uid="{00000000-0004-0000-0000-0000900A0000}"/>
    <hyperlink ref="O998" r:id="rId2706" xr:uid="{00000000-0004-0000-0000-0000910A0000}"/>
    <hyperlink ref="E999" r:id="rId2707" xr:uid="{00000000-0004-0000-0000-0000920A0000}"/>
    <hyperlink ref="O999" r:id="rId2708" xr:uid="{00000000-0004-0000-0000-0000930A0000}"/>
    <hyperlink ref="D1000" r:id="rId2709" xr:uid="{00000000-0004-0000-0000-0000940A0000}"/>
    <hyperlink ref="E1000" r:id="rId2710" xr:uid="{00000000-0004-0000-0000-0000950A0000}"/>
    <hyperlink ref="O1000" r:id="rId2711" xr:uid="{00000000-0004-0000-0000-0000960A0000}"/>
    <hyperlink ref="E1001" r:id="rId2712" xr:uid="{00000000-0004-0000-0000-0000970A0000}"/>
    <hyperlink ref="O1001" r:id="rId2713" xr:uid="{00000000-0004-0000-0000-0000980A0000}"/>
    <hyperlink ref="E1002" r:id="rId2714" xr:uid="{00000000-0004-0000-0000-0000990A0000}"/>
    <hyperlink ref="O1002" r:id="rId2715" xr:uid="{00000000-0004-0000-0000-00009A0A0000}"/>
    <hyperlink ref="D1003" r:id="rId2716" xr:uid="{00000000-0004-0000-0000-00009B0A0000}"/>
    <hyperlink ref="E1003" r:id="rId2717" xr:uid="{00000000-0004-0000-0000-00009C0A0000}"/>
    <hyperlink ref="O1003" r:id="rId2718" xr:uid="{00000000-0004-0000-0000-00009D0A0000}"/>
    <hyperlink ref="D1004" r:id="rId2719" xr:uid="{00000000-0004-0000-0000-00009E0A0000}"/>
    <hyperlink ref="E1004" r:id="rId2720" xr:uid="{00000000-0004-0000-0000-00009F0A0000}"/>
    <hyperlink ref="O1004" r:id="rId2721" xr:uid="{00000000-0004-0000-0000-0000A00A0000}"/>
    <hyperlink ref="D1005" r:id="rId2722" xr:uid="{00000000-0004-0000-0000-0000A10A0000}"/>
    <hyperlink ref="E1005" r:id="rId2723" xr:uid="{00000000-0004-0000-0000-0000A20A0000}"/>
    <hyperlink ref="O1005" r:id="rId2724" xr:uid="{00000000-0004-0000-0000-0000A30A0000}"/>
    <hyperlink ref="D1006" r:id="rId2725" xr:uid="{00000000-0004-0000-0000-0000A40A0000}"/>
    <hyperlink ref="E1006" r:id="rId2726" xr:uid="{00000000-0004-0000-0000-0000A50A0000}"/>
    <hyperlink ref="O1006" r:id="rId2727" xr:uid="{00000000-0004-0000-0000-0000A60A0000}"/>
    <hyperlink ref="D1007" r:id="rId2728" xr:uid="{00000000-0004-0000-0000-0000A70A0000}"/>
    <hyperlink ref="E1007" r:id="rId2729" xr:uid="{00000000-0004-0000-0000-0000A80A0000}"/>
    <hyperlink ref="O1007" r:id="rId2730" xr:uid="{00000000-0004-0000-0000-0000A90A0000}"/>
    <hyperlink ref="D1008" r:id="rId2731" xr:uid="{00000000-0004-0000-0000-0000AA0A0000}"/>
    <hyperlink ref="E1008" r:id="rId2732" xr:uid="{00000000-0004-0000-0000-0000AB0A0000}"/>
    <hyperlink ref="O1008" r:id="rId2733" xr:uid="{00000000-0004-0000-0000-0000AC0A0000}"/>
    <hyperlink ref="D1009" r:id="rId2734" xr:uid="{00000000-0004-0000-0000-0000AD0A0000}"/>
    <hyperlink ref="E1009" r:id="rId2735" xr:uid="{00000000-0004-0000-0000-0000AE0A0000}"/>
    <hyperlink ref="O1009" r:id="rId2736" xr:uid="{00000000-0004-0000-0000-0000AF0A0000}"/>
    <hyperlink ref="E1010" r:id="rId2737" xr:uid="{00000000-0004-0000-0000-0000B00A0000}"/>
    <hyperlink ref="O1010" r:id="rId2738" xr:uid="{00000000-0004-0000-0000-0000B10A0000}"/>
    <hyperlink ref="E1011" r:id="rId2739" xr:uid="{00000000-0004-0000-0000-0000B20A0000}"/>
    <hyperlink ref="O1011" r:id="rId2740" xr:uid="{00000000-0004-0000-0000-0000B30A0000}"/>
    <hyperlink ref="D1012" r:id="rId2741" xr:uid="{00000000-0004-0000-0000-0000B40A0000}"/>
    <hyperlink ref="E1012" r:id="rId2742" xr:uid="{00000000-0004-0000-0000-0000B50A0000}"/>
    <hyperlink ref="O1012" r:id="rId2743" xr:uid="{00000000-0004-0000-0000-0000B60A0000}"/>
    <hyperlink ref="E1013" r:id="rId2744" xr:uid="{00000000-0004-0000-0000-0000B70A0000}"/>
    <hyperlink ref="O1013" r:id="rId2745" xr:uid="{00000000-0004-0000-0000-0000B80A0000}"/>
    <hyperlink ref="E1014" r:id="rId2746" xr:uid="{00000000-0004-0000-0000-0000B90A0000}"/>
    <hyperlink ref="O1014" r:id="rId2747" xr:uid="{00000000-0004-0000-0000-0000BA0A0000}"/>
    <hyperlink ref="D1015" r:id="rId2748" xr:uid="{00000000-0004-0000-0000-0000BB0A0000}"/>
    <hyperlink ref="E1015" r:id="rId2749" xr:uid="{00000000-0004-0000-0000-0000BC0A0000}"/>
    <hyperlink ref="O1015" r:id="rId2750" xr:uid="{00000000-0004-0000-0000-0000BD0A0000}"/>
    <hyperlink ref="D1016" r:id="rId2751" xr:uid="{00000000-0004-0000-0000-0000BE0A0000}"/>
    <hyperlink ref="E1016" r:id="rId2752" xr:uid="{00000000-0004-0000-0000-0000BF0A0000}"/>
    <hyperlink ref="O1016" r:id="rId2753" xr:uid="{00000000-0004-0000-0000-0000C00A0000}"/>
    <hyperlink ref="E1017" r:id="rId2754" xr:uid="{00000000-0004-0000-0000-0000C10A0000}"/>
    <hyperlink ref="O1017" r:id="rId2755" xr:uid="{00000000-0004-0000-0000-0000C20A0000}"/>
    <hyperlink ref="E1018" r:id="rId2756" xr:uid="{00000000-0004-0000-0000-0000C30A0000}"/>
    <hyperlink ref="O1018" r:id="rId2757" xr:uid="{00000000-0004-0000-0000-0000C40A0000}"/>
    <hyperlink ref="E1019" r:id="rId2758" xr:uid="{00000000-0004-0000-0000-0000C50A0000}"/>
    <hyperlink ref="O1019" r:id="rId2759" xr:uid="{00000000-0004-0000-0000-0000C60A0000}"/>
    <hyperlink ref="E1020" r:id="rId2760" xr:uid="{00000000-0004-0000-0000-0000C70A0000}"/>
    <hyperlink ref="O1020" r:id="rId2761" xr:uid="{00000000-0004-0000-0000-0000C80A0000}"/>
    <hyperlink ref="D1021" r:id="rId2762" xr:uid="{00000000-0004-0000-0000-0000C90A0000}"/>
    <hyperlink ref="E1021" r:id="rId2763" xr:uid="{00000000-0004-0000-0000-0000CA0A0000}"/>
    <hyperlink ref="O1021" r:id="rId2764" xr:uid="{00000000-0004-0000-0000-0000CB0A0000}"/>
    <hyperlink ref="E1022" r:id="rId2765" xr:uid="{00000000-0004-0000-0000-0000CC0A0000}"/>
    <hyperlink ref="O1022" r:id="rId2766" xr:uid="{00000000-0004-0000-0000-0000CD0A0000}"/>
    <hyperlink ref="D1023" r:id="rId2767" xr:uid="{00000000-0004-0000-0000-0000CE0A0000}"/>
    <hyperlink ref="E1023" r:id="rId2768" xr:uid="{00000000-0004-0000-0000-0000CF0A0000}"/>
    <hyperlink ref="O1023" r:id="rId2769" xr:uid="{00000000-0004-0000-0000-0000D00A0000}"/>
    <hyperlink ref="E1024" r:id="rId2770" xr:uid="{00000000-0004-0000-0000-0000D10A0000}"/>
    <hyperlink ref="O1024" r:id="rId2771" xr:uid="{00000000-0004-0000-0000-0000D20A0000}"/>
    <hyperlink ref="E1025" r:id="rId2772" xr:uid="{00000000-0004-0000-0000-0000D30A0000}"/>
    <hyperlink ref="O1025" r:id="rId2773" xr:uid="{00000000-0004-0000-0000-0000D40A0000}"/>
    <hyperlink ref="D1026" r:id="rId2774" xr:uid="{00000000-0004-0000-0000-0000D50A0000}"/>
    <hyperlink ref="E1026" r:id="rId2775" xr:uid="{00000000-0004-0000-0000-0000D60A0000}"/>
    <hyperlink ref="O1026" r:id="rId2776" xr:uid="{00000000-0004-0000-0000-0000D70A0000}"/>
    <hyperlink ref="E1027" r:id="rId2777" xr:uid="{00000000-0004-0000-0000-0000D80A0000}"/>
    <hyperlink ref="O1027" r:id="rId2778" xr:uid="{00000000-0004-0000-0000-0000D90A0000}"/>
    <hyperlink ref="E1028" r:id="rId2779" xr:uid="{00000000-0004-0000-0000-0000DA0A0000}"/>
    <hyperlink ref="O1028" r:id="rId2780" xr:uid="{00000000-0004-0000-0000-0000DB0A0000}"/>
    <hyperlink ref="D1029" r:id="rId2781" xr:uid="{00000000-0004-0000-0000-0000DC0A0000}"/>
    <hyperlink ref="E1029" r:id="rId2782" xr:uid="{00000000-0004-0000-0000-0000DD0A0000}"/>
    <hyperlink ref="O1029" r:id="rId2783" xr:uid="{00000000-0004-0000-0000-0000DE0A0000}"/>
    <hyperlink ref="D1030" r:id="rId2784" xr:uid="{00000000-0004-0000-0000-0000DF0A0000}"/>
    <hyperlink ref="E1030" r:id="rId2785" xr:uid="{00000000-0004-0000-0000-0000E00A0000}"/>
    <hyperlink ref="O1030" r:id="rId2786" xr:uid="{00000000-0004-0000-0000-0000E10A0000}"/>
    <hyperlink ref="D1031" r:id="rId2787" xr:uid="{00000000-0004-0000-0000-0000E20A0000}"/>
    <hyperlink ref="E1031" r:id="rId2788" xr:uid="{00000000-0004-0000-0000-0000E30A0000}"/>
    <hyperlink ref="O1031" r:id="rId2789" xr:uid="{00000000-0004-0000-0000-0000E40A0000}"/>
    <hyperlink ref="D1032" r:id="rId2790" xr:uid="{00000000-0004-0000-0000-0000E50A0000}"/>
    <hyperlink ref="E1032" r:id="rId2791" xr:uid="{00000000-0004-0000-0000-0000E60A0000}"/>
    <hyperlink ref="O1032" r:id="rId2792" xr:uid="{00000000-0004-0000-0000-0000E70A0000}"/>
    <hyperlink ref="E1033" r:id="rId2793" xr:uid="{00000000-0004-0000-0000-0000E80A0000}"/>
    <hyperlink ref="O1033" r:id="rId2794" xr:uid="{00000000-0004-0000-0000-0000E90A0000}"/>
    <hyperlink ref="E1034" r:id="rId2795" xr:uid="{00000000-0004-0000-0000-0000EA0A0000}"/>
    <hyperlink ref="O1034" r:id="rId2796" xr:uid="{00000000-0004-0000-0000-0000EB0A0000}"/>
    <hyperlink ref="D1035" r:id="rId2797" xr:uid="{00000000-0004-0000-0000-0000EC0A0000}"/>
    <hyperlink ref="E1035" r:id="rId2798" xr:uid="{00000000-0004-0000-0000-0000ED0A0000}"/>
    <hyperlink ref="O1035" r:id="rId2799" xr:uid="{00000000-0004-0000-0000-0000EE0A0000}"/>
    <hyperlink ref="D1036" r:id="rId2800" xr:uid="{00000000-0004-0000-0000-0000EF0A0000}"/>
    <hyperlink ref="E1036" r:id="rId2801" xr:uid="{00000000-0004-0000-0000-0000F00A0000}"/>
    <hyperlink ref="O1036" r:id="rId2802" xr:uid="{00000000-0004-0000-0000-0000F10A0000}"/>
    <hyperlink ref="D1037" r:id="rId2803" xr:uid="{00000000-0004-0000-0000-0000F20A0000}"/>
    <hyperlink ref="E1037" r:id="rId2804" xr:uid="{00000000-0004-0000-0000-0000F30A0000}"/>
    <hyperlink ref="O1037" r:id="rId2805" xr:uid="{00000000-0004-0000-0000-0000F40A0000}"/>
    <hyperlink ref="E1038" r:id="rId2806" xr:uid="{00000000-0004-0000-0000-0000F50A0000}"/>
    <hyperlink ref="O1038" r:id="rId2807" xr:uid="{00000000-0004-0000-0000-0000F60A0000}"/>
    <hyperlink ref="D1039" r:id="rId2808" xr:uid="{00000000-0004-0000-0000-0000F70A0000}"/>
    <hyperlink ref="E1039" r:id="rId2809" xr:uid="{00000000-0004-0000-0000-0000F80A0000}"/>
    <hyperlink ref="O1039" r:id="rId2810" xr:uid="{00000000-0004-0000-0000-0000F90A0000}"/>
    <hyperlink ref="D1040" r:id="rId2811" xr:uid="{00000000-0004-0000-0000-0000FA0A0000}"/>
    <hyperlink ref="E1040" r:id="rId2812" xr:uid="{00000000-0004-0000-0000-0000FB0A0000}"/>
    <hyperlink ref="O1040" r:id="rId2813" xr:uid="{00000000-0004-0000-0000-0000FC0A0000}"/>
    <hyperlink ref="E1041" r:id="rId2814" xr:uid="{00000000-0004-0000-0000-0000FD0A0000}"/>
    <hyperlink ref="O1041" r:id="rId2815" xr:uid="{00000000-0004-0000-0000-0000FE0A0000}"/>
    <hyperlink ref="D1042" r:id="rId2816" xr:uid="{00000000-0004-0000-0000-0000FF0A0000}"/>
    <hyperlink ref="E1042" r:id="rId2817" xr:uid="{00000000-0004-0000-0000-0000000B0000}"/>
    <hyperlink ref="O1042" r:id="rId2818" xr:uid="{00000000-0004-0000-0000-0000010B0000}"/>
    <hyperlink ref="D1043" r:id="rId2819" xr:uid="{00000000-0004-0000-0000-0000020B0000}"/>
    <hyperlink ref="E1043" r:id="rId2820" xr:uid="{00000000-0004-0000-0000-0000030B0000}"/>
    <hyperlink ref="O1043" r:id="rId2821" xr:uid="{00000000-0004-0000-0000-0000040B0000}"/>
    <hyperlink ref="D1044" r:id="rId2822" xr:uid="{00000000-0004-0000-0000-0000050B0000}"/>
    <hyperlink ref="E1044" r:id="rId2823" xr:uid="{00000000-0004-0000-0000-0000060B0000}"/>
    <hyperlink ref="O1044" r:id="rId2824" xr:uid="{00000000-0004-0000-0000-0000070B0000}"/>
    <hyperlink ref="D1045" r:id="rId2825" xr:uid="{00000000-0004-0000-0000-0000080B0000}"/>
    <hyperlink ref="E1045" r:id="rId2826" xr:uid="{00000000-0004-0000-0000-0000090B0000}"/>
    <hyperlink ref="O1045" r:id="rId2827" xr:uid="{00000000-0004-0000-0000-00000A0B0000}"/>
    <hyperlink ref="D1046" r:id="rId2828" xr:uid="{00000000-0004-0000-0000-00000B0B0000}"/>
    <hyperlink ref="E1046" r:id="rId2829" xr:uid="{00000000-0004-0000-0000-00000C0B0000}"/>
    <hyperlink ref="O1046" r:id="rId2830" xr:uid="{00000000-0004-0000-0000-00000D0B0000}"/>
    <hyperlink ref="D1047" r:id="rId2831" xr:uid="{00000000-0004-0000-0000-00000E0B0000}"/>
    <hyperlink ref="E1047" r:id="rId2832" xr:uid="{00000000-0004-0000-0000-00000F0B0000}"/>
    <hyperlink ref="O1047" r:id="rId2833" xr:uid="{00000000-0004-0000-0000-0000100B0000}"/>
    <hyperlink ref="E1048" r:id="rId2834" xr:uid="{00000000-0004-0000-0000-0000110B0000}"/>
    <hyperlink ref="O1048" r:id="rId2835" xr:uid="{00000000-0004-0000-0000-0000120B0000}"/>
    <hyperlink ref="E1049" r:id="rId2836" xr:uid="{00000000-0004-0000-0000-0000130B0000}"/>
    <hyperlink ref="O1049" r:id="rId2837" xr:uid="{00000000-0004-0000-0000-0000140B0000}"/>
    <hyperlink ref="D1050" r:id="rId2838" xr:uid="{00000000-0004-0000-0000-0000150B0000}"/>
    <hyperlink ref="E1050" r:id="rId2839" xr:uid="{00000000-0004-0000-0000-0000160B0000}"/>
    <hyperlink ref="O1050" r:id="rId2840" xr:uid="{00000000-0004-0000-0000-0000170B0000}"/>
    <hyperlink ref="E1051" r:id="rId2841" xr:uid="{00000000-0004-0000-0000-0000180B0000}"/>
    <hyperlink ref="O1051" r:id="rId2842" xr:uid="{00000000-0004-0000-0000-0000190B0000}"/>
    <hyperlink ref="D1052" r:id="rId2843" xr:uid="{00000000-0004-0000-0000-00001A0B0000}"/>
    <hyperlink ref="E1052" r:id="rId2844" xr:uid="{00000000-0004-0000-0000-00001B0B0000}"/>
    <hyperlink ref="O1052" r:id="rId2845" xr:uid="{00000000-0004-0000-0000-00001C0B0000}"/>
    <hyperlink ref="E1053" r:id="rId2846" xr:uid="{00000000-0004-0000-0000-00001D0B0000}"/>
    <hyperlink ref="O1053" r:id="rId2847" xr:uid="{00000000-0004-0000-0000-00001E0B0000}"/>
    <hyperlink ref="E1054" r:id="rId2848" xr:uid="{00000000-0004-0000-0000-00001F0B0000}"/>
    <hyperlink ref="O1054" r:id="rId2849" xr:uid="{00000000-0004-0000-0000-0000200B0000}"/>
    <hyperlink ref="D1055" r:id="rId2850" xr:uid="{00000000-0004-0000-0000-0000210B0000}"/>
    <hyperlink ref="E1055" r:id="rId2851" xr:uid="{00000000-0004-0000-0000-0000220B0000}"/>
    <hyperlink ref="O1055" r:id="rId2852" xr:uid="{00000000-0004-0000-0000-0000230B0000}"/>
    <hyperlink ref="E1056" r:id="rId2853" xr:uid="{00000000-0004-0000-0000-0000240B0000}"/>
    <hyperlink ref="O1056" r:id="rId2854" xr:uid="{00000000-0004-0000-0000-0000250B0000}"/>
    <hyperlink ref="D1057" r:id="rId2855" xr:uid="{00000000-0004-0000-0000-0000260B0000}"/>
    <hyperlink ref="E1057" r:id="rId2856" xr:uid="{00000000-0004-0000-0000-0000270B0000}"/>
    <hyperlink ref="O1057" r:id="rId2857" xr:uid="{00000000-0004-0000-0000-0000280B0000}"/>
    <hyperlink ref="D1058" r:id="rId2858" xr:uid="{00000000-0004-0000-0000-0000290B0000}"/>
    <hyperlink ref="E1058" r:id="rId2859" xr:uid="{00000000-0004-0000-0000-00002A0B0000}"/>
    <hyperlink ref="O1058" r:id="rId2860" xr:uid="{00000000-0004-0000-0000-00002B0B0000}"/>
    <hyperlink ref="E1059" r:id="rId2861" xr:uid="{00000000-0004-0000-0000-00002C0B0000}"/>
    <hyperlink ref="O1059" r:id="rId2862" xr:uid="{00000000-0004-0000-0000-00002D0B0000}"/>
    <hyperlink ref="D1060" r:id="rId2863" xr:uid="{00000000-0004-0000-0000-00002E0B0000}"/>
    <hyperlink ref="E1060" r:id="rId2864" xr:uid="{00000000-0004-0000-0000-00002F0B0000}"/>
    <hyperlink ref="O1060" r:id="rId2865" xr:uid="{00000000-0004-0000-0000-0000300B0000}"/>
    <hyperlink ref="E1061" r:id="rId2866" xr:uid="{00000000-0004-0000-0000-0000310B0000}"/>
    <hyperlink ref="O1061" r:id="rId2867" xr:uid="{00000000-0004-0000-0000-0000320B0000}"/>
    <hyperlink ref="D1062" r:id="rId2868" xr:uid="{00000000-0004-0000-0000-0000330B0000}"/>
    <hyperlink ref="E1062" r:id="rId2869" xr:uid="{00000000-0004-0000-0000-0000340B0000}"/>
    <hyperlink ref="O1062" r:id="rId2870" xr:uid="{00000000-0004-0000-0000-0000350B0000}"/>
    <hyperlink ref="E1063" r:id="rId2871" xr:uid="{00000000-0004-0000-0000-0000360B0000}"/>
    <hyperlink ref="O1063" r:id="rId2872" xr:uid="{00000000-0004-0000-0000-0000370B0000}"/>
    <hyperlink ref="E1064" r:id="rId2873" xr:uid="{00000000-0004-0000-0000-0000380B0000}"/>
    <hyperlink ref="O1064" r:id="rId2874" xr:uid="{00000000-0004-0000-0000-0000390B0000}"/>
    <hyperlink ref="E1065" r:id="rId2875" xr:uid="{00000000-0004-0000-0000-00003A0B0000}"/>
    <hyperlink ref="O1065" r:id="rId2876" xr:uid="{00000000-0004-0000-0000-00003B0B0000}"/>
    <hyperlink ref="D1066" r:id="rId2877" xr:uid="{00000000-0004-0000-0000-00003C0B0000}"/>
    <hyperlink ref="E1066" r:id="rId2878" xr:uid="{00000000-0004-0000-0000-00003D0B0000}"/>
    <hyperlink ref="O1066" r:id="rId2879" xr:uid="{00000000-0004-0000-0000-00003E0B0000}"/>
    <hyperlink ref="D1067" r:id="rId2880" xr:uid="{00000000-0004-0000-0000-00003F0B0000}"/>
    <hyperlink ref="E1067" r:id="rId2881" xr:uid="{00000000-0004-0000-0000-0000400B0000}"/>
    <hyperlink ref="O1067" r:id="rId2882" xr:uid="{00000000-0004-0000-0000-0000410B0000}"/>
    <hyperlink ref="E1068" r:id="rId2883" xr:uid="{00000000-0004-0000-0000-0000420B0000}"/>
    <hyperlink ref="O1068" r:id="rId2884" xr:uid="{00000000-0004-0000-0000-0000430B0000}"/>
    <hyperlink ref="E1069" r:id="rId2885" xr:uid="{00000000-0004-0000-0000-0000440B0000}"/>
    <hyperlink ref="O1069" r:id="rId2886" xr:uid="{00000000-0004-0000-0000-0000450B0000}"/>
    <hyperlink ref="E1070" r:id="rId2887" xr:uid="{00000000-0004-0000-0000-0000460B0000}"/>
    <hyperlink ref="O1070" r:id="rId2888" xr:uid="{00000000-0004-0000-0000-0000470B0000}"/>
    <hyperlink ref="E1071" r:id="rId2889" xr:uid="{00000000-0004-0000-0000-0000480B0000}"/>
    <hyperlink ref="O1071" r:id="rId2890" xr:uid="{00000000-0004-0000-0000-0000490B0000}"/>
    <hyperlink ref="E1072" r:id="rId2891" xr:uid="{00000000-0004-0000-0000-00004A0B0000}"/>
    <hyperlink ref="O1072" r:id="rId2892" xr:uid="{00000000-0004-0000-0000-00004B0B0000}"/>
    <hyperlink ref="E1073" r:id="rId2893" xr:uid="{00000000-0004-0000-0000-00004C0B0000}"/>
    <hyperlink ref="O1073" r:id="rId2894" xr:uid="{00000000-0004-0000-0000-00004D0B0000}"/>
    <hyperlink ref="D1074" r:id="rId2895" xr:uid="{00000000-0004-0000-0000-00004E0B0000}"/>
    <hyperlink ref="E1074" r:id="rId2896" xr:uid="{00000000-0004-0000-0000-00004F0B0000}"/>
    <hyperlink ref="O1074" r:id="rId2897" xr:uid="{00000000-0004-0000-0000-0000500B0000}"/>
    <hyperlink ref="E1075" r:id="rId2898" xr:uid="{00000000-0004-0000-0000-0000510B0000}"/>
    <hyperlink ref="O1075" r:id="rId2899" xr:uid="{00000000-0004-0000-0000-0000520B0000}"/>
    <hyperlink ref="E1076" r:id="rId2900" xr:uid="{00000000-0004-0000-0000-0000530B0000}"/>
    <hyperlink ref="O1076" r:id="rId2901" xr:uid="{00000000-0004-0000-0000-0000540B0000}"/>
    <hyperlink ref="E1077" r:id="rId2902" xr:uid="{00000000-0004-0000-0000-0000550B0000}"/>
    <hyperlink ref="O1077" r:id="rId2903" xr:uid="{00000000-0004-0000-0000-0000560B0000}"/>
    <hyperlink ref="E1078" r:id="rId2904" xr:uid="{00000000-0004-0000-0000-0000570B0000}"/>
    <hyperlink ref="O1078" r:id="rId2905" xr:uid="{00000000-0004-0000-0000-0000580B0000}"/>
    <hyperlink ref="E1079" r:id="rId2906" xr:uid="{00000000-0004-0000-0000-0000590B0000}"/>
    <hyperlink ref="O1079" r:id="rId2907" xr:uid="{00000000-0004-0000-0000-00005A0B0000}"/>
    <hyperlink ref="D1080" r:id="rId2908" xr:uid="{00000000-0004-0000-0000-00005B0B0000}"/>
    <hyperlink ref="E1080" r:id="rId2909" xr:uid="{00000000-0004-0000-0000-00005C0B0000}"/>
    <hyperlink ref="O1080" r:id="rId2910" xr:uid="{00000000-0004-0000-0000-00005D0B0000}"/>
    <hyperlink ref="E1081" r:id="rId2911" xr:uid="{00000000-0004-0000-0000-00005E0B0000}"/>
    <hyperlink ref="O1081" r:id="rId2912" xr:uid="{00000000-0004-0000-0000-00005F0B0000}"/>
    <hyperlink ref="D1082" r:id="rId2913" xr:uid="{00000000-0004-0000-0000-0000600B0000}"/>
    <hyperlink ref="E1082" r:id="rId2914" xr:uid="{00000000-0004-0000-0000-0000610B0000}"/>
    <hyperlink ref="O1082" r:id="rId2915" xr:uid="{00000000-0004-0000-0000-0000620B0000}"/>
    <hyperlink ref="D1083" r:id="rId2916" xr:uid="{00000000-0004-0000-0000-0000630B0000}"/>
    <hyperlink ref="E1083" r:id="rId2917" xr:uid="{00000000-0004-0000-0000-0000640B0000}"/>
    <hyperlink ref="O1083" r:id="rId2918" xr:uid="{00000000-0004-0000-0000-0000650B0000}"/>
    <hyperlink ref="D1084" r:id="rId2919" xr:uid="{00000000-0004-0000-0000-0000660B0000}"/>
    <hyperlink ref="E1084" r:id="rId2920" xr:uid="{00000000-0004-0000-0000-0000670B0000}"/>
    <hyperlink ref="O1084" r:id="rId2921" xr:uid="{00000000-0004-0000-0000-0000680B0000}"/>
    <hyperlink ref="D1085" r:id="rId2922" xr:uid="{00000000-0004-0000-0000-0000690B0000}"/>
    <hyperlink ref="E1085" r:id="rId2923" xr:uid="{00000000-0004-0000-0000-00006A0B0000}"/>
    <hyperlink ref="O1085" r:id="rId2924" xr:uid="{00000000-0004-0000-0000-00006B0B0000}"/>
    <hyperlink ref="E1086" r:id="rId2925" xr:uid="{00000000-0004-0000-0000-00006C0B0000}"/>
    <hyperlink ref="O1086" r:id="rId2926" xr:uid="{00000000-0004-0000-0000-00006D0B0000}"/>
    <hyperlink ref="D1087" r:id="rId2927" xr:uid="{00000000-0004-0000-0000-00006E0B0000}"/>
    <hyperlink ref="E1087" r:id="rId2928" xr:uid="{00000000-0004-0000-0000-00006F0B0000}"/>
    <hyperlink ref="O1087" r:id="rId2929" xr:uid="{00000000-0004-0000-0000-0000700B0000}"/>
    <hyperlink ref="D1088" r:id="rId2930" xr:uid="{00000000-0004-0000-0000-0000710B0000}"/>
    <hyperlink ref="E1088" r:id="rId2931" xr:uid="{00000000-0004-0000-0000-0000720B0000}"/>
    <hyperlink ref="O1088" r:id="rId2932" xr:uid="{00000000-0004-0000-0000-0000730B0000}"/>
    <hyperlink ref="E1089" r:id="rId2933" xr:uid="{00000000-0004-0000-0000-0000740B0000}"/>
    <hyperlink ref="O1089" r:id="rId2934" xr:uid="{00000000-0004-0000-0000-0000750B0000}"/>
    <hyperlink ref="D1090" r:id="rId2935" xr:uid="{00000000-0004-0000-0000-0000760B0000}"/>
    <hyperlink ref="E1090" r:id="rId2936" xr:uid="{00000000-0004-0000-0000-0000770B0000}"/>
    <hyperlink ref="O1090" r:id="rId2937" xr:uid="{00000000-0004-0000-0000-0000780B0000}"/>
    <hyperlink ref="E1091" r:id="rId2938" xr:uid="{00000000-0004-0000-0000-0000790B0000}"/>
    <hyperlink ref="O1091" r:id="rId2939" xr:uid="{00000000-0004-0000-0000-00007A0B0000}"/>
    <hyperlink ref="D1092" r:id="rId2940" xr:uid="{00000000-0004-0000-0000-00007B0B0000}"/>
    <hyperlink ref="E1092" r:id="rId2941" xr:uid="{00000000-0004-0000-0000-00007C0B0000}"/>
    <hyperlink ref="O1092" r:id="rId2942" xr:uid="{00000000-0004-0000-0000-00007D0B0000}"/>
    <hyperlink ref="E1093" r:id="rId2943" xr:uid="{00000000-0004-0000-0000-00007E0B0000}"/>
    <hyperlink ref="O1093" r:id="rId2944" xr:uid="{00000000-0004-0000-0000-00007F0B0000}"/>
    <hyperlink ref="D1094" r:id="rId2945" xr:uid="{00000000-0004-0000-0000-0000800B0000}"/>
    <hyperlink ref="E1094" r:id="rId2946" xr:uid="{00000000-0004-0000-0000-0000810B0000}"/>
    <hyperlink ref="O1094" r:id="rId2947" xr:uid="{00000000-0004-0000-0000-0000820B0000}"/>
    <hyperlink ref="D1095" r:id="rId2948" xr:uid="{00000000-0004-0000-0000-0000830B0000}"/>
    <hyperlink ref="E1095" r:id="rId2949" xr:uid="{00000000-0004-0000-0000-0000840B0000}"/>
    <hyperlink ref="O1095" r:id="rId2950" xr:uid="{00000000-0004-0000-0000-0000850B0000}"/>
    <hyperlink ref="E1096" r:id="rId2951" xr:uid="{00000000-0004-0000-0000-0000860B0000}"/>
    <hyperlink ref="O1096" r:id="rId2952" xr:uid="{00000000-0004-0000-0000-0000870B0000}"/>
    <hyperlink ref="D1097" r:id="rId2953" xr:uid="{00000000-0004-0000-0000-0000880B0000}"/>
    <hyperlink ref="E1097" r:id="rId2954" xr:uid="{00000000-0004-0000-0000-0000890B0000}"/>
    <hyperlink ref="O1097" r:id="rId2955" xr:uid="{00000000-0004-0000-0000-00008A0B0000}"/>
    <hyperlink ref="D1098" r:id="rId2956" xr:uid="{00000000-0004-0000-0000-00008B0B0000}"/>
    <hyperlink ref="E1098" r:id="rId2957" xr:uid="{00000000-0004-0000-0000-00008C0B0000}"/>
    <hyperlink ref="O1098" r:id="rId2958" xr:uid="{00000000-0004-0000-0000-00008D0B0000}"/>
    <hyperlink ref="D1099" r:id="rId2959" xr:uid="{00000000-0004-0000-0000-00008E0B0000}"/>
    <hyperlink ref="E1099" r:id="rId2960" xr:uid="{00000000-0004-0000-0000-00008F0B0000}"/>
    <hyperlink ref="O1099" r:id="rId2961" xr:uid="{00000000-0004-0000-0000-0000900B0000}"/>
    <hyperlink ref="D1100" r:id="rId2962" xr:uid="{00000000-0004-0000-0000-0000910B0000}"/>
    <hyperlink ref="E1100" r:id="rId2963" xr:uid="{00000000-0004-0000-0000-0000920B0000}"/>
    <hyperlink ref="O1100" r:id="rId2964" xr:uid="{00000000-0004-0000-0000-0000930B0000}"/>
    <hyperlink ref="E1101" r:id="rId2965" xr:uid="{00000000-0004-0000-0000-0000940B0000}"/>
    <hyperlink ref="O1101" r:id="rId2966" xr:uid="{00000000-0004-0000-0000-0000950B0000}"/>
    <hyperlink ref="D1102" r:id="rId2967" xr:uid="{00000000-0004-0000-0000-0000960B0000}"/>
    <hyperlink ref="E1102" r:id="rId2968" xr:uid="{00000000-0004-0000-0000-0000970B0000}"/>
    <hyperlink ref="O1102" r:id="rId2969" xr:uid="{00000000-0004-0000-0000-0000980B0000}"/>
    <hyperlink ref="E1103" r:id="rId2970" xr:uid="{00000000-0004-0000-0000-0000990B0000}"/>
    <hyperlink ref="O1103" r:id="rId2971" xr:uid="{00000000-0004-0000-0000-00009A0B0000}"/>
    <hyperlink ref="D1104" r:id="rId2972" xr:uid="{00000000-0004-0000-0000-00009B0B0000}"/>
    <hyperlink ref="E1104" r:id="rId2973" xr:uid="{00000000-0004-0000-0000-00009C0B0000}"/>
    <hyperlink ref="O1104" r:id="rId2974" xr:uid="{00000000-0004-0000-0000-00009D0B0000}"/>
    <hyperlink ref="E1105" r:id="rId2975" xr:uid="{00000000-0004-0000-0000-00009E0B0000}"/>
    <hyperlink ref="O1105" r:id="rId2976" xr:uid="{00000000-0004-0000-0000-00009F0B0000}"/>
    <hyperlink ref="E1106" r:id="rId2977" xr:uid="{00000000-0004-0000-0000-0000A00B0000}"/>
    <hyperlink ref="O1106" r:id="rId2978" xr:uid="{00000000-0004-0000-0000-0000A10B0000}"/>
    <hyperlink ref="D1107" r:id="rId2979" xr:uid="{00000000-0004-0000-0000-0000A20B0000}"/>
    <hyperlink ref="E1107" r:id="rId2980" xr:uid="{00000000-0004-0000-0000-0000A30B0000}"/>
    <hyperlink ref="O1107" r:id="rId2981" xr:uid="{00000000-0004-0000-0000-0000A40B0000}"/>
    <hyperlink ref="E1108" r:id="rId2982" xr:uid="{00000000-0004-0000-0000-0000A50B0000}"/>
    <hyperlink ref="O1108" r:id="rId2983" xr:uid="{00000000-0004-0000-0000-0000A60B0000}"/>
    <hyperlink ref="D1109" r:id="rId2984" xr:uid="{00000000-0004-0000-0000-0000A70B0000}"/>
    <hyperlink ref="E1109" r:id="rId2985" xr:uid="{00000000-0004-0000-0000-0000A80B0000}"/>
    <hyperlink ref="O1109" r:id="rId2986" xr:uid="{00000000-0004-0000-0000-0000A90B0000}"/>
    <hyperlink ref="D1110" r:id="rId2987" xr:uid="{00000000-0004-0000-0000-0000AA0B0000}"/>
    <hyperlink ref="E1110" r:id="rId2988" xr:uid="{00000000-0004-0000-0000-0000AB0B0000}"/>
    <hyperlink ref="O1110" r:id="rId2989" xr:uid="{00000000-0004-0000-0000-0000AC0B0000}"/>
    <hyperlink ref="E1111" r:id="rId2990" xr:uid="{00000000-0004-0000-0000-0000AD0B0000}"/>
    <hyperlink ref="O1111" r:id="rId2991" xr:uid="{00000000-0004-0000-0000-0000AE0B0000}"/>
    <hyperlink ref="D1112" r:id="rId2992" xr:uid="{00000000-0004-0000-0000-0000AF0B0000}"/>
    <hyperlink ref="E1112" r:id="rId2993" xr:uid="{00000000-0004-0000-0000-0000B00B0000}"/>
    <hyperlink ref="O1112" r:id="rId2994" xr:uid="{00000000-0004-0000-0000-0000B10B0000}"/>
    <hyperlink ref="E1113" r:id="rId2995" xr:uid="{00000000-0004-0000-0000-0000B20B0000}"/>
    <hyperlink ref="O1113" r:id="rId2996" xr:uid="{00000000-0004-0000-0000-0000B30B0000}"/>
    <hyperlink ref="E1114" r:id="rId2997" xr:uid="{00000000-0004-0000-0000-0000B40B0000}"/>
    <hyperlink ref="O1114" r:id="rId2998" xr:uid="{00000000-0004-0000-0000-0000B50B0000}"/>
    <hyperlink ref="E1115" r:id="rId2999" xr:uid="{00000000-0004-0000-0000-0000B60B0000}"/>
    <hyperlink ref="O1115" r:id="rId3000" xr:uid="{00000000-0004-0000-0000-0000B70B0000}"/>
    <hyperlink ref="D1116" r:id="rId3001" xr:uid="{00000000-0004-0000-0000-0000B80B0000}"/>
    <hyperlink ref="E1116" r:id="rId3002" xr:uid="{00000000-0004-0000-0000-0000B90B0000}"/>
    <hyperlink ref="O1116" r:id="rId3003" xr:uid="{00000000-0004-0000-0000-0000BA0B0000}"/>
    <hyperlink ref="E1117" r:id="rId3004" xr:uid="{00000000-0004-0000-0000-0000BB0B0000}"/>
    <hyperlink ref="O1117" r:id="rId3005" xr:uid="{00000000-0004-0000-0000-0000BC0B0000}"/>
    <hyperlink ref="D1118" r:id="rId3006" xr:uid="{00000000-0004-0000-0000-0000BD0B0000}"/>
    <hyperlink ref="E1118" r:id="rId3007" xr:uid="{00000000-0004-0000-0000-0000BE0B0000}"/>
    <hyperlink ref="O1118" r:id="rId3008" xr:uid="{00000000-0004-0000-0000-0000BF0B0000}"/>
    <hyperlink ref="E1119" r:id="rId3009" xr:uid="{00000000-0004-0000-0000-0000C00B0000}"/>
    <hyperlink ref="O1119" r:id="rId3010" xr:uid="{00000000-0004-0000-0000-0000C10B0000}"/>
    <hyperlink ref="E1120" r:id="rId3011" xr:uid="{00000000-0004-0000-0000-0000C20B0000}"/>
    <hyperlink ref="O1120" r:id="rId3012" xr:uid="{00000000-0004-0000-0000-0000C30B0000}"/>
    <hyperlink ref="E1121" r:id="rId3013" xr:uid="{00000000-0004-0000-0000-0000C40B0000}"/>
    <hyperlink ref="O1121" r:id="rId3014" xr:uid="{00000000-0004-0000-0000-0000C50B0000}"/>
    <hyperlink ref="E1122" r:id="rId3015" xr:uid="{00000000-0004-0000-0000-0000C60B0000}"/>
    <hyperlink ref="O1122" r:id="rId3016" xr:uid="{00000000-0004-0000-0000-0000C70B0000}"/>
    <hyperlink ref="E1123" r:id="rId3017" xr:uid="{00000000-0004-0000-0000-0000C80B0000}"/>
    <hyperlink ref="O1123" r:id="rId3018" xr:uid="{00000000-0004-0000-0000-0000C90B0000}"/>
    <hyperlink ref="D1124" r:id="rId3019" xr:uid="{00000000-0004-0000-0000-0000CA0B0000}"/>
    <hyperlink ref="E1124" r:id="rId3020" xr:uid="{00000000-0004-0000-0000-0000CB0B0000}"/>
    <hyperlink ref="O1124" r:id="rId3021" xr:uid="{00000000-0004-0000-0000-0000CC0B0000}"/>
    <hyperlink ref="D1125" r:id="rId3022" xr:uid="{00000000-0004-0000-0000-0000CD0B0000}"/>
    <hyperlink ref="E1125" r:id="rId3023" xr:uid="{00000000-0004-0000-0000-0000CE0B0000}"/>
    <hyperlink ref="O1125" r:id="rId3024" xr:uid="{00000000-0004-0000-0000-0000CF0B0000}"/>
    <hyperlink ref="D1126" r:id="rId3025" xr:uid="{00000000-0004-0000-0000-0000D00B0000}"/>
    <hyperlink ref="E1126" r:id="rId3026" xr:uid="{00000000-0004-0000-0000-0000D10B0000}"/>
    <hyperlink ref="O1126" r:id="rId3027" xr:uid="{00000000-0004-0000-0000-0000D20B0000}"/>
    <hyperlink ref="D1127" r:id="rId3028" xr:uid="{00000000-0004-0000-0000-0000D30B0000}"/>
    <hyperlink ref="E1127" r:id="rId3029" xr:uid="{00000000-0004-0000-0000-0000D40B0000}"/>
    <hyperlink ref="O1127" r:id="rId3030" xr:uid="{00000000-0004-0000-0000-0000D50B0000}"/>
    <hyperlink ref="D1128" r:id="rId3031" xr:uid="{00000000-0004-0000-0000-0000D60B0000}"/>
    <hyperlink ref="E1128" r:id="rId3032" xr:uid="{00000000-0004-0000-0000-0000D70B0000}"/>
    <hyperlink ref="O1128" r:id="rId3033" xr:uid="{00000000-0004-0000-0000-0000D80B0000}"/>
    <hyperlink ref="E1129" r:id="rId3034" xr:uid="{00000000-0004-0000-0000-0000D90B0000}"/>
    <hyperlink ref="O1129" r:id="rId3035" xr:uid="{00000000-0004-0000-0000-0000DA0B0000}"/>
    <hyperlink ref="D1130" r:id="rId3036" xr:uid="{00000000-0004-0000-0000-0000DB0B0000}"/>
    <hyperlink ref="E1130" r:id="rId3037" xr:uid="{00000000-0004-0000-0000-0000DC0B0000}"/>
    <hyperlink ref="O1130" r:id="rId3038" xr:uid="{00000000-0004-0000-0000-0000DD0B0000}"/>
    <hyperlink ref="D1131" r:id="rId3039" xr:uid="{00000000-0004-0000-0000-0000DE0B0000}"/>
    <hyperlink ref="E1131" r:id="rId3040" xr:uid="{00000000-0004-0000-0000-0000DF0B0000}"/>
    <hyperlink ref="O1131" r:id="rId3041" xr:uid="{00000000-0004-0000-0000-0000E00B0000}"/>
    <hyperlink ref="D1132" r:id="rId3042" xr:uid="{00000000-0004-0000-0000-0000E10B0000}"/>
    <hyperlink ref="E1132" r:id="rId3043" xr:uid="{00000000-0004-0000-0000-0000E20B0000}"/>
    <hyperlink ref="O1132" r:id="rId3044" xr:uid="{00000000-0004-0000-0000-0000E30B0000}"/>
    <hyperlink ref="D1133" r:id="rId3045" xr:uid="{00000000-0004-0000-0000-0000E40B0000}"/>
    <hyperlink ref="E1133" r:id="rId3046" xr:uid="{00000000-0004-0000-0000-0000E50B0000}"/>
    <hyperlink ref="O1133" r:id="rId3047" xr:uid="{00000000-0004-0000-0000-0000E60B0000}"/>
    <hyperlink ref="A1134" r:id="rId3048" xr:uid="{00000000-0004-0000-0000-0000E70B0000}"/>
    <hyperlink ref="E1134" r:id="rId3049" xr:uid="{00000000-0004-0000-0000-0000E80B0000}"/>
    <hyperlink ref="O1134" r:id="rId3050" xr:uid="{00000000-0004-0000-0000-0000E90B0000}"/>
    <hyperlink ref="D1135" r:id="rId3051" xr:uid="{00000000-0004-0000-0000-0000EA0B0000}"/>
    <hyperlink ref="E1135" r:id="rId3052" xr:uid="{00000000-0004-0000-0000-0000EB0B0000}"/>
    <hyperlink ref="O1135" r:id="rId3053" xr:uid="{00000000-0004-0000-0000-0000EC0B0000}"/>
    <hyperlink ref="D1136" r:id="rId3054" xr:uid="{00000000-0004-0000-0000-0000ED0B0000}"/>
    <hyperlink ref="E1136" r:id="rId3055" xr:uid="{00000000-0004-0000-0000-0000EE0B0000}"/>
    <hyperlink ref="O1136" r:id="rId3056" xr:uid="{00000000-0004-0000-0000-0000EF0B0000}"/>
    <hyperlink ref="D1137" r:id="rId3057" xr:uid="{00000000-0004-0000-0000-0000F00B0000}"/>
    <hyperlink ref="E1137" r:id="rId3058" xr:uid="{00000000-0004-0000-0000-0000F10B0000}"/>
    <hyperlink ref="O1137" r:id="rId3059" xr:uid="{00000000-0004-0000-0000-0000F20B0000}"/>
    <hyperlink ref="D1138" r:id="rId3060" xr:uid="{00000000-0004-0000-0000-0000F30B0000}"/>
    <hyperlink ref="E1138" r:id="rId3061" xr:uid="{00000000-0004-0000-0000-0000F40B0000}"/>
    <hyperlink ref="O1138" r:id="rId3062" xr:uid="{00000000-0004-0000-0000-0000F50B0000}"/>
    <hyperlink ref="D1139" r:id="rId3063" xr:uid="{00000000-0004-0000-0000-0000F60B0000}"/>
    <hyperlink ref="E1139" r:id="rId3064" xr:uid="{00000000-0004-0000-0000-0000F70B0000}"/>
    <hyperlink ref="O1139" r:id="rId3065" xr:uid="{00000000-0004-0000-0000-0000F80B0000}"/>
    <hyperlink ref="D1140" r:id="rId3066" xr:uid="{00000000-0004-0000-0000-0000F90B0000}"/>
    <hyperlink ref="E1140" r:id="rId3067" xr:uid="{00000000-0004-0000-0000-0000FA0B0000}"/>
    <hyperlink ref="O1140" r:id="rId3068" xr:uid="{00000000-0004-0000-0000-0000FB0B0000}"/>
    <hyperlink ref="D1141" r:id="rId3069" xr:uid="{00000000-0004-0000-0000-0000FC0B0000}"/>
    <hyperlink ref="E1141" r:id="rId3070" xr:uid="{00000000-0004-0000-0000-0000FD0B0000}"/>
    <hyperlink ref="O1141" r:id="rId3071" xr:uid="{00000000-0004-0000-0000-0000FE0B0000}"/>
    <hyperlink ref="E1142" r:id="rId3072" xr:uid="{00000000-0004-0000-0000-0000FF0B0000}"/>
    <hyperlink ref="O1142" r:id="rId3073" xr:uid="{00000000-0004-0000-0000-0000000C0000}"/>
    <hyperlink ref="D1143" r:id="rId3074" xr:uid="{00000000-0004-0000-0000-0000010C0000}"/>
    <hyperlink ref="E1143" r:id="rId3075" xr:uid="{00000000-0004-0000-0000-0000020C0000}"/>
    <hyperlink ref="O1143" r:id="rId3076" xr:uid="{00000000-0004-0000-0000-0000030C0000}"/>
    <hyperlink ref="E1144" r:id="rId3077" xr:uid="{00000000-0004-0000-0000-0000040C0000}"/>
    <hyperlink ref="O1144" r:id="rId3078" xr:uid="{00000000-0004-0000-0000-0000050C0000}"/>
    <hyperlink ref="E1145" r:id="rId3079" xr:uid="{00000000-0004-0000-0000-0000060C0000}"/>
    <hyperlink ref="O1145" r:id="rId3080" xr:uid="{00000000-0004-0000-0000-0000070C0000}"/>
    <hyperlink ref="E1146" r:id="rId3081" xr:uid="{00000000-0004-0000-0000-0000080C0000}"/>
    <hyperlink ref="O1146" r:id="rId3082" xr:uid="{00000000-0004-0000-0000-0000090C0000}"/>
    <hyperlink ref="D1147" r:id="rId3083" xr:uid="{00000000-0004-0000-0000-00000A0C0000}"/>
    <hyperlink ref="E1147" r:id="rId3084" xr:uid="{00000000-0004-0000-0000-00000B0C0000}"/>
    <hyperlink ref="O1147" r:id="rId3085" xr:uid="{00000000-0004-0000-0000-00000C0C0000}"/>
    <hyperlink ref="E1148" r:id="rId3086" xr:uid="{00000000-0004-0000-0000-00000D0C0000}"/>
    <hyperlink ref="O1148" r:id="rId3087" xr:uid="{00000000-0004-0000-0000-00000E0C0000}"/>
    <hyperlink ref="D1149" r:id="rId3088" xr:uid="{00000000-0004-0000-0000-00000F0C0000}"/>
    <hyperlink ref="E1149" r:id="rId3089" xr:uid="{00000000-0004-0000-0000-0000100C0000}"/>
    <hyperlink ref="O1149" r:id="rId3090" xr:uid="{00000000-0004-0000-0000-0000110C0000}"/>
    <hyperlink ref="D1150" r:id="rId3091" xr:uid="{00000000-0004-0000-0000-0000120C0000}"/>
    <hyperlink ref="E1150" r:id="rId3092" xr:uid="{00000000-0004-0000-0000-0000130C0000}"/>
    <hyperlink ref="O1150" r:id="rId3093" xr:uid="{00000000-0004-0000-0000-0000140C0000}"/>
    <hyperlink ref="D1151" r:id="rId3094" xr:uid="{00000000-0004-0000-0000-0000150C0000}"/>
    <hyperlink ref="E1151" r:id="rId3095" xr:uid="{00000000-0004-0000-0000-0000160C0000}"/>
    <hyperlink ref="O1151" r:id="rId3096" xr:uid="{00000000-0004-0000-0000-0000170C0000}"/>
    <hyperlink ref="E1152" r:id="rId3097" xr:uid="{00000000-0004-0000-0000-0000180C0000}"/>
    <hyperlink ref="O1152" r:id="rId3098" xr:uid="{00000000-0004-0000-0000-0000190C0000}"/>
    <hyperlink ref="D1153" r:id="rId3099" xr:uid="{00000000-0004-0000-0000-00001A0C0000}"/>
    <hyperlink ref="E1153" r:id="rId3100" xr:uid="{00000000-0004-0000-0000-00001B0C0000}"/>
    <hyperlink ref="O1153" r:id="rId3101" xr:uid="{00000000-0004-0000-0000-00001C0C0000}"/>
    <hyperlink ref="D1154" r:id="rId3102" xr:uid="{00000000-0004-0000-0000-00001D0C0000}"/>
    <hyperlink ref="E1154" r:id="rId3103" xr:uid="{00000000-0004-0000-0000-00001E0C0000}"/>
    <hyperlink ref="O1154" r:id="rId3104" xr:uid="{00000000-0004-0000-0000-00001F0C0000}"/>
    <hyperlink ref="D1155" r:id="rId3105" xr:uid="{00000000-0004-0000-0000-0000200C0000}"/>
    <hyperlink ref="E1155" r:id="rId3106" xr:uid="{00000000-0004-0000-0000-0000210C0000}"/>
    <hyperlink ref="O1155" r:id="rId3107" xr:uid="{00000000-0004-0000-0000-0000220C0000}"/>
    <hyperlink ref="D1156" r:id="rId3108" xr:uid="{00000000-0004-0000-0000-0000230C0000}"/>
    <hyperlink ref="E1156" r:id="rId3109" xr:uid="{00000000-0004-0000-0000-0000240C0000}"/>
    <hyperlink ref="O1156" r:id="rId3110" xr:uid="{00000000-0004-0000-0000-0000250C0000}"/>
    <hyperlink ref="D1157" r:id="rId3111" xr:uid="{00000000-0004-0000-0000-0000260C0000}"/>
    <hyperlink ref="E1157" r:id="rId3112" xr:uid="{00000000-0004-0000-0000-0000270C0000}"/>
    <hyperlink ref="O1157" r:id="rId3113" xr:uid="{00000000-0004-0000-0000-0000280C0000}"/>
    <hyperlink ref="D1158" r:id="rId3114" xr:uid="{00000000-0004-0000-0000-0000290C0000}"/>
    <hyperlink ref="E1158" r:id="rId3115" xr:uid="{00000000-0004-0000-0000-00002A0C0000}"/>
    <hyperlink ref="O1158" r:id="rId3116" xr:uid="{00000000-0004-0000-0000-00002B0C0000}"/>
    <hyperlink ref="D1159" r:id="rId3117" xr:uid="{00000000-0004-0000-0000-00002C0C0000}"/>
    <hyperlink ref="E1159" r:id="rId3118" xr:uid="{00000000-0004-0000-0000-00002D0C0000}"/>
    <hyperlink ref="O1159" r:id="rId3119" xr:uid="{00000000-0004-0000-0000-00002E0C0000}"/>
    <hyperlink ref="D1160" r:id="rId3120" xr:uid="{00000000-0004-0000-0000-00002F0C0000}"/>
    <hyperlink ref="E1160" r:id="rId3121" xr:uid="{00000000-0004-0000-0000-0000300C0000}"/>
    <hyperlink ref="O1160" r:id="rId3122" xr:uid="{00000000-0004-0000-0000-0000310C0000}"/>
    <hyperlink ref="D1161" r:id="rId3123" xr:uid="{00000000-0004-0000-0000-0000320C0000}"/>
    <hyperlink ref="E1161" r:id="rId3124" xr:uid="{00000000-0004-0000-0000-0000330C0000}"/>
    <hyperlink ref="O1161" r:id="rId3125" xr:uid="{00000000-0004-0000-0000-0000340C0000}"/>
    <hyperlink ref="D1162" r:id="rId3126" xr:uid="{00000000-0004-0000-0000-0000350C0000}"/>
    <hyperlink ref="E1162" r:id="rId3127" xr:uid="{00000000-0004-0000-0000-0000360C0000}"/>
    <hyperlink ref="O1162" r:id="rId3128" xr:uid="{00000000-0004-0000-0000-0000370C0000}"/>
    <hyperlink ref="D1163" r:id="rId3129" xr:uid="{00000000-0004-0000-0000-0000380C0000}"/>
    <hyperlink ref="E1163" r:id="rId3130" xr:uid="{00000000-0004-0000-0000-0000390C0000}"/>
    <hyperlink ref="O1163" r:id="rId3131" xr:uid="{00000000-0004-0000-0000-00003A0C0000}"/>
    <hyperlink ref="E1164" r:id="rId3132" xr:uid="{00000000-0004-0000-0000-00003B0C0000}"/>
    <hyperlink ref="O1164" r:id="rId3133" xr:uid="{00000000-0004-0000-0000-00003C0C0000}"/>
    <hyperlink ref="D1165" r:id="rId3134" xr:uid="{00000000-0004-0000-0000-00003D0C0000}"/>
    <hyperlink ref="E1165" r:id="rId3135" xr:uid="{00000000-0004-0000-0000-00003E0C0000}"/>
    <hyperlink ref="O1165" r:id="rId3136" xr:uid="{00000000-0004-0000-0000-00003F0C0000}"/>
    <hyperlink ref="D1166" r:id="rId3137" xr:uid="{00000000-0004-0000-0000-0000400C0000}"/>
    <hyperlink ref="E1166" r:id="rId3138" xr:uid="{00000000-0004-0000-0000-0000410C0000}"/>
    <hyperlink ref="O1166" r:id="rId3139" xr:uid="{00000000-0004-0000-0000-0000420C0000}"/>
    <hyperlink ref="D1167" r:id="rId3140" xr:uid="{00000000-0004-0000-0000-0000430C0000}"/>
    <hyperlink ref="E1167" r:id="rId3141" xr:uid="{00000000-0004-0000-0000-0000440C0000}"/>
    <hyperlink ref="O1167" r:id="rId3142" xr:uid="{00000000-0004-0000-0000-0000450C0000}"/>
    <hyperlink ref="D1168" r:id="rId3143" xr:uid="{00000000-0004-0000-0000-0000460C0000}"/>
    <hyperlink ref="E1168" r:id="rId3144" xr:uid="{00000000-0004-0000-0000-0000470C0000}"/>
    <hyperlink ref="O1168" r:id="rId3145" xr:uid="{00000000-0004-0000-0000-0000480C0000}"/>
    <hyperlink ref="D1169" r:id="rId3146" xr:uid="{00000000-0004-0000-0000-0000490C0000}"/>
    <hyperlink ref="E1169" r:id="rId3147" xr:uid="{00000000-0004-0000-0000-00004A0C0000}"/>
    <hyperlink ref="O1169" r:id="rId3148" xr:uid="{00000000-0004-0000-0000-00004B0C0000}"/>
    <hyperlink ref="E1170" r:id="rId3149" xr:uid="{00000000-0004-0000-0000-00004C0C0000}"/>
    <hyperlink ref="O1170" r:id="rId3150" xr:uid="{00000000-0004-0000-0000-00004D0C0000}"/>
    <hyperlink ref="D1171" r:id="rId3151" xr:uid="{00000000-0004-0000-0000-00004E0C0000}"/>
    <hyperlink ref="E1171" r:id="rId3152" xr:uid="{00000000-0004-0000-0000-00004F0C0000}"/>
    <hyperlink ref="O1171" r:id="rId3153" xr:uid="{00000000-0004-0000-0000-0000500C0000}"/>
    <hyperlink ref="D1172" r:id="rId3154" xr:uid="{00000000-0004-0000-0000-0000510C0000}"/>
    <hyperlink ref="E1172" r:id="rId3155" xr:uid="{00000000-0004-0000-0000-0000520C0000}"/>
    <hyperlink ref="O1172" r:id="rId3156" xr:uid="{00000000-0004-0000-0000-0000530C0000}"/>
    <hyperlink ref="D1173" r:id="rId3157" xr:uid="{00000000-0004-0000-0000-0000540C0000}"/>
    <hyperlink ref="E1173" r:id="rId3158" xr:uid="{00000000-0004-0000-0000-0000550C0000}"/>
    <hyperlink ref="O1173" r:id="rId3159" xr:uid="{00000000-0004-0000-0000-0000560C0000}"/>
    <hyperlink ref="D1174" r:id="rId3160" xr:uid="{00000000-0004-0000-0000-0000570C0000}"/>
    <hyperlink ref="E1174" r:id="rId3161" xr:uid="{00000000-0004-0000-0000-0000580C0000}"/>
    <hyperlink ref="O1174" r:id="rId3162" xr:uid="{00000000-0004-0000-0000-0000590C0000}"/>
    <hyperlink ref="E1175" r:id="rId3163" xr:uid="{00000000-0004-0000-0000-00005A0C0000}"/>
    <hyperlink ref="O1175" r:id="rId3164" xr:uid="{00000000-0004-0000-0000-00005B0C0000}"/>
    <hyperlink ref="E1176" r:id="rId3165" xr:uid="{00000000-0004-0000-0000-00005C0C0000}"/>
    <hyperlink ref="O1176" r:id="rId3166" xr:uid="{00000000-0004-0000-0000-00005D0C0000}"/>
    <hyperlink ref="E1177" r:id="rId3167" xr:uid="{00000000-0004-0000-0000-00005E0C0000}"/>
    <hyperlink ref="O1177" r:id="rId3168" xr:uid="{00000000-0004-0000-0000-00005F0C0000}"/>
    <hyperlink ref="E1178" r:id="rId3169" xr:uid="{00000000-0004-0000-0000-0000600C0000}"/>
    <hyperlink ref="O1178" r:id="rId3170" xr:uid="{00000000-0004-0000-0000-0000610C0000}"/>
    <hyperlink ref="D1179" r:id="rId3171" xr:uid="{00000000-0004-0000-0000-0000620C0000}"/>
    <hyperlink ref="E1179" r:id="rId3172" xr:uid="{00000000-0004-0000-0000-0000630C0000}"/>
    <hyperlink ref="O1179" r:id="rId3173" xr:uid="{00000000-0004-0000-0000-0000640C0000}"/>
    <hyperlink ref="D1180" r:id="rId3174" xr:uid="{00000000-0004-0000-0000-0000650C0000}"/>
    <hyperlink ref="E1180" r:id="rId3175" xr:uid="{00000000-0004-0000-0000-0000660C0000}"/>
    <hyperlink ref="O1180" r:id="rId3176" xr:uid="{00000000-0004-0000-0000-0000670C0000}"/>
    <hyperlink ref="D1181" r:id="rId3177" xr:uid="{00000000-0004-0000-0000-0000680C0000}"/>
    <hyperlink ref="E1181" r:id="rId3178" xr:uid="{00000000-0004-0000-0000-0000690C0000}"/>
    <hyperlink ref="O1181" r:id="rId3179" xr:uid="{00000000-0004-0000-0000-00006A0C0000}"/>
    <hyperlink ref="D1182" r:id="rId3180" xr:uid="{00000000-0004-0000-0000-00006B0C0000}"/>
    <hyperlink ref="E1182" r:id="rId3181" xr:uid="{00000000-0004-0000-0000-00006C0C0000}"/>
    <hyperlink ref="O1182" r:id="rId3182" xr:uid="{00000000-0004-0000-0000-00006D0C0000}"/>
    <hyperlink ref="E1183" r:id="rId3183" xr:uid="{00000000-0004-0000-0000-00006E0C0000}"/>
    <hyperlink ref="O1183" r:id="rId3184" xr:uid="{00000000-0004-0000-0000-00006F0C0000}"/>
    <hyperlink ref="E1184" r:id="rId3185" xr:uid="{00000000-0004-0000-0000-0000700C0000}"/>
    <hyperlink ref="O1184" r:id="rId3186" xr:uid="{00000000-0004-0000-0000-0000710C0000}"/>
    <hyperlink ref="D1185" r:id="rId3187" xr:uid="{00000000-0004-0000-0000-0000720C0000}"/>
    <hyperlink ref="E1185" r:id="rId3188" xr:uid="{00000000-0004-0000-0000-0000730C0000}"/>
    <hyperlink ref="O1185" r:id="rId3189" xr:uid="{00000000-0004-0000-0000-0000740C0000}"/>
    <hyperlink ref="D1186" r:id="rId3190" xr:uid="{00000000-0004-0000-0000-0000750C0000}"/>
    <hyperlink ref="E1186" r:id="rId3191" xr:uid="{00000000-0004-0000-0000-0000760C0000}"/>
    <hyperlink ref="O1186" r:id="rId3192" xr:uid="{00000000-0004-0000-0000-0000770C0000}"/>
    <hyperlink ref="D1187" r:id="rId3193" xr:uid="{00000000-0004-0000-0000-0000780C0000}"/>
    <hyperlink ref="E1187" r:id="rId3194" xr:uid="{00000000-0004-0000-0000-0000790C0000}"/>
    <hyperlink ref="O1187" r:id="rId3195" xr:uid="{00000000-0004-0000-0000-00007A0C0000}"/>
    <hyperlink ref="D1188" r:id="rId3196" xr:uid="{00000000-0004-0000-0000-00007B0C0000}"/>
    <hyperlink ref="E1188" r:id="rId3197" xr:uid="{00000000-0004-0000-0000-00007C0C0000}"/>
    <hyperlink ref="O1188" r:id="rId3198" xr:uid="{00000000-0004-0000-0000-00007D0C0000}"/>
    <hyperlink ref="E1189" r:id="rId3199" xr:uid="{00000000-0004-0000-0000-00007E0C0000}"/>
    <hyperlink ref="O1189" r:id="rId3200" xr:uid="{00000000-0004-0000-0000-00007F0C0000}"/>
    <hyperlink ref="D1190" r:id="rId3201" xr:uid="{00000000-0004-0000-0000-0000800C0000}"/>
    <hyperlink ref="E1190" r:id="rId3202" xr:uid="{00000000-0004-0000-0000-0000810C0000}"/>
    <hyperlink ref="O1190" r:id="rId3203" xr:uid="{00000000-0004-0000-0000-0000820C0000}"/>
    <hyperlink ref="D1191" r:id="rId3204" xr:uid="{00000000-0004-0000-0000-0000830C0000}"/>
    <hyperlink ref="E1191" r:id="rId3205" xr:uid="{00000000-0004-0000-0000-0000840C0000}"/>
    <hyperlink ref="O1191" r:id="rId3206" xr:uid="{00000000-0004-0000-0000-0000850C0000}"/>
    <hyperlink ref="E1192" r:id="rId3207" xr:uid="{00000000-0004-0000-0000-0000860C0000}"/>
    <hyperlink ref="O1192" r:id="rId3208" xr:uid="{00000000-0004-0000-0000-0000870C0000}"/>
    <hyperlink ref="D1193" r:id="rId3209" xr:uid="{00000000-0004-0000-0000-0000880C0000}"/>
    <hyperlink ref="E1193" r:id="rId3210" xr:uid="{00000000-0004-0000-0000-0000890C0000}"/>
    <hyperlink ref="O1193" r:id="rId3211" xr:uid="{00000000-0004-0000-0000-00008A0C0000}"/>
    <hyperlink ref="E1194" r:id="rId3212" xr:uid="{00000000-0004-0000-0000-00008B0C0000}"/>
    <hyperlink ref="O1194" r:id="rId3213" xr:uid="{00000000-0004-0000-0000-00008C0C0000}"/>
    <hyperlink ref="D1195" r:id="rId3214" xr:uid="{00000000-0004-0000-0000-00008D0C0000}"/>
    <hyperlink ref="E1195" r:id="rId3215" xr:uid="{00000000-0004-0000-0000-00008E0C0000}"/>
    <hyperlink ref="O1195" r:id="rId3216" xr:uid="{00000000-0004-0000-0000-00008F0C0000}"/>
    <hyperlink ref="D1196" r:id="rId3217" xr:uid="{00000000-0004-0000-0000-0000900C0000}"/>
    <hyperlink ref="E1196" r:id="rId3218" xr:uid="{00000000-0004-0000-0000-0000910C0000}"/>
    <hyperlink ref="O1196" r:id="rId3219" xr:uid="{00000000-0004-0000-0000-0000920C0000}"/>
    <hyperlink ref="D1197" r:id="rId3220" xr:uid="{00000000-0004-0000-0000-0000930C0000}"/>
    <hyperlink ref="E1197" r:id="rId3221" xr:uid="{00000000-0004-0000-0000-0000940C0000}"/>
    <hyperlink ref="O1197" r:id="rId3222" xr:uid="{00000000-0004-0000-0000-0000950C0000}"/>
    <hyperlink ref="D1198" r:id="rId3223" xr:uid="{00000000-0004-0000-0000-0000960C0000}"/>
    <hyperlink ref="E1198" r:id="rId3224" xr:uid="{00000000-0004-0000-0000-0000970C0000}"/>
    <hyperlink ref="O1198" r:id="rId3225" xr:uid="{00000000-0004-0000-0000-0000980C0000}"/>
    <hyperlink ref="D1199" r:id="rId3226" xr:uid="{00000000-0004-0000-0000-0000990C0000}"/>
    <hyperlink ref="E1199" r:id="rId3227" xr:uid="{00000000-0004-0000-0000-00009A0C0000}"/>
    <hyperlink ref="O1199" r:id="rId3228" xr:uid="{00000000-0004-0000-0000-00009B0C0000}"/>
    <hyperlink ref="E1200" r:id="rId3229" xr:uid="{00000000-0004-0000-0000-00009C0C0000}"/>
    <hyperlink ref="O1200" r:id="rId3230" xr:uid="{00000000-0004-0000-0000-00009D0C0000}"/>
    <hyperlink ref="E1201" r:id="rId3231" xr:uid="{00000000-0004-0000-0000-00009E0C0000}"/>
    <hyperlink ref="O1201" r:id="rId3232" xr:uid="{00000000-0004-0000-0000-00009F0C0000}"/>
    <hyperlink ref="D1202" r:id="rId3233" xr:uid="{00000000-0004-0000-0000-0000A00C0000}"/>
    <hyperlink ref="E1202" r:id="rId3234" xr:uid="{00000000-0004-0000-0000-0000A10C0000}"/>
    <hyperlink ref="O1202" r:id="rId3235" xr:uid="{00000000-0004-0000-0000-0000A20C0000}"/>
    <hyperlink ref="D1203" r:id="rId3236" xr:uid="{00000000-0004-0000-0000-0000A30C0000}"/>
    <hyperlink ref="E1203" r:id="rId3237" xr:uid="{00000000-0004-0000-0000-0000A40C0000}"/>
    <hyperlink ref="O1203" r:id="rId3238" xr:uid="{00000000-0004-0000-0000-0000A50C0000}"/>
    <hyperlink ref="D1204" r:id="rId3239" xr:uid="{00000000-0004-0000-0000-0000A60C0000}"/>
    <hyperlink ref="E1204" r:id="rId3240" xr:uid="{00000000-0004-0000-0000-0000A70C0000}"/>
    <hyperlink ref="O1204" r:id="rId3241" xr:uid="{00000000-0004-0000-0000-0000A80C0000}"/>
    <hyperlink ref="E1205" r:id="rId3242" xr:uid="{00000000-0004-0000-0000-0000A90C0000}"/>
    <hyperlink ref="O1205" r:id="rId3243" xr:uid="{00000000-0004-0000-0000-0000AA0C0000}"/>
    <hyperlink ref="D1206" r:id="rId3244" xr:uid="{00000000-0004-0000-0000-0000AB0C0000}"/>
    <hyperlink ref="E1206" r:id="rId3245" xr:uid="{00000000-0004-0000-0000-0000AC0C0000}"/>
    <hyperlink ref="O1206" r:id="rId3246" xr:uid="{00000000-0004-0000-0000-0000AD0C0000}"/>
    <hyperlink ref="E1207" r:id="rId3247" xr:uid="{00000000-0004-0000-0000-0000AE0C0000}"/>
    <hyperlink ref="O1207" r:id="rId3248" xr:uid="{00000000-0004-0000-0000-0000AF0C0000}"/>
    <hyperlink ref="D1208" r:id="rId3249" xr:uid="{00000000-0004-0000-0000-0000B00C0000}"/>
    <hyperlink ref="E1208" r:id="rId3250" xr:uid="{00000000-0004-0000-0000-0000B10C0000}"/>
    <hyperlink ref="O1208" r:id="rId3251" xr:uid="{00000000-0004-0000-0000-0000B20C0000}"/>
    <hyperlink ref="E1209" r:id="rId3252" xr:uid="{00000000-0004-0000-0000-0000B30C0000}"/>
    <hyperlink ref="O1209" r:id="rId3253" xr:uid="{00000000-0004-0000-0000-0000B40C0000}"/>
    <hyperlink ref="D1210" r:id="rId3254" xr:uid="{00000000-0004-0000-0000-0000B50C0000}"/>
    <hyperlink ref="E1210" r:id="rId3255" xr:uid="{00000000-0004-0000-0000-0000B60C0000}"/>
    <hyperlink ref="O1210" r:id="rId3256" xr:uid="{00000000-0004-0000-0000-0000B70C0000}"/>
    <hyperlink ref="D1211" r:id="rId3257" xr:uid="{00000000-0004-0000-0000-0000B80C0000}"/>
    <hyperlink ref="E1211" r:id="rId3258" xr:uid="{00000000-0004-0000-0000-0000B90C0000}"/>
    <hyperlink ref="O1211" r:id="rId3259" xr:uid="{00000000-0004-0000-0000-0000BA0C0000}"/>
    <hyperlink ref="D1212" r:id="rId3260" xr:uid="{00000000-0004-0000-0000-0000BB0C0000}"/>
    <hyperlink ref="E1212" r:id="rId3261" xr:uid="{00000000-0004-0000-0000-0000BC0C0000}"/>
    <hyperlink ref="O1212" r:id="rId3262" xr:uid="{00000000-0004-0000-0000-0000BD0C0000}"/>
    <hyperlink ref="D1213" r:id="rId3263" xr:uid="{00000000-0004-0000-0000-0000BE0C0000}"/>
    <hyperlink ref="E1213" r:id="rId3264" xr:uid="{00000000-0004-0000-0000-0000BF0C0000}"/>
    <hyperlink ref="O1213" r:id="rId3265" xr:uid="{00000000-0004-0000-0000-0000C00C0000}"/>
    <hyperlink ref="D1214" r:id="rId3266" xr:uid="{00000000-0004-0000-0000-0000C10C0000}"/>
    <hyperlink ref="E1214" r:id="rId3267" xr:uid="{00000000-0004-0000-0000-0000C20C0000}"/>
    <hyperlink ref="O1214" r:id="rId3268" xr:uid="{00000000-0004-0000-0000-0000C30C0000}"/>
    <hyperlink ref="D1215" r:id="rId3269" xr:uid="{00000000-0004-0000-0000-0000C40C0000}"/>
    <hyperlink ref="E1215" r:id="rId3270" xr:uid="{00000000-0004-0000-0000-0000C50C0000}"/>
    <hyperlink ref="O1215" r:id="rId3271" xr:uid="{00000000-0004-0000-0000-0000C60C0000}"/>
    <hyperlink ref="D1216" r:id="rId3272" xr:uid="{00000000-0004-0000-0000-0000C70C0000}"/>
    <hyperlink ref="E1216" r:id="rId3273" xr:uid="{00000000-0004-0000-0000-0000C80C0000}"/>
    <hyperlink ref="O1216" r:id="rId3274" xr:uid="{00000000-0004-0000-0000-0000C90C0000}"/>
    <hyperlink ref="E1217" r:id="rId3275" xr:uid="{00000000-0004-0000-0000-0000CA0C0000}"/>
    <hyperlink ref="O1217" r:id="rId3276" xr:uid="{00000000-0004-0000-0000-0000CB0C0000}"/>
    <hyperlink ref="E1218" r:id="rId3277" xr:uid="{00000000-0004-0000-0000-0000CC0C0000}"/>
    <hyperlink ref="O1218" r:id="rId3278" xr:uid="{00000000-0004-0000-0000-0000CD0C0000}"/>
    <hyperlink ref="D1219" r:id="rId3279" xr:uid="{00000000-0004-0000-0000-0000CE0C0000}"/>
    <hyperlink ref="E1219" r:id="rId3280" xr:uid="{00000000-0004-0000-0000-0000CF0C0000}"/>
    <hyperlink ref="O1219" r:id="rId3281" xr:uid="{00000000-0004-0000-0000-0000D00C0000}"/>
    <hyperlink ref="D1220" r:id="rId3282" xr:uid="{00000000-0004-0000-0000-0000D10C0000}"/>
    <hyperlink ref="E1220" r:id="rId3283" xr:uid="{00000000-0004-0000-0000-0000D20C0000}"/>
    <hyperlink ref="O1220" r:id="rId3284" xr:uid="{00000000-0004-0000-0000-0000D30C0000}"/>
    <hyperlink ref="E1221" r:id="rId3285" xr:uid="{00000000-0004-0000-0000-0000D40C0000}"/>
    <hyperlink ref="O1221" r:id="rId3286" xr:uid="{00000000-0004-0000-0000-0000D50C0000}"/>
    <hyperlink ref="D1222" r:id="rId3287" xr:uid="{00000000-0004-0000-0000-0000D60C0000}"/>
    <hyperlink ref="E1222" r:id="rId3288" xr:uid="{00000000-0004-0000-0000-0000D70C0000}"/>
    <hyperlink ref="O1222" r:id="rId3289" xr:uid="{00000000-0004-0000-0000-0000D80C0000}"/>
    <hyperlink ref="E1223" r:id="rId3290" xr:uid="{00000000-0004-0000-0000-0000D90C0000}"/>
    <hyperlink ref="O1223" r:id="rId3291" xr:uid="{00000000-0004-0000-0000-0000DA0C0000}"/>
    <hyperlink ref="D1224" r:id="rId3292" xr:uid="{00000000-0004-0000-0000-0000DB0C0000}"/>
    <hyperlink ref="E1224" r:id="rId3293" xr:uid="{00000000-0004-0000-0000-0000DC0C0000}"/>
    <hyperlink ref="O1224" r:id="rId3294" xr:uid="{00000000-0004-0000-0000-0000DD0C0000}"/>
    <hyperlink ref="E1225" r:id="rId3295" xr:uid="{00000000-0004-0000-0000-0000DE0C0000}"/>
    <hyperlink ref="O1225" r:id="rId3296" xr:uid="{00000000-0004-0000-0000-0000DF0C0000}"/>
    <hyperlink ref="E1226" r:id="rId3297" xr:uid="{00000000-0004-0000-0000-0000E00C0000}"/>
    <hyperlink ref="O1226" r:id="rId3298" xr:uid="{00000000-0004-0000-0000-0000E10C0000}"/>
    <hyperlink ref="E1227" r:id="rId3299" xr:uid="{00000000-0004-0000-0000-0000E20C0000}"/>
    <hyperlink ref="O1227" r:id="rId3300" xr:uid="{00000000-0004-0000-0000-0000E30C0000}"/>
    <hyperlink ref="E1228" r:id="rId3301" xr:uid="{00000000-0004-0000-0000-0000E40C0000}"/>
    <hyperlink ref="O1228" r:id="rId3302" xr:uid="{00000000-0004-0000-0000-0000E50C0000}"/>
    <hyperlink ref="E1229" r:id="rId3303" xr:uid="{00000000-0004-0000-0000-0000E60C0000}"/>
    <hyperlink ref="O1229" r:id="rId3304" xr:uid="{00000000-0004-0000-0000-0000E70C0000}"/>
    <hyperlink ref="E1230" r:id="rId3305" xr:uid="{00000000-0004-0000-0000-0000E80C0000}"/>
    <hyperlink ref="O1230" r:id="rId3306" xr:uid="{00000000-0004-0000-0000-0000E90C0000}"/>
    <hyperlink ref="E1231" r:id="rId3307" xr:uid="{00000000-0004-0000-0000-0000EA0C0000}"/>
    <hyperlink ref="O1231" r:id="rId3308" xr:uid="{00000000-0004-0000-0000-0000EB0C0000}"/>
    <hyperlink ref="E1232" r:id="rId3309" xr:uid="{00000000-0004-0000-0000-0000EC0C0000}"/>
    <hyperlink ref="O1232" r:id="rId3310" xr:uid="{00000000-0004-0000-0000-0000ED0C0000}"/>
    <hyperlink ref="E1233" r:id="rId3311" xr:uid="{00000000-0004-0000-0000-0000EE0C0000}"/>
    <hyperlink ref="O1233" r:id="rId3312" xr:uid="{00000000-0004-0000-0000-0000EF0C0000}"/>
    <hyperlink ref="E1234" r:id="rId3313" xr:uid="{00000000-0004-0000-0000-0000F00C0000}"/>
    <hyperlink ref="O1234" r:id="rId3314" xr:uid="{00000000-0004-0000-0000-0000F10C0000}"/>
    <hyperlink ref="E1235" r:id="rId3315" xr:uid="{00000000-0004-0000-0000-0000F20C0000}"/>
    <hyperlink ref="O1235" r:id="rId3316" xr:uid="{00000000-0004-0000-0000-0000F30C0000}"/>
    <hyperlink ref="E1236" r:id="rId3317" xr:uid="{00000000-0004-0000-0000-0000F40C0000}"/>
    <hyperlink ref="O1236" r:id="rId3318" xr:uid="{00000000-0004-0000-0000-0000F50C0000}"/>
    <hyperlink ref="D1237" r:id="rId3319" xr:uid="{00000000-0004-0000-0000-0000F60C0000}"/>
    <hyperlink ref="E1237" r:id="rId3320" xr:uid="{00000000-0004-0000-0000-0000F70C0000}"/>
    <hyperlink ref="O1237" r:id="rId3321" xr:uid="{00000000-0004-0000-0000-0000F80C0000}"/>
    <hyperlink ref="D1238" r:id="rId3322" xr:uid="{00000000-0004-0000-0000-0000F90C0000}"/>
    <hyperlink ref="E1238" r:id="rId3323" xr:uid="{00000000-0004-0000-0000-0000FA0C0000}"/>
    <hyperlink ref="O1238" r:id="rId3324" xr:uid="{00000000-0004-0000-0000-0000FB0C0000}"/>
    <hyperlink ref="D1239" r:id="rId3325" xr:uid="{00000000-0004-0000-0000-0000FC0C0000}"/>
    <hyperlink ref="E1239" r:id="rId3326" xr:uid="{00000000-0004-0000-0000-0000FD0C0000}"/>
    <hyperlink ref="O1239" r:id="rId3327" xr:uid="{00000000-0004-0000-0000-0000FE0C0000}"/>
    <hyperlink ref="E1240" r:id="rId3328" xr:uid="{00000000-0004-0000-0000-0000FF0C0000}"/>
    <hyperlink ref="O1240" r:id="rId3329" xr:uid="{00000000-0004-0000-0000-0000000D0000}"/>
    <hyperlink ref="E1241" r:id="rId3330" xr:uid="{00000000-0004-0000-0000-0000010D0000}"/>
    <hyperlink ref="O1241" r:id="rId3331" xr:uid="{00000000-0004-0000-0000-0000020D0000}"/>
    <hyperlink ref="D1242" r:id="rId3332" xr:uid="{00000000-0004-0000-0000-0000030D0000}"/>
    <hyperlink ref="E1242" r:id="rId3333" xr:uid="{00000000-0004-0000-0000-0000040D0000}"/>
    <hyperlink ref="O1242" r:id="rId3334" xr:uid="{00000000-0004-0000-0000-0000050D0000}"/>
    <hyperlink ref="D1243" r:id="rId3335" xr:uid="{00000000-0004-0000-0000-0000060D0000}"/>
    <hyperlink ref="E1243" r:id="rId3336" xr:uid="{00000000-0004-0000-0000-0000070D0000}"/>
    <hyperlink ref="O1243" r:id="rId3337" xr:uid="{00000000-0004-0000-0000-0000080D0000}"/>
    <hyperlink ref="D1244" r:id="rId3338" xr:uid="{00000000-0004-0000-0000-0000090D0000}"/>
    <hyperlink ref="E1244" r:id="rId3339" xr:uid="{00000000-0004-0000-0000-00000A0D0000}"/>
    <hyperlink ref="O1244" r:id="rId3340" xr:uid="{00000000-0004-0000-0000-00000B0D0000}"/>
    <hyperlink ref="E1245" r:id="rId3341" xr:uid="{00000000-0004-0000-0000-00000C0D0000}"/>
    <hyperlink ref="O1245" r:id="rId3342" xr:uid="{00000000-0004-0000-0000-00000D0D0000}"/>
    <hyperlink ref="E1246" r:id="rId3343" xr:uid="{00000000-0004-0000-0000-00000E0D0000}"/>
    <hyperlink ref="O1246" r:id="rId3344" xr:uid="{00000000-0004-0000-0000-00000F0D0000}"/>
    <hyperlink ref="E1247" r:id="rId3345" xr:uid="{00000000-0004-0000-0000-0000100D0000}"/>
    <hyperlink ref="O1247" r:id="rId3346" xr:uid="{00000000-0004-0000-0000-0000110D0000}"/>
    <hyperlink ref="D1248" r:id="rId3347" xr:uid="{00000000-0004-0000-0000-0000120D0000}"/>
    <hyperlink ref="E1248" r:id="rId3348" xr:uid="{00000000-0004-0000-0000-0000130D0000}"/>
    <hyperlink ref="O1248" r:id="rId3349" xr:uid="{00000000-0004-0000-0000-0000140D0000}"/>
    <hyperlink ref="D1249" r:id="rId3350" xr:uid="{00000000-0004-0000-0000-0000150D0000}"/>
    <hyperlink ref="E1249" r:id="rId3351" xr:uid="{00000000-0004-0000-0000-0000160D0000}"/>
    <hyperlink ref="O1249" r:id="rId3352" xr:uid="{00000000-0004-0000-0000-0000170D0000}"/>
    <hyperlink ref="E1250" r:id="rId3353" xr:uid="{00000000-0004-0000-0000-0000180D0000}"/>
    <hyperlink ref="O1250" r:id="rId3354" xr:uid="{00000000-0004-0000-0000-0000190D0000}"/>
    <hyperlink ref="D1251" r:id="rId3355" xr:uid="{00000000-0004-0000-0000-00001A0D0000}"/>
    <hyperlink ref="E1251" r:id="rId3356" xr:uid="{00000000-0004-0000-0000-00001B0D0000}"/>
    <hyperlink ref="O1251" r:id="rId3357" xr:uid="{00000000-0004-0000-0000-00001C0D0000}"/>
    <hyperlink ref="D1252" r:id="rId3358" xr:uid="{00000000-0004-0000-0000-00001D0D0000}"/>
    <hyperlink ref="E1252" r:id="rId3359" xr:uid="{00000000-0004-0000-0000-00001E0D0000}"/>
    <hyperlink ref="O1252" r:id="rId3360" xr:uid="{00000000-0004-0000-0000-00001F0D0000}"/>
    <hyperlink ref="E1253" r:id="rId3361" xr:uid="{00000000-0004-0000-0000-0000200D0000}"/>
    <hyperlink ref="O1253" r:id="rId3362" xr:uid="{00000000-0004-0000-0000-0000210D0000}"/>
    <hyperlink ref="E1254" r:id="rId3363" xr:uid="{00000000-0004-0000-0000-0000220D0000}"/>
    <hyperlink ref="O1254" r:id="rId3364" xr:uid="{00000000-0004-0000-0000-0000230D0000}"/>
    <hyperlink ref="E1255" r:id="rId3365" xr:uid="{00000000-0004-0000-0000-0000240D0000}"/>
    <hyperlink ref="O1255" r:id="rId3366" xr:uid="{00000000-0004-0000-0000-0000250D0000}"/>
    <hyperlink ref="E1256" r:id="rId3367" xr:uid="{00000000-0004-0000-0000-0000260D0000}"/>
    <hyperlink ref="O1256" r:id="rId3368" xr:uid="{00000000-0004-0000-0000-0000270D0000}"/>
    <hyperlink ref="D1257" r:id="rId3369" xr:uid="{00000000-0004-0000-0000-0000280D0000}"/>
    <hyperlink ref="E1257" r:id="rId3370" xr:uid="{00000000-0004-0000-0000-0000290D0000}"/>
    <hyperlink ref="O1257" r:id="rId3371" xr:uid="{00000000-0004-0000-0000-00002A0D0000}"/>
    <hyperlink ref="E1258" r:id="rId3372" xr:uid="{00000000-0004-0000-0000-00002B0D0000}"/>
    <hyperlink ref="O1258" r:id="rId3373" xr:uid="{00000000-0004-0000-0000-00002C0D0000}"/>
    <hyperlink ref="E1259" r:id="rId3374" xr:uid="{00000000-0004-0000-0000-00002D0D0000}"/>
    <hyperlink ref="O1259" r:id="rId3375" xr:uid="{00000000-0004-0000-0000-00002E0D0000}"/>
    <hyperlink ref="D1260" r:id="rId3376" xr:uid="{00000000-0004-0000-0000-00002F0D0000}"/>
    <hyperlink ref="E1260" r:id="rId3377" xr:uid="{00000000-0004-0000-0000-0000300D0000}"/>
    <hyperlink ref="O1260" r:id="rId3378" xr:uid="{00000000-0004-0000-0000-0000310D0000}"/>
    <hyperlink ref="D1261" r:id="rId3379" xr:uid="{00000000-0004-0000-0000-0000320D0000}"/>
    <hyperlink ref="E1261" r:id="rId3380" xr:uid="{00000000-0004-0000-0000-0000330D0000}"/>
    <hyperlink ref="O1261" r:id="rId3381" xr:uid="{00000000-0004-0000-0000-0000340D0000}"/>
    <hyperlink ref="D1262" r:id="rId3382" xr:uid="{00000000-0004-0000-0000-0000350D0000}"/>
    <hyperlink ref="E1262" r:id="rId3383" xr:uid="{00000000-0004-0000-0000-0000360D0000}"/>
    <hyperlink ref="O1262" r:id="rId3384" xr:uid="{00000000-0004-0000-0000-0000370D0000}"/>
    <hyperlink ref="D1263" r:id="rId3385" xr:uid="{00000000-0004-0000-0000-0000380D0000}"/>
    <hyperlink ref="E1263" r:id="rId3386" xr:uid="{00000000-0004-0000-0000-0000390D0000}"/>
    <hyperlink ref="O1263" r:id="rId3387" xr:uid="{00000000-0004-0000-0000-00003A0D0000}"/>
    <hyperlink ref="D1264" r:id="rId3388" xr:uid="{00000000-0004-0000-0000-00003B0D0000}"/>
    <hyperlink ref="E1264" r:id="rId3389" xr:uid="{00000000-0004-0000-0000-00003C0D0000}"/>
    <hyperlink ref="O1264" r:id="rId3390" xr:uid="{00000000-0004-0000-0000-00003D0D0000}"/>
    <hyperlink ref="D1265" r:id="rId3391" xr:uid="{00000000-0004-0000-0000-00003E0D0000}"/>
    <hyperlink ref="E1265" r:id="rId3392" xr:uid="{00000000-0004-0000-0000-00003F0D0000}"/>
    <hyperlink ref="O1265" r:id="rId3393" xr:uid="{00000000-0004-0000-0000-0000400D0000}"/>
    <hyperlink ref="D1266" r:id="rId3394" xr:uid="{00000000-0004-0000-0000-0000410D0000}"/>
    <hyperlink ref="E1266" r:id="rId3395" xr:uid="{00000000-0004-0000-0000-0000420D0000}"/>
    <hyperlink ref="O1266" r:id="rId3396" xr:uid="{00000000-0004-0000-0000-0000430D0000}"/>
    <hyperlink ref="D1267" r:id="rId3397" xr:uid="{00000000-0004-0000-0000-0000440D0000}"/>
    <hyperlink ref="E1267" r:id="rId3398" xr:uid="{00000000-0004-0000-0000-0000450D0000}"/>
    <hyperlink ref="O1267" r:id="rId3399" xr:uid="{00000000-0004-0000-0000-0000460D0000}"/>
    <hyperlink ref="D1268" r:id="rId3400" xr:uid="{00000000-0004-0000-0000-0000470D0000}"/>
    <hyperlink ref="E1268" r:id="rId3401" xr:uid="{00000000-0004-0000-0000-0000480D0000}"/>
    <hyperlink ref="O1268" r:id="rId3402" xr:uid="{00000000-0004-0000-0000-0000490D0000}"/>
    <hyperlink ref="D1269" r:id="rId3403" xr:uid="{00000000-0004-0000-0000-00004A0D0000}"/>
    <hyperlink ref="E1269" r:id="rId3404" xr:uid="{00000000-0004-0000-0000-00004B0D0000}"/>
    <hyperlink ref="O1269" r:id="rId3405" xr:uid="{00000000-0004-0000-0000-00004C0D0000}"/>
    <hyperlink ref="E1270" r:id="rId3406" xr:uid="{00000000-0004-0000-0000-00004D0D0000}"/>
    <hyperlink ref="O1270" r:id="rId3407" xr:uid="{00000000-0004-0000-0000-00004E0D0000}"/>
    <hyperlink ref="D1271" r:id="rId3408" xr:uid="{00000000-0004-0000-0000-00004F0D0000}"/>
    <hyperlink ref="E1271" r:id="rId3409" xr:uid="{00000000-0004-0000-0000-0000500D0000}"/>
    <hyperlink ref="O1271" r:id="rId3410" xr:uid="{00000000-0004-0000-0000-0000510D0000}"/>
    <hyperlink ref="D1272" r:id="rId3411" xr:uid="{00000000-0004-0000-0000-0000520D0000}"/>
    <hyperlink ref="E1272" r:id="rId3412" xr:uid="{00000000-0004-0000-0000-0000530D0000}"/>
    <hyperlink ref="O1272" r:id="rId3413" xr:uid="{00000000-0004-0000-0000-0000540D0000}"/>
    <hyperlink ref="D1273" r:id="rId3414" xr:uid="{00000000-0004-0000-0000-0000550D0000}"/>
    <hyperlink ref="E1273" r:id="rId3415" xr:uid="{00000000-0004-0000-0000-0000560D0000}"/>
    <hyperlink ref="O1273" r:id="rId3416" xr:uid="{00000000-0004-0000-0000-0000570D0000}"/>
    <hyperlink ref="E1274" r:id="rId3417" xr:uid="{00000000-0004-0000-0000-0000580D0000}"/>
    <hyperlink ref="O1274" r:id="rId3418" xr:uid="{00000000-0004-0000-0000-0000590D0000}"/>
    <hyperlink ref="E1275" r:id="rId3419" xr:uid="{00000000-0004-0000-0000-00005A0D0000}"/>
    <hyperlink ref="O1275" r:id="rId3420" xr:uid="{00000000-0004-0000-0000-00005B0D0000}"/>
    <hyperlink ref="D1276" r:id="rId3421" xr:uid="{00000000-0004-0000-0000-00005C0D0000}"/>
    <hyperlink ref="E1276" r:id="rId3422" xr:uid="{00000000-0004-0000-0000-00005D0D0000}"/>
    <hyperlink ref="O1276" r:id="rId3423" xr:uid="{00000000-0004-0000-0000-00005E0D0000}"/>
    <hyperlink ref="E1277" r:id="rId3424" xr:uid="{00000000-0004-0000-0000-00005F0D0000}"/>
    <hyperlink ref="O1277" r:id="rId3425" xr:uid="{00000000-0004-0000-0000-0000600D0000}"/>
    <hyperlink ref="D1278" r:id="rId3426" xr:uid="{00000000-0004-0000-0000-0000610D0000}"/>
    <hyperlink ref="E1278" r:id="rId3427" xr:uid="{00000000-0004-0000-0000-0000620D0000}"/>
    <hyperlink ref="O1278" r:id="rId3428" xr:uid="{00000000-0004-0000-0000-0000630D0000}"/>
    <hyperlink ref="E1279" r:id="rId3429" xr:uid="{00000000-0004-0000-0000-0000640D0000}"/>
    <hyperlink ref="O1279" r:id="rId3430" xr:uid="{00000000-0004-0000-0000-0000650D0000}"/>
    <hyperlink ref="D1280" r:id="rId3431" xr:uid="{00000000-0004-0000-0000-0000660D0000}"/>
    <hyperlink ref="E1280" r:id="rId3432" xr:uid="{00000000-0004-0000-0000-0000670D0000}"/>
    <hyperlink ref="O1280" r:id="rId3433" xr:uid="{00000000-0004-0000-0000-0000680D0000}"/>
    <hyperlink ref="D1281" r:id="rId3434" xr:uid="{00000000-0004-0000-0000-0000690D0000}"/>
    <hyperlink ref="E1281" r:id="rId3435" xr:uid="{00000000-0004-0000-0000-00006A0D0000}"/>
    <hyperlink ref="O1281" r:id="rId3436" xr:uid="{00000000-0004-0000-0000-00006B0D0000}"/>
    <hyperlink ref="E1282" r:id="rId3437" xr:uid="{00000000-0004-0000-0000-00006C0D0000}"/>
    <hyperlink ref="O1282" r:id="rId3438" xr:uid="{00000000-0004-0000-0000-00006D0D0000}"/>
    <hyperlink ref="D1283" r:id="rId3439" xr:uid="{00000000-0004-0000-0000-00006E0D0000}"/>
    <hyperlink ref="E1283" r:id="rId3440" xr:uid="{00000000-0004-0000-0000-00006F0D0000}"/>
    <hyperlink ref="O1283" r:id="rId3441" xr:uid="{00000000-0004-0000-0000-0000700D0000}"/>
    <hyperlink ref="D1284" r:id="rId3442" xr:uid="{00000000-0004-0000-0000-0000710D0000}"/>
    <hyperlink ref="E1284" r:id="rId3443" xr:uid="{00000000-0004-0000-0000-0000720D0000}"/>
    <hyperlink ref="O1284" r:id="rId3444" xr:uid="{00000000-0004-0000-0000-0000730D0000}"/>
    <hyperlink ref="E1285" r:id="rId3445" xr:uid="{00000000-0004-0000-0000-0000740D0000}"/>
    <hyperlink ref="O1285" r:id="rId3446" xr:uid="{00000000-0004-0000-0000-0000750D0000}"/>
    <hyperlink ref="D1286" r:id="rId3447" xr:uid="{00000000-0004-0000-0000-0000760D0000}"/>
    <hyperlink ref="E1286" r:id="rId3448" xr:uid="{00000000-0004-0000-0000-0000770D0000}"/>
    <hyperlink ref="O1286" r:id="rId3449" xr:uid="{00000000-0004-0000-0000-0000780D0000}"/>
    <hyperlink ref="D1287" r:id="rId3450" xr:uid="{00000000-0004-0000-0000-0000790D0000}"/>
    <hyperlink ref="E1287" r:id="rId3451" xr:uid="{00000000-0004-0000-0000-00007A0D0000}"/>
    <hyperlink ref="O1287" r:id="rId3452" xr:uid="{00000000-0004-0000-0000-00007B0D0000}"/>
    <hyperlink ref="E1288" r:id="rId3453" xr:uid="{00000000-0004-0000-0000-00007C0D0000}"/>
    <hyperlink ref="O1288" r:id="rId3454" xr:uid="{00000000-0004-0000-0000-00007D0D0000}"/>
    <hyperlink ref="D1289" r:id="rId3455" xr:uid="{00000000-0004-0000-0000-00007E0D0000}"/>
    <hyperlink ref="E1289" r:id="rId3456" xr:uid="{00000000-0004-0000-0000-00007F0D0000}"/>
    <hyperlink ref="O1289" r:id="rId3457" xr:uid="{00000000-0004-0000-0000-0000800D0000}"/>
    <hyperlink ref="E1290" r:id="rId3458" xr:uid="{00000000-0004-0000-0000-0000810D0000}"/>
    <hyperlink ref="O1290" r:id="rId3459" xr:uid="{00000000-0004-0000-0000-0000820D0000}"/>
    <hyperlink ref="E1291" r:id="rId3460" xr:uid="{00000000-0004-0000-0000-0000830D0000}"/>
    <hyperlink ref="O1291" r:id="rId3461" xr:uid="{00000000-0004-0000-0000-0000840D0000}"/>
    <hyperlink ref="D1292" r:id="rId3462" xr:uid="{00000000-0004-0000-0000-0000850D0000}"/>
    <hyperlink ref="E1292" r:id="rId3463" xr:uid="{00000000-0004-0000-0000-0000860D0000}"/>
    <hyperlink ref="O1292" r:id="rId3464" xr:uid="{00000000-0004-0000-0000-0000870D0000}"/>
    <hyperlink ref="D1293" r:id="rId3465" xr:uid="{00000000-0004-0000-0000-0000880D0000}"/>
    <hyperlink ref="E1293" r:id="rId3466" xr:uid="{00000000-0004-0000-0000-0000890D0000}"/>
    <hyperlink ref="O1293" r:id="rId3467" xr:uid="{00000000-0004-0000-0000-00008A0D0000}"/>
    <hyperlink ref="D1294" r:id="rId3468" xr:uid="{00000000-0004-0000-0000-00008B0D0000}"/>
    <hyperlink ref="E1294" r:id="rId3469" xr:uid="{00000000-0004-0000-0000-00008C0D0000}"/>
    <hyperlink ref="O1294" r:id="rId3470" xr:uid="{00000000-0004-0000-0000-00008D0D0000}"/>
    <hyperlink ref="D1295" r:id="rId3471" xr:uid="{00000000-0004-0000-0000-00008E0D0000}"/>
    <hyperlink ref="E1295" r:id="rId3472" xr:uid="{00000000-0004-0000-0000-00008F0D0000}"/>
    <hyperlink ref="O1295" r:id="rId3473" xr:uid="{00000000-0004-0000-0000-0000900D0000}"/>
    <hyperlink ref="D1296" r:id="rId3474" xr:uid="{00000000-0004-0000-0000-0000910D0000}"/>
    <hyperlink ref="E1296" r:id="rId3475" xr:uid="{00000000-0004-0000-0000-0000920D0000}"/>
    <hyperlink ref="O1296" r:id="rId3476" xr:uid="{00000000-0004-0000-0000-0000930D0000}"/>
    <hyperlink ref="E1297" r:id="rId3477" xr:uid="{00000000-0004-0000-0000-0000940D0000}"/>
    <hyperlink ref="O1297" r:id="rId3478" xr:uid="{00000000-0004-0000-0000-0000950D0000}"/>
    <hyperlink ref="E1298" r:id="rId3479" xr:uid="{00000000-0004-0000-0000-0000960D0000}"/>
    <hyperlink ref="O1298" r:id="rId3480" xr:uid="{00000000-0004-0000-0000-0000970D0000}"/>
    <hyperlink ref="E1299" r:id="rId3481" xr:uid="{00000000-0004-0000-0000-0000980D0000}"/>
    <hyperlink ref="O1299" r:id="rId3482" xr:uid="{00000000-0004-0000-0000-0000990D0000}"/>
    <hyperlink ref="D1300" r:id="rId3483" xr:uid="{00000000-0004-0000-0000-00009A0D0000}"/>
    <hyperlink ref="E1300" r:id="rId3484" xr:uid="{00000000-0004-0000-0000-00009B0D0000}"/>
    <hyperlink ref="O1300" r:id="rId3485" xr:uid="{00000000-0004-0000-0000-00009C0D0000}"/>
    <hyperlink ref="D1301" r:id="rId3486" xr:uid="{00000000-0004-0000-0000-00009D0D0000}"/>
    <hyperlink ref="E1301" r:id="rId3487" xr:uid="{00000000-0004-0000-0000-00009E0D0000}"/>
    <hyperlink ref="O1301" r:id="rId3488" xr:uid="{00000000-0004-0000-0000-00009F0D0000}"/>
    <hyperlink ref="E1302" r:id="rId3489" xr:uid="{00000000-0004-0000-0000-0000A00D0000}"/>
    <hyperlink ref="O1302" r:id="rId3490" xr:uid="{00000000-0004-0000-0000-0000A10D0000}"/>
    <hyperlink ref="D1303" r:id="rId3491" xr:uid="{00000000-0004-0000-0000-0000A20D0000}"/>
    <hyperlink ref="E1303" r:id="rId3492" xr:uid="{00000000-0004-0000-0000-0000A30D0000}"/>
    <hyperlink ref="O1303" r:id="rId3493" xr:uid="{00000000-0004-0000-0000-0000A40D0000}"/>
    <hyperlink ref="D1304" r:id="rId3494" xr:uid="{00000000-0004-0000-0000-0000A50D0000}"/>
    <hyperlink ref="E1304" r:id="rId3495" xr:uid="{00000000-0004-0000-0000-0000A60D0000}"/>
    <hyperlink ref="O1304" r:id="rId3496" xr:uid="{00000000-0004-0000-0000-0000A70D0000}"/>
    <hyperlink ref="D1305" r:id="rId3497" xr:uid="{00000000-0004-0000-0000-0000A80D0000}"/>
    <hyperlink ref="E1305" r:id="rId3498" xr:uid="{00000000-0004-0000-0000-0000A90D0000}"/>
    <hyperlink ref="O1305" r:id="rId3499" xr:uid="{00000000-0004-0000-0000-0000AA0D0000}"/>
    <hyperlink ref="D1306" r:id="rId3500" xr:uid="{00000000-0004-0000-0000-0000AB0D0000}"/>
    <hyperlink ref="E1306" r:id="rId3501" xr:uid="{00000000-0004-0000-0000-0000AC0D0000}"/>
    <hyperlink ref="O1306" r:id="rId3502" xr:uid="{00000000-0004-0000-0000-0000AD0D0000}"/>
    <hyperlink ref="D1307" r:id="rId3503" xr:uid="{00000000-0004-0000-0000-0000AE0D0000}"/>
    <hyperlink ref="E1307" r:id="rId3504" xr:uid="{00000000-0004-0000-0000-0000AF0D0000}"/>
    <hyperlink ref="O1307" r:id="rId3505" xr:uid="{00000000-0004-0000-0000-0000B00D0000}"/>
    <hyperlink ref="D1308" r:id="rId3506" xr:uid="{00000000-0004-0000-0000-0000B10D0000}"/>
    <hyperlink ref="E1308" r:id="rId3507" xr:uid="{00000000-0004-0000-0000-0000B20D0000}"/>
    <hyperlink ref="O1308" r:id="rId3508" xr:uid="{00000000-0004-0000-0000-0000B30D0000}"/>
    <hyperlink ref="D1309" r:id="rId3509" xr:uid="{00000000-0004-0000-0000-0000B40D0000}"/>
    <hyperlink ref="E1309" r:id="rId3510" xr:uid="{00000000-0004-0000-0000-0000B50D0000}"/>
    <hyperlink ref="O1309" r:id="rId3511" xr:uid="{00000000-0004-0000-0000-0000B60D0000}"/>
    <hyperlink ref="E1310" r:id="rId3512" xr:uid="{00000000-0004-0000-0000-0000B70D0000}"/>
    <hyperlink ref="O1310" r:id="rId3513" xr:uid="{00000000-0004-0000-0000-0000B80D0000}"/>
    <hyperlink ref="E1311" r:id="rId3514" xr:uid="{00000000-0004-0000-0000-0000B90D0000}"/>
    <hyperlink ref="O1311" r:id="rId3515" xr:uid="{00000000-0004-0000-0000-0000BA0D0000}"/>
    <hyperlink ref="D1312" r:id="rId3516" xr:uid="{00000000-0004-0000-0000-0000BB0D0000}"/>
    <hyperlink ref="E1312" r:id="rId3517" xr:uid="{00000000-0004-0000-0000-0000BC0D0000}"/>
    <hyperlink ref="O1312" r:id="rId3518" xr:uid="{00000000-0004-0000-0000-0000BD0D0000}"/>
    <hyperlink ref="D1313" r:id="rId3519" xr:uid="{00000000-0004-0000-0000-0000BE0D0000}"/>
    <hyperlink ref="E1313" r:id="rId3520" xr:uid="{00000000-0004-0000-0000-0000BF0D0000}"/>
    <hyperlink ref="O1313" r:id="rId3521" xr:uid="{00000000-0004-0000-0000-0000C00D0000}"/>
    <hyperlink ref="D1314" r:id="rId3522" xr:uid="{00000000-0004-0000-0000-0000C10D0000}"/>
    <hyperlink ref="E1314" r:id="rId3523" xr:uid="{00000000-0004-0000-0000-0000C20D0000}"/>
    <hyperlink ref="O1314" r:id="rId3524" xr:uid="{00000000-0004-0000-0000-0000C30D0000}"/>
    <hyperlink ref="D1315" r:id="rId3525" xr:uid="{00000000-0004-0000-0000-0000C40D0000}"/>
    <hyperlink ref="E1315" r:id="rId3526" xr:uid="{00000000-0004-0000-0000-0000C50D0000}"/>
    <hyperlink ref="O1315" r:id="rId3527" xr:uid="{00000000-0004-0000-0000-0000C60D0000}"/>
    <hyperlink ref="D1316" r:id="rId3528" xr:uid="{00000000-0004-0000-0000-0000C70D0000}"/>
    <hyperlink ref="E1316" r:id="rId3529" xr:uid="{00000000-0004-0000-0000-0000C80D0000}"/>
    <hyperlink ref="O1316" r:id="rId3530" xr:uid="{00000000-0004-0000-0000-0000C90D0000}"/>
    <hyperlink ref="D1317" r:id="rId3531" xr:uid="{00000000-0004-0000-0000-0000CA0D0000}"/>
    <hyperlink ref="E1317" r:id="rId3532" xr:uid="{00000000-0004-0000-0000-0000CB0D0000}"/>
    <hyperlink ref="O1317" r:id="rId3533" xr:uid="{00000000-0004-0000-0000-0000CC0D0000}"/>
    <hyperlink ref="D1318" r:id="rId3534" xr:uid="{00000000-0004-0000-0000-0000CD0D0000}"/>
    <hyperlink ref="E1318" r:id="rId3535" xr:uid="{00000000-0004-0000-0000-0000CE0D0000}"/>
    <hyperlink ref="O1318" r:id="rId3536" xr:uid="{00000000-0004-0000-0000-0000CF0D0000}"/>
    <hyperlink ref="D1319" r:id="rId3537" xr:uid="{00000000-0004-0000-0000-0000D00D0000}"/>
    <hyperlink ref="E1319" r:id="rId3538" xr:uid="{00000000-0004-0000-0000-0000D10D0000}"/>
    <hyperlink ref="O1319" r:id="rId3539" xr:uid="{00000000-0004-0000-0000-0000D20D0000}"/>
    <hyperlink ref="D1320" r:id="rId3540" xr:uid="{00000000-0004-0000-0000-0000D30D0000}"/>
    <hyperlink ref="E1320" r:id="rId3541" xr:uid="{00000000-0004-0000-0000-0000D40D0000}"/>
    <hyperlink ref="O1320" r:id="rId3542" xr:uid="{00000000-0004-0000-0000-0000D50D0000}"/>
    <hyperlink ref="D1321" r:id="rId3543" xr:uid="{00000000-0004-0000-0000-0000D60D0000}"/>
    <hyperlink ref="E1321" r:id="rId3544" xr:uid="{00000000-0004-0000-0000-0000D70D0000}"/>
    <hyperlink ref="O1321" r:id="rId3545" xr:uid="{00000000-0004-0000-0000-0000D80D0000}"/>
    <hyperlink ref="E1322" r:id="rId3546" xr:uid="{00000000-0004-0000-0000-0000D90D0000}"/>
    <hyperlink ref="O1322" r:id="rId3547" xr:uid="{00000000-0004-0000-0000-0000DA0D0000}"/>
    <hyperlink ref="D1323" r:id="rId3548" xr:uid="{00000000-0004-0000-0000-0000DB0D0000}"/>
    <hyperlink ref="E1323" r:id="rId3549" xr:uid="{00000000-0004-0000-0000-0000DC0D0000}"/>
    <hyperlink ref="O1323" r:id="rId3550" xr:uid="{00000000-0004-0000-0000-0000DD0D0000}"/>
    <hyperlink ref="D1324" r:id="rId3551" xr:uid="{00000000-0004-0000-0000-0000DE0D0000}"/>
    <hyperlink ref="E1324" r:id="rId3552" xr:uid="{00000000-0004-0000-0000-0000DF0D0000}"/>
    <hyperlink ref="O1324" r:id="rId3553" xr:uid="{00000000-0004-0000-0000-0000E00D0000}"/>
    <hyperlink ref="D1325" r:id="rId3554" xr:uid="{00000000-0004-0000-0000-0000E10D0000}"/>
    <hyperlink ref="E1325" r:id="rId3555" xr:uid="{00000000-0004-0000-0000-0000E20D0000}"/>
    <hyperlink ref="O1325" r:id="rId3556" xr:uid="{00000000-0004-0000-0000-0000E30D0000}"/>
    <hyperlink ref="D1326" r:id="rId3557" xr:uid="{00000000-0004-0000-0000-0000E40D0000}"/>
    <hyperlink ref="E1326" r:id="rId3558" xr:uid="{00000000-0004-0000-0000-0000E50D0000}"/>
    <hyperlink ref="O1326" r:id="rId3559" xr:uid="{00000000-0004-0000-0000-0000E60D0000}"/>
    <hyperlink ref="D1327" r:id="rId3560" xr:uid="{00000000-0004-0000-0000-0000E70D0000}"/>
    <hyperlink ref="E1327" r:id="rId3561" xr:uid="{00000000-0004-0000-0000-0000E80D0000}"/>
    <hyperlink ref="O1327" r:id="rId3562" xr:uid="{00000000-0004-0000-0000-0000E90D0000}"/>
    <hyperlink ref="D1328" r:id="rId3563" xr:uid="{00000000-0004-0000-0000-0000EA0D0000}"/>
    <hyperlink ref="E1328" r:id="rId3564" xr:uid="{00000000-0004-0000-0000-0000EB0D0000}"/>
    <hyperlink ref="O1328" r:id="rId3565" xr:uid="{00000000-0004-0000-0000-0000EC0D0000}"/>
    <hyperlink ref="D1329" r:id="rId3566" xr:uid="{00000000-0004-0000-0000-0000ED0D0000}"/>
    <hyperlink ref="E1329" r:id="rId3567" xr:uid="{00000000-0004-0000-0000-0000EE0D0000}"/>
    <hyperlink ref="O1329" r:id="rId3568" xr:uid="{00000000-0004-0000-0000-0000EF0D0000}"/>
    <hyperlink ref="D1330" r:id="rId3569" xr:uid="{00000000-0004-0000-0000-0000F00D0000}"/>
    <hyperlink ref="E1330" r:id="rId3570" xr:uid="{00000000-0004-0000-0000-0000F10D0000}"/>
    <hyperlink ref="O1330" r:id="rId3571" xr:uid="{00000000-0004-0000-0000-0000F20D0000}"/>
    <hyperlink ref="D1331" r:id="rId3572" xr:uid="{00000000-0004-0000-0000-0000F30D0000}"/>
    <hyperlink ref="E1331" r:id="rId3573" xr:uid="{00000000-0004-0000-0000-0000F40D0000}"/>
    <hyperlink ref="O1331" r:id="rId3574" xr:uid="{00000000-0004-0000-0000-0000F50D0000}"/>
    <hyperlink ref="D1332" r:id="rId3575" xr:uid="{00000000-0004-0000-0000-0000F60D0000}"/>
    <hyperlink ref="E1332" r:id="rId3576" xr:uid="{00000000-0004-0000-0000-0000F70D0000}"/>
    <hyperlink ref="O1332" r:id="rId3577" xr:uid="{00000000-0004-0000-0000-0000F80D0000}"/>
    <hyperlink ref="D1333" r:id="rId3578" xr:uid="{00000000-0004-0000-0000-0000F90D0000}"/>
    <hyperlink ref="E1333" r:id="rId3579" xr:uid="{00000000-0004-0000-0000-0000FA0D0000}"/>
    <hyperlink ref="O1333" r:id="rId3580" xr:uid="{00000000-0004-0000-0000-0000FB0D0000}"/>
    <hyperlink ref="D1334" r:id="rId3581" xr:uid="{00000000-0004-0000-0000-0000FC0D0000}"/>
    <hyperlink ref="E1334" r:id="rId3582" xr:uid="{00000000-0004-0000-0000-0000FD0D0000}"/>
    <hyperlink ref="O1334" r:id="rId3583" xr:uid="{00000000-0004-0000-0000-0000FE0D0000}"/>
    <hyperlink ref="E1335" r:id="rId3584" xr:uid="{00000000-0004-0000-0000-0000FF0D0000}"/>
    <hyperlink ref="O1335" r:id="rId3585" xr:uid="{00000000-0004-0000-0000-0000000E0000}"/>
    <hyperlink ref="D1336" r:id="rId3586" xr:uid="{00000000-0004-0000-0000-0000010E0000}"/>
    <hyperlink ref="E1336" r:id="rId3587" xr:uid="{00000000-0004-0000-0000-0000020E0000}"/>
    <hyperlink ref="O1336" r:id="rId3588" xr:uid="{00000000-0004-0000-0000-0000030E0000}"/>
    <hyperlink ref="D1337" r:id="rId3589" xr:uid="{00000000-0004-0000-0000-0000040E0000}"/>
    <hyperlink ref="E1337" r:id="rId3590" xr:uid="{00000000-0004-0000-0000-0000050E0000}"/>
    <hyperlink ref="O1337" r:id="rId3591" xr:uid="{00000000-0004-0000-0000-0000060E0000}"/>
    <hyperlink ref="D1338" r:id="rId3592" xr:uid="{00000000-0004-0000-0000-0000070E0000}"/>
    <hyperlink ref="E1338" r:id="rId3593" xr:uid="{00000000-0004-0000-0000-0000080E0000}"/>
    <hyperlink ref="O1338" r:id="rId3594" xr:uid="{00000000-0004-0000-0000-0000090E0000}"/>
    <hyperlink ref="D1339" r:id="rId3595" xr:uid="{00000000-0004-0000-0000-00000A0E0000}"/>
    <hyperlink ref="E1339" r:id="rId3596" xr:uid="{00000000-0004-0000-0000-00000B0E0000}"/>
    <hyperlink ref="O1339" r:id="rId3597" xr:uid="{00000000-0004-0000-0000-00000C0E0000}"/>
    <hyperlink ref="E1340" r:id="rId3598" xr:uid="{00000000-0004-0000-0000-00000D0E0000}"/>
    <hyperlink ref="O1340" r:id="rId3599" xr:uid="{00000000-0004-0000-0000-00000E0E0000}"/>
    <hyperlink ref="D1341" r:id="rId3600" xr:uid="{00000000-0004-0000-0000-00000F0E0000}"/>
    <hyperlink ref="E1341" r:id="rId3601" xr:uid="{00000000-0004-0000-0000-0000100E0000}"/>
    <hyperlink ref="O1341" r:id="rId3602" xr:uid="{00000000-0004-0000-0000-0000110E0000}"/>
    <hyperlink ref="D1342" r:id="rId3603" xr:uid="{00000000-0004-0000-0000-0000120E0000}"/>
    <hyperlink ref="E1342" r:id="rId3604" xr:uid="{00000000-0004-0000-0000-0000130E0000}"/>
    <hyperlink ref="O1342" r:id="rId3605" xr:uid="{00000000-0004-0000-0000-0000140E0000}"/>
    <hyperlink ref="D1343" r:id="rId3606" xr:uid="{00000000-0004-0000-0000-0000150E0000}"/>
    <hyperlink ref="E1343" r:id="rId3607" xr:uid="{00000000-0004-0000-0000-0000160E0000}"/>
    <hyperlink ref="O1343" r:id="rId3608" xr:uid="{00000000-0004-0000-0000-0000170E0000}"/>
    <hyperlink ref="D1344" r:id="rId3609" xr:uid="{00000000-0004-0000-0000-0000180E0000}"/>
    <hyperlink ref="E1344" r:id="rId3610" xr:uid="{00000000-0004-0000-0000-0000190E0000}"/>
    <hyperlink ref="O1344" r:id="rId3611" xr:uid="{00000000-0004-0000-0000-00001A0E0000}"/>
    <hyperlink ref="E1345" r:id="rId3612" xr:uid="{00000000-0004-0000-0000-00001B0E0000}"/>
    <hyperlink ref="O1345" r:id="rId3613" xr:uid="{00000000-0004-0000-0000-00001C0E0000}"/>
    <hyperlink ref="D1346" r:id="rId3614" xr:uid="{00000000-0004-0000-0000-00001D0E0000}"/>
    <hyperlink ref="E1346" r:id="rId3615" xr:uid="{00000000-0004-0000-0000-00001E0E0000}"/>
    <hyperlink ref="O1346" r:id="rId3616" xr:uid="{00000000-0004-0000-0000-00001F0E0000}"/>
    <hyperlink ref="D1347" r:id="rId3617" xr:uid="{00000000-0004-0000-0000-0000200E0000}"/>
    <hyperlink ref="E1347" r:id="rId3618" xr:uid="{00000000-0004-0000-0000-0000210E0000}"/>
    <hyperlink ref="O1347" r:id="rId3619" xr:uid="{00000000-0004-0000-0000-0000220E0000}"/>
    <hyperlink ref="D1348" r:id="rId3620" xr:uid="{00000000-0004-0000-0000-0000230E0000}"/>
    <hyperlink ref="E1348" r:id="rId3621" xr:uid="{00000000-0004-0000-0000-0000240E0000}"/>
    <hyperlink ref="O1348" r:id="rId3622" xr:uid="{00000000-0004-0000-0000-0000250E0000}"/>
    <hyperlink ref="D1349" r:id="rId3623" xr:uid="{00000000-0004-0000-0000-0000260E0000}"/>
    <hyperlink ref="E1349" r:id="rId3624" xr:uid="{00000000-0004-0000-0000-0000270E0000}"/>
    <hyperlink ref="O1349" r:id="rId3625" xr:uid="{00000000-0004-0000-0000-0000280E0000}"/>
    <hyperlink ref="D1350" r:id="rId3626" xr:uid="{00000000-0004-0000-0000-0000290E0000}"/>
    <hyperlink ref="E1350" r:id="rId3627" xr:uid="{00000000-0004-0000-0000-00002A0E0000}"/>
    <hyperlink ref="O1350" r:id="rId3628" xr:uid="{00000000-0004-0000-0000-00002B0E0000}"/>
    <hyperlink ref="D1351" r:id="rId3629" xr:uid="{00000000-0004-0000-0000-00002C0E0000}"/>
    <hyperlink ref="E1351" r:id="rId3630" xr:uid="{00000000-0004-0000-0000-00002D0E0000}"/>
    <hyperlink ref="O1351" r:id="rId3631" xr:uid="{00000000-0004-0000-0000-00002E0E0000}"/>
    <hyperlink ref="E1352" r:id="rId3632" xr:uid="{00000000-0004-0000-0000-00002F0E0000}"/>
    <hyperlink ref="O1352" r:id="rId3633" xr:uid="{00000000-0004-0000-0000-0000300E0000}"/>
    <hyperlink ref="D1353" r:id="rId3634" xr:uid="{00000000-0004-0000-0000-0000310E0000}"/>
    <hyperlink ref="E1353" r:id="rId3635" xr:uid="{00000000-0004-0000-0000-0000320E0000}"/>
    <hyperlink ref="O1353" r:id="rId3636" xr:uid="{00000000-0004-0000-0000-0000330E0000}"/>
    <hyperlink ref="D1354" r:id="rId3637" xr:uid="{00000000-0004-0000-0000-0000340E0000}"/>
    <hyperlink ref="E1354" r:id="rId3638" xr:uid="{00000000-0004-0000-0000-0000350E0000}"/>
    <hyperlink ref="O1354" r:id="rId3639" xr:uid="{00000000-0004-0000-0000-0000360E0000}"/>
    <hyperlink ref="D1355" r:id="rId3640" xr:uid="{00000000-0004-0000-0000-0000370E0000}"/>
    <hyperlink ref="E1355" r:id="rId3641" xr:uid="{00000000-0004-0000-0000-0000380E0000}"/>
    <hyperlink ref="O1355" r:id="rId3642" xr:uid="{00000000-0004-0000-0000-0000390E0000}"/>
    <hyperlink ref="D1356" r:id="rId3643" xr:uid="{00000000-0004-0000-0000-00003A0E0000}"/>
    <hyperlink ref="E1356" r:id="rId3644" xr:uid="{00000000-0004-0000-0000-00003B0E0000}"/>
    <hyperlink ref="O1356" r:id="rId3645" xr:uid="{00000000-0004-0000-0000-00003C0E0000}"/>
    <hyperlink ref="D1357" r:id="rId3646" xr:uid="{00000000-0004-0000-0000-00003D0E0000}"/>
    <hyperlink ref="E1357" r:id="rId3647" xr:uid="{00000000-0004-0000-0000-00003E0E0000}"/>
    <hyperlink ref="O1357" r:id="rId3648" xr:uid="{00000000-0004-0000-0000-00003F0E0000}"/>
    <hyperlink ref="D1358" r:id="rId3649" xr:uid="{00000000-0004-0000-0000-0000400E0000}"/>
    <hyperlink ref="E1358" r:id="rId3650" xr:uid="{00000000-0004-0000-0000-0000410E0000}"/>
    <hyperlink ref="O1358" r:id="rId3651" xr:uid="{00000000-0004-0000-0000-0000420E0000}"/>
    <hyperlink ref="E1359" r:id="rId3652" xr:uid="{00000000-0004-0000-0000-0000430E0000}"/>
    <hyperlink ref="O1359" r:id="rId3653" xr:uid="{00000000-0004-0000-0000-0000440E0000}"/>
    <hyperlink ref="D1360" r:id="rId3654" xr:uid="{00000000-0004-0000-0000-0000450E0000}"/>
    <hyperlink ref="E1360" r:id="rId3655" xr:uid="{00000000-0004-0000-0000-0000460E0000}"/>
    <hyperlink ref="O1360" r:id="rId3656" xr:uid="{00000000-0004-0000-0000-0000470E0000}"/>
    <hyperlink ref="D1361" r:id="rId3657" xr:uid="{00000000-0004-0000-0000-0000480E0000}"/>
    <hyperlink ref="E1361" r:id="rId3658" xr:uid="{00000000-0004-0000-0000-0000490E0000}"/>
    <hyperlink ref="O1361" r:id="rId3659" xr:uid="{00000000-0004-0000-0000-00004A0E0000}"/>
    <hyperlink ref="E1362" r:id="rId3660" xr:uid="{00000000-0004-0000-0000-00004B0E0000}"/>
    <hyperlink ref="O1362" r:id="rId3661" xr:uid="{00000000-0004-0000-0000-00004C0E0000}"/>
    <hyperlink ref="D1363" r:id="rId3662" xr:uid="{00000000-0004-0000-0000-00004D0E0000}"/>
    <hyperlink ref="E1363" r:id="rId3663" xr:uid="{00000000-0004-0000-0000-00004E0E0000}"/>
    <hyperlink ref="O1363" r:id="rId3664" xr:uid="{00000000-0004-0000-0000-00004F0E0000}"/>
    <hyperlink ref="D1364" r:id="rId3665" xr:uid="{00000000-0004-0000-0000-0000500E0000}"/>
    <hyperlink ref="E1364" r:id="rId3666" xr:uid="{00000000-0004-0000-0000-0000510E0000}"/>
    <hyperlink ref="O1364" r:id="rId3667" xr:uid="{00000000-0004-0000-0000-0000520E0000}"/>
    <hyperlink ref="E1365" r:id="rId3668" xr:uid="{00000000-0004-0000-0000-0000530E0000}"/>
    <hyperlink ref="O1365" r:id="rId3669" xr:uid="{00000000-0004-0000-0000-0000540E0000}"/>
    <hyperlink ref="E1366" r:id="rId3670" xr:uid="{00000000-0004-0000-0000-0000550E0000}"/>
    <hyperlink ref="O1366" r:id="rId3671" xr:uid="{00000000-0004-0000-0000-0000560E0000}"/>
    <hyperlink ref="E1367" r:id="rId3672" xr:uid="{00000000-0004-0000-0000-0000570E0000}"/>
    <hyperlink ref="O1367" r:id="rId3673" xr:uid="{00000000-0004-0000-0000-0000580E0000}"/>
    <hyperlink ref="D1368" r:id="rId3674" xr:uid="{00000000-0004-0000-0000-0000590E0000}"/>
    <hyperlink ref="E1368" r:id="rId3675" xr:uid="{00000000-0004-0000-0000-00005A0E0000}"/>
    <hyperlink ref="O1368" r:id="rId3676" xr:uid="{00000000-0004-0000-0000-00005B0E0000}"/>
    <hyperlink ref="E1369" r:id="rId3677" xr:uid="{00000000-0004-0000-0000-00005C0E0000}"/>
    <hyperlink ref="O1369" r:id="rId3678" xr:uid="{00000000-0004-0000-0000-00005D0E0000}"/>
    <hyperlink ref="D1370" r:id="rId3679" xr:uid="{00000000-0004-0000-0000-00005E0E0000}"/>
    <hyperlink ref="E1370" r:id="rId3680" xr:uid="{00000000-0004-0000-0000-00005F0E0000}"/>
    <hyperlink ref="O1370" r:id="rId3681" xr:uid="{00000000-0004-0000-0000-0000600E0000}"/>
    <hyperlink ref="D1371" r:id="rId3682" xr:uid="{00000000-0004-0000-0000-0000610E0000}"/>
    <hyperlink ref="E1371" r:id="rId3683" xr:uid="{00000000-0004-0000-0000-0000620E0000}"/>
    <hyperlink ref="O1371" r:id="rId3684" xr:uid="{00000000-0004-0000-0000-0000630E0000}"/>
    <hyperlink ref="D1372" r:id="rId3685" xr:uid="{00000000-0004-0000-0000-0000640E0000}"/>
    <hyperlink ref="E1372" r:id="rId3686" xr:uid="{00000000-0004-0000-0000-0000650E0000}"/>
    <hyperlink ref="O1372" r:id="rId3687" xr:uid="{00000000-0004-0000-0000-0000660E0000}"/>
    <hyperlink ref="D1373" r:id="rId3688" xr:uid="{00000000-0004-0000-0000-0000670E0000}"/>
    <hyperlink ref="E1373" r:id="rId3689" xr:uid="{00000000-0004-0000-0000-0000680E0000}"/>
    <hyperlink ref="O1373" r:id="rId3690" xr:uid="{00000000-0004-0000-0000-0000690E0000}"/>
    <hyperlink ref="E1374" r:id="rId3691" xr:uid="{00000000-0004-0000-0000-00006A0E0000}"/>
    <hyperlink ref="O1374" r:id="rId3692" xr:uid="{00000000-0004-0000-0000-00006B0E0000}"/>
    <hyperlink ref="D1375" r:id="rId3693" xr:uid="{00000000-0004-0000-0000-00006C0E0000}"/>
    <hyperlink ref="E1375" r:id="rId3694" xr:uid="{00000000-0004-0000-0000-00006D0E0000}"/>
    <hyperlink ref="O1375" r:id="rId3695" xr:uid="{00000000-0004-0000-0000-00006E0E0000}"/>
    <hyperlink ref="E1376" r:id="rId3696" xr:uid="{00000000-0004-0000-0000-00006F0E0000}"/>
    <hyperlink ref="O1376" r:id="rId3697" xr:uid="{00000000-0004-0000-0000-0000700E0000}"/>
    <hyperlink ref="D1377" r:id="rId3698" xr:uid="{00000000-0004-0000-0000-0000710E0000}"/>
    <hyperlink ref="E1377" r:id="rId3699" xr:uid="{00000000-0004-0000-0000-0000720E0000}"/>
    <hyperlink ref="O1377" r:id="rId3700" xr:uid="{00000000-0004-0000-0000-0000730E0000}"/>
    <hyperlink ref="D1378" r:id="rId3701" xr:uid="{00000000-0004-0000-0000-0000740E0000}"/>
    <hyperlink ref="E1378" r:id="rId3702" xr:uid="{00000000-0004-0000-0000-0000750E0000}"/>
    <hyperlink ref="O1378" r:id="rId3703" xr:uid="{00000000-0004-0000-0000-0000760E0000}"/>
    <hyperlink ref="D1379" r:id="rId3704" xr:uid="{00000000-0004-0000-0000-0000770E0000}"/>
    <hyperlink ref="E1379" r:id="rId3705" xr:uid="{00000000-0004-0000-0000-0000780E0000}"/>
    <hyperlink ref="O1379" r:id="rId3706" xr:uid="{00000000-0004-0000-0000-0000790E0000}"/>
    <hyperlink ref="D1380" r:id="rId3707" xr:uid="{00000000-0004-0000-0000-00007A0E0000}"/>
    <hyperlink ref="E1380" r:id="rId3708" xr:uid="{00000000-0004-0000-0000-00007B0E0000}"/>
    <hyperlink ref="O1380" r:id="rId3709" xr:uid="{00000000-0004-0000-0000-00007C0E0000}"/>
    <hyperlink ref="D1381" r:id="rId3710" xr:uid="{00000000-0004-0000-0000-00007D0E0000}"/>
    <hyperlink ref="E1381" r:id="rId3711" xr:uid="{00000000-0004-0000-0000-00007E0E0000}"/>
    <hyperlink ref="O1381" r:id="rId3712" xr:uid="{00000000-0004-0000-0000-00007F0E0000}"/>
    <hyperlink ref="D1382" r:id="rId3713" xr:uid="{00000000-0004-0000-0000-0000800E0000}"/>
    <hyperlink ref="E1382" r:id="rId3714" xr:uid="{00000000-0004-0000-0000-0000810E0000}"/>
    <hyperlink ref="O1382" r:id="rId3715" xr:uid="{00000000-0004-0000-0000-0000820E0000}"/>
    <hyperlink ref="D1383" r:id="rId3716" xr:uid="{00000000-0004-0000-0000-0000830E0000}"/>
    <hyperlink ref="E1383" r:id="rId3717" xr:uid="{00000000-0004-0000-0000-0000840E0000}"/>
    <hyperlink ref="O1383" r:id="rId3718" xr:uid="{00000000-0004-0000-0000-0000850E0000}"/>
    <hyperlink ref="D1384" r:id="rId3719" xr:uid="{00000000-0004-0000-0000-0000860E0000}"/>
    <hyperlink ref="E1384" r:id="rId3720" xr:uid="{00000000-0004-0000-0000-0000870E0000}"/>
    <hyperlink ref="O1384" r:id="rId3721" xr:uid="{00000000-0004-0000-0000-0000880E0000}"/>
    <hyperlink ref="D1385" r:id="rId3722" xr:uid="{00000000-0004-0000-0000-0000890E0000}"/>
    <hyperlink ref="E1385" r:id="rId3723" xr:uid="{00000000-0004-0000-0000-00008A0E0000}"/>
    <hyperlink ref="O1385" r:id="rId3724" xr:uid="{00000000-0004-0000-0000-00008B0E0000}"/>
    <hyperlink ref="E1386" r:id="rId3725" xr:uid="{00000000-0004-0000-0000-00008C0E0000}"/>
    <hyperlink ref="O1386" r:id="rId3726" xr:uid="{00000000-0004-0000-0000-00008D0E0000}"/>
    <hyperlink ref="D1387" r:id="rId3727" xr:uid="{00000000-0004-0000-0000-00008E0E0000}"/>
    <hyperlink ref="E1387" r:id="rId3728" xr:uid="{00000000-0004-0000-0000-00008F0E0000}"/>
    <hyperlink ref="O1387" r:id="rId3729" xr:uid="{00000000-0004-0000-0000-0000900E0000}"/>
    <hyperlink ref="D1388" r:id="rId3730" xr:uid="{00000000-0004-0000-0000-0000910E0000}"/>
    <hyperlink ref="E1388" r:id="rId3731" xr:uid="{00000000-0004-0000-0000-0000920E0000}"/>
    <hyperlink ref="O1388" r:id="rId3732" xr:uid="{00000000-0004-0000-0000-0000930E0000}"/>
    <hyperlink ref="D1389" r:id="rId3733" xr:uid="{00000000-0004-0000-0000-0000940E0000}"/>
    <hyperlink ref="E1389" r:id="rId3734" xr:uid="{00000000-0004-0000-0000-0000950E0000}"/>
    <hyperlink ref="O1389" r:id="rId3735" xr:uid="{00000000-0004-0000-0000-0000960E0000}"/>
    <hyperlink ref="E1390" r:id="rId3736" xr:uid="{00000000-0004-0000-0000-0000970E0000}"/>
    <hyperlink ref="O1390" r:id="rId3737" xr:uid="{00000000-0004-0000-0000-0000980E0000}"/>
    <hyperlink ref="E1391" r:id="rId3738" xr:uid="{00000000-0004-0000-0000-0000990E0000}"/>
    <hyperlink ref="O1391" r:id="rId3739" xr:uid="{00000000-0004-0000-0000-00009A0E0000}"/>
    <hyperlink ref="D1392" r:id="rId3740" xr:uid="{00000000-0004-0000-0000-00009B0E0000}"/>
    <hyperlink ref="E1392" r:id="rId3741" xr:uid="{00000000-0004-0000-0000-00009C0E0000}"/>
    <hyperlink ref="O1392" r:id="rId3742" xr:uid="{00000000-0004-0000-0000-00009D0E0000}"/>
    <hyperlink ref="D1393" r:id="rId3743" xr:uid="{00000000-0004-0000-0000-00009E0E0000}"/>
    <hyperlink ref="E1393" r:id="rId3744" xr:uid="{00000000-0004-0000-0000-00009F0E0000}"/>
    <hyperlink ref="O1393" r:id="rId3745" xr:uid="{00000000-0004-0000-0000-0000A00E0000}"/>
    <hyperlink ref="D1394" r:id="rId3746" xr:uid="{00000000-0004-0000-0000-0000A10E0000}"/>
    <hyperlink ref="E1394" r:id="rId3747" xr:uid="{00000000-0004-0000-0000-0000A20E0000}"/>
    <hyperlink ref="O1394" r:id="rId3748" xr:uid="{00000000-0004-0000-0000-0000A30E0000}"/>
    <hyperlink ref="D1395" r:id="rId3749" xr:uid="{00000000-0004-0000-0000-0000A40E0000}"/>
    <hyperlink ref="E1395" r:id="rId3750" xr:uid="{00000000-0004-0000-0000-0000A50E0000}"/>
    <hyperlink ref="O1395" r:id="rId3751" xr:uid="{00000000-0004-0000-0000-0000A60E0000}"/>
    <hyperlink ref="D1396" r:id="rId3752" xr:uid="{00000000-0004-0000-0000-0000A70E0000}"/>
    <hyperlink ref="E1396" r:id="rId3753" xr:uid="{00000000-0004-0000-0000-0000A80E0000}"/>
    <hyperlink ref="O1396" r:id="rId3754" xr:uid="{00000000-0004-0000-0000-0000A90E0000}"/>
    <hyperlink ref="D1397" r:id="rId3755" xr:uid="{00000000-0004-0000-0000-0000AA0E0000}"/>
    <hyperlink ref="E1397" r:id="rId3756" xr:uid="{00000000-0004-0000-0000-0000AB0E0000}"/>
    <hyperlink ref="O1397" r:id="rId3757" xr:uid="{00000000-0004-0000-0000-0000AC0E0000}"/>
    <hyperlink ref="D1398" r:id="rId3758" xr:uid="{00000000-0004-0000-0000-0000AD0E0000}"/>
    <hyperlink ref="E1398" r:id="rId3759" xr:uid="{00000000-0004-0000-0000-0000AE0E0000}"/>
    <hyperlink ref="O1398" r:id="rId3760" xr:uid="{00000000-0004-0000-0000-0000AF0E0000}"/>
    <hyperlink ref="D1399" r:id="rId3761" xr:uid="{00000000-0004-0000-0000-0000B00E0000}"/>
    <hyperlink ref="E1399" r:id="rId3762" xr:uid="{00000000-0004-0000-0000-0000B10E0000}"/>
    <hyperlink ref="O1399" r:id="rId3763" xr:uid="{00000000-0004-0000-0000-0000B20E0000}"/>
    <hyperlink ref="D1400" r:id="rId3764" xr:uid="{00000000-0004-0000-0000-0000B30E0000}"/>
    <hyperlink ref="E1400" r:id="rId3765" xr:uid="{00000000-0004-0000-0000-0000B40E0000}"/>
    <hyperlink ref="O1400" r:id="rId3766" xr:uid="{00000000-0004-0000-0000-0000B50E0000}"/>
    <hyperlink ref="E1401" r:id="rId3767" xr:uid="{00000000-0004-0000-0000-0000B60E0000}"/>
    <hyperlink ref="O1401" r:id="rId3768" xr:uid="{00000000-0004-0000-0000-0000B70E0000}"/>
    <hyperlink ref="D1402" r:id="rId3769" xr:uid="{00000000-0004-0000-0000-0000B80E0000}"/>
    <hyperlink ref="E1402" r:id="rId3770" xr:uid="{00000000-0004-0000-0000-0000B90E0000}"/>
    <hyperlink ref="O1402" r:id="rId3771" xr:uid="{00000000-0004-0000-0000-0000BA0E0000}"/>
    <hyperlink ref="E1403" r:id="rId3772" xr:uid="{00000000-0004-0000-0000-0000BB0E0000}"/>
    <hyperlink ref="O1403" r:id="rId3773" xr:uid="{00000000-0004-0000-0000-0000BC0E0000}"/>
    <hyperlink ref="E1404" r:id="rId3774" xr:uid="{00000000-0004-0000-0000-0000BD0E0000}"/>
    <hyperlink ref="O1404" r:id="rId3775" xr:uid="{00000000-0004-0000-0000-0000BE0E0000}"/>
    <hyperlink ref="D1405" r:id="rId3776" xr:uid="{00000000-0004-0000-0000-0000BF0E0000}"/>
    <hyperlink ref="E1405" r:id="rId3777" xr:uid="{00000000-0004-0000-0000-0000C00E0000}"/>
    <hyperlink ref="O1405" r:id="rId3778" xr:uid="{00000000-0004-0000-0000-0000C10E0000}"/>
    <hyperlink ref="E1406" r:id="rId3779" xr:uid="{00000000-0004-0000-0000-0000C20E0000}"/>
    <hyperlink ref="O1406" r:id="rId3780" xr:uid="{00000000-0004-0000-0000-0000C30E0000}"/>
    <hyperlink ref="D1407" r:id="rId3781" xr:uid="{00000000-0004-0000-0000-0000C40E0000}"/>
    <hyperlink ref="E1407" r:id="rId3782" xr:uid="{00000000-0004-0000-0000-0000C50E0000}"/>
    <hyperlink ref="O1407" r:id="rId3783" xr:uid="{00000000-0004-0000-0000-0000C60E0000}"/>
    <hyperlink ref="E1408" r:id="rId3784" xr:uid="{00000000-0004-0000-0000-0000C70E0000}"/>
    <hyperlink ref="O1408" r:id="rId3785" xr:uid="{00000000-0004-0000-0000-0000C80E0000}"/>
    <hyperlink ref="E1409" r:id="rId3786" xr:uid="{00000000-0004-0000-0000-0000C90E0000}"/>
    <hyperlink ref="O1409" r:id="rId3787" xr:uid="{00000000-0004-0000-0000-0000CA0E0000}"/>
    <hyperlink ref="D1410" r:id="rId3788" xr:uid="{00000000-0004-0000-0000-0000CB0E0000}"/>
    <hyperlink ref="E1410" r:id="rId3789" xr:uid="{00000000-0004-0000-0000-0000CC0E0000}"/>
    <hyperlink ref="O1410" r:id="rId3790" xr:uid="{00000000-0004-0000-0000-0000CD0E0000}"/>
    <hyperlink ref="D1411" r:id="rId3791" xr:uid="{00000000-0004-0000-0000-0000CE0E0000}"/>
    <hyperlink ref="E1411" r:id="rId3792" xr:uid="{00000000-0004-0000-0000-0000CF0E0000}"/>
    <hyperlink ref="O1411" r:id="rId3793" xr:uid="{00000000-0004-0000-0000-0000D00E0000}"/>
    <hyperlink ref="E1412" r:id="rId3794" xr:uid="{00000000-0004-0000-0000-0000D10E0000}"/>
    <hyperlink ref="O1412" r:id="rId3795" xr:uid="{00000000-0004-0000-0000-0000D20E0000}"/>
    <hyperlink ref="D1413" r:id="rId3796" xr:uid="{00000000-0004-0000-0000-0000D30E0000}"/>
    <hyperlink ref="E1413" r:id="rId3797" xr:uid="{00000000-0004-0000-0000-0000D40E0000}"/>
    <hyperlink ref="O1413" r:id="rId3798" xr:uid="{00000000-0004-0000-0000-0000D50E0000}"/>
    <hyperlink ref="D1414" r:id="rId3799" xr:uid="{00000000-0004-0000-0000-0000D60E0000}"/>
    <hyperlink ref="E1414" r:id="rId3800" xr:uid="{00000000-0004-0000-0000-0000D70E0000}"/>
    <hyperlink ref="O1414" r:id="rId3801" xr:uid="{00000000-0004-0000-0000-0000D80E0000}"/>
    <hyperlink ref="D1415" r:id="rId3802" xr:uid="{00000000-0004-0000-0000-0000D90E0000}"/>
    <hyperlink ref="E1415" r:id="rId3803" xr:uid="{00000000-0004-0000-0000-0000DA0E0000}"/>
    <hyperlink ref="O1415" r:id="rId3804" xr:uid="{00000000-0004-0000-0000-0000DB0E0000}"/>
    <hyperlink ref="D1416" r:id="rId3805" xr:uid="{00000000-0004-0000-0000-0000DC0E0000}"/>
    <hyperlink ref="E1416" r:id="rId3806" xr:uid="{00000000-0004-0000-0000-0000DD0E0000}"/>
    <hyperlink ref="O1416" r:id="rId3807" xr:uid="{00000000-0004-0000-0000-0000DE0E0000}"/>
    <hyperlink ref="D1417" r:id="rId3808" xr:uid="{00000000-0004-0000-0000-0000DF0E0000}"/>
    <hyperlink ref="E1417" r:id="rId3809" xr:uid="{00000000-0004-0000-0000-0000E00E0000}"/>
    <hyperlink ref="O1417" r:id="rId3810" xr:uid="{00000000-0004-0000-0000-0000E10E0000}"/>
    <hyperlink ref="E1418" r:id="rId3811" xr:uid="{00000000-0004-0000-0000-0000E20E0000}"/>
    <hyperlink ref="O1418" r:id="rId3812" xr:uid="{00000000-0004-0000-0000-0000E30E0000}"/>
    <hyperlink ref="D1419" r:id="rId3813" xr:uid="{00000000-0004-0000-0000-0000E40E0000}"/>
    <hyperlink ref="E1419" r:id="rId3814" xr:uid="{00000000-0004-0000-0000-0000E50E0000}"/>
    <hyperlink ref="O1419" r:id="rId3815" xr:uid="{00000000-0004-0000-0000-0000E60E0000}"/>
    <hyperlink ref="D1420" r:id="rId3816" xr:uid="{00000000-0004-0000-0000-0000E70E0000}"/>
    <hyperlink ref="E1420" r:id="rId3817" xr:uid="{00000000-0004-0000-0000-0000E80E0000}"/>
    <hyperlink ref="O1420" r:id="rId3818" xr:uid="{00000000-0004-0000-0000-0000E90E0000}"/>
    <hyperlink ref="E1421" r:id="rId3819" xr:uid="{00000000-0004-0000-0000-0000EA0E0000}"/>
    <hyperlink ref="O1421" r:id="rId3820" xr:uid="{00000000-0004-0000-0000-0000EB0E0000}"/>
    <hyperlink ref="E1422" r:id="rId3821" xr:uid="{00000000-0004-0000-0000-0000EC0E0000}"/>
    <hyperlink ref="O1422" r:id="rId3822" xr:uid="{00000000-0004-0000-0000-0000ED0E0000}"/>
    <hyperlink ref="E1423" r:id="rId3823" xr:uid="{00000000-0004-0000-0000-0000EE0E0000}"/>
    <hyperlink ref="O1423" r:id="rId3824" xr:uid="{00000000-0004-0000-0000-0000EF0E0000}"/>
    <hyperlink ref="E1424" r:id="rId3825" xr:uid="{00000000-0004-0000-0000-0000F00E0000}"/>
    <hyperlink ref="O1424" r:id="rId3826" xr:uid="{00000000-0004-0000-0000-0000F10E0000}"/>
    <hyperlink ref="D1425" r:id="rId3827" xr:uid="{00000000-0004-0000-0000-0000F20E0000}"/>
    <hyperlink ref="E1425" r:id="rId3828" xr:uid="{00000000-0004-0000-0000-0000F30E0000}"/>
    <hyperlink ref="O1425" r:id="rId3829" xr:uid="{00000000-0004-0000-0000-0000F40E0000}"/>
    <hyperlink ref="E1426" r:id="rId3830" xr:uid="{00000000-0004-0000-0000-0000F50E0000}"/>
    <hyperlink ref="O1426" r:id="rId3831" xr:uid="{00000000-0004-0000-0000-0000F60E0000}"/>
    <hyperlink ref="E1427" r:id="rId3832" xr:uid="{00000000-0004-0000-0000-0000F70E0000}"/>
    <hyperlink ref="O1427" r:id="rId3833" xr:uid="{00000000-0004-0000-0000-0000F80E0000}"/>
    <hyperlink ref="D1428" r:id="rId3834" xr:uid="{00000000-0004-0000-0000-0000F90E0000}"/>
    <hyperlink ref="E1428" r:id="rId3835" xr:uid="{00000000-0004-0000-0000-0000FA0E0000}"/>
    <hyperlink ref="O1428" r:id="rId3836" xr:uid="{00000000-0004-0000-0000-0000FB0E0000}"/>
    <hyperlink ref="E1429" r:id="rId3837" xr:uid="{00000000-0004-0000-0000-0000FC0E0000}"/>
    <hyperlink ref="O1429" r:id="rId3838" xr:uid="{00000000-0004-0000-0000-0000FD0E0000}"/>
    <hyperlink ref="E1430" r:id="rId3839" xr:uid="{00000000-0004-0000-0000-0000FE0E0000}"/>
    <hyperlink ref="O1430" r:id="rId3840" xr:uid="{00000000-0004-0000-0000-0000FF0E0000}"/>
    <hyperlink ref="D1431" r:id="rId3841" xr:uid="{00000000-0004-0000-0000-0000000F0000}"/>
    <hyperlink ref="E1431" r:id="rId3842" xr:uid="{00000000-0004-0000-0000-0000010F0000}"/>
    <hyperlink ref="O1431" r:id="rId3843" xr:uid="{00000000-0004-0000-0000-0000020F0000}"/>
    <hyperlink ref="D1432" r:id="rId3844" xr:uid="{00000000-0004-0000-0000-0000030F0000}"/>
    <hyperlink ref="E1432" r:id="rId3845" xr:uid="{00000000-0004-0000-0000-0000040F0000}"/>
    <hyperlink ref="O1432" r:id="rId3846" xr:uid="{00000000-0004-0000-0000-0000050F0000}"/>
    <hyperlink ref="D1433" r:id="rId3847" xr:uid="{00000000-0004-0000-0000-0000060F0000}"/>
    <hyperlink ref="E1433" r:id="rId3848" xr:uid="{00000000-0004-0000-0000-0000070F0000}"/>
    <hyperlink ref="O1433" r:id="rId3849" xr:uid="{00000000-0004-0000-0000-0000080F0000}"/>
    <hyperlink ref="D1434" r:id="rId3850" xr:uid="{00000000-0004-0000-0000-0000090F0000}"/>
    <hyperlink ref="E1434" r:id="rId3851" xr:uid="{00000000-0004-0000-0000-00000A0F0000}"/>
    <hyperlink ref="O1434" r:id="rId3852" xr:uid="{00000000-0004-0000-0000-00000B0F0000}"/>
    <hyperlink ref="E1435" r:id="rId3853" xr:uid="{00000000-0004-0000-0000-00000C0F0000}"/>
    <hyperlink ref="O1435" r:id="rId3854" xr:uid="{00000000-0004-0000-0000-00000D0F0000}"/>
    <hyperlink ref="D1436" r:id="rId3855" xr:uid="{00000000-0004-0000-0000-00000E0F0000}"/>
    <hyperlink ref="E1436" r:id="rId3856" xr:uid="{00000000-0004-0000-0000-00000F0F0000}"/>
    <hyperlink ref="O1436" r:id="rId3857" xr:uid="{00000000-0004-0000-0000-0000100F0000}"/>
    <hyperlink ref="D1437" r:id="rId3858" xr:uid="{00000000-0004-0000-0000-0000110F0000}"/>
    <hyperlink ref="E1437" r:id="rId3859" xr:uid="{00000000-0004-0000-0000-0000120F0000}"/>
    <hyperlink ref="O1437" r:id="rId3860" xr:uid="{00000000-0004-0000-0000-0000130F0000}"/>
    <hyperlink ref="E1438" r:id="rId3861" xr:uid="{00000000-0004-0000-0000-0000140F0000}"/>
    <hyperlink ref="O1438" r:id="rId3862" xr:uid="{00000000-0004-0000-0000-0000150F0000}"/>
    <hyperlink ref="D1439" r:id="rId3863" xr:uid="{00000000-0004-0000-0000-0000160F0000}"/>
    <hyperlink ref="E1439" r:id="rId3864" xr:uid="{00000000-0004-0000-0000-0000170F0000}"/>
    <hyperlink ref="O1439" r:id="rId3865" xr:uid="{00000000-0004-0000-0000-0000180F0000}"/>
    <hyperlink ref="E1440" r:id="rId3866" xr:uid="{00000000-0004-0000-0000-0000190F0000}"/>
    <hyperlink ref="O1440" r:id="rId3867" xr:uid="{00000000-0004-0000-0000-00001A0F0000}"/>
    <hyperlink ref="E1441" r:id="rId3868" xr:uid="{00000000-0004-0000-0000-00001B0F0000}"/>
    <hyperlink ref="O1441" r:id="rId3869" xr:uid="{00000000-0004-0000-0000-00001C0F0000}"/>
    <hyperlink ref="E1442" r:id="rId3870" xr:uid="{00000000-0004-0000-0000-00001D0F0000}"/>
    <hyperlink ref="O1442" r:id="rId3871" xr:uid="{00000000-0004-0000-0000-00001E0F0000}"/>
    <hyperlink ref="E1443" r:id="rId3872" xr:uid="{00000000-0004-0000-0000-00001F0F0000}"/>
    <hyperlink ref="O1443" r:id="rId3873" xr:uid="{00000000-0004-0000-0000-0000200F0000}"/>
    <hyperlink ref="E1444" r:id="rId3874" xr:uid="{00000000-0004-0000-0000-0000210F0000}"/>
    <hyperlink ref="O1444" r:id="rId3875" xr:uid="{00000000-0004-0000-0000-0000220F0000}"/>
    <hyperlink ref="D1445" r:id="rId3876" xr:uid="{00000000-0004-0000-0000-0000230F0000}"/>
    <hyperlink ref="E1445" r:id="rId3877" xr:uid="{00000000-0004-0000-0000-0000240F0000}"/>
    <hyperlink ref="O1445" r:id="rId3878" xr:uid="{00000000-0004-0000-0000-0000250F0000}"/>
    <hyperlink ref="E1446" r:id="rId3879" xr:uid="{00000000-0004-0000-0000-0000260F0000}"/>
    <hyperlink ref="O1446" r:id="rId3880" xr:uid="{00000000-0004-0000-0000-0000270F0000}"/>
    <hyperlink ref="E1447" r:id="rId3881" xr:uid="{00000000-0004-0000-0000-0000280F0000}"/>
    <hyperlink ref="O1447" r:id="rId3882" xr:uid="{00000000-0004-0000-0000-0000290F0000}"/>
    <hyperlink ref="D1448" r:id="rId3883" xr:uid="{00000000-0004-0000-0000-00002A0F0000}"/>
    <hyperlink ref="E1448" r:id="rId3884" xr:uid="{00000000-0004-0000-0000-00002B0F0000}"/>
    <hyperlink ref="O1448" r:id="rId3885" xr:uid="{00000000-0004-0000-0000-00002C0F0000}"/>
    <hyperlink ref="D1449" r:id="rId3886" xr:uid="{00000000-0004-0000-0000-00002D0F0000}"/>
    <hyperlink ref="E1449" r:id="rId3887" xr:uid="{00000000-0004-0000-0000-00002E0F0000}"/>
    <hyperlink ref="O1449" r:id="rId3888" xr:uid="{00000000-0004-0000-0000-00002F0F0000}"/>
    <hyperlink ref="D1450" r:id="rId3889" xr:uid="{00000000-0004-0000-0000-0000300F0000}"/>
    <hyperlink ref="E1450" r:id="rId3890" xr:uid="{00000000-0004-0000-0000-0000310F0000}"/>
    <hyperlink ref="O1450" r:id="rId3891" xr:uid="{00000000-0004-0000-0000-0000320F0000}"/>
    <hyperlink ref="E1451" r:id="rId3892" xr:uid="{00000000-0004-0000-0000-0000330F0000}"/>
    <hyperlink ref="O1451" r:id="rId3893" xr:uid="{00000000-0004-0000-0000-0000340F0000}"/>
    <hyperlink ref="E1452" r:id="rId3894" xr:uid="{00000000-0004-0000-0000-0000350F0000}"/>
    <hyperlink ref="O1452" r:id="rId3895" xr:uid="{00000000-0004-0000-0000-0000360F0000}"/>
    <hyperlink ref="E1453" r:id="rId3896" xr:uid="{00000000-0004-0000-0000-0000370F0000}"/>
    <hyperlink ref="O1453" r:id="rId3897" xr:uid="{00000000-0004-0000-0000-0000380F0000}"/>
    <hyperlink ref="E1454" r:id="rId3898" xr:uid="{00000000-0004-0000-0000-0000390F0000}"/>
    <hyperlink ref="O1454" r:id="rId3899" xr:uid="{00000000-0004-0000-0000-00003A0F0000}"/>
    <hyperlink ref="E1455" r:id="rId3900" xr:uid="{00000000-0004-0000-0000-00003B0F0000}"/>
    <hyperlink ref="O1455" r:id="rId3901" xr:uid="{00000000-0004-0000-0000-00003C0F0000}"/>
    <hyperlink ref="A1456" r:id="rId3902" xr:uid="{00000000-0004-0000-0000-00003D0F0000}"/>
    <hyperlink ref="E1456" r:id="rId3903" xr:uid="{00000000-0004-0000-0000-00003E0F0000}"/>
    <hyperlink ref="O1456" r:id="rId3904" xr:uid="{00000000-0004-0000-0000-00003F0F0000}"/>
    <hyperlink ref="E1457" r:id="rId3905" xr:uid="{00000000-0004-0000-0000-0000400F0000}"/>
    <hyperlink ref="O1457" r:id="rId3906" xr:uid="{00000000-0004-0000-0000-0000410F0000}"/>
    <hyperlink ref="E1458" r:id="rId3907" xr:uid="{00000000-0004-0000-0000-0000420F0000}"/>
    <hyperlink ref="O1458" r:id="rId3908" xr:uid="{00000000-0004-0000-0000-0000430F0000}"/>
    <hyperlink ref="E1459" r:id="rId3909" xr:uid="{00000000-0004-0000-0000-0000440F0000}"/>
    <hyperlink ref="O1459" r:id="rId3910" xr:uid="{00000000-0004-0000-0000-0000450F0000}"/>
    <hyperlink ref="E1460" r:id="rId3911" xr:uid="{00000000-0004-0000-0000-0000460F0000}"/>
    <hyperlink ref="O1460" r:id="rId3912" xr:uid="{00000000-0004-0000-0000-0000470F0000}"/>
    <hyperlink ref="D1461" r:id="rId3913" xr:uid="{00000000-0004-0000-0000-0000480F0000}"/>
    <hyperlink ref="E1461" r:id="rId3914" xr:uid="{00000000-0004-0000-0000-0000490F0000}"/>
    <hyperlink ref="O1461" r:id="rId3915" xr:uid="{00000000-0004-0000-0000-00004A0F0000}"/>
    <hyperlink ref="E1462" r:id="rId3916" xr:uid="{00000000-0004-0000-0000-00004B0F0000}"/>
    <hyperlink ref="O1462" r:id="rId3917" xr:uid="{00000000-0004-0000-0000-00004C0F0000}"/>
    <hyperlink ref="D1463" r:id="rId3918" xr:uid="{00000000-0004-0000-0000-00004D0F0000}"/>
    <hyperlink ref="E1463" r:id="rId3919" xr:uid="{00000000-0004-0000-0000-00004E0F0000}"/>
    <hyperlink ref="O1463" r:id="rId3920" xr:uid="{00000000-0004-0000-0000-00004F0F0000}"/>
    <hyperlink ref="D1464" r:id="rId3921" xr:uid="{00000000-0004-0000-0000-0000500F0000}"/>
    <hyperlink ref="E1464" r:id="rId3922" xr:uid="{00000000-0004-0000-0000-0000510F0000}"/>
    <hyperlink ref="O1464" r:id="rId3923" xr:uid="{00000000-0004-0000-0000-0000520F0000}"/>
    <hyperlink ref="E1465" r:id="rId3924" xr:uid="{00000000-0004-0000-0000-0000530F0000}"/>
    <hyperlink ref="O1465" r:id="rId3925" xr:uid="{00000000-0004-0000-0000-0000540F0000}"/>
    <hyperlink ref="E1466" r:id="rId3926" xr:uid="{00000000-0004-0000-0000-0000550F0000}"/>
    <hyperlink ref="O1466" r:id="rId3927" xr:uid="{00000000-0004-0000-0000-0000560F0000}"/>
    <hyperlink ref="E1467" r:id="rId3928" xr:uid="{00000000-0004-0000-0000-0000570F0000}"/>
    <hyperlink ref="O1467" r:id="rId3929" xr:uid="{00000000-0004-0000-0000-0000580F0000}"/>
    <hyperlink ref="D1468" r:id="rId3930" xr:uid="{00000000-0004-0000-0000-0000590F0000}"/>
    <hyperlink ref="E1468" r:id="rId3931" xr:uid="{00000000-0004-0000-0000-00005A0F0000}"/>
    <hyperlink ref="O1468" r:id="rId3932" xr:uid="{00000000-0004-0000-0000-00005B0F0000}"/>
    <hyperlink ref="E1469" r:id="rId3933" xr:uid="{00000000-0004-0000-0000-00005C0F0000}"/>
    <hyperlink ref="O1469" r:id="rId3934" xr:uid="{00000000-0004-0000-0000-00005D0F0000}"/>
    <hyperlink ref="E1470" r:id="rId3935" xr:uid="{00000000-0004-0000-0000-00005E0F0000}"/>
    <hyperlink ref="O1470" r:id="rId3936" xr:uid="{00000000-0004-0000-0000-00005F0F0000}"/>
    <hyperlink ref="E1471" r:id="rId3937" xr:uid="{00000000-0004-0000-0000-0000600F0000}"/>
    <hyperlink ref="O1471" r:id="rId3938" xr:uid="{00000000-0004-0000-0000-0000610F0000}"/>
    <hyperlink ref="E1472" r:id="rId3939" xr:uid="{00000000-0004-0000-0000-0000620F0000}"/>
    <hyperlink ref="O1472" r:id="rId3940" xr:uid="{00000000-0004-0000-0000-0000630F0000}"/>
    <hyperlink ref="E1473" r:id="rId3941" xr:uid="{00000000-0004-0000-0000-0000640F0000}"/>
    <hyperlink ref="O1473" r:id="rId3942" xr:uid="{00000000-0004-0000-0000-0000650F0000}"/>
    <hyperlink ref="E1474" r:id="rId3943" xr:uid="{00000000-0004-0000-0000-0000660F0000}"/>
    <hyperlink ref="O1474" r:id="rId3944" xr:uid="{00000000-0004-0000-0000-0000670F0000}"/>
    <hyperlink ref="E1475" r:id="rId3945" xr:uid="{00000000-0004-0000-0000-0000680F0000}"/>
    <hyperlink ref="O1475" r:id="rId3946" xr:uid="{00000000-0004-0000-0000-0000690F0000}"/>
    <hyperlink ref="E1476" r:id="rId3947" xr:uid="{00000000-0004-0000-0000-00006A0F0000}"/>
    <hyperlink ref="O1476" r:id="rId3948" xr:uid="{00000000-0004-0000-0000-00006B0F0000}"/>
    <hyperlink ref="E1477" r:id="rId3949" xr:uid="{00000000-0004-0000-0000-00006C0F0000}"/>
    <hyperlink ref="O1477" r:id="rId3950" xr:uid="{00000000-0004-0000-0000-00006D0F0000}"/>
    <hyperlink ref="D1478" r:id="rId3951" xr:uid="{00000000-0004-0000-0000-00006E0F0000}"/>
    <hyperlink ref="E1478" r:id="rId3952" xr:uid="{00000000-0004-0000-0000-00006F0F0000}"/>
    <hyperlink ref="O1478" r:id="rId3953" xr:uid="{00000000-0004-0000-0000-0000700F0000}"/>
    <hyperlink ref="E1479" r:id="rId3954" xr:uid="{00000000-0004-0000-0000-0000710F0000}"/>
    <hyperlink ref="O1479" r:id="rId3955" xr:uid="{00000000-0004-0000-0000-0000720F0000}"/>
    <hyperlink ref="D1480" r:id="rId3956" xr:uid="{00000000-0004-0000-0000-0000730F0000}"/>
    <hyperlink ref="E1480" r:id="rId3957" xr:uid="{00000000-0004-0000-0000-0000740F0000}"/>
    <hyperlink ref="O1480" r:id="rId3958" xr:uid="{00000000-0004-0000-0000-0000750F0000}"/>
    <hyperlink ref="E1481" r:id="rId3959" xr:uid="{00000000-0004-0000-0000-0000760F0000}"/>
    <hyperlink ref="O1481" r:id="rId3960" xr:uid="{00000000-0004-0000-0000-0000770F0000}"/>
    <hyperlink ref="E1482" r:id="rId3961" xr:uid="{00000000-0004-0000-0000-0000780F0000}"/>
    <hyperlink ref="O1482" r:id="rId3962" xr:uid="{00000000-0004-0000-0000-0000790F0000}"/>
    <hyperlink ref="E1483" r:id="rId3963" xr:uid="{00000000-0004-0000-0000-00007A0F0000}"/>
    <hyperlink ref="O1483" r:id="rId3964" xr:uid="{00000000-0004-0000-0000-00007B0F0000}"/>
    <hyperlink ref="D1484" r:id="rId3965" xr:uid="{00000000-0004-0000-0000-00007C0F0000}"/>
    <hyperlink ref="E1484" r:id="rId3966" xr:uid="{00000000-0004-0000-0000-00007D0F0000}"/>
    <hyperlink ref="O1484" r:id="rId3967" xr:uid="{00000000-0004-0000-0000-00007E0F0000}"/>
    <hyperlink ref="E1485" r:id="rId3968" xr:uid="{00000000-0004-0000-0000-00007F0F0000}"/>
    <hyperlink ref="O1485" r:id="rId3969" xr:uid="{00000000-0004-0000-0000-0000800F0000}"/>
    <hyperlink ref="E1486" r:id="rId3970" xr:uid="{00000000-0004-0000-0000-0000810F0000}"/>
    <hyperlink ref="O1486" r:id="rId3971" xr:uid="{00000000-0004-0000-0000-0000820F0000}"/>
    <hyperlink ref="E1487" r:id="rId3972" xr:uid="{00000000-0004-0000-0000-0000830F0000}"/>
    <hyperlink ref="O1487" r:id="rId3973" xr:uid="{00000000-0004-0000-0000-0000840F0000}"/>
    <hyperlink ref="E1488" r:id="rId3974" xr:uid="{00000000-0004-0000-0000-0000850F0000}"/>
    <hyperlink ref="O1488" r:id="rId3975" xr:uid="{00000000-0004-0000-0000-0000860F0000}"/>
    <hyperlink ref="E1489" r:id="rId3976" xr:uid="{00000000-0004-0000-0000-0000870F0000}"/>
    <hyperlink ref="O1489" r:id="rId3977" xr:uid="{00000000-0004-0000-0000-0000880F0000}"/>
    <hyperlink ref="E1490" r:id="rId3978" xr:uid="{00000000-0004-0000-0000-0000890F0000}"/>
    <hyperlink ref="O1490" r:id="rId3979" xr:uid="{00000000-0004-0000-0000-00008A0F0000}"/>
    <hyperlink ref="E1491" r:id="rId3980" xr:uid="{00000000-0004-0000-0000-00008B0F0000}"/>
    <hyperlink ref="O1491" r:id="rId3981" xr:uid="{00000000-0004-0000-0000-00008C0F0000}"/>
    <hyperlink ref="E1492" r:id="rId3982" xr:uid="{00000000-0004-0000-0000-00008D0F0000}"/>
    <hyperlink ref="O1492" r:id="rId3983" xr:uid="{00000000-0004-0000-0000-00008E0F0000}"/>
    <hyperlink ref="D1493" r:id="rId3984" xr:uid="{00000000-0004-0000-0000-00008F0F0000}"/>
    <hyperlink ref="E1493" r:id="rId3985" xr:uid="{00000000-0004-0000-0000-0000900F0000}"/>
    <hyperlink ref="O1493" r:id="rId3986" xr:uid="{00000000-0004-0000-0000-0000910F0000}"/>
    <hyperlink ref="D1494" r:id="rId3987" xr:uid="{00000000-0004-0000-0000-0000920F0000}"/>
    <hyperlink ref="E1494" r:id="rId3988" xr:uid="{00000000-0004-0000-0000-0000930F0000}"/>
    <hyperlink ref="O1494" r:id="rId3989" xr:uid="{00000000-0004-0000-0000-0000940F0000}"/>
    <hyperlink ref="D1495" r:id="rId3990" xr:uid="{00000000-0004-0000-0000-0000950F0000}"/>
    <hyperlink ref="E1495" r:id="rId3991" xr:uid="{00000000-0004-0000-0000-0000960F0000}"/>
    <hyperlink ref="O1495" r:id="rId3992" xr:uid="{00000000-0004-0000-0000-0000970F0000}"/>
    <hyperlink ref="D1496" r:id="rId3993" xr:uid="{00000000-0004-0000-0000-0000980F0000}"/>
    <hyperlink ref="E1496" r:id="rId3994" xr:uid="{00000000-0004-0000-0000-0000990F0000}"/>
    <hyperlink ref="O1496" r:id="rId3995" xr:uid="{00000000-0004-0000-0000-00009A0F0000}"/>
    <hyperlink ref="D1497" r:id="rId3996" xr:uid="{00000000-0004-0000-0000-00009B0F0000}"/>
    <hyperlink ref="E1497" r:id="rId3997" xr:uid="{00000000-0004-0000-0000-00009C0F0000}"/>
    <hyperlink ref="O1497" r:id="rId3998" xr:uid="{00000000-0004-0000-0000-00009D0F0000}"/>
    <hyperlink ref="D1498" r:id="rId3999" xr:uid="{00000000-0004-0000-0000-00009E0F0000}"/>
    <hyperlink ref="E1498" r:id="rId4000" xr:uid="{00000000-0004-0000-0000-00009F0F0000}"/>
    <hyperlink ref="O1498" r:id="rId4001" xr:uid="{00000000-0004-0000-0000-0000A00F0000}"/>
    <hyperlink ref="D1499" r:id="rId4002" xr:uid="{00000000-0004-0000-0000-0000A10F0000}"/>
    <hyperlink ref="E1499" r:id="rId4003" xr:uid="{00000000-0004-0000-0000-0000A20F0000}"/>
    <hyperlink ref="O1499" r:id="rId4004" xr:uid="{00000000-0004-0000-0000-0000A30F0000}"/>
    <hyperlink ref="D1500" r:id="rId4005" xr:uid="{00000000-0004-0000-0000-0000A40F0000}"/>
    <hyperlink ref="E1500" r:id="rId4006" xr:uid="{00000000-0004-0000-0000-0000A50F0000}"/>
    <hyperlink ref="O1500" r:id="rId4007" xr:uid="{00000000-0004-0000-0000-0000A60F0000}"/>
    <hyperlink ref="E1501" r:id="rId4008" xr:uid="{00000000-0004-0000-0000-0000A70F0000}"/>
    <hyperlink ref="O1501" r:id="rId4009" xr:uid="{00000000-0004-0000-0000-0000A80F0000}"/>
    <hyperlink ref="E1502" r:id="rId4010" xr:uid="{00000000-0004-0000-0000-0000A90F0000}"/>
    <hyperlink ref="O1502" r:id="rId4011" xr:uid="{00000000-0004-0000-0000-0000AA0F0000}"/>
    <hyperlink ref="E1503" r:id="rId4012" xr:uid="{00000000-0004-0000-0000-0000AB0F0000}"/>
    <hyperlink ref="O1503" r:id="rId4013" xr:uid="{00000000-0004-0000-0000-0000AC0F0000}"/>
    <hyperlink ref="E1504" r:id="rId4014" xr:uid="{00000000-0004-0000-0000-0000AD0F0000}"/>
    <hyperlink ref="O1504" r:id="rId4015" xr:uid="{00000000-0004-0000-0000-0000AE0F0000}"/>
    <hyperlink ref="D1505" r:id="rId4016" xr:uid="{00000000-0004-0000-0000-0000AF0F0000}"/>
    <hyperlink ref="E1505" r:id="rId4017" xr:uid="{00000000-0004-0000-0000-0000B00F0000}"/>
    <hyperlink ref="O1505" r:id="rId4018" xr:uid="{00000000-0004-0000-0000-0000B10F0000}"/>
    <hyperlink ref="D1506" r:id="rId4019" xr:uid="{00000000-0004-0000-0000-0000B20F0000}"/>
    <hyperlink ref="E1506" r:id="rId4020" xr:uid="{00000000-0004-0000-0000-0000B30F0000}"/>
    <hyperlink ref="O1506" r:id="rId4021" xr:uid="{00000000-0004-0000-0000-0000B40F0000}"/>
    <hyperlink ref="E1507" r:id="rId4022" xr:uid="{00000000-0004-0000-0000-0000B50F0000}"/>
    <hyperlink ref="O1507" r:id="rId4023" xr:uid="{00000000-0004-0000-0000-0000B60F0000}"/>
    <hyperlink ref="E1508" r:id="rId4024" xr:uid="{00000000-0004-0000-0000-0000B70F0000}"/>
    <hyperlink ref="O1508" r:id="rId4025" xr:uid="{00000000-0004-0000-0000-0000B80F0000}"/>
    <hyperlink ref="E1509" r:id="rId4026" xr:uid="{00000000-0004-0000-0000-0000B90F0000}"/>
    <hyperlink ref="O1509" r:id="rId4027" xr:uid="{00000000-0004-0000-0000-0000BA0F0000}"/>
    <hyperlink ref="E1510" r:id="rId4028" xr:uid="{00000000-0004-0000-0000-0000BB0F0000}"/>
    <hyperlink ref="O1510" r:id="rId4029" xr:uid="{00000000-0004-0000-0000-0000BC0F0000}"/>
    <hyperlink ref="E1511" r:id="rId4030" xr:uid="{00000000-0004-0000-0000-0000BD0F0000}"/>
    <hyperlink ref="O1511" r:id="rId4031" xr:uid="{00000000-0004-0000-0000-0000BE0F0000}"/>
    <hyperlink ref="E1512" r:id="rId4032" xr:uid="{00000000-0004-0000-0000-0000BF0F0000}"/>
    <hyperlink ref="O1512" r:id="rId4033" xr:uid="{00000000-0004-0000-0000-0000C00F0000}"/>
    <hyperlink ref="E1513" r:id="rId4034" xr:uid="{00000000-0004-0000-0000-0000C10F0000}"/>
    <hyperlink ref="O1513" r:id="rId4035" xr:uid="{00000000-0004-0000-0000-0000C20F0000}"/>
    <hyperlink ref="E1514" r:id="rId4036" xr:uid="{00000000-0004-0000-0000-0000C30F0000}"/>
    <hyperlink ref="O1514" r:id="rId4037" xr:uid="{00000000-0004-0000-0000-0000C40F0000}"/>
    <hyperlink ref="E1515" r:id="rId4038" xr:uid="{00000000-0004-0000-0000-0000C50F0000}"/>
    <hyperlink ref="O1515" r:id="rId4039" xr:uid="{00000000-0004-0000-0000-0000C60F0000}"/>
    <hyperlink ref="E1516" r:id="rId4040" xr:uid="{00000000-0004-0000-0000-0000C70F0000}"/>
    <hyperlink ref="O1516" r:id="rId4041" xr:uid="{00000000-0004-0000-0000-0000C80F0000}"/>
    <hyperlink ref="E1517" r:id="rId4042" xr:uid="{00000000-0004-0000-0000-0000C90F0000}"/>
    <hyperlink ref="O1517" r:id="rId4043" xr:uid="{00000000-0004-0000-0000-0000CA0F0000}"/>
    <hyperlink ref="D1518" r:id="rId4044" xr:uid="{00000000-0004-0000-0000-0000CB0F0000}"/>
    <hyperlink ref="E1518" r:id="rId4045" xr:uid="{00000000-0004-0000-0000-0000CC0F0000}"/>
    <hyperlink ref="O1518" r:id="rId4046" xr:uid="{00000000-0004-0000-0000-0000CD0F0000}"/>
    <hyperlink ref="D1519" r:id="rId4047" xr:uid="{00000000-0004-0000-0000-0000CE0F0000}"/>
    <hyperlink ref="E1519" r:id="rId4048" xr:uid="{00000000-0004-0000-0000-0000CF0F0000}"/>
    <hyperlink ref="O1519" r:id="rId4049" xr:uid="{00000000-0004-0000-0000-0000D00F0000}"/>
    <hyperlink ref="E1520" r:id="rId4050" xr:uid="{00000000-0004-0000-0000-0000D10F0000}"/>
    <hyperlink ref="O1520" r:id="rId4051" xr:uid="{00000000-0004-0000-0000-0000D20F0000}"/>
    <hyperlink ref="E1521" r:id="rId4052" xr:uid="{00000000-0004-0000-0000-0000D30F0000}"/>
    <hyperlink ref="O1521" r:id="rId4053" xr:uid="{00000000-0004-0000-0000-0000D40F0000}"/>
    <hyperlink ref="D1522" r:id="rId4054" xr:uid="{00000000-0004-0000-0000-0000D50F0000}"/>
    <hyperlink ref="E1522" r:id="rId4055" xr:uid="{00000000-0004-0000-0000-0000D60F0000}"/>
    <hyperlink ref="O1522" r:id="rId4056" xr:uid="{00000000-0004-0000-0000-0000D70F0000}"/>
    <hyperlink ref="D1523" r:id="rId4057" xr:uid="{00000000-0004-0000-0000-0000D80F0000}"/>
    <hyperlink ref="E1523" r:id="rId4058" xr:uid="{00000000-0004-0000-0000-0000D90F0000}"/>
    <hyperlink ref="O1523" r:id="rId4059" xr:uid="{00000000-0004-0000-0000-0000DA0F0000}"/>
    <hyperlink ref="D1524" r:id="rId4060" xr:uid="{00000000-0004-0000-0000-0000DB0F0000}"/>
    <hyperlink ref="E1524" r:id="rId4061" xr:uid="{00000000-0004-0000-0000-0000DC0F0000}"/>
    <hyperlink ref="O1524" r:id="rId4062" xr:uid="{00000000-0004-0000-0000-0000DD0F0000}"/>
    <hyperlink ref="E1525" r:id="rId4063" xr:uid="{00000000-0004-0000-0000-0000DE0F0000}"/>
    <hyperlink ref="O1525" r:id="rId4064" xr:uid="{00000000-0004-0000-0000-0000DF0F0000}"/>
    <hyperlink ref="D1526" r:id="rId4065" xr:uid="{00000000-0004-0000-0000-0000E00F0000}"/>
    <hyperlink ref="E1526" r:id="rId4066" xr:uid="{00000000-0004-0000-0000-0000E10F0000}"/>
    <hyperlink ref="O1526" r:id="rId4067" xr:uid="{00000000-0004-0000-0000-0000E20F0000}"/>
    <hyperlink ref="E1527" r:id="rId4068" xr:uid="{00000000-0004-0000-0000-0000E30F0000}"/>
    <hyperlink ref="O1527" r:id="rId4069" xr:uid="{00000000-0004-0000-0000-0000E40F0000}"/>
    <hyperlink ref="E1528" r:id="rId4070" xr:uid="{00000000-0004-0000-0000-0000E50F0000}"/>
    <hyperlink ref="O1528" r:id="rId4071" xr:uid="{00000000-0004-0000-0000-0000E60F0000}"/>
    <hyperlink ref="D1529" r:id="rId4072" xr:uid="{00000000-0004-0000-0000-0000E70F0000}"/>
    <hyperlink ref="E1529" r:id="rId4073" xr:uid="{00000000-0004-0000-0000-0000E80F0000}"/>
    <hyperlink ref="O1529" r:id="rId4074" xr:uid="{00000000-0004-0000-0000-0000E90F0000}"/>
    <hyperlink ref="D1530" r:id="rId4075" xr:uid="{00000000-0004-0000-0000-0000EA0F0000}"/>
    <hyperlink ref="E1530" r:id="rId4076" xr:uid="{00000000-0004-0000-0000-0000EB0F0000}"/>
    <hyperlink ref="O1530" r:id="rId4077" xr:uid="{00000000-0004-0000-0000-0000EC0F0000}"/>
    <hyperlink ref="D1531" r:id="rId4078" xr:uid="{00000000-0004-0000-0000-0000ED0F0000}"/>
    <hyperlink ref="E1531" r:id="rId4079" xr:uid="{00000000-0004-0000-0000-0000EE0F0000}"/>
    <hyperlink ref="O1531" r:id="rId4080" xr:uid="{00000000-0004-0000-0000-0000EF0F0000}"/>
    <hyperlink ref="D1532" r:id="rId4081" xr:uid="{00000000-0004-0000-0000-0000F00F0000}"/>
    <hyperlink ref="E1532" r:id="rId4082" xr:uid="{00000000-0004-0000-0000-0000F10F0000}"/>
    <hyperlink ref="O1532" r:id="rId4083" xr:uid="{00000000-0004-0000-0000-0000F20F0000}"/>
    <hyperlink ref="D1533" r:id="rId4084" xr:uid="{00000000-0004-0000-0000-0000F30F0000}"/>
    <hyperlink ref="E1533" r:id="rId4085" xr:uid="{00000000-0004-0000-0000-0000F40F0000}"/>
    <hyperlink ref="O1533" r:id="rId4086" xr:uid="{00000000-0004-0000-0000-0000F50F0000}"/>
    <hyperlink ref="D1534" r:id="rId4087" xr:uid="{00000000-0004-0000-0000-0000F60F0000}"/>
    <hyperlink ref="E1534" r:id="rId4088" xr:uid="{00000000-0004-0000-0000-0000F70F0000}"/>
    <hyperlink ref="O1534" r:id="rId4089" xr:uid="{00000000-0004-0000-0000-0000F80F0000}"/>
    <hyperlink ref="E1535" r:id="rId4090" xr:uid="{00000000-0004-0000-0000-0000F90F0000}"/>
    <hyperlink ref="O1535" r:id="rId4091" xr:uid="{00000000-0004-0000-0000-0000FA0F0000}"/>
    <hyperlink ref="E1536" r:id="rId4092" xr:uid="{00000000-0004-0000-0000-0000FB0F0000}"/>
    <hyperlink ref="O1536" r:id="rId4093" xr:uid="{00000000-0004-0000-0000-0000FC0F0000}"/>
    <hyperlink ref="D1537" r:id="rId4094" xr:uid="{00000000-0004-0000-0000-0000FD0F0000}"/>
    <hyperlink ref="E1537" r:id="rId4095" xr:uid="{00000000-0004-0000-0000-0000FE0F0000}"/>
    <hyperlink ref="O1537" r:id="rId4096" xr:uid="{00000000-0004-0000-0000-0000FF0F0000}"/>
    <hyperlink ref="D1538" r:id="rId4097" xr:uid="{00000000-0004-0000-0000-000000100000}"/>
    <hyperlink ref="E1538" r:id="rId4098" xr:uid="{00000000-0004-0000-0000-000001100000}"/>
    <hyperlink ref="O1538" r:id="rId4099" xr:uid="{00000000-0004-0000-0000-000002100000}"/>
    <hyperlink ref="D1539" r:id="rId4100" xr:uid="{00000000-0004-0000-0000-000003100000}"/>
    <hyperlink ref="E1539" r:id="rId4101" xr:uid="{00000000-0004-0000-0000-000004100000}"/>
    <hyperlink ref="O1539" r:id="rId4102" xr:uid="{00000000-0004-0000-0000-000005100000}"/>
    <hyperlink ref="D1540" r:id="rId4103" xr:uid="{00000000-0004-0000-0000-000006100000}"/>
    <hyperlink ref="E1540" r:id="rId4104" xr:uid="{00000000-0004-0000-0000-000007100000}"/>
    <hyperlink ref="O1540" r:id="rId4105" xr:uid="{00000000-0004-0000-0000-000008100000}"/>
    <hyperlink ref="E1541" r:id="rId4106" xr:uid="{00000000-0004-0000-0000-000009100000}"/>
    <hyperlink ref="O1541" r:id="rId4107" xr:uid="{00000000-0004-0000-0000-00000A100000}"/>
    <hyperlink ref="E1542" r:id="rId4108" xr:uid="{00000000-0004-0000-0000-00000B100000}"/>
    <hyperlink ref="O1542" r:id="rId4109" xr:uid="{00000000-0004-0000-0000-00000C100000}"/>
    <hyperlink ref="E1543" r:id="rId4110" xr:uid="{00000000-0004-0000-0000-00000D100000}"/>
    <hyperlink ref="O1543" r:id="rId4111" xr:uid="{00000000-0004-0000-0000-00000E100000}"/>
    <hyperlink ref="D1544" r:id="rId4112" xr:uid="{00000000-0004-0000-0000-00000F100000}"/>
    <hyperlink ref="E1544" r:id="rId4113" xr:uid="{00000000-0004-0000-0000-000010100000}"/>
    <hyperlink ref="O1544" r:id="rId4114" xr:uid="{00000000-0004-0000-0000-000011100000}"/>
    <hyperlink ref="D1545" r:id="rId4115" xr:uid="{00000000-0004-0000-0000-000012100000}"/>
    <hyperlink ref="E1545" r:id="rId4116" xr:uid="{00000000-0004-0000-0000-000013100000}"/>
    <hyperlink ref="O1545" r:id="rId4117" xr:uid="{00000000-0004-0000-0000-000014100000}"/>
    <hyperlink ref="E1546" r:id="rId4118" xr:uid="{00000000-0004-0000-0000-000015100000}"/>
    <hyperlink ref="O1546" r:id="rId4119" xr:uid="{00000000-0004-0000-0000-000016100000}"/>
    <hyperlink ref="E1547" r:id="rId4120" xr:uid="{00000000-0004-0000-0000-000017100000}"/>
    <hyperlink ref="O1547" r:id="rId4121" xr:uid="{00000000-0004-0000-0000-000018100000}"/>
    <hyperlink ref="D1548" r:id="rId4122" xr:uid="{00000000-0004-0000-0000-000019100000}"/>
    <hyperlink ref="E1548" r:id="rId4123" xr:uid="{00000000-0004-0000-0000-00001A100000}"/>
    <hyperlink ref="O1548" r:id="rId4124" xr:uid="{00000000-0004-0000-0000-00001B100000}"/>
    <hyperlink ref="D1549" r:id="rId4125" xr:uid="{00000000-0004-0000-0000-00001C100000}"/>
    <hyperlink ref="E1549" r:id="rId4126" xr:uid="{00000000-0004-0000-0000-00001D100000}"/>
    <hyperlink ref="O1549" r:id="rId4127" xr:uid="{00000000-0004-0000-0000-00001E100000}"/>
    <hyperlink ref="E1550" r:id="rId4128" xr:uid="{00000000-0004-0000-0000-00001F100000}"/>
    <hyperlink ref="O1550" r:id="rId4129" xr:uid="{00000000-0004-0000-0000-000020100000}"/>
    <hyperlink ref="D1551" r:id="rId4130" xr:uid="{00000000-0004-0000-0000-000021100000}"/>
    <hyperlink ref="E1551" r:id="rId4131" xr:uid="{00000000-0004-0000-0000-000022100000}"/>
    <hyperlink ref="O1551" r:id="rId4132" xr:uid="{00000000-0004-0000-0000-000023100000}"/>
    <hyperlink ref="D1552" r:id="rId4133" xr:uid="{00000000-0004-0000-0000-000024100000}"/>
    <hyperlink ref="E1552" r:id="rId4134" xr:uid="{00000000-0004-0000-0000-000025100000}"/>
    <hyperlink ref="O1552" r:id="rId4135" xr:uid="{00000000-0004-0000-0000-000026100000}"/>
    <hyperlink ref="D1553" r:id="rId4136" xr:uid="{00000000-0004-0000-0000-000027100000}"/>
    <hyperlink ref="E1553" r:id="rId4137" xr:uid="{00000000-0004-0000-0000-000028100000}"/>
    <hyperlink ref="O1553" r:id="rId4138" xr:uid="{00000000-0004-0000-0000-000029100000}"/>
    <hyperlink ref="D1554" r:id="rId4139" xr:uid="{00000000-0004-0000-0000-00002A100000}"/>
    <hyperlink ref="E1554" r:id="rId4140" xr:uid="{00000000-0004-0000-0000-00002B100000}"/>
    <hyperlink ref="O1554" r:id="rId4141" xr:uid="{00000000-0004-0000-0000-00002C100000}"/>
    <hyperlink ref="D1555" r:id="rId4142" xr:uid="{00000000-0004-0000-0000-00002D100000}"/>
    <hyperlink ref="E1555" r:id="rId4143" xr:uid="{00000000-0004-0000-0000-00002E100000}"/>
    <hyperlink ref="O1555" r:id="rId4144" xr:uid="{00000000-0004-0000-0000-00002F100000}"/>
    <hyperlink ref="D1556" r:id="rId4145" xr:uid="{00000000-0004-0000-0000-000030100000}"/>
    <hyperlink ref="E1556" r:id="rId4146" xr:uid="{00000000-0004-0000-0000-000031100000}"/>
    <hyperlink ref="O1556" r:id="rId4147" xr:uid="{00000000-0004-0000-0000-000032100000}"/>
    <hyperlink ref="D1557" r:id="rId4148" xr:uid="{00000000-0004-0000-0000-000033100000}"/>
    <hyperlink ref="E1557" r:id="rId4149" xr:uid="{00000000-0004-0000-0000-000034100000}"/>
    <hyperlink ref="O1557" r:id="rId4150" xr:uid="{00000000-0004-0000-0000-000035100000}"/>
    <hyperlink ref="D1558" r:id="rId4151" xr:uid="{00000000-0004-0000-0000-000036100000}"/>
    <hyperlink ref="E1558" r:id="rId4152" xr:uid="{00000000-0004-0000-0000-000037100000}"/>
    <hyperlink ref="O1558" r:id="rId4153" xr:uid="{00000000-0004-0000-0000-000038100000}"/>
    <hyperlink ref="D1559" r:id="rId4154" xr:uid="{00000000-0004-0000-0000-000039100000}"/>
    <hyperlink ref="E1559" r:id="rId4155" xr:uid="{00000000-0004-0000-0000-00003A100000}"/>
    <hyperlink ref="O1559" r:id="rId4156" xr:uid="{00000000-0004-0000-0000-00003B100000}"/>
    <hyperlink ref="E1560" r:id="rId4157" xr:uid="{00000000-0004-0000-0000-00003C100000}"/>
    <hyperlink ref="O1560" r:id="rId4158" xr:uid="{00000000-0004-0000-0000-00003D100000}"/>
    <hyperlink ref="D1561" r:id="rId4159" xr:uid="{00000000-0004-0000-0000-00003E100000}"/>
    <hyperlink ref="E1561" r:id="rId4160" xr:uid="{00000000-0004-0000-0000-00003F100000}"/>
    <hyperlink ref="O1561" r:id="rId4161" xr:uid="{00000000-0004-0000-0000-000040100000}"/>
    <hyperlink ref="D1562" r:id="rId4162" xr:uid="{00000000-0004-0000-0000-000041100000}"/>
    <hyperlink ref="E1562" r:id="rId4163" xr:uid="{00000000-0004-0000-0000-000042100000}"/>
    <hyperlink ref="O1562" r:id="rId4164" xr:uid="{00000000-0004-0000-0000-000043100000}"/>
    <hyperlink ref="E1563" r:id="rId4165" xr:uid="{00000000-0004-0000-0000-000044100000}"/>
    <hyperlink ref="O1563" r:id="rId4166" xr:uid="{00000000-0004-0000-0000-000045100000}"/>
    <hyperlink ref="E1564" r:id="rId4167" xr:uid="{00000000-0004-0000-0000-000046100000}"/>
    <hyperlink ref="O1564" r:id="rId4168" xr:uid="{00000000-0004-0000-0000-000047100000}"/>
    <hyperlink ref="E1565" r:id="rId4169" xr:uid="{00000000-0004-0000-0000-000048100000}"/>
    <hyperlink ref="O1565" r:id="rId4170" xr:uid="{00000000-0004-0000-0000-000049100000}"/>
    <hyperlink ref="E1566" r:id="rId4171" xr:uid="{00000000-0004-0000-0000-00004A100000}"/>
    <hyperlink ref="O1566" r:id="rId4172" xr:uid="{00000000-0004-0000-0000-00004B100000}"/>
    <hyperlink ref="D1567" r:id="rId4173" xr:uid="{00000000-0004-0000-0000-00004C100000}"/>
    <hyperlink ref="E1567" r:id="rId4174" xr:uid="{00000000-0004-0000-0000-00004D100000}"/>
    <hyperlink ref="O1567" r:id="rId4175" xr:uid="{00000000-0004-0000-0000-00004E100000}"/>
    <hyperlink ref="E1568" r:id="rId4176" xr:uid="{00000000-0004-0000-0000-00004F100000}"/>
    <hyperlink ref="O1568" r:id="rId4177" xr:uid="{00000000-0004-0000-0000-000050100000}"/>
    <hyperlink ref="D1569" r:id="rId4178" xr:uid="{00000000-0004-0000-0000-000051100000}"/>
    <hyperlink ref="E1569" r:id="rId4179" xr:uid="{00000000-0004-0000-0000-000052100000}"/>
    <hyperlink ref="O1569" r:id="rId4180" xr:uid="{00000000-0004-0000-0000-000053100000}"/>
    <hyperlink ref="E1570" r:id="rId4181" xr:uid="{00000000-0004-0000-0000-000054100000}"/>
    <hyperlink ref="O1570" r:id="rId4182" xr:uid="{00000000-0004-0000-0000-000055100000}"/>
    <hyperlink ref="D1571" r:id="rId4183" xr:uid="{00000000-0004-0000-0000-000056100000}"/>
    <hyperlink ref="E1571" r:id="rId4184" xr:uid="{00000000-0004-0000-0000-000057100000}"/>
    <hyperlink ref="O1571" r:id="rId4185" xr:uid="{00000000-0004-0000-0000-000058100000}"/>
    <hyperlink ref="E1572" r:id="rId4186" xr:uid="{00000000-0004-0000-0000-000059100000}"/>
    <hyperlink ref="O1572" r:id="rId4187" xr:uid="{00000000-0004-0000-0000-00005A100000}"/>
    <hyperlink ref="D1573" r:id="rId4188" xr:uid="{00000000-0004-0000-0000-00005B100000}"/>
    <hyperlink ref="E1573" r:id="rId4189" xr:uid="{00000000-0004-0000-0000-00005C100000}"/>
    <hyperlink ref="O1573" r:id="rId4190" xr:uid="{00000000-0004-0000-0000-00005D100000}"/>
    <hyperlink ref="D1574" r:id="rId4191" xr:uid="{00000000-0004-0000-0000-00005E100000}"/>
    <hyperlink ref="E1574" r:id="rId4192" xr:uid="{00000000-0004-0000-0000-00005F100000}"/>
    <hyperlink ref="O1574" r:id="rId4193" xr:uid="{00000000-0004-0000-0000-000060100000}"/>
    <hyperlink ref="D1575" r:id="rId4194" xr:uid="{00000000-0004-0000-0000-000061100000}"/>
    <hyperlink ref="E1575" r:id="rId4195" xr:uid="{00000000-0004-0000-0000-000062100000}"/>
    <hyperlink ref="O1575" r:id="rId4196" xr:uid="{00000000-0004-0000-0000-000063100000}"/>
    <hyperlink ref="E1576" r:id="rId4197" xr:uid="{00000000-0004-0000-0000-000064100000}"/>
    <hyperlink ref="O1576" r:id="rId4198" xr:uid="{00000000-0004-0000-0000-000065100000}"/>
    <hyperlink ref="D1577" r:id="rId4199" xr:uid="{00000000-0004-0000-0000-000066100000}"/>
    <hyperlink ref="E1577" r:id="rId4200" xr:uid="{00000000-0004-0000-0000-000067100000}"/>
    <hyperlink ref="O1577" r:id="rId4201" xr:uid="{00000000-0004-0000-0000-000068100000}"/>
    <hyperlink ref="E1578" r:id="rId4202" xr:uid="{00000000-0004-0000-0000-000069100000}"/>
    <hyperlink ref="O1578" r:id="rId4203" xr:uid="{00000000-0004-0000-0000-00006A100000}"/>
    <hyperlink ref="D1579" r:id="rId4204" xr:uid="{00000000-0004-0000-0000-00006B100000}"/>
    <hyperlink ref="E1579" r:id="rId4205" xr:uid="{00000000-0004-0000-0000-00006C100000}"/>
    <hyperlink ref="O1579" r:id="rId4206" xr:uid="{00000000-0004-0000-0000-00006D100000}"/>
    <hyperlink ref="D1580" r:id="rId4207" xr:uid="{00000000-0004-0000-0000-00006E100000}"/>
    <hyperlink ref="E1580" r:id="rId4208" xr:uid="{00000000-0004-0000-0000-00006F100000}"/>
    <hyperlink ref="O1580" r:id="rId4209" xr:uid="{00000000-0004-0000-0000-000070100000}"/>
    <hyperlink ref="D1581" r:id="rId4210" xr:uid="{00000000-0004-0000-0000-000071100000}"/>
    <hyperlink ref="E1581" r:id="rId4211" xr:uid="{00000000-0004-0000-0000-000072100000}"/>
    <hyperlink ref="O1581" r:id="rId4212" xr:uid="{00000000-0004-0000-0000-000073100000}"/>
    <hyperlink ref="D1582" r:id="rId4213" xr:uid="{00000000-0004-0000-0000-000074100000}"/>
    <hyperlink ref="E1582" r:id="rId4214" xr:uid="{00000000-0004-0000-0000-000075100000}"/>
    <hyperlink ref="O1582" r:id="rId4215" xr:uid="{00000000-0004-0000-0000-000076100000}"/>
    <hyperlink ref="D1583" r:id="rId4216" xr:uid="{00000000-0004-0000-0000-000077100000}"/>
    <hyperlink ref="E1583" r:id="rId4217" xr:uid="{00000000-0004-0000-0000-000078100000}"/>
    <hyperlink ref="O1583" r:id="rId4218" xr:uid="{00000000-0004-0000-0000-000079100000}"/>
    <hyperlink ref="D1584" r:id="rId4219" xr:uid="{00000000-0004-0000-0000-00007A100000}"/>
    <hyperlink ref="E1584" r:id="rId4220" xr:uid="{00000000-0004-0000-0000-00007B100000}"/>
    <hyperlink ref="O1584" r:id="rId4221" xr:uid="{00000000-0004-0000-0000-00007C100000}"/>
    <hyperlink ref="E1585" r:id="rId4222" xr:uid="{00000000-0004-0000-0000-00007D100000}"/>
    <hyperlink ref="O1585" r:id="rId4223" xr:uid="{00000000-0004-0000-0000-00007E100000}"/>
    <hyperlink ref="E1586" r:id="rId4224" xr:uid="{00000000-0004-0000-0000-00007F100000}"/>
    <hyperlink ref="O1586" r:id="rId4225" xr:uid="{00000000-0004-0000-0000-000080100000}"/>
    <hyperlink ref="D1587" r:id="rId4226" xr:uid="{00000000-0004-0000-0000-000081100000}"/>
    <hyperlink ref="E1587" r:id="rId4227" xr:uid="{00000000-0004-0000-0000-000082100000}"/>
    <hyperlink ref="O1587" r:id="rId4228" xr:uid="{00000000-0004-0000-0000-000083100000}"/>
    <hyperlink ref="D1588" r:id="rId4229" xr:uid="{00000000-0004-0000-0000-000084100000}"/>
    <hyperlink ref="E1588" r:id="rId4230" xr:uid="{00000000-0004-0000-0000-000085100000}"/>
    <hyperlink ref="O1588" r:id="rId4231" xr:uid="{00000000-0004-0000-0000-000086100000}"/>
    <hyperlink ref="D1589" r:id="rId4232" xr:uid="{00000000-0004-0000-0000-000087100000}"/>
    <hyperlink ref="E1589" r:id="rId4233" xr:uid="{00000000-0004-0000-0000-000088100000}"/>
    <hyperlink ref="O1589" r:id="rId4234" xr:uid="{00000000-0004-0000-0000-000089100000}"/>
    <hyperlink ref="D1590" r:id="rId4235" xr:uid="{00000000-0004-0000-0000-00008A100000}"/>
    <hyperlink ref="E1590" r:id="rId4236" xr:uid="{00000000-0004-0000-0000-00008B100000}"/>
    <hyperlink ref="O1590" r:id="rId4237" xr:uid="{00000000-0004-0000-0000-00008C100000}"/>
    <hyperlink ref="D1591" r:id="rId4238" xr:uid="{00000000-0004-0000-0000-00008D100000}"/>
    <hyperlink ref="E1591" r:id="rId4239" xr:uid="{00000000-0004-0000-0000-00008E100000}"/>
    <hyperlink ref="O1591" r:id="rId4240" xr:uid="{00000000-0004-0000-0000-00008F100000}"/>
    <hyperlink ref="E1592" r:id="rId4241" xr:uid="{00000000-0004-0000-0000-000090100000}"/>
    <hyperlink ref="O1592" r:id="rId4242" xr:uid="{00000000-0004-0000-0000-000091100000}"/>
    <hyperlink ref="D1593" r:id="rId4243" xr:uid="{00000000-0004-0000-0000-000092100000}"/>
    <hyperlink ref="E1593" r:id="rId4244" xr:uid="{00000000-0004-0000-0000-000093100000}"/>
    <hyperlink ref="O1593" r:id="rId4245" xr:uid="{00000000-0004-0000-0000-000094100000}"/>
    <hyperlink ref="D1594" r:id="rId4246" xr:uid="{00000000-0004-0000-0000-000095100000}"/>
    <hyperlink ref="E1594" r:id="rId4247" xr:uid="{00000000-0004-0000-0000-000096100000}"/>
    <hyperlink ref="O1594" r:id="rId4248" xr:uid="{00000000-0004-0000-0000-000097100000}"/>
    <hyperlink ref="D1595" r:id="rId4249" xr:uid="{00000000-0004-0000-0000-000098100000}"/>
    <hyperlink ref="E1595" r:id="rId4250" xr:uid="{00000000-0004-0000-0000-000099100000}"/>
    <hyperlink ref="O1595" r:id="rId4251" xr:uid="{00000000-0004-0000-0000-00009A100000}"/>
    <hyperlink ref="D1596" r:id="rId4252" xr:uid="{00000000-0004-0000-0000-00009B100000}"/>
    <hyperlink ref="E1596" r:id="rId4253" xr:uid="{00000000-0004-0000-0000-00009C100000}"/>
    <hyperlink ref="O1596" r:id="rId4254" xr:uid="{00000000-0004-0000-0000-00009D100000}"/>
    <hyperlink ref="D1597" r:id="rId4255" xr:uid="{00000000-0004-0000-0000-00009E100000}"/>
    <hyperlink ref="E1597" r:id="rId4256" xr:uid="{00000000-0004-0000-0000-00009F100000}"/>
    <hyperlink ref="O1597" r:id="rId4257" xr:uid="{00000000-0004-0000-0000-0000A0100000}"/>
    <hyperlink ref="D1598" r:id="rId4258" xr:uid="{00000000-0004-0000-0000-0000A1100000}"/>
    <hyperlink ref="E1598" r:id="rId4259" xr:uid="{00000000-0004-0000-0000-0000A2100000}"/>
    <hyperlink ref="O1598" r:id="rId4260" xr:uid="{00000000-0004-0000-0000-0000A3100000}"/>
    <hyperlink ref="D1599" r:id="rId4261" xr:uid="{00000000-0004-0000-0000-0000A4100000}"/>
    <hyperlink ref="E1599" r:id="rId4262" xr:uid="{00000000-0004-0000-0000-0000A5100000}"/>
    <hyperlink ref="O1599" r:id="rId4263" xr:uid="{00000000-0004-0000-0000-0000A6100000}"/>
    <hyperlink ref="E1600" r:id="rId4264" xr:uid="{00000000-0004-0000-0000-0000A7100000}"/>
    <hyperlink ref="O1600" r:id="rId4265" xr:uid="{00000000-0004-0000-0000-0000A8100000}"/>
    <hyperlink ref="D1601" r:id="rId4266" xr:uid="{00000000-0004-0000-0000-0000A9100000}"/>
    <hyperlink ref="E1601" r:id="rId4267" xr:uid="{00000000-0004-0000-0000-0000AA100000}"/>
    <hyperlink ref="O1601" r:id="rId4268" xr:uid="{00000000-0004-0000-0000-0000AB100000}"/>
    <hyperlink ref="D1602" r:id="rId4269" xr:uid="{00000000-0004-0000-0000-0000AC100000}"/>
    <hyperlink ref="E1602" r:id="rId4270" xr:uid="{00000000-0004-0000-0000-0000AD100000}"/>
    <hyperlink ref="O1602" r:id="rId4271" xr:uid="{00000000-0004-0000-0000-0000AE100000}"/>
    <hyperlink ref="E1603" r:id="rId4272" xr:uid="{00000000-0004-0000-0000-0000AF100000}"/>
    <hyperlink ref="O1603" r:id="rId4273" xr:uid="{00000000-0004-0000-0000-0000B0100000}"/>
    <hyperlink ref="D1604" r:id="rId4274" xr:uid="{00000000-0004-0000-0000-0000B1100000}"/>
    <hyperlink ref="E1604" r:id="rId4275" xr:uid="{00000000-0004-0000-0000-0000B2100000}"/>
    <hyperlink ref="O1604" r:id="rId4276" xr:uid="{00000000-0004-0000-0000-0000B3100000}"/>
    <hyperlink ref="D1605" r:id="rId4277" xr:uid="{00000000-0004-0000-0000-0000B4100000}"/>
    <hyperlink ref="E1605" r:id="rId4278" xr:uid="{00000000-0004-0000-0000-0000B5100000}"/>
    <hyperlink ref="O1605" r:id="rId4279" xr:uid="{00000000-0004-0000-0000-0000B6100000}"/>
    <hyperlink ref="E1606" r:id="rId4280" xr:uid="{00000000-0004-0000-0000-0000B7100000}"/>
    <hyperlink ref="O1606" r:id="rId4281" xr:uid="{00000000-0004-0000-0000-0000B8100000}"/>
    <hyperlink ref="E1607" r:id="rId4282" xr:uid="{00000000-0004-0000-0000-0000B9100000}"/>
    <hyperlink ref="O1607" r:id="rId4283" xr:uid="{00000000-0004-0000-0000-0000BA100000}"/>
    <hyperlink ref="D1608" r:id="rId4284" xr:uid="{00000000-0004-0000-0000-0000BB100000}"/>
    <hyperlink ref="E1608" r:id="rId4285" xr:uid="{00000000-0004-0000-0000-0000BC100000}"/>
    <hyperlink ref="O1608" r:id="rId4286" xr:uid="{00000000-0004-0000-0000-0000BD100000}"/>
    <hyperlink ref="D1609" r:id="rId4287" xr:uid="{00000000-0004-0000-0000-0000BE100000}"/>
    <hyperlink ref="E1609" r:id="rId4288" xr:uid="{00000000-0004-0000-0000-0000BF100000}"/>
    <hyperlink ref="O1609" r:id="rId4289" xr:uid="{00000000-0004-0000-0000-0000C0100000}"/>
    <hyperlink ref="D1610" r:id="rId4290" xr:uid="{00000000-0004-0000-0000-0000C1100000}"/>
    <hyperlink ref="E1610" r:id="rId4291" xr:uid="{00000000-0004-0000-0000-0000C2100000}"/>
    <hyperlink ref="O1610" r:id="rId4292" xr:uid="{00000000-0004-0000-0000-0000C3100000}"/>
    <hyperlink ref="D1611" r:id="rId4293" xr:uid="{00000000-0004-0000-0000-0000C4100000}"/>
    <hyperlink ref="E1611" r:id="rId4294" xr:uid="{00000000-0004-0000-0000-0000C5100000}"/>
    <hyperlink ref="O1611" r:id="rId4295" xr:uid="{00000000-0004-0000-0000-0000C6100000}"/>
    <hyperlink ref="D1612" r:id="rId4296" xr:uid="{00000000-0004-0000-0000-0000C7100000}"/>
    <hyperlink ref="E1612" r:id="rId4297" xr:uid="{00000000-0004-0000-0000-0000C8100000}"/>
    <hyperlink ref="O1612" r:id="rId4298" xr:uid="{00000000-0004-0000-0000-0000C9100000}"/>
    <hyperlink ref="D1613" r:id="rId4299" xr:uid="{00000000-0004-0000-0000-0000CA100000}"/>
    <hyperlink ref="E1613" r:id="rId4300" xr:uid="{00000000-0004-0000-0000-0000CB100000}"/>
    <hyperlink ref="O1613" r:id="rId4301" xr:uid="{00000000-0004-0000-0000-0000CC100000}"/>
    <hyperlink ref="D1614" r:id="rId4302" xr:uid="{00000000-0004-0000-0000-0000CD100000}"/>
    <hyperlink ref="E1614" r:id="rId4303" xr:uid="{00000000-0004-0000-0000-0000CE100000}"/>
    <hyperlink ref="O1614" r:id="rId4304" xr:uid="{00000000-0004-0000-0000-0000CF100000}"/>
    <hyperlink ref="E1615" r:id="rId4305" xr:uid="{00000000-0004-0000-0000-0000D0100000}"/>
    <hyperlink ref="O1615" r:id="rId4306" xr:uid="{00000000-0004-0000-0000-0000D1100000}"/>
    <hyperlink ref="D1616" r:id="rId4307" xr:uid="{00000000-0004-0000-0000-0000D2100000}"/>
    <hyperlink ref="E1616" r:id="rId4308" xr:uid="{00000000-0004-0000-0000-0000D3100000}"/>
    <hyperlink ref="O1616" r:id="rId4309" xr:uid="{00000000-0004-0000-0000-0000D4100000}"/>
    <hyperlink ref="D1617" r:id="rId4310" xr:uid="{00000000-0004-0000-0000-0000D5100000}"/>
    <hyperlink ref="E1617" r:id="rId4311" xr:uid="{00000000-0004-0000-0000-0000D6100000}"/>
    <hyperlink ref="O1617" r:id="rId4312" xr:uid="{00000000-0004-0000-0000-0000D7100000}"/>
    <hyperlink ref="D1618" r:id="rId4313" xr:uid="{00000000-0004-0000-0000-0000D8100000}"/>
    <hyperlink ref="E1618" r:id="rId4314" xr:uid="{00000000-0004-0000-0000-0000D9100000}"/>
    <hyperlink ref="O1618" r:id="rId4315" xr:uid="{00000000-0004-0000-0000-0000DA100000}"/>
    <hyperlink ref="D1619" r:id="rId4316" xr:uid="{00000000-0004-0000-0000-0000DB100000}"/>
    <hyperlink ref="E1619" r:id="rId4317" xr:uid="{00000000-0004-0000-0000-0000DC100000}"/>
    <hyperlink ref="O1619" r:id="rId4318" xr:uid="{00000000-0004-0000-0000-0000DD100000}"/>
    <hyperlink ref="D1620" r:id="rId4319" xr:uid="{00000000-0004-0000-0000-0000DE100000}"/>
    <hyperlink ref="E1620" r:id="rId4320" xr:uid="{00000000-0004-0000-0000-0000DF100000}"/>
    <hyperlink ref="O1620" r:id="rId4321" xr:uid="{00000000-0004-0000-0000-0000E0100000}"/>
    <hyperlink ref="E1621" r:id="rId4322" xr:uid="{00000000-0004-0000-0000-0000E1100000}"/>
    <hyperlink ref="O1621" r:id="rId4323" xr:uid="{00000000-0004-0000-0000-0000E2100000}"/>
    <hyperlink ref="D1622" r:id="rId4324" xr:uid="{00000000-0004-0000-0000-0000E3100000}"/>
    <hyperlink ref="E1622" r:id="rId4325" xr:uid="{00000000-0004-0000-0000-0000E4100000}"/>
    <hyperlink ref="O1622" r:id="rId4326" xr:uid="{00000000-0004-0000-0000-0000E5100000}"/>
    <hyperlink ref="D1623" r:id="rId4327" xr:uid="{00000000-0004-0000-0000-0000E6100000}"/>
    <hyperlink ref="E1623" r:id="rId4328" xr:uid="{00000000-0004-0000-0000-0000E7100000}"/>
    <hyperlink ref="O1623" r:id="rId4329" xr:uid="{00000000-0004-0000-0000-0000E8100000}"/>
    <hyperlink ref="D1624" r:id="rId4330" xr:uid="{00000000-0004-0000-0000-0000E9100000}"/>
    <hyperlink ref="E1624" r:id="rId4331" xr:uid="{00000000-0004-0000-0000-0000EA100000}"/>
    <hyperlink ref="O1624" r:id="rId4332" xr:uid="{00000000-0004-0000-0000-0000EB100000}"/>
    <hyperlink ref="D1625" r:id="rId4333" xr:uid="{00000000-0004-0000-0000-0000EC100000}"/>
    <hyperlink ref="E1625" r:id="rId4334" xr:uid="{00000000-0004-0000-0000-0000ED100000}"/>
    <hyperlink ref="O1625" r:id="rId4335" xr:uid="{00000000-0004-0000-0000-0000EE100000}"/>
    <hyperlink ref="D1626" r:id="rId4336" xr:uid="{00000000-0004-0000-0000-0000EF100000}"/>
    <hyperlink ref="E1626" r:id="rId4337" xr:uid="{00000000-0004-0000-0000-0000F0100000}"/>
    <hyperlink ref="O1626" r:id="rId4338" xr:uid="{00000000-0004-0000-0000-0000F1100000}"/>
    <hyperlink ref="E1627" r:id="rId4339" xr:uid="{00000000-0004-0000-0000-0000F2100000}"/>
    <hyperlink ref="O1627" r:id="rId4340" xr:uid="{00000000-0004-0000-0000-0000F3100000}"/>
    <hyperlink ref="D1628" r:id="rId4341" xr:uid="{00000000-0004-0000-0000-0000F4100000}"/>
    <hyperlink ref="E1628" r:id="rId4342" xr:uid="{00000000-0004-0000-0000-0000F5100000}"/>
    <hyperlink ref="O1628" r:id="rId4343" xr:uid="{00000000-0004-0000-0000-0000F6100000}"/>
    <hyperlink ref="D1629" r:id="rId4344" xr:uid="{00000000-0004-0000-0000-0000F7100000}"/>
    <hyperlink ref="E1629" r:id="rId4345" xr:uid="{00000000-0004-0000-0000-0000F8100000}"/>
    <hyperlink ref="O1629" r:id="rId4346" xr:uid="{00000000-0004-0000-0000-0000F9100000}"/>
    <hyperlink ref="D1630" r:id="rId4347" xr:uid="{00000000-0004-0000-0000-0000FA100000}"/>
    <hyperlink ref="E1630" r:id="rId4348" xr:uid="{00000000-0004-0000-0000-0000FB100000}"/>
    <hyperlink ref="O1630" r:id="rId4349" xr:uid="{00000000-0004-0000-0000-0000FC100000}"/>
    <hyperlink ref="E1631" r:id="rId4350" xr:uid="{00000000-0004-0000-0000-0000FD100000}"/>
    <hyperlink ref="O1631" r:id="rId4351" xr:uid="{00000000-0004-0000-0000-0000FE100000}"/>
    <hyperlink ref="D1632" r:id="rId4352" xr:uid="{00000000-0004-0000-0000-0000FF100000}"/>
    <hyperlink ref="E1632" r:id="rId4353" xr:uid="{00000000-0004-0000-0000-000000110000}"/>
    <hyperlink ref="O1632" r:id="rId4354" xr:uid="{00000000-0004-0000-0000-000001110000}"/>
    <hyperlink ref="D1633" r:id="rId4355" xr:uid="{00000000-0004-0000-0000-000002110000}"/>
    <hyperlink ref="E1633" r:id="rId4356" xr:uid="{00000000-0004-0000-0000-000003110000}"/>
    <hyperlink ref="O1633" r:id="rId4357" xr:uid="{00000000-0004-0000-0000-000004110000}"/>
    <hyperlink ref="D1634" r:id="rId4358" xr:uid="{00000000-0004-0000-0000-000005110000}"/>
    <hyperlink ref="E1634" r:id="rId4359" xr:uid="{00000000-0004-0000-0000-000006110000}"/>
    <hyperlink ref="O1634" r:id="rId4360" xr:uid="{00000000-0004-0000-0000-000007110000}"/>
    <hyperlink ref="E1635" r:id="rId4361" xr:uid="{00000000-0004-0000-0000-000008110000}"/>
    <hyperlink ref="O1635" r:id="rId4362" xr:uid="{00000000-0004-0000-0000-000009110000}"/>
    <hyperlink ref="D1636" r:id="rId4363" xr:uid="{00000000-0004-0000-0000-00000A110000}"/>
    <hyperlink ref="E1636" r:id="rId4364" xr:uid="{00000000-0004-0000-0000-00000B110000}"/>
    <hyperlink ref="O1636" r:id="rId4365" xr:uid="{00000000-0004-0000-0000-00000C110000}"/>
    <hyperlink ref="D1637" r:id="rId4366" xr:uid="{00000000-0004-0000-0000-00000D110000}"/>
    <hyperlink ref="E1637" r:id="rId4367" xr:uid="{00000000-0004-0000-0000-00000E110000}"/>
    <hyperlink ref="O1637" r:id="rId4368" xr:uid="{00000000-0004-0000-0000-00000F110000}"/>
    <hyperlink ref="D1638" r:id="rId4369" xr:uid="{00000000-0004-0000-0000-000010110000}"/>
    <hyperlink ref="E1638" r:id="rId4370" xr:uid="{00000000-0004-0000-0000-000011110000}"/>
    <hyperlink ref="O1638" r:id="rId4371" xr:uid="{00000000-0004-0000-0000-000012110000}"/>
    <hyperlink ref="D1639" r:id="rId4372" xr:uid="{00000000-0004-0000-0000-000013110000}"/>
    <hyperlink ref="E1639" r:id="rId4373" xr:uid="{00000000-0004-0000-0000-000014110000}"/>
    <hyperlink ref="O1639" r:id="rId4374" xr:uid="{00000000-0004-0000-0000-000015110000}"/>
    <hyperlink ref="D1640" r:id="rId4375" xr:uid="{00000000-0004-0000-0000-000016110000}"/>
    <hyperlink ref="E1640" r:id="rId4376" xr:uid="{00000000-0004-0000-0000-000017110000}"/>
    <hyperlink ref="O1640" r:id="rId4377" xr:uid="{00000000-0004-0000-0000-000018110000}"/>
    <hyperlink ref="D1641" r:id="rId4378" xr:uid="{00000000-0004-0000-0000-000019110000}"/>
    <hyperlink ref="E1641" r:id="rId4379" xr:uid="{00000000-0004-0000-0000-00001A110000}"/>
    <hyperlink ref="O1641" r:id="rId4380" xr:uid="{00000000-0004-0000-0000-00001B110000}"/>
    <hyperlink ref="D1642" r:id="rId4381" xr:uid="{00000000-0004-0000-0000-00001C110000}"/>
    <hyperlink ref="E1642" r:id="rId4382" xr:uid="{00000000-0004-0000-0000-00001D110000}"/>
    <hyperlink ref="O1642" r:id="rId4383" xr:uid="{00000000-0004-0000-0000-00001E110000}"/>
    <hyperlink ref="E1643" r:id="rId4384" xr:uid="{00000000-0004-0000-0000-00001F110000}"/>
    <hyperlink ref="O1643" r:id="rId4385" xr:uid="{00000000-0004-0000-0000-000020110000}"/>
    <hyperlink ref="D1644" r:id="rId4386" xr:uid="{00000000-0004-0000-0000-000021110000}"/>
    <hyperlink ref="E1644" r:id="rId4387" xr:uid="{00000000-0004-0000-0000-000022110000}"/>
    <hyperlink ref="O1644" r:id="rId4388" xr:uid="{00000000-0004-0000-0000-000023110000}"/>
    <hyperlink ref="D1645" r:id="rId4389" xr:uid="{00000000-0004-0000-0000-000024110000}"/>
    <hyperlink ref="E1645" r:id="rId4390" xr:uid="{00000000-0004-0000-0000-000025110000}"/>
    <hyperlink ref="O1645" r:id="rId4391" xr:uid="{00000000-0004-0000-0000-000026110000}"/>
    <hyperlink ref="E1646" r:id="rId4392" xr:uid="{00000000-0004-0000-0000-000027110000}"/>
    <hyperlink ref="O1646" r:id="rId4393" xr:uid="{00000000-0004-0000-0000-000028110000}"/>
    <hyperlink ref="D1647" r:id="rId4394" xr:uid="{00000000-0004-0000-0000-000029110000}"/>
    <hyperlink ref="E1647" r:id="rId4395" xr:uid="{00000000-0004-0000-0000-00002A110000}"/>
    <hyperlink ref="O1647" r:id="rId4396" xr:uid="{00000000-0004-0000-0000-00002B110000}"/>
    <hyperlink ref="D1648" r:id="rId4397" xr:uid="{00000000-0004-0000-0000-00002C110000}"/>
    <hyperlink ref="E1648" r:id="rId4398" xr:uid="{00000000-0004-0000-0000-00002D110000}"/>
    <hyperlink ref="O1648" r:id="rId4399" xr:uid="{00000000-0004-0000-0000-00002E110000}"/>
    <hyperlink ref="E1649" r:id="rId4400" xr:uid="{00000000-0004-0000-0000-00002F110000}"/>
    <hyperlink ref="O1649" r:id="rId4401" xr:uid="{00000000-0004-0000-0000-000030110000}"/>
    <hyperlink ref="D1650" r:id="rId4402" xr:uid="{00000000-0004-0000-0000-000031110000}"/>
    <hyperlink ref="E1650" r:id="rId4403" xr:uid="{00000000-0004-0000-0000-000032110000}"/>
    <hyperlink ref="O1650" r:id="rId4404" xr:uid="{00000000-0004-0000-0000-000033110000}"/>
    <hyperlink ref="D1651" r:id="rId4405" xr:uid="{00000000-0004-0000-0000-000034110000}"/>
    <hyperlink ref="E1651" r:id="rId4406" xr:uid="{00000000-0004-0000-0000-000035110000}"/>
    <hyperlink ref="O1651" r:id="rId4407" xr:uid="{00000000-0004-0000-0000-000036110000}"/>
    <hyperlink ref="D1652" r:id="rId4408" xr:uid="{00000000-0004-0000-0000-000037110000}"/>
    <hyperlink ref="E1652" r:id="rId4409" xr:uid="{00000000-0004-0000-0000-000038110000}"/>
    <hyperlink ref="O1652" r:id="rId4410" xr:uid="{00000000-0004-0000-0000-000039110000}"/>
    <hyperlink ref="D1653" r:id="rId4411" xr:uid="{00000000-0004-0000-0000-00003A110000}"/>
    <hyperlink ref="E1653" r:id="rId4412" xr:uid="{00000000-0004-0000-0000-00003B110000}"/>
    <hyperlink ref="O1653" r:id="rId4413" xr:uid="{00000000-0004-0000-0000-00003C110000}"/>
    <hyperlink ref="D1654" r:id="rId4414" xr:uid="{00000000-0004-0000-0000-00003D110000}"/>
    <hyperlink ref="E1654" r:id="rId4415" xr:uid="{00000000-0004-0000-0000-00003E110000}"/>
    <hyperlink ref="O1654" r:id="rId4416" xr:uid="{00000000-0004-0000-0000-00003F110000}"/>
    <hyperlink ref="D1655" r:id="rId4417" xr:uid="{00000000-0004-0000-0000-000040110000}"/>
    <hyperlink ref="E1655" r:id="rId4418" xr:uid="{00000000-0004-0000-0000-000041110000}"/>
    <hyperlink ref="O1655" r:id="rId4419" xr:uid="{00000000-0004-0000-0000-000042110000}"/>
    <hyperlink ref="D1656" r:id="rId4420" xr:uid="{00000000-0004-0000-0000-000043110000}"/>
    <hyperlink ref="E1656" r:id="rId4421" xr:uid="{00000000-0004-0000-0000-000044110000}"/>
    <hyperlink ref="O1656" r:id="rId4422" xr:uid="{00000000-0004-0000-0000-000045110000}"/>
    <hyperlink ref="D1657" r:id="rId4423" xr:uid="{00000000-0004-0000-0000-000046110000}"/>
    <hyperlink ref="E1657" r:id="rId4424" xr:uid="{00000000-0004-0000-0000-000047110000}"/>
    <hyperlink ref="O1657" r:id="rId4425" xr:uid="{00000000-0004-0000-0000-000048110000}"/>
    <hyperlink ref="D1658" r:id="rId4426" xr:uid="{00000000-0004-0000-0000-000049110000}"/>
    <hyperlink ref="E1658" r:id="rId4427" xr:uid="{00000000-0004-0000-0000-00004A110000}"/>
    <hyperlink ref="O1658" r:id="rId4428" xr:uid="{00000000-0004-0000-0000-00004B110000}"/>
    <hyperlink ref="D1659" r:id="rId4429" xr:uid="{00000000-0004-0000-0000-00004C110000}"/>
    <hyperlink ref="E1659" r:id="rId4430" xr:uid="{00000000-0004-0000-0000-00004D110000}"/>
    <hyperlink ref="O1659" r:id="rId4431" xr:uid="{00000000-0004-0000-0000-00004E110000}"/>
    <hyperlink ref="E1660" r:id="rId4432" xr:uid="{00000000-0004-0000-0000-00004F110000}"/>
    <hyperlink ref="O1660" r:id="rId4433" xr:uid="{00000000-0004-0000-0000-000050110000}"/>
    <hyperlink ref="D1661" r:id="rId4434" xr:uid="{00000000-0004-0000-0000-000051110000}"/>
    <hyperlink ref="E1661" r:id="rId4435" xr:uid="{00000000-0004-0000-0000-000052110000}"/>
    <hyperlink ref="O1661" r:id="rId4436" xr:uid="{00000000-0004-0000-0000-000053110000}"/>
    <hyperlink ref="D1662" r:id="rId4437" xr:uid="{00000000-0004-0000-0000-000054110000}"/>
    <hyperlink ref="E1662" r:id="rId4438" xr:uid="{00000000-0004-0000-0000-000055110000}"/>
    <hyperlink ref="O1662" r:id="rId4439" xr:uid="{00000000-0004-0000-0000-000056110000}"/>
    <hyperlink ref="E1663" r:id="rId4440" xr:uid="{00000000-0004-0000-0000-000057110000}"/>
    <hyperlink ref="O1663" r:id="rId4441" xr:uid="{00000000-0004-0000-0000-000058110000}"/>
    <hyperlink ref="E1664" r:id="rId4442" xr:uid="{00000000-0004-0000-0000-000059110000}"/>
    <hyperlink ref="O1664" r:id="rId4443" xr:uid="{00000000-0004-0000-0000-00005A110000}"/>
    <hyperlink ref="D1665" r:id="rId4444" xr:uid="{00000000-0004-0000-0000-00005B110000}"/>
    <hyperlink ref="E1665" r:id="rId4445" xr:uid="{00000000-0004-0000-0000-00005C110000}"/>
    <hyperlink ref="O1665" r:id="rId4446" xr:uid="{00000000-0004-0000-0000-00005D110000}"/>
    <hyperlink ref="D1666" r:id="rId4447" xr:uid="{00000000-0004-0000-0000-00005E110000}"/>
    <hyperlink ref="E1666" r:id="rId4448" xr:uid="{00000000-0004-0000-0000-00005F110000}"/>
    <hyperlink ref="O1666" r:id="rId4449" xr:uid="{00000000-0004-0000-0000-000060110000}"/>
    <hyperlink ref="D1667" r:id="rId4450" xr:uid="{00000000-0004-0000-0000-000061110000}"/>
    <hyperlink ref="E1667" r:id="rId4451" xr:uid="{00000000-0004-0000-0000-000062110000}"/>
    <hyperlink ref="O1667" r:id="rId4452" xr:uid="{00000000-0004-0000-0000-000063110000}"/>
    <hyperlink ref="D1668" r:id="rId4453" xr:uid="{00000000-0004-0000-0000-000064110000}"/>
    <hyperlink ref="E1668" r:id="rId4454" xr:uid="{00000000-0004-0000-0000-000065110000}"/>
    <hyperlink ref="O1668" r:id="rId4455" xr:uid="{00000000-0004-0000-0000-000066110000}"/>
    <hyperlink ref="D1669" r:id="rId4456" xr:uid="{00000000-0004-0000-0000-000067110000}"/>
    <hyperlink ref="E1669" r:id="rId4457" xr:uid="{00000000-0004-0000-0000-000068110000}"/>
    <hyperlink ref="O1669" r:id="rId4458" xr:uid="{00000000-0004-0000-0000-000069110000}"/>
    <hyperlink ref="E1670" r:id="rId4459" xr:uid="{00000000-0004-0000-0000-00006A110000}"/>
    <hyperlink ref="O1670" r:id="rId4460" xr:uid="{00000000-0004-0000-0000-00006B110000}"/>
    <hyperlink ref="D1671" r:id="rId4461" xr:uid="{00000000-0004-0000-0000-00006C110000}"/>
    <hyperlink ref="E1671" r:id="rId4462" xr:uid="{00000000-0004-0000-0000-00006D110000}"/>
    <hyperlink ref="O1671" r:id="rId4463" xr:uid="{00000000-0004-0000-0000-00006E110000}"/>
    <hyperlink ref="D1672" r:id="rId4464" xr:uid="{00000000-0004-0000-0000-00006F110000}"/>
    <hyperlink ref="E1672" r:id="rId4465" xr:uid="{00000000-0004-0000-0000-000070110000}"/>
    <hyperlink ref="O1672" r:id="rId4466" xr:uid="{00000000-0004-0000-0000-000071110000}"/>
    <hyperlink ref="D1673" r:id="rId4467" xr:uid="{00000000-0004-0000-0000-000072110000}"/>
    <hyperlink ref="E1673" r:id="rId4468" xr:uid="{00000000-0004-0000-0000-000073110000}"/>
    <hyperlink ref="O1673" r:id="rId4469" xr:uid="{00000000-0004-0000-0000-000074110000}"/>
    <hyperlink ref="D1674" r:id="rId4470" xr:uid="{00000000-0004-0000-0000-000075110000}"/>
    <hyperlink ref="E1674" r:id="rId4471" xr:uid="{00000000-0004-0000-0000-000076110000}"/>
    <hyperlink ref="O1674" r:id="rId4472" xr:uid="{00000000-0004-0000-0000-000077110000}"/>
    <hyperlink ref="D1675" r:id="rId4473" xr:uid="{00000000-0004-0000-0000-000078110000}"/>
    <hyperlink ref="E1675" r:id="rId4474" xr:uid="{00000000-0004-0000-0000-000079110000}"/>
    <hyperlink ref="O1675" r:id="rId4475" xr:uid="{00000000-0004-0000-0000-00007A110000}"/>
    <hyperlink ref="D1676" r:id="rId4476" xr:uid="{00000000-0004-0000-0000-00007B110000}"/>
    <hyperlink ref="E1676" r:id="rId4477" xr:uid="{00000000-0004-0000-0000-00007C110000}"/>
    <hyperlink ref="O1676" r:id="rId4478" xr:uid="{00000000-0004-0000-0000-00007D110000}"/>
    <hyperlink ref="D1677" r:id="rId4479" xr:uid="{00000000-0004-0000-0000-00007E110000}"/>
    <hyperlink ref="E1677" r:id="rId4480" xr:uid="{00000000-0004-0000-0000-00007F110000}"/>
    <hyperlink ref="O1677" r:id="rId4481" xr:uid="{00000000-0004-0000-0000-000080110000}"/>
    <hyperlink ref="D1678" r:id="rId4482" xr:uid="{00000000-0004-0000-0000-000081110000}"/>
    <hyperlink ref="E1678" r:id="rId4483" xr:uid="{00000000-0004-0000-0000-000082110000}"/>
    <hyperlink ref="O1678" r:id="rId4484" xr:uid="{00000000-0004-0000-0000-000083110000}"/>
    <hyperlink ref="D1679" r:id="rId4485" xr:uid="{00000000-0004-0000-0000-000084110000}"/>
    <hyperlink ref="E1679" r:id="rId4486" xr:uid="{00000000-0004-0000-0000-000085110000}"/>
    <hyperlink ref="O1679" r:id="rId4487" xr:uid="{00000000-0004-0000-0000-000086110000}"/>
    <hyperlink ref="D1680" r:id="rId4488" xr:uid="{00000000-0004-0000-0000-000087110000}"/>
    <hyperlink ref="E1680" r:id="rId4489" xr:uid="{00000000-0004-0000-0000-000088110000}"/>
    <hyperlink ref="O1680" r:id="rId4490" xr:uid="{00000000-0004-0000-0000-000089110000}"/>
    <hyperlink ref="D1681" r:id="rId4491" xr:uid="{00000000-0004-0000-0000-00008A110000}"/>
    <hyperlink ref="E1681" r:id="rId4492" xr:uid="{00000000-0004-0000-0000-00008B110000}"/>
    <hyperlink ref="O1681" r:id="rId4493" xr:uid="{00000000-0004-0000-0000-00008C110000}"/>
    <hyperlink ref="D1682" r:id="rId4494" xr:uid="{00000000-0004-0000-0000-00008D110000}"/>
    <hyperlink ref="E1682" r:id="rId4495" xr:uid="{00000000-0004-0000-0000-00008E110000}"/>
    <hyperlink ref="O1682" r:id="rId4496" xr:uid="{00000000-0004-0000-0000-00008F110000}"/>
    <hyperlink ref="D1683" r:id="rId4497" xr:uid="{00000000-0004-0000-0000-000090110000}"/>
    <hyperlink ref="E1683" r:id="rId4498" xr:uid="{00000000-0004-0000-0000-000091110000}"/>
    <hyperlink ref="O1683" r:id="rId4499" xr:uid="{00000000-0004-0000-0000-000092110000}"/>
    <hyperlink ref="D1684" r:id="rId4500" xr:uid="{00000000-0004-0000-0000-000093110000}"/>
    <hyperlink ref="E1684" r:id="rId4501" xr:uid="{00000000-0004-0000-0000-000094110000}"/>
    <hyperlink ref="O1684" r:id="rId4502" xr:uid="{00000000-0004-0000-0000-000095110000}"/>
    <hyperlink ref="D1685" r:id="rId4503" xr:uid="{00000000-0004-0000-0000-000096110000}"/>
    <hyperlink ref="E1685" r:id="rId4504" xr:uid="{00000000-0004-0000-0000-000097110000}"/>
    <hyperlink ref="O1685" r:id="rId4505" xr:uid="{00000000-0004-0000-0000-000098110000}"/>
    <hyperlink ref="D1686" r:id="rId4506" xr:uid="{00000000-0004-0000-0000-000099110000}"/>
    <hyperlink ref="E1686" r:id="rId4507" xr:uid="{00000000-0004-0000-0000-00009A110000}"/>
    <hyperlink ref="O1686" r:id="rId4508" xr:uid="{00000000-0004-0000-0000-00009B110000}"/>
    <hyperlink ref="D1687" r:id="rId4509" xr:uid="{00000000-0004-0000-0000-00009C110000}"/>
    <hyperlink ref="E1687" r:id="rId4510" xr:uid="{00000000-0004-0000-0000-00009D110000}"/>
    <hyperlink ref="O1687" r:id="rId4511" xr:uid="{00000000-0004-0000-0000-00009E110000}"/>
    <hyperlink ref="D1688" r:id="rId4512" xr:uid="{00000000-0004-0000-0000-00009F110000}"/>
    <hyperlink ref="E1688" r:id="rId4513" xr:uid="{00000000-0004-0000-0000-0000A0110000}"/>
    <hyperlink ref="O1688" r:id="rId4514" xr:uid="{00000000-0004-0000-0000-0000A1110000}"/>
    <hyperlink ref="D1689" r:id="rId4515" xr:uid="{00000000-0004-0000-0000-0000A2110000}"/>
    <hyperlink ref="E1689" r:id="rId4516" xr:uid="{00000000-0004-0000-0000-0000A3110000}"/>
    <hyperlink ref="O1689" r:id="rId4517" xr:uid="{00000000-0004-0000-0000-0000A4110000}"/>
    <hyperlink ref="D1690" r:id="rId4518" xr:uid="{00000000-0004-0000-0000-0000A5110000}"/>
    <hyperlink ref="E1690" r:id="rId4519" xr:uid="{00000000-0004-0000-0000-0000A6110000}"/>
    <hyperlink ref="O1690" r:id="rId4520" xr:uid="{00000000-0004-0000-0000-0000A7110000}"/>
    <hyperlink ref="D1691" r:id="rId4521" xr:uid="{00000000-0004-0000-0000-0000A8110000}"/>
    <hyperlink ref="E1691" r:id="rId4522" xr:uid="{00000000-0004-0000-0000-0000A9110000}"/>
    <hyperlink ref="O1691" r:id="rId4523" xr:uid="{00000000-0004-0000-0000-0000AA110000}"/>
    <hyperlink ref="D1692" r:id="rId4524" xr:uid="{00000000-0004-0000-0000-0000AB110000}"/>
    <hyperlink ref="E1692" r:id="rId4525" xr:uid="{00000000-0004-0000-0000-0000AC110000}"/>
    <hyperlink ref="O1692" r:id="rId4526" xr:uid="{00000000-0004-0000-0000-0000AD110000}"/>
    <hyperlink ref="D1693" r:id="rId4527" xr:uid="{00000000-0004-0000-0000-0000AE110000}"/>
    <hyperlink ref="E1693" r:id="rId4528" xr:uid="{00000000-0004-0000-0000-0000AF110000}"/>
    <hyperlink ref="O1693" r:id="rId4529" xr:uid="{00000000-0004-0000-0000-0000B0110000}"/>
    <hyperlink ref="D1694" r:id="rId4530" xr:uid="{00000000-0004-0000-0000-0000B1110000}"/>
    <hyperlink ref="E1694" r:id="rId4531" xr:uid="{00000000-0004-0000-0000-0000B2110000}"/>
    <hyperlink ref="O1694" r:id="rId4532" xr:uid="{00000000-0004-0000-0000-0000B3110000}"/>
    <hyperlink ref="D1695" r:id="rId4533" xr:uid="{00000000-0004-0000-0000-0000B4110000}"/>
    <hyperlink ref="E1695" r:id="rId4534" xr:uid="{00000000-0004-0000-0000-0000B5110000}"/>
    <hyperlink ref="O1695" r:id="rId4535" xr:uid="{00000000-0004-0000-0000-0000B6110000}"/>
    <hyperlink ref="E1696" r:id="rId4536" xr:uid="{00000000-0004-0000-0000-0000B7110000}"/>
    <hyperlink ref="O1696" r:id="rId4537" xr:uid="{00000000-0004-0000-0000-0000B8110000}"/>
    <hyperlink ref="D1697" r:id="rId4538" xr:uid="{00000000-0004-0000-0000-0000B9110000}"/>
    <hyperlink ref="E1697" r:id="rId4539" xr:uid="{00000000-0004-0000-0000-0000BA110000}"/>
    <hyperlink ref="O1697" r:id="rId4540" xr:uid="{00000000-0004-0000-0000-0000BB110000}"/>
    <hyperlink ref="D1698" r:id="rId4541" xr:uid="{00000000-0004-0000-0000-0000BC110000}"/>
    <hyperlink ref="E1698" r:id="rId4542" xr:uid="{00000000-0004-0000-0000-0000BD110000}"/>
    <hyperlink ref="O1698" r:id="rId4543" xr:uid="{00000000-0004-0000-0000-0000BE110000}"/>
    <hyperlink ref="D1699" r:id="rId4544" xr:uid="{00000000-0004-0000-0000-0000BF110000}"/>
    <hyperlink ref="E1699" r:id="rId4545" xr:uid="{00000000-0004-0000-0000-0000C0110000}"/>
    <hyperlink ref="O1699" r:id="rId4546" xr:uid="{00000000-0004-0000-0000-0000C1110000}"/>
    <hyperlink ref="D1700" r:id="rId4547" xr:uid="{00000000-0004-0000-0000-0000C2110000}"/>
    <hyperlink ref="E1700" r:id="rId4548" xr:uid="{00000000-0004-0000-0000-0000C3110000}"/>
    <hyperlink ref="O1700" r:id="rId4549" xr:uid="{00000000-0004-0000-0000-0000C4110000}"/>
    <hyperlink ref="D1701" r:id="rId4550" xr:uid="{00000000-0004-0000-0000-0000C5110000}"/>
    <hyperlink ref="E1701" r:id="rId4551" xr:uid="{00000000-0004-0000-0000-0000C6110000}"/>
    <hyperlink ref="O1701" r:id="rId4552" xr:uid="{00000000-0004-0000-0000-0000C7110000}"/>
    <hyperlink ref="D1702" r:id="rId4553" xr:uid="{00000000-0004-0000-0000-0000C8110000}"/>
    <hyperlink ref="E1702" r:id="rId4554" xr:uid="{00000000-0004-0000-0000-0000C9110000}"/>
    <hyperlink ref="O1702" r:id="rId4555" xr:uid="{00000000-0004-0000-0000-0000CA110000}"/>
    <hyperlink ref="D1703" r:id="rId4556" xr:uid="{00000000-0004-0000-0000-0000CB110000}"/>
    <hyperlink ref="E1703" r:id="rId4557" xr:uid="{00000000-0004-0000-0000-0000CC110000}"/>
    <hyperlink ref="O1703" r:id="rId4558" xr:uid="{00000000-0004-0000-0000-0000CD110000}"/>
    <hyperlink ref="D1704" r:id="rId4559" xr:uid="{00000000-0004-0000-0000-0000CE110000}"/>
    <hyperlink ref="E1704" r:id="rId4560" xr:uid="{00000000-0004-0000-0000-0000CF110000}"/>
    <hyperlink ref="O1704" r:id="rId4561" xr:uid="{00000000-0004-0000-0000-0000D0110000}"/>
    <hyperlink ref="D1705" r:id="rId4562" xr:uid="{00000000-0004-0000-0000-0000D1110000}"/>
    <hyperlink ref="E1705" r:id="rId4563" xr:uid="{00000000-0004-0000-0000-0000D2110000}"/>
    <hyperlink ref="O1705" r:id="rId4564" xr:uid="{00000000-0004-0000-0000-0000D3110000}"/>
    <hyperlink ref="D1706" r:id="rId4565" xr:uid="{00000000-0004-0000-0000-0000D4110000}"/>
    <hyperlink ref="E1706" r:id="rId4566" xr:uid="{00000000-0004-0000-0000-0000D5110000}"/>
    <hyperlink ref="O1706" r:id="rId4567" xr:uid="{00000000-0004-0000-0000-0000D6110000}"/>
    <hyperlink ref="D1707" r:id="rId4568" xr:uid="{00000000-0004-0000-0000-0000D7110000}"/>
    <hyperlink ref="E1707" r:id="rId4569" xr:uid="{00000000-0004-0000-0000-0000D8110000}"/>
    <hyperlink ref="O1707" r:id="rId4570" xr:uid="{00000000-0004-0000-0000-0000D9110000}"/>
    <hyperlink ref="D1708" r:id="rId4571" xr:uid="{00000000-0004-0000-0000-0000DA110000}"/>
    <hyperlink ref="E1708" r:id="rId4572" xr:uid="{00000000-0004-0000-0000-0000DB110000}"/>
    <hyperlink ref="O1708" r:id="rId4573" xr:uid="{00000000-0004-0000-0000-0000DC110000}"/>
    <hyperlink ref="D1709" r:id="rId4574" xr:uid="{00000000-0004-0000-0000-0000DD110000}"/>
    <hyperlink ref="E1709" r:id="rId4575" xr:uid="{00000000-0004-0000-0000-0000DE110000}"/>
    <hyperlink ref="O1709" r:id="rId4576" xr:uid="{00000000-0004-0000-0000-0000DF110000}"/>
    <hyperlink ref="D1710" r:id="rId4577" xr:uid="{00000000-0004-0000-0000-0000E0110000}"/>
    <hyperlink ref="E1710" r:id="rId4578" xr:uid="{00000000-0004-0000-0000-0000E1110000}"/>
    <hyperlink ref="O1710" r:id="rId4579" xr:uid="{00000000-0004-0000-0000-0000E2110000}"/>
    <hyperlink ref="D1711" r:id="rId4580" xr:uid="{00000000-0004-0000-0000-0000E3110000}"/>
    <hyperlink ref="E1711" r:id="rId4581" xr:uid="{00000000-0004-0000-0000-0000E4110000}"/>
    <hyperlink ref="O1711" r:id="rId4582" xr:uid="{00000000-0004-0000-0000-0000E5110000}"/>
    <hyperlink ref="E1712" r:id="rId4583" xr:uid="{00000000-0004-0000-0000-0000E6110000}"/>
    <hyperlink ref="O1712" r:id="rId4584" xr:uid="{00000000-0004-0000-0000-0000E7110000}"/>
    <hyperlink ref="D1713" r:id="rId4585" xr:uid="{00000000-0004-0000-0000-0000E8110000}"/>
    <hyperlink ref="E1713" r:id="rId4586" xr:uid="{00000000-0004-0000-0000-0000E9110000}"/>
    <hyperlink ref="O1713" r:id="rId4587" xr:uid="{00000000-0004-0000-0000-0000EA110000}"/>
    <hyperlink ref="D1714" r:id="rId4588" xr:uid="{00000000-0004-0000-0000-0000EB110000}"/>
    <hyperlink ref="E1714" r:id="rId4589" xr:uid="{00000000-0004-0000-0000-0000EC110000}"/>
    <hyperlink ref="O1714" r:id="rId4590" xr:uid="{00000000-0004-0000-0000-0000ED110000}"/>
    <hyperlink ref="D1715" r:id="rId4591" xr:uid="{00000000-0004-0000-0000-0000EE110000}"/>
    <hyperlink ref="E1715" r:id="rId4592" xr:uid="{00000000-0004-0000-0000-0000EF110000}"/>
    <hyperlink ref="O1715" r:id="rId4593" xr:uid="{00000000-0004-0000-0000-0000F0110000}"/>
    <hyperlink ref="D1716" r:id="rId4594" xr:uid="{00000000-0004-0000-0000-0000F1110000}"/>
    <hyperlink ref="E1716" r:id="rId4595" xr:uid="{00000000-0004-0000-0000-0000F2110000}"/>
    <hyperlink ref="O1716" r:id="rId4596" xr:uid="{00000000-0004-0000-0000-0000F3110000}"/>
    <hyperlink ref="D1717" r:id="rId4597" xr:uid="{00000000-0004-0000-0000-0000F4110000}"/>
    <hyperlink ref="E1717" r:id="rId4598" xr:uid="{00000000-0004-0000-0000-0000F5110000}"/>
    <hyperlink ref="O1717" r:id="rId4599" xr:uid="{00000000-0004-0000-0000-0000F6110000}"/>
    <hyperlink ref="D1718" r:id="rId4600" xr:uid="{00000000-0004-0000-0000-0000F7110000}"/>
    <hyperlink ref="E1718" r:id="rId4601" xr:uid="{00000000-0004-0000-0000-0000F8110000}"/>
    <hyperlink ref="O1718" r:id="rId4602" xr:uid="{00000000-0004-0000-0000-0000F9110000}"/>
    <hyperlink ref="E1719" r:id="rId4603" xr:uid="{00000000-0004-0000-0000-0000FA110000}"/>
    <hyperlink ref="O1719" r:id="rId4604" xr:uid="{00000000-0004-0000-0000-0000FB110000}"/>
    <hyperlink ref="D1720" r:id="rId4605" xr:uid="{00000000-0004-0000-0000-0000FC110000}"/>
    <hyperlink ref="E1720" r:id="rId4606" xr:uid="{00000000-0004-0000-0000-0000FD110000}"/>
    <hyperlink ref="O1720" r:id="rId4607" xr:uid="{00000000-0004-0000-0000-0000FE110000}"/>
    <hyperlink ref="D1721" r:id="rId4608" xr:uid="{00000000-0004-0000-0000-0000FF110000}"/>
    <hyperlink ref="E1721" r:id="rId4609" xr:uid="{00000000-0004-0000-0000-000000120000}"/>
    <hyperlink ref="O1721" r:id="rId4610" xr:uid="{00000000-0004-0000-0000-000001120000}"/>
    <hyperlink ref="D1722" r:id="rId4611" xr:uid="{00000000-0004-0000-0000-000002120000}"/>
    <hyperlink ref="E1722" r:id="rId4612" xr:uid="{00000000-0004-0000-0000-000003120000}"/>
    <hyperlink ref="O1722" r:id="rId4613" xr:uid="{00000000-0004-0000-0000-000004120000}"/>
    <hyperlink ref="D1723" r:id="rId4614" xr:uid="{00000000-0004-0000-0000-000005120000}"/>
    <hyperlink ref="E1723" r:id="rId4615" xr:uid="{00000000-0004-0000-0000-000006120000}"/>
    <hyperlink ref="O1723" r:id="rId4616" xr:uid="{00000000-0004-0000-0000-000007120000}"/>
    <hyperlink ref="D1724" r:id="rId4617" xr:uid="{00000000-0004-0000-0000-000008120000}"/>
    <hyperlink ref="E1724" r:id="rId4618" xr:uid="{00000000-0004-0000-0000-000009120000}"/>
    <hyperlink ref="O1724" r:id="rId4619" xr:uid="{00000000-0004-0000-0000-00000A120000}"/>
    <hyperlink ref="D1725" r:id="rId4620" xr:uid="{00000000-0004-0000-0000-00000B120000}"/>
    <hyperlink ref="E1725" r:id="rId4621" xr:uid="{00000000-0004-0000-0000-00000C120000}"/>
    <hyperlink ref="O1725" r:id="rId4622" xr:uid="{00000000-0004-0000-0000-00000D120000}"/>
    <hyperlink ref="D1726" r:id="rId4623" xr:uid="{00000000-0004-0000-0000-00000E120000}"/>
    <hyperlink ref="E1726" r:id="rId4624" xr:uid="{00000000-0004-0000-0000-00000F120000}"/>
    <hyperlink ref="O1726" r:id="rId4625" xr:uid="{00000000-0004-0000-0000-000010120000}"/>
    <hyperlink ref="D1727" r:id="rId4626" xr:uid="{00000000-0004-0000-0000-000011120000}"/>
    <hyperlink ref="E1727" r:id="rId4627" xr:uid="{00000000-0004-0000-0000-000012120000}"/>
    <hyperlink ref="O1727" r:id="rId4628" xr:uid="{00000000-0004-0000-0000-000013120000}"/>
    <hyperlink ref="D1728" r:id="rId4629" xr:uid="{00000000-0004-0000-0000-000014120000}"/>
    <hyperlink ref="E1728" r:id="rId4630" xr:uid="{00000000-0004-0000-0000-000015120000}"/>
    <hyperlink ref="O1728" r:id="rId4631" xr:uid="{00000000-0004-0000-0000-000016120000}"/>
    <hyperlink ref="E1729" r:id="rId4632" xr:uid="{00000000-0004-0000-0000-000017120000}"/>
    <hyperlink ref="O1729" r:id="rId4633" xr:uid="{00000000-0004-0000-0000-000018120000}"/>
    <hyperlink ref="D1730" r:id="rId4634" xr:uid="{00000000-0004-0000-0000-000019120000}"/>
    <hyperlink ref="E1730" r:id="rId4635" xr:uid="{00000000-0004-0000-0000-00001A120000}"/>
    <hyperlink ref="O1730" r:id="rId4636" xr:uid="{00000000-0004-0000-0000-00001B120000}"/>
    <hyperlink ref="E1731" r:id="rId4637" xr:uid="{00000000-0004-0000-0000-00001C120000}"/>
    <hyperlink ref="O1731" r:id="rId4638" xr:uid="{00000000-0004-0000-0000-00001D120000}"/>
    <hyperlink ref="D1732" r:id="rId4639" xr:uid="{00000000-0004-0000-0000-00001E120000}"/>
    <hyperlink ref="E1732" r:id="rId4640" xr:uid="{00000000-0004-0000-0000-00001F120000}"/>
    <hyperlink ref="O1732" r:id="rId4641" xr:uid="{00000000-0004-0000-0000-000020120000}"/>
    <hyperlink ref="E1733" r:id="rId4642" xr:uid="{00000000-0004-0000-0000-000021120000}"/>
    <hyperlink ref="O1733" r:id="rId4643" xr:uid="{00000000-0004-0000-0000-000022120000}"/>
    <hyperlink ref="E1734" r:id="rId4644" xr:uid="{00000000-0004-0000-0000-000023120000}"/>
    <hyperlink ref="O1734" r:id="rId4645" xr:uid="{00000000-0004-0000-0000-000024120000}"/>
    <hyperlink ref="D1735" r:id="rId4646" xr:uid="{00000000-0004-0000-0000-000025120000}"/>
    <hyperlink ref="E1735" r:id="rId4647" xr:uid="{00000000-0004-0000-0000-000026120000}"/>
    <hyperlink ref="O1735" r:id="rId4648" xr:uid="{00000000-0004-0000-0000-000027120000}"/>
    <hyperlink ref="E1736" r:id="rId4649" xr:uid="{00000000-0004-0000-0000-000028120000}"/>
    <hyperlink ref="O1736" r:id="rId4650" xr:uid="{00000000-0004-0000-0000-000029120000}"/>
    <hyperlink ref="E1737" r:id="rId4651" xr:uid="{00000000-0004-0000-0000-00002A120000}"/>
    <hyperlink ref="O1737" r:id="rId4652" xr:uid="{00000000-0004-0000-0000-00002B120000}"/>
    <hyperlink ref="D1738" r:id="rId4653" xr:uid="{00000000-0004-0000-0000-00002C120000}"/>
    <hyperlink ref="E1738" r:id="rId4654" xr:uid="{00000000-0004-0000-0000-00002D120000}"/>
    <hyperlink ref="O1738" r:id="rId4655" xr:uid="{00000000-0004-0000-0000-00002E120000}"/>
    <hyperlink ref="E1739" r:id="rId4656" xr:uid="{00000000-0004-0000-0000-00002F120000}"/>
    <hyperlink ref="O1739" r:id="rId4657" xr:uid="{00000000-0004-0000-0000-000030120000}"/>
    <hyperlink ref="D1740" r:id="rId4658" xr:uid="{00000000-0004-0000-0000-000031120000}"/>
    <hyperlink ref="E1740" r:id="rId4659" xr:uid="{00000000-0004-0000-0000-000032120000}"/>
    <hyperlink ref="O1740" r:id="rId4660" xr:uid="{00000000-0004-0000-0000-000033120000}"/>
    <hyperlink ref="E1741" r:id="rId4661" xr:uid="{00000000-0004-0000-0000-000034120000}"/>
    <hyperlink ref="O1741" r:id="rId4662" xr:uid="{00000000-0004-0000-0000-000035120000}"/>
    <hyperlink ref="D1742" r:id="rId4663" xr:uid="{00000000-0004-0000-0000-000036120000}"/>
    <hyperlink ref="E1742" r:id="rId4664" xr:uid="{00000000-0004-0000-0000-000037120000}"/>
    <hyperlink ref="O1742" r:id="rId4665" xr:uid="{00000000-0004-0000-0000-000038120000}"/>
    <hyperlink ref="D1743" r:id="rId4666" xr:uid="{00000000-0004-0000-0000-000039120000}"/>
    <hyperlink ref="E1743" r:id="rId4667" xr:uid="{00000000-0004-0000-0000-00003A120000}"/>
    <hyperlink ref="O1743" r:id="rId4668" xr:uid="{00000000-0004-0000-0000-00003B120000}"/>
    <hyperlink ref="E1744" r:id="rId4669" xr:uid="{00000000-0004-0000-0000-00003C120000}"/>
    <hyperlink ref="O1744" r:id="rId4670" xr:uid="{00000000-0004-0000-0000-00003D120000}"/>
    <hyperlink ref="D1745" r:id="rId4671" xr:uid="{00000000-0004-0000-0000-00003E120000}"/>
    <hyperlink ref="E1745" r:id="rId4672" xr:uid="{00000000-0004-0000-0000-00003F120000}"/>
    <hyperlink ref="O1745" r:id="rId4673" xr:uid="{00000000-0004-0000-0000-000040120000}"/>
    <hyperlink ref="E1746" r:id="rId4674" xr:uid="{00000000-0004-0000-0000-000041120000}"/>
    <hyperlink ref="O1746" r:id="rId4675" xr:uid="{00000000-0004-0000-0000-000042120000}"/>
    <hyperlink ref="E1747" r:id="rId4676" xr:uid="{00000000-0004-0000-0000-000043120000}"/>
    <hyperlink ref="O1747" r:id="rId4677" xr:uid="{00000000-0004-0000-0000-000044120000}"/>
    <hyperlink ref="E1748" r:id="rId4678" xr:uid="{00000000-0004-0000-0000-000045120000}"/>
    <hyperlink ref="O1748" r:id="rId4679" xr:uid="{00000000-0004-0000-0000-000046120000}"/>
    <hyperlink ref="E1749" r:id="rId4680" xr:uid="{00000000-0004-0000-0000-000047120000}"/>
    <hyperlink ref="O1749" r:id="rId4681" xr:uid="{00000000-0004-0000-0000-000048120000}"/>
    <hyperlink ref="D1750" r:id="rId4682" xr:uid="{00000000-0004-0000-0000-000049120000}"/>
    <hyperlink ref="E1750" r:id="rId4683" xr:uid="{00000000-0004-0000-0000-00004A120000}"/>
    <hyperlink ref="O1750" r:id="rId4684" xr:uid="{00000000-0004-0000-0000-00004B120000}"/>
    <hyperlink ref="E1751" r:id="rId4685" xr:uid="{00000000-0004-0000-0000-00004C120000}"/>
    <hyperlink ref="O1751" r:id="rId4686" xr:uid="{00000000-0004-0000-0000-00004D120000}"/>
    <hyperlink ref="D1752" r:id="rId4687" xr:uid="{00000000-0004-0000-0000-00004E120000}"/>
    <hyperlink ref="E1752" r:id="rId4688" xr:uid="{00000000-0004-0000-0000-00004F120000}"/>
    <hyperlink ref="O1752" r:id="rId4689" xr:uid="{00000000-0004-0000-0000-000050120000}"/>
    <hyperlink ref="D1753" r:id="rId4690" xr:uid="{00000000-0004-0000-0000-000051120000}"/>
    <hyperlink ref="E1753" r:id="rId4691" xr:uid="{00000000-0004-0000-0000-000052120000}"/>
    <hyperlink ref="O1753" r:id="rId4692" xr:uid="{00000000-0004-0000-0000-000053120000}"/>
    <hyperlink ref="D1754" r:id="rId4693" xr:uid="{00000000-0004-0000-0000-000054120000}"/>
    <hyperlink ref="E1754" r:id="rId4694" xr:uid="{00000000-0004-0000-0000-000055120000}"/>
    <hyperlink ref="O1754" r:id="rId4695" xr:uid="{00000000-0004-0000-0000-000056120000}"/>
    <hyperlink ref="E1755" r:id="rId4696" xr:uid="{00000000-0004-0000-0000-000057120000}"/>
    <hyperlink ref="O1755" r:id="rId4697" xr:uid="{00000000-0004-0000-0000-000058120000}"/>
    <hyperlink ref="E1756" r:id="rId4698" xr:uid="{00000000-0004-0000-0000-000059120000}"/>
    <hyperlink ref="O1756" r:id="rId4699" xr:uid="{00000000-0004-0000-0000-00005A120000}"/>
    <hyperlink ref="E1757" r:id="rId4700" xr:uid="{00000000-0004-0000-0000-00005B120000}"/>
    <hyperlink ref="O1757" r:id="rId4701" xr:uid="{00000000-0004-0000-0000-00005C120000}"/>
    <hyperlink ref="E1758" r:id="rId4702" xr:uid="{00000000-0004-0000-0000-00005D120000}"/>
    <hyperlink ref="O1758" r:id="rId4703" xr:uid="{00000000-0004-0000-0000-00005E120000}"/>
    <hyperlink ref="E1759" r:id="rId4704" xr:uid="{00000000-0004-0000-0000-00005F120000}"/>
    <hyperlink ref="O1759" r:id="rId4705" xr:uid="{00000000-0004-0000-0000-000060120000}"/>
    <hyperlink ref="E1760" r:id="rId4706" xr:uid="{00000000-0004-0000-0000-000061120000}"/>
    <hyperlink ref="O1760" r:id="rId4707" xr:uid="{00000000-0004-0000-0000-000062120000}"/>
    <hyperlink ref="E1761" r:id="rId4708" xr:uid="{00000000-0004-0000-0000-000063120000}"/>
    <hyperlink ref="O1761" r:id="rId4709" xr:uid="{00000000-0004-0000-0000-000064120000}"/>
    <hyperlink ref="E1762" r:id="rId4710" xr:uid="{00000000-0004-0000-0000-000065120000}"/>
    <hyperlink ref="O1762" r:id="rId4711" xr:uid="{00000000-0004-0000-0000-000066120000}"/>
    <hyperlink ref="E1763" r:id="rId4712" xr:uid="{00000000-0004-0000-0000-000067120000}"/>
    <hyperlink ref="O1763" r:id="rId4713" xr:uid="{00000000-0004-0000-0000-000068120000}"/>
    <hyperlink ref="E1764" r:id="rId4714" xr:uid="{00000000-0004-0000-0000-000069120000}"/>
    <hyperlink ref="O1764" r:id="rId4715" xr:uid="{00000000-0004-0000-0000-00006A120000}"/>
    <hyperlink ref="E1765" r:id="rId4716" xr:uid="{00000000-0004-0000-0000-00006B120000}"/>
    <hyperlink ref="O1765" r:id="rId4717" xr:uid="{00000000-0004-0000-0000-00006C120000}"/>
    <hyperlink ref="E1766" r:id="rId4718" xr:uid="{00000000-0004-0000-0000-00006D120000}"/>
    <hyperlink ref="O1766" r:id="rId4719" xr:uid="{00000000-0004-0000-0000-00006E120000}"/>
    <hyperlink ref="E1767" r:id="rId4720" xr:uid="{00000000-0004-0000-0000-00006F120000}"/>
    <hyperlink ref="O1767" r:id="rId4721" xr:uid="{00000000-0004-0000-0000-000070120000}"/>
    <hyperlink ref="E1768" r:id="rId4722" xr:uid="{00000000-0004-0000-0000-000071120000}"/>
    <hyperlink ref="O1768" r:id="rId4723" xr:uid="{00000000-0004-0000-0000-000072120000}"/>
    <hyperlink ref="E1769" r:id="rId4724" xr:uid="{00000000-0004-0000-0000-000073120000}"/>
    <hyperlink ref="O1769" r:id="rId4725" xr:uid="{00000000-0004-0000-0000-000074120000}"/>
    <hyperlink ref="E1770" r:id="rId4726" xr:uid="{00000000-0004-0000-0000-000075120000}"/>
    <hyperlink ref="O1770" r:id="rId4727" xr:uid="{00000000-0004-0000-0000-000076120000}"/>
    <hyperlink ref="E1771" r:id="rId4728" xr:uid="{00000000-0004-0000-0000-000077120000}"/>
    <hyperlink ref="O1771" r:id="rId4729" xr:uid="{00000000-0004-0000-0000-000078120000}"/>
    <hyperlink ref="E1772" r:id="rId4730" xr:uid="{00000000-0004-0000-0000-000079120000}"/>
    <hyperlink ref="O1772" r:id="rId4731" xr:uid="{00000000-0004-0000-0000-00007A120000}"/>
    <hyperlink ref="E1773" r:id="rId4732" xr:uid="{00000000-0004-0000-0000-00007B120000}"/>
    <hyperlink ref="O1773" r:id="rId4733" xr:uid="{00000000-0004-0000-0000-00007C120000}"/>
    <hyperlink ref="E1774" r:id="rId4734" xr:uid="{00000000-0004-0000-0000-00007D120000}"/>
    <hyperlink ref="O1774" r:id="rId4735" xr:uid="{00000000-0004-0000-0000-00007E120000}"/>
    <hyperlink ref="E1775" r:id="rId4736" xr:uid="{00000000-0004-0000-0000-00007F120000}"/>
    <hyperlink ref="O1775" r:id="rId4737" xr:uid="{00000000-0004-0000-0000-000080120000}"/>
    <hyperlink ref="E1776" r:id="rId4738" xr:uid="{00000000-0004-0000-0000-000081120000}"/>
    <hyperlink ref="O1776" r:id="rId4739" xr:uid="{00000000-0004-0000-0000-000082120000}"/>
    <hyperlink ref="E1777" r:id="rId4740" xr:uid="{00000000-0004-0000-0000-000083120000}"/>
    <hyperlink ref="O1777" r:id="rId4741" xr:uid="{00000000-0004-0000-0000-000084120000}"/>
    <hyperlink ref="E1778" r:id="rId4742" xr:uid="{00000000-0004-0000-0000-000085120000}"/>
    <hyperlink ref="O1778" r:id="rId4743" xr:uid="{00000000-0004-0000-0000-000086120000}"/>
    <hyperlink ref="E1779" r:id="rId4744" xr:uid="{00000000-0004-0000-0000-000087120000}"/>
    <hyperlink ref="O1779" r:id="rId4745" xr:uid="{00000000-0004-0000-0000-000088120000}"/>
    <hyperlink ref="E1780" r:id="rId4746" xr:uid="{00000000-0004-0000-0000-000089120000}"/>
    <hyperlink ref="I1780" r:id="rId4747" xr:uid="{00000000-0004-0000-0000-00008A120000}"/>
    <hyperlink ref="O1780" r:id="rId4748" xr:uid="{00000000-0004-0000-0000-00008B120000}"/>
    <hyperlink ref="E1781" r:id="rId4749" xr:uid="{00000000-0004-0000-0000-00008C120000}"/>
    <hyperlink ref="I1781" r:id="rId4750" xr:uid="{00000000-0004-0000-0000-00008D120000}"/>
    <hyperlink ref="O1781" r:id="rId4751" xr:uid="{00000000-0004-0000-0000-00008E120000}"/>
    <hyperlink ref="E1782" r:id="rId4752" xr:uid="{00000000-0004-0000-0000-00008F120000}"/>
    <hyperlink ref="I1782" r:id="rId4753" xr:uid="{00000000-0004-0000-0000-000090120000}"/>
    <hyperlink ref="O1782" r:id="rId4754" xr:uid="{00000000-0004-0000-0000-000091120000}"/>
    <hyperlink ref="E1783" r:id="rId4755" xr:uid="{00000000-0004-0000-0000-000092120000}"/>
    <hyperlink ref="I1783" r:id="rId4756" xr:uid="{00000000-0004-0000-0000-000093120000}"/>
    <hyperlink ref="O1783" r:id="rId4757" xr:uid="{00000000-0004-0000-0000-000094120000}"/>
    <hyperlink ref="E1784" r:id="rId4758" xr:uid="{00000000-0004-0000-0000-000095120000}"/>
    <hyperlink ref="O1784" r:id="rId4759" xr:uid="{00000000-0004-0000-0000-000096120000}"/>
    <hyperlink ref="E1785" r:id="rId4760" xr:uid="{00000000-0004-0000-0000-000097120000}"/>
    <hyperlink ref="I1785" r:id="rId4761" xr:uid="{00000000-0004-0000-0000-000098120000}"/>
    <hyperlink ref="O1785" r:id="rId4762" xr:uid="{00000000-0004-0000-0000-000099120000}"/>
    <hyperlink ref="E1786" r:id="rId4763" xr:uid="{00000000-0004-0000-0000-00009A120000}"/>
    <hyperlink ref="I1786" r:id="rId4764" xr:uid="{00000000-0004-0000-0000-00009B120000}"/>
    <hyperlink ref="O1786" r:id="rId4765" xr:uid="{00000000-0004-0000-0000-00009C120000}"/>
    <hyperlink ref="E1787" r:id="rId4766" xr:uid="{00000000-0004-0000-0000-00009D120000}"/>
    <hyperlink ref="I1787" r:id="rId4767" xr:uid="{00000000-0004-0000-0000-00009E120000}"/>
    <hyperlink ref="O1787" r:id="rId4768" xr:uid="{00000000-0004-0000-0000-00009F120000}"/>
    <hyperlink ref="E1788" r:id="rId4769" xr:uid="{00000000-0004-0000-0000-0000A0120000}"/>
    <hyperlink ref="I1788" r:id="rId4770" xr:uid="{00000000-0004-0000-0000-0000A1120000}"/>
    <hyperlink ref="O1788" r:id="rId4771" xr:uid="{00000000-0004-0000-0000-0000A2120000}"/>
    <hyperlink ref="E1789" r:id="rId4772" xr:uid="{00000000-0004-0000-0000-0000A3120000}"/>
    <hyperlink ref="I1789" r:id="rId4773" xr:uid="{00000000-0004-0000-0000-0000A4120000}"/>
    <hyperlink ref="O1789" r:id="rId4774" xr:uid="{00000000-0004-0000-0000-0000A5120000}"/>
    <hyperlink ref="E1790" r:id="rId4775" xr:uid="{00000000-0004-0000-0000-0000A6120000}"/>
    <hyperlink ref="I1790" r:id="rId4776" xr:uid="{00000000-0004-0000-0000-0000A7120000}"/>
    <hyperlink ref="O1790" r:id="rId4777" xr:uid="{00000000-0004-0000-0000-0000A8120000}"/>
    <hyperlink ref="E1791" r:id="rId4778" xr:uid="{00000000-0004-0000-0000-0000A9120000}"/>
    <hyperlink ref="I1791" r:id="rId4779" xr:uid="{00000000-0004-0000-0000-0000AA120000}"/>
    <hyperlink ref="O1791" r:id="rId4780" xr:uid="{00000000-0004-0000-0000-0000AB120000}"/>
  </hyperlinks>
  <pageMargins left="0.511811024" right="0.511811024" top="0.78740157499999996" bottom="0.78740157499999996" header="0.31496062000000002" footer="0.31496062000000002"/>
  <drawing r:id="rId478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MODELOS!$D:$D</xm:f>
          </x14:formula1>
          <xm:sqref>L2:L194 L199 L203 L205:L215 L218:L230 L232:L236 L238:L240 L242:L246 L248:L249 L251:L254 L256:L257 L259:L262 L264:L265 L267:L269 L271:L272 L275:L279 L281:L284 L286 L288:L290 L292 L294:L296 L299 L301 L303 L306:L307 L310 L312:L313 L315:L318 L320:L322 L326 L328:L329 L332 L337:L341 L343:L345 L347:L349 L351 L355:L356 L358 L366:L367 L369 L371 L374:L375 L379 L382 L387:L388 L391:L392 L397:L399 L403:L404 L409:L410 L414 L416 L419:L420 L422 L424:L428 L430:L433 L436 L438 L444 L446:L449 L452:L453 L456:L457 L459 L461:L462 L464 L470:L471 L473:L474 L476:L479 L481 L484:L486 L488:L489 L493:L496 L504 L506:L508 L510 L517:L519 L521:L526 L529:L533 L535 L541 L544:L545 L552:L554 L556:L559 L561 L565 L568:L570 L575:L576 L579 L581:L584 L587:L588 L596 L598:L599 L601:L602 L604 L607:L609 L619:L622 L627 L629 L633:L634 L637 L641:L642 L648:L649 L654:L656 L658:L660 L666:L668 L670:L672 L674:L675 L678 L680 L683:L684 L687:L688 L691 L697 L699:L706 L708:L709 L713:L714 L716 L720 L723 L726 L736:L737 L741 L744 L747 L749 L753 L755:L757 L770 L772 L777 L780:L781 L783 L785 L788:L792 L800 L803:L804 L807:L810 L812:L813 L815:L816 L819:L820 L822 L827 L829 L831 L836:L837 L850:L852 L854 L857:L858 L860 L863:L865 L867 L870:L872 L874 L876:L879 L881:L882 L889 L892:L894 L896:L897 L899:L900 L902 L904:L905 L907:L909 L912:L913 L915:L916 L919:L921 L926 L928 L934:L940 L943:L944 L947 L949:L950 L954:L957 L960:L961 L963:L968 L970:L976 L980:L984 L986:L990 L992:L993 L997:L999 L1001:L1002 L1004 L1006 L1008 L1010:L1011 L1013:L1014 L1017:L1020 L1022:L1025 L1027:L1029 L1033:L1034 L1038 L1041 L1046:L1049 L1051:L1056 L1059 L1061:L1065 L1068:L1073 L1075:L1079 L1081 L1084 L1086 L1089 L1091:L1093 L1095:L1096 L1100:L1103 L1105:L1108 L1111 L1113:L1115 L1117 L1119:L1125 L1127 L1129 L1134 L1136 L1138 L1140 L1142:L1146 L1148 L1152 L1157 L1164 L1166 L1170:L1171 L1175:L1178 L1180 L1182:L1184 L1186 L1188:L1189 L1192 L1194 L1197 L1199:L1202 L1205 L1207 L1209:L1213 L1216:L1218 L1220:L1221 L1223 L1225:L1236 L1240:L1241 L1243:L1247 L1250 L1252:L1256 L1258:L1261 L1264 L1266:L1268 L1270 L1274:L1275 L1277 L1279 L1282 L1285:L1286 L1288 L1290:L1291 L1294:L1295 L1297:L1300 L1302 L1306 L1310:L1313 L1322 L1325 L1332 L1335 L1340 L1345 L1352:L1353 L1359 L1362 L1364:L1367 L1369:L1370 L1374:L1376 L1380 L1384 L1386:L1387 L1389:L1392 L1398 L1401 L1403:L1404 L1406 L1408:L1409 L1412 L1418:L1424 L1426:L1431 L1434:L1444 L1446:L1447 L1450:L1460 L1462:L1463 L1465:L1467 L1469:L1477 L1479:L1483 L1485:L1492 L1501:L1504 L1506:L1517 L1520:L1522 L1525 L1527:L1528 L1530 L1535:L1536 L1541:L1543 L1546:L1547 L1550 L1552:L1553 L1556 L1560:L1568 L1570 L1572 L1576 L1578 L1580:L1582 L1585:L1586 L1592 L1600 L1603:L1604 L1606:L1608 L1615 L1617 L1621 L1627 L1631:L1632 L1635:L1636 L1642:L1643 L1646 L1649 L1655 L1660 L1663:L1664 L1666:L1668 L1670 L1674:L1675 L1677 L1682 L1684 L1691:L1692 L1696 L1699 L1706:L1791 L1820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8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.28515625" customWidth="1"/>
    <col min="2" max="2" width="9.42578125" customWidth="1"/>
    <col min="3" max="3" width="7.85546875" customWidth="1"/>
    <col min="4" max="4" width="8.28515625" customWidth="1"/>
  </cols>
  <sheetData>
    <row r="1" spans="1:6" ht="15.75" customHeight="1">
      <c r="A1" s="1" t="s">
        <v>10</v>
      </c>
      <c r="B1" s="1" t="s">
        <v>0</v>
      </c>
      <c r="C1" s="1" t="s">
        <v>8893</v>
      </c>
      <c r="D1" s="44" t="s">
        <v>8894</v>
      </c>
      <c r="E1" s="12"/>
      <c r="F1" s="12"/>
    </row>
    <row r="2" spans="1:6">
      <c r="A2" s="45" t="str">
        <f ca="1">New!M:M</f>
        <v>{New} Abbie Sykes https://lulustream.com/d/tkl7lny2e6ta https://streamtape.com/v/yPdwROL8ZwH3Qa/99599676 https://doodstream.com/d/iwq3xu4r8tsg/99599676 (2026) #Hardcore #Threesome #Bigass #Teen #RIPNSFW</v>
      </c>
      <c r="B2" s="12" t="str">
        <f>New!A:A</f>
        <v>Abbie Sykes - 99599676 - ripnsfw.com.jpg</v>
      </c>
      <c r="C2" s="12" t="s">
        <v>8895</v>
      </c>
      <c r="D2" s="46">
        <f>New!P:P</f>
        <v>0</v>
      </c>
    </row>
    <row r="3" spans="1:6">
      <c r="A3" s="45" t="str">
        <f ca="1">New!M:M</f>
        <v>{New} Abigaiil Morris https://doodstream.com/d/s5upwfgb0e1n/33943707 https://lulustream.com/d/hodrrnuyu917 https://streamtape.com/v/BJ3Gj7o3lkcyZb6/33943707 (2026) #BigTits #Creampie #Hardcore #Bigass #Teen #Blowjob #RIPNSFW</v>
      </c>
      <c r="B3" s="12" t="str">
        <f>New!A:A</f>
        <v>Abigaiil Morris - 33943707 - ripnsfw.com.jpg</v>
      </c>
      <c r="C3" s="12" t="s">
        <v>8895</v>
      </c>
      <c r="D3" s="46">
        <f>New!P:P</f>
        <v>0</v>
      </c>
    </row>
    <row r="4" spans="1:6">
      <c r="A4" s="45" t="str">
        <f ca="1">New!M:M</f>
        <v>{New} Abigaiil Morris https://streamtape.com/v/vxMBoKwORPCJpO/91692587 https://lulustream.com/d/blm3qsuunjcw https://doodstream.com/d/b3z64gcsi3ef/91692587 (2026) #BigTits #Black #Interracial #Bigass #Teen #Blowjob #RIPNSFW</v>
      </c>
      <c r="B4" s="12" t="str">
        <f>New!A:A</f>
        <v>Abigaiil Morris - 91692587 - ripnsfw.com.jpg</v>
      </c>
      <c r="C4" s="12" t="s">
        <v>8895</v>
      </c>
      <c r="D4" s="46">
        <f>New!P:P</f>
        <v>0</v>
      </c>
      <c r="E4" s="12"/>
    </row>
    <row r="5" spans="1:6">
      <c r="A5" s="45" t="str">
        <f ca="1">New!M:M</f>
        <v>{New} Addison Vodka https://streamtape.com/v/BqxkdYRDDbsyz2o/47359261 https://lulustream.com/d/kxhttf9kyu59 https://doodstream.com/d/4a8gvzx3zlsj/47359261 (2026) #Hardcore #Piss #Teen #Blowjob #RIPNSFW</v>
      </c>
      <c r="B5" s="12" t="str">
        <f>New!A:A</f>
        <v>Addison Vodka - 47359261 - Onlyfans.jpg</v>
      </c>
      <c r="C5" s="12" t="s">
        <v>8895</v>
      </c>
      <c r="D5" s="46">
        <f>New!P:P</f>
        <v>0</v>
      </c>
    </row>
    <row r="6" spans="1:6">
      <c r="A6" s="45" t="str">
        <f ca="1">New!M:M</f>
        <v>{New} Adriana Chechik https://streamtape.com/v/ZDyaom2V3mUqb6B/30957968 https://doodstream.com/d/iw4qvl4tyiu4/30957968 https://lulustream.com/d/qplmyjy6230d (2026) #MILF #Hardcore #Porn #Teen #Blowjob #Deepthroat #RIPNSFW</v>
      </c>
      <c r="B6" s="12" t="str">
        <f>New!A:A</f>
        <v>Adriana Chechik - 30957968 - ripnsfw.com.jpg</v>
      </c>
      <c r="C6" s="12" t="s">
        <v>8895</v>
      </c>
      <c r="D6" s="46">
        <f>New!P:P</f>
        <v>0</v>
      </c>
      <c r="E6" s="12"/>
    </row>
    <row r="7" spans="1:6">
      <c r="A7" s="45" t="str">
        <f ca="1">New!M:M</f>
        <v>{New} Adriana Chechik https://streamtape.com/v/4XpOdzjQ9DUKRDX/34528255 https://lulustream.com/d/m4q76vm6vdz8 https://doodstream.com/d/oynafg1m456b/34528255 Kimmy Granger (2026) #MILF #BigTits #Hardcore #Threesome #RIPNSFW</v>
      </c>
      <c r="B7" s="12" t="str">
        <f>New!A:A</f>
        <v>Adriana Chechik - 34528255 - Onlyfans - Kimmy Granger.jpg</v>
      </c>
      <c r="C7" s="12" t="s">
        <v>8895</v>
      </c>
      <c r="D7" s="46">
        <f>New!P:P</f>
        <v>0</v>
      </c>
      <c r="E7" s="12"/>
    </row>
    <row r="8" spans="1:6">
      <c r="A8" s="45" t="str">
        <f ca="1">New!M:M</f>
        <v>{New} Adriana Chechik https://lulustream.com/d/ru8de3p9o4cs https://streamtape.com/v/ykK684mJqei1Akw/51420656 https://doodstream.com/d/grn1adoy03ts/51420656 (2026) #MILF #Blowjob #Amateur #Hotwife #RIPNSFW</v>
      </c>
      <c r="B8" s="12" t="str">
        <f>New!A:A</f>
        <v>Adriana Chechik - 51420656 - Onlyfans.jpg</v>
      </c>
      <c r="C8" s="12" t="s">
        <v>8895</v>
      </c>
      <c r="D8" s="46">
        <f>New!P:P</f>
        <v>0</v>
      </c>
      <c r="E8" s="12"/>
    </row>
    <row r="9" spans="1:6">
      <c r="A9" s="45" t="str">
        <f ca="1">New!M:M</f>
        <v>{New} Adriana Chechik https://doodstream.com/d/asxvhhf5pzc0/59972113 https://streamtape.com/v/pgbZd2DxRBsryWr/59972113 https://lulustream.com/d/yddqas6660uo (2026) #Anal #MILF #Hardcore #Porn #Blowjob #RIPNSFW</v>
      </c>
      <c r="B9" s="12" t="str">
        <f>New!A:A</f>
        <v>Adriana Chechik - 59972113 - Tushy.jpg</v>
      </c>
      <c r="C9" s="12" t="s">
        <v>8895</v>
      </c>
      <c r="D9" s="46">
        <f>New!P:P</f>
        <v>0</v>
      </c>
      <c r="E9" s="12"/>
    </row>
    <row r="10" spans="1:6">
      <c r="A10" s="45" t="str">
        <f ca="1">New!M:M</f>
        <v>{New} Adriana Chechik https://doodstream.com/d/6nkhfsi7h1rn/60434496 https://lulustream.com/d/10eqg0h4m2mj https://streamtape.com/v/pY1k88evJpSWml/60434496 Lena the plug (2026) #MILF #BigTits #Hardcore #Threesome #Bigass #Blowjob #Amateur #Facial #RIPNSFW</v>
      </c>
      <c r="B10" s="12" t="str">
        <f>New!A:A</f>
        <v>Adriana Chechik - 60434496 - ripnsfw.com - Lena the plug.jpg</v>
      </c>
      <c r="C10" s="12" t="s">
        <v>8895</v>
      </c>
      <c r="D10" s="46">
        <f>New!P:P</f>
        <v>0</v>
      </c>
      <c r="E10" s="12"/>
    </row>
    <row r="11" spans="1:6">
      <c r="A11" s="45" t="str">
        <f ca="1">New!M:M</f>
        <v>{New} Adriana Chechik https://doodstream.com/d/z5rv7rlp8qpb/69701197 https://streamtape.com/v/Qe7Rr1aepztrOa/69701197 https://lulustream.com/d/fsgom1xzeb29 (2026) #Anal #MILF #BigTits #Hardcore #RIPNSFW</v>
      </c>
      <c r="B11" s="12" t="str">
        <f>New!A:A</f>
        <v>Adriana Chechik - 69701197 - Onlyfans.jpg</v>
      </c>
      <c r="C11" s="12" t="s">
        <v>8895</v>
      </c>
      <c r="D11" s="46">
        <f>New!P:P</f>
        <v>0</v>
      </c>
      <c r="E11" s="12"/>
    </row>
    <row r="12" spans="1:6">
      <c r="A12" s="45" t="str">
        <f ca="1">New!M:M</f>
        <v>{New} Adriana Chechik https://lulustream.com/d/p5yx1cweyqbf https://doodstream.com/d/4890kzdzvprn/78872640 https://streamtape.com/v/6XqxDbemVJiv1o/78872640 (2026) #Anal #MILF #BigTits #Hardcore #RIPNSFW</v>
      </c>
      <c r="B12" s="12" t="str">
        <f>New!A:A</f>
        <v>Adriana Chechik - 78872640 - Onlyfans.jpg</v>
      </c>
      <c r="C12" s="12" t="s">
        <v>8895</v>
      </c>
      <c r="D12" s="46">
        <f>New!P:P</f>
        <v>0</v>
      </c>
    </row>
    <row r="13" spans="1:6">
      <c r="A13" s="45" t="str">
        <f ca="1">New!M:M</f>
        <v>{New} Alanna Pow https://streamtape.com/v/Xya4vBeZkmUXy1/15841633 https://doodstream.com/d/ccfg6h6q5f0r/15841633 https://lulustream.com/d/2qov6vidlykk (2026) #BigTits #Bigass #Teen #Blowjob #RIPNSFW</v>
      </c>
      <c r="B13" s="12" t="str">
        <f>New!A:A</f>
        <v>Alanna Pow - 15841633 -  Onlyfans.jpg</v>
      </c>
      <c r="C13" s="12" t="s">
        <v>8895</v>
      </c>
      <c r="D13" s="46">
        <f>New!P:P</f>
        <v>0</v>
      </c>
      <c r="E13" s="12"/>
    </row>
    <row r="14" spans="1:6">
      <c r="A14" s="45" t="str">
        <f ca="1">New!M:M</f>
        <v>{New} Alanna Pow https://doodstream.com/d/rp7w5wlhyopr/17406382 https://lulustream.com/d/34biz1fgg2q9 https://streamtape.com/v/GXeoyO3391C9lP/17406382 (2026) #BigTits #Creampie #Hardcore #Bigass #Teen #RIPNSFW</v>
      </c>
      <c r="B14" s="12" t="str">
        <f>New!A:A</f>
        <v>Alanna Pow - 17406382 - ripnsfw.com.jpg</v>
      </c>
      <c r="C14" s="12" t="s">
        <v>8895</v>
      </c>
      <c r="D14" s="46">
        <f>New!P:P</f>
        <v>0</v>
      </c>
    </row>
    <row r="15" spans="1:6">
      <c r="A15" s="45" t="str">
        <f ca="1">New!M:M</f>
        <v>{New} Alanna Pow https://lulustream.com/d/jgnj29xlndop https://doodstream.com/d/rfcpsjxxrvei/17563322 https://streamtape.com/v/0dWRBVbB2JFbxa3/17563322 (2026) #BigTits #Bigass #Teen #Blowjob #RIPNSFW</v>
      </c>
      <c r="B15" s="12" t="str">
        <f>New!A:A</f>
        <v>Alanna Pow - 17563322 - Onlyfans.jpg</v>
      </c>
      <c r="C15" s="12" t="s">
        <v>8895</v>
      </c>
      <c r="D15" s="46">
        <f>New!P:P</f>
        <v>0</v>
      </c>
      <c r="E15" s="12"/>
    </row>
    <row r="16" spans="1:6">
      <c r="A16" s="45" t="str">
        <f ca="1">New!M:M</f>
        <v>{New} Alanna Pow https://streamtape.com/v/GbZdrYRVbYH17zq/18308184 https://lulustream.com/d/6k39hcuucj6f https://doodstream.com/d/s14c1x3qpqjj/18308184 (2026) #BigTits #Bigass #Teen #Blowjob #Amateur #Facial #Blonde #Deepthroat #RIPNSFW</v>
      </c>
      <c r="B16" s="12" t="str">
        <f>New!A:A</f>
        <v>Alanna Pow - 18308184 - Onlyfans.jpg</v>
      </c>
      <c r="C16" s="12" t="s">
        <v>8895</v>
      </c>
      <c r="D16" s="46">
        <f>New!P:P</f>
        <v>0</v>
      </c>
    </row>
    <row r="17" spans="1:5">
      <c r="A17" s="45" t="str">
        <f ca="1">New!M:M</f>
        <v>#ERROR!</v>
      </c>
      <c r="B17" s="12" t="str">
        <f>New!A:A</f>
        <v>Alanna Pow - 19034023 - Onlyfans.jpg</v>
      </c>
      <c r="C17" s="12" t="s">
        <v>8895</v>
      </c>
      <c r="D17" s="46">
        <f>New!P:P</f>
        <v>0</v>
      </c>
      <c r="E17" s="12"/>
    </row>
    <row r="18" spans="1:5">
      <c r="A18" s="45" t="str">
        <f ca="1">New!M:M</f>
        <v>{New} Alanna Pow https://lulustream.com/d/9g5xi6j2k5ss https://doodstream.com/d/u4x7onq939v2/22226111 https://streamtape.com/v/3Gg2r6MJLMflOz/22226111 (2026) #BigTits #Creampie #Hardcore #Bigass #RIPNSFW</v>
      </c>
      <c r="B18" s="12" t="str">
        <f>New!A:A</f>
        <v>Alanna Pow - 22226111 - Onlyfans.jpg</v>
      </c>
      <c r="C18" s="12" t="s">
        <v>8895</v>
      </c>
      <c r="D18" s="46">
        <f>New!P:P</f>
        <v>0</v>
      </c>
    </row>
    <row r="19" spans="1:5">
      <c r="A19" s="45" t="str">
        <f ca="1">New!M:M</f>
        <v>{New} Alanna Pow https://streamtape.com/v/KeZoqGMBWxt0kkb/25567227 https://doodstream.com/d/q3xj05tknxyh/25567227 https://lulustream.com/d/3dajng3aeqm0 (2026) #BigTits #Bigass #Teen #Blowjob #RIPNSFW</v>
      </c>
      <c r="B19" s="12" t="str">
        <f>New!A:A</f>
        <v>Alanna Pow - 25567227 - Onlyfans.jpg</v>
      </c>
      <c r="C19" s="12" t="s">
        <v>8895</v>
      </c>
      <c r="D19" s="46">
        <f>New!P:P</f>
        <v>0</v>
      </c>
      <c r="E19" s="12"/>
    </row>
    <row r="20" spans="1:5">
      <c r="A20" s="45" t="str">
        <f ca="1">New!M:M</f>
        <v>{New} Alanna Pow https://doodstream.com/d/ztvzkgn3o0cf/26155010 https://streamtape.com/v/mrm67xrV8oTbKpV/26155010 https://lulustream.com/d/670hw3e5b3mo (2026) #BigTits #MILF #Hardcore #Bigass #RIPNSFW</v>
      </c>
      <c r="B20" s="12" t="str">
        <f>New!A:A</f>
        <v>Alanna Pow - 26155010 - MCF.jpg</v>
      </c>
      <c r="C20" s="12" t="s">
        <v>8895</v>
      </c>
      <c r="D20" s="46">
        <f>New!P:P</f>
        <v>0</v>
      </c>
      <c r="E20" s="12"/>
    </row>
    <row r="21" spans="1:5">
      <c r="A21" s="45" t="str">
        <f ca="1">New!M:M</f>
        <v>{New} Alanna Pow https://lulustream.com/d/k1yvixzldcw8 https://doodstream.com/d/tsuzf5cud37n/27269863 https://streamtape.com/v/92x72B1oVpT6AY/27269863 (2026) #BigTits #Bigass #Teen #Blowjob #RIPNSFW</v>
      </c>
      <c r="B21" s="12" t="str">
        <f>New!A:A</f>
        <v>Alanna Pow - 27269863 - Onlyfans.jpg</v>
      </c>
      <c r="C21" s="12" t="s">
        <v>8895</v>
      </c>
      <c r="D21" s="46">
        <f>New!P:P</f>
        <v>0</v>
      </c>
    </row>
    <row r="22" spans="1:5">
      <c r="A22" s="45" t="str">
        <f ca="1">New!M:M</f>
        <v>{New} Alanna Pow https://doodstream.com/d/90kstdunkxjq/37317864 https://streamtape.com/v/aYzDX643xqhx1Z9/37317864 https://lulustream.com/d/agigw3u8dcg1 (2026) #MILF #BigTits #Hardcore #Bigass #RIPNSFW</v>
      </c>
      <c r="B22" s="12" t="str">
        <f>New!A:A</f>
        <v>Alanna Pow - 37317864 - Onlyfans.jpg</v>
      </c>
      <c r="C22" s="12" t="s">
        <v>8895</v>
      </c>
      <c r="D22" s="46">
        <f>New!P:P</f>
        <v>0</v>
      </c>
      <c r="E22" s="12"/>
    </row>
    <row r="23" spans="1:5">
      <c r="A23" s="45" t="str">
        <f ca="1">New!M:M</f>
        <v>{New} Alanna Pow https://streamtape.com/v/w7vRjBeyaZfJ88W/37925673 https://doodstream.com/d/ipv0wku6p57d/37925673 https://lulustream.com/d/o4mlp4evm3wy (2026) #MILF #BigTits #Hardcore #Black #Interracial #Bigass #Teen #Blowjob #Amateur #RIPNSFW</v>
      </c>
      <c r="B23" s="12" t="str">
        <f>New!A:A</f>
        <v>Alanna Pow - 37925673 - ripnsfw.com.jpg</v>
      </c>
      <c r="C23" s="12" t="s">
        <v>8895</v>
      </c>
      <c r="D23" s="46">
        <f>New!P:P</f>
        <v>0</v>
      </c>
      <c r="E23" s="12"/>
    </row>
    <row r="24" spans="1:5">
      <c r="A24" s="45" t="str">
        <f ca="1">New!M:M</f>
        <v>{New} Alanna Pow https://doodstream.com/d/25o4hpmqzo7z/38181644 https://streamtape.com/v/XgRG33lLAZsgpv/38181644 https://lulustream.com/d/0heg056665vg (2026) #BigTits #Bigass #Teen #Blowjob #RIPNSFW</v>
      </c>
      <c r="B24" s="12" t="str">
        <f>New!A:A</f>
        <v>Alanna Pow - 38181644 - Onlyfans.jpg</v>
      </c>
      <c r="C24" s="12" t="s">
        <v>8895</v>
      </c>
      <c r="D24" s="46">
        <f>New!P:P</f>
        <v>0</v>
      </c>
      <c r="E24" s="12"/>
    </row>
    <row r="25" spans="1:5">
      <c r="A25" s="45" t="str">
        <f ca="1">New!M:M</f>
        <v>{New} Alanna Pow https://lulustream.com/d/mrnyv6gmxp1f https://doodstream.com/d/0it670gat4vl/38679952 https://streamtape.com/v/yAwVJpaXxzI1W4A/38679952 (2026) #BigTits #Bigass #Teen #Blowjob #RIPNSFW</v>
      </c>
      <c r="B25" s="12" t="str">
        <f>New!A:A</f>
        <v>Alanna Pow - 38679952 - XVRED.jpg</v>
      </c>
      <c r="C25" s="12" t="s">
        <v>8895</v>
      </c>
      <c r="D25" s="46">
        <f>New!P:P</f>
        <v>0</v>
      </c>
      <c r="E25" s="12"/>
    </row>
    <row r="26" spans="1:5" ht="12.75">
      <c r="A26" s="45" t="str">
        <f ca="1">New!M:M</f>
        <v>{New} Alanna Pow https://doodstream.com/d/jmcjx10qnbrc/54503023 https://lulustream.com/d/wz3eb9qspm5d https://streamtape.com/v/JX7xbVjV1ysZ6r/54503023 (2026) #BigTits #Bigass #Teen #Blowjob #RIPNSFW</v>
      </c>
      <c r="B26" s="12" t="str">
        <f>New!A:A</f>
        <v>Alanna Pow - 54503023 - Onlyfans.jpg</v>
      </c>
      <c r="C26" s="12" t="s">
        <v>8895</v>
      </c>
      <c r="D26" s="46">
        <f>New!P:P</f>
        <v>0</v>
      </c>
    </row>
    <row r="27" spans="1:5" ht="12.75">
      <c r="A27" s="45" t="str">
        <f ca="1">New!M:M</f>
        <v>{New} Alanna Pow https://doodstream.com/d/xxlwjgm20d7x/54606458 https://lulustream.com/d/qnootfyydx1n https://streamtape.com/v/082qbZXgjAcb1Db/54606458 (2026) #BigTits #Bigass #Teen #Blowjob #RIPNSFW</v>
      </c>
      <c r="B27" s="12" t="str">
        <f>New!A:A</f>
        <v>Alanna Pow - 54606458 - Onlyfans.jpg</v>
      </c>
      <c r="C27" s="12" t="s">
        <v>8895</v>
      </c>
      <c r="D27" s="46">
        <f>New!P:P</f>
        <v>0</v>
      </c>
      <c r="E27" s="12"/>
    </row>
    <row r="28" spans="1:5" ht="12.75">
      <c r="A28" s="45" t="str">
        <f ca="1">New!M:M</f>
        <v>{New} Alanna Pow https://streamtape.com/v/ykJapV24dRF1DBD/61011031 https://doodstream.com/d/t4cw7igq24kl/61011031 https://lulustream.com/d/nd8bgmvefkyv Lena the plug (2026) #MILF #BigTits #Hardcore #Threesome #Bigass #Teen #Blowjob #RIPNSFW</v>
      </c>
      <c r="B28" s="12" t="str">
        <f>New!A:A</f>
        <v>Alanna Pow - 61011031 - ripnsfw.com - Lena the plug.jpg</v>
      </c>
      <c r="C28" s="12" t="s">
        <v>8895</v>
      </c>
      <c r="D28" s="46">
        <f>New!P:P</f>
        <v>0</v>
      </c>
      <c r="E28" s="12"/>
    </row>
    <row r="29" spans="1:5" ht="12.75">
      <c r="A29" s="45" t="str">
        <f ca="1">New!M:M</f>
        <v>{New} Alanna Pow https://lulustream.com/d/6kinxp49ummh https://streamtape.com/v/oMbdogoq7PcJzVR/62436241 https://doodstream.com/d/pgk741qzghdi/62436241 (2026) #BigTits #Hardcore #Bigass #Teen #Blowjob #RIPNSFW</v>
      </c>
      <c r="B29" s="12" t="str">
        <f>New!A:A</f>
        <v>Alanna Pow - 62436241 - ripnsfw.com.jpg</v>
      </c>
      <c r="C29" s="12" t="s">
        <v>8895</v>
      </c>
      <c r="D29" s="46">
        <f>New!P:P</f>
        <v>0</v>
      </c>
      <c r="E29" s="12"/>
    </row>
    <row r="30" spans="1:5" ht="12.75">
      <c r="A30" s="45" t="str">
        <f ca="1">New!M:M</f>
        <v>{New} Alanna Pow https://doodstream.com/d/wg30ws65tlsl/62968616 https://streamtape.com/v/lxyd9VjLZxu7pMQ/62968616 https://lulustream.com/d/hq2ek4yamn5m (2026) #BigTits #Bigass #Teen #Blowjob #RIPNSFW</v>
      </c>
      <c r="B30" s="12" t="str">
        <f>New!A:A</f>
        <v>Alanna Pow - 62968616 - Onlyfans.jpg</v>
      </c>
      <c r="C30" s="12" t="s">
        <v>8895</v>
      </c>
      <c r="D30" s="46">
        <f>New!P:P</f>
        <v>0</v>
      </c>
      <c r="E30" s="12"/>
    </row>
    <row r="31" spans="1:5" ht="12.75">
      <c r="A31" s="45" t="str">
        <f ca="1">New!M:M</f>
        <v>{New} Alanna Pow https://doodstream.com/d/5k393rfh3ehj/63393477 https://lulustream.com/d/7rmboytus18b https://streamtape.com/v/kDgmb2y6wasO2QL/63393477 (2026) #BigTits #Hardcore #Bigass #Teen #Artporn #RIPNSFW</v>
      </c>
      <c r="B31" s="12" t="str">
        <f>New!A:A</f>
        <v>Alanna Pow - 63393477 - ripnsfw.com.jpg</v>
      </c>
      <c r="C31" s="12" t="s">
        <v>8895</v>
      </c>
      <c r="D31" s="46">
        <f>New!P:P</f>
        <v>0</v>
      </c>
      <c r="E31" s="12"/>
    </row>
    <row r="32" spans="1:5" ht="12.75">
      <c r="A32" s="45" t="str">
        <f ca="1">New!M:M</f>
        <v>{New} Alanna Pow https://doodstream.com/d/ccukxnfsif65/65492185 https://lulustream.com/d/eez691u865ep https://streamtape.com/v/XzXKqJlK3oSDqle/65492185 (2026) #BigTits #Hardcore #Bigass #Teen #Blowjob #Amateur #Facial #RIPNSFW</v>
      </c>
      <c r="B32" s="12" t="str">
        <f>New!A:A</f>
        <v>Alanna Pow - 65492185 - ripnsfw.com.jpg</v>
      </c>
      <c r="C32" s="12" t="s">
        <v>8895</v>
      </c>
      <c r="D32" s="46">
        <f>New!P:P</f>
        <v>0</v>
      </c>
      <c r="E32" s="12"/>
    </row>
    <row r="33" spans="1:5" ht="12.75">
      <c r="A33" s="45" t="str">
        <f ca="1">New!M:M</f>
        <v>{New} Alanna Pow https://streamtape.com/v/Ww1m9vRPK1fqwK/67907097 https://lulustream.com/d/dat15ogft72x https://doodstream.com/d/vr4cu9g6r3bp/67907097 (2026) #BigTits #Creampie #Hardcore #Bigass #Teen #Blowjob #RIPNSFW</v>
      </c>
      <c r="B33" s="12" t="str">
        <f>New!A:A</f>
        <v>Alanna Pow - 67907097 - ripnsfw.com.jpg</v>
      </c>
      <c r="C33" s="12" t="s">
        <v>8895</v>
      </c>
      <c r="D33" s="46">
        <f>New!P:P</f>
        <v>0</v>
      </c>
      <c r="E33" s="12"/>
    </row>
    <row r="34" spans="1:5" ht="12.75">
      <c r="A34" s="45" t="str">
        <f ca="1">New!M:M</f>
        <v>{New} Alanna Pow https://doodstream.com/d/60ve1m8rumvx/69979470 https://lulustream.com/d/f7w5iqfwefo5 https://streamtape.com/v/ZPopRlqxXbCoMB/69979470 (2026) #BigTits #Bigass #Teen #Blowjob #RIPNSFW</v>
      </c>
      <c r="B34" s="12" t="str">
        <f>New!A:A</f>
        <v>Alanna Pow - 69979470 - Onlyfans.jpg</v>
      </c>
      <c r="C34" s="12" t="s">
        <v>8895</v>
      </c>
      <c r="D34" s="46">
        <f>New!P:P</f>
        <v>0</v>
      </c>
      <c r="E34" s="12"/>
    </row>
    <row r="35" spans="1:5" ht="12.75">
      <c r="A35" s="45" t="str">
        <f ca="1">New!M:M</f>
        <v>{New} Alanna Pow https://doodstream.com/d/jp88l39qrrxj/71566037 https://lulustream.com/d/5vxzigynjn98 https://streamtape.com/v/mgY1oyd4Ogsb3V3/71566037 (2026) #BigTits #Hardcore #Bigass #Teen #Blowjob #Amateur #RIPNSFW</v>
      </c>
      <c r="B35" s="12" t="str">
        <f>New!A:A</f>
        <v>Alanna Pow - 71566037 - ripnsfw.com.jpg</v>
      </c>
      <c r="C35" s="12" t="s">
        <v>8895</v>
      </c>
      <c r="D35" s="46">
        <f>New!P:P</f>
        <v>0</v>
      </c>
    </row>
    <row r="36" spans="1:5" ht="12.75">
      <c r="A36" s="45" t="str">
        <f ca="1">New!M:M</f>
        <v>{New} Alanna Pow https://streamtape.com/v/3ab30K1bWySDZD/72639064 https://lulustream.com/d/repjq78qcmaw https://doodstream.com/d/fks6fq0j3ayc/72639064 (2026) #BigTits #Hardcore #Bigass #Teen #Blowjob #RIPNSFW</v>
      </c>
      <c r="B36" s="12" t="str">
        <f>New!A:A</f>
        <v>Alanna Pow - 72639064 - ripnsfw.com.jpg</v>
      </c>
      <c r="C36" s="12" t="s">
        <v>8895</v>
      </c>
      <c r="D36" s="46">
        <f>New!P:P</f>
        <v>0</v>
      </c>
      <c r="E36" s="12"/>
    </row>
    <row r="37" spans="1:5" ht="12.75">
      <c r="A37" s="45" t="str">
        <f ca="1">New!M:M</f>
        <v>{New} Alanna Pow https://lulustream.com/d/5gyjbuhx4h2c https://streamtape.com/v/e3Dva9KD1OTmwe/72645909 https://doodstream.com/d/skr79wkziy0d/72645909 (2026) #BigTits #Bigass #Teen #Blowjob #RIPNSFW</v>
      </c>
      <c r="B37" s="12" t="str">
        <f>New!A:A</f>
        <v>Alanna Pow - 72645909 - Onlyfans.jpg</v>
      </c>
      <c r="C37" s="12" t="s">
        <v>8895</v>
      </c>
      <c r="D37" s="46">
        <f>New!P:P</f>
        <v>0</v>
      </c>
      <c r="E37" s="12"/>
    </row>
    <row r="38" spans="1:5" ht="12.75">
      <c r="A38" s="45" t="str">
        <f ca="1">New!M:M</f>
        <v>{New} Alanna Pow https://doodstream.com/d/wjk5xqxhiaxc/73449975 https://streamtape.com/v/PLxK7p2l9JS0QvK/73449975 https://lulustream.com/d/ga7di1cb78vv (2026) #BigTits #Hardcore #Bigass #Teen #RIPNSFW</v>
      </c>
      <c r="B38" s="12" t="str">
        <f>New!A:A</f>
        <v>Alanna Pow - 73449975 - Onlyfans.jpg</v>
      </c>
      <c r="C38" s="12" t="s">
        <v>8895</v>
      </c>
      <c r="D38" s="46">
        <f>New!P:P</f>
        <v>0</v>
      </c>
      <c r="E38" s="12"/>
    </row>
    <row r="39" spans="1:5" ht="12.75">
      <c r="A39" s="45" t="str">
        <f ca="1">New!M:M</f>
        <v>{New} Alanna Pow https://streamtape.com/v/xowdjrVJGKfkb1A/77110509 https://lulustream.com/d/h3ip8zl4hjvi https://doodstream.com/d/lo75arpa05jl/77110509 (2026) #BigTits #Creampie #Hardcore #Bigass #Teen #Blowjob #Amateur #RIPNSFW</v>
      </c>
      <c r="B39" s="12" t="str">
        <f>New!A:A</f>
        <v>Alanna Pow - 77110509 - ripnsfw.com.jpg</v>
      </c>
      <c r="C39" s="12" t="s">
        <v>8895</v>
      </c>
      <c r="D39" s="46">
        <f>New!P:P</f>
        <v>0</v>
      </c>
      <c r="E39" s="12"/>
    </row>
    <row r="40" spans="1:5" ht="12.75">
      <c r="A40" s="45" t="str">
        <f ca="1">New!M:M</f>
        <v>{New} Alanna Pow https://doodstream.com/d/n3cnt005y6co/77255491 https://lulustream.com/d/n44rz82hlsvm https://streamtape.com/v/1Amr9mdOkoIewrA/77255491 (2026) #BigTits #Bigass #Teen #Blowjob #RIPNSFW</v>
      </c>
      <c r="B40" s="12" t="str">
        <f>New!A:A</f>
        <v>Alanna Pow - 77255491 - MLRaw.jpg</v>
      </c>
      <c r="C40" s="12" t="s">
        <v>8895</v>
      </c>
      <c r="D40" s="46">
        <f>New!P:P</f>
        <v>0</v>
      </c>
      <c r="E40" s="12"/>
    </row>
    <row r="41" spans="1:5" ht="12.75">
      <c r="A41" s="45" t="str">
        <f ca="1">New!M:M</f>
        <v>{New} Alanna Pow https://doodstream.com/d/bva6j26echa2/77572365 https://lulustream.com/d/f5np0s394jla https://streamtape.com/v/we1GLVXzg2SVoO/77572365 (2026) #BigTits #Hardcore #Bigass #Teen #Blowjob #Amateur #Deepthroat #RIPNSFW</v>
      </c>
      <c r="B41" s="12" t="str">
        <f>New!A:A</f>
        <v>Alanna Pow - 77572365 - ripnsfw.com.jpg</v>
      </c>
      <c r="C41" s="12" t="s">
        <v>8895</v>
      </c>
      <c r="D41" s="46">
        <f>New!P:P</f>
        <v>0</v>
      </c>
    </row>
    <row r="42" spans="1:5" ht="12.75">
      <c r="A42" s="45" t="str">
        <f ca="1">New!M:M</f>
        <v>{New} Alanna Pow https://streamtape.com/v/warzBvYPL8hJ8yz/78660470 https://lulustream.com/d/6sutlqcipmaa https://doodstream.com/d/l2vlihsizlsp/78660470 (2026) #BigTits #Bigass #Teen #Blowjob #RIPNSFW</v>
      </c>
      <c r="B42" s="12" t="str">
        <f>New!A:A</f>
        <v>Alanna Pow - 78660470 - Onlyfans.jpg</v>
      </c>
      <c r="C42" s="12" t="s">
        <v>8895</v>
      </c>
      <c r="D42" s="46">
        <f>New!P:P</f>
        <v>0</v>
      </c>
      <c r="E42" s="12"/>
    </row>
    <row r="43" spans="1:5" ht="12.75">
      <c r="A43" s="45" t="str">
        <f ca="1">New!M:M</f>
        <v>{New} Alanna Pow https://streamtape.com/v/MAeAV7PBxwFmb0Z/80920208 https://doodstream.com/d/ii13qj2g8fuz/80920208 https://lulustream.com/d/chd0o20sjqrm (2026) #BigTits #Hardcore #Black #Interracial #Bigass #Teen #Blowjob #Amateur #RIPNSFW</v>
      </c>
      <c r="B43" s="12" t="str">
        <f>New!A:A</f>
        <v>Alanna Pow - 80920208 - ripnsfw.com.jpg</v>
      </c>
      <c r="C43" s="12" t="s">
        <v>8895</v>
      </c>
      <c r="D43" s="46">
        <f>New!P:P</f>
        <v>0</v>
      </c>
      <c r="E43" s="12"/>
    </row>
    <row r="44" spans="1:5" ht="12.75">
      <c r="A44" s="45" t="str">
        <f ca="1">New!M:M</f>
        <v>{New} Alanna Pow https://lulustream.com/d/pud0bkebjtup https://streamtape.com/v/Z3jZOylr2xtqqjm/81325680 https://doodstream.com/d/idgf7lxlmdwy/81325680 (2026) #BigTits #Hardcore #Black #Interracial #Bigass #Teen #Blowjob #Amateur #Deepthroat #Blonde #RIPNSFW</v>
      </c>
      <c r="B44" s="12" t="str">
        <f>New!A:A</f>
        <v>Alanna Pow - 81325680 - Onlyfans.jpg</v>
      </c>
      <c r="C44" s="12" t="s">
        <v>8895</v>
      </c>
      <c r="D44" s="46">
        <f>New!P:P</f>
        <v>0</v>
      </c>
      <c r="E44" s="12"/>
    </row>
    <row r="45" spans="1:5" ht="12.75">
      <c r="A45" s="45" t="str">
        <f ca="1">New!M:M</f>
        <v>{New} Alanna Pow https://lulustream.com/d/rj3sc527uqgq https://streamtape.com/v/7Po6mgVeJOtA084/84063058 https://doodstream.com/d/ukhh38ydoxtu/84063058 (2026) #BigTits #Hardcore #Black #Interracial #Bigass #Teen #Blowjob #Amateur #RIPNSFW</v>
      </c>
      <c r="B45" s="12" t="str">
        <f>New!A:A</f>
        <v>Alanna Pow - 84063058 - ripnsfw.com.jpg</v>
      </c>
      <c r="C45" s="12" t="s">
        <v>8895</v>
      </c>
      <c r="D45" s="46">
        <f>New!P:P</f>
        <v>0</v>
      </c>
    </row>
    <row r="46" spans="1:5" ht="12.75">
      <c r="A46" s="45" t="str">
        <f ca="1">New!M:M</f>
        <v>{New} Alanna Pow https://doodstream.com/d/5agd24f6vzee/84414746 https://lulustream.com/d/hjj6wbwncvnm https://streamtape.com/v/ZD426161a2CqJDX/84414746 (2026) #BigTits #Bigass #Teen #Blowjob #RIPNSFW</v>
      </c>
      <c r="B46" s="12" t="str">
        <f>New!A:A</f>
        <v>Alanna Pow - 84414746 - Onlyfans.jpg</v>
      </c>
      <c r="C46" s="12" t="s">
        <v>8895</v>
      </c>
      <c r="D46" s="46">
        <f>New!P:P</f>
        <v>0</v>
      </c>
    </row>
    <row r="47" spans="1:5" ht="12.75">
      <c r="A47" s="45" t="str">
        <f ca="1">New!M:M</f>
        <v>{New} Alanna Pow https://doodstream.com/d/943t8c0h0wlt/86395221 https://streamtape.com/v/yPm389gA39FKdg/86395221 https://lulustream.com/d/omd0xazrw4q7 (2026) #BigTits #Creampie #Hardcore #Bigass #Teen #Artporn #RIPNSFW</v>
      </c>
      <c r="B47" s="12" t="str">
        <f>New!A:A</f>
        <v>Alanna Pow - 86395221 - Onlyfans.jpg</v>
      </c>
      <c r="C47" s="12" t="s">
        <v>8895</v>
      </c>
      <c r="D47" s="46">
        <f>New!P:P</f>
        <v>0</v>
      </c>
    </row>
    <row r="48" spans="1:5" ht="12.75">
      <c r="A48" s="45" t="str">
        <f ca="1">New!M:M</f>
        <v>{New} Alanna Pow https://doodstream.com/d/warnpb1kn0d3/87263949 https://lulustream.com/d/fcrm9u5aul6f https://streamtape.com/v/eV7yAgdakDCom8/87263949 (2026) #BigTits #Hardcore #Bigass #Teen #RIPNSFW</v>
      </c>
      <c r="B48" s="12" t="str">
        <f>New!A:A</f>
        <v>Alanna Pow - 87263949 - Onlyfans.jpg</v>
      </c>
      <c r="C48" s="12" t="s">
        <v>8895</v>
      </c>
      <c r="D48" s="46">
        <f>New!P:P</f>
        <v>0</v>
      </c>
      <c r="E48" s="12"/>
    </row>
    <row r="49" spans="1:5" ht="12.75">
      <c r="A49" s="45" t="str">
        <f ca="1">New!M:M</f>
        <v>{New} Alanna Pow https://streamtape.com/v/GG3yA9OXKXH11pj/93326301 https://doodstream.com/d/t1bvn6pj7bcl/93326301 https://lulustream.com/d/6qcb09xoe02o (2026) #BigTits #Bigass #Teen #Blowjob #RIPNSFW</v>
      </c>
      <c r="B49" s="12" t="str">
        <f>New!A:A</f>
        <v>Alanna Pow - 93326301 - Onlyfans.jpg</v>
      </c>
      <c r="C49" s="12" t="s">
        <v>8895</v>
      </c>
      <c r="D49" s="46">
        <f>New!P:P</f>
        <v>0</v>
      </c>
      <c r="E49" s="12"/>
    </row>
    <row r="50" spans="1:5" ht="12.75">
      <c r="A50" s="45" t="str">
        <f ca="1">New!M:M</f>
        <v>{New} Alexa Pearl https://streamtape.com/v/wyOy6249ZRhJOkL/14477911 https://doodstream.com/d/cw2l8wn9o7oj/14477911 https://lulustream.com/d/lg2ts518zzpi (2026) #MILF #BigTits #Blowjob #Amateur #RIPNSFW</v>
      </c>
      <c r="B50" s="12" t="str">
        <f>New!A:A</f>
        <v>Alexa Pearl - 14477911 - ripnsfw.com.jpg</v>
      </c>
      <c r="C50" s="12" t="s">
        <v>8895</v>
      </c>
      <c r="D50" s="46">
        <f>New!P:P</f>
        <v>0</v>
      </c>
    </row>
    <row r="51" spans="1:5" ht="12.75">
      <c r="A51" s="45" t="str">
        <f ca="1">New!M:M</f>
        <v>{New} Alexa Pearl https://streamtape.com/v/7BXjdjWoJ9UAalX/16686970 https://doodstream.com/d/5nrr1up8wwzv/16686970 https://lulustream.com/d/m7tm077lrbp0 (2026) #MILF #BigTits #Hardcore #Bigass #Blowjob #Amateur #Hotwife #Deepthroat #Facial #RIPNSFW</v>
      </c>
      <c r="B51" s="12" t="str">
        <f>New!A:A</f>
        <v>Alexa Pearl - 16686970 - ripnsfw.com.jpg</v>
      </c>
      <c r="C51" s="12" t="s">
        <v>8895</v>
      </c>
      <c r="D51" s="46">
        <f>New!P:P</f>
        <v>0</v>
      </c>
      <c r="E51" s="12"/>
    </row>
    <row r="52" spans="1:5" ht="12.75">
      <c r="A52" s="45" t="str">
        <f ca="1">New!M:M</f>
        <v>{New} Alexa Pearl https://streamtape.com/v/6PVmoGxlb9C9rxx/28778788 https://doodstream.com/d/ytekooxy04u9/28778788 https://lulustream.com/d/086tzp1hm5qe (2026) #MILF #BigTits #Creampie #Hardcore #Amateur #RIPNSFW</v>
      </c>
      <c r="B52" s="12" t="str">
        <f>New!A:A</f>
        <v>Alexa Pearl - 28778788 - ripnsfw.com.jpg</v>
      </c>
      <c r="C52" s="12" t="s">
        <v>8895</v>
      </c>
      <c r="D52" s="46">
        <f>New!P:P</f>
        <v>0</v>
      </c>
    </row>
    <row r="53" spans="1:5" ht="12.75">
      <c r="A53" s="45" t="str">
        <f ca="1">New!M:M</f>
        <v>{New} Alexa Pearl https://streamtape.com/v/O66WL4RL6wfZyqy/80325730 https://lulustream.com/d/7odeb2yjvzzm https://doodstream.com/d/a1is4c7ebkv8/80325730 (2026) #MILF #BigTits #Roleplay #Solo #RIPNSFW</v>
      </c>
      <c r="B53" s="12" t="str">
        <f>New!A:A</f>
        <v>Alexa Pearl - 80325730 - ripnsfw.com.jpg</v>
      </c>
      <c r="C53" s="12" t="s">
        <v>8895</v>
      </c>
      <c r="D53" s="46">
        <f>New!P:P</f>
        <v>0</v>
      </c>
    </row>
    <row r="54" spans="1:5" ht="12.75">
      <c r="A54" s="45" t="str">
        <f ca="1">New!M:M</f>
        <v>{New} Alexa Pearl https://lulustream.com/d/npfjbb6e8a86 https://doodstream.com/d/ryn4ydg0uoc3/96147684 https://streamtape.com/v/39yZ9V1ARLIAXQ/96147684 (2026) #MILF #BigTits #Stepmom #Blowjob #RIPNSFW</v>
      </c>
      <c r="B54" s="12" t="str">
        <f>New!A:A</f>
        <v>Alexa Pearl - 96147684 - ripnsfw.com.jpg</v>
      </c>
      <c r="C54" s="12" t="s">
        <v>8895</v>
      </c>
      <c r="D54" s="46">
        <f>New!P:P</f>
        <v>0</v>
      </c>
      <c r="E54" s="12"/>
    </row>
    <row r="55" spans="1:5" ht="12.75">
      <c r="A55" s="45" t="str">
        <f ca="1">New!M:M</f>
        <v>{New} Alexa Pearl https://streamtape.com/v/0Jo4q3lRQ6hD7w/98658557 https://lulustream.com/d/fcsuilxwk1qo https://doodstream.com/d/y87gyt76nzx0/98658557 (2026) #MILF #BigTits #Roleplay #Stepmom #RIPNSFW</v>
      </c>
      <c r="B55" s="12" t="str">
        <f>New!A:A</f>
        <v>Alexa Pearl - 98658557 - Onlyfans.jpg</v>
      </c>
      <c r="C55" s="12" t="s">
        <v>8895</v>
      </c>
      <c r="D55" s="46">
        <f>New!P:P</f>
        <v>0</v>
      </c>
    </row>
    <row r="56" spans="1:5" ht="12.75">
      <c r="A56" s="45" t="str">
        <f ca="1">New!M:M</f>
        <v>{New} Alexis Fawx https://doodstream.com/d/qh7ef1ea1nlp/14749711 https://streamtape.com/v/yxAW293KgAFyZB/14749711 https://lulustream.com/d/4rih20zzj9rp (2026) #Anal #MILF #BigTits #Hardcore #Bigass #Blowjob #RIPNSFW</v>
      </c>
      <c r="B56" s="12" t="str">
        <f>New!A:A</f>
        <v>Alexis Fawx - 14749711 - ripnsfw.com.jpg</v>
      </c>
      <c r="C56" s="12" t="s">
        <v>8895</v>
      </c>
      <c r="D56" s="46">
        <f>New!P:P</f>
        <v>0</v>
      </c>
    </row>
    <row r="57" spans="1:5" ht="12.75">
      <c r="A57" s="45" t="str">
        <f ca="1">New!M:M</f>
        <v>{New} Alexis Fawx https://lulustream.com/d/hm8mvhjahzlg https://streamtape.com/v/Q1Ya4ORQovh0bZG/76454201 https://doodstream.com/d/50toyr4fnwc1/76454201 (2026) #MILF #BigTits #Hardcore #Bigass #RIPNSFW</v>
      </c>
      <c r="B57" s="12" t="str">
        <f>New!A:A</f>
        <v>Alexis Fawx - 76454201 - Onlyfans.jpg</v>
      </c>
      <c r="C57" s="12" t="s">
        <v>8895</v>
      </c>
      <c r="D57" s="46">
        <f>New!P:P</f>
        <v>0</v>
      </c>
      <c r="E57" s="12"/>
    </row>
    <row r="58" spans="1:5" ht="12.75">
      <c r="A58" s="45" t="str">
        <f ca="1">New!M:M</f>
        <v>{New} Alexis Fawx https://lulustream.com/d/bxieej7woryy https://doodstream.com/d/vj95tselm4dy/78579747 https://streamtape.com/v/jVbjdr889QuzkMr/78579747 (2026) #MILF #BigTits #Hardcore #Threesome #RIPNSFW</v>
      </c>
      <c r="B58" s="12" t="str">
        <f>New!A:A</f>
        <v>Alexis Fawx - 78579747 - Onlyfans.jpg</v>
      </c>
      <c r="C58" s="12" t="s">
        <v>8895</v>
      </c>
      <c r="D58" s="46">
        <f>New!P:P</f>
        <v>0</v>
      </c>
      <c r="E58" s="12"/>
    </row>
    <row r="59" spans="1:5" ht="12.75">
      <c r="A59" s="45" t="str">
        <f ca="1">New!M:M</f>
        <v>{New} Alexis Fawx https://doodstream.com/d/ppo6gc2uuh4p/87280451 https://streamtape.com/v/bGRz6J63VxTJep/87280451 https://lulustream.com/d/ww8si6yh7rl2 (2026) #MILF #BigTits #Hardcore #Bigass #Stepmom #Blowjob #Amateur #RIPNSFW</v>
      </c>
      <c r="B59" s="12" t="str">
        <f>New!A:A</f>
        <v>Alexis Fawx - 87280451 - Onlyfans.jpg</v>
      </c>
      <c r="C59" s="12" t="s">
        <v>8895</v>
      </c>
      <c r="D59" s="46">
        <f>New!P:P</f>
        <v>0</v>
      </c>
    </row>
    <row r="60" spans="1:5" ht="12.75">
      <c r="A60" s="45" t="str">
        <f ca="1">New!M:M</f>
        <v>{New} Alexis Texas https://streamtape.com/v/k39OdRb6drS9vX/55946865 https://lulustream.com/d/x274yedco4b4 https://doodstream.com/d/704t2eoglcr4/55946865 (2026) #MILF #Hardcore #Interracial #Bigass #RIPNSFW</v>
      </c>
      <c r="B60" s="12" t="str">
        <f>New!A:A</f>
        <v>Alexis Texas - 55946865 - Onlyfans.jpg</v>
      </c>
      <c r="C60" s="12" t="s">
        <v>8895</v>
      </c>
      <c r="D60" s="46">
        <f>New!P:P</f>
        <v>0</v>
      </c>
    </row>
    <row r="61" spans="1:5" ht="12.75">
      <c r="A61" s="45" t="str">
        <f ca="1">New!M:M</f>
        <v>{New} Alexis Texas https://streamtape.com/v/ZXPYoQ9WezIqx1D/58344561 https://lulustream.com/d/z3xibzexseyf https://doodstream.com/d/ah9ka7xplo99/58344561 (2026) #MILF #Bigass #Blowjob #Blonde #RIPNSFW</v>
      </c>
      <c r="B61" s="12" t="str">
        <f>New!A:A</f>
        <v>Alexis Texas - 58344561 - Onlyfans.jpg</v>
      </c>
      <c r="C61" s="12" t="s">
        <v>8895</v>
      </c>
      <c r="D61" s="46">
        <f>New!P:P</f>
        <v>0</v>
      </c>
    </row>
    <row r="62" spans="1:5" ht="12.75">
      <c r="A62" s="45" t="str">
        <f ca="1">New!M:M</f>
        <v>{New} Alexis Texas https://doodstream.com/d/4kxkcljof0gr/78334326 https://streamtape.com/v/Wyx17v6K2KTb4VL/78334326 https://lulustream.com/d/4q5uk1gmojyz Nikki Benz (2026) #MILF #BigTits #Threesome #Bigass #Stepmom #RIPNSFW</v>
      </c>
      <c r="B62" s="12" t="str">
        <f>New!A:A</f>
        <v>Alexis Texas - 78334326 - Onlyfans - Nikki Benz.jpg</v>
      </c>
      <c r="C62" s="12" t="s">
        <v>8895</v>
      </c>
      <c r="D62" s="46">
        <f>New!P:P</f>
        <v>0</v>
      </c>
    </row>
    <row r="63" spans="1:5" ht="12.75">
      <c r="A63" s="45" t="str">
        <f ca="1">New!M:M</f>
        <v>{New} Alexis Texas https://streamtape.com/v/rApbMGvL32hgxx/85557282 https://lulustream.com/d/i0kl7fp3owuf https://doodstream.com/d/37fkj3b8lw1m/85557282 (2026) #MILF #Interracial #Bigass #Blowjob #RIPNSFW</v>
      </c>
      <c r="B63" s="12" t="str">
        <f>New!A:A</f>
        <v>Alexis Texas - 85557282 - Onlyfans.jpg</v>
      </c>
      <c r="C63" s="12" t="s">
        <v>8895</v>
      </c>
      <c r="D63" s="46">
        <f>New!P:P</f>
        <v>0</v>
      </c>
      <c r="E63" s="12"/>
    </row>
    <row r="64" spans="1:5" ht="12.75">
      <c r="A64" s="45" t="str">
        <f ca="1">New!M:M</f>
        <v>{New} Alice Bong https://lulustream.com/d/quoip8rsm7ee https://doodstream.com/d/mo7qik9m0qus/80520139 https://streamtape.com/v/kgjzDqgYQrIOVag/80520139 (2026) #Anal #BigTits #Hardcore #Bigass #RIPNSFW</v>
      </c>
      <c r="B64" s="12" t="str">
        <f>New!A:A</f>
        <v>Alice Bong - 80520139 - Onlyfans.jpg</v>
      </c>
      <c r="C64" s="12" t="s">
        <v>8895</v>
      </c>
      <c r="D64" s="46">
        <f>New!P:P</f>
        <v>0</v>
      </c>
      <c r="E64" s="12"/>
    </row>
    <row r="65" spans="1:5" ht="12.75">
      <c r="A65" s="45" t="str">
        <f ca="1">New!M:M</f>
        <v>{New} Alice Bong https://streamtape.com/v/JXz6KAB90ehZMg/93984122 https://doodstream.com/d/jvcsab28cbag/93984122 https://lulustream.com/d/kp8gbsfe5gcn (2026) #Anal #BigTits #Hardcore #Bigass #RIPNSFW</v>
      </c>
      <c r="B65" s="12" t="str">
        <f>New!A:A</f>
        <v>Alice Bong - 93984122 - Onlyfans.jpg</v>
      </c>
      <c r="C65" s="12" t="s">
        <v>8895</v>
      </c>
      <c r="D65" s="46">
        <f>New!P:P</f>
        <v>0</v>
      </c>
      <c r="E65" s="12"/>
    </row>
    <row r="66" spans="1:5" ht="12.75">
      <c r="A66" s="45" t="str">
        <f ca="1">New!M:M</f>
        <v>{New} AlicexMaia https://lulustream.com/d/12zt5hk8bl0u https://streamtape.com/v/P7Xaw9BMzwSABl/10721850 https://doodstream.com/d/8lcxrn4sfnrn/10721850 (2026) #BigTits #Bigass #Teen #Solo #RIPNSFW</v>
      </c>
      <c r="B66" s="12" t="str">
        <f>New!A:A</f>
        <v>AlicexMaia - 10721850 - Onlyfans.jpg</v>
      </c>
      <c r="C66" s="12" t="s">
        <v>8895</v>
      </c>
      <c r="D66" s="46">
        <f>New!P:P</f>
        <v>0</v>
      </c>
      <c r="E66" s="12"/>
    </row>
    <row r="67" spans="1:5" ht="12.75">
      <c r="A67" s="45" t="str">
        <f ca="1">New!M:M</f>
        <v>{New} AlicexMaia https://doodstream.com/d/d35ptsljxn02/12079108 https://streamtape.com/v/RwWAqa4MyAIZKe/12079108 https://lulustream.com/d/m7nz83q70ffz (2026) #BigTits #Bigass #Teen #Solo #RIPNSFW</v>
      </c>
      <c r="B67" s="12" t="str">
        <f>New!A:A</f>
        <v>AlicexMaia - 12079108 - Onlyfans.jpg</v>
      </c>
      <c r="C67" s="12" t="s">
        <v>8895</v>
      </c>
      <c r="D67" s="46">
        <f>New!P:P</f>
        <v>0</v>
      </c>
      <c r="E67" s="12"/>
    </row>
    <row r="68" spans="1:5" ht="12.75">
      <c r="A68" s="45" t="str">
        <f ca="1">New!M:M</f>
        <v>{New} AlicexMaia https://lulustream.com/d/6obkapj4wp5w https://streamtape.com/v/jYMQBA0vJyFzrjo/14731619 https://doodstream.com/d/ej1ldt170tkx/14731619 (2026) #BigTits #Bigass #Teen #Solo #RIPNSFW</v>
      </c>
      <c r="B68" s="12" t="str">
        <f>New!A:A</f>
        <v>AlicexMaia - 14731619 - Onlyfans.jpg</v>
      </c>
      <c r="C68" s="12" t="s">
        <v>8895</v>
      </c>
      <c r="D68" s="46">
        <f>New!P:P</f>
        <v>0</v>
      </c>
    </row>
    <row r="69" spans="1:5" ht="12.75">
      <c r="A69" s="45" t="str">
        <f ca="1">New!M:M</f>
        <v>{New} AlicexMaia https://doodstream.com/d/mn96wpk770fa/15248364 https://lulustream.com/d/b73sgo0j3vpk https://streamtape.com/v/RARgZZmJ4eHdyO6/15248364 (2026) #BigTits #Teen #Solo #Blonde #RIPNSFW</v>
      </c>
      <c r="B69" s="12" t="str">
        <f>New!A:A</f>
        <v>AlicexMaia - 15248364 - Onlyfans.jpg</v>
      </c>
      <c r="C69" s="12" t="s">
        <v>8895</v>
      </c>
      <c r="D69" s="46">
        <f>New!P:P</f>
        <v>0</v>
      </c>
      <c r="E69" s="12"/>
    </row>
    <row r="70" spans="1:5" ht="12.75">
      <c r="A70" s="45" t="str">
        <f ca="1">New!M:M</f>
        <v>{New} AlicexMaia https://doodstream.com/d/cwrwhdzz1334/17531294 https://streamtape.com/v/1WOvrJ8qv7UeYqZ/17531294 https://lulustream.com/d/32c64pwy5uzf (2026) #Anal #BigTits #Bigass #Teen #RIPNSFW</v>
      </c>
      <c r="B70" s="12" t="str">
        <f>New!A:A</f>
        <v>AlicexMaia - 17531294 - Onlyfans.jpg</v>
      </c>
      <c r="C70" s="12" t="s">
        <v>8895</v>
      </c>
      <c r="D70" s="46">
        <f>New!P:P</f>
        <v>0</v>
      </c>
    </row>
    <row r="71" spans="1:5" ht="12.75">
      <c r="A71" s="45" t="str">
        <f ca="1">New!M:M</f>
        <v>{New} AlicexMaia https://doodstream.com/d/n3t0xiknnm7y/19457440 https://lulustream.com/d/ncudry5gld17 https://streamtape.com/v/roL1Qv72e9Ibwd9/19457440 (2026) #BigTits #Bigass #Teen #Solo #RIPNSFW</v>
      </c>
      <c r="B71" s="12" t="str">
        <f>New!A:A</f>
        <v>AlicexMaia - 19457440 - Onlyfans.jpg</v>
      </c>
      <c r="C71" s="12" t="s">
        <v>8895</v>
      </c>
      <c r="D71" s="46">
        <f>New!P:P</f>
        <v>0</v>
      </c>
    </row>
    <row r="72" spans="1:5" ht="12.75">
      <c r="A72" s="45" t="str">
        <f ca="1">New!M:M</f>
        <v>{New} AlicexMaia https://lulustream.com/d/t6fbdavbf70e https://doodstream.com/d/dtfgzs7ft8j3/19553158 https://streamtape.com/v/qxlwO8epdWTzxvQ/19553158 (2026) #BigTits #Bigass #Teen #Solo #RIPNSFW</v>
      </c>
      <c r="B72" s="12" t="str">
        <f>New!A:A</f>
        <v>AlicexMaia - 19553158 - Onlyfans.jpg</v>
      </c>
      <c r="C72" s="12" t="s">
        <v>8895</v>
      </c>
      <c r="D72" s="46">
        <f>New!P:P</f>
        <v>0</v>
      </c>
    </row>
    <row r="73" spans="1:5" ht="12.75">
      <c r="A73" s="45" t="str">
        <f ca="1">New!M:M</f>
        <v>{New} AlicexMaia https://doodstream.com/d/dsvif0c82xj2/23808780 https://streamtape.com/v/vwPjz9xxe8i4rLz/23808780 https://lulustream.com/d/sn83issjo5ld (2026) #BigTits #Teen #Solo #Blonde #RIPNSFW</v>
      </c>
      <c r="B73" s="12" t="str">
        <f>New!A:A</f>
        <v>AlicexMaia - 23808780 - Onlyfans.jpg</v>
      </c>
      <c r="C73" s="12" t="s">
        <v>8895</v>
      </c>
      <c r="D73" s="46">
        <f>New!P:P</f>
        <v>0</v>
      </c>
    </row>
    <row r="74" spans="1:5" ht="12.75">
      <c r="A74" s="45" t="str">
        <f ca="1">New!M:M</f>
        <v>{New} AlicexMaia https://lulustream.com/d/uu38a8erwyan https://streamtape.com/v/qWgPDkl9LdUz2v0/29448765 https://doodstream.com/d/odevd4u50df9/29448765 (2026) #BigTits #Bigass #Teen #Solo #RIPNSFW</v>
      </c>
      <c r="B74" s="12" t="str">
        <f>New!A:A</f>
        <v>AlicexMaia - 29448765 - Onlyfans.jpg</v>
      </c>
      <c r="C74" s="12" t="s">
        <v>8895</v>
      </c>
      <c r="D74" s="46">
        <f>New!P:P</f>
        <v>0</v>
      </c>
    </row>
    <row r="75" spans="1:5" ht="12.75">
      <c r="A75" s="45" t="str">
        <f ca="1">New!M:M</f>
        <v>{New} AlicexMaia https://lulustream.com/d/d0j1wlgwhotj https://streamtape.com/v/V6el2r11QlCKrao/42662611 https://doodstream.com/d/1fdvfytvt9ej/42662611 (2026) #BigTits #Bigass #Teen #Solo #RIPNSFW</v>
      </c>
      <c r="B75" s="12" t="str">
        <f>New!A:A</f>
        <v>AlicexMaia - 42662611 - Onlyfans.jpg</v>
      </c>
      <c r="C75" s="12" t="s">
        <v>8895</v>
      </c>
      <c r="D75" s="46">
        <f>New!P:P</f>
        <v>0</v>
      </c>
    </row>
    <row r="76" spans="1:5" ht="12.75">
      <c r="A76" s="45" t="str">
        <f ca="1">New!M:M</f>
        <v>{New} AlicexMaia https://lulustream.com/d/5ep5erjdhp2h https://streamtape.com/v/DqDW9l03r4UkrRK/45305787 https://doodstream.com/d/0zp30eoep2hw/45305787 (2026) #BigTits #Bigass #Teen #Solo #RIPNSFW</v>
      </c>
      <c r="B76" s="12" t="str">
        <f>New!A:A</f>
        <v>AlicexMaia - 45305787 - Onlyfans.jpg</v>
      </c>
      <c r="C76" s="12" t="s">
        <v>8895</v>
      </c>
      <c r="D76" s="46">
        <f>New!P:P</f>
        <v>0</v>
      </c>
    </row>
    <row r="77" spans="1:5" ht="12.75">
      <c r="A77" s="45" t="str">
        <f ca="1">New!M:M</f>
        <v>{New} AlicexMaia https://doodstream.com/d/qctghddt78k0/49296667 https://streamtape.com/v/d7oVva7BkdUkJw0/49296667 https://lulustream.com/d/4v36v7ghh09u (2026) #BigTits #Bigass #Teen #Solo #RIPNSFW</v>
      </c>
      <c r="B77" s="12" t="str">
        <f>New!A:A</f>
        <v>AlicexMaia - 49296667 - Onlyfans.jpg</v>
      </c>
      <c r="C77" s="12" t="s">
        <v>8895</v>
      </c>
      <c r="D77" s="46">
        <f>New!P:P</f>
        <v>0</v>
      </c>
    </row>
    <row r="78" spans="1:5" ht="12.75">
      <c r="A78" s="45" t="str">
        <f ca="1">New!M:M</f>
        <v>{New} AlicexMaia https://lulustream.com/d/4fzm8gu5w4ax https://streamtape.com/v/xyZr1WAPZGskAXX/63578233 https://doodstream.com/d/3wdhd3j7wzfu/63578233 (2026) #BigTits #Bigass #Teen #Solo #RIPNSFW</v>
      </c>
      <c r="B78" s="12" t="str">
        <f>New!A:A</f>
        <v>AlicexMaia - 63578233 - Onlyfans.jpg</v>
      </c>
      <c r="C78" s="12" t="s">
        <v>8895</v>
      </c>
      <c r="D78" s="46">
        <f>New!P:P</f>
        <v>0</v>
      </c>
    </row>
    <row r="79" spans="1:5" ht="12.75">
      <c r="A79" s="45" t="str">
        <f ca="1">New!M:M</f>
        <v>{New} AlicexMaia https://streamtape.com/v/g9zyKga2OPtqrp2/67191993 https://lulustream.com/d/vrwc80obzmll https://doodstream.com/d/qw68x0lpd67h/67191993 (2026) #BigTits #Bigass #Teen #Solo #RIPNSFW</v>
      </c>
      <c r="B79" s="12" t="str">
        <f>New!A:A</f>
        <v>AlicexMaia - 67191993 - Onlyfans.jpg</v>
      </c>
      <c r="C79" s="12" t="s">
        <v>8895</v>
      </c>
      <c r="D79" s="46">
        <f>New!P:P</f>
        <v>0</v>
      </c>
    </row>
    <row r="80" spans="1:5" ht="12.75">
      <c r="A80" s="45" t="str">
        <f ca="1">New!M:M</f>
        <v>{New} AlicexMaia https://lulustream.com/d/xeeq7exproly https://streamtape.com/v/zp1zq3X0LdFYBVP/75717227 https://doodstream.com/d/cbfd40bocvz4/75717227 (2026) #BigTits #Bigass #Teen #Solo #RIPNSFW</v>
      </c>
      <c r="B80" s="12" t="str">
        <f>New!A:A</f>
        <v>AlicexMaia - 75717227 - Onlyfans.jpg</v>
      </c>
      <c r="C80" s="12" t="s">
        <v>8895</v>
      </c>
      <c r="D80" s="46">
        <f>New!P:P</f>
        <v>0</v>
      </c>
    </row>
    <row r="81" spans="1:4" ht="12.75">
      <c r="A81" s="45" t="str">
        <f ca="1">New!M:M</f>
        <v>{New} AlicexMaia https://streamtape.com/v/m749YwgRMoHbxyg/78662402 https://lulustream.com/d/bqia1oswt0ti https://doodstream.com/d/v7hwqbirikl7/78662402 (2026) #BigTits #Bigass #Teen #Solo #RIPNSFW</v>
      </c>
      <c r="B81" s="12" t="str">
        <f>New!A:A</f>
        <v>AlicexMaia - 78662402 - Onlyfans.jpg</v>
      </c>
      <c r="C81" s="12" t="s">
        <v>8895</v>
      </c>
      <c r="D81" s="46">
        <f>New!P:P</f>
        <v>0</v>
      </c>
    </row>
    <row r="82" spans="1:4" ht="12.75">
      <c r="A82" s="45" t="str">
        <f ca="1">New!M:M</f>
        <v>{New} AlicexMaia https://doodstream.com/d/y23cnjdmq68s/81610323 https://streamtape.com/v/GbbXKDr1qQCAbr/81610323 https://lulustream.com/d/xly2wwkhasaa (2026) #BigTits #Bigass #Teen #Solo #RIPNSFW</v>
      </c>
      <c r="B82" s="12" t="str">
        <f>New!A:A</f>
        <v>AlicexMaia - 81610323 - Onlyfans.jpg</v>
      </c>
      <c r="C82" s="12" t="s">
        <v>8895</v>
      </c>
      <c r="D82" s="46">
        <f>New!P:P</f>
        <v>0</v>
      </c>
    </row>
    <row r="83" spans="1:4" ht="12.75">
      <c r="A83" s="45" t="str">
        <f ca="1">New!M:M</f>
        <v>{New} AlicexMaia https://streamtape.com/v/dkGgPddp9yIk6PM/84776312 https://doodstream.com/d/seto06rwf7bj/84776312 https://lulustream.com/d/wezzttkgz0pp (2026) #BigTits #Bigass #Teen #Roleplay #Solo #RIPNSFW</v>
      </c>
      <c r="B83" s="12" t="str">
        <f>New!A:A</f>
        <v>AlicexMaia - 84776312 - Onlyfans.jpg</v>
      </c>
      <c r="C83" s="12" t="s">
        <v>8895</v>
      </c>
      <c r="D83" s="46">
        <f>New!P:P</f>
        <v>0</v>
      </c>
    </row>
    <row r="84" spans="1:4" ht="12.75">
      <c r="A84" s="45" t="str">
        <f ca="1">New!M:M</f>
        <v>{New} AlicexMaia https://streamtape.com/v/AqbyWbwOgqFbK9/88450355 https://doodstream.com/d/882vg8ccq1wr/88450355 https://lulustream.com/d/j90puo079yhl (2026) #BigTits #Bigass #Teen #Solo #RIPNSFW</v>
      </c>
      <c r="B84" s="12" t="str">
        <f>New!A:A</f>
        <v>AlicexMaia - 88450355 - Onlyfans.jpg</v>
      </c>
      <c r="C84" s="12" t="s">
        <v>8895</v>
      </c>
      <c r="D84" s="46">
        <f>New!P:P</f>
        <v>0</v>
      </c>
    </row>
    <row r="85" spans="1:4" ht="12.75">
      <c r="A85" s="45" t="str">
        <f ca="1">New!M:M</f>
        <v>{New} AlicexMaia https://streamtape.com/v/jk7X9zP6Dpuq3V/91745439 https://lulustream.com/d/ixtmb8to5hhw https://doodstream.com/d/t4uymf3923e5/91745439 (2026) #BigTits #Bigass #Teen #Solo #RIPNSFW</v>
      </c>
      <c r="B85" s="12" t="str">
        <f>New!A:A</f>
        <v>AlicexMaia - 91745439 - Onlyfans.jpg</v>
      </c>
      <c r="C85" s="12" t="s">
        <v>8895</v>
      </c>
      <c r="D85" s="46">
        <f>New!P:P</f>
        <v>0</v>
      </c>
    </row>
    <row r="86" spans="1:4" ht="12.75">
      <c r="A86" s="45" t="str">
        <f ca="1">New!M:M</f>
        <v>{New} AlicexMaia https://doodstream.com/d/rjzdtgrbxxgy/92921847 https://lulustream.com/d/zy347qwvxzuj https://streamtape.com/v/Bqj1G6ReyxUVmL/92921847 (2026) #BigTits #Bigass #Teen #Solo #RIPNSFW</v>
      </c>
      <c r="B86" s="12" t="str">
        <f>New!A:A</f>
        <v>AlicexMaia - 92921847 - Onlyfans.jpg</v>
      </c>
      <c r="C86" s="12" t="s">
        <v>8895</v>
      </c>
      <c r="D86" s="46">
        <f>New!P:P</f>
        <v>0</v>
      </c>
    </row>
    <row r="87" spans="1:4" ht="12.75">
      <c r="A87" s="45" t="str">
        <f ca="1">New!M:M</f>
        <v>{New} AlicexMaia https://streamtape.com/v/VV6ZxdRJr1iKMPq/96466194 https://lulustream.com/d/wh5thhzlaitd https://doodstream.com/d/f724p3271ljt/96466194 (2026) #Anal #BigTits #Teen #Solo #Blonde #RIPNSFW</v>
      </c>
      <c r="B87" s="12" t="str">
        <f>New!A:A</f>
        <v>AlicexMaia - 96466194 - Onlyfans.jpg</v>
      </c>
      <c r="C87" s="12" t="s">
        <v>8895</v>
      </c>
      <c r="D87" s="46">
        <f>New!P:P</f>
        <v>0</v>
      </c>
    </row>
    <row r="88" spans="1:4" ht="12.75">
      <c r="A88" s="45" t="str">
        <f ca="1">New!M:M</f>
        <v>{New} Alina https://lulustream.com/d/d54ahtp2dhsg https://streamtape.com/v/bw71qXOVXeiP9XL/93433724 https://doodstream.com/d/76mhuy830lni/93433724 (2026) #Anal #Casting #Creampie #Hardcore #RIPNSFW</v>
      </c>
      <c r="B88" s="12" t="str">
        <f>New!A:A</f>
        <v>Alina - 93433724 - BackroomCastingCouch.jpg</v>
      </c>
      <c r="C88" s="12" t="s">
        <v>8895</v>
      </c>
      <c r="D88" s="46">
        <f>New!P:P</f>
        <v>0</v>
      </c>
    </row>
    <row r="89" spans="1:4" ht="12.75">
      <c r="A89" s="45" t="str">
        <f ca="1">New!M:M</f>
        <v>{New} Alina Lopez https://doodstream.com/d/gtspkov3pxoz/10005852 https://lulustream.com/d/ie592u4il31i https://streamtape.com/v/ZVrypKK4mQTqJ0Q/10005852 Vanna Bardot (2026) #BigTits #Hardcore #Creampie #Bigass #Blowjob #RIPNSFW</v>
      </c>
      <c r="B89" s="12" t="str">
        <f>New!A:A</f>
        <v>Alina Lopez - 10005852 - ripnsfw.com - Vanna Bardot.jpg</v>
      </c>
      <c r="C89" s="12" t="s">
        <v>8895</v>
      </c>
      <c r="D89" s="46">
        <f>New!P:P</f>
        <v>0</v>
      </c>
    </row>
    <row r="90" spans="1:4" ht="12.75">
      <c r="A90" s="45" t="str">
        <f ca="1">New!M:M</f>
        <v>{New} Alina Lopez https://doodstream.com/d/1h5e2prejd6a/39625651 https://streamtape.com/v/2k6pokg71OHZL3Q/39625651 https://lulustream.com/d/plfx4sce1tfa Gizelle Blanco (2026) #BigTits #Hardcore #Threesome #Teen #Latina #RIPNSFW</v>
      </c>
      <c r="B90" s="12" t="str">
        <f>New!A:A</f>
        <v>Alina Lopez - 39625651 - Onlyfans - Gizelle Blanco.jpg</v>
      </c>
      <c r="C90" s="12" t="s">
        <v>8895</v>
      </c>
      <c r="D90" s="46">
        <f>New!P:P</f>
        <v>0</v>
      </c>
    </row>
    <row r="91" spans="1:4" ht="12.75">
      <c r="A91" s="45" t="str">
        <f ca="1">New!M:M</f>
        <v>{New} Alina Lopez https://doodstream.com/d/reie84klo3bs/71148658 https://streamtape.com/v/gVw6R4Wbj3tzv3/71148658 https://lulustream.com/d/ren1veqq9y0f (2026) #MILF #BigTits #Creampie #Hardcore #RIPNSFW</v>
      </c>
      <c r="B91" s="12" t="str">
        <f>New!A:A</f>
        <v>Alina Lopez - 71148658 - ripnsfw.com.jpg</v>
      </c>
      <c r="C91" s="12" t="s">
        <v>8895</v>
      </c>
      <c r="D91" s="46">
        <f>New!P:P</f>
        <v>0</v>
      </c>
    </row>
    <row r="92" spans="1:4" ht="12.75">
      <c r="A92" s="45" t="str">
        <f ca="1">New!M:M</f>
        <v>{New} Alina Lopez https://lulustream.com/d/9kq2lmrbpuni https://doodstream.com/d/hxwx1647nlm7/74635123 https://streamtape.com/v/4oAGrDvKg9idYB/74635123 Ava Amira (2026) #BigTits #Hardcore #Threesome #Teen #Blowjob #RIPNSFW</v>
      </c>
      <c r="B92" s="12" t="str">
        <f>New!A:A</f>
        <v>Alina Lopez - 74635123 - ripnsfw.com - Ava Amira.jpg</v>
      </c>
      <c r="C92" s="12" t="s">
        <v>8895</v>
      </c>
      <c r="D92" s="46">
        <f>New!P:P</f>
        <v>0</v>
      </c>
    </row>
    <row r="93" spans="1:4" ht="12.75">
      <c r="A93" s="45" t="str">
        <f ca="1">New!M:M</f>
        <v>{New} Alyx Star https://streamtape.com/v/bZe0adGZqGUPjmQ/90529176 https://lulustream.com/d/pzkqog7r5e3n https://doodstream.com/d/91jhkeqlup2t/90529176 (2026) #BigTits #Hardcore #Bigass #Porn #Teen #Blowjob #RIPNSFW</v>
      </c>
      <c r="B93" s="12" t="str">
        <f>New!A:A</f>
        <v>Alyx Star - 90529176 - ripnsfw.com.jpg</v>
      </c>
      <c r="C93" s="12" t="s">
        <v>8895</v>
      </c>
      <c r="D93" s="46">
        <f>New!P:P</f>
        <v>0</v>
      </c>
    </row>
    <row r="94" spans="1:4" ht="12.75">
      <c r="A94" s="45" t="str">
        <f ca="1">New!M:M</f>
        <v>{New} Amy Rose https://streamtape.com/v/GPQqrQGGkrT1GXJ/11992120 https://doodstream.com/d/8vtltznlolym/11992120 https://lulustream.com/d/asp928psjle8 (2026) #BigTits #Bigass #Teen #Teens #Blowjob #Amateur #RIPNSFW</v>
      </c>
      <c r="B94" s="12" t="str">
        <f>New!A:A</f>
        <v>Amy Rose - 11992120 - Onlyfans.jpg</v>
      </c>
      <c r="C94" s="12" t="s">
        <v>8895</v>
      </c>
      <c r="D94" s="46">
        <f>New!P:P</f>
        <v>0</v>
      </c>
    </row>
    <row r="95" spans="1:4" ht="12.75">
      <c r="A95" s="45" t="str">
        <f ca="1">New!M:M</f>
        <v>{New} Amy Rose https://streamtape.com/v/LpAxXPx1QlT64y/15675021 https://doodstream.com/d/0py6vqqjm9pb/15675021 https://lulustream.com/d/wc4cdpfbphfv (2026) #BigTits #Hardcore #Bigass #Teen #Artporn #Teens #Blowjob #Amateur #RIPNSFW</v>
      </c>
      <c r="B95" s="12" t="str">
        <f>New!A:A</f>
        <v>Amy Rose - 15675021 - Onlyfans.jpg</v>
      </c>
      <c r="C95" s="12" t="s">
        <v>8895</v>
      </c>
      <c r="D95" s="46">
        <f>New!P:P</f>
        <v>0</v>
      </c>
    </row>
    <row r="96" spans="1:4" ht="12.75">
      <c r="A96" s="45" t="str">
        <f ca="1">New!M:M</f>
        <v>{New} Amy Rose https://streamtape.com/v/AAopzmpAoYiXyLr/31711047 https://lulustream.com/d/ielday2z6wym https://doodstream.com/d/y473vrt32bk8/31711047 (2026) #BigTits #Hardcore #Bigass #Teen #RIPNSFW</v>
      </c>
      <c r="B96" s="12" t="str">
        <f>New!A:A</f>
        <v>Amy Rose - 31711047 - Onlyfans.jpg</v>
      </c>
      <c r="C96" s="12" t="s">
        <v>8895</v>
      </c>
      <c r="D96" s="46">
        <f>New!P:P</f>
        <v>0</v>
      </c>
    </row>
    <row r="97" spans="1:5" ht="12.75">
      <c r="A97" s="45" t="str">
        <f ca="1">New!M:M</f>
        <v>{New} Amy Rose https://lulustream.com/d/xw3quvykntrz https://streamtape.com/v/Qe8O3JRBgaI8rQ/32868523 https://doodstream.com/d/wqgkspl5273t/32868523 (2026) #BigTits #Hardcore #Creampie #Bigass #RIPNSFW</v>
      </c>
      <c r="B97" s="12" t="str">
        <f>New!A:A</f>
        <v>Amy Rose - 32868523 - Onlyfans.jpg</v>
      </c>
      <c r="C97" s="12" t="s">
        <v>8895</v>
      </c>
      <c r="D97" s="46">
        <f>New!P:P</f>
        <v>0</v>
      </c>
    </row>
    <row r="98" spans="1:5" ht="12.75">
      <c r="A98" s="45" t="str">
        <f ca="1">New!M:M</f>
        <v>{New} Amy Rose https://lulustream.com/d/8rviiecnvzxq https://streamtape.com/v/r8X4JwOV27fb7Jy/34061424 https://doodstream.com/d/hv64hzj45lu5/34061424 (2026) #BigTits #Bigass #Teen #Blowjob #RIPNSFW</v>
      </c>
      <c r="B98" s="12" t="str">
        <f>New!A:A</f>
        <v>Amy Rose - 34061424 - Onlyfans.jpg</v>
      </c>
      <c r="C98" s="12" t="s">
        <v>8895</v>
      </c>
      <c r="D98" s="46">
        <f>New!P:P</f>
        <v>0</v>
      </c>
    </row>
    <row r="99" spans="1:5" ht="12.75">
      <c r="A99" s="45" t="str">
        <f ca="1">New!M:M</f>
        <v>{New} Amy Rose https://streamtape.com/v/mwb710VDzKIbxb9/42163415 https://doodstream.com/d/1iqt7c9qt6ep/42163415 https://lulustream.com/d/odfvou546p6r (2026) #BigTits #Hardcore #Bigass #Teen #Roleplay #Teens #Amateur #Blowjob #Deepthroat #RIPNSFW</v>
      </c>
      <c r="B99" s="12" t="str">
        <f>New!A:A</f>
        <v>Amy Rose - 42163415 - Onlyfans.jpg</v>
      </c>
      <c r="C99" s="12" t="s">
        <v>8895</v>
      </c>
      <c r="D99" s="46">
        <f>New!P:P</f>
        <v>0</v>
      </c>
    </row>
    <row r="100" spans="1:5" ht="12.75">
      <c r="A100" s="45" t="str">
        <f ca="1">New!M:M</f>
        <v>{New} Amy Rose https://doodstream.com/d/89zgz9rdddzu/46469035 https://lulustream.com/d/h5snltgj7qye https://streamtape.com/v/BL79djK6Zeh6ja/46469035 (2026) #BigTits #Hardcore #Bigass #Teen #RIPNSFW</v>
      </c>
      <c r="B100" s="12" t="str">
        <f>New!A:A</f>
        <v>Amy Rose - 46469035 - Onlyfans.jpg</v>
      </c>
      <c r="C100" s="12" t="s">
        <v>8895</v>
      </c>
      <c r="D100" s="46">
        <f>New!P:P</f>
        <v>0</v>
      </c>
    </row>
    <row r="101" spans="1:5" ht="12.75">
      <c r="A101" s="45" t="str">
        <f ca="1">New!M:M</f>
        <v>{New} Amy Rose https://streamtape.com/v/pbO1o6AvaJtlKz/51937780 https://doodstream.com/d/z1tgvotmg421/51937780 https://lulustream.com/d/23qh6bn9wluq (2026) #BigTits #Hardcore #Bigass #Teen #Artporn #Blowjob #Amateur #Deepthroat #RIPNSFW</v>
      </c>
      <c r="B101" s="12" t="str">
        <f>New!A:A</f>
        <v>Amy Rose - 51937780 - Onlyfans.jpg</v>
      </c>
      <c r="C101" s="12" t="s">
        <v>8895</v>
      </c>
      <c r="D101" s="46">
        <f>New!P:P</f>
        <v>0</v>
      </c>
    </row>
    <row r="102" spans="1:5" ht="12.75">
      <c r="A102" s="45" t="str">
        <f ca="1">New!M:M</f>
        <v>{New} Amy Rose https://streamtape.com/v/1Rxj4wvzRWIekzQ/54424774 https://lulustream.com/d/99go5yqdygxn https://doodstream.com/d/n5yh7xsmosge/54424774 (2026) #BigTits #Bigass #Teen #Blowjob #Roleplay #Solo #RIPNSFW</v>
      </c>
      <c r="B102" s="12" t="str">
        <f>New!A:A</f>
        <v>Amy Rose - 54424774 - ripnsfw.com.jpg</v>
      </c>
      <c r="C102" s="12" t="s">
        <v>8895</v>
      </c>
      <c r="D102" s="46">
        <f>New!P:P</f>
        <v>0</v>
      </c>
    </row>
    <row r="103" spans="1:5" ht="12.75">
      <c r="A103" s="45" t="str">
        <f ca="1">New!M:M</f>
        <v>{New} Amy Rose https://lulustream.com/d/buz49esw3qem https://streamtape.com/v/MqD1A2Adw1sm4dZ/61578433 https://doodstream.com/d/xog56jebtp9d/61578433 (2026) #BigTits #Hardcore #Bigass #Teen #RIPNSFW</v>
      </c>
      <c r="B103" s="12" t="str">
        <f>New!A:A</f>
        <v>Amy Rose - 61578433 - Onlyfans.jpg</v>
      </c>
      <c r="C103" s="12" t="s">
        <v>8895</v>
      </c>
      <c r="D103" s="46">
        <f>New!P:P</f>
        <v>0</v>
      </c>
      <c r="E103" s="12"/>
    </row>
    <row r="104" spans="1:5" ht="12.75">
      <c r="A104" s="45" t="str">
        <f ca="1">New!M:M</f>
        <v>{New} Amy Rose https://doodstream.com/d/op3zz670prkc/61767415 https://lulustream.com/d/kj15uow8xth0 https://streamtape.com/v/MqyQyRr2wBUG9x/61767415 (2026) #BigTits #Bigass #Teen #Blowjob #RIPNSFW</v>
      </c>
      <c r="B104" s="12" t="str">
        <f>New!A:A</f>
        <v>Amy Rose - 61767415 - Onlyfans.jpg</v>
      </c>
      <c r="C104" s="12" t="s">
        <v>8895</v>
      </c>
      <c r="D104" s="46">
        <f>New!P:P</f>
        <v>0</v>
      </c>
      <c r="E104" s="12"/>
    </row>
    <row r="105" spans="1:5" ht="12.75">
      <c r="A105" s="45" t="str">
        <f ca="1">New!M:M</f>
        <v>{New} Amy Rose https://streamtape.com/v/M6rMVpbyXKfmqzY/67576256 https://lulustream.com/d/43cgjx3bv8o5 https://doodstream.com/d/fsbzsjs5p1g1/67576256 (2026) #BigTits #Hardcore #Bigass #Teen #RIPNSFW</v>
      </c>
      <c r="B105" s="12" t="str">
        <f>New!A:A</f>
        <v>Amy Rose - 67576256 - Onlyfans.jpg</v>
      </c>
      <c r="C105" s="12" t="s">
        <v>8895</v>
      </c>
      <c r="D105" s="46">
        <f>New!P:P</f>
        <v>0</v>
      </c>
      <c r="E105" s="12"/>
    </row>
    <row r="106" spans="1:5" ht="12.75">
      <c r="A106" s="45" t="str">
        <f ca="1">New!M:M</f>
        <v>{New} Amy Rose https://streamtape.com/v/ZV8VWMkO1YFqVo7/76271177 https://lulustream.com/d/oe7gx43gbbbb https://doodstream.com/d/8wvvaigfci7z/76271177 (2026) #BigTits #Bigass #Teen #Blowjob #RIPNSFW</v>
      </c>
      <c r="B106" s="12" t="str">
        <f>New!A:A</f>
        <v>Amy Rose - 76271177 - Onlyfans.jpg</v>
      </c>
      <c r="C106" s="12" t="s">
        <v>8895</v>
      </c>
      <c r="D106" s="46">
        <f>New!P:P</f>
        <v>0</v>
      </c>
    </row>
    <row r="107" spans="1:5" ht="12.75">
      <c r="A107" s="45" t="str">
        <f ca="1">New!M:M</f>
        <v>{New} Amy Rose https://streamtape.com/v/o9WBgkabjmsJwL9/93974731 https://lulustream.com/d/r7qht116rvkd https://doodstream.com/d/w7sugeleoo01/93974731 (2026) #BigTits #Bigass #Teen #Artporn #Teens #RIPNSFW</v>
      </c>
      <c r="B107" s="12" t="str">
        <f>New!A:A</f>
        <v>Amy Rose - 93974731 - Onlyfans.jpg</v>
      </c>
      <c r="C107" s="12" t="s">
        <v>8895</v>
      </c>
      <c r="D107" s="46">
        <f>New!P:P</f>
        <v>0</v>
      </c>
    </row>
    <row r="108" spans="1:5" ht="12.75">
      <c r="A108" s="45" t="str">
        <f ca="1">New!M:M</f>
        <v>{New} Angel Polikarpova https://lulustream.com/d/l9e1quxem0ow https://streamtape.com/v/6eare7rZXzT99Dv/25715402 https://doodstream.com/d/gomwn1gcelmx/25715402 (2026) #Teen #Teens #Amateur #Blonde #Facial #Blowjob #RIPNSFW</v>
      </c>
      <c r="B108" s="12" t="str">
        <f>New!A:A</f>
        <v>Angel Polikarpova - 25715402 - ripnsfw.com.jpg</v>
      </c>
      <c r="C108" s="12" t="s">
        <v>8895</v>
      </c>
      <c r="D108" s="46">
        <f>New!P:P</f>
        <v>0</v>
      </c>
    </row>
    <row r="109" spans="1:5" ht="12.75">
      <c r="A109" s="45" t="str">
        <f ca="1">New!M:M</f>
        <v>{New} Angel Polikarpova https://doodstream.com/d/t30ehp9xmsq7/43758104 https://lulustream.com/d/st2h37a2sjlo https://streamtape.com/v/dKLW73yOB9SkOpy/43758104 (2026) #Hardcore #Teen #Artporn #Teens #Blowjob #Amateur #Blonde #Footjob #RIPNSFW</v>
      </c>
      <c r="B109" s="12" t="str">
        <f>New!A:A</f>
        <v>Angel Polikarpova - 43758104 - ripnsfw.com.jpg</v>
      </c>
      <c r="C109" s="12" t="s">
        <v>8895</v>
      </c>
      <c r="D109" s="46">
        <f>New!P:P</f>
        <v>0</v>
      </c>
    </row>
    <row r="110" spans="1:5" ht="12.75">
      <c r="A110" s="45" t="str">
        <f ca="1">New!M:M</f>
        <v>{New} Angel Polikarpova https://streamtape.com/v/Gb8pGe7ZV3f1rMw/51911298 https://doodstream.com/d/smdj5kzgz9u7/51911298 https://lulustream.com/d/4a03rbumdav4 (2026) #Hardcore #Teen #Teens #Artporn #RIPNSFW</v>
      </c>
      <c r="B110" s="12" t="str">
        <f>New!A:A</f>
        <v>Angel Polikarpova - 51911298 - ripnsfw.com.jpg</v>
      </c>
      <c r="C110" s="12" t="s">
        <v>8895</v>
      </c>
      <c r="D110" s="46">
        <f>New!P:P</f>
        <v>0</v>
      </c>
      <c r="E110" s="12"/>
    </row>
    <row r="111" spans="1:5" ht="12.75">
      <c r="A111" s="45" t="str">
        <f ca="1">New!M:M</f>
        <v>{New} Angel Youngs https://doodstream.com/d/ssrwm78yf3gd/10017287 https://streamtape.com/v/a7aDqJ7rJKI2ez/10017287 https://lulustream.com/d/7podgnvtfnnv Gabby Stone (2026) #BigTits #Hardcore #Threesome #Teen #RIPNSFW</v>
      </c>
      <c r="B111" s="12" t="str">
        <f>New!A:A</f>
        <v>Angel Youngs - 10017287 - Onlyfans - Gabby Stone.jpg</v>
      </c>
      <c r="C111" s="12" t="s">
        <v>8895</v>
      </c>
      <c r="D111" s="46">
        <f>New!P:P</f>
        <v>0</v>
      </c>
      <c r="E111" s="12"/>
    </row>
    <row r="112" spans="1:5" ht="12.75">
      <c r="A112" s="45" t="str">
        <f ca="1">New!M:M</f>
        <v>{New} Angel Youngs https://doodstream.com/d/k7u0wd503ww1/14830070 https://lulustream.com/d/0sohg9whc8il https://streamtape.com/v/904W9yAqPDHarK4/14830070 (2026) #BigTits #Hardcore #Interracial #Teen #RIPNSFW</v>
      </c>
      <c r="B112" s="12" t="str">
        <f>New!A:A</f>
        <v>Angel Youngs - 14830070 - Onlyfans.jpg</v>
      </c>
      <c r="C112" s="12" t="s">
        <v>8895</v>
      </c>
      <c r="D112" s="46">
        <f>New!P:P</f>
        <v>0</v>
      </c>
    </row>
    <row r="113" spans="1:5" ht="12.75">
      <c r="A113" s="45" t="str">
        <f ca="1">New!M:M</f>
        <v>{New} Angel Youngs https://lulustream.com/d/991u2ptodagg https://streamtape.com/v/029P2qMpywI0Gb/16899051 https://doodstream.com/d/01q2ndl5lmah/16899051 (2026) #BigTits #Hardcore #Teen #Blowjob #Amateur #Deepthroat #Blonde #RIPNSFW</v>
      </c>
      <c r="B113" s="12" t="str">
        <f>New!A:A</f>
        <v>Angel Youngs - 16899051 - ripnsfw.com.jpg</v>
      </c>
      <c r="C113" s="12" t="s">
        <v>8895</v>
      </c>
      <c r="D113" s="46">
        <f>New!P:P</f>
        <v>0</v>
      </c>
    </row>
    <row r="114" spans="1:5" ht="12.75">
      <c r="A114" s="45" t="str">
        <f ca="1">New!M:M</f>
        <v>{New} Angel Youngs https://doodstream.com/d/vd1fvsogu5sh/17971848 https://streamtape.com/v/O7KmKOd190fZO6b/17971848 https://lulustream.com/d/istxec71o6w0 (2026) #BigTits #Hardcore #Bigass #Teen #Blowjob #RIPNSFW</v>
      </c>
      <c r="B114" s="12" t="str">
        <f>New!A:A</f>
        <v>Angel Youngs - 17971848 - ripnsfw.com.jpg</v>
      </c>
      <c r="C114" s="12" t="s">
        <v>8895</v>
      </c>
      <c r="D114" s="46">
        <f>New!P:P</f>
        <v>0</v>
      </c>
    </row>
    <row r="115" spans="1:5" ht="12.75">
      <c r="A115" s="45" t="str">
        <f ca="1">New!M:M</f>
        <v>{New} Angel Youngs https://doodstream.com/d/m89qnnivkqlx/19396508 https://streamtape.com/v/K9abBWRqk1S0mBg/19396508 https://lulustream.com/d/u50pq22cc3p4 Victoria Peach (2026) #MILF #BigTits #Hardcore #Threesome #RIPNSFW</v>
      </c>
      <c r="B115" s="12" t="str">
        <f>New!A:A</f>
        <v>Angel Youngs - 19396508 - Onlyfans - Victoria Peach.jpg</v>
      </c>
      <c r="C115" s="12" t="s">
        <v>8895</v>
      </c>
      <c r="D115" s="46">
        <f>New!P:P</f>
        <v>0</v>
      </c>
      <c r="E115" s="12"/>
    </row>
    <row r="116" spans="1:5" ht="12.75">
      <c r="A116" s="45" t="str">
        <f ca="1">New!M:M</f>
        <v>{New} Angel Youngs https://streamtape.com/v/Rq7Ao8J2Kdsxj6/22368558 https://lulustream.com/d/si92qo64blfc https://doodstream.com/d/lqhpa2gyvyhb/22368558 (2026) #BigTits #Hardcore #Bigass #Porn #RIPNSFW</v>
      </c>
      <c r="B116" s="12" t="str">
        <f>New!A:A</f>
        <v>Angel Youngs - 22368558 - ripnsfw.com.jpg</v>
      </c>
      <c r="C116" s="12" t="s">
        <v>8895</v>
      </c>
      <c r="D116" s="46">
        <f>New!P:P</f>
        <v>0</v>
      </c>
    </row>
    <row r="117" spans="1:5" ht="12.75">
      <c r="A117" s="45" t="str">
        <f ca="1">New!M:M</f>
        <v>{New} Angel Youngs https://lulustream.com/d/4pwir1blp7g3 https://streamtape.com/v/zxV8mKa0LbtYRzK/23483375 https://doodstream.com/d/v5pityv0k9fy/23483375 (2026) #BigTits #Hardcore #Porn #Teen #Blowjob #RIPNSFW</v>
      </c>
      <c r="B117" s="12" t="str">
        <f>New!A:A</f>
        <v>Angel Youngs - 23483375 - ripnsfw.com.jpg</v>
      </c>
      <c r="C117" s="12" t="s">
        <v>8895</v>
      </c>
      <c r="D117" s="46">
        <f>New!P:P</f>
        <v>0</v>
      </c>
    </row>
    <row r="118" spans="1:5" ht="12.75">
      <c r="A118" s="45" t="str">
        <f ca="1">New!M:M</f>
        <v>{New} Angel Youngs https://streamtape.com/v/JYze8Wev7vTjjym/24858157 https://doodstream.com/d/76wpd4z1xkmb/24858157 https://lulustream.com/d/c1ngxtsf4di4 (2026) #BigTits #Hardcore #Interracial #Teen #RIPNSFW</v>
      </c>
      <c r="B118" s="12" t="str">
        <f>New!A:A</f>
        <v>Angel Youngs - 24858157 - Onlyfans.jpg</v>
      </c>
      <c r="C118" s="12" t="s">
        <v>8895</v>
      </c>
      <c r="D118" s="46">
        <f>New!P:P</f>
        <v>0</v>
      </c>
    </row>
    <row r="119" spans="1:5" ht="12.75">
      <c r="A119" s="45" t="str">
        <f ca="1">New!M:M</f>
        <v>{New} Angel Youngs https://doodstream.com/d/d5hzpj8oxvff/33789471 https://lulustream.com/d/uxflgas98970 https://streamtape.com/v/VPMG7XlzWgSYzr/33789471 Kayley Gunner (2026) #BigTits #Lesbian #Bigass #Amateur #Blonde #RIPNSFW</v>
      </c>
      <c r="B119" s="12" t="str">
        <f>New!A:A</f>
        <v>Angel Youngs - 33789471 - ripnsfw.com - Kayley Gunner.jpg</v>
      </c>
      <c r="C119" s="12" t="s">
        <v>8895</v>
      </c>
      <c r="D119" s="46">
        <f>New!P:P</f>
        <v>0</v>
      </c>
    </row>
    <row r="120" spans="1:5" ht="12.75">
      <c r="A120" s="45" t="str">
        <f ca="1">New!M:M</f>
        <v>{New} Angel Youngs https://lulustream.com/d/yfbqpwlp4x7a https://streamtape.com/v/Odll3oxVOAh9LQ/35043183 https://doodstream.com/d/shnje1ssxjor/35043183 (2026) #BigTits #Hardcore #Teen #Artporn #RIPNSFW</v>
      </c>
      <c r="B120" s="12" t="str">
        <f>New!A:A</f>
        <v>Angel Youngs - 35043183 - Onlyfans.jpg</v>
      </c>
      <c r="C120" s="12" t="s">
        <v>8895</v>
      </c>
      <c r="D120" s="46">
        <f>New!P:P</f>
        <v>0</v>
      </c>
      <c r="E120" s="12"/>
    </row>
    <row r="121" spans="1:5" ht="12.75">
      <c r="A121" s="45" t="str">
        <f ca="1">New!M:M</f>
        <v>{New} Angel Youngs https://streamtape.com/v/0LJPdYd6xkUg1D/38556377 https://doodstream.com/d/grd5ra7twakt/38556377 https://lulustream.com/d/ub86j58ullix (2026) #BigTits #Hardcore #Threesome #Teen #Bigass #Porn #Teens #Artporn #RIPNSFW</v>
      </c>
      <c r="B121" s="12" t="str">
        <f>New!A:A</f>
        <v>Angel Youngs - 38556377 - ripnsfw.com.jpg</v>
      </c>
      <c r="C121" s="12" t="s">
        <v>8895</v>
      </c>
      <c r="D121" s="46">
        <f>New!P:P</f>
        <v>0</v>
      </c>
    </row>
    <row r="122" spans="1:5" ht="12.75">
      <c r="A122" s="45" t="str">
        <f ca="1">New!M:M</f>
        <v>{New} Angel Youngs https://doodstream.com/d/hnbcnhpsyowt/38723706 https://streamtape.com/v/6m9JkoGeo6U9288/38723706 https://lulustream.com/d/52qdxwi8zlcz TheDanDangler (2026) #BigTits #Hardcore #Black #Threesome #RIPNSFW</v>
      </c>
      <c r="B122" s="12" t="str">
        <f>New!A:A</f>
        <v>Angel Youngs - 38723706 - ripnsfw.com - TheDanDangler.jpg</v>
      </c>
      <c r="C122" s="12" t="s">
        <v>8895</v>
      </c>
      <c r="D122" s="46">
        <f>New!P:P</f>
        <v>0</v>
      </c>
    </row>
    <row r="123" spans="1:5" ht="12.75">
      <c r="A123" s="45" t="str">
        <f ca="1">New!M:M</f>
        <v>{New} Angel Youngs https://lulustream.com/d/ige09y8zdhpx https://streamtape.com/v/Z1Mp3PYdlJUPxV/42346078 https://doodstream.com/d/1qcgjhcjhnr0/42346078 (2026) #BigTits #Hardcore #Black #Interracial #RIPNSFW</v>
      </c>
      <c r="B123" s="12" t="str">
        <f>New!A:A</f>
        <v>Angel Youngs - 42346078 - Blacked.jpg</v>
      </c>
      <c r="C123" s="12" t="s">
        <v>8895</v>
      </c>
      <c r="D123" s="46">
        <f>New!P:P</f>
        <v>0</v>
      </c>
    </row>
    <row r="124" spans="1:5" ht="12.75">
      <c r="A124" s="45" t="str">
        <f ca="1">New!M:M</f>
        <v>{New} Angel Youngs https://streamtape.com/v/W8wWbO1M7MIbz3g/43443695 https://lulustream.com/d/lj0ojevkoz9p https://doodstream.com/d/qrxa0x6t4i85/43443695 Katrina Colt (2026) #BigTits #Hardcore #Black #Threesome #RIPNSFW</v>
      </c>
      <c r="B124" s="12" t="str">
        <f>New!A:A</f>
        <v>Angel Youngs - 43443695 - XVRED - Katrina Colt.jpg</v>
      </c>
      <c r="C124" s="12" t="s">
        <v>8895</v>
      </c>
      <c r="D124" s="46">
        <f>New!P:P</f>
        <v>0</v>
      </c>
    </row>
    <row r="125" spans="1:5" ht="12.75">
      <c r="A125" s="45" t="str">
        <f ca="1">New!M:M</f>
        <v>{New} Angel Youngs https://doodstream.com/d/pdponckq9arl/45727650 https://streamtape.com/v/88orX2A29YToP30/45727650 https://lulustream.com/d/kp1tzsu4j7ng (2026) #BigTits #Hardcore #Creampie #Bigass #Teen #Teens #Blowjob #Amateur #RIPNSFW</v>
      </c>
      <c r="B125" s="12" t="str">
        <f>New!A:A</f>
        <v>Angel Youngs - 45727650 - ripnsfw.com.jpg</v>
      </c>
      <c r="C125" s="12" t="s">
        <v>8895</v>
      </c>
      <c r="D125" s="46">
        <f>New!P:P</f>
        <v>0</v>
      </c>
    </row>
    <row r="126" spans="1:5" ht="12.75">
      <c r="A126" s="45" t="str">
        <f ca="1">New!M:M</f>
        <v>{New} Angel Youngs https://lulustream.com/d/gjk174gr3czb https://streamtape.com/v/PJKqdOgX9jC0zbe/46788072 https://doodstream.com/d/uiubehou4lkl/46788072 (2026) #BigTits #Hardcore #Black #Interracial #Bigass #Teen #Blowjob #Amateur #RIPNSFW</v>
      </c>
      <c r="B126" s="12" t="str">
        <f>New!A:A</f>
        <v>Angel Youngs - 46788072 - ripnsfw.com.jpg</v>
      </c>
      <c r="C126" s="12" t="s">
        <v>8895</v>
      </c>
      <c r="D126" s="46">
        <f>New!P:P</f>
        <v>0</v>
      </c>
    </row>
    <row r="127" spans="1:5" ht="12.75">
      <c r="A127" s="45" t="str">
        <f ca="1">New!M:M</f>
        <v>{New} Angel Youngs https://streamtape.com/v/m3qVpgjR3LU2dM/52422947 https://lulustream.com/d/pdv4psfv38tk https://doodstream.com/d/x4p9nk0ua3b9/52422947 (2026) #BigTits #Hardcore #Bigass #Teen #RIPNSFW</v>
      </c>
      <c r="B127" s="12" t="str">
        <f>New!A:A</f>
        <v>Angel Youngs - 52422947 - ripnsfw.com.jpg</v>
      </c>
      <c r="C127" s="12" t="s">
        <v>8895</v>
      </c>
      <c r="D127" s="46">
        <f>New!P:P</f>
        <v>0</v>
      </c>
    </row>
    <row r="128" spans="1:5" ht="12.75">
      <c r="A128" s="45" t="str">
        <f ca="1">New!M:M</f>
        <v>{New} Angel Youngs https://lulustream.com/d/ecudn55al30p https://doodstream.com/d/byki9xmu5dkr/54216002 https://streamtape.com/v/oW20bQvLVGFJy9x/54216002 Angela White (2026) #MILF #BigTits #Hardcore #Threesome #RIPNSFW</v>
      </c>
      <c r="B128" s="12" t="str">
        <f>New!A:A</f>
        <v>Angel Youngs - 54216002 - Onlyfans - Angela White.jpg</v>
      </c>
      <c r="C128" s="12" t="s">
        <v>8895</v>
      </c>
      <c r="D128" s="46">
        <f>New!P:P</f>
        <v>0</v>
      </c>
    </row>
    <row r="129" spans="1:5" ht="12.75">
      <c r="A129" s="45" t="str">
        <f ca="1">New!M:M</f>
        <v>{New} Angel Youngs https://lulustream.com/d/xoz8j3ntbvmx https://streamtape.com/v/zbGWV7b693hYDxb/59835343 https://doodstream.com/d/ozlcod8zqgog/59835343 (2026) #BigTits #Hardcore #Bigass #Porn #Teen #Blowjob #Deepthroat #Blonde #Facial #RIPNSFW</v>
      </c>
      <c r="B129" s="12" t="str">
        <f>New!A:A</f>
        <v>Angel Youngs - 59835343 - ripnsfw.com.jpg</v>
      </c>
      <c r="C129" s="12" t="s">
        <v>8895</v>
      </c>
      <c r="D129" s="46">
        <f>New!P:P</f>
        <v>0</v>
      </c>
    </row>
    <row r="130" spans="1:5" ht="12.75">
      <c r="A130" s="45" t="str">
        <f ca="1">New!M:M</f>
        <v>{New} Angel Youngs https://streamtape.com/v/okQ8vYP4AzsJkLJ/78515446 https://lulustream.com/d/t4irkhf872pu https://doodstream.com/d/bh7aaltpliqv/78515446 Angela White (2026) #MILF #BigTits #Hardcore #Black #RIPNSFW</v>
      </c>
      <c r="B130" s="12" t="str">
        <f>New!A:A</f>
        <v>Angel Youngs - 78515446 - Onlyfans - Angela White.jpg</v>
      </c>
      <c r="C130" s="12" t="s">
        <v>8895</v>
      </c>
      <c r="D130" s="46">
        <f>New!P:P</f>
        <v>0</v>
      </c>
    </row>
    <row r="131" spans="1:5" ht="12.75">
      <c r="A131" s="45" t="str">
        <f ca="1">New!M:M</f>
        <v>{New} Angel Youngs https://lulustream.com/d/aipb9v02sjaq https://doodstream.com/d/bc2bn8so4asg/86773019 https://streamtape.com/v/DAdVoZjDMdu6pP/86773019 (2026) #BigTits #Hardcore #Porn #Teen #RIPNSFW</v>
      </c>
      <c r="B131" s="12" t="str">
        <f>New!A:A</f>
        <v>Angel Youngs - 86773019 - ripnsfw.com.jpg</v>
      </c>
      <c r="C131" s="12" t="s">
        <v>8895</v>
      </c>
      <c r="D131" s="46">
        <f>New!P:P</f>
        <v>0</v>
      </c>
      <c r="E131" s="12"/>
    </row>
    <row r="132" spans="1:5" ht="12.75">
      <c r="A132" s="45" t="str">
        <f ca="1">New!M:M</f>
        <v>{New} Angel Youngs https://lulustream.com/d/irf7bg9h9pns https://doodstream.com/d/bufk5se9yw20/89644494 https://streamtape.com/v/4q42ZPajY4CKPXp/89644494 (2026) #BigTits #Black #Interracial #Teen #RIPNSFW</v>
      </c>
      <c r="B132" s="12" t="str">
        <f>New!A:A</f>
        <v>Angel Youngs - 89644494 - Onlyfans.jpg</v>
      </c>
      <c r="C132" s="12" t="s">
        <v>8895</v>
      </c>
      <c r="D132" s="46">
        <f>New!P:P</f>
        <v>0</v>
      </c>
      <c r="E132" s="12"/>
    </row>
    <row r="133" spans="1:5" ht="12.75">
      <c r="A133" s="45" t="str">
        <f ca="1">New!M:M</f>
        <v>{New} Angel Youngs https://lulustream.com/d/w53khjycrwfd https://doodstream.com/d/ryj1z23owgh4/90409368 https://streamtape.com/v/LqVkQVyoymfRm3g/90409368 (2026) #BigTits #Hardcore #Piss #Black #Interracial #Teen #Blowjob #Deepthroat #RIPNSFW</v>
      </c>
      <c r="B133" s="12" t="str">
        <f>New!A:A</f>
        <v>Angel Youngs - 90409368 - ripnsfw.com.jpg</v>
      </c>
      <c r="C133" s="12" t="s">
        <v>8895</v>
      </c>
      <c r="D133" s="46">
        <f>New!P:P</f>
        <v>0</v>
      </c>
    </row>
    <row r="134" spans="1:5" ht="12.75">
      <c r="A134" s="45" t="str">
        <f ca="1">New!M:M</f>
        <v>{New} Angel Youngs https://streamtape.com/v/qMj0pdaRwOTYV7/91358559 https://lulustream.com/d/wdkjwhat9mo5 https://doodstream.com/d/wiheixgovp4u/91358559 (2026) #Anal #BigTits #Hardcore #Gangbang #Black #Interracial #Teen #Blowjob #Amateur #Deepthroat #Blonde #RIPNSFW</v>
      </c>
      <c r="B134" s="12" t="str">
        <f>New!A:A</f>
        <v>Angel Youngs - 91358559 - ripnsfw.com.jpg</v>
      </c>
      <c r="C134" s="12" t="s">
        <v>8895</v>
      </c>
      <c r="D134" s="46">
        <f>New!P:P</f>
        <v>0</v>
      </c>
    </row>
    <row r="135" spans="1:5" ht="12.75">
      <c r="A135" s="45" t="str">
        <f ca="1">New!M:M</f>
        <v>{New} Angel Youngs https://doodstream.com/d/avn1ir39ssr0/94892923 https://lulustream.com/d/6avvn8f0wgt2 https://streamtape.com/v/ldLaBdMgYOF7G1p/94892923 (2026) #BigTits #Hardcore #Teen #Blowjob #RIPNSFW</v>
      </c>
      <c r="B135" s="12" t="str">
        <f>New!A:A</f>
        <v>Angel Youngs - 94892923 - Onlyfans.jpg</v>
      </c>
      <c r="C135" s="12" t="s">
        <v>8895</v>
      </c>
      <c r="D135" s="46">
        <f>New!P:P</f>
        <v>0</v>
      </c>
    </row>
    <row r="136" spans="1:5" ht="12.75">
      <c r="A136" s="45" t="str">
        <f ca="1">New!M:M</f>
        <v>{New} Angel Youngs https://doodstream.com/d/l3kum2tovuz6/95299695 https://lulustream.com/d/j6tacbhfvd9c https://streamtape.com/v/DPWr8zAaP2tkOgL/95299695 Angela White (2026) #MILF #BigTits #Hardcore #Threesome #RIPNSFW</v>
      </c>
      <c r="B136" s="12" t="str">
        <f>New!A:A</f>
        <v>Angel Youngs - 95299695 - Onlyfans - Angela White.jpg</v>
      </c>
      <c r="C136" s="12" t="s">
        <v>8895</v>
      </c>
      <c r="D136" s="46">
        <f>New!P:P</f>
        <v>0</v>
      </c>
      <c r="E136" s="12"/>
    </row>
    <row r="137" spans="1:5" ht="12.75">
      <c r="A137" s="45" t="str">
        <f ca="1">New!M:M</f>
        <v>{New} Angel Youngs https://streamtape.com/v/GjPvMgpvJ0HYA8/99101023 https://lulustream.com/d/3lzdke0dictk https://doodstream.com/d/8ul6e06db897/99101023 (2026) #BigTits #Hardcore #Teen #Artporn #RIPNSFW</v>
      </c>
      <c r="B137" s="12" t="str">
        <f>New!A:A</f>
        <v>Angel Youngs - 99101023 - Onlyfans.jpg</v>
      </c>
      <c r="C137" s="12" t="s">
        <v>8895</v>
      </c>
      <c r="D137" s="46">
        <f>New!P:P</f>
        <v>0</v>
      </c>
      <c r="E137" s="12"/>
    </row>
    <row r="138" spans="1:5" ht="12.75">
      <c r="A138" s="45" t="str">
        <f ca="1">New!M:M</f>
        <v>{New} Angela White https://lulustream.com/d/1qo5i2p23jsh https://doodstream.com/d/z2bq2cpsogf9/12494438 https://streamtape.com/v/ekJkpK7BrLfYgDx/Angela_White_-_12494438_-_Onlyfans_-_VIolet_Myers.mp4 Violet Myers (2026) #MILF #BigTits #Hardcore #Threesome #RIPNSFW</v>
      </c>
      <c r="B138" s="12" t="str">
        <f>New!A:A</f>
        <v>Angela White - 12494438 - Onlyfans - Violet Myers.jpg</v>
      </c>
      <c r="C138" s="12" t="s">
        <v>8895</v>
      </c>
      <c r="D138" s="46">
        <f>New!P:P</f>
        <v>0</v>
      </c>
      <c r="E138" s="12"/>
    </row>
    <row r="139" spans="1:5" ht="12.75">
      <c r="A139" s="45" t="str">
        <f ca="1">New!M:M</f>
        <v>{New} Angela White https://streamtape.com/v/wkz9Pd7LakFJ9Yz/Angela_White_-_12902427_-_Onlyfans.mp4 https://lulustream.com/d/kgb3phwxt6rk https://doodstream.com/d/cpqwcyv6i8l4/12902427 (2026) #MILF #BigTits #Hardcore #Black #RIPNSFW</v>
      </c>
      <c r="B139" s="12" t="str">
        <f>New!A:A</f>
        <v>Angela White - 12902427 - Onlyfans.jpg</v>
      </c>
      <c r="C139" s="12" t="s">
        <v>8895</v>
      </c>
      <c r="D139" s="46">
        <f>New!P:P</f>
        <v>0</v>
      </c>
    </row>
    <row r="140" spans="1:5" ht="12.75">
      <c r="A140" s="45" t="str">
        <f ca="1">New!M:M</f>
        <v>{New} Angela White https://lulustream.com/d/4hcb18eikve5 https://streamtape.com/v/JXb9X2gxrzujK8P/Angela_White_-_13039747_-_Onlyfans_-_Rissa_May.mp4 https://doodstream.com/d/ydpi49551chk/13039747 Rissa May (2026) #MILF #BigTits #Hardcore #Threesome #RIPNSFW</v>
      </c>
      <c r="B140" s="12" t="str">
        <f>New!A:A</f>
        <v>Angela White - 13039747 - Onlyfans - Rissa May.jpg</v>
      </c>
      <c r="C140" s="12" t="s">
        <v>8895</v>
      </c>
      <c r="D140" s="46">
        <f>New!P:P</f>
        <v>0</v>
      </c>
    </row>
    <row r="141" spans="1:5" ht="12.75">
      <c r="A141" s="45" t="str">
        <f ca="1">New!M:M</f>
        <v>{New} Angela White https://streamtape.com/v/JXdA7B83mmcjXaw/Angela_White_-_13108503_-_Onlyfans_-_Violet_Myers.mp4 https://lulustream.com/d/okxum71y30q8 https://doodstream.com/d/xemgzn7wst8c/13108503 Violet Myers (2026) #MILF #BigTits #Hardcore #Threesome #RIPNSFW</v>
      </c>
      <c r="B141" s="12" t="str">
        <f>New!A:A</f>
        <v>Angela White - 13108503 - Onlyfans - Violet Myers.jpg</v>
      </c>
      <c r="C141" s="12" t="s">
        <v>8895</v>
      </c>
      <c r="D141" s="46">
        <f>New!P:P</f>
        <v>0</v>
      </c>
      <c r="E141" s="12"/>
    </row>
    <row r="142" spans="1:5" ht="12.75">
      <c r="A142" s="45" t="str">
        <f ca="1">New!M:M</f>
        <v>{New} Angela White https://streamtape.com/v/xyeXrd6lzMcqL6/Angela_White_-_16510520_-_ripnsfw.com https://lulustream.com/d/vpvrldl9a8v5 https://doodstream.com/d/yiz9rsq57pr8/16510520 (2026) #Anal #MILF #BigTits #Hardcore #Bigass #RIPNSFW</v>
      </c>
      <c r="B142" s="12" t="str">
        <f>New!A:A</f>
        <v>Angela White - 16510520 - ripnsfw.com.jpg</v>
      </c>
      <c r="C142" s="12" t="s">
        <v>8895</v>
      </c>
      <c r="D142" s="46">
        <f>New!P:P</f>
        <v>0</v>
      </c>
    </row>
    <row r="143" spans="1:5" ht="12.75">
      <c r="A143" s="45" t="str">
        <f ca="1">New!M:M</f>
        <v>{New} Angela White https://doodstream.com/d/l9bz9jfj0tpu/17458052 https://streamtape.com/v/jVeAY1LVMPfzeyd/Angela_White_-_17458052_-_Onlyfans https://lulustream.com/d/84k5ysn9teyy (2026) #Anal #MILF #BigTits #Hardcore #RIPNSFW</v>
      </c>
      <c r="B143" s="12" t="str">
        <f>New!A:A</f>
        <v>Angela White - 17458052 - Onlyfans.jpg</v>
      </c>
      <c r="C143" s="12" t="s">
        <v>8895</v>
      </c>
      <c r="D143" s="46">
        <f>New!P:P</f>
        <v>0</v>
      </c>
      <c r="E143" s="12"/>
    </row>
    <row r="144" spans="1:5" ht="12.75">
      <c r="A144" s="45" t="str">
        <f ca="1">New!M:M</f>
        <v>{New} Angela White https://lulustream.com/d/atgpgut2a8k5 https://doodstream.com/d/4tnxlu3h9o7y/18200560 https://streamtape.com/v/R6ygo12dZgfLdM/Angela_White_-_18200560_-_ripnsfw.com.mp4 (2026) #Anal #MILF #BigTits #Hardcore #Bigass #RIPNSFW</v>
      </c>
      <c r="B144" s="12" t="str">
        <f>New!A:A</f>
        <v>Angela White - 18200560 - ripnsfw.com.jpg</v>
      </c>
      <c r="C144" s="12" t="s">
        <v>8895</v>
      </c>
      <c r="D144" s="46">
        <f>New!P:P</f>
        <v>0</v>
      </c>
    </row>
    <row r="145" spans="1:5" ht="12.75">
      <c r="A145" s="45" t="str">
        <f ca="1">New!M:M</f>
        <v>{New} Angela White https://lulustream.com/d/sngehhhof716 https://streamtape.com/v/p7gPx78RMjHrQGG/Angela_White_-_19495197_-_ripnsfw.com https://doodstream.com/d/811p8g3kud8l/19495197 (2026) #BigTits #Hardcore #Bigass #Porn #Teen #Blowjob #Deepthroat #RIPNSFW</v>
      </c>
      <c r="B145" s="12" t="str">
        <f>New!A:A</f>
        <v>Angela White - 19495197 - ripnsfw.com.jpg</v>
      </c>
      <c r="C145" s="12" t="s">
        <v>8895</v>
      </c>
      <c r="D145" s="46">
        <f>New!P:P</f>
        <v>0</v>
      </c>
    </row>
    <row r="146" spans="1:5" ht="12.75">
      <c r="A146" s="45" t="str">
        <f ca="1">New!M:M</f>
        <v>{New} Angela White https://streamtape.com/v/xrj84qrr7XTkAPb/Angela_White_-_20152147_-_ripnsfw.com https://doodstream.com/d/jxx7g3ag6fdq/20152147 https://lulustream.com/d/dynbcnyjcbzg (2026) #MILF #BigTits #Hardcore #Black #Interracial #RIPNSFW</v>
      </c>
      <c r="B146" s="12" t="str">
        <f>New!A:A</f>
        <v>Angela White - 20152147 - ripnsfw.com.jpg</v>
      </c>
      <c r="C146" s="12" t="s">
        <v>8895</v>
      </c>
      <c r="D146" s="46">
        <f>New!P:P</f>
        <v>0</v>
      </c>
      <c r="E146" s="12"/>
    </row>
    <row r="147" spans="1:5" ht="12.75">
      <c r="A147" s="45" t="str">
        <f ca="1">New!M:M</f>
        <v>{New} Angela White https://doodstream.com/d/9nztl5vta0r0/20460908 https://streamtape.com/v/X2B6BO9zaWUDr7e/Angela_White_-_20460908_-_Onlyfans https://lulustream.com/d/o5v1jpfebmak (2026) #Anal #MILF #BigTits #Hardcore #RIPNSFW</v>
      </c>
      <c r="B147" s="12" t="str">
        <f>New!A:A</f>
        <v>Angela White - 20460908 - Onlyfans.jpg</v>
      </c>
      <c r="C147" s="12" t="s">
        <v>8895</v>
      </c>
      <c r="D147" s="46">
        <f>New!P:P</f>
        <v>0</v>
      </c>
    </row>
    <row r="148" spans="1:5" ht="12.75">
      <c r="A148" s="45" t="str">
        <f ca="1">New!M:M</f>
        <v>{New} Angela White https://doodstream.com/d/lnv99asltnq4/21926159 https://streamtape.com/v/Oar3WJQyzxs94d/Angela_White_-_21926159_-_ripnsfw.com_-_Violet_Myers_-_Lena_the_plug.mp4 https://lulustream.com/d/buqmzug523qm Violet Myers Lena the plug (2026) #MILF #BigTits #Lesbian #Bigass #Latina #Roleplay #Stepmom #Blowjob #Foursome #RIPNSFW</v>
      </c>
      <c r="B148" s="12" t="str">
        <f>New!A:A</f>
        <v>Angela White - 21926159 - ripnsfw.com - Violet Myers - Lena the plug.jpg</v>
      </c>
      <c r="C148" s="12" t="s">
        <v>8895</v>
      </c>
      <c r="D148" s="46">
        <f>New!P:P</f>
        <v>0</v>
      </c>
    </row>
    <row r="149" spans="1:5" ht="12.75">
      <c r="A149" s="45" t="str">
        <f ca="1">New!M:M</f>
        <v>{New} Angela White https://doodstream.com/d/etvtu8v6cgig/23967656 https://streamtape.com/v/G21vRyAx3Bcayv/Angela_White_-_23967656_-_ripnsfw.com_-_Rissa_May.mp4 https://lulustream.com/d/ngjiykqzc9ao Rissa May (2026) #MILF #BigTits #Hardcore #Black #RIPNSFW</v>
      </c>
      <c r="B149" s="12" t="str">
        <f>New!A:A</f>
        <v>Angela White - 23967656 - ripnsfw.com - Rissa May.jpg</v>
      </c>
      <c r="C149" s="12" t="s">
        <v>8895</v>
      </c>
      <c r="D149" s="46">
        <f>New!P:P</f>
        <v>0</v>
      </c>
    </row>
    <row r="150" spans="1:5" ht="12.75">
      <c r="A150" s="45" t="str">
        <f ca="1">New!M:M</f>
        <v>{New} Angela White https://streamtape.com/v/4oqrBQg8GBUroo/Angela_White_-_25637668_-_Onlyfans_-_Angel_Youngs.mp4 https://lulustream.com/d/db942do72rsd https://doodstream.com/d/ly4wvue4rnjf/25637668 Angel Youngs (2026) #MILF #BigTits #Hardcore #Threesome #RIPNSFW</v>
      </c>
      <c r="B150" s="12" t="str">
        <f>New!A:A</f>
        <v>Angela White - 25637668 - Onlyfans - Angel Youngs.jpg</v>
      </c>
      <c r="C150" s="12" t="s">
        <v>8895</v>
      </c>
      <c r="D150" s="46">
        <f>New!P:P</f>
        <v>0</v>
      </c>
    </row>
    <row r="151" spans="1:5" ht="12.75">
      <c r="A151" s="45" t="str">
        <f ca="1">New!M:M</f>
        <v>{New} Angela White https://streamtape.com/v/2PZPxzLJeMFZOeR/Angela_White_-_25752245_-_ripnsfw.com.mp4 https://doodstream.com/d/hrb6li11d9c5/25752245 https://lulustream.com/d/g6sxc9813kxn (2026) #Anal #MILF #BigTits #Hardcore #Bigass #Porn #Squirt #Blowjob #Deepthroat #Facial #RIPNSFW</v>
      </c>
      <c r="B151" s="12" t="str">
        <f>New!A:A</f>
        <v>Angela White - 25752245 - ripnsfw.com.jpg</v>
      </c>
      <c r="C151" s="12" t="s">
        <v>8895</v>
      </c>
      <c r="D151" s="46">
        <f>New!P:P</f>
        <v>0</v>
      </c>
      <c r="E151" s="12"/>
    </row>
    <row r="152" spans="1:5" ht="12.75">
      <c r="A152" s="45" t="str">
        <f ca="1">New!M:M</f>
        <v>Angela White https://lulustream.com/d/ql05lhu0eahy https://streamtape.com/v/6mByvJ3MxxC9r2p/Angela_White_-_26849040_-_Onlyfans.mp4 https://doodstream.com/d/pyq5njdz12de/26849040 #MILF #BigTits #Hardcore #Bigass #RIPNSFW</v>
      </c>
      <c r="B152" s="12" t="str">
        <f>New!A:A</f>
        <v>Angela White - 26849040 - Onlyfans.jpg</v>
      </c>
      <c r="C152" s="12" t="s">
        <v>8895</v>
      </c>
      <c r="D152" s="46">
        <f>New!P:P</f>
        <v>0</v>
      </c>
    </row>
    <row r="153" spans="1:5" ht="12.75">
      <c r="A153" s="45" t="str">
        <f ca="1">New!M:M</f>
        <v>{New} Angela White https://lulustream.com/d/4t8s1jq5rw8t https://streamtape.com/v/8KLbylgjkVSJrv/Angela_White_-_27159838_-_Onlyfans_-_Rissa_May.mp4 https://doodstream.com/d/a5s819di5jp0/27159838 Rissa May (2026) #MILF #Anal #BigTits #Hardcore #Threesome #Bigass #RIPNSFW</v>
      </c>
      <c r="B153" s="12" t="str">
        <f>New!A:A</f>
        <v>Angela White - 27159838 - Onlyfans - Rissa May.jpg</v>
      </c>
      <c r="C153" s="12" t="s">
        <v>8895</v>
      </c>
      <c r="D153" s="46">
        <f>New!P:P</f>
        <v>0</v>
      </c>
      <c r="E153" s="12"/>
    </row>
    <row r="154" spans="1:5" ht="12.75">
      <c r="A154" s="45" t="str">
        <f ca="1">New!M:M</f>
        <v>{New} Angela White https://lulustream.com/d/myiyz69332fs https://doodstream.com/d/yu2kum2tsya3/35114411 https://streamtape.com/v/dPvQ4DPBqdSkmxx/Angela_White_-_35114411_-_Onlyfans (2026) #MILF #BigTits #Hardcore #Bigass #RIPNSFW</v>
      </c>
      <c r="B154" s="12" t="str">
        <f>New!A:A</f>
        <v>Angela White - 35114411 - Onlyfans.jpg</v>
      </c>
      <c r="C154" s="12" t="s">
        <v>8895</v>
      </c>
      <c r="D154" s="46">
        <f>New!P:P</f>
        <v>0</v>
      </c>
      <c r="E154" s="12"/>
    </row>
    <row r="155" spans="1:5" ht="12.75">
      <c r="A155" s="45" t="str">
        <f ca="1">New!M:M</f>
        <v>{New} Angela White https://streamtape.com/v/jkKyO91GmjS2Q1/Angela_White_-_35508956_-_Onlyfans https://doodstream.com/d/lzgud9mz3q9l/35508956 https://lulustream.com/d/x9r8otqqdryy (2026) #MILF #BigTits #Hardcore #Threesome #RIPNSFW</v>
      </c>
      <c r="B155" s="12" t="str">
        <f>New!A:A</f>
        <v>Angela White - 35508956 - Onlyfans.jpg</v>
      </c>
      <c r="C155" s="12" t="s">
        <v>8895</v>
      </c>
      <c r="D155" s="46">
        <f>New!P:P</f>
        <v>0</v>
      </c>
      <c r="E155" s="12"/>
    </row>
    <row r="156" spans="1:5" ht="12.75">
      <c r="A156" s="45" t="str">
        <f ca="1">New!M:M</f>
        <v>{New} Angela White https://streamtape.com/v/8BxmGVPP0eF8x2/Angela_White_-_35786373_-_Onlyfans_-_Slimthick_Vic.mp4 https://lulustream.com/d/m6e8e5o21zfh https://doodstream.com/d/lpbftcwxxpck/35786373 Slimthick Vic (2026) #MILF #BigTits #Hardcore #Threesome #RIPNSFW</v>
      </c>
      <c r="B156" s="12" t="str">
        <f>New!A:A</f>
        <v>Angela White - 35786373 - Onlyfans - Slimthick Vic.jpg</v>
      </c>
      <c r="C156" s="12" t="s">
        <v>8895</v>
      </c>
      <c r="D156" s="46">
        <f>New!P:P</f>
        <v>0</v>
      </c>
    </row>
    <row r="157" spans="1:5" ht="12.75">
      <c r="A157" s="45" t="str">
        <f ca="1">New!M:M</f>
        <v>{New} Angela White https://lulustream.com/d/9ojkh84iqyo3 https://doodstream.com/d/vkdxk8w1ssv9/36065019 https://streamtape.com/v/w7OOgWYeBvHJqyM/Angela_White_-_36065019_-_Onlyfans (2026) #MILF #BigTits #Hardcore #Bigass #RIPNSFW</v>
      </c>
      <c r="B157" s="12" t="str">
        <f>New!A:A</f>
        <v>Angela White - 36065019 - Onlyfans.jpg</v>
      </c>
      <c r="C157" s="12" t="s">
        <v>8895</v>
      </c>
      <c r="D157" s="46">
        <f>New!P:P</f>
        <v>0</v>
      </c>
    </row>
    <row r="158" spans="1:5" ht="12.75">
      <c r="A158" s="45" t="str">
        <f ca="1">New!M:M</f>
        <v>{New} Angela White https://lulustream.com/d/huem0c4wktlp https://streamtape.com/v/3dVRy7rYQAudO6Q/Angela_White_-_37542569_-_ripnsfw.com_-_Little_Puck.mp4 https://doodstream.com/d/pf8v8s4lm3nj/37542569 Little Puck (2026) #MILF #BigTits #Hardcore #Threesome #Bigass #Blowjob #RIPNSFW</v>
      </c>
      <c r="B158" s="12" t="str">
        <f>New!A:A</f>
        <v>Angela White - 37542569 - ripnsfw.com - Little Puck.jpg</v>
      </c>
      <c r="C158" s="12" t="s">
        <v>8895</v>
      </c>
      <c r="D158" s="46">
        <f>New!P:P</f>
        <v>0</v>
      </c>
      <c r="E158" s="12"/>
    </row>
    <row r="159" spans="1:5" ht="12.75">
      <c r="A159" s="45" t="str">
        <f ca="1">New!M:M</f>
        <v>{New} Angela White https://lulustream.com/d/dhe033bsc1t2 https://doodstream.com/d/6ca67xn4a6r8/39465727 https://streamtape.com/v/QJyRR4zybac0Mm3/Angela_White_-_39465727_-_ripnsfw.com_-_Amber_Bloom.mp4 Amber Bloom (2026) #MILF #BigTits #Hardcore #Threesome #Bigass #Blowjob #RIPNSFW</v>
      </c>
      <c r="B159" s="12" t="str">
        <f>New!A:A</f>
        <v>Angela White - 39465727 - ripnsfw.com - Amber Bloom.jpg</v>
      </c>
      <c r="C159" s="12" t="s">
        <v>8895</v>
      </c>
      <c r="D159" s="46">
        <f>New!P:P</f>
        <v>0</v>
      </c>
      <c r="E159" s="12"/>
    </row>
    <row r="160" spans="1:5" ht="12.75">
      <c r="A160" s="45" t="str">
        <f ca="1">New!M:M</f>
        <v>{New} Angela White https://doodstream.com/d/jkup9ro3bct1/42471317 https://streamtape.com/v/2OZ9qZwb8zuZOKP/Angela_White_-_42471317_-_Onlyfans https://lulustream.com/d/9p1ftv6y9hm0 (2026) #MILF #BigTits #Hardcore #Bigass #RIPNSFW</v>
      </c>
      <c r="B160" s="12" t="str">
        <f>New!A:A</f>
        <v>Angela White - 42471317 - Onlyfans.jpg</v>
      </c>
      <c r="C160" s="12" t="s">
        <v>8895</v>
      </c>
      <c r="D160" s="46">
        <f>New!P:P</f>
        <v>0</v>
      </c>
    </row>
    <row r="161" spans="1:5" ht="12.75">
      <c r="A161" s="45" t="str">
        <f ca="1">New!M:M</f>
        <v>{New} Angela White https://doodstream.com/d/z1d29ltfsjy6/42501148 https://lulustream.com/d/9l2fbrv1tyqu https://streamtape.com/v/eg82MGLVOjTYvYw/Angela_White_-_42501148_-_ripnsfw.com (2026) #BigTits #Hardcore #Bigass #Porn #RIPNSFW</v>
      </c>
      <c r="B161" s="12" t="str">
        <f>New!A:A</f>
        <v>Angela White - 42501148 - ripnsfw.com.jpg</v>
      </c>
      <c r="C161" s="12" t="s">
        <v>8895</v>
      </c>
      <c r="D161" s="46">
        <f>New!P:P</f>
        <v>0</v>
      </c>
    </row>
    <row r="162" spans="1:5" ht="12.75">
      <c r="A162" s="45" t="str">
        <f ca="1">New!M:M</f>
        <v>{New} Angela White https://lulustream.com/d/k3a84ptetq7c https://streamtape.com/v/RXVPoXekpoFkox/Angela_White_-_43768388_-_ripnsfw.com.mp4 https://doodstream.com/d/2yno0omwi1pu/43768388 (2026) #MILF #BigTits #Blowjob #Amateur #Deepthroat #Facial #RIPNSFW</v>
      </c>
      <c r="B162" s="12" t="str">
        <f>New!A:A</f>
        <v>Angela White - 43768388 - ripnsfw.com.jpg</v>
      </c>
      <c r="C162" s="12" t="s">
        <v>8895</v>
      </c>
      <c r="D162" s="46">
        <f>New!P:P</f>
        <v>0</v>
      </c>
    </row>
    <row r="163" spans="1:5" ht="12.75">
      <c r="A163" s="45" t="str">
        <f ca="1">New!M:M</f>
        <v>{New} Angela White https://streamtape.com/v/ZJxwljXD6eSqJ09/Angela_White_-_44664461_-_Onlyfans_-_Violet_Myers.mp4 https://doodstream.com/d/fei05kff6bko/44664461 https://lulustream.com/d/ejyp2hapw9zj Violet Myers (2026) #MILF #BigTits #Hardcore #Black #RIPNSFW</v>
      </c>
      <c r="B163" s="12" t="str">
        <f>New!A:A</f>
        <v>Angela White - 44664461 - Onlyfans - Violet Myers.jpg</v>
      </c>
      <c r="C163" s="12" t="s">
        <v>8895</v>
      </c>
      <c r="D163" s="46">
        <f>New!P:P</f>
        <v>0</v>
      </c>
      <c r="E163" s="12"/>
    </row>
    <row r="164" spans="1:5" ht="12.75">
      <c r="A164" s="45" t="str">
        <f ca="1">New!M:M</f>
        <v>{New} Angela White https://streamtape.com/v/VdJw42Ly47tK7vX/Angela_White_-_55230680_-_Onlyfans_-_ripnfw.com https://lulustream.com/d/pui2tgrkmt9u https://doodstream.com/d/l5ny14fticbv/55230680 (2026) #MILF #BigTits #Hardcore #Bigass #RIPNSFW</v>
      </c>
      <c r="B164" s="12" t="str">
        <f>New!A:A</f>
        <v>Angela White - 55230680 - Onlyfans.jpg</v>
      </c>
      <c r="C164" s="12" t="s">
        <v>8895</v>
      </c>
      <c r="D164" s="46">
        <f>New!P:P</f>
        <v>0</v>
      </c>
      <c r="E164" s="12"/>
    </row>
    <row r="165" spans="1:5" ht="12.75">
      <c r="A165" s="45" t="str">
        <f ca="1">New!M:M</f>
        <v>{New} Angela White https://streamtape.com/v/d89Kq7Rq6rSZAd/Angela_White_-_57030955_-_Onlyfans https://lulustream.com/d/zz0958fd9c4e https://doodstream.com/d/29fxsu9lwzfg/57030955 (2026) #MILF #BigTits #Hardcore #Bigass #RIPNSFW</v>
      </c>
      <c r="B165" s="12" t="str">
        <f>New!A:A</f>
        <v>Angela White - 57030955 - Onlyfans.jpg</v>
      </c>
      <c r="C165" s="12" t="s">
        <v>8895</v>
      </c>
      <c r="D165" s="46">
        <f>New!P:P</f>
        <v>0</v>
      </c>
      <c r="E165" s="12"/>
    </row>
    <row r="166" spans="1:5" ht="12.75">
      <c r="A166" s="45" t="str">
        <f ca="1">New!M:M</f>
        <v>{New} Angela White https://doodstream.com/d/tmhpt2j0jncd/61068711 https://streamtape.com/v/dgVxyoDR3WIkWdg/Angela_White_-_61068711_-_Onlyfans.mp4 https://lulustream.com/d/akadjdas813c (2026) #MILF #BigTits #Hardcore #Bigass #RIPNSFW</v>
      </c>
      <c r="B166" s="12" t="str">
        <f>New!A:A</f>
        <v>Angela White - 61068711 - Onlyfans.jpg</v>
      </c>
      <c r="C166" s="12" t="s">
        <v>8895</v>
      </c>
      <c r="D166" s="46">
        <f>New!P:P</f>
        <v>0</v>
      </c>
    </row>
    <row r="167" spans="1:5" ht="12.75">
      <c r="A167" s="45" t="str">
        <f ca="1">New!M:M</f>
        <v>{New} Angela White https://lulustream.com/d/qj5bakbdpd5d https://doodstream.com/d/8txt6b5cvvmr/61262797 https://streamtape.com/v/Zy9GdeMR0GiqLGB/Angela_White_-_61262797_-_ripnsfw.com (2026) #Anal #MILF #BigTits #Hardcore #Bigass #RIPNSFW</v>
      </c>
      <c r="B167" s="12" t="str">
        <f>New!A:A</f>
        <v>Angela White - 61262797 - ripnsfw.com.jpg</v>
      </c>
      <c r="C167" s="12" t="s">
        <v>8895</v>
      </c>
      <c r="D167" s="46">
        <f>New!P:P</f>
        <v>0</v>
      </c>
      <c r="E167" s="12"/>
    </row>
    <row r="168" spans="1:5" ht="12.75">
      <c r="A168" s="45" t="str">
        <f ca="1">New!M:M</f>
        <v>{New} Angela White https://streamtape.com/v/q88lBOPgkyfzzG0/Angela_White_-_62235682_-_Onlyfans_-_Lucy_Lotus.mp4 https://doodstream.com/d/ij07rgr8p3og/62235682 https://lulustream.com/d/t1x6vfidsfhk Lucy Lotus (2026) #MILF #BigTits #Hardcore #Bigass #RIPNSFW</v>
      </c>
      <c r="B168" s="12" t="str">
        <f>New!A:A</f>
        <v>Angela White - 62235682 - Onlyfans - Lucy Lotus.jpg</v>
      </c>
      <c r="C168" s="12" t="s">
        <v>8895</v>
      </c>
      <c r="D168" s="46">
        <f>New!P:P</f>
        <v>0</v>
      </c>
    </row>
    <row r="169" spans="1:5" ht="12.75">
      <c r="A169" s="45" t="str">
        <f ca="1">New!M:M</f>
        <v>{New} Angela White https://doodstream.com/d/h6wco40s24go/63666132 https://streamtape.com/v/7dk2J8pGr0TAgmJ/Angela_White_-_63666132_-_ripnsfw.com.mp4 https://lulustream.com/d/0dnfoxjoam4n (2026) #MILF #BigTits #Hardcore #Bigass #RIPNSFW</v>
      </c>
      <c r="B169" s="12" t="str">
        <f>New!A:A</f>
        <v>Angela White - 63666132 - ripnsfw.com.jpg</v>
      </c>
      <c r="C169" s="12" t="s">
        <v>8895</v>
      </c>
      <c r="D169" s="46">
        <f>New!P:P</f>
        <v>0</v>
      </c>
    </row>
    <row r="170" spans="1:5" ht="12.75">
      <c r="A170" s="45" t="str">
        <f ca="1">New!M:M</f>
        <v>{New} Angela White https://lulustream.com/d/q54azfr0ver6 https://doodstream.com/d/kan5dgupl9ho/65701953 https://streamtape.com/v/6QoxK9Bqv3U9Mvl/Angela_White_-_65701953_-_ripnsfw.com_-_Violet_Myers.mp4 Violet Myers (2026) #MILF #BigTits #Lesbian #Bigass #Roleplay #RIPNSFW</v>
      </c>
      <c r="B170" s="12" t="str">
        <f>New!A:A</f>
        <v>Angela White - 65701953 - ripnsfw.com - Violet Myers.jpg</v>
      </c>
      <c r="C170" s="12" t="s">
        <v>8895</v>
      </c>
      <c r="D170" s="46">
        <f>New!P:P</f>
        <v>0</v>
      </c>
    </row>
    <row r="171" spans="1:5" ht="12.75">
      <c r="A171" s="45" t="str">
        <f ca="1">New!M:M</f>
        <v>{New} Angela White https://lulustream.com/d/t138hn497csr https://streamtape.com/v/4PXaGXgKbXhKaoX/Angela_White_-_66371349_-_Onlyfans_-_Mia_Malkova_-_Riley_Reid.mp4 https://doodstream.com/d/npixfhibhnob/66371349 Mia Malkova Riley Reid (2026) #MILF #BigTits #Hardcore #Bigass #RIPNSFW</v>
      </c>
      <c r="B171" s="12" t="str">
        <f>New!A:A</f>
        <v>Angela White - 66371349 - Onlyfans - Mia Malkova - Riley Reid.jpg</v>
      </c>
      <c r="C171" s="12" t="s">
        <v>8895</v>
      </c>
      <c r="D171" s="46">
        <f>New!P:P</f>
        <v>0</v>
      </c>
    </row>
    <row r="172" spans="1:5" ht="12.75">
      <c r="A172" s="45" t="str">
        <f ca="1">New!M:M</f>
        <v>{New} Angela White https://doodstream.com/d/96f86larrcbv/67538070 https://lulustream.com/d/zilhhrybkpvc https://streamtape.com/v/dkoXPKwBa7Tkx6R/Angela_White_-_67538070_-_Onlyfans (2026) #MILF #BigTits #Hardcore #Bigass #RIPNSFW</v>
      </c>
      <c r="B172" s="12" t="str">
        <f>New!A:A</f>
        <v>Angela White - 67538070 - Onlyfans.jpg</v>
      </c>
      <c r="C172" s="12" t="s">
        <v>8895</v>
      </c>
      <c r="D172" s="46">
        <f>New!P:P</f>
        <v>0</v>
      </c>
    </row>
    <row r="173" spans="1:5" ht="12.75">
      <c r="A173" s="45" t="str">
        <f ca="1">New!M:M</f>
        <v>{New} Angela White https://streamtape.com/v/A1gZBoxDoQFX0mj/Angela_White_-_68398268_-_Onlyfans https://lulustream.com/d/pk1dp2q8ptq3 https://doodstream.com/d/kjbuin47yk73/68398268 (2026) #MILF #BigTits #Hardcore #Bigass #RIPNSFW</v>
      </c>
      <c r="B173" s="12" t="str">
        <f>New!A:A</f>
        <v>Angela White - 68398268 - Onlyfans.jpg</v>
      </c>
      <c r="C173" s="12" t="s">
        <v>8895</v>
      </c>
      <c r="D173" s="46">
        <f>New!P:P</f>
        <v>0</v>
      </c>
    </row>
    <row r="174" spans="1:5" ht="12.75">
      <c r="A174" s="45" t="str">
        <f ca="1">New!M:M</f>
        <v>{New} Angela White https://doodstream.com/d/605bqv3syzu2/68460886 https://lulustream.com/d/7s6ms050wykm https://streamtape.com/v/VVO3BmgqBYik7z/Angela_White_-_68460886_-_Onlyfans.mp4 (2026) #Anal #MILF #BigTits #Hardcore #Threesome #RIPNSFW</v>
      </c>
      <c r="B174" s="12" t="str">
        <f>New!A:A</f>
        <v>Angela White - 68460886 - Onlyfans.jpg</v>
      </c>
      <c r="C174" s="12" t="s">
        <v>8895</v>
      </c>
      <c r="D174" s="46">
        <f>New!P:P</f>
        <v>0</v>
      </c>
    </row>
    <row r="175" spans="1:5" ht="12.75">
      <c r="A175" s="45" t="str">
        <f ca="1">New!M:M</f>
        <v>{New} Angela White https://doodstream.com/d/t0dxbaxa8ave/70555106 https://lulustream.com/d/f084c2km5m7n https://streamtape.com/v/86JYeeoBkrFopzJ/Angela_White_-_70555106_-_ripnsfw.com_-_Violet_Myers_-_Angel_Youngs.mp4 Violet Myers Angel Youngs (2026) #MILF #BigTits #Threesome #Bigass #RIPNSFW</v>
      </c>
      <c r="B175" s="12" t="str">
        <f>New!A:A</f>
        <v>Angela White - 70555106 - ripnsfw.com - Violet Myers - Angel Youngs.jpg</v>
      </c>
      <c r="C175" s="12" t="s">
        <v>8895</v>
      </c>
      <c r="D175" s="46">
        <f>New!P:P</f>
        <v>0</v>
      </c>
      <c r="E175" s="12"/>
    </row>
    <row r="176" spans="1:5" ht="12.75">
      <c r="A176" s="45" t="str">
        <f ca="1">New!M:M</f>
        <v>{New} Angela White https://lulustream.com/d/h0mr2lj8h8ho https://doodstream.com/d/0z8aai2lc39i/74594738 https://streamtape.com/v/7bJbajZoalSRp9/Angela_White_-_74594738_-_Onlyfans (2026) #MILF #BigTits #Hardcore #Bigass #RIPNSFW</v>
      </c>
      <c r="B176" s="12" t="str">
        <f>New!A:A</f>
        <v>Angela White - 74594738 - Onlyfans.jpg</v>
      </c>
      <c r="C176" s="12" t="s">
        <v>8895</v>
      </c>
      <c r="D176" s="46">
        <f>New!P:P</f>
        <v>0</v>
      </c>
      <c r="E176" s="12"/>
    </row>
    <row r="177" spans="1:5" ht="12.75">
      <c r="A177" s="45" t="str">
        <f ca="1">New!M:M</f>
        <v>{New} Angela White https://doodstream.com/d/2yopv9l48zer/75043078 https://lulustream.com/d/qbrhne8d92py https://streamtape.com/v/Allmp6ZQ40HB6r/Angela_White_-_75043078_-_Onlyfans.mp4 (2026) #MILF #BigTits #Hardcore #Bigass #Blowjob #Stepmom #Amateur #Hotwife #Facial #RIPNSFW</v>
      </c>
      <c r="B177" s="12" t="str">
        <f>New!A:A</f>
        <v>Angela White - 75043078 - Onlyfans.jpg</v>
      </c>
      <c r="C177" s="12" t="s">
        <v>8895</v>
      </c>
      <c r="D177" s="46">
        <f>New!P:P</f>
        <v>0</v>
      </c>
    </row>
    <row r="178" spans="1:5" ht="12.75">
      <c r="A178" s="45" t="str">
        <f ca="1">New!M:M</f>
        <v>{New} Angela White https://streamtape.com/v/6kPozQRPVvH9AMp/Angela_White_-_80252257_-_Onlyfans https://lulustream.com/d/ydkeqawu5wze https://doodstream.com/d/r79d7h7gxhut/80252257 (2026) #MILF #BigTits #Hardcore #Bigass #RIPNSFW</v>
      </c>
      <c r="B178" s="12" t="str">
        <f>New!A:A</f>
        <v>Angela White - 80252257 - Onlyfans.jpg</v>
      </c>
      <c r="C178" s="12" t="s">
        <v>8895</v>
      </c>
      <c r="D178" s="46">
        <f>New!P:P</f>
        <v>0</v>
      </c>
    </row>
    <row r="179" spans="1:5" ht="12.75">
      <c r="A179" s="45" t="str">
        <f ca="1">New!M:M</f>
        <v>{New} Angela White https://lulustream.com/d/lwn9vtiqi30b https://doodstream.com/d/hpgf450jfri0/83137102 https://streamtape.com/v/X2BaPaxY6jcPLb/Angela_White_-_83137102_-_ripnsfw.com_-_Lena_the_plug.mp4 Lena the plug (2026) #MILF #BigTits #Hardcore #Threesome #Bigass #Blowjob #Amateur #Hotwife #Facial #RIPNSFW</v>
      </c>
      <c r="B179" s="12" t="str">
        <f>New!A:A</f>
        <v>Angela White - 83137102 - ripnsfw.com - Lena the plug.jpg</v>
      </c>
      <c r="C179" s="12" t="s">
        <v>8895</v>
      </c>
      <c r="D179" s="46">
        <f>New!P:P</f>
        <v>0</v>
      </c>
      <c r="E179" s="12"/>
    </row>
    <row r="180" spans="1:5" ht="12.75">
      <c r="A180" s="45" t="str">
        <f ca="1">New!M:M</f>
        <v>{New} Angela White https://streamtape.com/v/Akq61vXjxbsXR6V/Angela_White_-_83220983_-_ripnsfw.com.mp4 https://doodstream.com/d/dd39yja4qb1l/83220983 https://lulustream.com/d/an5si89qnrot (2026) #MILF #BigTits #Bigass #Blowjob #Amateur #Deepthroat #RIPNSFW</v>
      </c>
      <c r="B180" s="12" t="str">
        <f>New!A:A</f>
        <v>Angela White - 83220983 - ripnsfw.com.jpg</v>
      </c>
      <c r="C180" s="12" t="s">
        <v>8895</v>
      </c>
      <c r="D180" s="46">
        <f>New!P:P</f>
        <v>0</v>
      </c>
    </row>
    <row r="181" spans="1:5" ht="12.75">
      <c r="A181" s="45" t="str">
        <f ca="1">New!M:M</f>
        <v>{New} Angela White https://lulustream.com/d/r35cm85lj7z5 https://streamtape.com/v/gv7ymXmJaasqpew/Angela_White_-_84891613_-_Onlyfans https://doodstream.com/d/8i5e4ptl2kio/84891613 (2026) #MILF #BigTits #Hardcore #Bigass #RIPNSFW</v>
      </c>
      <c r="B181" s="12" t="str">
        <f>New!A:A</f>
        <v>Angela White - 84891613 - Onlyfans.jpg</v>
      </c>
      <c r="C181" s="12" t="s">
        <v>8895</v>
      </c>
      <c r="D181" s="46">
        <f>New!P:P</f>
        <v>0</v>
      </c>
    </row>
    <row r="182" spans="1:5" ht="12.75">
      <c r="A182" s="45" t="str">
        <f ca="1">New!M:M</f>
        <v>{New} Angela White https://lulustream.com/d/83ivjcijoiu5 https://doodstream.com/d/1487aho3mi7s/86507480 https://streamtape.com/v/wkOMmVYz0pFJM07/Angela_White_-_86507480_-_ripnsfw.com.mp4 (2026) #MILF #BigTits #Hardcore #Bigass #RIPNSFW</v>
      </c>
      <c r="B182" s="12" t="str">
        <f>New!A:A</f>
        <v>Angela White - 86507480 - ripnsfw.com.jpg</v>
      </c>
      <c r="C182" s="12" t="s">
        <v>8895</v>
      </c>
      <c r="D182" s="46">
        <f>New!P:P</f>
        <v>0</v>
      </c>
    </row>
    <row r="183" spans="1:5" ht="12.75">
      <c r="A183" s="45" t="str">
        <f ca="1">New!M:M</f>
        <v>{New} Angela White https://streamtape.com/v/90B0malAgoHadQa/Angela_White_-_90791951_-_Onlyfans_-_Lily_Starfire.mp4 https://doodstream.com/d/a9hgkp6fjyok/90791951 https://lulustream.com/d/i64o31yhdvhp Lily Starfire (2026) #MILF #BigTits #Hardcore #Threesome #RIPNSFW</v>
      </c>
      <c r="B183" s="12" t="str">
        <f>New!A:A</f>
        <v>Angela White - 90791951 - Onlyfans - Lily Starfire.jpg</v>
      </c>
      <c r="C183" s="12" t="s">
        <v>8895</v>
      </c>
      <c r="D183" s="46">
        <f>New!P:P</f>
        <v>0</v>
      </c>
    </row>
    <row r="184" spans="1:5" ht="12.75">
      <c r="A184" s="45" t="str">
        <f ca="1">New!M:M</f>
        <v>{New} Angela White https://streamtape.com/v/RQZpBBGOVoUd48W/Angela_White_-_91733115_-_Onlyfans https://lulustream.com/d/rjsai52ft1u4 https://doodstream.com/d/ksji9m46to1g/91733115 (2026) #MILF #BigTits #Hardcore #Bigass #RIPNSFW</v>
      </c>
      <c r="B184" s="12" t="str">
        <f>New!A:A</f>
        <v>Angela White - 91733115 - Onlyfans.jpg</v>
      </c>
      <c r="C184" s="12" t="s">
        <v>8895</v>
      </c>
      <c r="D184" s="46">
        <f>New!P:P</f>
        <v>0</v>
      </c>
      <c r="E184" s="12"/>
    </row>
    <row r="185" spans="1:5" ht="12.75">
      <c r="A185" s="45" t="str">
        <f ca="1">New!M:M</f>
        <v>{New} Angela White https://streamtape.com/v/YgrQa4OKvGHvXOP/Angela_White_-_93500544_-_ripnsfw.com.mp4 https://lulustream.com/d/j2bh49l2cwn1 https://doodstream.com/d/9cjzdoc9gduf/93500544 (2026) #MILF #BigTits #Blowjob #Amateur #RIPNSFW</v>
      </c>
      <c r="B185" s="12" t="str">
        <f>New!A:A</f>
        <v>Angela White - 93500544 - ripnsfw.com.jpg</v>
      </c>
      <c r="C185" s="12" t="s">
        <v>8895</v>
      </c>
      <c r="D185" s="46">
        <f>New!P:P</f>
        <v>0</v>
      </c>
    </row>
    <row r="186" spans="1:5" ht="12.75">
      <c r="A186" s="45" t="str">
        <f ca="1">New!M:M</f>
        <v>{New} Angela White https://doodstream.com/d/3ioum44ck8fh/94500060 https://streamtape.com/v/6ekPK4B974s91GG/Angela_White_-_94500060_-_ripnsfw.com.mp4 https://lulustream.com/d/htao4vby9vt7 (2026) #MILF #BigTits #Hardcore #Bigass #Blowjob #Amateur #RIPNSFW</v>
      </c>
      <c r="B186" s="12" t="str">
        <f>New!A:A</f>
        <v>Angela White - 94500060 - ripnsfw.com.jpg</v>
      </c>
      <c r="C186" s="12" t="s">
        <v>8895</v>
      </c>
      <c r="D186" s="46">
        <f>New!P:P</f>
        <v>0</v>
      </c>
      <c r="E186" s="12"/>
    </row>
    <row r="187" spans="1:5" ht="12.75">
      <c r="A187" s="45" t="str">
        <f ca="1">New!M:M</f>
        <v>{New} Angela White https://lulustream.com/d/fig2r78nojie https://streamtape.com/v/6PprgekGMmC9kgm/Angela_White_-_95008111_-_Onlyfans_-_Violet_Myers.mp4 https://doodstream.com/d/gu1zab6s92v1/95008111 Violet Myers (2026) #MILF #BigTits #Hardcore #Bigass #RIPNSFW</v>
      </c>
      <c r="B187" s="12" t="str">
        <f>New!A:A</f>
        <v>Angela White - 95008111 - Onlyfans - Violet Myers.jpg</v>
      </c>
      <c r="C187" s="12" t="s">
        <v>8895</v>
      </c>
      <c r="D187" s="46">
        <f>New!P:P</f>
        <v>0</v>
      </c>
      <c r="E187" s="12"/>
    </row>
    <row r="188" spans="1:5" ht="12.75">
      <c r="A188" s="45" t="str">
        <f ca="1">New!M:M</f>
        <v>{New} Angela White https://doodstream.com/d/am2d8v8hm0ud/95590990 https://streamtape.com/v/p8RGPzZBppcrK09/Angela_White_-_95590990_-_ripnsfw.com https://lulustream.com/d/oad0y34ea06k (2026) #MILF #BigTits #Hardcore #Bigass #Blowjob #Amateur #Deepthroat #RIPNSFW</v>
      </c>
      <c r="B188" s="12" t="str">
        <f>New!A:A</f>
        <v>Angela White - 95590990 - ripnsfw.com.jpg</v>
      </c>
      <c r="C188" s="12" t="s">
        <v>8895</v>
      </c>
      <c r="D188" s="46">
        <f>New!P:P</f>
        <v>0</v>
      </c>
    </row>
    <row r="189" spans="1:5" ht="12.75">
      <c r="A189" s="45" t="str">
        <f ca="1">New!M:M</f>
        <v>{New} Angela White https://doodstream.com/d/rw6kh0et845n/98417632 https://streamtape.com/v/ZxvGVp9LyQhqQxX/Angela_White_-_98417632_-_ripnsfw.com https://lulustream.com/d/j44glzrt1fyc (2026) #Anal #BigTits #Hardcore #Bigass #Porn #Teen #Blowjob #RIPNSFW</v>
      </c>
      <c r="B189" s="12" t="str">
        <f>New!A:A</f>
        <v>Angela White - 98417632 - ripnsfw.com.jpg</v>
      </c>
      <c r="C189" s="12" t="s">
        <v>8895</v>
      </c>
      <c r="D189" s="46">
        <f>New!P:P</f>
        <v>0</v>
      </c>
      <c r="E189" s="12"/>
    </row>
    <row r="190" spans="1:5" ht="12.75">
      <c r="A190" s="45" t="str">
        <f ca="1">New!M:M</f>
        <v>{New} Angela White https://lulustream.com/d/p7oyxndqj59p https://streamtape.com/v/gVM0z6Ra7lC9jl/Angela_White_-_99679909_-_Onlyfans_-_Lily_Starfire.mp4 https://doodstream.com/d/s6efbrbghm28/99679909 Lily Starfire (2026) #MILF #BigTits #Bigass #Threesome #RIPNSFW</v>
      </c>
      <c r="B190" s="12" t="str">
        <f>New!A:A</f>
        <v>Angela White - 99679909 - Onlyfans - Lily Starfire.jpg</v>
      </c>
      <c r="C190" s="12" t="s">
        <v>8895</v>
      </c>
      <c r="D190" s="46">
        <f>New!P:P</f>
        <v>0</v>
      </c>
    </row>
    <row r="191" spans="1:5" ht="12.75">
      <c r="A191" s="45" t="str">
        <f ca="1">New!M:M</f>
        <v>{New} Angie Faith https://streamtape.com/v/6XrPAB194YH9J8D/27452056 https://lulustream.com/d/huenefcapgm9 https://doodstream.com/d/k39rd1z7rq64/27452056 (2026) #BigTits #Hardcore #Black #Interracial #RIPNSFW</v>
      </c>
      <c r="B191" s="12" t="str">
        <f>New!A:A</f>
        <v>Angie Faith - 27452056 - Blacked.jpg</v>
      </c>
      <c r="C191" s="12" t="s">
        <v>8895</v>
      </c>
      <c r="D191" s="46">
        <f>New!P:P</f>
        <v>0</v>
      </c>
    </row>
    <row r="192" spans="1:5" ht="12.75">
      <c r="A192" s="45" t="str">
        <f ca="1">New!M:M</f>
        <v>{New} Angie Faith https://streamtape.com/v/wJorJyKlpRtJ9M4/43434590 https://lulustream.com/d/sn67abep0whn https://doodstream.com/d/lgu2eitr0bbx/43434590 (2026) #BigTits #Hardcore #Black #Interracial #RIPNSFW</v>
      </c>
      <c r="B192" s="12" t="str">
        <f>New!A:A</f>
        <v>Angie Faith - 43434590 - Onlyfans.jpg</v>
      </c>
      <c r="C192" s="12" t="s">
        <v>8895</v>
      </c>
      <c r="D192" s="46">
        <f>New!P:P</f>
        <v>0</v>
      </c>
    </row>
    <row r="193" spans="1:5" ht="12.75">
      <c r="A193" s="45" t="str">
        <f ca="1">New!M:M</f>
        <v>{New} Angie Faith https://streamtape.com/v/q6gX2xZojjuzVJx/55810526 https://lulustream.com/d/fltnsz8g3x2g https://doodstream.com/d/74usbu7kzdiy/55810526 (2026) #Anal #BigTits #Hardcore #Teen #RIPNSFW</v>
      </c>
      <c r="B193" s="12" t="str">
        <f>New!A:A</f>
        <v>Angie Faith - 55810526 - Onlyfans.jpg</v>
      </c>
      <c r="C193" s="12" t="s">
        <v>8895</v>
      </c>
      <c r="D193" s="46">
        <f>New!P:P</f>
        <v>0</v>
      </c>
    </row>
    <row r="194" spans="1:5" ht="12.75">
      <c r="A194" s="45" t="str">
        <f ca="1">New!M:M</f>
        <v>{New} Angie Faith https://lulustream.com/d/xlcwg6cqk9md https://doodstream.com/d/dtfrvqrq4dja/70823069 https://streamtape.com/v/VoxLAaa6PKUKmyL/70823069 Andie Anderson (2026) #MILF #BigTits #Hardcore #Threesome #Bigass #Porn #Teen #Blowjob #Blonde #RIPNSFW</v>
      </c>
      <c r="B194" s="12" t="str">
        <f>New!A:A</f>
        <v>Angie Faith - 70823069 - ripnsfw.com - Andie Anderson.jpg</v>
      </c>
      <c r="C194" s="12" t="s">
        <v>8895</v>
      </c>
      <c r="D194" s="46">
        <f>New!P:P</f>
        <v>0</v>
      </c>
    </row>
    <row r="195" spans="1:5" ht="12.75">
      <c r="A195" s="45" t="str">
        <f ca="1">New!M:M</f>
        <v>{New} Angie Faith https://lulustream.com/d/ontww07y4ugc https://streamtape.com/v/G2Wa6W6Z3Li1bXW/73673203 https://doodstream.com/d/qqgpmyssudni/73673203 (2026) #threesome #teen #blowjob #porn #RIPNSFW</v>
      </c>
      <c r="B195" s="12" t="str">
        <f>New!A:A</f>
        <v>Angie Faith - 73673203 - Deeper.jpg</v>
      </c>
      <c r="C195" s="12" t="s">
        <v>8895</v>
      </c>
      <c r="D195" s="46">
        <f>New!P:P</f>
        <v>0</v>
      </c>
    </row>
    <row r="196" spans="1:5" ht="12.75">
      <c r="A196" s="45" t="str">
        <f ca="1">New!M:M</f>
        <v>{New} Angie Faith https://doodstream.com/d/zbp813y2y2gq/78793411 https://streamtape.com/v/zVB8geOG3lIYPzd/78793411 https://lulustream.com/d/jc90f79e7bfh (2026) #teen #bigtits #blowjob #blonde #RIPNSFW</v>
      </c>
      <c r="B196" s="12" t="str">
        <f>New!A:A</f>
        <v>Angie Faith - 78793411 - Onlyfans.jpg</v>
      </c>
      <c r="C196" s="12" t="s">
        <v>8895</v>
      </c>
      <c r="D196" s="46">
        <f>New!P:P</f>
        <v>0</v>
      </c>
    </row>
    <row r="197" spans="1:5" ht="12.75">
      <c r="A197" s="45" t="str">
        <f ca="1">New!M:M</f>
        <v>{New} Angie Faith https://doodstream.com/d/8sbw3a34hoa8/82486972 https://streamtape.com/v/dkyMlKM4X6hkKz6/82486972 https://lulustream.com/d/mvf66luox97q (2026) #bigtits #porn #teen #bigass #RIPNSFW</v>
      </c>
      <c r="B197" s="12" t="str">
        <f>New!A:A</f>
        <v>Angie Faith - 82486972 - MrLLife.jpg</v>
      </c>
      <c r="C197" s="12" t="s">
        <v>8895</v>
      </c>
      <c r="D197" s="46">
        <f>New!P:P</f>
        <v>0</v>
      </c>
      <c r="E197" s="12"/>
    </row>
    <row r="198" spans="1:5" ht="12.75">
      <c r="A198" s="45" t="str">
        <f ca="1">New!M:M</f>
        <v>Anna https://streamtape.com/v/GMqPo7oJBkfabb/81003547 https://lulustream.com/d/fpyl2fij7e3a https://doodstream.com/d/od8u73atwqas/81003547 #teen #brunette #blowjob #casting #RIPNSFW</v>
      </c>
      <c r="B198" s="12" t="str">
        <f>New!A:A</f>
        <v>Anna - 81003547 - Czech Casting.jpg</v>
      </c>
      <c r="C198" s="12" t="s">
        <v>8895</v>
      </c>
      <c r="D198" s="46">
        <f>New!P:P</f>
        <v>0</v>
      </c>
      <c r="E198" s="12"/>
    </row>
    <row r="199" spans="1:5" ht="12.75">
      <c r="A199" s="45" t="str">
        <f ca="1">New!M:M</f>
        <v>{New} Anna Claire Clouds https://lulustream.com/d/7xkr8owmd3fu https://doodstream.com/d/fsr4j1nhl90i/12069430 https://streamtape.com/v/8qpaP4DarLIoBMd/12069430 (2026) #Anal #Hardcore #Threesome #Porn #RIPNSFW</v>
      </c>
      <c r="B199" s="12" t="str">
        <f>New!A:A</f>
        <v>Anna Claire Clouds - 12069430 - Deeper.jpg</v>
      </c>
      <c r="C199" s="12" t="s">
        <v>8895</v>
      </c>
      <c r="D199" s="46">
        <f>New!P:P</f>
        <v>0</v>
      </c>
      <c r="E199" s="12"/>
    </row>
    <row r="200" spans="1:5" ht="12.75">
      <c r="A200" s="45" t="str">
        <f ca="1">New!M:M</f>
        <v>{New} Arabelle Raphael https://doodstream.com/d/rq2aohyawvsw/14490824 https://lulustream.com/d/17oed5pv41is https://streamtape.com/v/QAJGVXx7xlI9zj/14490824 (2026) #milf #bigtits #blowjob #brunette #RIPNSFW</v>
      </c>
      <c r="B200" s="12" t="str">
        <f>New!A:A</f>
        <v>Arabelle Raphael - 14490824 - GD.jpg</v>
      </c>
      <c r="C200" s="12" t="s">
        <v>8895</v>
      </c>
      <c r="D200" s="46">
        <f>New!P:P</f>
        <v>0</v>
      </c>
      <c r="E200" s="12"/>
    </row>
    <row r="201" spans="1:5" ht="12.75">
      <c r="A201" s="45" t="str">
        <f ca="1">New!M:M</f>
        <v>{New} Arabelle Raphael https://lulustream.com/d/hsu66jf1vzva https://streamtape.com/v/7YwozrbMmXsA6ya/20603209 https://doodstream.com/d/46jz4szfzlsi/20603209 Hailey Rose (2026) #threesome #blowjob #bigtits #bigass #RIPNSFW</v>
      </c>
      <c r="B201" s="12" t="str">
        <f>New!A:A</f>
        <v>Arabelle Raphael - 20603209 - Onlyfans - Hailey Rose.jpg</v>
      </c>
      <c r="C201" s="12" t="s">
        <v>8895</v>
      </c>
      <c r="D201" s="46">
        <f>New!P:P</f>
        <v>0</v>
      </c>
      <c r="E201" s="12"/>
    </row>
    <row r="202" spans="1:5" ht="12.75">
      <c r="A202" s="45" t="str">
        <f ca="1">New!M:M</f>
        <v>{New} Arabelle Raphael https://doodstream.com/d/6yfwc8k0g2k2/25078464 https://streamtape.com/v/28892oR096hxe7/25078464 https://lulustream.com/d/bik7da2mi4mp (2026) #milf #bigtits #pov #blowjob #RIPNSFW</v>
      </c>
      <c r="B202" s="12" t="str">
        <f>New!A:A</f>
        <v>Arabelle Raphael - 25078464 - Onlyfans.jpg</v>
      </c>
      <c r="C202" s="12" t="s">
        <v>8895</v>
      </c>
      <c r="D202" s="46">
        <f>New!P:P</f>
        <v>0</v>
      </c>
    </row>
    <row r="203" spans="1:5" ht="12.75">
      <c r="A203" s="45" t="str">
        <f ca="1">New!M:M</f>
        <v>{New} Arabelle Raphael https://streamtape.com/v/DqVgDRp2YbFBdl/84159136 https://lulustream.com/d/trnv2c0t9seh https://doodstream.com/d/i0rakw0d6bur/84159136 Sarah Arabic (2026) #MILF #BigTits #Hardcore #Threesome #Interracial #RIPNSFW</v>
      </c>
      <c r="B203" s="12" t="str">
        <f>New!A:A</f>
        <v>Arabelle Raphael - 84159136 - ripnsfw.com - Sarah Arabic.jpg</v>
      </c>
      <c r="C203" s="12" t="s">
        <v>8895</v>
      </c>
      <c r="D203" s="46">
        <f>New!P:P</f>
        <v>0</v>
      </c>
      <c r="E203" s="12"/>
    </row>
    <row r="204" spans="1:5" ht="12.75">
      <c r="A204" s="45" t="str">
        <f ca="1">New!M:M</f>
        <v>Arabelle Raphael https://streamtape.com/v/23QepbZpKmFZOLR/87639737 https://doodstream.com/d/adva9gsex0ti/87639737 https://lulustream.com/d/0la7c8k6lbz4 #anal #creampie #milf #blowjob #RIPNSFW</v>
      </c>
      <c r="B204" s="12" t="str">
        <f>New!A:A</f>
        <v>Arabelle Raphael - 87639737 - GotFilled.jpg</v>
      </c>
      <c r="C204" s="12" t="s">
        <v>8895</v>
      </c>
      <c r="D204" s="46">
        <f>New!P:P</f>
        <v>0</v>
      </c>
    </row>
    <row r="205" spans="1:5" ht="12.75">
      <c r="A205" s="45" t="str">
        <f ca="1">New!M:M</f>
        <v>{New} Ariesia https://lulustream.com/d/6d03mqxx3fjp https://doodstream.com/d/oawqkpinlfzi/11046294 https://streamtape.com/v/3DAlPpLOMPIdveW/11046294 (2026) #Teen #Teens #Blowjob #Amateur #RIPNSFW</v>
      </c>
      <c r="B205" s="12" t="str">
        <f>New!A:A</f>
        <v>Ariesia - 11046294 - ripnsfw.com.jpg</v>
      </c>
      <c r="C205" s="12" t="s">
        <v>8895</v>
      </c>
      <c r="D205" s="46">
        <f>New!P:P</f>
        <v>0</v>
      </c>
    </row>
    <row r="206" spans="1:5" ht="12.75">
      <c r="A206" s="45" t="str">
        <f ca="1">New!M:M</f>
        <v>{New} Ariesia https://lulustream.com/d/hxuh7rjf4g1z https://streamtape.com/v/vr4KGomy8RF2LX/13099354 https://doodstream.com/d/bjpmbb6gadp5/13099354 (2026) #Teen #Blowjob #Amateur #Blonde #Facial #RIPNSFW</v>
      </c>
      <c r="B206" s="12" t="str">
        <f>New!A:A</f>
        <v>Ariesia - 13099354 - ripnsfw.com.jpg</v>
      </c>
      <c r="C206" s="12" t="s">
        <v>8895</v>
      </c>
      <c r="D206" s="46">
        <f>New!P:P</f>
        <v>0</v>
      </c>
    </row>
    <row r="207" spans="1:5" ht="12.75">
      <c r="A207" s="45" t="str">
        <f ca="1">New!M:M</f>
        <v>{New} Ariesia https://streamtape.com/v/8JOwLLV6ZOfoxZ9/24291735 https://doodstream.com/d/o7zk6hnock7m/24291735 https://lulustream.com/d/evi92gxydj5n (2026) #BigTits #Hardcore #Teen #Teens #Blowjob #Amateur #RIPNSFW</v>
      </c>
      <c r="B207" s="12" t="str">
        <f>New!A:A</f>
        <v>Ariesia - 24291735 - ripnsfw.com.jpg</v>
      </c>
      <c r="C207" s="12" t="s">
        <v>8895</v>
      </c>
      <c r="D207" s="46">
        <f>New!P:P</f>
        <v>0</v>
      </c>
      <c r="E207" s="12"/>
    </row>
    <row r="208" spans="1:5" ht="12.75">
      <c r="A208" s="45" t="str">
        <f ca="1">New!M:M</f>
        <v>{New} Ariesia https://lulustream.com/d/g4j2qg4mxpcb https://streamtape.com/v/1WYRDpw0XMheoBD/24793588 https://doodstream.com/d/1y90zlhzfnz1/24793588 (2026) #BigTits #Hardcore #Teen #Blowjob #Amateur #RIPNSFW</v>
      </c>
      <c r="B208" s="12" t="str">
        <f>New!A:A</f>
        <v>Ariesia - 24793588 - ripnsfw.com.jpg</v>
      </c>
      <c r="C208" s="12" t="s">
        <v>8895</v>
      </c>
      <c r="D208" s="46">
        <f>New!P:P</f>
        <v>0</v>
      </c>
      <c r="E208" s="12"/>
    </row>
    <row r="209" spans="1:5" ht="12.75">
      <c r="A209" s="45" t="str">
        <f ca="1">New!M:M</f>
        <v>{New} Ariesia https://doodstream.com/d/gcjoj8znqe3p/25268222 https://lulustream.com/d/cwpkokk41lqr https://streamtape.com/v/G37D1BbOAXcmwA/25268222 (2026) #Hardcore #Teen #Artporn #Teens #Amateur #RIPNSFW</v>
      </c>
      <c r="B209" s="12" t="str">
        <f>New!A:A</f>
        <v>Ariesia - 25268222 - ripnsfw.com.jpg</v>
      </c>
      <c r="C209" s="12" t="s">
        <v>8895</v>
      </c>
      <c r="D209" s="46">
        <f>New!P:P</f>
        <v>0</v>
      </c>
    </row>
    <row r="210" spans="1:5" ht="12.75">
      <c r="A210" s="45" t="str">
        <f ca="1">New!M:M</f>
        <v>{New} Ariesia https://doodstream.com/d/4oihk8x2i9gl/47928946 https://streamtape.com/v/ZkVXlp1ZL9uqxjb/47928946 https://lulustream.com/d/pbe1bcy58z0l (2026) #BigTits #Hardcore #Threesome #Teen #RIPNSFW</v>
      </c>
      <c r="B210" s="12" t="str">
        <f>New!A:A</f>
        <v>Ariesia - 47928946 - ripnsfw.com.jpg</v>
      </c>
      <c r="C210" s="12" t="s">
        <v>8895</v>
      </c>
      <c r="D210" s="46">
        <f>New!P:P</f>
        <v>0</v>
      </c>
      <c r="E210" s="12"/>
    </row>
    <row r="211" spans="1:5" ht="12.75">
      <c r="A211" s="45" t="str">
        <f ca="1">New!M:M</f>
        <v>{New} Ariesia https://lulustream.com/d/cb1asrq2k8wu https://streamtape.com/v/7Rkd4DpL8AhAD2a/79545222 https://doodstream.com/d/sww0icm0snq8/79545222 (2026) #Teen #Teens #Blowjob #Amateur #RIPNSFW</v>
      </c>
      <c r="B211" s="12" t="str">
        <f>New!A:A</f>
        <v>Ariesia - 79545222 - ripnsfw.com.jpg</v>
      </c>
      <c r="C211" s="12" t="s">
        <v>8895</v>
      </c>
      <c r="D211" s="46">
        <f>New!P:P</f>
        <v>0</v>
      </c>
      <c r="E211" s="12"/>
    </row>
    <row r="212" spans="1:5" ht="12.75">
      <c r="A212" s="45" t="str">
        <f ca="1">New!M:M</f>
        <v>{New} Ariesia https://lulustream.com/d/gxztp2o0ummy https://streamtape.com/v/YyrYa22eqXtvQKP/84498369 https://doodstream.com/d/b7y7zibj28qh/84498369 (2026) #BigTits #Teen #Blowjob #Amateur #Deepthroat #Blonde #RIPNSFW</v>
      </c>
      <c r="B212" s="12" t="str">
        <f>New!A:A</f>
        <v>Ariesia - 84498369 - Onlyfans.jpg</v>
      </c>
      <c r="C212" s="12" t="s">
        <v>8895</v>
      </c>
      <c r="D212" s="46">
        <f>New!P:P</f>
        <v>0</v>
      </c>
    </row>
    <row r="213" spans="1:5" ht="12.75">
      <c r="A213" s="45" t="str">
        <f ca="1">New!M:M</f>
        <v>{New} Ariesia https://lulustream.com/d/9gl7yerj6s3n https://doodstream.com/d/gqqpa7ss1l0g/84637288 https://streamtape.com/v/LYrmdqXeegH40K/84637288 (2026) #BigTits #Hardcore #Teen #Amateur #Blowjob #Blonde #RIPNSFW</v>
      </c>
      <c r="B213" s="12" t="str">
        <f>New!A:A</f>
        <v>Ariesia - 84637288 - Onlyfans.jpg</v>
      </c>
      <c r="C213" s="12" t="s">
        <v>8895</v>
      </c>
      <c r="D213" s="46">
        <f>New!P:P</f>
        <v>0</v>
      </c>
    </row>
    <row r="214" spans="1:5" ht="12.75">
      <c r="A214" s="45" t="str">
        <f ca="1">New!M:M</f>
        <v>{New} Ariesia https://doodstream.com/d/sde6xva44s5q/88224176 https://lulustream.com/d/wxhinwmz3hgb https://streamtape.com/v/Mq023AdBpGHmZwV/88224176 (2026) #Hardcore #Teen #Blowjob #Amateur #Blonde #RIPNSFW</v>
      </c>
      <c r="B214" s="12" t="str">
        <f>New!A:A</f>
        <v>Ariesia - 88224176 - ripnsfw.com.jpg</v>
      </c>
      <c r="C214" s="12" t="s">
        <v>8895</v>
      </c>
      <c r="D214" s="46">
        <f>New!P:P</f>
        <v>0</v>
      </c>
    </row>
    <row r="215" spans="1:5" ht="12.75">
      <c r="A215" s="45" t="str">
        <f ca="1">New!M:M</f>
        <v>{New} Ariesia https://streamtape.com/v/l49GYZPL4PH7XvL/99161496 https://doodstream.com/d/b05w850isewp/99161496 https://lulustream.com/d/gilkoxam6ssq (2026) #Hardcore #Teen #Blowjob #Amateur #Blonde #RIPNSFW</v>
      </c>
      <c r="B215" s="12" t="str">
        <f>New!A:A</f>
        <v>Ariesia - 99161496 - ripnsfw.com.jpg</v>
      </c>
      <c r="C215" s="12" t="s">
        <v>8895</v>
      </c>
      <c r="D215" s="46">
        <f>New!P:P</f>
        <v>0</v>
      </c>
    </row>
    <row r="216" spans="1:5" ht="12.75">
      <c r="A216" s="45" t="str">
        <f ca="1">New!M:M</f>
        <v>{New} Asa Akira https://lulustream.com/d/okuc2ryc4lqn https://doodstream.com/d/lzas4hs4fk2g/63675570 https://streamtape.com/v/yVMaawgK2Pi1XAY/63675570 (2026) #milf #bigtits #creampie #asian #RIPNSFW</v>
      </c>
      <c r="B216" s="12" t="str">
        <f>New!A:A</f>
        <v>Asa Akira - 63675570 - Onlyfans.jpg</v>
      </c>
      <c r="C216" s="12" t="s">
        <v>8895</v>
      </c>
      <c r="D216" s="46">
        <f>New!P:P</f>
        <v>0</v>
      </c>
    </row>
    <row r="217" spans="1:5" ht="12.75">
      <c r="A217" s="45" t="str">
        <f ca="1">New!M:M</f>
        <v>Asa Akira https://streamtape.com/v/9o0pZAZaPrIoAa/81098035 https://lulustream.com/d/4zp20m1cexaq https://doodstream.com/d/62354t0614o4/81098035 #milf #asian #anal #bigtits #RIPNSFW</v>
      </c>
      <c r="B217" s="12" t="str">
        <f>New!A:A</f>
        <v>Asa Akira - 81098035 - Onlyfans.jpg</v>
      </c>
      <c r="C217" s="12" t="s">
        <v>8895</v>
      </c>
      <c r="D217" s="46">
        <f>New!P:P</f>
        <v>0</v>
      </c>
    </row>
    <row r="218" spans="1:5" ht="12.75">
      <c r="A218" s="45" t="str">
        <f ca="1">New!M:M</f>
        <v>{New} Ashley Alexander https://lulustream.com/d/3fdeyvh8p5n7 https://doodstream.com/d/4ryl31yt3lpr/34919677 https://streamtape.com/v/ZwDoVg9MKYTq9ym/34919677 (2026) #BigTits #Hardcore #Bigass #Teen #Artporn #Blowjob #Amateur #RIPNSFW</v>
      </c>
      <c r="B218" s="12" t="str">
        <f>New!A:A</f>
        <v>Ashley Alexander - 34919677 - ripnsfw.com.jpg</v>
      </c>
      <c r="C218" s="12" t="s">
        <v>8895</v>
      </c>
      <c r="D218" s="46">
        <f>New!P:P</f>
        <v>0</v>
      </c>
    </row>
    <row r="219" spans="1:5" ht="12.75">
      <c r="A219" s="45" t="str">
        <f ca="1">New!M:M</f>
        <v>{New} Audrey Bitoni https://doodstream.com/d/twky389uiuzv/13074864 https://lulustream.com/d/t30uwy5gjmdw https://streamtape.com/v/4RoBe20MGwfKKp7/13074864 (2026) #MILF #BigTits #Hardcore #Bigass #Porn #RIPNSFW</v>
      </c>
      <c r="B219" s="12" t="str">
        <f>New!A:A</f>
        <v>Audrey Bitoni - 13074864 - ripnsfw.com.jpg</v>
      </c>
      <c r="C219" s="12" t="s">
        <v>8895</v>
      </c>
      <c r="D219" s="46">
        <f>New!P:P</f>
        <v>0</v>
      </c>
    </row>
    <row r="220" spans="1:5" ht="12.75">
      <c r="A220" s="45" t="str">
        <f ca="1">New!M:M</f>
        <v>{New} Audrey Bitoni https://streamtape.com/v/7zVJVzypMatR6Z/48200011 https://lulustream.com/d/xdorj7bqrlbq https://doodstream.com/d/kohmechbcskr/48200011 (2026) #MILF #BigTits #Hardcore #Porn #RIPNSFW</v>
      </c>
      <c r="B220" s="12" t="str">
        <f>New!A:A</f>
        <v>Audrey Bitoni - 48200011 - ripnsfw.com.jpg</v>
      </c>
      <c r="C220" s="12" t="s">
        <v>8895</v>
      </c>
      <c r="D220" s="46">
        <f>New!P:P</f>
        <v>0</v>
      </c>
    </row>
    <row r="221" spans="1:5" ht="12.75">
      <c r="A221" s="45" t="str">
        <f ca="1">New!M:M</f>
        <v>{New} Audrey Bitoni https://doodstream.com/d/1b5st9ye2pxc/70563939 https://streamtape.com/v/q3AzpG0XmqhRX6/70563939 https://lulustream.com/d/qepwl9pwxr33 (2026) #MILF #BigTits #Hardcore #Bigass #RIPNSFW</v>
      </c>
      <c r="B221" s="12" t="str">
        <f>New!A:A</f>
        <v>Audrey Bitoni - 70563939 - ripnsfw.com.jpg</v>
      </c>
      <c r="C221" s="12" t="s">
        <v>8895</v>
      </c>
      <c r="D221" s="46">
        <f>New!P:P</f>
        <v>0</v>
      </c>
      <c r="E221" s="12"/>
    </row>
    <row r="222" spans="1:5" ht="12.75">
      <c r="A222" s="45" t="str">
        <f ca="1">New!M:M</f>
        <v>{New} Audrey Bitoni https://doodstream.com/d/cdhggym1mmmf/78675955 https://lulustream.com/d/s18rkd1mtfub https://streamtape.com/v/JWrYJmDpjDcj8DX/78675955 (2026) #MILF #BigTits #Hardcore #Blowjob #Amateur #Facial #Deepthroat #RIPNSFW</v>
      </c>
      <c r="B222" s="12" t="str">
        <f>New!A:A</f>
        <v>Audrey Bitoni - 78675955 - ripnsfw.com.jpg</v>
      </c>
      <c r="C222" s="12" t="s">
        <v>8895</v>
      </c>
      <c r="D222" s="46">
        <f>New!P:P</f>
        <v>0</v>
      </c>
    </row>
    <row r="223" spans="1:5" ht="12.75">
      <c r="A223" s="45" t="str">
        <f ca="1">New!M:M</f>
        <v>{New} Aura https://lulustream.com/d/oo9951psh1fy https://doodstream.com/d/y2f3d1b0o712/64601495 https://streamtape.com/v/Bq3eAYWRD1CyL61/64601495 Stephanie (2026) #MILF #BigTits #Creampie #Hardcore #Bigass #Threesome #Porn #Blowjob #RIPNSFW</v>
      </c>
      <c r="B223" s="12" t="str">
        <f>New!A:A</f>
        <v>Aura - 64601495 - ripnsfw.com - Stephanie.jpg</v>
      </c>
      <c r="C223" s="12" t="s">
        <v>8895</v>
      </c>
      <c r="D223" s="46">
        <f>New!P:P</f>
        <v>0</v>
      </c>
    </row>
    <row r="224" spans="1:5" ht="12.75">
      <c r="A224" s="45" t="str">
        <f ca="1">New!M:M</f>
        <v>{New} Aurora Pink https://doodstream.com/d/kowkz6zjhjrq/26980107 https://lulustream.com/d/19pnu26pxq8a https://streamtape.com/v/JK2AVmqy8mfjjvd/26980107 (2026) #Anal #Hardcore #Teen #Porn #RIPNSFW</v>
      </c>
      <c r="B224" s="12" t="str">
        <f>New!A:A</f>
        <v>Aurora Pink - 26980107 - ripnsfw.com.jpg</v>
      </c>
      <c r="C224" s="12" t="s">
        <v>8895</v>
      </c>
      <c r="D224" s="46">
        <f>New!P:P</f>
        <v>0</v>
      </c>
      <c r="E224" s="12"/>
    </row>
    <row r="225" spans="1:5" ht="12.75">
      <c r="A225" s="45" t="str">
        <f ca="1">New!M:M</f>
        <v>{New} Autumn Falls https://doodstream.com/d/obc3g92cy77q/35230585 https://streamtape.com/v/owJO0QgD1pidMg/35230585 https://lulustream.com/d/9crdyjq3939u (2026) #Anal #BigTits #Hardcore #Bigass #Teen #Blowjob #Amateur #Deepthroat #RIPNSFW</v>
      </c>
      <c r="B225" s="12" t="str">
        <f>New!A:A</f>
        <v>Autumn Falls - 35230585 - ripnsfw.com.jpg</v>
      </c>
      <c r="C225" s="12" t="s">
        <v>8895</v>
      </c>
      <c r="D225" s="46">
        <f>New!P:P</f>
        <v>0</v>
      </c>
      <c r="E225" s="12"/>
    </row>
    <row r="226" spans="1:5" ht="12.75">
      <c r="A226" s="45" t="str">
        <f ca="1">New!M:M</f>
        <v>{New} Autumn Falls https://streamtape.com/v/WGAR199GywSbJ6L/51622055 https://lulustream.com/d/m5t0ytubw2d1 https://doodstream.com/d/92h4s60wpht9/51622055 (2026) #BigTits #Hardcore #Porn #Teen #Latina #Blowjob #Amateur #RIPNSFW</v>
      </c>
      <c r="B226" s="12" t="str">
        <f>New!A:A</f>
        <v>Autumn Falls - 51622055 - ripnsfw.com.jpg</v>
      </c>
      <c r="C226" s="12" t="s">
        <v>8895</v>
      </c>
      <c r="D226" s="46">
        <f>New!P:P</f>
        <v>0</v>
      </c>
    </row>
    <row r="227" spans="1:5" ht="12.75">
      <c r="A227" s="45" t="str">
        <f ca="1">New!M:M</f>
        <v>{New} Autumn Falls https://lulustream.com/d/qpkvkg0wldji https://streamtape.com/v/6P2WL33obgs9AAL/87819304 https://doodstream.com/d/odxqoo78yb24/87819304 (2026) #BigTits #Hardcore #Bigass #Teen #Latina #Roleplay #Blowjob #Amateur #RIPNSFW</v>
      </c>
      <c r="B227" s="12" t="str">
        <f>New!A:A</f>
        <v>Autumn Falls - 87819304 - Onlyfans.jpg</v>
      </c>
      <c r="C227" s="12" t="s">
        <v>8895</v>
      </c>
      <c r="D227" s="46">
        <f>New!P:P</f>
        <v>0</v>
      </c>
    </row>
    <row r="228" spans="1:5" ht="12.75">
      <c r="A228" s="45" t="str">
        <f ca="1">New!M:M</f>
        <v>{New} Ava Amira https://doodstream.com/d/gf61g2n45h8o/12261419 https://streamtape.com/v/4DwelQblZAuKRm0/12261419 https://lulustream.com/d/3qqdh12p24yf Lena the plug (2026) #MILF #BigTits #Hardcore #Threesome #Bigass #Blowjob #Amateur #Deepthroat #Facial #RIPNSFW</v>
      </c>
      <c r="B228" s="12" t="str">
        <f>New!A:A</f>
        <v>Ava Amira - 12261419 - ripnsfw.com - Lena the plug.jpg</v>
      </c>
      <c r="C228" s="12" t="s">
        <v>8895</v>
      </c>
      <c r="D228" s="46">
        <f>New!P:P</f>
        <v>0</v>
      </c>
    </row>
    <row r="229" spans="1:5" ht="12.75">
      <c r="A229" s="45" t="str">
        <f ca="1">New!M:M</f>
        <v>{New} Ava Ann https://lulustream.com/d/5xcwhu3wrn9v https://streamtape.com/v/gak3q36oDvtYaB/77092894 https://doodstream.com/d/shmge5aghyqv/77092894 (2026) #BigTits #Hardcore #Bigass #Porn #Teen #RIPNSFW</v>
      </c>
      <c r="B229" s="12" t="str">
        <f>New!A:A</f>
        <v>Ava Ann - 77092894 - ripnsfw.com.jpg</v>
      </c>
      <c r="C229" s="12" t="s">
        <v>8895</v>
      </c>
      <c r="D229" s="46">
        <f>New!P:P</f>
        <v>0</v>
      </c>
    </row>
    <row r="230" spans="1:5" ht="12.75">
      <c r="A230" s="45" t="str">
        <f ca="1">New!M:M</f>
        <v>{New} Ava Nicks https://streamtape.com/v/4XlOZWPrJAuKb0y/15100334 https://doodstream.com/d/dacplz3220dc/15100334 https://lulustream.com/d/0m9um8fz3lcb (2026) #MILF #BigTits #Hardcore #Bigass #Roleplay #Blowjob #Amateur #Hotwife #Deepthroat #Blonde #Facial #RIPNSFW</v>
      </c>
      <c r="B230" s="12" t="str">
        <f>New!A:A</f>
        <v>Ava Nicks - 15100334 - ripnsfw.com.jpg</v>
      </c>
      <c r="C230" s="12" t="s">
        <v>8895</v>
      </c>
      <c r="D230" s="46">
        <f>New!P:P</f>
        <v>0</v>
      </c>
    </row>
    <row r="231" spans="1:5" ht="12.75">
      <c r="A231" s="45" t="str">
        <f ca="1">New!M:M</f>
        <v>{New} Ava Nicks https://doodstream.com/d/dqszjf9lqj8c/17338366 https://streamtape.com/v/LMpGAPx2OZuRzOy/17338366 https://lulustream.com/d/4kgomd5k7dy3 (2026) #milf #pov #bigtits #brunette #RIPNSFW</v>
      </c>
      <c r="B231" s="12" t="str">
        <f>New!A:A</f>
        <v>Ava Nicks - 17338366 - Onlyfans.jpg</v>
      </c>
      <c r="C231" s="12" t="s">
        <v>8895</v>
      </c>
      <c r="D231" s="46">
        <f>New!P:P</f>
        <v>0</v>
      </c>
      <c r="E231" s="12"/>
    </row>
    <row r="232" spans="1:5" ht="12.75">
      <c r="A232" s="45" t="str">
        <f ca="1">New!M:M</f>
        <v>{New} Ava Nicks https://doodstream.com/d/9k0n1hs0arfi/20529051 https://lulustream.com/d/ugxcwd7pge7b https://streamtape.com/v/wgDaAqKv8WTeyq/20529051 (2026) #MILF #BigTits #Hardcore #Bigass #Blowjob #Amateur #Blonde #Facial #RIPNSFW</v>
      </c>
      <c r="B232" s="12" t="str">
        <f>New!A:A</f>
        <v>Ava Nicks - 20529051 - ripnsfw.com.jpg</v>
      </c>
      <c r="C232" s="12" t="s">
        <v>8895</v>
      </c>
      <c r="D232" s="46">
        <f>New!P:P</f>
        <v>0</v>
      </c>
      <c r="E232" s="12"/>
    </row>
    <row r="233" spans="1:5" ht="12.75">
      <c r="A233" s="45" t="str">
        <f ca="1">New!M:M</f>
        <v>{New} Ava Nicks https://lulustream.com/d/ecjeonkrbpqc https://streamtape.com/v/vgbKeqkJy6H4OOL/21999170 https://doodstream.com/d/r3bcyskylzg5/21999170 (2026) #MILF #BigTits #Creampie #Hardcore #Bigass #Roleplay #Stepmom #Blowjob #RIPNSFW</v>
      </c>
      <c r="B233" s="12" t="str">
        <f>New!A:A</f>
        <v>Ava Nicks - 21999170 - ripnsfw.com.jpg</v>
      </c>
      <c r="C233" s="12" t="s">
        <v>8895</v>
      </c>
      <c r="D233" s="46">
        <f>New!P:P</f>
        <v>0</v>
      </c>
    </row>
    <row r="234" spans="1:5" ht="12.75">
      <c r="A234" s="45" t="str">
        <f ca="1">New!M:M</f>
        <v>{New} Ava Nicks https://doodstream.com/d/8qnldy8axpsg/38871602 https://streamtape.com/v/4yQlYaXMVkfKYJW/38871602 https://lulustream.com/d/mmcusr73g01q (2026) #MILF #BigTits #Hardcore #Black #Threesome #Interracial #Bigass #Stepmom #Blowjob #RIPNSFW</v>
      </c>
      <c r="B234" s="12" t="str">
        <f>New!A:A</f>
        <v>Ava Nicks - 38871602 - Onlyfans.jpg</v>
      </c>
      <c r="C234" s="12" t="s">
        <v>8895</v>
      </c>
      <c r="D234" s="46">
        <f>New!P:P</f>
        <v>0</v>
      </c>
      <c r="E234" s="12"/>
    </row>
    <row r="235" spans="1:5" ht="12.75">
      <c r="A235" s="45" t="str">
        <f ca="1">New!M:M</f>
        <v>{New} Ava Nicks https://lulustream.com/d/kj2zug8n2rma https://streamtape.com/v/2WXXe626qpHZ2aZ/47176935 https://doodstream.com/d/s78snr503p51/47176935 (2026) #MILF #BigTits #Hardcore #Bigass #Blowjob #Amateur #RIPNSFW</v>
      </c>
      <c r="B235" s="12" t="str">
        <f>New!A:A</f>
        <v>Ava Nicks - 47176935 - ripnsfw.com.jpg</v>
      </c>
      <c r="C235" s="12" t="s">
        <v>8895</v>
      </c>
      <c r="D235" s="46">
        <f>New!P:P</f>
        <v>0</v>
      </c>
      <c r="E235" s="12"/>
    </row>
    <row r="236" spans="1:5" ht="12.75">
      <c r="A236" s="45" t="str">
        <f ca="1">New!M:M</f>
        <v>{New} Ava Nicks https://doodstream.com/d/0409pwqeexzm/52585228 https://streamtape.com/v/0RqGjgoxgrigX3/52585228 https://lulustream.com/d/ro8gsgjn6ivs (2026) #MILF #BigTits #Hardcore #Bigass #Creampie #RIPNSFW</v>
      </c>
      <c r="B236" s="12" t="str">
        <f>New!A:A</f>
        <v>Ava Nicks - 52585228 - ripnsfw.com.jpg</v>
      </c>
      <c r="C236" s="12" t="s">
        <v>8895</v>
      </c>
      <c r="D236" s="46">
        <f>New!P:P</f>
        <v>0</v>
      </c>
    </row>
    <row r="237" spans="1:5" ht="12.75">
      <c r="A237" s="45" t="str">
        <f ca="1">New!M:M</f>
        <v>{New} Ava Nicks https://lulustream.com/d/zoaga4nodwgy https://doodstream.com/d/xdsfbfvbdmzi/56147496 https://streamtape.com/v/zQPy9QdoXXCYRYV/56147496 (2026) #milf #blowjob #bigass #bigtits #RIPNSFW</v>
      </c>
      <c r="B237" s="12" t="str">
        <f>New!A:A</f>
        <v>Ava Nicks - 56147496 - Onlyfans.jpg</v>
      </c>
      <c r="C237" s="12" t="s">
        <v>8895</v>
      </c>
      <c r="D237" s="46">
        <f>New!P:P</f>
        <v>0</v>
      </c>
      <c r="E237" s="12"/>
    </row>
    <row r="238" spans="1:5" ht="12.75">
      <c r="A238" s="45" t="str">
        <f ca="1">New!M:M</f>
        <v>{New} Ava Nicks https://streamtape.com/v/LDAKJ0L26mIRRWp/65195299 https://lulustream.com/d/a9m8xsfu49rv https://doodstream.com/d/6x6j8s1euh5w/65195299 (2026) #MILF #BigTits #Hardcore #Bigass #Stepmom #RIPNSFW</v>
      </c>
      <c r="B238" s="12" t="str">
        <f>New!A:A</f>
        <v>Ava Nicks - 65195299 - Onlyfans.jpg</v>
      </c>
      <c r="C238" s="12" t="s">
        <v>8895</v>
      </c>
      <c r="D238" s="46">
        <f>New!P:P</f>
        <v>0</v>
      </c>
    </row>
    <row r="239" spans="1:5" ht="12.75">
      <c r="A239" s="45" t="str">
        <f ca="1">New!M:M</f>
        <v>{New} Ava Nicks https://lulustream.com/d/aaox3p4iyz70 https://doodstream.com/d/8k5rxcgxvrpo/67896154 https://streamtape.com/v/2BmAvyBlAqcWzy/67896154 (2026) #MILF #BigTits #Creampie #Hardcore #Bigass #Blowjob #Amateur #Hotwife #RIPNSFW</v>
      </c>
      <c r="B239" s="12" t="str">
        <f>New!A:A</f>
        <v>Ava Nicks - 67896154 - ripnsfw.com.jpg</v>
      </c>
      <c r="C239" s="12" t="s">
        <v>8895</v>
      </c>
      <c r="D239" s="46">
        <f>New!P:P</f>
        <v>0</v>
      </c>
    </row>
    <row r="240" spans="1:5" ht="12.75">
      <c r="A240" s="45" t="str">
        <f ca="1">New!M:M</f>
        <v>{New} Ava Nicks https://lulustream.com/d/bsybs46r7514 https://streamtape.com/v/y2wpoekWw2H1ZYl/68148030 https://doodstream.com/d/n3tppaiy8rqa/68148030 (2026) #MILF #BigTits #Bigass #Blowjob #Amateur #Blonde #RIPNSFW</v>
      </c>
      <c r="B240" s="12" t="str">
        <f>New!A:A</f>
        <v>Ava Nicks - 68148030 - ripnsfw.com.jpg</v>
      </c>
      <c r="C240" s="12" t="s">
        <v>8895</v>
      </c>
      <c r="D240" s="46">
        <f>New!P:P</f>
        <v>0</v>
      </c>
    </row>
    <row r="241" spans="1:5" ht="12.75">
      <c r="A241" s="45" t="str">
        <f ca="1">New!M:M</f>
        <v>{New} Ava Nicks https://lulustream.com/d/tulo8yjmbfmk https://streamtape.com/v/12PKGpRkj3c6jp/71430001 https://doodstream.com/d/0chb93nxcwun/71430001 (2026) #milf #bigass #bigtits #pov #RIPNSFW</v>
      </c>
      <c r="B241" s="12" t="str">
        <f>New!A:A</f>
        <v>Ava Nicks - 71430001 - Onlyfans.jpg</v>
      </c>
      <c r="C241" s="12" t="s">
        <v>8895</v>
      </c>
      <c r="D241" s="46">
        <f>New!P:P</f>
        <v>0</v>
      </c>
      <c r="E241" s="12"/>
    </row>
    <row r="242" spans="1:5" ht="12.75">
      <c r="A242" s="45" t="str">
        <f ca="1">New!M:M</f>
        <v>{New} Ava Nicks https://lulustream.com/d/jdu9ub0j62ny https://streamtape.com/v/aRW8Qp7xA1U0gG/76436173 https://doodstream.com/d/u35q5q6hiuug/76436173 (2026) #MILF #BigTits #Creampie #Hardcore #Bigass #Artporn #Stepmom #Blowjob #Amateur #Hotwife #Deepthroat #Blonde #RIPNSFW</v>
      </c>
      <c r="B242" s="12" t="str">
        <f>New!A:A</f>
        <v>Ava Nicks - 76436173 - Onlyfans.jpg</v>
      </c>
      <c r="C242" s="12" t="s">
        <v>8895</v>
      </c>
      <c r="D242" s="46">
        <f>New!P:P</f>
        <v>0</v>
      </c>
      <c r="E242" s="12"/>
    </row>
    <row r="243" spans="1:5" ht="12.75">
      <c r="A243" s="45" t="str">
        <f ca="1">New!M:M</f>
        <v>{New} Ava Nicks https://lulustream.com/d/vnbj4y14cex7 https://doodstream.com/d/nnpa08zhv6e2/79881241 https://streamtape.com/v/OXkYyzgeY4uZV7B/79881241 (2026) #MILF #BigTits #Hardcore #Bigass #Roleplay #Blowjob #Amateur #Hotwife #RIPNSFW</v>
      </c>
      <c r="B243" s="12" t="str">
        <f>New!A:A</f>
        <v>Ava Nicks - 79881241 - ripnsfw.com.jpg</v>
      </c>
      <c r="C243" s="12" t="s">
        <v>8895</v>
      </c>
      <c r="D243" s="46">
        <f>New!P:P</f>
        <v>0</v>
      </c>
      <c r="E243" s="12"/>
    </row>
    <row r="244" spans="1:5" ht="12.75">
      <c r="A244" s="45" t="str">
        <f ca="1">New!M:M</f>
        <v>{New} Ava Nicks https://streamtape.com/v/0RgvM1x7lYfbJLa/90251809 https://lulustream.com/d/69zytf35azi8 https://doodstream.com/d/4g2o8bnc2g3d/90251809 (2026) #MILF #BigTits #Hardcore #Bigass #Blowjob #Amateur #RIPNSFW</v>
      </c>
      <c r="B244" s="12" t="str">
        <f>New!A:A</f>
        <v>Ava Nicks - 90251809 - ripnsfw.com.jpg</v>
      </c>
      <c r="C244" s="12" t="s">
        <v>8895</v>
      </c>
      <c r="D244" s="46">
        <f>New!P:P</f>
        <v>0</v>
      </c>
      <c r="E244" s="12"/>
    </row>
    <row r="245" spans="1:5" ht="12.75">
      <c r="A245" s="45" t="str">
        <f ca="1">New!M:M</f>
        <v>{New} Ava Nicks https://doodstream.com/d/4p85k7vqfsm7/93219248 https://streamtape.com/v/PZArd9A71xU0jzQ/93219248 https://lulustream.com/d/7u322va0u360 (2026) #MILF #BigTits #Bigass #Blowjob #Amateur #RIPNSFW</v>
      </c>
      <c r="B245" s="12" t="str">
        <f>New!A:A</f>
        <v>Ava Nicks - 93219248 - ripnsfw.com.jpg</v>
      </c>
      <c r="C245" s="12" t="s">
        <v>8895</v>
      </c>
      <c r="D245" s="46">
        <f>New!P:P</f>
        <v>0</v>
      </c>
      <c r="E245" s="12"/>
    </row>
    <row r="246" spans="1:5" ht="12.75">
      <c r="A246" s="45" t="str">
        <f ca="1">New!M:M</f>
        <v>{New} Avery https://doodstream.com/d/jvcmlpxqrf66/95107628 https://streamtape.com/v/9OPrm3z1l8talde/95107628 https://lulustream.com/d/svyhpatvkjvm (2026) #Anal #BigTits #Creampie #Hardcore #Black #Interracial #Bigass #Porn #Teen #RIPNSFW</v>
      </c>
      <c r="B246" s="12" t="str">
        <f>New!A:A</f>
        <v>Avery - 95107628 - ripnsfw.com.jpg</v>
      </c>
      <c r="C246" s="12" t="s">
        <v>8895</v>
      </c>
      <c r="D246" s="46">
        <f>New!P:P</f>
        <v>0</v>
      </c>
      <c r="E246" s="12"/>
    </row>
    <row r="247" spans="1:5" ht="12.75">
      <c r="A247" s="45" t="str">
        <f ca="1">New!M:M</f>
        <v>{New} Bananapotato333 https://lulustream.com/d/dza91b8aeasc https://doodstream.com/d/wiy5n0clgl1u/36693743 https://streamtape.com/v/ReY73BllObtdd0V/36693743 (2026) #creampie #teen #brunette #bigtits #RIPNSFW</v>
      </c>
      <c r="B247" s="12" t="str">
        <f>New!A:A</f>
        <v>Bananapotato333 - 36693743 - Onlyfans.jpg</v>
      </c>
      <c r="C247" s="12" t="s">
        <v>8895</v>
      </c>
      <c r="D247" s="46">
        <f>New!P:P</f>
        <v>0</v>
      </c>
    </row>
    <row r="248" spans="1:5" ht="12.75">
      <c r="A248" s="45" t="str">
        <f ca="1">New!M:M</f>
        <v>{New} Blake Blossom https://streamtape.com/v/OJgzO7AQvMtZJwx/26782260 https://doodstream.com/d/41tz5xm84pbr/26782260 https://lulustream.com/d/8lnjtfv3y7ue Lena the plug (2026) #MILF #BigTits #Hardcore #Threesome #Bigass #Blowjob #Amateur #Blonde #Facial #RIPNSFW</v>
      </c>
      <c r="B248" s="12" t="str">
        <f>New!A:A</f>
        <v>Blake Blossom - 26782260 - ripnsfw.com - Lena the plug.jpg</v>
      </c>
      <c r="C248" s="12" t="s">
        <v>8895</v>
      </c>
      <c r="D248" s="46">
        <f>New!P:P</f>
        <v>0</v>
      </c>
    </row>
    <row r="249" spans="1:5" ht="12.75">
      <c r="A249" s="45" t="str">
        <f ca="1">New!M:M</f>
        <v>{New} Blake Blossom https://streamtape.com/v/9bOw39yV1BT14e/40550793 https://lulustream.com/d/qr58bh6snn8g https://doodstream.com/d/8v7tkvznv5r4/40550793 (2026) #BigTits #Hardcore #Black #Interracial #Teen #Blowjob #Amateur #Blonde #Deepthroat #RIPNSFW</v>
      </c>
      <c r="B249" s="12" t="str">
        <f>New!A:A</f>
        <v>Blake Blossom - 40550793 - ripnsfw.com.jpg</v>
      </c>
      <c r="C249" s="12" t="s">
        <v>8895</v>
      </c>
      <c r="D249" s="46">
        <f>New!P:P</f>
        <v>0</v>
      </c>
    </row>
    <row r="250" spans="1:5" ht="12.75">
      <c r="A250" s="45" t="str">
        <f ca="1">New!M:M</f>
        <v>{New} Blake Blossom https://doodstream.com/d/lsmpbgkrifw4/52742082 https://lulustream.com/d/v9327vflhs1p https://streamtape.com/v/zQgmzwOK9KIv6p/52742082 (2026) #teen #bigtits #solo #public #RIPNSFW</v>
      </c>
      <c r="B250" s="12" t="str">
        <f>New!A:A</f>
        <v>Blake Blossom - 52742082 - Camsoda.jpg</v>
      </c>
      <c r="C250" s="12" t="s">
        <v>8895</v>
      </c>
      <c r="D250" s="46">
        <f>New!P:P</f>
        <v>0</v>
      </c>
    </row>
    <row r="251" spans="1:5" ht="12.75">
      <c r="A251" s="45" t="str">
        <f ca="1">New!M:M</f>
        <v>{New} Blake Blossom https://streamtape.com/v/Aq4zAWkyZKIvbR/54816476 https://doodstream.com/d/i6hdmh1kwrp2/54816476 https://lulustream.com/d/csgf8yqplnbr (2026) #BigTits #Bigass #Teen #Solo #RIPNSFW</v>
      </c>
      <c r="B251" s="12" t="str">
        <f>New!A:A</f>
        <v>Blake Blossom - 54816476 - ripnsfw.com.jpg</v>
      </c>
      <c r="C251" s="12" t="s">
        <v>8895</v>
      </c>
      <c r="D251" s="46">
        <f>New!P:P</f>
        <v>0</v>
      </c>
    </row>
    <row r="252" spans="1:5" ht="12.75">
      <c r="A252" s="45" t="str">
        <f ca="1">New!M:M</f>
        <v>{New} Blake Blossom https://lulustream.com/d/knrkv4mabic0 https://streamtape.com/v/QPxXLrQoAxC0ZWk/79412478 https://doodstream.com/d/rmhvm3uaeq7a/79412478 (2026) #BigTits #MILF #Hardcore #Black #Interracial #Porn #Blowjob #Deepthroat #RIPNSFW</v>
      </c>
      <c r="B252" s="12" t="str">
        <f>New!A:A</f>
        <v>Blake Blossom - 79412478 - ripnsfw.com.jpg</v>
      </c>
      <c r="C252" s="12" t="s">
        <v>8895</v>
      </c>
      <c r="D252" s="46">
        <f>New!P:P</f>
        <v>0</v>
      </c>
      <c r="E252" s="12"/>
    </row>
    <row r="253" spans="1:5" ht="12.75">
      <c r="A253" s="45" t="str">
        <f ca="1">New!M:M</f>
        <v>{New} Blake Blossom https://lulustream.com/d/dlcwmhyuxx5s https://doodstream.com/d/a96uvs3xsf8i/80725716 https://streamtape.com/v/l0GmgPZ29aI71rB/80725716 Angel Youngs (2026) #BigTits #Hardcore #Threesome #Bigass #Teen #Blowjob #Amateur #RIPNSFW</v>
      </c>
      <c r="B253" s="12" t="str">
        <f>New!A:A</f>
        <v>Blake Blossom - 80725716 - ripnsfw.com - Angel Youngs.jpg</v>
      </c>
      <c r="C253" s="12" t="s">
        <v>8895</v>
      </c>
      <c r="D253" s="46">
        <f>New!P:P</f>
        <v>0</v>
      </c>
    </row>
    <row r="254" spans="1:5" ht="12.75">
      <c r="A254" s="45" t="str">
        <f ca="1">New!M:M</f>
        <v>{New} Bonnie Blue https://doodstream.com/d/abmt73hv22ct/35424196 https://lulustream.com/d/hyxk4byf0c9o https://streamtape.com/v/rgOoozv2KQIbmlK/35424196 (2026) #MILF #BigTits #Hardcore #Blowjob #Amateur #RIPNSFW</v>
      </c>
      <c r="B254" s="12" t="str">
        <f>New!A:A</f>
        <v>Bonnie Blue - 35424196 - ripnsfw.com.jpg</v>
      </c>
      <c r="C254" s="12" t="s">
        <v>8895</v>
      </c>
      <c r="D254" s="46">
        <f>New!P:P</f>
        <v>0</v>
      </c>
    </row>
    <row r="255" spans="1:5" ht="12.75">
      <c r="A255" s="45" t="str">
        <f ca="1">New!M:M</f>
        <v>{New} Bonnie Blue https://lulustream.com/d/aunt69k8pqfv https://streamtape.com/v/rAB9ooy3BjFb69Q/42460162 https://doodstream.com/d/zwmu756gg9vg/42460162 (2026) #blonde #pov #blowjob #amateur #RIPNSFW</v>
      </c>
      <c r="B255" s="12" t="str">
        <f>New!A:A</f>
        <v>Bonnie Blue - 42460162 - Onlyfans.jpg</v>
      </c>
      <c r="C255" s="12" t="s">
        <v>8895</v>
      </c>
      <c r="D255" s="46">
        <f>New!P:P</f>
        <v>0</v>
      </c>
      <c r="E255" s="12"/>
    </row>
    <row r="256" spans="1:5" ht="12.75">
      <c r="A256" s="45" t="str">
        <f ca="1">New!M:M</f>
        <v>{New} Bonnie Blue https://streamtape.com/v/MrxboDblMGHmPP7/58248796 https://doodstream.com/d/atan28ke5acy/58248796 https://lulustream.com/d/zvog9tzsdk5m (2026) #Hardcore #Gangbang #Teen #Blowjob #RIPNSFW</v>
      </c>
      <c r="B256" s="12" t="str">
        <f>New!A:A</f>
        <v>Bonnie Blue - 58248796 - XVRED.jpg</v>
      </c>
      <c r="C256" s="12" t="s">
        <v>8895</v>
      </c>
      <c r="D256" s="46">
        <f>New!P:P</f>
        <v>0</v>
      </c>
      <c r="E256" s="12"/>
    </row>
    <row r="257" spans="1:5" ht="12.75">
      <c r="A257" s="45" t="str">
        <f ca="1">New!M:M</f>
        <v>{New} Brandi Love https://streamtape.com/v/0LgXqB619JIb7vA/72955926 https://lulustream.com/d/92gue72onpex https://doodstream.com/d/vszsa3udi0np/72955926 (2026) #MILF #BigTits #Hardcore #Black #Interracial #Bigass #Blowjob #Amateur #Mature #Hotwife #RIPNSFW</v>
      </c>
      <c r="B257" s="12" t="str">
        <f>New!A:A</f>
        <v>Brandi Love - 72955926 - ripnsfw.com.jpg</v>
      </c>
      <c r="C257" s="12" t="s">
        <v>8895</v>
      </c>
      <c r="D257" s="46">
        <f>New!P:P</f>
        <v>0</v>
      </c>
    </row>
    <row r="258" spans="1:5" ht="12.75">
      <c r="A258" s="45" t="str">
        <f ca="1">New!M:M</f>
        <v>{New} Brandy Renee https://lulustream.com/d/e6znklauliqr https://doodstream.com/d/hm4h6lwhicj0/25399996 https://streamtape.com/v/kzJ6jw1eYMSOJlO/25399996 (2026) #milf #bigtits #blowjob #amateur #RIPNSFW</v>
      </c>
      <c r="B258" s="12" t="str">
        <f>New!A:A</f>
        <v>Brandy Renee - 25399996 - Onlyfans.jpg</v>
      </c>
      <c r="C258" s="12" t="s">
        <v>8895</v>
      </c>
      <c r="D258" s="46">
        <f>New!P:P</f>
        <v>0</v>
      </c>
      <c r="E258" s="12"/>
    </row>
    <row r="259" spans="1:5" ht="12.75">
      <c r="A259" s="45" t="str">
        <f ca="1">New!M:M</f>
        <v>{New} Brandy Renee https://streamtape.com/v/rlJ7kLKmllhbwLR/26373806 https://lulustream.com/d/foqoudl9vew1 https://doodstream.com/d/u33nen47qaj9/26373806 (2026) #MILF #BigTits #Hardcore #Black #Interracial #Bigass #Blowjob #RIPNSFW</v>
      </c>
      <c r="B259" s="12" t="str">
        <f>New!A:A</f>
        <v>Brandy Renee - 26373806 - ripnsfw.com.jpg</v>
      </c>
      <c r="C259" s="12" t="s">
        <v>8895</v>
      </c>
      <c r="D259" s="46">
        <f>New!P:P</f>
        <v>0</v>
      </c>
      <c r="E259" s="12"/>
    </row>
    <row r="260" spans="1:5" ht="12.75">
      <c r="A260" s="45" t="str">
        <f ca="1">New!M:M</f>
        <v>{New} Brandy Renee https://streamtape.com/v/6R3g9jyRXYC97B0/29716522 https://lulustream.com/d/fmcpdw5tmztf https://doodstream.com/d/5juqzy4orxey/29716522 (2026) #MILF #BigTits #Hardcore #Bigass #Blowjob #RIPNSFW</v>
      </c>
      <c r="B260" s="12" t="str">
        <f>New!A:A</f>
        <v>Brandy Renee - 29716522 - ripnsfw.com.jpg</v>
      </c>
      <c r="C260" s="12" t="s">
        <v>8895</v>
      </c>
      <c r="D260" s="46">
        <f>New!P:P</f>
        <v>0</v>
      </c>
    </row>
    <row r="261" spans="1:5" ht="12.75">
      <c r="A261" s="45" t="str">
        <f ca="1">New!M:M</f>
        <v>{New} Brandy Renee https://lulustream.com/d/9ear7xjmlvnv https://streamtape.com/v/Y7GzQwy6QaCvm8z/32148809 https://doodstream.com/d/1siquun9th0l/32148809 (2026) #MILF #BigTits #Hardcore #Bigass #Blowjob #Amateur #RIPNSFW</v>
      </c>
      <c r="B261" s="12" t="str">
        <f>New!A:A</f>
        <v>Brandy Renee - 32148809 - ripnsfw.com.jpg</v>
      </c>
      <c r="C261" s="12" t="s">
        <v>8895</v>
      </c>
      <c r="D261" s="46">
        <f>New!P:P</f>
        <v>0</v>
      </c>
      <c r="E261" s="12"/>
    </row>
    <row r="262" spans="1:5" ht="12.75">
      <c r="A262" s="45" t="str">
        <f ca="1">New!M:M</f>
        <v>{New} Brandy Renee https://streamtape.com/v/w7ZRmYzak6FJ11Y/37670419 https://lulustream.com/d/vt3h5h68re64 https://doodstream.com/d/318bm4klxjth/37670419 (2026) #MILF #BigTits #Hardcore #Bigass #Blowjob #RIPNSFW</v>
      </c>
      <c r="B262" s="12" t="str">
        <f>New!A:A</f>
        <v>Brandy Renee - 37670419 - ripnsfw.com.jpg</v>
      </c>
      <c r="C262" s="12" t="s">
        <v>8895</v>
      </c>
      <c r="D262" s="46">
        <f>New!P:P</f>
        <v>0</v>
      </c>
      <c r="E262" s="12"/>
    </row>
    <row r="263" spans="1:5" ht="12.75">
      <c r="A263" s="45" t="str">
        <f ca="1">New!M:M</f>
        <v>{New} Brandy Renee https://lulustream.com/d/i6s4v8tygvi2 https://doodstream.com/d/byi8gz1t1cxl/45062658 https://streamtape.com/v/OYrWgJkvV8sZRRg/45062658 (2026) #milf #bigtits #blowjob #pov #RIPNSFW</v>
      </c>
      <c r="B263" s="12" t="str">
        <f>New!A:A</f>
        <v>Brandy Renee - 45062658 - Onlyfans.jpg</v>
      </c>
      <c r="C263" s="12" t="s">
        <v>8895</v>
      </c>
      <c r="D263" s="46">
        <f>New!P:P</f>
        <v>0</v>
      </c>
    </row>
    <row r="264" spans="1:5" ht="12.75">
      <c r="A264" s="45" t="str">
        <f ca="1">New!M:M</f>
        <v>{New} Brandy Renee https://doodstream.com/d/6pq1qwb5lbo8/50238847 https://lulustream.com/d/9clpjo1po1uf https://streamtape.com/v/ekly0g9rz0IYVK6/50238847 (2026) #MILF #BigTits #Hardcore #Black #Interracial #Threesome #Bigass #Blowjob #Amateur #Deepthroat #Blonde #Facial #RIPNSFW</v>
      </c>
      <c r="B264" s="12" t="str">
        <f>New!A:A</f>
        <v>Brandy Renee - 50238847 - ripnsfw.com.jpg</v>
      </c>
      <c r="C264" s="12" t="s">
        <v>8895</v>
      </c>
      <c r="D264" s="46">
        <f>New!P:P</f>
        <v>0</v>
      </c>
    </row>
    <row r="265" spans="1:5" ht="12.75">
      <c r="A265" s="45" t="str">
        <f ca="1">New!M:M</f>
        <v>{New} Brandy Renee https://lulustream.com/d/eiw6j7z5hv2d https://doodstream.com/d/9b84oa2fo50d/51065523 https://streamtape.com/v/yD0mDLG4yXf1WKJ/51065523 (2026) #MILF #BigTits #Creampie #Hardcore #Bigass #RIPNSFW</v>
      </c>
      <c r="B265" s="12" t="str">
        <f>New!A:A</f>
        <v>Brandy Renee - 51065523 - ripnsfw.com.jpg</v>
      </c>
      <c r="C265" s="12" t="s">
        <v>8895</v>
      </c>
      <c r="D265" s="46">
        <f>New!P:P</f>
        <v>0</v>
      </c>
    </row>
    <row r="266" spans="1:5" ht="12.75">
      <c r="A266" s="45" t="str">
        <f ca="1">New!M:M</f>
        <v>Brandy Renee https://streamtape.com/v/w4jVLMA4e3uJbRx/52199052 https://lulustream.com/d/bt8395vsob57 https://doodstream.com/d/52j1b1z6r1sw/52199052 #blonde #interracial #bigtits #bigass #RIPNSFW</v>
      </c>
      <c r="B266" s="12" t="str">
        <f>New!A:A</f>
        <v>Brandy Renee - 52199052 - Onlyfans.jpg</v>
      </c>
      <c r="C266" s="12" t="s">
        <v>8895</v>
      </c>
      <c r="D266" s="46">
        <f>New!P:P</f>
        <v>0</v>
      </c>
    </row>
    <row r="267" spans="1:5" ht="12.75">
      <c r="A267" s="45" t="str">
        <f ca="1">New!M:M</f>
        <v>{New} Brandy Renee https://streamtape.com/v/ygQOQv4rAji1VJD/55295743 https://lulustream.com/d/264lrcjonqw6 https://doodstream.com/d/eua0jpktqg4v/55295743 (2026) #MILF #BigTits #Hardcore #Bigass #Blowjob #Amateur #RIPNSFW</v>
      </c>
      <c r="B267" s="12" t="str">
        <f>New!A:A</f>
        <v>Brandy Renee - 55295743 - ripnsfw.com.jpg</v>
      </c>
      <c r="C267" s="12" t="s">
        <v>8895</v>
      </c>
      <c r="D267" s="46">
        <f>New!P:P</f>
        <v>0</v>
      </c>
    </row>
    <row r="268" spans="1:5" ht="12.75">
      <c r="A268" s="45" t="str">
        <f ca="1">New!M:M</f>
        <v>{New} Brandy Renee https://streamtape.com/v/K9yrJrRJJ8H06Gd/56174489 https://doodstream.com/d/jgzmf2bfze7t/56174489 https://lulustream.com/d/9krbct3dqohz (2026) #MILF #BigTits #Hardcore #Bigass #Roleplay #Blowjob #Amateur #Blonde #Facial #RIPNSFW</v>
      </c>
      <c r="B268" s="12" t="str">
        <f>New!A:A</f>
        <v>Brandy Renee - 56174489 - ripnsfw.com.jpg</v>
      </c>
      <c r="C268" s="12" t="s">
        <v>8895</v>
      </c>
      <c r="D268" s="46">
        <f>New!P:P</f>
        <v>0</v>
      </c>
    </row>
    <row r="269" spans="1:5" ht="12.75">
      <c r="A269" s="45" t="str">
        <f ca="1">New!M:M</f>
        <v>{New} Brandy Renee https://streamtape.com/v/ldVoXGxlkdComk/60513733 https://doodstream.com/d/df2tlsfghapl/60513733 https://lulustream.com/d/cqs5v75h2pzg (2026) #MILF #BigTits #Hardcore #Creampie #RIPNSFW</v>
      </c>
      <c r="B269" s="12" t="str">
        <f>New!A:A</f>
        <v>Brandy Renee - 60513733 - ripnsfw.com.jpg</v>
      </c>
      <c r="C269" s="12" t="s">
        <v>8895</v>
      </c>
      <c r="D269" s="46">
        <f>New!P:P</f>
        <v>0</v>
      </c>
    </row>
    <row r="270" spans="1:5" ht="12.75">
      <c r="A270" s="45" t="str">
        <f ca="1">New!M:M</f>
        <v>{New} Brandy Renee https://doodstream.com/d/0f7a0vhs78lr/61045229 https://streamtape.com/v/r3qkPm44BYubVvD/61045229 https://lulustream.com/d/d7gzwvzt9xhb (2026) #milf #bigtits #bigass #blowjob #RIPNSFW</v>
      </c>
      <c r="B270" s="12" t="str">
        <f>New!A:A</f>
        <v>Brandy Renee - 61045229 - Onlyfans.jpg</v>
      </c>
      <c r="C270" s="12" t="s">
        <v>8895</v>
      </c>
      <c r="D270" s="46">
        <f>New!P:P</f>
        <v>0</v>
      </c>
    </row>
    <row r="271" spans="1:5" ht="12.75">
      <c r="A271" s="45" t="str">
        <f ca="1">New!M:M</f>
        <v>{New} Brandy Renee https://doodstream.com/d/9f5fhgyhdu8g/68971068 https://lulustream.com/d/3vwv0xytpts8 https://streamtape.com/v/2WlQplAm7lSZOd6/68971068 (2026) #MILF #BigTits #Hardcore #Bigass #Blowjob #Blonde #Facial #RIPNSFW</v>
      </c>
      <c r="B271" s="12" t="str">
        <f>New!A:A</f>
        <v>Brandy Renee - 68971068 - ripnsfw.com.jpg</v>
      </c>
      <c r="C271" s="12" t="s">
        <v>8895</v>
      </c>
      <c r="D271" s="46">
        <f>New!P:P</f>
        <v>0</v>
      </c>
    </row>
    <row r="272" spans="1:5" ht="12.75">
      <c r="A272" s="45" t="str">
        <f ca="1">New!M:M</f>
        <v>{New} Brandy Renee https://streamtape.com/v/28OrwKwX1ruZrYB/69855289 https://lulustream.com/d/6dv91pfoqz0u https://doodstream.com/d/qh9fsxzzxovo/69855289 (2026) #MILF #BigTits #Hardcore #Bigass #RIPNSFW</v>
      </c>
      <c r="B272" s="12" t="str">
        <f>New!A:A</f>
        <v>Brandy Renee - 69855289 - ripnsfw.com.jpg</v>
      </c>
      <c r="C272" s="12" t="s">
        <v>8895</v>
      </c>
      <c r="D272" s="46">
        <f>New!P:P</f>
        <v>0</v>
      </c>
    </row>
    <row r="273" spans="1:5" ht="12.75">
      <c r="A273" s="45" t="str">
        <f ca="1">New!M:M</f>
        <v>{New} Brandy Renee https://doodstream.com/d/hrj932r6g7cv/69962852 https://streamtape.com/v/zPop1OWeL7uYZP6/69962852 https://lulustream.com/d/4487s2hmp8ka (2026) #milf #blowjob #bigtits #bigass #RIPNSFW</v>
      </c>
      <c r="B273" s="12" t="str">
        <f>New!A:A</f>
        <v>Brandy Renee - 69962852 - PB.jpg</v>
      </c>
      <c r="C273" s="12" t="s">
        <v>8895</v>
      </c>
      <c r="D273" s="46">
        <f>New!P:P</f>
        <v>0</v>
      </c>
    </row>
    <row r="274" spans="1:5" ht="12.75">
      <c r="A274" s="45" t="str">
        <f ca="1">New!M:M</f>
        <v>{New} Brandy Renee https://lulustream.com/d/y2cxax53k1y5 https://doodstream.com/d/65l86lcnuepl/70980059 https://streamtape.com/v/GAy62qX6MDToGB/70980059 (2026) #milf #bigtits #blowjob #amateur #RIPNSFW</v>
      </c>
      <c r="B274" s="12" t="str">
        <f>New!A:A</f>
        <v>Brandy Renee - 70980059 - Onlyfans.jpg</v>
      </c>
      <c r="C274" s="12" t="s">
        <v>8895</v>
      </c>
      <c r="D274" s="46">
        <f>New!P:P</f>
        <v>0</v>
      </c>
    </row>
    <row r="275" spans="1:5" ht="12.75">
      <c r="A275" s="45" t="str">
        <f ca="1">New!M:M</f>
        <v>{New} Brandy Renee https://doodstream.com/d/urpn9viyjhbo/84414486 https://lulustream.com/d/vb3nmloo07gj https://streamtape.com/v/kLV2JzbBy7uOv68/84414486 (2026) #Anal #MILF #BigTits #Creampie #Hardcore #Bigass #Artporn #Blowjob #Amateur #Blonde #RIPNSFW</v>
      </c>
      <c r="B275" s="12" t="str">
        <f>New!A:A</f>
        <v>Brandy Renee - 84414486 - ripnsfw.com.jpg</v>
      </c>
      <c r="C275" s="12" t="s">
        <v>8895</v>
      </c>
      <c r="D275" s="46">
        <f>New!P:P</f>
        <v>0</v>
      </c>
    </row>
    <row r="276" spans="1:5" ht="12.75">
      <c r="A276" s="45" t="str">
        <f ca="1">New!M:M</f>
        <v>{New} Brandy Renee https://lulustream.com/d/lgr6wpjqb6ty https://streamtape.com/v/7zVjgK3daWFAqga/90479935 https://doodstream.com/d/0ezlfpi0hhch/90479935 (2026) #MILF #BigTits #Creampie #Hardcore #Bigass #RIPNSFW</v>
      </c>
      <c r="B276" s="12" t="str">
        <f>New!A:A</f>
        <v>Brandy Renee - 90479935 - Onlyfans.jpg</v>
      </c>
      <c r="C276" s="12" t="s">
        <v>8895</v>
      </c>
      <c r="D276" s="46">
        <f>New!P:P</f>
        <v>0</v>
      </c>
      <c r="E276" s="12"/>
    </row>
    <row r="277" spans="1:5" ht="12.75">
      <c r="A277" s="45" t="str">
        <f ca="1">New!M:M</f>
        <v>{New} Brandy Renee https://doodstream.com/d/u1pk9b2lbesl/92475213 https://lulustream.com/d/inyufpe2x7d7 https://streamtape.com/v/w7pJ00pr46foww/92475213 (2026) #MILF #BigTits #Hardcore #Bigass #Blowjob #RIPNSFW</v>
      </c>
      <c r="B277" s="12" t="str">
        <f>New!A:A</f>
        <v>Brandy Renee - 92475213 - ripnsfw.com.jpg</v>
      </c>
      <c r="C277" s="12" t="s">
        <v>8895</v>
      </c>
      <c r="D277" s="46">
        <f>New!P:P</f>
        <v>0</v>
      </c>
    </row>
    <row r="278" spans="1:5" ht="12.75">
      <c r="A278" s="45" t="str">
        <f ca="1">New!M:M</f>
        <v>{New} Brandy Renee https://streamtape.com/v/R41JRAooABsdbdA/96226505 https://doodstream.com/d/soiv77xbvkr3/96226505 https://lulustream.com/d/oekuwoq8n92t (2026) #MILF #BigTits #Hardcore #Bigass #RIPNSFW</v>
      </c>
      <c r="B278" s="12" t="str">
        <f>New!A:A</f>
        <v>Brandy Renee - 96226505 - ripnsfw.com.jpg</v>
      </c>
      <c r="C278" s="12" t="s">
        <v>8895</v>
      </c>
      <c r="D278" s="46">
        <f>New!P:P</f>
        <v>0</v>
      </c>
    </row>
    <row r="279" spans="1:5" ht="12.75">
      <c r="A279" s="45" t="str">
        <f ca="1">New!M:M</f>
        <v>{New} Brandy Renee https://streamtape.com/v/zlZP4XlRYVHYlj2/97559228 https://lulustream.com/d/nch2iiko4ht6 https://doodstream.com/d/ixd4gd89eu1k/97559228 (2026) #MILF #BigTits #Hardcore #Bigass #Blowjob #Amateur #RIPNSFW</v>
      </c>
      <c r="B279" s="12" t="str">
        <f>New!A:A</f>
        <v>Brandy Renee - 97559228 - ripnsfw.com.jpg</v>
      </c>
      <c r="C279" s="12" t="s">
        <v>8895</v>
      </c>
      <c r="D279" s="46">
        <f>New!P:P</f>
        <v>0</v>
      </c>
      <c r="E279" s="12"/>
    </row>
    <row r="280" spans="1:5" ht="12.75">
      <c r="A280" s="45" t="str">
        <f ca="1">New!M:M</f>
        <v>{New} Brenda Trindade https://lulustream.com/d/p6s4c24sm1a8 https://streamtape.com/v/BQaBkxq0vdHyZRX/11630796 https://doodstream.com/d/uzxucxui0ff7/11630796 (2026) #teen #bigtits #blowjob #latina #RIPNSFW</v>
      </c>
      <c r="B280" s="12" t="str">
        <f>New!A:A</f>
        <v>Brenda Trindade - 11630796 - Onlyfans.jpg</v>
      </c>
      <c r="C280" s="12" t="s">
        <v>8895</v>
      </c>
      <c r="D280" s="46">
        <f>New!P:P</f>
        <v>0</v>
      </c>
      <c r="E280" s="12"/>
    </row>
    <row r="281" spans="1:5" ht="12.75">
      <c r="A281" s="45" t="str">
        <f ca="1">New!M:M</f>
        <v>{New} Brenda Trindade https://lulustream.com/d/8qeuwsoeltk8 https://streamtape.com/v/886GlLryjZCoA4d/13190040 https://doodstream.com/d/y1x9wa7ht6ys/13190040 (2026) #BigTits #Creampie #Hardcore #Bigass #RIPNSFW</v>
      </c>
      <c r="B281" s="12" t="str">
        <f>New!A:A</f>
        <v>Brenda Trindade - 13190040 - ripnsfw.com.jpg</v>
      </c>
      <c r="C281" s="12" t="s">
        <v>8895</v>
      </c>
      <c r="D281" s="46">
        <f>New!P:P</f>
        <v>0</v>
      </c>
    </row>
    <row r="282" spans="1:5" ht="12.75">
      <c r="A282" s="45" t="str">
        <f ca="1">New!M:M</f>
        <v>{New} Brenda Trindade https://streamtape.com/v/wVOlKwMjWmhJ7gx/24748836 https://lulustream.com/d/hketa2nn6alc https://doodstream.com/d/9letclyzeozh/24748836 (2026) #BigTits #Bigass #Teen #Latina #Blowjob #Amateur #RIPNSFW</v>
      </c>
      <c r="B282" s="12" t="str">
        <f>New!A:A</f>
        <v>Brenda Trindade - 24748836 - ripnsfw.com.jpg</v>
      </c>
      <c r="C282" s="12" t="s">
        <v>8895</v>
      </c>
      <c r="D282" s="46">
        <f>New!P:P</f>
        <v>0</v>
      </c>
    </row>
    <row r="283" spans="1:5" ht="12.75">
      <c r="A283" s="45" t="str">
        <f ca="1">New!M:M</f>
        <v>{New} Brenda Trindade https://lulustream.com/d/rpepvtrz10vt https://doodstream.com/d/ryzl41c9kdsg/25529253 https://streamtape.com/v/r219oBYev3HbjzP/25529253 (2026) #BigTits #Bigass #Teen #Latina #RIPNSFW</v>
      </c>
      <c r="B283" s="12" t="str">
        <f>New!A:A</f>
        <v>Brenda Trindade - 25529253 - ripnsfw.com.jpg</v>
      </c>
      <c r="C283" s="12" t="s">
        <v>8895</v>
      </c>
      <c r="D283" s="46">
        <f>New!P:P</f>
        <v>0</v>
      </c>
    </row>
    <row r="284" spans="1:5" ht="12.75">
      <c r="A284" s="45" t="str">
        <f ca="1">New!M:M</f>
        <v>{New} Brenda Trindade https://streamtape.com/v/pd0wPweo83UGGz/27782850 https://lulustream.com/d/0bzhgwbfy0rb https://doodstream.com/d/3of11qzrmv2n/27782850 (2026) #BigTits #Teen #Latina #Blowjob #RIPNSFW</v>
      </c>
      <c r="B284" s="12" t="str">
        <f>New!A:A</f>
        <v>Brenda Trindade - 27782850 - ripnsfw.com.jpg</v>
      </c>
      <c r="C284" s="12" t="s">
        <v>8895</v>
      </c>
      <c r="D284" s="46">
        <f>New!P:P</f>
        <v>0</v>
      </c>
    </row>
    <row r="285" spans="1:5" ht="12.75">
      <c r="A285" s="45" t="str">
        <f ca="1">New!M:M</f>
        <v>{New} Brenda Trindade https://streamtape.com/v/vBpZ7Lgm1Qt4r8Y/28778875 https://lulustream.com/d/zr6zdsiw5ogn https://doodstream.com/d/ugdrdzefe7ol/28778875 (2026) #bigass #latina #brunette #amateur #RIPNSFW</v>
      </c>
      <c r="B285" s="12" t="str">
        <f>New!A:A</f>
        <v>Brenda Trindade - 28778875 - Onlyfans.jpg</v>
      </c>
      <c r="C285" s="12" t="s">
        <v>8895</v>
      </c>
      <c r="D285" s="46">
        <f>New!P:P</f>
        <v>0</v>
      </c>
    </row>
    <row r="286" spans="1:5" ht="12.75">
      <c r="A286" s="45" t="str">
        <f ca="1">New!M:M</f>
        <v>{New} Brenda Trindade https://doodstream.com/d/cfpvr8caa279/29232355 https://streamtape.com/v/7qJMDD649ahBX7/29232355 https://lulustream.com/d/e6syvsyu0b1w (2026) #BigTits #Bigass #Latina #Teen #Blowjob #RIPNSFW</v>
      </c>
      <c r="B286" s="12" t="str">
        <f>New!A:A</f>
        <v>Brenda Trindade - 29232355 - ripnsfw.com.jpg</v>
      </c>
      <c r="C286" s="12" t="s">
        <v>8895</v>
      </c>
      <c r="D286" s="46">
        <f>New!P:P</f>
        <v>0</v>
      </c>
      <c r="E286" s="12"/>
    </row>
    <row r="287" spans="1:5" ht="12.75">
      <c r="A287" s="45" t="str">
        <f ca="1">New!M:M</f>
        <v>{New} Brenda Trindade https://lulustream.com/d/mm06ybeh40e7 https://streamtape.com/v/jO8BKQw90DsJJ6/29851665 https://doodstream.com/d/r88zjgz4zzj8/29851665 (2026) #teen #bigtits #blowjob #latina #RIPNSFW</v>
      </c>
      <c r="B287" s="12" t="str">
        <f>New!A:A</f>
        <v>Brenda Trindade - 29851665 - Onlyfans.jpg</v>
      </c>
      <c r="C287" s="12" t="s">
        <v>8895</v>
      </c>
      <c r="D287" s="46">
        <f>New!P:P</f>
        <v>0</v>
      </c>
    </row>
    <row r="288" spans="1:5" ht="12.75">
      <c r="A288" s="45" t="str">
        <f ca="1">New!M:M</f>
        <v>{New} Brenda Trindade https://streamtape.com/v/9epDqGXd7BhaaXM/36041235 https://doodstream.com/d/fw4e1g9sypab/36041235 https://lulustream.com/d/ntcrgsasyylk (2026) #BigTits #Teen #Latina #Teens #Blowjob #Amateur #Deepthroat #RIPNSFW</v>
      </c>
      <c r="B288" s="12" t="str">
        <f>New!A:A</f>
        <v>Brenda Trindade - 36041235 - ripnsfw.com.jpg</v>
      </c>
      <c r="C288" s="12" t="s">
        <v>8895</v>
      </c>
      <c r="D288" s="46">
        <f>New!P:P</f>
        <v>0</v>
      </c>
      <c r="E288" s="12"/>
    </row>
    <row r="289" spans="1:5" ht="12.75">
      <c r="A289" s="45" t="str">
        <f ca="1">New!M:M</f>
        <v>{New} Brenda Trindade https://lulustream.com/d/7lowvt2etn2e https://doodstream.com/d/wuab8keggw4u/39657579 https://streamtape.com/v/xv9lXM97loTkYDb/39657579 (2026) #BigTits #Hardcore #Bigass #Teen #Latina #RIPNSFW</v>
      </c>
      <c r="B289" s="12" t="str">
        <f>New!A:A</f>
        <v>Brenda Trindade - 39657579 - ripnsfw.com.jpg</v>
      </c>
      <c r="C289" s="12" t="s">
        <v>8895</v>
      </c>
      <c r="D289" s="46">
        <f>New!P:P</f>
        <v>0</v>
      </c>
    </row>
    <row r="290" spans="1:5" ht="12.75">
      <c r="A290" s="45" t="str">
        <f ca="1">New!M:M</f>
        <v>{New} Brenda Trindade https://streamtape.com/v/r0B1kB3DMyTbBDJ/41135871 https://lulustream.com/d/hxdvmyl1m0ds https://doodstream.com/d/0m94zhr6mi9l/41135871 (2026) #BigTits #Bigass #Teen #Latina #Blowjob #Amateur #Deepthroat #Facial #RIPNSFW</v>
      </c>
      <c r="B290" s="12" t="str">
        <f>New!A:A</f>
        <v>Brenda Trindade - 41135871 - ripnsfw.com.jpg</v>
      </c>
      <c r="C290" s="12" t="s">
        <v>8895</v>
      </c>
      <c r="D290" s="46">
        <f>New!P:P</f>
        <v>0</v>
      </c>
    </row>
    <row r="291" spans="1:5" ht="12.75">
      <c r="A291" s="45" t="str">
        <f ca="1">New!M:M</f>
        <v>{New} Brenda Trindade https://doodstream.com/d/sp7gaebqrm5n/48654770 https://lulustream.com/d/y3uuzi5bonky https://streamtape.com/v/1xOZ3KJqX6UeZGy/48654770 (2026) #teen #bigtits #bigass #blowjob #RIPNSFW</v>
      </c>
      <c r="B291" s="12" t="str">
        <f>New!A:A</f>
        <v>Brenda Trindade - 48654770 - Onlyfans.jpg</v>
      </c>
      <c r="C291" s="12" t="s">
        <v>8895</v>
      </c>
      <c r="D291" s="46">
        <f>New!P:P</f>
        <v>0</v>
      </c>
    </row>
    <row r="292" spans="1:5" ht="12.75">
      <c r="A292" s="45" t="str">
        <f ca="1">New!M:M</f>
        <v>{New} Brenda Trindade https://streamtape.com/v/YLDZYL1Gk1SvVew/57367647 https://lulustream.com/d/9gxkqvv8wpc5 https://doodstream.com/d/d3q7vshvkh8f/57367647 (2026) #BigTits #Bigass #Teen #Blowjob #Amateur #Hotwife #Deepthroat #Facial #Latina #RIPNSFW</v>
      </c>
      <c r="B292" s="12" t="str">
        <f>New!A:A</f>
        <v>Brenda Trindade - 57367647 - ripnsfw.com.jpg</v>
      </c>
      <c r="C292" s="12" t="s">
        <v>8895</v>
      </c>
      <c r="D292" s="46">
        <f>New!P:P</f>
        <v>0</v>
      </c>
      <c r="E292" s="12"/>
    </row>
    <row r="293" spans="1:5" ht="12.75">
      <c r="A293" s="45" t="str">
        <f ca="1">New!M:M</f>
        <v>{New} Brenda Trindade https://doodstream.com/d/3hhy7x6b3a30/58624434 https://streamtape.com/v/OX3ZwrXjg2cZbb2/58624434 https://lulustream.com/d/xcy82mkqhni0 (2026) #teen #latina #blowjob #bigass #RIPNSFW</v>
      </c>
      <c r="B293" s="12" t="str">
        <f>New!A:A</f>
        <v>Brenda Trindade - 58624434 - Onlyfans.jpg</v>
      </c>
      <c r="C293" s="12" t="s">
        <v>8895</v>
      </c>
      <c r="D293" s="46">
        <f>New!P:P</f>
        <v>0</v>
      </c>
      <c r="E293" s="12"/>
    </row>
    <row r="294" spans="1:5" ht="12.75">
      <c r="A294" s="45" t="str">
        <f ca="1">New!M:M</f>
        <v>{New} Brenda Trindade https://streamtape.com/v/dVZeRywGXKSkvKk/63639116 https://doodstream.com/d/74l4rf2fiqsz/63639116 https://lulustream.com/d/lahmfrnkmdap (2026) #BigTits #Teen #Blowjob #Amateur #Deepthroat #RIPNSFW</v>
      </c>
      <c r="B294" s="12" t="str">
        <f>New!A:A</f>
        <v>Brenda Trindade - 63639116 - ripnsfw.com.jpg</v>
      </c>
      <c r="C294" s="12" t="s">
        <v>8895</v>
      </c>
      <c r="D294" s="46">
        <f>New!P:P</f>
        <v>0</v>
      </c>
      <c r="E294" s="12"/>
    </row>
    <row r="295" spans="1:5" ht="12.75">
      <c r="A295" s="45" t="str">
        <f ca="1">New!M:M</f>
        <v>{New} Brenda Trindade https://streamtape.com/v/eVr99arrzYhYb6M/65002869 https://lulustream.com/d/d77wz4ejc6mr https://doodstream.com/d/f1h2rod0b5ty/65002869 (2026) #BigTits #Bigass #Latina #Teen #Blowjob #RIPNSFW</v>
      </c>
      <c r="B295" s="12" t="str">
        <f>New!A:A</f>
        <v>Brenda Trindade - 65002869 - ripnsfw.com.jpg</v>
      </c>
      <c r="C295" s="12" t="s">
        <v>8895</v>
      </c>
      <c r="D295" s="46">
        <f>New!P:P</f>
        <v>0</v>
      </c>
      <c r="E295" s="12"/>
    </row>
    <row r="296" spans="1:5" ht="12.75">
      <c r="A296" s="45" t="str">
        <f ca="1">New!M:M</f>
        <v>{New} Brenda Trindade https://streamtape.com/v/Q2wq9bpDRbI0lwl/65684076 https://doodstream.com/d/b7ep3940j1w4/65684076 https://lulustream.com/d/b1ar36x2ou5n (2026) #BigTits #Hardcore #Bigass #Teen #RIPNSFW</v>
      </c>
      <c r="B296" s="12" t="str">
        <f>New!A:A</f>
        <v>Brenda Trindade - 65684076 - Onlyfans.jpg</v>
      </c>
      <c r="C296" s="12" t="s">
        <v>8895</v>
      </c>
      <c r="D296" s="46">
        <f>New!P:P</f>
        <v>0</v>
      </c>
      <c r="E296" s="12"/>
    </row>
    <row r="297" spans="1:5" ht="12.75">
      <c r="A297" s="45" t="str">
        <f ca="1">New!M:M</f>
        <v>{New} Brenda Trindade https://doodstream.com/d/2ixe5z739xpc/76832927 https://lulustream.com/d/qx919q1q4wu3 https://streamtape.com/v/vpJaXxXRVQCPQX/76832927 (2026) #teen #latina #bigass #blowjob #RIPNSFW</v>
      </c>
      <c r="B297" s="12" t="str">
        <f>New!A:A</f>
        <v>Brenda Trindade - 76832927 - Onlyfans.jpg</v>
      </c>
      <c r="C297" s="12" t="s">
        <v>8895</v>
      </c>
      <c r="D297" s="46">
        <f>New!P:P</f>
        <v>0</v>
      </c>
      <c r="E297" s="12"/>
    </row>
    <row r="298" spans="1:5" ht="12.75">
      <c r="A298" s="45" t="str">
        <f ca="1">New!M:M</f>
        <v>{New} Brenda Trindade https://streamtape.com/v/VGwbZXo46VIKGZo/81769918 https://lulustream.com/d/cyc3wbdvw7pi https://doodstream.com/d/91780omphsh9/81769918 (2026) #teen #bigtits #bigass #latina #RIPNSFW</v>
      </c>
      <c r="B298" s="12" t="str">
        <f>New!A:A</f>
        <v>Brenda Trindade - 81769918 - Onlyfans.jpg</v>
      </c>
      <c r="C298" s="12" t="s">
        <v>8895</v>
      </c>
      <c r="D298" s="46">
        <f>New!P:P</f>
        <v>0</v>
      </c>
      <c r="E298" s="12"/>
    </row>
    <row r="299" spans="1:5" ht="12.75">
      <c r="A299" s="45" t="str">
        <f ca="1">New!M:M</f>
        <v>{New} Brenda Trindade https://streamtape.com/v/M6pJ9KrWaaFweO/91220604 https://lulustream.com/d/l247i3c030e8 https://doodstream.com/d/mp91h23361in/91220604 (2026) #BigTits #Bigass #Teen #Latina #Blowjob #Amateur #Deepthroat #RIPNSFW</v>
      </c>
      <c r="B299" s="12" t="str">
        <f>New!A:A</f>
        <v>Brenda Trindade - 91220604 - ripnsfw.com.jpg</v>
      </c>
      <c r="C299" s="12" t="s">
        <v>8895</v>
      </c>
      <c r="D299" s="46">
        <f>New!P:P</f>
        <v>0</v>
      </c>
      <c r="E299" s="12"/>
    </row>
    <row r="300" spans="1:5" ht="12.75">
      <c r="A300" s="45" t="str">
        <f ca="1">New!M:M</f>
        <v>{New} Brenda Trindade https://lulustream.com/d/ep3153zbbh8w https://doodstream.com/d/mi3re9hzs1nj/95951634 https://streamtape.com/v/GjVjjgdablI1wOb/95951634 (2026) #bigass #latina #brunette #doggystyle #RIPNSFW</v>
      </c>
      <c r="B300" s="12" t="str">
        <f>New!A:A</f>
        <v>Brenda Trindade - 95951634 - Onlyfans.jpg</v>
      </c>
      <c r="C300" s="12" t="s">
        <v>8895</v>
      </c>
      <c r="D300" s="46">
        <f>New!P:P</f>
        <v>0</v>
      </c>
    </row>
    <row r="301" spans="1:5" ht="12.75">
      <c r="A301" s="45" t="str">
        <f ca="1">New!M:M</f>
        <v>{New} Brenda Trindade https://lulustream.com/d/s0sr79j31hco https://streamtape.com/v/KLwdGWw3bWTzqb/97482311 https://doodstream.com/d/jqflqnky0ds5/97482311 (2026) #BigTits #Creampie #Hardcore #Bigass #RIPNSFW</v>
      </c>
      <c r="B301" s="12" t="str">
        <f>New!A:A</f>
        <v>Brenda Trindade - 97482311 - Onlyfans.jpg</v>
      </c>
      <c r="C301" s="12" t="s">
        <v>8895</v>
      </c>
      <c r="D301" s="46">
        <f>New!P:P</f>
        <v>0</v>
      </c>
    </row>
    <row r="302" spans="1:5" ht="12.75">
      <c r="A302" s="45" t="str">
        <f ca="1">New!M:M</f>
        <v>{New} Brenda Trindade https://lulustream.com/d/rxyxbcu8c5d0 https://doodstream.com/d/wvumzu2t2vji/98672929 https://streamtape.com/v/WeOBoexZrgubPrx/98672929 (2026) #teen #latina #blowjob #bigass #RIPNSFW</v>
      </c>
      <c r="B302" s="12" t="str">
        <f>New!A:A</f>
        <v>Brenda Trindade - 98672929 - Onlyfans.jpg</v>
      </c>
      <c r="C302" s="12" t="s">
        <v>8895</v>
      </c>
      <c r="D302" s="46">
        <f>New!P:P</f>
        <v>0</v>
      </c>
    </row>
    <row r="303" spans="1:5" ht="12.75">
      <c r="A303" s="45" t="str">
        <f ca="1">New!M:M</f>
        <v>{New} Briana Moon https://streamtape.com/v/79eMpL9g44SADlr/42590292 https://lulustream.com/d/i6xeec5re7at https://doodstream.com/d/aaabjgfxvgq9/42590292 Lena the plug (2026) #MILF #BigTits #Hardcore #Threesome #Bigass #Blowjob #RIPNSFW</v>
      </c>
      <c r="B303" s="12" t="str">
        <f>New!A:A</f>
        <v>Briana Moon - 42590292 - ripnsfw.com - Lena the plug.jpg</v>
      </c>
      <c r="C303" s="12" t="s">
        <v>8895</v>
      </c>
      <c r="D303" s="46">
        <f>New!P:P</f>
        <v>0</v>
      </c>
    </row>
    <row r="304" spans="1:5" ht="12.75">
      <c r="A304" s="45" t="str">
        <f ca="1">New!M:M</f>
        <v>Britney Rose https://doodstream.com/d/m3jojgpc7mex/10772530 https://streamtape.com/v/eay4G9OrLxuY07a/10772530 https://lulustream.com/d/6qznhuev7l1c #anal #hardcore #threesome #porn #RIPNSFW</v>
      </c>
      <c r="B304" s="12" t="str">
        <f>New!A:A</f>
        <v>Britney Rose - 10772530 - ExploitedCollegeGirls.jpg</v>
      </c>
      <c r="C304" s="12" t="s">
        <v>8895</v>
      </c>
      <c r="D304" s="46">
        <f>New!P:P</f>
        <v>0</v>
      </c>
      <c r="E304" s="12"/>
    </row>
    <row r="305" spans="1:5" ht="12.75">
      <c r="A305" s="45" t="str">
        <f ca="1">New!M:M</f>
        <v>Britney Rose https://doodstream.com/d/83y0z4fehdc0/48369561 https://lulustream.com/d/hltwpr4eetkr https://streamtape.com/v/AKrmQp4x71UXL1M/48369561 #anal #threesome #blonde #casting #RIPNSFW</v>
      </c>
      <c r="B305" s="12" t="str">
        <f>New!A:A</f>
        <v>Britney Rose - 48369561 - BackroomCastingCouch.jpg</v>
      </c>
      <c r="C305" s="12" t="s">
        <v>8895</v>
      </c>
      <c r="D305" s="46">
        <f>New!P:P</f>
        <v>0</v>
      </c>
    </row>
    <row r="306" spans="1:5" ht="12.75">
      <c r="A306" s="45" t="str">
        <f ca="1">New!M:M</f>
        <v>{New} Britt Blair https://lulustream.com/d/5cwsx2cxvr0w https://streamtape.com/v/3d0P3LAgvZcdepO/41336370 https://doodstream.com/d/h29f1ttfs7p9/41336370 Lena the plug (2026) #MILF #BigTits #Hardcore #Threesome #Bigass #Teen #Stepmom #Blowjob #Amateur #Hotwife #Blonde #Deepthroat #Facial #RIPNSFW</v>
      </c>
      <c r="B306" s="12" t="str">
        <f>New!A:A</f>
        <v>Britt Blair - 41336370 - ripnsfw.com - Lena the plug.jpg</v>
      </c>
      <c r="C306" s="12" t="s">
        <v>8895</v>
      </c>
      <c r="D306" s="46">
        <f>New!P:P</f>
        <v>0</v>
      </c>
    </row>
    <row r="307" spans="1:5" ht="12.75">
      <c r="A307" s="45" t="str">
        <f ca="1">New!M:M</f>
        <v>{New} BunnyDollStella https://streamtape.com/v/QPqpR0pxzGt0ak2/50581644 https://doodstream.com/d/e1sye7ie9by1/50581644 https://lulustream.com/d/78xskba6lb9m JackandJill (2026) #BigTits #Hardcore #Teen #Blowjob #RIPNSFW</v>
      </c>
      <c r="B307" s="12" t="str">
        <f>New!A:A</f>
        <v>BunnyDollStella - 50581644 - Onlyfans - JackandJill.jpg</v>
      </c>
      <c r="C307" s="12" t="s">
        <v>8895</v>
      </c>
      <c r="D307" s="46">
        <f>New!P:P</f>
        <v>0</v>
      </c>
    </row>
    <row r="308" spans="1:5" ht="12.75">
      <c r="A308" s="45" t="str">
        <f ca="1">New!M:M</f>
        <v>{New} CallMeSlo https://doodstream.com/d/2t5za8afzmq8/93926811 https://lulustream.com/d/o5cgdwkev3cg https://streamtape.com/v/ZrbrzOpmodi7Ge/93926811 (2026) #teen #redhead #blowjob #amateur #RIPNSFW</v>
      </c>
      <c r="B308" s="12" t="str">
        <f>New!A:A</f>
        <v>CallMeSlo - 93926811 - Onlyfans.jpg</v>
      </c>
      <c r="C308" s="12" t="s">
        <v>8895</v>
      </c>
      <c r="D308" s="46">
        <f>New!P:P</f>
        <v>0</v>
      </c>
    </row>
    <row r="309" spans="1:5" ht="12.75">
      <c r="A309" s="45" t="str">
        <f ca="1">New!M:M</f>
        <v>{New} Chanel Camryn https://streamtape.com/v/8127kbAaQaCoB84/17231421 https://doodstream.com/d/dryl9ccoo94l/17231421 https://lulustream.com/d/kd8v5rqvbiso (2026) #teen #brunette #blowjob #porn #RIPNSFW</v>
      </c>
      <c r="B309" s="12" t="str">
        <f>New!A:A</f>
        <v>Chanel Camryn - 17231421 - HotWifexxx.jpg</v>
      </c>
      <c r="C309" s="12" t="s">
        <v>8895</v>
      </c>
      <c r="D309" s="46">
        <f>New!P:P</f>
        <v>0</v>
      </c>
    </row>
    <row r="310" spans="1:5" ht="12.75">
      <c r="A310" s="45" t="str">
        <f ca="1">New!M:M</f>
        <v>{New} Chanel Camryn https://doodstream.com/d/nsdw2gzgs0ig/62839957 https://streamtape.com/v/gVgAz3vVBjcqwpe/62839957 https://lulustream.com/d/w1wml029msut (2026) #Anal #Hardcore #Bigass #Porn #Teen #Blowjob #Facial #RIPNSFW</v>
      </c>
      <c r="B310" s="12" t="str">
        <f>New!A:A</f>
        <v>Chanel Camryn - 62839957 - ripnsfw.com.jpg</v>
      </c>
      <c r="C310" s="12" t="s">
        <v>8895</v>
      </c>
      <c r="D310" s="46">
        <f>New!P:P</f>
        <v>0</v>
      </c>
    </row>
    <row r="311" spans="1:5" ht="12.75">
      <c r="A311" s="45" t="str">
        <f ca="1">New!M:M</f>
        <v>{New} Chanel Camryn https://streamtape.com/v/a0OZBB1483hzzg/92612739 https://doodstream.com/d/lyqgwai8xsce/92612739 https://lulustream.com/d/rkn4mp90kla5 (2026) #teen #anal #blowjob #brunette #RIPNSFW</v>
      </c>
      <c r="B311" s="12" t="str">
        <f>New!A:A</f>
        <v>Chanel Camryn - 92612739 - Onlyfans.jpg</v>
      </c>
      <c r="C311" s="12" t="s">
        <v>8895</v>
      </c>
      <c r="D311" s="46">
        <f>New!P:P</f>
        <v>0</v>
      </c>
    </row>
    <row r="312" spans="1:5" ht="12.75">
      <c r="A312" s="45" t="str">
        <f ca="1">New!M:M</f>
        <v>{New} Charlotte French https://doodstream.com/d/qeeqsthecgds/14383021 https://streamtape.com/v/QDzZx3a8DeT0OlP/14383021 https://lulustream.com/d/99a5lp7dhjgx (2026) #Anal #Hardcore #Porn #Teen #RIPNSFW</v>
      </c>
      <c r="B312" s="12" t="str">
        <f>New!A:A</f>
        <v>Charlotte French - 14383021 - ripnsfw.com.jpg</v>
      </c>
      <c r="C312" s="12" t="s">
        <v>8895</v>
      </c>
      <c r="D312" s="46">
        <f>New!P:P</f>
        <v>0</v>
      </c>
    </row>
    <row r="313" spans="1:5" ht="12.75">
      <c r="A313" s="45" t="str">
        <f ca="1">New!M:M</f>
        <v>{New} Cherie Deville https://lulustream.com/d/6zaixpre83t9 https://doodstream.com/d/3vkxcsraz59d/17215527 https://streamtape.com/v/0Rk8KgW9bdHbzkP/17215527 (2026) #Anal #MILF #BigTits #Hardcore #Bigass #Blowjob #RIPNSFW</v>
      </c>
      <c r="B313" s="12" t="str">
        <f>New!A:A</f>
        <v>Cherie Deville - 17215527 - ripnsfw.com.jpg</v>
      </c>
      <c r="C313" s="12" t="s">
        <v>8895</v>
      </c>
      <c r="D313" s="46">
        <f>New!P:P</f>
        <v>0</v>
      </c>
      <c r="E313" s="12"/>
    </row>
    <row r="314" spans="1:5" ht="12.75">
      <c r="A314" s="45" t="str">
        <f ca="1">New!M:M</f>
        <v>{New} Cherie Deville https://doodstream.com/d/5kxr36h6r199/18597806 https://streamtape.com/v/1ADljy2GKWTeYRl/18597806 https://lulustream.com/d/n50xmv0i8d24 (2026) #milf #blowjob #bigtits #bigass #RIPNSFW</v>
      </c>
      <c r="B314" s="12" t="str">
        <f>New!A:A</f>
        <v>Cherie Deville - 18597806 - Onlyfans.jpg</v>
      </c>
      <c r="C314" s="12" t="s">
        <v>8895</v>
      </c>
      <c r="D314" s="46">
        <f>New!P:P</f>
        <v>0</v>
      </c>
      <c r="E314" s="12"/>
    </row>
    <row r="315" spans="1:5" ht="12.75">
      <c r="A315" s="45" t="str">
        <f ca="1">New!M:M</f>
        <v>{New} Cherie Deville https://streamtape.com/v/7PjeR1KqBJsRyq/19564637 https://doodstream.com/d/mnz9h99567ri/19564637 https://lulustream.com/d/7jc6ii854u67 (2026) #MILF #BigTits #Hardcore #Bigass #Blowjob #Amateur #Mature #RIPNSFW</v>
      </c>
      <c r="B315" s="12" t="str">
        <f>New!A:A</f>
        <v>Cherie Deville - 19564637 - ripnsfw.com.jpg</v>
      </c>
      <c r="C315" s="12" t="s">
        <v>8895</v>
      </c>
      <c r="D315" s="46">
        <f>New!P:P</f>
        <v>0</v>
      </c>
      <c r="E315" s="12"/>
    </row>
    <row r="316" spans="1:5" ht="12.75">
      <c r="A316" s="45" t="str">
        <f ca="1">New!M:M</f>
        <v>{New} Cherie Deville https://streamtape.com/v/bRBYVAqgxRIPP3b/21818710 https://doodstream.com/d/zkso5hic4hfh/21818710 https://lulustream.com/d/zuj8qtmuurmb (2026) #MILF #BigTits #Hardcore #Threesome #RIPNSFW</v>
      </c>
      <c r="B316" s="12" t="str">
        <f>New!A:A</f>
        <v>Cherie Deville - 21818710 - Onlyfans.jpg</v>
      </c>
      <c r="C316" s="12" t="s">
        <v>8895</v>
      </c>
      <c r="D316" s="46">
        <f>New!P:P</f>
        <v>0</v>
      </c>
      <c r="E316" s="12"/>
    </row>
    <row r="317" spans="1:5" ht="12.75">
      <c r="A317" s="45" t="str">
        <f ca="1">New!M:M</f>
        <v>{New} Cherie Deville https://streamtape.com/v/kkVbeymzlyHOxjg/27444960 https://doodstream.com/d/clzz4bgdlji9/27444960 https://lulustream.com/d/00hytrb4tysy Hazel Grace (2026) #MILF #BigTits #Creampie #Hardcore #Black #Interracial #Threesome #Bigass #Artporn #Stepmom #Blowjob #Amateur #RIPNSFW</v>
      </c>
      <c r="B317" s="12" t="str">
        <f>New!A:A</f>
        <v>Cherie Deville - 27444960 - XVRED - Hazel Grace.jpg</v>
      </c>
      <c r="C317" s="12" t="s">
        <v>8895</v>
      </c>
      <c r="D317" s="46">
        <f>New!P:P</f>
        <v>0</v>
      </c>
    </row>
    <row r="318" spans="1:5" ht="12.75">
      <c r="A318" s="45" t="str">
        <f ca="1">New!M:M</f>
        <v>{New} Cherie Deville https://streamtape.com/v/AXxwKYyjOaTXpyy/43213370 https://lulustream.com/d/lm4qcl9umlng https://doodstream.com/d/klq54s5plgfo/43213370 Dana DeArmond (2026) #MILF #BigTits #Hardcore #Threesome #Bigass #RIPNSFW</v>
      </c>
      <c r="B318" s="12" t="str">
        <f>New!A:A</f>
        <v>Cherie Deville - 43213370 - Onlyfans - Dana DeArmond.jpg</v>
      </c>
      <c r="C318" s="12" t="s">
        <v>8895</v>
      </c>
      <c r="D318" s="46">
        <f>New!P:P</f>
        <v>0</v>
      </c>
      <c r="E318" s="12"/>
    </row>
    <row r="319" spans="1:5" ht="12.75">
      <c r="A319" s="45" t="str">
        <f ca="1">New!M:M</f>
        <v>{New} Cherie Deville https://doodstream.com/d/fxbuajqxbp6q/49175490 https://lulustream.com/d/kfwkhpnqhxdc https://streamtape.com/v/ZjOkPjDwLkTqpoO/49175490 (2026) #milf #bigass #bigtits #blowjob #RIPNSFW</v>
      </c>
      <c r="B319" s="12" t="str">
        <f>New!A:A</f>
        <v>Cherie Deville - 49175490 - Onlyfans.jpg</v>
      </c>
      <c r="C319" s="12" t="s">
        <v>8895</v>
      </c>
      <c r="D319" s="46">
        <f>New!P:P</f>
        <v>0</v>
      </c>
      <c r="E319" s="12"/>
    </row>
    <row r="320" spans="1:5" ht="12.75">
      <c r="A320" s="45" t="str">
        <f ca="1">New!M:M</f>
        <v>{New} Cherie Deville https://doodstream.com/d/b2pezqfijjn1/66265964 https://lulustream.com/d/iqxxod9xv36q https://streamtape.com/v/xOYy3kQQwAUk3Mr/66265964 (2026) #MILF #BigTits #Hardcore #Bigass #RIPNSFW</v>
      </c>
      <c r="B320" s="12" t="str">
        <f>New!A:A</f>
        <v>Cherie Deville - 66265964 - XVRED.jpg</v>
      </c>
      <c r="C320" s="12" t="s">
        <v>8895</v>
      </c>
      <c r="D320" s="46">
        <f>New!P:P</f>
        <v>0</v>
      </c>
      <c r="E320" s="12"/>
    </row>
    <row r="321" spans="1:5" ht="12.75">
      <c r="A321" s="45" t="str">
        <f ca="1">New!M:M</f>
        <v>{New} Cherie Deville https://lulustream.com/d/g147lzn4lj67 https://doodstream.com/d/5yls4j7tl1a6/70617047 https://streamtape.com/v/9kexZxAgqPtazkq/70617047 (2026) #MILF #BigTits #Hardcore #Bigass #Artporn #Stepmom #Blowjob #RIPNSFW</v>
      </c>
      <c r="B321" s="12" t="str">
        <f>New!A:A</f>
        <v>Cherie Deville - 70617047 - XVRED.jpg</v>
      </c>
      <c r="C321" s="12" t="s">
        <v>8895</v>
      </c>
      <c r="D321" s="46">
        <f>New!P:P</f>
        <v>0</v>
      </c>
      <c r="E321" s="12"/>
    </row>
    <row r="322" spans="1:5" ht="12.75">
      <c r="A322" s="45" t="str">
        <f ca="1">New!M:M</f>
        <v>{New} Cherie Deville https://streamtape.com/v/bkAdmb7bw0FPYQO/95403949 https://lulustream.com/d/11holk0hgcrw https://doodstream.com/d/o3vn5nr8xuz8/95403949 Lena the plug (2026) #MILF #BigTits #Creampie #Hardcore #Threesome #Bigass #Blowjob #RIPNSFW</v>
      </c>
      <c r="B322" s="12" t="str">
        <f>New!A:A</f>
        <v>Cherie Deville - 95403949 - ripnsfw.com - Lena the plug.jpg</v>
      </c>
      <c r="C322" s="12" t="s">
        <v>8895</v>
      </c>
      <c r="D322" s="46">
        <f>New!P:P</f>
        <v>0</v>
      </c>
    </row>
    <row r="323" spans="1:5" ht="12.75">
      <c r="A323" s="45" t="str">
        <f ca="1">New!M:M</f>
        <v>{New} Cherry Crush https://lulustream.com/d/zscx3v4jwwzl https://streamtape.com/v/1ADkKM1PjeIezr7/18101943 https://doodstream.com/d/jmvkf96mlnj8/18101943 (2026) #asmr #bigtits #bigass #teen #RIPNSFW</v>
      </c>
      <c r="B323" s="12" t="str">
        <f>New!A:A</f>
        <v>Cherry Crush - 18101943 - Onlyfans.jpg</v>
      </c>
      <c r="C323" s="12" t="s">
        <v>8895</v>
      </c>
      <c r="D323" s="46">
        <f>New!P:P</f>
        <v>0</v>
      </c>
      <c r="E323" s="12"/>
    </row>
    <row r="324" spans="1:5" ht="12.75">
      <c r="A324" s="45" t="str">
        <f ca="1">New!M:M</f>
        <v>{New} Cherry Crush https://streamtape.com/v/3xqKvYo8D0udwA7/22967091 https://lulustream.com/d/mqvkxgwow0wu https://doodstream.com/d/wh7vwzbnmbif/22967091 (2026) #teen #bigtits #blowjob #bigass #RIPNSFW</v>
      </c>
      <c r="B324" s="12" t="str">
        <f>New!A:A</f>
        <v>Cherry Crush - 22967091 - Onlyfans.jpg</v>
      </c>
      <c r="C324" s="12" t="s">
        <v>8895</v>
      </c>
      <c r="D324" s="46">
        <f>New!P:P</f>
        <v>0</v>
      </c>
      <c r="E324" s="12"/>
    </row>
    <row r="325" spans="1:5" ht="12.75">
      <c r="A325" s="45" t="str">
        <f ca="1">New!M:M</f>
        <v>Cherry Crush https://lulustream.com/d/or54uyjamnqq https://doodstream.com/d/vhnkpcguy4u0/31670888 https://streamtape.com/v/2o4Le7yGgAtzqx/31670888 #anal #bigtits #hardcore #bigass #RIPNSFW</v>
      </c>
      <c r="B325" s="12" t="str">
        <f>New!A:A</f>
        <v>Cherry Crush - 31670888 - Onlyfans.jpg</v>
      </c>
      <c r="C325" s="12" t="s">
        <v>8895</v>
      </c>
      <c r="D325" s="46">
        <f>New!P:P</f>
        <v>0</v>
      </c>
    </row>
    <row r="326" spans="1:5" ht="12.75">
      <c r="A326" s="45" t="str">
        <f ca="1">New!M:M</f>
        <v>{New} Cherry Crush https://doodstream.com/d/bnzygkkj5g47/42545650 https://lulustream.com/d/5ubqa2zhjtrp https://streamtape.com/v/dvzwxbG7a8Hkmd4/42545650 (2026) #BigTits #Bigass #Teen #Blowjob #RIPNSFW</v>
      </c>
      <c r="B326" s="12" t="str">
        <f>New!A:A</f>
        <v>Cherry Crush - 42545650 - Onlyfans.jpg</v>
      </c>
      <c r="C326" s="12" t="s">
        <v>8895</v>
      </c>
      <c r="D326" s="46">
        <f>New!P:P</f>
        <v>0</v>
      </c>
      <c r="E326" s="12"/>
    </row>
    <row r="327" spans="1:5" ht="12.75">
      <c r="A327" s="45" t="str">
        <f ca="1">New!M:M</f>
        <v>{New} Cherry Crush https://lulustream.com/d/xb42mbfniyrk https://doodstream.com/d/5i8ya0xmha8t/42781173 https://streamtape.com/v/DMA0BjXpmMsB7M/42781173 (2026) #blowjob #teen #bigass #pov #RIPNSFW</v>
      </c>
      <c r="B327" s="12" t="str">
        <f>New!A:A</f>
        <v>Cherry Crush - 42781173 - Onlyfans.jpg</v>
      </c>
      <c r="C327" s="12" t="s">
        <v>8895</v>
      </c>
      <c r="D327" s="46">
        <f>New!P:P</f>
        <v>0</v>
      </c>
    </row>
    <row r="328" spans="1:5" ht="12.75">
      <c r="A328" s="45" t="str">
        <f ca="1">New!M:M</f>
        <v>{New} Cherry Crush https://doodstream.com/d/pn3bbeomwn31/50898168 https://lulustream.com/d/l9o0zi3ixtph https://streamtape.com/v/OVBLdRQ1YotgM1/50898168 (2026) #BigTits #Bigass #Teen #Blowjob #RIPNSFW</v>
      </c>
      <c r="B328" s="12" t="str">
        <f>New!A:A</f>
        <v>Cherry Crush - 50898168 - Onlyfans.jpg</v>
      </c>
      <c r="C328" s="12" t="s">
        <v>8895</v>
      </c>
      <c r="D328" s="46">
        <f>New!P:P</f>
        <v>0</v>
      </c>
    </row>
    <row r="329" spans="1:5" ht="12.75">
      <c r="A329" s="45" t="str">
        <f ca="1">New!M:M</f>
        <v>{New} Cherry Crush https://streamtape.com/v/LXkZA73OLOtRmyD/61962423 https://doodstream.com/d/3pzx08ww07d8/61962423 https://lulustream.com/d/jzmyboagw8mf (2026) #BigTits #Teen #Teens #Blowjob #RIPNSFW</v>
      </c>
      <c r="B329" s="12" t="str">
        <f>New!A:A</f>
        <v>Cherry Crush - 61962423 - Onlyfans.jpg</v>
      </c>
      <c r="C329" s="12" t="s">
        <v>8895</v>
      </c>
      <c r="D329" s="46">
        <f>New!P:P</f>
        <v>0</v>
      </c>
      <c r="E329" s="12"/>
    </row>
    <row r="330" spans="1:5" ht="12.75">
      <c r="A330" s="45" t="str">
        <f ca="1">New!M:M</f>
        <v>{New} Cherry Crush https://doodstream.com/d/2yadh2scvzad/70612286 https://lulustream.com/d/g3v6kzlqpsgi https://streamtape.com/v/lPkXm4VJVyC7PvW/70612286 (2026) #teen #bigtits #blowjob #solo #RIPNSFW</v>
      </c>
      <c r="B330" s="12" t="str">
        <f>New!A:A</f>
        <v>Cherry Crush - 70612286 - Onlyfans.jpg</v>
      </c>
      <c r="C330" s="12" t="s">
        <v>8895</v>
      </c>
      <c r="D330" s="46">
        <f>New!P:P</f>
        <v>0</v>
      </c>
    </row>
    <row r="331" spans="1:5" ht="12.75">
      <c r="A331" s="45" t="str">
        <f ca="1">New!M:M</f>
        <v>{New} Cherry Crush https://lulustream.com/d/kyhwt7lx359p https://streamtape.com/v/qywg1MzpKjFz3Z6/72758988 https://doodstream.com/d/9ltnzu00efrq/72758988 (2026) #bigtits #teen #blowjob #amateur #RIPNSFW</v>
      </c>
      <c r="B331" s="12" t="str">
        <f>New!A:A</f>
        <v>Cherry Crush - 72758988 - Onlyfans.jpg</v>
      </c>
      <c r="C331" s="12" t="s">
        <v>8895</v>
      </c>
      <c r="D331" s="46">
        <f>New!P:P</f>
        <v>0</v>
      </c>
    </row>
    <row r="332" spans="1:5" ht="12.75">
      <c r="A332" s="45" t="str">
        <f ca="1">New!M:M</f>
        <v>{New} Cherry Crush https://streamtape.com/v/2zDewyJyaQHxr3/75242411 https://lulustream.com/d/nux1a2mpa6cy https://doodstream.com/d/h071x3mastje/75242411 (2026) #BigTits #Teen #Roleplay #Solo #RIPNSFW</v>
      </c>
      <c r="B332" s="12" t="str">
        <f>New!A:A</f>
        <v>Cherry Crush - 75242411 - Onlyfans.jpg</v>
      </c>
      <c r="C332" s="12" t="s">
        <v>8895</v>
      </c>
      <c r="D332" s="46">
        <f>New!P:P</f>
        <v>0</v>
      </c>
    </row>
    <row r="333" spans="1:5" ht="12.75">
      <c r="A333" s="45" t="str">
        <f ca="1">New!M:M</f>
        <v>{New} Chloe Foxxe https://doodstream.com/d/qy92a1w3xz0u/49813379 https://lulustream.com/d/jaoey9t18qmw https://streamtape.com/v/WwolrmdO1oUpbe/49813379 (2026) #teen #blowjob #brunette #doggystyle #RIPNSFW</v>
      </c>
      <c r="B333" s="12" t="str">
        <f>New!A:A</f>
        <v>Chloe Foxxe - 49813379 - Onlyfans.jpg</v>
      </c>
      <c r="C333" s="12" t="s">
        <v>8895</v>
      </c>
      <c r="D333" s="46">
        <f>New!P:P</f>
        <v>0</v>
      </c>
      <c r="E333" s="12"/>
    </row>
    <row r="334" spans="1:5" ht="12.75">
      <c r="A334" s="45" t="str">
        <f ca="1">New!M:M</f>
        <v>{New} Codi Vore https://doodstream.com/d/khgtia29umvr/25973564 https://lulustream.com/d/w4f9vd5wf9hf https://streamtape.com/v/Y1z2zyjRYvU6gj/25973564 (2026) #milf #bigtits #blowjob #blonde #RIPNSFW</v>
      </c>
      <c r="B334" s="12" t="str">
        <f>New!A:A</f>
        <v>Codi Vore - 25973564 - Onlyfans.jpg</v>
      </c>
      <c r="C334" s="12" t="s">
        <v>8895</v>
      </c>
      <c r="D334" s="46">
        <f>New!P:P</f>
        <v>0</v>
      </c>
    </row>
    <row r="335" spans="1:5" ht="12.75">
      <c r="A335" s="45" t="str">
        <f ca="1">New!M:M</f>
        <v>{New} Codi Vore https://doodstream.com/d/19veq6ccsk7o/59741750 https://streamtape.com/v/wPL2GzZb8DHJ8wb/59741750 https://lulustream.com/d/9r8ae03ec8kf (2026) #milf #creampie #blonde #bigtits #RIPNSFW</v>
      </c>
      <c r="B335" s="12" t="str">
        <f>New!A:A</f>
        <v>Codi Vore - 59741750 - Onlyfans.jpg</v>
      </c>
      <c r="C335" s="12" t="s">
        <v>8895</v>
      </c>
      <c r="D335" s="46">
        <f>New!P:P</f>
        <v>0</v>
      </c>
    </row>
    <row r="336" spans="1:5" ht="12.75">
      <c r="A336" s="45" t="str">
        <f ca="1">New!M:M</f>
        <v>{New} Codi Vore https://streamtape.com/v/zV7BxqWxozFYAo3/97196141 https://lulustream.com/d/ybbc8ra87bv9 https://doodstream.com/d/7m8lihcwr7r8/97196141 Ginger Monroe (2026) #milf #bigtits #hardcore #bigass #RIPNSFW</v>
      </c>
      <c r="B336" s="12" t="str">
        <f>New!A:A</f>
        <v>Codi Vore - 97196141 - Onlyfans - Ginger Monroe.jpg</v>
      </c>
      <c r="C336" s="12" t="s">
        <v>8895</v>
      </c>
      <c r="D336" s="46">
        <f>New!P:P</f>
        <v>0</v>
      </c>
    </row>
    <row r="337" spans="1:5" ht="12.75">
      <c r="A337" s="45" t="str">
        <f ca="1">New!M:M</f>
        <v>{New} Comatozze https://streamtape.com/v/V6D1jx7JGluY3m/11995759 https://lulustream.com/d/zmdmomwvshfy https://doodstream.com/d/f4wnvgqmz0y7/11995759 (2026) #BigTits #Hardcore #Bigass #Teen #RIPNSFW</v>
      </c>
      <c r="B337" s="12" t="str">
        <f>New!A:A</f>
        <v>Comatozze - 11995759 - Onlyfans.jpg</v>
      </c>
      <c r="C337" s="12" t="s">
        <v>8895</v>
      </c>
      <c r="D337" s="46">
        <f>New!P:P</f>
        <v>0</v>
      </c>
    </row>
    <row r="338" spans="1:5" ht="12.75">
      <c r="A338" s="45" t="str">
        <f ca="1">New!M:M</f>
        <v>{New} Comatozze https://doodstream.com/d/8199t6r1fxa1/12745761 https://streamtape.com/v/g9arLe4YQAiqwZV/12745761 https://lulustream.com/d/g6rltx4sqxig (2026) #BigTits #Hardcore #Bigass #Teen #RIPNSFW</v>
      </c>
      <c r="B338" s="12" t="str">
        <f>New!A:A</f>
        <v>Comatozze - 12745761 - Onlyfans.jpg</v>
      </c>
      <c r="C338" s="12" t="s">
        <v>8895</v>
      </c>
      <c r="D338" s="46">
        <f>New!P:P</f>
        <v>0</v>
      </c>
    </row>
    <row r="339" spans="1:5" ht="12.75">
      <c r="A339" s="45" t="str">
        <f ca="1">New!M:M</f>
        <v>{New} Comatozze https://doodstream.com/d/erq5bu8xlp0y/17647210 https://lulustream.com/d/69xgm9j57166 https://streamtape.com/v/dgYB7PL8kriZrp/17647210 (2026) #BigTits #Hardcore #Bigass #Teen #RIPNSFW</v>
      </c>
      <c r="B339" s="12" t="str">
        <f>New!A:A</f>
        <v>Comatozze - 17647210 - Onlyfans.jpg</v>
      </c>
      <c r="C339" s="12" t="s">
        <v>8895</v>
      </c>
      <c r="D339" s="46">
        <f>New!P:P</f>
        <v>0</v>
      </c>
    </row>
    <row r="340" spans="1:5" ht="12.75">
      <c r="A340" s="45" t="str">
        <f ca="1">New!M:M</f>
        <v>#ERROR!</v>
      </c>
      <c r="B340" s="12" t="str">
        <f>New!A:A</f>
        <v>Comatozze - 22614725 - Onlyfans.jpg</v>
      </c>
      <c r="C340" s="12" t="s">
        <v>8895</v>
      </c>
      <c r="D340" s="46">
        <f>New!P:P</f>
        <v>0</v>
      </c>
    </row>
    <row r="341" spans="1:5" ht="12.75">
      <c r="A341" s="45" t="str">
        <f ca="1">New!M:M</f>
        <v>{New} Comatozze https://streamtape.com/v/rJe9XrP969ubqG7/24841502 https://doodstream.com/d/iebcys5w4xbg/24841502 https://lulustream.com/d/q8vziwqqchem (2026) #BigTits #Hardcore #Bigass #Teen #RIPNSFW</v>
      </c>
      <c r="B341" s="12" t="str">
        <f>New!A:A</f>
        <v>Comatozze - 24841502 - FH.jpg</v>
      </c>
      <c r="C341" s="12" t="s">
        <v>8895</v>
      </c>
      <c r="D341" s="46">
        <f>New!P:P</f>
        <v>0</v>
      </c>
    </row>
    <row r="342" spans="1:5" ht="12.75">
      <c r="A342" s="45" t="str">
        <f ca="1">New!M:M</f>
        <v>{New} Comatozze https://doodstream.com/d/g5yxi5hsok7t/30142657 https://streamtape.com/v/D40OdX4BXKT6pL/30142657 https://lulustream.com/d/p4c0s1r9dy4j (2026) #teen #bigtits #blowjob #bigass #RIPNSFW</v>
      </c>
      <c r="B342" s="12" t="str">
        <f>New!A:A</f>
        <v>Comatozze - 30142657 - Onlyfans.jpg</v>
      </c>
      <c r="C342" s="12" t="s">
        <v>8895</v>
      </c>
      <c r="D342" s="46">
        <f>New!P:P</f>
        <v>0</v>
      </c>
    </row>
    <row r="343" spans="1:5" ht="12.75">
      <c r="A343" s="45" t="str">
        <f ca="1">New!M:M</f>
        <v>{New} Comatozze https://lulustream.com/d/lrt9qk1fg4rp https://doodstream.com/d/j5wxphwlxduj/42181282 https://streamtape.com/v/0LKK8pVQ16T6VQ/42181282 (2026) #BigTits #Hardcore #Bigass #Teen #RIPNSFW</v>
      </c>
      <c r="B343" s="12" t="str">
        <f>New!A:A</f>
        <v>Comatozze - 42181282 - Onlyfans.jpg</v>
      </c>
      <c r="C343" s="12" t="s">
        <v>8895</v>
      </c>
      <c r="D343" s="46">
        <f>New!P:P</f>
        <v>0</v>
      </c>
      <c r="E343" s="12"/>
    </row>
    <row r="344" spans="1:5" ht="12.75">
      <c r="A344" s="45" t="str">
        <f ca="1">New!M:M</f>
        <v>{New} Comatozze https://doodstream.com/d/6v25uqrbj691/46990227 https://lulustream.com/d/6e46fzcreagp https://streamtape.com/v/2LLA1dLAwBtZX1g/46990227 (2026) #BigTits #Creampie #Hardcore #Bigass #RIPNSFW</v>
      </c>
      <c r="B344" s="12" t="str">
        <f>New!A:A</f>
        <v>Comatozze - 46990227 - Onlyfans.jpg</v>
      </c>
      <c r="C344" s="12" t="s">
        <v>8895</v>
      </c>
      <c r="D344" s="46">
        <f>New!P:P</f>
        <v>0</v>
      </c>
      <c r="E344" s="12"/>
    </row>
    <row r="345" spans="1:5" ht="12.75">
      <c r="A345" s="45" t="str">
        <f ca="1">New!M:M</f>
        <v>{New} Comatozze https://doodstream.com/d/5ahlb1alma9e/49437136 https://lulustream.com/d/kawze6weqphs https://streamtape.com/v/qD0MZb1XqyiZrM/49437136 (2026) #BigTits #Hardcore #Bigass #Teen #RIPNSFW</v>
      </c>
      <c r="B345" s="12" t="str">
        <f>New!A:A</f>
        <v>Comatozze - 49437136 - Onlyfans.jpg</v>
      </c>
      <c r="C345" s="12" t="s">
        <v>8895</v>
      </c>
      <c r="D345" s="46">
        <f>New!P:P</f>
        <v>0</v>
      </c>
    </row>
    <row r="346" spans="1:5" ht="12.75">
      <c r="A346" s="45" t="str">
        <f ca="1">New!M:M</f>
        <v>{New} Comatozze https://streamtape.com/v/aGY17gA2mDuxVzp/54421017 https://doodstream.com/d/gwnuyiia30wx/54421017 https://lulustream.com/d/mek72didoojk (2026) #teen #bigtits #bigass #blowjob #RIPNSFW</v>
      </c>
      <c r="B346" s="12" t="str">
        <f>New!A:A</f>
        <v>Comatozze - 54421017 - XVRED.jpg</v>
      </c>
      <c r="C346" s="12" t="s">
        <v>8895</v>
      </c>
      <c r="D346" s="46">
        <f>New!P:P</f>
        <v>0</v>
      </c>
      <c r="E346" s="12"/>
    </row>
    <row r="347" spans="1:5" ht="12.75">
      <c r="A347" s="45" t="str">
        <f ca="1">New!M:M</f>
        <v>{New} Comatozze https://lulustream.com/d/qw72xqr7s9gm https://streamtape.com/v/6RXdzAGdB7t9Jqe/68511307 https://doodstream.com/d/3u6urfh9x2m8/68511307 (2026) #BigTits #Hardcore #Bigass #Teen #RIPNSFW</v>
      </c>
      <c r="B347" s="12" t="str">
        <f>New!A:A</f>
        <v>Comatozze - 68511307 - Onlyfans.jpg</v>
      </c>
      <c r="C347" s="12" t="s">
        <v>8895</v>
      </c>
      <c r="D347" s="46">
        <f>New!P:P</f>
        <v>0</v>
      </c>
      <c r="E347" s="12"/>
    </row>
    <row r="348" spans="1:5" ht="12.75">
      <c r="A348" s="45" t="str">
        <f ca="1">New!M:M</f>
        <v>{New} Comatozze https://streamtape.com/v/2PKDAKL91ruVPv/75998619 https://doodstream.com/d/didojw0jhgko/75998619 https://lulustream.com/d/8ye92awl979r (2026) #BigTits #Hardcore #Bigass #Teen #Artporn #Teens #Blowjob #Amateur #Deepthroat #RIPNSFW</v>
      </c>
      <c r="B348" s="12" t="str">
        <f>New!A:A</f>
        <v>Comatozze - 75998619 - Onlyfans.jpg</v>
      </c>
      <c r="C348" s="12" t="s">
        <v>8895</v>
      </c>
      <c r="D348" s="46">
        <f>New!P:P</f>
        <v>0</v>
      </c>
    </row>
    <row r="349" spans="1:5" ht="12.75">
      <c r="A349" s="45" t="str">
        <f ca="1">New!M:M</f>
        <v>{New} Comatozze https://doodstream.com/d/hsgn3ebv9k95/76965609 https://streamtape.com/v/pDmWm2qDp7hWZW/76965609 https://lulustream.com/d/nrfez17ohhi4 (2026) #BigTits #Bigass #Hardcore #Teen #RIPNSFW</v>
      </c>
      <c r="B349" s="12" t="str">
        <f>New!A:A</f>
        <v>Comatozze - 76965609 -  Onlyfans.jpg</v>
      </c>
      <c r="C349" s="12" t="s">
        <v>8895</v>
      </c>
      <c r="D349" s="46">
        <f>New!P:P</f>
        <v>0</v>
      </c>
    </row>
    <row r="350" spans="1:5" ht="12.75">
      <c r="A350" s="45" t="str">
        <f ca="1">New!M:M</f>
        <v>{New} Comatozze https://lulustream.com/d/zckcq83qyx52 https://doodstream.com/d/ciupneczxbnt/84083230 https://streamtape.com/v/gg8jGqzVXzFqyee/84083230 (2026) #anal #teen #bigtits #bigass #RIPNSFW</v>
      </c>
      <c r="B350" s="12" t="str">
        <f>New!A:A</f>
        <v>Comatozze - 84083230 - Onlyfans.jpg</v>
      </c>
      <c r="C350" s="12" t="s">
        <v>8895</v>
      </c>
      <c r="D350" s="46">
        <f>New!P:P</f>
        <v>0</v>
      </c>
    </row>
    <row r="351" spans="1:5" ht="12.75">
      <c r="A351" s="45" t="str">
        <f ca="1">New!M:M</f>
        <v>{New} Comatozze https://streamtape.com/v/VyPVwKW98af9p7/89278600 https://lulustream.com/d/op3nve2yw999 https://doodstream.com/d/e6xdcv7a59z4/89278600 (2026) #BigTits #Hardcore #Bigass #Teen #RIPNSFW</v>
      </c>
      <c r="B351" s="12" t="str">
        <f>New!A:A</f>
        <v>Comatozze - 89278600 - Onlyfans.jpg</v>
      </c>
      <c r="C351" s="12" t="s">
        <v>8895</v>
      </c>
      <c r="D351" s="46">
        <f>New!P:P</f>
        <v>0</v>
      </c>
    </row>
    <row r="352" spans="1:5" ht="12.75">
      <c r="A352" s="45" t="str">
        <f ca="1">New!M:M</f>
        <v>{New} Comatozze https://doodstream.com/d/lit5ooq2n9zg/91374902 https://lulustream.com/d/jg4s9pj0fl55 https://streamtape.com/v/AlVzDdjBQWsX6kX/91374902 (2026) #teen #bigtits #bigass #blowjob #RIPNSFW</v>
      </c>
      <c r="B352" s="12" t="str">
        <f>New!A:A</f>
        <v>Comatozze - 91374902 - FH.jpg</v>
      </c>
      <c r="C352" s="12" t="s">
        <v>8895</v>
      </c>
      <c r="D352" s="46">
        <f>New!P:P</f>
        <v>0</v>
      </c>
    </row>
    <row r="353" spans="1:5" ht="12.75">
      <c r="A353" s="45" t="str">
        <f ca="1">New!M:M</f>
        <v>{New} Comatozze https://doodstream.com/d/9wp4x3lh0or1/95705657 https://lulustream.com/d/86b02914h0sl https://streamtape.com/v/dpjgoqgOpAtZbv/95705657 (2026) #creampie #teen #bigass #bigtits #RIPNSFW</v>
      </c>
      <c r="B353" s="12" t="str">
        <f>New!A:A</f>
        <v>Comatozze - 95705657 - FapHouse.jpg</v>
      </c>
      <c r="C353" s="12" t="s">
        <v>8895</v>
      </c>
      <c r="D353" s="46">
        <f>New!P:P</f>
        <v>0</v>
      </c>
    </row>
    <row r="354" spans="1:5" ht="12.75">
      <c r="A354" s="45" t="str">
        <f ca="1">New!M:M</f>
        <v>{New} Cory Chase https://doodstream.com/d/gqmjrq7ld3ga/64159902 https://streamtape.com/v/wGQAQjg3eJTJK9z/64159902 https://lulustream.com/d/08653a7b72oy (2026) #milf #bigtits #interracial #threesome #RIPNSFW</v>
      </c>
      <c r="B354" s="12" t="str">
        <f>New!A:A</f>
        <v>Cory Chase - 64159902 - EA.jpg</v>
      </c>
      <c r="C354" s="12" t="s">
        <v>8895</v>
      </c>
      <c r="D354" s="46">
        <f>New!P:P</f>
        <v>0</v>
      </c>
    </row>
    <row r="355" spans="1:5" ht="12.75">
      <c r="A355" s="45" t="str">
        <f ca="1">New!M:M</f>
        <v>{New} Cory Chase https://doodstream.com/d/fn2h560zop03/95758715 https://streamtape.com/v/DaB3Y1r1eWukoGq/95758715 https://lulustream.com/d/414r9mc1uhqn Juniper Ren (2026) #MILF #BigTits #Hardcore #Threesome #Teen #Blowjob #RIPNSFW</v>
      </c>
      <c r="B355" s="12" t="str">
        <f>New!A:A</f>
        <v>Cory Chase - 95758715 - ripnsfw.com - Juniper Ren.jpg</v>
      </c>
      <c r="C355" s="12" t="s">
        <v>8895</v>
      </c>
      <c r="D355" s="46">
        <f>New!P:P</f>
        <v>0</v>
      </c>
    </row>
    <row r="356" spans="1:5" ht="12.75">
      <c r="A356" s="45" t="str">
        <f ca="1">New!M:M</f>
        <v>{New} Dahlia Sage https://lulustream.com/d/qslq9i6253f9 https://doodstream.com/d/jftpqxfn32zh/89666098 https://streamtape.com/v/4DgB4YzLlKhKe86/89666098 (2026) #Anal #Casting #Creampie #Hardcore #RIPNSFW</v>
      </c>
      <c r="B356" s="12" t="str">
        <f>New!A:A</f>
        <v>Dahlia Sage - 89666098 - BackroomCastingCouch.jpg</v>
      </c>
      <c r="C356" s="12" t="s">
        <v>8895</v>
      </c>
      <c r="D356" s="46">
        <f>New!P:P</f>
        <v>0</v>
      </c>
    </row>
    <row r="357" spans="1:5" ht="12.75">
      <c r="A357" s="45" t="str">
        <f ca="1">New!M:M</f>
        <v>Dainty Wilder https://lulustream.com/d/hiuswiw6v1r1 https://streamtape.com/v/jrqxbprkD8Tz0W3/02791119 https://doodstream.com/d/qq8gw8074sra/02791119 #teen #brunette #squirt #bigtits #RIPNSFW</v>
      </c>
      <c r="B357" s="12" t="str">
        <f>New!A:A</f>
        <v>Dainty Wilder - 02791119 - Onlyfans.jpg</v>
      </c>
      <c r="C357" s="12" t="s">
        <v>8895</v>
      </c>
      <c r="D357" s="46">
        <f>New!P:P</f>
        <v>0</v>
      </c>
      <c r="E357" s="12"/>
    </row>
    <row r="358" spans="1:5" ht="12.75">
      <c r="A358" s="45" t="str">
        <f ca="1">New!M:M</f>
        <v>{New} Dainty Wilder https://lulustream.com/d/s2bpijv960o3 https://doodstream.com/d/47lfbiptkgd0/10194725 https://streamtape.com/v/Jwp8Z8BR2mcoR9/10194725 Lucy Mochi Caryn Beaumont (2026) #BigTits #Lesbian #Asian #Threesome #Teen #RIPNSFW</v>
      </c>
      <c r="B358" s="12" t="str">
        <f>New!A:A</f>
        <v>Dainty Wilder - 10194725 - Onlyfans - Lucy Mochi - Caryn Beaumont.jpg</v>
      </c>
      <c r="C358" s="12" t="s">
        <v>8895</v>
      </c>
      <c r="D358" s="46">
        <f>New!P:P</f>
        <v>0</v>
      </c>
      <c r="E358" s="12"/>
    </row>
    <row r="359" spans="1:5" ht="12.75">
      <c r="A359" s="45" t="str">
        <f ca="1">New!M:M</f>
        <v>Dainty Wilder https://streamtape.com/v/WyW1Xaa6Wwhb94m/13798100 https://doodstream.com/d/enbeb9phzhe9/13798100 https://lulustream.com/d/yjf7e74plm0o Lena Polanski #anal #foursome #teens #bigtits #RIPNSFW</v>
      </c>
      <c r="B359" s="12" t="str">
        <f>New!A:A</f>
        <v>Dainty Wilder - 13798100 - Onlyfans - Lena Polanski.jpg</v>
      </c>
      <c r="C359" s="12" t="s">
        <v>8895</v>
      </c>
      <c r="D359" s="46">
        <f>New!P:P</f>
        <v>0</v>
      </c>
      <c r="E359" s="12"/>
    </row>
    <row r="360" spans="1:5" ht="12.75">
      <c r="A360" s="45" t="str">
        <f ca="1">New!M:M</f>
        <v>{New} Dainty Wilder https://doodstream.com/d/njolyoxyy61b/20082922 https://streamtape.com/v/pdMm3zobBRUr3aD/20082922 https://lulustream.com/d/qgh8bpzc9pg9 (2026) #teen #squirt #bigtits #solo #RIPNSFW</v>
      </c>
      <c r="B360" s="12" t="str">
        <f>New!A:A</f>
        <v>Dainty Wilder - 20082922 - Onlyfans.jpg</v>
      </c>
      <c r="C360" s="12" t="s">
        <v>8895</v>
      </c>
      <c r="D360" s="46">
        <f>New!P:P</f>
        <v>0</v>
      </c>
      <c r="E360" s="12"/>
    </row>
    <row r="361" spans="1:5" ht="12.75">
      <c r="A361" s="45" t="str">
        <f ca="1">New!M:M</f>
        <v>Dainty Wilder https://doodstream.com/d/6nwauq7tvbmu/23578439 https://lulustream.com/d/ndp1n2ap5taz https://streamtape.com/v/zM11mv7X9PUYZWV/23578439 #anal #brunette #blowjob #teen #RIPNSFW</v>
      </c>
      <c r="B361" s="12" t="str">
        <f>New!A:A</f>
        <v>Dainty Wilder - 23578439 - Onlyfans.jpg</v>
      </c>
      <c r="C361" s="12" t="s">
        <v>8895</v>
      </c>
      <c r="D361" s="46">
        <f>New!P:P</f>
        <v>0</v>
      </c>
      <c r="E361" s="12"/>
    </row>
    <row r="362" spans="1:5" ht="12.75">
      <c r="A362" s="45" t="str">
        <f ca="1">New!M:M</f>
        <v>{New} Dainty Wilder https://streamtape.com/v/3xM7gd4LoVCdgzZ/25302871 https://doodstream.com/d/20xqe78a5z9x/25302871 https://lulustream.com/d/b0xuul2nny50 (2026) #anal #teen #blowjob #bigtits #RIPNSFW</v>
      </c>
      <c r="B362" s="12" t="str">
        <f>New!A:A</f>
        <v>Dainty Wilder - 25302871 - Onlyfans.jpg</v>
      </c>
      <c r="C362" s="12" t="s">
        <v>8895</v>
      </c>
      <c r="D362" s="46">
        <f>New!P:P</f>
        <v>0</v>
      </c>
    </row>
    <row r="363" spans="1:5" ht="12.75">
      <c r="A363" s="45" t="str">
        <f ca="1">New!M:M</f>
        <v>{New} Dainty Wilder https://lulustream.com/d/g1g5mqbnsu6r https://streamtape.com/v/olplmRdG3xuJz64/25785112 https://doodstream.com/d/nukci1ra28ug/25785112 Alina Lopez Lucy Mochi Cheerleader Kait (2026) #blowjob #teens #orgy #brunette #RIPNSFW</v>
      </c>
      <c r="B363" s="12" t="str">
        <f>New!A:A</f>
        <v>Dainty Wilder - 25785112 - Onlyfans - Alina Lopez - Lucy Mochi - Cheerleader Kait.jpg</v>
      </c>
      <c r="C363" s="12" t="s">
        <v>8895</v>
      </c>
      <c r="D363" s="46">
        <f>New!P:P</f>
        <v>0</v>
      </c>
    </row>
    <row r="364" spans="1:5" ht="12.75">
      <c r="A364" s="45" t="str">
        <f ca="1">New!M:M</f>
        <v>{New} Dainty Wilder https://doodstream.com/d/pgmdymeslx4k/39415690 https://lulustream.com/d/l4k5woghsfqt https://streamtape.com/v/owgkAq6Vx3fJQQm/39415690 (2026) #anal #bigtits #teen #blowjob #RIPNSFW</v>
      </c>
      <c r="B364" s="12" t="str">
        <f>New!A:A</f>
        <v>Dainty Wilder - 39415690 - Onlyfans.jpg</v>
      </c>
      <c r="C364" s="12" t="s">
        <v>8895</v>
      </c>
      <c r="D364" s="46">
        <f>New!P:P</f>
        <v>0</v>
      </c>
    </row>
    <row r="365" spans="1:5" ht="12.75">
      <c r="A365" s="45" t="str">
        <f ca="1">New!M:M</f>
        <v>{New} Dainty Wilder https://lulustream.com/d/aa45e4pzddy3 https://doodstream.com/d/6binq34esltf/43236156 https://streamtape.com/v/eAga61Qa9KtJB7/43236156 (2026) #teen #bigtits #blowjob #squirt #RIPNSFW</v>
      </c>
      <c r="B365" s="12" t="str">
        <f>New!A:A</f>
        <v>Dainty Wilder - 43236156 - Onlyfans.jpg</v>
      </c>
      <c r="C365" s="12" t="s">
        <v>8895</v>
      </c>
      <c r="D365" s="46">
        <f>New!P:P</f>
        <v>0</v>
      </c>
    </row>
    <row r="366" spans="1:5" ht="12.75">
      <c r="A366" s="45" t="str">
        <f ca="1">New!M:M</f>
        <v>{New} Dainty Wilder https://lulustream.com/d/dyf6n41ia2i8 https://doodstream.com/d/301vh8s17pbn/48110335 https://streamtape.com/v/7bOZJpGxO6cAe7Z/48110335 Ryan Reid (2026) #BigTits #Threesome #Teen #Blowjob #RIPNSFW</v>
      </c>
      <c r="B366" s="12" t="str">
        <f>New!A:A</f>
        <v>Dainty Wilder - 48110335 - Onlyfans - Ryan Reid.jpg</v>
      </c>
      <c r="C366" s="12" t="s">
        <v>8895</v>
      </c>
      <c r="D366" s="46">
        <f>New!P:P</f>
        <v>0</v>
      </c>
    </row>
    <row r="367" spans="1:5" ht="12.75">
      <c r="A367" s="45" t="str">
        <f ca="1">New!M:M</f>
        <v>{New} Dainty Wilder https://streamtape.com/v/lkq6kWQ4LVivJp/54428152 https://lulustream.com/d/9aas3tg5ovh6 https://doodstream.com/d/vkskkm6z9eae/54428152 (2026) #BigTits #Teen #Blowjob #Amateur #RIPNSFW</v>
      </c>
      <c r="B367" s="12" t="str">
        <f>New!A:A</f>
        <v>Dainty Wilder - 54428152 - Onlyfans.jpg</v>
      </c>
      <c r="C367" s="12" t="s">
        <v>8895</v>
      </c>
      <c r="D367" s="46">
        <f>New!P:P</f>
        <v>0</v>
      </c>
    </row>
    <row r="368" spans="1:5" ht="12.75">
      <c r="A368" s="45" t="str">
        <f ca="1">New!M:M</f>
        <v>{New} Dainty Wilder https://lulustream.com/d/7facn1cbjcif https://doodstream.com/d/y7u09jf0qx1m/65825910 https://streamtape.com/v/oQxWGJO7yluKAd/65825910 Valerica Steele (2026) #teens #bigtits #blowjob #brunette #RIPNSFW</v>
      </c>
      <c r="B368" s="12" t="str">
        <f>New!A:A</f>
        <v>Dainty Wilder - 65825910 - Onlyfans - Valerica Steele.jpg</v>
      </c>
      <c r="C368" s="12" t="s">
        <v>8895</v>
      </c>
      <c r="D368" s="46">
        <f>New!P:P</f>
        <v>0</v>
      </c>
    </row>
    <row r="369" spans="1:5" ht="12.75">
      <c r="A369" s="45" t="str">
        <f ca="1">New!M:M</f>
        <v>{New} Dainty Wilder https://streamtape.com/v/17Wd0BDwWYF1Qz/66940297 https://lulustream.com/d/vkp6d1jksjo2 https://doodstream.com/d/g3kwgd8rnbpx/66940297 Elly Clutch (2026) #BigTits #Lesbian #Teen #Squirt #RIPNSFW</v>
      </c>
      <c r="B369" s="12" t="str">
        <f>New!A:A</f>
        <v>Dainty Wilder - 66940297 - ripnsfw.com - Elly Clutch.jpg</v>
      </c>
      <c r="C369" s="12" t="s">
        <v>8895</v>
      </c>
      <c r="D369" s="46">
        <f>New!P:P</f>
        <v>0</v>
      </c>
      <c r="E369" s="12"/>
    </row>
    <row r="370" spans="1:5" ht="12.75">
      <c r="A370" s="45" t="str">
        <f ca="1">New!M:M</f>
        <v>{New} Dainty Wilder https://doodstream.com/d/or4ekwy2ecnc/67327074 https://streamtape.com/v/LkMmla3oMWIRVr3/67327074 https://lulustream.com/d/sykd1cn4abhp (2026) #anal #teen #bigtits #solo #RIPNSFW</v>
      </c>
      <c r="B370" s="12" t="str">
        <f>New!A:A</f>
        <v>Dainty Wilder - 67327074 - Onlyfans.jpg</v>
      </c>
      <c r="C370" s="12" t="s">
        <v>8895</v>
      </c>
      <c r="D370" s="46">
        <f>New!P:P</f>
        <v>0</v>
      </c>
    </row>
    <row r="371" spans="1:5" ht="12.75">
      <c r="A371" s="45" t="str">
        <f ca="1">New!M:M</f>
        <v>{New} Dainty Wilder https://lulustream.com/d/d9ltv66cz28z https://doodstream.com/d/viu5tn6ooa12/69890982 https://streamtape.com/v/JogAvLklyYCjp48/69890982 Alina Lopez (2026) #BigTits #Hardcore #Threesome #Teen #Blowjob #Amateur #RIPNSFW</v>
      </c>
      <c r="B371" s="12" t="str">
        <f>New!A:A</f>
        <v>Dainty Wilder - 69890982 - ripnsfw.com - Alina Lopez.jpg</v>
      </c>
      <c r="C371" s="12" t="s">
        <v>8895</v>
      </c>
      <c r="D371" s="46">
        <f>New!P:P</f>
        <v>0</v>
      </c>
    </row>
    <row r="372" spans="1:5" ht="12.75">
      <c r="A372" s="45" t="str">
        <f ca="1">New!M:M</f>
        <v>{New} Dainty Wilder https://streamtape.com/v/RmMZ9rv06zcdQ41/71504764 https://lulustream.com/d/f9n15bbew3qd https://doodstream.com/d/n7s5k3nsvb8k/71504764 Martina Smeraldi (2026) #anal #squirt #bigtits #teens #RIPNSFW</v>
      </c>
      <c r="B372" s="12" t="str">
        <f>New!A:A</f>
        <v>Dainty Wilder - 71504764 - Onlyfans - Martina Smeraldi.jpg</v>
      </c>
      <c r="C372" s="12" t="s">
        <v>8895</v>
      </c>
      <c r="D372" s="46">
        <f>New!P:P</f>
        <v>0</v>
      </c>
    </row>
    <row r="373" spans="1:5" ht="12.75">
      <c r="A373" s="45" t="str">
        <f ca="1">New!M:M</f>
        <v>{New} Dainty Wilder https://lulustream.com/d/0vsa2aeu589y https://doodstream.com/d/y002iau4vhey/73520865 https://streamtape.com/v/VyeR4qLVvvIK6zB/73520865 (2026) #anal #teen #bigtits #blowjob #RIPNSFW</v>
      </c>
      <c r="B373" s="12" t="str">
        <f>New!A:A</f>
        <v>Dainty Wilder - 73520865 - Onlyfans.jpg</v>
      </c>
      <c r="C373" s="12" t="s">
        <v>8895</v>
      </c>
      <c r="D373" s="46">
        <f>New!P:P</f>
        <v>0</v>
      </c>
      <c r="E373" s="12"/>
    </row>
    <row r="374" spans="1:5" ht="12.75">
      <c r="A374" s="45" t="str">
        <f ca="1">New!M:M</f>
        <v>{New} Dainty Wilder https://doodstream.com/d/n7rxdgyyt104/83047853 https://streamtape.com/v/Kg3mjrVZx3C0QMj/83047853 https://lulustream.com/d/g60bok3v9jde Madi Ruve (2026) #BigTits #Lesbian #Teen #Squirt #Roleplay #Teens #Blonde #RIPNSFW</v>
      </c>
      <c r="B374" s="12" t="str">
        <f>New!A:A</f>
        <v>Dainty Wilder - 83047853 - ripnsfw.com - Madi Ruve.jpg</v>
      </c>
      <c r="C374" s="12" t="s">
        <v>8895</v>
      </c>
      <c r="D374" s="46">
        <f>New!P:P</f>
        <v>0</v>
      </c>
      <c r="E374" s="12"/>
    </row>
    <row r="375" spans="1:5" ht="12.75">
      <c r="A375" s="45" t="str">
        <f ca="1">New!M:M</f>
        <v>{New} Dainty Wilder https://lulustream.com/d/eyy6w5cld7oa https://streamtape.com/v/XdR2w8oozdfDlVp/83378552 https://doodstream.com/d/x4wrkpxakqpz/83378552 (2026) #BigTits #Teen #Solo #Squirt #RIPNSFW</v>
      </c>
      <c r="B375" s="12" t="str">
        <f>New!A:A</f>
        <v>Dainty Wilder - 83378552 - ripnsfw.com.jpg</v>
      </c>
      <c r="C375" s="12" t="s">
        <v>8895</v>
      </c>
      <c r="D375" s="46">
        <f>New!P:P</f>
        <v>0</v>
      </c>
      <c r="E375" s="12"/>
    </row>
    <row r="376" spans="1:5" ht="12.75">
      <c r="A376" s="45" t="str">
        <f ca="1">New!M:M</f>
        <v>{New} Dainty Wilder https://doodstream.com/d/4cqay9x17vah/85880814 https://streamtape.com/v/eP08pxwlr1tYyPB/85880814 https://lulustream.com/d/83fgbp79890u Lucy Mochi (2026) #threesome #teens #asian #brunette #RIPNSFW</v>
      </c>
      <c r="B376" s="12" t="str">
        <f>New!A:A</f>
        <v>Dainty Wilder - 85880814 - Onlyfans - Lucy Mochi.jpg</v>
      </c>
      <c r="C376" s="12" t="s">
        <v>8895</v>
      </c>
      <c r="D376" s="46">
        <f>New!P:P</f>
        <v>0</v>
      </c>
      <c r="E376" s="12"/>
    </row>
    <row r="377" spans="1:5" ht="12.75">
      <c r="A377" s="45" t="str">
        <f ca="1">New!M:M</f>
        <v>#ERROR!</v>
      </c>
      <c r="B377" s="12" t="str">
        <f>New!A:A</f>
        <v>Dainty Wilder - 86337696 - Onlyfans.jpg</v>
      </c>
      <c r="C377" s="12" t="s">
        <v>8895</v>
      </c>
      <c r="D377" s="46">
        <f>New!P:P</f>
        <v>0</v>
      </c>
    </row>
    <row r="378" spans="1:5" ht="12.75">
      <c r="A378" s="45" t="str">
        <f ca="1">New!M:M</f>
        <v>{New} Dainty Wilder https://streamtape.com/v/QepAllZPqBf0bMb/89040537 https://lulustream.com/d/y2iv8zw2ww5t https://doodstream.com/d/mvu8da6lk6v3/89040537 (2026) #blowjob #anal #teen #bigtits #RIPNSFW</v>
      </c>
      <c r="B378" s="12" t="str">
        <f>New!A:A</f>
        <v>Dainty Wilder - 89040537 - Onlyfans.jpg</v>
      </c>
      <c r="C378" s="12" t="s">
        <v>8895</v>
      </c>
      <c r="D378" s="46">
        <f>New!P:P</f>
        <v>0</v>
      </c>
    </row>
    <row r="379" spans="1:5" ht="12.75">
      <c r="A379" s="45" t="str">
        <f ca="1">New!M:M</f>
        <v>{New} Dainty Wilder https://doodstream.com/d/srl6id3e6sve/89256519 https://streamtape.com/v/PWv3K3vBxmU07M7/89256519 https://lulustream.com/d/yy284lgr2dup Caryn Beaumont (2026) #Anal #BigTits #Lesbian #Bigass #RIPNSFW</v>
      </c>
      <c r="B379" s="12" t="str">
        <f>New!A:A</f>
        <v>Dainty Wilder - 89256519 - Onlyfans - Caryn Beaumont.jpg</v>
      </c>
      <c r="C379" s="12" t="s">
        <v>8895</v>
      </c>
      <c r="D379" s="46">
        <f>New!P:P</f>
        <v>0</v>
      </c>
    </row>
    <row r="380" spans="1:5" ht="12.75">
      <c r="A380" s="45" t="str">
        <f ca="1">New!M:M</f>
        <v>{New} Dainty Wilder https://lulustream.com/d/npgiso9cypv2 https://streamtape.com/v/ZKRKYbPrdOs7zl/89850398 https://doodstream.com/d/ot58q2ptj0go/89850398 (2026) #teen #anal #bigtits #blowjob #RIPNSFW</v>
      </c>
      <c r="B380" s="12" t="str">
        <f>New!A:A</f>
        <v>Dainty Wilder - 89850398 - Onlyfans.jpg</v>
      </c>
      <c r="C380" s="12" t="s">
        <v>8895</v>
      </c>
      <c r="D380" s="46">
        <f>New!P:P</f>
        <v>0</v>
      </c>
    </row>
    <row r="381" spans="1:5" ht="12.75">
      <c r="A381" s="45" t="str">
        <f ca="1">New!M:M</f>
        <v>{New} Dainty Wilder https://streamtape.com/v/6op0mXk9k0se39/90178666 https://lulustream.com/d/ofo1ly6bg60m https://doodstream.com/d/yjk5c2lp0b26/90178666 (2026) #teen #roleplay #bigtits #facial #RIPNSFW</v>
      </c>
      <c r="B381" s="12" t="str">
        <f>New!A:A</f>
        <v>Dainty Wilder - 90178666 - Onlyfans.jpg</v>
      </c>
      <c r="C381" s="12" t="s">
        <v>8895</v>
      </c>
      <c r="D381" s="46">
        <f>New!P:P</f>
        <v>0</v>
      </c>
    </row>
    <row r="382" spans="1:5" ht="12.75">
      <c r="A382" s="45" t="str">
        <f ca="1">New!M:M</f>
        <v>{New} Dainty Wilder https://lulustream.com/d/llz6g3hvo265 https://streamtape.com/v/pj3LQa1q1rsre7o/91661936 https://doodstream.com/d/83267rqdudmz/91661936 (2026) #BigTits #Teen #Squirt #Solo #RIPNSFW</v>
      </c>
      <c r="B382" s="12" t="str">
        <f>New!A:A</f>
        <v>Dainty Wilder - 91661936 - ripnsfw.com.jpg</v>
      </c>
      <c r="C382" s="12" t="s">
        <v>8895</v>
      </c>
      <c r="D382" s="46">
        <f>New!P:P</f>
        <v>0</v>
      </c>
    </row>
    <row r="383" spans="1:5" ht="12.75">
      <c r="A383" s="45" t="str">
        <f ca="1">New!M:M</f>
        <v>{New} Dainty Wilder https://streamtape.com/v/eKRRyG3QMaCYllr/94217019 https://lulustream.com/d/gteljjx0iywq https://doodstream.com/d/ah0g85d6mxrp/94217019 (2026) #anal #teen #bigtits #blowjob #RIPNSFW</v>
      </c>
      <c r="B383" s="12" t="str">
        <f>New!A:A</f>
        <v>Dainty Wilder - 94217019 - Onlyfans.jpg</v>
      </c>
      <c r="C383" s="12" t="s">
        <v>8895</v>
      </c>
      <c r="D383" s="46">
        <f>New!P:P</f>
        <v>0</v>
      </c>
    </row>
    <row r="384" spans="1:5" ht="12.75">
      <c r="A384" s="45" t="str">
        <f ca="1">New!M:M</f>
        <v>{New} Dainty Wilder https://streamtape.com/v/1jX8BYYlpMceYaj/95597183 https://lulustream.com/d/dy4ur5ue9zig https://doodstream.com/d/810ggxk8hzb5/95597183 (2026) #teen #blowjob #bigtits #pov #RIPNSFW</v>
      </c>
      <c r="B384" s="12" t="str">
        <f>New!A:A</f>
        <v>Dainty Wilder - 95597183 - Onlyfans.jpg</v>
      </c>
      <c r="C384" s="12" t="s">
        <v>8895</v>
      </c>
      <c r="D384" s="46">
        <f>New!P:P</f>
        <v>0</v>
      </c>
      <c r="E384" s="12"/>
    </row>
    <row r="385" spans="1:5" ht="12.75">
      <c r="A385" s="45" t="str">
        <f ca="1">New!M:M</f>
        <v>{New} Dainty Wilder https://streamtape.com/v/re8jZZ0z4LtbvYo/96957950 https://doodstream.com/d/3j7aplxcybaj/96957950 https://lulustream.com/d/zp80qm5e36gr (2026) #anal #bigtits #blowjob #teen #RIPNSFW</v>
      </c>
      <c r="B385" s="12" t="str">
        <f>New!A:A</f>
        <v>Dainty Wilder - 96957950 - Onlyfans.jpg</v>
      </c>
      <c r="C385" s="12" t="s">
        <v>8895</v>
      </c>
      <c r="D385" s="46">
        <f>New!P:P</f>
        <v>0</v>
      </c>
    </row>
    <row r="386" spans="1:5" ht="12.75">
      <c r="A386" s="45" t="str">
        <f ca="1">New!M:M</f>
        <v>{New} Dainty Wilder https://streamtape.com/v/mD3PgJXxJDsb3j2/99124741 https://lulustream.com/d/ob7xprj9u9am https://doodstream.com/d/nhr0suwnctga/99124741 Angela White (2026) #milf #teen #brunette #bigtits #RIPNSFW</v>
      </c>
      <c r="B386" s="12" t="str">
        <f>New!A:A</f>
        <v>Dainty Wilder - 99124741 - Onlyfans - Angela White.jpg</v>
      </c>
      <c r="C386" s="12" t="s">
        <v>8895</v>
      </c>
      <c r="D386" s="46">
        <f>New!P:P</f>
        <v>0</v>
      </c>
    </row>
    <row r="387" spans="1:5" ht="12.75">
      <c r="A387" s="45" t="str">
        <f ca="1">New!M:M</f>
        <v>{New} Dakota Lyn https://doodstream.com/d/auq5a6a5h3db/67489905 https://streamtape.com/v/MegMWjyZ1LTmgPZ/67489905 https://lulustream.com/d/hsmgjgqg39ay Lena the plug (2026) #MILF #BigTits #Hardcore #Threesome #Bigass #Teen #Blowjob #Amateur #Hotwife #Deepthroat #RIPNSFW</v>
      </c>
      <c r="B387" s="12" t="str">
        <f>New!A:A</f>
        <v>Dakota Lyn - 67489905 - ripnsfw.com - Lena the plug.jpg</v>
      </c>
      <c r="C387" s="12" t="s">
        <v>8895</v>
      </c>
      <c r="D387" s="46">
        <f>New!P:P</f>
        <v>0</v>
      </c>
      <c r="E387" s="12"/>
    </row>
    <row r="388" spans="1:5" ht="12.75">
      <c r="A388" s="45" t="str">
        <f ca="1">New!M:M</f>
        <v>{New} Dallas https://streamtape.com/v/R6bLDpmKVxSB6z/45043928 https://doodstream.com/d/wcxucxau7tqv/45043928 https://lulustream.com/d/ak0tglveosl9 (2026) #Anal #BigTits #Casting #Hardcore #RIPNSFW</v>
      </c>
      <c r="B388" s="12" t="str">
        <f>New!A:A</f>
        <v>Dallas - 45043928 - ripnsfw.com.jpg</v>
      </c>
      <c r="C388" s="12" t="s">
        <v>8895</v>
      </c>
      <c r="D388" s="46">
        <f>New!P:P</f>
        <v>0</v>
      </c>
    </row>
    <row r="389" spans="1:5" ht="12.75">
      <c r="A389" s="45" t="str">
        <f ca="1">New!M:M</f>
        <v>{New} Dani Daniels https://lulustream.com/d/yeerormy3syl https://doodstream.com/d/vod7pm7zd9hd/10120271 https://streamtape.com/v/GeLlxkL4alT1e3g/10120271 (2026) #milf #bigtits #bigass #solo #RIPNSFW</v>
      </c>
      <c r="B389" s="12" t="str">
        <f>New!A:A</f>
        <v>Dani Daniels - 10120271 - Onlyfans.jpg</v>
      </c>
      <c r="C389" s="12" t="s">
        <v>8895</v>
      </c>
      <c r="D389" s="46">
        <f>New!P:P</f>
        <v>0</v>
      </c>
    </row>
    <row r="390" spans="1:5" ht="12.75">
      <c r="A390" s="45" t="str">
        <f ca="1">New!M:M</f>
        <v>{New} Dani Daniels https://doodstream.com/d/r3pyp6uz3j1j/10192788 https://lulustream.com/d/2ldbajithi1w https://streamtape.com/v/R6QeKeRY4JHde8K/10192788 (2026) #milf #bigass #blowjob #bigtits #RIPNSFW</v>
      </c>
      <c r="B390" s="12" t="str">
        <f>New!A:A</f>
        <v>Dani Daniels - 10192788 - Onlyfans.jpg</v>
      </c>
      <c r="C390" s="12" t="s">
        <v>8895</v>
      </c>
      <c r="D390" s="46">
        <f>New!P:P</f>
        <v>0</v>
      </c>
    </row>
    <row r="391" spans="1:5" ht="12.75">
      <c r="A391" s="45" t="str">
        <f ca="1">New!M:M</f>
        <v>{New} Dani Daniels https://streamtape.com/v/XPgPxkDr2WfD9DP/11866682 https://doodstream.com/d/tbbuisudq580/11866682 https://lulustream.com/d/7bybkabcybzq (2026) #MILF #BigTits #Bigass #Roleplay #RIPNSFW</v>
      </c>
      <c r="B391" s="12" t="str">
        <f>New!A:A</f>
        <v>Dani Daniels - 11866682 - Onlyfans.jpg</v>
      </c>
      <c r="C391" s="12" t="s">
        <v>8895</v>
      </c>
      <c r="D391" s="46">
        <f>New!P:P</f>
        <v>0</v>
      </c>
    </row>
    <row r="392" spans="1:5" ht="12.75">
      <c r="A392" s="45" t="str">
        <f ca="1">New!M:M</f>
        <v>{New} Dani Daniels https://doodstream.com/d/e9bw5kklu3f3/12294589 https://streamtape.com/v/P7GOq7jBMKIGdM/12294589 https://lulustream.com/d/vp6jsr9vdowt (2026) #MILF #BigTits #Bigass #Roleplay #Solo #RIPNSFW</v>
      </c>
      <c r="B392" s="12" t="str">
        <f>New!A:A</f>
        <v>Dani Daniels - 12294589 - ripnsfw.com.jpg</v>
      </c>
      <c r="C392" s="12" t="s">
        <v>8895</v>
      </c>
      <c r="D392" s="46">
        <f>New!P:P</f>
        <v>0</v>
      </c>
    </row>
    <row r="393" spans="1:5" ht="12.75">
      <c r="A393" s="45" t="str">
        <f ca="1">New!M:M</f>
        <v>{New} Dani Daniels https://streamtape.com/v/Z3y2p0JvoJIqz4G/12369492 https://lulustream.com/d/ehw51jt3pusj https://doodstream.com/d/3y11nzyqb6z7/12369492 (2026) #milf #blowjob #bigass #bigtits #RIPNSFW</v>
      </c>
      <c r="B393" s="12" t="str">
        <f>New!A:A</f>
        <v>Dani Daniels - 12369492 - Onlyfans.jpg</v>
      </c>
      <c r="C393" s="12" t="s">
        <v>8895</v>
      </c>
      <c r="D393" s="46">
        <f>New!P:P</f>
        <v>0</v>
      </c>
    </row>
    <row r="394" spans="1:5" ht="12.75">
      <c r="A394" s="45" t="str">
        <f ca="1">New!M:M</f>
        <v>{New} Dani Daniels https://doodstream.com/d/ervqfwmi4pi9/12709167 https://lulustream.com/d/uav84pjl0pdm https://streamtape.com/v/K4LPeqWo6yt0kyx/12709167 (2026) #milf #bigtits #bigass #solo #RIPNSFW</v>
      </c>
      <c r="B394" s="12" t="str">
        <f>New!A:A</f>
        <v>Dani Daniels - 12709167 - Onlyfans.jpg</v>
      </c>
      <c r="C394" s="12" t="s">
        <v>8895</v>
      </c>
      <c r="D394" s="46">
        <f>New!P:P</f>
        <v>0</v>
      </c>
    </row>
    <row r="395" spans="1:5" ht="12.75">
      <c r="A395" s="45" t="str">
        <f ca="1">New!M:M</f>
        <v>{New} Dani Daniels https://lulustream.com/d/ghed4u47zkmj https://streamtape.com/v/3waYYyqqK8f6gB/13782221 https://doodstream.com/d/hh9m7mu8mhmr/13782221 Cherie Deville (2026) #milf #bigtits #lesbian #bigass #RIPNSFW</v>
      </c>
      <c r="B395" s="12" t="str">
        <f>New!A:A</f>
        <v>Dani Daniels - 13782221 - Onlyfans - Cherie Deville.jpg</v>
      </c>
      <c r="C395" s="12" t="s">
        <v>8895</v>
      </c>
      <c r="D395" s="46">
        <f>New!P:P</f>
        <v>0</v>
      </c>
    </row>
    <row r="396" spans="1:5" ht="12.75">
      <c r="A396" s="45" t="str">
        <f ca="1">New!M:M</f>
        <v>{New} Dani Daniels https://streamtape.com/v/6a7abl1w0lu920m/14936776 https://doodstream.com/d/360im8mcesgh/14936776 https://lulustream.com/d/oya66nwviqw8 (2026) #milf #bigass #bigtits #blowjob #RIPNSFW</v>
      </c>
      <c r="B396" s="12" t="str">
        <f>New!A:A</f>
        <v>Dani Daniels - 14936776 - Onlyfans.jpg</v>
      </c>
      <c r="C396" s="12" t="s">
        <v>8895</v>
      </c>
      <c r="D396" s="46">
        <f>New!P:P</f>
        <v>0</v>
      </c>
    </row>
    <row r="397" spans="1:5" ht="12.75">
      <c r="A397" s="45" t="str">
        <f ca="1">New!M:M</f>
        <v>{New} Dani Daniels https://streamtape.com/v/bRjkvBXeRacPkDW/15548161 https://doodstream.com/d/ybi5rvj7o89u/15548161 https://lulustream.com/d/pisxxxsrjmil (2026) #MILF #BigTits #Bigass #Solo #RIPNSFW</v>
      </c>
      <c r="B397" s="12" t="str">
        <f>New!A:A</f>
        <v>Dani Daniels - 15548161 - ripnsfw.com.jpg</v>
      </c>
      <c r="C397" s="12" t="s">
        <v>8895</v>
      </c>
      <c r="D397" s="46">
        <f>New!P:P</f>
        <v>0</v>
      </c>
    </row>
    <row r="398" spans="1:5" ht="12.75">
      <c r="A398" s="45" t="str">
        <f ca="1">New!M:M</f>
        <v>{New} Dani Daniels https://streamtape.com/v/A1W8gdVY04sXle6/15968493 https://lulustream.com/d/zc6ahfmymiuw https://doodstream.com/d/c5xwvfp9ecwx/15968493 (2026) #MILF #BigTits #Bigass #Roleplay #RIPNSFW</v>
      </c>
      <c r="B398" s="12" t="str">
        <f>New!A:A</f>
        <v>Dani Daniels - 15968493 - ripnsfw.com.jpg</v>
      </c>
      <c r="C398" s="12" t="s">
        <v>8895</v>
      </c>
      <c r="D398" s="46">
        <f>New!P:P</f>
        <v>0</v>
      </c>
    </row>
    <row r="399" spans="1:5" ht="12.75">
      <c r="A399" s="45" t="str">
        <f ca="1">New!M:M</f>
        <v>{New} Dani Daniels https://doodstream.com/d/uhz6uvma9ird/16461556 https://streamtape.com/v/d8DQWG0mA0U1zz/16461556 https://lulustream.com/d/ofjl3rqxyzh2 (2026) #MILF #BigTits #Bigass #Roleplay #Blowjob #Solo #RIPNSFW</v>
      </c>
      <c r="B399" s="12" t="str">
        <f>New!A:A</f>
        <v>Dani Daniels - 16461556 - ripnsfw.com.jpg</v>
      </c>
      <c r="C399" s="12" t="s">
        <v>8895</v>
      </c>
      <c r="D399" s="46">
        <f>New!P:P</f>
        <v>0</v>
      </c>
    </row>
    <row r="400" spans="1:5" ht="12.75">
      <c r="A400" s="45" t="str">
        <f ca="1">New!M:M</f>
        <v>{New} Dani Daniels https://streamtape.com/v/R4Pqaoal2gudo2e/18551184 https://doodstream.com/d/jb2zpm8qrsln/18551184 https://lulustream.com/d/snxwe34m0aye (2026) #milf #bigass #bigtits #blowjob #RIPNSFW</v>
      </c>
      <c r="B400" s="12" t="str">
        <f>New!A:A</f>
        <v>Dani Daniels - 18551184 - Onlyfans.jpg</v>
      </c>
      <c r="C400" s="12" t="s">
        <v>8895</v>
      </c>
      <c r="D400" s="46">
        <f>New!P:P</f>
        <v>0</v>
      </c>
    </row>
    <row r="401" spans="1:4" ht="12.75">
      <c r="A401" s="45" t="str">
        <f ca="1">New!M:M</f>
        <v>{New} Dani Daniels https://doodstream.com/d/lpsajp6gp7zi/20554155 https://lulustream.com/d/r5nheiiyuybu https://streamtape.com/v/k3yzVapOjGuOvkz/20554155 (2026) #creampie #milf #bigtits #bigass #RIPNSFW</v>
      </c>
      <c r="B401" s="12" t="str">
        <f>New!A:A</f>
        <v>Dani Daniels - 20554155 - Onlyfans.jpg</v>
      </c>
      <c r="C401" s="12" t="s">
        <v>8895</v>
      </c>
      <c r="D401" s="46">
        <f>New!P:P</f>
        <v>0</v>
      </c>
    </row>
    <row r="402" spans="1:4" ht="12.75">
      <c r="A402" s="45" t="str">
        <f ca="1">New!M:M</f>
        <v>{New} Dani Daniels https://streamtape.com/v/4xDPD2mPG9Fp7z/21193358 https://doodstream.com/d/bpb1woozexjw/21193358 https://lulustream.com/d/nfdi9dazw1h6 Cherie Deville (2026) #milf #bigtits #bigass #lesbian #RIPNSFW</v>
      </c>
      <c r="B402" s="12" t="str">
        <f>New!A:A</f>
        <v>Dani Daniels - 21193358 - Onlyfans - Cherie Deville.jpg</v>
      </c>
      <c r="C402" s="12" t="s">
        <v>8895</v>
      </c>
      <c r="D402" s="46">
        <f>New!P:P</f>
        <v>0</v>
      </c>
    </row>
    <row r="403" spans="1:4" ht="12.75">
      <c r="A403" s="45" t="str">
        <f ca="1">New!M:M</f>
        <v>{New} Dani Daniels https://streamtape.com/v/jl0wmB6bYDuzjj3/21877820 https://lulustream.com/d/r9rii0q5acpp https://doodstream.com/d/msxoqzgf3r9m/21877820 (2026) #MILF #BigTits #Bigass #Roleplay #Solo #RIPNSFW</v>
      </c>
      <c r="B403" s="12" t="str">
        <f>New!A:A</f>
        <v>Dani Daniels - 21877820 - ripnsfw.com.jpg</v>
      </c>
      <c r="C403" s="12" t="s">
        <v>8895</v>
      </c>
      <c r="D403" s="46">
        <f>New!P:P</f>
        <v>0</v>
      </c>
    </row>
    <row r="404" spans="1:4" ht="12.75">
      <c r="A404" s="45" t="str">
        <f ca="1">New!M:M</f>
        <v>{New} Dani Daniels https://doodstream.com/d/yfiq1lkj9i5q/23174622 https://lulustream.com/d/bh3owo0s3t7w https://streamtape.com/v/mQL01ara8zFbK48/23174622 (2026) #MILF #BigTits #Bigass #Blowjob #RIPNSFW</v>
      </c>
      <c r="B404" s="12" t="str">
        <f>New!A:A</f>
        <v>Dani Daniels - 23174622 - ripnsfw.com.jpg</v>
      </c>
      <c r="C404" s="12" t="s">
        <v>8895</v>
      </c>
      <c r="D404" s="46">
        <f>New!P:P</f>
        <v>0</v>
      </c>
    </row>
    <row r="405" spans="1:4" ht="12.75">
      <c r="A405" s="45" t="str">
        <f ca="1">New!M:M</f>
        <v>{New} Dani Daniels https://doodstream.com/d/mi5v5zzxbhrt/23640136 https://streamtape.com/v/VPVapxj6AwUKwQ6/23640136 https://lulustream.com/d/73ltgtimclqj (2026) #milf #bigtits #bigass #blowjob #RIPNSFW</v>
      </c>
      <c r="B405" s="12" t="str">
        <f>New!A:A</f>
        <v>Dani Daniels - 23640136 - Onlyfans.jpg</v>
      </c>
      <c r="C405" s="12" t="s">
        <v>8895</v>
      </c>
      <c r="D405" s="46">
        <f>New!P:P</f>
        <v>0</v>
      </c>
    </row>
    <row r="406" spans="1:4" ht="12.75">
      <c r="A406" s="45" t="str">
        <f ca="1">New!M:M</f>
        <v>{New} Dani Daniels https://lulustream.com/d/cz8du1fy9310 https://streamtape.com/v/a0DPD0glgAHbaR/24938224 https://doodstream.com/d/fp3lru5wjosv/24938224 (2026) #milf #bigtits #bigass #solo #RIPNSFW</v>
      </c>
      <c r="B406" s="12" t="str">
        <f>New!A:A</f>
        <v>Dani Daniels - 24938224 - Onlyfans.jpg</v>
      </c>
      <c r="C406" s="12" t="s">
        <v>8895</v>
      </c>
      <c r="D406" s="46">
        <f>New!P:P</f>
        <v>0</v>
      </c>
    </row>
    <row r="407" spans="1:4" ht="12.75">
      <c r="A407" s="45" t="str">
        <f ca="1">New!M:M</f>
        <v>{New} Dani Daniels https://doodstream.com/d/7ji2jtn3e4if/24947976 https://streamtape.com/v/2BMO8vba6duZloY/24947976 https://lulustream.com/d/j6il4dcvsnmh (2026) #milf #bigass #bigtits #solo #RIPNSFW</v>
      </c>
      <c r="B407" s="12" t="str">
        <f>New!A:A</f>
        <v>Dani Daniels - 24947976 - Onlyfans.jpg</v>
      </c>
      <c r="C407" s="12" t="s">
        <v>8895</v>
      </c>
      <c r="D407" s="46">
        <f>New!P:P</f>
        <v>0</v>
      </c>
    </row>
    <row r="408" spans="1:4" ht="12.75">
      <c r="A408" s="45" t="str">
        <f ca="1">New!M:M</f>
        <v>{New} Dani Daniels https://lulustream.com/d/0zlh4l2d8ml2 https://doodstream.com/d/b508bb9n1yji/25310723 https://streamtape.com/v/VXaYO0g0KLSKKmB/25310723 (2026) #milf #blowjob #bigtits #pov #RIPNSFW</v>
      </c>
      <c r="B408" s="12" t="str">
        <f>New!A:A</f>
        <v>Dani Daniels - 25310723 - Onlyfans.jpg</v>
      </c>
      <c r="C408" s="12" t="s">
        <v>8895</v>
      </c>
      <c r="D408" s="46">
        <f>New!P:P</f>
        <v>0</v>
      </c>
    </row>
    <row r="409" spans="1:4" ht="12.75">
      <c r="A409" s="45" t="str">
        <f ca="1">New!M:M</f>
        <v>{New} Dani Daniels https://doodstream.com/d/37e33pqxc4ff/25442564 https://lulustream.com/d/y8vn02udshuh https://streamtape.com/v/R4KzLLkGypcdddY/25442564 (2026) #MILF #BigTits #Creampie #Hardcore #Bigass #Blowjob #Amateur #Hotwife #RIPNSFW</v>
      </c>
      <c r="B409" s="12" t="str">
        <f>New!A:A</f>
        <v>Dani Daniels - 25442564 - ripnsfw.com.jpg</v>
      </c>
      <c r="C409" s="12" t="s">
        <v>8895</v>
      </c>
      <c r="D409" s="46">
        <f>New!P:P</f>
        <v>0</v>
      </c>
    </row>
    <row r="410" spans="1:4" ht="12.75">
      <c r="A410" s="45" t="str">
        <f ca="1">New!M:M</f>
        <v>{New} Dani Daniels https://streamtape.com/v/KydkRw91ejFa4Q/26059965 https://lulustream.com/d/utmmxrolpdfv https://doodstream.com/d/pzq4hlrfzxlm/26059965 (2026) #MILF #BigTits #Bigass #Blowjob #RIPNSFW</v>
      </c>
      <c r="B410" s="12" t="str">
        <f>New!A:A</f>
        <v>Dani Daniels - 26059965 - Onlyfans.jpg</v>
      </c>
      <c r="C410" s="12" t="s">
        <v>8895</v>
      </c>
      <c r="D410" s="46">
        <f>New!P:P</f>
        <v>0</v>
      </c>
    </row>
    <row r="411" spans="1:4" ht="12.75">
      <c r="A411" s="45" t="str">
        <f ca="1">New!M:M</f>
        <v>{New} Dani Daniels https://streamtape.com/v/m3mxGor4X0fbmYj/26780664 https://lulustream.com/d/qifdjtxzenea https://doodstream.com/d/tdhaz0hzmul3/26780664 (2026) #milf #bigtits #bigass #blowjob #RIPNSFW</v>
      </c>
      <c r="B411" s="12" t="str">
        <f>New!A:A</f>
        <v>Dani Daniels - 26780664 - Onlyfans.jpg</v>
      </c>
      <c r="C411" s="12" t="s">
        <v>8895</v>
      </c>
      <c r="D411" s="46">
        <f>New!P:P</f>
        <v>0</v>
      </c>
    </row>
    <row r="412" spans="1:4" ht="12.75">
      <c r="A412" s="45" t="str">
        <f ca="1">New!M:M</f>
        <v>{New} Dani Daniels https://doodstream.com/d/uucpitkmed9f/28431182 https://streamtape.com/v/goaxZWaw49Uq0lv/28431182 https://lulustream.com/d/pixxv5izqsoc (2026) #bigtits #milf #joi #bigass #RIPNSFW</v>
      </c>
      <c r="B412" s="12" t="str">
        <f>New!A:A</f>
        <v>Dani Daniels - 28431182 - Onlyfans.jpg</v>
      </c>
      <c r="C412" s="12" t="s">
        <v>8895</v>
      </c>
      <c r="D412" s="46">
        <f>New!P:P</f>
        <v>0</v>
      </c>
    </row>
    <row r="413" spans="1:4" ht="12.75">
      <c r="A413" s="45" t="str">
        <f ca="1">New!M:M</f>
        <v>{New} Dani Daniels https://doodstream.com/d/3j2vigss2usf/30012565 https://streamtape.com/v/2bjV2qdMXZIj92/30012565 https://lulustream.com/d/amx0fxs36r1j (2026) #milf #bigtits #creampie #hardcore #RIPNSFW</v>
      </c>
      <c r="B413" s="12" t="str">
        <f>New!A:A</f>
        <v>Dani Daniels - 30012565 - Onlyfans.jpg</v>
      </c>
      <c r="C413" s="12" t="s">
        <v>8895</v>
      </c>
      <c r="D413" s="46">
        <f>New!P:P</f>
        <v>0</v>
      </c>
    </row>
    <row r="414" spans="1:4" ht="12.75">
      <c r="A414" s="45" t="str">
        <f ca="1">New!M:M</f>
        <v>{New} Dani Daniels https://streamtape.com/v/kkXZgJklDKUOxqp/30908064 https://lulustream.com/d/zzu2fnzlzmiq https://doodstream.com/d/q8sd0ulyq584/30908064 (2026) #MILF #BigTits #Bigass #Stepmom #RIPNSFW</v>
      </c>
      <c r="B414" s="12" t="str">
        <f>New!A:A</f>
        <v>Dani Daniels - 30908064 - Onlyfans.jpg</v>
      </c>
      <c r="C414" s="12" t="s">
        <v>8895</v>
      </c>
      <c r="D414" s="46">
        <f>New!P:P</f>
        <v>0</v>
      </c>
    </row>
    <row r="415" spans="1:4" ht="12.75">
      <c r="A415" s="45" t="str">
        <f ca="1">New!M:M</f>
        <v>{New} Dani Daniels https://doodstream.com/d/x2y3g8aqlax3/32212857 https://lulustream.com/d/apry7fhwdr0q https://streamtape.com/v/6XzlpqXDqPh9zQ9/32212857 (2026) #milf #bigtits #bigass #solo #RIPNSFW</v>
      </c>
      <c r="B415" s="12" t="str">
        <f>New!A:A</f>
        <v>Dani Daniels - 32212857 - Onlyfans.jpg</v>
      </c>
      <c r="C415" s="12" t="s">
        <v>8895</v>
      </c>
      <c r="D415" s="46">
        <f>New!P:P</f>
        <v>0</v>
      </c>
    </row>
    <row r="416" spans="1:4" ht="12.75">
      <c r="A416" s="45" t="str">
        <f ca="1">New!M:M</f>
        <v>{New} Dani Daniels https://lulustream.com/d/ruosu9zgkm9e https://streamtape.com/v/D0OGrrJDyRfkgjy/32498568 https://doodstream.com/d/l0aps3gvcv6e/32498568 (2026) #MILF #BigTits #Hardcore #Bigass #RIPNSFW</v>
      </c>
      <c r="B416" s="12" t="str">
        <f>New!A:A</f>
        <v>Dani Daniels - 32498568 - Onlyfans.jpg</v>
      </c>
      <c r="C416" s="12" t="s">
        <v>8895</v>
      </c>
      <c r="D416" s="46">
        <f>New!P:P</f>
        <v>0</v>
      </c>
    </row>
    <row r="417" spans="1:4" ht="12.75">
      <c r="A417" s="45" t="str">
        <f ca="1">New!M:M</f>
        <v>{New} Dani Daniels https://doodstream.com/d/gw6zhhnckb0g/32595635 https://streamtape.com/v/Yw17K8XxMpcvDyV/32595635 https://lulustream.com/d/lznr10d5u5xw (2026) #milf #bigtits #bigass #solo #RIPNSFW</v>
      </c>
      <c r="B417" s="12" t="str">
        <f>New!A:A</f>
        <v>Dani Daniels - 32595635 - Onlyfans.jpg</v>
      </c>
      <c r="C417" s="12" t="s">
        <v>8895</v>
      </c>
      <c r="D417" s="46">
        <f>New!P:P</f>
        <v>0</v>
      </c>
    </row>
    <row r="418" spans="1:4" ht="12.75">
      <c r="A418" s="45" t="str">
        <f ca="1">New!M:M</f>
        <v>{New} Dani Daniels https://doodstream.com/d/d8seuoxurizi/33684637 https://streamtape.com/v/vPzblYxBKWH4mJr/33684637 https://lulustream.com/d/ko5bfrk733v3 (2026) #milf #bigtits #creampie #bigass #RIPNSFW</v>
      </c>
      <c r="B418" s="12" t="str">
        <f>New!A:A</f>
        <v>Dani Daniels - 33684637 - Onlyfans.jpg</v>
      </c>
      <c r="C418" s="12" t="s">
        <v>8895</v>
      </c>
      <c r="D418" s="46">
        <f>New!P:P</f>
        <v>0</v>
      </c>
    </row>
    <row r="419" spans="1:4" ht="12.75">
      <c r="A419" s="45" t="str">
        <f ca="1">New!M:M</f>
        <v>{New} Dani Daniels https://streamtape.com/v/81amJvM0QGioKRQ/34237053 https://lulustream.com/d/v82g63k39nb6 https://doodstream.com/d/ljmt3r9l3i1c/34237053 (2026) #MILF #BigTits #Hardcore #Bigass #RIPNSFW</v>
      </c>
      <c r="B419" s="12" t="str">
        <f>New!A:A</f>
        <v>Dani Daniels - 34237053 - Onlyfans.jpg</v>
      </c>
      <c r="C419" s="12" t="s">
        <v>8895</v>
      </c>
      <c r="D419" s="46">
        <f>New!P:P</f>
        <v>0</v>
      </c>
    </row>
    <row r="420" spans="1:4" ht="12.75">
      <c r="A420" s="45" t="str">
        <f ca="1">New!M:M</f>
        <v>{New} Dani Daniels https://doodstream.com/d/ig80fqyv5hov/34410908 https://lulustream.com/d/zu5blo9mcnoc https://streamtape.com/v/qg7PqyWjpmTzQx6/34410908 (2026) #MILF #BigTits #Bigass #Solo #RIPNSFW</v>
      </c>
      <c r="B420" s="12" t="str">
        <f>New!A:A</f>
        <v>Dani Daniels - 34410908 - ripnsfw.com.jpg</v>
      </c>
      <c r="C420" s="12" t="s">
        <v>8895</v>
      </c>
      <c r="D420" s="46">
        <f>New!P:P</f>
        <v>0</v>
      </c>
    </row>
    <row r="421" spans="1:4" ht="12.75">
      <c r="A421" s="45" t="str">
        <f ca="1">New!M:M</f>
        <v>{New} Dani Daniels https://streamtape.com/v/zVODAr3ryxtYlLK/36451659 https://lulustream.com/d/v5zr365oipr0 https://doodstream.com/d/pijpw3q174ja/36451659 (2026) #milf #bigtits #bigass #solo #RIPNSFW</v>
      </c>
      <c r="B421" s="12" t="str">
        <f>New!A:A</f>
        <v>Dani Daniels - 36451659 - Onlyfans.jpg</v>
      </c>
      <c r="C421" s="12" t="s">
        <v>8895</v>
      </c>
      <c r="D421" s="46">
        <f>New!P:P</f>
        <v>0</v>
      </c>
    </row>
    <row r="422" spans="1:4" ht="12.75">
      <c r="A422" s="45" t="str">
        <f ca="1">New!M:M</f>
        <v>{New} Dani Daniels https://lulustream.com/d/m3sg8orqd73j https://doodstream.com/d/y89awizlixgl/36544901 https://streamtape.com/v/lgP0Ae6pMjCz3L/36544901 (2026) #MILF #BigTits #Bigass #Roleplay #RIPNSFW</v>
      </c>
      <c r="B422" s="12" t="str">
        <f>New!A:A</f>
        <v>Dani Daniels - 36544901 - ripnsfw.com.jpg</v>
      </c>
      <c r="C422" s="12" t="s">
        <v>8895</v>
      </c>
      <c r="D422" s="46">
        <f>New!P:P</f>
        <v>0</v>
      </c>
    </row>
    <row r="423" spans="1:4" ht="12.75">
      <c r="A423" s="45" t="str">
        <f ca="1">New!M:M</f>
        <v>{New} Dani Daniels https://doodstream.com/d/5jepz8xgymo8/36758110 https://lulustream.com/d/zfuybhap64cj https://streamtape.com/v/Wpv8Bd06ldtb3oL/36758110 (2026) #milf #bigtits #bigass #solo #RIPNSFW</v>
      </c>
      <c r="B423" s="12" t="str">
        <f>New!A:A</f>
        <v>Dani Daniels - 36758110 - Onlyfans.jpg</v>
      </c>
      <c r="C423" s="12" t="s">
        <v>8895</v>
      </c>
      <c r="D423" s="46">
        <f>New!P:P</f>
        <v>0</v>
      </c>
    </row>
    <row r="424" spans="1:4" ht="12.75">
      <c r="A424" s="45" t="str">
        <f ca="1">New!M:M</f>
        <v>{New} Dani Daniels https://streamtape.com/v/oGQWKlyDxMsJ1Zl/36918464 https://lulustream.com/d/848yi00zp3o4 https://doodstream.com/d/rvkdjd98z7e6/36918464 (2026) #MILF #BigTits #Bigass #Blowjob #Amateur #Hotwife #RIPNSFW</v>
      </c>
      <c r="B424" s="12" t="str">
        <f>New!A:A</f>
        <v>Dani Daniels - 36918464 - ripnsfw.com.jpg</v>
      </c>
      <c r="C424" s="12" t="s">
        <v>8895</v>
      </c>
      <c r="D424" s="46">
        <f>New!P:P</f>
        <v>0</v>
      </c>
    </row>
    <row r="425" spans="1:4" ht="12.75">
      <c r="A425" s="45" t="str">
        <f ca="1">New!M:M</f>
        <v>{New} Dani Daniels https://streamtape.com/v/vrW09AP1Ljs41ZW/37638420 https://lulustream.com/d/obmo5fu1ltvo https://doodstream.com/d/jprbpg7kij2q/37638420 (2026) #MILF #BigTits #Bigass #Solo #RIPNSFW</v>
      </c>
      <c r="B425" s="12" t="str">
        <f>New!A:A</f>
        <v>Dani Daniels - 37638420 - ripnsfw.com.jpg</v>
      </c>
      <c r="C425" s="12" t="s">
        <v>8895</v>
      </c>
      <c r="D425" s="46">
        <f>New!P:P</f>
        <v>0</v>
      </c>
    </row>
    <row r="426" spans="1:4" ht="12.75">
      <c r="A426" s="45" t="str">
        <f ca="1">New!M:M</f>
        <v>{New} Dani Daniels https://lulustream.com/d/q1yo4r0vv4t2 https://doodstream.com/d/fdpe7nkju0tz/38519286 https://streamtape.com/v/AXWvOaeMj9tX3mJ/38519286 (2026) #MILF #BigTits #Bigass #Solo #RIPNSFW</v>
      </c>
      <c r="B426" s="12" t="str">
        <f>New!A:A</f>
        <v>Dani Daniels - 38519286 - Onlyfans.jpg</v>
      </c>
      <c r="C426" s="12" t="s">
        <v>8895</v>
      </c>
      <c r="D426" s="46">
        <f>New!P:P</f>
        <v>0</v>
      </c>
    </row>
    <row r="427" spans="1:4" ht="12.75">
      <c r="A427" s="45" t="str">
        <f ca="1">New!M:M</f>
        <v>{New} Dani Daniels https://doodstream.com/d/05uoifuwd7dd/39177375 https://streamtape.com/v/RW2gyraM1wsdRZ1/39177375 https://lulustream.com/d/ta9dv9rckmk0 (2026) #MILF #BigTits #Bigass #Solo #RIPNSFW</v>
      </c>
      <c r="B427" s="12" t="str">
        <f>New!A:A</f>
        <v>Dani Daniels - 39177375 - ripnsfw.com.jpg</v>
      </c>
      <c r="C427" s="12" t="s">
        <v>8895</v>
      </c>
      <c r="D427" s="46">
        <f>New!P:P</f>
        <v>0</v>
      </c>
    </row>
    <row r="428" spans="1:4" ht="12.75">
      <c r="A428" s="45" t="str">
        <f ca="1">New!M:M</f>
        <v>{New} Dani Daniels https://streamtape.com/v/PZg3GkvBd8hDQ4/39608022 https://doodstream.com/d/n69ohnc0bfxg/39608022 https://lulustream.com/d/vep3s1mm3erz (2026) #MILF #BigTits #Hardcore #Bigass #RIPNSFW</v>
      </c>
      <c r="B428" s="12" t="str">
        <f>New!A:A</f>
        <v>Dani Daniels - 39608022 - Onlyfans.jpg</v>
      </c>
      <c r="C428" s="12" t="s">
        <v>8895</v>
      </c>
      <c r="D428" s="46">
        <f>New!P:P</f>
        <v>0</v>
      </c>
    </row>
    <row r="429" spans="1:4" ht="12.75">
      <c r="A429" s="45" t="str">
        <f ca="1">New!M:M</f>
        <v>{New} Dani Daniels https://doodstream.com/d/7ay4s5cc4ea5/40739253 https://streamtape.com/v/mPBvKP9B7XIbA7R/40739253 https://lulustream.com/d/h5huijo5gx3f (2026) #milf #bigass #bigtits #solo #RIPNSFW</v>
      </c>
      <c r="B429" s="12" t="str">
        <f>New!A:A</f>
        <v>Dani Daniels - 40739253 - Onlyfans.jpg</v>
      </c>
      <c r="C429" s="12" t="s">
        <v>8895</v>
      </c>
      <c r="D429" s="46">
        <f>New!P:P</f>
        <v>0</v>
      </c>
    </row>
    <row r="430" spans="1:4" ht="12.75">
      <c r="A430" s="45" t="str">
        <f ca="1">New!M:M</f>
        <v>{New} Dani Daniels https://lulustream.com/d/d7gy8w4q5vex https://streamtape.com/v/9qmObQpB0LfaMW1/41251325 https://doodstream.com/d/0p8xur8ykswz/41251325 (2026) #MILF #BigTits #Bigass #Roleplay #RIPNSFW</v>
      </c>
      <c r="B430" s="12" t="str">
        <f>New!A:A</f>
        <v>Dani Daniels - 41251325 - ripnsfw.com.jpg</v>
      </c>
      <c r="C430" s="12" t="s">
        <v>8895</v>
      </c>
      <c r="D430" s="46">
        <f>New!P:P</f>
        <v>0</v>
      </c>
    </row>
    <row r="431" spans="1:4" ht="12.75">
      <c r="A431" s="45" t="str">
        <f ca="1">New!M:M</f>
        <v>{New} Dani Daniels https://streamtape.com/v/K7y8B7Gxm1u0dld/42052345 https://doodstream.com/d/1gy1i67uqhnf/42052345 https://lulustream.com/d/5wy5emvbfkal (2026) #MILF #BigTits #Bigass #Solo #RIPNSFW</v>
      </c>
      <c r="B431" s="12" t="str">
        <f>New!A:A</f>
        <v>Dani Daniels - 42052345 - ripnsfw.com.jpg</v>
      </c>
      <c r="C431" s="12" t="s">
        <v>8895</v>
      </c>
      <c r="D431" s="46">
        <f>New!P:P</f>
        <v>0</v>
      </c>
    </row>
    <row r="432" spans="1:4" ht="12.75">
      <c r="A432" s="45" t="str">
        <f ca="1">New!M:M</f>
        <v>{New} Dani Daniels https://lulustream.com/d/3n0pwpbcel94 https://streamtape.com/v/BXpRomyvpQUyd86/42529421 https://doodstream.com/d/4qgallaq4bku/42529421 (2026) #MILF #BigTits #Bigass #Roleplay #Blowjob #Solo #RIPNSFW</v>
      </c>
      <c r="B432" s="12" t="str">
        <f>New!A:A</f>
        <v>Dani Daniels - 42529421 - ripnsfw.com.jpg</v>
      </c>
      <c r="C432" s="12" t="s">
        <v>8895</v>
      </c>
      <c r="D432" s="46">
        <f>New!P:P</f>
        <v>0</v>
      </c>
    </row>
    <row r="433" spans="1:4" ht="12.75">
      <c r="A433" s="45" t="str">
        <f ca="1">New!M:M</f>
        <v>{New} Dani Daniels https://doodstream.com/d/p5kpigl80z4x/42870284 https://lulustream.com/d/fukg5kuqabll https://streamtape.com/v/9OMgaemyqYC9pM/42870284 (2026) #MILF #BigTits #Bigass #Roleplay #RIPNSFW</v>
      </c>
      <c r="B433" s="12" t="str">
        <f>New!A:A</f>
        <v>Dani Daniels - 42870284 - ripnsfw.com.jpg</v>
      </c>
      <c r="C433" s="12" t="s">
        <v>8895</v>
      </c>
      <c r="D433" s="46">
        <f>New!P:P</f>
        <v>0</v>
      </c>
    </row>
    <row r="434" spans="1:4" ht="12.75">
      <c r="A434" s="45" t="str">
        <f ca="1">New!M:M</f>
        <v>{New} Dani Daniels https://doodstream.com/d/r9qadgshkyiq/42919483 https://lulustream.com/d/zqbyp6nhkxqp https://streamtape.com/v/gPq7RPaQkZFqRbB/42919483 (2026) #milf #bigtits #bigass #blowjob #RIPNSFW</v>
      </c>
      <c r="B434" s="12" t="str">
        <f>New!A:A</f>
        <v>Dani Daniels - 42919483 - Onlyfans.jpg</v>
      </c>
      <c r="C434" s="12" t="s">
        <v>8895</v>
      </c>
      <c r="D434" s="46">
        <f>New!P:P</f>
        <v>0</v>
      </c>
    </row>
    <row r="435" spans="1:4" ht="12.75">
      <c r="A435" s="45" t="str">
        <f ca="1">New!M:M</f>
        <v>{New} Dani Daniels https://streamtape.com/v/kPrkarROomUOgA1/42956171 https://lulustream.com/d/bpfgllsm38r1 https://doodstream.com/d/vhhvgniborwr/42956171 (2026) #milf #roleplay #blowjob #bigtits #RIPNSFW</v>
      </c>
      <c r="B435" s="12" t="str">
        <f>New!A:A</f>
        <v>Dani Daniels - 42956171 - Onlyfans.jpg</v>
      </c>
      <c r="C435" s="12" t="s">
        <v>8895</v>
      </c>
      <c r="D435" s="46">
        <f>New!P:P</f>
        <v>0</v>
      </c>
    </row>
    <row r="436" spans="1:4" ht="12.75">
      <c r="A436" s="45" t="str">
        <f ca="1">New!M:M</f>
        <v>{New} Dani Daniels https://lulustream.com/d/sd4ei0ivpt8m https://streamtape.com/v/2LqKzapqvoCAqj/43341333 https://doodstream.com/d/fib5n1iiyunz/43341333 (2026) #MILF #BigTits #Bigass #Solo #RIPNSFW</v>
      </c>
      <c r="B436" s="12" t="str">
        <f>New!A:A</f>
        <v>Dani Daniels - 43341333 - Onlyfans.jpg</v>
      </c>
      <c r="C436" s="12" t="s">
        <v>8895</v>
      </c>
      <c r="D436" s="46">
        <f>New!P:P</f>
        <v>0</v>
      </c>
    </row>
    <row r="437" spans="1:4" ht="12.75">
      <c r="A437" s="45" t="str">
        <f ca="1">New!M:M</f>
        <v>{New} Dani Daniels https://doodstream.com/d/qiwhfj65idwd/43357088 https://lulustream.com/d/0mkudbtn5hl5 https://streamtape.com/v/PWV43mgA7aF0PXR/43357088 (2026) #milf #bigtits #solo #bigass #RIPNSFW</v>
      </c>
      <c r="B437" s="12" t="str">
        <f>New!A:A</f>
        <v>Dani Daniels - 43357088 - Onlyfans.jpg</v>
      </c>
      <c r="C437" s="12" t="s">
        <v>8895</v>
      </c>
      <c r="D437" s="46">
        <f>New!P:P</f>
        <v>0</v>
      </c>
    </row>
    <row r="438" spans="1:4" ht="12.75">
      <c r="A438" s="45" t="str">
        <f ca="1">New!M:M</f>
        <v>{New} Dani Daniels https://streamtape.com/v/rg0Rww7gwPsbmGP/44166498 https://doodstream.com/d/d03ykucb3wgn/44166498 https://lulustream.com/d/1ls7im9klq01 (2026) #MILF #BigTits #Bigass #Roleplay #RIPNSFW</v>
      </c>
      <c r="B438" s="12" t="str">
        <f>New!A:A</f>
        <v>Dani Daniels - 44166498 - Onlyfans.jpg</v>
      </c>
      <c r="C438" s="12" t="s">
        <v>8895</v>
      </c>
      <c r="D438" s="46">
        <f>New!P:P</f>
        <v>0</v>
      </c>
    </row>
    <row r="439" spans="1:4" ht="12.75">
      <c r="A439" s="45" t="str">
        <f ca="1">New!M:M</f>
        <v>{New} Dani Daniels https://doodstream.com/d/k6goa230hp6x/44807966 https://lulustream.com/d/u8yzw73zt9os https://streamtape.com/v/1boLRRVbwGsekm3/44807966 (2026) #milf #bigtits #blowjob #bigass #RIPNSFW</v>
      </c>
      <c r="B439" s="12" t="str">
        <f>New!A:A</f>
        <v>Dani Daniels - 44807966 - Onlyfans.jpg</v>
      </c>
      <c r="C439" s="12" t="s">
        <v>8895</v>
      </c>
      <c r="D439" s="46">
        <f>New!P:P</f>
        <v>0</v>
      </c>
    </row>
    <row r="440" spans="1:4" ht="12.75">
      <c r="A440" s="45" t="str">
        <f ca="1">New!M:M</f>
        <v>{New} Dani Daniels https://streamtape.com/v/AkqLDXbkbMuDRy/46535961 https://lulustream.com/d/vu2pexu7nvhs https://doodstream.com/d/nlwcuw5kzb9g/46535961 (2026) #milf #bigtits #bigass #solo #RIPNSFW</v>
      </c>
      <c r="B440" s="12" t="str">
        <f>New!A:A</f>
        <v>Dani Daniels - 46535961 - Onlyfans.jpg</v>
      </c>
      <c r="C440" s="12" t="s">
        <v>8895</v>
      </c>
      <c r="D440" s="46">
        <f>New!P:P</f>
        <v>0</v>
      </c>
    </row>
    <row r="441" spans="1:4" ht="12.75">
      <c r="A441" s="45" t="str">
        <f ca="1">New!M:M</f>
        <v>{New} Dani Daniels https://lulustream.com/d/x14rpcdgb4c5 https://doodstream.com/d/2q0oxfqd5yr7/47568354 https://streamtape.com/v/AA28D3KLokiXlO2/47568354 (2026) #milf #bigtits #bigass #solo #RIPNSFW</v>
      </c>
      <c r="B441" s="12" t="str">
        <f>New!A:A</f>
        <v>Dani Daniels - 47568354 - Onlyfans.jpg</v>
      </c>
      <c r="C441" s="12" t="s">
        <v>8895</v>
      </c>
      <c r="D441" s="46">
        <f>New!P:P</f>
        <v>0</v>
      </c>
    </row>
    <row r="442" spans="1:4" ht="12.75">
      <c r="A442" s="45" t="str">
        <f ca="1">New!M:M</f>
        <v>{New} Dani Daniels https://doodstream.com/d/veik6uw0apkm/47942974 https://streamtape.com/v/wrwAJ39kVjspxG/47942974 https://lulustream.com/d/dtluea2ik27d (2026) #milf #bigass #blowjob #brunette #RIPNSFW</v>
      </c>
      <c r="B442" s="12" t="str">
        <f>New!A:A</f>
        <v>Dani Daniels - 47942974 - Onlyfans.jpg</v>
      </c>
      <c r="C442" s="12" t="s">
        <v>8895</v>
      </c>
      <c r="D442" s="46">
        <f>New!P:P</f>
        <v>0</v>
      </c>
    </row>
    <row r="443" spans="1:4" ht="12.75">
      <c r="A443" s="45" t="str">
        <f ca="1">New!M:M</f>
        <v>{New} Dani Daniels https://doodstream.com/d/c36hbo1g0gvx/48386737 https://lulustream.com/d/hxyp7j0170in https://streamtape.com/v/xb0aZA0v2rskWD8/48386737 (2026) #milf #bigtits #bigass #joi #RIPNSFW</v>
      </c>
      <c r="B443" s="12" t="str">
        <f>New!A:A</f>
        <v>Dani Daniels - 48386737 - Onlyfans.jpg</v>
      </c>
      <c r="C443" s="12" t="s">
        <v>8895</v>
      </c>
      <c r="D443" s="46">
        <f>New!P:P</f>
        <v>0</v>
      </c>
    </row>
    <row r="444" spans="1:4" ht="12.75">
      <c r="A444" s="45" t="str">
        <f ca="1">New!M:M</f>
        <v>{New} Dani Daniels https://doodstream.com/d/97w4yrcp4i41/48767448 https://streamtape.com/v/e4d88yR0kLtYd4Z/48767448 https://lulustream.com/d/qkqix9lreik7 (2026) #MILF #BigTits #Roleplay #Solo #RIPNSFW</v>
      </c>
      <c r="B444" s="12" t="str">
        <f>New!A:A</f>
        <v>Dani Daniels - 48767448 - ripnsfw.com.jpg</v>
      </c>
      <c r="C444" s="12" t="s">
        <v>8895</v>
      </c>
      <c r="D444" s="46">
        <f>New!P:P</f>
        <v>0</v>
      </c>
    </row>
    <row r="445" spans="1:4" ht="12.75">
      <c r="A445" s="45" t="str">
        <f ca="1">New!M:M</f>
        <v>{New} Dani Daniels https://streamtape.com/v/M6aXGYXkywHGe4/49151166 https://doodstream.com/d/p2sthnpnmv3x/49151166 https://lulustream.com/d/t5437e6mdz6y (2026) #milf #bigass #bigtits #solo #RIPNSFW</v>
      </c>
      <c r="B445" s="12" t="str">
        <f>New!A:A</f>
        <v>Dani Daniels - 49151166 - Onlyfans.jpg</v>
      </c>
      <c r="C445" s="12" t="s">
        <v>8895</v>
      </c>
      <c r="D445" s="46">
        <f>New!P:P</f>
        <v>0</v>
      </c>
    </row>
    <row r="446" spans="1:4" ht="12.75">
      <c r="A446" s="45" t="str">
        <f ca="1">New!M:M</f>
        <v>{New} Dani Daniels https://streamtape.com/v/z6W2eZdQjXcY3jB/49253459 https://doodstream.com/d/pdrrxidndfin/49253459 https://lulustream.com/d/4s9yan8wgi8c (2026) #MILF #BigTits #Bigass #Roleplay #RIPNSFW</v>
      </c>
      <c r="B446" s="12" t="str">
        <f>New!A:A</f>
        <v>Dani Daniels - 49253459 - ripnsfw.com.jpg</v>
      </c>
      <c r="C446" s="12" t="s">
        <v>8895</v>
      </c>
      <c r="D446" s="46">
        <f>New!P:P</f>
        <v>0</v>
      </c>
    </row>
    <row r="447" spans="1:4" ht="12.75">
      <c r="A447" s="45" t="str">
        <f ca="1">New!M:M</f>
        <v>{New} Dani Daniels https://streamtape.com/v/3q7eqDYqgehdvjl/50955700 https://doodstream.com/d/pu88amkb9myx/50955700 https://lulustream.com/d/o23uan9ic3dy (2026) #MILF #BigTits #Creampie #Hardcore #Bigass #Stepmom #Blowjob #Amateur #Mature #RIPNSFW</v>
      </c>
      <c r="B447" s="12" t="str">
        <f>New!A:A</f>
        <v>Dani Daniels - 50955700 - Onlyfans.jpg</v>
      </c>
      <c r="C447" s="12" t="s">
        <v>8895</v>
      </c>
      <c r="D447" s="46">
        <f>New!P:P</f>
        <v>0</v>
      </c>
    </row>
    <row r="448" spans="1:4" ht="12.75">
      <c r="A448" s="45" t="str">
        <f ca="1">New!M:M</f>
        <v>{New} Dani Daniels https://lulustream.com/d/ffr0wrkvv1nr https://doodstream.com/d/4froz14hxhqb/51399692 https://streamtape.com/v/Bz8GWr43aRuy4a6/51399692 (2026) #MILF #BigTits #Bigass #Roleplay #RIPNSFW</v>
      </c>
      <c r="B448" s="12" t="str">
        <f>New!A:A</f>
        <v>Dani Daniels - 51399692 - ripnsfw.com.jpg</v>
      </c>
      <c r="C448" s="12" t="s">
        <v>8895</v>
      </c>
      <c r="D448" s="46">
        <f>New!P:P</f>
        <v>0</v>
      </c>
    </row>
    <row r="449" spans="1:4" ht="12.75">
      <c r="A449" s="45" t="str">
        <f ca="1">New!M:M</f>
        <v>{New} Dani Daniels https://lulustream.com/d/4r07zexgcq2w https://streamtape.com/v/akbGAy1GKLcxKZa/52597804 https://doodstream.com/d/yo7tqr4o5d28/52597804 (2026) #MILF #BigTits #Bigass #Roleplay #RIPNSFW</v>
      </c>
      <c r="B449" s="12" t="str">
        <f>New!A:A</f>
        <v>Dani Daniels - 52597804 - Onlyfans.jpg</v>
      </c>
      <c r="C449" s="12" t="s">
        <v>8895</v>
      </c>
      <c r="D449" s="46">
        <f>New!P:P</f>
        <v>0</v>
      </c>
    </row>
    <row r="450" spans="1:4" ht="12.75">
      <c r="A450" s="45" t="str">
        <f ca="1">New!M:M</f>
        <v>{New} Dani Daniels https://doodstream.com/d/vaq6qcd2h1vl/53224351 https://lulustream.com/d/0r17nhx9cb6y https://streamtape.com/v/R4LBJj31Z9sBGB/53224351 (2026) #milf #bigtits #bigass #blowjob #RIPNSFW</v>
      </c>
      <c r="B450" s="12" t="str">
        <f>New!A:A</f>
        <v>Dani Daniels - 53224351 - Onlyfans.jpg</v>
      </c>
      <c r="C450" s="12" t="s">
        <v>8895</v>
      </c>
      <c r="D450" s="46">
        <f>New!P:P</f>
        <v>0</v>
      </c>
    </row>
    <row r="451" spans="1:4" ht="12.75">
      <c r="A451" s="45" t="str">
        <f ca="1">New!M:M</f>
        <v>{New} Dani Daniels https://streamtape.com/v/y24Xed8YJGs18D4/53635031 https://doodstream.com/d/lqr0djr2bzcz/53635031 https://lulustream.com/d/bfh5r8zhmfh2 (2026) #milf #bigtits #bigass #solo #RIPNSFW</v>
      </c>
      <c r="B451" s="12" t="str">
        <f>New!A:A</f>
        <v>Dani Daniels - 53635031 - Onlyfans.jpg</v>
      </c>
      <c r="C451" s="12" t="s">
        <v>8895</v>
      </c>
      <c r="D451" s="46">
        <f>New!P:P</f>
        <v>0</v>
      </c>
    </row>
    <row r="452" spans="1:4" ht="12.75">
      <c r="A452" s="45" t="str">
        <f ca="1">New!M:M</f>
        <v>{New} Dani Daniels https://streamtape.com/v/O2mr3q747gIZZ8G/54852918 https://doodstream.com/d/5i6nztxu1fir/54852918 https://lulustream.com/d/le63ce74zs8r (2026) #MILF #BigTits #Bigass #Blowjob #RIPNSFW</v>
      </c>
      <c r="B452" s="12" t="str">
        <f>New!A:A</f>
        <v>Dani Daniels - 54852918 - ripnsfw.com.jpg</v>
      </c>
      <c r="C452" s="12" t="s">
        <v>8895</v>
      </c>
      <c r="D452" s="46">
        <f>New!P:P</f>
        <v>0</v>
      </c>
    </row>
    <row r="453" spans="1:4" ht="12.75">
      <c r="A453" s="45" t="str">
        <f ca="1">New!M:M</f>
        <v>{New} Dani Daniels https://doodstream.com/d/kfaegrf72ulk/56497943 https://lulustream.com/d/u5hpb2flt134 https://streamtape.com/v/4W3d3DRQGmHKRqB/56497943 (2026) #MILF #BigTits #Creampie #Hardcore #Bigass #Stepmom #Amateur #RIPNSFW</v>
      </c>
      <c r="B453" s="12" t="str">
        <f>New!A:A</f>
        <v>Dani Daniels - 56497943 - Onlyfans.jpg</v>
      </c>
      <c r="C453" s="12" t="s">
        <v>8895</v>
      </c>
      <c r="D453" s="46">
        <f>New!P:P</f>
        <v>0</v>
      </c>
    </row>
    <row r="454" spans="1:4" ht="12.75">
      <c r="A454" s="45" t="str">
        <f ca="1">New!M:M</f>
        <v>{New} Dani Daniels https://lulustream.com/d/1hl3ws4dxdka https://doodstream.com/d/rucoerik7xco/57203383 https://streamtape.com/v/3JRgXQ1gklcdBg0/57203383 (2026) #bigass #solo #milf #bigtits #RIPNSFW</v>
      </c>
      <c r="B454" s="12" t="str">
        <f>New!A:A</f>
        <v>Dani Daniels - 57203383 - Onlyfans.jpg</v>
      </c>
      <c r="C454" s="12" t="s">
        <v>8895</v>
      </c>
      <c r="D454" s="46">
        <f>New!P:P</f>
        <v>0</v>
      </c>
    </row>
    <row r="455" spans="1:4" ht="12.75">
      <c r="A455" s="45" t="str">
        <f ca="1">New!M:M</f>
        <v>{New} Dani Daniels https://doodstream.com/d/ih3qzkhmpbj3/58313208 https://lulustream.com/d/vw4wi7f5s848 https://streamtape.com/v/Yw91Dvo3Y6CvlRm/58313208 (2026) #milf #brunette #bigass #bigtits #RIPNSFW</v>
      </c>
      <c r="B455" s="12" t="str">
        <f>New!A:A</f>
        <v>Dani Daniels - 58313208 - Onlyfans.jpg</v>
      </c>
      <c r="C455" s="12" t="s">
        <v>8895</v>
      </c>
      <c r="D455" s="46">
        <f>New!P:P</f>
        <v>0</v>
      </c>
    </row>
    <row r="456" spans="1:4" ht="12.75">
      <c r="A456" s="45" t="str">
        <f ca="1">New!M:M</f>
        <v>{New} Dani Daniels https://lulustream.com/d/08yosrrwarfx https://streamtape.com/v/2V1MkVYlyMTZD4r/59473752 https://doodstream.com/d/22xkovsw30vf/59473752 (2026) #MILF #BigTits #Bigass #Blowjob #Amateur #RIPNSFW</v>
      </c>
      <c r="B456" s="12" t="str">
        <f>New!A:A</f>
        <v>Dani Daniels - 59473752 - ripnsfw.com.jpg</v>
      </c>
      <c r="C456" s="12" t="s">
        <v>8895</v>
      </c>
      <c r="D456" s="46">
        <f>New!P:P</f>
        <v>0</v>
      </c>
    </row>
    <row r="457" spans="1:4" ht="12.75">
      <c r="A457" s="45" t="str">
        <f ca="1">New!M:M</f>
        <v>{New} Dani Daniels https://streamtape.com/v/0DJV46gexeT6Vv/60238559 https://doodstream.com/d/54yyxmqexjth/60238559 https://lulustream.com/d/jcedg2y4ivd2 (2026) #MILF #BigTits #Bigass #Solo #RIPNSFW</v>
      </c>
      <c r="B457" s="12" t="str">
        <f>New!A:A</f>
        <v>Dani Daniels - 60238559 - ripnsfw.com.jpg</v>
      </c>
      <c r="C457" s="12" t="s">
        <v>8895</v>
      </c>
      <c r="D457" s="46">
        <f>New!P:P</f>
        <v>0</v>
      </c>
    </row>
    <row r="458" spans="1:4" ht="12.75">
      <c r="A458" s="45" t="str">
        <f ca="1">New!M:M</f>
        <v>{New} Dani Daniels https://lulustream.com/d/xrg81czlhzqz https://doodstream.com/d/tpibplzwmdaz/60408971 https://streamtape.com/v/09Oy1ZyBymfDZ1/60408971 (2026) #milf #bigtits #bigass #solo #RIPNSFW</v>
      </c>
      <c r="B458" s="12" t="str">
        <f>New!A:A</f>
        <v>Dani Daniels - 60408971 - Onlyfans.jpg</v>
      </c>
      <c r="C458" s="12" t="s">
        <v>8895</v>
      </c>
      <c r="D458" s="46">
        <f>New!P:P</f>
        <v>0</v>
      </c>
    </row>
    <row r="459" spans="1:4" ht="12.75">
      <c r="A459" s="45" t="str">
        <f ca="1">New!M:M</f>
        <v>{New} Dani Daniels https://streamtape.com/v/7k7d1eP3exFMqe/61335376 https://doodstream.com/d/lpullw3jlad0/61335376 https://lulustream.com/d/tjxvok0oyasd (2026) #MILF #BigTits #Bigass #Blowjob #RIPNSFW</v>
      </c>
      <c r="B459" s="12" t="str">
        <f>New!A:A</f>
        <v>Dani Daniels - 61335376 - Onlyfans.jpg</v>
      </c>
      <c r="C459" s="12" t="s">
        <v>8895</v>
      </c>
      <c r="D459" s="46">
        <f>New!P:P</f>
        <v>0</v>
      </c>
    </row>
    <row r="460" spans="1:4" ht="12.75">
      <c r="A460" s="45" t="str">
        <f ca="1">New!M:M</f>
        <v>{New} Dani Daniels https://streamtape.com/v/KZAaVgmzebi0d1j/63122723 https://lulustream.com/d/p78y0draqvlx https://doodstream.com/d/xxyhmq6a86c3/63122723 (2026) #milf #bigtits #bigass #blowjob #RIPNSFW</v>
      </c>
      <c r="B460" s="12" t="str">
        <f>New!A:A</f>
        <v>Dani Daniels - 63122723 - Onlyfans.jpg</v>
      </c>
      <c r="C460" s="12" t="s">
        <v>8895</v>
      </c>
      <c r="D460" s="46">
        <f>New!P:P</f>
        <v>0</v>
      </c>
    </row>
    <row r="461" spans="1:4" ht="12.75">
      <c r="A461" s="45" t="str">
        <f ca="1">New!M:M</f>
        <v>{New} Dani Daniels https://lulustream.com/d/0ie7wbjbtk24 https://streamtape.com/v/ezXVWb9lrJImK8/64107808 https://doodstream.com/d/yj5naslaahta/64107808 (2026) #MILF #BigTits #Bigass #Roleplay #Solo #RIPNSFW</v>
      </c>
      <c r="B461" s="12" t="str">
        <f>New!A:A</f>
        <v>Dani Daniels - 64107808 - ripnsfw.com.jpg</v>
      </c>
      <c r="C461" s="12" t="s">
        <v>8895</v>
      </c>
      <c r="D461" s="46">
        <f>New!P:P</f>
        <v>0</v>
      </c>
    </row>
    <row r="462" spans="1:4" ht="12.75">
      <c r="A462" s="45" t="str">
        <f ca="1">New!M:M</f>
        <v>{New} Dani Daniels https://lulustream.com/d/3jwfz6lq1mzw https://streamtape.com/v/z6p4kLZD8pTYal1/64692416 https://doodstream.com/d/ft4sj1zzcn3n/64692416 (2026) #MILF #BigTits #Hardcore #Bigass #Blowjob #RIPNSFW</v>
      </c>
      <c r="B462" s="12" t="str">
        <f>New!A:A</f>
        <v>Dani Daniels - 64692416 - ripnsfw.com.jpg</v>
      </c>
      <c r="C462" s="12" t="s">
        <v>8895</v>
      </c>
      <c r="D462" s="46">
        <f>New!P:P</f>
        <v>0</v>
      </c>
    </row>
    <row r="463" spans="1:4" ht="12.75">
      <c r="A463" s="45" t="str">
        <f ca="1">New!M:M</f>
        <v>{New} Dani Daniels https://doodstream.com/d/7sauzo2y9xq0/64808876 https://streamtape.com/v/ogeYZ3jLG4TjLO/64808876 https://lulustream.com/d/6dl1f7xhoss2 (2026) #milf #bigtits #bigass #blowjob #RIPNSFW</v>
      </c>
      <c r="B463" s="12" t="str">
        <f>New!A:A</f>
        <v>Dani Daniels - 64808876 - Onlyfans.jpg</v>
      </c>
      <c r="C463" s="12" t="s">
        <v>8895</v>
      </c>
      <c r="D463" s="46">
        <f>New!P:P</f>
        <v>0</v>
      </c>
    </row>
    <row r="464" spans="1:4" ht="12.75">
      <c r="A464" s="45" t="str">
        <f ca="1">New!M:M</f>
        <v>{New} Dani Daniels https://doodstream.com/d/d3779g7hywpj/65000313 https://lulustream.com/d/s4dpib58mz59 https://streamtape.com/v/mrY8g3Qa0PCbL0e/65000313 (2026) #MILF #BigTits #Hardcore #Bigass #Stepmom #Blowjob #Amateur #RIPNSFW</v>
      </c>
      <c r="B464" s="12" t="str">
        <f>New!A:A</f>
        <v>Dani Daniels - 65000313 - Onlyfans.jpg</v>
      </c>
      <c r="C464" s="12" t="s">
        <v>8895</v>
      </c>
      <c r="D464" s="46">
        <f>New!P:P</f>
        <v>0</v>
      </c>
    </row>
    <row r="465" spans="1:4" ht="12.75">
      <c r="A465" s="45" t="str">
        <f ca="1">New!M:M</f>
        <v>{New} Dani Daniels https://doodstream.com/d/rhm4knfau72r/66212622 https://lulustream.com/d/fldkmlw8kf24 https://streamtape.com/v/LL00vADRbxsRRbv/66212622 (2026) #milf #bigtits #bigass #blowjob #RIPNSFW</v>
      </c>
      <c r="B465" s="12" t="str">
        <f>New!A:A</f>
        <v>Dani Daniels - 66212622 - Onlyfans.jpg</v>
      </c>
      <c r="C465" s="12" t="s">
        <v>8895</v>
      </c>
      <c r="D465" s="46">
        <f>New!P:P</f>
        <v>0</v>
      </c>
    </row>
    <row r="466" spans="1:4" ht="12.75">
      <c r="A466" s="45" t="str">
        <f ca="1">New!M:M</f>
        <v>{New} Dani Daniels https://streamtape.com/v/kPqJDx2lYrIOqW4/66422331 https://lulustream.com/d/q2uqwg22nf68 https://doodstream.com/d/4z3n6wu6mq6j/66422331 (2026) #milf #bigtits #blowjob #amateur #RIPNSFW</v>
      </c>
      <c r="B466" s="12" t="str">
        <f>New!A:A</f>
        <v>Dani Daniels - 66422331 - Onlyfans.jpg</v>
      </c>
      <c r="C466" s="12" t="s">
        <v>8895</v>
      </c>
      <c r="D466" s="46">
        <f>New!P:P</f>
        <v>0</v>
      </c>
    </row>
    <row r="467" spans="1:4" ht="12.75">
      <c r="A467" s="45" t="str">
        <f ca="1">New!M:M</f>
        <v>{New} Dani Daniels https://lulustream.com/d/ee2lw8lv79ir https://streamtape.com/v/Qk1ja1qjqVF0QDg/66537645 https://doodstream.com/d/974jatr5z9nh/66537645 (2026) #milf #solo #bigass #bigtits #RIPNSFW</v>
      </c>
      <c r="B467" s="12" t="str">
        <f>New!A:A</f>
        <v>Dani Daniels - 66537645 - Onlyfans.jpg</v>
      </c>
      <c r="C467" s="12" t="s">
        <v>8895</v>
      </c>
      <c r="D467" s="46">
        <f>New!P:P</f>
        <v>0</v>
      </c>
    </row>
    <row r="468" spans="1:4" ht="12.75">
      <c r="A468" s="45" t="str">
        <f ca="1">New!M:M</f>
        <v>{New} Dani Daniels https://lulustream.com/d/iiw1uf0jdkcr https://streamtape.com/v/0R7gXQa0WMS6kj/67231091 https://doodstream.com/d/bwtvf1a7bi52/67231091 (2026) #milf #bigtits #bigass #solo #RIPNSFW</v>
      </c>
      <c r="B468" s="12" t="str">
        <f>New!A:A</f>
        <v>Dani Daniels - 67231091 - Onlyfans.jpg</v>
      </c>
      <c r="C468" s="12" t="s">
        <v>8895</v>
      </c>
      <c r="D468" s="46">
        <f>New!P:P</f>
        <v>0</v>
      </c>
    </row>
    <row r="469" spans="1:4" ht="12.75">
      <c r="A469" s="45" t="str">
        <f ca="1">New!M:M</f>
        <v>{New} Dani Daniels https://doodstream.com/d/9wwzk59c1vyj/67462200 https://lulustream.com/d/psutvpfo0ybw https://streamtape.com/v/26RrdjrOO4SZ90o/67462200 (2026) #milf #blowjob #bigass #bigtits #RIPNSFW</v>
      </c>
      <c r="B469" s="12" t="str">
        <f>New!A:A</f>
        <v>Dani Daniels - 67462200 - Onlyfans.jpg</v>
      </c>
      <c r="C469" s="12" t="s">
        <v>8895</v>
      </c>
      <c r="D469" s="46">
        <f>New!P:P</f>
        <v>0</v>
      </c>
    </row>
    <row r="470" spans="1:4" ht="12.75">
      <c r="A470" s="45" t="str">
        <f ca="1">New!M:M</f>
        <v>{New} Dani Daniels https://streamtape.com/v/Qb9O7oVoq6CRpo/69449307 https://lulustream.com/d/cjvq5yqvutoq https://doodstream.com/d/d3sb9u7ygmra/69449307 (2026) #MILF #BigTits #Bigass #Roleplay #RIPNSFW</v>
      </c>
      <c r="B470" s="12" t="str">
        <f>New!A:A</f>
        <v>Dani Daniels - 69449307 - ripnsfw.com.jpg</v>
      </c>
      <c r="C470" s="12" t="s">
        <v>8895</v>
      </c>
      <c r="D470" s="46">
        <f>New!P:P</f>
        <v>0</v>
      </c>
    </row>
    <row r="471" spans="1:4" ht="12.75">
      <c r="A471" s="45" t="str">
        <f ca="1">New!M:M</f>
        <v>{New} Dani Daniels https://lulustream.com/d/qb6kem99z6vm https://doodstream.com/d/6qibowqbhx7y/71865378 https://streamtape.com/v/JX9DYgrDeQfj1vo/71865378 (2026) #MILF #BigTits #Bigass #Roleplay #RIPNSFW</v>
      </c>
      <c r="B471" s="12" t="str">
        <f>New!A:A</f>
        <v>Dani Daniels - 71865378 - ripnsfw.com.jpg</v>
      </c>
      <c r="C471" s="12" t="s">
        <v>8895</v>
      </c>
      <c r="D471" s="46">
        <f>New!P:P</f>
        <v>0</v>
      </c>
    </row>
    <row r="472" spans="1:4" ht="12.75">
      <c r="A472" s="45" t="str">
        <f ca="1">New!M:M</f>
        <v>{New} Dani Daniels https://lulustream.com/d/ubpyfc2pxdkq https://streamtape.com/v/Vo4OAyaRxbikPA/73207233 https://doodstream.com/d/3duw7yczunc4/73207233 (2026) #milf #bigtits #bigass #solo #RIPNSFW</v>
      </c>
      <c r="B472" s="12" t="str">
        <f>New!A:A</f>
        <v>Dani Daniels - 73207233 - Onlyfans.jpg</v>
      </c>
      <c r="C472" s="12" t="s">
        <v>8895</v>
      </c>
      <c r="D472" s="46">
        <f>New!P:P</f>
        <v>0</v>
      </c>
    </row>
    <row r="473" spans="1:4" ht="12.75">
      <c r="A473" s="45" t="str">
        <f ca="1">New!M:M</f>
        <v>{New} Dani Daniels https://lulustream.com/d/q5lb51rz45s1 https://streamtape.com/v/8z2a6jYq3RfoLAZ/73731266 https://doodstream.com/d/36f5w5f8mqho/73731266 (2026) #MILF #Bigass #Roleplay #Solo #RIPNSFW</v>
      </c>
      <c r="B473" s="12" t="str">
        <f>New!A:A</f>
        <v>Dani Daniels - 73731266 - ripnsfw.com.jpg</v>
      </c>
      <c r="C473" s="12" t="s">
        <v>8895</v>
      </c>
      <c r="D473" s="46">
        <f>New!P:P</f>
        <v>0</v>
      </c>
    </row>
    <row r="474" spans="1:4" ht="12.75">
      <c r="A474" s="45" t="str">
        <f ca="1">New!M:M</f>
        <v>{New} Dani Daniels https://streamtape.com/v/gY1J4Wov06cBqr/73971620 https://lulustream.com/d/t5w07bz3l7vs https://doodstream.com/d/ii0pq75wcew5/73971620 (2026) #MILF #BigTits #Bigass #Blowjob #RIPNSFW</v>
      </c>
      <c r="B474" s="12" t="str">
        <f>New!A:A</f>
        <v>Dani Daniels - 73971620 - Onlyfans.jpg</v>
      </c>
      <c r="C474" s="12" t="s">
        <v>8895</v>
      </c>
      <c r="D474" s="46">
        <f>New!P:P</f>
        <v>0</v>
      </c>
    </row>
    <row r="475" spans="1:4" ht="12.75">
      <c r="A475" s="45" t="str">
        <f ca="1">New!M:M</f>
        <v>{New} Dani Daniels https://doodstream.com/d/mqjm3f1f2tyf/75405909 https://streamtape.com/v/WZ7dPPqKydtbZ88/75405909 https://lulustream.com/d/00art7ufnlyg (2026) #milf #solo #bigass #bigtits #RIPNSFW</v>
      </c>
      <c r="B475" s="12" t="str">
        <f>New!A:A</f>
        <v>Dani Daniels - 75405909 - Onlyfans.jpg</v>
      </c>
      <c r="C475" s="12" t="s">
        <v>8895</v>
      </c>
      <c r="D475" s="46">
        <f>New!P:P</f>
        <v>0</v>
      </c>
    </row>
    <row r="476" spans="1:4" ht="12.75">
      <c r="A476" s="45" t="str">
        <f ca="1">New!M:M</f>
        <v>{New} Dani Daniels https://streamtape.com/v/6kaDWkx8WVI9zgv/77462867 https://doodstream.com/d/g0rtv37xr7b2/77462867 https://lulustream.com/d/nz8zg27p7cuo (2026) #MILF #BigTits #Bigass #Solo #RIPNSFW</v>
      </c>
      <c r="B476" s="12" t="str">
        <f>New!A:A</f>
        <v>Dani Daniels - 77462867 - ripnsfw.com.jpg</v>
      </c>
      <c r="C476" s="12" t="s">
        <v>8895</v>
      </c>
      <c r="D476" s="46">
        <f>New!P:P</f>
        <v>0</v>
      </c>
    </row>
    <row r="477" spans="1:4" ht="12.75">
      <c r="A477" s="45" t="str">
        <f ca="1">New!M:M</f>
        <v>{New} Dani Daniels https://lulustream.com/d/4wuc9ivc1lcl https://streamtape.com/v/ja4vKopvGRizK7a/77851374 https://doodstream.com/d/h3wlyp7vkex0/77851374 (2026) #MILF #BigTits #Bigass #Roleplay #RIPNSFW</v>
      </c>
      <c r="B477" s="12" t="str">
        <f>New!A:A</f>
        <v>Dani Daniels - 77851374 - ripnsfw.com.jpg</v>
      </c>
      <c r="C477" s="12" t="s">
        <v>8895</v>
      </c>
      <c r="D477" s="46">
        <f>New!P:P</f>
        <v>0</v>
      </c>
    </row>
    <row r="478" spans="1:4" ht="12.75">
      <c r="A478" s="45" t="str">
        <f ca="1">New!M:M</f>
        <v>{New} Dani Daniels https://lulustream.com/d/hec1uic9duzv https://doodstream.com/d/67sktvkei3vi/78535438 https://streamtape.com/v/0RQZxw0BMycbGbj/78535438 (2026) #MILF #BigTits #Bigass #Blowjob #Solo #RIPNSFW</v>
      </c>
      <c r="B478" s="12" t="str">
        <f>New!A:A</f>
        <v>Dani Daniels - 78535438 - ripnsfw.com.jpg</v>
      </c>
      <c r="C478" s="12" t="s">
        <v>8895</v>
      </c>
      <c r="D478" s="46">
        <f>New!P:P</f>
        <v>0</v>
      </c>
    </row>
    <row r="479" spans="1:4" ht="12.75">
      <c r="A479" s="45" t="str">
        <f ca="1">New!M:M</f>
        <v>{New} Dani Daniels https://lulustream.com/d/8aqbq4pybibh https://doodstream.com/d/rr9m6odch1l5/79153926 https://streamtape.com/v/ZJLl1aV26BsqWx0/79153926 (2026) #MILF #BigTits #Bigass #Blowjob #Amateur #RIPNSFW</v>
      </c>
      <c r="B479" s="12" t="str">
        <f>New!A:A</f>
        <v>Dani Daniels - 79153926 - ripnsfw.com.jpg</v>
      </c>
      <c r="C479" s="12" t="s">
        <v>8895</v>
      </c>
      <c r="D479" s="46">
        <f>New!P:P</f>
        <v>0</v>
      </c>
    </row>
    <row r="480" spans="1:4" ht="12.75">
      <c r="A480" s="45" t="str">
        <f ca="1">New!M:M</f>
        <v>{New} Dani Daniels https://lulustream.com/d/2c9dccb3d849 https://doodstream.com/d/su3ktmp7ox00/80036291 https://streamtape.com/v/YLo08o3lqMcvbja/80036291 (2026) #milf #bigtits #bigass #solo #RIPNSFW</v>
      </c>
      <c r="B480" s="12" t="str">
        <f>New!A:A</f>
        <v>Dani Daniels - 80036291 - Onlyfans.jpg</v>
      </c>
      <c r="C480" s="12" t="s">
        <v>8895</v>
      </c>
      <c r="D480" s="46">
        <f>New!P:P</f>
        <v>0</v>
      </c>
    </row>
    <row r="481" spans="1:4" ht="12.75">
      <c r="A481" s="45" t="str">
        <f ca="1">New!M:M</f>
        <v>{New} Dani Daniels https://lulustream.com/d/x06qkv28hhwf https://streamtape.com/v/3dP0r3xwx6fdVqb/81731075 https://doodstream.com/d/ibrnyhgurqu8/81731075 (2026) #MILF #BigTits #Bigass #Blowjob #RIPNSFW</v>
      </c>
      <c r="B481" s="12" t="str">
        <f>New!A:A</f>
        <v>Dani Daniels - 81731075 - Onlyfans.jpg</v>
      </c>
      <c r="C481" s="12" t="s">
        <v>8895</v>
      </c>
      <c r="D481" s="46">
        <f>New!P:P</f>
        <v>0</v>
      </c>
    </row>
    <row r="482" spans="1:4" ht="12.75">
      <c r="A482" s="45" t="str">
        <f ca="1">New!M:M</f>
        <v>{New} Dani Daniels https://streamtape.com/v/1A47ZaP7ydteepJ/82404264 https://lulustream.com/d/cg08vl3zx9lz https://doodstream.com/d/xh444pbric9p/82404264 (2026) #milf #bigtits #bigass #creampie #RIPNSFW</v>
      </c>
      <c r="B482" s="12" t="str">
        <f>New!A:A</f>
        <v>Dani Daniels - 82404264 - Onlyfans.jpg</v>
      </c>
      <c r="C482" s="12" t="s">
        <v>8895</v>
      </c>
      <c r="D482" s="46">
        <f>New!P:P</f>
        <v>0</v>
      </c>
    </row>
    <row r="483" spans="1:4" ht="12.75">
      <c r="A483" s="45" t="str">
        <f ca="1">New!M:M</f>
        <v>{New} Dani Daniels https://doodstream.com/d/brfvlq3a849f/84456951 https://streamtape.com/v/Ald2rGdP4mTXY2o/84456951 https://lulustream.com/d/vo19vjfr5m55 (2026) #milf #bigtits #hardcore #bigass #RIPNSFW</v>
      </c>
      <c r="B483" s="12" t="str">
        <f>New!A:A</f>
        <v>Dani Daniels - 84456951 - Onlyfans.jpg</v>
      </c>
      <c r="C483" s="12" t="s">
        <v>8895</v>
      </c>
      <c r="D483" s="46">
        <f>New!P:P</f>
        <v>0</v>
      </c>
    </row>
    <row r="484" spans="1:4" ht="12.75">
      <c r="A484" s="45" t="str">
        <f ca="1">New!M:M</f>
        <v>{New} Dani Daniels https://doodstream.com/d/xte0eo0v1ykg/86477252 https://streamtape.com/v/wxrQOvl0g2iJ3wk/86477252 https://lulustream.com/d/ltnj59i4ntbd (2026) #MILF #BigTits #Hardcore #Bigass #Blowjob #RIPNSFW</v>
      </c>
      <c r="B484" s="12" t="str">
        <f>New!A:A</f>
        <v>Dani Daniels - 86477252 - ripnsfw.com.jpg</v>
      </c>
      <c r="C484" s="12" t="s">
        <v>8895</v>
      </c>
      <c r="D484" s="46">
        <f>New!P:P</f>
        <v>0</v>
      </c>
    </row>
    <row r="485" spans="1:4" ht="12.75">
      <c r="A485" s="45" t="str">
        <f ca="1">New!M:M</f>
        <v>{New} Dani Daniels https://lulustream.com/d/7e05wi4iu9o3 https://streamtape.com/v/B4kePl6Q3zIrWm/87454355 https://doodstream.com/d/lbgut81mo04j/87454355 (2026) #MILF #BigTits #Creampie #Hardcore #Bigass #Blowjob #Amateur #RIPNSFW</v>
      </c>
      <c r="B485" s="12" t="str">
        <f>New!A:A</f>
        <v>Dani Daniels - 87454355 - ripnsfw.com.jpg</v>
      </c>
      <c r="C485" s="12" t="s">
        <v>8895</v>
      </c>
      <c r="D485" s="46">
        <f>New!P:P</f>
        <v>0</v>
      </c>
    </row>
    <row r="486" spans="1:4" ht="12.75">
      <c r="A486" s="45" t="str">
        <f ca="1">New!M:M</f>
        <v>{New} Dani Daniels https://streamtape.com/v/9pbR9XomK6tyVq/87513728 https://doodstream.com/d/eboor2ylswx2/87513728 https://lulustream.com/d/p6y3jo4j9d8n (2026) #MILF #BigTits #Bigass #Blowjob #RIPNSFW</v>
      </c>
      <c r="B486" s="12" t="str">
        <f>New!A:A</f>
        <v>Dani Daniels - 87513728 - Onlyfans.jpg</v>
      </c>
      <c r="C486" s="12" t="s">
        <v>8895</v>
      </c>
      <c r="D486" s="46">
        <f>New!P:P</f>
        <v>0</v>
      </c>
    </row>
    <row r="487" spans="1:4" ht="12.75">
      <c r="A487" s="45" t="str">
        <f ca="1">New!M:M</f>
        <v>{New} Dani Daniels https://streamtape.com/v/gj1jVO91kXiq0Rw/89355838 https://doodstream.com/d/afrrnj9cjxq7/89355838 https://lulustream.com/d/kxhc39nrfwf5 (2026) #bigass #blowjob #milf #pov #RIPNSFW</v>
      </c>
      <c r="B487" s="12" t="str">
        <f>New!A:A</f>
        <v>Dani Daniels - 89355838 - Onlyfans.jpg</v>
      </c>
      <c r="C487" s="12" t="s">
        <v>8895</v>
      </c>
      <c r="D487" s="46">
        <f>New!P:P</f>
        <v>0</v>
      </c>
    </row>
    <row r="488" spans="1:4" ht="12.75">
      <c r="A488" s="45" t="str">
        <f ca="1">New!M:M</f>
        <v>{New} Dani Daniels https://streamtape.com/v/O1648eM0WRCZbK6/89403394 https://lulustream.com/d/mak9ntf4ojgs https://doodstream.com/d/vv0xs7nd9otb/89403394 (2026) #MILF #BigTits #Bigass #Solo #RIPNSFW</v>
      </c>
      <c r="B488" s="12" t="str">
        <f>New!A:A</f>
        <v>Dani Daniels - 89403394 - ripnsfw.com.jpg</v>
      </c>
      <c r="C488" s="12" t="s">
        <v>8895</v>
      </c>
      <c r="D488" s="46">
        <f>New!P:P</f>
        <v>0</v>
      </c>
    </row>
    <row r="489" spans="1:4" ht="12.75">
      <c r="A489" s="45" t="str">
        <f ca="1">New!M:M</f>
        <v>{New} Dani Daniels https://doodstream.com/d/fxq6akmx36gp/90021854 https://lulustream.com/d/u182c2pfblhb https://streamtape.com/v/KAdBvY7GD1h0ReQ/90021854 (2026) #MILF #BigTits #Bigass #Blowjob #Amateur #Facial #RIPNSFW</v>
      </c>
      <c r="B489" s="12" t="str">
        <f>New!A:A</f>
        <v>Dani Daniels - 90021854 - ripnsfw.com.jpg</v>
      </c>
      <c r="C489" s="12" t="s">
        <v>8895</v>
      </c>
      <c r="D489" s="46">
        <f>New!P:P</f>
        <v>0</v>
      </c>
    </row>
    <row r="490" spans="1:4" ht="12.75">
      <c r="A490" s="45" t="str">
        <f ca="1">New!M:M</f>
        <v>{New} Dani Daniels https://doodstream.com/d/bn2kcdut1c19/90128248 https://streamtape.com/v/49YzvL4e6QtKYoj/90128248 https://lulustream.com/d/i35rocmguunv (2026) #milf #bigtits #bigass #blowjob #RIPNSFW</v>
      </c>
      <c r="B490" s="12" t="str">
        <f>New!A:A</f>
        <v>Dani Daniels - 90128248 - Onlyfans.jpg</v>
      </c>
      <c r="C490" s="12" t="s">
        <v>8895</v>
      </c>
      <c r="D490" s="46">
        <f>New!P:P</f>
        <v>0</v>
      </c>
    </row>
    <row r="491" spans="1:4" ht="12.75">
      <c r="A491" s="45" t="str">
        <f ca="1">New!M:M</f>
        <v>{New} Dani Daniels https://doodstream.com/d/viwbqh5bjbqi/90416090 https://streamtape.com/v/G6D30M0OK4s1KX3/90416090 https://lulustream.com/d/dx0t07sdb2w4 (2026) #milf #bigass #blowjob #amateur #RIPNSFW</v>
      </c>
      <c r="B491" s="12" t="str">
        <f>New!A:A</f>
        <v>Dani Daniels - 90416090 - Onlyfans.jpg</v>
      </c>
      <c r="C491" s="12" t="s">
        <v>8895</v>
      </c>
      <c r="D491" s="46">
        <f>New!P:P</f>
        <v>0</v>
      </c>
    </row>
    <row r="492" spans="1:4" ht="12.75">
      <c r="A492" s="45" t="str">
        <f ca="1">New!M:M</f>
        <v>{New} Dani Daniels https://lulustream.com/d/xwnlu2939bg1 https://streamtape.com/v/OVeJ89ZLzrsZVdo/91909436 https://doodstream.com/d/mnntjmxbnicj/91909436 (2026) #milf #bigtits #blowjob #roleplay #RIPNSFW</v>
      </c>
      <c r="B492" s="12" t="str">
        <f>New!A:A</f>
        <v>Dani Daniels - 91909436 - Onlyfans.jpg</v>
      </c>
      <c r="C492" s="12" t="s">
        <v>8895</v>
      </c>
      <c r="D492" s="46">
        <f>New!P:P</f>
        <v>0</v>
      </c>
    </row>
    <row r="493" spans="1:4" ht="12.75">
      <c r="A493" s="45" t="str">
        <f ca="1">New!M:M</f>
        <v>{New} Dani Daniels https://lulustream.com/d/sumj67ray696 https://streamtape.com/v/dgGPXOKJdrckOJk/92237642 https://doodstream.com/d/drs6co266myl/92237642 (2026) #MILF #BigTits #Bigass #Roleplay #RIPNSFW</v>
      </c>
      <c r="B493" s="12" t="str">
        <f>New!A:A</f>
        <v>Dani Daniels - 92237642 - ripnsfw.com.jpg</v>
      </c>
      <c r="C493" s="12" t="s">
        <v>8895</v>
      </c>
      <c r="D493" s="46">
        <f>New!P:P</f>
        <v>0</v>
      </c>
    </row>
    <row r="494" spans="1:4" ht="12.75">
      <c r="A494" s="45" t="str">
        <f ca="1">New!M:M</f>
        <v>{New} Dani Daniels https://lulustream.com/d/360yt3xdy9lb https://doodstream.com/d/ow06563fk7c7/93689739 https://streamtape.com/v/Vk4MGk894eTKmrq/93689739 (2026) #MILF #BigTits #Bigass #Blowjob #RIPNSFW</v>
      </c>
      <c r="B494" s="12" t="str">
        <f>New!A:A</f>
        <v>Dani Daniels - 93689739 -  Onlyfans.jpg</v>
      </c>
      <c r="C494" s="12" t="s">
        <v>8895</v>
      </c>
      <c r="D494" s="46">
        <f>New!P:P</f>
        <v>0</v>
      </c>
    </row>
    <row r="495" spans="1:4" ht="12.75">
      <c r="A495" s="45" t="str">
        <f ca="1">New!M:M</f>
        <v>{New} Dani Daniels https://streamtape.com/v/PZQVyL0zjjfRaz/94374755 https://doodstream.com/d/f6r20uar7rlf/94374755 https://lulustream.com/d/tj780h8xu7nx (2026) #MILF #BigTits #Bigass #Roleplay #Squirt #Solo #RIPNSFW</v>
      </c>
      <c r="B495" s="12" t="str">
        <f>New!A:A</f>
        <v>Dani Daniels - 94374755 - ripnsfw.com.jpg</v>
      </c>
      <c r="C495" s="12" t="s">
        <v>8895</v>
      </c>
      <c r="D495" s="46">
        <f>New!P:P</f>
        <v>0</v>
      </c>
    </row>
    <row r="496" spans="1:4" ht="12.75">
      <c r="A496" s="45" t="str">
        <f ca="1">New!M:M</f>
        <v>{New} Dani Daniels https://doodstream.com/d/ki7ey4giaqmh/95592521 https://streamtape.com/v/Woa7JQ0Pjbcpa1/95592521 https://lulustream.com/d/tjtexl7icoyc (2026) #MILF #BigTits #Hardcore #Bigass #RIPNSFW</v>
      </c>
      <c r="B496" s="12" t="str">
        <f>New!A:A</f>
        <v>Dani Daniels - 95592521 - Onlyfans.jpg</v>
      </c>
      <c r="C496" s="12" t="s">
        <v>8895</v>
      </c>
      <c r="D496" s="46">
        <f>New!P:P</f>
        <v>0</v>
      </c>
    </row>
    <row r="497" spans="1:4" ht="12.75">
      <c r="A497" s="45" t="str">
        <f ca="1">New!M:M</f>
        <v>{New} Dani Daniels https://lulustream.com/d/cqyoofvatlft https://doodstream.com/d/2suc1wxhv3ly/95662151 https://streamtape.com/v/DPAD3r87xYFkgv3/95662151 (2026) #milf #bigtits #blowjob #bigass #RIPNSFW</v>
      </c>
      <c r="B497" s="12" t="str">
        <f>New!A:A</f>
        <v>Dani Daniels - 95662151 - Onlyfans.jpg</v>
      </c>
      <c r="C497" s="12" t="s">
        <v>8895</v>
      </c>
      <c r="D497" s="46">
        <f>New!P:P</f>
        <v>0</v>
      </c>
    </row>
    <row r="498" spans="1:4" ht="12.75">
      <c r="A498" s="45" t="str">
        <f ca="1">New!M:M</f>
        <v>{New} Dani Daniels https://doodstream.com/d/ajfdmtk5go1q/95688512 https://lulustream.com/d/0t5g58mqckhw https://streamtape.com/v/8wpZxgDDZXuJ4g/95688512 (2026) #milf #bigtits #bigass #solo #RIPNSFW</v>
      </c>
      <c r="B498" s="12" t="str">
        <f>New!A:A</f>
        <v>Dani Daniels - 95688512 - Onlyfans.jpg</v>
      </c>
      <c r="C498" s="12" t="s">
        <v>8895</v>
      </c>
      <c r="D498" s="46">
        <f>New!P:P</f>
        <v>0</v>
      </c>
    </row>
    <row r="499" spans="1:4" ht="12.75">
      <c r="A499" s="45" t="str">
        <f ca="1">New!M:M</f>
        <v>{New} Dani Daniels https://streamtape.com/v/wZ7e49y6M7hJX9A/96155439 https://doodstream.com/d/q8jqcirivivl/96155439 https://lulustream.com/d/tkyiqd7pau1o (2026) #milf #bigtits #bigass #solo #RIPNSFW</v>
      </c>
      <c r="B499" s="12" t="str">
        <f>New!A:A</f>
        <v>Dani Daniels - 96155439 - Onlyfans.jpg</v>
      </c>
      <c r="C499" s="12" t="s">
        <v>8895</v>
      </c>
      <c r="D499" s="46">
        <f>New!P:P</f>
        <v>0</v>
      </c>
    </row>
    <row r="500" spans="1:4" ht="12.75">
      <c r="A500" s="45" t="str">
        <f ca="1">New!M:M</f>
        <v>{New} Dani Daniels https://doodstream.com/d/5pyhvalp7kb2/96494907 https://lulustream.com/d/b1zvsdxxcsag https://streamtape.com/v/rkjeD2MLarhbw4x/96494907 (2026) #milf #bigtits #bigass #creampie #RIPNSFW</v>
      </c>
      <c r="B500" s="12" t="str">
        <f>New!A:A</f>
        <v>Dani Daniels - 96494907 - Onlyfans.jpg</v>
      </c>
      <c r="C500" s="12" t="s">
        <v>8895</v>
      </c>
      <c r="D500" s="46">
        <f>New!P:P</f>
        <v>0</v>
      </c>
    </row>
    <row r="501" spans="1:4" ht="12.75">
      <c r="A501" s="45" t="str">
        <f ca="1">New!M:M</f>
        <v>{New} Dani Daniels https://doodstream.com/d/pwlyw8fyk5t0/97058650 https://lulustream.com/d/vro4ll7zp94s https://streamtape.com/v/W16VJ46AxMIbVZq/97058650 (2026) #milf #bigtits #solo #bigass #RIPNSFW</v>
      </c>
      <c r="B501" s="12" t="str">
        <f>New!A:A</f>
        <v>Dani Daniels - 97058650 - Onlyfans.jpg</v>
      </c>
      <c r="C501" s="12" t="s">
        <v>8895</v>
      </c>
      <c r="D501" s="46">
        <f>New!P:P</f>
        <v>0</v>
      </c>
    </row>
    <row r="502" spans="1:4" ht="12.75">
      <c r="A502" s="45" t="str">
        <f ca="1">New!M:M</f>
        <v>{New} Dani Daniels https://doodstream.com/d/uys9zf9k9k7g/97485031 https://streamtape.com/v/zx8xR36DOMspJ3/97485031 https://lulustream.com/d/6y6chaxke6tr (2026) #milf #bigtits #bigass #blowjob #RIPNSFW</v>
      </c>
      <c r="B502" s="12" t="str">
        <f>New!A:A</f>
        <v>Dani Daniels - 97485031 - Onlyfans.jpg</v>
      </c>
      <c r="C502" s="12" t="s">
        <v>8895</v>
      </c>
      <c r="D502" s="46">
        <f>New!P:P</f>
        <v>0</v>
      </c>
    </row>
    <row r="503" spans="1:4" ht="12.75">
      <c r="A503" s="45" t="str">
        <f ca="1">New!M:M</f>
        <v>{New} Dani Daniels https://doodstream.com/d/z9ri62oz8kh5/98334702 https://streamtape.com/v/9pYY7BzrZjFaMM1/98334702 https://lulustream.com/d/uc58fqqzccup (2026) #milf #blowjob #bigtits #pov #RIPNSFW</v>
      </c>
      <c r="B503" s="12" t="str">
        <f>New!A:A</f>
        <v>Dani Daniels - 98334702 - Onlyfans.jpg</v>
      </c>
      <c r="C503" s="12" t="s">
        <v>8895</v>
      </c>
      <c r="D503" s="46">
        <f>New!P:P</f>
        <v>0</v>
      </c>
    </row>
    <row r="504" spans="1:4" ht="12.75">
      <c r="A504" s="45" t="str">
        <f ca="1">New!M:M</f>
        <v>{New} Dani Daniels https://doodstream.com/d/20gk6gnkna5z/98881443 https://streamtape.com/v/B7expjPD2QtyyJD/98881443 https://lulustream.com/d/23wqy9n3ayuj (2026) #MILF #BigTits #Bigass #Stepmom #Blowjob #RIPNSFW</v>
      </c>
      <c r="B504" s="12" t="str">
        <f>New!A:A</f>
        <v>Dani Daniels - 98881443 - Onlyfans.jpg</v>
      </c>
      <c r="C504" s="12" t="s">
        <v>8895</v>
      </c>
      <c r="D504" s="46">
        <f>New!P:P</f>
        <v>0</v>
      </c>
    </row>
    <row r="505" spans="1:4" ht="12.75">
      <c r="A505" s="45" t="str">
        <f ca="1">New!M:M</f>
        <v>{New} Dani Daniels https://streamtape.com/v/4BxK1vDbVOiKYwl/99392329 https://lulustream.com/d/40d6s4x26rlg https://doodstream.com/d/zg9wawuv0w7r/99392329 (2026) #milf #bigtits #solo #bigass #RIPNSFW</v>
      </c>
      <c r="B505" s="12" t="str">
        <f>New!A:A</f>
        <v>Dani Daniels - 99392329 - Onlyfans.jpg</v>
      </c>
      <c r="C505" s="12" t="s">
        <v>8895</v>
      </c>
      <c r="D505" s="46">
        <f>New!P:P</f>
        <v>0</v>
      </c>
    </row>
    <row r="506" spans="1:4" ht="12.75">
      <c r="A506" s="45" t="str">
        <f ca="1">New!M:M</f>
        <v>{New} Danielle Renae https://streamtape.com/v/VyOe6YmjlLIKD1L/20920082 https://lulustream.com/d/j0bfmbcprs0x https://doodstream.com/d/ulgzi3iiwsw7/20920082 Lena The Plug (2026) #MILF #BigTits #Hardcore #Threesome #Bigass #RIPNSFW</v>
      </c>
      <c r="B506" s="12" t="str">
        <f>New!A:A</f>
        <v>Danielle Renae - 20920082 - ripnsfw.com - Lena The Plug.jpg</v>
      </c>
      <c r="C506" s="12" t="s">
        <v>8895</v>
      </c>
      <c r="D506" s="46">
        <f>New!P:P</f>
        <v>0</v>
      </c>
    </row>
    <row r="507" spans="1:4" ht="12.75">
      <c r="A507" s="45" t="str">
        <f ca="1">New!M:M</f>
        <v>{New} Delilah Raige https://lulustream.com/d/88rk4ati2m22 https://doodstream.com/d/8jqgfsgjugyd/77795488 https://streamtape.com/v/2De0629lZ3uZ8Wz/77795488 Lena the plug (2026) #MILF #BigTits #Hardcore #Threesome #Bigass #Blowjob #Amateur #Hotwife #Facial #RIPNSFW</v>
      </c>
      <c r="B507" s="12" t="str">
        <f>New!A:A</f>
        <v>Delilah Raige - 77795488 - ripnsfw.com - Lena the plug.jpg</v>
      </c>
      <c r="C507" s="12" t="s">
        <v>8895</v>
      </c>
      <c r="D507" s="46">
        <f>New!P:P</f>
        <v>0</v>
      </c>
    </row>
    <row r="508" spans="1:4" ht="12.75">
      <c r="A508" s="45" t="str">
        <f ca="1">New!M:M</f>
        <v>{New} Devil Khloe https://lulustream.com/d/b5el2rirq6sg https://streamtape.com/v/6RzWel7AMQt9GPa/31706903 https://doodstream.com/d/m5n5wdu1xv94/31706903 (2026) #MILF #BigTits #Hardcore #Bigass #Blowjob #Amateur #RIPNSFW</v>
      </c>
      <c r="B508" s="12" t="str">
        <f>New!A:A</f>
        <v>Devil Khloe - 31706903 - ripnsfw.com.jpg</v>
      </c>
      <c r="C508" s="12" t="s">
        <v>8895</v>
      </c>
      <c r="D508" s="46">
        <f>New!P:P</f>
        <v>0</v>
      </c>
    </row>
    <row r="509" spans="1:4" ht="12.75">
      <c r="A509" s="45" t="str">
        <f ca="1">New!M:M</f>
        <v>{New} Diamond Franco https://streamtape.com/v/OdwJK80GWQCek7/16454260 https://doodstream.com/d/qi6zcsbps9rk/16454260 https://lulustream.com/d/o1jiv959kjfm Amiee Cambridge (2026) #teen #porn #bigass #blowjob #RIPNSFW</v>
      </c>
      <c r="B509" s="12" t="str">
        <f>New!A:A</f>
        <v>Diamond Franco - 16454260 - FS - Amiee Cambridge.jpg</v>
      </c>
      <c r="C509" s="12" t="s">
        <v>8895</v>
      </c>
      <c r="D509" s="46">
        <f>New!P:P</f>
        <v>0</v>
      </c>
    </row>
    <row r="510" spans="1:4" ht="12.75">
      <c r="A510" s="45" t="str">
        <f ca="1">New!M:M</f>
        <v>{New} Diamond Franco https://streamtape.com/v/kk6eja2oLpuO4AQ/39439069 https://doodstream.com/d/yimgcebpc6we/39439069 https://lulustream.com/d/8fzq6iui4tax (2026) #BigTits #Hardcore #Bigass #Teen #Blowjob #Amateur #RIPNSFW</v>
      </c>
      <c r="B510" s="12" t="str">
        <f>New!A:A</f>
        <v>Diamond Franco - 39439069 - ripnsfw.com.jpg</v>
      </c>
      <c r="C510" s="12" t="s">
        <v>8895</v>
      </c>
      <c r="D510" s="46">
        <f>New!P:P</f>
        <v>0</v>
      </c>
    </row>
    <row r="511" spans="1:4" ht="12.75">
      <c r="A511" s="45" t="str">
        <f ca="1">New!M:M</f>
        <v>{New} Diamond Franco https://streamtape.com/v/Xqgr6pydYdtZ8O/42383378 https://lulustream.com/d/ylib1ij98di9 https://doodstream.com/d/uvgafi7tpdb3/42383378 (2026) #teen #brunette #blowjob #creampie #RIPNSFW</v>
      </c>
      <c r="B511" s="12" t="str">
        <f>New!A:A</f>
        <v>Diamond Franco - 42383378 - Onlyfans.jpg</v>
      </c>
      <c r="C511" s="12" t="s">
        <v>8895</v>
      </c>
      <c r="D511" s="46">
        <f>New!P:P</f>
        <v>0</v>
      </c>
    </row>
    <row r="512" spans="1:4" ht="12.75">
      <c r="A512" s="45" t="str">
        <f ca="1">New!M:M</f>
        <v>Diamond Franco https://streamtape.com/v/KewJ9PDwPYc0xex/59378949 https://lulustream.com/d/f35ikzq5o34q https://doodstream.com/d/2ek0m2zmajfl/59378949 #threesome #bigtits #blowjob #bigass #RIPNSFW</v>
      </c>
      <c r="B512" s="12" t="str">
        <f>New!A:A</f>
        <v>Diamond Franco - 59378949 - Onlyfans.jpg</v>
      </c>
      <c r="C512" s="12" t="s">
        <v>8895</v>
      </c>
      <c r="D512" s="46">
        <f>New!P:P</f>
        <v>0</v>
      </c>
    </row>
    <row r="513" spans="1:4" ht="12.75">
      <c r="A513" s="45" t="str">
        <f ca="1">New!M:M</f>
        <v>{New} Diamond Franco https://lulustream.com/d/y44owpwv9ogy https://streamtape.com/v/vzDrz41bOLf41j3/68883516 https://doodstream.com/d/zt62bnx2nmi8/68883516 (2026) #bigtits #hardcore #porn #teen #RIPNSFW</v>
      </c>
      <c r="B513" s="12" t="str">
        <f>New!A:A</f>
        <v>Diamond Franco - 68883516 - MPF.jpg</v>
      </c>
      <c r="C513" s="12" t="s">
        <v>8895</v>
      </c>
      <c r="D513" s="46">
        <f>New!P:P</f>
        <v>0</v>
      </c>
    </row>
    <row r="514" spans="1:4" ht="12.75">
      <c r="A514" s="45" t="str">
        <f ca="1">New!M:M</f>
        <v>{New} Diamond Franco https://streamtape.com/v/kg1le0a4JKCOVOZ/75076645 https://lulustream.com/d/ajtfeutzrewg https://doodstream.com/d/gircumaplo1t/75076645 (2026) #teen #blowjob #amateur #brunette #RIPNSFW</v>
      </c>
      <c r="B514" s="12" t="str">
        <f>New!A:A</f>
        <v>Diamond Franco - 75076645 - Onlyfans.jpg</v>
      </c>
      <c r="C514" s="12" t="s">
        <v>8895</v>
      </c>
      <c r="D514" s="46">
        <f>New!P:P</f>
        <v>0</v>
      </c>
    </row>
    <row r="515" spans="1:4" ht="12.75">
      <c r="A515" s="45" t="str">
        <f ca="1">New!M:M</f>
        <v>{New} Diamond Franco https://doodstream.com/d/udg0tqdlb96s/78123221 https://streamtape.com/v/1WgwWwdj1BUxL6/78123221 https://lulustream.com/d/y4j2hpwror0a Lena the plug (2026) #milf #blowjob #hardcore #bigass #RIPNSFW</v>
      </c>
      <c r="B515" s="12" t="str">
        <f>New!A:A</f>
        <v>Diamond Franco - 78123221 - Onlyfans - Lena the plug.jpg</v>
      </c>
      <c r="C515" s="12" t="s">
        <v>8895</v>
      </c>
      <c r="D515" s="46">
        <f>New!P:P</f>
        <v>0</v>
      </c>
    </row>
    <row r="516" spans="1:4" ht="12.75">
      <c r="A516" s="45" t="str">
        <f ca="1">New!M:M</f>
        <v>Diamond Franco https://doodstream.com/d/3exae52tg3j9/83210407 https://streamtape.com/v/RALpW4zzAoIdy0p/83210407 https://lulustream.com/d/yw3xbw0n7mf4 #teen #brunette #blowjob #bigass #RIPNSFW</v>
      </c>
      <c r="B516" s="12" t="str">
        <f>New!A:A</f>
        <v>Diamond Franco - 83210407 - Onlyfans.jpg</v>
      </c>
      <c r="C516" s="12" t="s">
        <v>8895</v>
      </c>
      <c r="D516" s="46">
        <f>New!P:P</f>
        <v>0</v>
      </c>
    </row>
    <row r="517" spans="1:4" ht="12.75">
      <c r="A517" s="45" t="str">
        <f ca="1">New!M:M</f>
        <v>{New} Elle Brooke https://doodstream.com/d/n5zrcve4pkg7/20581581 https://streamtape.com/v/Mk3QQdboGmHBQD/20581581 https://lulustream.com/d/v5730r4pi9dy (2026) #Anal #BigTits #Hardcore #Bigass #RIPNSFW</v>
      </c>
      <c r="B517" s="12" t="str">
        <f>New!A:A</f>
        <v>Elle Brooke - 20581581 - Onlyfans.jpg</v>
      </c>
      <c r="C517" s="12" t="s">
        <v>8895</v>
      </c>
      <c r="D517" s="46">
        <f>New!P:P</f>
        <v>0</v>
      </c>
    </row>
    <row r="518" spans="1:4" ht="12.75">
      <c r="A518" s="45" t="str">
        <f ca="1">New!M:M</f>
        <v>{New} Elle Brooke https://doodstream.com/d/2iftivze2yxg/25581299 https://streamtape.com/v/O1ymAv4RMWHkkR/25581299 https://lulustream.com/d/kefo0rgvwq0j (2026) #MILF #BigTits #Hardcore #Anal #RIPNSFW</v>
      </c>
      <c r="B518" s="12" t="str">
        <f>New!A:A</f>
        <v>Elle Brooke - 25581299 - Onlyfans.jpg</v>
      </c>
      <c r="C518" s="12" t="s">
        <v>8895</v>
      </c>
      <c r="D518" s="46">
        <f>New!P:P</f>
        <v>0</v>
      </c>
    </row>
    <row r="519" spans="1:4" ht="12.75">
      <c r="A519" s="45" t="str">
        <f ca="1">New!M:M</f>
        <v>{New} Elle Brooke https://lulustream.com/d/v5rijmki53ez https://streamtape.com/v/8BvzqzO6vLcMMr/28992312 https://doodstream.com/d/qeesxjzisw5r/28992312 (2026) #BigTits #Creampie #Hardcore #Black #Interracial #RIPNSFW</v>
      </c>
      <c r="B519" s="12" t="str">
        <f>New!A:A</f>
        <v>Elle Brooke - 28992312 - ripnsfw.com.jpg</v>
      </c>
      <c r="C519" s="12" t="s">
        <v>8895</v>
      </c>
      <c r="D519" s="46">
        <f>New!P:P</f>
        <v>0</v>
      </c>
    </row>
    <row r="520" spans="1:4" ht="12.75">
      <c r="A520" s="45" t="str">
        <f ca="1">New!M:M</f>
        <v>Elle Brooke https://lulustream.com/d/iyl8osibj0pn https://doodstream.com/d/xzynffzgi4s6/36398354 https://streamtape.com/v/g0J13LwqqOtqprv/36398354 #blonde #bigtits #creampie #doggystyle #RIPNSFW</v>
      </c>
      <c r="B520" s="12" t="str">
        <f>New!A:A</f>
        <v>Elle Brooke - 36398354 - Onlyfans.jpg</v>
      </c>
      <c r="C520" s="12" t="s">
        <v>8895</v>
      </c>
      <c r="D520" s="46">
        <f>New!P:P</f>
        <v>0</v>
      </c>
    </row>
    <row r="521" spans="1:4" ht="12.75">
      <c r="A521" s="45" t="str">
        <f ca="1">New!M:M</f>
        <v>{New} Elle Brooke https://streamtape.com/v/yj6P1ppwQmh1R3B/44998593 https://lulustream.com/d/h4dufhrge5fd https://doodstream.com/d/erzqumcg85h7/44998593 (2026) #MILF #Hardcore #Threesome #Blowjob #RIPNSFW</v>
      </c>
      <c r="B521" s="12" t="str">
        <f>New!A:A</f>
        <v>Elle Brooke - 44998593 - Onlyfans.jpg</v>
      </c>
      <c r="C521" s="12" t="s">
        <v>8895</v>
      </c>
      <c r="D521" s="46">
        <f>New!P:P</f>
        <v>0</v>
      </c>
    </row>
    <row r="522" spans="1:4" ht="12.75">
      <c r="A522" s="45" t="str">
        <f ca="1">New!M:M</f>
        <v>{New} Elle Brooke https://lulustream.com/d/cy07egzl424a https://streamtape.com/v/RqamLxdyjwu7x1/46261359 https://doodstream.com/d/bl9dne73xpnf/46261359 (2026) #Anal #MILF #Hardcore #Bigass #RIPNSFW</v>
      </c>
      <c r="B522" s="12" t="str">
        <f>New!A:A</f>
        <v>Elle Brooke - 46261359 - ripnsfw.com.jpg</v>
      </c>
      <c r="C522" s="12" t="s">
        <v>8895</v>
      </c>
      <c r="D522" s="46">
        <f>New!P:P</f>
        <v>0</v>
      </c>
    </row>
    <row r="523" spans="1:4" ht="12.75">
      <c r="A523" s="45" t="str">
        <f ca="1">New!M:M</f>
        <v>{New} Elle Brooke https://doodstream.com/d/7ju58i4hys5t/46761279 https://lulustream.com/d/u07lsdqfr8eq https://streamtape.com/v/4Awe04dDOmFK4Mo/46761279 (2026) #MILF #BigTits #Hardcore #Black #Interracial #Bigass #Blowjob #Amateur #Hotwife #RIPNSFW</v>
      </c>
      <c r="B523" s="12" t="str">
        <f>New!A:A</f>
        <v>Elle Brooke - 46761279 - Onlyfans.jpg</v>
      </c>
      <c r="C523" s="12" t="s">
        <v>8895</v>
      </c>
      <c r="D523" s="46">
        <f>New!P:P</f>
        <v>0</v>
      </c>
    </row>
    <row r="524" spans="1:4" ht="12.75">
      <c r="A524" s="45" t="str">
        <f ca="1">New!M:M</f>
        <v>{New} Elle Brooke https://doodstream.com/d/9liqpnkkxpsv/62205591 https://lulustream.com/d/jqqxlsy13lgm https://streamtape.com/v/oea66ALMwmTKxk/62205591 (2026) #Anal #MILF #BigTits #Hardcore #RIPNSFW</v>
      </c>
      <c r="B524" s="12" t="str">
        <f>New!A:A</f>
        <v>Elle Brooke - 62205591 - Onlyfans.jpg</v>
      </c>
      <c r="C524" s="12" t="s">
        <v>8895</v>
      </c>
      <c r="D524" s="46">
        <f>New!P:P</f>
        <v>0</v>
      </c>
    </row>
    <row r="525" spans="1:4" ht="12.75">
      <c r="A525" s="45" t="str">
        <f ca="1">New!M:M</f>
        <v>{New} Elle Brooke https://streamtape.com/v/Y6yvpXqM04Hv7AQ/94384356 https://doodstream.com/d/f8yr3e2v045w/94384356 https://lulustream.com/d/vg4kgdh4izs4 (2026) #MILF #BigTits #Hardcore #Bigass #Blowjob #Amateur #Deepthroat #Blonde #RIPNSFW</v>
      </c>
      <c r="B525" s="12" t="str">
        <f>New!A:A</f>
        <v>Elle Brooke - 94384356 - ripnsfw.com.jpg</v>
      </c>
      <c r="C525" s="12" t="s">
        <v>8895</v>
      </c>
      <c r="D525" s="46">
        <f>New!P:P</f>
        <v>0</v>
      </c>
    </row>
    <row r="526" spans="1:4" ht="12.75">
      <c r="A526" s="45" t="str">
        <f ca="1">New!M:M</f>
        <v>{New} Ellie https://streamtape.com/v/jgxw19JW7Rczzoz/64980370 https://doodstream.com/d/cs5s8v24np91/64980370 https://lulustream.com/d/8z26rddc54pe (2026) #BigTits #Hardcore #Threesome #Bigass #Porn #Teen #Blowjob #RIPNSFW</v>
      </c>
      <c r="B526" s="12" t="str">
        <f>New!A:A</f>
        <v>Ellie - 64980370 - ripnsfw.com.jpg</v>
      </c>
      <c r="C526" s="12" t="s">
        <v>8895</v>
      </c>
      <c r="D526" s="46">
        <f>New!P:P</f>
        <v>0</v>
      </c>
    </row>
    <row r="527" spans="1:4" ht="12.75">
      <c r="A527" s="45" t="str">
        <f ca="1">New!M:M</f>
        <v>{New} Ellie Nova https://doodstream.com/d/vfuz8xzmshr8/76987710 https://lulustream.com/d/q6kpyqag89nl https://streamtape.com/v/2BM2xq3bmasZJGM/76987710 (2026) #bigtits #hardcore #black #interracial #RIPNSFW</v>
      </c>
      <c r="B527" s="12" t="str">
        <f>New!A:A</f>
        <v>Ellie Nova - 76987710 - Onlyfans.jpg</v>
      </c>
      <c r="C527" s="12" t="s">
        <v>8895</v>
      </c>
      <c r="D527" s="46">
        <f>New!P:P</f>
        <v>0</v>
      </c>
    </row>
    <row r="528" spans="1:4" ht="12.75">
      <c r="A528" s="45" t="str">
        <f ca="1">New!M:M</f>
        <v>{New} Ellie Nova https://lulustream.com/d/usdxx1stxqby https://streamtape.com/v/7wMDkxMKLqiA7r4/79574907 https://doodstream.com/d/ztz9qe7szb0k/79574907 (2026) #teen #brunette #bigass #bigtits #RIPNSFW</v>
      </c>
      <c r="B528" s="12" t="str">
        <f>New!A:A</f>
        <v>Ellie Nova - 79574907 - NVG.jpg</v>
      </c>
      <c r="C528" s="12" t="s">
        <v>8895</v>
      </c>
      <c r="D528" s="46">
        <f>New!P:P</f>
        <v>0</v>
      </c>
    </row>
    <row r="529" spans="1:4" ht="12.75">
      <c r="A529" s="45" t="str">
        <f ca="1">New!M:M</f>
        <v>{New} Ellie Nova https://streamtape.com/v/79GbJ1vBorfAe6b/98623078 https://doodstream.com/d/tst3l6nwihcx/98623078 https://lulustream.com/d/x2f1d5vvudle (2026) #BigTits #Hardcore #Bigass #Porn #Teen #Blowjob #Facial #RIPNSFW</v>
      </c>
      <c r="B529" s="12" t="str">
        <f>New!A:A</f>
        <v>Ellie Nova - 98623078 - ripnsfw.com.jpg</v>
      </c>
      <c r="C529" s="12" t="s">
        <v>8895</v>
      </c>
      <c r="D529" s="46">
        <f>New!P:P</f>
        <v>0</v>
      </c>
    </row>
    <row r="530" spans="1:4" ht="12.75">
      <c r="A530" s="45" t="str">
        <f ca="1">New!M:M</f>
        <v>{New} Elly Clutch https://doodstream.com/d/1sjwqa22bvnf/12974468 https://streamtape.com/v/0LvM42yk4WSb1kx/12974468 https://lulustream.com/d/8b1mn9h18n76 (2026) #BigTits #Hardcore #Teen #Blowjob #Amateur #RIPNSFW</v>
      </c>
      <c r="B530" s="12" t="str">
        <f>New!A:A</f>
        <v>Elly Clutch - 12974468 - ripnsfw.com.jpg</v>
      </c>
      <c r="C530" s="12" t="s">
        <v>8895</v>
      </c>
      <c r="D530" s="46">
        <f>New!P:P</f>
        <v>0</v>
      </c>
    </row>
    <row r="531" spans="1:4" ht="12.75">
      <c r="A531" s="45" t="str">
        <f ca="1">New!M:M</f>
        <v>{New} Elly Clutch https://lulustream.com/d/qp0z4bfbnm4d https://streamtape.com/v/KQw83glv3KU0Q94/13895263 https://doodstream.com/d/qmkhxbijqc9l/13895263 (2026) #BigTits #Creampie #Hardcore #Teen #Blowjob #Amateur #Deepthroat #RIPNSFW</v>
      </c>
      <c r="B531" s="12" t="str">
        <f>New!A:A</f>
        <v>Elly Clutch - 13895263 - ripnsfw.com.jpg</v>
      </c>
      <c r="C531" s="12" t="s">
        <v>8895</v>
      </c>
      <c r="D531" s="46">
        <f>New!P:P</f>
        <v>0</v>
      </c>
    </row>
    <row r="532" spans="1:4" ht="12.75">
      <c r="A532" s="45" t="str">
        <f ca="1">New!M:M</f>
        <v>{New} Elly Clutch https://lulustream.com/d/jdcwuu715ho6 https://streamtape.com/v/qgkx3ZBvADizBoL/18436971 https://doodstream.com/d/r5cu7p1xpwoe/18436971 Zoey Di Giacomo (2026) #BigTits #Hardcore #Teen #Teens #Threesome #Blowjob #RIPNSFW</v>
      </c>
      <c r="B532" s="12" t="str">
        <f>New!A:A</f>
        <v>Elly Clutch - 18436971 - ripnsfw.com - Zoey Di Giacomo.jpg</v>
      </c>
      <c r="C532" s="12" t="s">
        <v>8895</v>
      </c>
      <c r="D532" s="46">
        <f>New!P:P</f>
        <v>0</v>
      </c>
    </row>
    <row r="533" spans="1:4" ht="12.75">
      <c r="A533" s="45" t="str">
        <f ca="1">New!M:M</f>
        <v>{New} Elly Clutch https://doodstream.com/d/iyzfv9s960x0/18825464 https://streamtape.com/v/XW70dq3bWecDazL/18825464 https://lulustream.com/d/524y3jrqytvq (2026) #BigTits #Hardcore #Teen #Blowjob #RIPNSFW</v>
      </c>
      <c r="B533" s="12" t="str">
        <f>New!A:A</f>
        <v>Elly Clutch - 18825464 - ripnsfw.com.jpg</v>
      </c>
      <c r="C533" s="12" t="s">
        <v>8895</v>
      </c>
      <c r="D533" s="46">
        <f>New!P:P</f>
        <v>0</v>
      </c>
    </row>
    <row r="534" spans="1:4" ht="12.75">
      <c r="A534" s="45" t="str">
        <f ca="1">New!M:M</f>
        <v>{New} Elly Clutch https://streamtape.com/v/mk6Le8BKdMubmVA/19357564 https://lulustream.com/d/fa7eqhif5usn https://doodstream.com/d/ssw6vgs49clz/19357564 (2026) #teen #bigtits #blowjob #amateur #RIPNSFW</v>
      </c>
      <c r="B534" s="12" t="str">
        <f>New!A:A</f>
        <v>Elly Clutch - 19357564 - Onlyfans.jpg</v>
      </c>
      <c r="C534" s="12" t="s">
        <v>8895</v>
      </c>
      <c r="D534" s="46">
        <f>New!P:P</f>
        <v>0</v>
      </c>
    </row>
    <row r="535" spans="1:4" ht="12.75">
      <c r="A535" s="45" t="str">
        <f ca="1">New!M:M</f>
        <v>{New} Elly Clutch https://doodstream.com/d/swmglt9ygbgu/23267349 https://lulustream.com/d/m511agxw55tf https://streamtape.com/v/O40BWGArxyUgq1/23267349 (2026) #BigTits #Creampie #Hardcore #Teen #Artporn #Blowjob #Amateur #Hotwife #Deepthroat #RIPNSFW</v>
      </c>
      <c r="B535" s="12" t="str">
        <f>New!A:A</f>
        <v>Elly Clutch - 23267349 - Onlyfans.jpg</v>
      </c>
      <c r="C535" s="12" t="s">
        <v>8895</v>
      </c>
      <c r="D535" s="46">
        <f>New!P:P</f>
        <v>0</v>
      </c>
    </row>
    <row r="536" spans="1:4" ht="12.75">
      <c r="A536" s="45" t="str">
        <f ca="1">New!M:M</f>
        <v>{New} Elly Clutch https://streamtape.com/v/brjWa4vRagSPjGY/26678756 https://lulustream.com/d/tk1iwu968nng https://doodstream.com/d/igc6hvyyzzdy/26678756 (2026) #teen #bigtits #pov #blowjob #RIPNSFW</v>
      </c>
      <c r="B536" s="12" t="str">
        <f>New!A:A</f>
        <v>Elly Clutch - 26678756 - Onlyfans.jpg</v>
      </c>
      <c r="C536" s="12" t="s">
        <v>8895</v>
      </c>
      <c r="D536" s="46">
        <f>New!P:P</f>
        <v>0</v>
      </c>
    </row>
    <row r="537" spans="1:4" ht="12.75">
      <c r="A537" s="45" t="str">
        <f ca="1">New!M:M</f>
        <v>{New} Elly Clutch https://doodstream.com/d/76f9tifk4817/27341499 https://streamtape.com/v/OoMq26bd64hZ2QV/27341499 https://lulustream.com/d/opn45upygy81 (2026) #teen #bigtits #blowjob #facial #RIPNSFW</v>
      </c>
      <c r="B537" s="12" t="str">
        <f>New!A:A</f>
        <v>Elly Clutch - 27341499 - Onlyfans.jpg</v>
      </c>
      <c r="C537" s="12" t="s">
        <v>8895</v>
      </c>
      <c r="D537" s="46">
        <f>New!P:P</f>
        <v>0</v>
      </c>
    </row>
    <row r="538" spans="1:4" ht="12.75">
      <c r="A538" s="45" t="str">
        <f ca="1">New!M:M</f>
        <v>{New} Elly Clutch https://streamtape.com/v/bvG77ezLXMTP0LL/28159340 https://lulustream.com/d/mh3t6z7spcvi https://doodstream.com/d/2dm3ho0pptly/28159340 (2026) #interracial #bigtits #redhead #blowjob #RIPNSFW</v>
      </c>
      <c r="B538" s="12" t="str">
        <f>New!A:A</f>
        <v>Elly Clutch - 28159340 - Onlyfans.jpg</v>
      </c>
      <c r="C538" s="12" t="s">
        <v>8895</v>
      </c>
      <c r="D538" s="46">
        <f>New!P:P</f>
        <v>0</v>
      </c>
    </row>
    <row r="539" spans="1:4" ht="12.75">
      <c r="A539" s="45" t="str">
        <f ca="1">New!M:M</f>
        <v>{New} Elly Clutch https://lulustream.com/d/gf3iduwphzvc https://doodstream.com/d/58bo0gs2q9pl/32867880 https://streamtape.com/v/BGLOk2x8l9HydXP/32867880 (2026) #teen #bigtits #blowjob #redhead #RIPNSFW</v>
      </c>
      <c r="B539" s="12" t="str">
        <f>New!A:A</f>
        <v>Elly Clutch - 32867880 - LucidFlix.jpg</v>
      </c>
      <c r="C539" s="12" t="s">
        <v>8895</v>
      </c>
      <c r="D539" s="46">
        <f>New!P:P</f>
        <v>0</v>
      </c>
    </row>
    <row r="540" spans="1:4" ht="12.75">
      <c r="A540" s="45" t="str">
        <f ca="1">New!M:M</f>
        <v>{New} Elly Clutch https://streamtape.com/v/JKvLldkAzjfjLJ0/39927204 https://lulustream.com/d/u5jw2i8engq0 https://doodstream.com/d/6sl0typldk3m/39927204 (2026) #teen #redhead #blowjob #pov #RIPNSFW</v>
      </c>
      <c r="B540" s="12" t="str">
        <f>New!A:A</f>
        <v>Elly Clutch - 39927204 - Onlyfans.jpg</v>
      </c>
      <c r="C540" s="12" t="s">
        <v>8895</v>
      </c>
      <c r="D540" s="46">
        <f>New!P:P</f>
        <v>0</v>
      </c>
    </row>
    <row r="541" spans="1:4" ht="12.75">
      <c r="A541" s="45" t="str">
        <f ca="1">New!M:M</f>
        <v>{New} Elly Clutch https://streamtape.com/v/4DWPoXRwQ6h23a/40587812 https://lulustream.com/d/691j68b8osa4 https://doodstream.com/d/pcoyvn0dfbrf/40587812 Ava Amira (2026) #BigTits #Hardcore #Threesome #Teen #Teens #RIPNSFW</v>
      </c>
      <c r="B541" s="12" t="str">
        <f>New!A:A</f>
        <v>Elly Clutch - 40587812 - ripnsfw.com - Ava Amira.jpg</v>
      </c>
      <c r="C541" s="12" t="s">
        <v>8895</v>
      </c>
      <c r="D541" s="46">
        <f>New!P:P</f>
        <v>0</v>
      </c>
    </row>
    <row r="542" spans="1:4" ht="12.75">
      <c r="A542" s="45" t="str">
        <f ca="1">New!M:M</f>
        <v>{New} Elly Clutch https://doodstream.com/d/zdrnt4rk3nmy/45573246 https://streamtape.com/v/jW7RqlBd3kszyp2/45573246 https://lulustream.com/d/mgf3rg7wqy9a Susie Stellar (2026) #threesome #bigtits #blonde #redhead #RIPNSFW</v>
      </c>
      <c r="B542" s="12" t="str">
        <f>New!A:A</f>
        <v>Elly Clutch - 45573246 - Onlyfans - Susie Stellar.jpg</v>
      </c>
      <c r="C542" s="12" t="s">
        <v>8895</v>
      </c>
      <c r="D542" s="46">
        <f>New!P:P</f>
        <v>0</v>
      </c>
    </row>
    <row r="543" spans="1:4" ht="12.75">
      <c r="A543" s="45" t="str">
        <f ca="1">New!M:M</f>
        <v>{New} Elly Clutch https://doodstream.com/d/vukauu2qlxs2/47418489 https://lulustream.com/d/sg3hx5w746a1 https://streamtape.com/v/OX0BxMdBMztZjYP/47418489 (2026) #teen #redhead #bigtits #blowjob #RIPNSFW</v>
      </c>
      <c r="B543" s="12" t="str">
        <f>New!A:A</f>
        <v>Elly Clutch - 47418489 - DrDPOV.jpg</v>
      </c>
      <c r="C543" s="12" t="s">
        <v>8895</v>
      </c>
      <c r="D543" s="46">
        <f>New!P:P</f>
        <v>0</v>
      </c>
    </row>
    <row r="544" spans="1:4" ht="12.75">
      <c r="A544" s="45" t="str">
        <f ca="1">New!M:M</f>
        <v>{New} Elly Clutch https://doodstream.com/d/re25df5cy7gk/50931142 https://streamtape.com/v/qKA2QZK4eqtaL0/50931142 https://lulustream.com/d/gqzm1dolwc67 (2026) #BigTits #Hardcore #Teen #Artporn #Amateur #Blowjob #RIPNSFW</v>
      </c>
      <c r="B544" s="12" t="str">
        <f>New!A:A</f>
        <v>Elly Clutch - 50931142 - Onlyfans.jpg</v>
      </c>
      <c r="C544" s="12" t="s">
        <v>8895</v>
      </c>
      <c r="D544" s="46">
        <f>New!P:P</f>
        <v>0</v>
      </c>
    </row>
    <row r="545" spans="1:4" ht="12.75">
      <c r="A545" s="45" t="str">
        <f ca="1">New!M:M</f>
        <v>{New} Elly Clutch https://doodstream.com/d/faopqbqbssnz/50993696 https://streamtape.com/v/XPeObBOKQjFDprl/50993696 https://lulustream.com/d/n8fd1biuu59r (2026) #BigTits #Creampie #Hardcore #Teen #Artporn #Blowjob #Amateur #RIPNSFW</v>
      </c>
      <c r="B545" s="12" t="str">
        <f>New!A:A</f>
        <v>Elly Clutch - 50993696 - ripnsfw.com.jpg</v>
      </c>
      <c r="C545" s="12" t="s">
        <v>8895</v>
      </c>
      <c r="D545" s="46">
        <f>New!P:P</f>
        <v>0</v>
      </c>
    </row>
    <row r="546" spans="1:4" ht="12.75">
      <c r="A546" s="45" t="str">
        <f ca="1">New!M:M</f>
        <v>{New} Elly Clutch https://lulustream.com/d/59myho71hh1j https://streamtape.com/v/Qw4wJlpz0Pi80M/51331959 https://doodstream.com/d/u5ttvdsiq9ci/51331959 Jewelz Blu (2026) #teens #redhead #blowjob #pov #RIPNSFW</v>
      </c>
      <c r="B546" s="12" t="str">
        <f>New!A:A</f>
        <v>Elly Clutch - 51331959 - XVRED - Jewelz Blu.jpg</v>
      </c>
      <c r="C546" s="12" t="s">
        <v>8895</v>
      </c>
      <c r="D546" s="46">
        <f>New!P:P</f>
        <v>0</v>
      </c>
    </row>
    <row r="547" spans="1:4" ht="12.75">
      <c r="A547" s="45" t="str">
        <f ca="1">New!M:M</f>
        <v>{New} Elly Clutch https://lulustream.com/d/pin4fl91wj7h https://streamtape.com/v/xyDBQmBeAeik3Qr/52743631 https://doodstream.com/d/3jfhsm9031wo/52743631 Chloe Foxxe (2026) #bigtits #threesome #blowjob #redhead #RIPNSFW</v>
      </c>
      <c r="B547" s="12" t="str">
        <f>New!A:A</f>
        <v>Elly Clutch - 52743631 - Onlyfans - Chloe Foxxe.jpg</v>
      </c>
      <c r="C547" s="12" t="s">
        <v>8895</v>
      </c>
      <c r="D547" s="46">
        <f>New!P:P</f>
        <v>0</v>
      </c>
    </row>
    <row r="548" spans="1:4" ht="12.75">
      <c r="A548" s="45" t="str">
        <f ca="1">New!M:M</f>
        <v>{New} Elly Clutch https://streamtape.com/v/OgqbQAJYwJcZjRb/56314419 https://lulustream.com/d/pqlf8eodkq8w https://doodstream.com/d/8u51pvr2pz3t/56314419 (2026) #blowjob #bigtits #pov #redhead #RIPNSFW</v>
      </c>
      <c r="B548" s="12" t="str">
        <f>New!A:A</f>
        <v>Elly Clutch - 56314419 - Onlyfans.jpg</v>
      </c>
      <c r="C548" s="12" t="s">
        <v>8895</v>
      </c>
      <c r="D548" s="46">
        <f>New!P:P</f>
        <v>0</v>
      </c>
    </row>
    <row r="549" spans="1:4" ht="12.75">
      <c r="A549" s="45" t="str">
        <f ca="1">New!M:M</f>
        <v>{New} Elly Clutch https://lulustream.com/d/kf59q4yamnxi https://doodstream.com/d/vho0ibpaue8k/56939748 https://streamtape.com/v/7GGOJ3L9w2sAKvk/56939748 (2026) #teen #bigtits #blowjob #facial #RIPNSFW</v>
      </c>
      <c r="B549" s="12" t="str">
        <f>New!A:A</f>
        <v>Elly Clutch - 56939748 - Onlyfans.jpg</v>
      </c>
      <c r="C549" s="12" t="s">
        <v>8895</v>
      </c>
      <c r="D549" s="46">
        <f>New!P:P</f>
        <v>0</v>
      </c>
    </row>
    <row r="550" spans="1:4" ht="12.75">
      <c r="A550" s="45" t="str">
        <f ca="1">New!M:M</f>
        <v>{New} Elly Clutch https://doodstream.com/d/4k6tnj87dr29/60792517 https://lulustream.com/d/5youken3q9p6 https://streamtape.com/v/Q1y0bKQaZvi0Z3a/60792517 Sky Wonderland (2026) #teen #redhead #blowjob #bigtits #RIPNSFW</v>
      </c>
      <c r="B550" s="12" t="str">
        <f>New!A:A</f>
        <v>Elly Clutch - 60792517 - Onlyfans - Sky Wonderland.jpg</v>
      </c>
      <c r="C550" s="12" t="s">
        <v>8895</v>
      </c>
      <c r="D550" s="46">
        <f>New!P:P</f>
        <v>0</v>
      </c>
    </row>
    <row r="551" spans="1:4" ht="12.75">
      <c r="A551" s="45" t="str">
        <f ca="1">New!M:M</f>
        <v>{New} Elly Clutch https://lulustream.com/d/5rw3474yvd0k https://doodstream.com/d/lgxt273q0tk5/63179344 https://streamtape.com/v/aPmOgOpD23cbg2/63179344 (2026) #bigtits #creampie #hardcore #teen #RIPNSFW</v>
      </c>
      <c r="B551" s="12" t="str">
        <f>New!A:A</f>
        <v>Elly Clutch - 63179344 - Onlyfans.jpg</v>
      </c>
      <c r="C551" s="12" t="s">
        <v>8895</v>
      </c>
      <c r="D551" s="46">
        <f>New!P:P</f>
        <v>0</v>
      </c>
    </row>
    <row r="552" spans="1:4" ht="12.75">
      <c r="A552" s="45" t="str">
        <f ca="1">New!M:M</f>
        <v>{New} Elly Clutch https://streamtape.com/v/G3BMbKq2bPIlw8/67068773 https://lulustream.com/d/ezyglgn6y0p2 https://doodstream.com/d/ppuuwh1ss8tq/67068773 (2026) #BigTits #Hardcore #Threesome #Teen #RIPNSFW</v>
      </c>
      <c r="B552" s="12" t="str">
        <f>New!A:A</f>
        <v>Elly Clutch - 67068773 - ripnsfw.com.jpg</v>
      </c>
      <c r="C552" s="12" t="s">
        <v>8895</v>
      </c>
      <c r="D552" s="46">
        <f>New!P:P</f>
        <v>0</v>
      </c>
    </row>
    <row r="553" spans="1:4" ht="12.75">
      <c r="A553" s="45" t="str">
        <f ca="1">New!M:M</f>
        <v>#ERROR!</v>
      </c>
      <c r="B553" s="12" t="str">
        <f>New!A:A</f>
        <v>Elly Clutch - 67600788 - Onlyfans.jpg</v>
      </c>
      <c r="C553" s="12" t="s">
        <v>8895</v>
      </c>
      <c r="D553" s="46">
        <f>New!P:P</f>
        <v>0</v>
      </c>
    </row>
    <row r="554" spans="1:4" ht="12.75">
      <c r="A554" s="45" t="str">
        <f ca="1">New!M:M</f>
        <v>{New} Elly Clutch https://doodstream.com/d/6y1i1k1brryl/71354082 https://lulustream.com/d/x88zbmlgs712 https://streamtape.com/v/1ADqGzXAQ2UeYDB/71354082 (2026) #BigTits #Hardcore #Interracial #Teen #RIPNSFW</v>
      </c>
      <c r="B554" s="12" t="str">
        <f>New!A:A</f>
        <v>Elly Clutch - 71354082 - ripnsfw.com.jpg</v>
      </c>
      <c r="C554" s="12" t="s">
        <v>8895</v>
      </c>
      <c r="D554" s="46">
        <f>New!P:P</f>
        <v>0</v>
      </c>
    </row>
    <row r="555" spans="1:4" ht="12.75">
      <c r="A555" s="45" t="str">
        <f ca="1">New!M:M</f>
        <v>{New} Elly Clutch https://lulustream.com/d/cxmn1g457fxv https://doodstream.com/d/5o571qwcv19o/71915196 https://streamtape.com/v/pl0d931ZkMcr2ZO/71915196 Hannah Jo (2026) #teens #bigtits #blowjob #amateur #RIPNSFW</v>
      </c>
      <c r="B555" s="12" t="str">
        <f>New!A:A</f>
        <v>Elly Clutch - 71915196 - Onlyfans - Hannah Jo.jpg</v>
      </c>
      <c r="C555" s="12" t="s">
        <v>8895</v>
      </c>
      <c r="D555" s="46">
        <f>New!P:P</f>
        <v>0</v>
      </c>
    </row>
    <row r="556" spans="1:4" ht="12.75">
      <c r="A556" s="45" t="str">
        <f ca="1">New!M:M</f>
        <v>{New} Elly Clutch https://lulustream.com/d/hnpwscdqerjn https://streamtape.com/v/JK2WXvmj9bigGq/79397769 https://doodstream.com/d/kzpinwnp5mrc/79397769 (2026) #BigTits #Hardcore #Teen #Artporn #Blowjob #Amateur #RIPNSFW</v>
      </c>
      <c r="B556" s="12" t="str">
        <f>New!A:A</f>
        <v>Elly Clutch - 79397769 - Onlyfans.jpg</v>
      </c>
      <c r="C556" s="12" t="s">
        <v>8895</v>
      </c>
      <c r="D556" s="46">
        <f>New!P:P</f>
        <v>0</v>
      </c>
    </row>
    <row r="557" spans="1:4" ht="12.75">
      <c r="A557" s="45" t="str">
        <f ca="1">New!M:M</f>
        <v>{New} Elly Clutch https://streamtape.com/v/gweJqz68Lafq7We/90351632 https://lulustream.com/d/lc47c2sppgqx https://doodstream.com/d/t0w8dfhgjfw9/90351632 (2026) #BigTits #Creampie #Hardcore #Teen #Blowjob #Amateur #RIPNSFW</v>
      </c>
      <c r="B557" s="12" t="str">
        <f>New!A:A</f>
        <v>Elly Clutch - 90351632 - ripnsfw.com.jpg</v>
      </c>
      <c r="C557" s="12" t="s">
        <v>8895</v>
      </c>
      <c r="D557" s="46">
        <f>New!P:P</f>
        <v>0</v>
      </c>
    </row>
    <row r="558" spans="1:4" ht="12.75">
      <c r="A558" s="45" t="str">
        <f ca="1">New!M:M</f>
        <v>{New} Elly Clutch https://doodstream.com/d/2kzqzsqy51e5/99916281 https://streamtape.com/v/PkPWAxrMYyF0mYM/99916281 https://lulustream.com/d/pf2imnd5yve8 Sidney Summers (2026) #BigTits #Hardcore #Threesome #Teen #Artporn #Blowjob #Amateur #Deepthroat #RIPNSFW</v>
      </c>
      <c r="B558" s="12" t="str">
        <f>New!A:A</f>
        <v>Elly Clutch - 99916281 - ripnsfw.com - Sidney Summers.jpg</v>
      </c>
      <c r="C558" s="12" t="s">
        <v>8895</v>
      </c>
      <c r="D558" s="46">
        <f>New!P:P</f>
        <v>0</v>
      </c>
    </row>
    <row r="559" spans="1:4" ht="12.75">
      <c r="A559" s="45" t="str">
        <f ca="1">New!M:M</f>
        <v>{New} Emily Walters https://doodstream.com/d/jgih9mcbd3ek/16857122 https://streamtape.com/v/W8r26gbZ2Rubwm6/16857122 https://lulustream.com/d/i5gan13c4ttg (2026) #MILF #Hardcore #Black #Threesome #Interracial #Stepmom #Blowjob #Amateur #Deepthroat #Hotwife #Blonde #Facial #RIPNSFW</v>
      </c>
      <c r="B559" s="12" t="str">
        <f>New!A:A</f>
        <v>Emily Walters - 16857122 - Onlyfans.jpg</v>
      </c>
      <c r="C559" s="12" t="s">
        <v>8895</v>
      </c>
      <c r="D559" s="46">
        <f>New!P:P</f>
        <v>0</v>
      </c>
    </row>
    <row r="560" spans="1:4" ht="12.75">
      <c r="A560" s="45" t="str">
        <f ca="1">New!M:M</f>
        <v>{New} Emily Walters https://streamtape.com/v/g3aXoYv1wpCqjWz/17222726 https://doodstream.com/d/abcgk643fm3p/17222726 https://lulustream.com/d/e5zzescu1ei1 (2026) #blonde #blowjob #facial #bigtits #RIPNSFW</v>
      </c>
      <c r="B560" s="12" t="str">
        <f>New!A:A</f>
        <v>Emily Walters - 17222726 - Onlyfans.jpg</v>
      </c>
      <c r="C560" s="12" t="s">
        <v>8895</v>
      </c>
      <c r="D560" s="46">
        <f>New!P:P</f>
        <v>0</v>
      </c>
    </row>
    <row r="561" spans="1:4" ht="12.75">
      <c r="A561" s="45" t="str">
        <f ca="1">New!M:M</f>
        <v>{New} Emily Walters https://streamtape.com/v/wlyBQbO7yqIJMy3/19561148 https://doodstream.com/d/oco3z1uz9sbi/19561148 https://lulustream.com/d/7dqp2d2u1oxo (2026) #MILF #Hardcore #Creampie #Black #RIPNSFW</v>
      </c>
      <c r="B561" s="12" t="str">
        <f>New!A:A</f>
        <v>Emily Walters - 19561148 - Onlyfans.jpg</v>
      </c>
      <c r="C561" s="12" t="s">
        <v>8895</v>
      </c>
      <c r="D561" s="46">
        <f>New!P:P</f>
        <v>0</v>
      </c>
    </row>
    <row r="562" spans="1:4" ht="12.75">
      <c r="A562" s="45" t="str">
        <f ca="1">New!M:M</f>
        <v>{New} Emily Walters https://doodstream.com/d/88noka66auhj/26307279 https://streamtape.com/v/GQOgQRlg39h1K86/26307279 https://lulustream.com/d/znp0s1kpfi6o (2026) #milf #blowjob #blonde #threesome #RIPNSFW</v>
      </c>
      <c r="B562" s="12" t="str">
        <f>New!A:A</f>
        <v>Emily Walters - 26307279 - Onlyfans.jpg</v>
      </c>
      <c r="C562" s="12" t="s">
        <v>8895</v>
      </c>
      <c r="D562" s="46">
        <f>New!P:P</f>
        <v>0</v>
      </c>
    </row>
    <row r="563" spans="1:4" ht="12.75">
      <c r="A563" s="45" t="str">
        <f ca="1">New!M:M</f>
        <v>{New} Emily Walters https://doodstream.com/d/6ve7ikkq8yar/54972070 https://streamtape.com/v/V0azDJqM1McKAwY/54972070 https://lulustream.com/d/6yjhypqa2u6j (2026) #milf #blowjob #amateur #bigtits #RIPNSFW</v>
      </c>
      <c r="B563" s="12" t="str">
        <f>New!A:A</f>
        <v>Emily Walters - 54972070 - Onlyfans.jpg</v>
      </c>
      <c r="C563" s="12" t="s">
        <v>8895</v>
      </c>
      <c r="D563" s="46">
        <f>New!P:P</f>
        <v>0</v>
      </c>
    </row>
    <row r="564" spans="1:4" ht="12.75">
      <c r="A564" s="45" t="str">
        <f ca="1">New!M:M</f>
        <v>{New} Emily Walters https://streamtape.com/v/a2OeQK1qj6cxDky/57438156 https://doodstream.com/d/gkq7vf9i1cly/57438156 https://lulustream.com/d/vy6r5f8ch51a (2026) #foursome #bigtits #blonde #milf #RIPNSFW</v>
      </c>
      <c r="B564" s="12" t="str">
        <f>New!A:A</f>
        <v>Emily Walters - 57438156 - Onlyfans.jpg</v>
      </c>
      <c r="C564" s="12" t="s">
        <v>8895</v>
      </c>
      <c r="D564" s="46">
        <f>New!P:P</f>
        <v>0</v>
      </c>
    </row>
    <row r="565" spans="1:4" ht="12.75">
      <c r="A565" s="45" t="str">
        <f ca="1">New!M:M</f>
        <v>{New} Emily Walters https://lulustream.com/d/1jsv8tfs2b4t https://doodstream.com/d/niu0bwcnzlno/57597598 https://streamtape.com/v/aZJX8K3yxgIxj9X/57597598 Hotwife Alice (2026) #MILF #Hardcore #Threesome #Blowjob #RIPNSFW</v>
      </c>
      <c r="B565" s="12" t="str">
        <f>New!A:A</f>
        <v>Emily Walters - 57597598 - Onlyfans - Hotwife Alice.jpg</v>
      </c>
      <c r="C565" s="12" t="s">
        <v>8895</v>
      </c>
      <c r="D565" s="46">
        <f>New!P:P</f>
        <v>0</v>
      </c>
    </row>
    <row r="566" spans="1:4" ht="12.75">
      <c r="A566" s="45" t="str">
        <f ca="1">New!M:M</f>
        <v>{New} Emily Walters https://streamtape.com/v/27qG3JRw43UZ7Jz/62534135 https://doodstream.com/d/8drphra49pet/62534135 https://lulustream.com/d/k4a8t6nml4tn (2026) #blonde #bigtits #blowjob #facial #RIPNSFW</v>
      </c>
      <c r="B566" s="12" t="str">
        <f>New!A:A</f>
        <v>Emily Walters - 62534135 - Onlyfans.jpg</v>
      </c>
      <c r="C566" s="12" t="s">
        <v>8895</v>
      </c>
      <c r="D566" s="46">
        <f>New!P:P</f>
        <v>0</v>
      </c>
    </row>
    <row r="567" spans="1:4" ht="12.75">
      <c r="A567" s="45" t="str">
        <f ca="1">New!M:M</f>
        <v>{New} Emily Walters https://streamtape.com/v/W30v7AVDYQurlX/92239134 https://doodstream.com/d/06mgw82vy32n/92239134 https://lulustream.com/d/64ivazarxl3x (2026) #milf #threesome #bigtits #bigass #RIPNSFW</v>
      </c>
      <c r="B567" s="12" t="str">
        <f>New!A:A</f>
        <v>Emily Walters - 92239134 - Onlyfans.jpg</v>
      </c>
      <c r="C567" s="12" t="s">
        <v>8895</v>
      </c>
      <c r="D567" s="46">
        <f>New!P:P</f>
        <v>0</v>
      </c>
    </row>
    <row r="568" spans="1:4" ht="12.75">
      <c r="A568" s="45" t="str">
        <f ca="1">New!M:M</f>
        <v>{New} Emily Walters https://lulustream.com/d/ma5bn5tgzv4m https://streamtape.com/v/lQ8L477zkjs7qqa/93399680 https://doodstream.com/d/pog3ruilex4y/93399680 (2026) #MILF #Hardcore #Black #Interracial #RIPNSFW</v>
      </c>
      <c r="B568" s="12" t="str">
        <f>New!A:A</f>
        <v>Emily Walters - 93399680 - Onlyfans.jpg</v>
      </c>
      <c r="C568" s="12" t="s">
        <v>8895</v>
      </c>
      <c r="D568" s="46">
        <f>New!P:P</f>
        <v>0</v>
      </c>
    </row>
    <row r="569" spans="1:4" ht="12.75">
      <c r="A569" s="45" t="str">
        <f ca="1">New!M:M</f>
        <v>{New} Emily Willis https://doodstream.com/d/4oq6gc23gec5/15231839 https://lulustream.com/d/jllfgh853v37 https://streamtape.com/v/9XAdmxvrqehawbm/15231839 (2026) #Creampie #Hardcore #Porn #Teen #Blowjob #RIPNSFW</v>
      </c>
      <c r="B569" s="12" t="str">
        <f>New!A:A</f>
        <v>Emily Willis - 15231839 - ripnsfw.com.jpg</v>
      </c>
      <c r="C569" s="12" t="s">
        <v>8895</v>
      </c>
      <c r="D569" s="46">
        <f>New!P:P</f>
        <v>0</v>
      </c>
    </row>
    <row r="570" spans="1:4" ht="12.75">
      <c r="A570" s="45" t="str">
        <f ca="1">New!M:M</f>
        <v>{New} Emma Magnolia https://streamtape.com/v/gdbWAv21WrsBK8/11393557 https://lulustream.com/d/xb2lg79fghvu https://doodstream.com/d/3bp7as255txr/11393557 Jewelz Blu (2026) #MILF #BigTits #Hardcore #Threesome #RIPNSFW</v>
      </c>
      <c r="B570" s="12" t="str">
        <f>New!A:A</f>
        <v>Emma Magnolia - 11393557 - Onlyfans - Jewelz Blu.jpg</v>
      </c>
      <c r="C570" s="12" t="s">
        <v>8895</v>
      </c>
      <c r="D570" s="46">
        <f>New!P:P</f>
        <v>0</v>
      </c>
    </row>
    <row r="571" spans="1:4" ht="12.75">
      <c r="A571" s="45" t="str">
        <f ca="1">New!M:M</f>
        <v>{New} Emma Magnolia https://lulustream.com/d/hahg641nzw18 https://doodstream.com/d/r7oba1m9o1yg/16838177 https://streamtape.com/v/wdmxGmYXZrhx17/16838177 (2026) #milf #bigtits #bigass #blowjob #RIPNSFW</v>
      </c>
      <c r="B571" s="12" t="str">
        <f>New!A:A</f>
        <v>Emma Magnolia - 16838177 - Onlyfans.jpg</v>
      </c>
      <c r="C571" s="12" t="s">
        <v>8895</v>
      </c>
      <c r="D571" s="46">
        <f>New!P:P</f>
        <v>0</v>
      </c>
    </row>
    <row r="572" spans="1:4" ht="12.75">
      <c r="A572" s="45" t="str">
        <f ca="1">New!M:M</f>
        <v>{New} Emma Magnolia https://doodstream.com/d/w9qe2qash5jo/71272411 https://lulustream.com/d/g7ugu29wyjab https://streamtape.com/v/goX0vQBvpjcJo6/71272411 Cami Strella (2026) #milf #bigtits #blowjob #threesome #RIPNSFW</v>
      </c>
      <c r="B572" s="12" t="str">
        <f>New!A:A</f>
        <v>Emma Magnolia - 71272411 - Onlyfans - Cami Strella.jpg</v>
      </c>
      <c r="C572" s="12" t="s">
        <v>8895</v>
      </c>
      <c r="D572" s="46">
        <f>New!P:P</f>
        <v>0</v>
      </c>
    </row>
    <row r="573" spans="1:4" ht="12.75">
      <c r="A573" s="45" t="str">
        <f ca="1">New!M:M</f>
        <v>Erin https://lulustream.com/d/ax46xforlo05 https://doodstream.com/d/0h5l4i5f694e/91380296 https://streamtape.com/v/VBKBwe1DRPtK1a4/91380296 #teen #casting #blowjob #blonde #RIPNSFW</v>
      </c>
      <c r="B573" s="12" t="str">
        <f>New!A:A</f>
        <v>Erin - 91380296 - BackroomCastingCouch.jpg</v>
      </c>
      <c r="C573" s="12" t="s">
        <v>8895</v>
      </c>
      <c r="D573" s="46">
        <f>New!P:P</f>
        <v>0</v>
      </c>
    </row>
    <row r="574" spans="1:4" ht="12.75">
      <c r="A574" s="45" t="str">
        <f ca="1">New!M:M</f>
        <v>{New} Eva Elfie https://streamtape.com/v/aYk16KXArdcx1b6/10969325 https://lulustream.com/d/u051aw0c0rbr https://doodstream.com/d/xkrnvcrefkxl/10969325 (2026) #teen #bigtits #blowjob #facial #RIPNSFW</v>
      </c>
      <c r="B574" s="12" t="str">
        <f>New!A:A</f>
        <v>Eva Elfie - 10969325 - PPV.jpg</v>
      </c>
      <c r="C574" s="12" t="s">
        <v>8895</v>
      </c>
      <c r="D574" s="46">
        <f>New!P:P</f>
        <v>0</v>
      </c>
    </row>
    <row r="575" spans="1:4" ht="12.75">
      <c r="A575" s="45" t="str">
        <f ca="1">New!M:M</f>
        <v>{New} Eva Elfie https://doodstream.com/d/d9g1c42s4sob/14676280 https://lulustream.com/d/ofej9owvx5j9 https://streamtape.com/v/pdW6wrJeeKUrrpx/14676280 (2026) #BigTits #Hardcore #Teen #Blowjob #RIPNSFW</v>
      </c>
      <c r="B575" s="12" t="str">
        <f>New!A:A</f>
        <v>Eva Elfie - 14676280 - Onlyfans.jpg</v>
      </c>
      <c r="C575" s="12" t="s">
        <v>8895</v>
      </c>
      <c r="D575" s="46">
        <f>New!P:P</f>
        <v>0</v>
      </c>
    </row>
    <row r="576" spans="1:4" ht="12.75">
      <c r="A576" s="45" t="str">
        <f ca="1">New!M:M</f>
        <v>{New} Eva Elfie https://doodstream.com/d/lqkogoju5qap/15309465 https://lulustream.com/d/bbiu3q080e32 https://streamtape.com/v/6egr4a3JVohLrk/15309465 (2026) #BigTits #Hardcore #Teen #Artporn #Teens #Blowjob #Amateur #Hotwife #RIPNSFW</v>
      </c>
      <c r="B576" s="12" t="str">
        <f>New!A:A</f>
        <v>Eva Elfie - 15309465 - ripnsfw.com.jpg</v>
      </c>
      <c r="C576" s="12" t="s">
        <v>8895</v>
      </c>
      <c r="D576" s="46">
        <f>New!P:P</f>
        <v>0</v>
      </c>
    </row>
    <row r="577" spans="1:4" ht="12.75">
      <c r="A577" s="45" t="str">
        <f ca="1">New!M:M</f>
        <v>{New} Eva Elfie https://streamtape.com/v/mrryqbxA7rhbbaM/16361811 https://lulustream.com/d/0yui4z8gzga5 https://doodstream.com/d/py5k8z99xnet/16361811 (2026) #teen #bigtits #blowjob #amateur #RIPNSFW</v>
      </c>
      <c r="B577" s="12" t="str">
        <f>New!A:A</f>
        <v>Eva Elfie - 16361811 - Onlyfans.jpg</v>
      </c>
      <c r="C577" s="12" t="s">
        <v>8895</v>
      </c>
      <c r="D577" s="46">
        <f>New!P:P</f>
        <v>0</v>
      </c>
    </row>
    <row r="578" spans="1:4" ht="12.75">
      <c r="A578" s="45" t="str">
        <f ca="1">New!M:M</f>
        <v>{New} Eva Elfie https://doodstream.com/d/lu0oxxrjbe8z/17962206 https://lulustream.com/d/nt480k7qf3yb https://streamtape.com/v/bqWqvgkqZ7IPk40/17962206 (2026) #teen #bigtits #blonde #blowjob #RIPNSFW</v>
      </c>
      <c r="B578" s="12" t="str">
        <f>New!A:A</f>
        <v>Eva Elfie - 17962206 - Onlyfans.jpg</v>
      </c>
      <c r="C578" s="12" t="s">
        <v>8895</v>
      </c>
      <c r="D578" s="46">
        <f>New!P:P</f>
        <v>0</v>
      </c>
    </row>
    <row r="579" spans="1:4" ht="12.75">
      <c r="A579" s="45" t="str">
        <f ca="1">New!M:M</f>
        <v>{New} Eva Elfie https://lulustream.com/d/y60pswyoeiig https://doodstream.com/d/u4br5zhafxtm/19230638 https://streamtape.com/v/WX3pzRvp2dibabA/19230638 (2026) #BigTits #Hardcore #Teen #Teens #RIPNSFW</v>
      </c>
      <c r="B579" s="12" t="str">
        <f>New!A:A</f>
        <v>Eva Elfie - 19230638 - Onlyfans.jpg</v>
      </c>
      <c r="C579" s="12" t="s">
        <v>8895</v>
      </c>
      <c r="D579" s="46">
        <f>New!P:P</f>
        <v>0</v>
      </c>
    </row>
    <row r="580" spans="1:4" ht="12.75">
      <c r="A580" s="45" t="str">
        <f ca="1">New!M:M</f>
        <v>{New} Eva Elfie https://lulustream.com/d/3ruhtvm8gsrf https://streamtape.com/v/Xg3o6oWVmJfDQXB/20301549 https://doodstream.com/d/mpqj96g6knke/20301549 (2026) #teen #blonde #bigtits #blowjob #RIPNSFW</v>
      </c>
      <c r="B580" s="12" t="str">
        <f>New!A:A</f>
        <v>Eva Elfie - 20301549 - Onlyfans.jpg</v>
      </c>
      <c r="C580" s="12" t="s">
        <v>8895</v>
      </c>
      <c r="D580" s="46">
        <f>New!P:P</f>
        <v>0</v>
      </c>
    </row>
    <row r="581" spans="1:4" ht="12.75">
      <c r="A581" s="45" t="str">
        <f ca="1">New!M:M</f>
        <v>{New} Eva Elfie https://lulustream.com/d/xy9xdmmfqu97 https://doodstream.com/d/y5woi3rrioe5/30292999 https://streamtape.com/v/Wr1w02x9y6hq4w/30292999 (2026) #BigTits #Hardcore #Teen #Blowjob #Amateur #Deepthroat #Blonde #RIPNSFW</v>
      </c>
      <c r="B581" s="12" t="str">
        <f>New!A:A</f>
        <v>Eva Elfie - 30292999 - ripnsfw.com.jpg</v>
      </c>
      <c r="C581" s="12" t="s">
        <v>8895</v>
      </c>
      <c r="D581" s="46">
        <f>New!P:P</f>
        <v>0</v>
      </c>
    </row>
    <row r="582" spans="1:4" ht="12.75">
      <c r="A582" s="45" t="str">
        <f ca="1">New!M:M</f>
        <v>{New} Eva Elfie https://doodstream.com/d/qnvbkphfu4r8/32413746 https://streamtape.com/v/YVmzlAerBoCoy6/32413746 https://lulustream.com/d/mbr21c5zctul (2026) #BigTits #Teen #Blowjob #Amateur #RIPNSFW</v>
      </c>
      <c r="B582" s="12" t="str">
        <f>New!A:A</f>
        <v>Eva Elfie - 32413746 - Onlyfans.jpg</v>
      </c>
      <c r="C582" s="12" t="s">
        <v>8895</v>
      </c>
      <c r="D582" s="46">
        <f>New!P:P</f>
        <v>0</v>
      </c>
    </row>
    <row r="583" spans="1:4" ht="12.75">
      <c r="A583" s="45" t="str">
        <f ca="1">New!M:M</f>
        <v>{New} Eva Elfie https://streamtape.com/v/p434m8YX17TrmAd/33050807 https://lulustream.com/d/q18kyfg5ob32 https://doodstream.com/d/18fmzftg65ny/33050807 (2026) #BigTits #Hardcore #Teen #Roleplay #Artporn #Blowjob #Amateur #RIPNSFW</v>
      </c>
      <c r="B583" s="12" t="str">
        <f>New!A:A</f>
        <v>Eva Elfie - 33050807 - Onlyfans.jpg</v>
      </c>
      <c r="C583" s="12" t="s">
        <v>8895</v>
      </c>
      <c r="D583" s="46">
        <f>New!P:P</f>
        <v>0</v>
      </c>
    </row>
    <row r="584" spans="1:4" ht="12.75">
      <c r="A584" s="45" t="str">
        <f ca="1">New!M:M</f>
        <v>{New} Eva Elfie https://lulustream.com/d/zr1szgypango https://doodstream.com/d/4q5749gt48w6/37883745 https://streamtape.com/v/DlbrxKOxr4ik70D/37883745 (2026) #BigTits #Hardcore #Teen #Blowjob #Amateur #Blonde #RIPNSFW</v>
      </c>
      <c r="B584" s="12" t="str">
        <f>New!A:A</f>
        <v>Eva Elfie - 37883745 - Onlyfans.jpg</v>
      </c>
      <c r="C584" s="12" t="s">
        <v>8895</v>
      </c>
      <c r="D584" s="46">
        <f>New!P:P</f>
        <v>0</v>
      </c>
    </row>
    <row r="585" spans="1:4" ht="12.75">
      <c r="A585" s="45" t="str">
        <f ca="1">New!M:M</f>
        <v>{New} Eva Elfie https://streamtape.com/v/dZ1b9o8P2mtkXGk/41235226 https://doodstream.com/d/n7ecpgm4cjql/41235226 https://lulustream.com/d/9ihrxzevvq6x (2026) #teen #bigtits #blowjob #blonde #RIPNSFW</v>
      </c>
      <c r="B585" s="12" t="str">
        <f>New!A:A</f>
        <v>Eva Elfie - 41235226 - Onlyfans.jpg</v>
      </c>
      <c r="C585" s="12" t="s">
        <v>8895</v>
      </c>
      <c r="D585" s="46">
        <f>New!P:P</f>
        <v>0</v>
      </c>
    </row>
    <row r="586" spans="1:4" ht="12.75">
      <c r="A586" s="45" t="str">
        <f ca="1">New!M:M</f>
        <v>{New} Eva Elfie https://lulustream.com/d/p2d0f1kle9qz https://doodstream.com/d/tmo90jstwyzz/42075104 https://streamtape.com/v/pdVZKKXPQjIV80/42075104 (2026) #teen #blowjob #bigtits #blonde #RIPNSFW</v>
      </c>
      <c r="B586" s="12" t="str">
        <f>New!A:A</f>
        <v>Eva Elfie - 42075104 - Onlyfans.jpg</v>
      </c>
      <c r="C586" s="12" t="s">
        <v>8895</v>
      </c>
      <c r="D586" s="46">
        <f>New!P:P</f>
        <v>0</v>
      </c>
    </row>
    <row r="587" spans="1:4" ht="12.75">
      <c r="A587" s="45" t="str">
        <f ca="1">New!M:M</f>
        <v>{New} Eva Elfie https://streamtape.com/v/W18k28q90zcee3/47114945 https://doodstream.com/d/vs2i4fp8dz5f/47114945 https://lulustream.com/d/mb7uqypc4e8w (2026) #BigTits #Hardcore #Teen #Blowjob #RIPNSFW</v>
      </c>
      <c r="B587" s="12" t="str">
        <f>New!A:A</f>
        <v>Eva Elfie - 47114945 - Onlyfans.jpg</v>
      </c>
      <c r="C587" s="12" t="s">
        <v>8895</v>
      </c>
      <c r="D587" s="46">
        <f>New!P:P</f>
        <v>0</v>
      </c>
    </row>
    <row r="588" spans="1:4" ht="12.75">
      <c r="A588" s="45" t="str">
        <f ca="1">New!M:M</f>
        <v>{New} Eva Elfie https://streamtape.com/v/vV3bDR3L9Gu4GA0/51047553 https://lulustream.com/d/9beuvpkonepf https://doodstream.com/d/shfhz2r9i1h3/51047553 (2026) #BigTits #Creampie #Hardcore #Teen #Roleplay #Blowjob #Amateur #Blonde #RIPNSFW</v>
      </c>
      <c r="B588" s="12" t="str">
        <f>New!A:A</f>
        <v>Eva Elfie - 51047553 - Onlyfans.jpg</v>
      </c>
      <c r="C588" s="12" t="s">
        <v>8895</v>
      </c>
      <c r="D588" s="46">
        <f>New!P:P</f>
        <v>0</v>
      </c>
    </row>
    <row r="589" spans="1:4" ht="12.75">
      <c r="A589" s="45" t="str">
        <f ca="1">New!M:M</f>
        <v>{New} Eva Elfie https://doodstream.com/d/k9wunouuq7wh/51558283 https://lulustream.com/d/r25xcko5lw1h https://streamtape.com/v/oL0WAdaGqViJ8Re/51558283 (2026) #teen #creampie #bigtits #blowjob #RIPNSFW</v>
      </c>
      <c r="B589" s="12" t="str">
        <f>New!A:A</f>
        <v>Eva Elfie - 51558283 - Onlyfans.jpg</v>
      </c>
      <c r="C589" s="12" t="s">
        <v>8895</v>
      </c>
      <c r="D589" s="46">
        <f>New!P:P</f>
        <v>0</v>
      </c>
    </row>
    <row r="590" spans="1:4" ht="12.75">
      <c r="A590" s="45" t="str">
        <f ca="1">New!M:M</f>
        <v>{New} Eva Elfie https://doodstream.com/d/9uf12glfj720/55413650 https://streamtape.com/v/yxKYZ31LLxcwjX/55413650 https://lulustream.com/d/4l8rfkl1jpj9 (2026) #teen #blowjob #blonde #bigtits #RIPNSFW</v>
      </c>
      <c r="B590" s="12" t="str">
        <f>New!A:A</f>
        <v>Eva Elfie - 55413650 - Onlyfans.jpg</v>
      </c>
      <c r="C590" s="12" t="s">
        <v>8895</v>
      </c>
      <c r="D590" s="46">
        <f>New!P:P</f>
        <v>0</v>
      </c>
    </row>
    <row r="591" spans="1:4" ht="12.75">
      <c r="A591" s="45" t="str">
        <f ca="1">New!M:M</f>
        <v>{New} Eva Elfie https://lulustream.com/d/32fhlt6nuv7r https://streamtape.com/v/AwVrpZOw24sXKM9/59206791 https://doodstream.com/d/1yndlhi76gln/59206791 (2026) #teen #bigtits #blonde #blowjob #RIPNSFW</v>
      </c>
      <c r="B591" s="12" t="str">
        <f>New!A:A</f>
        <v>Eva Elfie - 59206791 - Onlyfans.jpg</v>
      </c>
      <c r="C591" s="12" t="s">
        <v>8895</v>
      </c>
      <c r="D591" s="46">
        <f>New!P:P</f>
        <v>0</v>
      </c>
    </row>
    <row r="592" spans="1:4" ht="12.75">
      <c r="A592" s="45" t="str">
        <f ca="1">New!M:M</f>
        <v>{New} Eva Elfie https://doodstream.com/d/9snjpl9h4gwt/64057150 https://lulustream.com/d/cjvfgaca22r0 https://streamtape.com/v/KkBPzKraXgs03gX/64057150 (2026) #teen #blowjob #bigtits #blonde #RIPNSFW</v>
      </c>
      <c r="B592" s="12" t="str">
        <f>New!A:A</f>
        <v>Eva Elfie - 64057150 - Onlyfans.jpg</v>
      </c>
      <c r="C592" s="12" t="s">
        <v>8895</v>
      </c>
      <c r="D592" s="46">
        <f>New!P:P</f>
        <v>0</v>
      </c>
    </row>
    <row r="593" spans="1:4" ht="12.75">
      <c r="A593" s="45" t="str">
        <f ca="1">New!M:M</f>
        <v>{New} Eva Elfie https://lulustream.com/d/xt0r7gsqqmkp https://streamtape.com/v/XqWQ7VbAm4TDV23/67250856 https://doodstream.com/d/tjzfql4togf8/67250856 (2026) #teen #blonde #bigtits #blowjob #RIPNSFW</v>
      </c>
      <c r="B593" s="12" t="str">
        <f>New!A:A</f>
        <v>Eva Elfie - 67250856 - Onlyfans.jpg</v>
      </c>
      <c r="C593" s="12" t="s">
        <v>8895</v>
      </c>
      <c r="D593" s="46">
        <f>New!P:P</f>
        <v>0</v>
      </c>
    </row>
    <row r="594" spans="1:4" ht="12.75">
      <c r="A594" s="45" t="str">
        <f ca="1">New!M:M</f>
        <v>{New} Eva Elfie https://doodstream.com/d/ztx7jwf40h0h/68592528 https://streamtape.com/v/WQLzWx1aWeUbDLM/68592528 https://lulustream.com/d/allaa5ytfnur (2026) #teen #blowjob #blonde #bigtits #RIPNSFW</v>
      </c>
      <c r="B594" s="12" t="str">
        <f>New!A:A</f>
        <v>Eva Elfie - 68592528 - Onlyfans.jpg</v>
      </c>
      <c r="C594" s="12" t="s">
        <v>8895</v>
      </c>
      <c r="D594" s="46">
        <f>New!P:P</f>
        <v>0</v>
      </c>
    </row>
    <row r="595" spans="1:4" ht="12.75">
      <c r="A595" s="45" t="str">
        <f ca="1">New!M:M</f>
        <v>{New} Eva Elfie https://streamtape.com/v/rxrJGWj1oktbvwm/70410727 https://doodstream.com/d/ymj69bdsbolb/70410727 https://lulustream.com/d/u646thgu0fuf (2026) #teen #creampie #bigtits #blonde #RIPNSFW</v>
      </c>
      <c r="B595" s="12" t="str">
        <f>New!A:A</f>
        <v>Eva Elfie - 70410727 - Onlyfans.jpg</v>
      </c>
      <c r="C595" s="12" t="s">
        <v>8895</v>
      </c>
      <c r="D595" s="46">
        <f>New!P:P</f>
        <v>0</v>
      </c>
    </row>
    <row r="596" spans="1:4" ht="12.75">
      <c r="A596" s="45" t="str">
        <f ca="1">New!M:M</f>
        <v>{New} Eva Elfie https://doodstream.com/d/jcmhnf2598z7/71677812 https://lulustream.com/d/22k4x4lg3lx7 https://streamtape.com/v/vrxaDmK8BjS498Z/71677812 (2026) #BigTits #Hardcore #Teen #Artporn #Teens #Blowjob #RIPNSFW</v>
      </c>
      <c r="B596" s="12" t="str">
        <f>New!A:A</f>
        <v>Eva Elfie - 71677812 - Onlyfans.jpg</v>
      </c>
      <c r="C596" s="12" t="s">
        <v>8895</v>
      </c>
      <c r="D596" s="46">
        <f>New!P:P</f>
        <v>0</v>
      </c>
    </row>
    <row r="597" spans="1:4" ht="12.75">
      <c r="A597" s="45" t="str">
        <f ca="1">New!M:M</f>
        <v>{New} Eva Elfie https://doodstream.com/d/ybmksr3kfcsw/76703582 https://lulustream.com/d/q4svj2apw8eq https://streamtape.com/v/JoPmYke6qOtjqwZ/76703582 (2026) #teen #blowjob #blonde #bigtits #RIPNSFW</v>
      </c>
      <c r="B597" s="12" t="str">
        <f>New!A:A</f>
        <v>Eva Elfie - 76703582 - Onlyfans.jpg</v>
      </c>
      <c r="C597" s="12" t="s">
        <v>8895</v>
      </c>
      <c r="D597" s="46">
        <f>New!P:P</f>
        <v>0</v>
      </c>
    </row>
    <row r="598" spans="1:4" ht="12.75">
      <c r="A598" s="45" t="str">
        <f ca="1">New!M:M</f>
        <v>{New} Eva Elfie https://doodstream.com/d/88v6td33g9sj/81379736 https://lulustream.com/d/1b2p3ms2voay https://streamtape.com/v/06mAjqZOGBsb72b/81379736 (2026) #BigTits #Creampie #Hardcore #Teen #RIPNSFW</v>
      </c>
      <c r="B598" s="12" t="str">
        <f>New!A:A</f>
        <v>Eva Elfie - 81379736 - Onlyfans.jpg</v>
      </c>
      <c r="C598" s="12" t="s">
        <v>8895</v>
      </c>
      <c r="D598" s="46">
        <f>New!P:P</f>
        <v>0</v>
      </c>
    </row>
    <row r="599" spans="1:4" ht="12.75">
      <c r="A599" s="45" t="str">
        <f ca="1">New!M:M</f>
        <v>{New} Eva Elfie https://lulustream.com/d/e4wfj9oayedz https://streamtape.com/v/JkKLg4pzDmuj1ed/83083274 https://doodstream.com/d/6yzldar3j9nd/83083274 (2026) #BigTits #Teen #Teens #Amateur #RIPNSFW</v>
      </c>
      <c r="B599" s="12" t="str">
        <f>New!A:A</f>
        <v>Eva Elfie - 83083274 - Onlyfans.jpg</v>
      </c>
      <c r="C599" s="12" t="s">
        <v>8895</v>
      </c>
      <c r="D599" s="46">
        <f>New!P:P</f>
        <v>0</v>
      </c>
    </row>
    <row r="600" spans="1:4" ht="12.75">
      <c r="A600" s="45" t="str">
        <f ca="1">New!M:M</f>
        <v>{New} Eva Elfie https://doodstream.com/d/yw1v81eqdmvo/85253171 https://lulustream.com/d/3jur9d9iveru https://streamtape.com/v/1xxyYbO3j6feoyY/85253171 (2026) #teen #bigtits #blonde #blowjob #RIPNSFW</v>
      </c>
      <c r="B600" s="12" t="str">
        <f>New!A:A</f>
        <v>Eva Elfie - 85253171 - Onlyfans.jpg</v>
      </c>
      <c r="C600" s="12" t="s">
        <v>8895</v>
      </c>
      <c r="D600" s="46">
        <f>New!P:P</f>
        <v>0</v>
      </c>
    </row>
    <row r="601" spans="1:4" ht="12.75">
      <c r="A601" s="45" t="str">
        <f ca="1">New!M:M</f>
        <v>{New} Eva Elfie https://doodstream.com/d/5qr98hhftg2o/87988491 https://lulustream.com/d/u6pph05yxdet https://streamtape.com/v/8KRDlXO4j7Howjl/87988491 (2026) #BigTits #Hardcore #Teen #Roleplay #RIPNSFW</v>
      </c>
      <c r="B601" s="12" t="str">
        <f>New!A:A</f>
        <v>Eva Elfie - 87988491 - Onlyfans.jpg</v>
      </c>
      <c r="C601" s="12" t="s">
        <v>8895</v>
      </c>
      <c r="D601" s="46">
        <f>New!P:P</f>
        <v>0</v>
      </c>
    </row>
    <row r="602" spans="1:4" ht="12.75">
      <c r="A602" s="45" t="str">
        <f ca="1">New!M:M</f>
        <v>{New} Eva Elfie https://streamtape.com/v/6jJrbowZ6VF9z7P/91672213 https://lulustream.com/d/77ucbn34pii7 https://doodstream.com/d/a5ct2kadwa4e/91672213 (2026) #BigTits #Hardcore #Teen #Blowjob #RIPNSFW</v>
      </c>
      <c r="B602" s="12" t="str">
        <f>New!A:A</f>
        <v>Eva Elfie - 91672213 - Onlyfans.jpg</v>
      </c>
      <c r="C602" s="12" t="s">
        <v>8895</v>
      </c>
      <c r="D602" s="46">
        <f>New!P:P</f>
        <v>0</v>
      </c>
    </row>
    <row r="603" spans="1:4" ht="12.75">
      <c r="A603" s="45" t="str">
        <f ca="1">New!M:M</f>
        <v>{New} Eva Elfie https://lulustream.com/d/gvio1909wrru https://streamtape.com/v/8PQwRrzA7lC437/93618535 https://doodstream.com/d/un9f9k9ubcps/93618535 (2026) #anal #teen #bigtits #blowjob #RIPNSFW</v>
      </c>
      <c r="B603" s="12" t="str">
        <f>New!A:A</f>
        <v>Eva Elfie - 93618535 - Onlyfans.jpg</v>
      </c>
      <c r="C603" s="12" t="s">
        <v>8895</v>
      </c>
      <c r="D603" s="46">
        <f>New!P:P</f>
        <v>0</v>
      </c>
    </row>
    <row r="604" spans="1:4" ht="12.75">
      <c r="A604" s="45" t="str">
        <f ca="1">New!M:M</f>
        <v>{New} Eva Elfie https://streamtape.com/v/8VZVk26QvdCoaVV/97760224 https://doodstream.com/d/hh5by62vaqs3/97760224 https://lulustream.com/d/349p4kxoqbo0 (2026) #BigTits #Hardcore #Teen #Blowjob #RIPNSFW</v>
      </c>
      <c r="B604" s="12" t="str">
        <f>New!A:A</f>
        <v>Eva Elfie - 97760224 - Onlyfans.jpg</v>
      </c>
      <c r="C604" s="12" t="s">
        <v>8895</v>
      </c>
      <c r="D604" s="46">
        <f>New!P:P</f>
        <v>0</v>
      </c>
    </row>
    <row r="605" spans="1:4" ht="12.75">
      <c r="A605" s="45" t="str">
        <f ca="1">New!M:M</f>
        <v>{New} Eva Elfie https://streamtape.com/v/ZxY31epdgQFqDrp/99259850 https://lulustream.com/d/fytv1vavn5au https://doodstream.com/d/n1imyfx0rke8/99259850 (2026) #teen #blowjob #bigtits #blonde #RIPNSFW</v>
      </c>
      <c r="B605" s="12" t="str">
        <f>New!A:A</f>
        <v>Eva Elfie - 99259850 - Onlyfans.jpg</v>
      </c>
      <c r="C605" s="12" t="s">
        <v>8895</v>
      </c>
      <c r="D605" s="46">
        <f>New!P:P</f>
        <v>0</v>
      </c>
    </row>
    <row r="606" spans="1:4" ht="12.75">
      <c r="A606" s="45" t="str">
        <f ca="1">New!M:M</f>
        <v>{New} Eva Nyx https://doodstream.com/d/5v2o1xm1tj94/70048649 https://streamtape.com/v/Lykm2rovqAU64O/70048649 https://lulustream.com/d/yprr9sdvzo2u (2026) #blowjob #blonde #teen #amateur #RIPNSFW</v>
      </c>
      <c r="B606" s="12" t="str">
        <f>New!A:A</f>
        <v>Eva Nyx - 70048649 - PPV.jpg</v>
      </c>
      <c r="C606" s="12" t="s">
        <v>8895</v>
      </c>
      <c r="D606" s="46">
        <f>New!P:P</f>
        <v>0</v>
      </c>
    </row>
    <row r="607" spans="1:4" ht="12.75">
      <c r="A607" s="45" t="str">
        <f ca="1">New!M:M</f>
        <v>{New} Eva Nyx https://lulustream.com/d/ya75oijb484w https://doodstream.com/d/7x4liel1jfxp/86406160 https://streamtape.com/v/KQwAezGlv2hgMv/86406160 Charlie Forde (2026) #BigTits #Hardcore #Bigass #Porn #Teen #Roleplay #Teens #Blowjob #Deepthroat #Blonde #RIPNSFW</v>
      </c>
      <c r="B607" s="12" t="str">
        <f>New!A:A</f>
        <v>Eva Nyx - 86406160 - FS - Charlie Forde.jpg</v>
      </c>
      <c r="C607" s="12" t="s">
        <v>8895</v>
      </c>
      <c r="D607" s="46">
        <f>New!P:P</f>
        <v>0</v>
      </c>
    </row>
    <row r="608" spans="1:4" ht="12.75">
      <c r="A608" s="45" t="str">
        <f ca="1">New!M:M</f>
        <v>{New} Gabbie Carter https://lulustream.com/d/tfvrnmfl8s38 https://doodstream.com/d/0nzcmmf48qlk/11937242 https://streamtape.com/v/rgOZBbxrV6cbrML/11937242 (2026) #MILF #BigTits #Creampie #Hardcore #Artporn #Stepmom #Blowjob #Amateur #Hotwife #RIPNSFW</v>
      </c>
      <c r="B608" s="12" t="str">
        <f>New!A:A</f>
        <v>Gabbie Carter - 11937242 - Onlyfans.jpg</v>
      </c>
      <c r="C608" s="12" t="s">
        <v>8895</v>
      </c>
      <c r="D608" s="46">
        <f>New!P:P</f>
        <v>0</v>
      </c>
    </row>
    <row r="609" spans="1:4" ht="12.75">
      <c r="A609" s="45" t="str">
        <f ca="1">New!M:M</f>
        <v>{New} Gabbie Carter https://streamtape.com/v/O4vkxZo0dgSG1Z/14177864 https://doodstream.com/d/zmhvqow4gajc/14177864 https://lulustream.com/d/cgh7l6v22b62 Little Caprice (2026) #BigTits #Hardcore #Porn #Teen #Teens #RIPNSFW</v>
      </c>
      <c r="B609" s="12" t="str">
        <f>New!A:A</f>
        <v>Gabbie Carter - 14177864 - ripnsfw.com - Little Caprice.jpg</v>
      </c>
      <c r="C609" s="12" t="s">
        <v>8895</v>
      </c>
      <c r="D609" s="46">
        <f>New!P:P</f>
        <v>0</v>
      </c>
    </row>
    <row r="610" spans="1:4" ht="12.75">
      <c r="A610" s="45" t="str">
        <f ca="1">New!M:M</f>
        <v>{New} Gabbie Carter https://doodstream.com/d/zhwffdmdbgzz/16143215 https://streamtape.com/v/8Ovx63O4kJUX63/16143215 https://lulustream.com/d/5bz8tisyzja1 (2026) #milf #blowjob #bigtits #blonde #RIPNSFW</v>
      </c>
      <c r="B610" s="12" t="str">
        <f>New!A:A</f>
        <v>Gabbie Carter - 16143215 - Onlyfans.jpg</v>
      </c>
      <c r="C610" s="12" t="s">
        <v>8895</v>
      </c>
      <c r="D610" s="46">
        <f>New!P:P</f>
        <v>0</v>
      </c>
    </row>
    <row r="611" spans="1:4" ht="12.75">
      <c r="A611" s="45" t="str">
        <f ca="1">New!M:M</f>
        <v>{New} Gabbie Carter https://doodstream.com/d/fxtpijqu3ifu/20538793 https://streamtape.com/v/MqD4zGMjvoiDy8/20538793 https://lulustream.com/d/zzr5r4acrakr (2026) #milf #bigtits #handjob #blonde #RIPNSFW</v>
      </c>
      <c r="B611" s="12" t="str">
        <f>New!A:A</f>
        <v>Gabbie Carter - 20538793 - Onlyfans.jpg</v>
      </c>
      <c r="C611" s="12" t="s">
        <v>8895</v>
      </c>
      <c r="D611" s="46">
        <f>New!P:P</f>
        <v>0</v>
      </c>
    </row>
    <row r="612" spans="1:4" ht="12.75">
      <c r="A612" s="45" t="str">
        <f ca="1">New!M:M</f>
        <v>{New} Gabbie Carter https://doodstream.com/d/2oeetb7483tk/22251371 https://streamtape.com/v/1aVbWjzQLPf1z2/22251371 https://lulustream.com/d/yjiayhyotstg (2026) #milf #bigtits #blonde #blowjob #RIPNSFW</v>
      </c>
      <c r="B612" s="12" t="str">
        <f>New!A:A</f>
        <v>Gabbie Carter - 22251371 - Onlyfans.jpg</v>
      </c>
      <c r="C612" s="12" t="s">
        <v>8895</v>
      </c>
      <c r="D612" s="46">
        <f>New!P:P</f>
        <v>0</v>
      </c>
    </row>
    <row r="613" spans="1:4" ht="12.75">
      <c r="A613" s="45" t="str">
        <f ca="1">New!M:M</f>
        <v>{New} Gabbie Carter https://doodstream.com/d/y0chen13nyxj/27573005 https://streamtape.com/v/9eJYbBjplGFaerj/27573005 https://lulustream.com/d/gxmcx1fxz0i1 (2026) #milf #bigtits #blowjob #pov #RIPNSFW</v>
      </c>
      <c r="B613" s="12" t="str">
        <f>New!A:A</f>
        <v>Gabbie Carter - 27573005 - Onlyfans.jpg</v>
      </c>
      <c r="C613" s="12" t="s">
        <v>8895</v>
      </c>
      <c r="D613" s="46">
        <f>New!P:P</f>
        <v>0</v>
      </c>
    </row>
    <row r="614" spans="1:4" ht="12.75">
      <c r="A614" s="45" t="str">
        <f ca="1">New!M:M</f>
        <v>{New} Gabbie Carter https://doodstream.com/d/vdmno181dfgg/28724000 https://streamtape.com/v/4XxyoYe697hG0d/28724000 https://lulustream.com/d/rhj7uq6844bf (2026) #blowjob #milf #pov #bigtits #RIPNSFW</v>
      </c>
      <c r="B614" s="12" t="str">
        <f>New!A:A</f>
        <v>Gabbie Carter - 28724000 - Onlyfans.jpg</v>
      </c>
      <c r="C614" s="12" t="s">
        <v>8895</v>
      </c>
      <c r="D614" s="46">
        <f>New!P:P</f>
        <v>0</v>
      </c>
    </row>
    <row r="615" spans="1:4" ht="12.75">
      <c r="A615" s="45" t="str">
        <f ca="1">New!M:M</f>
        <v>{New} Gabbie Carter https://streamtape.com/v/DAzQP7g0akCkaae/33418129 https://doodstream.com/d/43whru2mf3sr/33418129 https://lulustream.com/d/wwpg0re0qfe6 (2026) #blowjob #milf #pov #blonde #RIPNSFW</v>
      </c>
      <c r="B615" s="12" t="str">
        <f>New!A:A</f>
        <v>Gabbie Carter - 33418129 - Onlyfans.jpg</v>
      </c>
      <c r="C615" s="12" t="s">
        <v>8895</v>
      </c>
      <c r="D615" s="46">
        <f>New!P:P</f>
        <v>0</v>
      </c>
    </row>
    <row r="616" spans="1:4" ht="12.75">
      <c r="A616" s="45" t="str">
        <f ca="1">New!M:M</f>
        <v>{New} Gabbie Carter https://lulustream.com/d/ejm6gmyzdmat https://streamtape.com/v/DogZP8l6eYFkgX9/34898438 https://doodstream.com/d/1tjkhhuil1il/34898438 (2026) #milf #blonde #bigtits #milk #RIPNSFW</v>
      </c>
      <c r="B616" s="12" t="str">
        <f>New!A:A</f>
        <v>Gabbie Carter - 34898438 - Onlyfans.jpg</v>
      </c>
      <c r="C616" s="12" t="s">
        <v>8895</v>
      </c>
      <c r="D616" s="46">
        <f>New!P:P</f>
        <v>0</v>
      </c>
    </row>
    <row r="617" spans="1:4" ht="12.75">
      <c r="A617" s="45" t="str">
        <f ca="1">New!M:M</f>
        <v>{New} Gabbie Carter https://doodstream.com/d/sxs971lzeyjm/35121961 https://lulustream.com/d/ee0tekkbs1sn https://streamtape.com/v/yxwZoxoBZeI11ad/35121961 (2026) #milf #blonde #bigtits #blowjob #RIPNSFW</v>
      </c>
      <c r="B617" s="12" t="str">
        <f>New!A:A</f>
        <v>Gabbie Carter - 35121961 - Onlyfans.jpg</v>
      </c>
      <c r="C617" s="12" t="s">
        <v>8895</v>
      </c>
      <c r="D617" s="46">
        <f>New!P:P</f>
        <v>0</v>
      </c>
    </row>
    <row r="618" spans="1:4" ht="12.75">
      <c r="A618" s="45" t="str">
        <f ca="1">New!M:M</f>
        <v>{New} Gabbie Carter https://streamtape.com/v/bKkbBxmAWwtPAx9/36367348 https://doodstream.com/d/4recy2df4zwb/36367348 https://lulustream.com/d/spw3kdyzs3rk (2026) #anal #milf #bigtits #blowjob #RIPNSFW</v>
      </c>
      <c r="B618" s="12" t="str">
        <f>New!A:A</f>
        <v>Gabbie Carter - 36367348 - Onlyfans.jpg</v>
      </c>
      <c r="C618" s="12" t="s">
        <v>8895</v>
      </c>
      <c r="D618" s="46">
        <f>New!P:P</f>
        <v>0</v>
      </c>
    </row>
    <row r="619" spans="1:4" ht="12.75">
      <c r="A619" s="45" t="str">
        <f ca="1">New!M:M</f>
        <v>{New} Gabbie Carter https://streamtape.com/v/K9dmzzJxvQIoPz/38136601 https://doodstream.com/d/6pez696pjetj/38136601 https://lulustream.com/d/tioetldcv4no (2026) #BigTits #Teen #Solo #Blonde #RIPNSFW</v>
      </c>
      <c r="B619" s="12" t="str">
        <f>New!A:A</f>
        <v>Gabbie Carter - 38136601 - ripnsfw.com.jpg</v>
      </c>
      <c r="C619" s="12" t="s">
        <v>8895</v>
      </c>
      <c r="D619" s="46">
        <f>New!P:P</f>
        <v>0</v>
      </c>
    </row>
    <row r="620" spans="1:4" ht="12.75">
      <c r="A620" s="45" t="str">
        <f ca="1">New!M:M</f>
        <v>{New} Gabbie Carter https://lulustream.com/d/3zhjn9tfrtzw https://doodstream.com/d/vyp18p4jw8da/39126781 https://streamtape.com/v/VmaZDLLRYpSzlG/39126781 (2026) #BigTits #Hardcore #Black #Interracial #Porn #Teen #Blowjob #Deepthroat #Blonde #RIPNSFW</v>
      </c>
      <c r="B620" s="12" t="str">
        <f>New!A:A</f>
        <v>Gabbie Carter - 39126781 - ripnsfw.com.jpg</v>
      </c>
      <c r="C620" s="12" t="s">
        <v>8895</v>
      </c>
      <c r="D620" s="46">
        <f>New!P:P</f>
        <v>0</v>
      </c>
    </row>
    <row r="621" spans="1:4" ht="12.75">
      <c r="A621" s="45" t="str">
        <f ca="1">New!M:M</f>
        <v>{New} Gabbie Carter https://lulustream.com/d/ngtb14qcr9a9 https://streamtape.com/v/YLR9PrORRWSvDqD/40364129 https://doodstream.com/d/39nn37xovx0a/40364129 (2026) #BigTits #Hardcore #Porn #Teen #Blowjob #Blonde #RIPNSFW</v>
      </c>
      <c r="B621" s="12" t="str">
        <f>New!A:A</f>
        <v>Gabbie Carter - 40364129 - ripnsfw.com.jpg</v>
      </c>
      <c r="C621" s="12" t="s">
        <v>8895</v>
      </c>
      <c r="D621" s="46">
        <f>New!P:P</f>
        <v>0</v>
      </c>
    </row>
    <row r="622" spans="1:4" ht="12.75">
      <c r="A622" s="45" t="str">
        <f ca="1">New!M:M</f>
        <v>{New} Gabbie Carter https://streamtape.com/v/kkW7YvmDPatOGgo/40796243 https://lulustream.com/d/wwnuymx8qjo2 https://doodstream.com/d/fy0gbct4o8ew/40796243 (2026) #MILF #BigTits #Hardcore #Creampie #Blowjob #Amateur #Hotwife #Blonde #RIPNSFW</v>
      </c>
      <c r="B622" s="12" t="str">
        <f>New!A:A</f>
        <v>Gabbie Carter - 40796243 - ripnsfw.com.jpg</v>
      </c>
      <c r="C622" s="12" t="s">
        <v>8895</v>
      </c>
      <c r="D622" s="46">
        <f>New!P:P</f>
        <v>0</v>
      </c>
    </row>
    <row r="623" spans="1:4" ht="12.75">
      <c r="A623" s="45" t="str">
        <f ca="1">New!M:M</f>
        <v>{New} Gabbie Carter https://doodstream.com/d/6k62zu1a6z9f/43063870 https://streamtape.com/v/OJRp0brVGwfelQ/43063870 https://lulustream.com/d/cpbyq3edv9pl (2026) #milf #blowjob #blonde #pov #RIPNSFW</v>
      </c>
      <c r="B623" s="12" t="str">
        <f>New!A:A</f>
        <v>Gabbie Carter - 43063870 - Onlyfans.jpg</v>
      </c>
      <c r="C623" s="12" t="s">
        <v>8895</v>
      </c>
      <c r="D623" s="46">
        <f>New!P:P</f>
        <v>0</v>
      </c>
    </row>
    <row r="624" spans="1:4" ht="12.75">
      <c r="A624" s="45" t="str">
        <f ca="1">New!M:M</f>
        <v>{New} Gabbie Carter https://doodstream.com/d/wpqdrnirst36/43669016 https://streamtape.com/v/41Px8qOaX8iKYxQ/43669016 https://lulustream.com/d/nteyxmhbrf2l (2026) #milf #bigtits #creampie #blonde #RIPNSFW</v>
      </c>
      <c r="B624" s="12" t="str">
        <f>New!A:A</f>
        <v>Gabbie Carter - 43669016 - Onlyfans.jpg</v>
      </c>
      <c r="C624" s="12" t="s">
        <v>8895</v>
      </c>
      <c r="D624" s="46">
        <f>New!P:P</f>
        <v>0</v>
      </c>
    </row>
    <row r="625" spans="1:4" ht="12.75">
      <c r="A625" s="45" t="str">
        <f ca="1">New!M:M</f>
        <v>{New} Gabbie Carter https://streamtape.com/v/PDP4a7VGOgT0JGd/45387459 https://lulustream.com/d/sukd2b2j3c7v https://doodstream.com/d/3d6t1mrxkzv4/45387459 (2026) #milf #blonde #bigtits #blowjob #RIPNSFW</v>
      </c>
      <c r="B625" s="12" t="str">
        <f>New!A:A</f>
        <v>Gabbie Carter - 45387459 - Onlyfans.jpg</v>
      </c>
      <c r="C625" s="12" t="s">
        <v>8895</v>
      </c>
      <c r="D625" s="46">
        <f>New!P:P</f>
        <v>0</v>
      </c>
    </row>
    <row r="626" spans="1:4" ht="12.75">
      <c r="A626" s="45" t="str">
        <f ca="1">New!M:M</f>
        <v>{New} Gabbie Carter https://lulustream.com/d/8n0531nnrh0q https://doodstream.com/d/zci6iq5tzksj/47956232 https://streamtape.com/v/G9eXZ8lDPYiY77/47956232 (2026) #milf #bigtits #blowjob #creampie #RIPNSFW</v>
      </c>
      <c r="B626" s="12" t="str">
        <f>New!A:A</f>
        <v>Gabbie Carter - 47956232 - Onlyfans.jpg</v>
      </c>
      <c r="C626" s="12" t="s">
        <v>8895</v>
      </c>
      <c r="D626" s="46">
        <f>New!P:P</f>
        <v>0</v>
      </c>
    </row>
    <row r="627" spans="1:4" ht="12.75">
      <c r="A627" s="45" t="str">
        <f ca="1">New!M:M</f>
        <v>{New} Gabbie Carter https://doodstream.com/d/tt1gklwdae4a/47987650 https://streamtape.com/v/m9l6O8RJXeSG7B/47987650 https://lulustream.com/d/y9xfbv38j6t9 (2026) #MILF #BigTits #Hardcore #Blowjob #Amateur #Hotwife #Deepthroat #RIPNSFW</v>
      </c>
      <c r="B627" s="12" t="str">
        <f>New!A:A</f>
        <v>Gabbie Carter - 47987650 - Onlyfans.jpg</v>
      </c>
      <c r="C627" s="12" t="s">
        <v>8895</v>
      </c>
      <c r="D627" s="46">
        <f>New!P:P</f>
        <v>0</v>
      </c>
    </row>
    <row r="628" spans="1:4" ht="12.75">
      <c r="A628" s="45" t="str">
        <f ca="1">New!M:M</f>
        <v>{New} Gabbie Carter https://lulustream.com/d/xfzpzxtj16c3 https://streamtape.com/v/wZWD29bOWqToAw/48558257 https://doodstream.com/d/tq0kzz79tn45/48558257 (2026) #milf #bigtits #blonde #solo #RIPNSFW</v>
      </c>
      <c r="B628" s="12" t="str">
        <f>New!A:A</f>
        <v>Gabbie Carter - 48558257 - Onlyfans.jpg</v>
      </c>
      <c r="C628" s="12" t="s">
        <v>8895</v>
      </c>
      <c r="D628" s="46">
        <f>New!P:P</f>
        <v>0</v>
      </c>
    </row>
    <row r="629" spans="1:4" ht="12.75">
      <c r="A629" s="45" t="str">
        <f ca="1">New!M:M</f>
        <v>{New} Gabbie Carter https://doodstream.com/d/7nidm1xuqrxt/50559757 https://lulustream.com/d/4x5jtj8k3hjz https://streamtape.com/v/MyY0YaXdxeIeXL/50559757 (2026) #MILF #BigTits #Roleplay #Blowjob #Blonde #RIPNSFW</v>
      </c>
      <c r="B629" s="12" t="str">
        <f>New!A:A</f>
        <v>Gabbie Carter - 50559757 - ripnsfw.com.jpg</v>
      </c>
      <c r="C629" s="12" t="s">
        <v>8895</v>
      </c>
      <c r="D629" s="46">
        <f>New!P:P</f>
        <v>0</v>
      </c>
    </row>
    <row r="630" spans="1:4" ht="12.75">
      <c r="A630" s="45" t="str">
        <f ca="1">New!M:M</f>
        <v>{New} Gabbie Carter https://lulustream.com/d/3y1pwtdpb82g https://streamtape.com/v/m3ym9xkAALhVgl/57774773 https://doodstream.com/d/biz0bq0v51lh/57774773 (2026) #bigtits #milf #hardcore #blonde #RIPNSFW</v>
      </c>
      <c r="B630" s="12" t="str">
        <f>New!A:A</f>
        <v>Gabbie Carter - 57774773 - Onlyfans.jpg</v>
      </c>
      <c r="C630" s="12" t="s">
        <v>8895</v>
      </c>
      <c r="D630" s="46">
        <f>New!P:P</f>
        <v>0</v>
      </c>
    </row>
    <row r="631" spans="1:4" ht="12.75">
      <c r="A631" s="45" t="str">
        <f ca="1">New!M:M</f>
        <v>Gabbie Carter https://doodstream.com/d/cukpofrtpknk/57960276 https://lulustream.com/d/j4hi8cupuk39 https://streamtape.com/v/yd2ZY0vp18UojW/57960276 #anal #creampie #milf #bigtits #RIPNSFW</v>
      </c>
      <c r="B631" s="12" t="str">
        <f>New!A:A</f>
        <v>Gabbie Carter - 57960276 - Onlyfans.jpg</v>
      </c>
      <c r="C631" s="12" t="s">
        <v>8895</v>
      </c>
      <c r="D631" s="46">
        <f>New!P:P</f>
        <v>0</v>
      </c>
    </row>
    <row r="632" spans="1:4" ht="12.75">
      <c r="A632" s="45" t="str">
        <f ca="1">New!M:M</f>
        <v>{New} Gabbie Carter https://doodstream.com/d/bfp1vw2aenp9/59574286 https://streamtape.com/v/8PyM1qrK29form9/59574286 https://lulustream.com/d/yk9guj60hh46 (2026) #creampie #milf #bigtits #blonde #RIPNSFW</v>
      </c>
      <c r="B632" s="12" t="str">
        <f>New!A:A</f>
        <v>Gabbie Carter - 59574286 - Onlyfans.jpg</v>
      </c>
      <c r="C632" s="12" t="s">
        <v>8895</v>
      </c>
      <c r="D632" s="46">
        <f>New!P:P</f>
        <v>0</v>
      </c>
    </row>
    <row r="633" spans="1:4" ht="12.75">
      <c r="A633" s="45" t="str">
        <f ca="1">New!M:M</f>
        <v>{New} Gabbie Carter https://streamtape.com/v/o2YGdV0YlqfJLY7/61126965 https://doodstream.com/d/aihbrqw1xvwy/61126965 https://lulustream.com/d/jfioomjzb5mb Angel Youngs (2026) #Anal #BigTits #Creampie #Hardcore #RIPNSFW</v>
      </c>
      <c r="B633" s="12" t="str">
        <f>New!A:A</f>
        <v>Gabbie Carter - 61126965 - ripnsfw.com - Angel Youngs.jpg</v>
      </c>
      <c r="C633" s="12" t="s">
        <v>8895</v>
      </c>
      <c r="D633" s="46">
        <f>New!P:P</f>
        <v>0</v>
      </c>
    </row>
    <row r="634" spans="1:4" ht="12.75">
      <c r="A634" s="45" t="str">
        <f ca="1">New!M:M</f>
        <v>{New} Gabbie Carter https://doodstream.com/d/ldkfu2zrof2b/61356883 https://lulustream.com/d/tq09wtqjmi35 https://streamtape.com/v/yg0xLM1Y9aT1lA9/61356883 (2026) #BigTits #Hardcore #Porn #Teen #Blowjob #Amateur #RIPNSFW</v>
      </c>
      <c r="B634" s="12" t="str">
        <f>New!A:A</f>
        <v>Gabbie Carter - 61356883 - ripnsfw.com.jpg</v>
      </c>
      <c r="C634" s="12" t="s">
        <v>8895</v>
      </c>
      <c r="D634" s="46">
        <f>New!P:P</f>
        <v>0</v>
      </c>
    </row>
    <row r="635" spans="1:4" ht="12.75">
      <c r="A635" s="45" t="str">
        <f ca="1">New!M:M</f>
        <v>{New} Gabbie Carter https://doodstream.com/d/n8z78d98y54e/66679080 https://streamtape.com/v/V8aVk9OBvDhKdm3/66679080 https://lulustream.com/d/mvphv8m0zdea (2026) #milf #bigtits #solo #blowjob #RIPNSFW</v>
      </c>
      <c r="B635" s="12" t="str">
        <f>New!A:A</f>
        <v>Gabbie Carter - 66679080 - Onlyfans.jpg</v>
      </c>
      <c r="C635" s="12" t="s">
        <v>8895</v>
      </c>
      <c r="D635" s="46">
        <f>New!P:P</f>
        <v>0</v>
      </c>
    </row>
    <row r="636" spans="1:4" ht="12.75">
      <c r="A636" s="45" t="str">
        <f ca="1">New!M:M</f>
        <v>{New} Gabbie Carter https://streamtape.com/v/KyyjvYvWBdF0qkZ/67796670 https://doodstream.com/d/jcqcpabmy2gq/67796670 https://lulustream.com/d/h5gnbuqw2i34 (2026) #milf #bigtits #blowjob #blonde #RIPNSFW</v>
      </c>
      <c r="B636" s="12" t="str">
        <f>New!A:A</f>
        <v>Gabbie Carter - 67796670 - Onlyfans.jpg</v>
      </c>
      <c r="C636" s="12" t="s">
        <v>8895</v>
      </c>
      <c r="D636" s="46">
        <f>New!P:P</f>
        <v>0</v>
      </c>
    </row>
    <row r="637" spans="1:4" ht="12.75">
      <c r="A637" s="45" t="str">
        <f ca="1">New!M:M</f>
        <v>{New} Gabbie Carter https://streamtape.com/v/Mr3RA4Q2mzimV2o/69571722 https://doodstream.com/d/ygx7svkh5i99/69571722 https://lulustream.com/d/4l9gguke30ty (2026) #MILF #BigTits #Hardcore #Blowjob #Amateur #Hotwife #Blonde #RIPNSFW</v>
      </c>
      <c r="B637" s="12" t="str">
        <f>New!A:A</f>
        <v>Gabbie Carter - 69571722 - ripnsfw.com.jpg</v>
      </c>
      <c r="C637" s="12" t="s">
        <v>8895</v>
      </c>
      <c r="D637" s="46">
        <f>New!P:P</f>
        <v>0</v>
      </c>
    </row>
    <row r="638" spans="1:4" ht="12.75">
      <c r="A638" s="45" t="str">
        <f ca="1">New!M:M</f>
        <v>{New} Gabbie Carter https://lulustream.com/d/3vv8z0fvt7is https://doodstream.com/d/o77yz4ynpqc4/70879136 https://streamtape.com/v/qZeoeKBGjvsz2ga/70879136 (2026) #milf #blowjob #bigtits #blonde #RIPNSFW</v>
      </c>
      <c r="B638" s="12" t="str">
        <f>New!A:A</f>
        <v>Gabbie Carter - 70879136 - Onlyfans.jpg</v>
      </c>
      <c r="C638" s="12" t="s">
        <v>8895</v>
      </c>
      <c r="D638" s="46">
        <f>New!P:P</f>
        <v>0</v>
      </c>
    </row>
    <row r="639" spans="1:4" ht="12.75">
      <c r="A639" s="45" t="str">
        <f ca="1">New!M:M</f>
        <v>{New} Gabbie Carter https://streamtape.com/v/4vZVRQboy6IKDxQ/75482473 https://doodstream.com/d/dpv41a4vkdnl/75482473 https://lulustream.com/d/eysjxvkchypq (2026) #milf #bigtits #blonde #solo #RIPNSFW</v>
      </c>
      <c r="B639" s="12" t="str">
        <f>New!A:A</f>
        <v>Gabbie Carter - 75482473 - Onlyfans.jpg</v>
      </c>
      <c r="C639" s="12" t="s">
        <v>8895</v>
      </c>
      <c r="D639" s="46">
        <f>New!P:P</f>
        <v>0</v>
      </c>
    </row>
    <row r="640" spans="1:4" ht="12.75">
      <c r="A640" s="45" t="str">
        <f ca="1">New!M:M</f>
        <v>{New} Gabbie Carter https://lulustream.com/d/2lj42119yahk https://doodstream.com/d/b35xvakju85r/78356614 https://streamtape.com/v/Gp7yBv9BPai1z6Z/78356614 (2026) #milf #bigtits #blowjob #blonde #RIPNSFW</v>
      </c>
      <c r="B640" s="12" t="str">
        <f>New!A:A</f>
        <v>Gabbie Carter - 78356614 - Onlyfans.jpg</v>
      </c>
      <c r="C640" s="12" t="s">
        <v>8895</v>
      </c>
      <c r="D640" s="46">
        <f>New!P:P</f>
        <v>0</v>
      </c>
    </row>
    <row r="641" spans="1:4" ht="12.75">
      <c r="A641" s="45" t="str">
        <f ca="1">New!M:M</f>
        <v>{New} Gabbie Carter https://doodstream.com/d/fsrpdu92n0cm/78580590 https://lulustream.com/d/1ruv3qcts49n https://streamtape.com/v/8qZBV77oYWcoRk2/78580590 (2026) #Anal #MILF #BigTits #Creampie #Hardcore #Artporn #Blowjob #Amateur #Hotwife #Blonde #RIPNSFW</v>
      </c>
      <c r="B641" s="12" t="str">
        <f>New!A:A</f>
        <v>Gabbie Carter - 78580590 - ripnsfw.com.jpg</v>
      </c>
      <c r="C641" s="12" t="s">
        <v>8895</v>
      </c>
      <c r="D641" s="46">
        <f>New!P:P</f>
        <v>0</v>
      </c>
    </row>
    <row r="642" spans="1:4" ht="12.75">
      <c r="A642" s="45" t="str">
        <f ca="1">New!M:M</f>
        <v>{New} Gabbie Carter https://streamtape.com/v/qrVoPddRPeUz9DJ/80894194 https://doodstream.com/d/cyt0oge6dljc/80894194 https://lulustream.com/d/cms0x2e2zni3 (2026) #BigTits #Hardcore #Porn #Teen #RIPNSFW</v>
      </c>
      <c r="B642" s="12" t="str">
        <f>New!A:A</f>
        <v>Gabbie Carter - 80894194 - ripnsfw.com.jpg</v>
      </c>
      <c r="C642" s="12" t="s">
        <v>8895</v>
      </c>
      <c r="D642" s="46">
        <f>New!P:P</f>
        <v>0</v>
      </c>
    </row>
    <row r="643" spans="1:4" ht="12.75">
      <c r="A643" s="45" t="str">
        <f ca="1">New!M:M</f>
        <v>{New} Gabbie Carter https://streamtape.com/v/z3mO4WYq7MfYLMV/82882024 https://lulustream.com/d/bznm586e7uoy https://doodstream.com/d/k1kygi8eihmw/82882024 (2026) #milf #bigtits #blonde #solo #RIPNSFW</v>
      </c>
      <c r="B643" s="12" t="str">
        <f>New!A:A</f>
        <v>Gabbie Carter - 82882024 - Onlyfans.jpg</v>
      </c>
      <c r="C643" s="12" t="s">
        <v>8895</v>
      </c>
      <c r="D643" s="46">
        <f>New!P:P</f>
        <v>0</v>
      </c>
    </row>
    <row r="644" spans="1:4" ht="12.75">
      <c r="A644" s="45" t="str">
        <f ca="1">New!M:M</f>
        <v>{New} Gabbie Carter https://lulustream.com/d/gjqrgtjyz6xa https://streamtape.com/v/r3KBLADgpMtbPRq/83252268 https://doodstream.com/d/yp8mr8mbq9vm/83252268 (2026) #milf #handjob #bigtits #blonde #RIPNSFW</v>
      </c>
      <c r="B644" s="12" t="str">
        <f>New!A:A</f>
        <v>Gabbie Carter - 83252268 - Onlyfans.jpg</v>
      </c>
      <c r="C644" s="12" t="s">
        <v>8895</v>
      </c>
      <c r="D644" s="46">
        <f>New!P:P</f>
        <v>0</v>
      </c>
    </row>
    <row r="645" spans="1:4" ht="12.75">
      <c r="A645" s="45" t="str">
        <f ca="1">New!M:M</f>
        <v>{New} Gabbie Carter https://doodstream.com/d/h1ahx730f5y9/84125752 https://streamtape.com/v/Q0X7QvDOexu0oPa/84125752 https://lulustream.com/d/m8txeegx23tp (2026) #milf #bigtits #blowjob #deepthroat #RIPNSFW</v>
      </c>
      <c r="B645" s="12" t="str">
        <f>New!A:A</f>
        <v>Gabbie Carter - 84125752 - Onlyfans.jpg</v>
      </c>
      <c r="C645" s="12" t="s">
        <v>8895</v>
      </c>
      <c r="D645" s="46">
        <f>New!P:P</f>
        <v>0</v>
      </c>
    </row>
    <row r="646" spans="1:4" ht="12.75">
      <c r="A646" s="45" t="str">
        <f ca="1">New!M:M</f>
        <v>{New} Gabbie Carter https://streamtape.com/v/jbxK8MovP6Fz0Mq/84416045 https://doodstream.com/d/8q65kx7192gy/84416045 https://lulustream.com/d/p7izqtz29g1b (2026) #milf #bigtits #creampie #blowjob #RIPNSFW</v>
      </c>
      <c r="B646" s="12" t="str">
        <f>New!A:A</f>
        <v>Gabbie Carter - 84416045 - Onlyfans.jpg</v>
      </c>
      <c r="C646" s="12" t="s">
        <v>8895</v>
      </c>
      <c r="D646" s="46">
        <f>New!P:P</f>
        <v>0</v>
      </c>
    </row>
    <row r="647" spans="1:4" ht="12.75">
      <c r="A647" s="45" t="str">
        <f ca="1">New!M:M</f>
        <v>{New} Gabbie Carter https://streamtape.com/v/88eZdyOz9xForbK/85598003 https://doodstream.com/d/5umdukv7o3qs/85598003 https://lulustream.com/d/3gjg6noectcr (2026) #milf #bigtits #blowjob #blonde #RIPNSFW</v>
      </c>
      <c r="B647" s="12" t="str">
        <f>New!A:A</f>
        <v>Gabbie Carter - 85598003 - Onlyfans.jpg</v>
      </c>
      <c r="C647" s="12" t="s">
        <v>8895</v>
      </c>
      <c r="D647" s="46">
        <f>New!P:P</f>
        <v>0</v>
      </c>
    </row>
    <row r="648" spans="1:4" ht="12.75">
      <c r="A648" s="45" t="str">
        <f ca="1">New!M:M</f>
        <v>{New} Gabbie Carter https://lulustream.com/d/l7l4ofoj04yq https://streamtape.com/v/Bv7woZbWKOUyezY/87954006 https://doodstream.com/d/ogswjra9im6i/87954006 (2026) #MILF #BigTits #Hardcore #Blowjob #Amateur #RIPNSFW</v>
      </c>
      <c r="B648" s="12" t="str">
        <f>New!A:A</f>
        <v>Gabbie Carter - 87954006 - ripnsfw.com.jpg</v>
      </c>
      <c r="C648" s="12" t="s">
        <v>8895</v>
      </c>
      <c r="D648" s="46">
        <f>New!P:P</f>
        <v>0</v>
      </c>
    </row>
    <row r="649" spans="1:4" ht="12.75">
      <c r="A649" s="45" t="str">
        <f ca="1">New!M:M</f>
        <v>{New} Gabbie Carter https://streamtape.com/v/0roDg3DVeatbzzy/88275932 https://lulustream.com/d/k7ng70l8c9ok https://doodstream.com/d/ur4eljw8jr14/88275932 (2026) #BigTits #Teen #Roleplay #Solo #Blonde #RIPNSFW</v>
      </c>
      <c r="B649" s="12" t="str">
        <f>New!A:A</f>
        <v>Gabbie Carter - 88275932 - ripnsfw.com.jpg</v>
      </c>
      <c r="C649" s="12" t="s">
        <v>8895</v>
      </c>
      <c r="D649" s="46">
        <f>New!P:P</f>
        <v>0</v>
      </c>
    </row>
    <row r="650" spans="1:4" ht="12.75">
      <c r="A650" s="45" t="str">
        <f ca="1">New!M:M</f>
        <v>{New} Gabbie Carter https://doodstream.com/d/g89802dekkou/88513952 https://lulustream.com/d/120uazjuxwvx https://streamtape.com/v/GbdOzoAPg2slXb/88513952 (2026) #milf #bigtits #creampie #blowjob #RIPNSFW</v>
      </c>
      <c r="B650" s="12" t="str">
        <f>New!A:A</f>
        <v>Gabbie Carter - 88513952 - Onlyfans.jpg</v>
      </c>
      <c r="C650" s="12" t="s">
        <v>8895</v>
      </c>
      <c r="D650" s="46">
        <f>New!P:P</f>
        <v>0</v>
      </c>
    </row>
    <row r="651" spans="1:4" ht="12.75">
      <c r="A651" s="45" t="str">
        <f ca="1">New!M:M</f>
        <v>Gabbie Carter https://streamtape.com/v/6wKWlVK1Keu98Wj/91592222 https://lulustream.com/d/kh6h6kbgfr0b https://doodstream.com/d/gii2udzx33b4/91592222 #milf #blonde #handjob #bigtits #RIPNSFW</v>
      </c>
      <c r="B651" s="12" t="str">
        <f>New!A:A</f>
        <v>Gabbie Carter - 91592222 - Onlyfans.jpg</v>
      </c>
      <c r="C651" s="12" t="s">
        <v>8895</v>
      </c>
      <c r="D651" s="46">
        <f>New!P:P</f>
        <v>0</v>
      </c>
    </row>
    <row r="652" spans="1:4" ht="12.75">
      <c r="A652" s="45" t="str">
        <f ca="1">New!M:M</f>
        <v>{New} Gabbie Carter https://streamtape.com/v/mY1mZz7qxyUXlG/96137621 https://lulustream.com/d/3m8en50r81oq https://doodstream.com/d/auz1pld4ard7/96137621 (2026) #milf #milk #bigtits #blonde #RIPNSFW</v>
      </c>
      <c r="B652" s="12" t="str">
        <f>New!A:A</f>
        <v>Gabbie Carter - 96137621 - Onlyfans.jpg</v>
      </c>
      <c r="C652" s="12" t="s">
        <v>8895</v>
      </c>
      <c r="D652" s="46">
        <f>New!P:P</f>
        <v>0</v>
      </c>
    </row>
    <row r="653" spans="1:4" ht="12.75">
      <c r="A653" s="45" t="str">
        <f ca="1">New!M:M</f>
        <v>{New} Gabbie Carter https://lulustream.com/d/rx5ficjdoaql https://streamtape.com/v/D0DxZJpyDluwbx/98491626 https://doodstream.com/d/0cm9ak7bfzra/98491626 (2026) #milf #bigtits #blowjob #blonde #RIPNSFW</v>
      </c>
      <c r="B653" s="12" t="str">
        <f>New!A:A</f>
        <v>Gabbie Carter - 98491626 - Onlyfans.jpg</v>
      </c>
      <c r="C653" s="12" t="s">
        <v>8895</v>
      </c>
      <c r="D653" s="46">
        <f>New!P:P</f>
        <v>0</v>
      </c>
    </row>
    <row r="654" spans="1:4" ht="12.75">
      <c r="A654" s="45" t="str">
        <f ca="1">New!M:M</f>
        <v>{New} Gabbie Carter https://streamtape.com/v/oGVAzBbJW0fb8K/99789739 https://doodstream.com/d/qk6v094ilghh/99789739 https://lulustream.com/d/3osv6yo6psi6 (2026) #MILF #BigTits #Creampie #Hardcore #RIPNSFW</v>
      </c>
      <c r="B654" s="12" t="str">
        <f>New!A:A</f>
        <v>Gabbie Carter - 99789739 - ripnsfw.com.jpg</v>
      </c>
      <c r="C654" s="12" t="s">
        <v>8895</v>
      </c>
      <c r="D654" s="46">
        <f>New!P:P</f>
        <v>0</v>
      </c>
    </row>
    <row r="655" spans="1:4" ht="12.75">
      <c r="A655" s="45" t="str">
        <f ca="1">New!M:M</f>
        <v>{New} Gia Derza https://streamtape.com/v/9WaV6r6zPZsadR2/43518026 https://lulustream.com/d/ze98hoyhgsny https://doodstream.com/d/r8n07finj1zi/43518026 Lena the plug (2026) #MILF #BigTits #Hardcore #Threesome #Bigass #Teen #Blowjob #Amateur #Deepthroat #Facial #RIPNSFW</v>
      </c>
      <c r="B655" s="12" t="str">
        <f>New!A:A</f>
        <v>Gia Derza - 43518026 - ripnsfw.com - Lena the plug.jpg</v>
      </c>
      <c r="C655" s="12" t="s">
        <v>8895</v>
      </c>
      <c r="D655" s="46">
        <f>New!P:P</f>
        <v>0</v>
      </c>
    </row>
    <row r="656" spans="1:4" ht="12.75">
      <c r="A656" s="45" t="str">
        <f ca="1">New!M:M</f>
        <v>{New} Gia Ohmy https://lulustream.com/d/1ocs75mkkntx https://doodstream.com/d/2yjm793udtmy/84464192 https://streamtape.com/v/DMoq7VzQWAHDJP/84464192 (2026) #BigTits #Creampie #Hardcore #Bigass #Teen #Blowjob #Amateur #RIPNSFW</v>
      </c>
      <c r="B656" s="12" t="str">
        <f>New!A:A</f>
        <v>Gia Ohmy - 84464192 - ripnsfw.com.jpg</v>
      </c>
      <c r="C656" s="12" t="s">
        <v>8895</v>
      </c>
      <c r="D656" s="46">
        <f>New!P:P</f>
        <v>0</v>
      </c>
    </row>
    <row r="657" spans="1:4" ht="12.75">
      <c r="A657" s="45" t="str">
        <f ca="1">New!M:M</f>
        <v>{New} Gianna Dior https://lulustream.com/d/v9mtf31yr37c https://streamtape.com/v/vVMXYJlg9Ofb6Q/79907199 https://doodstream.com/d/9htn7xwxrudx/79907199 (2026) #threesome #blonde #blowjob #smalltits #RIPNSFW</v>
      </c>
      <c r="B657" s="12" t="str">
        <f>New!A:A</f>
        <v>Gianna Dior - 79907199 - Onlyfans.jpg</v>
      </c>
      <c r="C657" s="12" t="s">
        <v>8895</v>
      </c>
      <c r="D657" s="46">
        <f>New!P:P</f>
        <v>0</v>
      </c>
    </row>
    <row r="658" spans="1:4" ht="12.75">
      <c r="A658" s="45" t="str">
        <f ca="1">New!M:M</f>
        <v>{New} Gianna Michaels https://streamtape.com/v/J92xjVd0vOTjWGR/41853666 https://doodstream.com/d/kea1kxy9b9uv/41853666 https://lulustream.com/d/eng4dbn3y3dk (2026) #MILF #BigTits #Hardcore #Black #Interracial #RIPNSFW</v>
      </c>
      <c r="B658" s="12" t="str">
        <f>New!A:A</f>
        <v>Gianna Michaels - 41853666 - ripnsfw.com.jpg</v>
      </c>
      <c r="C658" s="12" t="s">
        <v>8895</v>
      </c>
      <c r="D658" s="46">
        <f>New!P:P</f>
        <v>0</v>
      </c>
    </row>
    <row r="659" spans="1:4" ht="12.75">
      <c r="A659" s="45" t="str">
        <f ca="1">New!M:M</f>
        <v>{New} Gianna Michaels https://lulustream.com/d/as9x6ryu2nbd https://doodstream.com/d/yp8dnmuh53ce/69804375 https://streamtape.com/v/Me1mOOaQpkCm4Kl/69804375 (2026) #MILF #BigTits #Hardcore #Bigass #Porn #RIPNSFW</v>
      </c>
      <c r="B659" s="12" t="str">
        <f>New!A:A</f>
        <v>Gianna Michaels - 69804375 - ripnsfw.com.jpg</v>
      </c>
      <c r="C659" s="12" t="s">
        <v>8895</v>
      </c>
      <c r="D659" s="46">
        <f>New!P:P</f>
        <v>0</v>
      </c>
    </row>
    <row r="660" spans="1:4" ht="12.75">
      <c r="A660" s="45" t="str">
        <f ca="1">New!M:M</f>
        <v>{New} Gigi Sweets https://doodstream.com/d/fo4lhtt76b4w/35828855 https://streamtape.com/v/0rVLRQqlGgIbjeY/35828855 https://lulustream.com/d/cn1v8juwzvtb (2026) #BigTits #Hardcore #Bigass #Teen #Blowjob #Amateur #Blonde #RIPNSFW</v>
      </c>
      <c r="B660" s="12" t="str">
        <f>New!A:A</f>
        <v>Gigi Sweets - 35828855 - ripnsfw.com.jpg</v>
      </c>
      <c r="C660" s="12" t="s">
        <v>8895</v>
      </c>
      <c r="D660" s="46">
        <f>New!P:P</f>
        <v>0</v>
      </c>
    </row>
    <row r="661" spans="1:4" ht="12.75">
      <c r="A661" s="45" t="str">
        <f ca="1">New!M:M</f>
        <v>{New} Gigi Talamini https://streamtape.com/v/VdkOo3bjgltKRLA/16620448 https://doodstream.com/d/4e4bng6xgko7/16620448 https://lulustream.com/d/7vv1zx7ubllx (2026) #teen #blonde #bigtits #latina #RIPNSFW</v>
      </c>
      <c r="B661" s="12" t="str">
        <f>New!A:A</f>
        <v>Gigi Talamini - 16620448 - Onlyfans.jpg</v>
      </c>
      <c r="C661" s="12" t="s">
        <v>8895</v>
      </c>
      <c r="D661" s="46">
        <f>New!P:P</f>
        <v>0</v>
      </c>
    </row>
    <row r="662" spans="1:4" ht="12.75">
      <c r="A662" s="45" t="str">
        <f ca="1">New!M:M</f>
        <v>{New} Gigi Talamini https://doodstream.com/d/qirtjkov4qlt/25972018 https://lulustream.com/d/8puc0fn099c8 https://streamtape.com/v/ZayqJLYL7lCqaaJ/25972018 (2026) #teen #blowjob #bigtits #blonde #RIPNSFW</v>
      </c>
      <c r="B662" s="12" t="str">
        <f>New!A:A</f>
        <v>Gigi Talamini - 25972018 - Onlyfans.jpg</v>
      </c>
      <c r="C662" s="12" t="s">
        <v>8895</v>
      </c>
      <c r="D662" s="46">
        <f>New!P:P</f>
        <v>0</v>
      </c>
    </row>
    <row r="663" spans="1:4" ht="12.75">
      <c r="A663" s="45" t="str">
        <f ca="1">New!M:M</f>
        <v>{New} Gigi Talamini https://lulustream.com/d/wridntyed3p9 https://streamtape.com/v/jpAYJeKvAmizK12/33625937 https://doodstream.com/d/3givzolyyxme/33625937 (2026) #teen #blonde #bigtits #bigass #RIPNSFW</v>
      </c>
      <c r="B663" s="12" t="str">
        <f>New!A:A</f>
        <v>Gigi Talamini - 33625937 - Onlyfans.jpg</v>
      </c>
      <c r="C663" s="12" t="s">
        <v>8895</v>
      </c>
      <c r="D663" s="46">
        <f>New!P:P</f>
        <v>0</v>
      </c>
    </row>
    <row r="664" spans="1:4" ht="12.75">
      <c r="A664" s="45" t="str">
        <f ca="1">New!M:M</f>
        <v>{New} Gigi Talamini https://doodstream.com/d/pttvmo2c1tqz/45883572 https://streamtape.com/v/rlywjKGko6ibpPQ/45883572 https://lulustream.com/d/xvbame02h3qf (2026) #teen #bigtits #bigass #blowjob #RIPNSFW</v>
      </c>
      <c r="B664" s="12" t="str">
        <f>New!A:A</f>
        <v>Gigi Talamini - 45883572 - Onlyfans.jpg</v>
      </c>
      <c r="C664" s="12" t="s">
        <v>8895</v>
      </c>
      <c r="D664" s="46">
        <f>New!P:P</f>
        <v>0</v>
      </c>
    </row>
    <row r="665" spans="1:4" ht="12.75">
      <c r="A665" s="45" t="str">
        <f ca="1">New!M:M</f>
        <v>{New} Gina Valentina https://lulustream.com/d/ez4douahop3s https://doodstream.com/d/gvb2ohlx34jc/23298130 https://streamtape.com/v/L1XwOrW10oIRkoM/23298130 (2026) #milf #bigtits #bigass #latina #RIPNSFW</v>
      </c>
      <c r="B665" s="12" t="str">
        <f>New!A:A</f>
        <v>Gina Valentina - 23298130 - Onlyfans.jpg</v>
      </c>
      <c r="C665" s="12" t="s">
        <v>8895</v>
      </c>
      <c r="D665" s="46">
        <f>New!P:P</f>
        <v>0</v>
      </c>
    </row>
    <row r="666" spans="1:4" ht="12.75">
      <c r="A666" s="45" t="str">
        <f ca="1">New!M:M</f>
        <v>{New} Gina Valentina https://doodstream.com/d/tlt1z41tq9d2/31761301 https://lulustream.com/d/ap1fzc9vjuu3 https://streamtape.com/v/eovpdK2RJxcYRxM/31761301 Kali Roses (2026) #MILF #BigTits #Lesbian #Bigass #Latina #RIPNSFW</v>
      </c>
      <c r="B666" s="12" t="str">
        <f>New!A:A</f>
        <v>Gina Valentina - 31761301 - Onlyfans - Kali Roses.jpg</v>
      </c>
      <c r="C666" s="12" t="s">
        <v>8895</v>
      </c>
      <c r="D666" s="46">
        <f>New!P:P</f>
        <v>0</v>
      </c>
    </row>
    <row r="667" spans="1:4" ht="12.75">
      <c r="A667" s="45" t="str">
        <f ca="1">New!M:M</f>
        <v>{New} Gina Valentina https://lulustream.com/d/s9k2utxfh0al https://streamtape.com/v/akoGlKqv9RCOOg/45654148 https://doodstream.com/d/ya348vxsenio/45654148 Angel Youngs (2026) #BigTits #Hardcore #Threesome #Bigass #Teen #Latina #Teens #Blowjob #Amateur #Hotwife #RIPNSFW</v>
      </c>
      <c r="B667" s="12" t="str">
        <f>New!A:A</f>
        <v>Gina Valentina - 45654148 - ripnsfw.com - Angel Youngs.jpg</v>
      </c>
      <c r="C667" s="12" t="s">
        <v>8895</v>
      </c>
      <c r="D667" s="46">
        <f>New!P:P</f>
        <v>0</v>
      </c>
    </row>
    <row r="668" spans="1:4" ht="12.75">
      <c r="A668" s="45" t="str">
        <f ca="1">New!M:M</f>
        <v>{New} Gina Valentina https://streamtape.com/v/1B0MQq8wwzfePYV/64377769 https://lulustream.com/d/fhx9wve2xz0e https://doodstream.com/d/fs12ioy3il7d/64377769 Vanessa Sky (2026) #MILF #BigTits #Hardcore #Threesome #Bigass #Latina #Blowjob #Amateur #Hotwife #Deepthroat #Facial #RIPNSFW</v>
      </c>
      <c r="B668" s="12" t="str">
        <f>New!A:A</f>
        <v>Gina Valentina - 64377769 - ripnsfw.com - Vanessa Sky.jpg</v>
      </c>
      <c r="C668" s="12" t="s">
        <v>8895</v>
      </c>
      <c r="D668" s="46">
        <f>New!P:P</f>
        <v>0</v>
      </c>
    </row>
    <row r="669" spans="1:4" ht="12.75">
      <c r="A669" s="45" t="str">
        <f ca="1">New!M:M</f>
        <v>{New} GwenGwiz https://streamtape.com/v/4XOz34y3MLFK3qV/11173292 https://lulustream.com/d/amgnrharavg3 https://doodstream.com/d/a4nxolalc0dw/11173292 (2026) #teen #bigtits #blonde #amateur #RIPNSFW</v>
      </c>
      <c r="B669" s="12" t="str">
        <f>New!A:A</f>
        <v>GwenGwiz - 11173292 - Onlyfans.jpg</v>
      </c>
      <c r="C669" s="12" t="s">
        <v>8895</v>
      </c>
      <c r="D669" s="46">
        <f>New!P:P</f>
        <v>0</v>
      </c>
    </row>
    <row r="670" spans="1:4" ht="12.75">
      <c r="A670" s="45" t="str">
        <f ca="1">New!M:M</f>
        <v>{New} GwenGwiz https://streamtape.com/v/kLPa6PwVYpi8jr/14451453 https://doodstream.com/d/uqoyl0s9y53k/14451453 https://lulustream.com/d/shzyno64gqlq (2026) #BigTits #Teen #Amateur #Blowjob #RIPNSFW</v>
      </c>
      <c r="B670" s="12" t="str">
        <f>New!A:A</f>
        <v>GwenGwiz - 14451453 - Onlyfans.jpg</v>
      </c>
      <c r="C670" s="12" t="s">
        <v>8895</v>
      </c>
      <c r="D670" s="46">
        <f>New!P:P</f>
        <v>0</v>
      </c>
    </row>
    <row r="671" spans="1:4" ht="12.75">
      <c r="A671" s="45" t="str">
        <f ca="1">New!M:M</f>
        <v>{New} GwenGwiz https://doodstream.com/d/0fwqcehjj1hk/19746229 https://streamtape.com/v/O4qGg3oJx6T937/19746229 https://lulustream.com/d/4j2lk5jjmhhr (2026) #BigTits #Hardcore #Teen #Blowjob #RIPNSFW</v>
      </c>
      <c r="B671" s="12" t="str">
        <f>New!A:A</f>
        <v>GwenGwiz - 19746229 - Onlyfans.jpg</v>
      </c>
      <c r="C671" s="12" t="s">
        <v>8895</v>
      </c>
      <c r="D671" s="46">
        <f>New!P:P</f>
        <v>0</v>
      </c>
    </row>
    <row r="672" spans="1:4" ht="12.75">
      <c r="A672" s="45" t="str">
        <f ca="1">New!M:M</f>
        <v>{New} GwenGwiz https://lulustream.com/d/cwp3yzp78o24 https://doodstream.com/d/mh7t663eu3ps/21124761 https://streamtape.com/v/belWQyqlY2sP3qx/21124761 (2026) #BigTits #Hardcore #Teen #Blowjob #RIPNSFW</v>
      </c>
      <c r="B672" s="12" t="str">
        <f>New!A:A</f>
        <v>GwenGwiz - 21124761 - Onlyfans.jpg</v>
      </c>
      <c r="C672" s="12" t="s">
        <v>8895</v>
      </c>
      <c r="D672" s="46">
        <f>New!P:P</f>
        <v>0</v>
      </c>
    </row>
    <row r="673" spans="1:4" ht="12.75">
      <c r="A673" s="45" t="str">
        <f ca="1">New!M:M</f>
        <v>{New} GwenGwiz https://doodstream.com/d/9flbqbp7oxzz/21171873 https://streamtape.com/v/9k2Gleqqa2Hoxa/21171873 https://lulustream.com/d/derlm8l8qgpg (2026) #teen #bigtits #blowjob #roleplay #RIPNSFW</v>
      </c>
      <c r="B673" s="12" t="str">
        <f>New!A:A</f>
        <v>GwenGwiz - 21171873 - Onlyfans.jpg</v>
      </c>
      <c r="C673" s="12" t="s">
        <v>8895</v>
      </c>
      <c r="D673" s="46">
        <f>New!P:P</f>
        <v>0</v>
      </c>
    </row>
    <row r="674" spans="1:4" ht="12.75">
      <c r="A674" s="45" t="str">
        <f ca="1">New!M:M</f>
        <v>{New} GwenGwiz https://lulustream.com/d/g5f38yj405d3 https://streamtape.com/v/ZoazrbG7ODhq9R4/23883767 https://doodstream.com/d/j381e5wcdy0k/23883767 (2026) #BigTits #Hardcore #Teen #Blowjob #Hotwife #RIPNSFW</v>
      </c>
      <c r="B674" s="12" t="str">
        <f>New!A:A</f>
        <v>GwenGwiz - 23883767 - Onlyfans.jpg</v>
      </c>
      <c r="C674" s="12" t="s">
        <v>8895</v>
      </c>
      <c r="D674" s="46">
        <f>New!P:P</f>
        <v>0</v>
      </c>
    </row>
    <row r="675" spans="1:4" ht="12.75">
      <c r="A675" s="45" t="str">
        <f ca="1">New!M:M</f>
        <v>{New} GwenGwiz https://streamtape.com/v/3JdGMloQApTdVwZ/26925539 https://doodstream.com/d/4xtgottvyez3/26925539 https://lulustream.com/d/4rk20zvw6fpt (2026) #BigTits #Creampie #Hardcore #Teen #RIPNSFW</v>
      </c>
      <c r="B675" s="12" t="str">
        <f>New!A:A</f>
        <v>GwenGwiz - 26925539 - Onlyfans.jpg</v>
      </c>
      <c r="C675" s="12" t="s">
        <v>8895</v>
      </c>
      <c r="D675" s="46">
        <f>New!P:P</f>
        <v>0</v>
      </c>
    </row>
    <row r="676" spans="1:4" ht="12.75">
      <c r="A676" s="45" t="str">
        <f ca="1">New!M:M</f>
        <v>{New} GwenGwiz https://streamtape.com/v/gwxgjZdYGvCqpR4/32001059 https://lulustream.com/d/o3400bth8koc https://doodstream.com/d/bj0ognqhtrzc/32001059 (2026) #teen #blonde #bigtits #amateur #RIPNSFW</v>
      </c>
      <c r="B676" s="12" t="str">
        <f>New!A:A</f>
        <v>GwenGwiz - 32001059 - Onlyfans.jpg</v>
      </c>
      <c r="C676" s="12" t="s">
        <v>8895</v>
      </c>
      <c r="D676" s="46">
        <f>New!P:P</f>
        <v>0</v>
      </c>
    </row>
    <row r="677" spans="1:4" ht="12.75">
      <c r="A677" s="45" t="str">
        <f ca="1">New!M:M</f>
        <v>{New} GwenGwiz https://lulustream.com/d/31nozwo7ykgx https://doodstream.com/d/xa7mtojyse9q/36201641 https://streamtape.com/v/x1yd7kRPDzfkPVk/36201641 (2026) #teen #bigtits #blonde #blowjob #RIPNSFW</v>
      </c>
      <c r="B677" s="12" t="str">
        <f>New!A:A</f>
        <v>GwenGwiz - 36201641 - Onlyfans.jpg</v>
      </c>
      <c r="C677" s="12" t="s">
        <v>8895</v>
      </c>
      <c r="D677" s="46">
        <f>New!P:P</f>
        <v>0</v>
      </c>
    </row>
    <row r="678" spans="1:4" ht="12.75">
      <c r="A678" s="45" t="str">
        <f ca="1">New!M:M</f>
        <v>{New} GwenGwiz https://lulustream.com/d/s4mxuqnmpgpk https://doodstream.com/d/1hirojpo3zl2/40219417 https://streamtape.com/v/kkAQBLyVp9hOqm2/40219417 (2026) #BigTits #Hardcore #Teen #Blowjob #RIPNSFW</v>
      </c>
      <c r="B678" s="12" t="str">
        <f>New!A:A</f>
        <v>GwenGwiz - 40219417 - Onlyfans.jpg</v>
      </c>
      <c r="C678" s="12" t="s">
        <v>8895</v>
      </c>
      <c r="D678" s="46">
        <f>New!P:P</f>
        <v>0</v>
      </c>
    </row>
    <row r="679" spans="1:4" ht="12.75">
      <c r="A679" s="45" t="str">
        <f ca="1">New!M:M</f>
        <v>{New} GwenGwiz https://doodstream.com/d/l3txkd08lny6/46825627 https://lulustream.com/d/ydlaxgo69lo9 https://streamtape.com/v/7YWd8QvDb0FAkdb/46825627 (2026) #teen #bigtits #blonde #blowjob #RIPNSFW</v>
      </c>
      <c r="B679" s="12" t="str">
        <f>New!A:A</f>
        <v>GwenGwiz - 46825627 - Onlyfans.jpg</v>
      </c>
      <c r="C679" s="12" t="s">
        <v>8895</v>
      </c>
      <c r="D679" s="46">
        <f>New!P:P</f>
        <v>0</v>
      </c>
    </row>
    <row r="680" spans="1:4" ht="12.75">
      <c r="A680" s="45" t="str">
        <f ca="1">New!M:M</f>
        <v>{New} GwenGwiz https://lulustream.com/d/7aregyu4qcb8 https://streamtape.com/v/R6oaaz0QvDFdQJm/48119909 https://doodstream.com/d/fz89c6vx68f1/48119909 (2026) #BigTits #Hardcore #Teen #Blowjob #RIPNSFW</v>
      </c>
      <c r="B680" s="12" t="str">
        <f>New!A:A</f>
        <v>GwenGwiz - 48119909 - Onlyfans.jpg</v>
      </c>
      <c r="C680" s="12" t="s">
        <v>8895</v>
      </c>
      <c r="D680" s="46">
        <f>New!P:P</f>
        <v>0</v>
      </c>
    </row>
    <row r="681" spans="1:4" ht="12.75">
      <c r="A681" s="45" t="str">
        <f ca="1">New!M:M</f>
        <v>{New} GwenGwiz https://doodstream.com/d/2j91ytn9v1k0/53384436 https://streamtape.com/v/7pe99dOqvYiByD/53384436 https://lulustream.com/d/986dtl2e52vx (2026) #teen #bigtits #blowjob #blonde #RIPNSFW</v>
      </c>
      <c r="B681" s="12" t="str">
        <f>New!A:A</f>
        <v>GwenGwiz - 53384436 - Onlyfans.jpg</v>
      </c>
      <c r="C681" s="12" t="s">
        <v>8895</v>
      </c>
      <c r="D681" s="46">
        <f>New!P:P</f>
        <v>0</v>
      </c>
    </row>
    <row r="682" spans="1:4" ht="12.75">
      <c r="A682" s="45" t="str">
        <f ca="1">New!M:M</f>
        <v>{New} GwenGwiz https://doodstream.com/d/kx1we6vbc078/65124374 https://streamtape.com/v/DWWPYYAWAPTkJz0/65124374 https://lulustream.com/d/5wyiy7t7lxp7 (2026) #teen #bigtits #blonde #blowjob #RIPNSFW</v>
      </c>
      <c r="B682" s="12" t="str">
        <f>New!A:A</f>
        <v>GwenGwiz - 65124374 - Onlyfans.jpg</v>
      </c>
      <c r="C682" s="12" t="s">
        <v>8895</v>
      </c>
      <c r="D682" s="46">
        <f>New!P:P</f>
        <v>0</v>
      </c>
    </row>
    <row r="683" spans="1:4" ht="12.75">
      <c r="A683" s="45" t="str">
        <f ca="1">New!M:M</f>
        <v>{New} GwenGwiz https://lulustream.com/d/ubmkgljjx9gm https://doodstream.com/d/qna0nwegkavm/65805926 https://streamtape.com/v/o97gmyJ024FJLX0/65805926 (2026) #BigTits #Hardcore #Teen #Roleplay #Artporn #Blowjob #Amateur #Hotwife #Blonde #RIPNSFW</v>
      </c>
      <c r="B683" s="12" t="str">
        <f>New!A:A</f>
        <v>GwenGwiz - 65805926 - Onlyfans.jpg</v>
      </c>
      <c r="C683" s="12" t="s">
        <v>8895</v>
      </c>
      <c r="D683" s="46">
        <f>New!P:P</f>
        <v>0</v>
      </c>
    </row>
    <row r="684" spans="1:4" ht="12.75">
      <c r="A684" s="45" t="str">
        <f ca="1">New!M:M</f>
        <v>{New} GwenGwiz https://doodstream.com/d/hta9t8wmefqq/68168500 https://lulustream.com/d/2ahs9kiw8s00 https://streamtape.com/v/eVrLBgjApKUYV0x/68168500 (2026) #BigTits #Creampie #Hardcore #Teen #Roleplay #Artporn #Teens #Blowjob #Amateur #Hotwife #RIPNSFW</v>
      </c>
      <c r="B684" s="12" t="str">
        <f>New!A:A</f>
        <v>GwenGwiz - 68168500 - Onlyfans.jpg</v>
      </c>
      <c r="C684" s="12" t="s">
        <v>8895</v>
      </c>
      <c r="D684" s="46">
        <f>New!P:P</f>
        <v>0</v>
      </c>
    </row>
    <row r="685" spans="1:4" ht="12.75">
      <c r="A685" s="45" t="str">
        <f ca="1">New!M:M</f>
        <v>{New} GwenGwiz https://streamtape.com/v/d82xqdWDbQskKb1/68407312 https://doodstream.com/d/h8o4n5vguva0/68407312 https://lulustream.com/d/e8wavs7kvtoo (2026) #teen #bigtits #blowjob #blonde #RIPNSFW</v>
      </c>
      <c r="B685" s="12" t="str">
        <f>New!A:A</f>
        <v>GwenGwiz - 68407312 - Onlyfans.jpg</v>
      </c>
      <c r="C685" s="12" t="s">
        <v>8895</v>
      </c>
      <c r="D685" s="46">
        <f>New!P:P</f>
        <v>0</v>
      </c>
    </row>
    <row r="686" spans="1:4" ht="12.75">
      <c r="A686" s="45" t="str">
        <f ca="1">New!M:M</f>
        <v>{New} GwenGwiz https://lulustream.com/d/bbd3aap7uf62 https://streamtape.com/v/ogK7ODYmOqSJB98/70119396 https://doodstream.com/d/pwkc9ilps2of/70119396 (2026) #teen #bigtits #blowjob #blonde #RIPNSFW</v>
      </c>
      <c r="B686" s="12" t="str">
        <f>New!A:A</f>
        <v>GwenGwiz - 70119396 - Onlyfans.jpg</v>
      </c>
      <c r="C686" s="12" t="s">
        <v>8895</v>
      </c>
      <c r="D686" s="46">
        <f>New!P:P</f>
        <v>0</v>
      </c>
    </row>
    <row r="687" spans="1:4" ht="12.75">
      <c r="A687" s="45" t="str">
        <f ca="1">New!M:M</f>
        <v>{New} GwenGwiz https://streamtape.com/v/JoDer4xpgWujxa9/71208676 https://doodstream.com/d/pev2r8wpjhpz/71208676 https://lulustream.com/d/rrll9du2sqzt (2026) #BigTits #Hardcore #Teen #Blowjob #RIPNSFW</v>
      </c>
      <c r="B687" s="12" t="str">
        <f>New!A:A</f>
        <v>GwenGwiz - 71208676 - Onlyfans.jpg</v>
      </c>
      <c r="C687" s="12" t="s">
        <v>8895</v>
      </c>
      <c r="D687" s="46">
        <f>New!P:P</f>
        <v>0</v>
      </c>
    </row>
    <row r="688" spans="1:4" ht="12.75">
      <c r="A688" s="45" t="str">
        <f ca="1">New!M:M</f>
        <v>{New} GwenGwiz https://lulustream.com/d/ga7i7rqrmdbz https://streamtape.com/v/x1x1jJlQGOTkYlR/80799513 https://doodstream.com/d/n8fp7pab3i6x/80799513 (2026) #BigTits #Teen #Blowjob #Amateur #RIPNSFW</v>
      </c>
      <c r="B688" s="12" t="str">
        <f>New!A:A</f>
        <v>GwenGwiz - 80799513 - Onlyfans.jpg</v>
      </c>
      <c r="C688" s="12" t="s">
        <v>8895</v>
      </c>
      <c r="D688" s="46">
        <f>New!P:P</f>
        <v>0</v>
      </c>
    </row>
    <row r="689" spans="1:4" ht="12.75">
      <c r="A689" s="45" t="str">
        <f ca="1">New!M:M</f>
        <v>{New} GwenGwiz https://lulustream.com/d/n674oubcbbei https://doodstream.com/d/2panxncd9dft/82250884 https://streamtape.com/v/gdW2wolxOlHqWMP/82250884 (2026) #teen #bigtits #blowjob #blonde #RIPNSFW</v>
      </c>
      <c r="B689" s="12" t="str">
        <f>New!A:A</f>
        <v>GwenGwiz - 82250884 - Onlyfans.jpg</v>
      </c>
      <c r="C689" s="12" t="s">
        <v>8895</v>
      </c>
      <c r="D689" s="46">
        <f>New!P:P</f>
        <v>0</v>
      </c>
    </row>
    <row r="690" spans="1:4" ht="12.75">
      <c r="A690" s="45" t="str">
        <f ca="1">New!M:M</f>
        <v>{New} GwenGwiz https://streamtape.com/v/mQ3Y6Gxjv1Sdv9/91197485 https://doodstream.com/d/s0f4ydp8uigy/91197485 https://lulustream.com/d/4gakqi6dhqyo (2026) #teen #bigtits #blonde #blowjob #RIPNSFW</v>
      </c>
      <c r="B690" s="12" t="str">
        <f>New!A:A</f>
        <v>GwenGwiz - 91197485 - Onlyfans.jpg</v>
      </c>
      <c r="C690" s="12" t="s">
        <v>8895</v>
      </c>
      <c r="D690" s="46">
        <f>New!P:P</f>
        <v>0</v>
      </c>
    </row>
    <row r="691" spans="1:4" ht="12.75">
      <c r="A691" s="45" t="str">
        <f ca="1">New!M:M</f>
        <v>{New} GwenGwiz https://lulustream.com/d/qillhorwyj5s https://streamtape.com/v/0pzLDJ80jAcbdKJ/91203069 https://doodstream.com/d/iu9s5syfkgia/91203069 (2026) #BigTits #Hardcore #Teen #Blowjob #RIPNSFW</v>
      </c>
      <c r="B691" s="12" t="str">
        <f>New!A:A</f>
        <v>GwenGwiz - 91203069 - Onlyfans.jpg</v>
      </c>
      <c r="C691" s="12" t="s">
        <v>8895</v>
      </c>
      <c r="D691" s="46">
        <f>New!P:P</f>
        <v>0</v>
      </c>
    </row>
    <row r="692" spans="1:4" ht="12.75">
      <c r="A692" s="45" t="str">
        <f ca="1">New!M:M</f>
        <v>{New} GwenGwiz https://streamtape.com/v/9BxRwD7Jq7UagxD/91444182 https://lulustream.com/d/5qzizhwnbspf https://doodstream.com/d/vrv33hd37hsb/91444182 (2026) #teen #bigtits #blonde #blowjob #RIPNSFW</v>
      </c>
      <c r="B692" s="12" t="str">
        <f>New!A:A</f>
        <v>GwenGwiz - 91444182 - Onlyfans.jpg</v>
      </c>
      <c r="C692" s="12" t="s">
        <v>8895</v>
      </c>
      <c r="D692" s="46">
        <f>New!P:P</f>
        <v>0</v>
      </c>
    </row>
    <row r="693" spans="1:4" ht="12.75">
      <c r="A693" s="45" t="str">
        <f ca="1">New!M:M</f>
        <v>{New} GwenGwiz https://streamtape.com/v/1B1JwwqVA9Ieoqq/92110695 https://lulustream.com/d/g7cl0jd63ukr https://doodstream.com/d/ai82j70tu3xf/92110695 (2026) #teen #blonde #blowjob #bigtits #RIPNSFW</v>
      </c>
      <c r="B693" s="12" t="str">
        <f>New!A:A</f>
        <v>GwenGwiz - 92110695 - Onlyfans.jpg</v>
      </c>
      <c r="C693" s="12" t="s">
        <v>8895</v>
      </c>
      <c r="D693" s="46">
        <f>New!P:P</f>
        <v>0</v>
      </c>
    </row>
    <row r="694" spans="1:4" ht="12.75">
      <c r="A694" s="45" t="str">
        <f ca="1">New!M:M</f>
        <v>{New} GwenGwiz https://lulustream.com/d/mf91ypibcfyu https://streamtape.com/v/jlRp3eo1opFGXJ/92682708 https://doodstream.com/d/vzxe9bt3t9xj/92682708 (2026) #teen #blowjob #blonde #bigtits #RIPNSFW</v>
      </c>
      <c r="B694" s="12" t="str">
        <f>New!A:A</f>
        <v>GwenGwiz - 92682708 - Onlyfans.jpg</v>
      </c>
      <c r="C694" s="12" t="s">
        <v>8895</v>
      </c>
      <c r="D694" s="46">
        <f>New!P:P</f>
        <v>0</v>
      </c>
    </row>
    <row r="695" spans="1:4" ht="12.75">
      <c r="A695" s="45" t="str">
        <f ca="1">New!M:M</f>
        <v>{New} Hailey Rose https://lulustream.com/d/8rutq4geh9mw https://streamtape.com/v/k3zbJ63m4lIO7px/18271884 https://doodstream.com/d/kbabq9z01oey/18271884 (2026) #blowjob #brunette #bigtits #halloween #RIPNSFW</v>
      </c>
      <c r="B695" s="12" t="str">
        <f>New!A:A</f>
        <v>Hailey Rose - 18271884 - Onlyfans.jpg</v>
      </c>
      <c r="C695" s="12" t="s">
        <v>8895</v>
      </c>
      <c r="D695" s="46">
        <f>New!P:P</f>
        <v>0</v>
      </c>
    </row>
    <row r="696" spans="1:4" ht="12.75">
      <c r="A696" s="45" t="str">
        <f ca="1">New!M:M</f>
        <v>{New} Hailey Rose https://doodstream.com/d/v2dh06ovb5hs/20228354 https://lulustream.com/d/bts1ytp9te3q https://streamtape.com/v/lQGKl6Gka7U7r10/20228354 Azzy Star (2026) #threesome #bigass #bigtits #brunette #RIPNSFW</v>
      </c>
      <c r="B696" s="12" t="str">
        <f>New!A:A</f>
        <v>Hailey Rose - 20228354 - Onlyfans - Azzy Star.jpg</v>
      </c>
      <c r="C696" s="12" t="s">
        <v>8895</v>
      </c>
      <c r="D696" s="46">
        <f>New!P:P</f>
        <v>0</v>
      </c>
    </row>
    <row r="697" spans="1:4" ht="12.75">
      <c r="A697" s="45" t="str">
        <f ca="1">New!M:M</f>
        <v>{New} Hailey Rose https://lulustream.com/d/yoopcx9m84f6 https://streamtape.com/v/RgPY4lQzL0f7p0/23405273 https://doodstream.com/d/a44shtfh071h/23405273 Victoria Peach Katty Soarez (2026) #BigTits #Hardcore #Bigass #Blowjob #Amateur #Facial #RIPNSFW</v>
      </c>
      <c r="B697" s="12" t="str">
        <f>New!A:A</f>
        <v>Hailey Rose - 23405273 - ripnsfw.com - Victoria Peach - Katty Soarez.jpg</v>
      </c>
      <c r="C697" s="12" t="s">
        <v>8895</v>
      </c>
      <c r="D697" s="46">
        <f>New!P:P</f>
        <v>0</v>
      </c>
    </row>
    <row r="698" spans="1:4" ht="12.75">
      <c r="A698" s="45" t="str">
        <f ca="1">New!M:M</f>
        <v>{New} Hailey Rose https://streamtape.com/v/DelXLPLrzbckPaP/25813053 https://doodstream.com/d/bc204on1yckm/25813053 https://lulustream.com/d/982v8hqqx4nn Alanna Pow (2026) #threesome #teens #bigass #bigtits #RIPNSFW</v>
      </c>
      <c r="B698" s="12" t="str">
        <f>New!A:A</f>
        <v>Hailey Rose - 25813053 - Onlyfans - Alanna Pow.jpg</v>
      </c>
      <c r="C698" s="12" t="s">
        <v>8895</v>
      </c>
      <c r="D698" s="46">
        <f>New!P:P</f>
        <v>0</v>
      </c>
    </row>
    <row r="699" spans="1:4" ht="12.75">
      <c r="A699" s="45" t="str">
        <f ca="1">New!M:M</f>
        <v>{New} Hailey Rose https://doodstream.com/d/csrvrddfg1px/26050788 https://streamtape.com/v/dPwAQe6oDVF7eO/26050788 https://lulustream.com/d/17s3s52kcuz7 Adriana Sahar (2026) #BigTits #Hardcore #Threesome #Bigass #RIPNSFW</v>
      </c>
      <c r="B699" s="12" t="str">
        <f>New!A:A</f>
        <v>Hailey Rose - 26050788 - ripnsfw.com - Adriana Sahar.jpg</v>
      </c>
      <c r="C699" s="12" t="s">
        <v>8895</v>
      </c>
      <c r="D699" s="46">
        <f>New!P:P</f>
        <v>0</v>
      </c>
    </row>
    <row r="700" spans="1:4" ht="12.75">
      <c r="A700" s="45" t="str">
        <f ca="1">New!M:M</f>
        <v>{New} Hailey Rose https://lulustream.com/d/i2qbeadkw6xb https://streamtape.com/v/88y8O28e0LhXPr/44879717 https://doodstream.com/d/60d5r7bdib7o/44879717 Minami Airi (2026) #BigTits #Hardcore #Asian #Threesome #Interracial #Teen #Blowjob #Hotwife #RIPNSFW</v>
      </c>
      <c r="B700" s="12" t="str">
        <f>New!A:A</f>
        <v>Hailey Rose - 44879717 - ripnsfw.com - Minami Airi.jpg</v>
      </c>
      <c r="C700" s="12" t="s">
        <v>8895</v>
      </c>
      <c r="D700" s="46">
        <f>New!P:P</f>
        <v>0</v>
      </c>
    </row>
    <row r="701" spans="1:4" ht="12.75">
      <c r="A701" s="45" t="str">
        <f ca="1">New!M:M</f>
        <v>{New} Hailey Rose https://lulustream.com/d/yncwnjhu2zpt https://streamtape.com/v/PrkXLOloMpf01W3/50639876 https://doodstream.com/d/p5hhce2c1nbf/50639876 Toochi Kash (2026) #BigTits #Hardcore #Threesome #Blowjob #RIPNSFW</v>
      </c>
      <c r="B701" s="12" t="str">
        <f>New!A:A</f>
        <v>Hailey Rose - 50639876 - Onlyfans - Toochi Kash.jpg</v>
      </c>
      <c r="C701" s="12" t="s">
        <v>8895</v>
      </c>
      <c r="D701" s="46">
        <f>New!P:P</f>
        <v>0</v>
      </c>
    </row>
    <row r="702" spans="1:4" ht="12.75">
      <c r="A702" s="45" t="str">
        <f ca="1">New!M:M</f>
        <v>{New} Hailey Rose https://doodstream.com/d/nwi1kuqzz7n2/53044248 https://lulustream.com/d/c5ya6z04lu24 https://streamtape.com/v/VVKdagbJxDcPAq/53044248 (2026) #BigTits #Black #Threesome #Interracial #Porn #RIPNSFW</v>
      </c>
      <c r="B702" s="12" t="str">
        <f>New!A:A</f>
        <v>Hailey Rose - 53044248 - EvilAngel.jpg</v>
      </c>
      <c r="C702" s="12" t="s">
        <v>8895</v>
      </c>
      <c r="D702" s="46">
        <f>New!P:P</f>
        <v>0</v>
      </c>
    </row>
    <row r="703" spans="1:4" ht="12.75">
      <c r="A703" s="45" t="str">
        <f ca="1">New!M:M</f>
        <v>{New} Hailey Rose https://streamtape.com/v/vowmpwzJGZt4ZMb/55725809 https://doodstream.com/d/rqtw681tw9u0/55725809 https://lulustream.com/d/74f4n5gr0nbr (2026) #BigTits #Hardcore #Threesome #Bigass #Teen #Blowjob #RIPNSFW</v>
      </c>
      <c r="B703" s="12" t="str">
        <f>New!A:A</f>
        <v>Hailey Rose - 55725809 - ripnsfw.com.jpg</v>
      </c>
      <c r="C703" s="12" t="s">
        <v>8895</v>
      </c>
      <c r="D703" s="46">
        <f>New!P:P</f>
        <v>0</v>
      </c>
    </row>
    <row r="704" spans="1:4" ht="12.75">
      <c r="A704" s="45" t="str">
        <f ca="1">New!M:M</f>
        <v>{New} Hailey Rose https://lulustream.com/d/sqniqdotu28v https://streamtape.com/v/3ka9BwGa47Cdyqe/57089023 https://doodstream.com/d/oup0jk5e8opc/57089023 (2026) #BigTits #Hardcore #Bigass #Teen #Roleplay #RIPNSFW</v>
      </c>
      <c r="B704" s="12" t="str">
        <f>New!A:A</f>
        <v>Hailey Rose - 57089023 - Onlyfans.jpg</v>
      </c>
      <c r="C704" s="12" t="s">
        <v>8895</v>
      </c>
      <c r="D704" s="46">
        <f>New!P:P</f>
        <v>0</v>
      </c>
    </row>
    <row r="705" spans="1:4" ht="12.75">
      <c r="A705" s="45" t="str">
        <f ca="1">New!M:M</f>
        <v>{New} Hailey Rose https://doodstream.com/d/2v1me9eyqtkj/60474796 https://lulustream.com/d/uvcs20naur63 https://streamtape.com/v/1W11qWZVGwCpmA/60474796 (2026) #BigTits #Hardcore #Teen #Blowjob #RIPNSFW</v>
      </c>
      <c r="B705" s="12" t="str">
        <f>New!A:A</f>
        <v>Hailey Rose - 60474796 - ripnsfw.com.jpg</v>
      </c>
      <c r="C705" s="12" t="s">
        <v>8895</v>
      </c>
      <c r="D705" s="46">
        <f>New!P:P</f>
        <v>0</v>
      </c>
    </row>
    <row r="706" spans="1:4" ht="12.75">
      <c r="A706" s="45" t="str">
        <f ca="1">New!M:M</f>
        <v>{New} Hailey Rose https://lulustream.com/d/tb2k0oye93pb https://streamtape.com/v/4mx2v8KbdBSKj7m/62549663 https://doodstream.com/d/vp2vod2ksnur/62549663 (2026) #BigTits #Hardcore #Teen #Blowjob #Amateur #Hotwife #Facial #RIPNSFW</v>
      </c>
      <c r="B706" s="12" t="str">
        <f>New!A:A</f>
        <v>Hailey Rose - 62549663 - ripnsfw.com.jpg</v>
      </c>
      <c r="C706" s="12" t="s">
        <v>8895</v>
      </c>
      <c r="D706" s="46">
        <f>New!P:P</f>
        <v>0</v>
      </c>
    </row>
    <row r="707" spans="1:4" ht="12.75">
      <c r="A707" s="45" t="str">
        <f ca="1">New!M:M</f>
        <v>{New} Hailey Rose https://lulustream.com/d/oio6q8sgzef5 https://doodstream.com/d/8mny4jy2tuec/64026964 https://streamtape.com/v/9RLMgeJXv1U91V/64026964 (2026) #teen #bigtits #blowjob #amateur #RIPNSFW</v>
      </c>
      <c r="B707" s="12" t="str">
        <f>New!A:A</f>
        <v>Hailey Rose - 64026964 - Onlyfans.jpg</v>
      </c>
      <c r="C707" s="12" t="s">
        <v>8895</v>
      </c>
      <c r="D707" s="46">
        <f>New!P:P</f>
        <v>0</v>
      </c>
    </row>
    <row r="708" spans="1:4" ht="12.75">
      <c r="A708" s="45" t="str">
        <f ca="1">New!M:M</f>
        <v>{New} Hailey Rose https://lulustream.com/d/gpg006kjdkqc https://doodstream.com/d/x3rrqjpk469y/74905403 https://streamtape.com/v/KL71ZqADlBs0XWb/74905403 (2026) #BigTits #Hardcore #Teen #Roleplay #RIPNSFW</v>
      </c>
      <c r="B708" s="12" t="str">
        <f>New!A:A</f>
        <v>Hailey Rose - 74905403 - ripnsfw.com.jpg</v>
      </c>
      <c r="C708" s="12" t="s">
        <v>8895</v>
      </c>
      <c r="D708" s="46">
        <f>New!P:P</f>
        <v>0</v>
      </c>
    </row>
    <row r="709" spans="1:4" ht="12.75">
      <c r="A709" s="45" t="str">
        <f ca="1">New!M:M</f>
        <v>{New} Hailey Rose https://doodstream.com/d/5i4na2hme0el/81200370 https://streamtape.com/v/dgk0Lq3vevck4dY/81200370 https://lulustream.com/d/1heq1rpzmor6 (2026) #BigTits #Teen #Blowjob #Amateur #Hotwife #RIPNSFW</v>
      </c>
      <c r="B709" s="12" t="str">
        <f>New!A:A</f>
        <v>Hailey Rose - 81200370 - ripnsfw.com.jpg</v>
      </c>
      <c r="C709" s="12" t="s">
        <v>8895</v>
      </c>
      <c r="D709" s="46">
        <f>New!P:P</f>
        <v>0</v>
      </c>
    </row>
    <row r="710" spans="1:4" ht="12.75">
      <c r="A710" s="45" t="str">
        <f ca="1">New!M:M</f>
        <v>{New} Hailey Rose https://lulustream.com/d/vcvta3ey6k4m https://streamtape.com/v/vgezg8goGbI4V6B/86565490 https://doodstream.com/d/rkmoiv4r5kkk/86565490 Sabrina Nichole (2026) #bigtits #milf #creampie #threesome #RIPNSFW</v>
      </c>
      <c r="B710" s="12" t="str">
        <f>New!A:A</f>
        <v>Hailey Rose - 86565490 - Onlyfans - Sabrina Nichole.jpg</v>
      </c>
      <c r="C710" s="12" t="s">
        <v>8895</v>
      </c>
      <c r="D710" s="46">
        <f>New!P:P</f>
        <v>0</v>
      </c>
    </row>
    <row r="711" spans="1:4" ht="12.75">
      <c r="A711" s="45" t="str">
        <f ca="1">New!M:M</f>
        <v>{New} Hailey Rose https://doodstream.com/d/w5498ezwys4r/87831195 https://streamtape.com/v/yB3Mb4M8Ozc11Dp/87831195 https://lulustream.com/d/2riyd2t91ode (2026) #teen #blowjob #bigass #bigtits #RIPNSFW</v>
      </c>
      <c r="B711" s="12" t="str">
        <f>New!A:A</f>
        <v>Hailey Rose - 87831195 - Bang.jpg</v>
      </c>
      <c r="C711" s="12" t="s">
        <v>8895</v>
      </c>
      <c r="D711" s="46">
        <f>New!P:P</f>
        <v>0</v>
      </c>
    </row>
    <row r="712" spans="1:4" ht="12.75">
      <c r="A712" s="45" t="str">
        <f ca="1">New!M:M</f>
        <v>{New} Hailey Rose https://lulustream.com/d/uka32r1g1sa6 https://streamtape.com/v/jkRp3Mkl43szOQz/89713763 https://doodstream.com/d/0dg7pshjadvv/89713763 Minami Airi (2026) #blowjob #threesome #bigtits #teens #RIPNSFW</v>
      </c>
      <c r="B712" s="12" t="str">
        <f>New!A:A</f>
        <v>Hailey Rose - 89713763 - Onlyfans - Minami Airi.jpg</v>
      </c>
      <c r="C712" s="12" t="s">
        <v>8895</v>
      </c>
      <c r="D712" s="46">
        <f>New!P:P</f>
        <v>0</v>
      </c>
    </row>
    <row r="713" spans="1:4" ht="12.75">
      <c r="A713" s="45" t="str">
        <f ca="1">New!M:M</f>
        <v>{New} Hailey Rose https://doodstream.com/d/ghvohye9n2v6/92204304 https://lulustream.com/d/fdu863fjx118 https://streamtape.com/v/7X1vMRYempUApqA/92204304 (2026) #BigTits #Teen #Blowjob #Amateur #Hotwife #Deepthroat #RIPNSFW</v>
      </c>
      <c r="B713" s="12" t="str">
        <f>New!A:A</f>
        <v>Hailey Rose - 92204304 - ripnsfw.com.jpg</v>
      </c>
      <c r="C713" s="12" t="s">
        <v>8895</v>
      </c>
      <c r="D713" s="46">
        <f>New!P:P</f>
        <v>0</v>
      </c>
    </row>
    <row r="714" spans="1:4" ht="12.75">
      <c r="A714" s="45" t="str">
        <f ca="1">New!M:M</f>
        <v>{New} Hailey Rose https://streamtape.com/v/0ppddg7kQ9hbJX8/92309292 https://doodstream.com/d/i3t0gh9ug363/92309292 https://lulustream.com/d/4lzph7xejtt9 Penelope Woods (2026) #BigTits #Creampie #Hardcore #Blowjob #RIPNSFW</v>
      </c>
      <c r="B714" s="12" t="str">
        <f>New!A:A</f>
        <v>Hailey Rose - 92309292 - ripnsfw.com - Penelope Woods.jpg</v>
      </c>
      <c r="C714" s="12" t="s">
        <v>8895</v>
      </c>
      <c r="D714" s="46">
        <f>New!P:P</f>
        <v>0</v>
      </c>
    </row>
    <row r="715" spans="1:4" ht="12.75">
      <c r="A715" s="45" t="str">
        <f ca="1">New!M:M</f>
        <v>{New} Hailey Rose https://doodstream.com/d/et2q65iilut3/97187164 https://lulustream.com/d/5ctr8cu9mzjo https://streamtape.com/v/djBY3vvyJdIkKGR/97187164 Violet Myers (2026) #threesome #bigtits #bigass #brunette #RIPNSFW</v>
      </c>
      <c r="B715" s="12" t="str">
        <f>New!A:A</f>
        <v>Hailey Rose - 97187164 - Onlyfans - Violet Myers.jpg</v>
      </c>
      <c r="C715" s="12" t="s">
        <v>8895</v>
      </c>
      <c r="D715" s="46">
        <f>New!P:P</f>
        <v>0</v>
      </c>
    </row>
    <row r="716" spans="1:4" ht="12.75">
      <c r="A716" s="45" t="str">
        <f ca="1">New!M:M</f>
        <v>{New} Haley Reed https://lulustream.com/d/4xyn6eoz2qjf https://doodstream.com/d/n8yfg405yjp8/69512016 https://streamtape.com/v/OPjy3vgqJ0cevP/69512016 (2026) #Hardcore #Teen #Blowjob #Porn #RIPNSFW</v>
      </c>
      <c r="B716" s="12" t="str">
        <f>New!A:A</f>
        <v>Haley Reed - 69512016 - ripnsfw.com.jpg</v>
      </c>
      <c r="C716" s="12" t="s">
        <v>8895</v>
      </c>
      <c r="D716" s="46">
        <f>New!P:P</f>
        <v>0</v>
      </c>
    </row>
    <row r="717" spans="1:4" ht="12.75">
      <c r="A717" s="45" t="str">
        <f ca="1">New!M:M</f>
        <v>{New} Haley Spades https://streamtape.com/v/9PRLDg2Jpaca031/10933434 https://doodstream.com/d/7w4960rkn2r6/10933434 https://lulustream.com/d/lu8zdzp6owqa (2026) #anal #teen #blowjob #porn #RIPNSFW</v>
      </c>
      <c r="B717" s="12" t="str">
        <f>New!A:A</f>
        <v>Haley Spades - 10933434 - ItsAnal.jpg</v>
      </c>
      <c r="C717" s="12" t="s">
        <v>8895</v>
      </c>
      <c r="D717" s="46">
        <f>New!P:P</f>
        <v>0</v>
      </c>
    </row>
    <row r="718" spans="1:4" ht="12.75">
      <c r="A718" s="45" t="str">
        <f ca="1">New!M:M</f>
        <v>{New} Haley Spades https://doodstream.com/d/2i635cumsdwm/11884996 https://lulustream.com/d/77m5ugc4uilq https://streamtape.com/v/klBYGqALrmuyBD/11884996 (2026) #teen #blowjob #blonde #bigass #RIPNSFW</v>
      </c>
      <c r="B718" s="12" t="str">
        <f>New!A:A</f>
        <v>Haley Spades - 11884996 - Onlyfans.jpg</v>
      </c>
      <c r="C718" s="12" t="s">
        <v>8895</v>
      </c>
      <c r="D718" s="46">
        <f>New!P:P</f>
        <v>0</v>
      </c>
    </row>
    <row r="719" spans="1:4" ht="12.75">
      <c r="A719" s="45" t="str">
        <f ca="1">New!M:M</f>
        <v>{New} Haley Spades https://doodstream.com/d/amt58rt8q694/13165762 https://lulustream.com/d/c091xn2x67my https://streamtape.com/v/M9387jpZP6i0aw/13165762 (2026) #teen #blowjob #anal #bigass #RIPNSFW</v>
      </c>
      <c r="B719" s="12" t="str">
        <f>New!A:A</f>
        <v>Haley Spades - 13165762 - Onlyfans.jpg</v>
      </c>
      <c r="C719" s="12" t="s">
        <v>8895</v>
      </c>
      <c r="D719" s="46">
        <f>New!P:P</f>
        <v>0</v>
      </c>
    </row>
    <row r="720" spans="1:4" ht="12.75">
      <c r="A720" s="45" t="str">
        <f ca="1">New!M:M</f>
        <v>{New} Haley Spades https://doodstream.com/d/ydd3hcikwpzc/13747519 https://streamtape.com/v/zlGal1ybdytY3xk/13747519 https://lulustream.com/d/d8a17c1ib0md (2026) #Hardcore #Bigass #Teen #Porn #RIPNSFW</v>
      </c>
      <c r="B720" s="12" t="str">
        <f>New!A:A</f>
        <v>Haley Spades - 13747519 - BS.jpg</v>
      </c>
      <c r="C720" s="12" t="s">
        <v>8895</v>
      </c>
      <c r="D720" s="46">
        <f>New!P:P</f>
        <v>0</v>
      </c>
    </row>
    <row r="721" spans="1:4" ht="12.75">
      <c r="A721" s="45" t="str">
        <f ca="1">New!M:M</f>
        <v>{New} Haley Spades https://doodstream.com/d/2ae8n76ll27q/18505168 https://streamtape.com/v/ao1p8ZA6a1sx7wV/18505168 https://lulustream.com/d/pbpjf0xcolyu (2026) #anal #teen #blowjob #blonde #RIPNSFW</v>
      </c>
      <c r="B721" s="12" t="str">
        <f>New!A:A</f>
        <v>Haley Spades - 18505168 - Onlyfans.jpg</v>
      </c>
      <c r="C721" s="12" t="s">
        <v>8895</v>
      </c>
      <c r="D721" s="46">
        <f>New!P:P</f>
        <v>0</v>
      </c>
    </row>
    <row r="722" spans="1:4" ht="12.75">
      <c r="A722" s="45" t="str">
        <f ca="1">New!M:M</f>
        <v>{New} Haley Spades https://doodstream.com/d/b7r9f0f1wi5k/20748217 https://lulustream.com/d/vxlswrveda3u https://streamtape.com/v/MPMq7pGL7kSm4Q2/20748217 (2026) #threesome #blonde #teen #blowjob #RIPNSFW</v>
      </c>
      <c r="B722" s="12" t="str">
        <f>New!A:A</f>
        <v>Haley Spades - 20748217 - Onlyfans.jpg</v>
      </c>
      <c r="C722" s="12" t="s">
        <v>8895</v>
      </c>
      <c r="D722" s="46">
        <f>New!P:P</f>
        <v>0</v>
      </c>
    </row>
    <row r="723" spans="1:4" ht="12.75">
      <c r="A723" s="45" t="str">
        <f ca="1">New!M:M</f>
        <v>{New} Haley Spades https://doodstream.com/d/9ups4h4fulih/26381060 https://lulustream.com/d/dpepq4ma5umj https://streamtape.com/v/er04ORx8yvijMv/26381060 (2026) #Hardcore #Bigass #Teen #Blowjob #RIPNSFW</v>
      </c>
      <c r="B723" s="12" t="str">
        <f>New!A:A</f>
        <v>Haley Spades - 26381060 - PB.jpg</v>
      </c>
      <c r="C723" s="12" t="s">
        <v>8895</v>
      </c>
      <c r="D723" s="46">
        <f>New!P:P</f>
        <v>0</v>
      </c>
    </row>
    <row r="724" spans="1:4" ht="12.75">
      <c r="A724" s="45" t="str">
        <f ca="1">New!M:M</f>
        <v>{New} Haley Spades https://lulustream.com/d/l07pt4skgpzp https://streamtape.com/v/RXgKL42BG1Uja9/26743368 https://doodstream.com/d/b2dl1j7zommt/26743368 Mia River (2026) #teen #threesome #bigass #porn #RIPNSFW</v>
      </c>
      <c r="B724" s="12" t="str">
        <f>New!A:A</f>
        <v>Haley Spades - 26743368 - NP - Mia River.jpg</v>
      </c>
      <c r="C724" s="12" t="s">
        <v>8895</v>
      </c>
      <c r="D724" s="46">
        <f>New!P:P</f>
        <v>0</v>
      </c>
    </row>
    <row r="725" spans="1:4" ht="12.75">
      <c r="A725" s="45" t="str">
        <f ca="1">New!M:M</f>
        <v>{New} Haley Spades https://doodstream.com/d/196gowqkszp7/29725313 https://lulustream.com/d/grjrhyu221ia https://streamtape.com/v/z7QX7Y2ZqVTy3z/29725313 (2026) #anal #creampie #teen #bigass #RIPNSFW</v>
      </c>
      <c r="B725" s="12" t="str">
        <f>New!A:A</f>
        <v>Haley Spades - 29725313 - XVRED.jpg</v>
      </c>
      <c r="C725" s="12" t="s">
        <v>8895</v>
      </c>
      <c r="D725" s="46">
        <f>New!P:P</f>
        <v>0</v>
      </c>
    </row>
    <row r="726" spans="1:4" ht="12.75">
      <c r="A726" s="45" t="str">
        <f ca="1">New!M:M</f>
        <v>{New} Haley Spades https://streamtape.com/v/eV41wJW0lQIkQj/34171606 https://doodstream.com/d/eiumwipil3oh/34171606 https://lulustream.com/d/kukte5t0etzx (2026) #Hardcore #Teen #Artporn #Blowjob #RIPNSFW</v>
      </c>
      <c r="B726" s="12" t="str">
        <f>New!A:A</f>
        <v>Haley Spades - 34171606 - ripnsfw.com.jpg</v>
      </c>
      <c r="C726" s="12" t="s">
        <v>8895</v>
      </c>
      <c r="D726" s="46">
        <f>New!P:P</f>
        <v>0</v>
      </c>
    </row>
    <row r="727" spans="1:4" ht="12.75">
      <c r="A727" s="45" t="str">
        <f ca="1">New!M:M</f>
        <v>{New} Haley Spades https://doodstream.com/d/0petmtcwhqd6/37618933 https://lulustream.com/d/2h9jkp6ip2p1 https://streamtape.com/v/xZYZpRJjKYTkd03/37618933 (2026) #teen #bigass #blonde #blowjob #RIPNSFW</v>
      </c>
      <c r="B727" s="12" t="str">
        <f>New!A:A</f>
        <v>Haley Spades - 37618933 - Dark X.jpg</v>
      </c>
      <c r="C727" s="12" t="s">
        <v>8895</v>
      </c>
      <c r="D727" s="46">
        <f>New!P:P</f>
        <v>0</v>
      </c>
    </row>
    <row r="728" spans="1:4" ht="12.75">
      <c r="A728" s="45" t="str">
        <f ca="1">New!M:M</f>
        <v>{New} Haley Spades https://doodstream.com/d/3tv7rsf4pt8x/38025833 https://streamtape.com/v/G9pjMv2pmDu1xPq/38025833 https://lulustream.com/d/uxvcr5etgpzu (2026) #anal #teen #blowjob #bigass #RIPNSFW</v>
      </c>
      <c r="B728" s="12" t="str">
        <f>New!A:A</f>
        <v>Haley Spades - 38025833 - Onlyfans.jpg</v>
      </c>
      <c r="C728" s="12" t="s">
        <v>8895</v>
      </c>
      <c r="D728" s="46">
        <f>New!P:P</f>
        <v>0</v>
      </c>
    </row>
    <row r="729" spans="1:4" ht="12.75">
      <c r="A729" s="45" t="str">
        <f ca="1">New!M:M</f>
        <v>{New} Haley Spades https://streamtape.com/v/begQ8vDVMaHo9Y/38720636 https://lulustream.com/d/vufwbw3vpddq https://doodstream.com/d/bsnptrykx048/38720636 (2026) #teen #blowjob #bigass #blonde #RIPNSFW</v>
      </c>
      <c r="B729" s="12" t="str">
        <f>New!A:A</f>
        <v>Haley Spades - 38720636 - Onlyfans.jpg</v>
      </c>
      <c r="C729" s="12" t="s">
        <v>8895</v>
      </c>
      <c r="D729" s="46">
        <f>New!P:P</f>
        <v>0</v>
      </c>
    </row>
    <row r="730" spans="1:4" ht="12.75">
      <c r="A730" s="45" t="str">
        <f ca="1">New!M:M</f>
        <v>{New} Haley Spades https://streamtape.com/v/RgGvq0zgRpHdQ1z/39361622 https://lulustream.com/d/gmqlk2t85jrw https://doodstream.com/d/8sr2khkone1y/39361622 (2026) #teen #doublepenetration #anal #bigass #RIPNSFW</v>
      </c>
      <c r="B730" s="12" t="str">
        <f>New!A:A</f>
        <v>Haley Spades - 39361622 - Onlyfans.jpg</v>
      </c>
      <c r="C730" s="12" t="s">
        <v>8895</v>
      </c>
      <c r="D730" s="46">
        <f>New!P:P</f>
        <v>0</v>
      </c>
    </row>
    <row r="731" spans="1:4" ht="12.75">
      <c r="A731" s="45" t="str">
        <f ca="1">New!M:M</f>
        <v>{New} Haley Spades https://streamtape.com/v/PrpXZaVVjDH0KYP/39906896 https://doodstream.com/d/f9r6azgkc90r/39906896 https://lulustream.com/d/25fzhdzqdl4k (2026) #milf #hardcore #threesome #bigass #RIPNSFW</v>
      </c>
      <c r="B731" s="12" t="str">
        <f>New!A:A</f>
        <v>Haley Spades - 39906896 - FS.jpg</v>
      </c>
      <c r="C731" s="12" t="s">
        <v>8895</v>
      </c>
      <c r="D731" s="46">
        <f>New!P:P</f>
        <v>0</v>
      </c>
    </row>
    <row r="732" spans="1:4" ht="12.75">
      <c r="A732" s="45" t="str">
        <f ca="1">New!M:M</f>
        <v>{New} Haley Spades https://doodstream.com/d/fw0cy9w547yb/40753305 https://streamtape.com/v/BALjYL1mgzC6LY/40753305 https://lulustream.com/d/p3ryb6imde4l (2026) #teen #blowjob #bigass #blonde #RIPNSFW</v>
      </c>
      <c r="B732" s="12" t="str">
        <f>New!A:A</f>
        <v>Haley Spades - 40753305 - Onlyfans.jpg</v>
      </c>
      <c r="C732" s="12" t="s">
        <v>8895</v>
      </c>
      <c r="D732" s="46">
        <f>New!P:P</f>
        <v>0</v>
      </c>
    </row>
    <row r="733" spans="1:4" ht="12.75">
      <c r="A733" s="45" t="str">
        <f ca="1">New!M:M</f>
        <v>{New} Haley Spades https://doodstream.com/d/xvdw5lat4h0c/47547873 https://streamtape.com/v/XkDzaBjl4zUZPW/47547873 https://lulustream.com/d/60zvt1kn15va (2026) #teen #bigass #blowjob #interracial #RIPNSFW</v>
      </c>
      <c r="B733" s="12" t="str">
        <f>New!A:A</f>
        <v>Haley Spades - 47547873 - Onlyfans.jpg</v>
      </c>
      <c r="C733" s="12" t="s">
        <v>8895</v>
      </c>
      <c r="D733" s="46">
        <f>New!P:P</f>
        <v>0</v>
      </c>
    </row>
    <row r="734" spans="1:4" ht="12.75">
      <c r="A734" s="45" t="str">
        <f ca="1">New!M:M</f>
        <v>{New} Haley Spades https://doodstream.com/d/q377p5sbxwje/53567199 https://streamtape.com/v/LLxk7jqrydURr2O/53567199 https://lulustream.com/d/lhlfecf6y4hk (2026) #doublepenetration #anal #interracial #foursome #RIPNSFW</v>
      </c>
      <c r="B734" s="12" t="str">
        <f>New!A:A</f>
        <v>Haley Spades - 53567199 - EvilAngel.jpg</v>
      </c>
      <c r="C734" s="12" t="s">
        <v>8895</v>
      </c>
      <c r="D734" s="46">
        <f>New!P:P</f>
        <v>0</v>
      </c>
    </row>
    <row r="735" spans="1:4" ht="12.75">
      <c r="A735" s="45" t="str">
        <f ca="1">New!M:M</f>
        <v>{New} Haley Spades https://lulustream.com/d/chmzssrt48i5 https://doodstream.com/d/fwfp83yhcneu/59507747 https://streamtape.com/v/wg6J0gjPVbhJJVp/59507747 (2026) #doublepenetration #anal #bigass #threesome #RIPNSFW</v>
      </c>
      <c r="B735" s="12" t="str">
        <f>New!A:A</f>
        <v>Haley Spades - 59507747 - Tushy.jpg</v>
      </c>
      <c r="C735" s="12" t="s">
        <v>8895</v>
      </c>
      <c r="D735" s="46">
        <f>New!P:P</f>
        <v>0</v>
      </c>
    </row>
    <row r="736" spans="1:4" ht="12.75">
      <c r="A736" s="45" t="str">
        <f ca="1">New!M:M</f>
        <v>{New} Haley Spades https://lulustream.com/d/7sk6sovpvuk3 https://streamtape.com/v/KXjm2gwdzmc0q6j/60485003 https://doodstream.com/d/9yzzqxfcy5hh/60485003 (2026) #Hardcore #Bigass #Porn #Teen #Blowjob #Blonde #Facial #RIPNSFW</v>
      </c>
      <c r="B736" s="12" t="str">
        <f>New!A:A</f>
        <v>Haley Spades - 60485003 - ripnsfw.com.jpg</v>
      </c>
      <c r="C736" s="12" t="s">
        <v>8895</v>
      </c>
      <c r="D736" s="46">
        <f>New!P:P</f>
        <v>0</v>
      </c>
    </row>
    <row r="737" spans="1:4" ht="12.75">
      <c r="A737" s="45" t="str">
        <f ca="1">New!M:M</f>
        <v>{New} Haley Spades https://doodstream.com/d/gkd3layv5nq5/60845164 https://streamtape.com/v/A4RL1rmLJkSXYvp/60845164 https://lulustream.com/d/hbxdiqtassvi (2026) #Hardcore #Bigass #Teen #Artporn #Blowjob #Amateur #Deepthroat #Blonde #Facial #RIPNSFW</v>
      </c>
      <c r="B737" s="12" t="str">
        <f>New!A:A</f>
        <v>Haley Spades - 60845164 - Onlyfans.jpg</v>
      </c>
      <c r="C737" s="12" t="s">
        <v>8895</v>
      </c>
      <c r="D737" s="46">
        <f>New!P:P</f>
        <v>0</v>
      </c>
    </row>
    <row r="738" spans="1:4" ht="12.75">
      <c r="A738" s="45" t="str">
        <f ca="1">New!M:M</f>
        <v>{New} Haley Spades https://doodstream.com/d/kaa4h3gfjz59/62164664 https://streamtape.com/v/p71KkabodmfraJX/62164664 https://lulustream.com/d/e0r23alinyr6 (2026) #teen #anal #bigass #blonde #RIPNSFW</v>
      </c>
      <c r="B738" s="12" t="str">
        <f>New!A:A</f>
        <v>Haley Spades - 62164664 - Hardx.jpg</v>
      </c>
      <c r="C738" s="12" t="s">
        <v>8895</v>
      </c>
      <c r="D738" s="46">
        <f>New!P:P</f>
        <v>0</v>
      </c>
    </row>
    <row r="739" spans="1:4" ht="12.75">
      <c r="A739" s="45" t="str">
        <f ca="1">New!M:M</f>
        <v>{New} Haley Spades https://lulustream.com/d/960aqdpv9cee https://streamtape.com/v/w6KW6J8QBvIJObL/62687412 https://doodstream.com/d/gmve0y9pklp8/62687412 (2026) #teen #bigass #blowjob #blonde #RIPNSFW</v>
      </c>
      <c r="B739" s="12" t="str">
        <f>New!A:A</f>
        <v>Haley Spades - 62687412 - Onlyfans.jpg</v>
      </c>
      <c r="C739" s="12" t="s">
        <v>8895</v>
      </c>
      <c r="D739" s="46">
        <f>New!P:P</f>
        <v>0</v>
      </c>
    </row>
    <row r="740" spans="1:4" ht="12.75">
      <c r="A740" s="45" t="str">
        <f ca="1">New!M:M</f>
        <v>{New} Haley Spades https://lulustream.com/d/rhgmypkrm366 https://doodstream.com/d/iep2i9o0qka8/70700659 https://streamtape.com/v/eAo1rp4Pxlt22G/70700659 (2026) #anal #hardcore #porn #teen #RIPNSFW</v>
      </c>
      <c r="B740" s="12" t="str">
        <f>New!A:A</f>
        <v>Haley Spades - 70700659 - FS.jpg</v>
      </c>
      <c r="C740" s="12" t="s">
        <v>8895</v>
      </c>
      <c r="D740" s="46">
        <f>New!P:P</f>
        <v>0</v>
      </c>
    </row>
    <row r="741" spans="1:4" ht="12.75">
      <c r="A741" s="45" t="str">
        <f ca="1">New!M:M</f>
        <v>{New} Haley Spades https://streamtape.com/v/QkQjYW9APet0O73/75230723 https://doodstream.com/d/vjiih07ltmu4/75230723 https://lulustream.com/d/95dwae81tt0b (2026) #Hardcore #Bigass #Teen #Blowjob #RIPNSFW</v>
      </c>
      <c r="B741" s="12" t="str">
        <f>New!A:A</f>
        <v>Haley Spades - 75230723 - BTS.jpg</v>
      </c>
      <c r="C741" s="12" t="s">
        <v>8895</v>
      </c>
      <c r="D741" s="46">
        <f>New!P:P</f>
        <v>0</v>
      </c>
    </row>
    <row r="742" spans="1:4" ht="12.75">
      <c r="A742" s="45" t="str">
        <f ca="1">New!M:M</f>
        <v>{New} Haley Spades https://doodstream.com/d/hngxsfs8qywz/82044382 https://streamtape.com/v/wG7Q73jBDLuJ9Vy/82044382 https://lulustream.com/d/oohfdtdv0wtv (2026) #anal #hardcore #threesome #bigass #RIPNSFW</v>
      </c>
      <c r="B742" s="12" t="str">
        <f>New!A:A</f>
        <v>Haley Spades - 82044382 - XVRED.jpg</v>
      </c>
      <c r="C742" s="12" t="s">
        <v>8895</v>
      </c>
      <c r="D742" s="46">
        <f>New!P:P</f>
        <v>0</v>
      </c>
    </row>
    <row r="743" spans="1:4" ht="12.75">
      <c r="A743" s="45" t="str">
        <f ca="1">New!M:M</f>
        <v>{New} Haley Spades https://doodstream.com/d/rmkaveoimnho/84254722 https://streamtape.com/v/YgwMpdQYqWFvAZA/84254722 https://lulustream.com/d/2nnzbq7grc4x (2026) #teen #anal #bigass #doublepenetration #RIPNSFW</v>
      </c>
      <c r="B743" s="12" t="str">
        <f>New!A:A</f>
        <v>Haley Spades - 84254722 - PD.jpg</v>
      </c>
      <c r="C743" s="12" t="s">
        <v>8895</v>
      </c>
      <c r="D743" s="46">
        <f>New!P:P</f>
        <v>0</v>
      </c>
    </row>
    <row r="744" spans="1:4" ht="12.75">
      <c r="A744" s="45" t="str">
        <f ca="1">New!M:M</f>
        <v>{New} Haley Spades https://streamtape.com/v/DAY49grZ9kck1Mg/89312649 https://doodstream.com/d/tcyti6ez89ra/89312649 https://lulustream.com/d/6q7u0hpqzcxq (2026) #Anal #Creampie #Hardcore #Bigass #RIPNSFW</v>
      </c>
      <c r="B744" s="12" t="str">
        <f>New!A:A</f>
        <v>Haley Spades - 89312649 - Onlyfans.jpg</v>
      </c>
      <c r="C744" s="12" t="s">
        <v>8895</v>
      </c>
      <c r="D744" s="46">
        <f>New!P:P</f>
        <v>0</v>
      </c>
    </row>
    <row r="745" spans="1:4" ht="12.75">
      <c r="A745" s="45" t="str">
        <f ca="1">New!M:M</f>
        <v>{New} Haley Spades https://doodstream.com/d/6a7ycx6yzg38/89642695 https://lulustream.com/d/atb073tp5tbl https://streamtape.com/v/y2J9GbKe70t1WO4/89642695 (2026) #teen #blonde #bigass #blowjob #RIPNSFW</v>
      </c>
      <c r="B745" s="12" t="str">
        <f>New!A:A</f>
        <v>Haley Spades - 89642695 - Onlyfans.jpg</v>
      </c>
      <c r="C745" s="12" t="s">
        <v>8895</v>
      </c>
      <c r="D745" s="46">
        <f>New!P:P</f>
        <v>0</v>
      </c>
    </row>
    <row r="746" spans="1:4" ht="12.75">
      <c r="A746" s="45" t="str">
        <f ca="1">New!M:M</f>
        <v>{New} Haley Spades https://lulustream.com/d/bpsqv9dy8a3b https://streamtape.com/v/kvLQMRJV8PfYeO/94148243 https://doodstream.com/d/xks5bzsb4v69/94148243 (2026) #teen #blowjob #blonde #porn #RIPNSFW</v>
      </c>
      <c r="B746" s="12" t="str">
        <f>New!A:A</f>
        <v>Haley Spades - 94148243 - OF.jpg</v>
      </c>
      <c r="C746" s="12" t="s">
        <v>8895</v>
      </c>
      <c r="D746" s="46">
        <f>New!P:P</f>
        <v>0</v>
      </c>
    </row>
    <row r="747" spans="1:4" ht="12.75">
      <c r="A747" s="45" t="str">
        <f ca="1">New!M:M</f>
        <v>{New} Haley Spades https://doodstream.com/d/uosaea2clt7w/94852051 https://streamtape.com/v/xr2W8pak3kUkG9a/94852051 https://lulustream.com/d/m7rhg9oygyv9 Jewelz Blu (2026) #BigTits #Hardcore #Threesome #Bigass #RIPNSFW</v>
      </c>
      <c r="B747" s="12" t="str">
        <f>New!A:A</f>
        <v>Haley Spades - 94852051 - Onlyfans - Jewelz Blu.jpg</v>
      </c>
      <c r="C747" s="12" t="s">
        <v>8895</v>
      </c>
      <c r="D747" s="46">
        <f>New!P:P</f>
        <v>0</v>
      </c>
    </row>
    <row r="748" spans="1:4" ht="12.75">
      <c r="A748" s="45" t="str">
        <f ca="1">New!M:M</f>
        <v>{New} Haley Spades https://doodstream.com/d/y8cme36nhv7e/96147019 https://streamtape.com/v/aYe84mqjLetx7ZJ/96147019 https://lulustream.com/d/u4eeviemm50d (2026) #creampie #teen #interracial #blowjob #RIPNSFW</v>
      </c>
      <c r="B748" s="12" t="str">
        <f>New!A:A</f>
        <v>Haley Spades - 96147019 - Gangbang Creampie.jpg</v>
      </c>
      <c r="C748" s="12" t="s">
        <v>8895</v>
      </c>
      <c r="D748" s="46">
        <f>New!P:P</f>
        <v>0</v>
      </c>
    </row>
    <row r="749" spans="1:4" ht="12.75">
      <c r="A749" s="45" t="str">
        <f ca="1">New!M:M</f>
        <v>{New} Haley Spades https://lulustream.com/d/qwfsnfh985ei https://doodstream.com/d/sy1tumdssnjw/97355912 https://streamtape.com/v/K9PKvWoM87U0QMP/97355912 (2026) #Anal #Hardcore #Black #Threesome #Interracial #Bigass #RIPNSFW</v>
      </c>
      <c r="B749" s="12" t="str">
        <f>New!A:A</f>
        <v>Haley Spades - 97355912 - ripnsfw.com.jpg</v>
      </c>
      <c r="C749" s="12" t="s">
        <v>8895</v>
      </c>
      <c r="D749" s="46">
        <f>New!P:P</f>
        <v>0</v>
      </c>
    </row>
    <row r="750" spans="1:4" ht="12.75">
      <c r="A750" s="45" t="str">
        <f ca="1">New!M:M</f>
        <v>{New} Happy_Yulia https://doodstream.com/d/rl5p2mmsfvbv/78859240 https://lulustream.com/d/uqpk1exye70x https://streamtape.com/v/r4ozdklLM1CbjDJ/78859240 (2026) #teen #blonde #bigtits #facial #RIPNSFW</v>
      </c>
      <c r="B750" s="12" t="str">
        <f>New!A:A</f>
        <v>Happy_Yulia - 78859240 -  Onlyfans.jpg</v>
      </c>
      <c r="C750" s="12" t="s">
        <v>8895</v>
      </c>
      <c r="D750" s="46">
        <f>New!P:P</f>
        <v>0</v>
      </c>
    </row>
    <row r="751" spans="1:4" ht="12.75">
      <c r="A751" s="45" t="str">
        <f ca="1">New!M:M</f>
        <v>Hayley Davies https://streamtape.com/v/Vyz1BAmjV9hKpBL/15229591 https://lulustream.com/d/sq95lh7vln9f https://doodstream.com/d/p64gtgqkcjrq/15229591 #milf #blonde #bigtits #bigass #RIPNSFW</v>
      </c>
      <c r="B751" s="12" t="str">
        <f>New!A:A</f>
        <v>Hayley Davies - 15229591 - Onlyfans.jpg</v>
      </c>
      <c r="C751" s="12" t="s">
        <v>8895</v>
      </c>
      <c r="D751" s="46">
        <f>New!P:P</f>
        <v>0</v>
      </c>
    </row>
    <row r="752" spans="1:4" ht="12.75">
      <c r="A752" s="45" t="str">
        <f ca="1">New!M:M</f>
        <v>{New} Hayley Davies https://lulustream.com/d/r12a6fvunjfa https://streamtape.com/v/oAK73Pwrjrsbmq/26666486 https://doodstream.com/d/cs42jvgvz0wc/26666486 (2026) #milf #blonde #bigtits #bigass #RIPNSFW</v>
      </c>
      <c r="B752" s="12" t="str">
        <f>New!A:A</f>
        <v>Hayley Davies - 26666486 - PB.jpg</v>
      </c>
      <c r="C752" s="12" t="s">
        <v>8895</v>
      </c>
      <c r="D752" s="46">
        <f>New!P:P</f>
        <v>0</v>
      </c>
    </row>
    <row r="753" spans="1:4" ht="12.75">
      <c r="A753" s="45" t="str">
        <f ca="1">New!M:M</f>
        <v>{New} Hayley Davies https://doodstream.com/d/s6skgozww4fk/43204677 https://streamtape.com/v/q8yMX9qgzocLA2/43204677 https://lulustream.com/d/a6l0bm4j4omv (2026) #MILF #BigTits #Hardcore #Bigass #RIPNSFW</v>
      </c>
      <c r="B753" s="12" t="str">
        <f>New!A:A</f>
        <v>Hayley Davies - 43204677 - Onlyfans.jpg</v>
      </c>
      <c r="C753" s="12" t="s">
        <v>8895</v>
      </c>
      <c r="D753" s="46">
        <f>New!P:P</f>
        <v>0</v>
      </c>
    </row>
    <row r="754" spans="1:4" ht="12.75">
      <c r="A754" s="45" t="str">
        <f ca="1">New!M:M</f>
        <v>{New} Hayley Davies https://streamtape.com/v/kLZ0BbMrYrhOLl4/99348682 https://lulustream.com/d/83m8de2jsa4k https://doodstream.com/d/iajkm5k5sron/99348682 Violet Myers (2026) #milf #threesome #bigtits #bigass #RIPNSFW</v>
      </c>
      <c r="B754" s="12" t="str">
        <f>New!A:A</f>
        <v>Hayley Davies - 99348682 - Onlyfans - Violet Myers.jpg</v>
      </c>
      <c r="C754" s="12" t="s">
        <v>8895</v>
      </c>
      <c r="D754" s="46">
        <f>New!P:P</f>
        <v>0</v>
      </c>
    </row>
    <row r="755" spans="1:4" ht="12.75">
      <c r="A755" s="45" t="str">
        <f ca="1">New!M:M</f>
        <v>{New} Hinatakio https://streamtape.com/v/w4OV62mbVZFJZpJ/84111829 https://doodstream.com/d/xuwbe9198wvx/84111829 https://lulustream.com/d/2qo53k7cmjkj (2026) #Teen #Teens #Blowjob #Amateur #Deepthroat #Facial #RIPNSFW</v>
      </c>
      <c r="B755" s="12" t="str">
        <f>New!A:A</f>
        <v>Hinatakio - 84111829 - Onlyfans.jpg</v>
      </c>
      <c r="C755" s="12" t="s">
        <v>8895</v>
      </c>
      <c r="D755" s="46">
        <f>New!P:P</f>
        <v>0</v>
      </c>
    </row>
    <row r="756" spans="1:4" ht="12.75">
      <c r="A756" s="45" t="str">
        <f ca="1">New!M:M</f>
        <v>{New} Honey Sasha https://doodstream.com/d/luxrgnea8m4u/71637373 https://streamtape.com/v/9ODMLD6bqaIOxG/71637373 https://lulustream.com/d/x0i7044rmb26 (2026) #BigTits #Hardcore #Bigass #Teen #Artporn #Teens #Blowjob #Amateur #RIPNSFW</v>
      </c>
      <c r="B756" s="12" t="str">
        <f>New!A:A</f>
        <v>Honey Sasha - 71637373 - Onlyfans.jpg</v>
      </c>
      <c r="C756" s="12" t="s">
        <v>8895</v>
      </c>
      <c r="D756" s="46">
        <f>New!P:P</f>
        <v>0</v>
      </c>
    </row>
    <row r="757" spans="1:4" ht="12.75">
      <c r="A757" s="45" t="str">
        <f ca="1">New!M:M</f>
        <v>{New} Indica Flower https://doodstream.com/d/6feu0fkgq71i/40171471 https://streamtape.com/v/klablQbOpkf6lo/40171471 https://lulustream.com/d/yt24slj3d59c (2026) #MILF #BigTits #Hardcore #Black #RIPNSFW</v>
      </c>
      <c r="B757" s="12" t="str">
        <f>New!A:A</f>
        <v>Indica Flower - 40171471 - Onlyfans.jpg</v>
      </c>
      <c r="C757" s="12" t="s">
        <v>8895</v>
      </c>
      <c r="D757" s="46">
        <f>New!P:P</f>
        <v>0</v>
      </c>
    </row>
    <row r="758" spans="1:4" ht="12.75">
      <c r="A758" s="45" t="str">
        <f ca="1">New!M:M</f>
        <v>{New} Indica Flower https://lulustream.com/d/99r6jv9nw70o https://doodstream.com/d/ynpqaeb2utwj/43277129 https://streamtape.com/v/2689VZL3M2sRb6/43277129 (2026) #milf #blowjob #bigtits #bigass #RIPNSFW</v>
      </c>
      <c r="B758" s="12" t="str">
        <f>New!A:A</f>
        <v>Indica Flower - 43277129 - Onlyfans.jpg</v>
      </c>
      <c r="C758" s="12" t="s">
        <v>8895</v>
      </c>
      <c r="D758" s="46">
        <f>New!P:P</f>
        <v>0</v>
      </c>
    </row>
    <row r="759" spans="1:4" ht="12.75">
      <c r="A759" s="45" t="str">
        <f ca="1">New!M:M</f>
        <v>{New} Indica Flower https://streamtape.com/v/k2QkbPJPD1TOGlb/49136859 https://doodstream.com/d/ls08fniogi62/49136859 https://lulustream.com/d/y4deodmubrh5 (2026) #milf #bigtits #bigass #blowjob #RIPNSFW</v>
      </c>
      <c r="B759" s="12" t="str">
        <f>New!A:A</f>
        <v>Indica Flower - 49136859 - Onlyfans.jpg</v>
      </c>
      <c r="C759" s="12" t="s">
        <v>8895</v>
      </c>
      <c r="D759" s="46">
        <f>New!P:P</f>
        <v>0</v>
      </c>
    </row>
    <row r="760" spans="1:4" ht="12.75">
      <c r="A760" s="45" t="str">
        <f ca="1">New!M:M</f>
        <v>{New} Indica Flower https://doodstream.com/d/l6hv76ccucyw/52696210 https://streamtape.com/v/e4pgKDpvObIkBe/52696210 https://lulustream.com/d/3pyzkyzbrg1y (2026) #milf #bigtits #bigass #blowjob #RIPNSFW</v>
      </c>
      <c r="B760" s="12" t="str">
        <f>New!A:A</f>
        <v>Indica Flower - 52696210 - MLR.jpg</v>
      </c>
      <c r="C760" s="12" t="s">
        <v>8895</v>
      </c>
      <c r="D760" s="46">
        <f>New!P:P</f>
        <v>0</v>
      </c>
    </row>
    <row r="761" spans="1:4" ht="12.75">
      <c r="A761" s="45" t="str">
        <f ca="1">New!M:M</f>
        <v>Indica Flower https://streamtape.com/v/rkaYdl1Bb4ibQGB/66160100 https://lulustream.com/d/60464yqizfdi https://doodstream.com/d/y9970uhpend9/66160100 #milf #blowjob #bigtits #bigass #RIPNSFW</v>
      </c>
      <c r="B761" s="12" t="str">
        <f>New!A:A</f>
        <v>Indica Flower - 66160100 - Onlyfans.jpg</v>
      </c>
      <c r="C761" s="12" t="s">
        <v>8895</v>
      </c>
      <c r="D761" s="46">
        <f>New!P:P</f>
        <v>0</v>
      </c>
    </row>
    <row r="762" spans="1:4" ht="12.75">
      <c r="A762" s="45" t="str">
        <f ca="1">New!M:M</f>
        <v>{New} Indica Flower https://streamtape.com/v/9p4qeo4DL1HaxbO/76022716 https://lulustream.com/d/bjjn5qqgykw7 https://doodstream.com/d/ug7lv4bj6e4k/76022716 (2026) #milf #bigtits #blowjob #bigass #RIPNSFW</v>
      </c>
      <c r="B762" s="12" t="str">
        <f>New!A:A</f>
        <v>Indica Flower - 76022716 - Onlyfans.jpg</v>
      </c>
      <c r="C762" s="12" t="s">
        <v>8895</v>
      </c>
      <c r="D762" s="46">
        <f>New!P:P</f>
        <v>0</v>
      </c>
    </row>
    <row r="763" spans="1:4" ht="12.75">
      <c r="A763" s="45" t="str">
        <f ca="1">New!M:M</f>
        <v>{New} Indica Flower https://streamtape.com/v/wO2yOmBLg2tJzgz/77303400 https://doodstream.com/d/94tnfilouaxz/77303400 https://lulustream.com/d/uvrf1lxwqpbg Angela White (2026) #milf #threesome #bigtits #bigass #RIPNSFW</v>
      </c>
      <c r="B763" s="12" t="str">
        <f>New!A:A</f>
        <v>Indica Flower - 77303400 - Onlyfans - Angela White.jpg</v>
      </c>
      <c r="C763" s="12" t="s">
        <v>8895</v>
      </c>
      <c r="D763" s="46">
        <f>New!P:P</f>
        <v>0</v>
      </c>
    </row>
    <row r="764" spans="1:4" ht="12.75">
      <c r="A764" s="45" t="str">
        <f ca="1">New!M:M</f>
        <v>{New} Indica Flower https://lulustream.com/d/fdr2cpi0v0g9 https://streamtape.com/v/PDpwWo1PQMiW9w/86487740 https://doodstream.com/d/rsdax3sre2ue/86487740 (2026) #bigtits #milf #hardcore #bigass #RIPNSFW</v>
      </c>
      <c r="B764" s="12" t="str">
        <f>New!A:A</f>
        <v>Indica Flower - 86487740 - Onlyfans.jpg</v>
      </c>
      <c r="C764" s="12" t="s">
        <v>8895</v>
      </c>
      <c r="D764" s="46">
        <f>New!P:P</f>
        <v>0</v>
      </c>
    </row>
    <row r="765" spans="1:4" ht="12.75">
      <c r="A765" s="45" t="str">
        <f ca="1">New!M:M</f>
        <v>{New} Indica Flower https://streamtape.com/v/vwQeepvqrQSa7j/91384409 https://doodstream.com/d/gntvpuwt2n06/91384409 https://lulustream.com/d/vbvt98hnpnpb (2026) #milf #bigtits #blowjob #bigass #RIPNSFW</v>
      </c>
      <c r="B765" s="12" t="str">
        <f>New!A:A</f>
        <v>Indica Flower - 91384409 - Onlyfans.jpg</v>
      </c>
      <c r="C765" s="12" t="s">
        <v>8895</v>
      </c>
      <c r="D765" s="46">
        <f>New!P:P</f>
        <v>0</v>
      </c>
    </row>
    <row r="766" spans="1:4" ht="12.75">
      <c r="A766" s="45" t="str">
        <f ca="1">New!M:M</f>
        <v>{New} Indica Flower https://lulustream.com/d/c9sxoryotjnz https://doodstream.com/d/klulovnudtln/92908779 https://streamtape.com/v/pbM6L06aZoHrMOK/92908779 (2026) #milf #bigtits #bigass #blowjob #RIPNSFW</v>
      </c>
      <c r="B766" s="12" t="str">
        <f>New!A:A</f>
        <v>Indica Flower - 92908779 - Onlyfans.jpg</v>
      </c>
      <c r="C766" s="12" t="s">
        <v>8895</v>
      </c>
      <c r="D766" s="46">
        <f>New!P:P</f>
        <v>0</v>
      </c>
    </row>
    <row r="767" spans="1:4" ht="12.75">
      <c r="A767" s="45" t="str">
        <f ca="1">New!M:M</f>
        <v>{New} Indica Flower https://lulustream.com/d/kszu9la1jt02 https://streamtape.com/v/8OLJZbwG6DioVAe/93773610 https://doodstream.com/d/f42vj2rxm6bp/93773610 (2026) #milf #blowjob #bigtits #brunette #RIPNSFW</v>
      </c>
      <c r="B767" s="12" t="str">
        <f>New!A:A</f>
        <v>Indica Flower - 93773610 - Onlyfans.jpg</v>
      </c>
      <c r="C767" s="12" t="s">
        <v>8895</v>
      </c>
      <c r="D767" s="46">
        <f>New!P:P</f>
        <v>0</v>
      </c>
    </row>
    <row r="768" spans="1:4" ht="12.75">
      <c r="A768" s="45" t="str">
        <f ca="1">New!M:M</f>
        <v>{New} Indica Flower https://streamtape.com/v/AXe3Gzm27OsX7LZ/94126261 https://lulustream.com/d/6plaqmussr0s https://doodstream.com/d/xt2hm0qau8uk/94126261 (2026) #milf #bigtits #bigass #blowjob #RIPNSFW</v>
      </c>
      <c r="B768" s="12" t="str">
        <f>New!A:A</f>
        <v>Indica Flower - 94126261 - NaughtyAmerica.jpg</v>
      </c>
      <c r="C768" s="12" t="s">
        <v>8895</v>
      </c>
      <c r="D768" s="46">
        <f>New!P:P</f>
        <v>0</v>
      </c>
    </row>
    <row r="769" spans="1:4" ht="12.75">
      <c r="A769" s="45" t="str">
        <f ca="1">New!M:M</f>
        <v>{New} Indica Flower https://doodstream.com/d/doxbl254fwfl/97821652 https://streamtape.com/v/9jLABaLgAgIybJ/97821652 https://lulustream.com/d/4j6z4gujyoez (2026) #milf #bigass #bigtits #blowjob #RIPNSFW</v>
      </c>
      <c r="B769" s="12" t="str">
        <f>New!A:A</f>
        <v>Indica Flower - 97821652 - Onlyfans.jpg</v>
      </c>
      <c r="C769" s="12" t="s">
        <v>8895</v>
      </c>
      <c r="D769" s="46">
        <f>New!P:P</f>
        <v>0</v>
      </c>
    </row>
    <row r="770" spans="1:4" ht="12.75">
      <c r="A770" s="45" t="str">
        <f ca="1">New!M:M</f>
        <v>{New} Irisxjase https://lulustream.com/d/htc811zylvdx https://streamtape.com/v/LYrl0Pm4LVhyJ8/87281834 https://doodstream.com/d/tf3deflt8iaf/87281834 (2026) #Hardcore #Threesome #Teen #Blowjob #RIPNSFW</v>
      </c>
      <c r="B770" s="12" t="str">
        <f>New!A:A</f>
        <v>Irisxjase - 87281834 - Onlyfans.jpg</v>
      </c>
      <c r="C770" s="12" t="s">
        <v>8895</v>
      </c>
      <c r="D770" s="46">
        <f>New!P:P</f>
        <v>0</v>
      </c>
    </row>
    <row r="771" spans="1:4" ht="12.75">
      <c r="A771" s="45" t="str">
        <f ca="1">New!M:M</f>
        <v>{New} Ivy Lebelle https://streamtape.com/v/dRyyw9jZ29ikq2x/22706899 https://doodstream.com/d/ljhgklso13k4/22706899 https://lulustream.com/d/3clmzxvfo60r (2026) #milf #bigass #bigtits #blowjob #RIPNSFW</v>
      </c>
      <c r="B771" s="12" t="str">
        <f>New!A:A</f>
        <v>Ivy Lebelle - 22706899 - Onlyfans.jpg</v>
      </c>
      <c r="C771" s="12" t="s">
        <v>8895</v>
      </c>
      <c r="D771" s="46">
        <f>New!P:P</f>
        <v>0</v>
      </c>
    </row>
    <row r="772" spans="1:4" ht="12.75">
      <c r="A772" s="45" t="str">
        <f ca="1">New!M:M</f>
        <v>{New} Ivy Lebelle https://lulustream.com/d/wdnz8kcedvuk https://streamtape.com/v/17VmwYkxo3SeOLx/30820563 https://doodstream.com/d/w6m9q68zuizh/30820563 (2026) #Anal #MILF #BigTits #Hardcore #RIPNSFW</v>
      </c>
      <c r="B772" s="12" t="str">
        <f>New!A:A</f>
        <v>Ivy Lebelle - 30820563 - BA.jpg</v>
      </c>
      <c r="C772" s="12" t="s">
        <v>8895</v>
      </c>
      <c r="D772" s="46">
        <f>New!P:P</f>
        <v>0</v>
      </c>
    </row>
    <row r="773" spans="1:4" ht="12.75">
      <c r="A773" s="45" t="str">
        <f ca="1">New!M:M</f>
        <v>{New} Ivy Lebelle https://lulustream.com/d/fvbprlazjetg https://streamtape.com/v/bkjr6D4VGqSPkML/42093081 https://doodstream.com/d/p7ypucc7c8qe/42093081 (2026) #doublepenetration #anal #milf #bigtits #RIPNSFW</v>
      </c>
      <c r="B773" s="12" t="str">
        <f>New!A:A</f>
        <v>Ivy Lebelle - 42093081 - Onlyfans.jpg</v>
      </c>
      <c r="C773" s="12" t="s">
        <v>8895</v>
      </c>
      <c r="D773" s="46">
        <f>New!P:P</f>
        <v>0</v>
      </c>
    </row>
    <row r="774" spans="1:4" ht="12.75">
      <c r="A774" s="45" t="str">
        <f ca="1">New!M:M</f>
        <v>{New} Ivy Lebelle https://streamtape.com/v/OdrORGKPAls7b6/99143196 https://lulustream.com/d/csmobz2ink0c https://doodstream.com/d/3r18oimpe194/99143196 (2026) #bigtits #milf #hardcore #black #RIPNSFW</v>
      </c>
      <c r="B774" s="12" t="str">
        <f>New!A:A</f>
        <v>Ivy Lebelle - 99143196 - RR.jpg</v>
      </c>
      <c r="C774" s="12" t="s">
        <v>8895</v>
      </c>
      <c r="D774" s="46">
        <f>New!P:P</f>
        <v>0</v>
      </c>
    </row>
    <row r="775" spans="1:4" ht="12.75">
      <c r="A775" s="45" t="str">
        <f ca="1">New!M:M</f>
        <v>Izzy https://streamtape.com/v/gVwYQAg3A3uq07J/68912986 https://doodstream.com/d/l2rvikni8ujl/68912986 https://lulustream.com/d/qygkj6ehqos8 #teen #casting #blowjob #blonde #RIPNSFW</v>
      </c>
      <c r="B775" s="12" t="str">
        <f>New!A:A</f>
        <v>Izzy - 68912986 - ExploitedCollegeGirls.jpg</v>
      </c>
      <c r="C775" s="12" t="s">
        <v>8895</v>
      </c>
      <c r="D775" s="46">
        <f>New!P:P</f>
        <v>0</v>
      </c>
    </row>
    <row r="776" spans="1:4" ht="12.75">
      <c r="A776" s="45" t="str">
        <f ca="1">New!M:M</f>
        <v>{New} JackandJill https://streamtape.com/v/BkXe6v2BG1I97v/30452349 https://lulustream.com/d/sj9rk6z2qa0z https://doodstream.com/d/5395wxwmlk02/30452349 Olivia Madison Vivi Vicious (2026) #teens #threesome #brunette #blowjob #RIPNSFW</v>
      </c>
      <c r="B776" s="12" t="str">
        <f>New!A:A</f>
        <v>JackandJill - 30452349 - Chaturbate - Olivia Madison - Vivi Vicious.jpg</v>
      </c>
      <c r="C776" s="12" t="s">
        <v>8895</v>
      </c>
      <c r="D776" s="46">
        <f>New!P:P</f>
        <v>0</v>
      </c>
    </row>
    <row r="777" spans="1:4" ht="12.75">
      <c r="A777" s="45" t="str">
        <f ca="1">New!M:M</f>
        <v>{New} JackandJill https://doodstream.com/d/n3qemlx9orhw/34651195 https://lulustream.com/d/75rchft27mqp https://streamtape.com/v/Gp36w1qMwZhYQM/34651195 Luna Luxe (2026) #MILF #BigTits #Creampie #Hardcore #RIPNSFW</v>
      </c>
      <c r="B777" s="12" t="str">
        <f>New!A:A</f>
        <v>JackandJill - 34651195 - ripnsfw.com - Luna Luxe.jpg</v>
      </c>
      <c r="C777" s="12" t="s">
        <v>8895</v>
      </c>
      <c r="D777" s="46">
        <f>New!P:P</f>
        <v>0</v>
      </c>
    </row>
    <row r="778" spans="1:4" ht="12.75">
      <c r="A778" s="45" t="str">
        <f ca="1">New!M:M</f>
        <v>{New} JackandJill https://lulustream.com/d/qolyevomkv2x https://streamtape.com/v/7daVdxoBZ0FAZj8/42997212 https://doodstream.com/d/39tmezrej4mb/42997212 (2026) #porn #teen #blowjob #teens #RIPNSFW</v>
      </c>
      <c r="B778" s="12" t="str">
        <f>New!A:A</f>
        <v>JackandJill - 42997212 - Chaturbate.jpg</v>
      </c>
      <c r="C778" s="12" t="s">
        <v>8895</v>
      </c>
      <c r="D778" s="46">
        <f>New!P:P</f>
        <v>0</v>
      </c>
    </row>
    <row r="779" spans="1:4" ht="12.75">
      <c r="A779" s="45" t="str">
        <f ca="1">New!M:M</f>
        <v>{New} JackandJill https://streamtape.com/v/wZjxY0vagWuJdMa/47820545 https://doodstream.com/d/j06qqm21ncjx/47820545 https://lulustream.com/d/fujywz3q2tjr Sami Hayes BadBarbiePriv (2026) #foursome #bigtits #bigass #teens #RIPNSFW</v>
      </c>
      <c r="B779" s="12" t="str">
        <f>New!A:A</f>
        <v>JackandJill - 47820545 - Chaturbate - Sami Hayes - BadBarbiePriv.jpg</v>
      </c>
      <c r="C779" s="12" t="s">
        <v>8895</v>
      </c>
      <c r="D779" s="46">
        <f>New!P:P</f>
        <v>0</v>
      </c>
    </row>
    <row r="780" spans="1:4" ht="12.75">
      <c r="A780" s="45" t="str">
        <f ca="1">New!M:M</f>
        <v>{New} JackandJill https://streamtape.com/v/mY4yeZvO2PfbA70/89492404 https://lulustream.com/d/j387tsu5oz0s https://doodstream.com/d/jubiyhqengcm/89492404 (2026) #MILF #BigTits #Creampie #Hardcore #RIPNSFW</v>
      </c>
      <c r="B780" s="12" t="str">
        <f>New!A:A</f>
        <v>JackandJill - 89492404 - ripnsfw.com.jpg</v>
      </c>
      <c r="C780" s="12" t="s">
        <v>8895</v>
      </c>
      <c r="D780" s="46">
        <f>New!P:P</f>
        <v>0</v>
      </c>
    </row>
    <row r="781" spans="1:4" ht="12.75">
      <c r="A781" s="45" t="str">
        <f ca="1">New!M:M</f>
        <v>{New} JadeTeen https://lulustream.com/d/qsz82p94rszv https://streamtape.com/v/OkJqvK2XoOHZRpW/12508665 https://doodstream.com/d/fdkom49rkcz9/12508665 Lena the plug (2026) #BigTits #Creampie #Hardcore #Bigass #Teen #Blowjob #RIPNSFW</v>
      </c>
      <c r="B781" s="12" t="str">
        <f>New!A:A</f>
        <v>JadeTeen - 12508665 - ripnsfw.com - Lena the plug.jpg</v>
      </c>
      <c r="C781" s="12" t="s">
        <v>8895</v>
      </c>
      <c r="D781" s="46">
        <f>New!P:P</f>
        <v>0</v>
      </c>
    </row>
    <row r="782" spans="1:4" ht="12.75">
      <c r="A782" s="45" t="str">
        <f ca="1">New!M:M</f>
        <v>{New} JadeTeen https://lulustream.com/d/nv2k4o1tc98e https://doodstream.com/d/i2nzt7p3scx8/83448182 https://streamtape.com/v/eVlLzmGvYPuYv3b/83448182 (2026) #creampie #teen #bigtits #blowjob #RIPNSFW</v>
      </c>
      <c r="B782" s="12" t="str">
        <f>New!A:A</f>
        <v>JadeTeen - 83448182 - Onlyfans.jpg</v>
      </c>
      <c r="C782" s="12" t="s">
        <v>8895</v>
      </c>
      <c r="D782" s="46">
        <f>New!P:P</f>
        <v>0</v>
      </c>
    </row>
    <row r="783" spans="1:4" ht="12.75">
      <c r="A783" s="45" t="str">
        <f ca="1">New!M:M</f>
        <v>{New} Jamie Young https://lulustream.com/d/1c9ggspj6tg0 https://streamtape.com/v/pD2dZGOl9gSr3pD/43184780 https://doodstream.com/d/j52e7l55ir2l/43184780 (2026) #Hardcore #Bigass #Teen #Artporn #Blowjob #Teens #Amateur #Hotwife #RIPNSFW</v>
      </c>
      <c r="B783" s="12" t="str">
        <f>New!A:A</f>
        <v>Jamie Young - 43184780 - Onlyfans.jpg</v>
      </c>
      <c r="C783" s="12" t="s">
        <v>8895</v>
      </c>
      <c r="D783" s="46">
        <f>New!P:P</f>
        <v>0</v>
      </c>
    </row>
    <row r="784" spans="1:4" ht="12.75">
      <c r="A784" s="45" t="str">
        <f ca="1">New!M:M</f>
        <v>{New} Jamie Young https://streamtape.com/v/Q2KqJ0ve8vs0zKb/43293327 https://lulustream.com/d/v9ctz96ytk59 https://doodstream.com/d/rg4zlg9q815d/43293327 (2026) #teen #blowjob #bigass #brunette #RIPNSFW</v>
      </c>
      <c r="B784" s="12" t="str">
        <f>New!A:A</f>
        <v>Jamie Young - 43293327 - Onlyfans.jpg</v>
      </c>
      <c r="C784" s="12" t="s">
        <v>8895</v>
      </c>
      <c r="D784" s="46">
        <f>New!P:P</f>
        <v>0</v>
      </c>
    </row>
    <row r="785" spans="1:4" ht="12.75">
      <c r="A785" s="45" t="str">
        <f ca="1">New!M:M</f>
        <v>{New} Jamie Young https://streamtape.com/v/GwjQdqpaWWs9aQ/45331849 https://doodstream.com/d/ns0cqtta321j/45331849 https://lulustream.com/d/si1vcp9xkm0h (2026) #Anal #Hardcore #Piss #Bigass #RIPNSFW</v>
      </c>
      <c r="B785" s="12" t="str">
        <f>New!A:A</f>
        <v>Jamie Young - 45331849 - Onlyfans.jpg</v>
      </c>
      <c r="C785" s="12" t="s">
        <v>8895</v>
      </c>
      <c r="D785" s="46">
        <f>New!P:P</f>
        <v>0</v>
      </c>
    </row>
    <row r="786" spans="1:4" ht="12.75">
      <c r="A786" s="45" t="str">
        <f ca="1">New!M:M</f>
        <v>{New} Jamie Young https://lulustream.com/d/5b7gkwba7drx https://streamtape.com/v/M6XV7mkdPXFwy7/45711223 https://doodstream.com/d/0o7irfxaa6ax/45711223 (2026) #teen #blowjob #pov #brunette #RIPNSFW</v>
      </c>
      <c r="B786" s="12" t="str">
        <f>New!A:A</f>
        <v>Jamie Young - 45711223 - Onlyfans.jpg</v>
      </c>
      <c r="C786" s="12" t="s">
        <v>8895</v>
      </c>
      <c r="D786" s="46">
        <f>New!P:P</f>
        <v>0</v>
      </c>
    </row>
    <row r="787" spans="1:4" ht="12.75">
      <c r="A787" s="45" t="str">
        <f ca="1">New!M:M</f>
        <v>{New} Jamie Young https://streamtape.com/v/d3XJ76em1AI1xZ/51707129 https://doodstream.com/d/h103alsng1vw/51707129 https://lulustream.com/d/mlsqeawc6vqp (2026) #teen #bigass #brunette #blowjob #RIPNSFW</v>
      </c>
      <c r="B787" s="12" t="str">
        <f>New!A:A</f>
        <v>Jamie Young - 51707129 - Onlyfans.jpg</v>
      </c>
      <c r="C787" s="12" t="s">
        <v>8895</v>
      </c>
      <c r="D787" s="46">
        <f>New!P:P</f>
        <v>0</v>
      </c>
    </row>
    <row r="788" spans="1:4" ht="12.75">
      <c r="A788" s="45" t="str">
        <f ca="1">New!M:M</f>
        <v>{New} Jamie Young https://doodstream.com/d/d3aikemlx4e5/58168938 https://lulustream.com/d/aknjxpmi8zps https://streamtape.com/v/wl8y4rv8V7TJ9Wk/58168938 (2026) #Bigass #Teen #Blowjob #Amateur #RIPNSFW</v>
      </c>
      <c r="B788" s="12" t="str">
        <f>New!A:A</f>
        <v>Jamie Young - 58168938 - Onlyfans.jpg</v>
      </c>
      <c r="C788" s="12" t="s">
        <v>8895</v>
      </c>
      <c r="D788" s="46">
        <f>New!P:P</f>
        <v>0</v>
      </c>
    </row>
    <row r="789" spans="1:4" ht="12.75">
      <c r="A789" s="45" t="str">
        <f ca="1">New!M:M</f>
        <v>{New} Jamie Young https://lulustream.com/d/1rfrm84wxrkt https://doodstream.com/d/nw8tfhxr0b71/60153011 https://streamtape.com/v/BJmp2dA10zsyoYw/60153011 (2026) #Creampie #Hardcore #Teen #Teens #RIPNSFW</v>
      </c>
      <c r="B789" s="12" t="str">
        <f>New!A:A</f>
        <v>Jamie Young - 60153011 - ripnsfw.com.jpg</v>
      </c>
      <c r="C789" s="12" t="s">
        <v>8895</v>
      </c>
      <c r="D789" s="46">
        <f>New!P:P</f>
        <v>0</v>
      </c>
    </row>
    <row r="790" spans="1:4" ht="12.75">
      <c r="A790" s="45" t="str">
        <f ca="1">New!M:M</f>
        <v>{New} Jamie Young https://doodstream.com/d/31haxkxu5xsh/61411359 https://streamtape.com/v/Doqvey7bxKhdDg/61411359 https://lulustream.com/d/7g7mysyw11dn (2026) #Hardcore #Bigass #Teen #Blowjob #RIPNSFW</v>
      </c>
      <c r="B790" s="12" t="str">
        <f>New!A:A</f>
        <v>Jamie Young - 61411359 - ripnsfw.com.jpg</v>
      </c>
      <c r="C790" s="12" t="s">
        <v>8895</v>
      </c>
      <c r="D790" s="46">
        <f>New!P:P</f>
        <v>0</v>
      </c>
    </row>
    <row r="791" spans="1:4" ht="12.75">
      <c r="A791" s="45" t="str">
        <f ca="1">New!M:M</f>
        <v>{New} Jamie Young https://lulustream.com/d/f3675gknh77p https://streamtape.com/v/Xqk12QWL2wID7zG/65180743 https://doodstream.com/d/jaowukxhbms3/65180743 (2026) #Hardcore #Creampie #Bigass #Teen #Blowjob #Amateur #Deepthroat #RIPNSFW</v>
      </c>
      <c r="B791" s="12" t="str">
        <f>New!A:A</f>
        <v>Jamie Young - 65180743 - ripnsfw.com.jpg</v>
      </c>
      <c r="C791" s="12" t="s">
        <v>8895</v>
      </c>
      <c r="D791" s="46">
        <f>New!P:P</f>
        <v>0</v>
      </c>
    </row>
    <row r="792" spans="1:4" ht="12.75">
      <c r="A792" s="45" t="str">
        <f ca="1">New!M:M</f>
        <v>{New} Jamie Young https://streamtape.com/v/1LxXJq6oMPSxpJ/65261396 https://lulustream.com/d/wkhzp78bwnjn https://doodstream.com/d/cgwn6yh9facp/65261396 (2026) #Hardcore #Teen #Artporn #Amateur #Teens #Blowjob #RIPNSFW</v>
      </c>
      <c r="B792" s="12" t="str">
        <f>New!A:A</f>
        <v>Jamie Young - 65261396 - ripnsfw.com.jpg</v>
      </c>
      <c r="C792" s="12" t="s">
        <v>8895</v>
      </c>
      <c r="D792" s="46">
        <f>New!P:P</f>
        <v>0</v>
      </c>
    </row>
    <row r="793" spans="1:4" ht="12.75">
      <c r="A793" s="45" t="str">
        <f ca="1">New!M:M</f>
        <v>{New} Jamie Young https://doodstream.com/d/4ng8kg4pqkms/72170116 https://streamtape.com/v/xlDdy7x9bvHDoL/72170116 https://lulustream.com/d/sw0vc5lwtesy (2026) #teen #blowjob #brunette #bigass #RIPNSFW</v>
      </c>
      <c r="B793" s="12" t="str">
        <f>New!A:A</f>
        <v>Jamie Young - 72170116 - Onlyfans.jpg</v>
      </c>
      <c r="C793" s="12" t="s">
        <v>8895</v>
      </c>
      <c r="D793" s="46">
        <f>New!P:P</f>
        <v>0</v>
      </c>
    </row>
    <row r="794" spans="1:4" ht="12.75">
      <c r="A794" s="45" t="str">
        <f ca="1">New!M:M</f>
        <v>{New} Jamie Young https://doodstream.com/d/hvreyfahc9w5/73885756 https://streamtape.com/v/78VMboqvY3TAqaQ/73885756 https://lulustream.com/d/cab3gdbdzo79 (2026) #teen #blowjob #bigass #brunette #RIPNSFW</v>
      </c>
      <c r="B794" s="12" t="str">
        <f>New!A:A</f>
        <v>Jamie Young - 73885756 - Onlyfans.jpg</v>
      </c>
      <c r="C794" s="12" t="s">
        <v>8895</v>
      </c>
      <c r="D794" s="46">
        <f>New!P:P</f>
        <v>0</v>
      </c>
    </row>
    <row r="795" spans="1:4" ht="12.75">
      <c r="A795" s="45" t="str">
        <f ca="1">New!M:M</f>
        <v>{New} Jamie Young https://doodstream.com/d/5t9qe26uqd22/74870486 https://streamtape.com/v/xmWJ8wrGYMckMYO/74870486 https://lulustream.com/d/i4p4mpwy37f5 (2026) #teen #bigass #blowjob #brunette #RIPNSFW</v>
      </c>
      <c r="B795" s="12" t="str">
        <f>New!A:A</f>
        <v>Jamie Young - 74870486 - Onlyfans.jpg</v>
      </c>
      <c r="C795" s="12" t="s">
        <v>8895</v>
      </c>
      <c r="D795" s="46">
        <f>New!P:P</f>
        <v>0</v>
      </c>
    </row>
    <row r="796" spans="1:4" ht="12.75">
      <c r="A796" s="45" t="str">
        <f ca="1">New!M:M</f>
        <v>{New} Jamie Young https://doodstream.com/d/9gqqfmwde6le/77619579 https://streamtape.com/v/1WrxMGJ6BOIezLO/77619579 https://lulustream.com/d/hs1pdkr98yr8 (2026) #teen #blowjob #amateur #brunette #RIPNSFW</v>
      </c>
      <c r="B796" s="12" t="str">
        <f>New!A:A</f>
        <v>Jamie Young - 77619579 - Onlyfans.jpg</v>
      </c>
      <c r="C796" s="12" t="s">
        <v>8895</v>
      </c>
      <c r="D796" s="46">
        <f>New!P:P</f>
        <v>0</v>
      </c>
    </row>
    <row r="797" spans="1:4" ht="12.75">
      <c r="A797" s="45" t="str">
        <f ca="1">New!M:M</f>
        <v>{New} Jamie Young https://streamtape.com/v/e36B3eL8OWsogp/84155640 https://doodstream.com/d/4ialt60ud0wf/84155640 https://lulustream.com/d/oghlgvxly645 (2026) #teen #blowjob #anal #bigass #RIPNSFW</v>
      </c>
      <c r="B797" s="12" t="str">
        <f>New!A:A</f>
        <v>Jamie Young - 84155640 - Onlyfans.jpg</v>
      </c>
      <c r="C797" s="12" t="s">
        <v>8895</v>
      </c>
      <c r="D797" s="46">
        <f>New!P:P</f>
        <v>0</v>
      </c>
    </row>
    <row r="798" spans="1:4" ht="12.75">
      <c r="A798" s="45" t="str">
        <f ca="1">New!M:M</f>
        <v>{New} Jamie Young https://doodstream.com/d/m9aoqidy3f6y/84390953 https://lulustream.com/d/9og8qy39ecwt https://streamtape.com/v/2BaOvD8OariZY6y/84390953 (2026) #teen #blowjob #bigass #amateur #RIPNSFW</v>
      </c>
      <c r="B798" s="12" t="str">
        <f>New!A:A</f>
        <v>Jamie Young - 84390953 - Onlyfans.jpg</v>
      </c>
      <c r="C798" s="12" t="s">
        <v>8895</v>
      </c>
      <c r="D798" s="46">
        <f>New!P:P</f>
        <v>0</v>
      </c>
    </row>
    <row r="799" spans="1:4" ht="12.75">
      <c r="A799" s="45" t="str">
        <f ca="1">New!M:M</f>
        <v>{New} Jamie Young https://lulustream.com/d/c8vfnxkucccj https://streamtape.com/v/DkrgOly36VhGba/88118699 https://doodstream.com/d/wv4zfcwugw9z/88118699 (2026) #blowjob #teen #bigass #brunette #RIPNSFW</v>
      </c>
      <c r="B799" s="12" t="str">
        <f>New!A:A</f>
        <v>Jamie Young - 88118699 - Onlyfans.jpg</v>
      </c>
      <c r="C799" s="12" t="s">
        <v>8895</v>
      </c>
      <c r="D799" s="46">
        <f>New!P:P</f>
        <v>0</v>
      </c>
    </row>
    <row r="800" spans="1:4" ht="12.75">
      <c r="A800" s="45" t="str">
        <f ca="1">New!M:M</f>
        <v>{New} Jamie Young https://doodstream.com/d/st12kao7d5tr/88859495 https://streamtape.com/v/z7obL3RK76CYAZX/88859495 https://lulustream.com/d/6lumnujfe5yy (2026) #Hardcore #Bigass #Teen #Blowjob #RIPNSFW</v>
      </c>
      <c r="B800" s="12" t="str">
        <f>New!A:A</f>
        <v>Jamie Young - 88859495 - Onlyfans.jpg</v>
      </c>
      <c r="C800" s="12" t="s">
        <v>8895</v>
      </c>
      <c r="D800" s="46">
        <f>New!P:P</f>
        <v>0</v>
      </c>
    </row>
    <row r="801" spans="1:4" ht="12.75">
      <c r="A801" s="45" t="str">
        <f ca="1">New!M:M</f>
        <v>{New} Jamie Young https://doodstream.com/d/ood6e82gedjh/92950989 https://lulustream.com/d/mhji5azrlxk4 https://streamtape.com/v/jAYev0bJdrUg80/92950989 (2026) #teen #blowjob #brunette #bigass #RIPNSFW</v>
      </c>
      <c r="B801" s="12" t="str">
        <f>New!A:A</f>
        <v>Jamie Young - 92950989 - Onlyfans.jpg</v>
      </c>
      <c r="C801" s="12" t="s">
        <v>8895</v>
      </c>
      <c r="D801" s="46">
        <f>New!P:P</f>
        <v>0</v>
      </c>
    </row>
    <row r="802" spans="1:4" ht="12.75">
      <c r="A802" s="45" t="str">
        <f ca="1">New!M:M</f>
        <v>{New} Jamie Young https://doodstream.com/d/hcsqpuljjftl/96691307 https://lulustream.com/d/w6d4dq6sr1xk https://streamtape.com/v/JYJV3zbJJbSj04z/96691307 (2026) #teen #blowjob #bigass #brunette #RIPNSFW</v>
      </c>
      <c r="B802" s="12" t="str">
        <f>New!A:A</f>
        <v>Jamie Young - 96691307 - Onlyfans.jpg</v>
      </c>
      <c r="C802" s="12" t="s">
        <v>8895</v>
      </c>
      <c r="D802" s="46">
        <f>New!P:P</f>
        <v>0</v>
      </c>
    </row>
    <row r="803" spans="1:4" ht="12.75">
      <c r="A803" s="45" t="str">
        <f ca="1">New!M:M</f>
        <v>{New} Jane Wilde https://doodstream.com/d/sebsn33te5de/74586510 https://lulustream.com/d/4hj59jf1nb7e https://streamtape.com/v/rb0mmmBx1MibvPL/74586510 (2026) #Hardcore #Bigass #Teen #Blowjob #Amateur #Deepthroat #Facial #RIPNSFW</v>
      </c>
      <c r="B803" s="12" t="str">
        <f>New!A:A</f>
        <v>Jane Wilde - 74586510 - ripnsfw.com.jpg</v>
      </c>
      <c r="C803" s="12" t="s">
        <v>8895</v>
      </c>
      <c r="D803" s="46">
        <f>New!P:P</f>
        <v>0</v>
      </c>
    </row>
    <row r="804" spans="1:4" ht="12.75">
      <c r="A804" s="45" t="str">
        <f ca="1">New!M:M</f>
        <v>{New} Jane Wilde https://lulustream.com/d/eeeqfdymnnea https://doodstream.com/d/nrgvncoeyhl7/76008701 https://streamtape.com/v/MY6QjZxjqWsBB8/76008701 (2026) #MILF #Hardcore #Bigass #Blowjob #Amateur #Deepthroat #RIPNSFW</v>
      </c>
      <c r="B804" s="12" t="str">
        <f>New!A:A</f>
        <v>Jane Wilde - 76008701 - ripnsfw.com.jpg</v>
      </c>
      <c r="C804" s="12" t="s">
        <v>8895</v>
      </c>
      <c r="D804" s="46">
        <f>New!P:P</f>
        <v>0</v>
      </c>
    </row>
    <row r="805" spans="1:4" ht="12.75">
      <c r="A805" s="45" t="str">
        <f ca="1">New!M:M</f>
        <v>{New} Jenna Starr https://streamtape.com/v/ggOXOzVgKKfqDJO/52331648 https://doodstream.com/d/h6ttqelnvf24/52331648 https://lulustream.com/d/3f7jsybr3k1t (2026) #milf #blonde #bigtits #bigass #RIPNSFW</v>
      </c>
      <c r="B805" s="12" t="str">
        <f>New!A:A</f>
        <v>Jenna Starr - 52331648 - Onlyfans.jpg</v>
      </c>
      <c r="C805" s="12" t="s">
        <v>8895</v>
      </c>
      <c r="D805" s="46">
        <f>New!P:P</f>
        <v>0</v>
      </c>
    </row>
    <row r="806" spans="1:4" ht="12.75">
      <c r="A806" s="45" t="str">
        <f ca="1">New!M:M</f>
        <v>{New} Jenna Starr https://streamtape.com/v/Xq8K4dae6jsDD7D/87417242 https://doodstream.com/d/r7cg0mo6xnu7/87417242 https://lulustream.com/d/0ef9j5998k6w (2026) #milf #bigtits #bigass #interracial #RIPNSFW</v>
      </c>
      <c r="B806" s="12" t="str">
        <f>New!A:A</f>
        <v>Jenna Starr - 87417242 - Onlyfans.jpg</v>
      </c>
      <c r="C806" s="12" t="s">
        <v>8895</v>
      </c>
      <c r="D806" s="46">
        <f>New!P:P</f>
        <v>0</v>
      </c>
    </row>
    <row r="807" spans="1:4" ht="12.75">
      <c r="A807" s="45" t="str">
        <f ca="1">New!M:M</f>
        <v>{New} Jessica Starling https://lulustream.com/d/mq8j2sho12uz https://streamtape.com/v/ykAwlBQVPMIyDB/32235557 https://doodstream.com/d/kkfx9j9myocu/32235557 (2026) #BigTits #Hardcore #Black #Interracial #Bigass #Porn #Teen #Blowjob #Deepthroat #Blonde #RIPNSFW</v>
      </c>
      <c r="B807" s="12" t="str">
        <f>New!A:A</f>
        <v>Jessica Starling - 32235557 - ripnsfw.com.jpg</v>
      </c>
      <c r="C807" s="12" t="s">
        <v>8895</v>
      </c>
      <c r="D807" s="46">
        <f>New!P:P</f>
        <v>0</v>
      </c>
    </row>
    <row r="808" spans="1:4" ht="12.75">
      <c r="A808" s="45" t="str">
        <f ca="1">New!M:M</f>
        <v>{New} Jessica Starling https://streamtape.com/v/Ly8pxrdwykI7Jg/34422315 https://doodstream.com/d/extsv39k9k5e/34422315 https://lulustream.com/d/nynr85ghcisf (2026) #Anal #BigTits #Creampie #Hardcore #Bigass #Teen #Blowjob #Amateur #RIPNSFW</v>
      </c>
      <c r="B808" s="12" t="str">
        <f>New!A:A</f>
        <v>Jessica Starling - 34422315 - ripnsfw.com.jpg</v>
      </c>
      <c r="C808" s="12" t="s">
        <v>8895</v>
      </c>
      <c r="D808" s="46">
        <f>New!P:P</f>
        <v>0</v>
      </c>
    </row>
    <row r="809" spans="1:4" ht="12.75">
      <c r="A809" s="45" t="str">
        <f ca="1">New!M:M</f>
        <v>{New} Jessica Starling https://streamtape.com/v/yd0vrm4MMzs1zle/43868467 https://doodstream.com/d/a9uyyvir9psf/43868467 https://lulustream.com/d/ya8n440rb4jw (2026) #BigTits #Creampie #Hardcore #Bigass #RIPNSFW</v>
      </c>
      <c r="B809" s="12" t="str">
        <f>New!A:A</f>
        <v>Jessica Starling - 43868467 - ripnsfw.com.jpg</v>
      </c>
      <c r="C809" s="12" t="s">
        <v>8895</v>
      </c>
      <c r="D809" s="46">
        <f>New!P:P</f>
        <v>0</v>
      </c>
    </row>
    <row r="810" spans="1:4" ht="12.75">
      <c r="A810" s="45" t="str">
        <f ca="1">New!M:M</f>
        <v>{New} Jessica Starling https://lulustream.com/d/0bmu9s51i4v5 https://doodstream.com/d/d13m12nbbt8a/79453596 https://streamtape.com/v/YqzrAVyGDVuvMom/79453596 (2026) #Anal #BigTits #Creampie #Hardcore #Bigass #Teen #Blowjob #RIPNSFW</v>
      </c>
      <c r="B810" s="12" t="str">
        <f>New!A:A</f>
        <v>Jessica Starling - 79453596 - ripnsfw.com.jpg</v>
      </c>
      <c r="C810" s="12" t="s">
        <v>8895</v>
      </c>
      <c r="D810" s="46">
        <f>New!P:P</f>
        <v>0</v>
      </c>
    </row>
    <row r="811" spans="1:4" ht="12.75">
      <c r="A811" s="45" t="str">
        <f ca="1">New!M:M</f>
        <v>{New} Jessie Rogers https://streamtape.com/v/gPO7myVywpCqWBA/10648497 https://lulustream.com/d/losqdpug1d6l https://doodstream.com/d/jzaerifv7tan/10648497 (2026) #milf #bigtits #bigass #blowjob #RIPNSFW</v>
      </c>
      <c r="B811" s="12" t="str">
        <f>New!A:A</f>
        <v>Jessie Rogers - 10648497 - Onlyfans.jpg</v>
      </c>
      <c r="C811" s="12" t="s">
        <v>8895</v>
      </c>
      <c r="D811" s="46">
        <f>New!P:P</f>
        <v>0</v>
      </c>
    </row>
    <row r="812" spans="1:4" ht="12.75">
      <c r="A812" s="45" t="str">
        <f ca="1">New!M:M</f>
        <v>{New} Jessie Rogers https://streamtape.com/v/wgxa1OMA0BIJOlW/11640804 https://lulustream.com/d/14i3s5nfh9t1 https://doodstream.com/d/zlgp8yyru8cl/11640804 (2026) #MILF #BigTits #Hardcore #Bigass #RIPNSFW</v>
      </c>
      <c r="B812" s="12" t="str">
        <f>New!A:A</f>
        <v>Jessie Rogers - 11640804 - Onlyfans.jpg</v>
      </c>
      <c r="C812" s="12" t="s">
        <v>8895</v>
      </c>
      <c r="D812" s="46">
        <f>New!P:P</f>
        <v>0</v>
      </c>
    </row>
    <row r="813" spans="1:4" ht="12.75">
      <c r="A813" s="45" t="str">
        <f ca="1">New!M:M</f>
        <v>{New} Jessie Rogers https://doodstream.com/d/3uflyqxtqsx0/13653644 https://streamtape.com/v/jYkWkYp3wVtzZ19/13653644 https://lulustream.com/d/enku4im9cizy (2026) #MILF #BigTits #Hardcore #Bigass #RIPNSFW</v>
      </c>
      <c r="B813" s="12" t="str">
        <f>New!A:A</f>
        <v>Jessie Rogers - 13653644 - Onlyfans.jpg</v>
      </c>
      <c r="C813" s="12" t="s">
        <v>8895</v>
      </c>
      <c r="D813" s="46">
        <f>New!P:P</f>
        <v>0</v>
      </c>
    </row>
    <row r="814" spans="1:4" ht="12.75">
      <c r="A814" s="45" t="str">
        <f ca="1">New!M:M</f>
        <v>{New} Jessie Rogers https://streamtape.com/v/mllggqPRPos6Mr/14908342 https://doodstream.com/d/59ch98uwuped/14908342 https://lulustream.com/d/5w7ribny22rn (2026) #milf #blowjob #porn #bigass #RIPNSFW</v>
      </c>
      <c r="B814" s="12" t="str">
        <f>New!A:A</f>
        <v>Jessie Rogers - 14908342 - NewSensations.jpg</v>
      </c>
      <c r="C814" s="12" t="s">
        <v>8895</v>
      </c>
      <c r="D814" s="46">
        <f>New!P:P</f>
        <v>0</v>
      </c>
    </row>
    <row r="815" spans="1:4" ht="12.75">
      <c r="A815" s="45" t="str">
        <f ca="1">New!M:M</f>
        <v>{New} Jessie Rogers https://streamtape.com/v/9XqZ86P4LbUaeY3/20897311 https://doodstream.com/d/8bhl9o5dntp9/20897311 https://lulustream.com/d/2qhf7nr01wqg (2026) #MILF #BigTits #Hardcore #Bigass #RIPNSFW</v>
      </c>
      <c r="B815" s="12" t="str">
        <f>New!A:A</f>
        <v>Jessie Rogers - 20897311 - PPV.jpg</v>
      </c>
      <c r="C815" s="12" t="s">
        <v>8895</v>
      </c>
      <c r="D815" s="46">
        <f>New!P:P</f>
        <v>0</v>
      </c>
    </row>
    <row r="816" spans="1:4" ht="12.75">
      <c r="A816" s="45" t="str">
        <f ca="1">New!M:M</f>
        <v>{New} Jessie Rogers https://streamtape.com/v/WbBqma2Q7XCb3wx/22580865 https://lulustream.com/d/80lf8shm7b5q https://doodstream.com/d/vwlueisdok43/22580865 (2026) #MILF #BigTits #Hardcore #Bigass #RIPNSFW</v>
      </c>
      <c r="B816" s="12" t="str">
        <f>New!A:A</f>
        <v>Jessie Rogers - 22580865 - Onlyfans.jpg</v>
      </c>
      <c r="C816" s="12" t="s">
        <v>8895</v>
      </c>
      <c r="D816" s="46">
        <f>New!P:P</f>
        <v>0</v>
      </c>
    </row>
    <row r="817" spans="1:4" ht="12.75">
      <c r="A817" s="45" t="str">
        <f ca="1">New!M:M</f>
        <v>{New} Jessie Rogers https://lulustream.com/d/3ruyjh4s9grd https://doodstream.com/d/wf2psnicdm8y/23206176 https://streamtape.com/v/J06o1MZYa0CjWmb/23206176 (2026) #anal #milf #bigtits #bigass #RIPNSFW</v>
      </c>
      <c r="B817" s="12" t="str">
        <f>New!A:A</f>
        <v>Jessie Rogers - 23206176 - PC.jpg</v>
      </c>
      <c r="C817" s="12" t="s">
        <v>8895</v>
      </c>
      <c r="D817" s="46">
        <f>New!P:P</f>
        <v>0</v>
      </c>
    </row>
    <row r="818" spans="1:4" ht="12.75">
      <c r="A818" s="45" t="str">
        <f ca="1">New!M:M</f>
        <v>{New} Jessie Rogers https://streamtape.com/v/rdvdzkLdjbUbmqp/23837155 https://doodstream.com/d/ns8vasixddvq/23837155 https://lulustream.com/d/ehfiysg0uk7j (2026) #milf #bigtits #interracial #bigass #RIPNSFW</v>
      </c>
      <c r="B818" s="12" t="str">
        <f>New!A:A</f>
        <v>Jessie Rogers - 23837155 - BlackedRaw.jpg</v>
      </c>
      <c r="C818" s="12" t="s">
        <v>8895</v>
      </c>
      <c r="D818" s="46">
        <f>New!P:P</f>
        <v>0</v>
      </c>
    </row>
    <row r="819" spans="1:4" ht="12.75">
      <c r="A819" s="45" t="str">
        <f ca="1">New!M:M</f>
        <v>{New} Jessie Rogers https://doodstream.com/d/09piocc6sxqz/25028555 https://streamtape.com/v/el9P7QdqRwimyX/25028555 https://lulustream.com/d/p3bdes8hx371 Tommy King (2026) #Anal #MILF #BigTits #Hardcore #RIPNSFW</v>
      </c>
      <c r="B819" s="12" t="str">
        <f>New!A:A</f>
        <v>Jessie Rogers - 25028555 - Onlyfans - Tommy King.jpg</v>
      </c>
      <c r="C819" s="12" t="s">
        <v>8895</v>
      </c>
      <c r="D819" s="46">
        <f>New!P:P</f>
        <v>0</v>
      </c>
    </row>
    <row r="820" spans="1:4" ht="12.75">
      <c r="A820" s="45" t="str">
        <f ca="1">New!M:M</f>
        <v>{New} Jessie Rogers https://streamtape.com/v/bjAkr9lQOOhLo9/27969728 https://lulustream.com/d/2w9yid4ielh5 https://doodstream.com/d/c33zy6aev2bn/27969728 (2026) #MILF #BigTits #Hardcore #Bigass #Porn #Latina #Stepmom #Blowjob #Hotwife #RIPNSFW</v>
      </c>
      <c r="B820" s="12" t="str">
        <f>New!A:A</f>
        <v>Jessie Rogers - 27969728 - Mylf.jpg</v>
      </c>
      <c r="C820" s="12" t="s">
        <v>8895</v>
      </c>
      <c r="D820" s="46">
        <f>New!P:P</f>
        <v>0</v>
      </c>
    </row>
    <row r="821" spans="1:4" ht="12.75">
      <c r="A821" s="45" t="str">
        <f ca="1">New!M:M</f>
        <v>{New} Jessie Rogers https://doodstream.com/d/7il96nm6t6zf/29227295 https://streamtape.com/v/Qgbmm393aes0PgJ/29227295 https://lulustream.com/d/avlpfrh6vx15 (2026) #milf #bigtits #bigass #blowjob #RIPNSFW</v>
      </c>
      <c r="B821" s="12" t="str">
        <f>New!A:A</f>
        <v>Jessie Rogers - 29227295 - MPF.jpg</v>
      </c>
      <c r="C821" s="12" t="s">
        <v>8895</v>
      </c>
      <c r="D821" s="46">
        <f>New!P:P</f>
        <v>0</v>
      </c>
    </row>
    <row r="822" spans="1:4" ht="12.75">
      <c r="A822" s="45" t="str">
        <f ca="1">New!M:M</f>
        <v>{New} Jessie Rogers https://streamtape.com/v/wZYXGDYgljIJ9g8/30802683 https://doodstream.com/d/8ll5uoag21rb/30802683 https://lulustream.com/d/ig1y9agczz9f (2026) #Anal #MILF #BigTits #Hardcore #RIPNSFW</v>
      </c>
      <c r="B822" s="12" t="str">
        <f>New!A:A</f>
        <v>Jessie Rogers - 30802683 - EvilAngel.jpg</v>
      </c>
      <c r="C822" s="12" t="s">
        <v>8895</v>
      </c>
      <c r="D822" s="46">
        <f>New!P:P</f>
        <v>0</v>
      </c>
    </row>
    <row r="823" spans="1:4" ht="12.75">
      <c r="A823" s="45" t="str">
        <f ca="1">New!M:M</f>
        <v>{New} Jessie Rogers https://streamtape.com/v/KyzbZ3GlWMs0xpk/30904958 https://lulustream.com/d/rayhaf3100r6 https://doodstream.com/d/2f5x3v903w4s/30904958 (2026) #anal #milf #bigtits #bigass #RIPNSFW</v>
      </c>
      <c r="B823" s="12" t="str">
        <f>New!A:A</f>
        <v>Jessie Rogers - 30904958 - JulesJordan.jpg</v>
      </c>
      <c r="C823" s="12" t="s">
        <v>8895</v>
      </c>
      <c r="D823" s="46">
        <f>New!P:P</f>
        <v>0</v>
      </c>
    </row>
    <row r="824" spans="1:4" ht="12.75">
      <c r="A824" s="45" t="str">
        <f ca="1">New!M:M</f>
        <v>{New} Jessie Rogers https://streamtape.com/v/wa77pe1PJyCJkKK/32575602 https://doodstream.com/d/axjeo2uno6mk/32575602 https://lulustream.com/d/qefp33yb2o9x (2026) #milf #blowjob #hardcore #bigass #RIPNSFW</v>
      </c>
      <c r="B824" s="12" t="str">
        <f>New!A:A</f>
        <v>Jessie Rogers - 32575602 - Fansly.jpg</v>
      </c>
      <c r="C824" s="12" t="s">
        <v>8895</v>
      </c>
      <c r="D824" s="46">
        <f>New!P:P</f>
        <v>0</v>
      </c>
    </row>
    <row r="825" spans="1:4" ht="12.75">
      <c r="A825" s="45" t="str">
        <f ca="1">New!M:M</f>
        <v>{New} Jessie Rogers https://lulustream.com/d/n2yfnhk4a283 https://streamtape.com/v/ea1GX6w1pYUYPld/32870489 https://doodstream.com/d/cq1udx9moc2k/32870489 (2026) #milf #anal #bigtits #bigass #RIPNSFW</v>
      </c>
      <c r="B825" s="12" t="str">
        <f>New!A:A</f>
        <v>Jessie Rogers - 32870489 - Onlyfans.jpg</v>
      </c>
      <c r="C825" s="12" t="s">
        <v>8895</v>
      </c>
      <c r="D825" s="46">
        <f>New!P:P</f>
        <v>0</v>
      </c>
    </row>
    <row r="826" spans="1:4" ht="12.75">
      <c r="A826" s="45" t="str">
        <f ca="1">New!M:M</f>
        <v>{New} Jessie Rogers https://doodstream.com/d/91qin3l7c1kj/38320444 https://lulustream.com/d/zo1y3phcsnby https://streamtape.com/v/GX9WgpZGmxT1egd/38320444 (2026) #anal #bigass #bigtits #interracial #RIPNSFW</v>
      </c>
      <c r="B826" s="12" t="str">
        <f>New!A:A</f>
        <v>Jessie Rogers - 38320444 - JSTV.jpg</v>
      </c>
      <c r="C826" s="12" t="s">
        <v>8895</v>
      </c>
      <c r="D826" s="46">
        <f>New!P:P</f>
        <v>0</v>
      </c>
    </row>
    <row r="827" spans="1:4" ht="12.75">
      <c r="A827" s="45" t="str">
        <f ca="1">New!M:M</f>
        <v>{New} Jessie Rogers https://doodstream.com/d/mnxijrxaz7pz/38677225 https://streamtape.com/v/6pQXRxdvz8ueBz/38677225 https://lulustream.com/d/59j1remf74ej (2026) #Anal #MILF #BigTits #Hardcore #RIPNSFW</v>
      </c>
      <c r="B827" s="12" t="str">
        <f>New!A:A</f>
        <v>Jessie Rogers - 38677225 - Onlyfans.jpg</v>
      </c>
      <c r="C827" s="12" t="s">
        <v>8895</v>
      </c>
      <c r="D827" s="46">
        <f>New!P:P</f>
        <v>0</v>
      </c>
    </row>
    <row r="828" spans="1:4" ht="12.75">
      <c r="A828" s="45" t="str">
        <f ca="1">New!M:M</f>
        <v>{New} Jessie Rogers https://doodstream.com/d/eqgdg6savno9/45681547 https://lulustream.com/d/wpzbmfbaoohu https://streamtape.com/v/LXzbmOdwY8faaW/45681547 (2026) #blowjob #milf #bigtits #bigass #RIPNSFW</v>
      </c>
      <c r="B828" s="12" t="str">
        <f>New!A:A</f>
        <v>Jessie Rogers - 45681547 - Onlyfans.jpg</v>
      </c>
      <c r="C828" s="12" t="s">
        <v>8895</v>
      </c>
      <c r="D828" s="46">
        <f>New!P:P</f>
        <v>0</v>
      </c>
    </row>
    <row r="829" spans="1:4" ht="12.75">
      <c r="A829" s="45" t="str">
        <f ca="1">New!M:M</f>
        <v>{New} Jessie Rogers https://doodstream.com/d/blhb05iyqdp2/46655415 https://lulustream.com/d/eb2eff3i7exd https://streamtape.com/v/P3DV4bk6vdfx73/46655415 (2026) #MILF #BigTits #Hardcore #Bigass #Latina #RIPNSFW</v>
      </c>
      <c r="B829" s="12" t="str">
        <f>New!A:A</f>
        <v>Jessie Rogers - 46655415 - Onlyfans.jpg</v>
      </c>
      <c r="C829" s="12" t="s">
        <v>8895</v>
      </c>
      <c r="D829" s="46">
        <f>New!P:P</f>
        <v>0</v>
      </c>
    </row>
    <row r="830" spans="1:4" ht="12.75">
      <c r="A830" s="45" t="str">
        <f ca="1">New!M:M</f>
        <v>{New} Jessie Rogers https://doodstream.com/d/mqv380qaepvh/52486299 https://lulustream.com/d/ag094ez03oc8 https://streamtape.com/v/R7vAmVodxdUdvGD/52486299 (2026) #milf #bigtits #hardcore #bigass #RIPNSFW</v>
      </c>
      <c r="B830" s="12" t="str">
        <f>New!A:A</f>
        <v>Jessie Rogers - 52486299 - Onlyfans.jpg</v>
      </c>
      <c r="C830" s="12" t="s">
        <v>8895</v>
      </c>
      <c r="D830" s="46">
        <f>New!P:P</f>
        <v>0</v>
      </c>
    </row>
    <row r="831" spans="1:4" ht="12.75">
      <c r="A831" s="45" t="str">
        <f ca="1">New!M:M</f>
        <v>{New} Jessie Rogers https://streamtape.com/v/BB6Y2mOXPvSyB3O/52589270 https://lulustream.com/d/hzcfmli43850 https://doodstream.com/d/gpiu7sp0fxd3/52589270 (2026) #MILF #BigTits #Hardcore #Black #Interracial #Bigass #Porn #Latina #RIPNSFW</v>
      </c>
      <c r="B831" s="12" t="str">
        <f>New!A:A</f>
        <v>Jessie Rogers - 52589270 - ripnsfw.com.jpg</v>
      </c>
      <c r="C831" s="12" t="s">
        <v>8895</v>
      </c>
      <c r="D831" s="46">
        <f>New!P:P</f>
        <v>0</v>
      </c>
    </row>
    <row r="832" spans="1:4" ht="12.75">
      <c r="A832" s="45" t="str">
        <f ca="1">New!M:M</f>
        <v>{New} Jessie Rogers https://doodstream.com/d/zk9ge0h48vhz/52690104 https://streamtape.com/v/KPAY2GggjzH0O8W/52690104 https://lulustream.com/d/vzqm0k0oklxx (2026) #anal #milf #bigass #bigtits #RIPNSFW</v>
      </c>
      <c r="B832" s="12" t="str">
        <f>New!A:A</f>
        <v>Jessie Rogers - 52690104 - Tushy.jpg</v>
      </c>
      <c r="C832" s="12" t="s">
        <v>8895</v>
      </c>
      <c r="D832" s="46">
        <f>New!P:P</f>
        <v>0</v>
      </c>
    </row>
    <row r="833" spans="1:4" ht="12.75">
      <c r="A833" s="45" t="str">
        <f ca="1">New!M:M</f>
        <v>Jessie Rogers https://doodstream.com/d/ndhdght17u82/57572969 https://streamtape.com/v/kWPaArjmZOUOdOm/57572969 https://lulustream.com/d/vkmey7qcqbxq #milf #blonde #bigtits #bigass #RIPNSFW</v>
      </c>
      <c r="B833" s="12" t="str">
        <f>New!A:A</f>
        <v>Jessie Rogers - 57572969 - TMW.jpg</v>
      </c>
      <c r="C833" s="12" t="s">
        <v>8895</v>
      </c>
      <c r="D833" s="46">
        <f>New!P:P</f>
        <v>0</v>
      </c>
    </row>
    <row r="834" spans="1:4" ht="12.75">
      <c r="A834" s="45" t="str">
        <f ca="1">New!M:M</f>
        <v>{New} Jessie Rogers https://streamtape.com/v/kDZVYWe34BCOVvx/58009051 https://lulustream.com/d/py2ohol5uowk https://doodstream.com/d/uz7oez73rade/58009051 (2026) #milf #bigtits #hardcore #black #RIPNSFW</v>
      </c>
      <c r="B834" s="12" t="str">
        <f>New!A:A</f>
        <v>Jessie Rogers - 58009051 - Onlyfans.jpg</v>
      </c>
      <c r="C834" s="12" t="s">
        <v>8895</v>
      </c>
      <c r="D834" s="46">
        <f>New!P:P</f>
        <v>0</v>
      </c>
    </row>
    <row r="835" spans="1:4" ht="12.75">
      <c r="A835" s="45" t="str">
        <f ca="1">New!M:M</f>
        <v>{New} Jessie Rogers https://streamtape.com/v/xOVDW8bPgWikb2d/64518286 https://doodstream.com/d/6y89fdbb3au4/64518286 https://lulustream.com/d/onwmervp2zab (2026) #milf #bigass #bigtits #pool #RIPNSFW</v>
      </c>
      <c r="B835" s="12" t="str">
        <f>New!A:A</f>
        <v>Jessie Rogers - 64518286 - Onlyfans.jpg</v>
      </c>
      <c r="C835" s="12" t="s">
        <v>8895</v>
      </c>
      <c r="D835" s="46">
        <f>New!P:P</f>
        <v>0</v>
      </c>
    </row>
    <row r="836" spans="1:4" ht="12.75">
      <c r="A836" s="45" t="str">
        <f ca="1">New!M:M</f>
        <v>{New} Jessie Rogers https://lulustream.com/d/60a1ttfyijhh https://streamtape.com/v/koka77OqdwiOx4z/67186969 https://doodstream.com/d/tur0mckezxc9/67186969 (2026) #Anal #MILF #BigTits #Hardcore #Black #Interracial #Bigass #RIPNSFW</v>
      </c>
      <c r="B836" s="12" t="str">
        <f>New!A:A</f>
        <v>Jessie Rogers - 67186969 - Onlyfans.jpg</v>
      </c>
      <c r="C836" s="12" t="s">
        <v>8895</v>
      </c>
      <c r="D836" s="46">
        <f>New!P:P</f>
        <v>0</v>
      </c>
    </row>
    <row r="837" spans="1:4" ht="12.75">
      <c r="A837" s="45" t="str">
        <f ca="1">New!M:M</f>
        <v>{New} Jessie Rogers https://streamtape.com/v/8XBq7rl4lBFXPp/71295357 https://lulustream.com/d/celbs46xbu9l https://doodstream.com/d/gva3kils6zlz/71295357 (2026) #MILF #BigTits #Bigass #Solo #RIPNSFW</v>
      </c>
      <c r="B837" s="12" t="str">
        <f>New!A:A</f>
        <v>Jessie Rogers - 71295357 - Onlyfans.jpg</v>
      </c>
      <c r="C837" s="12" t="s">
        <v>8895</v>
      </c>
      <c r="D837" s="46">
        <f>New!P:P</f>
        <v>0</v>
      </c>
    </row>
    <row r="838" spans="1:4" ht="12.75">
      <c r="A838" s="45" t="str">
        <f ca="1">New!M:M</f>
        <v>{New} Jessie Rogers https://doodstream.com/d/eoqpma24365o/72664390 https://lulustream.com/d/faxjox6f3yoz https://streamtape.com/v/dpbaxqzQBlckkJD/72664390 (2026) #milf #interracial #bigtits #bigass #RIPNSFW</v>
      </c>
      <c r="B838" s="12" t="str">
        <f>New!A:A</f>
        <v>Jessie Rogers - 72664390 - Onlyfans.jpg</v>
      </c>
      <c r="C838" s="12" t="s">
        <v>8895</v>
      </c>
      <c r="D838" s="46">
        <f>New!P:P</f>
        <v>0</v>
      </c>
    </row>
    <row r="839" spans="1:4" ht="12.75">
      <c r="A839" s="45" t="str">
        <f ca="1">New!M:M</f>
        <v>{New} Jessie Rogers https://lulustream.com/d/d6ulih3epqjb https://streamtape.com/v/rrjoAprGLPcbbRy/78269518 https://doodstream.com/d/y8c3v7uuliht/78269518 (2026) #milf #blowjob #bigtits #bigass #RIPNSFW</v>
      </c>
      <c r="B839" s="12" t="str">
        <f>New!A:A</f>
        <v>Jessie Rogers - 78269518 - Onlyfans.jpg</v>
      </c>
      <c r="C839" s="12" t="s">
        <v>8895</v>
      </c>
      <c r="D839" s="46">
        <f>New!P:P</f>
        <v>0</v>
      </c>
    </row>
    <row r="840" spans="1:4" ht="12.75">
      <c r="A840" s="45" t="str">
        <f ca="1">New!M:M</f>
        <v>{New} Jessie Rogers https://doodstream.com/d/nuzb3o7jfqab/79785667 https://streamtape.com/v/DlXKLGW81JSkkm3/79785667 https://lulustream.com/d/eqvd9fu3rqv3 (2026) #milf #doublepenetration #anal #bigass #RIPNSFW</v>
      </c>
      <c r="B840" s="12" t="str">
        <f>New!A:A</f>
        <v>Jessie Rogers - 79785667 - Evil Angel.jpg</v>
      </c>
      <c r="C840" s="12" t="s">
        <v>8895</v>
      </c>
      <c r="D840" s="46">
        <f>New!P:P</f>
        <v>0</v>
      </c>
    </row>
    <row r="841" spans="1:4" ht="12.75">
      <c r="A841" s="45" t="str">
        <f ca="1">New!M:M</f>
        <v>{New} Jessie Rogers https://streamtape.com/v/X2YvmBBa9khDex7/84263564 https://doodstream.com/d/3xfcskoayz6i/84263564 https://lulustream.com/d/3h80vhtq1hpv (2026) #anal #milf #bigtits #bigass #RIPNSFW</v>
      </c>
      <c r="B841" s="12" t="str">
        <f>New!A:A</f>
        <v>Jessie Rogers - 84263564 - Onlyfans.jpg</v>
      </c>
      <c r="C841" s="12" t="s">
        <v>8895</v>
      </c>
      <c r="D841" s="46">
        <f>New!P:P</f>
        <v>0</v>
      </c>
    </row>
    <row r="842" spans="1:4" ht="12.75">
      <c r="A842" s="45" t="str">
        <f ca="1">New!M:M</f>
        <v>{New} Jessie Rogers https://doodstream.com/d/e3p386vhr02j/87103916 https://lulustream.com/d/kimozw1tpgcs https://streamtape.com/v/g1OWOkBO1jiq1zm/87103916 Violet Myers (2026) #milf #threesome #bigtits #bigass #RIPNSFW</v>
      </c>
      <c r="B842" s="12" t="str">
        <f>New!A:A</f>
        <v>Jessie Rogers - 87103916 - Onlyfans - Violet Myers.jpg</v>
      </c>
      <c r="C842" s="12" t="s">
        <v>8895</v>
      </c>
      <c r="D842" s="46">
        <f>New!P:P</f>
        <v>0</v>
      </c>
    </row>
    <row r="843" spans="1:4" ht="12.75">
      <c r="A843" s="45" t="str">
        <f ca="1">New!M:M</f>
        <v>{New} Jessie Rogers https://streamtape.com/v/vW18Dj7beBF411d/89289006 https://lulustream.com/d/fvlw9wtsqn1w https://doodstream.com/d/4l2rrmd2znk4/89289006 (2026) #milf #bigtits #bigass #blowjob #RIPNSFW</v>
      </c>
      <c r="B843" s="12" t="str">
        <f>New!A:A</f>
        <v>Jessie Rogers - 89289006 - Mylf.jpg</v>
      </c>
      <c r="C843" s="12" t="s">
        <v>8895</v>
      </c>
      <c r="D843" s="46">
        <f>New!P:P</f>
        <v>0</v>
      </c>
    </row>
    <row r="844" spans="1:4" ht="12.75">
      <c r="A844" s="45" t="str">
        <f ca="1">New!M:M</f>
        <v>{New} Jessie Rogers https://doodstream.com/d/vjmwyb4xxuik/92786766 https://streamtape.com/v/YGRxbQz7VdFBl1/92786766 https://lulustream.com/d/f2d5gqraizbd (2026) #anal #bigtits #milf #bigass #RIPNSFW</v>
      </c>
      <c r="B844" s="12" t="str">
        <f>New!A:A</f>
        <v>Jessie Rogers - 92786766 - HardX.jpg</v>
      </c>
      <c r="C844" s="12" t="s">
        <v>8895</v>
      </c>
      <c r="D844" s="46">
        <f>New!P:P</f>
        <v>0</v>
      </c>
    </row>
    <row r="845" spans="1:4" ht="12.75">
      <c r="A845" s="45" t="str">
        <f ca="1">New!M:M</f>
        <v>{New} Jessie Rogers https://doodstream.com/d/x61mp7gmx6p7/94536611 https://lulustream.com/d/6rarqk2niyj0 https://streamtape.com/v/3DD1pppzxdhdgzR/94536611 (2026) #milf #bigass #bigtits #blonde #RIPNSFW</v>
      </c>
      <c r="B845" s="12" t="str">
        <f>New!A:A</f>
        <v>Jessie Rogers - 94536611 - Onlyfans.jpg</v>
      </c>
      <c r="C845" s="12" t="s">
        <v>8895</v>
      </c>
      <c r="D845" s="46">
        <f>New!P:P</f>
        <v>0</v>
      </c>
    </row>
    <row r="846" spans="1:4" ht="12.75">
      <c r="A846" s="45" t="str">
        <f ca="1">New!M:M</f>
        <v>{New} Jessie Rogers https://doodstream.com/d/wystdx52ykr5/98919097 https://streamtape.com/v/We3e9LrqGMSWA1/98919097 https://lulustream.com/d/3dahty829kdw (2026) #milf #bigtits #bigass #blowjob #RIPNSFW</v>
      </c>
      <c r="B846" s="12" t="str">
        <f>New!A:A</f>
        <v>Jessie Rogers - 98919097 - Elegant Angel.jpg</v>
      </c>
      <c r="C846" s="12" t="s">
        <v>8895</v>
      </c>
      <c r="D846" s="46">
        <f>New!P:P</f>
        <v>0</v>
      </c>
    </row>
    <row r="847" spans="1:4" ht="12.75">
      <c r="A847" s="45" t="str">
        <f ca="1">New!M:M</f>
        <v>{New} Jessie Rogers https://lulustream.com/d/49rg49w45x9c https://doodstream.com/d/hsb7sx3q7zo1/99017284 https://streamtape.com/v/PrMqYV10Y2c04A6/99017284 Lola Rose (2026) #threesome #bigtits #bigass #milf #RIPNSFW</v>
      </c>
      <c r="B847" s="12" t="str">
        <f>New!A:A</f>
        <v>Jessie Rogers - 99017284 - Onlyfans - Lola Rose.jpg</v>
      </c>
      <c r="C847" s="12" t="s">
        <v>8895</v>
      </c>
      <c r="D847" s="46">
        <f>New!P:P</f>
        <v>0</v>
      </c>
    </row>
    <row r="848" spans="1:4" ht="12.75">
      <c r="A848" s="45" t="str">
        <f ca="1">New!M:M</f>
        <v>{New} Jessie Rogers https://doodstream.com/d/gn38tg40ze79/99753692 https://streamtape.com/v/gr1A08jojBUYlr/99753692 https://lulustream.com/d/uww7nycxc6sf (2026) #milf #bigtits #bigass #latina #RIPNSFW</v>
      </c>
      <c r="B848" s="12" t="str">
        <f>New!A:A</f>
        <v>Jessie Rogers - 99753692 - HGR.jpg</v>
      </c>
      <c r="C848" s="12" t="s">
        <v>8895</v>
      </c>
      <c r="D848" s="46">
        <f>New!P:P</f>
        <v>0</v>
      </c>
    </row>
    <row r="849" spans="1:4" ht="12.75">
      <c r="A849" s="45" t="str">
        <f ca="1">New!M:M</f>
        <v>{New} Jewelz Blu https://streamtape.com/v/PbdX0zBo8VI0KzX/03348831 https://lulustream.com/d/jpgouz8gojvt https://doodstream.com/d/6jx4cu9xh3ou/03348831 (2026) #anal #milf #bigtits #hardcore #RIPNSFW</v>
      </c>
      <c r="B849" s="12" t="str">
        <f>New!A:A</f>
        <v>Jewelz Blu - 03348831 - XVRED.jpg</v>
      </c>
      <c r="C849" s="12" t="s">
        <v>8895</v>
      </c>
      <c r="D849" s="46">
        <f>New!P:P</f>
        <v>0</v>
      </c>
    </row>
    <row r="850" spans="1:4" ht="12.75">
      <c r="A850" s="45" t="str">
        <f ca="1">New!M:M</f>
        <v>{New} Jewelz Blu https://doodstream.com/d/q6povpr7ssd8/10839415 https://streamtape.com/v/OVby94P3Bwf6K1/10839415 https://lulustream.com/d/c5j2zl1cxmmw (2026) #MILF #BigTits #Hardcore #Bigass #Blowjob #RIPNSFW</v>
      </c>
      <c r="B850" s="12" t="str">
        <f>New!A:A</f>
        <v>Jewelz Blu - 10839415 - ripnsfw.com.jpg</v>
      </c>
      <c r="C850" s="12" t="s">
        <v>8895</v>
      </c>
      <c r="D850" s="46">
        <f>New!P:P</f>
        <v>0</v>
      </c>
    </row>
    <row r="851" spans="1:4" ht="12.75">
      <c r="A851" s="45" t="str">
        <f ca="1">New!M:M</f>
        <v>{New} Jewelz Blu https://doodstream.com/d/n792ri8g9v8u/12758288 https://lulustream.com/d/l92c0lvaxt9v https://streamtape.com/v/4vvRlgoPQPFKPRW/12758288 (2026) #MILF #BigTits #Bigass #Blowjob #RIPNSFW</v>
      </c>
      <c r="B851" s="12" t="str">
        <f>New!A:A</f>
        <v>Jewelz Blu - 12758288 - Onlyfans.jpg</v>
      </c>
      <c r="C851" s="12" t="s">
        <v>8895</v>
      </c>
      <c r="D851" s="46">
        <f>New!P:P</f>
        <v>0</v>
      </c>
    </row>
    <row r="852" spans="1:4" ht="12.75">
      <c r="A852" s="45" t="str">
        <f ca="1">New!M:M</f>
        <v>{New} Jewelz Blu https://streamtape.com/v/l26Bk1Wqd4H7Y3q/14290187 https://doodstream.com/d/slh3a6v7d6iq/14290187 https://lulustream.com/d/ewnh8cs3hw12 (2026) #MILF #BigTits #Creampie #Hardcore #Threesome #RIPNSFW</v>
      </c>
      <c r="B852" s="12" t="str">
        <f>New!A:A</f>
        <v>Jewelz Blu - 14290187 - DL.jpg</v>
      </c>
      <c r="C852" s="12" t="s">
        <v>8895</v>
      </c>
      <c r="D852" s="46">
        <f>New!P:P</f>
        <v>0</v>
      </c>
    </row>
    <row r="853" spans="1:4" ht="12.75">
      <c r="A853" s="45" t="str">
        <f ca="1">New!M:M</f>
        <v>{New} Jewelz Blu https://lulustream.com/d/gt21c8hsil1d https://doodstream.com/d/fca9d9n926cz/15090517 https://streamtape.com/v/wGabXjep0rtVk0/15090517 (2026) #milf #bigtits #hardcore #porn #RIPNSFW</v>
      </c>
      <c r="B853" s="12" t="str">
        <f>New!A:A</f>
        <v>Jewelz Blu - 15090517 - XVRED.jpg</v>
      </c>
      <c r="C853" s="12" t="s">
        <v>8895</v>
      </c>
      <c r="D853" s="46">
        <f>New!P:P</f>
        <v>0</v>
      </c>
    </row>
    <row r="854" spans="1:4" ht="12.75">
      <c r="A854" s="45" t="str">
        <f ca="1">New!M:M</f>
        <v>{New} Jewelz Blu https://lulustream.com/d/dbfune560sdl https://doodstream.com/d/vktfg1pbt2gk/15848151 https://streamtape.com/v/VBV7Z1vKzWIOJx/15848151 (2026) #MILF #BigTits #Creampie #Hardcore #Bigass #Blowjob #Amateur #RIPNSFW</v>
      </c>
      <c r="B854" s="12" t="str">
        <f>New!A:A</f>
        <v>Jewelz Blu - 15848151 - ripnsfw.com.jpg</v>
      </c>
      <c r="C854" s="12" t="s">
        <v>8895</v>
      </c>
      <c r="D854" s="46">
        <f>New!P:P</f>
        <v>0</v>
      </c>
    </row>
    <row r="855" spans="1:4" ht="12.75">
      <c r="A855" s="45" t="str">
        <f ca="1">New!M:M</f>
        <v>{New} Jewelz Blu https://lulustream.com/d/lwwsdqz2dkng https://doodstream.com/d/q2q30866mkot/20027318 https://streamtape.com/v/Y7PqdMz96pSpV0/20027318 (2026) #milf #bigtits #bigass #blowjob #RIPNSFW</v>
      </c>
      <c r="B855" s="12" t="str">
        <f>New!A:A</f>
        <v>Jewelz Blu - 20027318 - XVRED.jpg</v>
      </c>
      <c r="C855" s="12" t="s">
        <v>8895</v>
      </c>
      <c r="D855" s="46">
        <f>New!P:P</f>
        <v>0</v>
      </c>
    </row>
    <row r="856" spans="1:4" ht="12.75">
      <c r="A856" s="45" t="str">
        <f ca="1">New!M:M</f>
        <v>{New} Jewelz Blu https://lulustream.com/d/4ca486qglbh8 https://doodstream.com/d/x2jt5xo886i0/20774899 https://streamtape.com/v/LM8qx71aa1uR00B/20774899 (2026) #milf #bigass #bigtits #blowjob #RIPNSFW</v>
      </c>
      <c r="B856" s="12" t="str">
        <f>New!A:A</f>
        <v>Jewelz Blu - 20774899 - Onlyfans.jpg</v>
      </c>
      <c r="C856" s="12" t="s">
        <v>8895</v>
      </c>
      <c r="D856" s="46">
        <f>New!P:P</f>
        <v>0</v>
      </c>
    </row>
    <row r="857" spans="1:4" ht="12.75">
      <c r="A857" s="45" t="str">
        <f ca="1">New!M:M</f>
        <v>{New} Jewelz Blu https://doodstream.com/d/z80osgpyzsn3/23674481 https://lulustream.com/d/k040tue07ld1 https://streamtape.com/v/K0XlAwjrOLS0QO2/23674481 (2026) #MILF #BigTits #Hardcore #Bigass #Roleplay #Blowjob #RIPNSFW</v>
      </c>
      <c r="B857" s="12" t="str">
        <f>New!A:A</f>
        <v>Jewelz Blu - 23674481 - ripnsfw.com.jpg</v>
      </c>
      <c r="C857" s="12" t="s">
        <v>8895</v>
      </c>
      <c r="D857" s="46">
        <f>New!P:P</f>
        <v>0</v>
      </c>
    </row>
    <row r="858" spans="1:4" ht="12.75">
      <c r="A858" s="45" t="str">
        <f ca="1">New!M:M</f>
        <v>{New} Jewelz Blu https://lulustream.com/d/igq1ia8qalyx https://streamtape.com/v/OkQgRa4DzJt132/24941599 https://doodstream.com/d/dhvoj348w3fi/24941599 (2026) #MILF #BigTits #Creampie #Hardcore #Bigass #RIPNSFW</v>
      </c>
      <c r="B858" s="12" t="str">
        <f>New!A:A</f>
        <v>Jewelz Blu - 24941599 - Onlyfans.jpg</v>
      </c>
      <c r="C858" s="12" t="s">
        <v>8895</v>
      </c>
      <c r="D858" s="46">
        <f>New!P:P</f>
        <v>0</v>
      </c>
    </row>
    <row r="859" spans="1:4" ht="12.75">
      <c r="A859" s="45" t="str">
        <f ca="1">New!M:M</f>
        <v>{New} Jewelz Blu https://lulustream.com/d/j7h8a6gx4pss https://streamtape.com/v/RyxV9B8k0gfddD8/27017887 https://doodstream.com/d/7t5q26x20nin/27017887 (2026) #milf #bigtits #bigass #blowjob #RIPNSFW</v>
      </c>
      <c r="B859" s="12" t="str">
        <f>New!A:A</f>
        <v>Jewelz Blu - 27017887 - XVRED.jpg</v>
      </c>
      <c r="C859" s="12" t="s">
        <v>8895</v>
      </c>
      <c r="D859" s="46">
        <f>New!P:P</f>
        <v>0</v>
      </c>
    </row>
    <row r="860" spans="1:4" ht="12.75">
      <c r="A860" s="45" t="str">
        <f ca="1">New!M:M</f>
        <v>{New} Jewelz Blu https://doodstream.com/d/yd1hk8th1yry/27463836 https://lulustream.com/d/qxqd8iec97g7 https://streamtape.com/v/P9BDYWjXDKi04PD/27463836 (2026) #MILF #BigTits #Hardcore #Black #Interracial #Bigass #RIPNSFW</v>
      </c>
      <c r="B860" s="12" t="str">
        <f>New!A:A</f>
        <v>Jewelz Blu - 27463836 - ripnsfw.com.jpg</v>
      </c>
      <c r="C860" s="12" t="s">
        <v>8895</v>
      </c>
      <c r="D860" s="46">
        <f>New!P:P</f>
        <v>0</v>
      </c>
    </row>
    <row r="861" spans="1:4" ht="12.75">
      <c r="A861" s="45" t="str">
        <f ca="1">New!M:M</f>
        <v>{New} Jewelz Blu https://doodstream.com/d/7d1a66vxlquo/27488131 https://lulustream.com/d/2z5xemnlug82 https://streamtape.com/v/9ve3wl9bJySawAy/27488131 (2026) #milf #bigtits #blowjob #facial #RIPNSFW</v>
      </c>
      <c r="B861" s="12" t="str">
        <f>New!A:A</f>
        <v>Jewelz Blu - 27488131 - FamilyTherapy.jpg</v>
      </c>
      <c r="C861" s="12" t="s">
        <v>8895</v>
      </c>
      <c r="D861" s="46">
        <f>New!P:P</f>
        <v>0</v>
      </c>
    </row>
    <row r="862" spans="1:4" ht="12.75">
      <c r="A862" s="45" t="str">
        <f ca="1">New!M:M</f>
        <v>{New} Jewelz Blu https://lulustream.com/d/ltnk08zjjcki https://doodstream.com/d/9apllhm0rrko/27700665 https://streamtape.com/v/g3DJ0XKJXdhqbRD/27700665 (2026) #milf #blowjob #interracial #bigtits #RIPNSFW</v>
      </c>
      <c r="B862" s="12" t="str">
        <f>New!A:A</f>
        <v>Jewelz Blu - 27700665 - Onlyfans.jpg</v>
      </c>
      <c r="C862" s="12" t="s">
        <v>8895</v>
      </c>
      <c r="D862" s="46">
        <f>New!P:P</f>
        <v>0</v>
      </c>
    </row>
    <row r="863" spans="1:4" ht="12.75">
      <c r="A863" s="45" t="str">
        <f ca="1">New!M:M</f>
        <v>{New} Jewelz Blu https://streamtape.com/v/1bx1m6VPdYSekz6/28736983 https://doodstream.com/d/e03yscuf9enj/28736983 https://lulustream.com/d/xrkq08lqal2z (2026) #MILF #BigTits #Creampie #Hardcore #Bigass #Artporn #RIPNSFW</v>
      </c>
      <c r="B863" s="12" t="str">
        <f>New!A:A</f>
        <v>Jewelz Blu - 28736983 - Onlyfans.jpg</v>
      </c>
      <c r="C863" s="12" t="s">
        <v>8895</v>
      </c>
      <c r="D863" s="46">
        <f>New!P:P</f>
        <v>0</v>
      </c>
    </row>
    <row r="864" spans="1:4" ht="12.75">
      <c r="A864" s="45" t="str">
        <f ca="1">New!M:M</f>
        <v>{New} Jewelz Blu https://streamtape.com/v/1PbpJRPlmzfePBd/30487695 https://doodstream.com/d/a4lw3n1xkf2o/30487695 https://lulustream.com/d/wjamdwx11sbn (2026) #MILF #BigTits #Bigass #Blowjob #Amateur #RIPNSFW</v>
      </c>
      <c r="B864" s="12" t="str">
        <f>New!A:A</f>
        <v>Jewelz Blu - 30487695 - Onlyfans.jpg</v>
      </c>
      <c r="C864" s="12" t="s">
        <v>8895</v>
      </c>
      <c r="D864" s="46">
        <f>New!P:P</f>
        <v>0</v>
      </c>
    </row>
    <row r="865" spans="1:4" ht="12.75">
      <c r="A865" s="45" t="str">
        <f ca="1">New!M:M</f>
        <v>{New} Jewelz Blu https://doodstream.com/d/n69zr8asaqt1/30652345 https://lulustream.com/d/g9cb1pppbc0a https://streamtape.com/v/GpLo93rVMpi1pD0/30652345 (2026) #MILF #BigTits #Bigass #Blowjob #RIPNSFW</v>
      </c>
      <c r="B865" s="12" t="str">
        <f>New!A:A</f>
        <v>Jewelz Blu - 30652345 - Onlyfans.jpg</v>
      </c>
      <c r="C865" s="12" t="s">
        <v>8895</v>
      </c>
      <c r="D865" s="46">
        <f>New!P:P</f>
        <v>0</v>
      </c>
    </row>
    <row r="866" spans="1:4" ht="12.75">
      <c r="A866" s="45" t="str">
        <f ca="1">New!M:M</f>
        <v>{New} Jewelz Blu https://doodstream.com/d/7vyk7tt1ws0p/30969940 https://streamtape.com/v/VGmz6MoQAXHK1e3/30969940 https://lulustream.com/d/759td9jv8ygk (2026) #milf #blowjob #porn #bigass #RIPNSFW</v>
      </c>
      <c r="B866" s="12" t="str">
        <f>New!A:A</f>
        <v>Jewelz Blu - 30969940 - FCP.jpg</v>
      </c>
      <c r="C866" s="12" t="s">
        <v>8895</v>
      </c>
      <c r="D866" s="46">
        <f>New!P:P</f>
        <v>0</v>
      </c>
    </row>
    <row r="867" spans="1:4" ht="12.75">
      <c r="A867" s="45" t="str">
        <f ca="1">New!M:M</f>
        <v>{New} Jewelz Blu https://doodstream.com/d/eput9z2g9t18/31562178 https://lulustream.com/d/twmygrnvi4zb https://streamtape.com/v/mDP0xWRz62HbKKB/31562178 (2026) #MILF #BigTits #Bigass #Roleplay #Blowjob #RIPNSFW</v>
      </c>
      <c r="B867" s="12" t="str">
        <f>New!A:A</f>
        <v>Jewelz Blu - 31562178 - XVRED.jpg</v>
      </c>
      <c r="C867" s="12" t="s">
        <v>8895</v>
      </c>
      <c r="D867" s="46">
        <f>New!P:P</f>
        <v>0</v>
      </c>
    </row>
    <row r="868" spans="1:4" ht="12.75">
      <c r="A868" s="45" t="str">
        <f ca="1">New!M:M</f>
        <v>{New} Jewelz Blu https://streamtape.com/v/k0Ro7MWD12IOwrM/32850979 https://doodstream.com/d/fdo0vkfrmpp5/32850979 https://lulustream.com/d/auvdv44nurgu (2026) #milf #bigtits #blowjob #amateur #RIPNSFW</v>
      </c>
      <c r="B868" s="12" t="str">
        <f>New!A:A</f>
        <v>Jewelz Blu - 32850979 - XVRED.jpg</v>
      </c>
      <c r="C868" s="12" t="s">
        <v>8895</v>
      </c>
      <c r="D868" s="46">
        <f>New!P:P</f>
        <v>0</v>
      </c>
    </row>
    <row r="869" spans="1:4" ht="12.75">
      <c r="A869" s="45" t="str">
        <f ca="1">New!M:M</f>
        <v>{New} Jewelz Blu https://lulustream.com/d/gxl01ifrordi https://doodstream.com/d/2cpmrjno8vxn/34265757 https://streamtape.com/v/eVvW0d2OpdhYvlV/34265757 (2026) #milf #bigtits #bigass #threesome #RIPNSFW</v>
      </c>
      <c r="B869" s="12" t="str">
        <f>New!A:A</f>
        <v>Jewelz Blu - 34265757 - Onlyfans.jpg</v>
      </c>
      <c r="C869" s="12" t="s">
        <v>8895</v>
      </c>
      <c r="D869" s="46">
        <f>New!P:P</f>
        <v>0</v>
      </c>
    </row>
    <row r="870" spans="1:4" ht="12.75">
      <c r="A870" s="45" t="str">
        <f ca="1">New!M:M</f>
        <v>{New} Jewelz Blu https://streamtape.com/v/z696bWWWx8TYMP6/34444545 https://lulustream.com/d/2gupoew9ych6 https://doodstream.com/d/l6k3drp9op4j/34444545 (2026) #MILF #BigTits #Hardcore #Black #Interracial #Bigass #Blowjob #Amateur #RIPNSFW</v>
      </c>
      <c r="B870" s="12" t="str">
        <f>New!A:A</f>
        <v>Jewelz Blu - 34444545 - ripnsfw.com.jpg</v>
      </c>
      <c r="C870" s="12" t="s">
        <v>8895</v>
      </c>
      <c r="D870" s="46">
        <f>New!P:P</f>
        <v>0</v>
      </c>
    </row>
    <row r="871" spans="1:4" ht="12.75">
      <c r="A871" s="45" t="str">
        <f ca="1">New!M:M</f>
        <v>{New} Jewelz Blu https://doodstream.com/d/l6e2aijp9dup/35535447 https://streamtape.com/v/Wp0xevdQzYCpWP/35535447 https://lulustream.com/d/1kq07wbunprl (2026) #MILF #BigTits #Hardcore #Bigass #RIPNSFW</v>
      </c>
      <c r="B871" s="12" t="str">
        <f>New!A:A</f>
        <v>Jewelz Blu - 35535447 - XVRED.jpg</v>
      </c>
      <c r="C871" s="12" t="s">
        <v>8895</v>
      </c>
      <c r="D871" s="46">
        <f>New!P:P</f>
        <v>0</v>
      </c>
    </row>
    <row r="872" spans="1:4" ht="12.75">
      <c r="A872" s="45" t="str">
        <f ca="1">New!M:M</f>
        <v>{New} Jewelz Blu https://lulustream.com/d/pr5ynbprs1w5 https://streamtape.com/v/lOGqDb3dD2c7rz0/36422262 https://doodstream.com/d/sbmropkevtt6/36422262 (2026) #Anal #MILF #BigTits #Creampie #Hardcore #Bigass #Porn #Blowjob #RIPNSFW</v>
      </c>
      <c r="B872" s="12" t="str">
        <f>New!A:A</f>
        <v>Jewelz Blu - 36422262 - ripnsfw.com.jpg</v>
      </c>
      <c r="C872" s="12" t="s">
        <v>8895</v>
      </c>
      <c r="D872" s="46">
        <f>New!P:P</f>
        <v>0</v>
      </c>
    </row>
    <row r="873" spans="1:4" ht="12.75">
      <c r="A873" s="45" t="str">
        <f ca="1">New!M:M</f>
        <v>{New} Jewelz Blu https://lulustream.com/d/6g2kcuumkwcc https://doodstream.com/d/b2ymeldspfiz/37745917 https://streamtape.com/v/Qak29jxWoqf0D16/37745917 (2026) #milf #bigtits #blowjob #facial #RIPNSFW</v>
      </c>
      <c r="B873" s="12" t="str">
        <f>New!A:A</f>
        <v>Jewelz Blu - 37745917 - Onlyfans.jpg</v>
      </c>
      <c r="C873" s="12" t="s">
        <v>8895</v>
      </c>
      <c r="D873" s="46">
        <f>New!P:P</f>
        <v>0</v>
      </c>
    </row>
    <row r="874" spans="1:4" ht="12.75">
      <c r="A874" s="45" t="str">
        <f ca="1">New!M:M</f>
        <v>{New} Jewelz Blu https://doodstream.com/d/odslbwpxmv7h/39366961 https://streamtape.com/v/oA7Vao2QDjIJyz9/39366961 https://lulustream.com/d/xrq6hxl7fft2 (2026) #MILF #BigTits #Bigass #Blowjob #RIPNSFW</v>
      </c>
      <c r="B874" s="12" t="str">
        <f>New!A:A</f>
        <v>Jewelz Blu - 39366961 - Onlyfans.jpg</v>
      </c>
      <c r="C874" s="12" t="s">
        <v>8895</v>
      </c>
      <c r="D874" s="46">
        <f>New!P:P</f>
        <v>0</v>
      </c>
    </row>
    <row r="875" spans="1:4" ht="12.75">
      <c r="A875" s="45" t="str">
        <f ca="1">New!M:M</f>
        <v>#ERROR!</v>
      </c>
      <c r="B875" s="12" t="str">
        <f>New!A:A</f>
        <v>Jewelz Blu - 41229618 - XVRED.jpg</v>
      </c>
      <c r="C875" s="12" t="s">
        <v>8895</v>
      </c>
      <c r="D875" s="46">
        <f>New!P:P</f>
        <v>0</v>
      </c>
    </row>
    <row r="876" spans="1:4" ht="12.75">
      <c r="A876" s="45" t="str">
        <f ca="1">New!M:M</f>
        <v>{New} Jewelz Blu https://doodstream.com/d/okx48ykcc6j2/41266259 https://lulustream.com/d/8pjsv394ncte https://streamtape.com/v/17ZvXzjdLpHeAkD/41266259 (2026) #MILF #BigTits #Creampie #Hardcore #Bigass #Blowjob #Amateur #Deepthroat #RIPNSFW</v>
      </c>
      <c r="B876" s="12" t="str">
        <f>New!A:A</f>
        <v>Jewelz Blu - 41266259 - ripnsfw.com.jpg</v>
      </c>
      <c r="C876" s="12" t="s">
        <v>8895</v>
      </c>
      <c r="D876" s="46">
        <f>New!P:P</f>
        <v>0</v>
      </c>
    </row>
    <row r="877" spans="1:4" ht="12.75">
      <c r="A877" s="45" t="str">
        <f ca="1">New!M:M</f>
        <v>{New} Jewelz Blu https://lulustream.com/d/ka3onfa1g1m6 https://doodstream.com/d/6curfocbrgia/42869335 https://streamtape.com/v/OoYmVwb1z1uZVZm/42869335 (2026) #MILF #BigTits #Hardcore #Bigass #Blowjob #RIPNSFW</v>
      </c>
      <c r="B877" s="12" t="str">
        <f>New!A:A</f>
        <v>Jewelz Blu - 42869335 - ripnsfw.com.jpg</v>
      </c>
      <c r="C877" s="12" t="s">
        <v>8895</v>
      </c>
      <c r="D877" s="46">
        <f>New!P:P</f>
        <v>0</v>
      </c>
    </row>
    <row r="878" spans="1:4" ht="12.75">
      <c r="A878" s="45" t="str">
        <f ca="1">New!M:M</f>
        <v>{New} Jewelz Blu https://streamtape.com/v/Gka8bx1AZgtoPl/43064399 https://doodstream.com/d/dmsihaf2qahv/43064399 https://lulustream.com/d/0h6kea9ag1yd (2026) #MILF #BigTits #Hardcore #Bigass #Blowjob #RIPNSFW</v>
      </c>
      <c r="B878" s="12" t="str">
        <f>New!A:A</f>
        <v>Jewelz Blu - 43064399 - ripnsfw.com.jpg</v>
      </c>
      <c r="C878" s="12" t="s">
        <v>8895</v>
      </c>
      <c r="D878" s="46">
        <f>New!P:P</f>
        <v>0</v>
      </c>
    </row>
    <row r="879" spans="1:4" ht="12.75">
      <c r="A879" s="45" t="str">
        <f ca="1">New!M:M</f>
        <v>{New} Jewelz Blu https://streamtape.com/v/796JZ91mgRsxxr/43818937 https://lulustream.com/d/w4tbswq0mmhh https://doodstream.com/d/ckh8n9b61dgs/43818937 (2026) #MILF #BigTits #Creampie #Hardcore #Bigass #Roleplay #Blowjob #Amateur #Deepthroat #RIPNSFW</v>
      </c>
      <c r="B879" s="12" t="str">
        <f>New!A:A</f>
        <v>Jewelz Blu - 43818937 - Onlyfans.jpg</v>
      </c>
      <c r="C879" s="12" t="s">
        <v>8895</v>
      </c>
      <c r="D879" s="46">
        <f>New!P:P</f>
        <v>0</v>
      </c>
    </row>
    <row r="880" spans="1:4" ht="12.75">
      <c r="A880" s="45" t="str">
        <f ca="1">New!M:M</f>
        <v>{New} Jewelz Blu https://streamtape.com/v/dKKjDK4GPDCZKq/44600385 https://lulustream.com/d/9hjitkqbdn7r https://doodstream.com/d/yof0mtnzbrnl/44600385 (2026) #milf #bigtits #bigass #blowjob #RIPNSFW</v>
      </c>
      <c r="B880" s="12" t="str">
        <f>New!A:A</f>
        <v>Jewelz Blu - 44600385 - XVRED.jpg</v>
      </c>
      <c r="C880" s="12" t="s">
        <v>8895</v>
      </c>
      <c r="D880" s="46">
        <f>New!P:P</f>
        <v>0</v>
      </c>
    </row>
    <row r="881" spans="1:4" ht="12.75">
      <c r="A881" s="45" t="str">
        <f ca="1">New!M:M</f>
        <v>{New} Jewelz Blu https://lulustream.com/d/npsol25wr1sc https://doodstream.com/d/661a9sphu99r/45114530 https://streamtape.com/v/y2r9YkwQZQS1qqK/45114530 (2026) #MILF #BigTits #Hardcore #Bigass #Porn #RIPNSFW</v>
      </c>
      <c r="B881" s="12" t="str">
        <f>New!A:A</f>
        <v>Jewelz Blu - 45114530 - ripnsfw.com.jpg</v>
      </c>
      <c r="C881" s="12" t="s">
        <v>8895</v>
      </c>
      <c r="D881" s="46">
        <f>New!P:P</f>
        <v>0</v>
      </c>
    </row>
    <row r="882" spans="1:4" ht="12.75">
      <c r="A882" s="45" t="str">
        <f ca="1">New!M:M</f>
        <v>{New} Jewelz Blu https://doodstream.com/d/7dzuaurvbici/45536058 https://streamtape.com/v/m30rz674oqCbYQy/45536058 https://lulustream.com/d/zjicly017rti Haley Spades (2026) #BigTits #Hardcore #Bigass #Teen #Roleplay #Artporn #Blowjob #Amateur #Blonde #RIPNSFW</v>
      </c>
      <c r="B882" s="12" t="str">
        <f>New!A:A</f>
        <v>Jewelz Blu - 45536058 - ripnsfw.com - Haley Spades.jpg</v>
      </c>
      <c r="C882" s="12" t="s">
        <v>8895</v>
      </c>
      <c r="D882" s="46">
        <f>New!P:P</f>
        <v>0</v>
      </c>
    </row>
    <row r="883" spans="1:4" ht="12.75">
      <c r="A883" s="45" t="str">
        <f ca="1">New!M:M</f>
        <v>#ERROR!</v>
      </c>
      <c r="B883" s="12" t="str">
        <f>New!A:A</f>
        <v>Jewelz Blu - 45802958 - Onlyfans.jpg</v>
      </c>
      <c r="C883" s="12" t="s">
        <v>8895</v>
      </c>
      <c r="D883" s="46">
        <f>New!P:P</f>
        <v>0</v>
      </c>
    </row>
    <row r="884" spans="1:4" ht="12.75">
      <c r="A884" s="45" t="str">
        <f ca="1">New!M:M</f>
        <v>{New} Jewelz Blu https://streamtape.com/v/69w36vvXgAI9YjA/46115763 https://lulustream.com/d/pwf99stubz0j https://doodstream.com/d/ll5ak9l1fwbv/46115763 (2026) #milf #bigass #bigtits #joi #RIPNSFW</v>
      </c>
      <c r="B884" s="12" t="str">
        <f>New!A:A</f>
        <v>Jewelz Blu - 46115763 - XVRED.jpg</v>
      </c>
      <c r="C884" s="12" t="s">
        <v>8895</v>
      </c>
      <c r="D884" s="46">
        <f>New!P:P</f>
        <v>0</v>
      </c>
    </row>
    <row r="885" spans="1:4" ht="12.75">
      <c r="A885" s="45" t="str">
        <f ca="1">New!M:M</f>
        <v>{New} Jewelz Blu https://streamtape.com/v/94MAvqW08OiolX/48982150 https://doodstream.com/d/ltjo7hng9v3b/48982150 https://lulustream.com/d/s017q29h3cq4 (2026) #milf #anal #bigtits #bigass #RIPNSFW</v>
      </c>
      <c r="B885" s="12" t="str">
        <f>New!A:A</f>
        <v>Jewelz Blu - 48982150 - Onlyfans.jpg</v>
      </c>
      <c r="C885" s="12" t="s">
        <v>8895</v>
      </c>
      <c r="D885" s="46">
        <f>New!P:P</f>
        <v>0</v>
      </c>
    </row>
    <row r="886" spans="1:4" ht="12.75">
      <c r="A886" s="45" t="str">
        <f ca="1">New!M:M</f>
        <v>{New} Jewelz Blu https://streamtape.com/v/YLlaap4Z9KsvMLg/49589158 https://doodstream.com/d/wyb34xpfp0ps/49589158 https://lulustream.com/d/6uba5bez22ht (2026) #milf #bigtits #bigass #blowjob #RIPNSFW</v>
      </c>
      <c r="B886" s="12" t="str">
        <f>New!A:A</f>
        <v>Jewelz Blu - 49589158 - NM.jpg</v>
      </c>
      <c r="C886" s="12" t="s">
        <v>8895</v>
      </c>
      <c r="D886" s="46">
        <f>New!P:P</f>
        <v>0</v>
      </c>
    </row>
    <row r="887" spans="1:4" ht="12.75">
      <c r="A887" s="45" t="str">
        <f ca="1">New!M:M</f>
        <v>{New} Jewelz Blu https://doodstream.com/d/5yz3xwv9c3o6/51031582 https://lulustream.com/d/e0eflh069aco https://streamtape.com/v/kbV0d0WQVySOgM7/51031582 (2026) #anal #milf #bigtits #bigass #RIPNSFW</v>
      </c>
      <c r="B887" s="12" t="str">
        <f>New!A:A</f>
        <v>Jewelz Blu - 51031582 - EvilAngel.jpg</v>
      </c>
      <c r="C887" s="12" t="s">
        <v>8895</v>
      </c>
      <c r="D887" s="46">
        <f>New!P:P</f>
        <v>0</v>
      </c>
    </row>
    <row r="888" spans="1:4" ht="12.75">
      <c r="A888" s="45" t="str">
        <f ca="1">New!M:M</f>
        <v>{New} Jewelz Blu https://streamtape.com/v/Q2ZPKMLbrghrXg/51129751 https://doodstream.com/d/wn9jxxvcmwtj/51129751 https://lulustream.com/d/89jccszu9zr5 (2026) #creampie #bigtits #milf #bigass #RIPNSFW</v>
      </c>
      <c r="B888" s="12" t="str">
        <f>New!A:A</f>
        <v>Jewelz Blu - 51129751 - Onlyfans.jpg</v>
      </c>
      <c r="C888" s="12" t="s">
        <v>8895</v>
      </c>
      <c r="D888" s="46">
        <f>New!P:P</f>
        <v>0</v>
      </c>
    </row>
    <row r="889" spans="1:4" ht="12.75">
      <c r="A889" s="45" t="str">
        <f ca="1">New!M:M</f>
        <v>{New} Jewelz Blu https://lulustream.com/d/9qvrdig0e66s https://streamtape.com/v/VW97aaBVzXCz0g/52346238 https://doodstream.com/d/pabj2v92uw7p/52346238 (2026) #MILF #BigTits #Hardcore #Bigass #RIPNSFW</v>
      </c>
      <c r="B889" s="12" t="str">
        <f>New!A:A</f>
        <v>Jewelz Blu - 52346238 - Onlyfans.jpg</v>
      </c>
      <c r="C889" s="12" t="s">
        <v>8895</v>
      </c>
      <c r="D889" s="46">
        <f>New!P:P</f>
        <v>0</v>
      </c>
    </row>
    <row r="890" spans="1:4" ht="12.75">
      <c r="A890" s="45" t="str">
        <f ca="1">New!M:M</f>
        <v>{New} Jewelz Blu https://streamtape.com/v/zM3JZrgwxkcYar0/54539806 https://doodstream.com/d/1awuhyzax9ki/54539806 https://lulustream.com/d/s57zhaz6ud7p (2026) #milf #bigtits #creampie #bigass #RIPNSFW</v>
      </c>
      <c r="B890" s="12" t="str">
        <f>New!A:A</f>
        <v>Jewelz Blu - 54539806 - XVRED.jpg</v>
      </c>
      <c r="C890" s="12" t="s">
        <v>8895</v>
      </c>
      <c r="D890" s="46">
        <f>New!P:P</f>
        <v>0</v>
      </c>
    </row>
    <row r="891" spans="1:4" ht="12.75">
      <c r="A891" s="45" t="str">
        <f ca="1">New!M:M</f>
        <v>{New} Jewelz Blu https://lulustream.com/d/2b9ufwo8xb7z https://doodstream.com/d/yo0d19762b02/56129913 https://streamtape.com/v/dpxR2PP2OgckYaR/56129913 (2026) #milf #bigass #bigtits #doggystyle #RIPNSFW</v>
      </c>
      <c r="B891" s="12" t="str">
        <f>New!A:A</f>
        <v>Jewelz Blu - 56129913 - Onlyfans.jpg</v>
      </c>
      <c r="C891" s="12" t="s">
        <v>8895</v>
      </c>
      <c r="D891" s="46">
        <f>New!P:P</f>
        <v>0</v>
      </c>
    </row>
    <row r="892" spans="1:4" ht="12.75">
      <c r="A892" s="45" t="str">
        <f ca="1">New!M:M</f>
        <v>{New} Jewelz Blu https://doodstream.com/d/c8vfye9ynl78/56335032 https://lulustream.com/d/akzdpjnuw9am https://streamtape.com/v/lg8XQpYv1gU7klx/56335032 (2026) #MILF #BigTits #Creampie #Hardcore #RIPNSFW</v>
      </c>
      <c r="B892" s="12" t="str">
        <f>New!A:A</f>
        <v>Jewelz Blu - 56335032 - ripnsfw.com.jpg</v>
      </c>
      <c r="C892" s="12" t="s">
        <v>8895</v>
      </c>
      <c r="D892" s="46">
        <f>New!P:P</f>
        <v>0</v>
      </c>
    </row>
    <row r="893" spans="1:4" ht="12.75">
      <c r="A893" s="45" t="str">
        <f ca="1">New!M:M</f>
        <v>{New} Jewelz Blu https://doodstream.com/d/mweezfbupuo9/56464578 https://lulustream.com/d/8a959zc4bxm1 https://streamtape.com/v/p4YJeo84oxTW6y/56464578 (2026) #MILF #BigTits #Hardcore #Black #RIPNSFW</v>
      </c>
      <c r="B893" s="12" t="str">
        <f>New!A:A</f>
        <v>Jewelz Blu - 56464578 - Onlyfans.jpg</v>
      </c>
      <c r="C893" s="12" t="s">
        <v>8895</v>
      </c>
      <c r="D893" s="46">
        <f>New!P:P</f>
        <v>0</v>
      </c>
    </row>
    <row r="894" spans="1:4" ht="12.75">
      <c r="A894" s="45" t="str">
        <f ca="1">New!M:M</f>
        <v>{New} Jewelz Blu https://streamtape.com/v/A1mZKZgLGJtXy3A/56933664 https://lulustream.com/d/56f0o5t5tpp3 https://doodstream.com/d/7c5ezk4p1nzl/56933664 (2026) #MILF #BigTits #Hardcore #Black #RIPNSFW</v>
      </c>
      <c r="B894" s="12" t="str">
        <f>New!A:A</f>
        <v>Jewelz Blu - 56933664 - Onlyfans.jpg</v>
      </c>
      <c r="C894" s="12" t="s">
        <v>8895</v>
      </c>
      <c r="D894" s="46">
        <f>New!P:P</f>
        <v>0</v>
      </c>
    </row>
    <row r="895" spans="1:4" ht="12.75">
      <c r="A895" s="45" t="str">
        <f ca="1">New!M:M</f>
        <v>{New} Jewelz Blu https://lulustream.com/d/xzmh6516kp1j https://streamtape.com/v/A1krXjZJBXH4dj/57450602 https://doodstream.com/d/17yy55aiemm7/57450602 (2026) #milf #bigass #bigtits #blowjob #RIPNSFW</v>
      </c>
      <c r="B895" s="12" t="str">
        <f>New!A:A</f>
        <v>Jewelz Blu - 57450602 - XVRED.jpg</v>
      </c>
      <c r="C895" s="12" t="s">
        <v>8895</v>
      </c>
      <c r="D895" s="46">
        <f>New!P:P</f>
        <v>0</v>
      </c>
    </row>
    <row r="896" spans="1:4" ht="12.75">
      <c r="A896" s="45" t="str">
        <f ca="1">New!M:M</f>
        <v>{New} Jewelz Blu https://streamtape.com/v/kLvJyQDDoZUOzlp/57592298 https://doodstream.com/d/j3ah11o031aj/57592298 https://lulustream.com/d/7z28297k5omt (2026) #MILF #BigTits #Creampie #Hardcore #Bigass #RIPNSFW</v>
      </c>
      <c r="B896" s="12" t="str">
        <f>New!A:A</f>
        <v>Jewelz Blu - 57592298 - ripnsfw.com.jpg</v>
      </c>
      <c r="C896" s="12" t="s">
        <v>8895</v>
      </c>
      <c r="D896" s="46">
        <f>New!P:P</f>
        <v>0</v>
      </c>
    </row>
    <row r="897" spans="1:4" ht="12.75">
      <c r="A897" s="45" t="str">
        <f ca="1">New!M:M</f>
        <v>{New} Jewelz Blu https://doodstream.com/d/1hcchzv94df9/58378785 https://lulustream.com/d/c08v66120ih4 https://streamtape.com/v/Aq9yrZRW2qsmm1/58378785 (2026) #Anal #BigTits #Hardcore #Bigass #Teen #Artporn #Blowjob #RIPNSFW</v>
      </c>
      <c r="B897" s="12" t="str">
        <f>New!A:A</f>
        <v>Jewelz Blu - 58378785 - ElegantAngel.jpg</v>
      </c>
      <c r="C897" s="12" t="s">
        <v>8895</v>
      </c>
      <c r="D897" s="46">
        <f>New!P:P</f>
        <v>0</v>
      </c>
    </row>
    <row r="898" spans="1:4" ht="12.75">
      <c r="A898" s="45" t="str">
        <f ca="1">New!M:M</f>
        <v>{New} Jewelz Blu https://streamtape.com/v/bRMgdRlZXbhP9Dw/59133561 https://lulustream.com/d/59fjfonxzav7 https://doodstream.com/d/tmxlhqp362zb/59133561 (2026) #milf #bigtits #bigass #blowjob #RIPNSFW</v>
      </c>
      <c r="B898" s="12" t="str">
        <f>New!A:A</f>
        <v>Jewelz Blu - 59133561 - XVRED.jpg</v>
      </c>
      <c r="C898" s="12" t="s">
        <v>8895</v>
      </c>
      <c r="D898" s="46">
        <f>New!P:P</f>
        <v>0</v>
      </c>
    </row>
    <row r="899" spans="1:4" ht="12.75">
      <c r="A899" s="45" t="str">
        <f ca="1">New!M:M</f>
        <v>{New} Jewelz Blu https://lulustream.com/d/qmlumtlhky2k https://doodstream.com/d/80eu0r3p8iuk/59999160 https://streamtape.com/v/1Oo3z7zXq3ieOJ6/59999160 Catherine Knight (2026) #MILF #BigTits #Hardcore #Threesome #Bigass #RIPNSFW</v>
      </c>
      <c r="B899" s="12" t="str">
        <f>New!A:A</f>
        <v>Jewelz Blu - 59999160 - ripnsfw.com - Catherine Knight.jpg</v>
      </c>
      <c r="C899" s="12" t="s">
        <v>8895</v>
      </c>
      <c r="D899" s="46">
        <f>New!P:P</f>
        <v>0</v>
      </c>
    </row>
    <row r="900" spans="1:4" ht="12.75">
      <c r="A900" s="45" t="str">
        <f ca="1">New!M:M</f>
        <v>{New} Jewelz Blu https://doodstream.com/d/hvln2fpes6j3/65838320 https://streamtape.com/v/0BpOblY4lzubdWV/65838320 https://lulustream.com/d/4x3sqhyjbo7p (2026) #MILF #BigTits #Creampie #Hardcore #RIPNSFW</v>
      </c>
      <c r="B900" s="12" t="str">
        <f>New!A:A</f>
        <v>Jewelz Blu - 65838320 - Onlyfans.jpg</v>
      </c>
      <c r="C900" s="12" t="s">
        <v>8895</v>
      </c>
      <c r="D900" s="46">
        <f>New!P:P</f>
        <v>0</v>
      </c>
    </row>
    <row r="901" spans="1:4" ht="12.75">
      <c r="A901" s="45" t="str">
        <f ca="1">New!M:M</f>
        <v>{New} Jewelz Blu https://doodstream.com/d/315cluyoefa4/66365849 https://lulustream.com/d/ep0c6abxp40a https://streamtape.com/v/XW74pZObA7FD8rB/66365849 (2026) #doublepenetration #anal #bigtits #milf #RIPNSFW</v>
      </c>
      <c r="B901" s="12" t="str">
        <f>New!A:A</f>
        <v>Jewelz Blu - 66365849 - Onlyfans.jpg</v>
      </c>
      <c r="C901" s="12" t="s">
        <v>8895</v>
      </c>
      <c r="D901" s="46">
        <f>New!P:P</f>
        <v>0</v>
      </c>
    </row>
    <row r="902" spans="1:4" ht="12.75">
      <c r="A902" s="45" t="str">
        <f ca="1">New!M:M</f>
        <v>{New} Jewelz Blu https://doodstream.com/d/t72ds542b50g/66368610 https://streamtape.com/v/O1PQmpmA31SZ4YO/66368610 https://lulustream.com/d/q6q19pni0pxp (2026) #MILF #BigTits #Hardcore #Black #Interracial #RIPNSFW</v>
      </c>
      <c r="B902" s="12" t="str">
        <f>New!A:A</f>
        <v>Jewelz Blu - 66368610 - XVRED.jpg</v>
      </c>
      <c r="C902" s="12" t="s">
        <v>8895</v>
      </c>
      <c r="D902" s="46">
        <f>New!P:P</f>
        <v>0</v>
      </c>
    </row>
    <row r="903" spans="1:4" ht="12.75">
      <c r="A903" s="45" t="str">
        <f ca="1">New!M:M</f>
        <v>{New} Jewelz Blu https://doodstream.com/d/x0cfbqvyxh4u/68292768 https://streamtape.com/v/9eB191rGwrUaXrp/68292768 https://lulustream.com/d/kx4rj1qziqco (2026) #milf #bigass #bigtits #blowjob #RIPNSFW</v>
      </c>
      <c r="B903" s="12" t="str">
        <f>New!A:A</f>
        <v>Jewelz Blu - 68292768 - PPV.jpg</v>
      </c>
      <c r="C903" s="12" t="s">
        <v>8895</v>
      </c>
      <c r="D903" s="46">
        <f>New!P:P</f>
        <v>0</v>
      </c>
    </row>
    <row r="904" spans="1:4" ht="12.75">
      <c r="A904" s="45" t="str">
        <f ca="1">New!M:M</f>
        <v>{New} Jewelz Blu https://lulustream.com/d/in5ghjkfy0a7 https://streamtape.com/v/46336o6jaRtKDXv/68434400 https://doodstream.com/d/g1xc9kybxwjo/68434400 (2026) #MILF #BigTits #Hardcore #Bigass #RIPNSFW</v>
      </c>
      <c r="B904" s="12" t="str">
        <f>New!A:A</f>
        <v>Jewelz Blu - 68434400 - ripnsfw.com.jpg</v>
      </c>
      <c r="C904" s="12" t="s">
        <v>8895</v>
      </c>
      <c r="D904" s="46">
        <f>New!P:P</f>
        <v>0</v>
      </c>
    </row>
    <row r="905" spans="1:4" ht="12.75">
      <c r="A905" s="45" t="str">
        <f ca="1">New!M:M</f>
        <v>{New} Jewelz Blu https://lulustream.com/d/vgpksriddpyd https://streamtape.com/v/Vmel4AGzJruKlrP/68644221 https://doodstream.com/d/kyicgtel1l3p/68644221 (2026) #MILF #BigTits #Creampie #Hardcore #Bigass #RIPNSFW</v>
      </c>
      <c r="B905" s="12" t="str">
        <f>New!A:A</f>
        <v>Jewelz Blu - 68644221 - ripnsfw.com.jpg</v>
      </c>
      <c r="C905" s="12" t="s">
        <v>8895</v>
      </c>
      <c r="D905" s="46">
        <f>New!P:P</f>
        <v>0</v>
      </c>
    </row>
    <row r="906" spans="1:4" ht="12.75">
      <c r="A906" s="45" t="str">
        <f ca="1">New!M:M</f>
        <v>{New} Jewelz Blu https://streamtape.com/v/9v0Qy326KvuOKD/71833873 https://doodstream.com/d/v5ht1sjpj9bd/71833873 https://lulustream.com/d/uozcitoor2k5 (2026) #milf #anal #bigtits #bigass #RIPNSFW</v>
      </c>
      <c r="B906" s="12" t="str">
        <f>New!A:A</f>
        <v>Jewelz Blu - 71833873 - Onlyfans.jpg</v>
      </c>
      <c r="C906" s="12" t="s">
        <v>8895</v>
      </c>
      <c r="D906" s="46">
        <f>New!P:P</f>
        <v>0</v>
      </c>
    </row>
    <row r="907" spans="1:4" ht="12.75">
      <c r="A907" s="45" t="str">
        <f ca="1">New!M:M</f>
        <v>{New} Jewelz Blu https://doodstream.com/d/vipugvzqzyk1/75107883 https://lulustream.com/d/obrlgzv2zd8w https://streamtape.com/v/AQjlQOaYj8F4Ll/75107883 (2026) #MILF #BigTits #Hardcore #Bigass #Blowjob #Amateur #RIPNSFW</v>
      </c>
      <c r="B907" s="12" t="str">
        <f>New!A:A</f>
        <v>Jewelz Blu - 75107883 - ripnsfw.com.jpg</v>
      </c>
      <c r="C907" s="12" t="s">
        <v>8895</v>
      </c>
      <c r="D907" s="46">
        <f>New!P:P</f>
        <v>0</v>
      </c>
    </row>
    <row r="908" spans="1:4" ht="12.75">
      <c r="A908" s="45" t="str">
        <f ca="1">New!M:M</f>
        <v>{New} Jewelz Blu https://streamtape.com/v/R7VaLvAWbGcdAqK/76658060 https://lulustream.com/d/ufzy371qwgu5 https://doodstream.com/d/vy2iy5sr8bvq/76658060 (2026) #MILF #BigTits #Hardcore #Bigass #RIPNSFW</v>
      </c>
      <c r="B908" s="12" t="str">
        <f>New!A:A</f>
        <v>Jewelz Blu - 76658060 - ripnsfw.com.jpg</v>
      </c>
      <c r="C908" s="12" t="s">
        <v>8895</v>
      </c>
      <c r="D908" s="46">
        <f>New!P:P</f>
        <v>0</v>
      </c>
    </row>
    <row r="909" spans="1:4" ht="12.75">
      <c r="A909" s="45" t="str">
        <f ca="1">New!M:M</f>
        <v>{New} Jewelz Blu https://streamtape.com/v/wal9GxGQw9IJ3Rb/78824960 https://doodstream.com/d/ikl3tejoou2d/78824960 https://lulustream.com/d/cpqan4ary7c6 (2026) #MILF #BigTits #Bigass #Blowjob #RIPNSFW</v>
      </c>
      <c r="B909" s="12" t="str">
        <f>New!A:A</f>
        <v>Jewelz Blu - 78824960 - Onlyfans.jpg</v>
      </c>
      <c r="C909" s="12" t="s">
        <v>8895</v>
      </c>
      <c r="D909" s="46">
        <f>New!P:P</f>
        <v>0</v>
      </c>
    </row>
    <row r="910" spans="1:4" ht="12.75">
      <c r="A910" s="45" t="str">
        <f ca="1">New!M:M</f>
        <v>{New} Jewelz Blu https://lulustream.com/d/14qglm82goif https://streamtape.com/v/6QaQP3Xby4I4xj/80080009 https://doodstream.com/d/wz2jjirgdg02/80080009 (2026) #milf #bigtits #blowjob #bigass #RIPNSFW</v>
      </c>
      <c r="B910" s="12" t="str">
        <f>New!A:A</f>
        <v>Jewelz Blu - 80080009 - XVRED.jpg</v>
      </c>
      <c r="C910" s="12" t="s">
        <v>8895</v>
      </c>
      <c r="D910" s="46">
        <f>New!P:P</f>
        <v>0</v>
      </c>
    </row>
    <row r="911" spans="1:4" ht="12.75">
      <c r="A911" s="45" t="str">
        <f ca="1">New!M:M</f>
        <v>{New} Jewelz Blu https://streamtape.com/v/8Vj29z9lJ0fobpq/80880139 https://lulustream.com/d/1c1agb2gy7b1 https://doodstream.com/d/vcf19fnhv1wb/80880139 (2026) #teen #bigtits #blowjob #bigass #RIPNSFW</v>
      </c>
      <c r="B911" s="12" t="str">
        <f>New!A:A</f>
        <v>Jewelz Blu - 80880139 - XVRED.jpg</v>
      </c>
      <c r="C911" s="12" t="s">
        <v>8895</v>
      </c>
      <c r="D911" s="46">
        <f>New!P:P</f>
        <v>0</v>
      </c>
    </row>
    <row r="912" spans="1:4" ht="12.75">
      <c r="A912" s="45" t="str">
        <f ca="1">New!M:M</f>
        <v>{New} Jewelz Blu https://doodstream.com/d/odj5nv3iptf7/82173814 https://streamtape.com/v/7jXBjMReARUAAkw/82173814 https://lulustream.com/d/0x23z09n89h4 (2026) #MILF #BigTits #Hardcore #Bigass #RIPNSFW</v>
      </c>
      <c r="B912" s="12" t="str">
        <f>New!A:A</f>
        <v>Jewelz Blu - 82173814 - Onlyfans.jpg</v>
      </c>
      <c r="C912" s="12" t="s">
        <v>8895</v>
      </c>
      <c r="D912" s="46">
        <f>New!P:P</f>
        <v>0</v>
      </c>
    </row>
    <row r="913" spans="1:4" ht="12.75">
      <c r="A913" s="45" t="str">
        <f ca="1">New!M:M</f>
        <v>{New} Jewelz Blu https://streamtape.com/v/Vr2p8gAQ1xTKpMy/82714956 https://lulustream.com/d/clt5277wmejx https://doodstream.com/d/p5n3cyoan8ke/82714956 (2026) #MILF #BigTits #Creampie #Hardcore #Bigass #Blowjob #Amateur #RIPNSFW</v>
      </c>
      <c r="B913" s="12" t="str">
        <f>New!A:A</f>
        <v>Jewelz Blu - 82714956 - XVRED.jpg</v>
      </c>
      <c r="C913" s="12" t="s">
        <v>8895</v>
      </c>
      <c r="D913" s="46">
        <f>New!P:P</f>
        <v>0</v>
      </c>
    </row>
    <row r="914" spans="1:4" ht="12.75">
      <c r="A914" s="45" t="str">
        <f ca="1">New!M:M</f>
        <v>{New} Jewelz Blu https://lulustream.com/d/hunloop0w2au https://doodstream.com/d/cvai1xs1l6aa/83258517 https://streamtape.com/v/pbwd3Rex1Lir9x8/83258517 (2026) #milf #bigtits #creampie #bigass #RIPNSFW</v>
      </c>
      <c r="B914" s="12" t="str">
        <f>New!A:A</f>
        <v>Jewelz Blu - 83258517 - XVRED.jpg</v>
      </c>
      <c r="C914" s="12" t="s">
        <v>8895</v>
      </c>
      <c r="D914" s="46">
        <f>New!P:P</f>
        <v>0</v>
      </c>
    </row>
    <row r="915" spans="1:4" ht="12.75">
      <c r="A915" s="45" t="str">
        <f ca="1">New!M:M</f>
        <v>{New} Jewelz Blu https://streamtape.com/v/Y8OmGpmQrDHvQ0W/83310030 https://lulustream.com/d/pi7hjy171bsy https://doodstream.com/d/21d4lqx3igm7/83310030 (2026) #MILF #BigTits #Hardcore #Bigass #Blowjob #Amateur #Deepthroat #Facial #RIPNSFW</v>
      </c>
      <c r="B915" s="12" t="str">
        <f>New!A:A</f>
        <v>Jewelz Blu - 83310030 - ripnsfw.com.jpg</v>
      </c>
      <c r="C915" s="12" t="s">
        <v>8895</v>
      </c>
      <c r="D915" s="46">
        <f>New!P:P</f>
        <v>0</v>
      </c>
    </row>
    <row r="916" spans="1:4" ht="12.75">
      <c r="A916" s="45" t="str">
        <f ca="1">New!M:M</f>
        <v>{New} Jewelz Blu https://streamtape.com/v/yPaBx2YBKjtkPR/84014328 https://doodstream.com/d/knjamsymfr3z/84014328 https://lulustream.com/d/f68adjt9ergr (2026) #BigTits #Hardcore #Bigass #Porn #RIPNSFW</v>
      </c>
      <c r="B916" s="12" t="str">
        <f>New!A:A</f>
        <v>Jewelz Blu - 84014328 - ElegantAngel.jpg</v>
      </c>
      <c r="C916" s="12" t="s">
        <v>8895</v>
      </c>
      <c r="D916" s="46">
        <f>New!P:P</f>
        <v>0</v>
      </c>
    </row>
    <row r="917" spans="1:4" ht="12.75">
      <c r="A917" s="45" t="str">
        <f ca="1">New!M:M</f>
        <v>{New} Jewelz Blu https://lulustream.com/d/367a89s9a1oz https://doodstream.com/d/f1h4d5vriibi/85600588 https://streamtape.com/v/3kP148P1KDcaVW/85600588 (2026) #milf #bigtits #bigass #blowjob #RIPNSFW</v>
      </c>
      <c r="B917" s="12" t="str">
        <f>New!A:A</f>
        <v>Jewelz Blu - 85600588 - XVRED.jpg</v>
      </c>
      <c r="C917" s="12" t="s">
        <v>8895</v>
      </c>
      <c r="D917" s="46">
        <f>New!P:P</f>
        <v>0</v>
      </c>
    </row>
    <row r="918" spans="1:4" ht="12.75">
      <c r="A918" s="45" t="str">
        <f ca="1">New!M:M</f>
        <v>{New} Jewelz Blu https://lulustream.com/d/k2z87hhpqagp https://doodstream.com/d/2szg4ypw5jak/86541323 https://streamtape.com/v/23OoJjXMeXTzB6/86541323 (2026) #milf #bigtits #bigass #blowjob #RIPNSFW</v>
      </c>
      <c r="B918" s="12" t="str">
        <f>New!A:A</f>
        <v>Jewelz Blu - 86541323 - XVRED.jpg</v>
      </c>
      <c r="C918" s="12" t="s">
        <v>8895</v>
      </c>
      <c r="D918" s="46">
        <f>New!P:P</f>
        <v>0</v>
      </c>
    </row>
    <row r="919" spans="1:4" ht="12.75">
      <c r="A919" s="45" t="str">
        <f ca="1">New!M:M</f>
        <v>{New} Jewelz Blu https://lulustream.com/d/dnratt0jy4ss https://doodstream.com/d/p7qhndm8wv04/86873906 https://streamtape.com/v/DGg2yyLWMAskk7Z/86873906 (2026) #MILF #BigTits #Roleplay #Amateur #RIPNSFW</v>
      </c>
      <c r="B919" s="12" t="str">
        <f>New!A:A</f>
        <v>Jewelz Blu - 86873906 - ripnsfw.com.jpg</v>
      </c>
      <c r="C919" s="12" t="s">
        <v>8895</v>
      </c>
      <c r="D919" s="46">
        <f>New!P:P</f>
        <v>0</v>
      </c>
    </row>
    <row r="920" spans="1:4" ht="12.75">
      <c r="A920" s="45" t="str">
        <f ca="1">New!M:M</f>
        <v>{New} Jewelz Blu https://doodstream.com/d/aezc0uxyeknr/90632680 https://lulustream.com/d/xnepfpbjve2q https://streamtape.com/v/YVJ246A93XcLjG/90632680 (2026) #MILF #BigTits #Bigass #Blowjob #RIPNSFW</v>
      </c>
      <c r="B920" s="12" t="str">
        <f>New!A:A</f>
        <v>Jewelz Blu - 90632680 - XVRED.jpg</v>
      </c>
      <c r="C920" s="12" t="s">
        <v>8895</v>
      </c>
      <c r="D920" s="46">
        <f>New!P:P</f>
        <v>0</v>
      </c>
    </row>
    <row r="921" spans="1:4" ht="12.75">
      <c r="A921" s="45" t="str">
        <f ca="1">New!M:M</f>
        <v>{New} Jewelz Blu https://lulustream.com/d/npyhdtawmaz5 https://doodstream.com/d/y1fgh4lj7izr/91004697 https://streamtape.com/v/0zdG4JpBqRCb7L2/91004697 (2026) #MILF #BigTits #Creampie #Hardcore #RIPNSFW</v>
      </c>
      <c r="B921" s="12" t="str">
        <f>New!A:A</f>
        <v>Jewelz Blu - 91004697 - ripnsfw.com.jpg</v>
      </c>
      <c r="C921" s="12" t="s">
        <v>8895</v>
      </c>
      <c r="D921" s="46">
        <f>New!P:P</f>
        <v>0</v>
      </c>
    </row>
    <row r="922" spans="1:4" ht="12.75">
      <c r="A922" s="45" t="str">
        <f ca="1">New!M:M</f>
        <v>{New} Jewelz Blu https://doodstream.com/d/72x8zdgie2oj/91066475 https://lulustream.com/d/jf7cp4dpyqy9 https://streamtape.com/v/l7zX2AAdb2F7xem/91066475 (2026) #creampie #milf #bigtits #blowjob #RIPNSFW</v>
      </c>
      <c r="B922" s="12" t="str">
        <f>New!A:A</f>
        <v>Jewelz Blu - 91066475 - Onlyfans.jpg</v>
      </c>
      <c r="C922" s="12" t="s">
        <v>8895</v>
      </c>
      <c r="D922" s="46">
        <f>New!P:P</f>
        <v>0</v>
      </c>
    </row>
    <row r="923" spans="1:4" ht="12.75">
      <c r="A923" s="45" t="str">
        <f ca="1">New!M:M</f>
        <v>{New} Jewelz Blu https://streamtape.com/v/QD4RmYoPg9tJAO/91464913 https://lulustream.com/d/vfmdejqsyw3a https://doodstream.com/d/u68sjwmvpmhy/91464913 (2026) #milf #bigass #bigtits #creampie #RIPNSFW</v>
      </c>
      <c r="B923" s="12" t="str">
        <f>New!A:A</f>
        <v>Jewelz Blu - 91464913 - Onlyfans.jpg</v>
      </c>
      <c r="C923" s="12" t="s">
        <v>8895</v>
      </c>
      <c r="D923" s="46">
        <f>New!P:P</f>
        <v>0</v>
      </c>
    </row>
    <row r="924" spans="1:4" ht="12.75">
      <c r="A924" s="45" t="str">
        <f ca="1">New!M:M</f>
        <v>{New} Jewelz Blu https://streamtape.com/v/pjBQGpP6RJUryzJ/92919613 https://lulustream.com/d/3j5zmavkb6za https://doodstream.com/d/2rr9v7p2jxqf/92919613 (2026) #milf #bigtits #blowjob #bigass #RIPNSFW</v>
      </c>
      <c r="B924" s="12" t="str">
        <f>New!A:A</f>
        <v>Jewelz Blu - 92919613 - XVRED.jpg</v>
      </c>
      <c r="C924" s="12" t="s">
        <v>8895</v>
      </c>
      <c r="D924" s="46">
        <f>New!P:P</f>
        <v>0</v>
      </c>
    </row>
    <row r="925" spans="1:4" ht="12.75">
      <c r="A925" s="45" t="str">
        <f ca="1">New!M:M</f>
        <v>{New} Jewelz Blu https://lulustream.com/d/gvn5qikl10vj https://streamtape.com/v/KZD12ymYYOi0GLB/93410711 https://doodstream.com/d/8kncmbqdtl6l/93410711 (2026) #milf #bigass #bigtits #blowjob #RIPNSFW</v>
      </c>
      <c r="B925" s="12" t="str">
        <f>New!A:A</f>
        <v>Jewelz Blu - 93410711 - Onlyfans.jpg</v>
      </c>
      <c r="C925" s="12" t="s">
        <v>8895</v>
      </c>
      <c r="D925" s="46">
        <f>New!P:P</f>
        <v>0</v>
      </c>
    </row>
    <row r="926" spans="1:4" ht="12.75">
      <c r="A926" s="45" t="str">
        <f ca="1">New!M:M</f>
        <v>{New} Jewelz Blu https://lulustream.com/d/t165ikhn5wof https://streamtape.com/v/ajDe3xaoAjtxD4R/93619322 https://doodstream.com/d/lctbx4f2jfy0/93619322 Haley Spades (2026) #BigTits #MILF #Hardcore #Threesome #RIPNSFW</v>
      </c>
      <c r="B926" s="12" t="str">
        <f>New!A:A</f>
        <v>Jewelz Blu - 93619322 - Onlyfans - Haley Spades.jpg</v>
      </c>
      <c r="C926" s="12" t="s">
        <v>8895</v>
      </c>
      <c r="D926" s="46">
        <f>New!P:P</f>
        <v>0</v>
      </c>
    </row>
    <row r="927" spans="1:4" ht="12.75">
      <c r="A927" s="45" t="str">
        <f ca="1">New!M:M</f>
        <v>{New} Jewelz Blu https://lulustream.com/d/1lob685s69m2 https://streamtape.com/v/vK8372R72Af4yLb/95336352 https://doodstream.com/d/fif6l3m96vtg/95336352 (2026) #milf #bigtits #bigass #blowjob #RIPNSFW</v>
      </c>
      <c r="B927" s="12" t="str">
        <f>New!A:A</f>
        <v>Jewelz Blu - 95336352 - Onlyfans.jpg</v>
      </c>
      <c r="C927" s="12" t="s">
        <v>8895</v>
      </c>
      <c r="D927" s="46">
        <f>New!P:P</f>
        <v>0</v>
      </c>
    </row>
    <row r="928" spans="1:4" ht="12.75">
      <c r="A928" s="45" t="str">
        <f ca="1">New!M:M</f>
        <v>{New} Jewelz Blu https://lulustream.com/d/etss5d4caxgy https://doodstream.com/d/pjravdvq94vu/95623353 https://streamtape.com/v/8Wq99vaJDzU6MG/95623353 (2026) #MILF #BigTits #Creampie #Hardcore #Bigass #RIPNSFW</v>
      </c>
      <c r="B928" s="12" t="str">
        <f>New!A:A</f>
        <v>Jewelz Blu - 95623353 - ripnsfw.com.jpg</v>
      </c>
      <c r="C928" s="12" t="s">
        <v>8895</v>
      </c>
      <c r="D928" s="46">
        <f>New!P:P</f>
        <v>0</v>
      </c>
    </row>
    <row r="929" spans="1:4" ht="12.75">
      <c r="A929" s="45" t="str">
        <f ca="1">New!M:M</f>
        <v>{New} Jewelz Blu https://streamtape.com/v/Ba61BM4eVPSyoVA/95638896 https://doodstream.com/d/ry2tb94edr5e/95638896 https://lulustream.com/d/7wvjblezwnu6 Hailey Rose (2026) #bigtits #bigass #threesome #blowjob #RIPNSFW</v>
      </c>
      <c r="B929" s="12" t="str">
        <f>New!A:A</f>
        <v>Jewelz Blu - 95638896 - XVRED - Hailey Rose.jpg</v>
      </c>
      <c r="C929" s="12" t="s">
        <v>8895</v>
      </c>
      <c r="D929" s="46">
        <f>New!P:P</f>
        <v>0</v>
      </c>
    </row>
    <row r="930" spans="1:4" ht="12.75">
      <c r="A930" s="45" t="str">
        <f ca="1">New!M:M</f>
        <v>{New} Jewelz Blu https://streamtape.com/v/q8O30zqXPKIzqx0/96252943 https://lulustream.com/d/2topeuz3uvpf https://doodstream.com/d/obrop5v3v82t/96252943 (2026) #anal #bigtits #doublepenetration #bigass #RIPNSFW</v>
      </c>
      <c r="B930" s="12" t="str">
        <f>New!A:A</f>
        <v>Jewelz Blu - 96252943 - XVRED.jpg</v>
      </c>
      <c r="C930" s="12" t="s">
        <v>8895</v>
      </c>
      <c r="D930" s="46">
        <f>New!P:P</f>
        <v>0</v>
      </c>
    </row>
    <row r="931" spans="1:4" ht="12.75">
      <c r="A931" s="45" t="str">
        <f ca="1">New!M:M</f>
        <v>{New} Jewelz Blu https://lulustream.com/d/zhwbu0521mxc https://doodstream.com/d/4qjtx2h715gq/96624921 https://streamtape.com/v/X1yPWzDRMwSDY6B/96624921 (2026) #bigass #blowjob #bigtits #facial #RIPNSFW</v>
      </c>
      <c r="B931" s="12" t="str">
        <f>New!A:A</f>
        <v>Jewelz Blu - 96624921 - PF.jpg</v>
      </c>
      <c r="C931" s="12" t="s">
        <v>8895</v>
      </c>
      <c r="D931" s="46">
        <f>New!P:P</f>
        <v>0</v>
      </c>
    </row>
    <row r="932" spans="1:4" ht="12.75">
      <c r="A932" s="45" t="str">
        <f ca="1">New!M:M</f>
        <v>{New} Jewelz Blu https://streamtape.com/v/wZebwzRQOpfJm8w/96870764 https://lulustream.com/d/z4vy18lgdcck https://doodstream.com/d/31r4pk8hj9yf/96870764 (2026) #bigtits #milf #creampie #hardcore #RIPNSFW</v>
      </c>
      <c r="B932" s="12" t="str">
        <f>New!A:A</f>
        <v>Jewelz Blu - 96870764 - Onlyfans.jpg</v>
      </c>
      <c r="C932" s="12" t="s">
        <v>8895</v>
      </c>
      <c r="D932" s="46">
        <f>New!P:P</f>
        <v>0</v>
      </c>
    </row>
    <row r="933" spans="1:4" ht="12.75">
      <c r="A933" s="45" t="str">
        <f ca="1">New!M:M</f>
        <v>Juniper https://streamtape.com/v/lqDLl8dkwLs7pgl/73596562 https://lulustream.com/d/anpcytfrr3p3 https://doodstream.com/d/xd6lljg5mkpn/73596562 #anal #teen #creampie #casting #RIPNSFW</v>
      </c>
      <c r="B933" s="12" t="str">
        <f>New!A:A</f>
        <v>Juniper - 73596562 - BackroomCastingCouch.jpg</v>
      </c>
      <c r="C933" s="12" t="s">
        <v>8895</v>
      </c>
      <c r="D933" s="46">
        <f>New!P:P</f>
        <v>0</v>
      </c>
    </row>
    <row r="934" spans="1:4" ht="12.75">
      <c r="A934" s="45" t="str">
        <f ca="1">New!M:M</f>
        <v>{New} Juniper Ren https://doodstream.com/d/zzvruh3fq9yu/12323656 https://streamtape.com/v/lAqeVVBWa7u71e9/12323656 https://lulustream.com/d/teu9t1u899bn (2026) #Anal #Hardcore #Porn #Teen #RIPNSFW</v>
      </c>
      <c r="B934" s="12" t="str">
        <f>New!A:A</f>
        <v>Juniper Ren - 12323656 - AO.jpg</v>
      </c>
      <c r="C934" s="12" t="s">
        <v>8895</v>
      </c>
      <c r="D934" s="46">
        <f>New!P:P</f>
        <v>0</v>
      </c>
    </row>
    <row r="935" spans="1:4" ht="12.75">
      <c r="A935" s="45" t="str">
        <f ca="1">New!M:M</f>
        <v>{New} Juniper Ren https://doodstream.com/d/t1g7hj18ht0t/14825639 https://streamtape.com/v/M9o4zVM1eDSmXLo/14825639 https://lulustream.com/d/u7xlh9v7c8t0 (2026) #Hardcore #Porn #Teen #Artporn #Blowjob #RIPNSFW</v>
      </c>
      <c r="B935" s="12" t="str">
        <f>New!A:A</f>
        <v>Juniper Ren - 14825639 - ripnsfw.com.jpg</v>
      </c>
      <c r="C935" s="12" t="s">
        <v>8895</v>
      </c>
      <c r="D935" s="46">
        <f>New!P:P</f>
        <v>0</v>
      </c>
    </row>
    <row r="936" spans="1:4" ht="12.75">
      <c r="A936" s="45" t="str">
        <f ca="1">New!M:M</f>
        <v>{New} Juniper Ren https://streamtape.com/v/4mLA0V1Og8cKvbV/57287679 https://doodstream.com/d/lhn7w16k9pro/57287679 https://lulustream.com/d/3bgzwf0nquro (2026) #Hardcore #Teen #Porn #Blowjob #RIPNSFW</v>
      </c>
      <c r="B936" s="12" t="str">
        <f>New!A:A</f>
        <v>Juniper Ren - 57287679 - ripnsfw.com.jpg</v>
      </c>
      <c r="C936" s="12" t="s">
        <v>8895</v>
      </c>
      <c r="D936" s="46">
        <f>New!P:P</f>
        <v>0</v>
      </c>
    </row>
    <row r="937" spans="1:4" ht="12.75">
      <c r="A937" s="45" t="str">
        <f ca="1">New!M:M</f>
        <v>{New} Juniper Ren https://lulustream.com/d/9eg1fv0wmpdy https://streamtape.com/v/A6130WApKMSD2M/96086342 https://doodstream.com/d/48bv1mu8zp1e/96086342 (2026) #Anal #Hardcore #Porn #Teen #Blowjob #Deepthroat #RIPNSFW</v>
      </c>
      <c r="B937" s="12" t="str">
        <f>New!A:A</f>
        <v>Juniper Ren - 96086342 - ripnsfw.com.jpg</v>
      </c>
      <c r="C937" s="12" t="s">
        <v>8895</v>
      </c>
      <c r="D937" s="46">
        <f>New!P:P</f>
        <v>0</v>
      </c>
    </row>
    <row r="938" spans="1:4" ht="12.75">
      <c r="A938" s="45" t="str">
        <f ca="1">New!M:M</f>
        <v>{New} Juniper Ren https://doodstream.com/d/ftynklarbaxv/96325718 https://lulustream.com/d/n1te8u2gf5e4 https://streamtape.com/v/XWOjxbd4DZSDO2P/96325718 (2026) #Hardcore #Teen #Blowjob #Porn #RIPNSFW</v>
      </c>
      <c r="B938" s="12" t="str">
        <f>New!A:A</f>
        <v>Juniper Ren - 96325718 - ripnsfw.com.jpg</v>
      </c>
      <c r="C938" s="12" t="s">
        <v>8895</v>
      </c>
      <c r="D938" s="46">
        <f>New!P:P</f>
        <v>0</v>
      </c>
    </row>
    <row r="939" spans="1:4" ht="12.75">
      <c r="A939" s="45" t="str">
        <f ca="1">New!M:M</f>
        <v>{New} Juniper Ren https://doodstream.com/d/vdsigh23strk/99851979 https://lulustream.com/d/5f0208ns9lmn https://streamtape.com/v/WeqrBb31xaibxRv/99851979 (2026) #Hardcore #Black #Interracial #Porn #Teen #Blowjob #RIPNSFW</v>
      </c>
      <c r="B939" s="12" t="str">
        <f>New!A:A</f>
        <v>Juniper Ren - 99851979 - ripnsfw.com.jpg</v>
      </c>
      <c r="C939" s="12" t="s">
        <v>8895</v>
      </c>
      <c r="D939" s="46">
        <f>New!P:P</f>
        <v>0</v>
      </c>
    </row>
    <row r="940" spans="1:4" ht="12.75">
      <c r="A940" s="45" t="str">
        <f ca="1">New!M:M</f>
        <v>{New} Kagney Linn Karter https://streamtape.com/v/493Jw8y1apIKwOd/55994241 https://lulustream.com/d/jrfsmgwrphr5 https://doodstream.com/d/ie73pu0so6bv/55994241 (2026) #Anal #BigTits #Hardcore #Bigass #Porn #Teen #Blowjob #RIPNSFW</v>
      </c>
      <c r="B940" s="12" t="str">
        <f>New!A:A</f>
        <v>Kagney Linn Karter - 55994241 - ripnsfw.com.jpg</v>
      </c>
      <c r="C940" s="12" t="s">
        <v>8895</v>
      </c>
      <c r="D940" s="46">
        <f>New!P:P</f>
        <v>0</v>
      </c>
    </row>
    <row r="941" spans="1:4" ht="12.75">
      <c r="A941" s="45" t="str">
        <f ca="1">New!M:M</f>
        <v>{New} Kali Roses https://lulustream.com/d/8rqsvkg15dxn https://doodstream.com/d/b2z9qxn6u0i3/27700551 https://streamtape.com/v/2PzlR9bLW0cQ18/27700551 (2026) #milf #bigtits #bigass #blowjob #RIPNSFW</v>
      </c>
      <c r="B941" s="12" t="str">
        <f>New!A:A</f>
        <v>Kali Roses - 27700551 - Onlyfans.jpg</v>
      </c>
      <c r="C941" s="12" t="s">
        <v>8895</v>
      </c>
      <c r="D941" s="46">
        <f>New!P:P</f>
        <v>0</v>
      </c>
    </row>
    <row r="942" spans="1:4" ht="12.75">
      <c r="A942" s="45" t="str">
        <f ca="1">New!M:M</f>
        <v>{New} Kali Roses https://lulustream.com/d/lztsspreqn1z https://doodstream.com/d/mziyqhkmpcrv/28586276 https://streamtape.com/v/MxrVwbRBPVHmK3p/28586276 Ali Rose (2026) #milf #bigtits #hardcore #threesome #RIPNSFW</v>
      </c>
      <c r="B942" s="12" t="str">
        <f>New!A:A</f>
        <v>Kali Roses - 28586276 - XVRED - Ali Rose.jpg</v>
      </c>
      <c r="C942" s="12" t="s">
        <v>8895</v>
      </c>
      <c r="D942" s="46">
        <f>New!P:P</f>
        <v>0</v>
      </c>
    </row>
    <row r="943" spans="1:4" ht="12.75">
      <c r="A943" s="45" t="str">
        <f ca="1">New!M:M</f>
        <v>{New} Kali Roses https://doodstream.com/d/n35kdmeb9s6z/33146055 https://streamtape.com/v/7bomMZd8ayuAK4K/33146055 https://lulustream.com/d/yn3jhvyijuh5 (2026) #MILF #BigTits #Hardcore #Bigass #Blowjob #Amateur #RIPNSFW</v>
      </c>
      <c r="B943" s="12" t="str">
        <f>New!A:A</f>
        <v>Kali Roses - 33146055 - ripnsfw.com.jpg</v>
      </c>
      <c r="C943" s="12" t="s">
        <v>8895</v>
      </c>
      <c r="D943" s="46">
        <f>New!P:P</f>
        <v>0</v>
      </c>
    </row>
    <row r="944" spans="1:4" ht="12.75">
      <c r="A944" s="45" t="str">
        <f ca="1">New!M:M</f>
        <v>{New} Kali Roses https://doodstream.com/d/f022tu51enlz/34740220 https://lulustream.com/d/t579nmqall3e https://streamtape.com/v/glLX62LbdBCq0Gk/34740220 (2026) #MILF #BigTits #Hardcore #Threesome #RIPNSFW</v>
      </c>
      <c r="B944" s="12" t="str">
        <f>New!A:A</f>
        <v>Kali Roses - 34740220 - XVRED.jpg</v>
      </c>
      <c r="C944" s="12" t="s">
        <v>8895</v>
      </c>
      <c r="D944" s="46">
        <f>New!P:P</f>
        <v>0</v>
      </c>
    </row>
    <row r="945" spans="1:4" ht="12.75">
      <c r="A945" s="45" t="str">
        <f ca="1">New!M:M</f>
        <v>{New} Kali Roses https://streamtape.com/v/Qyb9prvvazI0YPm/38472992 https://lulustream.com/d/cx2itdjo478m https://doodstream.com/d/qobcrtsysfhz/38472992 (2026) #milf #bigtits #bigass #blonde #RIPNSFW</v>
      </c>
      <c r="B945" s="12" t="str">
        <f>New!A:A</f>
        <v>Kali Roses - 38472992 - Camsoda.jpg</v>
      </c>
      <c r="C945" s="12" t="s">
        <v>8895</v>
      </c>
      <c r="D945" s="46">
        <f>New!P:P</f>
        <v>0</v>
      </c>
    </row>
    <row r="946" spans="1:4" ht="12.75">
      <c r="A946" s="45" t="str">
        <f ca="1">New!M:M</f>
        <v>{New} Kali Roses https://doodstream.com/d/01qf3ik9js82/44828043 https://streamtape.com/v/OW184ZRlGkSZAy0/44828043 https://lulustream.com/d/oigzci7gnbqq Elana Bunnz (2026) #threesome #bigass #blowjob #pov #RIPNSFW</v>
      </c>
      <c r="B946" s="12" t="str">
        <f>New!A:A</f>
        <v>Kali Roses - 44828043 - Manyvids - Elana Bunnz.jpg</v>
      </c>
      <c r="C946" s="12" t="s">
        <v>8895</v>
      </c>
      <c r="D946" s="46">
        <f>New!P:P</f>
        <v>0</v>
      </c>
    </row>
    <row r="947" spans="1:4" ht="12.75">
      <c r="A947" s="45" t="str">
        <f ca="1">New!M:M</f>
        <v>{New} Kali Roses https://doodstream.com/d/xndbdpxvh10n/45948552 https://lulustream.com/d/gmw4jex01vic https://streamtape.com/v/zG0A30Q0kGfYLGR/45948552 (2026) #MILF #BigTits #Hardcore #Black #Interracial #Bigass #Porn #Blowjob #Deepthroat #Blonde #Facial #RIPNSFW</v>
      </c>
      <c r="B947" s="12" t="str">
        <f>New!A:A</f>
        <v>Kali Roses - 45948552 - ripnsfw.com.jpg</v>
      </c>
      <c r="C947" s="12" t="s">
        <v>8895</v>
      </c>
      <c r="D947" s="46">
        <f>New!P:P</f>
        <v>0</v>
      </c>
    </row>
    <row r="948" spans="1:4" ht="12.75">
      <c r="A948" s="45" t="str">
        <f ca="1">New!M:M</f>
        <v>{New} Kali Roses https://doodstream.com/d/cnpdpid5jzpf/56029035 https://lulustream.com/d/e8mwseludofe https://streamtape.com/v/ylm9zWBDwgF14XA/56029035 (2026) #milf #bigtits #blonde #bigass #RIPNSFW</v>
      </c>
      <c r="B948" s="12" t="str">
        <f>New!A:A</f>
        <v>Kali Roses - 56029035 - XVRED.jpg</v>
      </c>
      <c r="C948" s="12" t="s">
        <v>8895</v>
      </c>
      <c r="D948" s="46">
        <f>New!P:P</f>
        <v>0</v>
      </c>
    </row>
    <row r="949" spans="1:4" ht="12.75">
      <c r="A949" s="45" t="str">
        <f ca="1">New!M:M</f>
        <v>{New} Kali Roses https://doodstream.com/d/bqnboq6tbgui/56530419 https://streamtape.com/v/WwXkgrxD6gCbVea/56530419 https://lulustream.com/d/tlxq4gr7p42t Ashley Alexander Madalina Moon (2026) #MILF #BigTits #Hardcore #Bigass #Blowjob #RIPNSFW</v>
      </c>
      <c r="B949" s="12" t="str">
        <f>New!A:A</f>
        <v>Kali Roses - 56530419 - XVRED - Ashley Alexander - Madalina Moon.jpg</v>
      </c>
      <c r="C949" s="12" t="s">
        <v>8895</v>
      </c>
      <c r="D949" s="46">
        <f>New!P:P</f>
        <v>0</v>
      </c>
    </row>
    <row r="950" spans="1:4" ht="12.75">
      <c r="A950" s="45" t="str">
        <f ca="1">New!M:M</f>
        <v>{New} Kali Roses https://lulustream.com/d/vabx6qn8cipa https://streamtape.com/v/k9WjOylqD2sOxGk/63542067 https://doodstream.com/d/axjb74svwbwm/63542067 (2026) #MILF #BigTits #Hardcore #Bigass #Artporn #Stepmom #Blowjob #RIPNSFW</v>
      </c>
      <c r="B950" s="12" t="str">
        <f>New!A:A</f>
        <v>Kali Roses - 63542067 - Onlyfans.jpg</v>
      </c>
      <c r="C950" s="12" t="s">
        <v>8895</v>
      </c>
      <c r="D950" s="46">
        <f>New!P:P</f>
        <v>0</v>
      </c>
    </row>
    <row r="951" spans="1:4" ht="12.75">
      <c r="A951" s="45" t="str">
        <f ca="1">New!M:M</f>
        <v>{New} Kali Roses https://streamtape.com/v/KZQXRwzLLYU0O6k/69966088 https://lulustream.com/d/3c5u3xkuj7ub https://doodstream.com/d/zn0dsx6gez1a/69966088 (2026) #milf #threesome #blowjob #bigass #RIPNSFW</v>
      </c>
      <c r="B951" s="12" t="str">
        <f>New!A:A</f>
        <v>Kali Roses - 69966088 - XVRED.jpg</v>
      </c>
      <c r="C951" s="12" t="s">
        <v>8895</v>
      </c>
      <c r="D951" s="46">
        <f>New!P:P</f>
        <v>0</v>
      </c>
    </row>
    <row r="952" spans="1:4" ht="12.75">
      <c r="A952" s="45" t="str">
        <f ca="1">New!M:M</f>
        <v>{New} Kali Roses https://lulustream.com/d/rs5txgl4dcag https://doodstream.com/d/j16uevadoll3/73978346 https://streamtape.com/v/Y7MbKbZ9GXHBmx/73978346 (2026) #milf #bigass #bigtits #blowjob #RIPNSFW</v>
      </c>
      <c r="B952" s="12" t="str">
        <f>New!A:A</f>
        <v>Kali Roses - 73978346 - Onlyfans.jpg</v>
      </c>
      <c r="C952" s="12" t="s">
        <v>8895</v>
      </c>
      <c r="D952" s="46">
        <f>New!P:P</f>
        <v>0</v>
      </c>
    </row>
    <row r="953" spans="1:4" ht="12.75">
      <c r="A953" s="45" t="str">
        <f ca="1">New!M:M</f>
        <v>{New} Kali Roses https://streamtape.com/v/brxya0mGe8TdGk/74222197 https://doodstream.com/d/50mbdotpn3p9/74222197 https://lulustream.com/d/04i9oe6mmsu6 Jenna Starr (2026) #milf #threesome #bigass #bigtits #RIPNSFW</v>
      </c>
      <c r="B953" s="12" t="str">
        <f>New!A:A</f>
        <v>Kali Roses - 74222197 - Onlyfans - Jenna Starr.jpg</v>
      </c>
      <c r="C953" s="12" t="s">
        <v>8895</v>
      </c>
      <c r="D953" s="46">
        <f>New!P:P</f>
        <v>0</v>
      </c>
    </row>
    <row r="954" spans="1:4" ht="12.75">
      <c r="A954" s="45" t="str">
        <f ca="1">New!M:M</f>
        <v>{New} Kali Roses https://doodstream.com/d/w93ju2kv76pf/76067349 https://lulustream.com/d/k9hgak7rh1md https://streamtape.com/v/wGDR1RWqB1SJyZl/76067349 (2026) #MILF #BigTits #Hardcore #Bigass #Porn #Blowjob #RIPNSFW</v>
      </c>
      <c r="B954" s="12" t="str">
        <f>New!A:A</f>
        <v>Kali Roses - 76067349 - ripnsfw.com.jpg</v>
      </c>
      <c r="C954" s="12" t="s">
        <v>8895</v>
      </c>
      <c r="D954" s="46">
        <f>New!P:P</f>
        <v>0</v>
      </c>
    </row>
    <row r="955" spans="1:4" ht="12.75">
      <c r="A955" s="45" t="str">
        <f ca="1">New!M:M</f>
        <v>{New} Kali Roses https://streamtape.com/v/zxzYqJvm3GSYa0v/79105797 https://doodstream.com/d/q9n7td7rnfoi/79105797 https://lulustream.com/d/gwh6zowbwy80 (2026) #MILF #BigTits #Hardcore #Bigass #RIPNSFW</v>
      </c>
      <c r="B955" s="12" t="str">
        <f>New!A:A</f>
        <v>Kali Roses - 79105797 - ripnsfw.com.jpg</v>
      </c>
      <c r="C955" s="12" t="s">
        <v>8895</v>
      </c>
      <c r="D955" s="46">
        <f>New!P:P</f>
        <v>0</v>
      </c>
    </row>
    <row r="956" spans="1:4" ht="12.75">
      <c r="A956" s="45" t="str">
        <f ca="1">New!M:M</f>
        <v>{New} Kali Roses https://doodstream.com/d/82w6cbad4qal/80756120 https://streamtape.com/v/bQwXlKjBx2cPkJl/80756120 https://lulustream.com/d/xq5n3hahzap6 (2026) #MILF #BigTits #Hardcore #Bigass #Porn #Blowjob #Stepmom #Hotwife #RIPNSFW</v>
      </c>
      <c r="B956" s="12" t="str">
        <f>New!A:A</f>
        <v>Kali Roses - 80756120 - HardX.jpg</v>
      </c>
      <c r="C956" s="12" t="s">
        <v>8895</v>
      </c>
      <c r="D956" s="46">
        <f>New!P:P</f>
        <v>0</v>
      </c>
    </row>
    <row r="957" spans="1:4" ht="12.75">
      <c r="A957" s="45" t="str">
        <f ca="1">New!M:M</f>
        <v>{New} Kali Roses https://doodstream.com/d/iohbs5mgo3zm/87655058 https://streamtape.com/v/zK107avd9jTYBvP/87655058 https://lulustream.com/d/wu91grwm4ec0 (2026) #MILF #BigTits #Hardcore #Bigass #Blowjob #RIPNSFW</v>
      </c>
      <c r="B957" s="12" t="str">
        <f>New!A:A</f>
        <v>Kali Roses - 87655058 - ripnsfw.com.jpg</v>
      </c>
      <c r="C957" s="12" t="s">
        <v>8895</v>
      </c>
      <c r="D957" s="46">
        <f>New!P:P</f>
        <v>0</v>
      </c>
    </row>
    <row r="958" spans="1:4" ht="12.75">
      <c r="A958" s="45" t="str">
        <f ca="1">New!M:M</f>
        <v>{New} Kali Roses https://doodstream.com/d/5zwshia2jb7y/89846730 https://streamtape.com/v/4RG7y64kYmIVYg/89846730 https://lulustream.com/d/8xkyd6urcvqa (2026) #milf #bigass #bigtits #blonde #RIPNSFW</v>
      </c>
      <c r="B958" s="12" t="str">
        <f>New!A:A</f>
        <v>Kali Roses - 89846730 - Onlyfans.jpg</v>
      </c>
      <c r="C958" s="12" t="s">
        <v>8895</v>
      </c>
      <c r="D958" s="46">
        <f>New!P:P</f>
        <v>0</v>
      </c>
    </row>
    <row r="959" spans="1:4" ht="12.75">
      <c r="A959" s="45" t="str">
        <f ca="1">New!M:M</f>
        <v>{New} Kali Roses https://doodstream.com/d/8iq9zjb8cj69/97216217 https://streamtape.com/v/Pjjr9Kg6LatbYd/97216217 https://lulustream.com/d/ppdygwvgxwaf (2026) #milf #bigass #blowjob #bigtits #RIPNSFW</v>
      </c>
      <c r="B959" s="12" t="str">
        <f>New!A:A</f>
        <v>Kali Roses - 97216217 - XVRED.jpg</v>
      </c>
      <c r="C959" s="12" t="s">
        <v>8895</v>
      </c>
      <c r="D959" s="46">
        <f>New!P:P</f>
        <v>0</v>
      </c>
    </row>
    <row r="960" spans="1:4" ht="12.75">
      <c r="A960" s="45" t="str">
        <f ca="1">New!M:M</f>
        <v>{New} Kali Roses https://lulustream.com/d/qh3aamjw6yxb https://streamtape.com/v/Z1Y0oL23XkH7Zd/97546975 https://doodstream.com/d/v1sst3ecnr9h/97546975 (2026) #MILF #BigTits #Hardcore #Bigass #RIPNSFW</v>
      </c>
      <c r="B960" s="12" t="str">
        <f>New!A:A</f>
        <v>Kali Roses - 97546975 - Onlyfans.jpg</v>
      </c>
      <c r="C960" s="12" t="s">
        <v>8895</v>
      </c>
      <c r="D960" s="46">
        <f>New!P:P</f>
        <v>0</v>
      </c>
    </row>
    <row r="961" spans="1:4" ht="12.75">
      <c r="A961" s="45" t="str">
        <f ca="1">New!M:M</f>
        <v>{New} Kali Roses https://doodstream.com/d/jz7h9scdb1xf/99506561 https://lulustream.com/d/g9lk6qb7g1l3 https://streamtape.com/v/1J8031aXwxIewAx/99506561 (2026) #MILF #BigTits #Hardcore #Bigass #Blowjob #RIPNSFW</v>
      </c>
      <c r="B961" s="12" t="str">
        <f>New!A:A</f>
        <v>Kali Roses - 99506561 - ripnsfw.com.jpg</v>
      </c>
      <c r="C961" s="12" t="s">
        <v>8895</v>
      </c>
      <c r="D961" s="46">
        <f>New!P:P</f>
        <v>0</v>
      </c>
    </row>
    <row r="962" spans="1:4" ht="12.75">
      <c r="A962" s="45" t="str">
        <f ca="1">New!M:M</f>
        <v>{New} Kate Kuray https://doodstream.com/d/viofy070o04j/11114763 https://streamtape.com/v/lP32w6el7Pi7XOD/11114763 https://lulustream.com/d/hglr8zj793ch (2026) #teen #blowjob #bigass #blonde #RIPNSFW</v>
      </c>
      <c r="B962" s="12" t="str">
        <f>New!A:A</f>
        <v>Kate Kuray - 11114763 - Onlyfans.jpg</v>
      </c>
      <c r="C962" s="12" t="s">
        <v>8895</v>
      </c>
      <c r="D962" s="46">
        <f>New!P:P</f>
        <v>0</v>
      </c>
    </row>
    <row r="963" spans="1:4" ht="12.75">
      <c r="A963" s="45" t="str">
        <f ca="1">New!M:M</f>
        <v>{New} Kate Kuray https://doodstream.com/d/vmuffk0fgsr8/14559380 https://lulustream.com/d/6npq1jx6c34i https://streamtape.com/v/o9BapAr9KKiJLdd/14559380 (2026) #Hardcore #Bigass #Teen #Amateur #RIPNSFW</v>
      </c>
      <c r="B963" s="12" t="str">
        <f>New!A:A</f>
        <v>Kate Kuray - 14559380 - ripnsfw.com.jpg</v>
      </c>
      <c r="C963" s="12" t="s">
        <v>8895</v>
      </c>
      <c r="D963" s="46">
        <f>New!P:P</f>
        <v>0</v>
      </c>
    </row>
    <row r="964" spans="1:4" ht="12.75">
      <c r="A964" s="45" t="str">
        <f ca="1">New!M:M</f>
        <v>{New} Kate Kuray https://doodstream.com/d/mlifxx52zpoz/15467800 https://lulustream.com/d/rzxyqe9d7z49 https://streamtape.com/v/2VZeM3pLreHZgYM/15467800 (2026) #Bigass #Teen #Blowjob #Amateur #RIPNSFW</v>
      </c>
      <c r="B964" s="12" t="str">
        <f>New!A:A</f>
        <v>Kate Kuray - 15467800 - ripnsfw.com.jpg</v>
      </c>
      <c r="C964" s="12" t="s">
        <v>8895</v>
      </c>
      <c r="D964" s="46">
        <f>New!P:P</f>
        <v>0</v>
      </c>
    </row>
    <row r="965" spans="1:4" ht="12.75">
      <c r="A965" s="45" t="str">
        <f ca="1">New!M:M</f>
        <v>{New} Kate Kuray https://lulustream.com/d/9zttyodb0ktl https://streamtape.com/v/Ogxr3jDYRlcZv8p/17186286 https://doodstream.com/d/jrqowx65bvcv/17186286 (2026) #Bigass #Teen #Teens #Blowjob #RIPNSFW</v>
      </c>
      <c r="B965" s="12" t="str">
        <f>New!A:A</f>
        <v>Kate Kuray - 17186286 - ripnsfw.com.jpg</v>
      </c>
      <c r="C965" s="12" t="s">
        <v>8895</v>
      </c>
      <c r="D965" s="46">
        <f>New!P:P</f>
        <v>0</v>
      </c>
    </row>
    <row r="966" spans="1:4" ht="12.75">
      <c r="A966" s="45" t="str">
        <f ca="1">New!M:M</f>
        <v>{New} Kate Kuray https://doodstream.com/d/crpxp8apn1p6/17709481 https://lulustream.com/d/51lru033ipub https://streamtape.com/v/6mVe7x8W0ai92m8/17709481 (2026) #Hardcore #Bigass #Teen #Blowjob #RIPNSFW</v>
      </c>
      <c r="B966" s="12" t="str">
        <f>New!A:A</f>
        <v>Kate Kuray - 17709481 - ripnsfw.com.jpg</v>
      </c>
      <c r="C966" s="12" t="s">
        <v>8895</v>
      </c>
      <c r="D966" s="46">
        <f>New!P:P</f>
        <v>0</v>
      </c>
    </row>
    <row r="967" spans="1:4" ht="12.75">
      <c r="A967" s="45" t="str">
        <f ca="1">New!M:M</f>
        <v>{New} Kate Kuray https://lulustream.com/d/svl3dmp5ajhp https://doodstream.com/d/583bsr9bm1o9/20257771 https://streamtape.com/v/3dw94KbwQdcdkoj/20257771 (2026) #Hardcore #Bigass #Teen #Blowjob #RIPNSFW</v>
      </c>
      <c r="B967" s="12" t="str">
        <f>New!A:A</f>
        <v>Kate Kuray - 20257771 - Onlyfans.jpg</v>
      </c>
      <c r="C967" s="12" t="s">
        <v>8895</v>
      </c>
      <c r="D967" s="46">
        <f>New!P:P</f>
        <v>0</v>
      </c>
    </row>
    <row r="968" spans="1:4" ht="12.75">
      <c r="A968" s="45" t="str">
        <f ca="1">New!M:M</f>
        <v>{New} Kate Kuray https://doodstream.com/d/vkib769z68ww/24990642 https://lulustream.com/d/sht0dm1icrge https://streamtape.com/v/XP9YDLgp9PiDJJ3/24990642 (2026) #BigTits #Bigass #Teen #Teens #Amateur #RIPNSFW</v>
      </c>
      <c r="B968" s="12" t="str">
        <f>New!A:A</f>
        <v>Kate Kuray - 24990642 - ripnsfw.com.jpg</v>
      </c>
      <c r="C968" s="12" t="s">
        <v>8895</v>
      </c>
      <c r="D968" s="46">
        <f>New!P:P</f>
        <v>0</v>
      </c>
    </row>
    <row r="969" spans="1:4" ht="12.75">
      <c r="A969" s="45" t="str">
        <f ca="1">New!M:M</f>
        <v>{New} Kate Kuray https://lulustream.com/d/o0xd83ye106j https://doodstream.com/d/zrwdfgm4sgcn/25748212 https://streamtape.com/v/BzXePbOLyBUyxba/25748212 (2026) #teen #blowjob #bigass #blonde #RIPNSFW</v>
      </c>
      <c r="B969" s="12" t="str">
        <f>New!A:A</f>
        <v>Kate Kuray - 25748212 - Onlyfans.jpg</v>
      </c>
      <c r="C969" s="12" t="s">
        <v>8895</v>
      </c>
      <c r="D969" s="46">
        <f>New!P:P</f>
        <v>0</v>
      </c>
    </row>
    <row r="970" spans="1:4" ht="12.75">
      <c r="A970" s="45" t="str">
        <f ca="1">New!M:M</f>
        <v>{New} Kate Kuray https://doodstream.com/d/1sf8ufgc7g2r/27058445 https://lulustream.com/d/75pt1um24s4u https://streamtape.com/v/4m1Ap3MW28fKwQ2/27058445 (2026) #Hardcore #Bigass #Teen #Roleplay #Amateur #Blowjob #Teens #Blonde #RIPNSFW</v>
      </c>
      <c r="B970" s="12" t="str">
        <f>New!A:A</f>
        <v>Kate Kuray - 27058445 - Onlyfans.jpg</v>
      </c>
      <c r="C970" s="12" t="s">
        <v>8895</v>
      </c>
      <c r="D970" s="46">
        <f>New!P:P</f>
        <v>0</v>
      </c>
    </row>
    <row r="971" spans="1:4" ht="12.75">
      <c r="A971" s="45" t="str">
        <f ca="1">New!M:M</f>
        <v>{New} Kate Kuray https://lulustream.com/d/dauoykzezqdb https://doodstream.com/d/ihu6irp8wigs/29107362 https://streamtape.com/v/doL3z9A1LztgBm/29107362 (2026) #Hardcore #Bigass #Teen #Blowjob #RIPNSFW</v>
      </c>
      <c r="B971" s="12" t="str">
        <f>New!A:A</f>
        <v>Kate Kuray - 29107362 - Onlyfans.jpg</v>
      </c>
      <c r="C971" s="12" t="s">
        <v>8895</v>
      </c>
      <c r="D971" s="46">
        <f>New!P:P</f>
        <v>0</v>
      </c>
    </row>
    <row r="972" spans="1:4" ht="12.75">
      <c r="A972" s="45" t="str">
        <f ca="1">New!M:M</f>
        <v>{New} Kate Kuray https://lulustream.com/d/d6g5oqy9gd7l https://streamtape.com/v/OdJwDRvlRLhZPbG/30761773 https://doodstream.com/d/ghkjq7k7xze0/30761773 (2026) #Creampie #Hardcore #Teen #Artporn #RIPNSFW</v>
      </c>
      <c r="B972" s="12" t="str">
        <f>New!A:A</f>
        <v>Kate Kuray - 30761773 - Onlyfans.jpg</v>
      </c>
      <c r="C972" s="12" t="s">
        <v>8895</v>
      </c>
      <c r="D972" s="46">
        <f>New!P:P</f>
        <v>0</v>
      </c>
    </row>
    <row r="973" spans="1:4" ht="12.75">
      <c r="A973" s="45" t="str">
        <f ca="1">New!M:M</f>
        <v>{New} Kate Kuray https://doodstream.com/d/0ff4k32rebng/31200598 https://lulustream.com/d/k6krfgcbpvwq https://streamtape.com/v/LXbBOWWewOfRpey/31200598 (2026) #Bigass #Teen #Teens #Blowjob #Amateur #Deepthroat #RIPNSFW</v>
      </c>
      <c r="B973" s="12" t="str">
        <f>New!A:A</f>
        <v>Kate Kuray - 31200598 - ripnsfw.com.jpg</v>
      </c>
      <c r="C973" s="12" t="s">
        <v>8895</v>
      </c>
      <c r="D973" s="46">
        <f>New!P:P</f>
        <v>0</v>
      </c>
    </row>
    <row r="974" spans="1:4" ht="12.75">
      <c r="A974" s="45" t="str">
        <f ca="1">New!M:M</f>
        <v>{New} Kate Kuray https://streamtape.com/v/DAl4Lw2vK6Ckood/31360985 https://doodstream.com/d/7vfursytw2u9/31360985 https://lulustream.com/d/9jpcmtn2qbh5 (2026) #Bigass #Teen #Blowjob #Amateur #Blonde #RIPNSFW</v>
      </c>
      <c r="B974" s="12" t="str">
        <f>New!A:A</f>
        <v>Kate Kuray - 31360985 - ripnsfw.com.jpg</v>
      </c>
      <c r="C974" s="12" t="s">
        <v>8895</v>
      </c>
      <c r="D974" s="46">
        <f>New!P:P</f>
        <v>0</v>
      </c>
    </row>
    <row r="975" spans="1:4" ht="12.75">
      <c r="A975" s="45" t="str">
        <f ca="1">New!M:M</f>
        <v>{New} Kate Kuray https://streamtape.com/v/WqvqDyrrMJCbvW9/31548926 https://lulustream.com/d/l1wttue2rx7l https://doodstream.com/d/cas5g6ssaw3g/31548926 (2026) #Hardcore #Bigass #Teen #Blowjob #Amateur #Hotwife #Deepthroat #Blonde #Facial #RIPNSFW</v>
      </c>
      <c r="B975" s="12" t="str">
        <f>New!A:A</f>
        <v>Kate Kuray - 31548926 - ripnsfw.com.jpg</v>
      </c>
      <c r="C975" s="12" t="s">
        <v>8895</v>
      </c>
      <c r="D975" s="46">
        <f>New!P:P</f>
        <v>0</v>
      </c>
    </row>
    <row r="976" spans="1:4" ht="12.75">
      <c r="A976" s="45" t="str">
        <f ca="1">New!M:M</f>
        <v>{New} Kate Kuray https://lulustream.com/d/ck6mo086wufy https://streamtape.com/v/jkOpgQAOl0CJO3/31937039 https://doodstream.com/d/2txl1v52cxum/31937039 (2026) #Bigass #Teen #Teens #Blowjob #Amateur #RIPNSFW</v>
      </c>
      <c r="B976" s="12" t="str">
        <f>New!A:A</f>
        <v>Kate Kuray - 31937039 - Onlyfans.jpg</v>
      </c>
      <c r="C976" s="12" t="s">
        <v>8895</v>
      </c>
      <c r="D976" s="46">
        <f>New!P:P</f>
        <v>0</v>
      </c>
    </row>
    <row r="977" spans="1:4" ht="12.75">
      <c r="A977" s="45" t="str">
        <f ca="1">New!M:M</f>
        <v>{New} Kate Kuray https://streamtape.com/v/3o6pGBx27aUaBy/32292220 https://lulustream.com/d/1kb88l89a3zh https://doodstream.com/d/y4sauszeayqc/32292220 (2026) #teen #blowjob #bigass #brunette #RIPNSFW</v>
      </c>
      <c r="B977" s="12" t="str">
        <f>New!A:A</f>
        <v>Kate Kuray - 32292220 - Onlyfans.jpg</v>
      </c>
      <c r="C977" s="12" t="s">
        <v>8895</v>
      </c>
      <c r="D977" s="46">
        <f>New!P:P</f>
        <v>0</v>
      </c>
    </row>
    <row r="978" spans="1:4" ht="12.75">
      <c r="A978" s="45" t="str">
        <f ca="1">New!M:M</f>
        <v>{New} Kate Kuray https://doodstream.com/d/uqqemngqfkqx/37514322 https://lulustream.com/d/zm8w89xzu9ft https://streamtape.com/v/VBd1Vwo2LaHK7jB/37514322 (2026) #teen #blowjob #bigass #brunette #RIPNSFW</v>
      </c>
      <c r="B978" s="12" t="str">
        <f>New!A:A</f>
        <v>Kate Kuray - 37514322 - Onlyfans.jpg</v>
      </c>
      <c r="C978" s="12" t="s">
        <v>8895</v>
      </c>
      <c r="D978" s="46">
        <f>New!P:P</f>
        <v>0</v>
      </c>
    </row>
    <row r="979" spans="1:4" ht="12.75">
      <c r="A979" s="45" t="str">
        <f ca="1">New!M:M</f>
        <v>{New} Kate Kuray https://doodstream.com/d/ny9w3z15ok6d/37527639 https://lulustream.com/d/huv3v4ochw1z https://streamtape.com/v/belrdJx3RqfPeXj/37527639 (2026) #creampie #teen #blowjob #bigass #RIPNSFW</v>
      </c>
      <c r="B979" s="12" t="str">
        <f>New!A:A</f>
        <v>Kate Kuray - 37527639 - Onlyfans.jpg</v>
      </c>
      <c r="C979" s="12" t="s">
        <v>8895</v>
      </c>
      <c r="D979" s="46">
        <f>New!P:P</f>
        <v>0</v>
      </c>
    </row>
    <row r="980" spans="1:4" ht="12.75">
      <c r="A980" s="45" t="str">
        <f ca="1">New!M:M</f>
        <v>{New} Kate Kuray https://lulustream.com/d/s1ylyok9bt6p https://doodstream.com/d/6seqn0xjgz07/37661671 https://streamtape.com/v/yDq4PzzbxeI1prz/37661671 (2026) #Hardcore #Bigass #Teen #Blowjob #Amateur #Deepthroat #RIPNSFW</v>
      </c>
      <c r="B980" s="12" t="str">
        <f>New!A:A</f>
        <v>Kate Kuray - 37661671 - ripnsfw.com.jpg</v>
      </c>
      <c r="C980" s="12" t="s">
        <v>8895</v>
      </c>
      <c r="D980" s="46">
        <f>New!P:P</f>
        <v>0</v>
      </c>
    </row>
    <row r="981" spans="1:4" ht="12.75">
      <c r="A981" s="45" t="str">
        <f ca="1">New!M:M</f>
        <v>{New} Kate Kuray https://streamtape.com/v/QgpkopkByKh9D7/38454928 https://doodstream.com/d/4v6xa2anxhzx/38454928 https://lulustream.com/d/012f785ltgw8 (2026) #Anal #Creampie #Hardcore #Bigass #RIPNSFW</v>
      </c>
      <c r="B981" s="12" t="str">
        <f>New!A:A</f>
        <v>Kate Kuray - 38454928 - ripnsfw.com.jpg</v>
      </c>
      <c r="C981" s="12" t="s">
        <v>8895</v>
      </c>
      <c r="D981" s="46">
        <f>New!P:P</f>
        <v>0</v>
      </c>
    </row>
    <row r="982" spans="1:4" ht="12.75">
      <c r="A982" s="45" t="str">
        <f ca="1">New!M:M</f>
        <v>{New} Kate Kuray https://lulustream.com/d/3kgqqix912ix https://streamtape.com/v/g1olDOMYgQfqKR2/39524310 https://doodstream.com/d/rcu1gjmzfra1/39524310 (2026) #Hardcore #Bigass #Teen #Artporn #Teens #Blowjob #Amateur #Deepthroat #Blonde #RIPNSFW</v>
      </c>
      <c r="B982" s="12" t="str">
        <f>New!A:A</f>
        <v>Kate Kuray - 39524310 - Onlyfans.jpg</v>
      </c>
      <c r="C982" s="12" t="s">
        <v>8895</v>
      </c>
      <c r="D982" s="46">
        <f>New!P:P</f>
        <v>0</v>
      </c>
    </row>
    <row r="983" spans="1:4" ht="12.75">
      <c r="A983" s="45" t="str">
        <f ca="1">New!M:M</f>
        <v>{New} Kate Kuray https://streamtape.com/v/BbG22m8ea8Syorl/42296364 https://doodstream.com/d/q8ctqib73tt5/42296364 https://lulustream.com/d/9mz873tk4hgz (2026) #Creampie #Hardcore #Bigass #Teen #RIPNSFW</v>
      </c>
      <c r="B983" s="12" t="str">
        <f>New!A:A</f>
        <v>Kate Kuray - 42296364 - Onlyfans.jpg</v>
      </c>
      <c r="C983" s="12" t="s">
        <v>8895</v>
      </c>
      <c r="D983" s="46">
        <f>New!P:P</f>
        <v>0</v>
      </c>
    </row>
    <row r="984" spans="1:4" ht="12.75">
      <c r="A984" s="45" t="str">
        <f ca="1">New!M:M</f>
        <v>{New} Kate Kuray https://streamtape.com/v/2BwG1lJjvJSZv8G/44819980 https://doodstream.com/d/gwtkbduspt4s/44819980 https://lulustream.com/d/ccg18omah7o7 (2026) #Bigass #Teen #Blowjob #Amateur #Deepthroat #RIPNSFW</v>
      </c>
      <c r="B984" s="12" t="str">
        <f>New!A:A</f>
        <v>Kate Kuray - 44819980 - ripnsfw.com.jpg</v>
      </c>
      <c r="C984" s="12" t="s">
        <v>8895</v>
      </c>
      <c r="D984" s="46">
        <f>New!P:P</f>
        <v>0</v>
      </c>
    </row>
    <row r="985" spans="1:4" ht="12.75">
      <c r="A985" s="45" t="str">
        <f ca="1">New!M:M</f>
        <v>{New} Kate Kuray https://doodstream.com/d/vfqpth0ottje/48954158 https://streamtape.com/v/beD3pVvr6QfP36G/48954158 https://lulustream.com/d/eek7lvbbsczk (2026) #teen #bigass #blowjob #brunette #RIPNSFW</v>
      </c>
      <c r="B985" s="12" t="str">
        <f>New!A:A</f>
        <v>Kate Kuray - 48954158 - Onlyfans.jpg</v>
      </c>
      <c r="C985" s="12" t="s">
        <v>8895</v>
      </c>
      <c r="D985" s="46">
        <f>New!P:P</f>
        <v>0</v>
      </c>
    </row>
    <row r="986" spans="1:4" ht="12.75">
      <c r="A986" s="45" t="str">
        <f ca="1">New!M:M</f>
        <v>{New} Kate Kuray https://lulustream.com/d/jkmwf0a9xd1q https://streamtape.com/v/080pPGJWQwsbblV/49501513 https://doodstream.com/d/yse1n5sx58jl/49501513 (2026) #BigTits #Bigass #Teen #Artporn #Blowjob #Teens #RIPNSFW</v>
      </c>
      <c r="B986" s="12" t="str">
        <f>New!A:A</f>
        <v>Kate Kuray - 49501513 - Onlyfans.jpg</v>
      </c>
      <c r="C986" s="12" t="s">
        <v>8895</v>
      </c>
      <c r="D986" s="46">
        <f>New!P:P</f>
        <v>0</v>
      </c>
    </row>
    <row r="987" spans="1:4" ht="12.75">
      <c r="A987" s="45" t="str">
        <f ca="1">New!M:M</f>
        <v>{New} Kate Kuray https://streamtape.com/v/61GBwXDO4zi9wWZ/50681885 https://doodstream.com/d/tfnbhzzsv4ef/50681885 https://lulustream.com/d/yn9yteacmj55 (2026) #BigTits #Bigass #Teen #Teens #Blowjob #Amateur #Deepthroat #RIPNSFW</v>
      </c>
      <c r="B987" s="12" t="str">
        <f>New!A:A</f>
        <v>Kate Kuray - 50681885 - Onlyfans.jpg</v>
      </c>
      <c r="C987" s="12" t="s">
        <v>8895</v>
      </c>
      <c r="D987" s="46">
        <f>New!P:P</f>
        <v>0</v>
      </c>
    </row>
    <row r="988" spans="1:4" ht="12.75">
      <c r="A988" s="45" t="str">
        <f ca="1">New!M:M</f>
        <v>{New} Kate Kuray https://doodstream.com/d/yjdqytl18s0m/52712442 https://streamtape.com/v/LDq0oyabWQcb1o/52712442 https://lulustream.com/d/nm5t9u4e5k4u (2026) #Bigass #Teen #Blowjob #Amateur #Hotwife #Deepthroat #Blonde #Facial #RIPNSFW</v>
      </c>
      <c r="B988" s="12" t="str">
        <f>New!A:A</f>
        <v>Kate Kuray - 52712442 - ripnsfw.com.jpg</v>
      </c>
      <c r="C988" s="12" t="s">
        <v>8895</v>
      </c>
      <c r="D988" s="46">
        <f>New!P:P</f>
        <v>0</v>
      </c>
    </row>
    <row r="989" spans="1:4" ht="12.75">
      <c r="A989" s="45" t="str">
        <f ca="1">New!M:M</f>
        <v>{New} Kate Kuray https://lulustream.com/d/i14oywiuftip https://doodstream.com/d/pq6iadvmq55w/52743841 https://streamtape.com/v/koo7y9ZbxDseq2/52743841 (2026) #Bigass #Teen #Blowjob #Amateur #RIPNSFW</v>
      </c>
      <c r="B989" s="12" t="str">
        <f>New!A:A</f>
        <v>Kate Kuray - 52743841 - ripnsfw.com.jpg</v>
      </c>
      <c r="C989" s="12" t="s">
        <v>8895</v>
      </c>
      <c r="D989" s="46">
        <f>New!P:P</f>
        <v>0</v>
      </c>
    </row>
    <row r="990" spans="1:4" ht="12.75">
      <c r="A990" s="45" t="str">
        <f ca="1">New!M:M</f>
        <v>{New} Kate Kuray https://doodstream.com/d/joi07753kyaw/53810882 https://lulustream.com/d/wjfar0371rx3 https://streamtape.com/v/9vDALWMD37HawL9/53810882 (2026) #Hardcore #Bigass #Teen #Artporn #Blowjob #Amateur #RIPNSFW</v>
      </c>
      <c r="B990" s="12" t="str">
        <f>New!A:A</f>
        <v>Kate Kuray - 53810882 - Onlyfans.jpg</v>
      </c>
      <c r="C990" s="12" t="s">
        <v>8895</v>
      </c>
      <c r="D990" s="46">
        <f>New!P:P</f>
        <v>0</v>
      </c>
    </row>
    <row r="991" spans="1:4" ht="12.75">
      <c r="A991" s="45" t="str">
        <f ca="1">New!M:M</f>
        <v>{New} Kate Kuray https://doodstream.com/d/62gdphooydhl/57812832 https://lulustream.com/d/rtgpiczlyk3z https://streamtape.com/v/JAMadBWPplcrpx/57812832 (2026) #teen #blowjob #bigass #brunette #RIPNSFW</v>
      </c>
      <c r="B991" s="12" t="str">
        <f>New!A:A</f>
        <v>Kate Kuray - 57812832 - Onlyfans.jpg</v>
      </c>
      <c r="C991" s="12" t="s">
        <v>8895</v>
      </c>
      <c r="D991" s="46">
        <f>New!P:P</f>
        <v>0</v>
      </c>
    </row>
    <row r="992" spans="1:4" ht="12.75">
      <c r="A992" s="45" t="str">
        <f ca="1">New!M:M</f>
        <v>{New} Kate Kuray https://lulustream.com/d/1d2yo27asb4o https://streamtape.com/v/XxwLKYMDdaTDQ0q/58954014 https://doodstream.com/d/z4wt62z2vw72/58954014 (2026) #Hardcore #Bigass #Teen #Blowjob #RIPNSFW</v>
      </c>
      <c r="B992" s="12" t="str">
        <f>New!A:A</f>
        <v>Kate Kuray - 58954014 - Onlyfans.jpg</v>
      </c>
      <c r="C992" s="12" t="s">
        <v>8895</v>
      </c>
      <c r="D992" s="46">
        <f>New!P:P</f>
        <v>0</v>
      </c>
    </row>
    <row r="993" spans="1:4" ht="12.75">
      <c r="A993" s="45" t="str">
        <f ca="1">New!M:M</f>
        <v>{New} Kate Kuray https://streamtape.com/v/bZaBlyJ6qxhPPAe/59471136 https://lulustream.com/d/lxpa3wy489e3 https://doodstream.com/d/npw93us0ki9g/59471136 (2026) #Teen #Blowjob #Amateur #Blonde #Facial #RIPNSFW</v>
      </c>
      <c r="B993" s="12" t="str">
        <f>New!A:A</f>
        <v>Kate Kuray - 59471136 - Onlyfans.jpg</v>
      </c>
      <c r="C993" s="12" t="s">
        <v>8895</v>
      </c>
      <c r="D993" s="46">
        <f>New!P:P</f>
        <v>0</v>
      </c>
    </row>
    <row r="994" spans="1:4" ht="12.75">
      <c r="A994" s="45" t="str">
        <f ca="1">New!M:M</f>
        <v>{New} Kate Kuray https://doodstream.com/d/vvcptqf88skx/60539133 https://streamtape.com/v/xPJg9mL01qfDJ1/60539133 https://lulustream.com/d/3gcc5t09s2em (2026) #teen #blowjob #bigass #brunette #RIPNSFW</v>
      </c>
      <c r="B994" s="12" t="str">
        <f>New!A:A</f>
        <v>Kate Kuray - 60539133 - Onlyfans.jpg</v>
      </c>
      <c r="C994" s="12" t="s">
        <v>8895</v>
      </c>
      <c r="D994" s="46">
        <f>New!P:P</f>
        <v>0</v>
      </c>
    </row>
    <row r="995" spans="1:4" ht="12.75">
      <c r="A995" s="45" t="str">
        <f ca="1">New!M:M</f>
        <v>{New} Kate Kuray https://lulustream.com/d/vp926m8xgb5o https://streamtape.com/v/dP6YYvydp9UkWJp/61565501 https://doodstream.com/d/i9jbsk4pz1w1/61565501 (2026) #bigass #teen #blowjob #amateur #RIPNSFW</v>
      </c>
      <c r="B995" s="12" t="str">
        <f>New!A:A</f>
        <v>Kate Kuray - 61565501 - Onlyfans.jpg</v>
      </c>
      <c r="C995" s="12" t="s">
        <v>8895</v>
      </c>
      <c r="D995" s="46">
        <f>New!P:P</f>
        <v>0</v>
      </c>
    </row>
    <row r="996" spans="1:4" ht="12.75">
      <c r="A996" s="45" t="str">
        <f ca="1">New!M:M</f>
        <v>{New} Kate Kuray https://lulustream.com/d/qm7pr27sptut https://streamtape.com/v/WX3aDWVVAdibDzP/62037694 https://doodstream.com/d/kta6y0tag77h/62037694 (2026) #teen #bigass #blowjob #facial #RIPNSFW</v>
      </c>
      <c r="B996" s="12" t="str">
        <f>New!A:A</f>
        <v>Kate Kuray - 62037694 - Onlyfans.jpg</v>
      </c>
      <c r="C996" s="12" t="s">
        <v>8895</v>
      </c>
      <c r="D996" s="46">
        <f>New!P:P</f>
        <v>0</v>
      </c>
    </row>
    <row r="997" spans="1:4" ht="12.75">
      <c r="A997" s="45" t="str">
        <f ca="1">New!M:M</f>
        <v>{New} Kate Kuray https://doodstream.com/d/9tqgizbw027n/62851207 https://streamtape.com/v/Yew13xea0Jsvlql/62851207 https://lulustream.com/d/jqlxs3swdrte (2026) #Anal #Hardcore #Bigass #Teen #Blowjob #Amateur #Deepthroat #RIPNSFW</v>
      </c>
      <c r="B997" s="12" t="str">
        <f>New!A:A</f>
        <v>Kate Kuray - 62851207 - ripnsfw.com.jpg</v>
      </c>
      <c r="C997" s="12" t="s">
        <v>8895</v>
      </c>
      <c r="D997" s="46">
        <f>New!P:P</f>
        <v>0</v>
      </c>
    </row>
    <row r="998" spans="1:4" ht="12.75">
      <c r="A998" s="45" t="str">
        <f ca="1">New!M:M</f>
        <v>{New} Kate Kuray https://doodstream.com/d/dv4u05xaf4ky/63865212 https://streamtape.com/v/P3YwqdGJ8PT07gZ/63865212 https://lulustream.com/d/239zrm70b2sx (2026) #Bigass #Teen #Blowjob #Amateur #Blonde #RIPNSFW</v>
      </c>
      <c r="B998" s="12" t="str">
        <f>New!A:A</f>
        <v>Kate Kuray - 63865212 - ripnsfw.com.jpg</v>
      </c>
      <c r="C998" s="12" t="s">
        <v>8895</v>
      </c>
      <c r="D998" s="46">
        <f>New!P:P</f>
        <v>0</v>
      </c>
    </row>
    <row r="999" spans="1:4" ht="12.75">
      <c r="A999" s="45" t="str">
        <f ca="1">New!M:M</f>
        <v>{New} Kate Kuray https://lulustream.com/d/uicl5f3k5co3 https://streamtape.com/v/xg9PxgkZLoikdaz/65130339 https://doodstream.com/d/ku2l088wjx3w/65130339 (2026) #BigTits #Creampie #Hardcore #Bigass #Teen #Blowjob #Amateur #Deepthroat #Blonde #RIPNSFW</v>
      </c>
      <c r="B999" s="12" t="str">
        <f>New!A:A</f>
        <v>Kate Kuray - 65130339 - ripnsfw.com.jpg</v>
      </c>
      <c r="C999" s="12" t="s">
        <v>8895</v>
      </c>
      <c r="D999" s="46">
        <f>New!P:P</f>
        <v>0</v>
      </c>
    </row>
    <row r="1000" spans="1:4" ht="12.75">
      <c r="A1000" s="45" t="str">
        <f ca="1">New!M:M</f>
        <v>{New} Kate Kuray https://streamtape.com/v/XYBwAY4k92TDDr1/65746870 https://doodstream.com/d/80lxo8o7dxph/65746870 https://lulustream.com/d/d7ybpi4cc3im (2026) #teen #bigass #blowjob #brunette #RIPNSFW</v>
      </c>
      <c r="B1000" s="12" t="str">
        <f>New!A:A</f>
        <v>Kate Kuray - 65746870 - Onlyfans.jpg</v>
      </c>
      <c r="C1000" s="12" t="s">
        <v>8895</v>
      </c>
      <c r="D1000" s="46">
        <f>New!P:P</f>
        <v>0</v>
      </c>
    </row>
    <row r="1001" spans="1:4" ht="12.75">
      <c r="A1001" s="45" t="str">
        <f ca="1">New!M:M</f>
        <v>{New} Kate Kuray https://lulustream.com/d/2pgmq1nws0fl https://streamtape.com/v/WeVomeamBdUbb2e/65754293 https://doodstream.com/d/u7qt41csbwnd/65754293 (2026) #Bigass #Teen #Artporn #Blowjob #Amateur #RIPNSFW</v>
      </c>
      <c r="B1001" s="12" t="str">
        <f>New!A:A</f>
        <v>Kate Kuray - 65754293 - ripnsfw.com.jpg</v>
      </c>
      <c r="C1001" s="12" t="s">
        <v>8895</v>
      </c>
      <c r="D1001" s="46">
        <f>New!P:P</f>
        <v>0</v>
      </c>
    </row>
    <row r="1002" spans="1:4" ht="12.75">
      <c r="A1002" s="45" t="str">
        <f ca="1">New!M:M</f>
        <v>{New} Kate Kuray https://doodstream.com/d/o0vn7d8r4bhs/68895176 https://streamtape.com/v/6Kj13P41qOS92vD/68895176 https://lulustream.com/d/evgh1gvv9k89 (2026) #BigTits #Creampie #Hardcore #Teen #Blowjob #Amateur #RIPNSFW</v>
      </c>
      <c r="B1002" s="12" t="str">
        <f>New!A:A</f>
        <v>Kate Kuray - 68895176 - Onlyfans.jpg</v>
      </c>
      <c r="C1002" s="12" t="s">
        <v>8895</v>
      </c>
      <c r="D1002" s="46">
        <f>New!P:P</f>
        <v>0</v>
      </c>
    </row>
    <row r="1003" spans="1:4" ht="12.75">
      <c r="A1003" s="45" t="str">
        <f ca="1">New!M:M</f>
        <v>{New} Kate Kuray https://streamtape.com/v/RAdD3qOe7Kcdb43/69887722 https://doodstream.com/d/kl4zfgh5lnmc/69887722 https://lulustream.com/d/2mb6tll4ahe3 (2026) #teen #blowjob #brunette #bigass #RIPNSFW</v>
      </c>
      <c r="B1003" s="12" t="str">
        <f>New!A:A</f>
        <v>Kate Kuray - 69887722 - Onlyfans.jpg</v>
      </c>
      <c r="C1003" s="12" t="s">
        <v>8895</v>
      </c>
      <c r="D1003" s="46">
        <f>New!P:P</f>
        <v>0</v>
      </c>
    </row>
    <row r="1004" spans="1:4" ht="12.75">
      <c r="A1004" s="45" t="str">
        <f ca="1">New!M:M</f>
        <v>{New} Kate Kuray https://lulustream.com/d/sdofevtmn6b2 https://streamtape.com/v/XyKxgDKBZqFWJ7/70244559 https://doodstream.com/d/0y35tj1piir8/70244559 (2026) #Hardcore #Bigass #Teen #Blowjob #Roleplay #Amateur #Hotwife #RIPNSFW</v>
      </c>
      <c r="B1004" s="12" t="str">
        <f>New!A:A</f>
        <v>Kate Kuray - 70244559 - ripnsfw.com.jpg</v>
      </c>
      <c r="C1004" s="12" t="s">
        <v>8895</v>
      </c>
      <c r="D1004" s="46">
        <f>New!P:P</f>
        <v>0</v>
      </c>
    </row>
    <row r="1005" spans="1:4" ht="12.75">
      <c r="A1005" s="45" t="str">
        <f ca="1">New!M:M</f>
        <v>{New} Kate Kuray https://doodstream.com/d/g9fvxqcvlgc6/73815915 https://lulustream.com/d/81qc1mmqaawx https://streamtape.com/v/QezAxzo3vDH07X3/73815915 (2026) #teen #blowjob #bigass #amateur #RIPNSFW</v>
      </c>
      <c r="B1005" s="12" t="str">
        <f>New!A:A</f>
        <v>Kate Kuray - 73815915 - Onlyfans.jpg</v>
      </c>
      <c r="C1005" s="12" t="s">
        <v>8895</v>
      </c>
      <c r="D1005" s="46">
        <f>New!P:P</f>
        <v>0</v>
      </c>
    </row>
    <row r="1006" spans="1:4" ht="12.75">
      <c r="A1006" s="45" t="str">
        <f ca="1">New!M:M</f>
        <v>{New} Kate Kuray https://lulustream.com/d/etpcv5maze6h https://doodstream.com/d/dyn8fiyzwead/74101637 https://streamtape.com/v/LOYVz3kXKBS6j4/74101637 (2026) #Hardcore #Bigass #Teen #Blowjob #RIPNSFW</v>
      </c>
      <c r="B1006" s="12" t="str">
        <f>New!A:A</f>
        <v>Kate Kuray - 74101637 - Onlyfans.jpg</v>
      </c>
      <c r="C1006" s="12" t="s">
        <v>8895</v>
      </c>
      <c r="D1006" s="46">
        <f>New!P:P</f>
        <v>0</v>
      </c>
    </row>
    <row r="1007" spans="1:4" ht="12.75">
      <c r="A1007" s="45" t="str">
        <f ca="1">New!M:M</f>
        <v>{New} Kate Kuray https://doodstream.com/d/1g78j3vkijdh/75592039 https://lulustream.com/d/fn3tpgeo9abf https://streamtape.com/v/mPQAprJKXDcbxob/75592039 (2026) #anal #teen #bigass #blowjob #RIPNSFW</v>
      </c>
      <c r="B1007" s="12" t="str">
        <f>New!A:A</f>
        <v>Kate Kuray - 75592039 - Onlyfans.jpg</v>
      </c>
      <c r="C1007" s="12" t="s">
        <v>8895</v>
      </c>
      <c r="D1007" s="46">
        <f>New!P:P</f>
        <v>0</v>
      </c>
    </row>
    <row r="1008" spans="1:4" ht="12.75">
      <c r="A1008" s="45" t="str">
        <f ca="1">New!M:M</f>
        <v>{New} Kate Kuray https://lulustream.com/d/htdcwcgkudox https://doodstream.com/d/cfmun7f7iuec/76061384 https://streamtape.com/v/k2gaY8BwKLsOKXz/76061384 (2026) #Anal #Bigass #Teen #Blowjob #RIPNSFW</v>
      </c>
      <c r="B1008" s="12" t="str">
        <f>New!A:A</f>
        <v>Kate Kuray - 76061384 - Onlyfans.jpg</v>
      </c>
      <c r="C1008" s="12" t="s">
        <v>8895</v>
      </c>
      <c r="D1008" s="46">
        <f>New!P:P</f>
        <v>0</v>
      </c>
    </row>
    <row r="1009" spans="1:4" ht="12.75">
      <c r="A1009" s="45" t="str">
        <f ca="1">New!M:M</f>
        <v>{New} Kate Kuray https://lulustream.com/d/18vu7f8fgp9e https://doodstream.com/d/rax86kyr80dw/76518279 https://streamtape.com/v/GKOKGl6rJ4cA73/76518279 (2026) #teen #bigass #blowjob #blonde #RIPNSFW</v>
      </c>
      <c r="B1009" s="12" t="str">
        <f>New!A:A</f>
        <v>Kate Kuray - 76518279 - Onlyfans.jpg</v>
      </c>
      <c r="C1009" s="12" t="s">
        <v>8895</v>
      </c>
      <c r="D1009" s="46">
        <f>New!P:P</f>
        <v>0</v>
      </c>
    </row>
    <row r="1010" spans="1:4" ht="12.75">
      <c r="A1010" s="45" t="str">
        <f ca="1">New!M:M</f>
        <v>{New} Kate Kuray https://doodstream.com/d/fxgxn989a6p1/78248963 https://lulustream.com/d/mc49w6laxdfc https://streamtape.com/v/QgklOrdApWS923/78248963 (2026) #Hardcore #Bigass #Artporn #Teen #Blowjob #Amateur #Blonde #RIPNSFW</v>
      </c>
      <c r="B1010" s="12" t="str">
        <f>New!A:A</f>
        <v>Kate Kuray - 78248963 - Onlyfans.jpg</v>
      </c>
      <c r="C1010" s="12" t="s">
        <v>8895</v>
      </c>
      <c r="D1010" s="46">
        <f>New!P:P</f>
        <v>0</v>
      </c>
    </row>
    <row r="1011" spans="1:4" ht="12.75">
      <c r="A1011" s="45" t="str">
        <f ca="1">New!M:M</f>
        <v>{New} Kate Kuray https://streamtape.com/v/GkMzYaabbwF1pZL/78384396 https://doodstream.com/d/p18kcup3yc7t/78384396 https://lulustream.com/d/nouxuapd245u (2026) #BigTits #Hardcore #Bigass #Teen #Roleplay #RIPNSFW</v>
      </c>
      <c r="B1011" s="12" t="str">
        <f>New!A:A</f>
        <v>Kate Kuray - 78384396 - ripnsfw.com.jpg</v>
      </c>
      <c r="C1011" s="12" t="s">
        <v>8895</v>
      </c>
      <c r="D1011" s="46">
        <f>New!P:P</f>
        <v>0</v>
      </c>
    </row>
    <row r="1012" spans="1:4" ht="12.75">
      <c r="A1012" s="45" t="str">
        <f ca="1">New!M:M</f>
        <v>{New} Kate Kuray https://lulustream.com/d/3spfqyycu49k https://doodstream.com/d/23qmpr28qqld/78674480 https://streamtape.com/v/1qd4BQgDJ6ueKol/78674480 (2026) #teen #bigass #blowjob #amateur #RIPNSFW</v>
      </c>
      <c r="B1012" s="12" t="str">
        <f>New!A:A</f>
        <v>Kate Kuray - 78674480 - Onlyfans.jpg</v>
      </c>
      <c r="C1012" s="12" t="s">
        <v>8895</v>
      </c>
      <c r="D1012" s="46">
        <f>New!P:P</f>
        <v>0</v>
      </c>
    </row>
    <row r="1013" spans="1:4" ht="12.75">
      <c r="A1013" s="45" t="str">
        <f ca="1">New!M:M</f>
        <v>{New} Kate Kuray https://doodstream.com/d/m5quzl81i0gf/81849938 https://lulustream.com/d/scq8bf4u40w9 https://streamtape.com/v/Zo6b1y4YlWhqlAZ/81849938 (2026) #Bigass #Teen #Teens #Blowjob #Amateur #Deepthroat #Blonde #RIPNSFW</v>
      </c>
      <c r="B1013" s="12" t="str">
        <f>New!A:A</f>
        <v>Kate Kuray - 81849938 - ripnsfw.com.jpg</v>
      </c>
      <c r="C1013" s="12" t="s">
        <v>8895</v>
      </c>
      <c r="D1013" s="46">
        <f>New!P:P</f>
        <v>0</v>
      </c>
    </row>
    <row r="1014" spans="1:4" ht="12.75">
      <c r="A1014" s="45" t="str">
        <f ca="1">New!M:M</f>
        <v>{New} Kate Kuray https://doodstream.com/d/hnbrjdq1bjhm/84468850 https://lulustream.com/d/7iiirq7x1mov https://streamtape.com/v/xPlgyvVDZ0Fl0X/84468850 (2026) #Hardcore #Bigass #Teen #Blowjob #RIPNSFW</v>
      </c>
      <c r="B1014" s="12" t="str">
        <f>New!A:A</f>
        <v>Kate Kuray - 84468850 -  Onlyfans.jpg</v>
      </c>
      <c r="C1014" s="12" t="s">
        <v>8895</v>
      </c>
      <c r="D1014" s="46">
        <f>New!P:P</f>
        <v>0</v>
      </c>
    </row>
    <row r="1015" spans="1:4" ht="12.75">
      <c r="A1015" s="45" t="str">
        <f ca="1">New!M:M</f>
        <v>{New} Kate Kuray https://lulustream.com/d/kvhj3yb9w8rd https://doodstream.com/d/gwbf93wj9vwe/87376874 https://streamtape.com/v/glQv4em9odcYRo/87376874 (2026) #teen #blowjob #bigass #amateur #RIPNSFW</v>
      </c>
      <c r="B1015" s="12" t="str">
        <f>New!A:A</f>
        <v>Kate Kuray - 87376874 - Onlyfans.jpg</v>
      </c>
      <c r="C1015" s="12" t="s">
        <v>8895</v>
      </c>
      <c r="D1015" s="46">
        <f>New!P:P</f>
        <v>0</v>
      </c>
    </row>
    <row r="1016" spans="1:4" ht="12.75">
      <c r="A1016" s="45" t="str">
        <f ca="1">New!M:M</f>
        <v>{New} Kate Kuray https://doodstream.com/d/1yrqvk7dyu5k/88073470 https://streamtape.com/v/aYXmgDzw3muQKZ/88073470 https://lulustream.com/d/btlpe1dpfwce (2026) #teen #blowjob #bigass #blonde #RIPNSFW</v>
      </c>
      <c r="B1016" s="12" t="str">
        <f>New!A:A</f>
        <v>Kate Kuray - 88073470 - Onlyfans.jpg</v>
      </c>
      <c r="C1016" s="12" t="s">
        <v>8895</v>
      </c>
      <c r="D1016" s="46">
        <f>New!P:P</f>
        <v>0</v>
      </c>
    </row>
    <row r="1017" spans="1:4" ht="12.75">
      <c r="A1017" s="45" t="str">
        <f ca="1">New!M:M</f>
        <v>{New} Kate Kuray https://lulustream.com/d/c2i4aoi3mp0y https://doodstream.com/d/rxzqcrp5h9db/88789994 https://streamtape.com/v/4djQM6GXmRiK6rq/88789994 (2026) #Hardcore #Bigass #Teen #Blowjob #Amateur #RIPNSFW</v>
      </c>
      <c r="B1017" s="12" t="str">
        <f>New!A:A</f>
        <v>Kate Kuray - 88789994 - Onlyfans.jpg</v>
      </c>
      <c r="C1017" s="12" t="s">
        <v>8895</v>
      </c>
      <c r="D1017" s="46">
        <f>New!P:P</f>
        <v>0</v>
      </c>
    </row>
    <row r="1018" spans="1:4" ht="12.75">
      <c r="A1018" s="45" t="str">
        <f ca="1">New!M:M</f>
        <v>{New} Kate Kuray https://lulustream.com/d/s0hnwcypp26r https://doodstream.com/d/8xt7fx21vfrt/89667345 https://streamtape.com/v/aPMbQQR7ZlsbOz/89667345 (2026) #Hardcore #Bigass #Teen #Roleplay #Blowjob #Amateur #RIPNSFW</v>
      </c>
      <c r="B1018" s="12" t="str">
        <f>New!A:A</f>
        <v>Kate Kuray - 89667345 - ripnsfw.com.jpg</v>
      </c>
      <c r="C1018" s="12" t="s">
        <v>8895</v>
      </c>
      <c r="D1018" s="46">
        <f>New!P:P</f>
        <v>0</v>
      </c>
    </row>
    <row r="1019" spans="1:4" ht="12.75">
      <c r="A1019" s="45" t="str">
        <f ca="1">New!M:M</f>
        <v>{New} Kate Kuray https://streamtape.com/v/OdJWZqpoPauZQxp/90036586 https://doodstream.com/d/jlzlffhnc1wq/90036586 https://lulustream.com/d/qkhw9rvh37gw (2026) #Bigass #Teen #Blowjob #Amateur #Deepthroat #Blonde #Facial #RIPNSFW</v>
      </c>
      <c r="B1019" s="12" t="str">
        <f>New!A:A</f>
        <v>Kate Kuray - 90036586 - Onlyfans.jpg</v>
      </c>
      <c r="C1019" s="12" t="s">
        <v>8895</v>
      </c>
      <c r="D1019" s="46">
        <f>New!P:P</f>
        <v>0</v>
      </c>
    </row>
    <row r="1020" spans="1:4" ht="12.75">
      <c r="A1020" s="45" t="str">
        <f ca="1">New!M:M</f>
        <v>{New} Kate Kuray https://streamtape.com/v/7Dyjw3pa9ziA3KX/91405663 https://lulustream.com/d/mwl7epohtihq https://doodstream.com/d/sqbbdfkp2xhj/91405663 (2026) #Hardcore #Bigass #Teen #Blowjob #Amateur #RIPNSFW</v>
      </c>
      <c r="B1020" s="12" t="str">
        <f>New!A:A</f>
        <v>Kate Kuray - 91405663 - Onlyfans.jpg</v>
      </c>
      <c r="C1020" s="12" t="s">
        <v>8895</v>
      </c>
      <c r="D1020" s="46">
        <f>New!P:P</f>
        <v>0</v>
      </c>
    </row>
    <row r="1021" spans="1:4" ht="12.75">
      <c r="A1021" s="45" t="str">
        <f ca="1">New!M:M</f>
        <v>{New} Kate Kuray https://lulustream.com/d/h2ukvzlf9rc8 https://streamtape.com/v/3dMx6vRPJ3s6DP/94016805 https://doodstream.com/d/mltj2zet8kpk/94016805 (2026) #blowjob #teen #bigass #brunette #RIPNSFW</v>
      </c>
      <c r="B1021" s="12" t="str">
        <f>New!A:A</f>
        <v>Kate Kuray - 94016805 - Onlyfans.jpg</v>
      </c>
      <c r="C1021" s="12" t="s">
        <v>8895</v>
      </c>
      <c r="D1021" s="46">
        <f>New!P:P</f>
        <v>0</v>
      </c>
    </row>
    <row r="1022" spans="1:4" ht="12.75">
      <c r="A1022" s="45" t="str">
        <f ca="1">New!M:M</f>
        <v>{New} Kate Kuray https://lulustream.com/d/a0jde5pn0h4t https://streamtape.com/v/KWJxV1D2VjU01L7/95200301 https://doodstream.com/d/addn1wj4jhju/95200301 (2026) #Hardcore #Bigass #Teen #Blowjob #Amateur #Deepthroat #Blonde #Facial #RIPNSFW</v>
      </c>
      <c r="B1022" s="12" t="str">
        <f>New!A:A</f>
        <v>Kate Kuray - 95200301 - ripnsfw.com.jpg</v>
      </c>
      <c r="C1022" s="12" t="s">
        <v>8895</v>
      </c>
      <c r="D1022" s="46">
        <f>New!P:P</f>
        <v>0</v>
      </c>
    </row>
    <row r="1023" spans="1:4" ht="12.75">
      <c r="A1023" s="45" t="str">
        <f ca="1">New!M:M</f>
        <v>{New} Kate Kuray https://doodstream.com/d/t19ffz012si8/95934097 https://lulustream.com/d/iili9x6podqj https://streamtape.com/v/0W62ZBO6YKhbo6k/95934097 (2026) #Hardcore #Bigass #Teen #Artporn #RIPNSFW</v>
      </c>
      <c r="B1023" s="12" t="str">
        <f>New!A:A</f>
        <v>Kate Kuray - 95934097 - Onlyfans.jpg</v>
      </c>
      <c r="C1023" s="12" t="s">
        <v>8895</v>
      </c>
      <c r="D1023" s="46">
        <f>New!P:P</f>
        <v>0</v>
      </c>
    </row>
    <row r="1024" spans="1:4" ht="12.75">
      <c r="A1024" s="45" t="str">
        <f ca="1">New!M:M</f>
        <v>{New} Kate Kuray https://doodstream.com/d/f34g9pdivafz/99654390 https://streamtape.com/v/wG9aADBM8OsJXmX/99654390 https://lulustream.com/d/5oeyvjzn7yty (2026) #Hardcore #Bigass #Teen #Roleplay #Teens #RIPNSFW</v>
      </c>
      <c r="B1024" s="12" t="str">
        <f>New!A:A</f>
        <v>Kate Kuray - 99654390 - ripnsfw.com.jpg</v>
      </c>
      <c r="C1024" s="12" t="s">
        <v>8895</v>
      </c>
      <c r="D1024" s="46">
        <f>New!P:P</f>
        <v>0</v>
      </c>
    </row>
    <row r="1025" spans="1:4" ht="12.75">
      <c r="A1025" s="45" t="str">
        <f ca="1">New!M:M</f>
        <v>{New} Kate Kuray https://lulustream.com/d/xf1qypln5o9m https://doodstream.com/d/wumiq9uo45p1/99849017 https://streamtape.com/v/ggXjZBQvmmiqKPL/99849017 (2026) #BigTits #Hardcore #Bigass #Teen #Teens #Blowjob #Amateur #RIPNSFW</v>
      </c>
      <c r="B1025" s="12" t="str">
        <f>New!A:A</f>
        <v>Kate Kuray - 99849017 - Onlyfans.jpg</v>
      </c>
      <c r="C1025" s="12" t="s">
        <v>8895</v>
      </c>
      <c r="D1025" s="46">
        <f>New!P:P</f>
        <v>0</v>
      </c>
    </row>
    <row r="1026" spans="1:4" ht="12.75">
      <c r="A1026" s="45" t="str">
        <f ca="1">New!M:M</f>
        <v>{New} Katerina https://lulustream.com/d/l7l7fmb4lc38 https://doodstream.com/d/63ekfaec6835/58905159 https://streamtape.com/v/4PprXjX0VviVWL/58905159 (2026) #teen #bigtits #anal #casting #RIPNSFW</v>
      </c>
      <c r="B1026" s="12" t="str">
        <f>New!A:A</f>
        <v>Katerina - 58905159 - BackroomCastingCouch.jpg</v>
      </c>
      <c r="C1026" s="12" t="s">
        <v>8895</v>
      </c>
      <c r="D1026" s="46">
        <f>New!P:P</f>
        <v>0</v>
      </c>
    </row>
    <row r="1027" spans="1:4" ht="12.75">
      <c r="A1027" s="45" t="str">
        <f ca="1">New!M:M</f>
        <v>{New} Katie https://lulustream.com/d/mu2h1vhtr4by https://streamtape.com/v/olveAvd1mPsJ6qX/32786172 https://doodstream.com/d/oo4zzxu70bd0/32786172 (2026) #Anal #BigTits #Creampie #Hardcore #Bigass #Porn #RIPNSFW</v>
      </c>
      <c r="B1027" s="12" t="str">
        <f>New!A:A</f>
        <v>Katie - 32786172 - ripnsfw.com.jpg</v>
      </c>
      <c r="C1027" s="12" t="s">
        <v>8895</v>
      </c>
      <c r="D1027" s="46">
        <f>New!P:P</f>
        <v>0</v>
      </c>
    </row>
    <row r="1028" spans="1:4" ht="12.75">
      <c r="A1028" s="45" t="str">
        <f ca="1">New!M:M</f>
        <v>{New} Katie Karr https://streamtape.com/v/wxVbew74vetJrL1/62455009 https://lulustream.com/d/rqryazwahpgf https://doodstream.com/d/aqeiv8cr6f8t/62455009 (2026) #Creampie #Hardcore #Teen #Blowjob #Amateur #Deepthroat #Blonde #RIPNSFW</v>
      </c>
      <c r="B1028" s="12" t="str">
        <f>New!A:A</f>
        <v>Katie Karr - 62455009 - ripnsfw.com.jpg</v>
      </c>
      <c r="C1028" s="12" t="s">
        <v>8895</v>
      </c>
      <c r="D1028" s="46">
        <f>New!P:P</f>
        <v>0</v>
      </c>
    </row>
    <row r="1029" spans="1:4" ht="12.75">
      <c r="A1029" s="45" t="str">
        <f ca="1">New!M:M</f>
        <v>{New} Kayley Gunner https://streamtape.com/v/jWrOr4RaKqczWjB/14062820 https://doodstream.com/d/krwb52iya7mc/14062820 https://lulustream.com/d/22cn60rlb3mc (2026) #MILF #BigTits #Hardcore #Black #RIPNSFW</v>
      </c>
      <c r="B1029" s="12" t="str">
        <f>New!A:A</f>
        <v>Kayley Gunner - 14062820 - Onlyfans.jpg</v>
      </c>
      <c r="C1029" s="12" t="s">
        <v>8895</v>
      </c>
      <c r="D1029" s="46">
        <f>New!P:P</f>
        <v>0</v>
      </c>
    </row>
    <row r="1030" spans="1:4" ht="12.75">
      <c r="A1030" s="45" t="str">
        <f ca="1">New!M:M</f>
        <v>{New} Kayley Gunner https://streamtape.com/v/9q0r97JWVwHae7r/25869219 https://lulustream.com/d/xtbur4l4jnrf https://doodstream.com/d/696aj6oi8uzb/25869219 The Official Egypt (2026) #threesome #interracial #bigass #bigtits #RIPNSFW</v>
      </c>
      <c r="B1030" s="12" t="str">
        <f>New!A:A</f>
        <v>Kayley Gunner - 25869219 - XVRED - The Official Egypt.jpg</v>
      </c>
      <c r="C1030" s="12" t="s">
        <v>8895</v>
      </c>
      <c r="D1030" s="46">
        <f>New!P:P</f>
        <v>0</v>
      </c>
    </row>
    <row r="1031" spans="1:4" ht="12.75">
      <c r="A1031" s="45" t="str">
        <f ca="1">New!M:M</f>
        <v>{New} Kayley Gunner https://lulustream.com/d/2z3ke5absxnm https://doodstream.com/d/7x9wwze74u09/26141834 https://streamtape.com/v/q31M7o3Aolizz60/26141834 (2026) #threesome #bigtits #milf #creampie #RIPNSFW</v>
      </c>
      <c r="B1031" s="12" t="str">
        <f>New!A:A</f>
        <v>Kayley Gunner - 26141834 - TTP.jpg</v>
      </c>
      <c r="C1031" s="12" t="s">
        <v>8895</v>
      </c>
      <c r="D1031" s="46">
        <f>New!P:P</f>
        <v>0</v>
      </c>
    </row>
    <row r="1032" spans="1:4" ht="12.75">
      <c r="A1032" s="45" t="str">
        <f ca="1">New!M:M</f>
        <v>{New} Kayley Gunner https://lulustream.com/d/q6vwlgz1nalv https://streamtape.com/v/Zj48DAym0ecqABz/26358645 https://doodstream.com/d/9swytzidt9z8/26358645 Joanna Angel (2026) #threesome #bigass #bigtits #blowjob #RIPNSFW</v>
      </c>
      <c r="B1032" s="12" t="str">
        <f>New!A:A</f>
        <v>Kayley Gunner - 26358645 - Onlyfans - Joanna Angel.jpg</v>
      </c>
      <c r="C1032" s="12" t="s">
        <v>8895</v>
      </c>
      <c r="D1032" s="46">
        <f>New!P:P</f>
        <v>0</v>
      </c>
    </row>
    <row r="1033" spans="1:4" ht="12.75">
      <c r="A1033" s="45" t="str">
        <f ca="1">New!M:M</f>
        <v>{New} Kayley Gunner https://lulustream.com/d/g9p539vele5i https://streamtape.com/v/JKoxAV7kgocjW8b/31825963 https://doodstream.com/d/wk45jz9qijku/31825963 Savannah Bond (2026) #MILF #BigTits #Hardcore #Threesome #Bigass #Blowjob #Amateur #Deepthroat #Blonde #Facial #RIPNSFW</v>
      </c>
      <c r="B1033" s="12" t="str">
        <f>New!A:A</f>
        <v>Kayley Gunner - 31825963 - ripnsfw.com - Savannah Bond.jpg</v>
      </c>
      <c r="C1033" s="12" t="s">
        <v>8895</v>
      </c>
      <c r="D1033" s="46">
        <f>New!P:P</f>
        <v>0</v>
      </c>
    </row>
    <row r="1034" spans="1:4" ht="12.75">
      <c r="A1034" s="45" t="str">
        <f ca="1">New!M:M</f>
        <v>{New} Kayley Gunner https://doodstream.com/d/cmsa8n5z9enl/34173244 https://lulustream.com/d/qysnzb75ym9m https://streamtape.com/v/wrrL4M7qQxIjYM/34173244 (2026) #BigTits #Hardcore #Bigass #Porn #Teen #Blowjob #RIPNSFW</v>
      </c>
      <c r="B1034" s="12" t="str">
        <f>New!A:A</f>
        <v>Kayley Gunner - 34173244 - ripnsfw.com.jpg</v>
      </c>
      <c r="C1034" s="12" t="s">
        <v>8895</v>
      </c>
      <c r="D1034" s="46">
        <f>New!P:P</f>
        <v>0</v>
      </c>
    </row>
    <row r="1035" spans="1:4" ht="12.75">
      <c r="A1035" s="45" t="str">
        <f ca="1">New!M:M</f>
        <v>{New} Kayley Gunner https://doodstream.com/d/wwh3xyc6rlrx/35561716 https://streamtape.com/v/Vml7yveaWrFKM16/35561716 https://lulustream.com/d/kxao1uf4obch (2026) #bigass #bigtits #blonde #interracial #RIPNSFW</v>
      </c>
      <c r="B1035" s="12" t="str">
        <f>New!A:A</f>
        <v>Kayley Gunner - 35561716 - Onlyfans.jpg</v>
      </c>
      <c r="C1035" s="12" t="s">
        <v>8895</v>
      </c>
      <c r="D1035" s="46">
        <f>New!P:P</f>
        <v>0</v>
      </c>
    </row>
    <row r="1036" spans="1:4" ht="12.75">
      <c r="A1036" s="45" t="str">
        <f ca="1">New!M:M</f>
        <v>{New} Kayley Gunner https://doodstream.com/d/qqj01px5sn95/36112750 https://lulustream.com/d/k5sbbvghi3sx https://streamtape.com/v/wrqoQDk7KRfWx7/36112750 Angel Youngs (2026) #milf #bigtits #blowjob #amateur #RIPNSFW</v>
      </c>
      <c r="B1036" s="12" t="str">
        <f>New!A:A</f>
        <v>Kayley Gunner - 36112750 - Onlyfans - Angel Youngs.jpg</v>
      </c>
      <c r="C1036" s="12" t="s">
        <v>8895</v>
      </c>
      <c r="D1036" s="46">
        <f>New!P:P</f>
        <v>0</v>
      </c>
    </row>
    <row r="1037" spans="1:4" ht="12.75">
      <c r="A1037" s="45" t="str">
        <f ca="1">New!M:M</f>
        <v>{New} Kayley Gunner https://lulustream.com/d/02v7d9i7dfn7 https://doodstream.com/d/ie4y20516d6i/37877312 https://streamtape.com/v/Mkjq3lzWXdImjMZ/37877312 (2026) #bigtits #milf #interracial #bigass #RIPNSFW</v>
      </c>
      <c r="B1037" s="12" t="str">
        <f>New!A:A</f>
        <v>Kayley Gunner - 37877312 - Onlyfans.jpg</v>
      </c>
      <c r="C1037" s="12" t="s">
        <v>8895</v>
      </c>
      <c r="D1037" s="46">
        <f>New!P:P</f>
        <v>0</v>
      </c>
    </row>
    <row r="1038" spans="1:4" ht="12.75">
      <c r="A1038" s="45" t="str">
        <f ca="1">New!M:M</f>
        <v>{New} Kayley Gunner https://lulustream.com/d/5te5big4r1y0 https://doodstream.com/d/whi2am97b942/44734993 https://streamtape.com/v/287M96wX1viZ0Z1/44734993 (2026) #MILF #BigTits #Hardcore #Black #Interracial #Bigass #RIPNSFW</v>
      </c>
      <c r="B1038" s="12" t="str">
        <f>New!A:A</f>
        <v>Kayley Gunner - 44734993 - ripnsfw.com.jpg</v>
      </c>
      <c r="C1038" s="12" t="s">
        <v>8895</v>
      </c>
      <c r="D1038" s="46">
        <f>New!P:P</f>
        <v>0</v>
      </c>
    </row>
    <row r="1039" spans="1:4" ht="12.75">
      <c r="A1039" s="45" t="str">
        <f ca="1">New!M:M</f>
        <v>{New} Kayley Gunner https://lulustream.com/d/w5otr12peo55 https://streamtape.com/v/xmxMeGlJakukBQl/45117258 https://doodstream.com/d/kroiaxqxxv7h/45117258 Savannah Bond (2026) #milf #threesome #blonde #bigtits #RIPNSFW</v>
      </c>
      <c r="B1039" s="12" t="str">
        <f>New!A:A</f>
        <v>Kayley Gunner - 45117258 - Onlyfans - Savannah Bond.jpg</v>
      </c>
      <c r="C1039" s="12" t="s">
        <v>8895</v>
      </c>
      <c r="D1039" s="46">
        <f>New!P:P</f>
        <v>0</v>
      </c>
    </row>
    <row r="1040" spans="1:4" ht="12.75">
      <c r="A1040" s="45" t="str">
        <f ca="1">New!M:M</f>
        <v>{New} Kayley Gunner https://lulustream.com/d/xxfwlkpy5lvl https://doodstream.com/d/6naftc8hc9om/54758611 https://streamtape.com/v/k0YKK4gOWpiOVVy/54758611 (2026) #milf #threesome #bigass #bigtits #RIPNSFW</v>
      </c>
      <c r="B1040" s="12" t="str">
        <f>New!A:A</f>
        <v>Kayley Gunner - 54758611 - Onlyfans.jpg</v>
      </c>
      <c r="C1040" s="12" t="s">
        <v>8895</v>
      </c>
      <c r="D1040" s="46">
        <f>New!P:P</f>
        <v>0</v>
      </c>
    </row>
    <row r="1041" spans="1:4" ht="12.75">
      <c r="A1041" s="45" t="str">
        <f ca="1">New!M:M</f>
        <v>#ERROR!</v>
      </c>
      <c r="B1041" s="12" t="str">
        <f>New!A:A</f>
        <v>Kayley Gunner - 69343220 - ripnsfw.com.jpg</v>
      </c>
      <c r="C1041" s="12" t="s">
        <v>8895</v>
      </c>
      <c r="D1041" s="46">
        <f>New!P:P</f>
        <v>0</v>
      </c>
    </row>
    <row r="1042" spans="1:4" ht="12.75">
      <c r="A1042" s="45" t="str">
        <f ca="1">New!M:M</f>
        <v>{New} Kayley Gunner https://doodstream.com/d/yvv8vnhho7zt/71875781 https://lulustream.com/d/jul1aw0v9a9r https://streamtape.com/v/BvaLjr8O3juVW0/71875781 Hailey Rose (2026) #threesome #bigtits #bigass #blowjob #RIPNSFW</v>
      </c>
      <c r="B1042" s="12" t="str">
        <f>New!A:A</f>
        <v>Kayley Gunner - 71875781 - Onlyfans - Hailey Rose.jpg</v>
      </c>
      <c r="C1042" s="12" t="s">
        <v>8895</v>
      </c>
      <c r="D1042" s="46">
        <f>New!P:P</f>
        <v>0</v>
      </c>
    </row>
    <row r="1043" spans="1:4" ht="12.75">
      <c r="A1043" s="45" t="str">
        <f ca="1">New!M:M</f>
        <v>{New} Kayley Gunner https://lulustream.com/d/ktcu2hlwgab2 https://doodstream.com/d/avtlikmgxxfc/85945135 https://streamtape.com/v/W6xoJKe8QOFbaPv/85945135 (2026) #milf #bigass #bigtits #blonde #RIPNSFW</v>
      </c>
      <c r="B1043" s="12" t="str">
        <f>New!A:A</f>
        <v>Kayley Gunner - 85945135 - Onlyfans.jpg</v>
      </c>
      <c r="C1043" s="12" t="s">
        <v>8895</v>
      </c>
      <c r="D1043" s="46">
        <f>New!P:P</f>
        <v>0</v>
      </c>
    </row>
    <row r="1044" spans="1:4" ht="12.75">
      <c r="A1044" s="45" t="str">
        <f ca="1">New!M:M</f>
        <v>{New} Kayley Gunner https://lulustream.com/d/coe51fvothk6 https://doodstream.com/d/0slg4fywbhbh/86509715 https://streamtape.com/v/pl9vvo317LtBV7/86509715 (2026) #blonde #milf #bigtits #blowjob #RIPNSFW</v>
      </c>
      <c r="B1044" s="12" t="str">
        <f>New!A:A</f>
        <v>Kayley Gunner - 86509715 - Onlyfans.jpg</v>
      </c>
      <c r="C1044" s="12" t="s">
        <v>8895</v>
      </c>
      <c r="D1044" s="46">
        <f>New!P:P</f>
        <v>0</v>
      </c>
    </row>
    <row r="1045" spans="1:4" ht="12.75">
      <c r="A1045" s="45" t="str">
        <f ca="1">New!M:M</f>
        <v>{New} Kayley Gunner https://lulustream.com/d/t0cqkmdqekdc https://streamtape.com/v/QbAXYDqlVls9pB/97434221 https://doodstream.com/d/a6mgllygbbl6/97434221 (2026) #creampie #milf #bigass #bigtits #RIPNSFW</v>
      </c>
      <c r="B1045" s="12" t="str">
        <f>New!A:A</f>
        <v>Kayley Gunner - 97434221 - Onlyfans.jpg</v>
      </c>
      <c r="C1045" s="12" t="s">
        <v>8895</v>
      </c>
      <c r="D1045" s="46">
        <f>New!P:P</f>
        <v>0</v>
      </c>
    </row>
    <row r="1046" spans="1:4" ht="12.75">
      <c r="A1046" s="45" t="str">
        <f ca="1">New!M:M</f>
        <v>{New} Kayley Gunner https://streamtape.com/v/vl7jBQlAlei4kBO/97772911 https://doodstream.com/d/7r5b6qdh45o5/97772911 https://lulustream.com/d/0kz2q1j0mewm (2026) #MILF #BigTits #Hardcore #Black #Interracial #RIPNSFW</v>
      </c>
      <c r="B1046" s="12" t="str">
        <f>New!A:A</f>
        <v>Kayley Gunner - 97772911 - JulesJordan.jpg</v>
      </c>
      <c r="C1046" s="12" t="s">
        <v>8895</v>
      </c>
      <c r="D1046" s="46">
        <f>New!P:P</f>
        <v>0</v>
      </c>
    </row>
    <row r="1047" spans="1:4" ht="12.75">
      <c r="A1047" s="45" t="str">
        <f ca="1">New!M:M</f>
        <v>{New} Kelsi Monroe https://lulustream.com/d/ytx0keyiz4tc https://streamtape.com/v/Dqaw61kr3kcDvb/33753675 https://doodstream.com/d/4lbj22p1icqo/33753675 (2026) #MILF #Hardcore #Bigass #Artporn #Stepmom #Blowjob #Amateur #Mature #Hotwife #Deepthroat #Facial #Massage #RIPNSFW</v>
      </c>
      <c r="B1047" s="12" t="str">
        <f>New!A:A</f>
        <v>Kelsi Monroe - 33753675 - Onlyfans.jpg</v>
      </c>
      <c r="C1047" s="12" t="s">
        <v>8895</v>
      </c>
      <c r="D1047" s="46">
        <f>New!P:P</f>
        <v>0</v>
      </c>
    </row>
    <row r="1048" spans="1:4" ht="12.75">
      <c r="A1048" s="45" t="str">
        <f ca="1">New!M:M</f>
        <v>{New} Kelsi Monroe https://streamtape.com/v/YgGe3OOlYofvxAy/51056603 https://doodstream.com/d/j5yml4itbczj/51056603 https://lulustream.com/d/7h5syphua1y9 (2026) #MILF #Hardcore #Bigass #Blowjob #RIPNSFW</v>
      </c>
      <c r="B1048" s="12" t="str">
        <f>New!A:A</f>
        <v>Kelsi Monroe - 51056603 - ripnsfw.com.jpg</v>
      </c>
      <c r="C1048" s="12" t="s">
        <v>8895</v>
      </c>
      <c r="D1048" s="46">
        <f>New!P:P</f>
        <v>0</v>
      </c>
    </row>
    <row r="1049" spans="1:4" ht="12.75">
      <c r="A1049" s="45" t="str">
        <f ca="1">New!M:M</f>
        <v>{New} Kelsi Monroe https://doodstream.com/d/nj2a8uiyhyse/62295398 https://lulustream.com/d/mo5mpclkumlb https://streamtape.com/v/xevB1Q8lW1ikdwj/62295398 (2026) #MILF #Hardcore #Bigass #Porn #RIPNSFW</v>
      </c>
      <c r="B1049" s="12" t="str">
        <f>New!A:A</f>
        <v>Kelsi Monroe - 62295398 - ripnsfw.com.jpg</v>
      </c>
      <c r="C1049" s="12" t="s">
        <v>8895</v>
      </c>
      <c r="D1049" s="46">
        <f>New!P:P</f>
        <v>0</v>
      </c>
    </row>
    <row r="1050" spans="1:4" ht="12.75">
      <c r="A1050" s="45" t="str">
        <f ca="1">New!M:M</f>
        <v>{New} Kendra Lust https://doodstream.com/d/i1t1cb7dgalm/60592294 https://lulustream.com/d/5wdzehgsiofi https://streamtape.com/v/mej7L1L0LOSb3P2/60592294 (2026) #blowjob #milf #bigass #anal #RIPNSFW</v>
      </c>
      <c r="B1050" s="12" t="str">
        <f>New!A:A</f>
        <v>Kendra Lust - 60592294 - Onlyfans.jpg</v>
      </c>
      <c r="C1050" s="12" t="s">
        <v>8895</v>
      </c>
      <c r="D1050" s="46">
        <f>New!P:P</f>
        <v>0</v>
      </c>
    </row>
    <row r="1051" spans="1:4" ht="12.75">
      <c r="A1051" s="45" t="str">
        <f ca="1">New!M:M</f>
        <v>{New} Kendra Lust https://streamtape.com/v/QJyp1bJ7LJF0ZXb/74014139 https://lulustream.com/d/vsrder36bdfa https://doodstream.com/d/0axd7exg0w05/74014139 (2026) #MILF #BigTits #Bigass #Stepmom #Mature #RIPNSFW</v>
      </c>
      <c r="B1051" s="12" t="str">
        <f>New!A:A</f>
        <v>Kendra Lust - 74014139 - Onlyfans.jpg</v>
      </c>
      <c r="C1051" s="12" t="s">
        <v>8895</v>
      </c>
      <c r="D1051" s="46">
        <f>New!P:P</f>
        <v>0</v>
      </c>
    </row>
    <row r="1052" spans="1:4" ht="12.75">
      <c r="A1052" s="45" t="str">
        <f ca="1">New!M:M</f>
        <v>#ERROR!</v>
      </c>
      <c r="B1052" s="12" t="str">
        <f>New!A:A</f>
        <v>Kendra Lust - 76519840 - FH.jpg</v>
      </c>
      <c r="C1052" s="12" t="s">
        <v>8895</v>
      </c>
      <c r="D1052" s="46">
        <f>New!P:P</f>
        <v>0</v>
      </c>
    </row>
    <row r="1053" spans="1:4" ht="12.75">
      <c r="A1053" s="45" t="str">
        <f ca="1">New!M:M</f>
        <v>{New} Kendra Lust https://streamtape.com/v/z13MYZ4V3YHG6J/91121829 https://doodstream.com/d/701xqhtb2fow/91121829 https://lulustream.com/d/88xb0phcjn7u (2026) #MILF #BigTits #Hardcore #Bigass #Porn #RIPNSFW</v>
      </c>
      <c r="B1053" s="12" t="str">
        <f>New!A:A</f>
        <v>Kendra Lust - 91121829 - ripnsfw.com.jpg</v>
      </c>
      <c r="C1053" s="12" t="s">
        <v>8895</v>
      </c>
      <c r="D1053" s="46">
        <f>New!P:P</f>
        <v>0</v>
      </c>
    </row>
    <row r="1054" spans="1:4" ht="12.75">
      <c r="A1054" s="45" t="str">
        <f ca="1">New!M:M</f>
        <v>{New} Kendra Sunderland https://doodstream.com/d/jxfangisd3cj/57529324 https://lulustream.com/d/oq1u0yqr6w4m https://streamtape.com/v/m3xJp3AjBvCb1QX/57529324 (2026) #BigTits #Hardcore #Bigass #Porn #Teen #Blowjob #RIPNSFW</v>
      </c>
      <c r="B1054" s="12" t="str">
        <f>New!A:A</f>
        <v>Kendra Sunderland - 57529324 - ripnsfw.com.jpg</v>
      </c>
      <c r="C1054" s="12" t="s">
        <v>8895</v>
      </c>
      <c r="D1054" s="46">
        <f>New!P:P</f>
        <v>0</v>
      </c>
    </row>
    <row r="1055" spans="1:4" ht="12.75">
      <c r="A1055" s="45" t="str">
        <f ca="1">New!M:M</f>
        <v>{New} Kendra Sunderland https://lulustream.com/d/dvdl4zcb99vg https://doodstream.com/d/gqho4gpddykl/62925139 https://streamtape.com/v/M7kMdVPJLLimqZ2/62925139 (2026) #BigTits #Hardcore #Interracial #Teen #RIPNSFW</v>
      </c>
      <c r="B1055" s="12" t="str">
        <f>New!A:A</f>
        <v>Kendra Sunderland - 62925139 - Onlyfans.jpg</v>
      </c>
      <c r="C1055" s="12" t="s">
        <v>8895</v>
      </c>
      <c r="D1055" s="46">
        <f>New!P:P</f>
        <v>0</v>
      </c>
    </row>
    <row r="1056" spans="1:4" ht="12.75">
      <c r="A1056" s="45" t="str">
        <f ca="1">New!M:M</f>
        <v>{New} Kendra Sunderland https://lulustream.com/d/zj2wptrv6g51 https://doodstream.com/d/tmicww8ay2e3/77896881 https://streamtape.com/v/LpxwvBKdBefbdg/77896881 (2026) #BigTits #Hardcore #Black #Interracial #Bigass #Teen #Blowjob #Amateur #Deepthroat #RIPNSFW</v>
      </c>
      <c r="B1056" s="12" t="str">
        <f>New!A:A</f>
        <v>Kendra Sunderland - 77896881 - ripnsfw.com.jpg</v>
      </c>
      <c r="C1056" s="12" t="s">
        <v>8895</v>
      </c>
      <c r="D1056" s="46">
        <f>New!P:P</f>
        <v>0</v>
      </c>
    </row>
    <row r="1057" spans="1:4" ht="12.75">
      <c r="A1057" s="45" t="str">
        <f ca="1">New!M:M</f>
        <v>{New} Kianna Dior https://doodstream.com/d/hyq6v5j1m5qi/67759608 https://streamtape.com/v/P9Yv89K4D1u0qvj/67759608 https://lulustream.com/d/fxpbkaggqjxw (2026) #milf #asian #blowjob #bigass #RIPNSFW</v>
      </c>
      <c r="B1057" s="12" t="str">
        <f>New!A:A</f>
        <v>Kianna Dior - 67759608 - Onlyfans.jpg</v>
      </c>
      <c r="C1057" s="12" t="s">
        <v>8895</v>
      </c>
      <c r="D1057" s="46">
        <f>New!P:P</f>
        <v>0</v>
      </c>
    </row>
    <row r="1058" spans="1:4" ht="12.75">
      <c r="A1058" s="45" t="str">
        <f ca="1">New!M:M</f>
        <v>{New} Kianna Dior https://doodstream.com/d/g35ytbhpec2h/72268823 https://lulustream.com/d/7owe977syf00 https://streamtape.com/v/zka84MKvJ0HYRwX/72268823 Hailey Rose (2026) #milf #bigtits #threesome #bigass #RIPNSFW</v>
      </c>
      <c r="B1058" s="12" t="str">
        <f>New!A:A</f>
        <v>Kianna Dior - 72268823 - DarkkoTV - Hailey Rose.jpg</v>
      </c>
      <c r="C1058" s="12" t="s">
        <v>8895</v>
      </c>
      <c r="D1058" s="46">
        <f>New!P:P</f>
        <v>0</v>
      </c>
    </row>
    <row r="1059" spans="1:4" ht="12.75">
      <c r="A1059" s="45" t="str">
        <f ca="1">New!M:M</f>
        <v>{New} Kianna Dior https://lulustream.com/d/84ezwewmseme https://streamtape.com/v/ervXzVw8YwfYPqV/96284360 https://doodstream.com/d/wmo0531aluhv/96284360 (2026) #MILF #BigTits #Hardcore #Black #Interracial #Bigass #Blowjob #RIPNSFW</v>
      </c>
      <c r="B1059" s="12" t="str">
        <f>New!A:A</f>
        <v>Kianna Dior - 96284360 - ripnsfw.com.jpg</v>
      </c>
      <c r="C1059" s="12" t="s">
        <v>8895</v>
      </c>
      <c r="D1059" s="46">
        <f>New!P:P</f>
        <v>0</v>
      </c>
    </row>
    <row r="1060" spans="1:4" ht="12.75">
      <c r="A1060" s="45" t="str">
        <f ca="1">New!M:M</f>
        <v>{New} Kimmy Granger https://lulustream.com/d/re00y23psatx https://doodstream.com/d/ymiaqfagxpt7/30878325 https://streamtape.com/v/A0K8MZYDXXSXXXP/30878325 (2026) #creampie #milf #bigtits #blowjob #RIPNSFW</v>
      </c>
      <c r="B1060" s="12" t="str">
        <f>New!A:A</f>
        <v>Kimmy Granger - 30878325 - Onlyfans.jpg</v>
      </c>
      <c r="C1060" s="12" t="s">
        <v>8895</v>
      </c>
      <c r="D1060" s="46">
        <f>New!P:P</f>
        <v>0</v>
      </c>
    </row>
    <row r="1061" spans="1:4" ht="12.75">
      <c r="A1061" s="45" t="str">
        <f ca="1">New!M:M</f>
        <v>{New} Kimmy Granger https://streamtape.com/v/ZKPzygo46phqaOY/35557187 https://lulustream.com/d/foyheah6fq4x https://doodstream.com/d/j7m36w1jdfgw/35557187 (2026) #MILF #BigTits #Creampie #Hardcore #Artporn #Blowjob #Amateur #Hotwife #Blonde #RIPNSFW</v>
      </c>
      <c r="B1061" s="12" t="str">
        <f>New!A:A</f>
        <v>Kimmy Granger - 35557187 - ripnsfw.com.jpg</v>
      </c>
      <c r="C1061" s="12" t="s">
        <v>8895</v>
      </c>
      <c r="D1061" s="46">
        <f>New!P:P</f>
        <v>0</v>
      </c>
    </row>
    <row r="1062" spans="1:4" ht="12.75">
      <c r="A1062" s="45" t="str">
        <f ca="1">New!M:M</f>
        <v>{New} Kinechan https://streamtape.com/v/Bq0gAjeMgkiye7L/60680314 https://lulustream.com/d/3xh1isl2h1w6 https://doodstream.com/d/1gaj652batg4/60680314 (2026) #Anal #BigTits #Creampie #Hardcore #RIPNSFW</v>
      </c>
      <c r="B1062" s="12" t="str">
        <f>New!A:A</f>
        <v>Kinechan - 60680314 - Privacy.jpg</v>
      </c>
      <c r="C1062" s="12" t="s">
        <v>8895</v>
      </c>
      <c r="D1062" s="46">
        <f>New!P:P</f>
        <v>0</v>
      </c>
    </row>
    <row r="1063" spans="1:4" ht="12.75">
      <c r="A1063" s="45" t="str">
        <f ca="1">New!M:M</f>
        <v>{New} Kylie Rocket https://doodstream.com/d/ohmiahymaqny/78173618 https://lulustream.com/d/t7xcxd5ynmc9 https://streamtape.com/v/er4PblwaKZCYlX7/78173618 Lena the plug (2026) #MILF #BigTits #Hardcore #Threesome #Bigass #RIPNSFW</v>
      </c>
      <c r="B1063" s="12" t="str">
        <f>New!A:A</f>
        <v>Kylie Rocket - 78173618 - ripnsfw.com - Lena the plug.jpg</v>
      </c>
      <c r="C1063" s="12" t="s">
        <v>8895</v>
      </c>
      <c r="D1063" s="46">
        <f>New!P:P</f>
        <v>0</v>
      </c>
    </row>
    <row r="1064" spans="1:4" ht="12.75">
      <c r="A1064" s="45" t="str">
        <f ca="1">New!M:M</f>
        <v>{New} Lacee Rose https://lulustream.com/d/j6s6hvmb8mec https://streamtape.com/v/egOmPOx4xXSZxl/50621497 https://doodstream.com/d/g12f11ou71z8/50621497 (2026) #Casting #Creampie #Hardcore #Porn #Teen #RIPNSFW</v>
      </c>
      <c r="B1064" s="12" t="str">
        <f>New!A:A</f>
        <v>Lacee Rose - 50621497 - ripnsfw.com.jpg</v>
      </c>
      <c r="C1064" s="12" t="s">
        <v>8895</v>
      </c>
      <c r="D1064" s="46">
        <f>New!P:P</f>
        <v>0</v>
      </c>
    </row>
    <row r="1065" spans="1:4" ht="12.75">
      <c r="A1065" s="45" t="str">
        <f ca="1">New!M:M</f>
        <v>{New} Lady Lorreign https://doodstream.com/d/ykzqsqyl7lv0/23688987 https://lulustream.com/d/5po5z844oscs https://streamtape.com/v/6akd9d18g2HvkO/23688987 (2026) #Anal #MILF #BigTits #Creampie #Hardcore #Interracial #Porn #RIPNSFW</v>
      </c>
      <c r="B1065" s="12" t="str">
        <f>New!A:A</f>
        <v>Lady Lorreign - 23688987 - ripnsfw.com.jpg</v>
      </c>
      <c r="C1065" s="12" t="s">
        <v>8895</v>
      </c>
      <c r="D1065" s="46">
        <f>New!P:P</f>
        <v>0</v>
      </c>
    </row>
    <row r="1066" spans="1:4" ht="12.75">
      <c r="A1066" s="45" t="str">
        <f ca="1">New!M:M</f>
        <v>{New} Lana Rhoades https://streamtape.com/v/7kww2LgDA1f4Ad/54819397 https://lulustream.com/d/do7yzuwqfayk https://doodstream.com/d/kkb3pj1ok0q4/54819397 (2026) #anal #teen #bigtits #bigass #RIPNSFW</v>
      </c>
      <c r="B1066" s="12" t="str">
        <f>New!A:A</f>
        <v>Lana Rhoades - 54819397 - JulesJordan.jpg</v>
      </c>
      <c r="C1066" s="12" t="s">
        <v>8895</v>
      </c>
      <c r="D1066" s="46">
        <f>New!P:P</f>
        <v>0</v>
      </c>
    </row>
    <row r="1067" spans="1:4" ht="12.75">
      <c r="A1067" s="45" t="str">
        <f ca="1">New!M:M</f>
        <v>Lana Rhoades https://doodstream.com/d/zwqej4hkfdu9/88485313 https://lulustream.com/d/8n664uzd5btv https://streamtape.com/v/WQjYVbOB7yUgo6/88485313 #teen #brunette #blowjob #amateur #RIPNSFW</v>
      </c>
      <c r="B1067" s="12" t="str">
        <f>New!A:A</f>
        <v>Lana Rhoades - 88485313 - Onlyfans.jpg</v>
      </c>
      <c r="C1067" s="12" t="s">
        <v>8895</v>
      </c>
      <c r="D1067" s="46">
        <f>New!P:P</f>
        <v>0</v>
      </c>
    </row>
    <row r="1068" spans="1:4" ht="12.75">
      <c r="A1068" s="45" t="str">
        <f ca="1">New!M:M</f>
        <v>{New} Lana Rhoades https://lulustream.com/d/g7a2muj131ae https://streamtape.com/v/LM6aaLYJ1YHRk1G/95202033 https://doodstream.com/d/jwzutubqbw1q/95202033 (2026) #Anal #BigTits #Creampie #Hardcore #Bigass #RIPNSFW</v>
      </c>
      <c r="B1068" s="12" t="str">
        <f>New!A:A</f>
        <v>Lana Rhoades - 95202033 - ripnsfw.com.jpg</v>
      </c>
      <c r="C1068" s="12" t="s">
        <v>8895</v>
      </c>
      <c r="D1068" s="46">
        <f>New!P:P</f>
        <v>0</v>
      </c>
    </row>
    <row r="1069" spans="1:4" ht="12.75">
      <c r="A1069" s="45" t="str">
        <f ca="1">New!M:M</f>
        <v>{New} Lanie Morgan https://doodstream.com/d/umbnde71eher/99629422 https://lulustream.com/d/433396slyt07 https://streamtape.com/v/aY10XbDoBMTd46/99629422 (2026) #BigTits #Hardcore #Creampie #Teen #Roleplay #Artporn #Blowjob #RIPNSFW</v>
      </c>
      <c r="B1069" s="12" t="str">
        <f>New!A:A</f>
        <v>Lanie Morgan - 99629422 - ripnsfw.com.jpg</v>
      </c>
      <c r="C1069" s="12" t="s">
        <v>8895</v>
      </c>
      <c r="D1069" s="46">
        <f>New!P:P</f>
        <v>0</v>
      </c>
    </row>
    <row r="1070" spans="1:4" ht="12.75">
      <c r="A1070" s="45" t="str">
        <f ca="1">New!M:M</f>
        <v>{New} LaSirena69 https://lulustream.com/d/ug6dfdg12xv2 https://streamtape.com/v/6BKj82jlYvS99qz/20115278 https://doodstream.com/d/37t5g1t9g21w/20115278 Keisha Grey (2026) #MILF #BigTits #Hardcore #Threesome #Bigass #Latina #Blowjob #RIPNSFW</v>
      </c>
      <c r="B1070" s="12" t="str">
        <f>New!A:A</f>
        <v>LaSirena69 - 20115278 - ripnsfw.com - Keisha Grey.jpg</v>
      </c>
      <c r="C1070" s="12" t="s">
        <v>8895</v>
      </c>
      <c r="D1070" s="46">
        <f>New!P:P</f>
        <v>0</v>
      </c>
    </row>
    <row r="1071" spans="1:4" ht="12.75">
      <c r="A1071" s="45" t="str">
        <f ca="1">New!M:M</f>
        <v>{New} LaSirena69 https://doodstream.com/d/6mt8vg9tyoba/22949278 https://streamtape.com/v/LDQx07O2zXhRoaX/22949278 https://lulustream.com/d/2uux38n9r9p6 (2026) #MILF #BigTits #Hardcore #Bigass #RIPNSFW</v>
      </c>
      <c r="B1071" s="12" t="str">
        <f>New!A:A</f>
        <v>LaSirena69 - 22949278 - ripnsfw.com.jpg</v>
      </c>
      <c r="C1071" s="12" t="s">
        <v>8895</v>
      </c>
      <c r="D1071" s="46">
        <f>New!P:P</f>
        <v>0</v>
      </c>
    </row>
    <row r="1072" spans="1:4" ht="12.75">
      <c r="A1072" s="45" t="str">
        <f ca="1">New!M:M</f>
        <v>{New} LaSirena69 https://doodstream.com/d/4dggl4q59loj/35812000 https://streamtape.com/v/MXBlXmzegdSmW9G/35812000 https://lulustream.com/d/vvhc51aphy1j (2026) #Anal #MILF #BigTits #Creampie #Hardcore #Bigass #Latina #Blowjob #Stepmom #Amateur #RIPNSFW</v>
      </c>
      <c r="B1072" s="12" t="str">
        <f>New!A:A</f>
        <v>LaSirena69 - 35812000 - ripnsfw.com.jpg</v>
      </c>
      <c r="C1072" s="12" t="s">
        <v>8895</v>
      </c>
      <c r="D1072" s="46">
        <f>New!P:P</f>
        <v>0</v>
      </c>
    </row>
    <row r="1073" spans="1:4" ht="12.75">
      <c r="A1073" s="45" t="str">
        <f ca="1">New!M:M</f>
        <v>{New} LaSirena69 https://lulustream.com/d/2w7lf82l7yi1 https://doodstream.com/d/1uguistzryoh/42144025 https://streamtape.com/v/jVgyw9aV9yT2Qy/42144025 (2026) #MILF #BigTits #Hardcore #Bigass #Latina #Roleplay #Blowjob #RIPNSFW</v>
      </c>
      <c r="B1073" s="12" t="str">
        <f>New!A:A</f>
        <v>LaSirena69 - 42144025 - ripnsfw.com.jpg</v>
      </c>
      <c r="C1073" s="12" t="s">
        <v>8895</v>
      </c>
      <c r="D1073" s="46">
        <f>New!P:P</f>
        <v>0</v>
      </c>
    </row>
    <row r="1074" spans="1:4" ht="12.75">
      <c r="A1074" s="45" t="str">
        <f ca="1">New!M:M</f>
        <v>{New} LaSirena69 https://streamtape.com/v/zDk4LO6YJvsX0B/51141387 https://doodstream.com/d/u0y83df6m8b1/51141387 https://lulustream.com/d/hiccwmsigyvq (2026) #milf #pov #blowjob #brunette #RIPNSFW</v>
      </c>
      <c r="B1074" s="12" t="str">
        <f>New!A:A</f>
        <v>LaSirena69 - 51141387 - Onlyfans.jpg</v>
      </c>
      <c r="C1074" s="12" t="s">
        <v>8895</v>
      </c>
      <c r="D1074" s="46">
        <f>New!P:P</f>
        <v>0</v>
      </c>
    </row>
    <row r="1075" spans="1:4" ht="12.75">
      <c r="A1075" s="45" t="str">
        <f ca="1">New!M:M</f>
        <v>{New} LaSirena69 https://doodstream.com/d/y2bxr0naqv2n/54968486 https://lulustream.com/d/swcjioeh648y https://streamtape.com/v/81j8jOGwjaFogal/54968486 Lena the plug (2026) #MILF #BigTits #Hardcore #Threesome #Bigass #Latina #Amateur #Facial #Blowjob #RIPNSFW</v>
      </c>
      <c r="B1075" s="12" t="str">
        <f>New!A:A</f>
        <v>LaSirena69 - 54968486 - ripnsfw.com - Lena the plug.jpg</v>
      </c>
      <c r="C1075" s="12" t="s">
        <v>8895</v>
      </c>
      <c r="D1075" s="46">
        <f>New!P:P</f>
        <v>0</v>
      </c>
    </row>
    <row r="1076" spans="1:4" ht="12.75">
      <c r="A1076" s="45" t="str">
        <f ca="1">New!M:M</f>
        <v>{New} LaSirena69 https://streamtape.com/v/8XBj3k4GJWcoBPl/61463431 https://lulustream.com/d/2a197z6v0yal https://doodstream.com/d/jhlo6j6xqbhr/61463431 (2026) #MILF #BigTits #Hardcore #Black #Threesome #Interracial #RIPNSFW</v>
      </c>
      <c r="B1076" s="12" t="str">
        <f>New!A:A</f>
        <v>LaSirena69 - 61463431 - ripnsfw.com.jpg</v>
      </c>
      <c r="C1076" s="12" t="s">
        <v>8895</v>
      </c>
      <c r="D1076" s="46">
        <f>New!P:P</f>
        <v>0</v>
      </c>
    </row>
    <row r="1077" spans="1:4" ht="12.75">
      <c r="A1077" s="45" t="str">
        <f ca="1">New!M:M</f>
        <v>{New} LaSirena69 https://doodstream.com/d/8ue93x3b799w/78164881 https://lulustream.com/d/fh9pivuncijh https://streamtape.com/v/9jVZJM6DmkFaaq4/78164881 (2026) #MILF #BigTits #Hardcore #Bigass #Latina #Blowjob #Amateur #Facial #RIPNSFW</v>
      </c>
      <c r="B1077" s="12" t="str">
        <f>New!A:A</f>
        <v>LaSirena69 - 78164881 - ripnsfw.com.jpg</v>
      </c>
      <c r="C1077" s="12" t="s">
        <v>8895</v>
      </c>
      <c r="D1077" s="46">
        <f>New!P:P</f>
        <v>0</v>
      </c>
    </row>
    <row r="1078" spans="1:4" ht="12.75">
      <c r="A1078" s="45" t="str">
        <f ca="1">New!M:M</f>
        <v>{New} LaSirena69 https://lulustream.com/d/m0trvrmye187 https://doodstream.com/d/7sto15l1aa8j/91388699 https://streamtape.com/v/a2qWWQlpdytxqpx/91388699 (2026) #MILF #BigTits #Anal #Hardcore #Bigass #Latina #Blowjob #RIPNSFW</v>
      </c>
      <c r="B1078" s="12" t="str">
        <f>New!A:A</f>
        <v>LaSirena69 - 91388699 - ripnsfw.com.jpg</v>
      </c>
      <c r="C1078" s="12" t="s">
        <v>8895</v>
      </c>
      <c r="D1078" s="46">
        <f>New!P:P</f>
        <v>0</v>
      </c>
    </row>
    <row r="1079" spans="1:4" ht="12.75">
      <c r="A1079" s="45" t="str">
        <f ca="1">New!M:M</f>
        <v>{New} Laura https://doodstream.com/d/5iq2n58ufh4l/60887387 https://lulustream.com/d/gek3vp15apdx https://streamtape.com/v/jOolWryOmVFDG9/60887387 (2026) #Anal #MILF #BigTits #Creampie #Hardcore #Bigass #RIPNSFW</v>
      </c>
      <c r="B1079" s="12" t="str">
        <f>New!A:A</f>
        <v>Laura - 60887387 - ripnsfw.com.jpg</v>
      </c>
      <c r="C1079" s="12" t="s">
        <v>8895</v>
      </c>
      <c r="D1079" s="46">
        <f>New!P:P</f>
        <v>0</v>
      </c>
    </row>
    <row r="1080" spans="1:4" ht="12.75">
      <c r="A1080" s="45" t="str">
        <f ca="1">New!M:M</f>
        <v>{New} Lauren Phillips https://streamtape.com/v/kowyqKdelPTOqww/11178968 https://doodstream.com/d/2e3p0aidtj5m/11178968 https://lulustream.com/d/q5m6p4bem1oz (2026) #milf #bigtits #blowjob #bigass #RIPNSFW</v>
      </c>
      <c r="B1080" s="12" t="str">
        <f>New!A:A</f>
        <v>Lauren Phillips - 11178968 - OF.jpg</v>
      </c>
      <c r="C1080" s="12" t="s">
        <v>8895</v>
      </c>
      <c r="D1080" s="46">
        <f>New!P:P</f>
        <v>0</v>
      </c>
    </row>
    <row r="1081" spans="1:4" ht="12.75">
      <c r="A1081" s="45" t="str">
        <f ca="1">New!M:M</f>
        <v>{New} Lauren Phillips https://streamtape.com/v/QA3w9WedM7sJ9b/11919211 https://lulustream.com/d/xu3gwgbqo76w https://doodstream.com/d/p56p69igsdd1/11919211 (2026) #MILF #BigTits #Hardcore #Bigass #Porn #RIPNSFW</v>
      </c>
      <c r="B1081" s="12" t="str">
        <f>New!A:A</f>
        <v>Lauren Phillips - 11919211 - ripnsfw.com.jpg</v>
      </c>
      <c r="C1081" s="12" t="s">
        <v>8895</v>
      </c>
      <c r="D1081" s="46">
        <f>New!P:P</f>
        <v>0</v>
      </c>
    </row>
    <row r="1082" spans="1:4" ht="12.75">
      <c r="A1082" s="45" t="str">
        <f ca="1">New!M:M</f>
        <v>{New} Lauren Phillips https://lulustream.com/d/apuqydathhdk https://streamtape.com/v/1W3VylWlBYTeZAB/25755399 https://doodstream.com/d/exdt9lhdn7h2/25755399 (2026) #milf #bigtits #bigass #porn #RIPNSFW</v>
      </c>
      <c r="B1082" s="12" t="str">
        <f>New!A:A</f>
        <v>Lauren Phillips - 25755399 - Camsoda.jpg</v>
      </c>
      <c r="C1082" s="12" t="s">
        <v>8895</v>
      </c>
      <c r="D1082" s="46">
        <f>New!P:P</f>
        <v>0</v>
      </c>
    </row>
    <row r="1083" spans="1:4" ht="12.75">
      <c r="A1083" s="45" t="str">
        <f ca="1">New!M:M</f>
        <v>{New} Lauren Phillips https://doodstream.com/d/ckb4cvgbsx2o/39940867 https://streamtape.com/v/ZjjADd7d1BIwZ2/39940867 https://lulustream.com/d/z68j13ji3uj6 (2026) #milf #bigass #bigtits #blowjob #RIPNSFW</v>
      </c>
      <c r="B1083" s="12" t="str">
        <f>New!A:A</f>
        <v>Lauren Phillips - 39940867 - Chaturbate.jpg</v>
      </c>
      <c r="C1083" s="12" t="s">
        <v>8895</v>
      </c>
      <c r="D1083" s="46">
        <f>New!P:P</f>
        <v>0</v>
      </c>
    </row>
    <row r="1084" spans="1:4" ht="12.75">
      <c r="A1084" s="45" t="str">
        <f ca="1">New!M:M</f>
        <v>{New} Lauren Phillips https://lulustream.com/d/9jjckeggp6pb https://streamtape.com/v/A6jo748V12FDGm/43962331 https://doodstream.com/d/xbzbo1h7u966/43962331 (2026) #Anal #MILF #BigTits #Hardcore #Threesome #Bigass #Porn #Stepmom #Blowjob #Amateur #Hotwife #Deepthroat #RIPNSFW</v>
      </c>
      <c r="B1084" s="12" t="str">
        <f>New!A:A</f>
        <v>Lauren Phillips - 43962331 - PornWorld.jpg</v>
      </c>
      <c r="C1084" s="12" t="s">
        <v>8895</v>
      </c>
      <c r="D1084" s="46">
        <f>New!P:P</f>
        <v>0</v>
      </c>
    </row>
    <row r="1085" spans="1:4" ht="12.75">
      <c r="A1085" s="45" t="str">
        <f ca="1">New!M:M</f>
        <v>{New} Lauren Phillips https://streamtape.com/v/3w1eWOKgDXUa4R/44561077 https://doodstream.com/d/nvj9x0qislwk/44561077 https://lulustream.com/d/nasaq9nvwiu7 Molly Little (2026) #milf #blowjob #bigtits #threesome #RIPNSFW</v>
      </c>
      <c r="B1085" s="12" t="str">
        <f>New!A:A</f>
        <v>Lauren Phillips - 44561077 - MTS - Molly Little.jpg</v>
      </c>
      <c r="C1085" s="12" t="s">
        <v>8895</v>
      </c>
      <c r="D1085" s="46">
        <f>New!P:P</f>
        <v>0</v>
      </c>
    </row>
    <row r="1086" spans="1:4" ht="12.75">
      <c r="A1086" s="45" t="str">
        <f ca="1">New!M:M</f>
        <v>{New} Lauren Phillips https://streamtape.com/v/D93Pbwr9kWtkOjo/50946753 https://lulustream.com/d/nftfm5r3s6ra https://doodstream.com/d/0vgnj34uct4j/50946753 (2026) #MILF #BigTits #Hardcore #Bigass #Porn #RIPNSFW</v>
      </c>
      <c r="B1086" s="12" t="str">
        <f>New!A:A</f>
        <v>Lauren Phillips - 50946753 - ripnsfw.com.jpg</v>
      </c>
      <c r="C1086" s="12" t="s">
        <v>8895</v>
      </c>
      <c r="D1086" s="46">
        <f>New!P:P</f>
        <v>0</v>
      </c>
    </row>
    <row r="1087" spans="1:4" ht="12.75">
      <c r="A1087" s="45" t="str">
        <f ca="1">New!M:M</f>
        <v>{New} Lauren Phillips https://doodstream.com/d/i38go9px2hqt/56919928 https://streamtape.com/v/Jp3j7xwvBVfj12a/56919928 https://lulustream.com/d/izk56x0euqb7 (2026) #milf #bigass #bigtits #pov #RIPNSFW</v>
      </c>
      <c r="B1087" s="12" t="str">
        <f>New!A:A</f>
        <v>Lauren Phillips - 56919928 - FS.jpg</v>
      </c>
      <c r="C1087" s="12" t="s">
        <v>8895</v>
      </c>
      <c r="D1087" s="46">
        <f>New!P:P</f>
        <v>0</v>
      </c>
    </row>
    <row r="1088" spans="1:4" ht="12.75">
      <c r="A1088" s="45" t="str">
        <f ca="1">New!M:M</f>
        <v>{New} Lauren Phillips https://streamtape.com/v/9v63axLZ2Of9ML/59454267 https://lulustream.com/d/nfahj9voadgy https://doodstream.com/d/4x51qhhz966i/59454267 (2026) #milf #anal #bigtits #doublepenetration #RIPNSFW</v>
      </c>
      <c r="B1088" s="12" t="str">
        <f>New!A:A</f>
        <v>Lauren Phillips - 59454267 - Milfy.jpg</v>
      </c>
      <c r="C1088" s="12" t="s">
        <v>8895</v>
      </c>
      <c r="D1088" s="46">
        <f>New!P:P</f>
        <v>0</v>
      </c>
    </row>
    <row r="1089" spans="1:4" ht="12.75">
      <c r="A1089" s="45" t="str">
        <f ca="1">New!M:M</f>
        <v>{New} Lauren Phillips https://streamtape.com/v/dOp3KqyQlQt7Ky/60929494 https://lulustream.com/d/prqe7tfeao0e https://doodstream.com/d/inpp8go9o5k4/60929494 (2026) #MILF #BigTits #Hardcore #Bigass #Porn #RIPNSFW</v>
      </c>
      <c r="B1089" s="12" t="str">
        <f>New!A:A</f>
        <v>Lauren Phillips - 60929494 - ripnsfw.com.jpg</v>
      </c>
      <c r="C1089" s="12" t="s">
        <v>8895</v>
      </c>
      <c r="D1089" s="46">
        <f>New!P:P</f>
        <v>0</v>
      </c>
    </row>
    <row r="1090" spans="1:4" ht="12.75">
      <c r="A1090" s="45" t="str">
        <f ca="1">New!M:M</f>
        <v>{New} Lauren Phillips https://lulustream.com/d/xka1ah5m76n2 https://doodstream.com/d/nixcsk2rry22/61130047 https://streamtape.com/v/3w1eWOKgDXUa4R/61130047 (2026) #milf #bigtits #creampie #hardcore #RIPNSFW</v>
      </c>
      <c r="B1090" s="12" t="str">
        <f>New!A:A</f>
        <v>Lauren Phillips - 61130047 - MWTB.jpg</v>
      </c>
      <c r="C1090" s="12" t="s">
        <v>8895</v>
      </c>
      <c r="D1090" s="46">
        <f>New!P:P</f>
        <v>0</v>
      </c>
    </row>
    <row r="1091" spans="1:4" ht="12.75">
      <c r="A1091" s="45" t="str">
        <f ca="1">New!M:M</f>
        <v>{New} Lauren Phillips https://streamtape.com/v/apky1VzD4RHx1Kl/77774724 https://lulustream.com/d/o75kl08myy2d https://doodstream.com/d/jn7asgjqh6y8/77774724 (2026) #MILF #BigTits #Hardcore #Black #Interracial #Threesome #Bigass #Porn #Blowjob #DoublePenetration #Deepthroat #Facial #RIPNSFW</v>
      </c>
      <c r="B1091" s="12" t="str">
        <f>New!A:A</f>
        <v>Lauren Phillips - 77774724 - ripnsfw.com.jpg</v>
      </c>
      <c r="C1091" s="12" t="s">
        <v>8895</v>
      </c>
      <c r="D1091" s="46">
        <f>New!P:P</f>
        <v>0</v>
      </c>
    </row>
    <row r="1092" spans="1:4" ht="12.75">
      <c r="A1092" s="45" t="str">
        <f ca="1">New!M:M</f>
        <v>{New} Lauren Phillips https://streamtape.com/v/8WPjW6m7A6SovKo/82716686 https://lulustream.com/d/372l2rfp5yky https://doodstream.com/d/ruin6avlwzgu/82716686 (2026) #MILF #BigTits #Hardcore #Bigass #RIPNSFW</v>
      </c>
      <c r="B1092" s="12" t="str">
        <f>New!A:A</f>
        <v>Lauren Phillips - 82716686 - Onlyfans.jpg</v>
      </c>
      <c r="C1092" s="12" t="s">
        <v>8895</v>
      </c>
      <c r="D1092" s="46">
        <f>New!P:P</f>
        <v>0</v>
      </c>
    </row>
    <row r="1093" spans="1:4" ht="12.75">
      <c r="A1093" s="45" t="str">
        <f ca="1">New!M:M</f>
        <v>{New} Lauren Phillips https://streamtape.com/v/PLRLmK34R6F0azB/86627243 https://lulustream.com/d/b7we97jbuu0s https://doodstream.com/d/2b11zue3wlnw/86627243 (2026) #Anal #MILF #BigTits #Creampie #Hardcore #Gangbang #Black #Interracial #Bigass #Porn #Blowjob #RIPNSFW</v>
      </c>
      <c r="B1093" s="12" t="str">
        <f>New!A:A</f>
        <v>Lauren Phillips - 86627243 - ripnsfw.com.jpg</v>
      </c>
      <c r="C1093" s="12" t="s">
        <v>8895</v>
      </c>
      <c r="D1093" s="46">
        <f>New!P:P</f>
        <v>0</v>
      </c>
    </row>
    <row r="1094" spans="1:4" ht="12.75">
      <c r="A1094" s="45" t="str">
        <f ca="1">New!M:M</f>
        <v>{New} Lauren Phillips https://streamtape.com/v/ePA4komRdMS97z/88465112 https://doodstream.com/d/raxtlzj5hcfi/88465112 https://lulustream.com/d/94f4ebqm8h0a (2026) #milf #bigass #bigtits #blowjob #RIPNSFW</v>
      </c>
      <c r="B1094" s="12" t="str">
        <f>New!A:A</f>
        <v>Lauren Phillips - 88465112 - MF.jpg</v>
      </c>
      <c r="C1094" s="12" t="s">
        <v>8895</v>
      </c>
      <c r="D1094" s="46">
        <f>New!P:P</f>
        <v>0</v>
      </c>
    </row>
    <row r="1095" spans="1:4" ht="12.75">
      <c r="A1095" s="45" t="str">
        <f ca="1">New!M:M</f>
        <v>{New} Lauren Phillips https://doodstream.com/d/i7rfgn6a1xut/92862302 https://lulustream.com/d/it96lc4kdj8b https://streamtape.com/v/Kw01LOl6PpS08eK/92862302 (2026) #MILF #BigTits #Hardcore #Bigass #Porn #Roleplay #Stepmom #Blowjob #Facial #RIPNSFW</v>
      </c>
      <c r="B1095" s="12" t="str">
        <f>New!A:A</f>
        <v>Lauren Phillips - 92862302 - Mylf.jpg</v>
      </c>
      <c r="C1095" s="12" t="s">
        <v>8895</v>
      </c>
      <c r="D1095" s="46">
        <f>New!P:P</f>
        <v>0</v>
      </c>
    </row>
    <row r="1096" spans="1:4" ht="12.75">
      <c r="A1096" s="45" t="str">
        <f ca="1">New!M:M</f>
        <v>{New} Lauren Phillips https://doodstream.com/d/hobcdiffzzmb/95493352 https://lulustream.com/d/483u7xxscrp2 https://streamtape.com/v/RA06BypKALTdWDx/95493352 (2026) #MILF #BigTits #Creampie #Hardcore #Bigass #Porn #RIPNSFW</v>
      </c>
      <c r="B1096" s="12" t="str">
        <f>New!A:A</f>
        <v>Lauren Phillips - 95493352 - ripnsfw.com.jpg</v>
      </c>
      <c r="C1096" s="12" t="s">
        <v>8895</v>
      </c>
      <c r="D1096" s="46">
        <f>New!P:P</f>
        <v>0</v>
      </c>
    </row>
    <row r="1097" spans="1:4" ht="12.75">
      <c r="A1097" s="45" t="str">
        <f ca="1">New!M:M</f>
        <v>{New} Lauren Phillips https://lulustream.com/d/l482m7exb0mj https://streamtape.com/v/V0kLoGAXGOcKdry/99942714 https://doodstream.com/d/bu71nvqc98ag/99942714 (2026) #milf #bigtits #hardcore #bigass #RIPNSFW</v>
      </c>
      <c r="B1097" s="12" t="str">
        <f>New!A:A</f>
        <v>Lauren Phillips - 99942714 - OF.jpg</v>
      </c>
      <c r="C1097" s="12" t="s">
        <v>8895</v>
      </c>
      <c r="D1097" s="46">
        <f>New!P:P</f>
        <v>0</v>
      </c>
    </row>
    <row r="1098" spans="1:4" ht="12.75">
      <c r="A1098" s="45" t="str">
        <f ca="1">New!M:M</f>
        <v>{New} Lena Paul https://streamtape.com/v/o1G1xWYGYZiJell/21328114 https://doodstream.com/d/lz02l8oww3f3/21328114 https://lulustream.com/d/mpi7b4n2tv54 (2026) #anal #creampie #milf #bigtits #RIPNSFW</v>
      </c>
      <c r="B1098" s="12" t="str">
        <f>New!A:A</f>
        <v>Lena Paul - 21328114 - Onlyfans.jpg</v>
      </c>
      <c r="C1098" s="12" t="s">
        <v>8895</v>
      </c>
      <c r="D1098" s="46">
        <f>New!P:P</f>
        <v>0</v>
      </c>
    </row>
    <row r="1099" spans="1:4" ht="12.75">
      <c r="A1099" s="45" t="str">
        <f ca="1">New!M:M</f>
        <v>#ERROR!</v>
      </c>
      <c r="B1099" s="12" t="str">
        <f>New!A:A</f>
        <v>Lena Paul - 27997914 - Onlyfans.jpg</v>
      </c>
      <c r="C1099" s="12" t="s">
        <v>8895</v>
      </c>
      <c r="D1099" s="46">
        <f>New!P:P</f>
        <v>0</v>
      </c>
    </row>
    <row r="1100" spans="1:4" ht="12.75">
      <c r="A1100" s="45" t="str">
        <f ca="1">New!M:M</f>
        <v>{New} Lena Paul https://streamtape.com/v/MXB11JQmx7Ima1l/30756435 https://doodstream.com/d/yqgz0esgcm5p/30756435 https://lulustream.com/d/rwsh7ttqnl24 (2026) #MILF #BigTits #Hardcore #Bigass #RIPNSFW</v>
      </c>
      <c r="B1100" s="12" t="str">
        <f>New!A:A</f>
        <v>Lena Paul - 30756435 - Onlyfans.jpg</v>
      </c>
      <c r="C1100" s="12" t="s">
        <v>8895</v>
      </c>
      <c r="D1100" s="46">
        <f>New!P:P</f>
        <v>0</v>
      </c>
    </row>
    <row r="1101" spans="1:4" ht="12.75">
      <c r="A1101" s="45" t="str">
        <f ca="1">New!M:M</f>
        <v>{New} Lena Paul https://doodstream.com/d/y3lz8tlaq0xb/31870577 https://streamtape.com/v/Qd8PeDK0eAiR7d/31870577 https://lulustream.com/d/g9rfrjr8waet (2026) #MILF #BigTits #Hardcore #Bigass #RIPNSFW</v>
      </c>
      <c r="B1101" s="12" t="str">
        <f>New!A:A</f>
        <v>Lena Paul - 31870577 - ripnsfw.com.jpg</v>
      </c>
      <c r="C1101" s="12" t="s">
        <v>8895</v>
      </c>
      <c r="D1101" s="46">
        <f>New!P:P</f>
        <v>0</v>
      </c>
    </row>
    <row r="1102" spans="1:4" ht="12.75">
      <c r="A1102" s="45" t="str">
        <f ca="1">New!M:M</f>
        <v>{New} Lena Paul https://doodstream.com/d/jmval7j34m7y/32115319 https://streamtape.com/v/3WBoJyA32zhdQaL/32115319 https://lulustream.com/d/8hwazoojiw8r Angel Youngs (2026) #MILF #BigTits #Lesbian #Bigass #RIPNSFW</v>
      </c>
      <c r="B1102" s="12" t="str">
        <f>New!A:A</f>
        <v>Lena Paul - 32115319 - Onlyfans - Angel Youngs.jpg</v>
      </c>
      <c r="C1102" s="12" t="s">
        <v>8895</v>
      </c>
      <c r="D1102" s="46">
        <f>New!P:P</f>
        <v>0</v>
      </c>
    </row>
    <row r="1103" spans="1:4" ht="12.75">
      <c r="A1103" s="45" t="str">
        <f ca="1">New!M:M</f>
        <v>{New} Lena Paul https://lulustream.com/d/ubg3m9mzp2r3 https://streamtape.com/v/VVqaG3lLpehKJaM/37180502 https://doodstream.com/d/tv78ktj32rgw/37180502 (2026) #MILF #BigTits #Hardcore #Bigass #Blowjob #Amateur #Hotwife #RIPNSFW</v>
      </c>
      <c r="B1103" s="12" t="str">
        <f>New!A:A</f>
        <v>Lena Paul - 37180502 - ripnsfw.com.jpg</v>
      </c>
      <c r="C1103" s="12" t="s">
        <v>8895</v>
      </c>
      <c r="D1103" s="46">
        <f>New!P:P</f>
        <v>0</v>
      </c>
    </row>
    <row r="1104" spans="1:4" ht="12.75">
      <c r="A1104" s="45" t="str">
        <f ca="1">New!M:M</f>
        <v>{New} Lena Paul https://streamtape.com/v/KAWx6Pr9qqf0y6V/41030276 https://lulustream.com/d/5trkyyf9gqlv https://doodstream.com/d/0mwotdtwcgpx/41030276 Susie Stellar (2026) #milf #threesome #bigass #bigtits #RIPNSFW</v>
      </c>
      <c r="B1104" s="12" t="str">
        <f>New!A:A</f>
        <v>Lena Paul - 41030276 - Onlyfans - Susie Stellar.jpg</v>
      </c>
      <c r="C1104" s="12" t="s">
        <v>8895</v>
      </c>
      <c r="D1104" s="46">
        <f>New!P:P</f>
        <v>0</v>
      </c>
    </row>
    <row r="1105" spans="1:4" ht="12.75">
      <c r="A1105" s="45" t="str">
        <f ca="1">New!M:M</f>
        <v>{New} Lena Paul https://lulustream.com/d/dd00hm3trppv https://streamtape.com/v/PZKV8GjV7gT04d3/41292465 https://doodstream.com/d/5dxgxzvxrta6/41292465 (2026) #MILF #BigTits #Blowjob #Amateur #RIPNSFW</v>
      </c>
      <c r="B1105" s="12" t="str">
        <f>New!A:A</f>
        <v>Lena Paul - 41292465 - ripnsfw.com.jpg</v>
      </c>
      <c r="C1105" s="12" t="s">
        <v>8895</v>
      </c>
      <c r="D1105" s="46">
        <f>New!P:P</f>
        <v>0</v>
      </c>
    </row>
    <row r="1106" spans="1:4" ht="12.75">
      <c r="A1106" s="45" t="str">
        <f ca="1">New!M:M</f>
        <v>{New} Lena Paul https://streamtape.com/v/VoKk4JXeOJFkQz/44319291 https://doodstream.com/d/ekqf7cw1ztrw/44319291 https://lulustream.com/d/n420o64q00kl (2026) #MILF #BigTits #Hardcore #Bigass #Blowjob #Amateur #Hotwife #Deepthroat #RIPNSFW</v>
      </c>
      <c r="B1106" s="12" t="str">
        <f>New!A:A</f>
        <v>Lena Paul - 44319291 - ripnsfw.com.jpg</v>
      </c>
      <c r="C1106" s="12" t="s">
        <v>8895</v>
      </c>
      <c r="D1106" s="46">
        <f>New!P:P</f>
        <v>0</v>
      </c>
    </row>
    <row r="1107" spans="1:4" ht="12.75">
      <c r="A1107" s="45" t="str">
        <f ca="1">New!M:M</f>
        <v>{New} Lena Paul https://doodstream.com/d/lmgj4sziwv55/57956824 https://lulustream.com/d/rzwec9zqiaya https://streamtape.com/v/R6Poy6k2l6Cd4vj/57956824 (2026) #MILF #BigTits #Hardcore #Bigass #RIPNSFW</v>
      </c>
      <c r="B1107" s="12" t="str">
        <f>New!A:A</f>
        <v>Lena Paul - 57956824 - MLR.jpg</v>
      </c>
      <c r="C1107" s="12" t="s">
        <v>8895</v>
      </c>
      <c r="D1107" s="46">
        <f>New!P:P</f>
        <v>0</v>
      </c>
    </row>
    <row r="1108" spans="1:4" ht="12.75">
      <c r="A1108" s="45" t="str">
        <f ca="1">New!M:M</f>
        <v>{New} Lena Paul https://lulustream.com/d/bed0f8l9uikq https://streamtape.com/v/aZR9jR28v9fxV1D/58507052 https://doodstream.com/d/18odr1v4hyy9/58507052 (2026) #Anal #MILF #BigTits #Creampie #Hardcore #Bigass #Blowjob #RIPNSFW</v>
      </c>
      <c r="B1108" s="12" t="str">
        <f>New!A:A</f>
        <v>Lena Paul - 58507052 - ripnsfw.com.jpg</v>
      </c>
      <c r="C1108" s="12" t="s">
        <v>8895</v>
      </c>
      <c r="D1108" s="46">
        <f>New!P:P</f>
        <v>0</v>
      </c>
    </row>
    <row r="1109" spans="1:4" ht="12.75">
      <c r="A1109" s="45" t="str">
        <f ca="1">New!M:M</f>
        <v>{New} Lena Paul https://doodstream.com/d/o80x67gkjk4j/63024767 https://lulustream.com/d/ha5odfou3gw5 https://streamtape.com/v/owwAqvpW0pCvaX/63024767 (2026) #bigtits #milf #solo #dildo #RIPNSFW</v>
      </c>
      <c r="B1109" s="12" t="str">
        <f>New!A:A</f>
        <v>Lena Paul - 63024767 - Onlyfans.jpg</v>
      </c>
      <c r="C1109" s="12" t="s">
        <v>8895</v>
      </c>
      <c r="D1109" s="46">
        <f>New!P:P</f>
        <v>0</v>
      </c>
    </row>
    <row r="1110" spans="1:4" ht="12.75">
      <c r="A1110" s="45" t="str">
        <f ca="1">New!M:M</f>
        <v>{New} Lena Paul https://streamtape.com/v/YGJWxemXwQtvyeX/69129060 https://lulustream.com/d/u83v3q6a484x https://doodstream.com/d/ri13pntqhkon/69129060 (2026) #anal #creampie #milf #bigtits #RIPNSFW</v>
      </c>
      <c r="B1110" s="12" t="str">
        <f>New!A:A</f>
        <v>Lena Paul - 69129060 - Onlyfans.jpg</v>
      </c>
      <c r="C1110" s="12" t="s">
        <v>8895</v>
      </c>
      <c r="D1110" s="46">
        <f>New!P:P</f>
        <v>0</v>
      </c>
    </row>
    <row r="1111" spans="1:4" ht="12.75">
      <c r="A1111" s="45" t="str">
        <f ca="1">New!M:M</f>
        <v>{New} Lena Paul https://doodstream.com/d/xgx1ru5f5e7e/82667033 https://streamtape.com/v/bKorlmWRQXCPgpD/82667033 https://lulustream.com/d/xpkelppr29mh (2026) #MILF #BigTits #Hardcore #Bigass #Blowjob #Amateur #RIPNSFW</v>
      </c>
      <c r="B1111" s="12" t="str">
        <f>New!A:A</f>
        <v>Lena Paul - 82667033 - ripnsfw.com.jpg</v>
      </c>
      <c r="C1111" s="12" t="s">
        <v>8895</v>
      </c>
      <c r="D1111" s="46">
        <f>New!P:P</f>
        <v>0</v>
      </c>
    </row>
    <row r="1112" spans="1:4" ht="12.75">
      <c r="A1112" s="45" t="str">
        <f ca="1">New!M:M</f>
        <v>{New} Lena Paul https://lulustream.com/d/5nn2euyjsuqz https://doodstream.com/d/xoqcwuguryty/84320153 https://streamtape.com/v/yPL2OkdmrrTkZG/84320153 (2026) #milf #solo #bigtits #bigass #RIPNSFW</v>
      </c>
      <c r="B1112" s="12" t="str">
        <f>New!A:A</f>
        <v>Lena Paul - 84320153 - Onlyfans.jpg</v>
      </c>
      <c r="C1112" s="12" t="s">
        <v>8895</v>
      </c>
      <c r="D1112" s="46">
        <f>New!P:P</f>
        <v>0</v>
      </c>
    </row>
    <row r="1113" spans="1:4" ht="12.75">
      <c r="A1113" s="45" t="str">
        <f ca="1">New!M:M</f>
        <v>{New} Lena Paul https://lulustream.com/d/wuwnbiibozwd https://streamtape.com/v/zrR17qYyYAip7A/84424299 https://doodstream.com/d/3j92dahq9jhg/84424299 (2026) #MILF #BigTits #Hardcore #Bigass #Blowjob #RIPNSFW</v>
      </c>
      <c r="B1113" s="12" t="str">
        <f>New!A:A</f>
        <v>Lena Paul - 84424299 - ripnsfw.com.jpg</v>
      </c>
      <c r="C1113" s="12" t="s">
        <v>8895</v>
      </c>
      <c r="D1113" s="46">
        <f>New!P:P</f>
        <v>0</v>
      </c>
    </row>
    <row r="1114" spans="1:4" ht="12.75">
      <c r="A1114" s="45" t="str">
        <f ca="1">New!M:M</f>
        <v>{New} Lena Paul https://lulustream.com/d/r9asamlzfwbh https://streamtape.com/v/Voa98bPKroUKlyl/94995910 https://doodstream.com/d/c77qr2kbhodx/94995910 (2026) #MILF #BigTits #Bigass #Solo #Blonde #RIPNSFW</v>
      </c>
      <c r="B1114" s="12" t="str">
        <f>New!A:A</f>
        <v>Lena Paul - 94995910 - ripnsfw.com.jpg</v>
      </c>
      <c r="C1114" s="12" t="s">
        <v>8895</v>
      </c>
      <c r="D1114" s="46">
        <f>New!P:P</f>
        <v>0</v>
      </c>
    </row>
    <row r="1115" spans="1:4" ht="12.75">
      <c r="A1115" s="45" t="str">
        <f ca="1">New!M:M</f>
        <v>{New} Lena Paul https://streamtape.com/v/LV4eooMVr2FRpZ3/98221198 https://lulustream.com/d/0x5eiglhit36 https://doodstream.com/d/fx6sgs48ukn3/98221198 (2026) #MILF #BigTits #Hardcore #Bigass #RIPNSFW</v>
      </c>
      <c r="B1115" s="12" t="str">
        <f>New!A:A</f>
        <v>Lena Paul - 98221198 - ripnsfw.com.jpg</v>
      </c>
      <c r="C1115" s="12" t="s">
        <v>8895</v>
      </c>
      <c r="D1115" s="46">
        <f>New!P:P</f>
        <v>0</v>
      </c>
    </row>
    <row r="1116" spans="1:4" ht="12.75">
      <c r="A1116" s="45" t="str">
        <f ca="1">New!M:M</f>
        <v>{New} Lena Polanski https://doodstream.com/d/kla9i8moytjr/13773574 https://lulustream.com/d/qsr2i9lgtrs8 https://streamtape.com/v/DepyLkg4KXikX7g/13773574 (2026) #teen #blonde #bigtits #creampie #RIPNSFW</v>
      </c>
      <c r="B1116" s="12" t="str">
        <f>New!A:A</f>
        <v>Lena Polanski - 13773574 - Onlyfans.jpg</v>
      </c>
      <c r="C1116" s="12" t="s">
        <v>8895</v>
      </c>
      <c r="D1116" s="46">
        <f>New!P:P</f>
        <v>0</v>
      </c>
    </row>
    <row r="1117" spans="1:4" ht="12.75">
      <c r="A1117" s="45" t="str">
        <f ca="1">New!M:M</f>
        <v>{New} Lena Polanski https://doodstream.com/d/7z48hempim3s/24946235 https://streamtape.com/v/W8LGOR9zQrcb4aa/24946235 https://lulustream.com/d/zm8avh4d22wa (2026) #Anal #BigTits #Hardcore #Bigass #RIPNSFW</v>
      </c>
      <c r="B1117" s="12" t="str">
        <f>New!A:A</f>
        <v>Lena Polanski - 24946235 - ripnsfw.com.jpg</v>
      </c>
      <c r="C1117" s="12" t="s">
        <v>8895</v>
      </c>
      <c r="D1117" s="46">
        <f>New!P:P</f>
        <v>0</v>
      </c>
    </row>
    <row r="1118" spans="1:4" ht="12.75">
      <c r="A1118" s="45" t="str">
        <f ca="1">New!M:M</f>
        <v>{New} Lena Polanski https://doodstream.com/d/dzjkywizqjad/38748871 https://streamtape.com/v/4xQowJjo7Ziyme/38748871 https://lulustream.com/d/dhzac4cbevaj (2026) #blonde #teen #bigtits #blowjob #RIPNSFW</v>
      </c>
      <c r="B1118" s="12" t="str">
        <f>New!A:A</f>
        <v>Lena Polanski - 38748871 - Onlyfans.jpg</v>
      </c>
      <c r="C1118" s="12" t="s">
        <v>8895</v>
      </c>
      <c r="D1118" s="46">
        <f>New!P:P</f>
        <v>0</v>
      </c>
    </row>
    <row r="1119" spans="1:4" ht="12.75">
      <c r="A1119" s="45" t="str">
        <f ca="1">New!M:M</f>
        <v>{New} Lena Polanski https://doodstream.com/d/pxf1z6zni3t7/39109462 https://streamtape.com/v/0pDwMypRGdCb84e/39109462 https://lulustream.com/d/i5wg7hqjfomq (2026) #Anal #BigTits #Creampie #Hardcore #Bigass #Teen #Blowjob #Amateur #Deepthroat #RIPNSFW</v>
      </c>
      <c r="B1119" s="12" t="str">
        <f>New!A:A</f>
        <v>Lena Polanski - 39109462 - ripnsfw.com.jpg</v>
      </c>
      <c r="C1119" s="12" t="s">
        <v>8895</v>
      </c>
      <c r="D1119" s="46">
        <f>New!P:P</f>
        <v>0</v>
      </c>
    </row>
    <row r="1120" spans="1:4" ht="12.75">
      <c r="A1120" s="45" t="str">
        <f ca="1">New!M:M</f>
        <v>{New} Lena Polanski https://streamtape.com/v/qKrZ46OpGvUzg8m/51375358 https://doodstream.com/d/rtwu4lufarmg/51375358 https://lulustream.com/d/v73wcxnymewk Cheerleader Kait (2026) #BigTits #Hardcore #Threesome #Bigass #Teen #Blowjob #RIPNSFW</v>
      </c>
      <c r="B1120" s="12" t="str">
        <f>New!A:A</f>
        <v>Lena Polanski - 51375358 - ripnsfw.com - Cheerleader Kait.jpg</v>
      </c>
      <c r="C1120" s="12" t="s">
        <v>8895</v>
      </c>
      <c r="D1120" s="46">
        <f>New!P:P</f>
        <v>0</v>
      </c>
    </row>
    <row r="1121" spans="1:4" ht="12.75">
      <c r="A1121" s="45" t="str">
        <f ca="1">New!M:M</f>
        <v>{New} Lena Polanski https://streamtape.com/v/wGXybV9z99SJbzP/66318390 https://doodstream.com/d/qis3c1jqahj8/66318390 https://lulustream.com/d/ca68bet1imhw (2026) #BigTits #Creampie #Hardcore #Bigass #Teen #Artporn #Blowjob #Amateur #Blonde #RIPNSFW</v>
      </c>
      <c r="B1121" s="12" t="str">
        <f>New!A:A</f>
        <v>Lena Polanski - 66318390 - ripnsfw.com.jpg</v>
      </c>
      <c r="C1121" s="12" t="s">
        <v>8895</v>
      </c>
      <c r="D1121" s="46">
        <f>New!P:P</f>
        <v>0</v>
      </c>
    </row>
    <row r="1122" spans="1:4" ht="12.75">
      <c r="A1122" s="45" t="str">
        <f ca="1">New!M:M</f>
        <v>{New} Lena Polanski https://doodstream.com/d/jju9cmab9g89/91091749 https://lulustream.com/d/c5ige4t7kwoe https://streamtape.com/v/8VB8GLvDgmCoVRy/91091749 (2026) #BigTits #Creampie #Hardcore #Bigass #Teen #Blowjob #Amateur #Deepthroat #RIPNSFW</v>
      </c>
      <c r="B1122" s="12" t="str">
        <f>New!A:A</f>
        <v>Lena Polanski - 91091749 - ripnsfw.com.jpg</v>
      </c>
      <c r="C1122" s="12" t="s">
        <v>8895</v>
      </c>
      <c r="D1122" s="46">
        <f>New!P:P</f>
        <v>0</v>
      </c>
    </row>
    <row r="1123" spans="1:4" ht="12.75">
      <c r="A1123" s="45" t="str">
        <f ca="1">New!M:M</f>
        <v>{New} Lena Polanski https://streamtape.com/v/Q0BXv0ZL1WT0oWY/91174981 https://doodstream.com/d/nvhpfiqbsq0b/91174981 https://lulustream.com/d/3v1ahggxw1s7 (2026) #BigTits #Creampie #Hardcore #Bigass #Teen #RIPNSFW</v>
      </c>
      <c r="B1123" s="12" t="str">
        <f>New!A:A</f>
        <v>Lena Polanski - 91174981 - ripnsfw.com.jpg</v>
      </c>
      <c r="C1123" s="12" t="s">
        <v>8895</v>
      </c>
      <c r="D1123" s="46">
        <f>New!P:P</f>
        <v>0</v>
      </c>
    </row>
    <row r="1124" spans="1:4" ht="12.75">
      <c r="A1124" s="45" t="str">
        <f ca="1">New!M:M</f>
        <v>{New} Lena the plug https://doodstream.com/d/53iaalcpvf4b/15985766 https://lulustream.com/d/yy9x09w9z0m8 https://streamtape.com/v/aqpYVopKRgIxLdP/15985766 (2026) #MILF #BigTits #Hardcore #Bigass #RIPNSFW</v>
      </c>
      <c r="B1124" s="12" t="str">
        <f>New!A:A</f>
        <v>Lena the plug - 15985766 - Onlyfans.jpg</v>
      </c>
      <c r="C1124" s="12" t="s">
        <v>8895</v>
      </c>
      <c r="D1124" s="46">
        <f>New!P:P</f>
        <v>0</v>
      </c>
    </row>
    <row r="1125" spans="1:4" ht="12.75">
      <c r="A1125" s="45" t="str">
        <f ca="1">New!M:M</f>
        <v>{New} Lena the plug https://doodstream.com/d/dc56meb5hj9v/18963060 https://lulustream.com/d/iey51kgptzqa https://streamtape.com/v/4qlWWW7x9YTK0lj/18963060 Sinatra Monroe (2026) #MILF #BigTits #Hardcore #Threesome #Bigass #Blowjob #Stepmom #RIPNSFW</v>
      </c>
      <c r="B1125" s="12" t="str">
        <f>New!A:A</f>
        <v>Lena the plug - 18963060 - Onlyfans - Sinatra Monroe.jpg</v>
      </c>
      <c r="C1125" s="12" t="s">
        <v>8895</v>
      </c>
      <c r="D1125" s="46">
        <f>New!P:P</f>
        <v>0</v>
      </c>
    </row>
    <row r="1126" spans="1:4" ht="12.75">
      <c r="A1126" s="45" t="str">
        <f ca="1">New!M:M</f>
        <v>{New} Lena the plug https://streamtape.com/v/4qB4AXK2aWHKbpX/29767304 https://doodstream.com/d/4rulwkdwgg81/29767304 https://lulustream.com/d/n6zfj44eds0f (2026) #milf #blowjob #bigtits #bigass #RIPNSFW</v>
      </c>
      <c r="B1126" s="12" t="str">
        <f>New!A:A</f>
        <v>Lena the plug - 29767304 - Onlyfans.jpg</v>
      </c>
      <c r="C1126" s="12" t="s">
        <v>8895</v>
      </c>
      <c r="D1126" s="46">
        <f>New!P:P</f>
        <v>0</v>
      </c>
    </row>
    <row r="1127" spans="1:4" ht="12.75">
      <c r="A1127" s="45" t="str">
        <f ca="1">New!M:M</f>
        <v>{New} Lena the plug https://lulustream.com/d/pw7trcvapqcl https://streamtape.com/v/oZRD34dM8OUxo0/35146123 https://doodstream.com/d/5od2geulqid5/35146123 Jewelz Blu (2026) #MILF #BigTits #Hardcore #Threesome #RIPNSFW</v>
      </c>
      <c r="B1127" s="12" t="str">
        <f>New!A:A</f>
        <v>Lena the plug - 35146123 - Onlyfans - Jewelz Blu.jpg</v>
      </c>
      <c r="C1127" s="12" t="s">
        <v>8895</v>
      </c>
      <c r="D1127" s="46">
        <f>New!P:P</f>
        <v>0</v>
      </c>
    </row>
    <row r="1128" spans="1:4" ht="12.75">
      <c r="A1128" s="45" t="str">
        <f ca="1">New!M:M</f>
        <v>{New} Lena the plug https://streamtape.com/v/MrkAXLpkdZimVYg/44691980 https://lulustream.com/d/qmiluejocsno https://doodstream.com/d/pp90m82ap5ez/44691980 (2026) #anal #milf #bigtits #blowjob #RIPNSFW</v>
      </c>
      <c r="B1128" s="12" t="str">
        <f>New!A:A</f>
        <v>Lena the plug - 44691980 - Onlyfans.jpg</v>
      </c>
      <c r="C1128" s="12" t="s">
        <v>8895</v>
      </c>
      <c r="D1128" s="46">
        <f>New!P:P</f>
        <v>0</v>
      </c>
    </row>
    <row r="1129" spans="1:4" ht="12.75">
      <c r="A1129" s="45" t="str">
        <f ca="1">New!M:M</f>
        <v>{New} Lena the plug https://lulustream.com/d/ypsepkslsobp https://streamtape.com/v/GWKRpxwXlrI1p9v/44757154 https://doodstream.com/d/u0upu4ekcach/44757154 (2026) #MILF #BigTits #Hardcore #Black #RIPNSFW</v>
      </c>
      <c r="B1129" s="12" t="str">
        <f>New!A:A</f>
        <v>Lena the plug - 44757154 - ripnsfw.com.jpg</v>
      </c>
      <c r="C1129" s="12" t="s">
        <v>8895</v>
      </c>
      <c r="D1129" s="46">
        <f>New!P:P</f>
        <v>0</v>
      </c>
    </row>
    <row r="1130" spans="1:4" ht="12.75">
      <c r="A1130" s="45" t="str">
        <f ca="1">New!M:M</f>
        <v>{New} Lena the plug https://doodstream.com/d/busnk0xrv0re/62542301 https://lulustream.com/d/sqei02qk2th4 https://streamtape.com/v/PqvXDBlGPpt039d/62542301 (2026) #milf #bigass #bigtits #blowjob #RIPNSFW</v>
      </c>
      <c r="B1130" s="12" t="str">
        <f>New!A:A</f>
        <v>Lena the plug - 62542301 - Onlyfans.jpg</v>
      </c>
      <c r="C1130" s="12" t="s">
        <v>8895</v>
      </c>
      <c r="D1130" s="46">
        <f>New!P:P</f>
        <v>0</v>
      </c>
    </row>
    <row r="1131" spans="1:4" ht="12.75">
      <c r="A1131" s="45" t="str">
        <f ca="1">New!M:M</f>
        <v>{New} Lena the plug https://doodstream.com/d/1zq8u0l79ouf/74722268 https://lulustream.com/d/s7nrem3sveq0 https://streamtape.com/v/dvPOVjqwKLIkowL/74722268 (2026) #milf #blowjob #bigtits #bigass #RIPNSFW</v>
      </c>
      <c r="B1131" s="12" t="str">
        <f>New!A:A</f>
        <v>Lena the plug - 74722268 - Onlyfans.jpg</v>
      </c>
      <c r="C1131" s="12" t="s">
        <v>8895</v>
      </c>
      <c r="D1131" s="46">
        <f>New!P:P</f>
        <v>0</v>
      </c>
    </row>
    <row r="1132" spans="1:4" ht="12.75">
      <c r="A1132" s="45" t="str">
        <f ca="1">New!M:M</f>
        <v>Lena the plug https://streamtape.com/v/l4GoQ18PWduolY/75484337 https://doodstream.com/d/s0rhwcdx13ju/75484337 https://lulustream.com/d/ebu8z6u9j04g #threesome #milf #blowjob #bigtits #RIPNSFW</v>
      </c>
      <c r="B1132" s="12" t="str">
        <f>New!A:A</f>
        <v>Lena the plug - 75484337 - Onlyfans.jpg</v>
      </c>
      <c r="C1132" s="12" t="s">
        <v>8895</v>
      </c>
      <c r="D1132" s="46">
        <f>New!P:P</f>
        <v>0</v>
      </c>
    </row>
    <row r="1133" spans="1:4" ht="12.75">
      <c r="A1133" s="45" t="str">
        <f ca="1">New!M:M</f>
        <v>{New} Lena the plug https://streamtape.com/v/pbjpYxZ7zacrOgG/79601210 https://doodstream.com/d/g3qosmd7zb6c/79601210 https://lulustream.com/d/4iovuc0mcg07 (2026) #milf #bigtits #bigass #blowjob #RIPNSFW</v>
      </c>
      <c r="B1133" s="12" t="str">
        <f>New!A:A</f>
        <v>Lena the plug - 79601210 - Onlyfans.jpg</v>
      </c>
      <c r="C1133" s="12" t="s">
        <v>8895</v>
      </c>
      <c r="D1133" s="46">
        <f>New!P:P</f>
        <v>0</v>
      </c>
    </row>
    <row r="1134" spans="1:4" ht="12.75">
      <c r="A1134" s="45" t="str">
        <f ca="1">New!M:M</f>
        <v>{New} Lena the plug https://doodstream.com/d/kp2wn8ma1ct3/85084017 https://streamtape.com/v/OxK128PJ39tZyoB/85084017 https://lulustream.com/d/2us24lnpfh8a (2026) #MILF #BigTits #Hardcore #Bigass #Latina #RIPNSFW</v>
      </c>
      <c r="B1134" s="12" t="str">
        <f>New!A:A</f>
        <v>Lena the plug - 85084017 - ripnsfw.com.jpg</v>
      </c>
      <c r="C1134" s="12" t="s">
        <v>8895</v>
      </c>
      <c r="D1134" s="46">
        <f>New!P:P</f>
        <v>0</v>
      </c>
    </row>
    <row r="1135" spans="1:4" ht="12.75">
      <c r="A1135" s="45" t="str">
        <f ca="1">New!M:M</f>
        <v>{New} Lena the plug https://doodstream.com/d/ant9vosfkq0q/85746653 https://lulustream.com/d/vyv38tveubte https://streamtape.com/v/jv2lDY03dkfD9R/85746653 (2026) #milf #threesome #bigass #bigtits #RIPNSFW</v>
      </c>
      <c r="B1135" s="12" t="str">
        <f>New!A:A</f>
        <v>Lena the plug - 85746653 - Onlyfans.jpg</v>
      </c>
      <c r="C1135" s="12" t="s">
        <v>8895</v>
      </c>
      <c r="D1135" s="46">
        <f>New!P:P</f>
        <v>0</v>
      </c>
    </row>
    <row r="1136" spans="1:4" ht="12.75">
      <c r="A1136" s="45" t="str">
        <f ca="1">New!M:M</f>
        <v>{New} Lexi Belle https://streamtape.com/v/eAm6yvkmjZcYzAR/14586632 https://doodstream.com/d/vnbecbxipr51/14586632 https://lulustream.com/d/odv5jczmsubb (2026) #Hardcore #Teen #Blowjob #Amateur #RIPNSFW</v>
      </c>
      <c r="B1136" s="12" t="str">
        <f>New!A:A</f>
        <v>Lexi Belle - 14586632 - Onlyfans.jpg</v>
      </c>
      <c r="C1136" s="12" t="s">
        <v>8895</v>
      </c>
      <c r="D1136" s="46">
        <f>New!P:P</f>
        <v>0</v>
      </c>
    </row>
    <row r="1137" spans="1:4" ht="12.75">
      <c r="A1137" s="45" t="str">
        <f ca="1">New!M:M</f>
        <v>{New} Lexi Belle https://streamtape.com/v/mOyMb4Z6j4CdkW/30943150 https://lulustream.com/d/5gacj4ordbnq https://doodstream.com/d/8tqu72h7lllv/30943150 (2026) #blowjob #blonde #teen #amateur #RIPNSFW</v>
      </c>
      <c r="B1137" s="12" t="str">
        <f>New!A:A</f>
        <v>Lexi Belle - 30943150 - Onlyfans.jpg</v>
      </c>
      <c r="C1137" s="12" t="s">
        <v>8895</v>
      </c>
      <c r="D1137" s="46">
        <f>New!P:P</f>
        <v>0</v>
      </c>
    </row>
    <row r="1138" spans="1:4" ht="12.75">
      <c r="A1138" s="45" t="str">
        <f ca="1">New!M:M</f>
        <v>{New} Lexi Belle https://lulustream.com/d/n0yeqy5649p8 https://doodstream.com/d/f2sbpfgftmr2/43590742 https://streamtape.com/v/4zPRWrG9ozFra1/43590742 (2026) #Hardcore #Bigass #Teen #Blowjob #RIPNSFW</v>
      </c>
      <c r="B1138" s="12" t="str">
        <f>New!A:A</f>
        <v>Lexi Belle - 43590742 - Onlyfans.jpg</v>
      </c>
      <c r="C1138" s="12" t="s">
        <v>8895</v>
      </c>
      <c r="D1138" s="46">
        <f>New!P:P</f>
        <v>0</v>
      </c>
    </row>
    <row r="1139" spans="1:4" ht="12.75">
      <c r="A1139" s="45" t="str">
        <f ca="1">New!M:M</f>
        <v>{New} Lexi Belle https://streamtape.com/v/3wJKvGebqZUdedg/50640426 https://doodstream.com/d/eckkhtpcb0iq/50640426 https://lulustream.com/d/nsjpvu46rj1l (2026) #teen #blowjob #roleplay #pov #RIPNSFW</v>
      </c>
      <c r="B1139" s="12" t="str">
        <f>New!A:A</f>
        <v>Lexi Belle - 50640426 - Onlyfans.jpg</v>
      </c>
      <c r="C1139" s="12" t="s">
        <v>8895</v>
      </c>
      <c r="D1139" s="46">
        <f>New!P:P</f>
        <v>0</v>
      </c>
    </row>
    <row r="1140" spans="1:4" ht="12.75">
      <c r="A1140" s="45" t="str">
        <f ca="1">New!M:M</f>
        <v>{New} Lexi Belle https://lulustream.com/d/0jmrvjewvf3p https://doodstream.com/d/7ae2jekew11j/86205405 https://streamtape.com/v/0WqpYAaY3WTbwPM/86205405 (2026) #MILF #Blowjob #Amateur #Blonde #RIPNSFW</v>
      </c>
      <c r="B1140" s="12" t="str">
        <f>New!A:A</f>
        <v>Lexi Belle - 86205405 - Onlyfans.jpg</v>
      </c>
      <c r="C1140" s="12" t="s">
        <v>8895</v>
      </c>
      <c r="D1140" s="46">
        <f>New!P:P</f>
        <v>0</v>
      </c>
    </row>
    <row r="1141" spans="1:4" ht="12.75">
      <c r="A1141" s="45" t="str">
        <f ca="1">New!M:M</f>
        <v>{New} Lexi Belle https://doodstream.com/d/xvzc3ntle4zs/89537050 https://streamtape.com/v/DZg3olZXjeFDd7/89537050 https://lulustream.com/d/9o4bpulrnxg8 (2026) #teen #blowjob #roleplay #amateur #RIPNSFW</v>
      </c>
      <c r="B1141" s="12" t="str">
        <f>New!A:A</f>
        <v>Lexi Belle - 89537050 - Onlyfans.jpg</v>
      </c>
      <c r="C1141" s="12" t="s">
        <v>8895</v>
      </c>
      <c r="D1141" s="46">
        <f>New!P:P</f>
        <v>0</v>
      </c>
    </row>
    <row r="1142" spans="1:4" ht="12.75">
      <c r="A1142" s="45" t="str">
        <f ca="1">New!M:M</f>
        <v>{New} Lilibet Saunders https://lulustream.com/d/cm0udikm5btr https://streamtape.com/v/k9eZzjDJ4gCO1Ar/22672446 https://doodstream.com/d/syednfqi2czd/22672446 (2026) #BigTits #Hardcore #Black #Interracial #RIPNSFW</v>
      </c>
      <c r="B1142" s="12" t="str">
        <f>New!A:A</f>
        <v>Lilibet Saunders - 22672446 - ripnsfw.com.jpg</v>
      </c>
      <c r="C1142" s="12" t="s">
        <v>8895</v>
      </c>
      <c r="D1142" s="46">
        <f>New!P:P</f>
        <v>0</v>
      </c>
    </row>
    <row r="1143" spans="1:4" ht="12.75">
      <c r="A1143" s="45" t="str">
        <f ca="1">New!M:M</f>
        <v>{New} Lilibet Saunders https://doodstream.com/d/epxr2y00ybva/51729589 https://lulustream.com/d/s3hjoa1qcxbt https://streamtape.com/v/K9brDymOY1f01BP/51729589 Cory Chase (2026) #MILF #BigTits #Hardcore #Threesome #RIPNSFW</v>
      </c>
      <c r="B1143" s="12" t="str">
        <f>New!A:A</f>
        <v>Lilibet Saunders - 51729589 - TH - Cory Chase.jpg</v>
      </c>
      <c r="C1143" s="12" t="s">
        <v>8895</v>
      </c>
      <c r="D1143" s="46">
        <f>New!P:P</f>
        <v>0</v>
      </c>
    </row>
    <row r="1144" spans="1:4" ht="12.75">
      <c r="A1144" s="45" t="str">
        <f ca="1">New!M:M</f>
        <v>{New} Lilibet Saunders https://streamtape.com/v/AJZXWQ7d8eImWp/57590408 https://doodstream.com/d/14ctq1ev6ezp/57590408 https://lulustream.com/d/dp5h5bqhl9kx (2026) #BigTits #Hardcore #Bigass #Teen #Artporn #RIPNSFW</v>
      </c>
      <c r="B1144" s="12" t="str">
        <f>New!A:A</f>
        <v>Lilibet Saunders - 57590408 - FamilyTherapy.jpg</v>
      </c>
      <c r="C1144" s="12" t="s">
        <v>8895</v>
      </c>
      <c r="D1144" s="46">
        <f>New!P:P</f>
        <v>0</v>
      </c>
    </row>
    <row r="1145" spans="1:4" ht="12.75">
      <c r="A1145" s="45" t="str">
        <f ca="1">New!M:M</f>
        <v>{New} Lilibet Saunders https://lulustream.com/d/hbbedc5ckluh https://streamtape.com/v/BqAZ87j6y9cQOw/59586146 https://doodstream.com/d/qip1qarxrjsw/59586146 (2026) #BigTits #Hardcore #Black #Interracial #Bigass #Porn #Teen #Blowjob #RIPNSFW</v>
      </c>
      <c r="B1145" s="12" t="str">
        <f>New!A:A</f>
        <v>Lilibet Saunders - 59586146 - ripnsfw.com.jpg</v>
      </c>
      <c r="C1145" s="12" t="s">
        <v>8895</v>
      </c>
      <c r="D1145" s="46">
        <f>New!P:P</f>
        <v>0</v>
      </c>
    </row>
    <row r="1146" spans="1:4" ht="12.75">
      <c r="A1146" s="45" t="str">
        <f ca="1">New!M:M</f>
        <v>{New} Lilibet Saunders https://doodstream.com/d/xpl94upkr2q0/66638774 https://lulustream.com/d/zko8l0tg2fa8 https://streamtape.com/v/YwlA4PwJe4CdGO/66638774 (2026) #BigTits #Hardcore #Bigass #Teen #Blowjob #RIPNSFW</v>
      </c>
      <c r="B1146" s="12" t="str">
        <f>New!A:A</f>
        <v>Lilibet Saunders - 66638774 - ripnsfw.com.jpg</v>
      </c>
      <c r="C1146" s="12" t="s">
        <v>8895</v>
      </c>
      <c r="D1146" s="46">
        <f>New!P:P</f>
        <v>0</v>
      </c>
    </row>
    <row r="1147" spans="1:4" ht="12.75">
      <c r="A1147" s="45" t="str">
        <f ca="1">New!M:M</f>
        <v>{New} Lilibet Saunders https://doodstream.com/d/k3mw8zyqsclc/73049112 https://lulustream.com/d/xrlp5zokar9z https://streamtape.com/v/BvjVR1BaOrsVBV/73049112 (2026) #teen #bigtits #porn #bigass #RIPNSFW</v>
      </c>
      <c r="B1147" s="12" t="str">
        <f>New!A:A</f>
        <v>Lilibet Saunders - 73049112 - TT.jpg</v>
      </c>
      <c r="C1147" s="12" t="s">
        <v>8895</v>
      </c>
      <c r="D1147" s="46">
        <f>New!P:P</f>
        <v>0</v>
      </c>
    </row>
    <row r="1148" spans="1:4" ht="12.75">
      <c r="A1148" s="45" t="str">
        <f ca="1">New!M:M</f>
        <v>{New} Lily Lanes https://streamtape.com/v/OqAaKpgbQ1ig3G/49905651 https://lulustream.com/d/bx3a642ibpqs https://doodstream.com/d/g9k6jwn7u2eg/49905651 (2026) #BigTits #Teen #Blowjob #Amateur #Deepthroat #Blonde #RIPNSFW</v>
      </c>
      <c r="B1148" s="12" t="str">
        <f>New!A:A</f>
        <v>Lily Lanes - 49905651 - ripnsfw.com.jpg</v>
      </c>
      <c r="C1148" s="12" t="s">
        <v>8895</v>
      </c>
      <c r="D1148" s="46">
        <f>New!P:P</f>
        <v>0</v>
      </c>
    </row>
    <row r="1149" spans="1:4" ht="12.75">
      <c r="A1149" s="45" t="str">
        <f ca="1">New!M:M</f>
        <v>{New} Lily Lanes https://streamtape.com/v/jYGm4XD3oLim9p/66507163 https://doodstream.com/d/rhfzvs3r7dl8/66507163 https://lulustream.com/d/j453xg41yytk (2026) #bigtits #bigass #teen #blowjob #RIPNSFW</v>
      </c>
      <c r="B1149" s="12" t="str">
        <f>New!A:A</f>
        <v>Lily Lanes - 66507163 - Onlyfans.jpg</v>
      </c>
      <c r="C1149" s="12" t="s">
        <v>8895</v>
      </c>
      <c r="D1149" s="46">
        <f>New!P:P</f>
        <v>0</v>
      </c>
    </row>
    <row r="1150" spans="1:4" ht="12.75">
      <c r="A1150" s="45" t="str">
        <f ca="1">New!M:M</f>
        <v>{New} Lily Lanes https://streamtape.com/v/zM9zg8LeoLUyjJ/72145197 https://doodstream.com/d/duc0cd5ofl0t/72145197 https://lulustream.com/d/68ui0wgr5mn3 (2026) #bigtits #teen #blowjob #amateur #RIPNSFW</v>
      </c>
      <c r="B1150" s="12" t="str">
        <f>New!A:A</f>
        <v>Lily Lanes - 72145197 - Onlyfans.jpg</v>
      </c>
      <c r="C1150" s="12" t="s">
        <v>8895</v>
      </c>
      <c r="D1150" s="46">
        <f>New!P:P</f>
        <v>0</v>
      </c>
    </row>
    <row r="1151" spans="1:4" ht="12.75">
      <c r="A1151" s="45" t="str">
        <f ca="1">New!M:M</f>
        <v>{New} Lily Lanes https://streamtape.com/v/m3gRYPGeqRU634/94429684 https://doodstream.com/d/wz2pocnou9xu/94429684 https://lulustream.com/d/mvu7kixamvm3 (2026) #teen #blonde #blowjob #pov #RIPNSFW</v>
      </c>
      <c r="B1151" s="12" t="str">
        <f>New!A:A</f>
        <v>Lily Lanes - 94429684 - Onlyfans.jpg</v>
      </c>
      <c r="C1151" s="12" t="s">
        <v>8895</v>
      </c>
      <c r="D1151" s="46">
        <f>New!P:P</f>
        <v>0</v>
      </c>
    </row>
    <row r="1152" spans="1:4" ht="12.75">
      <c r="A1152" s="45" t="str">
        <f ca="1">New!M:M</f>
        <v>{New} Lily Lou https://streamtape.com/v/Mj9L2AzRJkTmJyX/84313016 https://doodstream.com/d/u5iv9s2edjab/84313016 https://lulustream.com/d/60i76fng21pw Lena the plug (2026) #MILF #BigTits #Hardcore #Creampie #Bigass #Blowjob #RIPNSFW</v>
      </c>
      <c r="B1152" s="12" t="str">
        <f>New!A:A</f>
        <v>Lily Lou - 84313016 - ripnsfw.com - Lena the plug.jpg</v>
      </c>
      <c r="C1152" s="12" t="s">
        <v>8895</v>
      </c>
      <c r="D1152" s="46">
        <f>New!P:P</f>
        <v>0</v>
      </c>
    </row>
    <row r="1153" spans="1:4" ht="12.75">
      <c r="A1153" s="45" t="str">
        <f ca="1">New!M:M</f>
        <v>{New} Lily Phillips https://lulustream.com/d/0tk3oo52duw8 https://streamtape.com/v/vgdL73Zj8PS49rq/13508856 https://doodstream.com/d/edqhy2usqdrx/13508856 Annie Kate (2026) #anal #teen #doublepenetration #bigass #RIPNSFW</v>
      </c>
      <c r="B1153" s="12" t="str">
        <f>New!A:A</f>
        <v>Lily Phillips - 13508856 - Onlyfans - Annie Kate.jpg</v>
      </c>
      <c r="C1153" s="12" t="s">
        <v>8895</v>
      </c>
      <c r="D1153" s="46">
        <f>New!P:P</f>
        <v>0</v>
      </c>
    </row>
    <row r="1154" spans="1:4" ht="12.75">
      <c r="A1154" s="45" t="str">
        <f ca="1">New!M:M</f>
        <v>{New} Lily Phillips https://doodstream.com/d/eqgaant86968/14574939 https://streamtape.com/v/a4WYPDYrWPIxL0v/14574939 https://lulustream.com/d/6wo8gh05fhre (2026) #teen #gangbang #blowjob #bigass #RIPNSFW</v>
      </c>
      <c r="B1154" s="12" t="str">
        <f>New!A:A</f>
        <v>Lily Phillips - 14574939 - Onlyfans.jpg</v>
      </c>
      <c r="C1154" s="12" t="s">
        <v>8895</v>
      </c>
      <c r="D1154" s="46">
        <f>New!P:P</f>
        <v>0</v>
      </c>
    </row>
    <row r="1155" spans="1:4" ht="12.75">
      <c r="A1155" s="45" t="str">
        <f ca="1">New!M:M</f>
        <v>{New} Lily Phillips https://streamtape.com/v/GAbl9Y13MRh1rpy/16139632 https://lulustream.com/d/wjfhrla9o7ua https://doodstream.com/d/sw3hg6fev1ei/16139632 (2026) #teen #blowjob #blonde #bigass #RIPNSFW</v>
      </c>
      <c r="B1155" s="12" t="str">
        <f>New!A:A</f>
        <v>Lily Phillips - 16139632 - Onlyfans.jpg</v>
      </c>
      <c r="C1155" s="12" t="s">
        <v>8895</v>
      </c>
      <c r="D1155" s="46">
        <f>New!P:P</f>
        <v>0</v>
      </c>
    </row>
    <row r="1156" spans="1:4" ht="12.75">
      <c r="A1156" s="45" t="str">
        <f ca="1">New!M:M</f>
        <v>{New} Lily Phillips https://doodstream.com/d/zcllkxfau0xx/25426930 https://lulustream.com/d/u1qxoddv5f2h https://streamtape.com/v/pbQQVDR0yMFraKA/25426930 Bonnie Blue (2026) #teen #bigtits #blowjob #threesome #RIPNSFW</v>
      </c>
      <c r="B1156" s="12" t="str">
        <f>New!A:A</f>
        <v>Lily Phillips - 25426930 - Onlyfans - Bonnie Blue.jpg</v>
      </c>
      <c r="C1156" s="12" t="s">
        <v>8895</v>
      </c>
      <c r="D1156" s="46">
        <f>New!P:P</f>
        <v>0</v>
      </c>
    </row>
    <row r="1157" spans="1:4" ht="12.75">
      <c r="A1157" s="45" t="str">
        <f ca="1">New!M:M</f>
        <v>{New} Lily Phillips https://streamtape.com/v/y7202Jy4zwim8y/40018720 https://lulustream.com/d/utj9axz7yriz https://doodstream.com/d/ubgixx0t0tnw/40018720 (2026) #BigTits #Hardcore #Bigass #Teen #RIPNSFW</v>
      </c>
      <c r="B1157" s="12" t="str">
        <f>New!A:A</f>
        <v>Lily Phillips - 40018720 - PB.jpg</v>
      </c>
      <c r="C1157" s="12" t="s">
        <v>8895</v>
      </c>
      <c r="D1157" s="46">
        <f>New!P:P</f>
        <v>0</v>
      </c>
    </row>
    <row r="1158" spans="1:4" ht="12.75">
      <c r="A1158" s="45" t="str">
        <f ca="1">New!M:M</f>
        <v>{New} Lily Phillips https://streamtape.com/v/P9MaZPP1ZyIkBQ/41732670 https://doodstream.com/d/hyiw9mk4x5t1/41732670 https://lulustream.com/d/g9kex0k248mg (2026) #teen #cuckold #blowjob #blonde #RIPNSFW</v>
      </c>
      <c r="B1158" s="12" t="str">
        <f>New!A:A</f>
        <v>Lily Phillips - 41732670 - Onlyfans.jpg</v>
      </c>
      <c r="C1158" s="12" t="s">
        <v>8895</v>
      </c>
      <c r="D1158" s="46">
        <f>New!P:P</f>
        <v>0</v>
      </c>
    </row>
    <row r="1159" spans="1:4" ht="12.75">
      <c r="A1159" s="45" t="str">
        <f ca="1">New!M:M</f>
        <v>Lily Phillips https://doodstream.com/d/c37uidbupzl8/45303572 https://lulustream.com/d/pft0uesfnvnn https://streamtape.com/v/VVX7Rbg6VKFKRzG/45303572 #teen #blonde #gangbang #cumshot #RIPNSFW</v>
      </c>
      <c r="B1159" s="12" t="str">
        <f>New!A:A</f>
        <v>Lily Phillips - 45303572 - Onlyfans.jpg</v>
      </c>
      <c r="C1159" s="12" t="s">
        <v>8895</v>
      </c>
      <c r="D1159" s="46">
        <f>New!P:P</f>
        <v>0</v>
      </c>
    </row>
    <row r="1160" spans="1:4" ht="12.75">
      <c r="A1160" s="45" t="str">
        <f ca="1">New!M:M</f>
        <v>{New} Lily Phillips https://doodstream.com/d/kuv8sbafwpxv/58309361 https://lulustream.com/d/1m6x8n6nx4mm https://streamtape.com/v/vDAm2BjrQMi4XDZ/58309361 (2026) #teen #gangbang #doublepenetration #piss #RIPNSFW</v>
      </c>
      <c r="B1160" s="12" t="str">
        <f>New!A:A</f>
        <v>Lily Phillips - 58309361 - Onlyfans.jpg</v>
      </c>
      <c r="C1160" s="12" t="s">
        <v>8895</v>
      </c>
      <c r="D1160" s="46">
        <f>New!P:P</f>
        <v>0</v>
      </c>
    </row>
    <row r="1161" spans="1:4" ht="12.75">
      <c r="A1161" s="45" t="str">
        <f ca="1">New!M:M</f>
        <v>{New} Lily Phillips https://lulustream.com/d/ywwr79k68yi2 https://doodstream.com/d/r567rlxm5pib/59344750 https://streamtape.com/v/LdeXOOZbOVfRzYj/59344750 (2026) #teen #gangbang #interracial #blowjob #RIPNSFW</v>
      </c>
      <c r="B1161" s="12" t="str">
        <f>New!A:A</f>
        <v>Lily Phillips - 59344750 - Onlyfans.jpg</v>
      </c>
      <c r="C1161" s="12" t="s">
        <v>8895</v>
      </c>
      <c r="D1161" s="46">
        <f>New!P:P</f>
        <v>0</v>
      </c>
    </row>
    <row r="1162" spans="1:4" ht="12.75">
      <c r="A1162" s="45" t="str">
        <f ca="1">New!M:M</f>
        <v>{New} Lily Phillips https://doodstream.com/d/64d8ambzmhi5/62412720 https://streamtape.com/v/RyPvzbJ3K3Ud376/62412720 https://lulustream.com/d/fth8zrannchz (2026) #anal #bigass #blonde #blowjob #RIPNSFW</v>
      </c>
      <c r="B1162" s="12" t="str">
        <f>New!A:A</f>
        <v>Lily Phillips - 62412720 - Onlyfans.jpg</v>
      </c>
      <c r="C1162" s="12" t="s">
        <v>8895</v>
      </c>
      <c r="D1162" s="46">
        <f>New!P:P</f>
        <v>0</v>
      </c>
    </row>
    <row r="1163" spans="1:4" ht="12.75">
      <c r="A1163" s="45" t="str">
        <f ca="1">New!M:M</f>
        <v>{New} Lily Phillips https://streamtape.com/v/o2zr94XKAjCJmkZ/65483042 https://doodstream.com/d/1n0l5e9urcfb/65483042 https://lulustream.com/d/2aer9iefl3j9 (2026) #anal #creampie #hardcore #threesome #RIPNSFW</v>
      </c>
      <c r="B1163" s="12" t="str">
        <f>New!A:A</f>
        <v>Lily Phillips - 65483042 - TTPOV.jpg</v>
      </c>
      <c r="C1163" s="12" t="s">
        <v>8895</v>
      </c>
      <c r="D1163" s="46">
        <f>New!P:P</f>
        <v>0</v>
      </c>
    </row>
    <row r="1164" spans="1:4" ht="12.75">
      <c r="A1164" s="45" t="str">
        <f ca="1">New!M:M</f>
        <v>{New} Lily Phillips https://doodstream.com/d/gxr830trvz29/70477182 https://lulustream.com/d/0ems3op9a0kr https://streamtape.com/v/Y8BM11LjM2Uv9xk/70477182 (2026) #BigTits #Hardcore #Black #Interracial #Teen #RIPNSFW</v>
      </c>
      <c r="B1164" s="12" t="str">
        <f>New!A:A</f>
        <v>Lily Phillips - 70477182 - ripnsfw.com.jpg</v>
      </c>
      <c r="C1164" s="12" t="s">
        <v>8895</v>
      </c>
      <c r="D1164" s="46">
        <f>New!P:P</f>
        <v>0</v>
      </c>
    </row>
    <row r="1165" spans="1:4" ht="12.75">
      <c r="A1165" s="45" t="str">
        <f ca="1">New!M:M</f>
        <v>{New} Lily Phillips https://lulustream.com/d/sdf4nslcgx4l https://streamtape.com/v/aoAevexXZDtzM9/77002283 https://doodstream.com/d/gmmh8h6416d4/77002283 (2026) #interracial #gangbang #doublepentration #blonde #RIPNSFW</v>
      </c>
      <c r="B1165" s="12" t="str">
        <f>New!A:A</f>
        <v>Lily Phillips - 77002283 - PB.jpg</v>
      </c>
      <c r="C1165" s="12" t="s">
        <v>8895</v>
      </c>
      <c r="D1165" s="46">
        <f>New!P:P</f>
        <v>0</v>
      </c>
    </row>
    <row r="1166" spans="1:4" ht="12.75">
      <c r="A1166" s="45" t="str">
        <f ca="1">New!M:M</f>
        <v>{New} Lily Phillips https://doodstream.com/d/dj6fxrdjgmo3/78144589 https://streamtape.com/v/wG7MrMRJqgHJyx8/78144589 https://lulustream.com/d/5w4ojbysu7fy (2026) #Hardcore #Bigass #Teen #Blowjob #RIPNSFW</v>
      </c>
      <c r="B1166" s="12" t="str">
        <f>New!A:A</f>
        <v>Lily Phillips - 78144589 - Onlyfans.jpg</v>
      </c>
      <c r="C1166" s="12" t="s">
        <v>8895</v>
      </c>
      <c r="D1166" s="46">
        <f>New!P:P</f>
        <v>0</v>
      </c>
    </row>
    <row r="1167" spans="1:4" ht="12.75">
      <c r="A1167" s="45" t="str">
        <f ca="1">New!M:M</f>
        <v>Lily Phillips https://lulustream.com/d/fcpswmmrkklu https://streamtape.com/v/9pQY7ymO8dIaxJD/89948601 https://doodstream.com/d/e2n6wwncapje/89948601 Bonnie Blue #orgy #teens #blowjob #blonde #RIPNSFW</v>
      </c>
      <c r="B1167" s="12" t="str">
        <f>New!A:A</f>
        <v>Lily Phillips - 89948601 - Onlyfans - Bonnie Blue.jpg</v>
      </c>
      <c r="C1167" s="12" t="s">
        <v>8895</v>
      </c>
      <c r="D1167" s="46">
        <f>New!P:P</f>
        <v>0</v>
      </c>
    </row>
    <row r="1168" spans="1:4" ht="12.75">
      <c r="A1168" s="45" t="str">
        <f ca="1">New!M:M</f>
        <v>{New} Lily Phillips https://streamtape.com/v/GXLvwP0WvvTa7M/91665456 https://doodstream.com/d/lsb5jyl5ix4c/91665456 https://lulustream.com/d/0uqevlop4ja1 (2026) #anal #gangbang #hardcore #interracial #RIPNSFW</v>
      </c>
      <c r="B1168" s="12" t="str">
        <f>New!A:A</f>
        <v>Lily Phillips - 91665456 - AV.jpg</v>
      </c>
      <c r="C1168" s="12" t="s">
        <v>8895</v>
      </c>
      <c r="D1168" s="46">
        <f>New!P:P</f>
        <v>0</v>
      </c>
    </row>
    <row r="1169" spans="1:4" ht="12.75">
      <c r="A1169" s="45" t="str">
        <f ca="1">New!M:M</f>
        <v>{New} Lily Phillips https://lulustream.com/d/dc0xx485fwd2 https://streamtape.com/v/BJKrq8yjDjuK80/91773332 https://doodstream.com/d/5yp8f4hflbew/91773332 Annie Kate (2026) #teen #blowjob #bigtits #gangbang #RIPNSFW</v>
      </c>
      <c r="B1169" s="12" t="str">
        <f>New!A:A</f>
        <v>Lily Phillips - 91773332 - Onlyfans - Annie Kate.jpg</v>
      </c>
      <c r="C1169" s="12" t="s">
        <v>8895</v>
      </c>
      <c r="D1169" s="46">
        <f>New!P:P</f>
        <v>0</v>
      </c>
    </row>
    <row r="1170" spans="1:4" ht="12.75">
      <c r="A1170" s="45" t="str">
        <f ca="1">New!M:M</f>
        <v>{New} Lily Phillips https://lulustream.com/d/q30u4og44rm1 https://streamtape.com/v/Y7V6vAOo6Ltv4dm/94901126 https://doodstream.com/d/qnix79ori8xw/94901126 (2026) #BigTits #Hardcore #Gangbang #Bigass #Teen #Blowjob #Amateur #Deepthroat #Blonde #RIPNSFW</v>
      </c>
      <c r="B1170" s="12" t="str">
        <f>New!A:A</f>
        <v>Lily Phillips - 94901126 - ripnsfw.com.jpg</v>
      </c>
      <c r="C1170" s="12" t="s">
        <v>8895</v>
      </c>
      <c r="D1170" s="46">
        <f>New!P:P</f>
        <v>0</v>
      </c>
    </row>
    <row r="1171" spans="1:4" ht="12.75">
      <c r="A1171" s="45" t="str">
        <f ca="1">New!M:M</f>
        <v>{New} Lily Phillips https://streamtape.com/v/7R7RkdWJ2rs8vK/97081805 https://lulustream.com/d/ktk4j7iv7pkj https://doodstream.com/d/j87p80qlgtdm/97081805 (2026) #BigTits #Hardcore #Threesome #Teen #RIPNSFW</v>
      </c>
      <c r="B1171" s="12" t="str">
        <f>New!A:A</f>
        <v>Lily Phillips - 97081805 - Onlyfans.jpg</v>
      </c>
      <c r="C1171" s="12" t="s">
        <v>8895</v>
      </c>
      <c r="D1171" s="46">
        <f>New!P:P</f>
        <v>0</v>
      </c>
    </row>
    <row r="1172" spans="1:4" ht="12.75">
      <c r="A1172" s="45" t="str">
        <f ca="1">New!M:M</f>
        <v>{New} Lily Phillips https://lulustream.com/d/3uii4rxtrrxt https://doodstream.com/d/npltriquecwo/98914583 https://streamtape.com/v/2WVraxpoBVsZ78x/98914583 (2026) #doublepenetration #anal #teen #blonde #RIPNSFW</v>
      </c>
      <c r="B1172" s="12" t="str">
        <f>New!A:A</f>
        <v>Lily Phillips - 98914583 - Onlyfans.jpg</v>
      </c>
      <c r="C1172" s="12" t="s">
        <v>8895</v>
      </c>
      <c r="D1172" s="46">
        <f>New!P:P</f>
        <v>0</v>
      </c>
    </row>
    <row r="1173" spans="1:4" ht="12.75">
      <c r="A1173" s="45" t="str">
        <f ca="1">New!M:M</f>
        <v>{New} Lily Phillips https://doodstream.com/d/qtyin6yfq2md/99616786 https://lulustream.com/d/tf9e3nx80bxe https://streamtape.com/v/ZXwyA9ly24FqW37/99616786 (2026) #teen #blowjob #bigass #blonde #RIPNSFW</v>
      </c>
      <c r="B1173" s="12" t="str">
        <f>New!A:A</f>
        <v>Lily Phillips - 99616786 - Onlyfans.jpg</v>
      </c>
      <c r="C1173" s="12" t="s">
        <v>8895</v>
      </c>
      <c r="D1173" s="46">
        <f>New!P:P</f>
        <v>0</v>
      </c>
    </row>
    <row r="1174" spans="1:4" ht="12.75">
      <c r="A1174" s="45" t="str">
        <f ca="1">New!M:M</f>
        <v>{New} Linzy Ray https://doodstream.com/d/qwl2xcqakq2k/81129270 https://lulustream.com/d/mcjtcfnurwa5 https://streamtape.com/v/JprGZYoRwkSj48w/81129270 (2026) #teen #redhead #blowjob #facial #RIPNSFW</v>
      </c>
      <c r="B1174" s="12" t="str">
        <f>New!A:A</f>
        <v>Linzy Ray - 81129270 - Onlyfans.jpg</v>
      </c>
      <c r="C1174" s="12" t="s">
        <v>8895</v>
      </c>
      <c r="D1174" s="46">
        <f>New!P:P</f>
        <v>0</v>
      </c>
    </row>
    <row r="1175" spans="1:4" ht="12.75">
      <c r="A1175" s="45" t="str">
        <f ca="1">New!M:M</f>
        <v>#ERROR!</v>
      </c>
      <c r="B1175" s="12" t="str">
        <f>New!A:A</f>
        <v>Little Caprice - 39052768 - ripnsfw.com.jpg</v>
      </c>
      <c r="C1175" s="12" t="s">
        <v>8895</v>
      </c>
      <c r="D1175" s="46">
        <f>New!P:P</f>
        <v>0</v>
      </c>
    </row>
    <row r="1176" spans="1:4" ht="12.75">
      <c r="A1176" s="45" t="str">
        <f ca="1">New!M:M</f>
        <v>{New} Little Caprice https://doodstream.com/d/4dapso3f94f4/46057281 https://lulustream.com/d/cjcp0ka2hxd3 https://streamtape.com/v/4X1kQvGy08CVak/46057281 (2026) #Anal #Hardcore #Porn #Teen #Blowjob #Deepthroat #RIPNSFW</v>
      </c>
      <c r="B1176" s="12" t="str">
        <f>New!A:A</f>
        <v>Little Caprice - 46057281 - ripnsfw.com.jpg</v>
      </c>
      <c r="C1176" s="12" t="s">
        <v>8895</v>
      </c>
      <c r="D1176" s="46">
        <f>New!P:P</f>
        <v>0</v>
      </c>
    </row>
    <row r="1177" spans="1:4" ht="12.75">
      <c r="A1177" s="45" t="str">
        <f ca="1">New!M:M</f>
        <v>{New} Little Caprice https://streamtape.com/v/02aRkK90losbrBY/52891444 https://doodstream.com/d/ekbpm5hagku8/52891444 https://lulustream.com/d/t42ilg635izg (2026) #Hardcore #Black #Interracial #Porn #RIPNSFW</v>
      </c>
      <c r="B1177" s="12" t="str">
        <f>New!A:A</f>
        <v>Little Caprice - 52891444 - ripnsfw.com.jpg</v>
      </c>
      <c r="C1177" s="12" t="s">
        <v>8895</v>
      </c>
      <c r="D1177" s="46">
        <f>New!P:P</f>
        <v>0</v>
      </c>
    </row>
    <row r="1178" spans="1:4" ht="12.75">
      <c r="A1178" s="45" t="str">
        <f ca="1">New!M:M</f>
        <v>{New} Little Caprice https://lulustream.com/d/hkx64jdzffeg https://streamtape.com/v/RA4Bvm8KOOILlX/53639246 https://doodstream.com/d/jehpqrf9vvat/53639246 (2026) #MILF #BigTits #Hardcore #Threesome #RIPNSFW</v>
      </c>
      <c r="B1178" s="12" t="str">
        <f>New!A:A</f>
        <v>Little Caprice - 53639246 - ripnsfw.com.jpg</v>
      </c>
      <c r="C1178" s="12" t="s">
        <v>8895</v>
      </c>
      <c r="D1178" s="46">
        <f>New!P:P</f>
        <v>0</v>
      </c>
    </row>
    <row r="1179" spans="1:4" ht="12.75">
      <c r="A1179" s="45" t="str">
        <f ca="1">New!M:M</f>
        <v>{New} Little Caprice https://lulustream.com/d/8m5rrczn38t1 https://doodstream.com/d/1a4vl4aefx8p/82751751 https://streamtape.com/v/0rLKxeRqylHbGV4/82751751 (2026) #pornstar #milf #brunette #blowjob #RIPNSFW</v>
      </c>
      <c r="B1179" s="12" t="str">
        <f>New!A:A</f>
        <v>Little Caprice - 82751751 - LC.jpg</v>
      </c>
      <c r="C1179" s="12" t="s">
        <v>8895</v>
      </c>
      <c r="D1179" s="46">
        <f>New!P:P</f>
        <v>0</v>
      </c>
    </row>
    <row r="1180" spans="1:4" ht="12.75">
      <c r="A1180" s="45" t="str">
        <f ca="1">New!M:M</f>
        <v>{New} Liz Jordan https://streamtape.com/v/b1kye3jp38sPgoB/21264575 https://lulustream.com/d/v9s4godwhnon https://doodstream.com/d/kwnox8gg7nae/21264575 Madi Ruve (2026) #Hardcore #Threesome #Teen #Artporn #Teens #RIPNSFW</v>
      </c>
      <c r="B1180" s="12" t="str">
        <f>New!A:A</f>
        <v>Liz Jordan - 21264575 - Onlyfans - Madi Ruve.jpg</v>
      </c>
      <c r="C1180" s="12" t="s">
        <v>8895</v>
      </c>
      <c r="D1180" s="46">
        <f>New!P:P</f>
        <v>0</v>
      </c>
    </row>
    <row r="1181" spans="1:4" ht="12.75">
      <c r="A1181" s="45" t="str">
        <f ca="1">New!M:M</f>
        <v>{New} Lizzie Love https://lulustream.com/d/2fozhgkn3c6f https://doodstream.com/d/j0tb39dsb32p/81357602 https://streamtape.com/v/2be3bxXQpdtxa8/81357602 (2026) #orgy #creampie #teen #brunette #RIPNSFW</v>
      </c>
      <c r="B1181" s="12" t="str">
        <f>New!A:A</f>
        <v>Lizzie Love - 81357602 - CathyScraving.jpg</v>
      </c>
      <c r="C1181" s="12" t="s">
        <v>8895</v>
      </c>
      <c r="D1181" s="46">
        <f>New!P:P</f>
        <v>0</v>
      </c>
    </row>
    <row r="1182" spans="1:4" ht="12.75">
      <c r="A1182" s="45" t="str">
        <f ca="1">New!M:M</f>
        <v>{New} Lola Cheeks https://streamtape.com/v/7dMZMmgdWXIAjyd/43319214 https://lulustream.com/d/t6tb7zpietl3 https://doodstream.com/d/hn44gcrzycs2/43319214 (2026) #Casting #Hardcore #Bigass #Porn #RIPNSFW</v>
      </c>
      <c r="B1182" s="12" t="str">
        <f>New!A:A</f>
        <v>Lola Cheeks - 43319214 - BackroomCastingCouch.jpg</v>
      </c>
      <c r="C1182" s="12" t="s">
        <v>8895</v>
      </c>
      <c r="D1182" s="46">
        <f>New!P:P</f>
        <v>0</v>
      </c>
    </row>
    <row r="1183" spans="1:4" ht="12.75">
      <c r="A1183" s="45" t="str">
        <f ca="1">New!M:M</f>
        <v>{New} Lola Valentine https://lulustream.com/d/gwpdy2o82i9e https://doodstream.com/d/q3gz3rfdw70b/67255151 https://streamtape.com/v/WGggO7jWvwIg8l/67255151 (2026) #Creampie #Hardcore #Gangbang #Black #Interracial #Bigass #RIPNSFW</v>
      </c>
      <c r="B1183" s="12" t="str">
        <f>New!A:A</f>
        <v>Lola Valentine - 67255151 - ripnsfw.com.jpg</v>
      </c>
      <c r="C1183" s="12" t="s">
        <v>8895</v>
      </c>
      <c r="D1183" s="46">
        <f>New!P:P</f>
        <v>0</v>
      </c>
    </row>
    <row r="1184" spans="1:4" ht="12.75">
      <c r="A1184" s="45" t="str">
        <f ca="1">New!M:M</f>
        <v>{New} London https://lulustream.com/d/1qjwh336fz8i https://doodstream.com/d/b47oc09tbr49/68537971 https://streamtape.com/v/dLbJbgqKaYCbml/68537971 (2026) #Creampie #Hardcore #Porn #Teen #RIPNSFW</v>
      </c>
      <c r="B1184" s="12" t="str">
        <f>New!A:A</f>
        <v>London - 68537971 - ripnsfw.com.jpg</v>
      </c>
      <c r="C1184" s="12" t="s">
        <v>8895</v>
      </c>
      <c r="D1184" s="46">
        <f>New!P:P</f>
        <v>0</v>
      </c>
    </row>
    <row r="1185" spans="1:4" ht="12.75">
      <c r="A1185" s="45" t="str">
        <f ca="1">New!M:M</f>
        <v>Lucy https://doodstream.com/d/693ypiy9gddo/87467552 https://lulustream.com/d/ug1cp7fj1jnx https://streamtape.com/v/Rj8dVakVJ8tdzv1/87467552 #anal #teen #redhead #casting #RIPNSFW</v>
      </c>
      <c r="B1185" s="12" t="str">
        <f>New!A:A</f>
        <v>Lucy - 87467552 - BackroomCastingCouch.jpg</v>
      </c>
      <c r="C1185" s="12" t="s">
        <v>8895</v>
      </c>
      <c r="D1185" s="46">
        <f>New!P:P</f>
        <v>0</v>
      </c>
    </row>
    <row r="1186" spans="1:4" ht="12.75">
      <c r="A1186" s="45" t="str">
        <f ca="1">New!M:M</f>
        <v>{New} Lucy Foxx https://lulustream.com/d/apmocpbjvo0v https://doodstream.com/d/qkzpwznja4ws/13250580 https://streamtape.com/v/xv27x9YPdoskpYe/13250580 (2026) #Hardcore #Porn #Teen #Blowjob #RIPNSFW</v>
      </c>
      <c r="B1186" s="12" t="str">
        <f>New!A:A</f>
        <v>Lucy Foxx - 13250580 - TS.jpg</v>
      </c>
      <c r="C1186" s="12" t="s">
        <v>8895</v>
      </c>
      <c r="D1186" s="46">
        <f>New!P:P</f>
        <v>0</v>
      </c>
    </row>
    <row r="1187" spans="1:4" ht="12.75">
      <c r="A1187" s="45" t="str">
        <f ca="1">New!M:M</f>
        <v>{New} Lucy Foxx https://doodstream.com/d/euwgaojto050/84642179 https://lulustream.com/d/3cgchvalb336 https://streamtape.com/v/mevgWk6PGoHbojY/84642179 (2026) #teen #blowjob #hardcore #redhead #RIPNSFW</v>
      </c>
      <c r="B1187" s="12" t="str">
        <f>New!A:A</f>
        <v>Lucy Foxx - 84642179 - XVRED.jpg</v>
      </c>
      <c r="C1187" s="12" t="s">
        <v>8895</v>
      </c>
      <c r="D1187" s="46">
        <f>New!P:P</f>
        <v>0</v>
      </c>
    </row>
    <row r="1188" spans="1:4" ht="12.75">
      <c r="A1188" s="45" t="str">
        <f ca="1">New!M:M</f>
        <v>{New} Lucy Mochi https://streamtape.com/v/9vbyxA1X1qC6OJ/11144877 https://doodstream.com/d/h5rkupr5eiie/11144877 https://lulustream.com/d/37eiu9nhtpxd (2026) #Hardcore #Threesome #Teen #Blowjob #RIPNSFW</v>
      </c>
      <c r="B1188" s="12" t="str">
        <f>New!A:A</f>
        <v>Lucy Mochi - 11144877 - Onlyfans.jpg</v>
      </c>
      <c r="C1188" s="12" t="s">
        <v>8895</v>
      </c>
      <c r="D1188" s="46">
        <f>New!P:P</f>
        <v>0</v>
      </c>
    </row>
    <row r="1189" spans="1:4" ht="12.75">
      <c r="A1189" s="45" t="str">
        <f ca="1">New!M:M</f>
        <v>{New} Lucy Mochi https://lulustream.com/d/bf1jfi923tmx https://doodstream.com/d/5dohslxgopbq/15336383 https://streamtape.com/v/ogdZRQ8kZetJJKZ/15336383 (2026) #Anal #BigTits #Hardcore #Asian #Black #Teen #Artporn #RIPNSFW</v>
      </c>
      <c r="B1189" s="12" t="str">
        <f>New!A:A</f>
        <v>Lucy Mochi - 15336383 - ripnsfw.com.jpg</v>
      </c>
      <c r="C1189" s="12" t="s">
        <v>8895</v>
      </c>
      <c r="D1189" s="46">
        <f>New!P:P</f>
        <v>0</v>
      </c>
    </row>
    <row r="1190" spans="1:4" ht="12.75">
      <c r="A1190" s="45" t="str">
        <f ca="1">New!M:M</f>
        <v>{New} Lucy Mochi https://doodstream.com/d/ejsqhruqinta/16687170 https://streamtape.com/v/q6kYXQJkMoIzpbP/16687170 https://lulustream.com/d/k2vmehxdjp7s Nicole Doshi (2026) #threesome #asian #brunette #blowjob #RIPNSFW</v>
      </c>
      <c r="B1190" s="12" t="str">
        <f>New!A:A</f>
        <v>Lucy Mochi - 16687170 - Onlyfans - Nicole Doshi.jpg</v>
      </c>
      <c r="C1190" s="12" t="s">
        <v>8895</v>
      </c>
      <c r="D1190" s="46">
        <f>New!P:P</f>
        <v>0</v>
      </c>
    </row>
    <row r="1191" spans="1:4" ht="12.75">
      <c r="A1191" s="45" t="str">
        <f ca="1">New!M:M</f>
        <v>{New} Lucy Mochi https://doodstream.com/d/2n61ih9m436l/23173703 https://lulustream.com/d/jw9uvyhwk167 https://streamtape.com/v/qOLgjY4ekRizm7w/23173703 JasmineTeaa (2026) #foursome #asian #teens #blowjob #RIPNSFW</v>
      </c>
      <c r="B1191" s="12" t="str">
        <f>New!A:A</f>
        <v>Lucy Mochi - 23173703 - Onlyfans - JasmineTeaa.jpg</v>
      </c>
      <c r="C1191" s="12" t="s">
        <v>8895</v>
      </c>
      <c r="D1191" s="46">
        <f>New!P:P</f>
        <v>0</v>
      </c>
    </row>
    <row r="1192" spans="1:4" ht="12.75">
      <c r="A1192" s="45" t="str">
        <f ca="1">New!M:M</f>
        <v>{New} Lucy Mochi https://streamtape.com/v/AAX8rdAkY0tXL44/25810112 https://doodstream.com/d/iciuv1qgub3s/25810112 https://lulustream.com/d/8r4ks5m384jq JackandJill (2026) #Creampie #Hardcore #Asian #Teen #RIPNSFW</v>
      </c>
      <c r="B1192" s="12" t="str">
        <f>New!A:A</f>
        <v>Lucy Mochi - 25810112 - ripnsfw.com - JackandJill.jpg</v>
      </c>
      <c r="C1192" s="12" t="s">
        <v>8895</v>
      </c>
      <c r="D1192" s="46">
        <f>New!P:P</f>
        <v>0</v>
      </c>
    </row>
    <row r="1193" spans="1:4" ht="12.75">
      <c r="A1193" s="45" t="str">
        <f ca="1">New!M:M</f>
        <v>{New} Lucy Mochi https://lulustream.com/d/n70agds24emq https://doodstream.com/d/7jkz05a17gpr/29122637 https://streamtape.com/v/2DOyBxOgzruZZxP/29122637 (2026) #creampie #asian #teen #blowjob #RIPNSFW</v>
      </c>
      <c r="B1193" s="12" t="str">
        <f>New!A:A</f>
        <v>Lucy Mochi - 29122637 - Onlyfans.jpg</v>
      </c>
      <c r="C1193" s="12" t="s">
        <v>8895</v>
      </c>
      <c r="D1193" s="46">
        <f>New!P:P</f>
        <v>0</v>
      </c>
    </row>
    <row r="1194" spans="1:4" ht="12.75">
      <c r="A1194" s="45" t="str">
        <f ca="1">New!M:M</f>
        <v>{New} Lucy Mochi https://lulustream.com/d/bnw7mrgnt19x https://doodstream.com/d/eil9jnwlpco5/29196588 https://streamtape.com/v/W8BxDe0aj6cbOJQ/29196588 (2026) #BigTits #Hardcore #Asian #Interracial #Porn #Teen #Blowjob #Deepthroat #RIPNSFW</v>
      </c>
      <c r="B1194" s="12" t="str">
        <f>New!A:A</f>
        <v>Lucy Mochi - 29196588 - ripnsfw.com.jpg</v>
      </c>
      <c r="C1194" s="12" t="s">
        <v>8895</v>
      </c>
      <c r="D1194" s="46">
        <f>New!P:P</f>
        <v>0</v>
      </c>
    </row>
    <row r="1195" spans="1:4" ht="12.75">
      <c r="A1195" s="45" t="str">
        <f ca="1">New!M:M</f>
        <v>{New} Lucy Mochi https://lulustream.com/d/aa9rsnagn8ie https://streamtape.com/v/QyA7eLzDadh04Bv/29795650 https://doodstream.com/d/7sw6nx7eihmu/29795650 (2026) #creampie #teen #asian #blowjob #RIPNSFW</v>
      </c>
      <c r="B1195" s="12" t="str">
        <f>New!A:A</f>
        <v>Lucy Mochi - 29795650 - Onlyfans.jpg</v>
      </c>
      <c r="C1195" s="12" t="s">
        <v>8895</v>
      </c>
      <c r="D1195" s="46">
        <f>New!P:P</f>
        <v>0</v>
      </c>
    </row>
    <row r="1196" spans="1:4" ht="12.75">
      <c r="A1196" s="45" t="str">
        <f ca="1">New!M:M</f>
        <v>{New} Lucy Mochi https://doodstream.com/d/vsl09wz714t9/31426357 https://lulustream.com/d/3q0ovw4pq8xu https://streamtape.com/v/4mBjzegAA2fKaWx/31426357 (2026) #anal #teen #asian #blowjob #RIPNSFW</v>
      </c>
      <c r="B1196" s="12" t="str">
        <f>New!A:A</f>
        <v>Lucy Mochi - 31426357 - Onlyfans.jpg</v>
      </c>
      <c r="C1196" s="12" t="s">
        <v>8895</v>
      </c>
      <c r="D1196" s="46">
        <f>New!P:P</f>
        <v>0</v>
      </c>
    </row>
    <row r="1197" spans="1:4" ht="12.75">
      <c r="A1197" s="45" t="str">
        <f ca="1">New!M:M</f>
        <v>{New} Lucy Mochi https://lulustream.com/d/tzhuodwm1hwo https://doodstream.com/d/l6b5udt7mkan/35825034 https://streamtape.com/v/4v4Z2dzkxZurrq/35825034 Jackandjill EtherealClaire (2026) #Creampie #Hardcore #Threesome #Interracial #Asian #Teen #Artporn #Teens #Blowjob #RIPNSFW</v>
      </c>
      <c r="B1197" s="12" t="str">
        <f>New!A:A</f>
        <v>Lucy Mochi - 35825034 - Onlyfans - Jackandjill - EtherealClaire.jpg</v>
      </c>
      <c r="C1197" s="12" t="s">
        <v>8895</v>
      </c>
      <c r="D1197" s="46">
        <f>New!P:P</f>
        <v>0</v>
      </c>
    </row>
    <row r="1198" spans="1:4" ht="12.75">
      <c r="A1198" s="45" t="str">
        <f ca="1">New!M:M</f>
        <v>{New} Lucy Mochi https://lulustream.com/d/mnwhnzombcag https://streamtape.com/v/BGwxAoGadOiykOq/36879561 https://doodstream.com/d/4ofzry9hcbpl/36879561 (2026) #teen #asian #blowjob #threesome #RIPNSFW</v>
      </c>
      <c r="B1198" s="12" t="str">
        <f>New!A:A</f>
        <v>Lucy Mochi - 36879561 - Onlyfans.jpg</v>
      </c>
      <c r="C1198" s="12" t="s">
        <v>8895</v>
      </c>
      <c r="D1198" s="46">
        <f>New!P:P</f>
        <v>0</v>
      </c>
    </row>
    <row r="1199" spans="1:4" ht="12.75">
      <c r="A1199" s="45" t="str">
        <f ca="1">New!M:M</f>
        <v>{New} Lucy Mochi https://lulustream.com/d/260zvhweefxy https://streamtape.com/v/kbDjkvGLM7fOXDo/40363312 https://doodstream.com/d/u8rtyh2vzs7x/40363312 AliceOnCam (2026) #Creampie #Hardcore #Asian #Threesome #RIPNSFW</v>
      </c>
      <c r="B1199" s="12" t="str">
        <f>New!A:A</f>
        <v>Lucy Mochi - 40363312 - Onlyfans - AliceOnCam.jpg</v>
      </c>
      <c r="C1199" s="12" t="s">
        <v>8895</v>
      </c>
      <c r="D1199" s="46">
        <f>New!P:P</f>
        <v>0</v>
      </c>
    </row>
    <row r="1200" spans="1:4" ht="12.75">
      <c r="A1200" s="45" t="str">
        <f ca="1">New!M:M</f>
        <v>{New} Lucy Mochi https://lulustream.com/d/dm2pjdbqvrbs https://streamtape.com/v/QwbZo7WP0gt0l80/40777494 https://doodstream.com/d/csnc5e63u2c0/40777494 (2026) #BigTits #Hardcore #Asian #Black #Interracial #Porn #RIPNSFW</v>
      </c>
      <c r="B1200" s="12" t="str">
        <f>New!A:A</f>
        <v>Lucy Mochi - 40777494 - ripnsfw.com.jpg</v>
      </c>
      <c r="C1200" s="12" t="s">
        <v>8895</v>
      </c>
      <c r="D1200" s="46">
        <f>New!P:P</f>
        <v>0</v>
      </c>
    </row>
    <row r="1201" spans="1:4" ht="12.75">
      <c r="A1201" s="45" t="str">
        <f ca="1">New!M:M</f>
        <v>{New} Lucy Mochi https://doodstream.com/d/qanzhz7gvx2h/43122219 https://lulustream.com/d/ardvsp7ue1pp https://streamtape.com/v/Z2PB77G7zriM66/43122219 Georgia Stone (2026) #BigTits #Hardcore #Threesome #Teen #Asian #Amateur #RIPNSFW</v>
      </c>
      <c r="B1201" s="12" t="str">
        <f>New!A:A</f>
        <v>Lucy Mochi - 43122219 - ripnsfw.com - Georgia Stone.jpg</v>
      </c>
      <c r="C1201" s="12" t="s">
        <v>8895</v>
      </c>
      <c r="D1201" s="46">
        <f>New!P:P</f>
        <v>0</v>
      </c>
    </row>
    <row r="1202" spans="1:4" ht="12.75">
      <c r="A1202" s="45" t="str">
        <f ca="1">New!M:M</f>
        <v>{New} Lucy Mochi https://lulustream.com/d/ey6jh857e4te https://streamtape.com/v/GKG1mAl1BZU1Xw6/48837763 https://doodstream.com/d/itkxi8prgki5/48837763 (2026) #Hardcore #Asian #Teen #Blowjob #RIPNSFW</v>
      </c>
      <c r="B1202" s="12" t="str">
        <f>New!A:A</f>
        <v>Lucy Mochi - 48837763 - Onlyfans.jpg</v>
      </c>
      <c r="C1202" s="12" t="s">
        <v>8895</v>
      </c>
      <c r="D1202" s="46">
        <f>New!P:P</f>
        <v>0</v>
      </c>
    </row>
    <row r="1203" spans="1:4" ht="12.75">
      <c r="A1203" s="45" t="str">
        <f ca="1">New!M:M</f>
        <v>{New} Lucy Mochi https://streamtape.com/v/GQyPQLpYz9t1Dmb/54228852 https://lulustream.com/d/2bcobaa1diie https://doodstream.com/d/1ai4quoywkkz/54228852 (2026) #anal #teen #asian #facial #RIPNSFW</v>
      </c>
      <c r="B1203" s="12" t="str">
        <f>New!A:A</f>
        <v>Lucy Mochi - 54228852 - Anal Therapy.jpg</v>
      </c>
      <c r="C1203" s="12" t="s">
        <v>8895</v>
      </c>
      <c r="D1203" s="46">
        <f>New!P:P</f>
        <v>0</v>
      </c>
    </row>
    <row r="1204" spans="1:4" ht="12.75">
      <c r="A1204" s="45" t="str">
        <f ca="1">New!M:M</f>
        <v>{New} Lucy Mochi https://doodstream.com/d/4ojaxoykxobr/66984989 https://streamtape.com/v/1By8ree3q1fbza/66984989 https://lulustream.com/d/5qxveibtpwht (2026) #teen #asian #anal #blowjob #RIPNSFW</v>
      </c>
      <c r="B1204" s="12" t="str">
        <f>New!A:A</f>
        <v>Lucy Mochi - 66984989 - Family Therapy.jpg</v>
      </c>
      <c r="C1204" s="12" t="s">
        <v>8895</v>
      </c>
      <c r="D1204" s="46">
        <f>New!P:P</f>
        <v>0</v>
      </c>
    </row>
    <row r="1205" spans="1:4" ht="12.75">
      <c r="A1205" s="45" t="str">
        <f ca="1">New!M:M</f>
        <v>{New} Lucy Mochi https://doodstream.com/d/67wdbaqinx5v/82807987 https://lulustream.com/d/ljthr300jho2 https://streamtape.com/v/kKryYXPpbXcQRG/82807987 Clara Trinity (2026) #BigTits #Hardcore #Asian #Threesome #Teen #RIPNSFW</v>
      </c>
      <c r="B1205" s="12" t="str">
        <f>New!A:A</f>
        <v>Lucy Mochi - 82807987 - ripnsfw.com - Clara Trinity.jpg</v>
      </c>
      <c r="C1205" s="12" t="s">
        <v>8895</v>
      </c>
      <c r="D1205" s="46">
        <f>New!P:P</f>
        <v>0</v>
      </c>
    </row>
    <row r="1206" spans="1:4" ht="12.75">
      <c r="A1206" s="45" t="str">
        <f ca="1">New!M:M</f>
        <v>{New} Lucy Mochi https://lulustream.com/d/galueit23gsu https://streamtape.com/v/PkWZ3la1ZyC0j7w/89542094 https://doodstream.com/d/kq8e6z2013d7/89542094 (2026) #anal #teen #asian #creampie #RIPNSFW</v>
      </c>
      <c r="B1206" s="12" t="str">
        <f>New!A:A</f>
        <v>Lucy Mochi - 89542094 - Onlyfans.jpg</v>
      </c>
      <c r="C1206" s="12" t="s">
        <v>8895</v>
      </c>
      <c r="D1206" s="46">
        <f>New!P:P</f>
        <v>0</v>
      </c>
    </row>
    <row r="1207" spans="1:4" ht="12.75">
      <c r="A1207" s="45" t="str">
        <f ca="1">New!M:M</f>
        <v>{New} Lucy Mochi https://lulustream.com/d/98orjiynqydm https://streamtape.com/v/ggZWzrzk6viqo8d/93294370 https://doodstream.com/d/3wrjn5nb97dl/93294370 (2026) #BigTits #Hardcore #Asian #Threesome #Interracial #RIPNSFW</v>
      </c>
      <c r="B1207" s="12" t="str">
        <f>New!A:A</f>
        <v>Lucy Mochi - 93294370 - ripnsfw.com.jpg</v>
      </c>
      <c r="C1207" s="12" t="s">
        <v>8895</v>
      </c>
      <c r="D1207" s="46">
        <f>New!P:P</f>
        <v>0</v>
      </c>
    </row>
    <row r="1208" spans="1:4" ht="12.75">
      <c r="A1208" s="45" t="str">
        <f ca="1">New!M:M</f>
        <v>{New} Lucy Mochi https://streamtape.com/v/84vaaPbW8wIMl8/99388211 https://doodstream.com/d/pgc7cbtifkam/99388211 https://lulustream.com/d/9skc8d33vwsw (2026) #creampie #teen #asian #outdoor #RIPNSFW</v>
      </c>
      <c r="B1208" s="12" t="str">
        <f>New!A:A</f>
        <v>Lucy Mochi - 99388211 - Onlyfans.jpg</v>
      </c>
      <c r="C1208" s="12" t="s">
        <v>8895</v>
      </c>
      <c r="D1208" s="46">
        <f>New!P:P</f>
        <v>0</v>
      </c>
    </row>
    <row r="1209" spans="1:4" ht="12.75">
      <c r="A1209" s="45" t="str">
        <f ca="1">New!M:M</f>
        <v>{New} Maddie Wren https://lulustream.com/d/msdbichrdtee https://streamtape.com/v/7jb9YGyRBqiVB9/29100921 https://doodstream.com/d/lpk8fqb1hrqw/29100921 Lena the plug (2026) #MILF #BigTits #Hardcore #Threesome #Bigass #Blowjob #Amateur #Hotwife #Facial #RIPNSFW</v>
      </c>
      <c r="B1209" s="12" t="str">
        <f>New!A:A</f>
        <v>Maddie Wren - 29100921 - ripnsfw.com - Lena the plug.jpg</v>
      </c>
      <c r="C1209" s="12" t="s">
        <v>8895</v>
      </c>
      <c r="D1209" s="46">
        <f>New!P:P</f>
        <v>0</v>
      </c>
    </row>
    <row r="1210" spans="1:4" ht="12.75">
      <c r="A1210" s="45" t="str">
        <f ca="1">New!M:M</f>
        <v>{New} MaddieBubz https://streamtape.com/v/Zk0jdreveZIqV23/84035528 https://doodstream.com/d/s9g5vpninuoh/84035528 https://lulustream.com/d/0rq2f3xdk9av (2026) #BigTits #Hardcore #Bigass #Teen #Artporn #Blowjob #Amateur #Deepthroat #Facial #RIPNSFW</v>
      </c>
      <c r="B1210" s="12" t="str">
        <f>New!A:A</f>
        <v>MaddieBubz - 84035528 - Onlyfans.jpg</v>
      </c>
      <c r="C1210" s="12" t="s">
        <v>8895</v>
      </c>
      <c r="D1210" s="46">
        <f>New!P:P</f>
        <v>0</v>
      </c>
    </row>
    <row r="1211" spans="1:4" ht="12.75">
      <c r="A1211" s="45" t="str">
        <f ca="1">New!M:M</f>
        <v>{New} Madison Lanez https://lulustream.com/d/kjnci0ankrvs https://streamtape.com/v/Re1ydJl2BQcdbq3/95931349 https://doodstream.com/d/ovssk7h7io32/95931349 (2026) #BigTits #Creampie #Hardcore #Black #Interracial #Bigass #Teen #Artporn #Blowjob #Amateur #RIPNSFW</v>
      </c>
      <c r="B1211" s="12" t="str">
        <f>New!A:A</f>
        <v>Madison Lanez - 95931349 - Onlyfans.jpg</v>
      </c>
      <c r="C1211" s="12" t="s">
        <v>8895</v>
      </c>
      <c r="D1211" s="46">
        <f>New!P:P</f>
        <v>0</v>
      </c>
    </row>
    <row r="1212" spans="1:4" ht="12.75">
      <c r="A1212" s="45" t="str">
        <f ca="1">New!M:M</f>
        <v>{New} Madison Morgan https://doodstream.com/d/pfy1dbv6g9ll/27978540 https://streamtape.com/v/GbZ7xAGVxLC17Rx/27978540 https://lulustream.com/d/qzh7ngvmjnvc (2026) #Anal #MILF #BigTits #Hardcore #RIPNSFW</v>
      </c>
      <c r="B1212" s="12" t="str">
        <f>New!A:A</f>
        <v>Madison Morgan - 27978540 - Onlyfans.jpg</v>
      </c>
      <c r="C1212" s="12" t="s">
        <v>8895</v>
      </c>
      <c r="D1212" s="46">
        <f>New!P:P</f>
        <v>0</v>
      </c>
    </row>
    <row r="1213" spans="1:4" ht="12.75">
      <c r="A1213" s="45" t="str">
        <f ca="1">New!M:M</f>
        <v>{New} Madison Morgan https://doodstream.com/d/51mxzz1joji8/60817052 https://lulustream.com/d/5c8img791g2k https://streamtape.com/v/Xqz0RPm94AFDaDJ/60817052 (2026) #Anal #MILF #BigTits #Hardcore #Bigass #Porn #Blowjob #Deepthroat #RIPNSFW</v>
      </c>
      <c r="B1213" s="12" t="str">
        <f>New!A:A</f>
        <v>Madison Morgan - 60817052 - Elegant Angel.jpg</v>
      </c>
      <c r="C1213" s="12" t="s">
        <v>8895</v>
      </c>
      <c r="D1213" s="46">
        <f>New!P:P</f>
        <v>0</v>
      </c>
    </row>
    <row r="1214" spans="1:4" ht="12.75">
      <c r="A1214" s="45" t="str">
        <f ca="1">New!M:M</f>
        <v>{New} Mae Winters https://doodstream.com/d/u42tsi1ptcv8/55467075 https://lulustream.com/d/wyia0qd951er https://streamtape.com/v/RmRW7X2wLXtd3vA/55467075 (2026) #blonde #facial #blowjob #amateur #RIPNSFW</v>
      </c>
      <c r="B1214" s="12" t="str">
        <f>New!A:A</f>
        <v>Mae Winters - 55467075 - XVRED.jpg</v>
      </c>
      <c r="C1214" s="12" t="s">
        <v>8895</v>
      </c>
      <c r="D1214" s="46">
        <f>New!P:P</f>
        <v>0</v>
      </c>
    </row>
    <row r="1215" spans="1:4" ht="12.75">
      <c r="A1215" s="45" t="str">
        <f ca="1">New!M:M</f>
        <v>{New} Maisey Monroe https://lulustream.com/d/mqod1z5tetzb https://doodstream.com/d/0yglnw2dtvzp/39659947 https://streamtape.com/v/p1xRK4qPBecr9vd/39659947 (2026) #bigtits #creampie #hardcore #black #RIPNSFW</v>
      </c>
      <c r="B1215" s="12" t="str">
        <f>New!A:A</f>
        <v>Maisey Monroe - 39659947 - TMW.jpg</v>
      </c>
      <c r="C1215" s="12" t="s">
        <v>8895</v>
      </c>
      <c r="D1215" s="46">
        <f>New!P:P</f>
        <v>0</v>
      </c>
    </row>
    <row r="1216" spans="1:4" ht="12.75">
      <c r="A1216" s="45" t="str">
        <f ca="1">New!M:M</f>
        <v>{New} Marry Queen https://streamtape.com/v/bkDJJWerPZfPpx0/45288539 https://doodstream.com/d/xeuds0sc80z5/45288539 https://lulustream.com/d/4xdso617whcg (2026) #Anal #BigTits #Hardcore #Bigass #RIPNSFW</v>
      </c>
      <c r="B1216" s="12" t="str">
        <f>New!A:A</f>
        <v>Marry Queen - 45288539 - WoodmanCastingX.jpg</v>
      </c>
      <c r="C1216" s="12" t="s">
        <v>8895</v>
      </c>
      <c r="D1216" s="46">
        <f>New!P:P</f>
        <v>0</v>
      </c>
    </row>
    <row r="1217" spans="1:4" ht="12.75">
      <c r="A1217" s="45" t="str">
        <f ca="1">New!M:M</f>
        <v>{New} Megan Murkovski https://streamtape.com/v/R4p24A3aoPudrPo/19629165 https://lulustream.com/d/rrj7y90l1e1a https://doodstream.com/d/8b25a77m0qfd/19629165 (2026) #Anal #Hardcore #Bigass #Porn #Teen #Blowjob #RIPNSFW</v>
      </c>
      <c r="B1217" s="12" t="str">
        <f>New!A:A</f>
        <v>Megan Murkovski - 19629165 - ripnsfw.com.jpg</v>
      </c>
      <c r="C1217" s="12" t="s">
        <v>8895</v>
      </c>
      <c r="D1217" s="46">
        <f>New!P:P</f>
        <v>0</v>
      </c>
    </row>
    <row r="1218" spans="1:4" ht="12.75">
      <c r="A1218" s="45" t="str">
        <f ca="1">New!M:M</f>
        <v>{New} Melanie Marie https://streamtape.com/v/mymzOqw83LFb9PX/16822618 https://lulustream.com/d/17b7kzx56kx9 https://doodstream.com/d/87jtxjw933pj/16822618 Hope Heaven (2026) #BigTits #Hardcore #Interracial #Porn #Teen #Teens #Blowjob #Deepthroat #Blonde #Facial #Foursome #RIPNSFW</v>
      </c>
      <c r="B1218" s="12" t="str">
        <f>New!A:A</f>
        <v>Melanie Marie - 16822618 - ripnsfw.com - Hope Heaven.jpg</v>
      </c>
      <c r="C1218" s="12" t="s">
        <v>8895</v>
      </c>
      <c r="D1218" s="46">
        <f>New!P:P</f>
        <v>0</v>
      </c>
    </row>
    <row r="1219" spans="1:4" ht="12.75">
      <c r="A1219" s="45" t="str">
        <f ca="1">New!M:M</f>
        <v>{New} Melanie Marie https://lulustream.com/d/o1bzgbjvvi5l https://streamtape.com/v/ewGjBved4bcm13/20905476 https://doodstream.com/d/q22wwuydu89l/20905476 (2026) #teen #bigtits #blowjob #pov #RIPNSFW</v>
      </c>
      <c r="B1219" s="12" t="str">
        <f>New!A:A</f>
        <v>Melanie Marie - 20905476 - PG.jpg</v>
      </c>
      <c r="C1219" s="12" t="s">
        <v>8895</v>
      </c>
      <c r="D1219" s="46">
        <f>New!P:P</f>
        <v>0</v>
      </c>
    </row>
    <row r="1220" spans="1:4" ht="12.75">
      <c r="A1220" s="45" t="str">
        <f ca="1">New!M:M</f>
        <v>{New} Melanie Marie https://doodstream.com/d/o7iiodu153ck/24675020 https://streamtape.com/v/Yw8Q4b7zPJSvkyK/24675020 https://lulustream.com/d/il0hjcpvz7jx (2026) #Anal #BigTits #Hardcore #Porn #RIPNSFW</v>
      </c>
      <c r="B1220" s="12" t="str">
        <f>New!A:A</f>
        <v>Melanie Marie - 24675020 - Tushy.jpg</v>
      </c>
      <c r="C1220" s="12" t="s">
        <v>8895</v>
      </c>
      <c r="D1220" s="46">
        <f>New!P:P</f>
        <v>0</v>
      </c>
    </row>
    <row r="1221" spans="1:4" ht="12.75">
      <c r="A1221" s="45" t="str">
        <f ca="1">New!M:M</f>
        <v>{New} Melanie Marie https://streamtape.com/v/e2pLmj9dK9IoOe/32771012 https://lulustream.com/d/tb3pi6nq6ury https://doodstream.com/d/wi7c4l17z0lh/32771012 (2026) #BigTits #Hardcore #Teen #Blowjob #RIPNSFW</v>
      </c>
      <c r="B1221" s="12" t="str">
        <f>New!A:A</f>
        <v>Melanie Marie - 32771012 - ripnsfw.com.jpg</v>
      </c>
      <c r="C1221" s="12" t="s">
        <v>8895</v>
      </c>
      <c r="D1221" s="46">
        <f>New!P:P</f>
        <v>0</v>
      </c>
    </row>
    <row r="1222" spans="1:4" ht="12.75">
      <c r="A1222" s="45" t="str">
        <f ca="1">New!M:M</f>
        <v>{New} Melanie Marie https://streamtape.com/v/eVq0lmOpKvUY0G7/69961900 https://lulustream.com/d/ze530e5knbeq https://doodstream.com/d/lz3hfcdv953t/69961900 (2026) #bigtits #teen #blowjob #amateur #RIPNSFW</v>
      </c>
      <c r="B1222" s="12" t="str">
        <f>New!A:A</f>
        <v>Melanie Marie - 69961900 - Onlyfans.jpg</v>
      </c>
      <c r="C1222" s="12" t="s">
        <v>8895</v>
      </c>
      <c r="D1222" s="46">
        <f>New!P:P</f>
        <v>0</v>
      </c>
    </row>
    <row r="1223" spans="1:4" ht="12.75">
      <c r="A1223" s="45" t="str">
        <f ca="1">New!M:M</f>
        <v>{New} Melanie Marie https://lulustream.com/d/4ov1x45deshj https://streamtape.com/v/bwGOA7wAkeuPyVR/86014845 https://doodstream.com/d/lek5d3ueyen9/86014845 Addison Vodka (2026) #BigTits #Hardcore #Threesome #Teen #Teens #Artporn #Blowjob #Amateur #Deepthroat #Blonde #RIPNSFW</v>
      </c>
      <c r="B1223" s="12" t="str">
        <f>New!A:A</f>
        <v>Melanie Marie - 86014845 - ripnsfw.com - Addison Vodka.jpg</v>
      </c>
      <c r="C1223" s="12" t="s">
        <v>8895</v>
      </c>
      <c r="D1223" s="46">
        <f>New!P:P</f>
        <v>0</v>
      </c>
    </row>
    <row r="1224" spans="1:4" ht="12.75">
      <c r="A1224" s="45" t="str">
        <f ca="1">New!M:M</f>
        <v>Melanie Marie https://doodstream.com/d/jomr5dxbylpo/91881730 https://lulustream.com/d/yi0xbiqt0vu8 https://streamtape.com/v/jgp6BbwA14izWqr/91881730 JackandJill Dakota Lyn #milf #threesome #blowjob #cumshot #RIPNSFW</v>
      </c>
      <c r="B1224" s="12" t="str">
        <f>New!A:A</f>
        <v>Melanie Marie - 91881730 - Chaturbate - JackandJill - Dakota Lyn.jpg</v>
      </c>
      <c r="C1224" s="12" t="s">
        <v>8895</v>
      </c>
      <c r="D1224" s="46">
        <f>New!P:P</f>
        <v>0</v>
      </c>
    </row>
    <row r="1225" spans="1:4" ht="12.75">
      <c r="A1225" s="45" t="str">
        <f ca="1">New!M:M</f>
        <v>{New} Melody Marks https://streamtape.com/v/bGYAdz97LwcPr1e/11512283 https://lulustream.com/d/oq0v5vw8k2jc https://doodstream.com/d/1fe4dg94cs76/11512283 (2026) #BigTits #Hardcore #Bigass #Porn #Teen #Blowjob #RIPNSFW</v>
      </c>
      <c r="B1225" s="12" t="str">
        <f>New!A:A</f>
        <v>Melody Marks - 11512283 - ripnsfw.com.jpg</v>
      </c>
      <c r="C1225" s="12" t="s">
        <v>8895</v>
      </c>
      <c r="D1225" s="46">
        <f>New!P:P</f>
        <v>0</v>
      </c>
    </row>
    <row r="1226" spans="1:4" ht="12.75">
      <c r="A1226" s="45" t="str">
        <f ca="1">New!M:M</f>
        <v>{New} Melody Marks https://streamtape.com/v/OVkp2MeMoxc9qJ/12460258 https://doodstream.com/d/oaojfbcfxmpd/12460258 https://lulustream.com/d/lqgdlkvnamcl (2026) #BigTits #Hardcore #Threesome #Bigass #Porn #Teen #Blowjob #Deepthroat #Blonde #RIPNSFW</v>
      </c>
      <c r="B1226" s="12" t="str">
        <f>New!A:A</f>
        <v>Melody Marks - 12460258 - ripnsfw.com.jpg</v>
      </c>
      <c r="C1226" s="12" t="s">
        <v>8895</v>
      </c>
      <c r="D1226" s="46">
        <f>New!P:P</f>
        <v>0</v>
      </c>
    </row>
    <row r="1227" spans="1:4" ht="12.75">
      <c r="A1227" s="45" t="str">
        <f ca="1">New!M:M</f>
        <v>{New} Melody Marks https://streamtape.com/v/8VAL1xjGJ2soalw/15086964 https://doodstream.com/d/hve4gpmjg2vh/15086964 https://lulustream.com/d/k4shlg9z0sm1 (2026) #BigTits #Hardcore #Bigass #Teen #RIPNSFW</v>
      </c>
      <c r="B1227" s="12" t="str">
        <f>New!A:A</f>
        <v>Melody Marks - 15086964 - ripnsfw.com.jpg</v>
      </c>
      <c r="C1227" s="12" t="s">
        <v>8895</v>
      </c>
      <c r="D1227" s="46">
        <f>New!P:P</f>
        <v>0</v>
      </c>
    </row>
    <row r="1228" spans="1:4" ht="12.75">
      <c r="A1228" s="45" t="str">
        <f ca="1">New!M:M</f>
        <v>{New} Melody Marks https://streamtape.com/v/9RPqkeGBk6io6D/16641436 https://lulustream.com/d/rjcxay4vqwor https://doodstream.com/d/a9is8ntbrktq/16641436 (2026) #BigTits #Hardcore #Black #Interracial #RIPNSFW</v>
      </c>
      <c r="B1228" s="12" t="str">
        <f>New!A:A</f>
        <v>Melody Marks - 16641436 - ripnsfw.com.jpg</v>
      </c>
      <c r="C1228" s="12" t="s">
        <v>8895</v>
      </c>
      <c r="D1228" s="46">
        <f>New!P:P</f>
        <v>0</v>
      </c>
    </row>
    <row r="1229" spans="1:4" ht="12.75">
      <c r="A1229" s="45" t="str">
        <f ca="1">New!M:M</f>
        <v>{New} Melody Marks https://doodstream.com/d/qtre3e44a4eb/17549065 https://streamtape.com/v/rApDAM8mB9cbRKA/17549065 https://lulustream.com/d/32b0rfhg5qo7 (2026) #BigTits #Hardcore #Porn #Teen #RIPNSFW</v>
      </c>
      <c r="B1229" s="12" t="str">
        <f>New!A:A</f>
        <v>Melody Marks - 17549065 - ripnsfw.com.jpg</v>
      </c>
      <c r="C1229" s="12" t="s">
        <v>8895</v>
      </c>
      <c r="D1229" s="46">
        <f>New!P:P</f>
        <v>0</v>
      </c>
    </row>
    <row r="1230" spans="1:4" ht="12.75">
      <c r="A1230" s="45" t="str">
        <f ca="1">New!M:M</f>
        <v>{New} Melody Marks https://lulustream.com/d/l7672o0xitke https://doodstream.com/d/gvaf2nyfyo5v/23696115 https://streamtape.com/v/ygKk7DqpRkI1b66/23696115 (2026) #BigTits #Hardcore #Bigass #Porn #Teen #Blowjob #RIPNSFW</v>
      </c>
      <c r="B1230" s="12" t="str">
        <f>New!A:A</f>
        <v>Melody Marks - 23696115 - ripnsfw.com.jpg</v>
      </c>
      <c r="C1230" s="12" t="s">
        <v>8895</v>
      </c>
      <c r="D1230" s="46">
        <f>New!P:P</f>
        <v>0</v>
      </c>
    </row>
    <row r="1231" spans="1:4" ht="12.75">
      <c r="A1231" s="45" t="str">
        <f ca="1">New!M:M</f>
        <v>{New} Melody Marks https://lulustream.com/d/lhy7itzmj8kc https://streamtape.com/v/d8zpRVPB7VFk6AA/24308236 https://doodstream.com/d/renn80w1s7m3/24308236 (2026) #BigTits #Hardcore #Bigass #Porn #Teen #RIPNSFW</v>
      </c>
      <c r="B1231" s="12" t="str">
        <f>New!A:A</f>
        <v>Melody Marks - 24308236 - ripnsfw.com.jpg</v>
      </c>
      <c r="C1231" s="12" t="s">
        <v>8895</v>
      </c>
      <c r="D1231" s="46">
        <f>New!P:P</f>
        <v>0</v>
      </c>
    </row>
    <row r="1232" spans="1:4" ht="12.75">
      <c r="A1232" s="45" t="str">
        <f ca="1">New!M:M</f>
        <v>{New} Melody Marks https://doodstream.com/d/p94ba0x76ly6/24429324 https://lulustream.com/d/dsdvf7foyv3x https://streamtape.com/v/4odApALVgrUK6G1/24429324 (2026) #BigTits #Hardcore #Bigass #Porn #Teen #RIPNSFW</v>
      </c>
      <c r="B1232" s="12" t="str">
        <f>New!A:A</f>
        <v>Melody Marks - 24429324 - ripnsfw.com.jpg</v>
      </c>
      <c r="C1232" s="12" t="s">
        <v>8895</v>
      </c>
      <c r="D1232" s="46">
        <f>New!P:P</f>
        <v>0</v>
      </c>
    </row>
    <row r="1233" spans="1:4" ht="12.75">
      <c r="A1233" s="45" t="str">
        <f ca="1">New!M:M</f>
        <v>{New} Melody Marks https://doodstream.com/d/e0uquonyhrvs/24969447 https://lulustream.com/d/xly1d09lnn1e https://streamtape.com/v/vPWLz21AjdF4X0m/24969447 (2026) #Hardcore #Threesome #Teen #Blonde #RIPNSFW</v>
      </c>
      <c r="B1233" s="12" t="str">
        <f>New!A:A</f>
        <v>Melody Marks - 24969447 - ripnsfw.com.jpg</v>
      </c>
      <c r="C1233" s="12" t="s">
        <v>8895</v>
      </c>
      <c r="D1233" s="46">
        <f>New!P:P</f>
        <v>0</v>
      </c>
    </row>
    <row r="1234" spans="1:4" ht="12.75">
      <c r="A1234" s="45" t="str">
        <f ca="1">New!M:M</f>
        <v>{New} Melody Marks https://lulustream.com/d/so8hyuhf36q3 https://streamtape.com/v/QJVwWaZze9UwrA/26087470 https://doodstream.com/d/o3tky73o1wty/26087470 (2026) #BigTits #Hardcore #Bigass #Porn #Teen #Blowjob #Deepthroat #Blonde #RIPNSFW</v>
      </c>
      <c r="B1234" s="12" t="str">
        <f>New!A:A</f>
        <v>Melody Marks - 26087470 - ripnsfw.com.jpg</v>
      </c>
      <c r="C1234" s="12" t="s">
        <v>8895</v>
      </c>
      <c r="D1234" s="46">
        <f>New!P:P</f>
        <v>0</v>
      </c>
    </row>
    <row r="1235" spans="1:4" ht="12.75">
      <c r="A1235" s="45" t="str">
        <f ca="1">New!M:M</f>
        <v>{New} Melody Marks https://doodstream.com/d/xb7sikfoia1m/28313309 https://lulustream.com/d/lq4nyhq6b009 https://streamtape.com/v/abXrr9lApQUxRMW/28313309 Lilly Bell (2026) #BigTits #Hardcore #Threesome #Bigass #Porn #Teen #Teens #Blowjob #Deepthroat #Blonde #RIPNSFW</v>
      </c>
      <c r="B1235" s="12" t="str">
        <f>New!A:A</f>
        <v>Melody Marks - 28313309 - ripnsfw.com - Lilly Bell.jpg</v>
      </c>
      <c r="C1235" s="12" t="s">
        <v>8895</v>
      </c>
      <c r="D1235" s="46">
        <f>New!P:P</f>
        <v>0</v>
      </c>
    </row>
    <row r="1236" spans="1:4" ht="12.75">
      <c r="A1236" s="45" t="str">
        <f ca="1">New!M:M</f>
        <v>{New} Melody Marks https://streamtape.com/v/17jg2eaR3OteRgj/34326515 https://doodstream.com/d/ol6tnv92ka82/34326515 https://lulustream.com/d/jwhchx464imx Cory Chase (2026) #MILF #BigTits #Hardcore #Threesome #Bigass #Porn #Teen #RIPNSFW</v>
      </c>
      <c r="B1236" s="12" t="str">
        <f>New!A:A</f>
        <v>Melody Marks - 34326515 - ripnsfw.com - Cory Chase.jpg</v>
      </c>
      <c r="C1236" s="12" t="s">
        <v>8895</v>
      </c>
      <c r="D1236" s="46">
        <f>New!P:P</f>
        <v>0</v>
      </c>
    </row>
    <row r="1237" spans="1:4" ht="12.75">
      <c r="A1237" s="45" t="str">
        <f ca="1">New!M:M</f>
        <v>{New} Melody Marks https://lulustream.com/d/c4ipap00vboc https://doodstream.com/d/g7f1gnzj5nfz/41586007 https://streamtape.com/v/bpK3O86lmXCPaZG/41586007 (2026) #blowjob #teen #blonde #porn #RIPNSFW</v>
      </c>
      <c r="B1237" s="12" t="str">
        <f>New!A:A</f>
        <v>Melody Marks - 41586007 - NF.jpg</v>
      </c>
      <c r="C1237" s="12" t="s">
        <v>8895</v>
      </c>
      <c r="D1237" s="46">
        <f>New!P:P</f>
        <v>0</v>
      </c>
    </row>
    <row r="1238" spans="1:4" ht="12.75">
      <c r="A1238" s="45" t="str">
        <f ca="1">New!M:M</f>
        <v>{New} Melody Marks https://doodstream.com/d/f9c6ckftqwjt/41917273 https://lulustream.com/d/1ovq98ka03sl https://streamtape.com/v/r4lagjLr6YFbBMg/41917273 (2026) #teen #bigtits #blowjob #blonde #RIPNSFW</v>
      </c>
      <c r="B1238" s="12" t="str">
        <f>New!A:A</f>
        <v>Melody Marks - 41917273 - Onlyfans.jpg</v>
      </c>
      <c r="C1238" s="12" t="s">
        <v>8895</v>
      </c>
      <c r="D1238" s="46">
        <f>New!P:P</f>
        <v>0</v>
      </c>
    </row>
    <row r="1239" spans="1:4" ht="12.75">
      <c r="A1239" s="45" t="str">
        <f ca="1">New!M:M</f>
        <v>{New} Melody Marks https://streamtape.com/v/6PGpBpYae2S9w4b/44001768 https://doodstream.com/d/punxtdtp0go5/44001768 https://lulustream.com/d/ks0eymrdgh43 (2026) #teen #blowjob #blonde #porn #RIPNSFW</v>
      </c>
      <c r="B1239" s="12" t="str">
        <f>New!A:A</f>
        <v>Melody Marks - 44001768 - IP.jpg</v>
      </c>
      <c r="C1239" s="12" t="s">
        <v>8895</v>
      </c>
      <c r="D1239" s="46">
        <f>New!P:P</f>
        <v>0</v>
      </c>
    </row>
    <row r="1240" spans="1:4" ht="12.75">
      <c r="A1240" s="45" t="str">
        <f ca="1">New!M:M</f>
        <v>{New} Melody Marks https://doodstream.com/d/icl4g4q8kobe/47537489 https://lulustream.com/d/hod3yjm14ogn https://streamtape.com/v/xr270Ge9yLIkgxz/47537489 (2026) #BigTits #Hardcore #Porn #Teen #Blowjob #Blonde #Facial #RIPNSFW</v>
      </c>
      <c r="B1240" s="12" t="str">
        <f>New!A:A</f>
        <v>Melody Marks - 47537489 - ripnsfw.com.jpg</v>
      </c>
      <c r="C1240" s="12" t="s">
        <v>8895</v>
      </c>
      <c r="D1240" s="46">
        <f>New!P:P</f>
        <v>0</v>
      </c>
    </row>
    <row r="1241" spans="1:4" ht="12.75">
      <c r="A1241" s="45" t="str">
        <f ca="1">New!M:M</f>
        <v>{New} Melody Marks https://lulustream.com/d/dnqbycju29ke https://streamtape.com/v/Me9GpbolWzumkkJ/49097547 https://doodstream.com/d/nnsli8k7irw7/49097547 (2026) #BigTits #Creampie #Hardcore #Porn #Teen #RIPNSFW</v>
      </c>
      <c r="B1241" s="12" t="str">
        <f>New!A:A</f>
        <v>Melody Marks - 49097547 - ripnsfw.com.jpg</v>
      </c>
      <c r="C1241" s="12" t="s">
        <v>8895</v>
      </c>
      <c r="D1241" s="46">
        <f>New!P:P</f>
        <v>0</v>
      </c>
    </row>
    <row r="1242" spans="1:4" ht="12.75">
      <c r="A1242" s="45" t="str">
        <f ca="1">New!M:M</f>
        <v>{New} Melody Marks https://streamtape.com/v/oG7zdd4pDbiJwoA/49968496 https://lulustream.com/d/jxhtpkz1p5f9 https://doodstream.com/d/ocs5zir2k9ch/49968496 (2026) #teen #interracial #blowjob #blonde #RIPNSFW</v>
      </c>
      <c r="B1242" s="12" t="str">
        <f>New!A:A</f>
        <v>Melody Marks - 49968496 - Deeper.jpg</v>
      </c>
      <c r="C1242" s="12" t="s">
        <v>8895</v>
      </c>
      <c r="D1242" s="46">
        <f>New!P:P</f>
        <v>0</v>
      </c>
    </row>
    <row r="1243" spans="1:4" ht="12.75">
      <c r="A1243" s="45" t="str">
        <f ca="1">New!M:M</f>
        <v>{New} Melody Marks https://doodstream.com/d/c9nyebnbl5ks/55284403 https://streamtape.com/v/0Z9rgzqebZHb4bW/55284403 https://lulustream.com/d/nfw97gudpoms (2026) #Hardcore #Teen #Porn #Artporn #Teens #Blowjob #RIPNSFW</v>
      </c>
      <c r="B1243" s="12" t="str">
        <f>New!A:A</f>
        <v>Melody Marks - 55284403 - IL.jpg</v>
      </c>
      <c r="C1243" s="12" t="s">
        <v>8895</v>
      </c>
      <c r="D1243" s="46">
        <f>New!P:P</f>
        <v>0</v>
      </c>
    </row>
    <row r="1244" spans="1:4" ht="12.75">
      <c r="A1244" s="45" t="str">
        <f ca="1">New!M:M</f>
        <v>{New} Melody Marks https://lulustream.com/d/50wi2wnp7oyn https://streamtape.com/v/OxvYMV78JvHZ2be/58867059 https://doodstream.com/d/p8ol6hdjr1at/58867059 Audrey Reid (2026) #Hardcore #Threesome #Teen #Porn #RIPNSFW</v>
      </c>
      <c r="B1244" s="12" t="str">
        <f>New!A:A</f>
        <v>Melody Marks - 58867059 - PX - Audrey Reid.jpg</v>
      </c>
      <c r="C1244" s="12" t="s">
        <v>8895</v>
      </c>
      <c r="D1244" s="46">
        <f>New!P:P</f>
        <v>0</v>
      </c>
    </row>
    <row r="1245" spans="1:4" ht="12.75">
      <c r="A1245" s="45" t="str">
        <f ca="1">New!M:M</f>
        <v>{New} Melody Marks https://streamtape.com/v/b3OYo6PeOziP0qm/61380918 https://doodstream.com/d/dtwkzxxzriho/61380918 https://lulustream.com/d/kjvynw8ic8wj (2026) #BigTits #Creampie #Hardcore #Asian #Bigass #Teen #Porn #Blowjob #Blonde #RIPNSFW</v>
      </c>
      <c r="B1245" s="12" t="str">
        <f>New!A:A</f>
        <v>Melody Marks - 61380918 - ripnsfw.com.jpg</v>
      </c>
      <c r="C1245" s="12" t="s">
        <v>8895</v>
      </c>
      <c r="D1245" s="46">
        <f>New!P:P</f>
        <v>0</v>
      </c>
    </row>
    <row r="1246" spans="1:4" ht="12.75">
      <c r="A1246" s="45" t="str">
        <f ca="1">New!M:M</f>
        <v>{New} Melody Marks https://lulustream.com/d/46elh2oo4cok https://streamtape.com/v/GkJMWXGrvOH1JYa/65336114 https://doodstream.com/d/djhjo16fj07l/65336114 (2026) #BigTits #Hardcore #Bigass #Porn #Teen #Blowjob #Deepthroat #RIPNSFW</v>
      </c>
      <c r="B1246" s="12" t="str">
        <f>New!A:A</f>
        <v>Melody Marks - 65336114 - ripnsfw.com.jpg</v>
      </c>
      <c r="C1246" s="12" t="s">
        <v>8895</v>
      </c>
      <c r="D1246" s="46">
        <f>New!P:P</f>
        <v>0</v>
      </c>
    </row>
    <row r="1247" spans="1:4" ht="12.75">
      <c r="A1247" s="45" t="str">
        <f ca="1">New!M:M</f>
        <v>{New} Melody Marks https://lulustream.com/d/kwhnl2bii9vi https://streamtape.com/v/P7yBL9ql7zU0aYk/67372968 https://doodstream.com/d/cb2rec5cfqha/67372968 (2026) #BigTits #Hardcore #Porn #Teen #Blowjob #RIPNSFW</v>
      </c>
      <c r="B1247" s="12" t="str">
        <f>New!A:A</f>
        <v>Melody Marks - 67372968 - ripnsfw.com.jpg</v>
      </c>
      <c r="C1247" s="12" t="s">
        <v>8895</v>
      </c>
      <c r="D1247" s="46">
        <f>New!P:P</f>
        <v>0</v>
      </c>
    </row>
    <row r="1248" spans="1:4" ht="12.75">
      <c r="A1248" s="45" t="str">
        <f ca="1">New!M:M</f>
        <v>{New} Melody Marks https://doodstream.com/d/2yp8ivgsnbk3/71734885 https://streamtape.com/v/Q3JxGaAWl1C0zDd/71734885 https://lulustream.com/d/q21inkr1yh12 (2026) #teen #blonde #blowjob #pov #RIPNSFW</v>
      </c>
      <c r="B1248" s="12" t="str">
        <f>New!A:A</f>
        <v>Melody Marks - 71734885 - Onlyfans.jpg</v>
      </c>
      <c r="C1248" s="12" t="s">
        <v>8895</v>
      </c>
      <c r="D1248" s="46">
        <f>New!P:P</f>
        <v>0</v>
      </c>
    </row>
    <row r="1249" spans="1:4" ht="12.75">
      <c r="A1249" s="45" t="str">
        <f ca="1">New!M:M</f>
        <v>{New} Melody Marks https://lulustream.com/d/r90o6mi16t36 https://streamtape.com/v/yV9YkLKaD7sB34/77818427 https://doodstream.com/d/ru6fuiy0iemi/77818427 Sky Wonderland (2026) #teens #blonde #interracial #blowjob #RIPNSFW</v>
      </c>
      <c r="B1249" s="12" t="str">
        <f>New!A:A</f>
        <v>Melody Marks - 77818427 - BlackedRaw - Sky Wonderland.jpg</v>
      </c>
      <c r="C1249" s="12" t="s">
        <v>8895</v>
      </c>
      <c r="D1249" s="46">
        <f>New!P:P</f>
        <v>0</v>
      </c>
    </row>
    <row r="1250" spans="1:4" ht="12.75">
      <c r="A1250" s="45" t="str">
        <f ca="1">New!M:M</f>
        <v>{New} Melody Marks https://lulustream.com/d/971500ljm0wa https://streamtape.com/v/VPD3G88PpXhKe2P/81393731 https://doodstream.com/d/yanlbujoqri5/81393731 (2026) #BigTits #Creampie #Hardcore #Bigass #RIPNSFW</v>
      </c>
      <c r="B1250" s="12" t="str">
        <f>New!A:A</f>
        <v>Melody Marks - 81393731 - ripnsfw.com.jpg</v>
      </c>
      <c r="C1250" s="12" t="s">
        <v>8895</v>
      </c>
      <c r="D1250" s="46">
        <f>New!P:P</f>
        <v>0</v>
      </c>
    </row>
    <row r="1251" spans="1:4" ht="12.75">
      <c r="A1251" s="45" t="str">
        <f ca="1">New!M:M</f>
        <v>Melody Marks https://streamtape.com/v/2Dq80bDzBPIVKQ/81414858 https://lulustream.com/d/v8jq1ajqym4y https://doodstream.com/d/850zsw0aziyz/81414858 Theodora Day JackandJill #foursome #blonde #blowjob #facial #RIPNSFW</v>
      </c>
      <c r="B1251" s="12" t="str">
        <f>New!A:A</f>
        <v>Melody Marks - 81414858 - Chaturbate - Theodora Day - JackandJill.jpg</v>
      </c>
      <c r="C1251" s="12" t="s">
        <v>8895</v>
      </c>
      <c r="D1251" s="46">
        <f>New!P:P</f>
        <v>0</v>
      </c>
    </row>
    <row r="1252" spans="1:4" ht="12.75">
      <c r="A1252" s="45" t="str">
        <f ca="1">New!M:M</f>
        <v>{New} Melody Marks https://doodstream.com/d/3bvofhcqbguk/82099308 https://streamtape.com/v/ZzjdZ7aeP6tq918/82099308 https://lulustream.com/d/er4ar3c5knnx Gal Ritchie (2026) #BigTits #Hardcore #Threesome #Porn #RIPNSFW</v>
      </c>
      <c r="B1252" s="12" t="str">
        <f>New!A:A</f>
        <v>Melody Marks - 82099308 - IPOV - Gal Ritchie.jpg</v>
      </c>
      <c r="C1252" s="12" t="s">
        <v>8895</v>
      </c>
      <c r="D1252" s="46">
        <f>New!P:P</f>
        <v>0</v>
      </c>
    </row>
    <row r="1253" spans="1:4" ht="12.75">
      <c r="A1253" s="45" t="str">
        <f ca="1">New!M:M</f>
        <v>{New} Melody Marks https://doodstream.com/d/u4wcfvio9mhj/83513747 https://lulustream.com/d/k0ixr17x4a4n https://streamtape.com/v/jWvkqLj7edczAlD/83513747 (2026) #BigTits #Hardcore #Bigass #Porn #Teen #Threesome #Blowjob #Deepthroat #RIPNSFW</v>
      </c>
      <c r="B1253" s="12" t="str">
        <f>New!A:A</f>
        <v>Melody Marks - 83513747 - ripnsfw.com.jpg</v>
      </c>
      <c r="C1253" s="12" t="s">
        <v>8895</v>
      </c>
      <c r="D1253" s="46">
        <f>New!P:P</f>
        <v>0</v>
      </c>
    </row>
    <row r="1254" spans="1:4" ht="12.75">
      <c r="A1254" s="45" t="str">
        <f ca="1">New!M:M</f>
        <v>{New} Melody Marks https://doodstream.com/d/2y0tnvy2bilb/86169688 https://streamtape.com/v/L1LkQdegagtRrr4/86169688 https://lulustream.com/d/wg19778zviqt (2026) #BigTits #Hardcore #Threesome #Bigass #Porn #RIPNSFW</v>
      </c>
      <c r="B1254" s="12" t="str">
        <f>New!A:A</f>
        <v>Melody Marks - 86169688 - ripnsfw.com.jpg</v>
      </c>
      <c r="C1254" s="12" t="s">
        <v>8895</v>
      </c>
      <c r="D1254" s="46">
        <f>New!P:P</f>
        <v>0</v>
      </c>
    </row>
    <row r="1255" spans="1:4" ht="12.75">
      <c r="A1255" s="45" t="str">
        <f ca="1">New!M:M</f>
        <v>{New} Melody Marks https://streamtape.com/v/3kvXrJOr6VsdBkj/87312191 https://lulustream.com/d/slmivg899naq https://doodstream.com/d/q9nnxwmvp6lf/87312191 (2026) #BigTits #Hardcore #Porn #Teen #RIPNSFW</v>
      </c>
      <c r="B1255" s="12" t="str">
        <f>New!A:A</f>
        <v>Melody Marks - 87312191 - ripnsfw.com.jpg</v>
      </c>
      <c r="C1255" s="12" t="s">
        <v>8895</v>
      </c>
      <c r="D1255" s="46">
        <f>New!P:P</f>
        <v>0</v>
      </c>
    </row>
    <row r="1256" spans="1:4" ht="12.75">
      <c r="A1256" s="45" t="str">
        <f ca="1">New!M:M</f>
        <v>{New} Melody Marks https://lulustream.com/d/cfac0ottyx2y https://streamtape.com/v/GGX3blL1rDC1zwy/87615408 https://doodstream.com/d/cqlgod05z87x/87615408 (2026) #BigTits #Hardcore #Porn #Teen #Roleplay #Blowjob #RIPNSFW</v>
      </c>
      <c r="B1256" s="12" t="str">
        <f>New!A:A</f>
        <v>Melody Marks - 87615408 - ripnsfw.com.jpg</v>
      </c>
      <c r="C1256" s="12" t="s">
        <v>8895</v>
      </c>
      <c r="D1256" s="46">
        <f>New!P:P</f>
        <v>0</v>
      </c>
    </row>
    <row r="1257" spans="1:4" ht="12.75">
      <c r="A1257" s="45" t="str">
        <f ca="1">New!M:M</f>
        <v>{New} Melody Marks https://doodstream.com/d/18yfuxiys74o/88122372 https://lulustream.com/d/ucci8l4q1n2v https://streamtape.com/v/lGRkQ6JllyFbZ8/88122372 (2026) #teen #blowjob #porn #blonde #RIPNSFW</v>
      </c>
      <c r="B1257" s="12" t="str">
        <f>New!A:A</f>
        <v>Melody Marks - 88122372 - OF.jpg</v>
      </c>
      <c r="C1257" s="12" t="s">
        <v>8895</v>
      </c>
      <c r="D1257" s="46">
        <f>New!P:P</f>
        <v>0</v>
      </c>
    </row>
    <row r="1258" spans="1:4" ht="12.75">
      <c r="A1258" s="45" t="str">
        <f ca="1">New!M:M</f>
        <v>{New} Melody Marks https://doodstream.com/d/yb6uzl9iu2mo/89941516 https://lulustream.com/d/7wsirv36u5sr https://streamtape.com/v/VmlL04qjMZTOzR/89941516 (2026) #BigTits #Hardcore #Teen #Porn #Blowjob #Deepthroat #Blonde #Facial #RIPNSFW</v>
      </c>
      <c r="B1258" s="12" t="str">
        <f>New!A:A</f>
        <v>Melody Marks - 89941516 - ripnsfw.com.jpg</v>
      </c>
      <c r="C1258" s="12" t="s">
        <v>8895</v>
      </c>
      <c r="D1258" s="46">
        <f>New!P:P</f>
        <v>0</v>
      </c>
    </row>
    <row r="1259" spans="1:4" ht="12.75">
      <c r="A1259" s="45" t="str">
        <f ca="1">New!M:M</f>
        <v>{New} Mewslut https://streamtape.com/v/lA21ZGPyQZSb11/43798527 https://lulustream.com/d/oytjm1gd9yah https://doodstream.com/d/s278twp7erig/43798527 (2026) #Hardcore #Teen #Blowjob #Roleplay #Amateur #RIPNSFW</v>
      </c>
      <c r="B1259" s="12" t="str">
        <f>New!A:A</f>
        <v>Mewslut - 43798527 - ripnsfw.com.jpg</v>
      </c>
      <c r="C1259" s="12" t="s">
        <v>8895</v>
      </c>
      <c r="D1259" s="46">
        <f>New!P:P</f>
        <v>0</v>
      </c>
    </row>
    <row r="1260" spans="1:4" ht="12.75">
      <c r="A1260" s="45" t="str">
        <f ca="1">New!M:M</f>
        <v>{New} Mia Malkova https://streamtape.com/v/X19B7lgoVqSD9q1/17691696 https://lulustream.com/d/1jrb9yqq7uek https://doodstream.com/d/p60gm4ajspbo/17691696 (2026) #Anal #MILF #BigTits #Creampie #Hardcore #Bigass #Blowjob #Amateur #Hotwife #RIPNSFW</v>
      </c>
      <c r="B1260" s="12" t="str">
        <f>New!A:A</f>
        <v>Mia Malkova - 17691696 - Onlyfans.jpg</v>
      </c>
      <c r="C1260" s="12" t="s">
        <v>8895</v>
      </c>
      <c r="D1260" s="46">
        <f>New!P:P</f>
        <v>0</v>
      </c>
    </row>
    <row r="1261" spans="1:4" ht="12.75">
      <c r="A1261" s="45" t="str">
        <f ca="1">New!M:M</f>
        <v>{New} Mia Malkova https://streamtape.com/v/KzbR7VepWPt0ZO8/18416994 https://doodstream.com/d/gli557aakkag/18416994 https://lulustream.com/d/ohnd61yoirw7 (2026) #MILF #BigTits #Solo #Blonde #RIPNSFW</v>
      </c>
      <c r="B1261" s="12" t="str">
        <f>New!A:A</f>
        <v>Mia Malkova - 18416994 - Onlyfans.jpg</v>
      </c>
      <c r="C1261" s="12" t="s">
        <v>8895</v>
      </c>
      <c r="D1261" s="46">
        <f>New!P:P</f>
        <v>0</v>
      </c>
    </row>
    <row r="1262" spans="1:4" ht="12.75">
      <c r="A1262" s="45" t="str">
        <f ca="1">New!M:M</f>
        <v>{New} Mia Malkova https://streamtape.com/v/YLG4YbzDmKcv0VJ/22061583 https://doodstream.com/d/h00mji59e890/22061583 https://lulustream.com/d/aeozgpbrzuvg Belle Delphine (2026) #milf #blonde #bigtits #blowjob #RIPNSFW</v>
      </c>
      <c r="B1262" s="12" t="str">
        <f>New!A:A</f>
        <v>Mia Malkova - 22061583 - Onlyfans - Belle Delphine.jpg</v>
      </c>
      <c r="C1262" s="12" t="s">
        <v>8895</v>
      </c>
      <c r="D1262" s="46">
        <f>New!P:P</f>
        <v>0</v>
      </c>
    </row>
    <row r="1263" spans="1:4" ht="12.75">
      <c r="A1263" s="45" t="str">
        <f ca="1">New!M:M</f>
        <v>Mia Malkova https://doodstream.com/d/v8iwihxwdbrf/38489095 https://lulustream.com/d/kewpddxnm0nu https://streamtape.com/v/bVre4vpOyDSPjbv/38489095 #milf #blonde #bigtits #bigass #RIPNSFW</v>
      </c>
      <c r="B1263" s="12" t="str">
        <f>New!A:A</f>
        <v>Mia Malkova - 38489095 - Onlyfans.jpg</v>
      </c>
      <c r="C1263" s="12" t="s">
        <v>8895</v>
      </c>
      <c r="D1263" s="46">
        <f>New!P:P</f>
        <v>0</v>
      </c>
    </row>
    <row r="1264" spans="1:4" ht="12.75">
      <c r="A1264" s="45" t="str">
        <f ca="1">New!M:M</f>
        <v>{New} Mia Malkova https://doodstream.com/d/qb237dbo3yyb/41359143 https://lulustream.com/d/xyt3hqvoqlzq https://streamtape.com/v/ekXYaW1yJVtYvxe/41359143 (2026) #MILF #BigTits #Hardcore #Black #RIPNSFW</v>
      </c>
      <c r="B1264" s="12" t="str">
        <f>New!A:A</f>
        <v>Mia Malkova - 41359143 - Onlyfans.jpg</v>
      </c>
      <c r="C1264" s="12" t="s">
        <v>8895</v>
      </c>
      <c r="D1264" s="46">
        <f>New!P:P</f>
        <v>0</v>
      </c>
    </row>
    <row r="1265" spans="1:4" ht="12.75">
      <c r="A1265" s="45" t="str">
        <f ca="1">New!M:M</f>
        <v>Mia Malkova https://streamtape.com/v/Wo1j7ylom1sgQw/42738945 https://doodstream.com/d/pnewki3zzhw3/42738945 https://lulustream.com/d/22k9nsl8r8io #blonde #bigass #bigtits #milf #RIPNSFW</v>
      </c>
      <c r="B1265" s="12" t="str">
        <f>New!A:A</f>
        <v>Mia Malkova - 42738945 - Onlyfans.jpg</v>
      </c>
      <c r="C1265" s="12" t="s">
        <v>8895</v>
      </c>
      <c r="D1265" s="46">
        <f>New!P:P</f>
        <v>0</v>
      </c>
    </row>
    <row r="1266" spans="1:4" ht="12.75">
      <c r="A1266" s="45" t="str">
        <f ca="1">New!M:M</f>
        <v>{New} Mia Malkova https://streamtape.com/v/DPeRrM1Y8Ztk179/45449164 https://doodstream.com/d/ltm69xn0zcoy/45449164 https://lulustream.com/d/ap4irg4tui4v (2026) #MILF #BigTits #Hardcore #Bigass #RIPNSFW</v>
      </c>
      <c r="B1266" s="12" t="str">
        <f>New!A:A</f>
        <v>Mia Malkova - 45449164 - Onlyfans.jpg</v>
      </c>
      <c r="C1266" s="12" t="s">
        <v>8895</v>
      </c>
      <c r="D1266" s="46">
        <f>New!P:P</f>
        <v>0</v>
      </c>
    </row>
    <row r="1267" spans="1:4" ht="12.75">
      <c r="A1267" s="45" t="str">
        <f ca="1">New!M:M</f>
        <v>{New} Mia Malkova https://streamtape.com/v/m6AmLZ7o63hb3le/51929303 https://doodstream.com/d/tgkeqz50u3zf/51929303 https://lulustream.com/d/r68ks3m0gbqi (2026) #MILF #BigTits #Hardcore #Bigass #Porn #Stepmom #Blowjob #Hotwife #Deepthroat #RIPNSFW</v>
      </c>
      <c r="B1267" s="12" t="str">
        <f>New!A:A</f>
        <v>Mia Malkova - 51929303 - Onlyfans.jpg</v>
      </c>
      <c r="C1267" s="12" t="s">
        <v>8895</v>
      </c>
      <c r="D1267" s="46">
        <f>New!P:P</f>
        <v>0</v>
      </c>
    </row>
    <row r="1268" spans="1:4" ht="12.75">
      <c r="A1268" s="45" t="str">
        <f ca="1">New!M:M</f>
        <v>{New} Mia Malkova https://lulustream.com/d/gfn2xt6umfqm https://doodstream.com/d/cls8jbkl17oj/58518494 https://streamtape.com/v/06aMggvoP3FbRoZ/58518494 Elle Brooke (2026) #MILF #BigTits #Hardcore #Threesome #RIPNSFW</v>
      </c>
      <c r="B1268" s="12" t="str">
        <f>New!A:A</f>
        <v>Mia Malkova - 58518494 - Onlyfans - Elle Brooke.jpg</v>
      </c>
      <c r="C1268" s="12" t="s">
        <v>8895</v>
      </c>
      <c r="D1268" s="46">
        <f>New!P:P</f>
        <v>0</v>
      </c>
    </row>
    <row r="1269" spans="1:4" ht="12.75">
      <c r="A1269" s="45" t="str">
        <f ca="1">New!M:M</f>
        <v>{New} Mia Malkova https://lulustream.com/d/3ci67sc1vnk6 https://streamtape.com/v/aq3vrWMOVaFJVv/58551090 https://doodstream.com/d/kydnft591qjm/58551090 (2026) #blowjob #milf #bigtits #bigass #RIPNSFW</v>
      </c>
      <c r="B1269" s="12" t="str">
        <f>New!A:A</f>
        <v>Mia Malkova - 58551090 - Onlyfans.jpg</v>
      </c>
      <c r="C1269" s="12" t="s">
        <v>8895</v>
      </c>
      <c r="D1269" s="46">
        <f>New!P:P</f>
        <v>0</v>
      </c>
    </row>
    <row r="1270" spans="1:4" ht="12.75">
      <c r="A1270" s="45" t="str">
        <f ca="1">New!M:M</f>
        <v>{New} Mia Malkova https://doodstream.com/d/onvnyeih9086/67876165 https://lulustream.com/d/iwpffprd4nna https://streamtape.com/v/01rQ6m2rgahbJyY/67876165 (2026) #BigTits #Bigass #Teen #Solo #RIPNSFW</v>
      </c>
      <c r="B1270" s="12" t="str">
        <f>New!A:A</f>
        <v>Mia Malkova - 67876165 - ripnsfw.com.jpg</v>
      </c>
      <c r="C1270" s="12" t="s">
        <v>8895</v>
      </c>
      <c r="D1270" s="46">
        <f>New!P:P</f>
        <v>0</v>
      </c>
    </row>
    <row r="1271" spans="1:4" ht="12.75">
      <c r="A1271" s="45" t="str">
        <f ca="1">New!M:M</f>
        <v>{New} Mia Malkova https://lulustream.com/d/28adfgga59yg https://doodstream.com/d/fpgis45eug2a/70813268 https://streamtape.com/v/xqa0kb26wKckp3d/70813268 (2026) #milf #bigtits #bigass #joi #RIPNSFW</v>
      </c>
      <c r="B1271" s="12" t="str">
        <f>New!A:A</f>
        <v>Mia Malkova - 70813268 - Onlyfans.jpg</v>
      </c>
      <c r="C1271" s="12" t="s">
        <v>8895</v>
      </c>
      <c r="D1271" s="46">
        <f>New!P:P</f>
        <v>0</v>
      </c>
    </row>
    <row r="1272" spans="1:4" ht="12.75">
      <c r="A1272" s="45" t="str">
        <f ca="1">New!M:M</f>
        <v>{New} Mia Malkova https://streamtape.com/v/xegpYmjL9xsk4ZM/87253864 https://lulustream.com/d/4gxfij3o9ujc https://doodstream.com/d/rjn7tsx4yzae/87253864 (2026) #blowjob #blonde #milf #roleplay #RIPNSFW</v>
      </c>
      <c r="B1272" s="12" t="str">
        <f>New!A:A</f>
        <v>Mia Malkova - 87253864 - Onlyfans.jpg</v>
      </c>
      <c r="C1272" s="12" t="s">
        <v>8895</v>
      </c>
      <c r="D1272" s="46">
        <f>New!P:P</f>
        <v>0</v>
      </c>
    </row>
    <row r="1273" spans="1:4" ht="12.75">
      <c r="A1273" s="45" t="str">
        <f ca="1">New!M:M</f>
        <v>{New} Mia Malkova https://streamtape.com/v/VObKW1PDrdhz4O/92617722 https://lulustream.com/d/kxgeoripjmra https://doodstream.com/d/88ks6i9jkc7z/92617722 (2026) #milf #bigtits #blowjob #solo #RIPNSFW</v>
      </c>
      <c r="B1273" s="12" t="str">
        <f>New!A:A</f>
        <v>Mia Malkova - 92617722 - Onlyfans.jpg</v>
      </c>
      <c r="C1273" s="12" t="s">
        <v>8895</v>
      </c>
      <c r="D1273" s="46">
        <f>New!P:P</f>
        <v>0</v>
      </c>
    </row>
    <row r="1274" spans="1:4" ht="12.75">
      <c r="A1274" s="45" t="str">
        <f ca="1">New!M:M</f>
        <v>{New} Mia Malkova https://streamtape.com/v/vVYXQa9Yr9f40dr/96356422 https://doodstream.com/d/m9nqjplq625o/96356422 https://lulustream.com/d/6itzasfcvck3 (2026) #MILF #BigTits #Bigass #Roleplay #Blowjob #RIPNSFW</v>
      </c>
      <c r="B1274" s="12" t="str">
        <f>New!A:A</f>
        <v>Mia Malkova - 96356422 - ripnsfw.com.jpg</v>
      </c>
      <c r="C1274" s="12" t="s">
        <v>8895</v>
      </c>
      <c r="D1274" s="46">
        <f>New!P:P</f>
        <v>0</v>
      </c>
    </row>
    <row r="1275" spans="1:4" ht="12.75">
      <c r="A1275" s="45" t="str">
        <f ca="1">New!M:M</f>
        <v>{New} Michelle Hoek https://doodstream.com/d/hu5ifkasuq6m/10480061 https://lulustream.com/d/67zjs3t495s9 https://streamtape.com/v/YVl6YwveVgIvxV8/10480061 (2026) #Anal #MILF #BigTits #Hardcore #Threesome #Bigass #RIPNSFW</v>
      </c>
      <c r="B1275" s="12" t="str">
        <f>New!A:A</f>
        <v>Michelle Hoek - 10480061 - ripnsfw.com.jpg</v>
      </c>
      <c r="C1275" s="12" t="s">
        <v>8895</v>
      </c>
      <c r="D1275" s="46">
        <f>New!P:P</f>
        <v>0</v>
      </c>
    </row>
    <row r="1276" spans="1:4" ht="12.75">
      <c r="A1276" s="45" t="str">
        <f ca="1">New!M:M</f>
        <v>{New} Mila Sobolov https://streamtape.com/v/YwrvVZPPRmiv4b8/55887993 https://lulustream.com/d/yl5pk5gnllml https://doodstream.com/d/yyptxroj9x85/55887993 (2026) #teen #blonde #blowjob #amateur #RIPNSFW</v>
      </c>
      <c r="B1276" s="12" t="str">
        <f>New!A:A</f>
        <v>Mila Sobolov - 55887993 - Onlyfans.jpg</v>
      </c>
      <c r="C1276" s="12" t="s">
        <v>8895</v>
      </c>
      <c r="D1276" s="46">
        <f>New!P:P</f>
        <v>0</v>
      </c>
    </row>
    <row r="1277" spans="1:4" ht="12.75">
      <c r="A1277" s="45" t="str">
        <f ca="1">New!M:M</f>
        <v>{New} Milana Milka https://lulustream.com/d/ssnbd447d6g0 https://doodstream.com/d/yxszkllrumig/94089315 https://streamtape.com/v/qrYL0BbwDocadz/94089315 (2026) #Anal #BigTits #Hardcore #Bigass #Teen #Blowjob #Porn #RIPNSFW</v>
      </c>
      <c r="B1277" s="12" t="str">
        <f>New!A:A</f>
        <v>Milana Milka - 94089315 - ripnsfw.com.jpg</v>
      </c>
      <c r="C1277" s="12" t="s">
        <v>8895</v>
      </c>
      <c r="D1277" s="46">
        <f>New!P:P</f>
        <v>0</v>
      </c>
    </row>
    <row r="1278" spans="1:4" ht="12.75">
      <c r="A1278" s="45" t="str">
        <f ca="1">New!M:M</f>
        <v>{New} Mini Loonaa https://doodstream.com/d/tt7hzxhapyy8/24435407 https://streamtape.com/v/qyR21zKmR2I1KO/24435407 https://lulustream.com/d/2zfdw1wzxryh (2026) #teen #bigtits #blowjob #bigass #RIPNSFW</v>
      </c>
      <c r="B1278" s="12" t="str">
        <f>New!A:A</f>
        <v>Mini Loonaa - 24435407 - Onlyfans.jpg</v>
      </c>
      <c r="C1278" s="12" t="s">
        <v>8895</v>
      </c>
      <c r="D1278" s="46">
        <f>New!P:P</f>
        <v>0</v>
      </c>
    </row>
    <row r="1279" spans="1:4" ht="12.75">
      <c r="A1279" s="45" t="str">
        <f ca="1">New!M:M</f>
        <v>{New} Mini Loonaa https://doodstream.com/d/zim76s78umxw/34493585 https://streamtape.com/v/rbdog2Lagls3DO/34493585 https://lulustream.com/d/ocggy3dfjn7g (2026) #BigTits #Creampie #Hardcore #Bigass #RIPNSFW</v>
      </c>
      <c r="B1279" s="12" t="str">
        <f>New!A:A</f>
        <v>Mini Loonaa - 34493585 - ripnsfw.com.jpg</v>
      </c>
      <c r="C1279" s="12" t="s">
        <v>8895</v>
      </c>
      <c r="D1279" s="46">
        <f>New!P:P</f>
        <v>0</v>
      </c>
    </row>
    <row r="1280" spans="1:4" ht="12.75">
      <c r="A1280" s="45" t="str">
        <f ca="1">New!M:M</f>
        <v>{New} Mini Loonaa https://streamtape.com/v/jla4kMLL8jHQQd/35538209 https://lulustream.com/d/4bczvnrg1paz https://doodstream.com/d/426nz4vmjvjv/35538209 (2026) #teen #bigtits #bigass #blowjob #RIPNSFW</v>
      </c>
      <c r="B1280" s="12" t="str">
        <f>New!A:A</f>
        <v>Mini Loonaa - 35538209 - Onlyfans.jpg</v>
      </c>
      <c r="C1280" s="12" t="s">
        <v>8895</v>
      </c>
      <c r="D1280" s="46">
        <f>New!P:P</f>
        <v>0</v>
      </c>
    </row>
    <row r="1281" spans="1:4" ht="12.75">
      <c r="A1281" s="45" t="str">
        <f ca="1">New!M:M</f>
        <v>{New} Mini Loonaa https://streamtape.com/v/Va40Mm9YYWhKd7V/35834297 https://doodstream.com/d/xcg7mgc2zxg8/35834297 https://lulustream.com/d/3ih30nbkyws3 (2026) #milf #blowjob #bigtits #bigass #RIPNSFW</v>
      </c>
      <c r="B1281" s="12" t="str">
        <f>New!A:A</f>
        <v>Mini Loonaa - 35834297 - Onlyfans.jpg</v>
      </c>
      <c r="C1281" s="12" t="s">
        <v>8895</v>
      </c>
      <c r="D1281" s="46">
        <f>New!P:P</f>
        <v>0</v>
      </c>
    </row>
    <row r="1282" spans="1:4" ht="12.75">
      <c r="A1282" s="45" t="str">
        <f ca="1">New!M:M</f>
        <v>{New} Mini Loonaa https://doodstream.com/d/1cynmnfhsx9r/49583813 https://streamtape.com/v/BvyAzG7d0AUW1L/49583813 https://lulustream.com/d/3smkn239k5ln (2026) #BigTits #Bigass #Teen #Blowjob #RIPNSFW</v>
      </c>
      <c r="B1282" s="12" t="str">
        <f>New!A:A</f>
        <v>Mini Loonaa - 49583813 - ripnsfw.com.jpg</v>
      </c>
      <c r="C1282" s="12" t="s">
        <v>8895</v>
      </c>
      <c r="D1282" s="46">
        <f>New!P:P</f>
        <v>0</v>
      </c>
    </row>
    <row r="1283" spans="1:4" ht="12.75">
      <c r="A1283" s="45" t="str">
        <f ca="1">New!M:M</f>
        <v>{New} Mini Loonaa https://doodstream.com/d/k5e9hxluvsrt/64264764 https://streamtape.com/v/3992ZjR8pPhAMG/64264764 https://lulustream.com/d/fu45w0z9dkow (2026) #teen #bigtits #blowjob #bigass #RIPNSFW</v>
      </c>
      <c r="B1283" s="12" t="str">
        <f>New!A:A</f>
        <v>Mini Loonaa - 64264764 - Onlyfans.jpg</v>
      </c>
      <c r="C1283" s="12" t="s">
        <v>8895</v>
      </c>
      <c r="D1283" s="46">
        <f>New!P:P</f>
        <v>0</v>
      </c>
    </row>
    <row r="1284" spans="1:4" ht="12.75">
      <c r="A1284" s="45" t="str">
        <f ca="1">New!M:M</f>
        <v>{New} Mini Loonaa https://streamtape.com/v/aG1xDRk8AxTxK2D/71137386 https://doodstream.com/d/6v6i6535ph1h/71137386 https://lulustream.com/d/efyxnml91vmj (2026) #teen #bigtits #threessome #blowjob #RIPNSFW</v>
      </c>
      <c r="B1284" s="12" t="str">
        <f>New!A:A</f>
        <v>Mini Loonaa - 71137386 - Onlyfans.jpg</v>
      </c>
      <c r="C1284" s="12" t="s">
        <v>8895</v>
      </c>
      <c r="D1284" s="46">
        <f>New!P:P</f>
        <v>0</v>
      </c>
    </row>
    <row r="1285" spans="1:4" ht="12.75">
      <c r="A1285" s="45" t="str">
        <f ca="1">New!M:M</f>
        <v>{New} Mini Loonaa https://doodstream.com/d/q4kcb8p6oete/89805685 https://lulustream.com/d/w7cirrj4bxse https://streamtape.com/v/r0MG6bjKG3Ub0JK/89805685 (2026) #BigTits #Hardcore #Bigass #Teen #Blowjob #Amateur #Hotwife #RIPNSFW</v>
      </c>
      <c r="B1285" s="12" t="str">
        <f>New!A:A</f>
        <v>Mini Loonaa - 89805685 - ripnsfw.com.jpg</v>
      </c>
      <c r="C1285" s="12" t="s">
        <v>8895</v>
      </c>
      <c r="D1285" s="46">
        <f>New!P:P</f>
        <v>0</v>
      </c>
    </row>
    <row r="1286" spans="1:4" ht="12.75">
      <c r="A1286" s="45" t="str">
        <f ca="1">New!M:M</f>
        <v>{New} Misty https://lulustream.com/d/1fo4c3cwqoa5 https://doodstream.com/d/f26f32pzlcmj/77897391 https://streamtape.com/v/kqeW6OJ6rQUOJr1/77897391 (2026) #Anal #MILF #BigTits #Creampie #RIPNSFW</v>
      </c>
      <c r="B1286" s="12" t="str">
        <f>New!A:A</f>
        <v>Misty - 77897391 - PS.jpg</v>
      </c>
      <c r="C1286" s="12" t="s">
        <v>8895</v>
      </c>
      <c r="D1286" s="46">
        <f>New!P:P</f>
        <v>0</v>
      </c>
    </row>
    <row r="1287" spans="1:4" ht="12.75">
      <c r="A1287" s="45" t="str">
        <f ca="1">New!M:M</f>
        <v>{New} Nakedbarbiedoll https://streamtape.com/v/RwzVPeJQo4hdPRg/24627046 https://doodstream.com/d/j4tho068fivh/24627046 https://lulustream.com/d/ot0m3tqv8bft (2026) #bigtits #blowjob #redhead #amateur #RIPNSFW</v>
      </c>
      <c r="B1287" s="12" t="str">
        <f>New!A:A</f>
        <v>Nakedbarbiedoll - 24627046 - Onlyfans.jpg</v>
      </c>
      <c r="C1287" s="12" t="s">
        <v>8895</v>
      </c>
      <c r="D1287" s="46">
        <f>New!P:P</f>
        <v>0</v>
      </c>
    </row>
    <row r="1288" spans="1:4" ht="12.75">
      <c r="A1288" s="45" t="str">
        <f ca="1">New!M:M</f>
        <v>{New} Natalia Starr https://lulustream.com/d/i9u43yhapshm https://doodstream.com/d/af1lqail32m8/10215923 https://streamtape.com/v/adBep8Qe7yCx3A7/10215923 Lena the plug (2026) #MILF #BigTits #Hardcore #Threesome #Bigass #Blowjob #Amateur #RIPNSFW</v>
      </c>
      <c r="B1288" s="12" t="str">
        <f>New!A:A</f>
        <v>Natalia Starr - 10215923 - ripnsfw.com - Lena the plug.jpg</v>
      </c>
      <c r="C1288" s="12" t="s">
        <v>8895</v>
      </c>
      <c r="D1288" s="46">
        <f>New!P:P</f>
        <v>0</v>
      </c>
    </row>
    <row r="1289" spans="1:4" ht="12.75">
      <c r="A1289" s="45" t="str">
        <f ca="1">New!M:M</f>
        <v>{New} Natasha Nice https://lulustream.com/d/z8ygel4k7ruz https://streamtape.com/v/yM69KJKQD7i1QVe/24690414 https://doodstream.com/d/h14cpj17mqbf/24690414 (2026) #milf #threesome #bigtits #bigass #RIPNSFW</v>
      </c>
      <c r="B1289" s="12" t="str">
        <f>New!A:A</f>
        <v>Natasha Nice - 24690414 - Onlyfans.jpg</v>
      </c>
      <c r="C1289" s="12" t="s">
        <v>8895</v>
      </c>
      <c r="D1289" s="46">
        <f>New!P:P</f>
        <v>0</v>
      </c>
    </row>
    <row r="1290" spans="1:4" ht="12.75">
      <c r="A1290" s="45" t="str">
        <f ca="1">New!M:M</f>
        <v>{New} Natasha Nice https://lulustream.com/d/6oiu5os9kkr9 https://streamtape.com/v/dQKzG86pJdSkmLm/25140577 https://doodstream.com/d/jgqqyqnsht30/25140577 (2026) #MILF #BigTits #Hardcore #Black #Interracial #Bigass #Blowjob #Amateur #RIPNSFW</v>
      </c>
      <c r="B1290" s="12" t="str">
        <f>New!A:A</f>
        <v>Natasha Nice - 25140577 - ripnsfw.com.jpg</v>
      </c>
      <c r="C1290" s="12" t="s">
        <v>8895</v>
      </c>
      <c r="D1290" s="46">
        <f>New!P:P</f>
        <v>0</v>
      </c>
    </row>
    <row r="1291" spans="1:4" ht="12.75">
      <c r="A1291" s="45" t="str">
        <f ca="1">New!M:M</f>
        <v>{New} Natasha Nice https://doodstream.com/d/nccksko7tdr0/45413400 https://lulustream.com/d/3eomqxggbtf1 https://streamtape.com/v/mOldRkePZLTMwe/45413400 (2026) #MILF #BigTits #Hardcore #Bigass #Porn #Blowjob #RIPNSFW</v>
      </c>
      <c r="B1291" s="12" t="str">
        <f>New!A:A</f>
        <v>Natasha Nice - 45413400 - Bang.jpg</v>
      </c>
      <c r="C1291" s="12" t="s">
        <v>8895</v>
      </c>
      <c r="D1291" s="46">
        <f>New!P:P</f>
        <v>0</v>
      </c>
    </row>
    <row r="1292" spans="1:4" ht="12.75">
      <c r="A1292" s="45" t="str">
        <f ca="1">New!M:M</f>
        <v>{New} Natasha Nice https://lulustream.com/d/zh2cutokip2g https://doodstream.com/d/igk47m8js41j/50308482 https://streamtape.com/v/ZwdQZelmGXtMg4/50308482 (2026) #milf #bigtits #bigass #blowjob #RIPNSFW</v>
      </c>
      <c r="B1292" s="12" t="str">
        <f>New!A:A</f>
        <v>Natasha Nice - 50308482 - Onlyfans.jpg</v>
      </c>
      <c r="C1292" s="12" t="s">
        <v>8895</v>
      </c>
      <c r="D1292" s="46">
        <f>New!P:P</f>
        <v>0</v>
      </c>
    </row>
    <row r="1293" spans="1:4" ht="12.75">
      <c r="A1293" s="45" t="str">
        <f ca="1">New!M:M</f>
        <v>{New} Natasha Nice https://streamtape.com/v/GW01aRZMWkUlY6/57865739 https://lulustream.com/d/dg93kso5a7j8 https://doodstream.com/d/kjp0boqetce4/57865739 (2026) #milf #bigtits #bigass #blowjob #RIPNSFW</v>
      </c>
      <c r="B1293" s="12" t="str">
        <f>New!A:A</f>
        <v>Natasha Nice - 57865739 - XVRED.jpg</v>
      </c>
      <c r="C1293" s="12" t="s">
        <v>8895</v>
      </c>
      <c r="D1293" s="46">
        <f>New!P:P</f>
        <v>0</v>
      </c>
    </row>
    <row r="1294" spans="1:4" ht="12.75">
      <c r="A1294" s="45" t="str">
        <f ca="1">New!M:M</f>
        <v>{New} Natasha Nice https://doodstream.com/d/186ylxdppxh0/60001539 https://lulustream.com/d/ntdkffso4g1c https://streamtape.com/v/r9jB6ewjvLfY6p/60001539 (2026) #MILF #BigTits #Hardcore #Bigass #Stepmom #Blowjob #Amateur #RIPNSFW</v>
      </c>
      <c r="B1294" s="12" t="str">
        <f>New!A:A</f>
        <v>Natasha Nice - 60001539 - XVRED.jpg</v>
      </c>
      <c r="C1294" s="12" t="s">
        <v>8895</v>
      </c>
      <c r="D1294" s="46">
        <f>New!P:P</f>
        <v>0</v>
      </c>
    </row>
    <row r="1295" spans="1:4" ht="12.75">
      <c r="A1295" s="45" t="str">
        <f ca="1">New!M:M</f>
        <v>{New} Natasha Nice https://streamtape.com/v/j7wabZrML1CzyqD/70766285 https://doodstream.com/d/3ytleg1x493m/70766285 https://lulustream.com/d/79exirndbflo (2026) #MILF #BigTits #Bigass #Stepmom #Blowjob #Amateur #Mature #RIPNSFW</v>
      </c>
      <c r="B1295" s="12" t="str">
        <f>New!A:A</f>
        <v>Natasha Nice - 70766285 - XVRED.jpg</v>
      </c>
      <c r="C1295" s="12" t="s">
        <v>8895</v>
      </c>
      <c r="D1295" s="46">
        <f>New!P:P</f>
        <v>0</v>
      </c>
    </row>
    <row r="1296" spans="1:4" ht="12.75">
      <c r="A1296" s="45" t="str">
        <f ca="1">New!M:M</f>
        <v>{New} Natasha Nice https://doodstream.com/d/fv0ipy65exj4/97260972 https://streamtape.com/v/aYlxJPWKarux1oR/97260972 https://lulustream.com/d/k2bfmqsealu7 (2026) #milf #bigtits #blowjob #facial #RIPNSFW</v>
      </c>
      <c r="B1296" s="12" t="str">
        <f>New!A:A</f>
        <v>Natasha Nice - 97260972 - Onlyfans.jpg</v>
      </c>
      <c r="C1296" s="12" t="s">
        <v>8895</v>
      </c>
      <c r="D1296" s="46">
        <f>New!P:P</f>
        <v>0</v>
      </c>
    </row>
    <row r="1297" spans="1:4" ht="12.75">
      <c r="A1297" s="45" t="str">
        <f ca="1">New!M:M</f>
        <v>{New} Nicole Doshi https://streamtape.com/v/DoJ96DWxQYh6gR/40682016 https://doodstream.com/d/8cjkgt9y9e39/40682016 https://lulustream.com/d/krutf9htcdrv (2026) #MILF #BigTits #Creampie #Hardcore #Asian #Black #Interracial #Bigass #Porn #RIPNSFW</v>
      </c>
      <c r="B1297" s="12" t="str">
        <f>New!A:A</f>
        <v>Nicole Doshi - 40682016 - ripnsfw.com.jpg</v>
      </c>
      <c r="C1297" s="12" t="s">
        <v>8895</v>
      </c>
      <c r="D1297" s="46">
        <f>New!P:P</f>
        <v>0</v>
      </c>
    </row>
    <row r="1298" spans="1:4" ht="12.75">
      <c r="A1298" s="45" t="str">
        <f ca="1">New!M:M</f>
        <v>{New} Nicole Doshi https://streamtape.com/v/4d28Zw9jk6cKlWd/95057329 https://doodstream.com/d/qc3okcpkfamh/95057329 https://lulustream.com/d/5sbkpgb702h3 (2026) #MILF #BigTits #Hardcore #Asian #Black #Interracial #Bigass #Blowjob #RIPNSFW</v>
      </c>
      <c r="B1298" s="12" t="str">
        <f>New!A:A</f>
        <v>Nicole Doshi - 95057329 - ripnsfw.com.jpg</v>
      </c>
      <c r="C1298" s="12" t="s">
        <v>8895</v>
      </c>
      <c r="D1298" s="46">
        <f>New!P:P</f>
        <v>0</v>
      </c>
    </row>
    <row r="1299" spans="1:4" ht="12.75">
      <c r="A1299" s="45" t="str">
        <f ca="1">New!M:M</f>
        <v>{New} Nicole Rae https://lulustream.com/d/6xueo4uwny02 https://doodstream.com/d/k78c60lioyx0/64606430 https://streamtape.com/v/plYL0BMZGqSrmGr/64606430 (2026) #Anal #BigTits #Creampie #Hardcore #Porn #Blowjob #Blonde #RIPNSFW</v>
      </c>
      <c r="B1299" s="12" t="str">
        <f>New!A:A</f>
        <v>Nicole Rae - 64606430 - ripnsfw.com.jpg</v>
      </c>
      <c r="C1299" s="12" t="s">
        <v>8895</v>
      </c>
      <c r="D1299" s="46">
        <f>New!P:P</f>
        <v>0</v>
      </c>
    </row>
    <row r="1300" spans="1:4" ht="12.75">
      <c r="A1300" s="45" t="str">
        <f ca="1">New!M:M</f>
        <v>{New} Nikoletta Queen https://doodstream.com/d/l8hfr09xzp9l/54048368 https://lulustream.com/d/pio1qh7mflsv https://streamtape.com/v/oLmor3xmeeFJLWl/54048368 (2026) #BigTits #Hardcore #Bigass #Porn #Teen #Artporn #Blowjob #Deepthroat #Blonde #RIPNSFW</v>
      </c>
      <c r="B1300" s="12" t="str">
        <f>New!A:A</f>
        <v>Nikoletta Queen - 54048368 - DD4K.jpg</v>
      </c>
      <c r="C1300" s="12" t="s">
        <v>8895</v>
      </c>
      <c r="D1300" s="46">
        <f>New!P:P</f>
        <v>0</v>
      </c>
    </row>
    <row r="1301" spans="1:4" ht="12.75">
      <c r="A1301" s="45" t="str">
        <f ca="1">New!M:M</f>
        <v>Nina https://lulustream.com/d/p73bki3wiioz https://streamtape.com/v/vrz0lXeoAQi4e84/62548810 https://doodstream.com/d/lq7ebgy99p5s/62548810 #teen #casting #anal #facial #RIPNSFW</v>
      </c>
      <c r="B1301" s="12" t="str">
        <f>New!A:A</f>
        <v>Nina - 62548810 - BackroomCastingCouch.jpg</v>
      </c>
      <c r="C1301" s="12" t="s">
        <v>8895</v>
      </c>
      <c r="D1301" s="46">
        <f>New!P:P</f>
        <v>0</v>
      </c>
    </row>
    <row r="1302" spans="1:4" ht="12.75">
      <c r="A1302" s="45" t="str">
        <f ca="1">New!M:M</f>
        <v>{New} Norah Nova https://lulustream.com/d/nc2vq0mtz9dj https://doodstream.com/d/hecnwfaa1mzl/62065316 https://streamtape.com/v/ZKXZDBG0bgiqpr9/62065316 (2026) #Creampie #Hardcore #Porn #Teen #RIPNSFW</v>
      </c>
      <c r="B1302" s="12" t="str">
        <f>New!A:A</f>
        <v>Norah Nova - 62065316 - ripnsfw.com.jpg</v>
      </c>
      <c r="C1302" s="12" t="s">
        <v>8895</v>
      </c>
      <c r="D1302" s="46">
        <f>New!P:P</f>
        <v>0</v>
      </c>
    </row>
    <row r="1303" spans="1:4" ht="12.75">
      <c r="A1303" s="45" t="str">
        <f ca="1">New!M:M</f>
        <v>{New} Octokuro https://streamtape.com/v/Da47A4eYaLTkpPO/13942903 https://lulustream.com/d/ejix5hq32r6w https://doodstream.com/d/n95jcugktrsk/13942903 (2026) #milf #bigass #bigtits #blowjob #RIPNSFW</v>
      </c>
      <c r="B1303" s="12" t="str">
        <f>New!A:A</f>
        <v>Octokuro - 13942903 - Onlyfans.jpg</v>
      </c>
      <c r="C1303" s="12" t="s">
        <v>8895</v>
      </c>
      <c r="D1303" s="46">
        <f>New!P:P</f>
        <v>0</v>
      </c>
    </row>
    <row r="1304" spans="1:4" ht="12.75">
      <c r="A1304" s="45" t="str">
        <f ca="1">New!M:M</f>
        <v>{New} Octokuro https://streamtape.com/v/wl7YGZxdpOIJzOR/14366191 https://lulustream.com/d/ddon6nvs224k https://doodstream.com/d/3t3o4xccv9tl/14366191 (2026) #milf #anal #bigtits #bigass #RIPNSFW</v>
      </c>
      <c r="B1304" s="12" t="str">
        <f>New!A:A</f>
        <v>Octokuro - 14366191 - Onlyfans.jpg</v>
      </c>
      <c r="C1304" s="12" t="s">
        <v>8895</v>
      </c>
      <c r="D1304" s="46">
        <f>New!P:P</f>
        <v>0</v>
      </c>
    </row>
    <row r="1305" spans="1:4" ht="12.75">
      <c r="A1305" s="45" t="str">
        <f ca="1">New!M:M</f>
        <v>{New} Octokuro https://doodstream.com/d/6zh51os37hkq/15289353 https://lulustream.com/d/i3btk7sh3lm0 https://streamtape.com/v/kDM6XOL7w3t6rp/15289353 (2026) #milf #bigtits #bigass #blowjob #RIPNSFW</v>
      </c>
      <c r="B1305" s="12" t="str">
        <f>New!A:A</f>
        <v>Octokuro - 15289353 - Onlyfans.jpg</v>
      </c>
      <c r="C1305" s="12" t="s">
        <v>8895</v>
      </c>
      <c r="D1305" s="46">
        <f>New!P:P</f>
        <v>0</v>
      </c>
    </row>
    <row r="1306" spans="1:4" ht="12.75">
      <c r="A1306" s="45" t="str">
        <f ca="1">New!M:M</f>
        <v>{New} Octokuro https://streamtape.com/v/Zb0vlywzD8Sq9ZR/20147673 https://lulustream.com/d/za50gd2zsewj https://doodstream.com/d/pgfpmt63w71h/20147673 (2026) #Anal #MILF #BigTits #Hardcore #Bigass #Roleplay #Artporn #RIPNSFW</v>
      </c>
      <c r="B1306" s="12" t="str">
        <f>New!A:A</f>
        <v>Octokuro - 20147673 - Onlyfans.jpg</v>
      </c>
      <c r="C1306" s="12" t="s">
        <v>8895</v>
      </c>
      <c r="D1306" s="46">
        <f>New!P:P</f>
        <v>0</v>
      </c>
    </row>
    <row r="1307" spans="1:4" ht="12.75">
      <c r="A1307" s="45" t="str">
        <f ca="1">New!M:M</f>
        <v>{New} Octokuro https://streamtape.com/v/xmrbD6lO4PckeXR/20324869 https://lulustream.com/d/21vhyrlu7u9m https://doodstream.com/d/szwma1glk4bs/20324869 (2026) #milf #bigtits #blowjob #bigass #RIPNSFW</v>
      </c>
      <c r="B1307" s="12" t="str">
        <f>New!A:A</f>
        <v>Octokuro - 20324869 - Onlyfans.jpg</v>
      </c>
      <c r="C1307" s="12" t="s">
        <v>8895</v>
      </c>
      <c r="D1307" s="46">
        <f>New!P:P</f>
        <v>0</v>
      </c>
    </row>
    <row r="1308" spans="1:4" ht="12.75">
      <c r="A1308" s="45" t="str">
        <f ca="1">New!M:M</f>
        <v>{New} Octokuro https://doodstream.com/d/tg0qsmuitrp2/22351742 https://lulustream.com/d/z9nr9w72na10 https://streamtape.com/v/O7PVlm8DDafZAJW/22351742 (2026) #anal #milf #bigtits #hardcore #RIPNSFW</v>
      </c>
      <c r="B1308" s="12" t="str">
        <f>New!A:A</f>
        <v>Octokuro - 22351742 - Onlyfans.jpg</v>
      </c>
      <c r="C1308" s="12" t="s">
        <v>8895</v>
      </c>
      <c r="D1308" s="46">
        <f>New!P:P</f>
        <v>0</v>
      </c>
    </row>
    <row r="1309" spans="1:4" ht="12.75">
      <c r="A1309" s="45" t="str">
        <f ca="1">New!M:M</f>
        <v>{New} Octokuro https://doodstream.com/d/32w0p06gqbdl/24693016 https://streamtape.com/v/JX7R0rVWzvhj329/24693016 https://lulustream.com/d/0yzxtv892j44 (2026) #milf #blowjob #bigtits #bigass #RIPNSFW</v>
      </c>
      <c r="B1309" s="12" t="str">
        <f>New!A:A</f>
        <v>Octokuro - 24693016 - Onlyfans.jpg</v>
      </c>
      <c r="C1309" s="12" t="s">
        <v>8895</v>
      </c>
      <c r="D1309" s="46">
        <f>New!P:P</f>
        <v>0</v>
      </c>
    </row>
    <row r="1310" spans="1:4" ht="12.75">
      <c r="A1310" s="45" t="str">
        <f ca="1">New!M:M</f>
        <v>{New} Octokuro https://streamtape.com/v/oL19Z4Z8RWUJ28Q/25831855 https://doodstream.com/d/aqzd8xdxmq1i/25831855 https://lulustream.com/d/zp0myjax8z9z (2026) #MILF #Hardcore #Blowjob #Amateur #Deepthroat #RIPNSFW</v>
      </c>
      <c r="B1310" s="12" t="str">
        <f>New!A:A</f>
        <v>Octokuro - 25831855 - Onlyfans.jpg</v>
      </c>
      <c r="C1310" s="12" t="s">
        <v>8895</v>
      </c>
      <c r="D1310" s="46">
        <f>New!P:P</f>
        <v>0</v>
      </c>
    </row>
    <row r="1311" spans="1:4" ht="12.75">
      <c r="A1311" s="45" t="str">
        <f ca="1">New!M:M</f>
        <v>{New} Octokuro https://doodstream.com/d/7sx9jogea77a/31843939 https://streamtape.com/v/17A2L4d4vgI628/31843939 https://lulustream.com/d/dfcw1pe29rek (2026) #Anal #MILF #BigTits #Hardcore #Bigass #Threesome #Porn #Blowjob #Amateur #Deepthroat #RIPNSFW</v>
      </c>
      <c r="B1311" s="12" t="str">
        <f>New!A:A</f>
        <v>Octokuro - 31843939 - ripnsfw.com.jpg</v>
      </c>
      <c r="C1311" s="12" t="s">
        <v>8895</v>
      </c>
      <c r="D1311" s="46">
        <f>New!P:P</f>
        <v>0</v>
      </c>
    </row>
    <row r="1312" spans="1:4" ht="12.75">
      <c r="A1312" s="45" t="str">
        <f ca="1">New!M:M</f>
        <v>{New} Octokuro https://doodstream.com/d/0lewfyzjjfuj/32073173 https://lulustream.com/d/rptxuq1hun1o https://streamtape.com/v/O2xGzVozMpsgkR/32073173 (2026) #Anal #MILF #BigTits #Hardcore #Bigass #Roleplay #Artporn #Stepmom #Blowjob #Amateur #Mature #Hotwife #RIPNSFW</v>
      </c>
      <c r="B1312" s="12" t="str">
        <f>New!A:A</f>
        <v>Octokuro - 32073173 - Onlyfans.jpg</v>
      </c>
      <c r="C1312" s="12" t="s">
        <v>8895</v>
      </c>
      <c r="D1312" s="46">
        <f>New!P:P</f>
        <v>0</v>
      </c>
    </row>
    <row r="1313" spans="1:4" ht="12.75">
      <c r="A1313" s="45" t="str">
        <f ca="1">New!M:M</f>
        <v>{New} Octokuro https://lulustream.com/d/za8c4vrp5chs https://doodstream.com/d/odxe6wmssn8c/34038524 https://streamtape.com/v/X29qW7kq8wSD7k2/34038524 (2026) #MILF #BigTits #Hardcore #Bigass #RIPNSFW</v>
      </c>
      <c r="B1313" s="12" t="str">
        <f>New!A:A</f>
        <v>Octokuro - 34038524 - Onlyfans.jpg</v>
      </c>
      <c r="C1313" s="12" t="s">
        <v>8895</v>
      </c>
      <c r="D1313" s="46">
        <f>New!P:P</f>
        <v>0</v>
      </c>
    </row>
    <row r="1314" spans="1:4" ht="12.75">
      <c r="A1314" s="45" t="str">
        <f ca="1">New!M:M</f>
        <v>{New} Octokuro https://streamtape.com/v/Vz6D4xlKB2h9aR/35071147 https://lulustream.com/d/28i5hv6uedf6 https://doodstream.com/d/upyq87i0m2x9/35071147 (2026) #blowjob #milf #bigtits #anal #RIPNSFW</v>
      </c>
      <c r="B1314" s="12" t="str">
        <f>New!A:A</f>
        <v>Octokuro - 35071147 - Onlyfans.jpg</v>
      </c>
      <c r="C1314" s="12" t="s">
        <v>8895</v>
      </c>
      <c r="D1314" s="46">
        <f>New!P:P</f>
        <v>0</v>
      </c>
    </row>
    <row r="1315" spans="1:4" ht="12.75">
      <c r="A1315" s="45" t="str">
        <f ca="1">New!M:M</f>
        <v>{New} Octokuro https://streamtape.com/v/Z2M3Ll29A3HMLB/37754208 https://lulustream.com/d/d65sbu3ggw04 https://doodstream.com/d/10p6yoevhgnr/37754208 (2026) #bigtits #milf #hardcore #bigass #RIPNSFW</v>
      </c>
      <c r="B1315" s="12" t="str">
        <f>New!A:A</f>
        <v>Octokuro - 37754208 - Onlyfans.jpg</v>
      </c>
      <c r="C1315" s="12" t="s">
        <v>8895</v>
      </c>
      <c r="D1315" s="46">
        <f>New!P:P</f>
        <v>0</v>
      </c>
    </row>
    <row r="1316" spans="1:4" ht="12.75">
      <c r="A1316" s="45" t="str">
        <f ca="1">New!M:M</f>
        <v>{New} Octokuro https://doodstream.com/d/jlqi4k6v1g1f/40551953 https://lulustream.com/d/17hpp57yt0jj https://streamtape.com/v/oAry77vd4YCJk9q/40551953 (2026) #doublepenetration #anal #bigass #bigtits #RIPNSFW</v>
      </c>
      <c r="B1316" s="12" t="str">
        <f>New!A:A</f>
        <v>Octokuro - 40551953 - Onlyfans.jpg</v>
      </c>
      <c r="C1316" s="12" t="s">
        <v>8895</v>
      </c>
      <c r="D1316" s="46">
        <f>New!P:P</f>
        <v>0</v>
      </c>
    </row>
    <row r="1317" spans="1:4" ht="12.75">
      <c r="A1317" s="45" t="str">
        <f ca="1">New!M:M</f>
        <v>{New} Octokuro https://doodstream.com/d/2qlv9mdjzl2z/41129594 https://lulustream.com/d/670i1m7tavv2 https://streamtape.com/v/LMveWBykDvHRKvA/41129594 (2026) #milf #bigtits #bigass #blowjob #RIPNSFW</v>
      </c>
      <c r="B1317" s="12" t="str">
        <f>New!A:A</f>
        <v>Octokuro - 41129594 - Onlyfans.jpg</v>
      </c>
      <c r="C1317" s="12" t="s">
        <v>8895</v>
      </c>
      <c r="D1317" s="46">
        <f>New!P:P</f>
        <v>0</v>
      </c>
    </row>
    <row r="1318" spans="1:4" ht="12.75">
      <c r="A1318" s="45" t="str">
        <f ca="1">New!M:M</f>
        <v>{New} Octokuro https://streamtape.com/v/3a6yp46ZK7Hdwpg/42043379 https://doodstream.com/d/epg8unrpp3l8/42043379 https://lulustream.com/d/o6ek36scntni (2026) #bigtits #milf #hardcore #bigass #RIPNSFW</v>
      </c>
      <c r="B1318" s="12" t="str">
        <f>New!A:A</f>
        <v>Octokuro - 42043379 - Onlyfans.jpg</v>
      </c>
      <c r="C1318" s="12" t="s">
        <v>8895</v>
      </c>
      <c r="D1318" s="46">
        <f>New!P:P</f>
        <v>0</v>
      </c>
    </row>
    <row r="1319" spans="1:4" ht="12.75">
      <c r="A1319" s="45" t="str">
        <f ca="1">New!M:M</f>
        <v>{New} Octokuro https://streamtape.com/v/VxQgeWkKbPuKJXK/43317682 https://doodstream.com/d/4epcul7rqz6t/43317682 https://lulustream.com/d/vtlrisyeb1xi (2026) #milf #bigass #bigtits #blowjob #RIPNSFW</v>
      </c>
      <c r="B1319" s="12" t="str">
        <f>New!A:A</f>
        <v>Octokuro - 43317682 - Onlyfans.jpg</v>
      </c>
      <c r="C1319" s="12" t="s">
        <v>8895</v>
      </c>
      <c r="D1319" s="46">
        <f>New!P:P</f>
        <v>0</v>
      </c>
    </row>
    <row r="1320" spans="1:4" ht="12.75">
      <c r="A1320" s="45" t="str">
        <f ca="1">New!M:M</f>
        <v>{New} Octokuro https://doodstream.com/d/u0hfkr8yzd1x/43587736 https://lulustream.com/d/k9t1maetjr3p https://streamtape.com/v/VxQ6WdqZpACK7lM/43587736 (2026) #milf #bigtits #bigass #blowjob #RIPNSFW</v>
      </c>
      <c r="B1320" s="12" t="str">
        <f>New!A:A</f>
        <v>Octokuro - 43587736 - Onlyfans.jpg</v>
      </c>
      <c r="C1320" s="12" t="s">
        <v>8895</v>
      </c>
      <c r="D1320" s="46">
        <f>New!P:P</f>
        <v>0</v>
      </c>
    </row>
    <row r="1321" spans="1:4" ht="12.75">
      <c r="A1321" s="45" t="str">
        <f ca="1">New!M:M</f>
        <v>{New} Octokuro https://doodstream.com/d/6di85wamqgou/46438824 https://streamtape.com/v/RQMd6WlMxlCJv8/46438824 https://lulustream.com/d/mpexvppcga84 (2026) #milf #bigass #bigtits #blowjob #RIPNSFW</v>
      </c>
      <c r="B1321" s="12" t="str">
        <f>New!A:A</f>
        <v>Octokuro - 46438824 - Onlyfans.jpg</v>
      </c>
      <c r="C1321" s="12" t="s">
        <v>8895</v>
      </c>
      <c r="D1321" s="46">
        <f>New!P:P</f>
        <v>0</v>
      </c>
    </row>
    <row r="1322" spans="1:4" ht="12.75">
      <c r="A1322" s="45" t="str">
        <f ca="1">New!M:M</f>
        <v>{New} Octokuro https://lulustream.com/d/49twtvt2z3ww https://doodstream.com/d/fc1s74ajnyer/47863179 https://streamtape.com/v/QA14g42DAQCG7Y/47863179 (2026) #MILF #BigTits #Hardcore #Bigass #Roleplay #Blowjob #RIPNSFW</v>
      </c>
      <c r="B1322" s="12" t="str">
        <f>New!A:A</f>
        <v>Octokuro - 47863179 - ripnsfw.com.jpg</v>
      </c>
      <c r="C1322" s="12" t="s">
        <v>8895</v>
      </c>
      <c r="D1322" s="46">
        <f>New!P:P</f>
        <v>0</v>
      </c>
    </row>
    <row r="1323" spans="1:4" ht="12.75">
      <c r="A1323" s="45" t="str">
        <f ca="1">New!M:M</f>
        <v>{New} Octokuro https://doodstream.com/d/sa6ss0p9bu5g/48603480 https://streamtape.com/v/re3DqAqYXWtb0Wo/48603480 https://lulustream.com/d/s6206vzfa42e (2026) #milf #bigtits #bigass #blowjob #RIPNSFW</v>
      </c>
      <c r="B1323" s="12" t="str">
        <f>New!A:A</f>
        <v>Octokuro - 48603480 - Onlyfans.jpg</v>
      </c>
      <c r="C1323" s="12" t="s">
        <v>8895</v>
      </c>
      <c r="D1323" s="46">
        <f>New!P:P</f>
        <v>0</v>
      </c>
    </row>
    <row r="1324" spans="1:4" ht="12.75">
      <c r="A1324" s="45" t="str">
        <f ca="1">New!M:M</f>
        <v>{New} Octokuro https://streamtape.com/v/o684pqVeLaHJ4lY/52294903 https://doodstream.com/d/9f5ffz90yumj/52294903 https://lulustream.com/d/ps66i21qq63x (2026) #milf #bigtits #bigass #blowjob #RIPNSFW</v>
      </c>
      <c r="B1324" s="12" t="str">
        <f>New!A:A</f>
        <v>Octokuro - 52294903 - PornWorld.jpg</v>
      </c>
      <c r="C1324" s="12" t="s">
        <v>8895</v>
      </c>
      <c r="D1324" s="46">
        <f>New!P:P</f>
        <v>0</v>
      </c>
    </row>
    <row r="1325" spans="1:4" ht="12.75">
      <c r="A1325" s="45" t="str">
        <f ca="1">New!M:M</f>
        <v>{New} Octokuro https://streamtape.com/v/DPJGAmrjZBskgeQ/53119254 https://doodstream.com/d/fzi8b1p5d2c4/53119254 https://lulustream.com/d/62bxb1q34bb6 (2026) #Anal #MILF #BigTits #Hardcore #Bigass #RIPNSFW</v>
      </c>
      <c r="B1325" s="12" t="str">
        <f>New!A:A</f>
        <v>Octokuro - 53119254 - ripnsfw.com.jpg</v>
      </c>
      <c r="C1325" s="12" t="s">
        <v>8895</v>
      </c>
      <c r="D1325" s="46">
        <f>New!P:P</f>
        <v>0</v>
      </c>
    </row>
    <row r="1326" spans="1:4" ht="12.75">
      <c r="A1326" s="45" t="str">
        <f ca="1">New!M:M</f>
        <v>{New} Octokuro https://lulustream.com/d/zt10ver97r6a https://streamtape.com/v/RWB4YLJamesdemY/54716594 https://doodstream.com/d/rw6m3oz7hbbw/54716594 (2026) #bigtits #bigass #blowjob #milf #RIPNSFW</v>
      </c>
      <c r="B1326" s="12" t="str">
        <f>New!A:A</f>
        <v>Octokuro - 54716594 - Onlyfans.jpg</v>
      </c>
      <c r="C1326" s="12" t="s">
        <v>8895</v>
      </c>
      <c r="D1326" s="46">
        <f>New!P:P</f>
        <v>0</v>
      </c>
    </row>
    <row r="1327" spans="1:4" ht="12.75">
      <c r="A1327" s="45" t="str">
        <f ca="1">New!M:M</f>
        <v>{New} Octokuro https://lulustream.com/d/64jcsra7pecs https://doodstream.com/d/lml3ydmzqb3l/58018560 https://streamtape.com/v/7DbepYz128sA1vX/58018560 (2026) #milf #bigtits #bigass #blowjob #RIPNSFW</v>
      </c>
      <c r="B1327" s="12" t="str">
        <f>New!A:A</f>
        <v>Octokuro - 58018560 - Onlyfans.jpg</v>
      </c>
      <c r="C1327" s="12" t="s">
        <v>8895</v>
      </c>
      <c r="D1327" s="46">
        <f>New!P:P</f>
        <v>0</v>
      </c>
    </row>
    <row r="1328" spans="1:4" ht="12.75">
      <c r="A1328" s="45" t="str">
        <f ca="1">New!M:M</f>
        <v>{New} Octokuro https://lulustream.com/d/tjmnqlcochob https://streamtape.com/v/xXYv4BZ0ORiop0/59935821 https://doodstream.com/d/jbs3koclf9no/59935821 (2026) #milf #bigass #bigtits #blowjob #RIPNSFW</v>
      </c>
      <c r="B1328" s="12" t="str">
        <f>New!A:A</f>
        <v>Octokuro - 59935821 - Onlyfans.jpg</v>
      </c>
      <c r="C1328" s="12" t="s">
        <v>8895</v>
      </c>
      <c r="D1328" s="46">
        <f>New!P:P</f>
        <v>0</v>
      </c>
    </row>
    <row r="1329" spans="1:4" ht="12.75">
      <c r="A1329" s="45" t="str">
        <f ca="1">New!M:M</f>
        <v>{New} Octokuro https://lulustream.com/d/ykyod8roeu7u https://doodstream.com/d/dgjyqdul11t9/60165630 https://streamtape.com/v/3kO9JR1a8lF3Vk/60165630 (2026) #anal #bigtits #blowjob #milf #RIPNSFW</v>
      </c>
      <c r="B1329" s="12" t="str">
        <f>New!A:A</f>
        <v>Octokuro - 60165630 - Onlyfans.jpg</v>
      </c>
      <c r="C1329" s="12" t="s">
        <v>8895</v>
      </c>
      <c r="D1329" s="46">
        <f>New!P:P</f>
        <v>0</v>
      </c>
    </row>
    <row r="1330" spans="1:4" ht="12.75">
      <c r="A1330" s="45" t="str">
        <f ca="1">New!M:M</f>
        <v>{New} Octokuro https://lulustream.com/d/jsuhh6p03efa https://streamtape.com/v/j76k12g6y3czjWK/64117623 https://doodstream.com/d/gz193cnkdqr2/64117623 (2026) #milf #bigtits #blowjob #bigass #RIPNSFW</v>
      </c>
      <c r="B1330" s="12" t="str">
        <f>New!A:A</f>
        <v>Octokuro - 64117623 - Onlyfans.jpg</v>
      </c>
      <c r="C1330" s="12" t="s">
        <v>8895</v>
      </c>
      <c r="D1330" s="46">
        <f>New!P:P</f>
        <v>0</v>
      </c>
    </row>
    <row r="1331" spans="1:4" ht="12.75">
      <c r="A1331" s="45" t="str">
        <f ca="1">New!M:M</f>
        <v>{New} Octokuro https://streamtape.com/v/2rJpG3RK19hRx1/64883548 https://lulustream.com/d/picwi2n0o1tt https://doodstream.com/d/jocnxtpa3skh/64883548 (2026) #milf #bigtits #blowjob #pov #RIPNSFW</v>
      </c>
      <c r="B1331" s="12" t="str">
        <f>New!A:A</f>
        <v>Octokuro - 64883548 - Onlyfans.jpg</v>
      </c>
      <c r="C1331" s="12" t="s">
        <v>8895</v>
      </c>
      <c r="D1331" s="46">
        <f>New!P:P</f>
        <v>0</v>
      </c>
    </row>
    <row r="1332" spans="1:4" ht="12.75">
      <c r="A1332" s="45" t="str">
        <f ca="1">New!M:M</f>
        <v>{New} Octokuro https://lulustream.com/d/5cctejhbc52o https://doodstream.com/d/9q94y05fbbh0/67483896 https://streamtape.com/v/W3P67o1G3OSb97G/67483896 (2026) #Anal #MILF #BigTits #Hardcore #RIPNSFW</v>
      </c>
      <c r="B1332" s="12" t="str">
        <f>New!A:A</f>
        <v>Octokuro - 67483896 - Onlyfans.jpg</v>
      </c>
      <c r="C1332" s="12" t="s">
        <v>8895</v>
      </c>
      <c r="D1332" s="46">
        <f>New!P:P</f>
        <v>0</v>
      </c>
    </row>
    <row r="1333" spans="1:4" ht="12.75">
      <c r="A1333" s="45" t="str">
        <f ca="1">New!M:M</f>
        <v>{New} Octokuro https://streamtape.com/v/wzogpl7PlJtJyqx/69004840 https://lulustream.com/d/fsvmtfv1on53 https://doodstream.com/d/exz7nebytnw0/69004840 (2026) #milf #anal #bigtits #bigass #RIPNSFW</v>
      </c>
      <c r="B1333" s="12" t="str">
        <f>New!A:A</f>
        <v>Octokuro - 69004840 - OnlyTarts.jpg</v>
      </c>
      <c r="C1333" s="12" t="s">
        <v>8895</v>
      </c>
      <c r="D1333" s="46">
        <f>New!P:P</f>
        <v>0</v>
      </c>
    </row>
    <row r="1334" spans="1:4" ht="12.75">
      <c r="A1334" s="45" t="str">
        <f ca="1">New!M:M</f>
        <v>{New} Octokuro https://lulustream.com/d/jieisoy8qbkj https://streamtape.com/v/7YrQKgX2O6CAz4Z/69857341 https://doodstream.com/d/cthugqntvh6l/69857341 (2026) #bigtits #roleplay #blowjob #bigass #RIPNSFW</v>
      </c>
      <c r="B1334" s="12" t="str">
        <f>New!A:A</f>
        <v>Octokuro - 69857341 - Onlyfans.jpg</v>
      </c>
      <c r="C1334" s="12" t="s">
        <v>8895</v>
      </c>
      <c r="D1334" s="46">
        <f>New!P:P</f>
        <v>0</v>
      </c>
    </row>
    <row r="1335" spans="1:4" ht="12.75">
      <c r="A1335" s="45" t="str">
        <f ca="1">New!M:M</f>
        <v>{New} Octokuro https://streamtape.com/v/QdzaJkXYxZUGyG/72571242 https://doodstream.com/d/9zwdr8tblw7c/72571242 https://lulustream.com/d/s86gmzjv129p (2026) #MILF #BigTits #Hardcore #Black #Interracial #RIPNSFW</v>
      </c>
      <c r="B1335" s="12" t="str">
        <f>New!A:A</f>
        <v>Octokuro - 72571242 - ripnsfw.com.jpg</v>
      </c>
      <c r="C1335" s="12" t="s">
        <v>8895</v>
      </c>
      <c r="D1335" s="46">
        <f>New!P:P</f>
        <v>0</v>
      </c>
    </row>
    <row r="1336" spans="1:4" ht="12.75">
      <c r="A1336" s="45" t="str">
        <f ca="1">New!M:M</f>
        <v>{New} Octokuro https://streamtape.com/v/k2l8AoWAblcOK1Z/75943645 https://lulustream.com/d/4enfdtpawja2 https://doodstream.com/d/as5pte4we0i0/75943645 (2026) #milf #bigtits #bigass #blowjob #RIPNSFW</v>
      </c>
      <c r="B1336" s="12" t="str">
        <f>New!A:A</f>
        <v>Octokuro - 75943645 - Onlyfans.jpg</v>
      </c>
      <c r="C1336" s="12" t="s">
        <v>8895</v>
      </c>
      <c r="D1336" s="46">
        <f>New!P:P</f>
        <v>0</v>
      </c>
    </row>
    <row r="1337" spans="1:4" ht="12.75">
      <c r="A1337" s="45" t="str">
        <f ca="1">New!M:M</f>
        <v>{New} Octokuro https://lulustream.com/d/b8b1bces5mu0 https://doodstream.com/d/9y54t1geyig1/77610147 https://streamtape.com/v/OAOkygy6pYckd3/77610147 (2026) #milf #blonde #bigtits #bigass #RIPNSFW</v>
      </c>
      <c r="B1337" s="12" t="str">
        <f>New!A:A</f>
        <v>Octokuro - 77610147 - Onlyfans.jpg</v>
      </c>
      <c r="C1337" s="12" t="s">
        <v>8895</v>
      </c>
      <c r="D1337" s="46">
        <f>New!P:P</f>
        <v>0</v>
      </c>
    </row>
    <row r="1338" spans="1:4" ht="12.75">
      <c r="A1338" s="45" t="str">
        <f ca="1">New!M:M</f>
        <v>{New} Octokuro https://streamtape.com/v/W1ggd4zpwgTbwvr/83051674 https://doodstream.com/d/m4ahpimeq6a0/83051674 https://lulustream.com/d/ix736psq5w7n (2026) #milf #bigtits #hardcore #bigass #RIPNSFW</v>
      </c>
      <c r="B1338" s="12" t="str">
        <f>New!A:A</f>
        <v>Octokuro - 83051674 - Onlyfans.jpg</v>
      </c>
      <c r="C1338" s="12" t="s">
        <v>8895</v>
      </c>
      <c r="D1338" s="46">
        <f>New!P:P</f>
        <v>0</v>
      </c>
    </row>
    <row r="1339" spans="1:4" ht="12.75">
      <c r="A1339" s="45" t="str">
        <f ca="1">New!M:M</f>
        <v>{New} Octokuro https://lulustream.com/d/8jihitil0z1p https://doodstream.com/d/h7zy4o0qitwj/83093985 https://streamtape.com/v/PX0VlGMRXai0VA7/83093985 (2026) #milf #bigass #bigtits #roleplay #RIPNSFW</v>
      </c>
      <c r="B1339" s="12" t="str">
        <f>New!A:A</f>
        <v>Octokuro - 83093985 - Onlyfans.jpg</v>
      </c>
      <c r="C1339" s="12" t="s">
        <v>8895</v>
      </c>
      <c r="D1339" s="46">
        <f>New!P:P</f>
        <v>0</v>
      </c>
    </row>
    <row r="1340" spans="1:4" ht="12.75">
      <c r="A1340" s="45" t="str">
        <f ca="1">New!M:M</f>
        <v>{New} Octokuro https://streamtape.com/v/MeJLmDxGYRTmmJe/84375532 https://lulustream.com/d/9u76l84goq4m https://doodstream.com/d/ufs06r14napa/84375532 (2026) #MILF #BigTits #Hardcore #Bigass #Roleplay #Blowjob #Amateur #Deepthroat #Facial #RIPNSFW</v>
      </c>
      <c r="B1340" s="12" t="str">
        <f>New!A:A</f>
        <v>Octokuro - 84375532 - ripnsfw.com.jpg</v>
      </c>
      <c r="C1340" s="12" t="s">
        <v>8895</v>
      </c>
      <c r="D1340" s="46">
        <f>New!P:P</f>
        <v>0</v>
      </c>
    </row>
    <row r="1341" spans="1:4" ht="12.75">
      <c r="A1341" s="45" t="str">
        <f ca="1">New!M:M</f>
        <v>{New} Octokuro https://lulustream.com/d/9ahpykb0j6i6 https://streamtape.com/v/gV9Bj7Jk7RcqWDe/86995868 https://doodstream.com/d/d4pmyk5ilx99/86995868 (2026) #anal #bigtits #milf #creampie #RIPNSFW</v>
      </c>
      <c r="B1341" s="12" t="str">
        <f>New!A:A</f>
        <v>Octokuro - 86995868 - Vampired.jpg</v>
      </c>
      <c r="C1341" s="12" t="s">
        <v>8895</v>
      </c>
      <c r="D1341" s="46">
        <f>New!P:P</f>
        <v>0</v>
      </c>
    </row>
    <row r="1342" spans="1:4" ht="12.75">
      <c r="A1342" s="45" t="str">
        <f ca="1">New!M:M</f>
        <v>{New} Octokuro https://doodstream.com/d/aejye6rt8kgi/86997868 https://lulustream.com/d/5r47wdqfzhmg https://streamtape.com/v/oDj0P1JKv6sJg0k/86997868 (2026) #bigtits #blowjob #bigass #interracial #RIPNSFW</v>
      </c>
      <c r="B1342" s="12" t="str">
        <f>New!A:A</f>
        <v>Octokuro - 86997868 - Onlyfans.jpg</v>
      </c>
      <c r="C1342" s="12" t="s">
        <v>8895</v>
      </c>
      <c r="D1342" s="46">
        <f>New!P:P</f>
        <v>0</v>
      </c>
    </row>
    <row r="1343" spans="1:4" ht="12.75">
      <c r="A1343" s="45" t="str">
        <f ca="1">New!M:M</f>
        <v>{New} Octokuro https://doodstream.com/d/ry1uv9nik0p9/87079998 https://lulustream.com/d/5sjzwvhpmk7m https://streamtape.com/v/g2vLrVo1v2hqWq7/87079998 (2026) #milf #bigtits #bigass #blowjob #RIPNSFW</v>
      </c>
      <c r="B1343" s="12" t="str">
        <f>New!A:A</f>
        <v>Octokuro - 87079998 - RS.jpg</v>
      </c>
      <c r="C1343" s="12" t="s">
        <v>8895</v>
      </c>
      <c r="D1343" s="46">
        <f>New!P:P</f>
        <v>0</v>
      </c>
    </row>
    <row r="1344" spans="1:4" ht="12.75">
      <c r="A1344" s="45" t="str">
        <f ca="1">New!M:M</f>
        <v>{New} Octokuro https://doodstream.com/d/ldsrdfw27b1d/93953392 https://lulustream.com/d/sekznpyajn84 https://streamtape.com/v/bG4WAV99rLUPgpL/93953392 (2026) #milf #bigtits #bigass #blowjob #RIPNSFW</v>
      </c>
      <c r="B1344" s="12" t="str">
        <f>New!A:A</f>
        <v>Octokuro - 93953392 - Onlyfans.jpg</v>
      </c>
      <c r="C1344" s="12" t="s">
        <v>8895</v>
      </c>
      <c r="D1344" s="46">
        <f>New!P:P</f>
        <v>0</v>
      </c>
    </row>
    <row r="1345" spans="1:4" ht="12.75">
      <c r="A1345" s="45" t="str">
        <f ca="1">New!M:M</f>
        <v>{New} Octokuro https://streamtape.com/v/ol4O1WmRpqtJXaM/94167508 https://doodstream.com/d/5otet9hkxnmb/94167508 https://lulustream.com/d/ir72ntjltipq (2026) #MILF #BigTits #Hardcore #Bigass #Porn #Roleplay #Blowjob #Latina #RIPNSFW</v>
      </c>
      <c r="B1345" s="12" t="str">
        <f>New!A:A</f>
        <v>Octokuro - 94167508 - ripnsfw.com.jpg</v>
      </c>
      <c r="C1345" s="12" t="s">
        <v>8895</v>
      </c>
      <c r="D1345" s="46">
        <f>New!P:P</f>
        <v>0</v>
      </c>
    </row>
    <row r="1346" spans="1:4" ht="12.75">
      <c r="A1346" s="45" t="str">
        <f ca="1">New!M:M</f>
        <v>{New} Octokuro https://streamtape.com/v/PvqprVx6bbsGaJ/96562730 https://lulustream.com/d/77d6lp1d3moq https://doodstream.com/d/5kucnhx0ab7v/96562730 (2026) #bigass #blowjob #creampie #bigtits #RIPNSFW</v>
      </c>
      <c r="B1346" s="12" t="str">
        <f>New!A:A</f>
        <v>Octokuro - 96562730 - Onlyfans.jpg</v>
      </c>
      <c r="C1346" s="12" t="s">
        <v>8895</v>
      </c>
      <c r="D1346" s="46">
        <f>New!P:P</f>
        <v>0</v>
      </c>
    </row>
    <row r="1347" spans="1:4" ht="12.75">
      <c r="A1347" s="45" t="str">
        <f ca="1">New!M:M</f>
        <v>{New} Octokuro https://lulustream.com/d/68q5ro9kig8o https://doodstream.com/d/q38vrg03rsqs/97262351 https://streamtape.com/v/78koYWWMWVfAg0v/97262351 (2026) #doublepenetration #gangbang #anal #bigass #RIPNSFW</v>
      </c>
      <c r="B1347" s="12" t="str">
        <f>New!A:A</f>
        <v>Octokuro - 97262351 - Onlyfans.jpg</v>
      </c>
      <c r="C1347" s="12" t="s">
        <v>8895</v>
      </c>
      <c r="D1347" s="46">
        <f>New!P:P</f>
        <v>0</v>
      </c>
    </row>
    <row r="1348" spans="1:4" ht="12.75">
      <c r="A1348" s="45" t="str">
        <f ca="1">New!M:M</f>
        <v>{New} Octokuro https://doodstream.com/d/s6qavseb2mio/98357542 https://streamtape.com/v/lr1mjR0ervF7KbO/98357542 https://lulustream.com/d/d9puh3145c3t (2026) #milf #bigtits #anal #bigass #RIPNSFW</v>
      </c>
      <c r="B1348" s="12" t="str">
        <f>New!A:A</f>
        <v>Octokuro - 98357542 - Onlyfans.jpg</v>
      </c>
      <c r="C1348" s="12" t="s">
        <v>8895</v>
      </c>
      <c r="D1348" s="46">
        <f>New!P:P</f>
        <v>0</v>
      </c>
    </row>
    <row r="1349" spans="1:4" ht="12.75">
      <c r="A1349" s="45" t="str">
        <f ca="1">New!M:M</f>
        <v>{New} Octokuro https://doodstream.com/d/lz1obslajrdc/99769777 https://streamtape.com/v/3V8rgdzqr3sdB3R/99769777 https://lulustream.com/d/c76rgpi3fev7 (2026) #milf #blowjob #bigtits #bigass #RIPNSFW</v>
      </c>
      <c r="B1349" s="12" t="str">
        <f>New!A:A</f>
        <v>Octokuro - 99769777 - Onlyfans.jpg</v>
      </c>
      <c r="C1349" s="12" t="s">
        <v>8895</v>
      </c>
      <c r="D1349" s="46">
        <f>New!P:P</f>
        <v>0</v>
      </c>
    </row>
    <row r="1350" spans="1:4" ht="12.75">
      <c r="A1350" s="45" t="str">
        <f ca="1">New!M:M</f>
        <v>{New} Octokuro https://doodstream.com/d/0rfd1lvyb0dl/99817193 https://streamtape.com/v/yV7Mrg4pzWI1llb/99817193 https://lulustream.com/d/s63v7wresxxi (2026) #milf #bigtits #anal #bigass #RIPNSFW</v>
      </c>
      <c r="B1350" s="12" t="str">
        <f>New!A:A</f>
        <v>Octokuro - 99817193 - Onlyfans.jpg</v>
      </c>
      <c r="C1350" s="12" t="s">
        <v>8895</v>
      </c>
      <c r="D1350" s="46">
        <f>New!P:P</f>
        <v>0</v>
      </c>
    </row>
    <row r="1351" spans="1:4" ht="12.75">
      <c r="A1351" s="45" t="str">
        <f ca="1">New!M:M</f>
        <v>{New} Olivia Sparkle https://lulustream.com/d/fyz8fxsyv9g1 https://streamtape.com/v/WyMMelKB44UbxbX/11092806 https://doodstream.com/d/fpk97vtk700t/11092806 (2026) #teen #blowjob #bigass #blonde #RIPNSFW</v>
      </c>
      <c r="B1351" s="12" t="str">
        <f>New!A:A</f>
        <v>Olivia Sparkle - 11092806 - LCDreams.jpg</v>
      </c>
      <c r="C1351" s="12" t="s">
        <v>8895</v>
      </c>
      <c r="D1351" s="46">
        <f>New!P:P</f>
        <v>0</v>
      </c>
    </row>
    <row r="1352" spans="1:4" ht="12.75">
      <c r="A1352" s="45" t="str">
        <f ca="1">New!M:M</f>
        <v>{New} Olivia Sparkle https://streamtape.com/v/Q3VPRrrXBpT03ka/14448737 https://doodstream.com/d/0jj50q0ok5c8/14448737 https://lulustream.com/d/qg1yzk58dbv0 (2026) #Hardcore #Bigass #Teen #Porn #RIPNSFW</v>
      </c>
      <c r="B1352" s="12" t="str">
        <f>New!A:A</f>
        <v>Olivia Sparkle - 14448737 - ripnsfw.com.jpg</v>
      </c>
      <c r="C1352" s="12" t="s">
        <v>8895</v>
      </c>
      <c r="D1352" s="46">
        <f>New!P:P</f>
        <v>0</v>
      </c>
    </row>
    <row r="1353" spans="1:4" ht="12.75">
      <c r="A1353" s="45" t="str">
        <f ca="1">New!M:M</f>
        <v>{New} Olivia Sparkle https://doodstream.com/d/xiiewy9qhd7h/17764835 https://lulustream.com/d/jazkvi3txf8a https://streamtape.com/v/Mye62PBvX0tm724/17764835 (2026) #Hardcore #Bigass #Porn #Teen #Blowjob #Blonde #RIPNSFW</v>
      </c>
      <c r="B1353" s="12" t="str">
        <f>New!A:A</f>
        <v>Olivia Sparkle - 17764835 - H4K.jpg</v>
      </c>
      <c r="C1353" s="12" t="s">
        <v>8895</v>
      </c>
      <c r="D1353" s="46">
        <f>New!P:P</f>
        <v>0</v>
      </c>
    </row>
    <row r="1354" spans="1:4" ht="12.75">
      <c r="A1354" s="45" t="str">
        <f ca="1">New!M:M</f>
        <v>{New} Olivia Sparkle https://lulustream.com/d/31qq7ne3dqc6 https://streamtape.com/v/RmyjpeybmVhd8mG/26408287 https://doodstream.com/d/kkr53863zpxy/26408287 (2026) #teen #blowjob #amateur #blonde #RIPNSFW</v>
      </c>
      <c r="B1354" s="12" t="str">
        <f>New!A:A</f>
        <v>Olivia Sparkle - 26408287 - Onlyfans.jpg</v>
      </c>
      <c r="C1354" s="12" t="s">
        <v>8895</v>
      </c>
      <c r="D1354" s="46">
        <f>New!P:P</f>
        <v>0</v>
      </c>
    </row>
    <row r="1355" spans="1:4" ht="12.75">
      <c r="A1355" s="45" t="str">
        <f ca="1">New!M:M</f>
        <v>{New} Olivia Sparkle https://streamtape.com/v/KA0DbBx7ejS026e/36942485 https://lulustream.com/d/glzn5llu043v https://doodstream.com/d/8l4k8a9e0xv7/36942485 (2026) #teen #bigass #blonde #blowjob #RIPNSFW</v>
      </c>
      <c r="B1355" s="12" t="str">
        <f>New!A:A</f>
        <v>Olivia Sparkle - 36942485 - Submissed.jpg</v>
      </c>
      <c r="C1355" s="12" t="s">
        <v>8895</v>
      </c>
      <c r="D1355" s="46">
        <f>New!P:P</f>
        <v>0</v>
      </c>
    </row>
    <row r="1356" spans="1:4" ht="12.75">
      <c r="A1356" s="45" t="str">
        <f ca="1">New!M:M</f>
        <v>{New} Olivia Sparkle https://lulustream.com/d/iomu8jazis07 https://doodstream.com/d/6iv6pxko044i/58920974 https://streamtape.com/v/xrGYjqDQrzujYj/58920974 (2026) #teen #bigass #porn #blowjob #RIPNSFW</v>
      </c>
      <c r="B1356" s="12" t="str">
        <f>New!A:A</f>
        <v>Olivia Sparkle - 58920974 - NF.jpg</v>
      </c>
      <c r="C1356" s="12" t="s">
        <v>8895</v>
      </c>
      <c r="D1356" s="46">
        <f>New!P:P</f>
        <v>0</v>
      </c>
    </row>
    <row r="1357" spans="1:4" ht="12.75">
      <c r="A1357" s="45" t="str">
        <f ca="1">New!M:M</f>
        <v>{New} Olivia Sparkle https://streamtape.com/v/OWdJyK0RzRUZ0Py/68549677 https://doodstream.com/d/nbll60kwvmue/68549677 https://lulustream.com/d/l5jntbvewdkl (2026) #teen #blowjob #blonde #porn #RIPNSFW</v>
      </c>
      <c r="B1357" s="12" t="str">
        <f>New!A:A</f>
        <v>Olivia Sparkle - 68549677 - NF.jpg</v>
      </c>
      <c r="C1357" s="12" t="s">
        <v>8895</v>
      </c>
      <c r="D1357" s="46">
        <f>New!P:P</f>
        <v>0</v>
      </c>
    </row>
    <row r="1358" spans="1:4" ht="12.75">
      <c r="A1358" s="45" t="str">
        <f ca="1">New!M:M</f>
        <v>{New} Olivia Sparkle https://streamtape.com/v/O78kMLQ8Gqfzoo/75098849 https://doodstream.com/d/h4nmjyycqmo0/75098849 https://lulustream.com/d/e6073c2nwtn8 (2026) #teen #bigass #blowjob #blonde #RIPNSFW</v>
      </c>
      <c r="B1358" s="12" t="str">
        <f>New!A:A</f>
        <v>Olivia Sparkle - 75098849 - DS.jpg</v>
      </c>
      <c r="C1358" s="12" t="s">
        <v>8895</v>
      </c>
      <c r="D1358" s="46">
        <f>New!P:P</f>
        <v>0</v>
      </c>
    </row>
    <row r="1359" spans="1:4" ht="12.75">
      <c r="A1359" s="45" t="str">
        <f ca="1">New!M:M</f>
        <v>{New} Olivia Sparkle https://lulustream.com/d/n6iirja91lm7 https://streamtape.com/v/zPQld8wxkdFYL4e/86517907 https://doodstream.com/d/xrltgpe1j2fd/86517907 (2026) #Creampie #Hardcore #Bigass #Porn #Teen #Blowjob #RIPNSFW</v>
      </c>
      <c r="B1359" s="12" t="str">
        <f>New!A:A</f>
        <v>Olivia Sparkle - 86517907 - ripnsfw.com.jpg</v>
      </c>
      <c r="C1359" s="12" t="s">
        <v>8895</v>
      </c>
      <c r="D1359" s="46">
        <f>New!P:P</f>
        <v>0</v>
      </c>
    </row>
    <row r="1360" spans="1:4" ht="12.75">
      <c r="A1360" s="45" t="str">
        <f ca="1">New!M:M</f>
        <v>{New} Olivia Sparkle https://streamtape.com/v/ZPqz8rlZO6tqpo6/96940959 https://doodstream.com/d/c89k6qizt2vz/96940959 https://lulustream.com/d/0au6kr0yjo2o (2026) #bigass #porn #teen #artporn #RIPNSFW</v>
      </c>
      <c r="B1360" s="12" t="str">
        <f>New!A:A</f>
        <v>Olivia Sparkle - 96940959 - CU.jpg</v>
      </c>
      <c r="C1360" s="12" t="s">
        <v>8895</v>
      </c>
      <c r="D1360" s="46">
        <f>New!P:P</f>
        <v>0</v>
      </c>
    </row>
    <row r="1361" spans="1:4" ht="12.75">
      <c r="A1361" s="45" t="str">
        <f ca="1">New!M:M</f>
        <v>{New} Payton Preslee https://streamtape.com/v/lrdb1gbbvQI7pjR/34521859 https://lulustream.com/d/dp1a56p5y5ox https://doodstream.com/d/6dan04v6dnb2/34521859 Brynn Michaels (2026) #milf #threesome #bigtits #bigass #RIPNSFW</v>
      </c>
      <c r="B1361" s="12" t="str">
        <f>New!A:A</f>
        <v>Payton Preslee - 34521859 - Onlyfans - Brynn Michaels.jpg</v>
      </c>
      <c r="C1361" s="12" t="s">
        <v>8895</v>
      </c>
      <c r="D1361" s="46">
        <f>New!P:P</f>
        <v>0</v>
      </c>
    </row>
    <row r="1362" spans="1:4" ht="12.75">
      <c r="A1362" s="45" t="str">
        <f ca="1">New!M:M</f>
        <v>{New} Payton Preslee https://doodstream.com/d/t3qawsc0nxos/57269050 https://streamtape.com/v/eVXz8PZrDaFYvbO/57269050 https://lulustream.com/d/lnzkuhpfsld9 (2026) #MILF #BigTits #Porn #Roleplay #RIPNSFW</v>
      </c>
      <c r="B1362" s="12" t="str">
        <f>New!A:A</f>
        <v>Payton Preslee - 57269050 - ripnsfw.com.jpg</v>
      </c>
      <c r="C1362" s="12" t="s">
        <v>8895</v>
      </c>
      <c r="D1362" s="46">
        <f>New!P:P</f>
        <v>0</v>
      </c>
    </row>
    <row r="1363" spans="1:4" ht="12.75">
      <c r="A1363" s="45" t="str">
        <f ca="1">New!M:M</f>
        <v>{New} Payton Preslee https://lulustream.com/d/5cgmy4pb4i0c https://doodstream.com/d/6wkozjfxpd72/92445527 https://streamtape.com/v/9qOBe3R9Bbu6qz/92445527 Ellie Nova (2026) #threesome #bigass #bigtits #blowjob #RIPNSFW</v>
      </c>
      <c r="B1363" s="12" t="str">
        <f>New!A:A</f>
        <v>Payton Preslee - 92445527 - HoF - Ellie Nova.jpg</v>
      </c>
      <c r="C1363" s="12" t="s">
        <v>8895</v>
      </c>
      <c r="D1363" s="46">
        <f>New!P:P</f>
        <v>0</v>
      </c>
    </row>
    <row r="1364" spans="1:4" ht="12.75">
      <c r="A1364" s="45" t="str">
        <f ca="1">New!M:M</f>
        <v>{New} Payton Preslee https://streamtape.com/v/1qYVk9XVDXheWGJ/95697340 https://lulustream.com/d/ogemib7v2upu https://doodstream.com/d/ujdaknwfl13z/95697340 (2026) #MILF #BigTits #Hardcore #Bigass #Porn #Stepmom #Blowjob #RIPNSFW</v>
      </c>
      <c r="B1364" s="12" t="str">
        <f>New!A:A</f>
        <v>Payton Preslee - 95697340 - Bang.jpg</v>
      </c>
      <c r="C1364" s="12" t="s">
        <v>8895</v>
      </c>
      <c r="D1364" s="46">
        <f>New!P:P</f>
        <v>0</v>
      </c>
    </row>
    <row r="1365" spans="1:4" ht="12.75">
      <c r="A1365" s="45" t="str">
        <f ca="1">New!M:M</f>
        <v>{New} Payton Preslee https://streamtape.com/v/mvAYa3xGqJFb80D/96767909 https://lulustream.com/d/1xi4inv3nczb https://doodstream.com/d/o8sscbdk91od/96767909 Connie Perignon (2026) #MILF #BigTits #Hardcore #Asian #Threesome #RIPNSFW</v>
      </c>
      <c r="B1365" s="12" t="str">
        <f>New!A:A</f>
        <v>Payton Preslee - 96767909 - JulesJordan - Connie Perignon.jpg</v>
      </c>
      <c r="C1365" s="12" t="s">
        <v>8895</v>
      </c>
      <c r="D1365" s="46">
        <f>New!P:P</f>
        <v>0</v>
      </c>
    </row>
    <row r="1366" spans="1:4" ht="12.75">
      <c r="A1366" s="45" t="str">
        <f ca="1">New!M:M</f>
        <v>{New} Polly Yangs https://doodstream.com/d/ck94j5dpqz0f/24271910 https://lulustream.com/d/i83iyfob0609 https://streamtape.com/v/kwr8eKa4p7uOOQQ/24271910 (2026) #BigTits #Hardcore #Teen #Blowjob #Amateur #Deepthroat #RIPNSFW</v>
      </c>
      <c r="B1366" s="12" t="str">
        <f>New!A:A</f>
        <v>Polly Yangs - 24271910 - ripnsfw.com.jpg</v>
      </c>
      <c r="C1366" s="12" t="s">
        <v>8895</v>
      </c>
      <c r="D1366" s="46">
        <f>New!P:P</f>
        <v>0</v>
      </c>
    </row>
    <row r="1367" spans="1:4" ht="12.75">
      <c r="A1367" s="45" t="str">
        <f ca="1">New!M:M</f>
        <v>{New} Rae Lil Black https://doodstream.com/d/0n622k3ct7wx/34360378 https://streamtape.com/v/9oZ43Y4rpYFOLA/34360378 https://lulustream.com/d/hjegqpes4v3s (2026) #BigTits #Asian #Teen #Blowjob #RIPNSFW</v>
      </c>
      <c r="B1367" s="12" t="str">
        <f>New!A:A</f>
        <v>Rae Lil Black - 34360378 - ripnsfw.com.jpg</v>
      </c>
      <c r="C1367" s="12" t="s">
        <v>8895</v>
      </c>
      <c r="D1367" s="46">
        <f>New!P:P</f>
        <v>0</v>
      </c>
    </row>
    <row r="1368" spans="1:4" ht="12.75">
      <c r="A1368" s="45" t="str">
        <f ca="1">New!M:M</f>
        <v>Rae Lil Black https://lulustream.com/d/zcmfbdm5o9xq https://doodstream.com/d/zivd27tgyta7/36474335 https://streamtape.com/v/xkZkbxj7xxSDRM/36474335 #asian #brunette #blowjob #bigtits #RIPNSFW</v>
      </c>
      <c r="B1368" s="12" t="str">
        <f>New!A:A</f>
        <v>Rae Lil Black - 36474335 - Onlyfans.jpg</v>
      </c>
      <c r="C1368" s="12" t="s">
        <v>8895</v>
      </c>
      <c r="D1368" s="46">
        <f>New!P:P</f>
        <v>0</v>
      </c>
    </row>
    <row r="1369" spans="1:4" ht="12.75">
      <c r="A1369" s="45" t="str">
        <f ca="1">New!M:M</f>
        <v>{New} Rae Lil Black https://streamtape.com/v/qOWDYZB7J8Fzqqm/86254441 https://lulustream.com/d/5j88pbctdz3w https://doodstream.com/d/0j7jm13lpvxj/86254441 (2026) #BigTits #Hardcore #Asian #Teen #Porn #Roleplay #Blowjob #Facial #RIPNSFW</v>
      </c>
      <c r="B1369" s="12" t="str">
        <f>New!A:A</f>
        <v>Rae Lil Black - 86254441 - ripnsfw.com.jpg</v>
      </c>
      <c r="C1369" s="12" t="s">
        <v>8895</v>
      </c>
      <c r="D1369" s="46">
        <f>New!P:P</f>
        <v>0</v>
      </c>
    </row>
    <row r="1370" spans="1:4" ht="12.75">
      <c r="A1370" s="45" t="str">
        <f ca="1">New!M:M</f>
        <v>{New} Rae Lil Black https://lulustream.com/d/jliiw0d6duqn https://doodstream.com/d/2jk5bdg8x6by/97194071 https://streamtape.com/v/wgGZzMg47zUJO93/97194071 (2026) #MILF #BigTits #Asian #Amateur #RIPNSFW</v>
      </c>
      <c r="B1370" s="12" t="str">
        <f>New!A:A</f>
        <v>Rae Lil Black - 97194071 - Onlyfans.jpg</v>
      </c>
      <c r="C1370" s="12" t="s">
        <v>8895</v>
      </c>
      <c r="D1370" s="46">
        <f>New!P:P</f>
        <v>0</v>
      </c>
    </row>
    <row r="1371" spans="1:4" ht="12.75">
      <c r="A1371" s="45" t="str">
        <f ca="1">New!M:M</f>
        <v>Raini https://streamtape.com/v/74OorX16dOHAL6V/75439323 https://lulustream.com/d/9yqnvuo97f30 https://doodstream.com/d/a20owmgm42g4/75439323 #teen #brunette #casting #anal #RIPNSFW</v>
      </c>
      <c r="B1371" s="12" t="str">
        <f>New!A:A</f>
        <v>Raini - 75439323 - BackroomCastingCouch.jpg</v>
      </c>
      <c r="C1371" s="12" t="s">
        <v>8895</v>
      </c>
      <c r="D1371" s="46">
        <f>New!P:P</f>
        <v>0</v>
      </c>
    </row>
    <row r="1372" spans="1:4" ht="12.75">
      <c r="A1372" s="45" t="str">
        <f ca="1">New!M:M</f>
        <v>{New} Rebeca Fox https://doodstream.com/d/e151xxxuzgjh/16691815 https://streamtape.com/v/6914eqq7GwT9Dxq/16691815 https://lulustream.com/d/a05piznf89ys (2026) #doublepenetration #anal #teen #gangbang #RIPNSFW</v>
      </c>
      <c r="B1372" s="12" t="str">
        <f>New!A:A</f>
        <v>Rebeca Fox - 16691815 - AV.jpg</v>
      </c>
      <c r="C1372" s="12" t="s">
        <v>8895</v>
      </c>
      <c r="D1372" s="46">
        <f>New!P:P</f>
        <v>0</v>
      </c>
    </row>
    <row r="1373" spans="1:4" ht="12.75">
      <c r="A1373" s="45" t="str">
        <f ca="1">New!M:M</f>
        <v>{New} Rebeca Fox https://doodstream.com/d/zgcnz99b20wx/97988409 https://streamtape.com/v/ZDplW2mGgXcBDK/97988409 https://lulustream.com/d/re0hkt15wnzx (2026) #anal #teen #blowjob #porn #RIPNSFW</v>
      </c>
      <c r="B1373" s="12" t="str">
        <f>New!A:A</f>
        <v>Rebeca Fox - 97988409 - FAQ.jpg</v>
      </c>
      <c r="C1373" s="12" t="s">
        <v>8895</v>
      </c>
      <c r="D1373" s="46">
        <f>New!P:P</f>
        <v>0</v>
      </c>
    </row>
    <row r="1374" spans="1:4" ht="12.75">
      <c r="A1374" s="45" t="str">
        <f ca="1">New!M:M</f>
        <v>{New} Reislin https://lulustream.com/d/lcpt9s7brqoh https://doodstream.com/d/a690nt5d0xo2/55127366 https://streamtape.com/v/wDKvAwO8Q4CJb3K/55127366 (2026) #BigTits #Hardcore #Teen #Blowjob #Amateur #RIPNSFW</v>
      </c>
      <c r="B1374" s="12" t="str">
        <f>New!A:A</f>
        <v>Reislin - 55127366 - ripnsfw.com.jpg</v>
      </c>
      <c r="C1374" s="12" t="s">
        <v>8895</v>
      </c>
      <c r="D1374" s="46">
        <f>New!P:P</f>
        <v>0</v>
      </c>
    </row>
    <row r="1375" spans="1:4" ht="12.75">
      <c r="A1375" s="45" t="str">
        <f ca="1">New!M:M</f>
        <v>{New} Remido https://doodstream.com/d/nh8g6cwbjin7/17868897 https://lulustream.com/d/mmwpv557n0d9 https://streamtape.com/v/0eovZdWyBksb1lk/17868897 (2026) #Anal #BigTits #Hardcore #Bigass #RIPNSFW</v>
      </c>
      <c r="B1375" s="12" t="str">
        <f>New!A:A</f>
        <v>Remido - 17868897 - D4.jpg</v>
      </c>
      <c r="C1375" s="12" t="s">
        <v>8895</v>
      </c>
      <c r="D1375" s="46">
        <f>New!P:P</f>
        <v>0</v>
      </c>
    </row>
    <row r="1376" spans="1:4" ht="12.75">
      <c r="A1376" s="45" t="str">
        <f ca="1">New!M:M</f>
        <v>{New} Remido https://lulustream.com/d/2qlfdeuzewg9 https://doodstream.com/d/v3texwsnb0b1/54581348 https://streamtape.com/v/pMJOo6qlqPSrya9/54581348 (2026) #BigTits #Creampie #Hardcore #Bigass #Porn #Teen #Blowjob #RIPNSFW</v>
      </c>
      <c r="B1376" s="12" t="str">
        <f>New!A:A</f>
        <v>Remido - 54581348 - ripnsfw.com.jpg</v>
      </c>
      <c r="C1376" s="12" t="s">
        <v>8895</v>
      </c>
      <c r="D1376" s="46">
        <f>New!P:P</f>
        <v>0</v>
      </c>
    </row>
    <row r="1377" spans="1:4" ht="12.75">
      <c r="A1377" s="45" t="str">
        <f ca="1">New!M:M</f>
        <v>{New} Remido https://lulustream.com/d/ro76yshhqpvj https://doodstream.com/d/9n2xgmkqql6u/61743542 https://streamtape.com/v/DWBLzweoPLtk7RA/61743542 (2026) #teen #bigass #bigtits #blowjob #RIPNSFW</v>
      </c>
      <c r="B1377" s="12" t="str">
        <f>New!A:A</f>
        <v>Remido - 61743542 - OT.jpg</v>
      </c>
      <c r="C1377" s="12" t="s">
        <v>8895</v>
      </c>
      <c r="D1377" s="46">
        <f>New!P:P</f>
        <v>0</v>
      </c>
    </row>
    <row r="1378" spans="1:4" ht="12.75">
      <c r="A1378" s="45" t="str">
        <f ca="1">New!M:M</f>
        <v>{New} Remy Lacroix https://streamtape.com/v/jkzbZxVXeRF29b/10307538 https://doodstream.com/d/c5oz4wjpvr9g/10307538 https://lulustream.com/d/b4tc3q0q66qx (2026) #milf #hardcore #bigass #blowjob #RIPNSFW</v>
      </c>
      <c r="B1378" s="12" t="str">
        <f>New!A:A</f>
        <v>Remy Lacroix - 10307538 - Onlyfans.jpg</v>
      </c>
      <c r="C1378" s="12" t="s">
        <v>8895</v>
      </c>
      <c r="D1378" s="46">
        <f>New!P:P</f>
        <v>0</v>
      </c>
    </row>
    <row r="1379" spans="1:4" ht="12.75">
      <c r="A1379" s="45" t="str">
        <f ca="1">New!M:M</f>
        <v>{New} Remy Lacroix https://doodstream.com/d/fd23dza3npq1/11605734 https://streamtape.com/v/787Yzv1MkqHAOqv/11605734 https://lulustream.com/d/kfadtjrl8xyy (2026) #milf #bigass #blowjob #blonde #RIPNSFW</v>
      </c>
      <c r="B1379" s="12" t="str">
        <f>New!A:A</f>
        <v>Remy Lacroix - 11605734 - Onlyfans.jpg</v>
      </c>
      <c r="C1379" s="12" t="s">
        <v>8895</v>
      </c>
      <c r="D1379" s="46">
        <f>New!P:P</f>
        <v>0</v>
      </c>
    </row>
    <row r="1380" spans="1:4" ht="12.75">
      <c r="A1380" s="45" t="str">
        <f ca="1">New!M:M</f>
        <v>{New} Remy Lacroix https://streamtape.com/v/QyRJq4qrr9f0Yb6/25602670 https://doodstream.com/d/3kxj9heinq6g/25602670 https://lulustream.com/d/xjua5v58fvja (2026) #MILF #Hardcore #Threesome #Bigass #RIPNSFW</v>
      </c>
      <c r="B1380" s="12" t="str">
        <f>New!A:A</f>
        <v>Remy Lacroix - 25602670 - Onlyfans.jpg</v>
      </c>
      <c r="C1380" s="12" t="s">
        <v>8895</v>
      </c>
      <c r="D1380" s="46">
        <f>New!P:P</f>
        <v>0</v>
      </c>
    </row>
    <row r="1381" spans="1:4" ht="12.75">
      <c r="A1381" s="45" t="str">
        <f ca="1">New!M:M</f>
        <v>{New} Remy Lacroix https://streamtape.com/v/08aOMVx1Q7Tbqyv/30133802 https://lulustream.com/d/y3s72fv8c2q2 https://doodstream.com/d/z93gak4s6tzu/30133802 (2026) #milf #blowjob #hardcore #bigass #RIPNSFW</v>
      </c>
      <c r="B1381" s="12" t="str">
        <f>New!A:A</f>
        <v>Remy Lacroix - 30133802 - Onlyfans.jpg</v>
      </c>
      <c r="C1381" s="12" t="s">
        <v>8895</v>
      </c>
      <c r="D1381" s="46">
        <f>New!P:P</f>
        <v>0</v>
      </c>
    </row>
    <row r="1382" spans="1:4" ht="12.75">
      <c r="A1382" s="45" t="str">
        <f ca="1">New!M:M</f>
        <v>{New} Remy Lacroix https://doodstream.com/d/bpgp1m4bx7sv/35214609 https://lulustream.com/d/gv4mfh2n4bsf https://streamtape.com/v/P6DQm4O7Kwt0P0z/35214609 (2026) #milf #bigass #blowjob #blonde #RIPNSFW</v>
      </c>
      <c r="B1382" s="12" t="str">
        <f>New!A:A</f>
        <v>Remy Lacroix - 35214609 - Onlyfans.jpg</v>
      </c>
      <c r="C1382" s="12" t="s">
        <v>8895</v>
      </c>
      <c r="D1382" s="46">
        <f>New!P:P</f>
        <v>0</v>
      </c>
    </row>
    <row r="1383" spans="1:4" ht="12.75">
      <c r="A1383" s="45" t="str">
        <f ca="1">New!M:M</f>
        <v>{New} Remy Lacroix https://doodstream.com/d/uau1grd3imgt/37921435 https://lulustream.com/d/yzlgdnptfsba https://streamtape.com/v/Xy7jd63191uDrW8/37921435 (2026) #milf #blowjob #bigass #blonde #RIPNSFW</v>
      </c>
      <c r="B1383" s="12" t="str">
        <f>New!A:A</f>
        <v>Remy Lacroix - 37921435 - Onlyfans.jpg</v>
      </c>
      <c r="C1383" s="12" t="s">
        <v>8895</v>
      </c>
      <c r="D1383" s="46">
        <f>New!P:P</f>
        <v>0</v>
      </c>
    </row>
    <row r="1384" spans="1:4" ht="12.75">
      <c r="A1384" s="45" t="str">
        <f ca="1">New!M:M</f>
        <v>{New} Remy Lacroix https://streamtape.com/v/XJGG3xYWLyTDDLx/44852556 https://lulustream.com/d/qymyniuneesr https://doodstream.com/d/sns2gr44el4s/44852556 (2026) #Anal #MILF #Hardcore #Black #RIPNSFW</v>
      </c>
      <c r="B1384" s="12" t="str">
        <f>New!A:A</f>
        <v>Remy Lacroix - 44852556 - Onlyfans.jpg</v>
      </c>
      <c r="C1384" s="12" t="s">
        <v>8895</v>
      </c>
      <c r="D1384" s="46">
        <f>New!P:P</f>
        <v>0</v>
      </c>
    </row>
    <row r="1385" spans="1:4" ht="12.75">
      <c r="A1385" s="45" t="str">
        <f ca="1">New!M:M</f>
        <v>{New} Remy Lacroix https://lulustream.com/d/hv6tzbhzhtt7 https://doodstream.com/d/0w025blyon8r/46659805 https://streamtape.com/v/A4ezwdGdRWTXrwM/46659805 (2026) #milf #bigass #blowjob #threesome #RIPNSFW</v>
      </c>
      <c r="B1385" s="12" t="str">
        <f>New!A:A</f>
        <v>Remy Lacroix - 46659805 - Onlyfans.jpg</v>
      </c>
      <c r="C1385" s="12" t="s">
        <v>8895</v>
      </c>
      <c r="D1385" s="46">
        <f>New!P:P</f>
        <v>0</v>
      </c>
    </row>
    <row r="1386" spans="1:4" ht="12.75">
      <c r="A1386" s="45" t="str">
        <f ca="1">New!M:M</f>
        <v>{New} Remy Lacroix https://doodstream.com/d/zy28f5gdosu7/55081926 https://lulustream.com/d/pdkg1bkcpf2j https://streamtape.com/v/RkPxABa2kBUdvLz/55081926 (2026) #Hardcore #Bigass #Porn #Teen #Blowjob #RIPNSFW</v>
      </c>
      <c r="B1386" s="12" t="str">
        <f>New!A:A</f>
        <v>Remy Lacroix - 55081926 - ripnsfw.com.jpg</v>
      </c>
      <c r="C1386" s="12" t="s">
        <v>8895</v>
      </c>
      <c r="D1386" s="46">
        <f>New!P:P</f>
        <v>0</v>
      </c>
    </row>
    <row r="1387" spans="1:4" ht="12.75">
      <c r="A1387" s="45" t="str">
        <f ca="1">New!M:M</f>
        <v>{New} Remy Lacroix https://doodstream.com/d/0j0fyvp527yf/71611678 https://lulustream.com/d/cqg2j7kwooea https://streamtape.com/v/Kwdmq3y2X0T0eK1/71611678 (2026) #MILF #Hardcore #Black #Interracial #RIPNSFW</v>
      </c>
      <c r="B1387" s="12" t="str">
        <f>New!A:A</f>
        <v>Remy Lacroix - 71611678 - Onlyfans.jpg</v>
      </c>
      <c r="C1387" s="12" t="s">
        <v>8895</v>
      </c>
      <c r="D1387" s="46">
        <f>New!P:P</f>
        <v>0</v>
      </c>
    </row>
    <row r="1388" spans="1:4" ht="12.75">
      <c r="A1388" s="45" t="str">
        <f ca="1">New!M:M</f>
        <v>{New} Remy Lacroix https://streamtape.com/v/QDWR7g93roS0oXl/85696956 https://lulustream.com/d/lkry37ili0di https://doodstream.com/d/3dytxwcdo4a0/85696956 (2026) #milf #bigass #blowjob #amateur #RIPNSFW</v>
      </c>
      <c r="B1388" s="12" t="str">
        <f>New!A:A</f>
        <v>Remy Lacroix - 85696956 - Onlyfans.jpg</v>
      </c>
      <c r="C1388" s="12" t="s">
        <v>8895</v>
      </c>
      <c r="D1388" s="46">
        <f>New!P:P</f>
        <v>0</v>
      </c>
    </row>
    <row r="1389" spans="1:4" ht="12.75">
      <c r="A1389" s="45" t="str">
        <f ca="1">New!M:M</f>
        <v>{New} Remy Lacroix https://lulustream.com/d/p2jm1o2gxx9b https://doodstream.com/d/bkyvx3z2omo9/96309335 https://streamtape.com/v/zr9o0wprZoHYZKy/96309335 (2026) #Anal #MILF #Hardcore #Black #RIPNSFW</v>
      </c>
      <c r="B1389" s="12" t="str">
        <f>New!A:A</f>
        <v>Remy Lacroix - 96309335 - Onlyfans.jpg</v>
      </c>
      <c r="C1389" s="12" t="s">
        <v>8895</v>
      </c>
      <c r="D1389" s="46">
        <f>New!P:P</f>
        <v>0</v>
      </c>
    </row>
    <row r="1390" spans="1:4" ht="12.75">
      <c r="A1390" s="45" t="str">
        <f ca="1">New!M:M</f>
        <v>{New} Richh Des https://streamtape.com/v/ZKAQgjZ7qwsqp8R/24637531 https://lulustream.com/d/pe34e3icill1 https://doodstream.com/d/zipqjzlc2rpv/24637531 (2026) #BigTits #Hardcore #Bigass #Teen #Blowjob #Amateur #Deepthroat #Blonde #Facial #RIPNSFW</v>
      </c>
      <c r="B1390" s="12" t="str">
        <f>New!A:A</f>
        <v>Richh Des - 24637531 - ripnsfw.com.jpg</v>
      </c>
      <c r="C1390" s="12" t="s">
        <v>8895</v>
      </c>
      <c r="D1390" s="46">
        <f>New!P:P</f>
        <v>0</v>
      </c>
    </row>
    <row r="1391" spans="1:4" ht="12.75">
      <c r="A1391" s="45" t="str">
        <f ca="1">New!M:M</f>
        <v>{New} Richh Des https://doodstream.com/d/48oktnzk2kho/55828464 https://lulustream.com/d/qfe6ij3870h5 https://streamtape.com/v/MJ8OejGmgqim72M/55828464 (2026) #BigTits #Creampie #Hardcore #Bigass #Teen #Blowjob #RIPNSFW</v>
      </c>
      <c r="B1391" s="12" t="str">
        <f>New!A:A</f>
        <v>Richh Des - 55828464 - ripnsfw.com.jpg</v>
      </c>
      <c r="C1391" s="12" t="s">
        <v>8895</v>
      </c>
      <c r="D1391" s="46">
        <f>New!P:P</f>
        <v>0</v>
      </c>
    </row>
    <row r="1392" spans="1:4" ht="12.75">
      <c r="A1392" s="45" t="str">
        <f ca="1">New!M:M</f>
        <v>{New} Riley Reid https://doodstream.com/d/sh1rrxju1bfv/12535236 https://streamtape.com/v/XkPpaRvXMQf0WP/12535236 https://lulustream.com/d/kiwwapfhzguq Jill Kassidy Melissa Moore (2026) #Hardcore #Bigass #Teen #Artporn #Teens #Blowjob #Amateur #Deepthroat #Facial #Foursome #RIPNSFW</v>
      </c>
      <c r="B1392" s="12" t="str">
        <f>New!A:A</f>
        <v>Riley Reid - 12535236 - Onlyfans - Jill Kassidy - Melissa Moore.jpg</v>
      </c>
      <c r="C1392" s="12" t="s">
        <v>8895</v>
      </c>
      <c r="D1392" s="46">
        <f>New!P:P</f>
        <v>0</v>
      </c>
    </row>
    <row r="1393" spans="1:4" ht="12.75">
      <c r="A1393" s="45" t="str">
        <f ca="1">New!M:M</f>
        <v>{New} Riley Reid https://doodstream.com/d/5t6yjm437rkg/13377773 https://lulustream.com/d/qv0edj9lm092 https://streamtape.com/v/RjJmJvb7YwIXYd/13377773 (2026) #milf #bigass #blowjob #amateur #RIPNSFW</v>
      </c>
      <c r="B1393" s="12" t="str">
        <f>New!A:A</f>
        <v>Riley Reid - 13377773 - Onlyfans.jpg</v>
      </c>
      <c r="C1393" s="12" t="s">
        <v>8895</v>
      </c>
      <c r="D1393" s="46">
        <f>New!P:P</f>
        <v>0</v>
      </c>
    </row>
    <row r="1394" spans="1:4" ht="12.75">
      <c r="A1394" s="45" t="str">
        <f ca="1">New!M:M</f>
        <v>{New} Riley Reid https://doodstream.com/d/fdf78qzxv23m/16167707 https://streamtape.com/v/Pwa8JjQ0M0hbl3/16167707 https://lulustream.com/d/ohfgqdv0gy55 (2026) #milf #bigass #blowjob #brunette #RIPNSFW</v>
      </c>
      <c r="B1394" s="12" t="str">
        <f>New!A:A</f>
        <v>Riley Reid - 16167707 - Onlyfans.jpg</v>
      </c>
      <c r="C1394" s="12" t="s">
        <v>8895</v>
      </c>
      <c r="D1394" s="46">
        <f>New!P:P</f>
        <v>0</v>
      </c>
    </row>
    <row r="1395" spans="1:4" ht="12.75">
      <c r="A1395" s="45" t="str">
        <f ca="1">New!M:M</f>
        <v>{New} Riley Reid https://doodstream.com/d/ejijlfn23thi/19096283 https://streamtape.com/v/QKjealLG4qiJ8Q/19096283 https://lulustream.com/d/d0q1bmrb4ei0 Cheerleader Kait (2026) #bigass #threesome #blowjob #teens #RIPNSFW</v>
      </c>
      <c r="B1395" s="12" t="str">
        <f>New!A:A</f>
        <v>Riley Reid - 19096283 - Onlyfans - Cheerleader Kait.jpg</v>
      </c>
      <c r="C1395" s="12" t="s">
        <v>8895</v>
      </c>
      <c r="D1395" s="46">
        <f>New!P:P</f>
        <v>0</v>
      </c>
    </row>
    <row r="1396" spans="1:4" ht="12.75">
      <c r="A1396" s="45" t="str">
        <f ca="1">New!M:M</f>
        <v>{New} Riley Reid https://streamtape.com/v/WDL9ZXdZDjfbjYr/23234580 https://lulustream.com/d/dsdz5dxabs0u https://doodstream.com/d/wu25i7f3yf28/23234580 (2026) #milf #anal #bigass #blowjob #RIPNSFW</v>
      </c>
      <c r="B1396" s="12" t="str">
        <f>New!A:A</f>
        <v>Riley Reid - 23234580 - Onlyfans.jpg</v>
      </c>
      <c r="C1396" s="12" t="s">
        <v>8895</v>
      </c>
      <c r="D1396" s="46">
        <f>New!P:P</f>
        <v>0</v>
      </c>
    </row>
    <row r="1397" spans="1:4" ht="12.75">
      <c r="A1397" s="45" t="str">
        <f ca="1">New!M:M</f>
        <v>{New} Riley Reid https://streamtape.com/v/wVMKvXdyxYHx2D/28043180 https://lulustream.com/d/k0s5eduh063x https://doodstream.com/d/5vodcd3ke1i2/28043180 (2026) #milf #bigass #blowjob #amateur #RIPNSFW</v>
      </c>
      <c r="B1397" s="12" t="str">
        <f>New!A:A</f>
        <v>Riley Reid - 28043180 - Onlyfans.jpg</v>
      </c>
      <c r="C1397" s="12" t="s">
        <v>8895</v>
      </c>
      <c r="D1397" s="46">
        <f>New!P:P</f>
        <v>0</v>
      </c>
    </row>
    <row r="1398" spans="1:4" ht="12.75">
      <c r="A1398" s="45" t="str">
        <f ca="1">New!M:M</f>
        <v>{New} Riley Reid https://streamtape.com/v/pjgG0w2KKmiWz6/31899025 https://lulustream.com/d/0cmjyk9w5b9n https://doodstream.com/d/ujga9z7s133e/31899025 (2026) #MILF #Hardcore #Bigass #Artporn #Blowjob #Amateur #RIPNSFW</v>
      </c>
      <c r="B1398" s="12" t="str">
        <f>New!A:A</f>
        <v>Riley Reid - 31899025 - Onlyfans.jpg</v>
      </c>
      <c r="C1398" s="12" t="s">
        <v>8895</v>
      </c>
      <c r="D1398" s="46">
        <f>New!P:P</f>
        <v>0</v>
      </c>
    </row>
    <row r="1399" spans="1:4" ht="12.75">
      <c r="A1399" s="45" t="str">
        <f ca="1">New!M:M</f>
        <v>{New} Riley Reid https://lulustream.com/d/tjf818nrj4bx https://doodstream.com/d/8zf1lhdlhvwi/43753980 https://streamtape.com/v/xZO3B2yOJdskWxm/43753980 (2026) #milf #solo #bigass #brunette #RIPNSFW</v>
      </c>
      <c r="B1399" s="12" t="str">
        <f>New!A:A</f>
        <v>Riley Reid - 43753980 - Onlyfans.jpg</v>
      </c>
      <c r="C1399" s="12" t="s">
        <v>8895</v>
      </c>
      <c r="D1399" s="46">
        <f>New!P:P</f>
        <v>0</v>
      </c>
    </row>
    <row r="1400" spans="1:4" ht="12.75">
      <c r="A1400" s="45" t="str">
        <f ca="1">New!M:M</f>
        <v>{New} Riley Reid https://lulustream.com/d/ldsx4ddgp1c7 https://doodstream.com/d/cdhpx1fkths4/45995335 https://streamtape.com/v/k0YrllQgp3uOjva/45995335 (2026) #milf #blowjob #brunette #missionary #RIPNSFW</v>
      </c>
      <c r="B1400" s="12" t="str">
        <f>New!A:A</f>
        <v>Riley Reid - 45995335 - Onlyfans.jpg</v>
      </c>
      <c r="C1400" s="12" t="s">
        <v>8895</v>
      </c>
      <c r="D1400" s="46">
        <f>New!P:P</f>
        <v>0</v>
      </c>
    </row>
    <row r="1401" spans="1:4" ht="12.75">
      <c r="A1401" s="45" t="str">
        <f ca="1">New!M:M</f>
        <v>{New} Riley Reid https://doodstream.com/d/odbh8xfyqrtp/53869248 https://lulustream.com/d/xffglvcazg95 https://streamtape.com/v/bQVA7p03YXIo3Q/53869248 Gina Valentina (2026) #MILF #BigTits #Lesbian #Bigass #RIPNSFW</v>
      </c>
      <c r="B1401" s="12" t="str">
        <f>New!A:A</f>
        <v>Riley Reid - 53869248 - ripnsfw.com - Gina Valentina.jpg</v>
      </c>
      <c r="C1401" s="12" t="s">
        <v>8895</v>
      </c>
      <c r="D1401" s="46">
        <f>New!P:P</f>
        <v>0</v>
      </c>
    </row>
    <row r="1402" spans="1:4" ht="12.75">
      <c r="A1402" s="45" t="str">
        <f ca="1">New!M:M</f>
        <v>{New} Riley Reid https://streamtape.com/v/BOGL6LopLZiMvY/56833088 https://doodstream.com/d/s4ysny956utd/56833088 https://lulustream.com/d/lwadudojgpcr (2026) #milf #blowjob #smalltits #bigass #RIPNSFW</v>
      </c>
      <c r="B1402" s="12" t="str">
        <f>New!A:A</f>
        <v>Riley Reid - 56833088 - Onlyfans.jpg</v>
      </c>
      <c r="C1402" s="12" t="s">
        <v>8895</v>
      </c>
      <c r="D1402" s="46">
        <f>New!P:P</f>
        <v>0</v>
      </c>
    </row>
    <row r="1403" spans="1:4" ht="12.75">
      <c r="A1403" s="45" t="str">
        <f ca="1">New!M:M</f>
        <v>{New} Riley Reid https://streamtape.com/v/ZwyxM7J0XQiq8J4/62155824 https://lulustream.com/d/q85jp9oa6mkz https://doodstream.com/d/b8xtv4blnnau/62155824 (2026) #Creampie #Hardcore #Bigass #Porn #RIPNSFW</v>
      </c>
      <c r="B1403" s="12" t="str">
        <f>New!A:A</f>
        <v>Riley Reid - 62155824 - ripnsfw.com.jpg</v>
      </c>
      <c r="C1403" s="12" t="s">
        <v>8895</v>
      </c>
      <c r="D1403" s="46">
        <f>New!P:P</f>
        <v>0</v>
      </c>
    </row>
    <row r="1404" spans="1:4" ht="12.75">
      <c r="A1404" s="45" t="str">
        <f ca="1">New!M:M</f>
        <v>{New} Riley Reid https://streamtape.com/v/WqPQpOxw0gCbxbR/65640239 https://doodstream.com/d/4edpp7cn6eqo/65640239 https://lulustream.com/d/y8s7smcw4vud (2026) #MILF #Hardcore #Bigass #Blowjob #Amateur #Hotwife #RIPNSFW</v>
      </c>
      <c r="B1404" s="12" t="str">
        <f>New!A:A</f>
        <v>Riley Reid - 65640239 - ripnsfw.com.jpg</v>
      </c>
      <c r="C1404" s="12" t="s">
        <v>8895</v>
      </c>
      <c r="D1404" s="46">
        <f>New!P:P</f>
        <v>0</v>
      </c>
    </row>
    <row r="1405" spans="1:4" ht="12.75">
      <c r="A1405" s="45" t="str">
        <f ca="1">New!M:M</f>
        <v>{New} Riley Reid https://streamtape.com/v/rBD8p1VMbrIbbOW/65655091 https://lulustream.com/d/gzsd2u0r1fds https://doodstream.com/d/t8vbcv0y05fe/65655091 (2026) #milf #blowjob #bigass #brunette #RIPNSFW</v>
      </c>
      <c r="B1405" s="12" t="str">
        <f>New!A:A</f>
        <v>Riley Reid - 65655091 - Onlyfans.jpg</v>
      </c>
      <c r="C1405" s="12" t="s">
        <v>8895</v>
      </c>
      <c r="D1405" s="46">
        <f>New!P:P</f>
        <v>0</v>
      </c>
    </row>
    <row r="1406" spans="1:4" ht="12.75">
      <c r="A1406" s="45" t="str">
        <f ca="1">New!M:M</f>
        <v>{New} Riley Reid https://doodstream.com/d/jextz0v40lg1/65879363 https://lulustream.com/d/aridgvjvo39y https://streamtape.com/v/41WKmgAezvSKYVl/65879363 (2026) #Hardcore #Black #Interracial #Bigass #RIPNSFW</v>
      </c>
      <c r="B1406" s="12" t="str">
        <f>New!A:A</f>
        <v>Riley Reid - 65879363 - ripnsfw.com.jpg</v>
      </c>
      <c r="C1406" s="12" t="s">
        <v>8895</v>
      </c>
      <c r="D1406" s="46">
        <f>New!P:P</f>
        <v>0</v>
      </c>
    </row>
    <row r="1407" spans="1:4" ht="12.75">
      <c r="A1407" s="45" t="str">
        <f ca="1">New!M:M</f>
        <v>{New} Riley Reid https://lulustream.com/d/bn8pj1f7gi8z https://streamtape.com/v/ewGW0PlR1eC9ZY/66192061 https://doodstream.com/d/mi89poamexho/66192061 (2026) #anal #milf #bigass #blowjob #RIPNSFW</v>
      </c>
      <c r="B1407" s="12" t="str">
        <f>New!A:A</f>
        <v>Riley Reid - 66192061 - Onlyfans.jpg</v>
      </c>
      <c r="C1407" s="12" t="s">
        <v>8895</v>
      </c>
      <c r="D1407" s="46">
        <f>New!P:P</f>
        <v>0</v>
      </c>
    </row>
    <row r="1408" spans="1:4" ht="12.75">
      <c r="A1408" s="45" t="str">
        <f ca="1">New!M:M</f>
        <v>{New} Riley Reid https://streamtape.com/v/bKMd3yoWl7HPem7/73150962 https://lulustream.com/d/l51nxi84jtpj https://doodstream.com/d/jt4rinzhi735/73150962 (2026) #MILF #Hardcore #Bigass #Blowjob #Amateur #RIPNSFW</v>
      </c>
      <c r="B1408" s="12" t="str">
        <f>New!A:A</f>
        <v>Riley Reid - 73150962 - ripnsfw.com.jpg</v>
      </c>
      <c r="C1408" s="12" t="s">
        <v>8895</v>
      </c>
      <c r="D1408" s="46">
        <f>New!P:P</f>
        <v>0</v>
      </c>
    </row>
    <row r="1409" spans="1:4" ht="12.75">
      <c r="A1409" s="45" t="str">
        <f ca="1">New!M:M</f>
        <v>{New} Riley Reid https://lulustream.com/d/1er6pm3uyo20 https://doodstream.com/d/5x1gnkaghnf3/73485944 https://streamtape.com/v/k9od4pylqyuOLJD/73485944 (2026) #Anal #Hardcore #Black #Interracial #Bigass #Porn #Teen #RIPNSFW</v>
      </c>
      <c r="B1409" s="12" t="str">
        <f>New!A:A</f>
        <v>Riley Reid - 73485944 - ripnsfw.com.jpg</v>
      </c>
      <c r="C1409" s="12" t="s">
        <v>8895</v>
      </c>
      <c r="D1409" s="46">
        <f>New!P:P</f>
        <v>0</v>
      </c>
    </row>
    <row r="1410" spans="1:4" ht="12.75">
      <c r="A1410" s="45" t="str">
        <f ca="1">New!M:M</f>
        <v>{New} Riley Reid https://doodstream.com/d/8cpnrsj754to/73710661 https://lulustream.com/d/449w20mslrug https://streamtape.com/v/aYAkwKGyvRFxKpq/73710661 (2026) #milf #blowjob #bigass #pov #RIPNSFW</v>
      </c>
      <c r="B1410" s="12" t="str">
        <f>New!A:A</f>
        <v>Riley Reid - 73710661 - Onlyfans.jpg</v>
      </c>
      <c r="C1410" s="12" t="s">
        <v>8895</v>
      </c>
      <c r="D1410" s="46">
        <f>New!P:P</f>
        <v>0</v>
      </c>
    </row>
    <row r="1411" spans="1:4" ht="12.75">
      <c r="A1411" s="45" t="str">
        <f ca="1">New!M:M</f>
        <v>{New} Riley Reid https://doodstream.com/d/yxoa43oblyyj/77610777 https://streamtape.com/v/PDPdBvJxQ4I0QkD/77610777 https://lulustream.com/d/tf7wvhcuvuvl (2026) #gangbang #bigass #doublepenetration #anal #RIPNSFW</v>
      </c>
      <c r="B1411" s="12" t="str">
        <f>New!A:A</f>
        <v>Riley Reid - 77610777 - Onlyfans.jpg</v>
      </c>
      <c r="C1411" s="12" t="s">
        <v>8895</v>
      </c>
      <c r="D1411" s="46">
        <f>New!P:P</f>
        <v>0</v>
      </c>
    </row>
    <row r="1412" spans="1:4" ht="12.75">
      <c r="A1412" s="45" t="str">
        <f ca="1">New!M:M</f>
        <v>{New} Riley Reid https://streamtape.com/v/LMdk4ZgaO4FRV2D/82332637 https://doodstream.com/d/pbtv0sjub00l/82332637 https://lulustream.com/d/m2kc40gf23sv (2026) #Hardcore #Gangbang #Black #Interracial #Bigass #Porn #Teen #Blowjob #Deepthroat #RIPNSFW</v>
      </c>
      <c r="B1412" s="12" t="str">
        <f>New!A:A</f>
        <v>Riley Reid - 82332637 - ripnsfw.com.jpg</v>
      </c>
      <c r="C1412" s="12" t="s">
        <v>8895</v>
      </c>
      <c r="D1412" s="46">
        <f>New!P:P</f>
        <v>0</v>
      </c>
    </row>
    <row r="1413" spans="1:4" ht="12.75">
      <c r="A1413" s="45" t="str">
        <f ca="1">New!M:M</f>
        <v>Riley Reid https://doodstream.com/d/m4nss4ojdpnd/82966135 https://streamtape.com/v/g2qqORBdy2Fg9K/82966135 https://lulustream.com/d/xfilcz1bifnl Stella Barey #threesome #blowjob #bigass #brunette #RIPNSFW</v>
      </c>
      <c r="B1413" s="12" t="str">
        <f>New!A:A</f>
        <v>Riley Reid - 82966135 - Onlyfans - Stella Barey.jpg</v>
      </c>
      <c r="C1413" s="12" t="s">
        <v>8895</v>
      </c>
      <c r="D1413" s="46">
        <f>New!P:P</f>
        <v>0</v>
      </c>
    </row>
    <row r="1414" spans="1:4" ht="12.75">
      <c r="A1414" s="45" t="str">
        <f ca="1">New!M:M</f>
        <v>{New} Riley Reid https://streamtape.com/v/Kqm6MOb8pbt0MwK/93448192 https://lulustream.com/d/i49bcal6j4fj https://doodstream.com/d/a9hbe9w292mn/93448192 Cheerleader Kait (2026) #milf #threesome #blowjob #bigass #RIPNSFW</v>
      </c>
      <c r="B1414" s="12" t="str">
        <f>New!A:A</f>
        <v>Riley Reid - 93448192 - Onlyfans - Cheerleader Kait.jpg</v>
      </c>
      <c r="C1414" s="12" t="s">
        <v>8895</v>
      </c>
      <c r="D1414" s="46">
        <f>New!P:P</f>
        <v>0</v>
      </c>
    </row>
    <row r="1415" spans="1:4" ht="12.75">
      <c r="A1415" s="45" t="str">
        <f ca="1">New!M:M</f>
        <v>{New} Rosaline Dawn https://doodstream.com/d/4tsn47xq0bk7/89378793 https://streamtape.com/v/jpAqQwRvM7Cz1mO/89378793 https://lulustream.com/d/b7n1ojtg7kqc (2026) #teen #redhead #blowjob #bigtits #RIPNSFW</v>
      </c>
      <c r="B1415" s="12" t="str">
        <f>New!A:A</f>
        <v>Rosaline Dawn - 89378793 - Onlyfans.jpg</v>
      </c>
      <c r="C1415" s="12" t="s">
        <v>8895</v>
      </c>
      <c r="D1415" s="46">
        <f>New!P:P</f>
        <v>0</v>
      </c>
    </row>
    <row r="1416" spans="1:4" ht="12.75">
      <c r="A1416" s="45" t="str">
        <f ca="1">New!M:M</f>
        <v>Rosaline Dawn https://lulustream.com/d/g9k2p2002jek https://streamtape.com/v/jAGAQKybGJHzOr9/97771533 https://doodstream.com/d/ug5udwjjwu82/97771533 #teen #brunette #blowjob #pov #RIPNSFW</v>
      </c>
      <c r="B1416" s="12" t="str">
        <f>New!A:A</f>
        <v>Rosaline Dawn - 97771533 - Onlyfans.jpg</v>
      </c>
      <c r="C1416" s="12" t="s">
        <v>8895</v>
      </c>
      <c r="D1416" s="46">
        <f>New!P:P</f>
        <v>0</v>
      </c>
    </row>
    <row r="1417" spans="1:4" ht="12.75">
      <c r="A1417" s="45" t="str">
        <f ca="1">New!M:M</f>
        <v>Sage King https://lulustream.com/d/eqpaa65laf2h https://streamtape.com/v/KXyol1pzYPiAwx/21309506 https://doodstream.com/d/dns1mnsi636k/21309506 #anal #casting #teen #creampie #RIPNSFW</v>
      </c>
      <c r="B1417" s="12" t="str">
        <f>New!A:A</f>
        <v>Sage King - 21309506 - BackroomCastingCouch.jpg</v>
      </c>
      <c r="C1417" s="12" t="s">
        <v>8895</v>
      </c>
      <c r="D1417" s="46">
        <f>New!P:P</f>
        <v>0</v>
      </c>
    </row>
    <row r="1418" spans="1:4" ht="12.75">
      <c r="A1418" s="45" t="str">
        <f ca="1">New!M:M</f>
        <v>{New} Sami Hayes https://streamtape.com/v/x1oeJ77ZLmHkd9v/13787155 https://doodstream.com/d/gq0bnpw72nku/13787155 https://lulustream.com/d/rzsh8x2vxxip (2026) #BigTits #Hardcore #Bigass #Teen #Blowjob #RIPNSFW</v>
      </c>
      <c r="B1418" s="12" t="str">
        <f>New!A:A</f>
        <v>Sami Hayes - 13787155 - ripnsfw.com.jpg</v>
      </c>
      <c r="C1418" s="12" t="s">
        <v>8895</v>
      </c>
      <c r="D1418" s="46">
        <f>New!P:P</f>
        <v>0</v>
      </c>
    </row>
    <row r="1419" spans="1:4" ht="12.75">
      <c r="A1419" s="45" t="str">
        <f ca="1">New!M:M</f>
        <v>{New} Sami Hayes https://streamtape.com/v/VWW6VpOB9ahKDvm/17599208 https://lulustream.com/d/67yqrlqoh60p https://doodstream.com/d/0bkkc64o8u72/17599208 (2026) #BigTits #Creampie #Hardcore #Bigass #Teen #Artporn #Blowjob #Amateur #RIPNSFW</v>
      </c>
      <c r="B1419" s="12" t="str">
        <f>New!A:A</f>
        <v>Sami Hayes - 17599208 - Onlyfans.jpg</v>
      </c>
      <c r="C1419" s="12" t="s">
        <v>8895</v>
      </c>
      <c r="D1419" s="46">
        <f>New!P:P</f>
        <v>0</v>
      </c>
    </row>
    <row r="1420" spans="1:4" ht="12.75">
      <c r="A1420" s="45" t="str">
        <f ca="1">New!M:M</f>
        <v>{New} Sami Hayes https://streamtape.com/v/lGBZO8VBa4s7e43/18378655 https://doodstream.com/d/i3cba5ert3vx/18378655 https://lulustream.com/d/2jxavlxprwpw (2026) #BigTits #Hardcore #Black #Interracial #Bigass #Teen #Artporn #RIPNSFW</v>
      </c>
      <c r="B1420" s="12" t="str">
        <f>New!A:A</f>
        <v>Sami Hayes - 18378655 - Onlyfans.jpg</v>
      </c>
      <c r="C1420" s="12" t="s">
        <v>8895</v>
      </c>
      <c r="D1420" s="46">
        <f>New!P:P</f>
        <v>0</v>
      </c>
    </row>
    <row r="1421" spans="1:4" ht="12.75">
      <c r="A1421" s="45" t="str">
        <f ca="1">New!M:M</f>
        <v>{New} Sami Hayes https://doodstream.com/d/2p46vh32lasj/21303583 https://lulustream.com/d/28y9jyctugzc https://streamtape.com/v/KQB0Bwm12OS0ekJ/21303583 (2026) #BigTits #Hardcore #Bigass #Teen #Artporn #Blowjob #RIPNSFW</v>
      </c>
      <c r="B1421" s="12" t="str">
        <f>New!A:A</f>
        <v>Sami Hayes - 21303583 - ripnsfw.com.jpg</v>
      </c>
      <c r="C1421" s="12" t="s">
        <v>8895</v>
      </c>
      <c r="D1421" s="46">
        <f>New!P:P</f>
        <v>0</v>
      </c>
    </row>
    <row r="1422" spans="1:4" ht="12.75">
      <c r="A1422" s="45" t="str">
        <f ca="1">New!M:M</f>
        <v>{New} Sami Hayes https://lulustream.com/d/adslfntrkwhh https://streamtape.com/v/Vdq1gw2GeWhky9/24783546 https://doodstream.com/d/0wy0p69x8zjv/24783546 (2026) #BigTits #Hardcore #Black #Interracial #RIPNSFW</v>
      </c>
      <c r="B1422" s="12" t="str">
        <f>New!A:A</f>
        <v>Sami Hayes - 24783546 - ripnsfw.com.jpg</v>
      </c>
      <c r="C1422" s="12" t="s">
        <v>8895</v>
      </c>
      <c r="D1422" s="46">
        <f>New!P:P</f>
        <v>0</v>
      </c>
    </row>
    <row r="1423" spans="1:4" ht="12.75">
      <c r="A1423" s="45" t="str">
        <f ca="1">New!M:M</f>
        <v>{New} Sami Hayes https://lulustream.com/d/dqxy6tsreps9 https://doodstream.com/d/5pgie9umxb6f/26446957 https://streamtape.com/v/wrRXDbd11mcl0r/26446957 (2026) #BigTits #Creampie #Hardcore #Threesome #Bigass #Teen #Black #Interracial #Blowjob #Teens #Artporn #Amateur #RIPNSFW</v>
      </c>
      <c r="B1423" s="12" t="str">
        <f>New!A:A</f>
        <v>Sami Hayes - 26446957 - ripnsfw.com.jpg</v>
      </c>
      <c r="C1423" s="12" t="s">
        <v>8895</v>
      </c>
      <c r="D1423" s="46">
        <f>New!P:P</f>
        <v>0</v>
      </c>
    </row>
    <row r="1424" spans="1:4" ht="12.75">
      <c r="A1424" s="45" t="str">
        <f ca="1">New!M:M</f>
        <v>{New} Sami Hayes https://doodstream.com/d/z4b3ncog2t7l/30605305 https://lulustream.com/d/6yqtwiqrhsz2 https://streamtape.com/v/6wdoVyaaewf999W/30605305 Wild Halli (2026) #BigTits #Hardcore #Threesome #Bigass #Teen #Teens #Blowjob #Amateur #Deepthroat #Facial #RIPNSFW</v>
      </c>
      <c r="B1424" s="12" t="str">
        <f>New!A:A</f>
        <v>Sami Hayes - 30605305 - ripnsfw.com - Wild Halli.jpg</v>
      </c>
      <c r="C1424" s="12" t="s">
        <v>8895</v>
      </c>
      <c r="D1424" s="46">
        <f>New!P:P</f>
        <v>0</v>
      </c>
    </row>
    <row r="1425" spans="1:4" ht="12.75">
      <c r="A1425" s="45" t="str">
        <f ca="1">New!M:M</f>
        <v>{New} Sami Hayes https://streamtape.com/v/Yp2QGKpqwkFvWgr/34614987 https://lulustream.com/d/24qxow5ra0ng https://doodstream.com/d/ta6ibje8nnew/34614987 (2026) #teen #bigtits #brunette #facial #RIPNSFW</v>
      </c>
      <c r="B1425" s="12" t="str">
        <f>New!A:A</f>
        <v>Sami Hayes - 34614987 - Onlyfans.jpg</v>
      </c>
      <c r="C1425" s="12" t="s">
        <v>8895</v>
      </c>
      <c r="D1425" s="46">
        <f>New!P:P</f>
        <v>0</v>
      </c>
    </row>
    <row r="1426" spans="1:4" ht="12.75">
      <c r="A1426" s="45" t="str">
        <f ca="1">New!M:M</f>
        <v>{New} Sami Hayes https://streamtape.com/v/erWWGqlwvOIYYx2/35889098 https://lulustream.com/d/juglfkamanow https://doodstream.com/d/ra1x6jgqt71s/35889098 (2026) #BigTits #Creampie #Hardcore #Bigass #Teen #Blowjob #RIPNSFW</v>
      </c>
      <c r="B1426" s="12" t="str">
        <f>New!A:A</f>
        <v>Sami Hayes - 35889098 - ripnsfw.com.jpg</v>
      </c>
      <c r="C1426" s="12" t="s">
        <v>8895</v>
      </c>
      <c r="D1426" s="46">
        <f>New!P:P</f>
        <v>0</v>
      </c>
    </row>
    <row r="1427" spans="1:4" ht="12.75">
      <c r="A1427" s="45" t="str">
        <f ca="1">New!M:M</f>
        <v>{New} Sami Hayes https://streamtape.com/v/xPyJobgjP2TkBr4/35930910 https://doodstream.com/d/o9pb5uxy6p51/35930910 https://lulustream.com/d/aukg79p6v8sv (2026) #BigTits #Hardcore #Black #Interracial #Bigass #RIPNSFW</v>
      </c>
      <c r="B1427" s="12" t="str">
        <f>New!A:A</f>
        <v>Sami Hayes - 35930910 - ripnsfw.com.jpg</v>
      </c>
      <c r="C1427" s="12" t="s">
        <v>8895</v>
      </c>
      <c r="D1427" s="46">
        <f>New!P:P</f>
        <v>0</v>
      </c>
    </row>
    <row r="1428" spans="1:4" ht="12.75">
      <c r="A1428" s="45" t="str">
        <f ca="1">New!M:M</f>
        <v>{New} Sami Hayes https://streamtape.com/v/Mx0DDPx7ygImKgx/37019928 https://doodstream.com/d/q3mqebfw9j5s/37019928 https://lulustream.com/d/6w96yprnosgf Kiki Isobel (2026) #BigTits #Hardcore #Threesome #Bigass #Teen #Artporn #Teens #Blowjob #Amateur #Deepthroat #Facial #RIPNSFW</v>
      </c>
      <c r="B1428" s="12" t="str">
        <f>New!A:A</f>
        <v>Sami Hayes - 37019928 - Onlyfans - Kiki Isobel.jpg</v>
      </c>
      <c r="C1428" s="12" t="s">
        <v>8895</v>
      </c>
      <c r="D1428" s="46">
        <f>New!P:P</f>
        <v>0</v>
      </c>
    </row>
    <row r="1429" spans="1:4" ht="12.75">
      <c r="A1429" s="45" t="str">
        <f ca="1">New!M:M</f>
        <v>{New} Sami Hayes https://streamtape.com/v/1WGK6mj0dAheK9a/38914614 https://lulustream.com/d/pc91jzcrg3m9 https://doodstream.com/d/xc3hq30u63fl/38914614 (2026) #BigTits #Hardcore #Bigass #Teen #RIPNSFW</v>
      </c>
      <c r="B1429" s="12" t="str">
        <f>New!A:A</f>
        <v>Sami Hayes - 38914614 - FH.jpg</v>
      </c>
      <c r="C1429" s="12" t="s">
        <v>8895</v>
      </c>
      <c r="D1429" s="46">
        <f>New!P:P</f>
        <v>0</v>
      </c>
    </row>
    <row r="1430" spans="1:4" ht="12.75">
      <c r="A1430" s="45" t="str">
        <f ca="1">New!M:M</f>
        <v>{New} Sami Hayes https://lulustream.com/d/c63lv0spy9n2 https://doodstream.com/d/xbqha8uc9khi/39608816 https://streamtape.com/v/4qedVezWWlUJ0Q/39608816 (2026) #BigTits #Hardcore #Black #Interracial #Bigass #RIPNSFW</v>
      </c>
      <c r="B1430" s="12" t="str">
        <f>New!A:A</f>
        <v>Sami Hayes - 39608816 - Onlyfans.jpg</v>
      </c>
      <c r="C1430" s="12" t="s">
        <v>8895</v>
      </c>
      <c r="D1430" s="46">
        <f>New!P:P</f>
        <v>0</v>
      </c>
    </row>
    <row r="1431" spans="1:4" ht="12.75">
      <c r="A1431" s="45" t="str">
        <f ca="1">New!M:M</f>
        <v>{New} Sami Hayes https://doodstream.com/d/misg63uxtqa1/52847283 https://lulustream.com/d/btco9jpjccdy https://streamtape.com/v/JexpVz28ZosZyJ/52847283 (2026) #BigTits #Creampie #Hardcore #Black #Interracial #Bigass #Teen #RIPNSFW</v>
      </c>
      <c r="B1431" s="12" t="str">
        <f>New!A:A</f>
        <v>Sami Hayes - 52847283 - Onlyfans.jpg</v>
      </c>
      <c r="C1431" s="12" t="s">
        <v>8895</v>
      </c>
      <c r="D1431" s="46">
        <f>New!P:P</f>
        <v>0</v>
      </c>
    </row>
    <row r="1432" spans="1:4" ht="12.75">
      <c r="A1432" s="45" t="str">
        <f ca="1">New!M:M</f>
        <v>{New} Sami Hayes https://doodstream.com/d/xtmq0vy47abc/58001185 https://lulustream.com/d/v4lea7ocsbzz https://streamtape.com/v/qKaeLG4kgPsyd9/58001185 (2026) #teen #bigass #bigtits #blowjob #RIPNSFW</v>
      </c>
      <c r="B1432" s="12" t="str">
        <f>New!A:A</f>
        <v>Sami Hayes - 58001185 - Onlyfans.jpg</v>
      </c>
      <c r="C1432" s="12" t="s">
        <v>8895</v>
      </c>
      <c r="D1432" s="46">
        <f>New!P:P</f>
        <v>0</v>
      </c>
    </row>
    <row r="1433" spans="1:4" ht="12.75">
      <c r="A1433" s="45" t="str">
        <f ca="1">New!M:M</f>
        <v>{New} Sami Hayes https://streamtape.com/v/G9KamVvwDQulzK/63650538 https://doodstream.com/d/uk3nz10dk16r/63650538 https://lulustream.com/d/7bph90kdte9k Ava Amira (2026) #teens #bigtits #blowjob #amateur #RIPNSFW</v>
      </c>
      <c r="B1433" s="12" t="str">
        <f>New!A:A</f>
        <v>Sami Hayes - 63650538 - Onlyfans - Ava Amira.jpg</v>
      </c>
      <c r="C1433" s="12" t="s">
        <v>8895</v>
      </c>
      <c r="D1433" s="46">
        <f>New!P:P</f>
        <v>0</v>
      </c>
    </row>
    <row r="1434" spans="1:4" ht="12.75">
      <c r="A1434" s="45" t="str">
        <f ca="1">New!M:M</f>
        <v>{New} Sami Hayes https://streamtape.com/v/Xo2K0rbOmPuDlAq/65397396 https://doodstream.com/d/egw9m1h4prnq/65397396 https://lulustream.com/d/rdmoqbhla1fm (2026) #BigTits #Creampie #Hardcore #Bigass #Teen #Artporn #Blowjob #Porn #Deepthroat #RIPNSFW</v>
      </c>
      <c r="B1434" s="12" t="str">
        <f>New!A:A</f>
        <v>Sami Hayes - 65397396 - MLR.jpg</v>
      </c>
      <c r="C1434" s="12" t="s">
        <v>8895</v>
      </c>
      <c r="D1434" s="46">
        <f>New!P:P</f>
        <v>0</v>
      </c>
    </row>
    <row r="1435" spans="1:4" ht="12.75">
      <c r="A1435" s="45" t="str">
        <f ca="1">New!M:M</f>
        <v>{New} Sami Hayes https://lulustream.com/d/wy5r2uizc0fq https://streamtape.com/v/01grrJdJ7lTbdYJ/70538746 https://doodstream.com/d/10vjw4beu0ya/70538746 (2026) #BigTits #Creampie #Hardcore #Bigass #Teen #RIPNSFW</v>
      </c>
      <c r="B1435" s="12" t="str">
        <f>New!A:A</f>
        <v>Sami Hayes - 70538746 - Onlyfans.jpg</v>
      </c>
      <c r="C1435" s="12" t="s">
        <v>8895</v>
      </c>
      <c r="D1435" s="46">
        <f>New!P:P</f>
        <v>0</v>
      </c>
    </row>
    <row r="1436" spans="1:4" ht="12.75">
      <c r="A1436" s="45" t="str">
        <f ca="1">New!M:M</f>
        <v>{New} Sami Hayes https://lulustream.com/d/k79208hpzkmq https://doodstream.com/d/fy4jqhl0qlwc/77902618 https://streamtape.com/v/YK1pWOqOVXHvgyz/77902618 (2026) #BigTits #Hardcore #Bigass #Teen #Artporn #Teens #Blowjob #Amateur #RIPNSFW</v>
      </c>
      <c r="B1436" s="12" t="str">
        <f>New!A:A</f>
        <v>Sami Hayes - 77902618 - Onlyfans.jpg</v>
      </c>
      <c r="C1436" s="12" t="s">
        <v>8895</v>
      </c>
      <c r="D1436" s="46">
        <f>New!P:P</f>
        <v>0</v>
      </c>
    </row>
    <row r="1437" spans="1:4" ht="12.75">
      <c r="A1437" s="45" t="str">
        <f ca="1">New!M:M</f>
        <v>{New} Sami Hayes https://lulustream.com/d/wx3lkim9l59k https://doodstream.com/d/66ibvziycx23/81722742 https://streamtape.com/v/7YVxZVv3wMTAlMW/81722742 (2026) #BigTits #Creampie #Hardcore #Interracial #RIPNSFW</v>
      </c>
      <c r="B1437" s="12" t="str">
        <f>New!A:A</f>
        <v>Sami Hayes - 81722742 - Onlyfans.jpg</v>
      </c>
      <c r="C1437" s="12" t="s">
        <v>8895</v>
      </c>
      <c r="D1437" s="46">
        <f>New!P:P</f>
        <v>0</v>
      </c>
    </row>
    <row r="1438" spans="1:4" ht="12.75">
      <c r="A1438" s="45" t="str">
        <f ca="1">New!M:M</f>
        <v>{New} Sami Hayes https://doodstream.com/d/yc42f6t8s0z8/92253588 https://streamtape.com/v/RXwrOM2DPBTdRgK/92253588 https://lulustream.com/d/fb1srn17pw2u (2026) #BigTits #Creampie #Hardcore #Bigass #Teen #RIPNSFW</v>
      </c>
      <c r="B1438" s="12" t="str">
        <f>New!A:A</f>
        <v>Sami Hayes - 92253588 - FH.jpg</v>
      </c>
      <c r="C1438" s="12" t="s">
        <v>8895</v>
      </c>
      <c r="D1438" s="46">
        <f>New!P:P</f>
        <v>0</v>
      </c>
    </row>
    <row r="1439" spans="1:4" ht="12.75">
      <c r="A1439" s="45" t="str">
        <f ca="1">New!M:M</f>
        <v>{New} Sami Hayes https://doodstream.com/d/ikwp5q9rdi8e/93405290 https://lulustream.com/d/9op2s123g5l7 https://streamtape.com/v/k2WYp3JgpZfOx66/93405290 (2026) #BigTits #Hardcore #Bigass #Teen #Artporn #Blowjob #Amateur #Deepthroat #Facial #RIPNSFW</v>
      </c>
      <c r="B1439" s="12" t="str">
        <f>New!A:A</f>
        <v>Sami Hayes - 93405290 - Onlyfans.jpg</v>
      </c>
      <c r="C1439" s="12" t="s">
        <v>8895</v>
      </c>
      <c r="D1439" s="46">
        <f>New!P:P</f>
        <v>0</v>
      </c>
    </row>
    <row r="1440" spans="1:4" ht="12.75">
      <c r="A1440" s="45" t="str">
        <f ca="1">New!M:M</f>
        <v>{New} SammmNextDoor https://streamtape.com/v/VPPAJDW6MrSy60/55379535 https://doodstream.com/d/1apnkwwsr1oi/55379535 https://lulustream.com/d/05289tqw1rr0 Lena the plug (2026) #MILF #BigTits #Hardcore #Threesome #Bigass #Teen #Blowjob #RIPNSFW</v>
      </c>
      <c r="B1440" s="12" t="str">
        <f>New!A:A</f>
        <v>SammmNextDoor - 55379535 - ripnsfw.com - Lena the plug.jpg</v>
      </c>
      <c r="C1440" s="12" t="s">
        <v>8895</v>
      </c>
      <c r="D1440" s="46">
        <f>New!P:P</f>
        <v>0</v>
      </c>
    </row>
    <row r="1441" spans="1:4" ht="12.75">
      <c r="A1441" s="45" t="str">
        <f ca="1">New!M:M</f>
        <v>{New} Sarah Illustrates https://doodstream.com/d/0xy2jdbaqx5g/91588899 https://lulustream.com/d/jw28cmjfallf https://streamtape.com/v/6qeB4jkDvMCpdq/91588899 (2026) #MILF #BigTits #Hardcore #Blowjob #Black #Amateur #RIPNSFW</v>
      </c>
      <c r="B1441" s="12" t="str">
        <f>New!A:A</f>
        <v>Sarah Illustrates - 91588899 - ripnsfw.com.jpg</v>
      </c>
      <c r="C1441" s="12" t="s">
        <v>8895</v>
      </c>
      <c r="D1441" s="46">
        <f>New!P:P</f>
        <v>0</v>
      </c>
    </row>
    <row r="1442" spans="1:4" ht="12.75">
      <c r="A1442" s="45" t="str">
        <f ca="1">New!M:M</f>
        <v>{New} Sarah Illustrates https://streamtape.com/v/JWM8PbVOwXcjdMA/99792931 https://lulustream.com/d/m5mqlq4kurek https://doodstream.com/d/0ctf6fx1nqhr/99792931 (2026) #MILF #BigTits #Hardcore #Blowjob #RIPNSFW</v>
      </c>
      <c r="B1442" s="12" t="str">
        <f>New!A:A</f>
        <v>Sarah Illustrates - 99792931 - Onlyfans.jpg</v>
      </c>
      <c r="C1442" s="12" t="s">
        <v>8895</v>
      </c>
      <c r="D1442" s="46">
        <f>New!P:P</f>
        <v>0</v>
      </c>
    </row>
    <row r="1443" spans="1:4" ht="12.75">
      <c r="A1443" s="45" t="str">
        <f ca="1">New!M:M</f>
        <v>{New} Sasha Grey https://streamtape.com/v/3AWAqPelzoCrkk/35073417 https://lulustream.com/d/zcn8r49qbyy6 https://doodstream.com/d/4k50ujzrhg23/35073417 (2026) #Hardcore #Black #Interracial #Bigass #Porn #Teen #Blowjob #Deepthroat #Facial #RIPNSFW</v>
      </c>
      <c r="B1443" s="12" t="str">
        <f>New!A:A</f>
        <v>Sasha Grey - 35073417 - ripnsfw.com.jpg</v>
      </c>
      <c r="C1443" s="12" t="s">
        <v>8895</v>
      </c>
      <c r="D1443" s="46">
        <f>New!P:P</f>
        <v>0</v>
      </c>
    </row>
    <row r="1444" spans="1:4" ht="12.75">
      <c r="A1444" s="45" t="str">
        <f ca="1">New!M:M</f>
        <v>{New} Sasha Grey https://streamtape.com/v/08eAyYDXoosbbVz/36758525 https://doodstream.com/d/wqqru82ahnus/36758525 https://lulustream.com/d/q414qqdmiuek (2026) #Anal #Hardcore #Bigass #Porn #Teen #RIPNSFW</v>
      </c>
      <c r="B1444" s="12" t="str">
        <f>New!A:A</f>
        <v>Sasha Grey - 36758525 - ripnsfw.com.jpg</v>
      </c>
      <c r="C1444" s="12" t="s">
        <v>8895</v>
      </c>
      <c r="D1444" s="46">
        <f>New!P:P</f>
        <v>0</v>
      </c>
    </row>
    <row r="1445" spans="1:4" ht="12.75">
      <c r="A1445" s="45" t="str">
        <f ca="1">New!M:M</f>
        <v>Sasha Grey https://doodstream.com/d/f1pqo6lejyz2/52381181 https://streamtape.com/v/gaOV1RAAmxsJgO/52381181 https://lulustream.com/d/7vxbje5tg2l2 #pornstar #brunette #blowjob #hairy #RIPNSFW</v>
      </c>
      <c r="B1445" s="12" t="str">
        <f>New!A:A</f>
        <v>Sasha Grey - 52381181 - EA.jpg</v>
      </c>
      <c r="C1445" s="12" t="s">
        <v>8895</v>
      </c>
      <c r="D1445" s="46">
        <f>New!P:P</f>
        <v>0</v>
      </c>
    </row>
    <row r="1446" spans="1:4" ht="12.75">
      <c r="A1446" s="45" t="str">
        <f ca="1">New!M:M</f>
        <v>{New} Sasha Grey https://streamtape.com/v/1pPqajoo7zHeOeB/93132689 https://lulustream.com/d/hfk55v0qqed8 https://doodstream.com/d/3rh1icppriwp/93132689 (2026) #Hardcore #Black #Interracial #Bigass #Porn #Teen #RIPNSFW</v>
      </c>
      <c r="B1446" s="12" t="str">
        <f>New!A:A</f>
        <v>Sasha Grey - 93132689 - ripnsfw.com.jpg</v>
      </c>
      <c r="C1446" s="12" t="s">
        <v>8895</v>
      </c>
      <c r="D1446" s="46">
        <f>New!P:P</f>
        <v>0</v>
      </c>
    </row>
    <row r="1447" spans="1:4" ht="12.75">
      <c r="A1447" s="45" t="str">
        <f ca="1">New!M:M</f>
        <v>{New} Sasha Grey https://streamtape.com/v/6mL96QDkAGFpMk/96620718 https://doodstream.com/d/g1tdnooicaqz/96620718 https://lulustream.com/d/3cbyercbswdr (2026) #Anal #Hardcore #Threesome #Bigass #Porn #Teen #Blowjob #Deepthroat #Facial #RIPNSFW</v>
      </c>
      <c r="B1447" s="12" t="str">
        <f>New!A:A</f>
        <v>Sasha Grey - 96620718 - ripnsfw.com.jpg</v>
      </c>
      <c r="C1447" s="12" t="s">
        <v>8895</v>
      </c>
      <c r="D1447" s="46">
        <f>New!P:P</f>
        <v>0</v>
      </c>
    </row>
    <row r="1448" spans="1:4" ht="12.75">
      <c r="A1448" s="45" t="str">
        <f ca="1">New!M:M</f>
        <v>{New} Sav Shawz https://streamtape.com/v/vV4QW9PpxQf4OBw/94987507 https://lulustream.com/d/wakne65u8ahj https://doodstream.com/d/ecsykjle6t7x/94987507 (2026) #threesome #milf #bigtits #bigass #RIPNSFW</v>
      </c>
      <c r="B1448" s="12" t="str">
        <f>New!A:A</f>
        <v>Sav Shawz - 94987507 - Onlyfans.jpg</v>
      </c>
      <c r="C1448" s="12" t="s">
        <v>8895</v>
      </c>
      <c r="D1448" s="46">
        <f>New!P:P</f>
        <v>0</v>
      </c>
    </row>
    <row r="1449" spans="1:4" ht="12.75">
      <c r="A1449" s="45" t="str">
        <f ca="1">New!M:M</f>
        <v>{New} Savannah Bond https://streamtape.com/v/er0ZOVYm2jiooo/14619680 https://doodstream.com/d/72mppsop5mdy/14619680 https://lulustream.com/d/9rihpi4xmu1c (2026) #anal #milf #bigtits #creampie #RIPNSFW</v>
      </c>
      <c r="B1449" s="12" t="str">
        <f>New!A:A</f>
        <v>Savannah Bond - 14619680 - Onlyfans.jpg</v>
      </c>
      <c r="C1449" s="12" t="s">
        <v>8895</v>
      </c>
      <c r="D1449" s="46">
        <f>New!P:P</f>
        <v>0</v>
      </c>
    </row>
    <row r="1450" spans="1:4" ht="12.75">
      <c r="A1450" s="45" t="str">
        <f ca="1">New!M:M</f>
        <v>{New} Savannah Bond https://lulustream.com/d/eddm4ecvdmyw https://streamtape.com/v/QyRBLrqLm0t01eV/16972233 https://doodstream.com/d/32jfdktwe1u0/16972233 (2026) #Anal #MILF #BigTits #Hardcore #Black #Threesome #Interracial #Bigass #Porn #Stepmom #Blowjob #RIPNSFW</v>
      </c>
      <c r="B1450" s="12" t="str">
        <f>New!A:A</f>
        <v>Savannah Bond - 16972233 - EvilAngel.jpg</v>
      </c>
      <c r="C1450" s="12" t="s">
        <v>8895</v>
      </c>
      <c r="D1450" s="46">
        <f>New!P:P</f>
        <v>0</v>
      </c>
    </row>
    <row r="1451" spans="1:4" ht="12.75">
      <c r="A1451" s="45" t="str">
        <f ca="1">New!M:M</f>
        <v>{New} Savannah Bond https://doodstream.com/d/7idxlhp5j9z6/18950624 https://streamtape.com/v/WgQzv01OrYtRwv/18950624 https://lulustream.com/d/p05prs2m8595 Karmen Karma (2026) #MILF #BigTits #Anal #Hardcore #Gangbang #Black #RIPNSFW</v>
      </c>
      <c r="B1451" s="12" t="str">
        <f>New!A:A</f>
        <v>Savannah Bond - 18950624 - ripnsfw.com - Karmen Karma.jpg</v>
      </c>
      <c r="C1451" s="12" t="s">
        <v>8895</v>
      </c>
      <c r="D1451" s="46">
        <f>New!P:P</f>
        <v>0</v>
      </c>
    </row>
    <row r="1452" spans="1:4" ht="12.75">
      <c r="A1452" s="45" t="str">
        <f ca="1">New!M:M</f>
        <v>#ERROR!</v>
      </c>
      <c r="B1452" s="12" t="str">
        <f>New!A:A</f>
        <v>Savannah Bond - 19013131 - ripnsfw.com.jpg</v>
      </c>
      <c r="C1452" s="12" t="s">
        <v>8895</v>
      </c>
      <c r="D1452" s="46">
        <f>New!P:P</f>
        <v>0</v>
      </c>
    </row>
    <row r="1453" spans="1:4" ht="12.75">
      <c r="A1453" s="45" t="str">
        <f ca="1">New!M:M</f>
        <v>{New} Savannah Bond https://doodstream.com/d/ge1mbyl3zs88/19263135 https://streamtape.com/v/p23DeOgDkZtx7L/19263135 https://lulustream.com/d/lmitk4e3w1kn (2026) #Anal #MILF #BigTits #Hardcore #RIPNSFW</v>
      </c>
      <c r="B1453" s="12" t="str">
        <f>New!A:A</f>
        <v>Savannah Bond - 19263135 - ripnsfw.com.jpg</v>
      </c>
      <c r="C1453" s="12" t="s">
        <v>8895</v>
      </c>
      <c r="D1453" s="46">
        <f>New!P:P</f>
        <v>0</v>
      </c>
    </row>
    <row r="1454" spans="1:4" ht="12.75">
      <c r="A1454" s="45" t="str">
        <f ca="1">New!M:M</f>
        <v>{New} Savannah Bond https://streamtape.com/v/617LZ6rzZOt9yAx/19386008 https://lulustream.com/d/kosdc06ich3i https://doodstream.com/d/51gjunkvk8fs/19386008 (2026) #MILF #BigTits #Hardcore #Bigass #Porn #Blowjob #Deepthroat #Blonde #RIPNSFW</v>
      </c>
      <c r="B1454" s="12" t="str">
        <f>New!A:A</f>
        <v>Savannah Bond - 19386008 - ripnsfw.com.jpg</v>
      </c>
      <c r="C1454" s="12" t="s">
        <v>8895</v>
      </c>
      <c r="D1454" s="46">
        <f>New!P:P</f>
        <v>0</v>
      </c>
    </row>
    <row r="1455" spans="1:4" ht="12.75">
      <c r="A1455" s="45" t="str">
        <f ca="1">New!M:M</f>
        <v>{New} Savannah Bond https://doodstream.com/d/00cun6ckzaa3/20430624 https://streamtape.com/v/8VQzld71OlfMwe/20430624 https://lulustream.com/d/2d3r2zregdwz (2026) #MILF #BigTits #Hardcore #Bigass #Porn #RIPNSFW</v>
      </c>
      <c r="B1455" s="12" t="str">
        <f>New!A:A</f>
        <v>Savannah Bond - 20430624 - ripnsfw.com.jpg</v>
      </c>
      <c r="C1455" s="12" t="s">
        <v>8895</v>
      </c>
      <c r="D1455" s="46">
        <f>New!P:P</f>
        <v>0</v>
      </c>
    </row>
    <row r="1456" spans="1:4" ht="12.75">
      <c r="A1456" s="45" t="str">
        <f ca="1">New!M:M</f>
        <v>{New} Savannah Bond https://doodstream.com/d/w9loxc4ka2x0/21784907 https://lulustream.com/d/ou26pn1ti8y3 https://streamtape.com/v/K4kB2edx9QCzyb/21784907 (2026) #Anal #MILF #BigTits #Hardcore #Bigass #Porn #Blowjob #Blonde #RIPNSFW</v>
      </c>
      <c r="B1456" s="12" t="str">
        <f>New!A:A</f>
        <v>Savannah Bond - 21784907 - ripnsfw.com.jpg</v>
      </c>
      <c r="C1456" s="12" t="s">
        <v>8895</v>
      </c>
      <c r="D1456" s="46">
        <f>New!P:P</f>
        <v>0</v>
      </c>
    </row>
    <row r="1457" spans="1:4" ht="12.75">
      <c r="A1457" s="45" t="str">
        <f ca="1">New!M:M</f>
        <v>{New} Savannah Bond https://doodstream.com/d/5giq7l1mdukj/23178348 https://streamtape.com/v/9od1gjjaOkIagvA/23178348 https://lulustream.com/d/y9onmiw165r7 Kayley Gunner (2026) #MILF #BigTits #Hardcore #Black #Threesome #Interracial #RIPNSFW</v>
      </c>
      <c r="B1457" s="12" t="str">
        <f>New!A:A</f>
        <v>Savannah Bond - 23178348 - ripnsfw.com - Kayley Gunner.jpg</v>
      </c>
      <c r="C1457" s="12" t="s">
        <v>8895</v>
      </c>
      <c r="D1457" s="46">
        <f>New!P:P</f>
        <v>0</v>
      </c>
    </row>
    <row r="1458" spans="1:4" ht="12.75">
      <c r="A1458" s="45" t="str">
        <f ca="1">New!M:M</f>
        <v>{New} Savannah Bond https://doodstream.com/d/5jndcx6nlr7g/28300660 https://streamtape.com/v/xqw22mk6GxUkMA0/28300660 https://lulustream.com/d/t6jfku3p7hr0 (2026) #MILF #BigTits #Creampie #Hardcore #RIPNSFW</v>
      </c>
      <c r="B1458" s="12" t="str">
        <f>New!A:A</f>
        <v>Savannah Bond - 28300660 - ripnsfw.com.jpg</v>
      </c>
      <c r="C1458" s="12" t="s">
        <v>8895</v>
      </c>
      <c r="D1458" s="46">
        <f>New!P:P</f>
        <v>0</v>
      </c>
    </row>
    <row r="1459" spans="1:4" ht="12.75">
      <c r="A1459" s="45" t="str">
        <f ca="1">New!M:M</f>
        <v>{New} Savannah Bond https://lulustream.com/d/1jjog133orzl https://doodstream.com/d/zpgemof4bygh/28374263 https://streamtape.com/v/2bo7BmB37pUZbgD/28374263 (2026) #Anal #MILF #BigTits #Hardcore #Bigass #Porn #RIPNSFW</v>
      </c>
      <c r="B1459" s="12" t="str">
        <f>New!A:A</f>
        <v>Savannah Bond - 28374263 - JulesJordan.jpg</v>
      </c>
      <c r="C1459" s="12" t="s">
        <v>8895</v>
      </c>
      <c r="D1459" s="46">
        <f>New!P:P</f>
        <v>0</v>
      </c>
    </row>
    <row r="1460" spans="1:4" ht="12.75">
      <c r="A1460" s="45" t="str">
        <f ca="1">New!M:M</f>
        <v>{New} Savannah Bond https://lulustream.com/d/y4p7zjfpgz6h https://doodstream.com/d/qv0q40asfab0/28964799 https://streamtape.com/v/VWq8QAaGAbtxmv/28964799 (2026) #MILF #BigTits #Hardcore #Bigass #Blowjob #Amateur #RIPNSFW</v>
      </c>
      <c r="B1460" s="12" t="str">
        <f>New!A:A</f>
        <v>Savannah Bond - 28964799 - ripnsfw.com.jpg</v>
      </c>
      <c r="C1460" s="12" t="s">
        <v>8895</v>
      </c>
      <c r="D1460" s="46">
        <f>New!P:P</f>
        <v>0</v>
      </c>
    </row>
    <row r="1461" spans="1:4" ht="12.75">
      <c r="A1461" s="45" t="str">
        <f ca="1">New!M:M</f>
        <v>{New} Savannah Bond https://lulustream.com/d/b1wjgobzhwaa https://doodstream.com/d/1y8hwuskzhbb/31486715 https://streamtape.com/v/BPLrYxXMewsyOOX/31486715 Ivy Lebelle (2026) #milf #bigass #bigtits #blowjob #RIPNSFW</v>
      </c>
      <c r="B1461" s="12" t="str">
        <f>New!A:A</f>
        <v>Savannah Bond - 31486715 - Onlyfans - Ivy Lebelle.jpg</v>
      </c>
      <c r="C1461" s="12" t="s">
        <v>8895</v>
      </c>
      <c r="D1461" s="46">
        <f>New!P:P</f>
        <v>0</v>
      </c>
    </row>
    <row r="1462" spans="1:4" ht="12.75">
      <c r="A1462" s="45" t="str">
        <f ca="1">New!M:M</f>
        <v>{New} Savannah Bond https://doodstream.com/d/ceqc92hn0n3v/34030239 https://streamtape.com/v/8Vlz6zP3ObH6xO/34030239 https://lulustream.com/d/fyznglrpvkjh (2026) #Anal #MILF #BigTits #Hardcore #RIPNSFW</v>
      </c>
      <c r="B1462" s="12" t="str">
        <f>New!A:A</f>
        <v>Savannah Bond - 34030239 - ripnsfw.com.jpg</v>
      </c>
      <c r="C1462" s="12" t="s">
        <v>8895</v>
      </c>
      <c r="D1462" s="46">
        <f>New!P:P</f>
        <v>0</v>
      </c>
    </row>
    <row r="1463" spans="1:4" ht="12.75">
      <c r="A1463" s="45" t="str">
        <f ca="1">New!M:M</f>
        <v>{New} Savannah Bond https://streamtape.com/v/90QyJL2w1vHa23A/34293046 https://doodstream.com/d/ogmj9kbdejov/34293046 https://lulustream.com/d/4im2r3qlsvlb (2026) #Anal #MILF #BigTits #Hardcore #RIPNSFW</v>
      </c>
      <c r="B1463" s="12" t="str">
        <f>New!A:A</f>
        <v>Savannah Bond - 34293046 - Onlyfans.jpg</v>
      </c>
      <c r="C1463" s="12" t="s">
        <v>8895</v>
      </c>
      <c r="D1463" s="46">
        <f>New!P:P</f>
        <v>0</v>
      </c>
    </row>
    <row r="1464" spans="1:4" ht="12.75">
      <c r="A1464" s="45" t="str">
        <f ca="1">New!M:M</f>
        <v>{New} Savannah Bond https://streamtape.com/v/JAAd4By082ijMb7/36028697 https://doodstream.com/d/f3xqg7py1p9r/36028697 https://lulustream.com/d/46h5ercu90rv (2026) #milf #bigtits #bigass #blowjob #RIPNSFW</v>
      </c>
      <c r="B1464" s="12" t="str">
        <f>New!A:A</f>
        <v>Savannah Bond - 36028697 - Onlyfans.jpg</v>
      </c>
      <c r="C1464" s="12" t="s">
        <v>8895</v>
      </c>
      <c r="D1464" s="46">
        <f>New!P:P</f>
        <v>0</v>
      </c>
    </row>
    <row r="1465" spans="1:4" ht="12.75">
      <c r="A1465" s="45" t="str">
        <f ca="1">New!M:M</f>
        <v>{New} Savannah Bond https://doodstream.com/d/qnv59myynus4/41186576 https://streamtape.com/v/pjYXe73OA3ir8gw/41186576 https://lulustream.com/d/q930to2cylsi (2026) #Anal #MILF #BigTits #Hardcore #Black #Interracial #Bigass #Porn #Blowjob #RIPNSFW</v>
      </c>
      <c r="B1465" s="12" t="str">
        <f>New!A:A</f>
        <v>Savannah Bond - 41186576 - ripnsfw.com.jpg</v>
      </c>
      <c r="C1465" s="12" t="s">
        <v>8895</v>
      </c>
      <c r="D1465" s="46">
        <f>New!P:P</f>
        <v>0</v>
      </c>
    </row>
    <row r="1466" spans="1:4" ht="12.75">
      <c r="A1466" s="45" t="str">
        <f ca="1">New!M:M</f>
        <v>{New} Savannah Bond https://lulustream.com/d/io5e1oj393pc https://streamtape.com/v/QyzvqpbPXlIyxL/42819858 https://doodstream.com/d/a86v6h1xjyu5/42819858 Angela White (2026) #Anal #MILF #BigTits #Hardcore #Black #RIPNSFW</v>
      </c>
      <c r="B1466" s="12" t="str">
        <f>New!A:A</f>
        <v>Savannah Bond - 42819858 - ripnsfw.com - Angela White.jpg</v>
      </c>
      <c r="C1466" s="12" t="s">
        <v>8895</v>
      </c>
      <c r="D1466" s="46">
        <f>New!P:P</f>
        <v>0</v>
      </c>
    </row>
    <row r="1467" spans="1:4" ht="12.75">
      <c r="A1467" s="45" t="str">
        <f ca="1">New!M:M</f>
        <v>{New} Savannah Bond https://streamtape.com/v/wOBgOWVrG3SJOzB/43572884 https://lulustream.com/d/5gu1gqc3qol5 https://doodstream.com/d/43x2ufnbn0h9/43572884 Angel Youngs (2026) #MILF #BigTits #Hardcore #Threesome #Bigass #RIPNSFW</v>
      </c>
      <c r="B1467" s="12" t="str">
        <f>New!A:A</f>
        <v>Savannah Bond - 43572884 - ripnsfw.com - Angel Youngs.jpg</v>
      </c>
      <c r="C1467" s="12" t="s">
        <v>8895</v>
      </c>
      <c r="D1467" s="46">
        <f>New!P:P</f>
        <v>0</v>
      </c>
    </row>
    <row r="1468" spans="1:4" ht="12.75">
      <c r="A1468" s="45" t="str">
        <f ca="1">New!M:M</f>
        <v>{New} Savannah Bond https://lulustream.com/d/90i4gvw9f3cb https://doodstream.com/d/k04czohg76th/46266365 https://streamtape.com/v/lOb443K1Lvs7XZ4/46266365 (2026) #anal #bigtits #milf #bigass #RIPNSFW</v>
      </c>
      <c r="B1468" s="12" t="str">
        <f>New!A:A</f>
        <v>Savannah Bond - 46266365 - Onlyfans.jpg</v>
      </c>
      <c r="C1468" s="12" t="s">
        <v>8895</v>
      </c>
      <c r="D1468" s="46">
        <f>New!P:P</f>
        <v>0</v>
      </c>
    </row>
    <row r="1469" spans="1:4" ht="12.75">
      <c r="A1469" s="45" t="str">
        <f ca="1">New!M:M</f>
        <v>{New} Savannah Bond https://doodstream.com/d/hkbqnh4uf4m1/46601485 https://lulustream.com/d/v2tr7kiwtv56 https://streamtape.com/v/KQ8dlWLZp7f0d19/46601485 (2026) #MILF #BigTits #Hardcore #Bigass #Roleplay #Blowjob #Amateur #Deepthroat #Blonde #RIPNSFW</v>
      </c>
      <c r="B1469" s="12" t="str">
        <f>New!A:A</f>
        <v>Savannah Bond - 46601485 - ripnsfw.com.jpg</v>
      </c>
      <c r="C1469" s="12" t="s">
        <v>8895</v>
      </c>
      <c r="D1469" s="46">
        <f>New!P:P</f>
        <v>0</v>
      </c>
    </row>
    <row r="1470" spans="1:4" ht="12.75">
      <c r="A1470" s="45" t="str">
        <f ca="1">New!M:M</f>
        <v>{New} Savannah Bond https://streamtape.com/v/OaBRaR3VO4IZBxJ/46694045 https://doodstream.com/d/sj3d5r5v8w5t/46694045 https://lulustream.com/d/bmpemqcb1xs3 (2026) #Anal #MILF #BigTits #Hardcore #Bigass #Porn #RIPNSFW</v>
      </c>
      <c r="B1470" s="12" t="str">
        <f>New!A:A</f>
        <v>Savannah Bond - 46694045 - ripnsfw.com.jpg</v>
      </c>
      <c r="C1470" s="12" t="s">
        <v>8895</v>
      </c>
      <c r="D1470" s="46">
        <f>New!P:P</f>
        <v>0</v>
      </c>
    </row>
    <row r="1471" spans="1:4" ht="12.75">
      <c r="A1471" s="45" t="str">
        <f ca="1">New!M:M</f>
        <v>{New} Savannah Bond https://lulustream.com/d/1tc4e81gai8m https://streamtape.com/v/7zMWAD28e9HApme/51338393 https://doodstream.com/d/9xf4v6b83da7/51338393 (2026) #Anal #MILF #BigTits #Creampie #Hardcore #Black #Interracial #Bigass #Blowjob #RIPNSFW</v>
      </c>
      <c r="B1471" s="12" t="str">
        <f>New!A:A</f>
        <v>Savannah Bond - 51338393 - ripnsfw.com.jpg</v>
      </c>
      <c r="C1471" s="12" t="s">
        <v>8895</v>
      </c>
      <c r="D1471" s="46">
        <f>New!P:P</f>
        <v>0</v>
      </c>
    </row>
    <row r="1472" spans="1:4" ht="12.75">
      <c r="A1472" s="45" t="str">
        <f ca="1">New!M:M</f>
        <v>{New} Savannah Bond https://doodstream.com/d/wan7z3kl1rqz/54203161 https://streamtape.com/v/26LJxkv4DGTKkY/54203161 https://lulustream.com/d/6hhaoglztc3g (2026) #Anal #MILF #BigTits #Creampie #Hardcore #RIPNSFW</v>
      </c>
      <c r="B1472" s="12" t="str">
        <f>New!A:A</f>
        <v>Savannah Bond - 54203161 - ripnsfw.com.jpg</v>
      </c>
      <c r="C1472" s="12" t="s">
        <v>8895</v>
      </c>
      <c r="D1472" s="46">
        <f>New!P:P</f>
        <v>0</v>
      </c>
    </row>
    <row r="1473" spans="1:4" ht="12.75">
      <c r="A1473" s="45" t="str">
        <f ca="1">New!M:M</f>
        <v>{New} Savannah Bond https://streamtape.com/v/Wr11e6WkgbfW7p/58563307 https://doodstream.com/d/mobufvrpc9z7/58563307 https://lulustream.com/d/2dk4ejqwfd12 (2026) #MILF #BigTits #Hardcore #Black #Interracial #Bigass #RIPNSFW</v>
      </c>
      <c r="B1473" s="12" t="str">
        <f>New!A:A</f>
        <v>Savannah Bond - 58563307 - ripnsfw.com.jpg</v>
      </c>
      <c r="C1473" s="12" t="s">
        <v>8895</v>
      </c>
      <c r="D1473" s="46">
        <f>New!P:P</f>
        <v>0</v>
      </c>
    </row>
    <row r="1474" spans="1:4" ht="12.75">
      <c r="A1474" s="45" t="str">
        <f ca="1">New!M:M</f>
        <v>{New} Savannah Bond https://lulustream.com/d/f01can3hfkr3 https://doodstream.com/d/3i5v45541ztl/59872464 https://streamtape.com/v/88y9VJj11gSoRyW/59872464 Lena the plug (2026) #MILF #BigTits #Hardcore #Threesome #Bigass #Blowjob #RIPNSFW</v>
      </c>
      <c r="B1474" s="12" t="str">
        <f>New!A:A</f>
        <v>Savannah Bond - 59872464 - ripnsfw.com - Lena the plug.jpg</v>
      </c>
      <c r="C1474" s="12" t="s">
        <v>8895</v>
      </c>
      <c r="D1474" s="46">
        <f>New!P:P</f>
        <v>0</v>
      </c>
    </row>
    <row r="1475" spans="1:4" ht="12.75">
      <c r="A1475" s="45" t="str">
        <f ca="1">New!M:M</f>
        <v>{New} Savannah Bond https://doodstream.com/d/hensnfhro51x/60598299 https://streamtape.com/v/k3BqgG6Zrqcr7w/60598299 https://lulustream.com/d/cpcey48e588u (2026) #MILF #BigTits #Hardcore #Bigass #Porn #RIPNSFW</v>
      </c>
      <c r="B1475" s="12" t="str">
        <f>New!A:A</f>
        <v>Savannah Bond - 60598299 - ripnsfw.com.jpg</v>
      </c>
      <c r="C1475" s="12" t="s">
        <v>8895</v>
      </c>
      <c r="D1475" s="46">
        <f>New!P:P</f>
        <v>0</v>
      </c>
    </row>
    <row r="1476" spans="1:4" ht="12.75">
      <c r="A1476" s="45" t="str">
        <f ca="1">New!M:M</f>
        <v>{New} Savannah Bond https://doodstream.com/d/46hk4maomigd/62042251 https://streamtape.com/v/xe9mbaVwGyUkJbR/62042251 https://lulustream.com/d/pc73yuvyyn7k (2026) #Anal #MILF #BigTits #Hardcore #Gangbang #Black #Interracial #Bigass #Porn #RIPNSFW</v>
      </c>
      <c r="B1476" s="12" t="str">
        <f>New!A:A</f>
        <v>Savannah Bond - 62042251 - ripnsfw.com.jpg</v>
      </c>
      <c r="C1476" s="12" t="s">
        <v>8895</v>
      </c>
      <c r="D1476" s="46">
        <f>New!P:P</f>
        <v>0</v>
      </c>
    </row>
    <row r="1477" spans="1:4" ht="12.75">
      <c r="A1477" s="45" t="str">
        <f ca="1">New!M:M</f>
        <v>{New} Savannah Bond https://doodstream.com/d/uc67yzdbhnz1/65916741 https://streamtape.com/v/4xRjO6mAY4i2OY/65916741 https://lulustream.com/d/a78ju4m8gm2o (2026) #MILF #BigTits #Hardcore #Black #Interracial #Bigass #RIPNSFW</v>
      </c>
      <c r="B1477" s="12" t="str">
        <f>New!A:A</f>
        <v>Savannah Bond - 65916741 - ripnsfw.com.jpg</v>
      </c>
      <c r="C1477" s="12" t="s">
        <v>8895</v>
      </c>
      <c r="D1477" s="46">
        <f>New!P:P</f>
        <v>0</v>
      </c>
    </row>
    <row r="1478" spans="1:4" ht="12.75">
      <c r="A1478" s="45" t="str">
        <f ca="1">New!M:M</f>
        <v>{New} Savannah Bond https://doodstream.com/d/3uegjahy1t0p/67876579 https://streamtape.com/v/3wmeGWQLq8Hd7PK/67876579 https://lulustream.com/d/e9li95kl2gvi (2026) #milf #bigtits #bigass #blonde #RIPNSFW</v>
      </c>
      <c r="B1478" s="12" t="str">
        <f>New!A:A</f>
        <v>Savannah Bond - 67876579 - Onlyfans.jpg</v>
      </c>
      <c r="C1478" s="12" t="s">
        <v>8895</v>
      </c>
      <c r="D1478" s="46">
        <f>New!P:P</f>
        <v>0</v>
      </c>
    </row>
    <row r="1479" spans="1:4" ht="12.75">
      <c r="A1479" s="45" t="str">
        <f ca="1">New!M:M</f>
        <v>{New} Savannah Bond https://lulustream.com/d/a1s5s45detq9 https://streamtape.com/v/29YzMpX9gmUZXVK/68907500 https://doodstream.com/d/o8zm5b2sd43w/68907500 (2026) #Anal #MILF #BigTits #Hardcore #Interracial #Black #Bigass #Porn #Blowjob #RIPNSFW</v>
      </c>
      <c r="B1479" s="12" t="str">
        <f>New!A:A</f>
        <v>Savannah Bond - 68907500 - ripnsfw.com.jpg</v>
      </c>
      <c r="C1479" s="12" t="s">
        <v>8895</v>
      </c>
      <c r="D1479" s="46">
        <f>New!P:P</f>
        <v>0</v>
      </c>
    </row>
    <row r="1480" spans="1:4" ht="12.75">
      <c r="A1480" s="45" t="str">
        <f ca="1">New!M:M</f>
        <v>{New} Savannah Bond https://streamtape.com/v/XBvlk9aywysD8dr/74884313 https://doodstream.com/d/bjch5mlx7ys5/74884313 https://lulustream.com/d/h1mxcpfhpa02 (2026) #Anal #MILF #BigTits #Hardcore #RIPNSFW</v>
      </c>
      <c r="B1480" s="12" t="str">
        <f>New!A:A</f>
        <v>Savannah Bond - 74884313 - EvilAngel.jpg</v>
      </c>
      <c r="C1480" s="12" t="s">
        <v>8895</v>
      </c>
      <c r="D1480" s="46">
        <f>New!P:P</f>
        <v>0</v>
      </c>
    </row>
    <row r="1481" spans="1:4" ht="12.75">
      <c r="A1481" s="45" t="str">
        <f ca="1">New!M:M</f>
        <v>{New} Savannah Bond https://streamtape.com/v/op2eVLZbe8I34D/77933958 https://lulustream.com/d/2fjfx4p2fprq https://doodstream.com/d/598vqa3jjci7/77933958 Gia Derza (2026) #Anal #MILF #BigTits #Hardcore #Black #Threesome #Interracial #Bigass #Porn #Blowjob #Deepthroat #RIPNSFW</v>
      </c>
      <c r="B1481" s="12" t="str">
        <f>New!A:A</f>
        <v>Savannah Bond - 77933958 - ripnsfw.com - Gia Derza.jpg</v>
      </c>
      <c r="C1481" s="12" t="s">
        <v>8895</v>
      </c>
      <c r="D1481" s="46">
        <f>New!P:P</f>
        <v>0</v>
      </c>
    </row>
    <row r="1482" spans="1:4" ht="12.75">
      <c r="A1482" s="45" t="str">
        <f ca="1">New!M:M</f>
        <v>{New} Savannah Bond https://streamtape.com/v/94YJWQ2ZB0faXe4/80054280 https://doodstream.com/d/l3i1iaylbt3e/80054280 https://lulustream.com/d/fv8c7pb5m2lw (2026) #MILF #BigTits #Hardcore #Black #Interracial #Bigass #RIPNSFW</v>
      </c>
      <c r="B1482" s="12" t="str">
        <f>New!A:A</f>
        <v>Savannah Bond - 80054280 - ripnsfw.com.jpg</v>
      </c>
      <c r="C1482" s="12" t="s">
        <v>8895</v>
      </c>
      <c r="D1482" s="46">
        <f>New!P:P</f>
        <v>0</v>
      </c>
    </row>
    <row r="1483" spans="1:4" ht="12.75">
      <c r="A1483" s="45" t="str">
        <f ca="1">New!M:M</f>
        <v>{New} Savannah Bond https://lulustream.com/d/i4uf7ctwlgga https://doodstream.com/d/gkzdoh5d3vle/82871930 https://streamtape.com/v/ybqeBe2x1Mh1Dpv/82871930 (2026) #MILF #BigTits #Hardcore #Bigass #RIPNSFW</v>
      </c>
      <c r="B1483" s="12" t="str">
        <f>New!A:A</f>
        <v>Savannah Bond - 82871930 - ripnsfw.com.jpg</v>
      </c>
      <c r="C1483" s="12" t="s">
        <v>8895</v>
      </c>
      <c r="D1483" s="46">
        <f>New!P:P</f>
        <v>0</v>
      </c>
    </row>
    <row r="1484" spans="1:4" ht="12.75">
      <c r="A1484" s="45" t="str">
        <f ca="1">New!M:M</f>
        <v>{New} Savannah Bond https://lulustream.com/d/ynz40t45t4im https://streamtape.com/v/OJ82gbLLe1tZP33/83857792 https://doodstream.com/d/u16renvw6eht/83857792 Violet Myers (2026) #milf #threesome #bigass #bigtits #RIPNSFW</v>
      </c>
      <c r="B1484" s="12" t="str">
        <f>New!A:A</f>
        <v>Savannah Bond - 83857792 - Onlyfans - Violet Myers.jpg</v>
      </c>
      <c r="C1484" s="12" t="s">
        <v>8895</v>
      </c>
      <c r="D1484" s="46">
        <f>New!P:P</f>
        <v>0</v>
      </c>
    </row>
    <row r="1485" spans="1:4" ht="12.75">
      <c r="A1485" s="45" t="str">
        <f ca="1">New!M:M</f>
        <v>{New} Savannah Bond https://streamtape.com/v/k3ywYXawkzIOLK9/84382694 https://lulustream.com/d/ky7i6hioeu3u https://doodstream.com/d/kb0i6vxv4ock/84382694 (2026) #Anal #MILF #BigTits #Hardcore #Bigass #Porn #Blowjob #Deepthroat #Blonde #Facial #RIPNSFW</v>
      </c>
      <c r="B1485" s="12" t="str">
        <f>New!A:A</f>
        <v>Savannah Bond - 84382694 - ripnsfw.com.jpg</v>
      </c>
      <c r="C1485" s="12" t="s">
        <v>8895</v>
      </c>
      <c r="D1485" s="46">
        <f>New!P:P</f>
        <v>0</v>
      </c>
    </row>
    <row r="1486" spans="1:4" ht="12.75">
      <c r="A1486" s="45" t="str">
        <f ca="1">New!M:M</f>
        <v>{New} Savannah Bond https://streamtape.com/v/KqBqDqDdeLH0yLx/88052323 https://doodstream.com/d/le4y6motzqv5/88052323 https://lulustream.com/d/3yqfx4s2wpsg (2026) #Anal #MILF #BigTits #Hardcore #Bigass #Porn #Blowjob #RIPNSFW</v>
      </c>
      <c r="B1486" s="12" t="str">
        <f>New!A:A</f>
        <v>Savannah Bond - 88052323 - ripnsfw.com.jpg</v>
      </c>
      <c r="C1486" s="12" t="s">
        <v>8895</v>
      </c>
      <c r="D1486" s="46">
        <f>New!P:P</f>
        <v>0</v>
      </c>
    </row>
    <row r="1487" spans="1:4" ht="12.75">
      <c r="A1487" s="45" t="str">
        <f ca="1">New!M:M</f>
        <v>{New} Savannah Bond https://doodstream.com/d/8b3m35uqak3c/90199336 https://streamtape.com/v/17LAZrAQBQUeo7r/90199336 https://lulustream.com/d/gig2mrnbsnli (2026) #Anal #MILF #BigTits #Hardcore #Bigass #Porn #Stepmom #Blowjob #Deepthroat #Blonde #RIPNSFW</v>
      </c>
      <c r="B1487" s="12" t="str">
        <f>New!A:A</f>
        <v>Savannah Bond - 90199336 - Onlyfans.jpg</v>
      </c>
      <c r="C1487" s="12" t="s">
        <v>8895</v>
      </c>
      <c r="D1487" s="46">
        <f>New!P:P</f>
        <v>0</v>
      </c>
    </row>
    <row r="1488" spans="1:4" ht="12.75">
      <c r="A1488" s="45" t="str">
        <f ca="1">New!M:M</f>
        <v>{New} Savannah Bond https://streamtape.com/v/qZv979A3ABCAzV/91147371 https://lulustream.com/d/uulldcfm2vlu https://doodstream.com/d/zujg28m5x3q1/91147371 (2026) #MILF #BigTits #Hardcore #Black #Bigass #Interracial #Porn #RIPNSFW</v>
      </c>
      <c r="B1488" s="12" t="str">
        <f>New!A:A</f>
        <v>Savannah Bond - 91147371 - ripnsfw.com.jpg</v>
      </c>
      <c r="C1488" s="12" t="s">
        <v>8895</v>
      </c>
      <c r="D1488" s="46">
        <f>New!P:P</f>
        <v>0</v>
      </c>
    </row>
    <row r="1489" spans="1:4" ht="12.75">
      <c r="A1489" s="45" t="str">
        <f ca="1">New!M:M</f>
        <v>{New} Savannah Bond https://doodstream.com/d/rpsnyxfni59h/96516471 https://streamtape.com/v/1B2R2qplB0Uej33/96516471 https://lulustream.com/d/jrn8jh2vhgfk (2026) #MILF #BigTits #Hardcore #Bigass #Porn #Blowjob #Stepmom #RIPNSFW</v>
      </c>
      <c r="B1489" s="12" t="str">
        <f>New!A:A</f>
        <v>Savannah Bond - 96516471 - Bang.jpg</v>
      </c>
      <c r="C1489" s="12" t="s">
        <v>8895</v>
      </c>
      <c r="D1489" s="46">
        <f>New!P:P</f>
        <v>0</v>
      </c>
    </row>
    <row r="1490" spans="1:4" ht="12.75">
      <c r="A1490" s="45" t="str">
        <f ca="1">New!M:M</f>
        <v>{New} Savannah Bond https://streamtape.com/v/RDb9jAgRmjHdOLg/99647479 https://lulustream.com/d/dn9xr7xwfsjb https://doodstream.com/d/xsbh0ai1yzov/99647479 Francesca Le (2026) #Anal #MILF #BigTits #Hardcore #Threesome #Bigass #Porn #RIPNSFW</v>
      </c>
      <c r="B1490" s="12" t="str">
        <f>New!A:A</f>
        <v>Savannah Bond - 99647479 - ripnsfw.com - Francesca Le.jpg</v>
      </c>
      <c r="C1490" s="12" t="s">
        <v>8895</v>
      </c>
      <c r="D1490" s="46">
        <f>New!P:P</f>
        <v>0</v>
      </c>
    </row>
    <row r="1491" spans="1:4" ht="12.75">
      <c r="A1491" s="45" t="str">
        <f ca="1">New!M:M</f>
        <v>{New} Scarlet Chase https://doodstream.com/d/b9yxmpc8cvwq/52605657 https://streamtape.com/v/LO3qb7m4dDC4Ja/52605657 https://lulustream.com/d/jcknn3i0jqlq (2026) #BigTits #Hardcore #Bigass #Porn #RIPNSFW</v>
      </c>
      <c r="B1491" s="12" t="str">
        <f>New!A:A</f>
        <v>Scarlet Chase - 52605657 - ripnsfw.com.jpg</v>
      </c>
      <c r="C1491" s="12" t="s">
        <v>8895</v>
      </c>
      <c r="D1491" s="46">
        <f>New!P:P</f>
        <v>0</v>
      </c>
    </row>
    <row r="1492" spans="1:4" ht="12.75">
      <c r="A1492" s="45" t="str">
        <f ca="1">New!M:M</f>
        <v>{New} Scarlet Chase https://doodstream.com/d/c9959u8s1k0o/86232948 https://streamtape.com/v/3GgP1aYMOkc2Ga/86232948 https://lulustream.com/d/yl70k1sa5ejk (2026) #Anal #BigTits #Hardcore #Bigass #Porn #Teen #RIPNSFW</v>
      </c>
      <c r="B1492" s="12" t="str">
        <f>New!A:A</f>
        <v>Scarlet Chase - 86232948 - ripnsfw.com.jpg</v>
      </c>
      <c r="C1492" s="12" t="s">
        <v>8895</v>
      </c>
      <c r="D1492" s="46">
        <f>New!P:P</f>
        <v>0</v>
      </c>
    </row>
    <row r="1493" spans="1:4" ht="12.75">
      <c r="A1493" s="45" t="str">
        <f ca="1">New!M:M</f>
        <v>Scarlett https://doodstream.com/d/r7pnuwyd9wra/24350717 https://lulustream.com/d/m3w4gbtb2tyg https://streamtape.com/v/3P7GkV4j1WCdWym/24350717 #anal #casting #teen #porn #RIPNSFW</v>
      </c>
      <c r="B1493" s="12" t="str">
        <f>New!A:A</f>
        <v>Scarlett - 24350717 - BackroomCastingCouch.jpg</v>
      </c>
      <c r="C1493" s="12" t="s">
        <v>8895</v>
      </c>
      <c r="D1493" s="46">
        <f>New!P:P</f>
        <v>0</v>
      </c>
    </row>
    <row r="1494" spans="1:4" ht="12.75">
      <c r="A1494" s="45" t="str">
        <f ca="1">New!M:M</f>
        <v>Scarlett Hampton https://doodstream.com/d/zagym6b0w1kq/02295819 https://streamtape.com/v/bVgymky0OjtDRQ/02295819 https://lulustream.com/d/3c51gzl9a8mx JackandJill #anal #threesome #blowjob #blonde #RIPNSFW</v>
      </c>
      <c r="B1494" s="12" t="str">
        <f>New!A:A</f>
        <v>Scarlett Hampton - 02295819 - Chaturbate - JackandJill.jpg</v>
      </c>
      <c r="C1494" s="12" t="s">
        <v>8895</v>
      </c>
      <c r="D1494" s="46">
        <f>New!P:P</f>
        <v>0</v>
      </c>
    </row>
    <row r="1495" spans="1:4" ht="12.75">
      <c r="A1495" s="45" t="str">
        <f ca="1">New!M:M</f>
        <v>{New} Scarlettkissesxo https://streamtape.com/v/Jw08p277aPujlRV/37218340 https://lulustream.com/d/tetnzi4kkmh1 https://doodstream.com/d/e3bx7jp77bxf/37218340 (2026) #milf #bigtits #blowjob #blonde #RIPNSFW</v>
      </c>
      <c r="B1495" s="12" t="str">
        <f>New!A:A</f>
        <v>Scarlettkissesxo - 37218340 - Onlyfans.jpg</v>
      </c>
      <c r="C1495" s="12" t="s">
        <v>8895</v>
      </c>
      <c r="D1495" s="46">
        <f>New!P:P</f>
        <v>0</v>
      </c>
    </row>
    <row r="1496" spans="1:4" ht="12.75">
      <c r="A1496" s="45" t="str">
        <f ca="1">New!M:M</f>
        <v>{New} Scarlettkissesxo https://lulustream.com/d/laa7bemj9874 https://streamtape.com/v/17kopZaaOxsbLA/38580972 https://doodstream.com/d/l5i3q7hs574h/38580972 (2026) #milf #bigass #bigtits #blowjob #RIPNSFW</v>
      </c>
      <c r="B1496" s="12" t="str">
        <f>New!A:A</f>
        <v>Scarlettkissesxo - 38580972 - Onlyfans.jpg</v>
      </c>
      <c r="C1496" s="12" t="s">
        <v>8895</v>
      </c>
      <c r="D1496" s="46">
        <f>New!P:P</f>
        <v>0</v>
      </c>
    </row>
    <row r="1497" spans="1:4" ht="12.75">
      <c r="A1497" s="45" t="str">
        <f ca="1">New!M:M</f>
        <v>Scarlettkissesxo https://streamtape.com/v/mQd1zwKOz2Hb3MK/49030137 https://lulustream.com/d/ruz1mw6yrvoz https://doodstream.com/d/ixsbjhsl9boq/49030137 #blonde #bigtits #bigass #blowjob #RIPNSFW</v>
      </c>
      <c r="B1497" s="12" t="str">
        <f>New!A:A</f>
        <v>Scarlettkissesxo - 49030137 - Onlyfans.jpg</v>
      </c>
      <c r="C1497" s="12" t="s">
        <v>8895</v>
      </c>
      <c r="D1497" s="46">
        <f>New!P:P</f>
        <v>0</v>
      </c>
    </row>
    <row r="1498" spans="1:4" ht="12.75">
      <c r="A1498" s="45" t="str">
        <f ca="1">New!M:M</f>
        <v>{New} Scarlettkissesxo https://doodstream.com/d/92sgk19zix4z/49786567 https://lulustream.com/d/cnmg1vda81zh https://streamtape.com/v/dr1Zp2GYPQTk4Gj/49786567 (2026) #bigtits #sloppy #blowjob #blonde #RIPNSFW</v>
      </c>
      <c r="B1498" s="12" t="str">
        <f>New!A:A</f>
        <v>Scarlettkissesxo - 49786567 - Onlyfans.jpg</v>
      </c>
      <c r="C1498" s="12" t="s">
        <v>8895</v>
      </c>
      <c r="D1498" s="46">
        <f>New!P:P</f>
        <v>0</v>
      </c>
    </row>
    <row r="1499" spans="1:4" ht="12.75">
      <c r="A1499" s="45" t="str">
        <f ca="1">New!M:M</f>
        <v>{New} Scarlettkissesxo https://lulustream.com/d/2b5lp8q5k2rp https://doodstream.com/d/u49sv9jvrxwc/77970543 https://streamtape.com/v/PjmWQaG6g4h00wB/77970543 (2026) #blonde #blowjob #bigass #bigtits #RIPNSFW</v>
      </c>
      <c r="B1499" s="12" t="str">
        <f>New!A:A</f>
        <v>Scarlettkissesxo - 77970543 - Onlyfans.jpg</v>
      </c>
      <c r="C1499" s="12" t="s">
        <v>8895</v>
      </c>
      <c r="D1499" s="46">
        <f>New!P:P</f>
        <v>0</v>
      </c>
    </row>
    <row r="1500" spans="1:4" ht="12.75">
      <c r="A1500" s="45" t="str">
        <f ca="1">New!M:M</f>
        <v>{New} Scarlettkissesxo https://doodstream.com/d/ju98yk3k8qj9/90057118 https://lulustream.com/d/3o3cr08gdym6 https://streamtape.com/v/xgpwydmB0XUkGQD/90057118 (2026) #milf #blonde #bigtits #blowjob #RIPNSFW</v>
      </c>
      <c r="B1500" s="12" t="str">
        <f>New!A:A</f>
        <v>Scarlettkissesxo - 90057118 - Onlyfans.jpg</v>
      </c>
      <c r="C1500" s="12" t="s">
        <v>8895</v>
      </c>
      <c r="D1500" s="46">
        <f>New!P:P</f>
        <v>0</v>
      </c>
    </row>
    <row r="1501" spans="1:4" ht="12.75">
      <c r="A1501" s="45" t="str">
        <f ca="1">New!M:M</f>
        <v>{New} Shrooms Q https://lulustream.com/d/jd6notgdwrqo https://doodstream.com/d/ap086kxbb698/35238998 https://streamtape.com/v/39w3GKzK0etdmbx/35238998 (2026) #Hardcore #Teen #Blowjob #Amateur #Deepthroat #RIPNSFW</v>
      </c>
      <c r="B1501" s="12" t="str">
        <f>New!A:A</f>
        <v>Shrooms Q - 35238998 - ripnsfw.com.jpg</v>
      </c>
      <c r="C1501" s="12" t="s">
        <v>8895</v>
      </c>
      <c r="D1501" s="46">
        <f>New!P:P</f>
        <v>0</v>
      </c>
    </row>
    <row r="1502" spans="1:4" ht="12.75">
      <c r="A1502" s="45" t="str">
        <f ca="1">New!M:M</f>
        <v>{New} Shrooms Q https://streamtape.com/v/Xb88yzR2PdfzgW/37477053 https://doodstream.com/d/9hxzdfajpbog/37477053 https://lulustream.com/d/5tor4pwpcvcq (2026) #Hardcore #Black #Threesome #Interracial #Teen #Teens #Blowjob #RIPNSFW</v>
      </c>
      <c r="B1502" s="12" t="str">
        <f>New!A:A</f>
        <v>Shrooms Q - 37477053 - ripnsfw.com.jpg</v>
      </c>
      <c r="C1502" s="12" t="s">
        <v>8895</v>
      </c>
      <c r="D1502" s="46">
        <f>New!P:P</f>
        <v>0</v>
      </c>
    </row>
    <row r="1503" spans="1:4" ht="12.75">
      <c r="A1503" s="45" t="str">
        <f ca="1">New!M:M</f>
        <v>#ERROR!</v>
      </c>
      <c r="B1503" s="12" t="str">
        <f>New!A:A</f>
        <v>Shrooms Q - 37782494 - ripnsfw.com.jpg</v>
      </c>
      <c r="C1503" s="12" t="s">
        <v>8895</v>
      </c>
      <c r="D1503" s="46">
        <f>New!P:P</f>
        <v>0</v>
      </c>
    </row>
    <row r="1504" spans="1:4" ht="12.75">
      <c r="A1504" s="45" t="str">
        <f ca="1">New!M:M</f>
        <v>{New} Shrooms Q https://lulustream.com/d/068u49743cnu https://doodstream.com/d/ff4wu8fdobkd/48799327 https://streamtape.com/v/LJR6p0wkmkSvM0/48799327 (2026) #Porn #Teen #Blowjob #Deepthroat #RIPNSFW</v>
      </c>
      <c r="B1504" s="12" t="str">
        <f>New!A:A</f>
        <v>Shrooms Q - 48799327 - ripnsfw.com.jpg</v>
      </c>
      <c r="C1504" s="12" t="s">
        <v>8895</v>
      </c>
      <c r="D1504" s="46">
        <f>New!P:P</f>
        <v>0</v>
      </c>
    </row>
    <row r="1505" spans="1:4" ht="12.75">
      <c r="A1505" s="45" t="str">
        <f ca="1">New!M:M</f>
        <v>{New} Shrooms Q https://streamtape.com/v/MklQe2MJbYSmOek/53174250 https://doodstream.com/d/1dglc99zyh9d/53174250 https://lulustream.com/d/v6a5mbx2mt11 (2026) #anal #hardcore #threesome #teen #RIPNSFW</v>
      </c>
      <c r="B1505" s="12" t="str">
        <f>New!A:A</f>
        <v>Shrooms Q - 53174250 - Onlyfans.jpg</v>
      </c>
      <c r="C1505" s="12" t="s">
        <v>8895</v>
      </c>
      <c r="D1505" s="46">
        <f>New!P:P</f>
        <v>0</v>
      </c>
    </row>
    <row r="1506" spans="1:4" ht="12.75">
      <c r="A1506" s="45" t="str">
        <f ca="1">New!M:M</f>
        <v>{New} Shrooms Q https://doodstream.com/d/2062m5pfbxu3/57278873 https://lulustream.com/d/mt46las9dhgi https://streamtape.com/v/4ywp1Mab1QhKPRr/57278873 (2026) #Hardcore #Piss #Porn #Teen #Roleplay #Blowjob #Deepthroat #Rimjob #Rimming #RIPNSFW</v>
      </c>
      <c r="B1506" s="12" t="str">
        <f>New!A:A</f>
        <v>Shrooms Q - 57278873 - HHH.jpg</v>
      </c>
      <c r="C1506" s="12" t="s">
        <v>8895</v>
      </c>
      <c r="D1506" s="46">
        <f>New!P:P</f>
        <v>0</v>
      </c>
    </row>
    <row r="1507" spans="1:4" ht="12.75">
      <c r="A1507" s="45" t="str">
        <f ca="1">New!M:M</f>
        <v>{New} Shrooms Q https://doodstream.com/d/da9tgi8wzlgm/57405087 https://streamtape.com/v/3kvVgr0GaeTdBaL/57405087 https://lulustream.com/d/rreu76ycalpe (2026) #Anal #Creampie #Hardcore #Teen #Blowjob #RIPNSFW</v>
      </c>
      <c r="B1507" s="12" t="str">
        <f>New!A:A</f>
        <v>Shrooms Q - 57405087 - ripnsfw.com.jpg</v>
      </c>
      <c r="C1507" s="12" t="s">
        <v>8895</v>
      </c>
      <c r="D1507" s="46">
        <f>New!P:P</f>
        <v>0</v>
      </c>
    </row>
    <row r="1508" spans="1:4" ht="12.75">
      <c r="A1508" s="45" t="str">
        <f ca="1">New!M:M</f>
        <v>{New} Shrooms Q https://doodstream.com/d/n5etu5j1or5h/61145456 https://streamtape.com/v/038kx9GAkGSbo0y/61145456 https://lulustream.com/d/v1z19rrkwumy Katie Cai (2026) #Threesome #Teen #Teens #Blowjob #RIPNSFW</v>
      </c>
      <c r="B1508" s="12" t="str">
        <f>New!A:A</f>
        <v>Shrooms Q - 61145456 - ripnsfw.com - Katie Cai.jpg</v>
      </c>
      <c r="C1508" s="12" t="s">
        <v>8895</v>
      </c>
      <c r="D1508" s="46">
        <f>New!P:P</f>
        <v>0</v>
      </c>
    </row>
    <row r="1509" spans="1:4" ht="12.75">
      <c r="A1509" s="45" t="str">
        <f ca="1">New!M:M</f>
        <v>{New} Shrooms Q https://streamtape.com/v/0A9OzPGzJbSbGRQ/62250341 https://lulustream.com/d/3pqh500ne8y9 https://doodstream.com/d/v0rg1kavvols/62250341 (2026) #Creampie #Hardcore #Porn #Teen #Blowjob #RIPNSFW</v>
      </c>
      <c r="B1509" s="12" t="str">
        <f>New!A:A</f>
        <v>Shrooms Q - 62250341 - ripnsfw.com.jpg</v>
      </c>
      <c r="C1509" s="12" t="s">
        <v>8895</v>
      </c>
      <c r="D1509" s="46">
        <f>New!P:P</f>
        <v>0</v>
      </c>
    </row>
    <row r="1510" spans="1:4" ht="12.75">
      <c r="A1510" s="45" t="str">
        <f ca="1">New!M:M</f>
        <v>{New} Shrooms Q https://doodstream.com/d/uhelr4g07b1y/63317077 https://streamtape.com/v/rx9Yx4rYyMibmKZ/63317077 https://lulustream.com/d/re6bmw69xm1r (2026) #Hardcore #Black #Interracial #Porn #Teen #Blowjob #RIPNSFW</v>
      </c>
      <c r="B1510" s="12" t="str">
        <f>New!A:A</f>
        <v>Shrooms Q - 63317077 - ripnsfw.com.jpg</v>
      </c>
      <c r="C1510" s="12" t="s">
        <v>8895</v>
      </c>
      <c r="D1510" s="46">
        <f>New!P:P</f>
        <v>0</v>
      </c>
    </row>
    <row r="1511" spans="1:4" ht="12.75">
      <c r="A1511" s="45" t="str">
        <f ca="1">New!M:M</f>
        <v>{New} Shrooms Q https://streamtape.com/v/PqX9koKyoGT04Wz/66164999 https://doodstream.com/d/irrjv927lhrx/66164999 https://lulustream.com/d/al08eb7xhvqc (2026) #Creampie #Hardcore #Teen #Blowjob #RIPNSFW</v>
      </c>
      <c r="B1511" s="12" t="str">
        <f>New!A:A</f>
        <v>Shrooms Q - 66164999 - ripnsfw.com.jpg</v>
      </c>
      <c r="C1511" s="12" t="s">
        <v>8895</v>
      </c>
      <c r="D1511" s="46">
        <f>New!P:P</f>
        <v>0</v>
      </c>
    </row>
    <row r="1512" spans="1:4" ht="12.75">
      <c r="A1512" s="45" t="str">
        <f ca="1">New!M:M</f>
        <v>{New} Shrooms Q https://streamtape.com/v/rkdVYkQQ8ziGGY/76027062 https://lulustream.com/d/1qsj0udwu443 https://doodstream.com/d/wo09aczr4a8k/76027062 (2026) #Creampie #Hardcore #Teen #Blowjob #Amateur #Deepthroat #RIPNSFW</v>
      </c>
      <c r="B1512" s="12" t="str">
        <f>New!A:A</f>
        <v>Shrooms Q - 76027062 - ripnsfw.com.jpg</v>
      </c>
      <c r="C1512" s="12" t="s">
        <v>8895</v>
      </c>
      <c r="D1512" s="46">
        <f>New!P:P</f>
        <v>0</v>
      </c>
    </row>
    <row r="1513" spans="1:4" ht="12.75">
      <c r="A1513" s="45" t="str">
        <f ca="1">New!M:M</f>
        <v>{New} Shrooms Q https://streamtape.com/v/oW0lj1mllQh98A/76619625 https://doodstream.com/d/6hnwjy24hmaq/76619625 https://lulustream.com/d/57evcma5wp6a (2026) #Teen #Artporn #Amateur #Blowjob #RIPNSFW</v>
      </c>
      <c r="B1513" s="12" t="str">
        <f>New!A:A</f>
        <v>Shrooms Q - 76619625 - Swallowed.jpg</v>
      </c>
      <c r="C1513" s="12" t="s">
        <v>8895</v>
      </c>
      <c r="D1513" s="46">
        <f>New!P:P</f>
        <v>0</v>
      </c>
    </row>
    <row r="1514" spans="1:4" ht="12.75">
      <c r="A1514" s="45" t="str">
        <f ca="1">New!M:M</f>
        <v>{New} Shrooms Q https://lulustream.com/d/6fnaumskqtfi https://doodstream.com/d/yivwd6der5bg/77194109 https://streamtape.com/v/yBBoV0bodPUBrw/77194109 (2026) #Hardcore #Teen #Artporn #Deepthroat #Blowjob #RIPNSFW</v>
      </c>
      <c r="B1514" s="12" t="str">
        <f>New!A:A</f>
        <v>Shrooms Q - 77194109 - ripnsfw.com.jpg</v>
      </c>
      <c r="C1514" s="12" t="s">
        <v>8895</v>
      </c>
      <c r="D1514" s="46">
        <f>New!P:P</f>
        <v>0</v>
      </c>
    </row>
    <row r="1515" spans="1:4" ht="12.75">
      <c r="A1515" s="45" t="str">
        <f ca="1">New!M:M</f>
        <v>{New} Shrooms Q https://streamtape.com/v/3AYG004o37tXWv/80325815 https://doodstream.com/d/dw25iptx4r60/80325815 https://lulustream.com/d/15ms5oa5ian2 (2026) #Hardcore #Porn #Teen #Roleplay #Squirt #Artporn #Blowjob #RIPNSFW</v>
      </c>
      <c r="B1515" s="12" t="str">
        <f>New!A:A</f>
        <v>Shrooms Q - 80325815 - ripnsfw.com.jpg</v>
      </c>
      <c r="C1515" s="12" t="s">
        <v>8895</v>
      </c>
      <c r="D1515" s="46">
        <f>New!P:P</f>
        <v>0</v>
      </c>
    </row>
    <row r="1516" spans="1:4" ht="12.75">
      <c r="A1516" s="45" t="str">
        <f ca="1">New!M:M</f>
        <v>{New} Shrooms Q https://doodstream.com/d/9qh8d16zcgvy/83439685 https://streamtape.com/v/1pko6WkwaMIegyR/83439685 https://lulustream.com/d/40dxyjkv28pv (2026) #Anal #Hardcore #Teen #Blowjob #Amateur #RIPNSFW</v>
      </c>
      <c r="B1516" s="12" t="str">
        <f>New!A:A</f>
        <v>Shrooms Q - 83439685 - ripnsfw.com.jpg</v>
      </c>
      <c r="C1516" s="12" t="s">
        <v>8895</v>
      </c>
      <c r="D1516" s="46">
        <f>New!P:P</f>
        <v>0</v>
      </c>
    </row>
    <row r="1517" spans="1:4" ht="12.75">
      <c r="A1517" s="45" t="str">
        <f ca="1">New!M:M</f>
        <v>{New} Shrooms Q https://doodstream.com/d/q242quihd10v/86858943 https://streamtape.com/v/JvgWaoyvrlcjm8q/86858943 https://lulustream.com/d/7ofzqasne0rp Katee V (2026) #Hardcore #Threesome #Porn #Teen #Teens #Blowjob #RIPNSFW</v>
      </c>
      <c r="B1517" s="12" t="str">
        <f>New!A:A</f>
        <v>Shrooms Q - 86858943 - ripnsfw.com - Katee V.jpg</v>
      </c>
      <c r="C1517" s="12" t="s">
        <v>8895</v>
      </c>
      <c r="D1517" s="46">
        <f>New!P:P</f>
        <v>0</v>
      </c>
    </row>
    <row r="1518" spans="1:4" ht="12.75">
      <c r="A1518" s="45" t="str">
        <f ca="1">New!M:M</f>
        <v>Shrooms Q https://streamtape.com/v/z7dQRXB38yTYd4r/92378079 https://lulustream.com/d/my3x30q9xyad https://doodstream.com/d/9gru2kx02e46/92378079 Katie Cai JackandJill #foursome #creampie #teen #brunette #RIPNSFW</v>
      </c>
      <c r="B1518" s="12" t="str">
        <f>New!A:A</f>
        <v>Shrooms Q - 92378079 - Chaturbate - Katie Cai - JackandJill.jpg</v>
      </c>
      <c r="C1518" s="12" t="s">
        <v>8895</v>
      </c>
      <c r="D1518" s="46">
        <f>New!P:P</f>
        <v>0</v>
      </c>
    </row>
    <row r="1519" spans="1:4" ht="12.75">
      <c r="A1519" s="45" t="str">
        <f ca="1">New!M:M</f>
        <v>{New} Shyla https://streamtape.com/v/3WkvqW2Kq9sdZ8r/65322400 https://doodstream.com/d/pfh3znqhdrqr/65322400 https://lulustream.com/d/9pxs4oshgmzf (2026) #anal #blowjob #blonde #bigtits #RIPNSFW</v>
      </c>
      <c r="B1519" s="12" t="str">
        <f>New!A:A</f>
        <v>Shyla - 65322400 - PS.jpg</v>
      </c>
      <c r="C1519" s="12" t="s">
        <v>8895</v>
      </c>
      <c r="D1519" s="46">
        <f>New!P:P</f>
        <v>0</v>
      </c>
    </row>
    <row r="1520" spans="1:4" ht="12.75">
      <c r="A1520" s="45" t="str">
        <f ca="1">New!M:M</f>
        <v>{New} Sinatra Monroe https://streamtape.com/v/akzmdk9zl0CxqJJ/41393220 https://doodstream.com/d/gbgcdj55xr0w/41393220 https://lulustream.com/d/q11lbxy8t5su Lena the plug (2026) #MILF #BigTits #Hardcore #Threesome #RIPNSFW</v>
      </c>
      <c r="B1520" s="12" t="str">
        <f>New!A:A</f>
        <v>Sinatra Monroe - 41393220 - ripnsfw.com - Lena the plug.jpg</v>
      </c>
      <c r="C1520" s="12" t="s">
        <v>8895</v>
      </c>
      <c r="D1520" s="46">
        <f>New!P:P</f>
        <v>0</v>
      </c>
    </row>
    <row r="1521" spans="1:4" ht="12.75">
      <c r="A1521" s="45" t="str">
        <f ca="1">New!M:M</f>
        <v>{New} Siri Dahl https://streamtape.com/v/9P7XD1wlPdIa20z/26343434 https://doodstream.com/d/edsbqr7rxy3l/26343434 https://lulustream.com/d/cyygbb4bpwh7 (2026) #MILF #BigTits #Hardcore #Black #Interracial #Bigass #Blowjob #RIPNSFW</v>
      </c>
      <c r="B1521" s="12" t="str">
        <f>New!A:A</f>
        <v>Siri Dahl - 26343434 - ripnsfw.com.jpg</v>
      </c>
      <c r="C1521" s="12" t="s">
        <v>8895</v>
      </c>
      <c r="D1521" s="46">
        <f>New!P:P</f>
        <v>0</v>
      </c>
    </row>
    <row r="1522" spans="1:4" ht="12.75">
      <c r="A1522" s="45" t="str">
        <f ca="1">New!M:M</f>
        <v>{New} Sky Bri https://streamtape.com/v/AXop44mWjvfXyla/10452774 https://lulustream.com/d/k716sgfc9fa3 https://doodstream.com/d/0w059bgd2zc6/10452774 (2026) #BigTits #Creampie #Hardcore #Bigass #RIPNSFW</v>
      </c>
      <c r="B1522" s="12" t="str">
        <f>New!A:A</f>
        <v>Sky Bri - 10452774 - XVRED.jpg</v>
      </c>
      <c r="C1522" s="12" t="s">
        <v>8895</v>
      </c>
      <c r="D1522" s="46">
        <f>New!P:P</f>
        <v>0</v>
      </c>
    </row>
    <row r="1523" spans="1:4" ht="12.75">
      <c r="A1523" s="45" t="str">
        <f ca="1">New!M:M</f>
        <v>{New} Sky Bri https://streamtape.com/v/0Dvjp7b7r2iDXD/12892926 https://lulustream.com/d/fff89cw40krf https://doodstream.com/d/u1rinepv55ix/12892926 (2026) #teen #bigtits #blowjob #blonde #RIPNSFW</v>
      </c>
      <c r="B1523" s="12" t="str">
        <f>New!A:A</f>
        <v>Sky Bri - 12892926 - Onlyfans.jpg</v>
      </c>
      <c r="C1523" s="12" t="s">
        <v>8895</v>
      </c>
      <c r="D1523" s="46">
        <f>New!P:P</f>
        <v>0</v>
      </c>
    </row>
    <row r="1524" spans="1:4" ht="12.75">
      <c r="A1524" s="45" t="str">
        <f ca="1">New!M:M</f>
        <v>{New} Sky Bri https://streamtape.com/v/R7VbgB0kD3fkpL/13337466 https://lulustream.com/d/g20plc3fbluc https://doodstream.com/d/2ly4dnta1mh1/13337466 (2026) #teen #bigtits #blowjob #bigass #RIPNSFW</v>
      </c>
      <c r="B1524" s="12" t="str">
        <f>New!A:A</f>
        <v>Sky Bri - 13337466 - Onlyfans.jpg</v>
      </c>
      <c r="C1524" s="12" t="s">
        <v>8895</v>
      </c>
      <c r="D1524" s="46">
        <f>New!P:P</f>
        <v>0</v>
      </c>
    </row>
    <row r="1525" spans="1:4" ht="12.75">
      <c r="A1525" s="45" t="str">
        <f ca="1">New!M:M</f>
        <v>{New} Sky Bri https://streamtape.com/v/LVB3Xodq86F6PP/20586001 https://doodstream.com/d/tcv9fj9vwchu/20586001 https://lulustream.com/d/bb1gwg4uv661 Angela White (2026) #MILF #BigTits #Hardcore #Threesome #Bigass #Teen #Blowjob #Amateur #RIPNSFW</v>
      </c>
      <c r="B1525" s="12" t="str">
        <f>New!A:A</f>
        <v>Sky Bri - 20586001 - ripnsfw.com - Angela White.jpg</v>
      </c>
      <c r="C1525" s="12" t="s">
        <v>8895</v>
      </c>
      <c r="D1525" s="46">
        <f>New!P:P</f>
        <v>0</v>
      </c>
    </row>
    <row r="1526" spans="1:4" ht="12.75">
      <c r="A1526" s="45" t="str">
        <f ca="1">New!M:M</f>
        <v>{New} Sky Bri https://streamtape.com/v/gj8vkVmJQesqdaV/22104457 https://lulustream.com/d/z9u8xg9iyn3z https://doodstream.com/d/rvhuljnwst3x/22104457 (2026) #teen #interracial #bigtits #bigass #RIPNSFW</v>
      </c>
      <c r="B1526" s="12" t="str">
        <f>New!A:A</f>
        <v>Sky Bri - 22104457 - Onlyfans.jpg</v>
      </c>
      <c r="C1526" s="12" t="s">
        <v>8895</v>
      </c>
      <c r="D1526" s="46">
        <f>New!P:P</f>
        <v>0</v>
      </c>
    </row>
    <row r="1527" spans="1:4" ht="12.75">
      <c r="A1527" s="45" t="str">
        <f ca="1">New!M:M</f>
        <v>{New} Sky Bri https://lulustream.com/d/xbi4wn6zd7fk https://doodstream.com/d/7nf8pu6k4iqa/25610133 https://streamtape.com/v/kK71RRwjzqUOXXm/25610133 Lena the plug (2026) #BigTits #MILF #Threesome #Bigass #Teen #RIPNSFW</v>
      </c>
      <c r="B1527" s="12" t="str">
        <f>New!A:A</f>
        <v>Sky Bri - 25610133 - ripnsfw.com - Lena the plug.jpg</v>
      </c>
      <c r="C1527" s="12" t="s">
        <v>8895</v>
      </c>
      <c r="D1527" s="46">
        <f>New!P:P</f>
        <v>0</v>
      </c>
    </row>
    <row r="1528" spans="1:4" ht="12.75">
      <c r="A1528" s="45" t="str">
        <f ca="1">New!M:M</f>
        <v>{New} Sky Bri https://lulustream.com/d/swi79jussqr8 https://streamtape.com/v/JKeLy949mWF66G/27369214 https://doodstream.com/d/074fbdcp8dr4/27369214 (2026) #BigTits #Hardcore #Black #Interracial #Bigass #Teen #Blowjob #Amateur #Deepthroat #RIPNSFW</v>
      </c>
      <c r="B1528" s="12" t="str">
        <f>New!A:A</f>
        <v>Sky Bri - 27369214 - ripnsfw.com.jpg</v>
      </c>
      <c r="C1528" s="12" t="s">
        <v>8895</v>
      </c>
      <c r="D1528" s="46">
        <f>New!P:P</f>
        <v>0</v>
      </c>
    </row>
    <row r="1529" spans="1:4" ht="12.75">
      <c r="A1529" s="45" t="str">
        <f ca="1">New!M:M</f>
        <v>{New} Sky Bri https://doodstream.com/d/tm9kh8xe6th2/30897205 https://streamtape.com/v/z3w9Yx72aYFYRBx/30897205 https://lulustream.com/d/724rnucunny5 Lena the plug (2026) #threesome #lesbian #bigass #bigtits #RIPNSFW</v>
      </c>
      <c r="B1529" s="12" t="str">
        <f>New!A:A</f>
        <v>Sky Bri - 30897205 - Onlyfans - Lena the plug.jpg</v>
      </c>
      <c r="C1529" s="12" t="s">
        <v>8895</v>
      </c>
      <c r="D1529" s="46">
        <f>New!P:P</f>
        <v>0</v>
      </c>
    </row>
    <row r="1530" spans="1:4" ht="12.75">
      <c r="A1530" s="45" t="str">
        <f ca="1">New!M:M</f>
        <v>{New} Sky Bri https://lulustream.com/d/a50sz7e9662c https://doodstream.com/d/xf70p42aitp2/46781745 https://streamtape.com/v/O4mQMmvw0WimOb/46781745 (2026) #BigTits #Hardcore #Threesome #Bigass #RIPNSFW</v>
      </c>
      <c r="B1530" s="12" t="str">
        <f>New!A:A</f>
        <v>Sky Bri - 46781745 - Onlyfans.jpg</v>
      </c>
      <c r="C1530" s="12" t="s">
        <v>8895</v>
      </c>
      <c r="D1530" s="46">
        <f>New!P:P</f>
        <v>0</v>
      </c>
    </row>
    <row r="1531" spans="1:4" ht="12.75">
      <c r="A1531" s="45" t="str">
        <f ca="1">New!M:M</f>
        <v>{New} Sky Bri https://lulustream.com/d/iv18kzd64ubg https://streamtape.com/v/AJvZOYlLRkhXpMB/81507660 https://doodstream.com/d/8qyqaoplk0ip/81507660 (2026) #teen #threesome #bigtits #bigass #RIPNSFW</v>
      </c>
      <c r="B1531" s="12" t="str">
        <f>New!A:A</f>
        <v>Sky Bri - 81507660 - Onlyfans.jpg</v>
      </c>
      <c r="C1531" s="12" t="s">
        <v>8895</v>
      </c>
      <c r="D1531" s="46">
        <f>New!P:P</f>
        <v>0</v>
      </c>
    </row>
    <row r="1532" spans="1:4" ht="12.75">
      <c r="A1532" s="45" t="str">
        <f ca="1">New!M:M</f>
        <v>{New} Sky Bri https://streamtape.com/v/39KzAxrYBeHroj/83997240 https://lulustream.com/d/4cxp4hva7xe2 https://doodstream.com/d/iwx3rh8ayfz5/83997240 (2026) #teen #blowjob #bigtits #blonde #RIPNSFW</v>
      </c>
      <c r="B1532" s="12" t="str">
        <f>New!A:A</f>
        <v>Sky Bri - 83997240 - Onlyfans.jpg</v>
      </c>
      <c r="C1532" s="12" t="s">
        <v>8895</v>
      </c>
      <c r="D1532" s="46">
        <f>New!P:P</f>
        <v>0</v>
      </c>
    </row>
    <row r="1533" spans="1:4" ht="12.75">
      <c r="A1533" s="45" t="str">
        <f ca="1">New!M:M</f>
        <v>Sky Bri https://streamtape.com/v/GP03zo7qWaH1GZV/91788222 https://doodstream.com/d/peifwp69ui0t/91788222 https://lulustream.com/d/62y8ez7zbj9p #blonde #teen #bigtits #handjob #RIPNSFW</v>
      </c>
      <c r="B1533" s="12" t="str">
        <f>New!A:A</f>
        <v>Sky Bri - 91788222 - Onlyfans.jpg</v>
      </c>
      <c r="C1533" s="12" t="s">
        <v>8895</v>
      </c>
      <c r="D1533" s="46">
        <f>New!P:P</f>
        <v>0</v>
      </c>
    </row>
    <row r="1534" spans="1:4" ht="12.75">
      <c r="A1534" s="45" t="str">
        <f ca="1">New!M:M</f>
        <v>{New} Sky Bri https://streamtape.com/v/vWj1m1a73OcDK6/96295247 https://lulustream.com/d/g05jdksjeme8 https://doodstream.com/d/fay39lml2xjb/96295247 (2026) #teen #bigtits #blowjob #amateur #RIPNSFW</v>
      </c>
      <c r="B1534" s="12" t="str">
        <f>New!A:A</f>
        <v>Sky Bri - 96295247 - Onlyfans.jpg</v>
      </c>
      <c r="C1534" s="12" t="s">
        <v>8895</v>
      </c>
      <c r="D1534" s="46">
        <f>New!P:P</f>
        <v>0</v>
      </c>
    </row>
    <row r="1535" spans="1:4" ht="12.75">
      <c r="A1535" s="45" t="str">
        <f ca="1">New!M:M</f>
        <v>{New} Skye Blue https://doodstream.com/d/aqjqpua90b0s/12334640 https://streamtape.com/v/QkyyMkm43dF0m8A/12334640 https://lulustream.com/d/12eflmp5zxmb JackandJill (2026) #BigTits #Hardcore #Teen #Teens #Blowjob #Amateur #RIPNSFW</v>
      </c>
      <c r="B1535" s="12" t="str">
        <f>New!A:A</f>
        <v>Skye Blue - 12334640 - ripnsfw.com - JackandJill.jpg</v>
      </c>
      <c r="C1535" s="12" t="s">
        <v>8895</v>
      </c>
      <c r="D1535" s="46">
        <f>New!P:P</f>
        <v>0</v>
      </c>
    </row>
    <row r="1536" spans="1:4" ht="12.75">
      <c r="A1536" s="45" t="str">
        <f ca="1">New!M:M</f>
        <v>{New} Skye Blue https://doodstream.com/d/4nxy4368sbgb/56299693 https://streamtape.com/v/aGprXogYDDSxqkd/56299693 https://lulustream.com/d/n6jtmf1i496d (2026) #BigTits #Hardcore #Threesome #Teen #Blowjob #Amateur #Deepthroat #Blonde #RIPNSFW</v>
      </c>
      <c r="B1536" s="12" t="str">
        <f>New!A:A</f>
        <v>Skye Blue - 56299693 - ripnsfw.com.jpg</v>
      </c>
      <c r="C1536" s="12" t="s">
        <v>8895</v>
      </c>
      <c r="D1536" s="46">
        <f>New!P:P</f>
        <v>0</v>
      </c>
    </row>
    <row r="1537" spans="1:4" ht="12.75">
      <c r="A1537" s="45" t="str">
        <f ca="1">New!M:M</f>
        <v>{New} Skye Blue https://lulustream.com/d/tan0harr7ijj https://doodstream.com/d/noi4py0qaz3b/93915326 https://streamtape.com/v/16MMJL0B30HezQW/93915326 (2026) #bigass #blowjob #blonde #hairy #RIPNSFW</v>
      </c>
      <c r="B1537" s="12" t="str">
        <f>New!A:A</f>
        <v>Skye Blue - 93915326 - Onlyfans.jpg</v>
      </c>
      <c r="C1537" s="12" t="s">
        <v>8895</v>
      </c>
      <c r="D1537" s="46">
        <f>New!P:P</f>
        <v>0</v>
      </c>
    </row>
    <row r="1538" spans="1:4" ht="12.75">
      <c r="A1538" s="45" t="str">
        <f ca="1">New!M:M</f>
        <v>{New} Slimthick Vic https://streamtape.com/v/brXopj76rGiPj1r/88680369 https://lulustream.com/d/jsuztvck0t99 https://doodstream.com/d/wn8cmk1ckxxh/88680369 Kay Lovely (2026) #blowjob #bigass #bigtits #blonde #RIPNSFW</v>
      </c>
      <c r="B1538" s="12" t="str">
        <f>New!A:A</f>
        <v>Slimthick Vic - 88680369 - Onlyfans - Kay Lovely.jpg</v>
      </c>
      <c r="C1538" s="12" t="s">
        <v>8895</v>
      </c>
      <c r="D1538" s="46">
        <f>New!P:P</f>
        <v>0</v>
      </c>
    </row>
    <row r="1539" spans="1:4" ht="12.75">
      <c r="A1539" s="45" t="str">
        <f ca="1">New!M:M</f>
        <v>{New} Slimthick Vic https://doodstream.com/d/jv081wsrx28f/96569222 https://lulustream.com/d/gkylvh33pstw https://streamtape.com/v/Z17Z1Qw4D7Tq0mj/96569222 Brandy Renee (2026) #milf #bigtits #bigass #blowjob #RIPNSFW</v>
      </c>
      <c r="B1539" s="12" t="str">
        <f>New!A:A</f>
        <v>Slimthick Vic - 96569222 - Onlyfans - Brandy Renee.jpg</v>
      </c>
      <c r="C1539" s="12" t="s">
        <v>8895</v>
      </c>
      <c r="D1539" s="46">
        <f>New!P:P</f>
        <v>0</v>
      </c>
    </row>
    <row r="1540" spans="1:4" ht="12.75">
      <c r="A1540" s="45" t="str">
        <f ca="1">New!M:M</f>
        <v>{New} Sophie Reade https://streamtape.com/v/2rgY6P3Pr3HZXMZ/23896378 https://lulustream.com/d/x8vexh7ahswc https://doodstream.com/d/y2oso3vcs8tp/23896378 (2026) #milf #blonde #blowjob #bigtits #RIPNSFW</v>
      </c>
      <c r="B1540" s="12" t="str">
        <f>New!A:A</f>
        <v>Sophie Reade - 23896378 - Onlyfans.jpg</v>
      </c>
      <c r="C1540" s="12" t="s">
        <v>8895</v>
      </c>
      <c r="D1540" s="46">
        <f>New!P:P</f>
        <v>0</v>
      </c>
    </row>
    <row r="1541" spans="1:4" ht="12.75">
      <c r="A1541" s="45" t="str">
        <f ca="1">New!M:M</f>
        <v>{New} Sophie Reade https://doodstream.com/d/slzni0sqo4ni/31784986 https://lulustream.com/d/069rmys0mfzk https://streamtape.com/v/R47WjLMyQrTdGxd/31784986 (2026) #MILF #BigTits #Creampie #Hardcore #Bigass #RIPNSFW</v>
      </c>
      <c r="B1541" s="12" t="str">
        <f>New!A:A</f>
        <v>Sophie Reade - 31784986 - ripnsfw.com.jpg</v>
      </c>
      <c r="C1541" s="12" t="s">
        <v>8895</v>
      </c>
      <c r="D1541" s="46">
        <f>New!P:P</f>
        <v>0</v>
      </c>
    </row>
    <row r="1542" spans="1:4" ht="12.75">
      <c r="A1542" s="45" t="str">
        <f ca="1">New!M:M</f>
        <v>{New} Sophie Reade https://doodstream.com/d/56hg4akeia9j/43360544 https://lulustream.com/d/ot7g2id45wno https://streamtape.com/v/ePdXA46qyrFYzpd/43360544 (2026) #MILF #BigTits #Creampie #Hardcore #Black #Interracial #Bigass #Blowjob #RIPNSFW</v>
      </c>
      <c r="B1542" s="12" t="str">
        <f>New!A:A</f>
        <v>Sophie Reade - 43360544 - ripnsfw.com.jpg</v>
      </c>
      <c r="C1542" s="12" t="s">
        <v>8895</v>
      </c>
      <c r="D1542" s="46">
        <f>New!P:P</f>
        <v>0</v>
      </c>
    </row>
    <row r="1543" spans="1:4" ht="12.75">
      <c r="A1543" s="45" t="str">
        <f ca="1">New!M:M</f>
        <v>{New} Sophie Reade https://lulustream.com/d/i1lsnz7mqv5y https://streamtape.com/v/vWDwOW90lXcwLx/51791022 https://doodstream.com/d/20j6qdgqfjyu/51791022 (2026) #MILF #BigTits #Hardcore #Bigass #Blowjob #RIPNSFW</v>
      </c>
      <c r="B1543" s="12" t="str">
        <f>New!A:A</f>
        <v>Sophie Reade - 51791022 - ripnsfw.com.jpg</v>
      </c>
      <c r="C1543" s="12" t="s">
        <v>8895</v>
      </c>
      <c r="D1543" s="46">
        <f>New!P:P</f>
        <v>0</v>
      </c>
    </row>
    <row r="1544" spans="1:4" ht="12.75">
      <c r="A1544" s="45" t="str">
        <f ca="1">New!M:M</f>
        <v>{New} Sophie Reade https://lulustream.com/d/mwgdc6rx4uld https://doodstream.com/d/b4gvb4dltmwd/53603393 https://streamtape.com/v/KwVDaQleyaI0d6e/53603393 (2026) #milf #threesome #blowjob #bigtits #RIPNSFW</v>
      </c>
      <c r="B1544" s="12" t="str">
        <f>New!A:A</f>
        <v>Sophie Reade - 53603393 - Onlyfans.jpg</v>
      </c>
      <c r="C1544" s="12" t="s">
        <v>8895</v>
      </c>
      <c r="D1544" s="46">
        <f>New!P:P</f>
        <v>0</v>
      </c>
    </row>
    <row r="1545" spans="1:4" ht="12.75">
      <c r="A1545" s="45" t="str">
        <f ca="1">New!M:M</f>
        <v>{New} Sophie Reade https://lulustream.com/d/5qr1d682estt https://doodstream.com/d/rvi3ik1nubdm/54476943 https://streamtape.com/v/qak80pqb3dIz8gx/54476943 (2026) #milf #bigtits #bigass #lesbian #RIPNSFW</v>
      </c>
      <c r="B1545" s="12" t="str">
        <f>New!A:A</f>
        <v>Sophie Reade - 54476943 - Onlyfans.jpg</v>
      </c>
      <c r="C1545" s="12" t="s">
        <v>8895</v>
      </c>
      <c r="D1545" s="46">
        <f>New!P:P</f>
        <v>0</v>
      </c>
    </row>
    <row r="1546" spans="1:4" ht="12.75">
      <c r="A1546" s="45" t="str">
        <f ca="1">New!M:M</f>
        <v>{New} Sophie Reade https://lulustream.com/d/6x71rwv8jw9t https://streamtape.com/v/0zj1Ljg9kQS6yb/64423930 https://doodstream.com/d/70z1tl0y2lzf/64423930 (2026) #MILF #BigTits #Creampie #Hardcore #Threesome #RIPNSFW</v>
      </c>
      <c r="B1546" s="12" t="str">
        <f>New!A:A</f>
        <v>Sophie Reade - 64423930 - ripnsfw.com.jpg</v>
      </c>
      <c r="C1546" s="12" t="s">
        <v>8895</v>
      </c>
      <c r="D1546" s="46">
        <f>New!P:P</f>
        <v>0</v>
      </c>
    </row>
    <row r="1547" spans="1:4" ht="12.75">
      <c r="A1547" s="45" t="str">
        <f ca="1">New!M:M</f>
        <v>{New} Sophie Reade https://streamtape.com/v/A0GP6dQ43wiXK7A/66840415 https://doodstream.com/d/ihjeain7s186/66840415 https://lulustream.com/d/w2o1wn0cp9ft (2026) #MILF #BigTits #Creampie #Hardcore #Bigass #Stepmom #Amateur #Blonde #RIPNSFW</v>
      </c>
      <c r="B1547" s="12" t="str">
        <f>New!A:A</f>
        <v>Sophie Reade - 66840415 - ripnsfw.com.jpg</v>
      </c>
      <c r="C1547" s="12" t="s">
        <v>8895</v>
      </c>
      <c r="D1547" s="46">
        <f>New!P:P</f>
        <v>0</v>
      </c>
    </row>
    <row r="1548" spans="1:4" ht="12.75">
      <c r="A1548" s="45" t="str">
        <f ca="1">New!M:M</f>
        <v>{New} Sophie Reade https://streamtape.com/v/Y6l6189Q7jIvP43/84515479 https://lulustream.com/d/fs2wxvsqj7l8 https://doodstream.com/d/9kgeiabs13b0/84515479 (2026) #milf #blonde #piss #interracial #RIPNSFW</v>
      </c>
      <c r="B1548" s="12" t="str">
        <f>New!A:A</f>
        <v>Sophie Reade - 84515479 - FTV.jpg</v>
      </c>
      <c r="C1548" s="12" t="s">
        <v>8895</v>
      </c>
      <c r="D1548" s="46">
        <f>New!P:P</f>
        <v>0</v>
      </c>
    </row>
    <row r="1549" spans="1:4" ht="12.75">
      <c r="A1549" s="45" t="str">
        <f ca="1">New!M:M</f>
        <v>{New} Sophie Reade https://lulustream.com/d/5a326nx6yyps https://doodstream.com/d/p9cefb6tlwrp/96816459 https://streamtape.com/v/Wblmwr9WLRibx6p/96816459 (2026) #milf #bigtits #hardcore #porn #RIPNSFW</v>
      </c>
      <c r="B1549" s="12" t="str">
        <f>New!A:A</f>
        <v>Sophie Reade - 96816459 - Onlyfans.jpg</v>
      </c>
      <c r="C1549" s="12" t="s">
        <v>8895</v>
      </c>
      <c r="D1549" s="46">
        <f>New!P:P</f>
        <v>0</v>
      </c>
    </row>
    <row r="1550" spans="1:4" ht="12.75">
      <c r="A1550" s="45" t="str">
        <f ca="1">New!M:M</f>
        <v>{New} Sophie Tyler https://doodstream.com/d/hlfxd12jas5r/37800505 https://lulustream.com/d/pfgij3xv4f97 https://streamtape.com/v/ldbv2PgWa0f78ye/37800505 (2026) #BigTits #Hardcore #Teen #Blowjob #RIPNSFW</v>
      </c>
      <c r="B1550" s="12" t="str">
        <f>New!A:A</f>
        <v>Sophie Tyler - 37800505 - ripnsfw.com.jpg</v>
      </c>
      <c r="C1550" s="12" t="s">
        <v>8895</v>
      </c>
      <c r="D1550" s="46">
        <f>New!P:P</f>
        <v>0</v>
      </c>
    </row>
    <row r="1551" spans="1:4" ht="12.75">
      <c r="A1551" s="45" t="str">
        <f ca="1">New!M:M</f>
        <v>{New} Stella Barey https://lulustream.com/d/pxnadt6w14ei https://streamtape.com/v/eo0YA4XBRXCYqzY/42384532 https://doodstream.com/d/mlght2lw7ym5/42384532 Harper Red (2026) #teens #blowjob #bigass #amateur #RIPNSFW</v>
      </c>
      <c r="B1551" s="12" t="str">
        <f>New!A:A</f>
        <v>Stella Barey - 42384532 - Onlyfans - Harper Red.jpg</v>
      </c>
      <c r="C1551" s="12" t="s">
        <v>8895</v>
      </c>
      <c r="D1551" s="46">
        <f>New!P:P</f>
        <v>0</v>
      </c>
    </row>
    <row r="1552" spans="1:4" ht="12.75">
      <c r="A1552" s="45" t="str">
        <f ca="1">New!M:M</f>
        <v>{New} Stella Barey https://lulustream.com/d/hr0qhr5ipijh https://streamtape.com/v/yPJjzajqaWh1LaA/64932653 https://doodstream.com/d/7od9t6g01k4f/64932653 (2026) #Hardcore #Threesome #Bigass #Teen #RIPNSFW</v>
      </c>
      <c r="B1552" s="12" t="str">
        <f>New!A:A</f>
        <v>Stella Barey - 64932653 - FamilyTherapy.jpg</v>
      </c>
      <c r="C1552" s="12" t="s">
        <v>8895</v>
      </c>
      <c r="D1552" s="46">
        <f>New!P:P</f>
        <v>0</v>
      </c>
    </row>
    <row r="1553" spans="1:4" ht="12.75">
      <c r="A1553" s="45" t="str">
        <f ca="1">New!M:M</f>
        <v>{New} Stella Brooks https://doodstream.com/d/0634svrp44tk/23882974 https://lulustream.com/d/xopfeidcb95x https://streamtape.com/v/vlRYKeXAkvf41Dw/23882974 (2026) #MILF #BigTits #Hardcore #Creampie #RIPNSFW</v>
      </c>
      <c r="B1553" s="12" t="str">
        <f>New!A:A</f>
        <v>Stella Brooks - 23882974 - Onlyfans.jpg</v>
      </c>
      <c r="C1553" s="12" t="s">
        <v>8895</v>
      </c>
      <c r="D1553" s="46">
        <f>New!P:P</f>
        <v>0</v>
      </c>
    </row>
    <row r="1554" spans="1:4" ht="12.75">
      <c r="A1554" s="45" t="str">
        <f ca="1">New!M:M</f>
        <v>{New} Stella Brooks https://lulustream.com/d/hd71fy9a8fia https://doodstream.com/d/ed1r5rhmjcqg/30501504 https://streamtape.com/v/12jgVeKXrJtee9X/30501504 (2026) #bigtits #creampie #hardcore #bigass #RIPNSFW</v>
      </c>
      <c r="B1554" s="12" t="str">
        <f>New!A:A</f>
        <v>Stella Brooks - 30501504 - XVRED.jpg</v>
      </c>
      <c r="C1554" s="12" t="s">
        <v>8895</v>
      </c>
      <c r="D1554" s="46">
        <f>New!P:P</f>
        <v>0</v>
      </c>
    </row>
    <row r="1555" spans="1:4" ht="12.75">
      <c r="A1555" s="45" t="str">
        <f ca="1">New!M:M</f>
        <v>{New} Stella Brooks https://doodstream.com/d/1z2p6p0e0tmv/59319855 https://lulustream.com/d/76vdozpt3xuo https://streamtape.com/v/VmB3lW1wKMFKWv3/59319855 Ivy Lebelle (2026) #milf #threesome #bigass #bigtits #RIPNSFW</v>
      </c>
      <c r="B1555" s="12" t="str">
        <f>New!A:A</f>
        <v>Stella Brooks - 59319855 - Onlyfans - Ivy Lebelle.jpg</v>
      </c>
      <c r="C1555" s="12" t="s">
        <v>8895</v>
      </c>
      <c r="D1555" s="46">
        <f>New!P:P</f>
        <v>0</v>
      </c>
    </row>
    <row r="1556" spans="1:4" ht="12.75">
      <c r="A1556" s="45" t="str">
        <f ca="1">New!M:M</f>
        <v>{New} Stella Brooks https://doodstream.com/d/mcldvs09pi9h/71192884 https://streamtape.com/v/AppLmxwWoDIXLRD/71192884 https://lulustream.com/d/w6f1hy2li6j1 (2026) #MILF #BigTits #Creampie #Hardcore #RIPNSFW</v>
      </c>
      <c r="B1556" s="12" t="str">
        <f>New!A:A</f>
        <v>Stella Brooks - 71192884 - XVRED.jpg</v>
      </c>
      <c r="C1556" s="12" t="s">
        <v>8895</v>
      </c>
      <c r="D1556" s="46">
        <f>New!P:P</f>
        <v>0</v>
      </c>
    </row>
    <row r="1557" spans="1:4" ht="12.75">
      <c r="A1557" s="45" t="str">
        <f ca="1">New!M:M</f>
        <v>{New} Stella Brooks https://doodstream.com/d/hc5r3qw280fx/83024281 https://lulustream.com/d/w0hfrvvf5dpj https://streamtape.com/v/YWAR23J7dGHv4L9/83024281 (2026) #milf #bigtits #bigass #blowjob #RIPNSFW</v>
      </c>
      <c r="B1557" s="12" t="str">
        <f>New!A:A</f>
        <v>Stella Brooks - 83024281 - Onlyfans.jpg</v>
      </c>
      <c r="C1557" s="12" t="s">
        <v>8895</v>
      </c>
      <c r="D1557" s="46">
        <f>New!P:P</f>
        <v>0</v>
      </c>
    </row>
    <row r="1558" spans="1:4" ht="12.75">
      <c r="A1558" s="45" t="str">
        <f ca="1">New!M:M</f>
        <v>{New} Stella Brooks https://lulustream.com/d/lue0qe7ittpr https://streamtape.com/v/9XZrXXx0LOtyRJ/97821752 https://doodstream.com/d/cotqmp1wcalq/97821752 (2026) #milf #bigtits #bigass #creampie #RIPNSFW</v>
      </c>
      <c r="B1558" s="12" t="str">
        <f>New!A:A</f>
        <v>Stella Brooks - 97821752 - Onlyfans.jpg</v>
      </c>
      <c r="C1558" s="12" t="s">
        <v>8895</v>
      </c>
      <c r="D1558" s="46">
        <f>New!P:P</f>
        <v>0</v>
      </c>
    </row>
    <row r="1559" spans="1:4" ht="12.75">
      <c r="A1559" s="45" t="str">
        <f ca="1">New!M:M</f>
        <v>{New} Stella Luxx https://lulustream.com/d/2kle2vxrvrse https://doodstream.com/d/y8pkhzgjtlun/50248255 https://streamtape.com/v/XxD67dg84XCg8e/50248255 (2026) #milf #threesome #bigass #bigtits #RIPNSFW</v>
      </c>
      <c r="B1559" s="12" t="str">
        <f>New!A:A</f>
        <v>Stella Luxx - 50248255 - Onlyfans.jpg</v>
      </c>
      <c r="C1559" s="12" t="s">
        <v>8895</v>
      </c>
      <c r="D1559" s="46">
        <f>New!P:P</f>
        <v>0</v>
      </c>
    </row>
    <row r="1560" spans="1:4" ht="12.75">
      <c r="A1560" s="45" t="str">
        <f ca="1">New!M:M</f>
        <v>{New} Stella Luxx https://lulustream.com/d/g7mbcbkta34a https://doodstream.com/d/hb4l1bih5tws/60914314 https://streamtape.com/v/Vk4MDbJvjxCKKRk/60914314 (2026) #BigTits #Hardcore #Teen #Deepthroat #Amateur #Blowjob #RIPNSFW</v>
      </c>
      <c r="B1560" s="12" t="str">
        <f>New!A:A</f>
        <v>Stella Luxx - 60914314 - ripnsfw.com.jpg</v>
      </c>
      <c r="C1560" s="12" t="s">
        <v>8895</v>
      </c>
      <c r="D1560" s="46">
        <f>New!P:P</f>
        <v>0</v>
      </c>
    </row>
    <row r="1561" spans="1:4" ht="12.75">
      <c r="A1561" s="45" t="str">
        <f ca="1">New!M:M</f>
        <v>{New} Stella Luxx https://streamtape.com/v/xbgGKWx2J6SkJMw/61119564 https://lulustream.com/d/48o2js4d7xit https://doodstream.com/d/f9dxtblqr730/61119564 (2026) #Hardcore #Teen #Blowjob #Amateur #RIPNSFW</v>
      </c>
      <c r="B1561" s="12" t="str">
        <f>New!A:A</f>
        <v>Stella Luxx - 61119564 - Onlyfans.jpg</v>
      </c>
      <c r="C1561" s="12" t="s">
        <v>8895</v>
      </c>
      <c r="D1561" s="46">
        <f>New!P:P</f>
        <v>0</v>
      </c>
    </row>
    <row r="1562" spans="1:4" ht="12.75">
      <c r="A1562" s="45" t="str">
        <f ca="1">New!M:M</f>
        <v>{New} Stella Luxx https://doodstream.com/d/vo74srer589x/94714864 https://streamtape.com/v/jVwlMRGvBeIz8Rp/94714864 https://lulustream.com/d/03kxksmf391z (2026) #BigTits #Hardcore #Black #Porn #RIPNSFW</v>
      </c>
      <c r="B1562" s="12" t="str">
        <f>New!A:A</f>
        <v>Stella Luxx - 94714864 - Blacked.jpg</v>
      </c>
      <c r="C1562" s="12" t="s">
        <v>8895</v>
      </c>
      <c r="D1562" s="46">
        <f>New!P:P</f>
        <v>0</v>
      </c>
    </row>
    <row r="1563" spans="1:4" ht="12.75">
      <c r="A1563" s="45" t="str">
        <f ca="1">New!M:M</f>
        <v>{New} Stephanie https://streamtape.com/v/28Jmprakq7fZORQ/77688519 https://lulustream.com/d/nox7cvvqj4e4 https://doodstream.com/d/ol8jagprev1a/77688519 (2026) #MILF #BigTits #Creampie #Hardcore #Bigass #Blowjob #RIPNSFW</v>
      </c>
      <c r="B1563" s="12" t="str">
        <f>New!A:A</f>
        <v>Stephanie - 77688519 - ripnsfw.com.jpg</v>
      </c>
      <c r="C1563" s="12" t="s">
        <v>8895</v>
      </c>
      <c r="D1563" s="46">
        <f>New!P:P</f>
        <v>0</v>
      </c>
    </row>
    <row r="1564" spans="1:4" ht="12.75">
      <c r="A1564" s="45" t="str">
        <f ca="1">New!M:M</f>
        <v>{New} Sugary Kitty https://doodstream.com/d/sz89o9o99aax/18642191 https://streamtape.com/v/qWGWxvR71gFzV4j/18642191 https://lulustream.com/d/ngr6hayw7xha (2026) #Creampie #Hardcore #Teen #Roleplay #Blowjob #RIPNSFW</v>
      </c>
      <c r="B1564" s="12" t="str">
        <f>New!A:A</f>
        <v>Sugary Kitty - 18642191 - ripnsfw.com.jpg</v>
      </c>
      <c r="C1564" s="12" t="s">
        <v>8895</v>
      </c>
      <c r="D1564" s="46">
        <f>New!P:P</f>
        <v>0</v>
      </c>
    </row>
    <row r="1565" spans="1:4" ht="12.75">
      <c r="A1565" s="45" t="str">
        <f ca="1">New!M:M</f>
        <v>{New} Summer Col https://doodstream.com/d/0r5dc1mhkkfl/69638452 https://lulustream.com/d/w7nn83koujt4 https://streamtape.com/v/x944l91jd4twmy/69638452 Lena the plug (2026) #MILF #BigTits #Hardcore #Threesome #Blowjob #Bigass #Amateur #Deepthroat #RIPNSFW</v>
      </c>
      <c r="B1565" s="12" t="str">
        <f>New!A:A</f>
        <v>Summer Col - 69638452 - ripnsfw.com - Lena the plug.jpg</v>
      </c>
      <c r="C1565" s="12" t="s">
        <v>8895</v>
      </c>
      <c r="D1565" s="46">
        <f>New!P:P</f>
        <v>0</v>
      </c>
    </row>
    <row r="1566" spans="1:4" ht="12.75">
      <c r="A1566" s="45" t="str">
        <f ca="1">New!M:M</f>
        <v>{New} Suzy Wilde https://streamtape.com/v/2Kyg833RqjFZwoY/81455937 https://doodstream.com/d/22sucwowjsfv/81455937 https://lulustream.com/d/vcf1qsbyhg0f (2026) #Anal #MILF #BigTits #Creampie #Hardcore #Bigass #Porn #RIPNSFW</v>
      </c>
      <c r="B1566" s="12" t="str">
        <f>New!A:A</f>
        <v>Suzy Wilde - 81455937 - ripnsfw.com.jpg</v>
      </c>
      <c r="C1566" s="12" t="s">
        <v>8895</v>
      </c>
      <c r="D1566" s="46">
        <f>New!P:P</f>
        <v>0</v>
      </c>
    </row>
    <row r="1567" spans="1:4" ht="12.75">
      <c r="A1567" s="45" t="str">
        <f ca="1">New!M:M</f>
        <v>{New} Sweetie Fox https://streamtape.com/v/xXLV1bLB2MhkWw8/14534690 https://lulustream.com/d/vl8a0z3i2fz5 https://doodstream.com/d/u8ozgh1sa14k/14534690 (2026) #BigTits #Hardcore #Bigass #Teen #RIPNSFW</v>
      </c>
      <c r="B1567" s="12" t="str">
        <f>New!A:A</f>
        <v>Sweetie Fox - 14534690 - Onlyfans.jpg</v>
      </c>
      <c r="C1567" s="12" t="s">
        <v>8895</v>
      </c>
      <c r="D1567" s="46">
        <f>New!P:P</f>
        <v>0</v>
      </c>
    </row>
    <row r="1568" spans="1:4" ht="12.75">
      <c r="A1568" s="45" t="str">
        <f ca="1">New!M:M</f>
        <v>{New} Sweetie Fox https://doodstream.com/d/fnhjs3b1lz1e/18070308 https://streamtape.com/v/xo4qm4VMk4h0O3/18070308 https://lulustream.com/d/c7fcxhru9huu (2026) #BigTits #Hardcore #Bigass #Teen #Blowjob #Amateur #RIPNSFW</v>
      </c>
      <c r="B1568" s="12" t="str">
        <f>New!A:A</f>
        <v>Sweetie Fox - 18070308 - ripnsfw.com.jpg</v>
      </c>
      <c r="C1568" s="12" t="s">
        <v>8895</v>
      </c>
      <c r="D1568" s="46">
        <f>New!P:P</f>
        <v>0</v>
      </c>
    </row>
    <row r="1569" spans="1:4" ht="12.75">
      <c r="A1569" s="45" t="str">
        <f ca="1">New!M:M</f>
        <v>{New} Sweetie Fox https://streamtape.com/v/WoOKoPL1Rvcb7XD/26093245 https://lulustream.com/d/htjk6y4ga8q5 https://doodstream.com/d/qv2zk9ciz2og/26093245 (2026) #creampie #bigtits #teen #blowjob #RIPNSFW</v>
      </c>
      <c r="B1569" s="12" t="str">
        <f>New!A:A</f>
        <v>Sweetie Fox - 26093245 - Onlyfans.jpg</v>
      </c>
      <c r="C1569" s="12" t="s">
        <v>8895</v>
      </c>
      <c r="D1569" s="46">
        <f>New!P:P</f>
        <v>0</v>
      </c>
    </row>
    <row r="1570" spans="1:4" ht="12.75">
      <c r="A1570" s="45" t="str">
        <f ca="1">New!M:M</f>
        <v>{New} Sweetie Fox https://doodstream.com/d/egp41i3efh0x/31273671 https://lulustream.com/d/fprxku3rmnoc https://streamtape.com/v/PLkjDD3bMDH0aB0/31273671 (2026) #BigTits #Hardcore #Bigass #Teen #Roleplay #Blowjob #Amateur #RIPNSFW</v>
      </c>
      <c r="B1570" s="12" t="str">
        <f>New!A:A</f>
        <v>Sweetie Fox - 31273671 - ripnsfw.com.jpg</v>
      </c>
      <c r="C1570" s="12" t="s">
        <v>8895</v>
      </c>
      <c r="D1570" s="46">
        <f>New!P:P</f>
        <v>0</v>
      </c>
    </row>
    <row r="1571" spans="1:4" ht="12.75">
      <c r="A1571" s="45" t="str">
        <f ca="1">New!M:M</f>
        <v>{New} Sweetie Fox https://lulustream.com/d/a4nhqwtvfhqi https://streamtape.com/v/Xybl8go8LRh3jo/34904991 https://doodstream.com/d/m15uw8niqc0i/34904991 Octokuro (2026) #bigtits #bigass #blowjob #pov #RIPNSFW</v>
      </c>
      <c r="B1571" s="12" t="str">
        <f>New!A:A</f>
        <v>Sweetie Fox - 34904991 - Onlyfans - Octokuro.jpg</v>
      </c>
      <c r="C1571" s="12" t="s">
        <v>8895</v>
      </c>
      <c r="D1571" s="46">
        <f>New!P:P</f>
        <v>0</v>
      </c>
    </row>
    <row r="1572" spans="1:4" ht="12.75">
      <c r="A1572" s="45" t="str">
        <f ca="1">New!M:M</f>
        <v>{New} Sweetie Fox https://doodstream.com/d/7k46yndieb5k/35718365 https://streamtape.com/v/AP0K9m1QzWFXoV1/35718365 https://lulustream.com/d/cm7emcauexjy (2026) #BigTits #Hardcore #Bigass #Teen #RIPNSFW</v>
      </c>
      <c r="B1572" s="12" t="str">
        <f>New!A:A</f>
        <v>Sweetie Fox - 35718365 - ripnsfw.com.jpg</v>
      </c>
      <c r="C1572" s="12" t="s">
        <v>8895</v>
      </c>
      <c r="D1572" s="46">
        <f>New!P:P</f>
        <v>0</v>
      </c>
    </row>
    <row r="1573" spans="1:4" ht="12.75">
      <c r="A1573" s="45" t="str">
        <f ca="1">New!M:M</f>
        <v>{New} Sweetie Fox https://streamtape.com/v/9Bp6KwbJOxSY6w/39327044 https://doodstream.com/d/6qh83qqi3gb7/39327044 https://lulustream.com/d/qk2h33w8zuxr (2026) #bigtits #teen #bigass #blowjob #RIPNSFW</v>
      </c>
      <c r="B1573" s="12" t="str">
        <f>New!A:A</f>
        <v>Sweetie Fox - 39327044 - Onlyfans.jpg</v>
      </c>
      <c r="C1573" s="12" t="s">
        <v>8895</v>
      </c>
      <c r="D1573" s="46">
        <f>New!P:P</f>
        <v>0</v>
      </c>
    </row>
    <row r="1574" spans="1:4" ht="12.75">
      <c r="A1574" s="45" t="str">
        <f ca="1">New!M:M</f>
        <v>{New} Sweetie Fox https://streamtape.com/v/RWkd6K6W8GCdljW/41562688 https://doodstream.com/d/3in3axgq91b1/41562688 https://lulustream.com/d/pjvm8z3uilf7 (2026) #bigass #blowjob #teen #bigtits #RIPNSFW</v>
      </c>
      <c r="B1574" s="12" t="str">
        <f>New!A:A</f>
        <v>Sweetie Fox - 41562688 - Onlyfans.jpg</v>
      </c>
      <c r="C1574" s="12" t="s">
        <v>8895</v>
      </c>
      <c r="D1574" s="46">
        <f>New!P:P</f>
        <v>0</v>
      </c>
    </row>
    <row r="1575" spans="1:4" ht="12.75">
      <c r="A1575" s="45" t="str">
        <f ca="1">New!M:M</f>
        <v>{New} Sweetie Fox https://streamtape.com/v/LJpv217OVgI6mQ/49496648 https://lulustream.com/d/qz15lmn3jrby https://doodstream.com/d/bznh9myepbde/49496648 (2026) #bigtits #bigass #teen #blowjob #RIPNSFW</v>
      </c>
      <c r="B1575" s="12" t="str">
        <f>New!A:A</f>
        <v>Sweetie Fox - 49496648 - Onlyfans.jpg</v>
      </c>
      <c r="C1575" s="12" t="s">
        <v>8895</v>
      </c>
      <c r="D1575" s="46">
        <f>New!P:P</f>
        <v>0</v>
      </c>
    </row>
    <row r="1576" spans="1:4" ht="12.75">
      <c r="A1576" s="45" t="str">
        <f ca="1">New!M:M</f>
        <v>{New} Sweetie Fox https://lulustream.com/d/5nr8kcwy5hyc https://streamtape.com/v/YyGrzVW4yxSv0Dv/52485798 https://doodstream.com/d/wyyyve1su6mi/52485798 (2026) #BigTits #Hardcore #Bigass #Teen #Blowjob #Amateur #RIPNSFW</v>
      </c>
      <c r="B1576" s="12" t="str">
        <f>New!A:A</f>
        <v>Sweetie Fox - 52485798 - ripnsfw.com.jpg</v>
      </c>
      <c r="C1576" s="12" t="s">
        <v>8895</v>
      </c>
      <c r="D1576" s="46">
        <f>New!P:P</f>
        <v>0</v>
      </c>
    </row>
    <row r="1577" spans="1:4" ht="12.75">
      <c r="A1577" s="45" t="str">
        <f ca="1">New!M:M</f>
        <v>{New} Sweetie Fox https://streamtape.com/v/PLWrkQZMYZtb0k/53610530 https://lulustream.com/d/kuoqm7d1cqf3 https://doodstream.com/d/ev86i34dsdem/53610530 (2026) #bigtits #hardcore #bigass #teen #RIPNSFW</v>
      </c>
      <c r="B1577" s="12" t="str">
        <f>New!A:A</f>
        <v>Sweetie Fox - 53610530 - Onlyfans.jpg</v>
      </c>
      <c r="C1577" s="12" t="s">
        <v>8895</v>
      </c>
      <c r="D1577" s="46">
        <f>New!P:P</f>
        <v>0</v>
      </c>
    </row>
    <row r="1578" spans="1:4" ht="12.75">
      <c r="A1578" s="45" t="str">
        <f ca="1">New!M:M</f>
        <v>{New} Sweetie Fox https://streamtape.com/v/gozpy6Q7lVcv4G/57886292 https://doodstream.com/d/5xhqszw5o7yq/57886292 https://lulustream.com/d/w4bt2dj52cg7 (2026) #BigTits #Hardcore #Bigass #Teen #Roleplay #Blowjob #RIPNSFW</v>
      </c>
      <c r="B1578" s="12" t="str">
        <f>New!A:A</f>
        <v>Sweetie Fox - 57886292 - ripnsfw.com.jpg</v>
      </c>
      <c r="C1578" s="12" t="s">
        <v>8895</v>
      </c>
      <c r="D1578" s="46">
        <f>New!P:P</f>
        <v>0</v>
      </c>
    </row>
    <row r="1579" spans="1:4" ht="12.75">
      <c r="A1579" s="45" t="str">
        <f ca="1">New!M:M</f>
        <v>{New} Sweetie Fox https://doodstream.com/d/mq6swxs6zddp/59555739 https://lulustream.com/d/8hcso2zusg94 https://streamtape.com/v/LYBvzZ7JyDHRr6g/59555739 (2026) #teen #bigtits #blowjob #bigass #RIPNSFW</v>
      </c>
      <c r="B1579" s="12" t="str">
        <f>New!A:A</f>
        <v>Sweetie Fox - 59555739 - Onlyfans.jpg</v>
      </c>
      <c r="C1579" s="12" t="s">
        <v>8895</v>
      </c>
      <c r="D1579" s="46">
        <f>New!P:P</f>
        <v>0</v>
      </c>
    </row>
    <row r="1580" spans="1:4" ht="12.75">
      <c r="A1580" s="45" t="str">
        <f ca="1">New!M:M</f>
        <v>{New} Sweetie Fox https://doodstream.com/d/hcv7smc0p48y/63836083 https://streamtape.com/v/wGJkK3jwQpievk/63836083 https://lulustream.com/d/fsku1czuv41y (2026) #BigTits #Hardcore #Bigass #Teen #RIPNSFW</v>
      </c>
      <c r="B1580" s="12" t="str">
        <f>New!A:A</f>
        <v>Sweetie Fox - 63836083 - Onlyfans.jpg</v>
      </c>
      <c r="C1580" s="12" t="s">
        <v>8895</v>
      </c>
      <c r="D1580" s="46">
        <f>New!P:P</f>
        <v>0</v>
      </c>
    </row>
    <row r="1581" spans="1:4" ht="12.75">
      <c r="A1581" s="45" t="str">
        <f ca="1">New!M:M</f>
        <v>{New} Sweetie Fox https://lulustream.com/d/7q8x854enlt1 https://streamtape.com/v/Wbr0Y3BV6kib8AX/77006221 https://doodstream.com/d/nwbfif6k4r9e/77006221 (2026) #BigTits #Hardcore #Bigass #Teen #RIPNSFW</v>
      </c>
      <c r="B1581" s="12" t="str">
        <f>New!A:A</f>
        <v>Sweetie Fox - 77006221 - Onlyfans.jpg</v>
      </c>
      <c r="C1581" s="12" t="s">
        <v>8895</v>
      </c>
      <c r="D1581" s="46">
        <f>New!P:P</f>
        <v>0</v>
      </c>
    </row>
    <row r="1582" spans="1:4" ht="12.75">
      <c r="A1582" s="45" t="str">
        <f ca="1">New!M:M</f>
        <v>{New} Sweetie Fox https://lulustream.com/d/70bdvdoht5pg https://streamtape.com/v/lWaA81qoJ0i706Z/83234134 https://doodstream.com/d/sv1tmbi95cui/83234134 (2026) #BigTits #Hardcore #Bigass #Teen #Roleplay #Artporn #RIPNSFW</v>
      </c>
      <c r="B1582" s="12" t="str">
        <f>New!A:A</f>
        <v>Sweetie Fox - 83234134 - Onlyfans.jpg</v>
      </c>
      <c r="C1582" s="12" t="s">
        <v>8895</v>
      </c>
      <c r="D1582" s="46">
        <f>New!P:P</f>
        <v>0</v>
      </c>
    </row>
    <row r="1583" spans="1:4" ht="12.75">
      <c r="A1583" s="45" t="str">
        <f ca="1">New!M:M</f>
        <v>{New} Sweetie Fox https://streamtape.com/v/DomMrzz1v8uwde/85780578 https://doodstream.com/d/65cpszihavha/85780578 https://lulustream.com/d/vkwamtsx8jub (2026) #bigtits #hardcore #bigass #teen #RIPNSFW</v>
      </c>
      <c r="B1583" s="12" t="str">
        <f>New!A:A</f>
        <v>Sweetie Fox - 85780578 - Onlyfans.jpg</v>
      </c>
      <c r="C1583" s="12" t="s">
        <v>8895</v>
      </c>
      <c r="D1583" s="46">
        <f>New!P:P</f>
        <v>0</v>
      </c>
    </row>
    <row r="1584" spans="1:4" ht="12.75">
      <c r="A1584" s="45" t="str">
        <f ca="1">New!M:M</f>
        <v>{New} Sweetie Fox https://lulustream.com/d/wv28ai2dzitc https://doodstream.com/d/wmoznhomuseg/89708658 https://streamtape.com/v/xXbxDrgjDeTkb1d/89708658 (2026) #teens #bigtits #blowjob #bigass #RIPNSFW</v>
      </c>
      <c r="B1584" s="12" t="str">
        <f>New!A:A</f>
        <v>Sweetie Fox - 89708658 - Onlyfans.jpg</v>
      </c>
      <c r="C1584" s="12" t="s">
        <v>8895</v>
      </c>
      <c r="D1584" s="46">
        <f>New!P:P</f>
        <v>0</v>
      </c>
    </row>
    <row r="1585" spans="1:4" ht="12.75">
      <c r="A1585" s="45" t="str">
        <f ca="1">New!M:M</f>
        <v>{New} Sweetie Fox https://streamtape.com/v/Bq4XqGXvBwCyyzP/93425687 https://doodstream.com/d/69s4wozufhq0/93425687 https://lulustream.com/d/4etrcr0vurfd (2026) #BigTits #Hardcore #Bigass #Teen #Blowjob #Roleplay #Amateur #Deepthroat #RIPNSFW</v>
      </c>
      <c r="B1585" s="12" t="str">
        <f>New!A:A</f>
        <v>Sweetie Fox - 93425687 - ripnsfw.com.jpg</v>
      </c>
      <c r="C1585" s="12" t="s">
        <v>8895</v>
      </c>
      <c r="D1585" s="46">
        <f>New!P:P</f>
        <v>0</v>
      </c>
    </row>
    <row r="1586" spans="1:4" ht="12.75">
      <c r="A1586" s="45" t="str">
        <f ca="1">New!M:M</f>
        <v>{New} Sweetie Fox https://streamtape.com/v/1qxAoQzayotpd7/97460514 https://doodstream.com/d/tf098wgzhabc/97460514 https://lulustream.com/d/ebxwj2aptfr0 (2026) #BigTits #Hardcore #Bigass #Teen #Blowjob #Amateur #RIPNSFW</v>
      </c>
      <c r="B1586" s="12" t="str">
        <f>New!A:A</f>
        <v>Sweetie Fox - 97460514 - ripnsfw.com.jpg</v>
      </c>
      <c r="C1586" s="12" t="s">
        <v>8895</v>
      </c>
      <c r="D1586" s="46">
        <f>New!P:P</f>
        <v>0</v>
      </c>
    </row>
    <row r="1587" spans="1:4" ht="12.75">
      <c r="A1587" s="45" t="str">
        <f ca="1">New!M:M</f>
        <v>Tessa https://lulustream.com/d/kexjnplli0pt https://streamtape.com/v/R6b4V7qqpgHJ6K/55037351 https://doodstream.com/d/st70yg8ybbht/55037351 #anal #blowjob #blonde #casting #RIPNSFW</v>
      </c>
      <c r="B1587" s="12" t="str">
        <f>New!A:A</f>
        <v>Tessa - 55037351 - BackroomCastingCouch.jpg</v>
      </c>
      <c r="C1587" s="12" t="s">
        <v>8895</v>
      </c>
      <c r="D1587" s="46">
        <f>New!P:P</f>
        <v>0</v>
      </c>
    </row>
    <row r="1588" spans="1:4" ht="12.75">
      <c r="A1588" s="45" t="str">
        <f ca="1">New!M:M</f>
        <v>{New} TheDanDangler https://doodstream.com/d/3skqimkf72uy/12824636 https://streamtape.com/v/JWgPWar3qDIjLmB/12824636 https://lulustream.com/d/il81k0isycz0 Angela White (2026) #milf #bigtits #bigass #blowjob #RIPNSFW</v>
      </c>
      <c r="B1588" s="12" t="str">
        <f>New!A:A</f>
        <v>TheDanDangler - 12824636 - Onlyfans - Angela White.jpg</v>
      </c>
      <c r="C1588" s="12" t="s">
        <v>8895</v>
      </c>
      <c r="D1588" s="46">
        <f>New!P:P</f>
        <v>0</v>
      </c>
    </row>
    <row r="1589" spans="1:4" ht="12.75">
      <c r="A1589" s="45" t="str">
        <f ca="1">New!M:M</f>
        <v>{New} TheDanDangler https://streamtape.com/v/PrxZ9BgMOGHA7G/17642971 https://doodstream.com/d/jdfj7u14f02b/17642971 https://lulustream.com/d/yssap7wywxwt Kayla Lea (2026) #interracial #threesome #bigass #bigtits #RIPNSFW</v>
      </c>
      <c r="B1589" s="12" t="str">
        <f>New!A:A</f>
        <v>TheDanDangler - 17642971 - Onlyfans - Kayla Lea.jpg</v>
      </c>
      <c r="C1589" s="12" t="s">
        <v>8895</v>
      </c>
      <c r="D1589" s="46">
        <f>New!P:P</f>
        <v>0</v>
      </c>
    </row>
    <row r="1590" spans="1:4" ht="12.75">
      <c r="A1590" s="45" t="str">
        <f ca="1">New!M:M</f>
        <v>{New} TheDanDangler https://streamtape.com/v/d3AxKW2rx9hkK2j/22869286 https://doodstream.com/d/gfo3ijhhepmq/22869286 https://lulustream.com/d/fciw0d0wx34l (2026) #teen #bigtits #blowjob #bigass #RIPNSFW</v>
      </c>
      <c r="B1590" s="12" t="str">
        <f>New!A:A</f>
        <v>TheDanDangler - 22869286 - Onlyfans.jpg</v>
      </c>
      <c r="C1590" s="12" t="s">
        <v>8895</v>
      </c>
      <c r="D1590" s="46">
        <f>New!P:P</f>
        <v>0</v>
      </c>
    </row>
    <row r="1591" spans="1:4" ht="12.75">
      <c r="A1591" s="45" t="str">
        <f ca="1">New!M:M</f>
        <v>{New} TheDanDangler https://lulustream.com/d/oskcd78dflax https://doodstream.com/d/fyl56peuqf27/41207150 https://streamtape.com/v/g0JO7XVAZptq0w4/41207150 (2026) #milf #bigtits #bigass #interracial #RIPNSFW</v>
      </c>
      <c r="B1591" s="12" t="str">
        <f>New!A:A</f>
        <v>TheDanDangler - 41207150 - Onlyfans.jpg</v>
      </c>
      <c r="C1591" s="12" t="s">
        <v>8895</v>
      </c>
      <c r="D1591" s="46">
        <f>New!P:P</f>
        <v>0</v>
      </c>
    </row>
    <row r="1592" spans="1:4" ht="12.75">
      <c r="A1592" s="45" t="str">
        <f ca="1">New!M:M</f>
        <v>{New} TheDanDangler https://streamtape.com/v/P98mb7q7R0hgqR/52688320 https://lulustream.com/d/0of288be0ker https://doodstream.com/d/63z8wb9mrpb6/52688320 (2026) #BigTits #Hardcore #Bigass #Teen #RIPNSFW</v>
      </c>
      <c r="B1592" s="12" t="str">
        <f>New!A:A</f>
        <v>TheDanDangler - 52688320 - PB.jpg</v>
      </c>
      <c r="C1592" s="12" t="s">
        <v>8895</v>
      </c>
      <c r="D1592" s="46">
        <f>New!P:P</f>
        <v>0</v>
      </c>
    </row>
    <row r="1593" spans="1:4" ht="12.75">
      <c r="A1593" s="45" t="str">
        <f ca="1">New!M:M</f>
        <v>{New} TheDanDangler https://doodstream.com/d/ndxayogzkfnc/55519215 https://streamtape.com/v/op4yqkKJKVfJ2mV/55519215 https://lulustream.com/d/k300irbe2ati (2026) #milf #bigtits #blonde #blowjob #RIPNSFW</v>
      </c>
      <c r="B1593" s="12" t="str">
        <f>New!A:A</f>
        <v>TheDanDangler - 55519215 - Onlyfans.jpg</v>
      </c>
      <c r="C1593" s="12" t="s">
        <v>8895</v>
      </c>
      <c r="D1593" s="46">
        <f>New!P:P</f>
        <v>0</v>
      </c>
    </row>
    <row r="1594" spans="1:4" ht="12.75">
      <c r="A1594" s="45" t="str">
        <f ca="1">New!M:M</f>
        <v>{New} TheDanDangler https://lulustream.com/d/9i518lxy38qf https://doodstream.com/d/oy25h044hxpp/62022952 https://streamtape.com/v/RpeLbpMMbdSJLR/62022952 (2026) #blowjob #bigass #bigtits #milf #RIPNSFW</v>
      </c>
      <c r="B1594" s="12" t="str">
        <f>New!A:A</f>
        <v>TheDanDangler - 62022952 - Onlyfans.jpg</v>
      </c>
      <c r="C1594" s="12" t="s">
        <v>8895</v>
      </c>
      <c r="D1594" s="46">
        <f>New!P:P</f>
        <v>0</v>
      </c>
    </row>
    <row r="1595" spans="1:4" ht="12.75">
      <c r="A1595" s="45" t="str">
        <f ca="1">New!M:M</f>
        <v>{New} TheDanDangler https://lulustream.com/d/fch74q6v61x1 https://doodstream.com/d/izyh4kpa1ilo/63370343 https://streamtape.com/v/4dx8B791wPFKgMB/63370343 Lena the plug (2026) #milf #threesome #bigass #bigtits #RIPNSFW</v>
      </c>
      <c r="B1595" s="12" t="str">
        <f>New!A:A</f>
        <v>TheDanDangler - 63370343 - Onlyfans - Lena the plug.jpg</v>
      </c>
      <c r="C1595" s="12" t="s">
        <v>8895</v>
      </c>
      <c r="D1595" s="46">
        <f>New!P:P</f>
        <v>0</v>
      </c>
    </row>
    <row r="1596" spans="1:4" ht="12.75">
      <c r="A1596" s="45" t="str">
        <f ca="1">New!M:M</f>
        <v>{New} TheDanDangler https://doodstream.com/d/s4ek0gn1cyny/69507662 https://lulustream.com/d/zgxuldmxzbn9 https://streamtape.com/v/xvvawLy6eYhq8m/69507662 Violet Myers (2026) #milf #bigass #bigtits #blowjob #RIPNSFW</v>
      </c>
      <c r="B1596" s="12" t="str">
        <f>New!A:A</f>
        <v>TheDanDangler - 69507662 - Onlyfans - Violet Myers.jpg</v>
      </c>
      <c r="C1596" s="12" t="s">
        <v>8895</v>
      </c>
      <c r="D1596" s="46">
        <f>New!P:P</f>
        <v>0</v>
      </c>
    </row>
    <row r="1597" spans="1:4" ht="12.75">
      <c r="A1597" s="45" t="str">
        <f ca="1">New!M:M</f>
        <v>{New} TheDanDangler https://lulustream.com/d/r5ejl2w5b76u https://streamtape.com/v/b3goaryzQ9uP8XA/75016114 https://doodstream.com/d/ynnlpptojoqs/75016114 (2026) #threesome #interracial #bigtits #bigass #RIPNSFW</v>
      </c>
      <c r="B1597" s="12" t="str">
        <f>New!A:A</f>
        <v>TheDanDangler - 75016114 - Onlyfans.jpg</v>
      </c>
      <c r="C1597" s="12" t="s">
        <v>8895</v>
      </c>
      <c r="D1597" s="46">
        <f>New!P:P</f>
        <v>0</v>
      </c>
    </row>
    <row r="1598" spans="1:4" ht="12.75">
      <c r="A1598" s="45" t="str">
        <f ca="1">New!M:M</f>
        <v>{New} TheDanDangler https://lulustream.com/d/dco8m4d1sfrz https://streamtape.com/v/2VwBJDzbDmiZ3ka/75377053 https://doodstream.com/d/8zzkazodoahl/75377053 (2026) #milf #bigtits #bigass #blonde #RIPNSFW</v>
      </c>
      <c r="B1598" s="12" t="str">
        <f>New!A:A</f>
        <v>TheDanDangler - 75377053 - Onlyfans.jpg</v>
      </c>
      <c r="C1598" s="12" t="s">
        <v>8895</v>
      </c>
      <c r="D1598" s="46">
        <f>New!P:P</f>
        <v>0</v>
      </c>
    </row>
    <row r="1599" spans="1:4" ht="12.75">
      <c r="A1599" s="45" t="str">
        <f ca="1">New!M:M</f>
        <v>TheDanDangler https://doodstream.com/d/dqt12h3dmytn/80371557 https://lulustream.com/d/6g7brq3l9pq4 https://streamtape.com/v/m66xYJoYDJFbKL4/80371557 Violet Myers Roxie Sinner Connie Perignon #orgy #bigtits #blowjob #bigass #RIPNSFW</v>
      </c>
      <c r="B1599" s="12" t="str">
        <f>New!A:A</f>
        <v>TheDanDangler - 80371557 - Onlyfans - Violet Myers - Roxie Sinner - Connie Perignon.jpg</v>
      </c>
      <c r="C1599" s="12" t="s">
        <v>8895</v>
      </c>
      <c r="D1599" s="46">
        <f>New!P:P</f>
        <v>0</v>
      </c>
    </row>
    <row r="1600" spans="1:4" ht="12.75">
      <c r="A1600" s="45" t="str">
        <f ca="1">New!M:M</f>
        <v>{New} TheDanDangler https://streamtape.com/v/oMAzjXZ6betJyZv/81270185 https://lulustream.com/d/m7lzj7foti8z https://doodstream.com/d/njlvv0ssq6xd/81270185 (2026) #MILF #BigTits #Hardcore #Black #Interracial #Bigass #Blowjob #Amateur #Blonde #RIPNSFW</v>
      </c>
      <c r="B1600" s="12" t="str">
        <f>New!A:A</f>
        <v>TheDanDangler - 81270185 - ripnsfw.com.jpg</v>
      </c>
      <c r="C1600" s="12" t="s">
        <v>8895</v>
      </c>
      <c r="D1600" s="46">
        <f>New!P:P</f>
        <v>0</v>
      </c>
    </row>
    <row r="1601" spans="1:4" ht="12.75">
      <c r="A1601" s="45" t="str">
        <f ca="1">New!M:M</f>
        <v>TheDanDangler https://lulustream.com/d/it9dce1iw5xf https://doodstream.com/d/fdhf741s03lz/82758099 https://streamtape.com/v/WP6oPLKLe0Hb323/82758099 JackandJill #blonde #threesome #bigtits #bigass #RIPNSFW</v>
      </c>
      <c r="B1601" s="12" t="str">
        <f>New!A:A</f>
        <v>TheDanDangler - 82758099 - Chaturbate - JackandJill.jpg</v>
      </c>
      <c r="C1601" s="12" t="s">
        <v>8895</v>
      </c>
      <c r="D1601" s="46">
        <f>New!P:P</f>
        <v>0</v>
      </c>
    </row>
    <row r="1602" spans="1:4" ht="12.75">
      <c r="A1602" s="45" t="str">
        <f ca="1">New!M:M</f>
        <v>{New} TheDanDangler https://lulustream.com/d/c09qgpzah36e https://doodstream.com/d/2te074i1z541/99244604 https://streamtape.com/v/4X1db94JjOiKM64/99244604 (2026) #milf #bigtits #bigass #blowjob #RIPNSFW</v>
      </c>
      <c r="B1602" s="12" t="str">
        <f>New!A:A</f>
        <v>TheDanDangler - 99244604 - Onlyfans.jpg</v>
      </c>
      <c r="C1602" s="12" t="s">
        <v>8895</v>
      </c>
      <c r="D1602" s="46">
        <f>New!P:P</f>
        <v>0</v>
      </c>
    </row>
    <row r="1603" spans="1:4" ht="12.75">
      <c r="A1603" s="45" t="str">
        <f ca="1">New!M:M</f>
        <v>{New} TheDanDangler https://lulustream.com/d/j53tzbh8ea02 https://doodstream.com/d/bwzlazo7fpti/99921056 https://streamtape.com/v/ZaLkJrbgwRIB78/99921056 (2026) #MILF #BigTits #Hardcore #Black #Interracial #Bigass #Porn #RIPNSFW</v>
      </c>
      <c r="B1603" s="12" t="str">
        <f>New!A:A</f>
        <v>TheDanDangler - 99921056 - ripnsfw.com.jpg</v>
      </c>
      <c r="C1603" s="12" t="s">
        <v>8895</v>
      </c>
      <c r="D1603" s="46">
        <f>New!P:P</f>
        <v>0</v>
      </c>
    </row>
    <row r="1604" spans="1:4" ht="12.75">
      <c r="A1604" s="45" t="str">
        <f ca="1">New!M:M</f>
        <v>{New} Theodora https://doodstream.com/d/05xa23ne8w8z/61002102 https://lulustream.com/d/cmkywxrfrr6l https://streamtape.com/v/jqxJVJkveYILzg/61002102 (2026) #BigTits #Casting #Creampie #Hardcore #RIPNSFW</v>
      </c>
      <c r="B1604" s="12" t="str">
        <f>New!A:A</f>
        <v>Theodora - 61002102 - BackroomCastingCouch.jpg</v>
      </c>
      <c r="C1604" s="12" t="s">
        <v>8895</v>
      </c>
      <c r="D1604" s="46">
        <f>New!P:P</f>
        <v>0</v>
      </c>
    </row>
    <row r="1605" spans="1:4" ht="12.75">
      <c r="A1605" s="45" t="str">
        <f ca="1">New!M:M</f>
        <v>{New} Tru Kait https://streamtape.com/v/oQAlQwW8OwHOp8/13048826 https://doodstream.com/d/xtewm7pxkfj8/13048826 https://lulustream.com/d/rn83st7vxf0t (2026) #bigtits #bigass #blowjob #brunette #RIPNSFW</v>
      </c>
      <c r="B1605" s="12" t="str">
        <f>New!A:A</f>
        <v>Tru Kait - 13048826 - Onlyfans.jpg</v>
      </c>
      <c r="C1605" s="12" t="s">
        <v>8895</v>
      </c>
      <c r="D1605" s="46">
        <f>New!P:P</f>
        <v>0</v>
      </c>
    </row>
    <row r="1606" spans="1:4" ht="12.75">
      <c r="A1606" s="45" t="str">
        <f ca="1">New!M:M</f>
        <v>{New} Tru Kait https://lulustream.com/d/ue7nib90071z https://doodstream.com/d/zvz8rpvzxls4/27617508 https://streamtape.com/v/41x0PBPR3Qc2eg/27617508 (2026) #MILF #BigTits #Hardcore #Bigass #Blowjob #Amateur #Facial #RIPNSFW</v>
      </c>
      <c r="B1606" s="12" t="str">
        <f>New!A:A</f>
        <v>Tru Kait - 27617508 - ripnsfw.com.jpg</v>
      </c>
      <c r="C1606" s="12" t="s">
        <v>8895</v>
      </c>
      <c r="D1606" s="46">
        <f>New!P:P</f>
        <v>0</v>
      </c>
    </row>
    <row r="1607" spans="1:4" ht="12.75">
      <c r="A1607" s="45" t="str">
        <f ca="1">New!M:M</f>
        <v>{New} Tru Kait https://doodstream.com/d/9n6smx2ag0et/35274187 https://lulustream.com/d/ki084q25kbej https://streamtape.com/v/mPQoG9YlyqcbqWg/35274187 (2026) #MILF #BigTits #Hardcore #Bigass #Latina #RIPNSFW</v>
      </c>
      <c r="B1607" s="12" t="str">
        <f>New!A:A</f>
        <v>Tru Kait - 35274187 - ripnsfw.com.jpg</v>
      </c>
      <c r="C1607" s="12" t="s">
        <v>8895</v>
      </c>
      <c r="D1607" s="46">
        <f>New!P:P</f>
        <v>0</v>
      </c>
    </row>
    <row r="1608" spans="1:4" ht="12.75">
      <c r="A1608" s="45" t="str">
        <f ca="1">New!M:M</f>
        <v>{New} Tru Kait https://lulustream.com/d/i6nr7x4814p9 https://streamtape.com/v/wV746XAKqbIJM9L/60340999 https://doodstream.com/d/eiv13rnbx71g/60340999 Elle Brooke (2026) #MILF #BigTits #Hardcore #Threesome #RIPNSFW</v>
      </c>
      <c r="B1608" s="12" t="str">
        <f>New!A:A</f>
        <v>Tru Kait - 60340999 - Onlyfans - Elle Brooke.jpg</v>
      </c>
      <c r="C1608" s="12" t="s">
        <v>8895</v>
      </c>
      <c r="D1608" s="46">
        <f>New!P:P</f>
        <v>0</v>
      </c>
    </row>
    <row r="1609" spans="1:4" ht="12.75">
      <c r="A1609" s="45" t="str">
        <f ca="1">New!M:M</f>
        <v>{New} Tru Kait https://doodstream.com/d/9yjdadw5v99b/64359273 https://lulustream.com/d/ki0yx2n5sncp https://streamtape.com/v/0RjA88PmvATm7O/64359273 (2026) #blowjob #milf #bigtits #pov #RIPNSFW</v>
      </c>
      <c r="B1609" s="12" t="str">
        <f>New!A:A</f>
        <v>Tru Kait - 64359273 - Onlyfans.jpg</v>
      </c>
      <c r="C1609" s="12" t="s">
        <v>8895</v>
      </c>
      <c r="D1609" s="46">
        <f>New!P:P</f>
        <v>0</v>
      </c>
    </row>
    <row r="1610" spans="1:4" ht="12.75">
      <c r="A1610" s="45" t="str">
        <f ca="1">New!M:M</f>
        <v>{New} Tru Kait https://streamtape.com/v/JpqLoeq94AFj3DZ/69147960 https://lulustream.com/d/rv8ub73pxcgx https://doodstream.com/d/om1cjy4i3fve/69147960 (2026) #milf #bigass #bigtits #blowjob #RIPNSFW</v>
      </c>
      <c r="B1610" s="12" t="str">
        <f>New!A:A</f>
        <v>Tru Kait - 69147960 - Onlyfans.jpg</v>
      </c>
      <c r="C1610" s="12" t="s">
        <v>8895</v>
      </c>
      <c r="D1610" s="46">
        <f>New!P:P</f>
        <v>0</v>
      </c>
    </row>
    <row r="1611" spans="1:4" ht="12.75">
      <c r="A1611" s="45" t="str">
        <f ca="1">New!M:M</f>
        <v>{New} Tru Kait https://doodstream.com/d/0l1k5givv8db/96724229 https://streamtape.com/v/1PRYJ047XoFeadw/96724229 https://lulustream.com/d/vxcanc23t9gb Hayley Davies (2026) #milf #threesome #bigtits #bigass #RIPNSFW</v>
      </c>
      <c r="B1611" s="12" t="str">
        <f>New!A:A</f>
        <v>Tru Kait - 96724229 - Onlyfans - Hayley Davies.jpg</v>
      </c>
      <c r="C1611" s="12" t="s">
        <v>8895</v>
      </c>
      <c r="D1611" s="46">
        <f>New!P:P</f>
        <v>0</v>
      </c>
    </row>
    <row r="1612" spans="1:4" ht="12.75">
      <c r="A1612" s="45" t="str">
        <f ca="1">New!M:M</f>
        <v>{New} Valentina Nappi https://doodstream.com/d/tb3curglycv9/11582220 https://lulustream.com/d/fxu0n1edhpou https://streamtape.com/v/QJ9ypmv7b8C0DAQ/11582220 (2026) #creampie #milf #blowjob #bigass #RIPNSFW</v>
      </c>
      <c r="B1612" s="12" t="str">
        <f>New!A:A</f>
        <v>Valentina Nappi - 11582220 - Onlyfans.jpg</v>
      </c>
      <c r="C1612" s="12" t="s">
        <v>8895</v>
      </c>
      <c r="D1612" s="46">
        <f>New!P:P</f>
        <v>0</v>
      </c>
    </row>
    <row r="1613" spans="1:4" ht="12.75">
      <c r="A1613" s="45" t="str">
        <f ca="1">New!M:M</f>
        <v>{New} Valentina Nappi https://streamtape.com/v/9WOV0LQRPeIaryV/18075203 https://doodstream.com/d/hppwlwlygliv/18075203 https://lulustream.com/d/zpejen2os007 Violet Starr (2026) #milf #bigtits #bigass #blowjob #RIPNSFW</v>
      </c>
      <c r="B1613" s="12" t="str">
        <f>New!A:A</f>
        <v>Valentina Nappi - 18075203 - Onlyfans - Violet Starr.jpg</v>
      </c>
      <c r="C1613" s="12" t="s">
        <v>8895</v>
      </c>
      <c r="D1613" s="46">
        <f>New!P:P</f>
        <v>0</v>
      </c>
    </row>
    <row r="1614" spans="1:4" ht="12.75">
      <c r="A1614" s="45" t="str">
        <f ca="1">New!M:M</f>
        <v>{New} Valentina Nappi https://doodstream.com/d/1ecko0rxs8yd/22365103 https://lulustream.com/d/tuwjmlp0aqxc https://streamtape.com/v/xrdey7bqdZiQR2/22365103 (2026) #milf #bigtits #bigass #blowjob #RIPNSFW</v>
      </c>
      <c r="B1614" s="12" t="str">
        <f>New!A:A</f>
        <v>Valentina Nappi - 22365103 - Onlyfans.jpg</v>
      </c>
      <c r="C1614" s="12" t="s">
        <v>8895</v>
      </c>
      <c r="D1614" s="46">
        <f>New!P:P</f>
        <v>0</v>
      </c>
    </row>
    <row r="1615" spans="1:4" ht="12.75">
      <c r="A1615" s="45" t="str">
        <f ca="1">New!M:M</f>
        <v>{New} Valentina Nappi https://streamtape.com/v/qD9qa3X91aUzXpw/25551660 https://doodstream.com/d/zmhdcfmsq8jn/25551660 https://lulustream.com/d/kpqotxup82x3 (2026) #MILF #BigTits #Hardcore #Black #Interracial #Bigass #Porn #Blowjob #RIPNSFW</v>
      </c>
      <c r="B1615" s="12" t="str">
        <f>New!A:A</f>
        <v>Valentina Nappi - 25551660 - ripnsfw.com.jpg</v>
      </c>
      <c r="C1615" s="12" t="s">
        <v>8895</v>
      </c>
      <c r="D1615" s="46">
        <f>New!P:P</f>
        <v>0</v>
      </c>
    </row>
    <row r="1616" spans="1:4" ht="12.75">
      <c r="A1616" s="45" t="str">
        <f ca="1">New!M:M</f>
        <v>{New} Valentina Nappi https://doodstream.com/d/8i7nvwr58v0t/30306316 https://streamtape.com/v/k02q2Lalp1IOv3Q/30306316 https://lulustream.com/d/ly18xxphau8x (2026) #anal #milf #bigtits #threesome #RIPNSFW</v>
      </c>
      <c r="B1616" s="12" t="str">
        <f>New!A:A</f>
        <v>Valentina Nappi - 30306316 - Onlyfans.jpg</v>
      </c>
      <c r="C1616" s="12" t="s">
        <v>8895</v>
      </c>
      <c r="D1616" s="46">
        <f>New!P:P</f>
        <v>0</v>
      </c>
    </row>
    <row r="1617" spans="1:4" ht="12.75">
      <c r="A1617" s="45" t="str">
        <f ca="1">New!M:M</f>
        <v>{New} Valentina Nappi https://doodstream.com/d/okpx79z1khky/31083478 https://streamtape.com/v/xe7aPKbL9ysjwP/31083478 https://lulustream.com/d/rhoket13hei2 Gal Ritchie Chanel Camryn (2026) #MILF #BigTits #Hardcore #Black #RIPNSFW</v>
      </c>
      <c r="B1617" s="12" t="str">
        <f>New!A:A</f>
        <v>Valentina Nappi - 31083478 - Deeper - Gal Ritchie - Chanel Camryn.jpg</v>
      </c>
      <c r="C1617" s="12" t="s">
        <v>8895</v>
      </c>
      <c r="D1617" s="46">
        <f>New!P:P</f>
        <v>0</v>
      </c>
    </row>
    <row r="1618" spans="1:4" ht="12.75">
      <c r="A1618" s="45" t="str">
        <f ca="1">New!M:M</f>
        <v>{New} Valentina Nappi https://streamtape.com/v/ml1vwDMA0bIbYYe/32729334 https://lulustream.com/d/s5cddseui5kr https://doodstream.com/d/3smwh4uzntca/32729334 (2026) #milf #bigass #blowjob #bigtits #RIPNSFW</v>
      </c>
      <c r="B1618" s="12" t="str">
        <f>New!A:A</f>
        <v>Valentina Nappi - 32729334 - Onlyfans.jpg</v>
      </c>
      <c r="C1618" s="12" t="s">
        <v>8895</v>
      </c>
      <c r="D1618" s="46">
        <f>New!P:P</f>
        <v>0</v>
      </c>
    </row>
    <row r="1619" spans="1:4" ht="12.75">
      <c r="A1619" s="45" t="str">
        <f ca="1">New!M:M</f>
        <v>{New} Valentina Nappi https://lulustream.com/d/asban2muqd2k https://doodstream.com/d/bckbyiqqp3au/35990230 https://streamtape.com/v/pxwLVWDzx1tr87L/35990230 (2026) #anal #milf #bigtits #bigass #RIPNSFW</v>
      </c>
      <c r="B1619" s="12" t="str">
        <f>New!A:A</f>
        <v>Valentina Nappi - 35990230 - Tushy.jpg</v>
      </c>
      <c r="C1619" s="12" t="s">
        <v>8895</v>
      </c>
      <c r="D1619" s="46">
        <f>New!P:P</f>
        <v>0</v>
      </c>
    </row>
    <row r="1620" spans="1:4" ht="12.75">
      <c r="A1620" s="45" t="str">
        <f ca="1">New!M:M</f>
        <v>{New} Valentina Nappi https://lulustream.com/d/5137p22w63kh https://streamtape.com/v/8OpyvdqXlxsJAB/41448076 https://doodstream.com/d/k85nucgmv6s1/41448076 (2026) #milf #interracial #bigtits #bigass #RIPNSFW</v>
      </c>
      <c r="B1620" s="12" t="str">
        <f>New!A:A</f>
        <v>Valentina Nappi - 41448076 - Onlyfans.jpg</v>
      </c>
      <c r="C1620" s="12" t="s">
        <v>8895</v>
      </c>
      <c r="D1620" s="46">
        <f>New!P:P</f>
        <v>0</v>
      </c>
    </row>
    <row r="1621" spans="1:4" ht="12.75">
      <c r="A1621" s="45" t="str">
        <f ca="1">New!M:M</f>
        <v>{New} Valentina Nappi https://doodstream.com/d/k3pzx6qmdthn/48112568 https://lulustream.com/d/w3oqs023oc6i https://streamtape.com/v/k9gAArzxpyFO44M/48112568 (2026) #MILF #BigTits #Bigass #Solo #RIPNSFW</v>
      </c>
      <c r="B1621" s="12" t="str">
        <f>New!A:A</f>
        <v>Valentina Nappi - 48112568 - ripnsfw.com.jpg</v>
      </c>
      <c r="C1621" s="12" t="s">
        <v>8895</v>
      </c>
      <c r="D1621" s="46">
        <f>New!P:P</f>
        <v>0</v>
      </c>
    </row>
    <row r="1622" spans="1:4" ht="12.75">
      <c r="A1622" s="45" t="str">
        <f ca="1">New!M:M</f>
        <v>{New} Valentina Nappi https://doodstream.com/d/jn2pf4t4djfn/56651761 https://streamtape.com/v/zrBBWRA2e2sYPZb/56651761 https://lulustream.com/d/c3pupgxh8lbm Violet Myers (2026) #bigtits #milf #lesbian #bigass #RIPNSFW</v>
      </c>
      <c r="B1622" s="12" t="str">
        <f>New!A:A</f>
        <v>Valentina Nappi - 56651761 - Onlyfans - Violet Myers.jpg</v>
      </c>
      <c r="C1622" s="12" t="s">
        <v>8895</v>
      </c>
      <c r="D1622" s="46">
        <f>New!P:P</f>
        <v>0</v>
      </c>
    </row>
    <row r="1623" spans="1:4" ht="12.75">
      <c r="A1623" s="45" t="str">
        <f ca="1">New!M:M</f>
        <v>{New} Valentina Nappi https://doodstream.com/d/mvvpk3565cl3/58549865 https://lulustream.com/d/zxtbetupzeli https://streamtape.com/v/Vz80ZadorgSPyk/58549865 (2026) #milf #pov #blowjob #facial #RIPNSFW</v>
      </c>
      <c r="B1623" s="12" t="str">
        <f>New!A:A</f>
        <v>Valentina Nappi - 58549865 - Onlyfans.jpg</v>
      </c>
      <c r="C1623" s="12" t="s">
        <v>8895</v>
      </c>
      <c r="D1623" s="46">
        <f>New!P:P</f>
        <v>0</v>
      </c>
    </row>
    <row r="1624" spans="1:4" ht="12.75">
      <c r="A1624" s="45" t="str">
        <f ca="1">New!M:M</f>
        <v>{New} Valentina Nappi https://streamtape.com/v/Pvwr2QQo2YU0q1Q/62527848 https://doodstream.com/d/khoodc0vvapo/62527848 https://lulustream.com/d/wsqz5qqf7q9k (2026) #milf #interracial #blowjob #bigass #RIPNSFW</v>
      </c>
      <c r="B1624" s="12" t="str">
        <f>New!A:A</f>
        <v>Valentina Nappi - 62527848 - Onlyfans.jpg</v>
      </c>
      <c r="C1624" s="12" t="s">
        <v>8895</v>
      </c>
      <c r="D1624" s="46">
        <f>New!P:P</f>
        <v>0</v>
      </c>
    </row>
    <row r="1625" spans="1:4" ht="12.75">
      <c r="A1625" s="45" t="str">
        <f ca="1">New!M:M</f>
        <v>{New} Valentina Nappi https://lulustream.com/d/q77run5v6y51 https://doodstream.com/d/z1q0hxpl4iri/62934399 https://streamtape.com/v/dpBg1bb6xGhkW7K/62934399 (2026) #milf #interracial #bigtits #bigass #RIPNSFW</v>
      </c>
      <c r="B1625" s="12" t="str">
        <f>New!A:A</f>
        <v>Valentina Nappi - 62934399 - Onlyfans.jpg</v>
      </c>
      <c r="C1625" s="12" t="s">
        <v>8895</v>
      </c>
      <c r="D1625" s="46">
        <f>New!P:P</f>
        <v>0</v>
      </c>
    </row>
    <row r="1626" spans="1:4" ht="12.75">
      <c r="A1626" s="45" t="str">
        <f ca="1">New!M:M</f>
        <v>{New} Valentina Nappi https://streamtape.com/v/4BaLplJd0VTKPmj/64759953 https://lulustream.com/d/sr8ooxyd8y7k https://doodstream.com/d/iq2lokpu35ck/64759953 (2026) #anal #milf #interracial #bigass #RIPNSFW</v>
      </c>
      <c r="B1626" s="12" t="str">
        <f>New!A:A</f>
        <v>Valentina Nappi - 64759953 - EvilAngel.jpg</v>
      </c>
      <c r="C1626" s="12" t="s">
        <v>8895</v>
      </c>
      <c r="D1626" s="46">
        <f>New!P:P</f>
        <v>0</v>
      </c>
    </row>
    <row r="1627" spans="1:4" ht="12.75">
      <c r="A1627" s="45" t="str">
        <f ca="1">New!M:M</f>
        <v>{New} Valentina Nappi https://streamtape.com/v/eakYVb7D7yIoOV/69894279 https://doodstream.com/d/r49sg3e0g4ry/69894279 https://lulustream.com/d/b3i7yoales0m (2026) #MILF #BigTits #Hardcore #Black #Interracial #RIPNSFW</v>
      </c>
      <c r="B1627" s="12" t="str">
        <f>New!A:A</f>
        <v>Valentina Nappi - 69894279 - ripnsfw.com.jpg</v>
      </c>
      <c r="C1627" s="12" t="s">
        <v>8895</v>
      </c>
      <c r="D1627" s="46">
        <f>New!P:P</f>
        <v>0</v>
      </c>
    </row>
    <row r="1628" spans="1:4" ht="12.75">
      <c r="A1628" s="45" t="str">
        <f ca="1">New!M:M</f>
        <v>{New} Valentina Nappi https://lulustream.com/d/995vhdt3g9wu https://doodstream.com/d/s8p7w16ar5qw/71950480 https://streamtape.com/v/lA36RReLBAS7q3M/71950480 (2026) #milf #interracial #bigass #bigtits #RIPNSFW</v>
      </c>
      <c r="B1628" s="12" t="str">
        <f>New!A:A</f>
        <v>Valentina Nappi - 71950480 - JSTV.jpg</v>
      </c>
      <c r="C1628" s="12" t="s">
        <v>8895</v>
      </c>
      <c r="D1628" s="46">
        <f>New!P:P</f>
        <v>0</v>
      </c>
    </row>
    <row r="1629" spans="1:4" ht="12.75">
      <c r="A1629" s="45" t="str">
        <f ca="1">New!M:M</f>
        <v>{New} Valentina Nappi https://streamtape.com/v/wy13AR77ylUJ7P4/78831902 https://lulustream.com/d/ktko06xewvdf https://doodstream.com/d/ni3fx0wyqsli/78831902 Cherie Deville Kayley Gunner Yasmina Khan Luna Star Sara Retali (2026) #orgy #bigtits #blowjob #bigass #RIPNSFW</v>
      </c>
      <c r="B1629" s="12" t="str">
        <f>New!A:A</f>
        <v>Valentina Nappi - 78831902 - PB - Cherie Deville - Kayley Gunner - Yasmina Khan - Luna Star - Sara Retali.jpg</v>
      </c>
      <c r="C1629" s="12" t="s">
        <v>8895</v>
      </c>
      <c r="D1629" s="46">
        <f>New!P:P</f>
        <v>0</v>
      </c>
    </row>
    <row r="1630" spans="1:4" ht="12.75">
      <c r="A1630" s="45" t="str">
        <f ca="1">New!M:M</f>
        <v>{New} Valentina Nappi https://lulustream.com/d/u4sndoe6uzvt https://streamtape.com/v/Ye4vjGL91ZhvD7j/84238758 https://doodstream.com/d/9fxpxsdwt6l0/84238758 (2026) #milf #pov #blowjob #bigtits #RIPNSFW</v>
      </c>
      <c r="B1630" s="12" t="str">
        <f>New!A:A</f>
        <v>Valentina Nappi - 84238758 - MP.jpg</v>
      </c>
      <c r="C1630" s="12" t="s">
        <v>8895</v>
      </c>
      <c r="D1630" s="46">
        <f>New!P:P</f>
        <v>0</v>
      </c>
    </row>
    <row r="1631" spans="1:4" ht="12.75">
      <c r="A1631" s="45" t="str">
        <f ca="1">New!M:M</f>
        <v>{New} Valentina Nappi https://streamtape.com/v/x1g0YorzDgUkKQ1/87322396 https://lulustream.com/d/wy9j30e21s0f https://doodstream.com/d/15oo1p2v4g6x/87322396 (2026) #Anal #MILF #BigTits #Hardcore #Bigass #Porn #Blowjob #Deepthroat #RIPNSFW</v>
      </c>
      <c r="B1631" s="12" t="str">
        <f>New!A:A</f>
        <v>Valentina Nappi - 87322396 - ripnsfw.com.jpg</v>
      </c>
      <c r="C1631" s="12" t="s">
        <v>8895</v>
      </c>
      <c r="D1631" s="46">
        <f>New!P:P</f>
        <v>0</v>
      </c>
    </row>
    <row r="1632" spans="1:4" ht="12.75">
      <c r="A1632" s="45" t="str">
        <f ca="1">New!M:M</f>
        <v>{New} Valentina Nappi https://doodstream.com/d/39vr2icmue30/90064549 https://lulustream.com/d/vrerd26g5sj2 https://streamtape.com/v/eYda3WZeA3UmW2/90064549 (2026) #MILF #BigTits #Hardcore #Bigass #Porn #Stepmom #Blowjob #Hotwife #RIPNSFW</v>
      </c>
      <c r="B1632" s="12" t="str">
        <f>New!A:A</f>
        <v>Valentina Nappi - 90064549 - PornWorld.jpg</v>
      </c>
      <c r="C1632" s="12" t="s">
        <v>8895</v>
      </c>
      <c r="D1632" s="46">
        <f>New!P:P</f>
        <v>0</v>
      </c>
    </row>
    <row r="1633" spans="1:4" ht="12.75">
      <c r="A1633" s="45" t="str">
        <f ca="1">New!M:M</f>
        <v>{New} Valentina Nappi https://lulustream.com/d/9qbm68pc6btj https://streamtape.com/v/Kz4ZqBJGo9C01dP/98211643 https://doodstream.com/d/jipbex2n9mae/98211643 Agatha Vega (2026) #threesome #milf #bigtits #bigass #RIPNSFW</v>
      </c>
      <c r="B1633" s="12" t="str">
        <f>New!A:A</f>
        <v>Valentina Nappi - 98211643 - JSTV - Agatha Vega.jpg</v>
      </c>
      <c r="C1633" s="12" t="s">
        <v>8895</v>
      </c>
      <c r="D1633" s="46">
        <f>New!P:P</f>
        <v>0</v>
      </c>
    </row>
    <row r="1634" spans="1:4" ht="12.75">
      <c r="A1634" s="45" t="str">
        <f ca="1">New!M:M</f>
        <v>{New} Valentina Nappi https://lulustream.com/d/i47ec2j11qzt https://doodstream.com/d/k9x9velsp1cy/98931095 https://streamtape.com/v/BeKegeRAZmFK4q/98931095 (2026) #milf #interracial #bigass #blowjob #RIPNSFW</v>
      </c>
      <c r="B1634" s="12" t="str">
        <f>New!A:A</f>
        <v>Valentina Nappi - 98931095 - Onlyfans.jpg</v>
      </c>
      <c r="C1634" s="12" t="s">
        <v>8895</v>
      </c>
      <c r="D1634" s="46">
        <f>New!P:P</f>
        <v>0</v>
      </c>
    </row>
    <row r="1635" spans="1:4" ht="12.75">
      <c r="A1635" s="45" t="str">
        <f ca="1">New!M:M</f>
        <v>{New} Valentine Vixen https://doodstream.com/d/hx0dujovxq1o/67153144 https://streamtape.com/v/WZly8ex0A7FbzPP/67153144 https://lulustream.com/d/ywexwux3n4f1 Lena the plug (2026) #MILF #BigTits #Hardcore #Threesome #Bigass #Blowjob #RIPNSFW</v>
      </c>
      <c r="B1635" s="12" t="str">
        <f>New!A:A</f>
        <v>Valentine Vixen - 67153144 - ripnsfw.com - Lena the plug.jpg</v>
      </c>
      <c r="C1635" s="12" t="s">
        <v>8895</v>
      </c>
      <c r="D1635" s="46">
        <f>New!P:P</f>
        <v>0</v>
      </c>
    </row>
    <row r="1636" spans="1:4" ht="12.75">
      <c r="A1636" s="45" t="str">
        <f ca="1">New!M:M</f>
        <v>{New} Valentine Vixen https://streamtape.com/v/bGz77XYXd2TP1Vq/80195094 https://lulustream.com/d/y61h47wekycw https://doodstream.com/d/svh8yz1h10zr/80195094 (2026) #MILF #BigTits #Hardcore #Black #Interracial #Bigass #Blowjob #Amateur #RIPNSFW</v>
      </c>
      <c r="B1636" s="12" t="str">
        <f>New!A:A</f>
        <v>Valentine Vixen - 80195094 - Onlyfans.jpg</v>
      </c>
      <c r="C1636" s="12" t="s">
        <v>8895</v>
      </c>
      <c r="D1636" s="46">
        <f>New!P:P</f>
        <v>0</v>
      </c>
    </row>
    <row r="1637" spans="1:4" ht="12.75">
      <c r="A1637" s="45" t="str">
        <f ca="1">New!M:M</f>
        <v>{New} Valerica Steele https://lulustream.com/d/snty3a9doxvy https://doodstream.com/d/ufgs65r35l60/17080532 https://streamtape.com/v/pgr0A717J1Cr3z4/17080532 (2026) #teen #bigtits #blowjob #amateur #RIPNSFW</v>
      </c>
      <c r="B1637" s="12" t="str">
        <f>New!A:A</f>
        <v>Valerica Steele - 17080532 - Onlyfans.jpg</v>
      </c>
      <c r="C1637" s="12" t="s">
        <v>8895</v>
      </c>
      <c r="D1637" s="46">
        <f>New!P:P</f>
        <v>0</v>
      </c>
    </row>
    <row r="1638" spans="1:4" ht="12.75">
      <c r="A1638" s="45" t="str">
        <f ca="1">New!M:M</f>
        <v>{New} Valerica Steele https://lulustream.com/d/ewuyyv3ki13g https://streamtape.com/v/6jWp49zrJAc93Op/21782896 https://doodstream.com/d/x0hvh9tohfh8/21782896 (2026) #teen #bigtits #blowjob #piss #RIPNSFW</v>
      </c>
      <c r="B1638" s="12" t="str">
        <f>New!A:A</f>
        <v>Valerica Steele - 21782896 - Onlyfans.jpg</v>
      </c>
      <c r="C1638" s="12" t="s">
        <v>8895</v>
      </c>
      <c r="D1638" s="46">
        <f>New!P:P</f>
        <v>0</v>
      </c>
    </row>
    <row r="1639" spans="1:4" ht="12.75">
      <c r="A1639" s="45" t="str">
        <f ca="1">New!M:M</f>
        <v>{New} Valerica Steele https://doodstream.com/d/hsi8qfulb760/33990394 https://lulustream.com/d/17osyv1mt1nl https://streamtape.com/v/Kel6VKxJXLS0Qlm/33990394 (2026) #blowjob #threesome #bigtits #teen #RIPNSFW</v>
      </c>
      <c r="B1639" s="12" t="str">
        <f>New!A:A</f>
        <v>Valerica Steele - 33990394 - PB.jpg</v>
      </c>
      <c r="C1639" s="12" t="s">
        <v>8895</v>
      </c>
      <c r="D1639" s="46">
        <f>New!P:P</f>
        <v>0</v>
      </c>
    </row>
    <row r="1640" spans="1:4" ht="12.75">
      <c r="A1640" s="45" t="str">
        <f ca="1">New!M:M</f>
        <v>{New} Valerica Steele https://doodstream.com/d/cvepa15bjz17/35896064 https://streamtape.com/v/Y8dRAzr6w0c2dy/35896064 https://lulustream.com/d/1723lm9eljfj (2026) #teen #bigtits #interracial #blowjob #RIPNSFW</v>
      </c>
      <c r="B1640" s="12" t="str">
        <f>New!A:A</f>
        <v>Valerica Steele - 35896064 - Onlyfans.jpg</v>
      </c>
      <c r="C1640" s="12" t="s">
        <v>8895</v>
      </c>
      <c r="D1640" s="46">
        <f>New!P:P</f>
        <v>0</v>
      </c>
    </row>
    <row r="1641" spans="1:4" ht="12.75">
      <c r="A1641" s="45" t="str">
        <f ca="1">New!M:M</f>
        <v>{New} Valerica Steele https://doodstream.com/d/nyr85nkm15b3/40347610 https://lulustream.com/d/urz42psjtaiw https://streamtape.com/v/KyKKZ8gOoyC08LZ/40347610 (2026) #teen #bigtits #blowjob #amateur #RIPNSFW</v>
      </c>
      <c r="B1641" s="12" t="str">
        <f>New!A:A</f>
        <v>Valerica Steele - 40347610 - Onlyfans.jpg</v>
      </c>
      <c r="C1641" s="12" t="s">
        <v>8895</v>
      </c>
      <c r="D1641" s="46">
        <f>New!P:P</f>
        <v>0</v>
      </c>
    </row>
    <row r="1642" spans="1:4" ht="12.75">
      <c r="A1642" s="45" t="str">
        <f ca="1">New!M:M</f>
        <v>{New} Valerica Steele https://streamtape.com/v/7jGOPamBMptJj3/46899517 https://doodstream.com/d/6w27p3t1lqgl/46899517 https://lulustream.com/d/bz8t2gfiifl2 (2026) #BigTits #Creampie #Hardcore #Teen #RIPNSFW</v>
      </c>
      <c r="B1642" s="12" t="str">
        <f>New!A:A</f>
        <v>Valerica Steele - 46899517 - Onlyfans.jpg</v>
      </c>
      <c r="C1642" s="12" t="s">
        <v>8895</v>
      </c>
      <c r="D1642" s="46">
        <f>New!P:P</f>
        <v>0</v>
      </c>
    </row>
    <row r="1643" spans="1:4" ht="12.75">
      <c r="A1643" s="45" t="str">
        <f ca="1">New!M:M</f>
        <v>{New} Valerica Steele https://streamtape.com/v/29pmxKDmRmSZyx7/47210811 https://lulustream.com/d/yxbvi4cz58ob https://doodstream.com/d/zdtee12ed137/47210811 (2026) #BigTits #Creampie #Hardcore #Teen #Blowjob #Amateur #RIPNSFW</v>
      </c>
      <c r="B1643" s="12" t="str">
        <f>New!A:A</f>
        <v>Valerica Steele - 47210811 - ripnsfw.com.jpg</v>
      </c>
      <c r="C1643" s="12" t="s">
        <v>8895</v>
      </c>
      <c r="D1643" s="46">
        <f>New!P:P</f>
        <v>0</v>
      </c>
    </row>
    <row r="1644" spans="1:4" ht="12.75">
      <c r="A1644" s="45" t="str">
        <f ca="1">New!M:M</f>
        <v>{New} Valerica Steele https://lulustream.com/d/bvoyfsee93q2 https://streamtape.com/v/pg2oamJJAeTVAa/63981478 https://doodstream.com/d/xztyhn0tflu8/63981478 (2026) #teen #bigtits #interracial #blowjob #RIPNSFW</v>
      </c>
      <c r="B1644" s="12" t="str">
        <f>New!A:A</f>
        <v>Valerica Steele - 63981478 - Onlyfans.jpg</v>
      </c>
      <c r="C1644" s="12" t="s">
        <v>8895</v>
      </c>
      <c r="D1644" s="46">
        <f>New!P:P</f>
        <v>0</v>
      </c>
    </row>
    <row r="1645" spans="1:4" ht="12.75">
      <c r="A1645" s="45" t="str">
        <f ca="1">New!M:M</f>
        <v>{New} Valerica Steele https://doodstream.com/d/jee37s84sucd/64528221 https://streamtape.com/v/wP7Pa2oeApHJ7Al/64528221 https://lulustream.com/d/36a9h9e0mutc Asteria Jade (2026) #bigtits #blowjob #teens #interracial #RIPNSFW</v>
      </c>
      <c r="B1645" s="12" t="str">
        <f>New!A:A</f>
        <v>Valerica Steele - 64528221 - Deeper - Asteria Jade.jpg</v>
      </c>
      <c r="C1645" s="12" t="s">
        <v>8895</v>
      </c>
      <c r="D1645" s="46">
        <f>New!P:P</f>
        <v>0</v>
      </c>
    </row>
    <row r="1646" spans="1:4" ht="12.75">
      <c r="A1646" s="45" t="str">
        <f ca="1">New!M:M</f>
        <v>{New} Valerica Steele https://lulustream.com/d/agsy6c2zgci4 https://doodstream.com/d/zjbctmdr8235/67298684 https://streamtape.com/v/DXZ0e4DkgmckaQB/67298684 (2026) #Creampie #Hardcore #Black #Interracial #Teen #Squirt #Blowjob #Amateur #RIPNSFW</v>
      </c>
      <c r="B1646" s="12" t="str">
        <f>New!A:A</f>
        <v>Valerica Steele - 67298684 - ripnsfw.com.jpg</v>
      </c>
      <c r="C1646" s="12" t="s">
        <v>8895</v>
      </c>
      <c r="D1646" s="46">
        <f>New!P:P</f>
        <v>0</v>
      </c>
    </row>
    <row r="1647" spans="1:4" ht="12.75">
      <c r="A1647" s="45" t="str">
        <f ca="1">New!M:M</f>
        <v>{New} Valerica Steele https://streamtape.com/v/e2Xw1wP70GsYr9G/69304102 https://lulustream.com/d/z0hm2fbqgs8p https://doodstream.com/d/xd4ol3z9h66j/69304102 (2026) #teen #interracial #bigtits #blowjob #RIPNSFW</v>
      </c>
      <c r="B1647" s="12" t="str">
        <f>New!A:A</f>
        <v>Valerica Steele - 69304102 - Onlyfans.jpg</v>
      </c>
      <c r="C1647" s="12" t="s">
        <v>8895</v>
      </c>
      <c r="D1647" s="46">
        <f>New!P:P</f>
        <v>0</v>
      </c>
    </row>
    <row r="1648" spans="1:4" ht="12.75">
      <c r="A1648" s="45" t="str">
        <f ca="1">New!M:M</f>
        <v>{New} Valerica Steele https://doodstream.com/d/c77xubz3h5gb/75492502 https://streamtape.com/v/MjavKkZ0YlSmjaY/75492502 https://lulustream.com/d/4xa3y2htqi70 (2026) #teen #outdoor #bigtits #blowjob #RIPNSFW</v>
      </c>
      <c r="B1648" s="12" t="str">
        <f>New!A:A</f>
        <v>Valerica Steele - 75492502 - Onlyfans.jpg</v>
      </c>
      <c r="C1648" s="12" t="s">
        <v>8895</v>
      </c>
      <c r="D1648" s="46">
        <f>New!P:P</f>
        <v>0</v>
      </c>
    </row>
    <row r="1649" spans="1:4" ht="12.75">
      <c r="A1649" s="45" t="str">
        <f ca="1">New!M:M</f>
        <v>{New} Valerica Steele https://streamtape.com/v/zLqLvyv6LMTYq0o/83725491 https://lulustream.com/d/rm7rq061h5cl https://doodstream.com/d/zoayj3ogdoi8/83725491 (2026) #Hardcore #Black #Interracial #Bigass #RIPNSFW</v>
      </c>
      <c r="B1649" s="12" t="str">
        <f>New!A:A</f>
        <v>Valerica Steele - 83725491 - ripnsfw.com.jpg</v>
      </c>
      <c r="C1649" s="12" t="s">
        <v>8895</v>
      </c>
      <c r="D1649" s="46">
        <f>New!P:P</f>
        <v>0</v>
      </c>
    </row>
    <row r="1650" spans="1:4" ht="12.75">
      <c r="A1650" s="45" t="str">
        <f ca="1">New!M:M</f>
        <v>{New} Valerica Steele https://lulustream.com/d/ev5o8hddll76 https://streamtape.com/v/Q2B9mOPr1di06Dp/88056051 https://doodstream.com/d/7emozhou77dq/88056051 (2026) #teen #bigtits #blowjob #amateur #RIPNSFW</v>
      </c>
      <c r="B1650" s="12" t="str">
        <f>New!A:A</f>
        <v>Valerica Steele - 88056051 - XVRED.jpg</v>
      </c>
      <c r="C1650" s="12" t="s">
        <v>8895</v>
      </c>
      <c r="D1650" s="46">
        <f>New!P:P</f>
        <v>0</v>
      </c>
    </row>
    <row r="1651" spans="1:4" ht="12.75">
      <c r="A1651" s="45" t="str">
        <f ca="1">New!M:M</f>
        <v>{New} Valerica Steele https://lulustream.com/d/5dlpnidr6iic https://streamtape.com/v/9O1vrQpJeKiBqw/88316277 https://doodstream.com/d/3d5593edffzg/88316277 (2026) #teen #bigtits #blowjob #amateur #RIPNSFW</v>
      </c>
      <c r="B1651" s="12" t="str">
        <f>New!A:A</f>
        <v>Valerica Steele - 88316277 - PB.jpg</v>
      </c>
      <c r="C1651" s="12" t="s">
        <v>8895</v>
      </c>
      <c r="D1651" s="46">
        <f>New!P:P</f>
        <v>0</v>
      </c>
    </row>
    <row r="1652" spans="1:4" ht="12.75">
      <c r="A1652" s="45" t="str">
        <f ca="1">New!M:M</f>
        <v>{New} Valerica Steele https://streamtape.com/v/6k8AqDV9Lpu9B74/93431306 https://lulustream.com/d/hzc1a4v8zrcj https://doodstream.com/d/kuvb1w2rfal1/93431306 (2026) #teen #bigtits #blowjob #amateur #RIPNSFW</v>
      </c>
      <c r="B1652" s="12" t="str">
        <f>New!A:A</f>
        <v>Valerica Steele - 93431306 - Onlyfans.jpg</v>
      </c>
      <c r="C1652" s="12" t="s">
        <v>8895</v>
      </c>
      <c r="D1652" s="46">
        <f>New!P:P</f>
        <v>0</v>
      </c>
    </row>
    <row r="1653" spans="1:4" ht="12.75">
      <c r="A1653" s="45" t="str">
        <f ca="1">New!M:M</f>
        <v>{New} Valerica Steele https://streamtape.com/v/9kP18KDWDZh9R8/94903486 https://doodstream.com/d/o1nzikkpir53/94903486 https://lulustream.com/d/n7h4f8grt3at (2026) #teen #bigtits #pov #blowjob #RIPNSFW</v>
      </c>
      <c r="B1653" s="12" t="str">
        <f>New!A:A</f>
        <v>Valerica Steele - 94903486 - Onlyfans.jpg</v>
      </c>
      <c r="C1653" s="12" t="s">
        <v>8895</v>
      </c>
      <c r="D1653" s="46">
        <f>New!P:P</f>
        <v>0</v>
      </c>
    </row>
    <row r="1654" spans="1:4" ht="12.75">
      <c r="A1654" s="45" t="str">
        <f ca="1">New!M:M</f>
        <v>{New} Valerica Steele https://lulustream.com/d/el9obmlv96rj https://doodstream.com/d/qbb6d88sueg4/96288677 https://streamtape.com/v/lqR0y9qWa1U7GXW/96288677 (2026) #teen #bigtits #blowjob #massage #RIPNSFW</v>
      </c>
      <c r="B1654" s="12" t="str">
        <f>New!A:A</f>
        <v>Valerica Steele - 96288677 - SS.jpg</v>
      </c>
      <c r="C1654" s="12" t="s">
        <v>8895</v>
      </c>
      <c r="D1654" s="46">
        <f>New!P:P</f>
        <v>0</v>
      </c>
    </row>
    <row r="1655" spans="1:4" ht="12.75">
      <c r="A1655" s="45" t="str">
        <f ca="1">New!M:M</f>
        <v>{New} Valerica Steele https://doodstream.com/d/lbe1kzsgf1r1/96346788 https://streamtape.com/v/m1dmDoKzoQhbbqQ/96346788 https://lulustream.com/d/k208sr9aypke (2026) #BigTits #Hardcore #Threesome #Teen #Porn #RIPNSFW</v>
      </c>
      <c r="B1655" s="12" t="str">
        <f>New!A:A</f>
        <v>Valerica Steele - 96346788 - Bang.jpg</v>
      </c>
      <c r="C1655" s="12" t="s">
        <v>8895</v>
      </c>
      <c r="D1655" s="46">
        <f>New!P:P</f>
        <v>0</v>
      </c>
    </row>
    <row r="1656" spans="1:4" ht="12.75">
      <c r="A1656" s="45" t="str">
        <f ca="1">New!M:M</f>
        <v>{New} Valerica Steele https://streamtape.com/v/J3zwRAr1LkFjzbe/97879386 https://doodstream.com/d/09fansd4qe2i/97879386 https://lulustream.com/d/rpxbegz71ilg (2026) #teen #bigtits #blowjob #amateur #RIPNSFW</v>
      </c>
      <c r="B1656" s="12" t="str">
        <f>New!A:A</f>
        <v>Valerica Steele - 97879386 - Onlyfans.jpg</v>
      </c>
      <c r="C1656" s="12" t="s">
        <v>8895</v>
      </c>
      <c r="D1656" s="46">
        <f>New!P:P</f>
        <v>0</v>
      </c>
    </row>
    <row r="1657" spans="1:4" ht="12.75">
      <c r="A1657" s="45" t="str">
        <f ca="1">New!M:M</f>
        <v>{New} Vanda Angel https://streamtape.com/v/gry6337z4ZTq8K8/23666695 https://doodstream.com/d/c6a7xivn8iph/23666695 https://lulustream.com/d/4r5vq5v0fydp (2026) #teen #bigtits #bigass #blowjob #RIPNSFW</v>
      </c>
      <c r="B1657" s="12" t="str">
        <f>New!A:A</f>
        <v>Vanda Angel - 23666695 - Inflagranti.jpg</v>
      </c>
      <c r="C1657" s="12" t="s">
        <v>8895</v>
      </c>
      <c r="D1657" s="46">
        <f>New!P:P</f>
        <v>0</v>
      </c>
    </row>
    <row r="1658" spans="1:4" ht="12.75">
      <c r="A1658" s="45" t="str">
        <f ca="1">New!M:M</f>
        <v>{New} Vanda Angel https://lulustream.com/d/lt7ovqfwdoia https://doodstream.com/d/ce1dtrqufv0c/65423416 https://streamtape.com/v/g1pKlp04Q9IqRxj/65423416 (2026) #teen #blowjob #bigtits #porn #RIPNSFW</v>
      </c>
      <c r="B1658" s="12" t="str">
        <f>New!A:A</f>
        <v>Vanda Angel - 65423416 - Inflagranti.jpg</v>
      </c>
      <c r="C1658" s="12" t="s">
        <v>8895</v>
      </c>
      <c r="D1658" s="46">
        <f>New!P:P</f>
        <v>0</v>
      </c>
    </row>
    <row r="1659" spans="1:4" ht="12.75">
      <c r="A1659" s="45" t="str">
        <f ca="1">New!M:M</f>
        <v>{New} Vanessa Sky https://streamtape.com/v/RDDXDJ2LvMHdQXw/15447404 https://lulustream.com/d/zdhh2vgx5bmp https://doodstream.com/d/s4q3uud9ax97/15447404 (2026) #brunette #blowjob #bigtits #porn #RIPNSFW</v>
      </c>
      <c r="B1659" s="12" t="str">
        <f>New!A:A</f>
        <v>Vanessa Sky - 15447404 - GD.jpg</v>
      </c>
      <c r="C1659" s="12" t="s">
        <v>8895</v>
      </c>
      <c r="D1659" s="46">
        <f>New!P:P</f>
        <v>0</v>
      </c>
    </row>
    <row r="1660" spans="1:4" ht="12.75">
      <c r="A1660" s="45" t="str">
        <f ca="1">New!M:M</f>
        <v>{New} Violet Dawn https://lulustream.com/d/vjvxzt4mpeuh https://streamtape.com/v/pMy82jgyQzhW6e/76000213 https://doodstream.com/d/8qs1t60gs2kh/76000213 (2026) #Anal #Hardcore #Teen #Blowjob #Amateur #Facial #RIPNSFW</v>
      </c>
      <c r="B1660" s="12" t="str">
        <f>New!A:A</f>
        <v>Violet Dawn - 76000213 - ripnsfw.com.jpg</v>
      </c>
      <c r="C1660" s="12" t="s">
        <v>8895</v>
      </c>
      <c r="D1660" s="46">
        <f>New!P:P</f>
        <v>0</v>
      </c>
    </row>
    <row r="1661" spans="1:4" ht="12.75">
      <c r="A1661" s="45" t="str">
        <f ca="1">New!M:M</f>
        <v>{New} Violet Myers https://streamtape.com/v/QgYDPLoRRlf0OZ2/10931012 https://lulustream.com/d/pbuuaqeftp9c https://doodstream.com/d/2zrw66l28y5q/10931012 (2026) #milf #bigass #bigtits #brunette #RIPNSFW</v>
      </c>
      <c r="B1661" s="12" t="str">
        <f>New!A:A</f>
        <v>Violet Myers - 10931012 - Onlyfans.jpg</v>
      </c>
      <c r="C1661" s="12" t="s">
        <v>8895</v>
      </c>
      <c r="D1661" s="46">
        <f>New!P:P</f>
        <v>0</v>
      </c>
    </row>
    <row r="1662" spans="1:4" ht="12.75">
      <c r="A1662" s="45" t="str">
        <f ca="1">New!M:M</f>
        <v>{New} Violet Myers https://doodstream.com/d/ugtpqlv5t84p/10931617 https://streamtape.com/v/dpKr9WBxMWCkW08/10931617 https://lulustream.com/d/k1nvryv3t1f2 (2026) #milf #bigtits #hardcore #bigass #RIPNSFW</v>
      </c>
      <c r="B1662" s="12" t="str">
        <f>New!A:A</f>
        <v>Violet Myers - 10931617 - Onlyfans.jpg</v>
      </c>
      <c r="C1662" s="12" t="s">
        <v>8895</v>
      </c>
      <c r="D1662" s="46">
        <f>New!P:P</f>
        <v>0</v>
      </c>
    </row>
    <row r="1663" spans="1:4" ht="12.75">
      <c r="A1663" s="45" t="str">
        <f ca="1">New!M:M</f>
        <v>{New} Violet Myers https://streamtape.com/v/Z2L1yM762kFqWJV/11112124 https://doodstream.com/d/ieilsa1p9ld1/11112124 https://lulustream.com/d/o05webquflwa Raissa Bellini (2026) #MILF #BigTits #Hardcore #Threesome #Bigass #Latina #RIPNSFW</v>
      </c>
      <c r="B1663" s="12" t="str">
        <f>New!A:A</f>
        <v>Violet Myers - 11112124 - ripnsfw.com - Raissa Bellini.jpg</v>
      </c>
      <c r="C1663" s="12" t="s">
        <v>8895</v>
      </c>
      <c r="D1663" s="46">
        <f>New!P:P</f>
        <v>0</v>
      </c>
    </row>
    <row r="1664" spans="1:4" ht="12.75">
      <c r="A1664" s="45" t="str">
        <f ca="1">New!M:M</f>
        <v>{New} Violet Myers https://lulustream.com/d/2cwswu3wdy5e https://doodstream.com/d/xgflanlsvcar/12322457 https://streamtape.com/v/aGbzl9BODJFx39j/12322457 Lena the plug (2026) #MILF #BigTits #Hardcore #Threesome #Bigass #Latina #RIPNSFW</v>
      </c>
      <c r="B1664" s="12" t="str">
        <f>New!A:A</f>
        <v>Violet Myers - 12322457 - ripnsfw.com - Lena the plug.jpg</v>
      </c>
      <c r="C1664" s="12" t="s">
        <v>8895</v>
      </c>
      <c r="D1664" s="46">
        <f>New!P:P</f>
        <v>0</v>
      </c>
    </row>
    <row r="1665" spans="1:4" ht="12.75">
      <c r="A1665" s="45" t="str">
        <f ca="1">New!M:M</f>
        <v>{New} Violet Myers https://lulustream.com/d/ggdltog4pig3 https://streamtape.com/v/9oxgYWPRVDSagWA/12378786 https://doodstream.com/d/gigvulgw69wj/12378786 (2026) #milf #bigtits #bigass #blowjob #RIPNSFW</v>
      </c>
      <c r="B1665" s="12" t="str">
        <f>New!A:A</f>
        <v>Violet Myers - 12378786 - Onlyfans.jpg</v>
      </c>
      <c r="C1665" s="12" t="s">
        <v>8895</v>
      </c>
      <c r="D1665" s="46">
        <f>New!P:P</f>
        <v>0</v>
      </c>
    </row>
    <row r="1666" spans="1:4" ht="12.75">
      <c r="A1666" s="45" t="str">
        <f ca="1">New!M:M</f>
        <v>{New} Violet Myers https://streamtape.com/v/0z6dgA8LOjTbrlX/15445770 https://doodstream.com/d/3ii0p94b41el/15445770 https://lulustream.com/d/dezfkcm0ci1w Raissa Bellini (2026) #MILF #BigTits #Hardcore #Threesome #Bigass #Latina #RIPNSFW</v>
      </c>
      <c r="B1666" s="12" t="str">
        <f>New!A:A</f>
        <v>Violet Myers - 15445770 - Onlyfans - Raissa Bellini.jpg</v>
      </c>
      <c r="C1666" s="12" t="s">
        <v>8895</v>
      </c>
      <c r="D1666" s="46">
        <f>New!P:P</f>
        <v>0</v>
      </c>
    </row>
    <row r="1667" spans="1:4" ht="12.75">
      <c r="A1667" s="45" t="str">
        <f ca="1">New!M:M</f>
        <v>{New} Violet Myers https://lulustream.com/d/7xv11sk1cta6 https://streamtape.com/v/YPyJL16exqSvYRr/17285742 https://doodstream.com/d/uzauou5x0u4e/17285742 (2026) #MILF #BigTits #Hardcore #Black #Interracial #Bigass #Latina #Artporn #RIPNSFW</v>
      </c>
      <c r="B1667" s="12" t="str">
        <f>New!A:A</f>
        <v>Violet Myers - 17285742 - Onlyfans.jpg</v>
      </c>
      <c r="C1667" s="12" t="s">
        <v>8895</v>
      </c>
      <c r="D1667" s="46">
        <f>New!P:P</f>
        <v>0</v>
      </c>
    </row>
    <row r="1668" spans="1:4" ht="12.75">
      <c r="A1668" s="45" t="str">
        <f ca="1">New!M:M</f>
        <v>{New} Violet Myers https://lulustream.com/d/1iuqalq63kj4 https://doodstream.com/d/jxxroafwfj6c/17383595 https://streamtape.com/v/My3PmLmzjKhmgke/17383595 Emma Magnolia (2026) #MILF #BigTits #Hardcore #Threesome #Bigass #RIPNSFW</v>
      </c>
      <c r="B1668" s="12" t="str">
        <f>New!A:A</f>
        <v>Violet Myers - 17383595 - Onlyfans - Emma Magnolia.jpg</v>
      </c>
      <c r="C1668" s="12" t="s">
        <v>8895</v>
      </c>
      <c r="D1668" s="46">
        <f>New!P:P</f>
        <v>0</v>
      </c>
    </row>
    <row r="1669" spans="1:4" ht="12.75">
      <c r="A1669" s="45" t="str">
        <f ca="1">New!M:M</f>
        <v>{New} Violet Myers https://streamtape.com/v/Q3q8eQKyAqTGyg/19734092 https://lulustream.com/d/i3p3z4ajxz4y https://doodstream.com/d/w3aohckv9h08/19734092 (2026) #milf #blowjob #bigtits #bigass #RIPNSFW</v>
      </c>
      <c r="B1669" s="12" t="str">
        <f>New!A:A</f>
        <v>Violet Myers - 19734092 - Onlyfans.jpg</v>
      </c>
      <c r="C1669" s="12" t="s">
        <v>8895</v>
      </c>
      <c r="D1669" s="46">
        <f>New!P:P</f>
        <v>0</v>
      </c>
    </row>
    <row r="1670" spans="1:4" ht="12.75">
      <c r="A1670" s="45" t="str">
        <f ca="1">New!M:M</f>
        <v>{New} Violet Myers https://doodstream.com/d/mkpx212ywhss/21266101 https://lulustream.com/d/060ppfv5328u https://streamtape.com/v/J0X0gxV4xzCj3Vz/21266101 Lena the plug (2026) #MILF #BigTits #Hardcore #Threesome #Bigass #Latina #Blowjob #Amateur #RIPNSFW</v>
      </c>
      <c r="B1670" s="12" t="str">
        <f>New!A:A</f>
        <v>Violet Myers - 21266101 - ripnsfw.com - Lena the plug.jpg</v>
      </c>
      <c r="C1670" s="12" t="s">
        <v>8895</v>
      </c>
      <c r="D1670" s="46">
        <f>New!P:P</f>
        <v>0</v>
      </c>
    </row>
    <row r="1671" spans="1:4" ht="12.75">
      <c r="A1671" s="45" t="str">
        <f ca="1">New!M:M</f>
        <v>{New} Violet Myers https://streamtape.com/v/oegp3bxpX1sJwj2/21770202 https://doodstream.com/d/m2ki90v2207j/21770202 https://lulustream.com/d/we5a67gu6h0t (2026) #milf #bigtits #blowjob #bigass #RIPNSFW</v>
      </c>
      <c r="B1671" s="12" t="str">
        <f>New!A:A</f>
        <v>Violet Myers - 21770202 - Bellesa.jpg</v>
      </c>
      <c r="C1671" s="12" t="s">
        <v>8895</v>
      </c>
      <c r="D1671" s="46">
        <f>New!P:P</f>
        <v>0</v>
      </c>
    </row>
    <row r="1672" spans="1:4" ht="12.75">
      <c r="A1672" s="45" t="str">
        <f ca="1">New!M:M</f>
        <v>{New} Violet Myers https://streamtape.com/v/6QWLRJlqp2t9GGK/22947103 https://lulustream.com/d/d7a8h9d8rcaf https://doodstream.com/d/yr83m3ntr92o/22947103 (2026) #anal #bigtits #hardcore #bigass #RIPNSFW</v>
      </c>
      <c r="B1672" s="12" t="str">
        <f>New!A:A</f>
        <v>Violet Myers - 22947103 - Blacked.jpg</v>
      </c>
      <c r="C1672" s="12" t="s">
        <v>8895</v>
      </c>
      <c r="D1672" s="46">
        <f>New!P:P</f>
        <v>0</v>
      </c>
    </row>
    <row r="1673" spans="1:4" ht="12.75">
      <c r="A1673" s="45" t="str">
        <f ca="1">New!M:M</f>
        <v>{New} Violet Myers https://lulustream.com/d/slkjn497d9gx https://doodstream.com/d/llbbnyhxcksr/24446612 https://streamtape.com/v/LJ6kk9YWrgcWjY/24446612 (2026) #milf #bigtits #bigass #blowjob #RIPNSFW</v>
      </c>
      <c r="B1673" s="12" t="str">
        <f>New!A:A</f>
        <v>Violet Myers - 24446612 - Onlyfans.jpg</v>
      </c>
      <c r="C1673" s="12" t="s">
        <v>8895</v>
      </c>
      <c r="D1673" s="46">
        <f>New!P:P</f>
        <v>0</v>
      </c>
    </row>
    <row r="1674" spans="1:4" ht="12.75">
      <c r="A1674" s="45" t="str">
        <f ca="1">New!M:M</f>
        <v>{New} Violet Myers https://doodstream.com/d/55rb7ph0dhk2/25360649 https://lulustream.com/d/8w6uckk30k2y https://streamtape.com/v/GwVgvWyjqRF9Ov/25360649 Hailey Rose Jaaden Kyrelle (2026) #MILF #BigTits #Lesbian #Threesome #RIPNSFW</v>
      </c>
      <c r="B1674" s="12" t="str">
        <f>New!A:A</f>
        <v>Violet Myers - 25360649 - Onlyfans - Hailey Rose - Jaaden Kyrelle.jpg</v>
      </c>
      <c r="C1674" s="12" t="s">
        <v>8895</v>
      </c>
      <c r="D1674" s="46">
        <f>New!P:P</f>
        <v>0</v>
      </c>
    </row>
    <row r="1675" spans="1:4" ht="12.75">
      <c r="A1675" s="45" t="str">
        <f ca="1">New!M:M</f>
        <v>{New} Violet Myers https://doodstream.com/d/8yhyxweo2j8l/25687268 https://streamtape.com/v/OWMXJ63oWjHZ8Rm/25687268 https://lulustream.com/d/pjbel9drcf0z (2026) #MILF #BigTits #Hardcore #Bigass #RIPNSFW</v>
      </c>
      <c r="B1675" s="12" t="str">
        <f>New!A:A</f>
        <v>Violet Myers - 25687268 - MLR.jpg</v>
      </c>
      <c r="C1675" s="12" t="s">
        <v>8895</v>
      </c>
      <c r="D1675" s="46">
        <f>New!P:P</f>
        <v>0</v>
      </c>
    </row>
    <row r="1676" spans="1:4" ht="12.75">
      <c r="A1676" s="45" t="str">
        <f ca="1">New!M:M</f>
        <v>{New} Violet Myers https://streamtape.com/v/W1Wxrl1ol6Ub9jB/33024590 https://lulustream.com/d/ozlbc94q4eu2 https://doodstream.com/d/2yz4f2bv4esu/33024590 Kianna Dior (2026) #threesome #bigtits #blowjob #bigass #RIPNSFW</v>
      </c>
      <c r="B1676" s="12" t="str">
        <f>New!A:A</f>
        <v>Violet Myers - 33024590 - Onlyfans - Kianna Dior.jpg</v>
      </c>
      <c r="C1676" s="12" t="s">
        <v>8895</v>
      </c>
      <c r="D1676" s="46">
        <f>New!P:P</f>
        <v>0</v>
      </c>
    </row>
    <row r="1677" spans="1:4" ht="12.75">
      <c r="A1677" s="45" t="str">
        <f ca="1">New!M:M</f>
        <v>{New} Violet Myers https://lulustream.com/d/o84irb0hkauj https://streamtape.com/v/8wlmkwljGGTogbo/34531153 https://doodstream.com/d/11qpayzdvr3d/34531153 (2026) #MILF #BigTits #Hardcore #Bigass #RIPNSFW</v>
      </c>
      <c r="B1677" s="12" t="str">
        <f>New!A:A</f>
        <v>Violet Myers - 34531153 - Onlyfans.jpg</v>
      </c>
      <c r="C1677" s="12" t="s">
        <v>8895</v>
      </c>
      <c r="D1677" s="46">
        <f>New!P:P</f>
        <v>0</v>
      </c>
    </row>
    <row r="1678" spans="1:4" ht="12.75">
      <c r="A1678" s="45" t="str">
        <f ca="1">New!M:M</f>
        <v>{New} Violet Myers https://doodstream.com/d/hvaixvu0n9ac/36670339 https://lulustream.com/d/x3w3kvpepoyc https://streamtape.com/v/DzgyBBLjWxFkrG1/36670339 (2026) #milf #threesome #bigtits #bigass #RIPNSFW</v>
      </c>
      <c r="B1678" s="12" t="str">
        <f>New!A:A</f>
        <v>Violet Myers - 36670339 - Onlyfans.jpg</v>
      </c>
      <c r="C1678" s="12" t="s">
        <v>8895</v>
      </c>
      <c r="D1678" s="46">
        <f>New!P:P</f>
        <v>0</v>
      </c>
    </row>
    <row r="1679" spans="1:4" ht="12.75">
      <c r="A1679" s="45" t="str">
        <f ca="1">New!M:M</f>
        <v>{New} Violet Myers https://streamtape.com/v/6pb1jQjjd1U9Xga/37239826 https://doodstream.com/d/f94lypdvrgx0/37239826 https://lulustream.com/d/twxryvslupfk Angel Youngs (2026) #milf #bigass #bigtits #blowjob #RIPNSFW</v>
      </c>
      <c r="B1679" s="12" t="str">
        <f>New!A:A</f>
        <v>Violet Myers - 37239826 -  Onlyfans - Angel Youngs.jpg</v>
      </c>
      <c r="C1679" s="12" t="s">
        <v>8895</v>
      </c>
      <c r="D1679" s="46">
        <f>New!P:P</f>
        <v>0</v>
      </c>
    </row>
    <row r="1680" spans="1:4" ht="12.75">
      <c r="A1680" s="45" t="str">
        <f ca="1">New!M:M</f>
        <v>{New} Violet Myers https://doodstream.com/d/r3xdz6kzy6r3/38601761 https://streamtape.com/v/YGJ33ZaW3DtLBY/38601761 https://lulustream.com/d/rfkj8oanaaae (2026) #bigtits #milf #bigass #blowjob #RIPNSFW</v>
      </c>
      <c r="B1680" s="12" t="str">
        <f>New!A:A</f>
        <v>Violet Myers - 38601761 - Onlyfans.jpg</v>
      </c>
      <c r="C1680" s="12" t="s">
        <v>8895</v>
      </c>
      <c r="D1680" s="46">
        <f>New!P:P</f>
        <v>0</v>
      </c>
    </row>
    <row r="1681" spans="1:4" ht="12.75">
      <c r="A1681" s="45" t="str">
        <f ca="1">New!M:M</f>
        <v>{New} Violet Myers https://doodstream.com/d/imu20unhxafb/39780174 https://streamtape.com/v/GbZW3WvmGgS1kk3/39780174 https://lulustream.com/d/3btbwzexvkfb (2026) #milf #bigtits #blowjob #bigass #RIPNSFW</v>
      </c>
      <c r="B1681" s="12" t="str">
        <f>New!A:A</f>
        <v>Violet Myers - 39780174 - Onlyfans.jpg</v>
      </c>
      <c r="C1681" s="12" t="s">
        <v>8895</v>
      </c>
      <c r="D1681" s="46">
        <f>New!P:P</f>
        <v>0</v>
      </c>
    </row>
    <row r="1682" spans="1:4" ht="12.75">
      <c r="A1682" s="45" t="str">
        <f ca="1">New!M:M</f>
        <v>{New} Violet Myers https://doodstream.com/d/bbudh4ssbcfa/41586485 https://lulustream.com/d/dfto4hqk23zi https://streamtape.com/v/LMdG3v6kgZhbZj/41586485 (2026) #Anal #MILF #BigTits #Hardcore #RIPNSFW</v>
      </c>
      <c r="B1682" s="12" t="str">
        <f>New!A:A</f>
        <v>Violet Myers - 41586485 - Tushy.jpg</v>
      </c>
      <c r="C1682" s="12" t="s">
        <v>8895</v>
      </c>
      <c r="D1682" s="46">
        <f>New!P:P</f>
        <v>0</v>
      </c>
    </row>
    <row r="1683" spans="1:4" ht="12.75">
      <c r="A1683" s="45" t="str">
        <f ca="1">New!M:M</f>
        <v>{New} Violet Myers https://lulustream.com/d/h6jigzrrz011 https://doodstream.com/d/bcy248u63p68/42955362 https://streamtape.com/v/6Kb67bb0k6H90vb/42955362 (2026) #milf #blowjob #bigtits #bigass #RIPNSFW</v>
      </c>
      <c r="B1683" s="12" t="str">
        <f>New!A:A</f>
        <v>Violet Myers - 42955362 - Onlyfans.jpg</v>
      </c>
      <c r="C1683" s="12" t="s">
        <v>8895</v>
      </c>
      <c r="D1683" s="46">
        <f>New!P:P</f>
        <v>0</v>
      </c>
    </row>
    <row r="1684" spans="1:4" ht="12.75">
      <c r="A1684" s="45" t="str">
        <f ca="1">New!M:M</f>
        <v>{New} Violet Myers https://lulustream.com/d/32m7ub6nwwu3 https://doodstream.com/d/zzz5haaoyo2n/43312973 https://streamtape.com/v/VBBLy3Qop1tKryx/43312973 (2026) #MILF #BigTits #Hardcore #Bigass #RIPNSFW</v>
      </c>
      <c r="B1684" s="12" t="str">
        <f>New!A:A</f>
        <v>Violet Myers - 43312973 - MLR.jpg</v>
      </c>
      <c r="C1684" s="12" t="s">
        <v>8895</v>
      </c>
      <c r="D1684" s="46">
        <f>New!P:P</f>
        <v>0</v>
      </c>
    </row>
    <row r="1685" spans="1:4" ht="12.75">
      <c r="A1685" s="45" t="str">
        <f ca="1">New!M:M</f>
        <v>{New} Violet Myers https://lulustream.com/d/q6ztar9gp1sp https://doodstream.com/d/i2bk3let2vu7/44431372 https://streamtape.com/v/MXqzP9Yz1mcmg1J/44431372 (2026) #milf #blowjob #bigtits #bigass #RIPNSFW</v>
      </c>
      <c r="B1685" s="12" t="str">
        <f>New!A:A</f>
        <v>Violet Myers - 44431372 - Onlyfans.jpg</v>
      </c>
      <c r="C1685" s="12" t="s">
        <v>8895</v>
      </c>
      <c r="D1685" s="46">
        <f>New!P:P</f>
        <v>0</v>
      </c>
    </row>
    <row r="1686" spans="1:4" ht="12.75">
      <c r="A1686" s="45" t="str">
        <f ca="1">New!M:M</f>
        <v>{New} Violet Myers https://doodstream.com/d/4le1ihaxxuy0/48173020 https://streamtape.com/v/X1BvP70pgJhBde/48173020 https://lulustream.com/d/pmpyuh6ang3l (2026) #milf #bigass #bigtits #blowjob #RIPNSFW</v>
      </c>
      <c r="B1686" s="12" t="str">
        <f>New!A:A</f>
        <v>Violet Myers - 48173020 - Onlyfans.jpg</v>
      </c>
      <c r="C1686" s="12" t="s">
        <v>8895</v>
      </c>
      <c r="D1686" s="46">
        <f>New!P:P</f>
        <v>0</v>
      </c>
    </row>
    <row r="1687" spans="1:4" ht="12.75">
      <c r="A1687" s="45" t="str">
        <f ca="1">New!M:M</f>
        <v>{New} Violet Myers https://streamtape.com/v/ybMPR4mvaVH1Vv1/48491010 https://lulustream.com/d/ke7p7vagpuf4 https://doodstream.com/d/k85z6j21iora/48491010 (2026) #milf #bigtits #roleplay #joi #RIPNSFW</v>
      </c>
      <c r="B1687" s="12" t="str">
        <f>New!A:A</f>
        <v>Violet Myers - 48491010 - Onlyfans.jpg</v>
      </c>
      <c r="C1687" s="12" t="s">
        <v>8895</v>
      </c>
      <c r="D1687" s="46">
        <f>New!P:P</f>
        <v>0</v>
      </c>
    </row>
    <row r="1688" spans="1:4" ht="12.75">
      <c r="A1688" s="45" t="str">
        <f ca="1">New!M:M</f>
        <v>{New} Violet Myers https://doodstream.com/d/ewdb9v8gidwl/49168775 https://lulustream.com/d/m4rvepadrkr1 https://streamtape.com/v/lgPkgbpV6MI7XZl/49168775 Elly Clutch (2026) #threesome #teen #bigtits #blowjob #RIPNSFW</v>
      </c>
      <c r="B1688" s="12" t="str">
        <f>New!A:A</f>
        <v>Violet Myers - 49168775 - Onlyfans - Elly Clutch.jpg</v>
      </c>
      <c r="C1688" s="12" t="s">
        <v>8895</v>
      </c>
      <c r="D1688" s="46">
        <f>New!P:P</f>
        <v>0</v>
      </c>
    </row>
    <row r="1689" spans="1:4" ht="12.75">
      <c r="A1689" s="45" t="str">
        <f ca="1">New!M:M</f>
        <v>{New} Violet Myers https://lulustream.com/d/olgw2tv1by1x https://doodstream.com/d/xqv8ncrci03o/49779351 https://streamtape.com/v/4BwROQ4VXkFKM9d/49779351 (2026) #milf #bigtits #bigass #blowjob #RIPNSFW</v>
      </c>
      <c r="B1689" s="12" t="str">
        <f>New!A:A</f>
        <v>Violet Myers - 49779351 - Onlyfans.jpg</v>
      </c>
      <c r="C1689" s="12" t="s">
        <v>8895</v>
      </c>
      <c r="D1689" s="46">
        <f>New!P:P</f>
        <v>0</v>
      </c>
    </row>
    <row r="1690" spans="1:4" ht="12.75">
      <c r="A1690" s="45" t="str">
        <f ca="1">New!M:M</f>
        <v>{New} Violet Myers https://lulustream.com/d/c6gjf5uk6bis https://streamtape.com/v/XPQp8ZJ7j7iDyl3/51020078 https://doodstream.com/d/fkleswtqlvx1/51020078 (2026) #milf #blowjob #bigtits #brunette #RIPNSFW</v>
      </c>
      <c r="B1690" s="12" t="str">
        <f>New!A:A</f>
        <v>Violet Myers - 51020078 - Onlyfans.jpg</v>
      </c>
      <c r="C1690" s="12" t="s">
        <v>8895</v>
      </c>
      <c r="D1690" s="46">
        <f>New!P:P</f>
        <v>0</v>
      </c>
    </row>
    <row r="1691" spans="1:4" ht="12.75">
      <c r="A1691" s="45" t="str">
        <f ca="1">New!M:M</f>
        <v>{New} Violet Myers https://streamtape.com/v/m9qVv4xwrZIbJ6q/51617269 https://lulustream.com/d/gsk3q89h96af https://doodstream.com/d/0nnz9sggc6vk/51617269 Angela White (2026) #MILF #BigTits #Hardcore #Threesome #RIPNSFW</v>
      </c>
      <c r="B1691" s="12" t="str">
        <f>New!A:A</f>
        <v>Violet Myers - 51617269 - Onlyfans - Angela White.jpg</v>
      </c>
      <c r="C1691" s="12" t="s">
        <v>8895</v>
      </c>
      <c r="D1691" s="46">
        <f>New!P:P</f>
        <v>0</v>
      </c>
    </row>
    <row r="1692" spans="1:4" ht="12.75">
      <c r="A1692" s="45" t="str">
        <f ca="1">New!M:M</f>
        <v>{New} Violet Myers https://doodstream.com/d/odtx0gbhqj2f/52285724 https://lulustream.com/d/u8mv89alsqlq https://streamtape.com/v/O74Q2BkG3ZTZBag/52285724 (2026) #MILF #BigTits #Hardcore #Bigass #RIPNSFW</v>
      </c>
      <c r="B1692" s="12" t="str">
        <f>New!A:A</f>
        <v>Violet Myers - 52285724 - Onlyfans.jpg</v>
      </c>
      <c r="C1692" s="12" t="s">
        <v>8895</v>
      </c>
      <c r="D1692" s="46">
        <f>New!P:P</f>
        <v>0</v>
      </c>
    </row>
    <row r="1693" spans="1:4" ht="12.75">
      <c r="A1693" s="45" t="str">
        <f ca="1">New!M:M</f>
        <v>Violet Myers https://lulustream.com/d/nah62mlejy8q https://doodstream.com/d/kvkvobxd6knu/52594792 https://streamtape.com/v/2rlKObQ3z4cZXxW/52594792 #bigtits #blowjob #bigass #milf #RIPNSFW</v>
      </c>
      <c r="B1693" s="12" t="str">
        <f>New!A:A</f>
        <v>Violet Myers - 52594792 - Onlyfans.jpg</v>
      </c>
      <c r="C1693" s="12" t="s">
        <v>8895</v>
      </c>
      <c r="D1693" s="46">
        <f>New!P:P</f>
        <v>0</v>
      </c>
    </row>
    <row r="1694" spans="1:4" ht="12.75">
      <c r="A1694" s="45" t="str">
        <f ca="1">New!M:M</f>
        <v>{New} Violet Myers https://lulustream.com/d/i5efxqtgz5q6 https://doodstream.com/d/t7r8chlxh1mb/54315108 https://streamtape.com/v/lOY3mWXb9pT73Rq/54315108 (2026) #milf #bigtits #bigass #joi #RIPNSFW</v>
      </c>
      <c r="B1694" s="12" t="str">
        <f>New!A:A</f>
        <v>Violet Myers - 54315108 -  Onlyfans.jpg</v>
      </c>
      <c r="C1694" s="12" t="s">
        <v>8895</v>
      </c>
      <c r="D1694" s="46">
        <f>New!P:P</f>
        <v>0</v>
      </c>
    </row>
    <row r="1695" spans="1:4" ht="12.75">
      <c r="A1695" s="45" t="str">
        <f ca="1">New!M:M</f>
        <v>{New} Violet Myers https://doodstream.com/d/5g2u19sa3dvd/56549820 https://lulustream.com/d/m586yxybf4ig https://streamtape.com/v/oGGg0BzGdKUJ1qd/56549820 (2026) #milf #bigtits #bigass #solo #RIPNSFW</v>
      </c>
      <c r="B1695" s="12" t="str">
        <f>New!A:A</f>
        <v>Violet Myers - 56549820 - Onlyfans.jpg</v>
      </c>
      <c r="C1695" s="12" t="s">
        <v>8895</v>
      </c>
      <c r="D1695" s="46">
        <f>New!P:P</f>
        <v>0</v>
      </c>
    </row>
    <row r="1696" spans="1:4" ht="12.75">
      <c r="A1696" s="45" t="str">
        <f ca="1">New!M:M</f>
        <v>{New} Violet Myers https://doodstream.com/d/4ab5qfr56r00/57220845 https://streamtape.com/v/vr8Q3z42zRI41kz/57220845 https://lulustream.com/d/royzcplgcg2j Angela White (2026) #MILF #BigTits #Hardcore #Threesome #Black #Interracial #Bigass #RIPNSFW</v>
      </c>
      <c r="B1696" s="12" t="str">
        <f>New!A:A</f>
        <v>Violet Myers - 57220845 - ripnsfw.com - Angela White.jpg</v>
      </c>
      <c r="C1696" s="12" t="s">
        <v>8895</v>
      </c>
      <c r="D1696" s="46">
        <f>New!P:P</f>
        <v>0</v>
      </c>
    </row>
    <row r="1697" spans="1:4" ht="12.75">
      <c r="A1697" s="45" t="str">
        <f ca="1">New!M:M</f>
        <v>{New} Violet Myers https://doodstream.com/d/j4xjw6plb6c2/57616791 https://lulustream.com/d/29rraopezcwp https://streamtape.com/v/k0QmDPlYQGHOKXo/57616791 (2026) #milf #bigtits #hardcore #bigass #RIPNSFW</v>
      </c>
      <c r="B1697" s="12" t="str">
        <f>New!A:A</f>
        <v>Violet Myers - 57616791 - Camsoda.jpg</v>
      </c>
      <c r="C1697" s="12" t="s">
        <v>8895</v>
      </c>
      <c r="D1697" s="46">
        <f>New!P:P</f>
        <v>0</v>
      </c>
    </row>
    <row r="1698" spans="1:4" ht="12.75">
      <c r="A1698" s="45" t="str">
        <f ca="1">New!M:M</f>
        <v>{New} Violet Myers https://streamtape.com/v/qljzA9WweAHzJzw/58334536 https://lulustream.com/d/njw2f4wtbuea https://doodstream.com/d/1npj6r6jegmi/58334536 Angela White (2026) #milf #bigass #blowjob #bigtits #RIPNSFW</v>
      </c>
      <c r="B1698" s="12" t="str">
        <f>New!A:A</f>
        <v>Violet Myers - 58334536 - Onlyfans - Angela White.jpg</v>
      </c>
      <c r="C1698" s="12" t="s">
        <v>8895</v>
      </c>
      <c r="D1698" s="46">
        <f>New!P:P</f>
        <v>0</v>
      </c>
    </row>
    <row r="1699" spans="1:4" ht="12.75">
      <c r="A1699" s="45" t="str">
        <f ca="1">New!M:M</f>
        <v>{New} Violet Myers https://streamtape.com/v/ApB4LVe9aMIXqA4/59964539 https://doodstream.com/d/27vvx5df98pv/59964539 https://lulustream.com/d/e9ufgv3j9sb4 (2026) #Anal #MILF #BigTits #Hardcore #RIPNSFW</v>
      </c>
      <c r="B1699" s="12" t="str">
        <f>New!A:A</f>
        <v>Violet Myers - 59964539 - Tushy.jpg</v>
      </c>
      <c r="C1699" s="12" t="s">
        <v>8895</v>
      </c>
      <c r="D1699" s="46">
        <f>New!P:P</f>
        <v>0</v>
      </c>
    </row>
    <row r="1700" spans="1:4" ht="12.75">
      <c r="A1700" s="45" t="str">
        <f ca="1">New!M:M</f>
        <v>{New} Violet Myers https://lulustream.com/d/i3j71ok2xbyb https://doodstream.com/d/82gwfj4apzfi/62469806 https://streamtape.com/v/GW8mb0KZ6bS1Rey/62469806 (2026) #milf #blowjob #bigtits #pov #RIPNSFW</v>
      </c>
      <c r="B1700" s="12" t="str">
        <f>New!A:A</f>
        <v>Violet Myers - 62469806 - Onlyfans.jpg</v>
      </c>
      <c r="C1700" s="12" t="s">
        <v>8895</v>
      </c>
      <c r="D1700" s="46">
        <f>New!P:P</f>
        <v>0</v>
      </c>
    </row>
    <row r="1701" spans="1:4" ht="12.75">
      <c r="A1701" s="45" t="str">
        <f ca="1">New!M:M</f>
        <v>{New} Violet Myers https://doodstream.com/d/8i40uov6ufa3/62986674 https://streamtape.com/v/eYXG9LzllRH9qo/62986674 https://lulustream.com/d/ydy5ofqbxev4 (2026) #teens #bigass #bigtits #lesbian #RIPNSFW</v>
      </c>
      <c r="B1701" s="12" t="str">
        <f>New!A:A</f>
        <v>Violet Myers - 62986674 - Onlyfans.jpg</v>
      </c>
      <c r="C1701" s="12" t="s">
        <v>8895</v>
      </c>
      <c r="D1701" s="46">
        <f>New!P:P</f>
        <v>0</v>
      </c>
    </row>
    <row r="1702" spans="1:4" ht="12.75">
      <c r="A1702" s="45" t="str">
        <f ca="1">New!M:M</f>
        <v>{New} Violet Myers https://lulustream.com/d/hyf0y231dxp6 https://doodstream.com/d/j8d1igyrkhuy/64925967 https://streamtape.com/v/zKMmoYbMpLTYYee/64925967 (2026) #milf #bigtits #bigass #blowjob #RIPNSFW</v>
      </c>
      <c r="B1702" s="12" t="str">
        <f>New!A:A</f>
        <v>Violet Myers - 64925967 - Onlyfans.jpg</v>
      </c>
      <c r="C1702" s="12" t="s">
        <v>8895</v>
      </c>
      <c r="D1702" s="46">
        <f>New!P:P</f>
        <v>0</v>
      </c>
    </row>
    <row r="1703" spans="1:4" ht="12.75">
      <c r="A1703" s="45" t="str">
        <f ca="1">New!M:M</f>
        <v>{New} Violet Myers https://streamtape.com/v/ydd4rvm4RPHm6y/65437027 https://lulustream.com/d/1mor1untjidp https://doodstream.com/d/0lv394y15pri/65437027 (2026) #milf #bigtits #hardcore #bigass #RIPNSFW</v>
      </c>
      <c r="B1703" s="12" t="str">
        <f>New!A:A</f>
        <v>Violet Myers - 65437027 - Camsoda.jpg</v>
      </c>
      <c r="C1703" s="12" t="s">
        <v>8895</v>
      </c>
      <c r="D1703" s="46">
        <f>New!P:P</f>
        <v>0</v>
      </c>
    </row>
    <row r="1704" spans="1:4" ht="12.75">
      <c r="A1704" s="45" t="str">
        <f ca="1">New!M:M</f>
        <v>{New} Violet Myers https://doodstream.com/d/f4fvc52lu4yc/68380227 https://lulustream.com/d/xzq07zze1e8d https://streamtape.com/v/y2MqwpXy1jC1zGp/68380227 (2026) #milf #bigtits #bigass #blowjob #RIPNSFW</v>
      </c>
      <c r="B1704" s="12" t="str">
        <f>New!A:A</f>
        <v>Violet Myers - 68380227 - Onlyfans.jpg</v>
      </c>
      <c r="C1704" s="12" t="s">
        <v>8895</v>
      </c>
      <c r="D1704" s="46">
        <f>New!P:P</f>
        <v>0</v>
      </c>
    </row>
    <row r="1705" spans="1:4" ht="12.75">
      <c r="A1705" s="45" t="str">
        <f ca="1">New!M:M</f>
        <v>{New} Violet Myers https://lulustream.com/d/0fd64nsat136 https://doodstream.com/d/3u5ghup8eqoa/69941077 https://streamtape.com/v/k2oLaPl7PvUOkrK/69941077 Lexi Lore Bec The Barbie Linda Lan (2026) #orgy #milf #bigass #bigtits #RIPNSFW</v>
      </c>
      <c r="B1705" s="12" t="str">
        <f>New!A:A</f>
        <v>Violet Myers - 69941077 - XVRED - Lexi Lore - Bec The Barbie - Linda Lan.jpg</v>
      </c>
      <c r="C1705" s="12" t="s">
        <v>8895</v>
      </c>
      <c r="D1705" s="46">
        <f>New!P:P</f>
        <v>0</v>
      </c>
    </row>
    <row r="1706" spans="1:4" ht="12.75">
      <c r="A1706" s="45" t="str">
        <f ca="1">New!M:M</f>
        <v>{New} Violet Myers https://doodstream.com/d/x5es1rhdd9g3/71852868 https://lulustream.com/d/f8chqntzv4cy https://streamtape.com/v/royqrxpgYXSbz13/71852868 (2026) #MILF #BigTits #Hardcore #Bigass #RIPNSFW</v>
      </c>
      <c r="B1706" s="12" t="str">
        <f>New!A:A</f>
        <v>Violet Myers - 71852868 - PC.jpg</v>
      </c>
      <c r="C1706" s="12" t="s">
        <v>8895</v>
      </c>
      <c r="D1706" s="46">
        <f>New!P:P</f>
        <v>0</v>
      </c>
    </row>
    <row r="1707" spans="1:4" ht="12.75">
      <c r="A1707" s="45" t="str">
        <f ca="1">New!M:M</f>
        <v>{New} Violet Myers https://streamtape.com/v/dPxr6lylwJukVyW/72100664 https://lulustream.com/d/9dcm0ixvncrf https://doodstream.com/d/l3kykru3zogh/72100664 (2026) #MILF #BigTits #Hardcore #Bigass #Latina #Blowjob #Amateur #RIPNSFW</v>
      </c>
      <c r="B1707" s="12" t="str">
        <f>New!A:A</f>
        <v>Violet Myers - 72100664 - ripnsfw.com.jpg</v>
      </c>
      <c r="C1707" s="12" t="s">
        <v>8895</v>
      </c>
      <c r="D1707" s="46">
        <f>New!P:P</f>
        <v>0</v>
      </c>
    </row>
    <row r="1708" spans="1:4" ht="12.75">
      <c r="A1708" s="45" t="str">
        <f ca="1">New!M:M</f>
        <v>{New} Violet Myers https://streamtape.com/v/klBAxVRAWRtOO7e/73689223 https://lulustream.com/d/ejbgr7cjkz2x https://doodstream.com/d/c4salq425zs0/73689223 (2026) #MILF #BigTits #Hardcore #Bigass #RIPNSFW</v>
      </c>
      <c r="B1708" s="12" t="str">
        <f>New!A:A</f>
        <v>Violet Myers - 73689223 - XVRED.jpg</v>
      </c>
      <c r="C1708" s="12" t="s">
        <v>8895</v>
      </c>
      <c r="D1708" s="46">
        <f>New!P:P</f>
        <v>0</v>
      </c>
    </row>
    <row r="1709" spans="1:4" ht="12.75">
      <c r="A1709" s="45" t="str">
        <f ca="1">New!M:M</f>
        <v>{New} Violet Myers https://lulustream.com/d/z5u2da94cj2h https://streamtape.com/v/d7p3Aay1zpik4jO/74529932 https://doodstream.com/d/8u576wljfehj/74529932 (2026) #MILF #BigTits #Bigass #Blowjob #RIPNSFW</v>
      </c>
      <c r="B1709" s="12" t="str">
        <f>New!A:A</f>
        <v>Violet Myers - 74529932 - CamSoda.jpg</v>
      </c>
      <c r="C1709" s="12" t="s">
        <v>8895</v>
      </c>
      <c r="D1709" s="46">
        <f>New!P:P</f>
        <v>0</v>
      </c>
    </row>
    <row r="1710" spans="1:4" ht="12.75">
      <c r="A1710" s="45" t="str">
        <f ca="1">New!M:M</f>
        <v>{New} Violet Myers https://doodstream.com/d/vfq6ppt9dtus/74865421 https://streamtape.com/v/bpoePbJ2p7CxJO/74865421 https://lulustream.com/d/1w3niws7wxzc (2026) #MILF #BigTits #Bigass #Blowjob #RIPNSFW</v>
      </c>
      <c r="B1710" s="12" t="str">
        <f>New!A:A</f>
        <v>Violet Myers - 74865421 - XVRED.jpg</v>
      </c>
      <c r="C1710" s="12" t="s">
        <v>8895</v>
      </c>
      <c r="D1710" s="46">
        <f>New!P:P</f>
        <v>0</v>
      </c>
    </row>
    <row r="1711" spans="1:4" ht="12.75">
      <c r="A1711" s="45" t="str">
        <f ca="1">New!M:M</f>
        <v>{New} Violet Myers https://lulustream.com/d/1paksnry551o https://doodstream.com/d/aj1i0c6qkb3d/75494414 https://streamtape.com/v/gam1G79ja7fqr2L/75494414 (2026) #MILF #BigTits #Hardcore #Bigass #RIPNSFW</v>
      </c>
      <c r="B1711" s="12" t="str">
        <f>New!A:A</f>
        <v>Violet Myers - 75494414 - XVRED.jpg</v>
      </c>
      <c r="C1711" s="12" t="s">
        <v>8895</v>
      </c>
      <c r="D1711" s="46">
        <f>New!P:P</f>
        <v>0</v>
      </c>
    </row>
    <row r="1712" spans="1:4" ht="12.75">
      <c r="A1712" s="45" t="str">
        <f ca="1">New!M:M</f>
        <v>{New} Violet Myers https://streamtape.com/v/m7q4DzrwdXTbxJ9/76155839 https://doodstream.com/d/jkyvpfemb7sj/76155839 https://lulustream.com/d/34pchsyjzfq4 Alina Lopez (2026) #BigTits #Hardcore #Threesome #Bigass #RIPNSFW</v>
      </c>
      <c r="B1712" s="12" t="str">
        <f>New!A:A</f>
        <v>Violet Myers - 76155839 - Onlyfans - Alina Lopez.jpg</v>
      </c>
      <c r="C1712" s="12" t="s">
        <v>8895</v>
      </c>
      <c r="D1712" s="46">
        <f>New!P:P</f>
        <v>0</v>
      </c>
    </row>
    <row r="1713" spans="1:4" ht="12.75">
      <c r="A1713" s="45" t="str">
        <f ca="1">New!M:M</f>
        <v>{New} Violet Myers https://doodstream.com/d/xxp63eokdi4r/76308967 https://lulustream.com/d/5ia8sh7dufrb https://streamtape.com/v/G3DZJJygoOHA4D/76308967 (2026) #MILF #BigTits #Bigass #Solo #RIPNSFW</v>
      </c>
      <c r="B1713" s="12" t="str">
        <f>New!A:A</f>
        <v>Violet Myers - 76308967 - Onlyfans.jpg</v>
      </c>
      <c r="C1713" s="12" t="s">
        <v>8895</v>
      </c>
      <c r="D1713" s="46">
        <f>New!P:P</f>
        <v>0</v>
      </c>
    </row>
    <row r="1714" spans="1:4" ht="12.75">
      <c r="A1714" s="45" t="str">
        <f ca="1">New!M:M</f>
        <v>{New} Violet Myers https://streamtape.com/v/V048ryQzXQhKwev/81824789 https://lulustream.com/d/ee8is38pvgdf https://doodstream.com/d/t2jaoxdkkn6t/81824789 (2026) #MILF #BigTits #Bigass #Blowjob #RIPNSFW</v>
      </c>
      <c r="B1714" s="12" t="str">
        <f>New!A:A</f>
        <v>Violet Myers - 81824789 - Onlyfans.jpg</v>
      </c>
      <c r="C1714" s="12" t="s">
        <v>8895</v>
      </c>
      <c r="D1714" s="46">
        <f>New!P:P</f>
        <v>0</v>
      </c>
    </row>
    <row r="1715" spans="1:4" ht="12.75">
      <c r="A1715" s="45" t="str">
        <f ca="1">New!M:M</f>
        <v>{New} Violet Myers https://streamtape.com/v/Va0yXeQpYJiOdB/82928322 https://lulustream.com/d/sv78rod8s92b https://doodstream.com/d/c4wiplw89cek/82928322 (2026) #MILF #BigTits #Bigass #Solo #RIPNSFW</v>
      </c>
      <c r="B1715" s="12" t="str">
        <f>New!A:A</f>
        <v>Violet Myers - 82928322 - Onlyfans.jpg</v>
      </c>
      <c r="C1715" s="12" t="s">
        <v>8895</v>
      </c>
      <c r="D1715" s="46">
        <f>New!P:P</f>
        <v>0</v>
      </c>
    </row>
    <row r="1716" spans="1:4" ht="12.75">
      <c r="A1716" s="45" t="str">
        <f ca="1">New!M:M</f>
        <v>{New} Violet Myers https://lulustream.com/d/6a1ng2acsyyg https://streamtape.com/v/WZ4ZZXd2DgcblRg/85075742 https://doodstream.com/d/5gb9lqi8azc6/85075742 (2026) #MILF #BigTits #Hardcore #Bigass #Latina #Artporn #RIPNSFW</v>
      </c>
      <c r="B1716" s="12" t="str">
        <f>New!A:A</f>
        <v>Violet Myers - 85075742 - Onlyfans.jpg</v>
      </c>
      <c r="C1716" s="12" t="s">
        <v>8895</v>
      </c>
      <c r="D1716" s="46">
        <f>New!P:P</f>
        <v>0</v>
      </c>
    </row>
    <row r="1717" spans="1:4" ht="12.75">
      <c r="A1717" s="45" t="str">
        <f ca="1">New!M:M</f>
        <v>{New} Violet Myers https://doodstream.com/d/ra8geunks1i3/87190925 https://streamtape.com/v/RXlOVpGl4ztX7d/87190925 https://lulustream.com/d/n1ljoac1pkan (2026) #MILF #BigTits #Bigass #Solo #RIPNSFW</v>
      </c>
      <c r="B1717" s="12" t="str">
        <f>New!A:A</f>
        <v>Violet Myers - 87190925 - Onlyfans.jpg</v>
      </c>
      <c r="C1717" s="12" t="s">
        <v>8895</v>
      </c>
      <c r="D1717" s="46">
        <f>New!P:P</f>
        <v>0</v>
      </c>
    </row>
    <row r="1718" spans="1:4" ht="12.75">
      <c r="A1718" s="45" t="str">
        <f ca="1">New!M:M</f>
        <v>#ERROR!</v>
      </c>
      <c r="B1718" s="12" t="str">
        <f>New!A:A</f>
        <v>Violet Myers - 87442420 - Onlyfans.jpg</v>
      </c>
      <c r="C1718" s="12" t="s">
        <v>8895</v>
      </c>
      <c r="D1718" s="46">
        <f>New!P:P</f>
        <v>0</v>
      </c>
    </row>
    <row r="1719" spans="1:4" ht="12.75">
      <c r="A1719" s="45" t="str">
        <f ca="1">New!M:M</f>
        <v>{New} Violet Myers https://doodstream.com/d/i051w3ymlb3y/89461594 https://lulustream.com/d/gzy7wian6751 https://streamtape.com/v/xgx9AwR2jgu9qV/89461594 Lena the plug (2026) #MILF #BigTits #Hardcore #Threesome #Bigass #Latina #Blowjob #Amateur #Hotwife #RIPNSFW</v>
      </c>
      <c r="B1719" s="12" t="str">
        <f>New!A:A</f>
        <v>Violet Myers - 89461594 - ripnsfw.com - Lena the plug.jpg</v>
      </c>
      <c r="C1719" s="12" t="s">
        <v>8895</v>
      </c>
      <c r="D1719" s="46">
        <f>New!P:P</f>
        <v>0</v>
      </c>
    </row>
    <row r="1720" spans="1:4" ht="12.75">
      <c r="A1720" s="45" t="str">
        <f ca="1">New!M:M</f>
        <v>{New} Violet Myers https://doodstream.com/d/cnctkvc1xtg4/90005104 https://lulustream.com/d/yeoi6r0sxx9i https://streamtape.com/v/79ZVL0QRYeTxWr/90005104 (2026) #MILF #BigTits #Bigass #Blowjob #RIPNSFW</v>
      </c>
      <c r="B1720" s="12" t="str">
        <f>New!A:A</f>
        <v>Violet Myers - 90005104 - Onlyfans.jpg</v>
      </c>
      <c r="C1720" s="12" t="s">
        <v>8895</v>
      </c>
      <c r="D1720" s="46">
        <f>New!P:P</f>
        <v>0</v>
      </c>
    </row>
    <row r="1721" spans="1:4" ht="12.75">
      <c r="A1721" s="45" t="str">
        <f ca="1">New!M:M</f>
        <v>{New} Violet Myers https://doodstream.com/d/q6aojmowapev/92812758 https://lulustream.com/d/w19ln2qv4nug https://streamtape.com/v/XjXyAq849JS3J8/92812758 (2026) #MILF #BigTits #Hardcore #Bigass #RIPNSFW</v>
      </c>
      <c r="B1721" s="12" t="str">
        <f>New!A:A</f>
        <v>Violet Myers - 92812758 - Onlyfans.jpg</v>
      </c>
      <c r="C1721" s="12" t="s">
        <v>8895</v>
      </c>
      <c r="D1721" s="46">
        <f>New!P:P</f>
        <v>0</v>
      </c>
    </row>
    <row r="1722" spans="1:4" ht="12.75">
      <c r="A1722" s="45" t="str">
        <f ca="1">New!M:M</f>
        <v>{New} Violet Myers https://streamtape.com/v/g00dDr47evHqlp7/96688536 https://doodstream.com/d/fns4tu6wn1jm/96688536 https://lulustream.com/d/q1cae03i65z0 (2026) #MILF #BigTits #Hardcore #Black #RIPNSFW</v>
      </c>
      <c r="B1722" s="12" t="str">
        <f>New!A:A</f>
        <v>Violet Myers - 96688536 - Onlyfans.jpg</v>
      </c>
      <c r="C1722" s="12" t="s">
        <v>8895</v>
      </c>
      <c r="D1722" s="46">
        <f>New!P:P</f>
        <v>0</v>
      </c>
    </row>
    <row r="1723" spans="1:4" ht="12.75">
      <c r="A1723" s="45" t="str">
        <f ca="1">New!M:M</f>
        <v>{New} Violet Myers https://lulustream.com/d/rmigrup740kr https://doodstream.com/d/v5yp4xh38npg/99229329 https://streamtape.com/v/ZVwqb2ZOv1TyAj/99229329 Lena the plug (2026) #MILF #BigTits #Hardcore #Threesome #RIPNSFW</v>
      </c>
      <c r="B1723" s="12" t="str">
        <f>New!A:A</f>
        <v>Violet Myers - 99229329 - Onlyfans - Lena the plug.jpg</v>
      </c>
      <c r="C1723" s="12" t="s">
        <v>8895</v>
      </c>
      <c r="D1723" s="46">
        <f>New!P:P</f>
        <v>0</v>
      </c>
    </row>
    <row r="1724" spans="1:4" ht="12.75">
      <c r="A1724" s="45" t="str">
        <f ca="1">New!M:M</f>
        <v>Violet Ray https://streamtape.com/v/Qb4lrA6oW9i0LAe/56804782 https://doodstream.com/d/9ovcilm31wrs/56804782 https://lulustream.com/d/l12h7m4ik63f #Casting #Hardcore #Porn #Teen #RIPNSFW</v>
      </c>
      <c r="B1724" s="12" t="str">
        <f>New!A:A</f>
        <v>Violet Ray - 56804782 - ExploitedCollegeGirls.jpg</v>
      </c>
      <c r="C1724" s="12" t="s">
        <v>8895</v>
      </c>
      <c r="D1724" s="46">
        <f>New!P:P</f>
        <v>0</v>
      </c>
    </row>
    <row r="1725" spans="1:4" ht="12.75">
      <c r="A1725" s="45" t="str">
        <f ca="1">New!M:M</f>
        <v>{New} Vivian Taylor https://lulustream.com/d/1rlemxm0wf0c https://streamtape.com/v/ZJX2rJYMW1TqAaM/21079570 https://doodstream.com/d/j0mu5xt7gj2n/21079570 (2026) #MILF #BigTits #Hardcore #Bigass #RIPNSFW</v>
      </c>
      <c r="B1725" s="12" t="str">
        <f>New!A:A</f>
        <v>Vivian Taylor - 21079570 - BR.jpg</v>
      </c>
      <c r="C1725" s="12" t="s">
        <v>8895</v>
      </c>
      <c r="D1725" s="46">
        <f>New!P:P</f>
        <v>0</v>
      </c>
    </row>
    <row r="1726" spans="1:4" ht="12.75">
      <c r="A1726" s="45" t="str">
        <f ca="1">New!M:M</f>
        <v>{New} Vivian Taylor https://lulustream.com/d/ibo8soj9yda3 https://doodstream.com/d/lr55d6vg4rxt/22537547 https://streamtape.com/v/zQzYpD9va8iYDrW/22537547 (2026) #MILF #BigTits #Hardcore #Bigass #RIPNSFW</v>
      </c>
      <c r="B1726" s="12" t="str">
        <f>New!A:A</f>
        <v>Vivian Taylor - 22537547 - Onlyfans.jpg</v>
      </c>
      <c r="C1726" s="12" t="s">
        <v>8895</v>
      </c>
      <c r="D1726" s="46">
        <f>New!P:P</f>
        <v>0</v>
      </c>
    </row>
    <row r="1727" spans="1:4" ht="12.75">
      <c r="A1727" s="45" t="str">
        <f ca="1">New!M:M</f>
        <v>{New} Vivian Taylor https://lulustream.com/d/wbd5gw5fn0yi https://doodstream.com/d/jgcm9da2cdmr/23340937 https://streamtape.com/v/mqz0dBX47LCbwem/23340937 (2026) #MILF #BigTits #Creampie #Hardcore #RIPNSFW</v>
      </c>
      <c r="B1727" s="12" t="str">
        <f>New!A:A</f>
        <v>Vivian Taylor - 23340937 - Onlyfans.jpg</v>
      </c>
      <c r="C1727" s="12" t="s">
        <v>8895</v>
      </c>
      <c r="D1727" s="46">
        <f>New!P:P</f>
        <v>0</v>
      </c>
    </row>
    <row r="1728" spans="1:4" ht="12.75">
      <c r="A1728" s="45" t="str">
        <f ca="1">New!M:M</f>
        <v>{New} Vivian Taylor https://lulustream.com/d/074f4yzskpc8 https://doodstream.com/d/tq05gs2smzfz/23782061 https://streamtape.com/v/be307xGgX8uPwAv/23782061 (2026) #MILF #BigTits #Hardcore #Bigass #Porn #Blowjob #RIPNSFW</v>
      </c>
      <c r="B1728" s="12" t="str">
        <f>New!A:A</f>
        <v>Vivian Taylor - 23782061 - MPF.jpg</v>
      </c>
      <c r="C1728" s="12" t="s">
        <v>8895</v>
      </c>
      <c r="D1728" s="46">
        <f>New!P:P</f>
        <v>0</v>
      </c>
    </row>
    <row r="1729" spans="1:4" ht="12.75">
      <c r="A1729" s="45" t="str">
        <f ca="1">New!M:M</f>
        <v>{New} Vivian Taylor https://lulustream.com/d/5meu70yjhetk https://doodstream.com/d/8gyk27yeyk8g/27988189 https://streamtape.com/v/rexl2Q281yubb8y/27988189 (2026) #MILF #BigTits #Hardcore #Black #Bigass #Interracial #Porn #RIPNSFW</v>
      </c>
      <c r="B1729" s="12" t="str">
        <f>New!A:A</f>
        <v>Vivian Taylor - 27988189 - ripnsfw.com.jpg</v>
      </c>
      <c r="C1729" s="12" t="s">
        <v>8895</v>
      </c>
      <c r="D1729" s="46">
        <f>New!P:P</f>
        <v>0</v>
      </c>
    </row>
    <row r="1730" spans="1:4" ht="12.75">
      <c r="A1730" s="45" t="str">
        <f ca="1">New!M:M</f>
        <v>{New} Vivian Taylor https://doodstream.com/d/6lpc86h2ai7x/30693922 https://streamtape.com/v/GpdVX1v2YVudk9/30693922 https://lulustream.com/d/25j6wvyvayo4 (2026) #MILF #BigTits #Hardcore #Bigass #RIPNSFW</v>
      </c>
      <c r="B1730" s="12" t="str">
        <f>New!A:A</f>
        <v>Vivian Taylor - 30693922 - Onlyfans.jpg</v>
      </c>
      <c r="C1730" s="12" t="s">
        <v>8895</v>
      </c>
      <c r="D1730" s="46">
        <f>New!P:P</f>
        <v>0</v>
      </c>
    </row>
    <row r="1731" spans="1:4" ht="12.75">
      <c r="A1731" s="45" t="str">
        <f ca="1">New!M:M</f>
        <v>{New} Vivian Taylor https://lulustream.com/d/3z3mm60onm64 https://streamtape.com/v/7GPxxdwgPlfAr1e/31149052 https://doodstream.com/d/hpt9g8zfb1kw/31149052 (2026) #BigTits #Hardcore #Black #Interracial #Bigass #Porn #Teen #Blowjob #Deepthroat #Facial #Footjob #RIPNSFW</v>
      </c>
      <c r="B1731" s="12" t="str">
        <f>New!A:A</f>
        <v>Vivian Taylor - 31149052 - ripnsfw.com.jpg</v>
      </c>
      <c r="C1731" s="12" t="s">
        <v>8895</v>
      </c>
      <c r="D1731" s="46">
        <f>New!P:P</f>
        <v>0</v>
      </c>
    </row>
    <row r="1732" spans="1:4" ht="12.75">
      <c r="A1732" s="45" t="str">
        <f ca="1">New!M:M</f>
        <v>{New} Vivian Taylor https://doodstream.com/d/9t1x90jftvk7/34896965 https://streamtape.com/v/QDZ03Bvqp0C000v/34896965 https://lulustream.com/d/rnk8zu4tsxzh (2026) #MILF #BigTits #Creampie #Hardcore #RIPNSFW</v>
      </c>
      <c r="B1732" s="12" t="str">
        <f>New!A:A</f>
        <v>Vivian Taylor - 34896965 - Onlyfans.jpg</v>
      </c>
      <c r="C1732" s="12" t="s">
        <v>8895</v>
      </c>
      <c r="D1732" s="46">
        <f>New!P:P</f>
        <v>0</v>
      </c>
    </row>
    <row r="1733" spans="1:4" ht="12.75">
      <c r="A1733" s="45" t="str">
        <f ca="1">New!M:M</f>
        <v>{New} Vivian Taylor https://doodstream.com/d/b3iql8ao00ns/39152588 https://lulustream.com/d/rttcxjsxbti9 https://streamtape.com/v/qKOe03D3vlfz0Jj/39152588 (2026) #MILF #BigTits #Hardcore #Bigass #Porn #RIPNSFW</v>
      </c>
      <c r="B1733" s="12" t="str">
        <f>New!A:A</f>
        <v>Vivian Taylor - 39152588 - ripnsfw.com.jpg</v>
      </c>
      <c r="C1733" s="12" t="s">
        <v>8895</v>
      </c>
      <c r="D1733" s="46">
        <f>New!P:P</f>
        <v>0</v>
      </c>
    </row>
    <row r="1734" spans="1:4" ht="12.75">
      <c r="A1734" s="45" t="str">
        <f ca="1">New!M:M</f>
        <v>{New} Vivian Taylor https://streamtape.com/v/dqKlp9DG71hkKD4/41045332 https://doodstream.com/d/9i7iezlk7cou/41045332 https://lulustream.com/d/kx13krhjaiwe (2026) #MILF #BigTits #Hardcore #Bigass #Blowjob #Amateur #Deepthroat #Facial #RIPNSFW</v>
      </c>
      <c r="B1734" s="12" t="str">
        <f>New!A:A</f>
        <v>Vivian Taylor - 41045332 - ripnsfw.com.jpg</v>
      </c>
      <c r="C1734" s="12" t="s">
        <v>8895</v>
      </c>
      <c r="D1734" s="46">
        <f>New!P:P</f>
        <v>0</v>
      </c>
    </row>
    <row r="1735" spans="1:4" ht="12.75">
      <c r="A1735" s="45" t="str">
        <f ca="1">New!M:M</f>
        <v>{New} Vivian Taylor https://doodstream.com/d/4znzisvz8z86/42892117 https://streamtape.com/v/eLwO7wo32bSkKe/42892117 https://lulustream.com/d/crt7140cusez (2026) #MILF #BigTits #Creampie #Hardcore #RIPNSFW</v>
      </c>
      <c r="B1735" s="12" t="str">
        <f>New!A:A</f>
        <v>Vivian Taylor - 42892117 - Onlyfans.jpg</v>
      </c>
      <c r="C1735" s="12" t="s">
        <v>8895</v>
      </c>
      <c r="D1735" s="46">
        <f>New!P:P</f>
        <v>0</v>
      </c>
    </row>
    <row r="1736" spans="1:4" ht="12.75">
      <c r="A1736" s="45" t="str">
        <f ca="1">New!M:M</f>
        <v>{New} Vivian Taylor https://lulustream.com/d/7wtvmlsi7b05 https://doodstream.com/d/7vyrkjvdc4j7/44884635 https://streamtape.com/v/AXzL1XGYz1uBgB/44884635 (2026) #MILF #BigTits #Hardcore #Black #Threesome #Interracial #Bigass #Porn #RIPNSFW</v>
      </c>
      <c r="B1736" s="12" t="str">
        <f>New!A:A</f>
        <v>Vivian Taylor - 44884635 - ripnsfw.com.jpg</v>
      </c>
      <c r="C1736" s="12" t="s">
        <v>8895</v>
      </c>
      <c r="D1736" s="46">
        <f>New!P:P</f>
        <v>0</v>
      </c>
    </row>
    <row r="1737" spans="1:4" ht="12.75">
      <c r="A1737" s="45" t="str">
        <f ca="1">New!M:M</f>
        <v>{New} Vivian Taylor https://doodstream.com/d/315vbdirsmps/53117148 https://lulustream.com/d/wakcrirpcm87 https://streamtape.com/v/mDk21K0MoQfbZD4/53117148 (2026) #MILF #BigTits #Hardcore #Bigass #RIPNSFW</v>
      </c>
      <c r="B1737" s="12" t="str">
        <f>New!A:A</f>
        <v>Vivian Taylor - 53117148 - Onlyfans.jpg</v>
      </c>
      <c r="C1737" s="12" t="s">
        <v>8895</v>
      </c>
      <c r="D1737" s="46">
        <f>New!P:P</f>
        <v>0</v>
      </c>
    </row>
    <row r="1738" spans="1:4" ht="12.75">
      <c r="A1738" s="45" t="str">
        <f ca="1">New!M:M</f>
        <v>{New} Vivian Taylor https://lulustream.com/d/g6e9o28for03 https://streamtape.com/v/Qg8KDXbXZWCJ9K/61592313 https://doodstream.com/d/5mvco2u5y62o/61592313 (2026) #MILF #BigTits #Hardcore #Bigass #RIPNSFW</v>
      </c>
      <c r="B1738" s="12" t="str">
        <f>New!A:A</f>
        <v>Vivian Taylor - 61592313 - Onlyfans.jpg</v>
      </c>
      <c r="C1738" s="12" t="s">
        <v>8895</v>
      </c>
      <c r="D1738" s="46">
        <f>New!P:P</f>
        <v>0</v>
      </c>
    </row>
    <row r="1739" spans="1:4" ht="12.75">
      <c r="A1739" s="45" t="str">
        <f ca="1">New!M:M</f>
        <v>{New} Vivian Taylor https://streamtape.com/v/dKw10jRyBpckRZ4/66850404 https://doodstream.com/d/4zcqn5lf1qsj/66850404 https://lulustream.com/d/d2swwq2jwyil (2026) #BigTits #Hardcore #Bigass #Teen #Blowjob #Amateur #RIPNSFW</v>
      </c>
      <c r="B1739" s="12" t="str">
        <f>New!A:A</f>
        <v>Vivian Taylor - 66850404 - ripnsfw.com.jpg</v>
      </c>
      <c r="C1739" s="12" t="s">
        <v>8895</v>
      </c>
      <c r="D1739" s="46">
        <f>New!P:P</f>
        <v>0</v>
      </c>
    </row>
    <row r="1740" spans="1:4" ht="12.75">
      <c r="A1740" s="45" t="str">
        <f ca="1">New!M:M</f>
        <v>{New} Vivian Taylor https://lulustream.com/d/ze3s49ol6w44 https://streamtape.com/v/Zw9W672DJehMoM/67870189 https://doodstream.com/d/y25vp7ac0a36/67870189 (2026) #MILF #BigTits #Hardcore #Black #RIPNSFW</v>
      </c>
      <c r="B1740" s="12" t="str">
        <f>New!A:A</f>
        <v>Vivian Taylor - 67870189 - Onlyfans.jpg</v>
      </c>
      <c r="C1740" s="12" t="s">
        <v>8895</v>
      </c>
      <c r="D1740" s="46">
        <f>New!P:P</f>
        <v>0</v>
      </c>
    </row>
    <row r="1741" spans="1:4" ht="12.75">
      <c r="A1741" s="45" t="str">
        <f ca="1">New!M:M</f>
        <v>{New} Vivian Taylor https://streamtape.com/v/QgM17X13bdt0bqk/70927654 https://doodstream.com/d/g2q8ah4t4zbn/70927654 https://lulustream.com/d/35fk9sqbf3zk (2026) #MILF #BigTits #Hardcore #Bigass #Blowjob #Amateur #RIPNSFW</v>
      </c>
      <c r="B1741" s="12" t="str">
        <f>New!A:A</f>
        <v>Vivian Taylor - 70927654 - ripnsfw.com.jpg</v>
      </c>
      <c r="C1741" s="12" t="s">
        <v>8895</v>
      </c>
      <c r="D1741" s="46">
        <f>New!P:P</f>
        <v>0</v>
      </c>
    </row>
    <row r="1742" spans="1:4" ht="12.75">
      <c r="A1742" s="45" t="str">
        <f ca="1">New!M:M</f>
        <v>{New} Vivian Taylor https://doodstream.com/d/rv6h6rjpyi1a/74834685 https://lulustream.com/d/qt4osndwmvgu https://streamtape.com/v/QbVOvAx3YLF0lDm/74834685 (2026) #MILF #BigTits #Hardcore #Black #RIPNSFW</v>
      </c>
      <c r="B1742" s="12" t="str">
        <f>New!A:A</f>
        <v>Vivian Taylor - 74834685 - TMW.jpg</v>
      </c>
      <c r="C1742" s="12" t="s">
        <v>8895</v>
      </c>
      <c r="D1742" s="46">
        <f>New!P:P</f>
        <v>0</v>
      </c>
    </row>
    <row r="1743" spans="1:4" ht="12.75">
      <c r="A1743" s="45" t="str">
        <f ca="1">New!M:M</f>
        <v>{New} Vivian Taylor https://lulustream.com/d/gqeffat6evds https://doodstream.com/d/xxyk9eci3w8t/76201123 https://streamtape.com/v/QKdy96gB0gUyq7/76201123 (2026) #MILF #BigTits #Hardcore #Bigass #RIPNSFW</v>
      </c>
      <c r="B1743" s="12" t="str">
        <f>New!A:A</f>
        <v>Vivian Taylor - 76201123 - Bang.jpg</v>
      </c>
      <c r="C1743" s="12" t="s">
        <v>8895</v>
      </c>
      <c r="D1743" s="46">
        <f>New!P:P</f>
        <v>0</v>
      </c>
    </row>
    <row r="1744" spans="1:4" ht="12.75">
      <c r="A1744" s="45" t="str">
        <f ca="1">New!M:M</f>
        <v>{New} Vivian Taylor https://streamtape.com/v/RmPQ0adzWgcdbaV/78534742 https://lulustream.com/d/6122y6inry27 https://doodstream.com/d/b06dcfzc1jq2/78534742 (2026) #MILF #BigTits #Hardcore #Bigass #Blowjob #Amateur #Blonde #RIPNSFW</v>
      </c>
      <c r="B1744" s="12" t="str">
        <f>New!A:A</f>
        <v>Vivian Taylor - 78534742 - ripnsfw.com.jpg</v>
      </c>
      <c r="C1744" s="12" t="s">
        <v>8895</v>
      </c>
      <c r="D1744" s="46">
        <f>New!P:P</f>
        <v>0</v>
      </c>
    </row>
    <row r="1745" spans="1:4" ht="12.75">
      <c r="A1745" s="45" t="str">
        <f ca="1">New!M:M</f>
        <v>{New} Vivian Taylor https://doodstream.com/d/2a6iwow6htaa/83159571 https://lulustream.com/d/2prwpdfo6h57 https://streamtape.com/v/DQl2vlko2jTkgvY/83159571 (2026) #MILF #BigTits #Hardcore #Threesome #RIPNSFW</v>
      </c>
      <c r="B1745" s="12" t="str">
        <f>New!A:A</f>
        <v>Vivian Taylor - 83159571 - Onlyfans.jpg</v>
      </c>
      <c r="C1745" s="12" t="s">
        <v>8895</v>
      </c>
      <c r="D1745" s="46">
        <f>New!P:P</f>
        <v>0</v>
      </c>
    </row>
    <row r="1746" spans="1:4" ht="12.75">
      <c r="A1746" s="45" t="str">
        <f ca="1">New!M:M</f>
        <v>{New} Vivian Taylor https://streamtape.com/v/mgdLjgk6l2Cbaw4/94947900 https://doodstream.com/d/ueihhaghw38u/94947900 https://lulustream.com/d/vbo8hqnpz6ex (2026) #MILF #BigTits #Creampie #Hardcore #RIPNSFW</v>
      </c>
      <c r="B1746" s="12" t="str">
        <f>New!A:A</f>
        <v>Vivian Taylor - 94947900 - ripnsfw.com.jpg</v>
      </c>
      <c r="C1746" s="12" t="s">
        <v>8895</v>
      </c>
      <c r="D1746" s="46">
        <f>New!P:P</f>
        <v>0</v>
      </c>
    </row>
    <row r="1747" spans="1:4" ht="12.75">
      <c r="A1747" s="45" t="str">
        <f ca="1">New!M:M</f>
        <v>{New} Vivian Taylor https://doodstream.com/d/gec7nyfmnpl2/94975125 https://streamtape.com/v/lDKVlOOLzaFBO4/94975125 https://lulustream.com/d/ux1fk1hm6ocu (2026) #Hardcore #Black #Interracial #Bigass #Porn #Teen #RIPNSFW</v>
      </c>
      <c r="B1747" s="12" t="str">
        <f>New!A:A</f>
        <v>Vivian Taylor - 94975125 - ripnsfw.com.jpg</v>
      </c>
      <c r="C1747" s="12" t="s">
        <v>8895</v>
      </c>
      <c r="D1747" s="46">
        <f>New!P:P</f>
        <v>0</v>
      </c>
    </row>
    <row r="1748" spans="1:4" ht="12.75">
      <c r="A1748" s="45" t="str">
        <f ca="1">New!M:M</f>
        <v>{New} Vivian Taylor https://doodstream.com/d/6uhhjkdixzui/96078743 https://streamtape.com/v/ZbDxXrj6vxFRbw/96078743 https://lulustream.com/d/6jr4sapyl4yp (2026) #BigTits #Hardcore #Bigass #Porn #Teen #RIPNSFW</v>
      </c>
      <c r="B1748" s="12" t="str">
        <f>New!A:A</f>
        <v>Vivian Taylor - 96078743 - ripnsfw.com.jpg</v>
      </c>
      <c r="C1748" s="12" t="s">
        <v>8895</v>
      </c>
      <c r="D1748" s="46">
        <f>New!P:P</f>
        <v>0</v>
      </c>
    </row>
    <row r="1749" spans="1:4" ht="12.75">
      <c r="A1749" s="45" t="str">
        <f ca="1">New!M:M</f>
        <v>{New} Vivian Taylor https://doodstream.com/d/z636wk73z8ug/99978734 https://lulustream.com/d/3jy3zsscurn3 https://streamtape.com/v/0JlxZMGMZ4iL1X/99978734 (2026) #MILF #BigTits #Creampie #Hardcore #Bigass #RIPNSFW</v>
      </c>
      <c r="B1749" s="12" t="str">
        <f>New!A:A</f>
        <v>Vivian Taylor - 99978734 - ripnsfw.com.jpg</v>
      </c>
      <c r="C1749" s="12" t="s">
        <v>8895</v>
      </c>
      <c r="D1749" s="46">
        <f>New!P:P</f>
        <v>0</v>
      </c>
    </row>
    <row r="1750" spans="1:4" ht="12.75">
      <c r="A1750" s="45" t="str">
        <f ca="1">New!M:M</f>
        <v>{New} Wild Halli https://doodstream.com/d/jn5y96nr9sll/81526399 https://lulustream.com/d/1rmn06ii4y9w https://streamtape.com/v/LDA44W8VpZTR2Yv/81526399 (2026) #MILF #BigTits #Hardcore #Threesome #RIPNSFW</v>
      </c>
      <c r="B1750" s="12" t="str">
        <f>New!A:A</f>
        <v>Wild Halli - 81526399 - Onlyfans.jpg</v>
      </c>
      <c r="C1750" s="12" t="s">
        <v>8895</v>
      </c>
      <c r="D1750" s="46">
        <f>New!P:P</f>
        <v>0</v>
      </c>
    </row>
    <row r="1751" spans="1:4" ht="12.75">
      <c r="A1751" s="45" t="str">
        <f ca="1">New!M:M</f>
        <v>{New} Witchersdoll https://streamtape.com/v/7P0b7jPqJgFAgxx/68351388 https://doodstream.com/d/ht2mxxr35m0z/68351388 https://lulustream.com/d/gkgxv7qvhv5o (2026) #BigTits #Hardcore #Bigass #Teen #Roleplay #Blowjob #RIPNSFW</v>
      </c>
      <c r="B1751" s="12" t="str">
        <f>New!A:A</f>
        <v>Witchersdoll - 68351388 - ripnsfw.com.jpg</v>
      </c>
      <c r="C1751" s="12" t="s">
        <v>8895</v>
      </c>
      <c r="D1751" s="46">
        <f>New!P:P</f>
        <v>0</v>
      </c>
    </row>
    <row r="1752" spans="1:4" ht="12.75">
      <c r="A1752" s="45" t="str">
        <f ca="1">New!M:M</f>
        <v>{New} Yuiwoo https://lulustream.com/d/4865g3g49ncq https://doodstream.com/d/ht09ip6ybqwp/35203460 https://streamtape.com/v/vLMRworRj0I40ex/35203460 (2026) #Teen #Blowjob #Amateur #Blonde #RIPNSFW</v>
      </c>
      <c r="B1752" s="12" t="str">
        <f>New!A:A</f>
        <v>Yuiwoo - 35203460 - Onlyfans.jpg</v>
      </c>
      <c r="C1752" s="12" t="s">
        <v>8895</v>
      </c>
      <c r="D1752" s="46">
        <f>New!P:P</f>
        <v>0</v>
      </c>
    </row>
    <row r="1753" spans="1:4" ht="12.75">
      <c r="A1753" s="45" t="str">
        <f ca="1">New!M:M</f>
        <v>{New} Yuiwoo https://lulustream.com/d/lu88yaebpfhe https://streamtape.com/v/ekqPXQ9P4Dfo4v/38709626 https://doodstream.com/d/vp95a8ljqbgk/38709626 (2026) #Teen #Blowjob #Amateur #Blonde #RIPNSFW</v>
      </c>
      <c r="B1753" s="12" t="str">
        <f>New!A:A</f>
        <v>Yuiwoo - 38709626 - Onlyfans.jpg</v>
      </c>
      <c r="C1753" s="12" t="s">
        <v>8895</v>
      </c>
      <c r="D1753" s="46">
        <f>New!P:P</f>
        <v>0</v>
      </c>
    </row>
    <row r="1754" spans="1:4" ht="12.75">
      <c r="A1754" s="45" t="str">
        <f ca="1">New!M:M</f>
        <v>{New} ZiaFox https://streamtape.com/v/wDJ4VLapARtJJjq/37596286 https://doodstream.com/d/6m7k0d7i3xdp/37596286 https://lulustream.com/d/u9s8ndol074x (2026) #Teen #Artporn #Blowjob #Amateur #RIPNSFW</v>
      </c>
      <c r="B1754" s="12" t="str">
        <f>New!A:A</f>
        <v>ZiaFox - 37596286 - Onlyfans.jpg</v>
      </c>
      <c r="C1754" s="12" t="s">
        <v>8895</v>
      </c>
      <c r="D1754" s="46">
        <f>New!P:P</f>
        <v>0</v>
      </c>
    </row>
    <row r="1755" spans="1:4" ht="12.75">
      <c r="A1755" s="45" t="str">
        <f ca="1">New!M:M</f>
        <v>{New} Lauren Phillips https://streamtape.com/v/Oe0mm8lJ9DFZvdz/88227658 https://doodstream.com/d/tnwrko0xvsce/88227658 https://lulustream.com/d/1a6jj2rp1qai (2026) #MILF #BigTits #Hardcore #Bigass #Porn #Blowjob #RIPNSFW</v>
      </c>
      <c r="B1755" s="12" t="str">
        <f>New!A:A</f>
        <v>Lauren Phillips - 88227658 - ripnsfw.com.jpg</v>
      </c>
      <c r="C1755" s="12" t="s">
        <v>8895</v>
      </c>
      <c r="D1755" s="46">
        <f>New!P:P</f>
        <v>0</v>
      </c>
    </row>
    <row r="1756" spans="1:4" ht="12.75">
      <c r="A1756" s="45" t="str">
        <f ca="1">New!M:M</f>
        <v>{New} Melody Marks https://doodstream.com/d/7529yqz351k1/52689070 https://streamtape.com/v/d3MJlqo22QhgeQ/52689070 https://lulustream.com/d/4mek0h25mp8x Lexi Lore (2026) #BigTits #Hardcore #Black #Interracial #RIPNSFW</v>
      </c>
      <c r="B1756" s="12" t="str">
        <f>New!A:A</f>
        <v>Melody Marks - 52689070 - ripnsfw.com - Lexi Lore.jpg</v>
      </c>
      <c r="C1756" s="12" t="s">
        <v>8895</v>
      </c>
      <c r="D1756" s="46">
        <f>New!P:P</f>
        <v>0</v>
      </c>
    </row>
    <row r="1757" spans="1:4" ht="12.75">
      <c r="A1757" s="45" t="str">
        <f ca="1">New!M:M</f>
        <v>{New} Dani Daniels https://doodstream.com/d/9tzfdytpppnk/15999002 https://streamtape.com/v/4DJlZO9glxHKqMk/15999002 https://lulustream.com/d/zobh67ng0akb (2026) #MILF #BigTits #Bigass #Roleplay #RIPNSFW</v>
      </c>
      <c r="B1757" s="12" t="str">
        <f>New!A:A</f>
        <v>Dani Daniels - 15999002 - ripnsfw.com.jpg</v>
      </c>
      <c r="C1757" s="12" t="s">
        <v>8895</v>
      </c>
      <c r="D1757" s="46">
        <f>New!P:P</f>
        <v>0</v>
      </c>
    </row>
    <row r="1758" spans="1:4" ht="12.75">
      <c r="A1758" s="45" t="str">
        <f ca="1">New!M:M</f>
        <v>{New} Savannah Bond https://streamtape.com/v/evQWejwDpQcO9e/43230045 https://lulustream.com/d/k661x2wa5dy0 https://doodstream.com/d/5k05n87r4nv5/43230045 (2026) #MILF #BigTits #Hardcore #Bigass #Blowjob #Amateur #RIPNSFW</v>
      </c>
      <c r="B1758" s="12" t="str">
        <f>New!A:A</f>
        <v>Savannah Bond - 43230045 - ripnsfw.com.jpg</v>
      </c>
      <c r="C1758" s="12" t="s">
        <v>8895</v>
      </c>
      <c r="D1758" s="46">
        <f>New!P:P</f>
        <v>0</v>
      </c>
    </row>
    <row r="1759" spans="1:4" ht="12.75">
      <c r="A1759" s="45" t="str">
        <f ca="1">New!M:M</f>
        <v>{New} Savannah Bond https://doodstream.com/d/03st6n6thdjh/57797769 https://streamtape.com/v/YZGjP4MMRXFvYop/57797769 https://lulustream.com/d/szfbofb9p2tx (2026) #MILF #BigTits #Bigass #Solo #RIPNSFW</v>
      </c>
      <c r="B1759" s="12" t="str">
        <f>New!A:A</f>
        <v>Savannah Bond - 57797769 - ripnsfw.com.jpg</v>
      </c>
      <c r="C1759" s="12" t="s">
        <v>8895</v>
      </c>
      <c r="D1759" s="46">
        <f>New!P:P</f>
        <v>0</v>
      </c>
    </row>
    <row r="1760" spans="1:4" ht="12.75">
      <c r="A1760" s="45" t="str">
        <f ca="1">New!M:M</f>
        <v>{New} Audrey Bitoni https://lulustream.com/d/i3bhatrz455b https://streamtape.com/v/Or3QDpLG6ZsZv4y/43598517 https://doodstream.com/d/rj21im27iw2v/43598517 (2026) #MILF #BigTits #Hardcore #Porn #Blowjob #Deepthroat #Facial #RIPNSFW</v>
      </c>
      <c r="B1760" s="12" t="str">
        <f>New!A:A</f>
        <v>Audrey Bitoni - 43598517 - ripnsfw.com.jpg</v>
      </c>
      <c r="C1760" s="12" t="s">
        <v>8895</v>
      </c>
      <c r="D1760" s="46">
        <f>New!P:P</f>
        <v>0</v>
      </c>
    </row>
    <row r="1761" spans="1:4" ht="12.75">
      <c r="A1761" s="45" t="str">
        <f ca="1">New!M:M</f>
        <v>{New} Dallas https://streamtape.com/v/VWAABQjYXDcKvy8/79482146 https://doodstream.com/d/msbdrz49auwo/79482146 https://lulustream.com/d/u9hkyyat701p (2026) #Anal #BigTits #Hardcore #Threesome #Bigass #Porn #Teen #Casting #RIPNSFW</v>
      </c>
      <c r="B1761" s="12" t="str">
        <f>New!A:A</f>
        <v>Dallas - 79482146 - ripnsfw.com.jpg</v>
      </c>
      <c r="C1761" s="12" t="s">
        <v>8895</v>
      </c>
      <c r="D1761" s="46">
        <f>New!P:P</f>
        <v>0</v>
      </c>
    </row>
    <row r="1762" spans="1:4" ht="12.75">
      <c r="A1762" s="45" t="str">
        <f ca="1">New!M:M</f>
        <v>{New} Angel Youngs https://streamtape.com/v/kKMZvrg4zpFO4Og/99978168 https://doodstream.com/d/wllnqzp4xqm9/99978168 https://lulustream.com/d/2jmyok09qkcx Angela White (2026) #MILF #BigTits #Hardcore #Threesome #Bigass #Teen #Blowjob #Amateur #RIPNSFW</v>
      </c>
      <c r="B1762" s="12" t="str">
        <f>New!A:A</f>
        <v>Angel Youngs - 99978168 - ripnsfw.com - Angela White.jpg</v>
      </c>
      <c r="C1762" s="12" t="s">
        <v>8895</v>
      </c>
      <c r="D1762" s="46">
        <f>New!P:P</f>
        <v>0</v>
      </c>
    </row>
    <row r="1763" spans="1:4" ht="12.75">
      <c r="A1763" s="45" t="str">
        <f ca="1">New!M:M</f>
        <v>{New} Angela White https://doodstream.com/d/hgh27vn7albd/18835676 https://lulustream.com/d/5phe9e2ee347 https://streamtape.com/v/dpbVzeq3zjCkqjb/18835676 (2026) #MILF #BigTits #Hardcore #Black #Interracial #Bigass #Blowjob #Amateur #RIPNSFW</v>
      </c>
      <c r="B1763" s="12" t="str">
        <f>New!A:A</f>
        <v>Angela White - 18835676 - ripnsfw.com.jpg</v>
      </c>
      <c r="C1763" s="12" t="s">
        <v>8895</v>
      </c>
      <c r="D1763" s="46">
        <f>New!P:P</f>
        <v>0</v>
      </c>
    </row>
    <row r="1764" spans="1:4" ht="12.75">
      <c r="A1764" s="45" t="str">
        <f ca="1">New!M:M</f>
        <v>{New} Elly Clutch https://streamtape.com/v/pl2aYvqjo3Ur88d/19643052 https://doodstream.com/d/0tf2h6dzy9cl/19643052 https://lulustream.com/d/oc4zqno6esxi (2026) #BigTits #Hardcore #Teen #Blowjob #Amateur #Deepthroat #RIPNSFW</v>
      </c>
      <c r="B1764" s="12" t="str">
        <f>New!A:A</f>
        <v>Elly Clutch - 19643052 - ripnsfw.com.jpg</v>
      </c>
      <c r="C1764" s="12" t="s">
        <v>8895</v>
      </c>
      <c r="D1764" s="46">
        <f>New!P:P</f>
        <v>0</v>
      </c>
    </row>
    <row r="1765" spans="1:4" ht="12.75">
      <c r="A1765" s="45" t="str">
        <f ca="1">New!M:M</f>
        <v>{New} JackandJill https://streamtape.com/v/gdaa6lzomaTqqe3/77873799 https://doodstream.com/d/8ypaktfh3n7l/77873799 https://lulustream.com/d/zeg9bpp14cg6 (2026) #MILF #BigTits #Hardcore #Blowjob #Amateur #Deepthroat #RIPNSFW</v>
      </c>
      <c r="B1765" s="12" t="str">
        <f>New!A:A</f>
        <v>JackandJill - 77873799 - ripnsfw.com.jpg</v>
      </c>
      <c r="C1765" s="12" t="s">
        <v>8895</v>
      </c>
      <c r="D1765" s="46">
        <f>New!P:P</f>
        <v>0</v>
      </c>
    </row>
    <row r="1766" spans="1:4" ht="12.75">
      <c r="A1766" s="45" t="str">
        <f ca="1">New!M:M</f>
        <v>{New} Riley Reid https://streamtape.com/v/A6q4BJbxZQuZZo/74517398 https://doodstream.com/d/yf3qsazyl9t4/74517398 https://lulustream.com/d/clg9u6rpsojn (2026) #Anal #Hardcore #Gangbang #Bigass #Teen #Blowjob #Amateur #DoublePenetration #RIPNSFW</v>
      </c>
      <c r="B1766" s="12" t="str">
        <f>New!A:A</f>
        <v>Riley Reid - 74517398 - ripnsfw.com.jpg</v>
      </c>
      <c r="C1766" s="12" t="s">
        <v>8895</v>
      </c>
      <c r="D1766" s="46">
        <f>New!P:P</f>
        <v>0</v>
      </c>
    </row>
    <row r="1767" spans="1:4" ht="12.75">
      <c r="A1767" s="45" t="str">
        <f ca="1">New!M:M</f>
        <v>{New} Codi Vore https://streamtape.com/v/ZDkomXkwWRIqDBp/54419516 https://lulustream.com/d/g3nipxhbmgiz https://doodstream.com/d/kx9hvpvs57nm/54419516 (2026) #BigTits #Hardcore #Threesome #Bigass #Porn #Teen #Blowjob #Blonde #Facial #RIPNSFW</v>
      </c>
      <c r="B1767" s="12" t="str">
        <f>New!A:A</f>
        <v>Codi Vore - 54419516 - ripnsfw.com.jpg</v>
      </c>
      <c r="C1767" s="12" t="s">
        <v>8895</v>
      </c>
      <c r="D1767" s="46">
        <f>New!P:P</f>
        <v>0</v>
      </c>
    </row>
    <row r="1768" spans="1:4" ht="12.75">
      <c r="A1768" s="45" t="str">
        <f ca="1">New!M:M</f>
        <v>{New} Kimmy Granger https://doodstream.com/d/j8hunxz8efji/68499628 https://streamtape.com/v/ZyDmzWl1z2CqLrZ/68499628 https://lulustream.com/d/ozolotc03e3p (2026) #MILF #BigTits #Hardcore #Creampie #Blowjob #Amateur #Blonde #RIPNSFW</v>
      </c>
      <c r="B1768" s="12" t="str">
        <f>New!A:A</f>
        <v>Kimmy Granger - 68499628 - ripnsfw.com.jpg</v>
      </c>
      <c r="C1768" s="12" t="s">
        <v>8895</v>
      </c>
      <c r="D1768" s="46">
        <f>New!P:P</f>
        <v>0</v>
      </c>
    </row>
    <row r="1769" spans="1:4" ht="12.75">
      <c r="A1769" s="45" t="str">
        <f ca="1">New!M:M</f>
        <v>{New} Jewelz Blu https://lulustream.com/d/5kndrr1rl87o https://streamtape.com/v/pbjqZ2OKJxFr9Pk/72073394 https://doodstream.com/d/yagu1ddssi7p/72073394 (2026) #Anal #MILF #BigTits #Hardcore #Black #Interracial #Bigass #Porn #Blowjob #Deepthroat #RIPNSFW</v>
      </c>
      <c r="B1769" s="12" t="str">
        <f>New!A:A</f>
        <v>Jewelz Blu - 72073394 - ripnsfw.com.jpg</v>
      </c>
      <c r="C1769" s="12" t="s">
        <v>8895</v>
      </c>
      <c r="D1769" s="46">
        <f>New!P:P</f>
        <v>0</v>
      </c>
    </row>
    <row r="1770" spans="1:4" ht="12.75">
      <c r="A1770" s="45" t="str">
        <f ca="1">New!M:M</f>
        <v>{New} Bonnie Blue https://lulustream.com/d/jc3q15tqlkuq https://doodstream.com/d/tlmz7vtyt1c3/58246826 https://streamtape.com/v/wr14QV00MySJvKr/58246826 (2026) #MILF #BigTits #Hardcore #Threesome #Bigass #Blowjob #Amateur #Hotwife #Deepthroat #Blonde #Pregnant #RIPNSFW</v>
      </c>
      <c r="B1770" s="12" t="str">
        <f>New!A:A</f>
        <v>Bonnie Blue - 58246826 - ripnsfw.com.jpg</v>
      </c>
      <c r="C1770" s="12" t="s">
        <v>8895</v>
      </c>
      <c r="D1770" s="46">
        <f>New!P:P</f>
        <v>0</v>
      </c>
    </row>
    <row r="1771" spans="1:4" ht="12.75">
      <c r="A1771" s="45" t="str">
        <f ca="1">New!M:M</f>
        <v>{New} Angela White https://streamtape.com/v/k2rmMBL2rkiO7La/99269914 https://doodstream.com/d/vup3k9gsumvy/99269914 https://lulustream.com/d/h5o1bn2eoe53 Little Puck (2026) #MILF #BigTits #Hardcore #Threesome #RIPNSFW</v>
      </c>
      <c r="B1771" s="12" t="str">
        <f>New!A:A</f>
        <v>Angela White - 99269914 - ripnsfw.com - Little Puck.jpg</v>
      </c>
      <c r="C1771" s="12" t="s">
        <v>8895</v>
      </c>
      <c r="D1771" s="46">
        <f>New!P:P</f>
        <v>0</v>
      </c>
    </row>
    <row r="1772" spans="1:4" ht="12.75">
      <c r="A1772" s="45" t="str">
        <f ca="1">New!M:M</f>
        <v>{New} Elly Clutch https://streamtape.com/v/K9bJRYLgpbc0xVq/77597006 https://lulustream.com/d/03njdkszx9p9 https://doodstream.com/d/5ajdjcv8vbsy/77597006 (2026) #BigTits #Hardcore #Teen #Blowjob #Amateur #Facial #RIPNSFW</v>
      </c>
      <c r="B1772" s="12" t="str">
        <f>New!A:A</f>
        <v>Elly Clutch - 77597006 - ripnsfw.com.jpg</v>
      </c>
      <c r="C1772" s="12" t="s">
        <v>8895</v>
      </c>
      <c r="D1772" s="46">
        <f>New!P:P</f>
        <v>0</v>
      </c>
    </row>
    <row r="1773" spans="1:4" ht="12.75">
      <c r="A1773" s="45" t="str">
        <f ca="1">New!M:M</f>
        <v>{New} Alanna Pow https://lulustream.com/d/qyhbx3lvreab https://doodstream.com/d/k2xigorbbls3/65985439 https://streamtape.com/v/pMa9r0bQAZcrvWP/65985439 (2026) #BigTits #Hardcore #Bigass #Teen #Blowjob #Amateur #RIPNSFW</v>
      </c>
      <c r="B1773" s="12" t="str">
        <f>New!A:A</f>
        <v>Alanna Pow - 65985439 - ripnsfw.com.jpg</v>
      </c>
      <c r="C1773" s="12" t="s">
        <v>8895</v>
      </c>
      <c r="D1773" s="46">
        <f>New!P:P</f>
        <v>0</v>
      </c>
    </row>
    <row r="1774" spans="1:4" ht="12.75">
      <c r="A1774" s="45" t="str">
        <f ca="1">New!M:M</f>
        <v>{New} Angel Youngs https://lulustream.com/d/sseluw62w2h0 https://streamtape.com/v/V6VjG7k9wRCKAev/15926635 https://doodstream.com/d/ehv8rpktdy9b/15926635 (2026) #BigTits #Hardcore #Teen #Blowjob #Amateur #RIPNSFW</v>
      </c>
      <c r="B1774" s="12" t="str">
        <f>New!A:A</f>
        <v>Angel Youngs - 15926635 - ripnsfw.com.jpg</v>
      </c>
      <c r="C1774" s="12" t="s">
        <v>8895</v>
      </c>
      <c r="D1774" s="46">
        <f>New!P:P</f>
        <v>0</v>
      </c>
    </row>
    <row r="1775" spans="1:4" ht="12.75">
      <c r="A1775" s="45" t="str">
        <f ca="1">New!M:M</f>
        <v>{New} Chanel Camryn https://doodstream.com/d/d46k2cii8k11/69640605 https://streamtape.com/v/8v2aBKWmDWFompl/69640605 https://lulustream.com/d/6hh9ay372c0c (2026) #Hardcore #Porn #Teen #Blowjob #RIPNSFW</v>
      </c>
      <c r="B1775" s="12" t="str">
        <f>New!A:A</f>
        <v>Chanel Camryn - 69640605 - ripnsfw.com.jpg</v>
      </c>
      <c r="C1775" s="12" t="s">
        <v>8895</v>
      </c>
      <c r="D1775" s="46">
        <f>New!P:P</f>
        <v>0</v>
      </c>
    </row>
    <row r="1776" spans="1:4" ht="12.75">
      <c r="A1776" s="45" t="str">
        <f ca="1">New!M:M</f>
        <v>{New} Cory Chase https://streamtape.com/v/MXY42x00lOHm88v/32061429 https://doodstream.com/d/elwruvi8xe49/32061429 https://lulustream.com/d/pamg9csuj4ef (2026) #Anal #MILF #BigTits #Hardcore #Threesome #Interracial #RIPNSFW</v>
      </c>
      <c r="B1776" s="12" t="str">
        <f>New!A:A</f>
        <v>Cory Chase - 32061429 - ripnsfw.com.jpg</v>
      </c>
      <c r="C1776" s="12" t="s">
        <v>8895</v>
      </c>
      <c r="D1776" s="46">
        <f>New!P:P</f>
        <v>0</v>
      </c>
    </row>
    <row r="1777" spans="1:4" ht="12.75">
      <c r="A1777" s="45" t="str">
        <f ca="1">New!M:M</f>
        <v>{New} Dakota Lyn https://lulustream.com/d/tytihx7uelzr https://doodstream.com/d/5nz08586807e/65009550 https://streamtape.com/v/AKBO9zY9jpTwqY/65009550 (2026) #Hardcore #Porn #Teen #Blowjob #Deepthroat #Blonde #Facial #RIPNSFW</v>
      </c>
      <c r="B1777" s="12" t="str">
        <f>New!A:A</f>
        <v>Dakota Lyn - 65009550 - ripnsfw.com.jpg</v>
      </c>
      <c r="C1777" s="12" t="s">
        <v>8895</v>
      </c>
      <c r="D1777" s="46">
        <f>New!P:P</f>
        <v>0</v>
      </c>
    </row>
    <row r="1778" spans="1:4" ht="12.75">
      <c r="A1778" s="45" t="str">
        <f ca="1">New!M:M</f>
        <v>{New} Eva Nyx https://streamtape.com/v/RLjPWaMkzBcdz32/65490161 https://lulustream.com/d/fzgujnsl4sj7 https://doodstream.com/d/ojw752meqnn5/65490161 (2026) #BigTits #Creampie #Hardcore #Bigass #RIPNSFW</v>
      </c>
      <c r="B1778" s="12" t="str">
        <f>New!A:A</f>
        <v>Eva Nyx - 65490161 - ripnsfw.com.jpg</v>
      </c>
      <c r="C1778" s="12" t="s">
        <v>8895</v>
      </c>
      <c r="D1778" s="46">
        <f>New!P:P</f>
        <v>0</v>
      </c>
    </row>
    <row r="1779" spans="1:4" ht="12.75">
      <c r="A1779" s="45" t="str">
        <f ca="1">New!M:M</f>
        <v>{New} Hot Pearl https://streamtape.com/v/Dlb7rep9zMT6mO/62415070 https://lulustream.com/d/570qgjqsrd33 https://doodstream.com/d/frfa2pqfz5vk/62415070 (2026) #Anal #Hardcore #Threesome #Teen #Blowjob #Amateur #RIPNSFW</v>
      </c>
      <c r="B1779" s="12" t="str">
        <f>New!A:A</f>
        <v>Hot Pearl - 62415070 - ripnsfw.com.jpg</v>
      </c>
      <c r="C1779" s="12" t="s">
        <v>8895</v>
      </c>
      <c r="D1779" s="46">
        <f>New!P:P</f>
        <v>0</v>
      </c>
    </row>
    <row r="1780" spans="1:4" ht="12.75">
      <c r="A1780" s="45" t="str">
        <f ca="1">New!M:M</f>
        <v>{New} Iris Leon https://doodstream.com/d/auo6gpc2cubf/64346618 https://streamtape.com/v/a2j9pgL9AkCx1g7/64346618 https://lulustream.com/d/ievnfaseak1q (2026) #BigTits #Hardcore #Piss #Bigass #Porn #Teen #Blowjob #Deepthroat #RIPNSFW</v>
      </c>
      <c r="B1780" s="12" t="str">
        <f>New!A:A</f>
        <v>Iris Leon - 64346618 - ripnsfw.com.jpg</v>
      </c>
      <c r="C1780" s="12" t="s">
        <v>8895</v>
      </c>
      <c r="D1780" s="46">
        <f>New!P:P</f>
        <v>0</v>
      </c>
    </row>
    <row r="1781" spans="1:4" ht="12.75">
      <c r="A1781" s="45" t="str">
        <f ca="1">New!M:M</f>
        <v>{New} Jewel Diamant https://lulustream.com/d/h589o4idi0h6 https://streamtape.com/v/ygRRxAPGm8i1MmD/91184699 https://doodstream.com/d/ej21wmj1kn2e/91184699 Lena the plug (2026) #MILF #BigTits #Hardcore #Threesome #Bigass #Teen #Blowjob #RIPNSFW</v>
      </c>
      <c r="B1781" s="12" t="str">
        <f>New!A:A</f>
        <v>Jewel Diamant - 91184699 - ripnsfw.com - Lena the plug.jpg</v>
      </c>
      <c r="C1781" s="12" t="s">
        <v>8895</v>
      </c>
      <c r="D1781" s="46">
        <f>New!P:P</f>
        <v>0</v>
      </c>
    </row>
    <row r="1782" spans="1:4" ht="12.75">
      <c r="A1782" s="45" t="str">
        <f ca="1">New!M:M</f>
        <v>{New} Scarlet Chase https://lulustream.com/d/7hpxojxblf4f https://doodstream.com/d/frbu1lv7gm1p/37202021 https://streamtape.com/v/pdVvG7XxR7FryQa/37202021 (2026) #Anal #BigTits #Hardcore #Bigass #Teen #Blowjob #Amateur #Deepthroat #Blonde #RIPNSFW</v>
      </c>
      <c r="B1782" s="12" t="str">
        <f>New!A:A</f>
        <v>Scarlet Chase - 37202021 - ripnsfw.com.jpg</v>
      </c>
      <c r="C1782" s="12" t="s">
        <v>8895</v>
      </c>
      <c r="D1782" s="46">
        <f>New!P:P</f>
        <v>0</v>
      </c>
    </row>
    <row r="1783" spans="1:4" ht="12.75">
      <c r="A1783" s="45" t="str">
        <f ca="1">New!M:M</f>
        <v>{New} Scarlett https://streamtape.com/v/a21lm0povVCxR28/18238704 https://doodstream.com/d/wfwsvwmam6b4/18238704 https://lulustream.com/d/x39m65m6l3xx (2026) #BigTits #Hardcore #Porn #Blowjob #RIPNSFW</v>
      </c>
      <c r="B1783" s="12" t="str">
        <f>New!A:A</f>
        <v>Scarlett - 18238704 - ripnsfw.com.jpg</v>
      </c>
      <c r="C1783" s="12" t="s">
        <v>8895</v>
      </c>
      <c r="D1783" s="46">
        <f>New!P:P</f>
        <v>0</v>
      </c>
    </row>
    <row r="1784" spans="1:4" ht="12.75">
      <c r="A1784" s="45" t="str">
        <f ca="1">New!M:M</f>
        <v>{New} Wendy Marvell https://doodstream.com/d/sl0xz6l9gne6/58763065 https://lulustream.com/d/ban6qd99gspv https://streamtape.com/v/3aR4OaPkQ8hdw33/58763065 (2026) #Anal #BigTits #Hardcore #Porn #RIPNSFW</v>
      </c>
      <c r="B1784" s="12" t="str">
        <f>New!A:A</f>
        <v>Wendy Marvell - 58763065 - ripnsfw.com.jpg</v>
      </c>
      <c r="C1784" s="12" t="s">
        <v>8895</v>
      </c>
      <c r="D1784" s="46">
        <f>New!P:P</f>
        <v>0</v>
      </c>
    </row>
    <row r="1785" spans="1:4" ht="12.75">
      <c r="A1785" s="45" t="str">
        <f ca="1">New!M:M</f>
        <v>{New} Angela White https://lulustream.com/d/4hslkyyzmtfp https://doodstream.com/d/lm29kuked01f/77762607 https://streamtape.com/v/DPlxVbewAXTkrlz/77762607 (2026) #Anal #MILF #BigTits #Hardcore #Bigass #RIPNSFW</v>
      </c>
      <c r="B1785" s="12" t="str">
        <f>New!A:A</f>
        <v>Angela White - 77762607 - ripnsfw.com.jpg</v>
      </c>
      <c r="C1785" s="12" t="s">
        <v>8895</v>
      </c>
      <c r="D1785" s="46">
        <f>New!P:P</f>
        <v>0</v>
      </c>
    </row>
    <row r="1786" spans="1:4" ht="12.75">
      <c r="A1786" s="45" t="str">
        <f ca="1">New!M:M</f>
        <v>{New} Cory Chase https://streamtape.com/v/xe8QOYJvgwFk4Z7/97797979 https://doodstream.com/d/w1lzw9rt47il/97797979 https://lulustream.com/d/544rc5hsvlfa (2026) #Anal #MILF #BigTits #Hardcore #Black #RIPNSFW</v>
      </c>
      <c r="B1786" s="12" t="str">
        <f>New!A:A</f>
        <v>Cory Chase - 97797979 - ripnsfw.com.jpg</v>
      </c>
      <c r="C1786" s="12" t="s">
        <v>8895</v>
      </c>
      <c r="D1786" s="46">
        <f>New!P:P</f>
        <v>0</v>
      </c>
    </row>
    <row r="1787" spans="1:4" ht="12.75">
      <c r="A1787" s="45" t="str">
        <f ca="1">New!M:M</f>
        <v>{New} Dani Daniels https://streamtape.com/v/yxAA89B93yH1Gew/88978315 https://lulustream.com/d/9u3dkj6lmilo https://doodstream.com/d/4fs8ir27dvuj/88978315 (2026) #MILF #BigTits #Bigass #Blowjob #Amateur #RIPNSFW</v>
      </c>
      <c r="B1787" s="12" t="str">
        <f>New!A:A</f>
        <v>Dani Daniels - 88978315 - ripnsfw.com.jpg</v>
      </c>
      <c r="C1787" s="12" t="s">
        <v>8895</v>
      </c>
      <c r="D1787" s="46">
        <f>New!P:P</f>
        <v>0</v>
      </c>
    </row>
    <row r="1788" spans="1:4" ht="12.75">
      <c r="A1788" s="45" t="str">
        <f ca="1">New!M:M</f>
        <v>{New} Lauren Phillips https://streamtape.com/v/OY08ZDDqBpU1BV/51000890 https://doodstream.com/d/61ipexl7zv8u/51000890 https://lulustream.com/d/slxlkk9xzghy (2026) #MILF #BigTits #Hardcore #Bigass #Porn #Blowjob #RIPNSFW</v>
      </c>
      <c r="B1788" s="12" t="str">
        <f>New!A:A</f>
        <v>Lauren Phillips - 51000890 - ripnsfw.com.jpg</v>
      </c>
      <c r="C1788" s="12" t="s">
        <v>8895</v>
      </c>
      <c r="D1788" s="46">
        <f>New!P:P</f>
        <v>0</v>
      </c>
    </row>
    <row r="1789" spans="1:4" ht="12.75">
      <c r="A1789" s="45" t="str">
        <f ca="1">New!M:M</f>
        <v>{New} Melody Marks https://streamtape.com/v/1D230VxDzVCe4qL/14814003 https://doodstream.com/d/0b6tip4s9ck1/14814003 https://lulustream.com/d/7whdeuiaxloh (2026) #BigTits #Hardcore #Porn #Teen #Blowjob #RIPNSFW</v>
      </c>
      <c r="B1789" s="12" t="str">
        <f>New!A:A</f>
        <v>Melody Marks - 14814003 - ripnsfw.com.jpg</v>
      </c>
      <c r="C1789" s="12" t="s">
        <v>8895</v>
      </c>
      <c r="D1789" s="46">
        <f>New!P:P</f>
        <v>0</v>
      </c>
    </row>
    <row r="1790" spans="1:4" ht="12.75">
      <c r="A1790" s="45" t="str">
        <f ca="1">New!M:M</f>
        <v>{New} Savannah Bond https://doodstream.com/d/etbvn6zrha46/89639486 https://streamtape.com/v/VmjOjWG1lXCyw6/89639486 https://lulustream.com/d/mxz0ouee6tb2 (2026) #MILF #BigTits #Hardcore #Black #RIPNSFW</v>
      </c>
      <c r="B1790" s="12" t="str">
        <f>New!A:A</f>
        <v>Savannah Bond - 89639486 - ripnsfw.com.jpg</v>
      </c>
      <c r="C1790" s="12" t="s">
        <v>8895</v>
      </c>
      <c r="D1790" s="46">
        <f>New!P:P</f>
        <v>0</v>
      </c>
    </row>
    <row r="1791" spans="1:4" ht="12.75">
      <c r="A1791" s="45" t="str">
        <f ca="1">New!M:M</f>
        <v>{New} Vivian Taylor https://streamtape.com/v/4vGp2JRrqxCKobZ/52516759 https://doodstream.com/d/d8ldui0um55e/52516759 https://lulustream.com/d/nths7amrmmij (2026) #MILF #BigTits #Hardcore #Bigass #Porn #Blowjob #RIPNSFW</v>
      </c>
      <c r="B1791" s="12" t="str">
        <f>New!A:A</f>
        <v>Vivian Taylor - 52516759 - ripnsfw.com.jpg</v>
      </c>
      <c r="C1791" s="12" t="s">
        <v>8895</v>
      </c>
      <c r="D1791" s="46">
        <f>New!P:P</f>
        <v>0</v>
      </c>
    </row>
    <row r="1792" spans="1:4" ht="12.75">
      <c r="A1792" s="45">
        <f>New!M:M</f>
        <v>0</v>
      </c>
      <c r="B1792" s="12">
        <f>New!A:A</f>
        <v>0</v>
      </c>
      <c r="D1792" s="47">
        <f>New!P:P</f>
        <v>0</v>
      </c>
    </row>
    <row r="1793" spans="1:4" ht="12.75">
      <c r="A1793" s="45">
        <f>New!M:M</f>
        <v>0</v>
      </c>
      <c r="B1793" s="12">
        <f>New!A:A</f>
        <v>0</v>
      </c>
      <c r="D1793" s="47">
        <f>New!P:P</f>
        <v>0</v>
      </c>
    </row>
    <row r="1794" spans="1:4" ht="12.75">
      <c r="A1794" s="12">
        <f>New!M:M</f>
        <v>0</v>
      </c>
      <c r="B1794" s="12">
        <f>New!A:A</f>
        <v>0</v>
      </c>
      <c r="D1794" s="46">
        <f>New!P:P</f>
        <v>0</v>
      </c>
    </row>
    <row r="1795" spans="1:4" ht="12.75">
      <c r="A1795" s="45">
        <f>New!M:M</f>
        <v>0</v>
      </c>
      <c r="B1795" s="12">
        <f>New!A:A</f>
        <v>0</v>
      </c>
      <c r="D1795" s="47">
        <f>New!P:P</f>
        <v>0</v>
      </c>
    </row>
    <row r="1796" spans="1:4" ht="12.75">
      <c r="A1796" s="45">
        <f>New!M:M</f>
        <v>0</v>
      </c>
      <c r="B1796" s="12">
        <f>New!A:A</f>
        <v>0</v>
      </c>
      <c r="D1796" s="47">
        <f>New!P:P</f>
        <v>0</v>
      </c>
    </row>
    <row r="1797" spans="1:4" ht="12.75">
      <c r="A1797" s="45">
        <f>New!M:M</f>
        <v>0</v>
      </c>
      <c r="B1797" s="12">
        <f>New!A:A</f>
        <v>0</v>
      </c>
      <c r="D1797" s="47">
        <f>New!P:P</f>
        <v>0</v>
      </c>
    </row>
    <row r="1798" spans="1:4" ht="12.75">
      <c r="A1798" s="45">
        <f>New!M:M</f>
        <v>0</v>
      </c>
      <c r="B1798" s="12">
        <f>New!A:A</f>
        <v>0</v>
      </c>
      <c r="D1798" s="47">
        <f>New!P:P</f>
        <v>0</v>
      </c>
    </row>
    <row r="1799" spans="1:4" ht="12.75">
      <c r="A1799" s="12">
        <f>New!M:M</f>
        <v>0</v>
      </c>
      <c r="B1799" s="12">
        <f>New!A:A</f>
        <v>0</v>
      </c>
      <c r="D1799" s="46">
        <f>New!P:P</f>
        <v>0</v>
      </c>
    </row>
    <row r="1800" spans="1:4" ht="12.75">
      <c r="A1800" s="45">
        <f>New!M:M</f>
        <v>0</v>
      </c>
      <c r="B1800" s="12">
        <f>New!A:A</f>
        <v>0</v>
      </c>
      <c r="D1800" s="47">
        <f>New!P:P</f>
        <v>0</v>
      </c>
    </row>
    <row r="1801" spans="1:4" ht="12.75">
      <c r="A1801" s="45">
        <f>New!M:M</f>
        <v>0</v>
      </c>
      <c r="B1801" s="12">
        <f>New!A:A</f>
        <v>0</v>
      </c>
      <c r="D1801" s="47">
        <f>New!P:P</f>
        <v>0</v>
      </c>
    </row>
    <row r="1802" spans="1:4" ht="12.75">
      <c r="A1802" s="45">
        <f>New!M:M</f>
        <v>0</v>
      </c>
      <c r="B1802" s="12">
        <f>New!A:A</f>
        <v>0</v>
      </c>
      <c r="D1802" s="47">
        <f>New!P:P</f>
        <v>0</v>
      </c>
    </row>
    <row r="1803" spans="1:4" ht="12.75">
      <c r="A1803" s="45">
        <f>New!M:M</f>
        <v>0</v>
      </c>
      <c r="B1803" s="12">
        <f>New!A:A</f>
        <v>0</v>
      </c>
      <c r="D1803" s="47">
        <f>New!P:P</f>
        <v>0</v>
      </c>
    </row>
    <row r="1804" spans="1:4" ht="12.75">
      <c r="A1804" s="45">
        <f>New!M:M</f>
        <v>0</v>
      </c>
      <c r="B1804" s="12">
        <f>New!A:A</f>
        <v>0</v>
      </c>
      <c r="D1804" s="47">
        <f>New!P:P</f>
        <v>0</v>
      </c>
    </row>
    <row r="1805" spans="1:4" ht="12.75">
      <c r="A1805" s="12">
        <f>New!M:M</f>
        <v>0</v>
      </c>
      <c r="B1805" s="12">
        <f>New!A:A</f>
        <v>0</v>
      </c>
      <c r="D1805" s="46">
        <f>New!P:P</f>
        <v>0</v>
      </c>
    </row>
    <row r="1806" spans="1:4" ht="12.75">
      <c r="A1806" s="45">
        <f>New!M:M</f>
        <v>0</v>
      </c>
      <c r="B1806" s="12">
        <f>New!A:A</f>
        <v>0</v>
      </c>
      <c r="D1806" s="47">
        <f>New!P:P</f>
        <v>0</v>
      </c>
    </row>
    <row r="1807" spans="1:4" ht="12.75">
      <c r="A1807" s="45">
        <f>New!M:M</f>
        <v>0</v>
      </c>
      <c r="B1807" s="12">
        <f>New!A:A</f>
        <v>0</v>
      </c>
      <c r="D1807" s="47">
        <f>New!P:P</f>
        <v>0</v>
      </c>
    </row>
    <row r="1808" spans="1:4" ht="12.75">
      <c r="A1808" s="45">
        <f>New!M:M</f>
        <v>0</v>
      </c>
      <c r="B1808" s="12">
        <f>New!A:A</f>
        <v>0</v>
      </c>
      <c r="D1808" s="47">
        <f>New!P:P</f>
        <v>0</v>
      </c>
    </row>
    <row r="1809" spans="1:4" ht="12.75">
      <c r="A1809" s="45">
        <f>New!M:M</f>
        <v>0</v>
      </c>
      <c r="B1809" s="12">
        <f>New!A:A</f>
        <v>0</v>
      </c>
      <c r="D1809" s="47">
        <f>New!P:P</f>
        <v>0</v>
      </c>
    </row>
    <row r="1810" spans="1:4" ht="12.75">
      <c r="A1810" s="12">
        <f>New!M:M</f>
        <v>0</v>
      </c>
      <c r="B1810" s="12">
        <f>New!A:A</f>
        <v>0</v>
      </c>
      <c r="D1810" s="46">
        <f>New!P:P</f>
        <v>0</v>
      </c>
    </row>
    <row r="1811" spans="1:4" ht="12.75">
      <c r="A1811" s="45">
        <f>New!M:M</f>
        <v>0</v>
      </c>
      <c r="B1811" s="12">
        <f>New!A:A</f>
        <v>0</v>
      </c>
      <c r="D1811" s="47">
        <f>New!P:P</f>
        <v>0</v>
      </c>
    </row>
    <row r="1812" spans="1:4" ht="12.75">
      <c r="A1812" s="45">
        <f>New!M:M</f>
        <v>0</v>
      </c>
      <c r="B1812" s="12">
        <f>New!A:A</f>
        <v>0</v>
      </c>
      <c r="D1812" s="47">
        <f>New!P:P</f>
        <v>0</v>
      </c>
    </row>
    <row r="1813" spans="1:4" ht="12.75">
      <c r="A1813" s="45">
        <f>New!M:M</f>
        <v>0</v>
      </c>
      <c r="B1813" s="12">
        <f>New!A:A</f>
        <v>0</v>
      </c>
      <c r="D1813" s="47">
        <f>New!P:P</f>
        <v>0</v>
      </c>
    </row>
    <row r="1814" spans="1:4" ht="12.75">
      <c r="A1814" s="45">
        <f>New!M:M</f>
        <v>0</v>
      </c>
      <c r="B1814" s="12">
        <f>New!A:A</f>
        <v>0</v>
      </c>
      <c r="D1814" s="47">
        <f>New!P:P</f>
        <v>0</v>
      </c>
    </row>
    <row r="1815" spans="1:4" ht="12.75">
      <c r="A1815" s="12">
        <f>New!M:M</f>
        <v>0</v>
      </c>
      <c r="B1815" s="12">
        <f>New!A:A</f>
        <v>0</v>
      </c>
      <c r="D1815" s="46">
        <f>New!P:P</f>
        <v>0</v>
      </c>
    </row>
    <row r="1816" spans="1:4" ht="12.75">
      <c r="A1816" s="45">
        <f>New!M:M</f>
        <v>0</v>
      </c>
      <c r="B1816" s="12">
        <f>New!A:A</f>
        <v>0</v>
      </c>
      <c r="D1816" s="47">
        <f>New!P:P</f>
        <v>0</v>
      </c>
    </row>
    <row r="1817" spans="1:4" ht="12.75">
      <c r="A1817" s="45">
        <f>New!M:M</f>
        <v>0</v>
      </c>
      <c r="B1817" s="12">
        <f>New!A:A</f>
        <v>0</v>
      </c>
      <c r="D1817" s="47">
        <f>New!P:P</f>
        <v>0</v>
      </c>
    </row>
    <row r="1818" spans="1:4" ht="12.75">
      <c r="A1818" s="45">
        <f>New!M:M</f>
        <v>0</v>
      </c>
      <c r="B1818" s="12">
        <f>New!A:A</f>
        <v>0</v>
      </c>
      <c r="D1818" s="47">
        <f>New!P:P</f>
        <v>0</v>
      </c>
    </row>
    <row r="1819" spans="1:4" ht="12.75">
      <c r="A1819" s="45">
        <f>New!M:M</f>
        <v>0</v>
      </c>
      <c r="B1819" s="12">
        <f>New!A:A</f>
        <v>0</v>
      </c>
      <c r="D1819" s="47">
        <f>New!P:P</f>
        <v>0</v>
      </c>
    </row>
    <row r="1820" spans="1:4" ht="12.75">
      <c r="A1820" s="45">
        <f>New!M:M</f>
        <v>0</v>
      </c>
      <c r="B1820" s="12">
        <f>New!A:A</f>
        <v>0</v>
      </c>
      <c r="D1820" s="46">
        <f>New!P:P</f>
        <v>0</v>
      </c>
    </row>
    <row r="1821" spans="1:4" ht="12.75">
      <c r="A1821" s="45">
        <f>New!M:M</f>
        <v>0</v>
      </c>
      <c r="B1821" s="12">
        <f>New!A:A</f>
        <v>0</v>
      </c>
      <c r="D1821" s="47">
        <f>New!P:P</f>
        <v>0</v>
      </c>
    </row>
    <row r="1822" spans="1:4" ht="12.75">
      <c r="A1822" s="45">
        <f>New!M:M</f>
        <v>0</v>
      </c>
      <c r="B1822" s="12">
        <f>New!A:A</f>
        <v>0</v>
      </c>
      <c r="D1822" s="47">
        <f>New!P:P</f>
        <v>0</v>
      </c>
    </row>
    <row r="1823" spans="1:4" ht="12.75">
      <c r="A1823" s="45">
        <f>New!M:M</f>
        <v>0</v>
      </c>
      <c r="B1823" s="12">
        <f>New!A:A</f>
        <v>0</v>
      </c>
      <c r="D1823" s="47">
        <f>New!P:P</f>
        <v>0</v>
      </c>
    </row>
    <row r="1824" spans="1:4" ht="12.75">
      <c r="A1824" s="45">
        <f>New!M:M</f>
        <v>0</v>
      </c>
      <c r="B1824" s="12">
        <f>New!A:A</f>
        <v>0</v>
      </c>
      <c r="D1824" s="47">
        <f>New!P:P</f>
        <v>0</v>
      </c>
    </row>
    <row r="1825" spans="1:4" ht="12.75">
      <c r="A1825" s="45">
        <f>New!M:M</f>
        <v>0</v>
      </c>
      <c r="B1825" s="12">
        <f>New!A:A</f>
        <v>0</v>
      </c>
      <c r="D1825" s="47">
        <f>New!P:P</f>
        <v>0</v>
      </c>
    </row>
    <row r="1826" spans="1:4" ht="12.75">
      <c r="A1826" s="45">
        <f>New!M:M</f>
        <v>0</v>
      </c>
      <c r="B1826" s="12">
        <f>New!A:A</f>
        <v>0</v>
      </c>
      <c r="D1826" s="47">
        <f>New!P:P</f>
        <v>0</v>
      </c>
    </row>
    <row r="1827" spans="1:4" ht="12.75">
      <c r="A1827" s="45">
        <f>New!M:M</f>
        <v>0</v>
      </c>
      <c r="B1827" s="12">
        <f>New!A:A</f>
        <v>0</v>
      </c>
      <c r="D1827" s="47">
        <f>New!P:P</f>
        <v>0</v>
      </c>
    </row>
    <row r="1828" spans="1:4" ht="12.75">
      <c r="A1828" s="45">
        <f>New!M:M</f>
        <v>0</v>
      </c>
      <c r="B1828" s="12">
        <f>New!A:A</f>
        <v>0</v>
      </c>
      <c r="D1828" s="47">
        <f>New!P:P</f>
        <v>0</v>
      </c>
    </row>
    <row r="1829" spans="1:4" ht="12.75">
      <c r="A1829" s="45">
        <f>New!M:M</f>
        <v>0</v>
      </c>
      <c r="B1829" s="12">
        <f>New!A:A</f>
        <v>0</v>
      </c>
      <c r="D1829" s="47">
        <f>New!P:P</f>
        <v>0</v>
      </c>
    </row>
    <row r="1830" spans="1:4" ht="12.75">
      <c r="A1830" s="45">
        <f>New!M:M</f>
        <v>0</v>
      </c>
      <c r="B1830" s="12">
        <f>New!A:A</f>
        <v>0</v>
      </c>
      <c r="D1830" s="47">
        <f>New!P:P</f>
        <v>0</v>
      </c>
    </row>
    <row r="1831" spans="1:4" ht="12.75">
      <c r="A1831" s="45">
        <f>New!M:M</f>
        <v>0</v>
      </c>
      <c r="B1831" s="12">
        <f>New!A:A</f>
        <v>0</v>
      </c>
      <c r="D1831" s="47">
        <f>New!P:P</f>
        <v>0</v>
      </c>
    </row>
    <row r="1832" spans="1:4" ht="12.75">
      <c r="A1832" s="45">
        <f>New!M:M</f>
        <v>0</v>
      </c>
      <c r="B1832" s="12">
        <f>New!A:A</f>
        <v>0</v>
      </c>
      <c r="D1832" s="47">
        <f>New!P:P</f>
        <v>0</v>
      </c>
    </row>
    <row r="1833" spans="1:4" ht="12.75">
      <c r="A1833" s="45">
        <f>New!M:M</f>
        <v>0</v>
      </c>
      <c r="B1833" s="12">
        <f>New!A:A</f>
        <v>0</v>
      </c>
      <c r="D1833" s="47">
        <f>New!P:P</f>
        <v>0</v>
      </c>
    </row>
    <row r="1834" spans="1:4" ht="12.75">
      <c r="A1834" s="45">
        <f>New!M:M</f>
        <v>0</v>
      </c>
      <c r="B1834" s="12">
        <f>New!A:A</f>
        <v>0</v>
      </c>
      <c r="D1834" s="47">
        <f>New!P:P</f>
        <v>0</v>
      </c>
    </row>
    <row r="1835" spans="1:4" ht="12.75">
      <c r="A1835" s="45">
        <f>New!M:M</f>
        <v>0</v>
      </c>
      <c r="B1835" s="12">
        <f>New!A:A</f>
        <v>0</v>
      </c>
      <c r="D1835" s="47">
        <f>New!P:P</f>
        <v>0</v>
      </c>
    </row>
    <row r="1836" spans="1:4" ht="12.75">
      <c r="A1836" s="45">
        <f>New!M:M</f>
        <v>0</v>
      </c>
      <c r="B1836" s="12">
        <f>New!A:A</f>
        <v>0</v>
      </c>
      <c r="D1836" s="47">
        <f>New!P:P</f>
        <v>0</v>
      </c>
    </row>
    <row r="1837" spans="1:4" ht="12.75">
      <c r="A1837" s="45">
        <f>New!M:M</f>
        <v>0</v>
      </c>
      <c r="B1837" s="12">
        <f>New!A:A</f>
        <v>0</v>
      </c>
      <c r="D1837" s="47">
        <f>New!P:P</f>
        <v>0</v>
      </c>
    </row>
    <row r="1838" spans="1:4" ht="12.75">
      <c r="A1838" s="45">
        <f>New!M:M</f>
        <v>0</v>
      </c>
      <c r="B1838" s="12">
        <f>New!A:A</f>
        <v>0</v>
      </c>
      <c r="D1838" s="47">
        <f>New!P:P</f>
        <v>0</v>
      </c>
    </row>
    <row r="1839" spans="1:4" ht="12.75">
      <c r="A1839" s="45">
        <f>New!M:M</f>
        <v>0</v>
      </c>
      <c r="B1839" s="12">
        <f>New!A:A</f>
        <v>0</v>
      </c>
      <c r="D1839" s="47">
        <f>New!P:P</f>
        <v>0</v>
      </c>
    </row>
    <row r="1840" spans="1:4" ht="12.75">
      <c r="A1840" s="45">
        <f>New!M:M</f>
        <v>0</v>
      </c>
      <c r="B1840" s="12">
        <f>New!A:A</f>
        <v>0</v>
      </c>
      <c r="D1840" s="47">
        <f>New!P:P</f>
        <v>0</v>
      </c>
    </row>
    <row r="1841" spans="1:4" ht="12.75">
      <c r="A1841" s="45">
        <f>New!M:M</f>
        <v>0</v>
      </c>
      <c r="B1841" s="12">
        <f>New!A:A</f>
        <v>0</v>
      </c>
      <c r="D1841" s="47">
        <f>New!P:P</f>
        <v>0</v>
      </c>
    </row>
    <row r="1842" spans="1:4" ht="12.75">
      <c r="A1842" s="45">
        <f>New!M:M</f>
        <v>0</v>
      </c>
      <c r="B1842" s="12">
        <f>New!A:A</f>
        <v>0</v>
      </c>
      <c r="D1842" s="47">
        <f>New!P:P</f>
        <v>0</v>
      </c>
    </row>
    <row r="1843" spans="1:4" ht="12.75">
      <c r="A1843" s="45">
        <f>New!M:M</f>
        <v>0</v>
      </c>
      <c r="B1843" s="12">
        <f>New!A:A</f>
        <v>0</v>
      </c>
      <c r="D1843" s="47">
        <f>New!P:P</f>
        <v>0</v>
      </c>
    </row>
    <row r="1844" spans="1:4" ht="12.75">
      <c r="A1844" s="45">
        <f>New!M:M</f>
        <v>0</v>
      </c>
      <c r="B1844" s="12">
        <f>New!A:A</f>
        <v>0</v>
      </c>
      <c r="D1844" s="47">
        <f>New!P:P</f>
        <v>0</v>
      </c>
    </row>
    <row r="1845" spans="1:4" ht="12.75">
      <c r="A1845" s="45">
        <f>New!M:M</f>
        <v>0</v>
      </c>
      <c r="B1845" s="12">
        <f>New!A:A</f>
        <v>0</v>
      </c>
      <c r="D1845" s="47">
        <f>New!P:P</f>
        <v>0</v>
      </c>
    </row>
    <row r="1846" spans="1:4" ht="12.75">
      <c r="A1846" s="45">
        <f>New!M:M</f>
        <v>0</v>
      </c>
      <c r="B1846" s="12">
        <f>New!A:A</f>
        <v>0</v>
      </c>
      <c r="D1846" s="47">
        <f>New!P:P</f>
        <v>0</v>
      </c>
    </row>
    <row r="1847" spans="1:4" ht="12.75">
      <c r="A1847" s="45">
        <f>New!M:M</f>
        <v>0</v>
      </c>
      <c r="B1847" s="12">
        <f>New!A:A</f>
        <v>0</v>
      </c>
      <c r="D1847" s="47">
        <f>New!P:P</f>
        <v>0</v>
      </c>
    </row>
    <row r="1848" spans="1:4" ht="12.75">
      <c r="A1848" s="45">
        <f>New!M:M</f>
        <v>0</v>
      </c>
      <c r="B1848" s="12">
        <f>New!A:A</f>
        <v>0</v>
      </c>
      <c r="D1848" s="47">
        <f>New!P:P</f>
        <v>0</v>
      </c>
    </row>
    <row r="1849" spans="1:4" ht="12.75">
      <c r="A1849" s="45">
        <f>New!M:M</f>
        <v>0</v>
      </c>
      <c r="B1849" s="12">
        <f>New!A:A</f>
        <v>0</v>
      </c>
      <c r="D1849" s="47">
        <f>New!P:P</f>
        <v>0</v>
      </c>
    </row>
    <row r="1850" spans="1:4" ht="12.75">
      <c r="A1850" s="45">
        <f>New!M:M</f>
        <v>0</v>
      </c>
      <c r="B1850" s="12">
        <f>New!A:A</f>
        <v>0</v>
      </c>
      <c r="D1850" s="47">
        <f>New!P:P</f>
        <v>0</v>
      </c>
    </row>
    <row r="1851" spans="1:4" ht="12.75">
      <c r="A1851" s="45">
        <f>New!M:M</f>
        <v>0</v>
      </c>
      <c r="B1851" s="12">
        <f>New!A:A</f>
        <v>0</v>
      </c>
      <c r="D1851" s="47">
        <f>New!P:P</f>
        <v>0</v>
      </c>
    </row>
    <row r="1852" spans="1:4" ht="12.75">
      <c r="A1852" s="45">
        <f>New!M:M</f>
        <v>0</v>
      </c>
      <c r="B1852" s="12">
        <f>New!A:A</f>
        <v>0</v>
      </c>
      <c r="D1852" s="47">
        <f>New!P:P</f>
        <v>0</v>
      </c>
    </row>
    <row r="1853" spans="1:4" ht="12.75">
      <c r="A1853" s="45">
        <f>New!M:M</f>
        <v>0</v>
      </c>
      <c r="B1853" s="12">
        <f>New!A:A</f>
        <v>0</v>
      </c>
      <c r="D1853" s="47">
        <f>New!P:P</f>
        <v>0</v>
      </c>
    </row>
    <row r="1854" spans="1:4" ht="12.75">
      <c r="A1854" s="45">
        <f>New!M:M</f>
        <v>0</v>
      </c>
      <c r="B1854" s="12">
        <f>New!A:A</f>
        <v>0</v>
      </c>
      <c r="D1854" s="47">
        <f>New!P:P</f>
        <v>0</v>
      </c>
    </row>
    <row r="1855" spans="1:4" ht="12.75">
      <c r="A1855" s="45">
        <f>New!M:M</f>
        <v>0</v>
      </c>
      <c r="B1855" s="12">
        <f>New!A:A</f>
        <v>0</v>
      </c>
      <c r="D1855" s="47">
        <f>New!P:P</f>
        <v>0</v>
      </c>
    </row>
    <row r="1856" spans="1:4" ht="12.75">
      <c r="A1856" s="45">
        <f>New!M:M</f>
        <v>0</v>
      </c>
      <c r="B1856" s="12">
        <f>New!A:A</f>
        <v>0</v>
      </c>
      <c r="D1856" s="47">
        <f>New!P:P</f>
        <v>0</v>
      </c>
    </row>
    <row r="1857" spans="1:4" ht="12.75">
      <c r="A1857" s="45">
        <f>New!M:M</f>
        <v>0</v>
      </c>
      <c r="B1857" s="12">
        <f>New!A:A</f>
        <v>0</v>
      </c>
      <c r="D1857" s="47">
        <f>New!P:P</f>
        <v>0</v>
      </c>
    </row>
    <row r="1858" spans="1:4" ht="12.75">
      <c r="A1858" s="45">
        <f>New!M:M</f>
        <v>0</v>
      </c>
      <c r="B1858" s="12">
        <f>New!A:A</f>
        <v>0</v>
      </c>
      <c r="D1858" s="47">
        <f>New!P:P</f>
        <v>0</v>
      </c>
    </row>
    <row r="1859" spans="1:4" ht="12.75">
      <c r="A1859" s="45">
        <f>New!M:M</f>
        <v>0</v>
      </c>
      <c r="B1859" s="12">
        <f>New!A:A</f>
        <v>0</v>
      </c>
      <c r="D1859" s="47">
        <f>New!P:P</f>
        <v>0</v>
      </c>
    </row>
    <row r="1860" spans="1:4" ht="12.75">
      <c r="A1860" s="45">
        <f>New!M:M</f>
        <v>0</v>
      </c>
      <c r="B1860" s="12">
        <f>New!A:A</f>
        <v>0</v>
      </c>
      <c r="D1860" s="47">
        <f>New!P:P</f>
        <v>0</v>
      </c>
    </row>
    <row r="1861" spans="1:4" ht="12.75">
      <c r="A1861" s="45">
        <f>New!M:M</f>
        <v>0</v>
      </c>
      <c r="B1861" s="12">
        <f>New!A:A</f>
        <v>0</v>
      </c>
      <c r="D1861" s="47">
        <f>New!P:P</f>
        <v>0</v>
      </c>
    </row>
    <row r="1862" spans="1:4" ht="12.75">
      <c r="A1862" s="45">
        <f>New!M:M</f>
        <v>0</v>
      </c>
      <c r="B1862" s="12">
        <f>New!A:A</f>
        <v>0</v>
      </c>
      <c r="D1862" s="47">
        <f>New!P:P</f>
        <v>0</v>
      </c>
    </row>
    <row r="1863" spans="1:4" ht="12.75">
      <c r="A1863" s="45">
        <f>New!M:M</f>
        <v>0</v>
      </c>
      <c r="B1863" s="12">
        <f>New!A:A</f>
        <v>0</v>
      </c>
      <c r="D1863" s="47">
        <f>New!P:P</f>
        <v>0</v>
      </c>
    </row>
    <row r="1864" spans="1:4" ht="12.75">
      <c r="A1864" s="45">
        <f>New!M:M</f>
        <v>0</v>
      </c>
      <c r="B1864" s="12">
        <f>New!A:A</f>
        <v>0</v>
      </c>
      <c r="D1864" s="47">
        <f>New!P:P</f>
        <v>0</v>
      </c>
    </row>
    <row r="1865" spans="1:4" ht="12.75">
      <c r="A1865" s="45">
        <f>New!M:M</f>
        <v>0</v>
      </c>
      <c r="B1865" s="12">
        <f>New!A:A</f>
        <v>0</v>
      </c>
      <c r="D1865" s="47">
        <f>New!P:P</f>
        <v>0</v>
      </c>
    </row>
    <row r="1866" spans="1:4" ht="12.75">
      <c r="A1866" s="45">
        <f>New!M:M</f>
        <v>0</v>
      </c>
      <c r="B1866" s="12">
        <f>New!A:A</f>
        <v>0</v>
      </c>
      <c r="D1866" s="47">
        <f>New!P:P</f>
        <v>0</v>
      </c>
    </row>
    <row r="1867" spans="1:4" ht="12.75">
      <c r="A1867" s="45">
        <f>New!M:M</f>
        <v>0</v>
      </c>
      <c r="B1867" s="12">
        <f>New!A:A</f>
        <v>0</v>
      </c>
      <c r="D1867" s="47">
        <f>New!P:P</f>
        <v>0</v>
      </c>
    </row>
    <row r="1868" spans="1:4" ht="12.75">
      <c r="A1868" s="45">
        <f>New!M:M</f>
        <v>0</v>
      </c>
      <c r="B1868" s="12">
        <f>New!A:A</f>
        <v>0</v>
      </c>
      <c r="D1868" s="47">
        <f>New!P:P</f>
        <v>0</v>
      </c>
    </row>
    <row r="1869" spans="1:4" ht="12.75">
      <c r="A1869" s="45">
        <f>New!M:M</f>
        <v>0</v>
      </c>
      <c r="B1869" s="12">
        <f>New!A:A</f>
        <v>0</v>
      </c>
      <c r="D1869" s="47">
        <f>New!P:P</f>
        <v>0</v>
      </c>
    </row>
    <row r="1870" spans="1:4" ht="12.75">
      <c r="A1870" s="45">
        <f>New!M:M</f>
        <v>0</v>
      </c>
      <c r="B1870" s="12">
        <f>New!A:A</f>
        <v>0</v>
      </c>
      <c r="D1870" s="47">
        <f>New!P:P</f>
        <v>0</v>
      </c>
    </row>
    <row r="1871" spans="1:4" ht="12.75">
      <c r="A1871" s="45">
        <f>New!M:M</f>
        <v>0</v>
      </c>
      <c r="B1871" s="12">
        <f>New!A:A</f>
        <v>0</v>
      </c>
      <c r="D1871" s="47">
        <f>New!P:P</f>
        <v>0</v>
      </c>
    </row>
    <row r="1872" spans="1:4" ht="12.75">
      <c r="A1872" s="45">
        <f>New!M:M</f>
        <v>0</v>
      </c>
      <c r="B1872" s="12">
        <f>New!A:A</f>
        <v>0</v>
      </c>
      <c r="D1872" s="47">
        <f>New!P:P</f>
        <v>0</v>
      </c>
    </row>
    <row r="1873" spans="1:4" ht="12.75">
      <c r="A1873" s="45">
        <f>New!M:M</f>
        <v>0</v>
      </c>
      <c r="B1873" s="12">
        <f>New!A:A</f>
        <v>0</v>
      </c>
      <c r="D1873" s="47">
        <f>New!P:P</f>
        <v>0</v>
      </c>
    </row>
    <row r="1874" spans="1:4" ht="12.75">
      <c r="A1874" s="45">
        <f>New!M:M</f>
        <v>0</v>
      </c>
      <c r="B1874" s="12">
        <f>New!A:A</f>
        <v>0</v>
      </c>
      <c r="D1874" s="47">
        <f>New!P:P</f>
        <v>0</v>
      </c>
    </row>
    <row r="1875" spans="1:4" ht="12.75">
      <c r="A1875" s="45">
        <f>New!M:M</f>
        <v>0</v>
      </c>
      <c r="B1875" s="12">
        <f>New!A:A</f>
        <v>0</v>
      </c>
      <c r="D1875" s="47">
        <f>New!P:P</f>
        <v>0</v>
      </c>
    </row>
    <row r="1876" spans="1:4" ht="12.75">
      <c r="A1876" s="45">
        <f>New!M:M</f>
        <v>0</v>
      </c>
      <c r="B1876" s="12">
        <f>New!A:A</f>
        <v>0</v>
      </c>
      <c r="D1876" s="47">
        <f>New!P:P</f>
        <v>0</v>
      </c>
    </row>
    <row r="1877" spans="1:4" ht="12.75">
      <c r="A1877" s="45">
        <f>New!M:M</f>
        <v>0</v>
      </c>
      <c r="B1877" s="12">
        <f>New!A:A</f>
        <v>0</v>
      </c>
      <c r="D1877" s="47">
        <f>New!P:P</f>
        <v>0</v>
      </c>
    </row>
    <row r="1878" spans="1:4" ht="12.75">
      <c r="A1878" s="45">
        <f>New!M:M</f>
        <v>0</v>
      </c>
      <c r="B1878" s="12">
        <f>New!A:A</f>
        <v>0</v>
      </c>
      <c r="D1878" s="47">
        <f>New!P:P</f>
        <v>0</v>
      </c>
    </row>
    <row r="1879" spans="1:4" ht="12.75">
      <c r="A1879" s="45">
        <f>New!M:M</f>
        <v>0</v>
      </c>
      <c r="B1879" s="12">
        <f>New!A:A</f>
        <v>0</v>
      </c>
      <c r="D1879" s="47">
        <f>New!P:P</f>
        <v>0</v>
      </c>
    </row>
    <row r="1880" spans="1:4" ht="12.75">
      <c r="A1880" s="45">
        <f>New!M:M</f>
        <v>0</v>
      </c>
      <c r="B1880" s="12">
        <f>New!A:A</f>
        <v>0</v>
      </c>
      <c r="D1880" s="47">
        <f>New!P:P</f>
        <v>0</v>
      </c>
    </row>
    <row r="1881" spans="1:4" ht="12.75">
      <c r="A1881" s="45">
        <f>New!M:M</f>
        <v>0</v>
      </c>
      <c r="B1881" s="12">
        <f>New!A:A</f>
        <v>0</v>
      </c>
      <c r="D1881" s="47">
        <f>New!P:P</f>
        <v>0</v>
      </c>
    </row>
    <row r="1882" spans="1:4" ht="12.75">
      <c r="A1882" s="45">
        <f>New!M:M</f>
        <v>0</v>
      </c>
      <c r="B1882" s="12">
        <f>New!A:A</f>
        <v>0</v>
      </c>
      <c r="D1882" s="47">
        <f>New!P:P</f>
        <v>0</v>
      </c>
    </row>
    <row r="1883" spans="1:4" ht="12.75">
      <c r="A1883" s="45">
        <f>New!M:M</f>
        <v>0</v>
      </c>
      <c r="B1883" s="12">
        <f>New!A:A</f>
        <v>0</v>
      </c>
      <c r="D1883" s="47">
        <f>New!P:P</f>
        <v>0</v>
      </c>
    </row>
    <row r="1884" spans="1:4" ht="12.75">
      <c r="A1884" s="45">
        <f>New!M:M</f>
        <v>0</v>
      </c>
      <c r="B1884" s="12">
        <f>New!A:A</f>
        <v>0</v>
      </c>
      <c r="D1884" s="47">
        <f>New!P:P</f>
        <v>0</v>
      </c>
    </row>
    <row r="1885" spans="1:4" ht="12.75">
      <c r="A1885" s="45">
        <f>New!M:M</f>
        <v>0</v>
      </c>
      <c r="B1885" s="12">
        <f>New!A:A</f>
        <v>0</v>
      </c>
      <c r="D1885" s="47">
        <f>New!P:P</f>
        <v>0</v>
      </c>
    </row>
    <row r="1886" spans="1:4" ht="12.75">
      <c r="A1886" s="45">
        <f>New!M:M</f>
        <v>0</v>
      </c>
      <c r="B1886" s="12">
        <f>New!A:A</f>
        <v>0</v>
      </c>
      <c r="D1886" s="47">
        <f>New!P:P</f>
        <v>0</v>
      </c>
    </row>
    <row r="1887" spans="1:4" ht="12.75">
      <c r="A1887" s="45">
        <f>New!M:M</f>
        <v>0</v>
      </c>
      <c r="B1887" s="12">
        <f>New!A:A</f>
        <v>0</v>
      </c>
      <c r="D1887" s="47">
        <f>New!P:P</f>
        <v>0</v>
      </c>
    </row>
    <row r="1888" spans="1:4" ht="12.75">
      <c r="A1888" s="45">
        <f>New!M:M</f>
        <v>0</v>
      </c>
      <c r="B1888" s="12">
        <f>New!A:A</f>
        <v>0</v>
      </c>
      <c r="D1888" s="47">
        <f>New!P:P</f>
        <v>0</v>
      </c>
    </row>
    <row r="1889" spans="1:4" ht="12.75">
      <c r="A1889" s="45">
        <f>New!M:M</f>
        <v>0</v>
      </c>
      <c r="B1889" s="12">
        <f>New!A:A</f>
        <v>0</v>
      </c>
      <c r="D1889" s="47">
        <f>New!P:P</f>
        <v>0</v>
      </c>
    </row>
    <row r="1890" spans="1:4" ht="12.75">
      <c r="A1890" s="45">
        <f>New!M:M</f>
        <v>0</v>
      </c>
      <c r="B1890" s="12">
        <f>New!A:A</f>
        <v>0</v>
      </c>
      <c r="D1890" s="47">
        <f>New!P:P</f>
        <v>0</v>
      </c>
    </row>
    <row r="1891" spans="1:4" ht="12.75">
      <c r="A1891" s="45">
        <f>New!M:M</f>
        <v>0</v>
      </c>
      <c r="B1891" s="12">
        <f>New!A:A</f>
        <v>0</v>
      </c>
      <c r="D1891" s="47">
        <f>New!P:P</f>
        <v>0</v>
      </c>
    </row>
    <row r="1892" spans="1:4" ht="12.75">
      <c r="A1892" s="45">
        <f>New!M:M</f>
        <v>0</v>
      </c>
      <c r="B1892" s="12">
        <f>New!A:A</f>
        <v>0</v>
      </c>
      <c r="D1892" s="47">
        <f>New!P:P</f>
        <v>0</v>
      </c>
    </row>
    <row r="1893" spans="1:4" ht="12.75">
      <c r="A1893" s="45">
        <f>New!M:M</f>
        <v>0</v>
      </c>
      <c r="B1893" s="12">
        <f>New!A:A</f>
        <v>0</v>
      </c>
      <c r="D1893" s="47">
        <f>New!P:P</f>
        <v>0</v>
      </c>
    </row>
    <row r="1894" spans="1:4" ht="12.75">
      <c r="A1894" s="45">
        <f>New!M:M</f>
        <v>0</v>
      </c>
      <c r="B1894" s="12">
        <f>New!A:A</f>
        <v>0</v>
      </c>
      <c r="D1894" s="47">
        <f>New!P:P</f>
        <v>0</v>
      </c>
    </row>
    <row r="1895" spans="1:4" ht="12.75">
      <c r="A1895" s="45">
        <f>New!M:M</f>
        <v>0</v>
      </c>
      <c r="B1895" s="12">
        <f>New!A:A</f>
        <v>0</v>
      </c>
      <c r="D1895" s="47">
        <f>New!P:P</f>
        <v>0</v>
      </c>
    </row>
    <row r="1896" spans="1:4" ht="12.75">
      <c r="A1896" s="45">
        <f>New!M:M</f>
        <v>0</v>
      </c>
      <c r="B1896" s="12">
        <f>New!A:A</f>
        <v>0</v>
      </c>
      <c r="D1896" s="47">
        <f>New!P:P</f>
        <v>0</v>
      </c>
    </row>
    <row r="1897" spans="1:4" ht="12.75">
      <c r="A1897" s="45">
        <f>New!M:M</f>
        <v>0</v>
      </c>
      <c r="B1897" s="12">
        <f>New!A:A</f>
        <v>0</v>
      </c>
      <c r="D1897" s="47">
        <f>New!P:P</f>
        <v>0</v>
      </c>
    </row>
    <row r="1898" spans="1:4" ht="12.75">
      <c r="A1898" s="45">
        <f>New!M:M</f>
        <v>0</v>
      </c>
      <c r="B1898" s="12">
        <f>New!A:A</f>
        <v>0</v>
      </c>
      <c r="D1898" s="47">
        <f>New!P:P</f>
        <v>0</v>
      </c>
    </row>
    <row r="1899" spans="1:4" ht="12.75">
      <c r="A1899" s="45">
        <f>New!M:M</f>
        <v>0</v>
      </c>
      <c r="B1899" s="12">
        <f>New!A:A</f>
        <v>0</v>
      </c>
      <c r="D1899" s="47">
        <f>New!P:P</f>
        <v>0</v>
      </c>
    </row>
    <row r="1900" spans="1:4" ht="12.75">
      <c r="A1900" s="45">
        <f>New!M:M</f>
        <v>0</v>
      </c>
      <c r="B1900" s="12">
        <f>New!A:A</f>
        <v>0</v>
      </c>
      <c r="D1900" s="47">
        <f>New!P:P</f>
        <v>0</v>
      </c>
    </row>
    <row r="1901" spans="1:4" ht="12.75">
      <c r="A1901" s="45">
        <f>New!M:M</f>
        <v>0</v>
      </c>
      <c r="B1901" s="12">
        <f>New!A:A</f>
        <v>0</v>
      </c>
      <c r="D1901" s="47">
        <f>New!P:P</f>
        <v>0</v>
      </c>
    </row>
    <row r="1902" spans="1:4" ht="12.75">
      <c r="A1902" s="45">
        <f>New!M:M</f>
        <v>0</v>
      </c>
      <c r="B1902" s="12">
        <f>New!A:A</f>
        <v>0</v>
      </c>
      <c r="D1902" s="47">
        <f>New!P:P</f>
        <v>0</v>
      </c>
    </row>
    <row r="1903" spans="1:4" ht="12.75">
      <c r="A1903" s="45">
        <f>New!M:M</f>
        <v>0</v>
      </c>
      <c r="B1903" s="12">
        <f>New!A:A</f>
        <v>0</v>
      </c>
      <c r="D1903" s="47">
        <f>New!P:P</f>
        <v>0</v>
      </c>
    </row>
    <row r="1904" spans="1:4" ht="12.75">
      <c r="A1904" s="45">
        <f>New!M:M</f>
        <v>0</v>
      </c>
      <c r="B1904" s="12">
        <f>New!A:A</f>
        <v>0</v>
      </c>
      <c r="D1904" s="47">
        <f>New!P:P</f>
        <v>0</v>
      </c>
    </row>
    <row r="1905" spans="1:4" ht="12.75">
      <c r="A1905" s="45">
        <f>New!M:M</f>
        <v>0</v>
      </c>
      <c r="B1905" s="12">
        <f>New!A:A</f>
        <v>0</v>
      </c>
      <c r="D1905" s="47">
        <f>New!P:P</f>
        <v>0</v>
      </c>
    </row>
    <row r="1906" spans="1:4" ht="12.75">
      <c r="A1906" s="45">
        <f>New!M:M</f>
        <v>0</v>
      </c>
      <c r="B1906" s="12">
        <f>New!A:A</f>
        <v>0</v>
      </c>
      <c r="D1906" s="47">
        <f>New!P:P</f>
        <v>0</v>
      </c>
    </row>
    <row r="1907" spans="1:4" ht="12.75">
      <c r="A1907" s="45">
        <f>New!M:M</f>
        <v>0</v>
      </c>
      <c r="B1907" s="12">
        <f>New!A:A</f>
        <v>0</v>
      </c>
      <c r="D1907" s="47">
        <f>New!P:P</f>
        <v>0</v>
      </c>
    </row>
    <row r="1908" spans="1:4" ht="12.75">
      <c r="A1908" s="45">
        <f>New!M:M</f>
        <v>0</v>
      </c>
      <c r="B1908" s="12">
        <f>New!A:A</f>
        <v>0</v>
      </c>
      <c r="D1908" s="47">
        <f>New!P:P</f>
        <v>0</v>
      </c>
    </row>
    <row r="1909" spans="1:4" ht="12.75">
      <c r="A1909" s="45">
        <f>New!M:M</f>
        <v>0</v>
      </c>
      <c r="B1909" s="12">
        <f>New!A:A</f>
        <v>0</v>
      </c>
      <c r="D1909" s="47">
        <f>New!P:P</f>
        <v>0</v>
      </c>
    </row>
    <row r="1910" spans="1:4" ht="12.75">
      <c r="A1910" s="45">
        <f>New!M:M</f>
        <v>0</v>
      </c>
      <c r="B1910" s="12">
        <f>New!A:A</f>
        <v>0</v>
      </c>
      <c r="D1910" s="47">
        <f>New!P:P</f>
        <v>0</v>
      </c>
    </row>
    <row r="1911" spans="1:4" ht="12.75">
      <c r="A1911" s="45">
        <f>New!M:M</f>
        <v>0</v>
      </c>
      <c r="B1911" s="12">
        <f>New!A:A</f>
        <v>0</v>
      </c>
      <c r="D1911" s="47">
        <f>New!P:P</f>
        <v>0</v>
      </c>
    </row>
    <row r="1912" spans="1:4" ht="12.75">
      <c r="A1912" s="45">
        <f>New!M:M</f>
        <v>0</v>
      </c>
      <c r="B1912" s="12">
        <f>New!A:A</f>
        <v>0</v>
      </c>
      <c r="D1912" s="47">
        <f>New!P:P</f>
        <v>0</v>
      </c>
    </row>
    <row r="1913" spans="1:4" ht="12.75">
      <c r="A1913" s="45">
        <f>New!M:M</f>
        <v>0</v>
      </c>
      <c r="B1913" s="12">
        <f>New!A:A</f>
        <v>0</v>
      </c>
      <c r="D1913" s="47">
        <f>New!P:P</f>
        <v>0</v>
      </c>
    </row>
    <row r="1914" spans="1:4" ht="12.75">
      <c r="A1914" s="45">
        <f>New!M:M</f>
        <v>0</v>
      </c>
      <c r="B1914" s="12">
        <f>New!A:A</f>
        <v>0</v>
      </c>
      <c r="D1914" s="47">
        <f>New!P:P</f>
        <v>0</v>
      </c>
    </row>
    <row r="1915" spans="1:4" ht="12.75">
      <c r="A1915" s="45">
        <f>New!M:M</f>
        <v>0</v>
      </c>
      <c r="B1915" s="12">
        <f>New!A:A</f>
        <v>0</v>
      </c>
      <c r="D1915" s="47">
        <f>New!P:P</f>
        <v>0</v>
      </c>
    </row>
    <row r="1916" spans="1:4" ht="12.75">
      <c r="A1916" s="45">
        <f>New!M:M</f>
        <v>0</v>
      </c>
      <c r="B1916" s="12">
        <f>New!A:A</f>
        <v>0</v>
      </c>
      <c r="D1916" s="47">
        <f>New!P:P</f>
        <v>0</v>
      </c>
    </row>
    <row r="1917" spans="1:4" ht="12.75">
      <c r="A1917" s="45">
        <f>New!M:M</f>
        <v>0</v>
      </c>
      <c r="B1917" s="12">
        <f>New!A:A</f>
        <v>0</v>
      </c>
      <c r="D1917" s="47">
        <f>New!P:P</f>
        <v>0</v>
      </c>
    </row>
    <row r="1918" spans="1:4" ht="12.75">
      <c r="A1918" s="45">
        <f>New!M:M</f>
        <v>0</v>
      </c>
      <c r="B1918" s="12">
        <f>New!A:A</f>
        <v>0</v>
      </c>
      <c r="D1918" s="47">
        <f>New!P:P</f>
        <v>0</v>
      </c>
    </row>
    <row r="1919" spans="1:4" ht="12.75">
      <c r="A1919" s="45">
        <f>New!M:M</f>
        <v>0</v>
      </c>
      <c r="B1919" s="12">
        <f>New!A:A</f>
        <v>0</v>
      </c>
      <c r="D1919" s="47">
        <f>New!P:P</f>
        <v>0</v>
      </c>
    </row>
    <row r="1920" spans="1:4" ht="12.75">
      <c r="A1920" s="45">
        <f>New!M:M</f>
        <v>0</v>
      </c>
      <c r="B1920" s="12">
        <f>New!A:A</f>
        <v>0</v>
      </c>
      <c r="D1920" s="47">
        <f>New!P:P</f>
        <v>0</v>
      </c>
    </row>
    <row r="1921" spans="1:4" ht="12.75">
      <c r="A1921" s="45">
        <f>New!M:M</f>
        <v>0</v>
      </c>
      <c r="B1921" s="12">
        <f>New!A:A</f>
        <v>0</v>
      </c>
      <c r="D1921" s="47">
        <f>New!P:P</f>
        <v>0</v>
      </c>
    </row>
    <row r="1922" spans="1:4" ht="12.75">
      <c r="A1922" s="45">
        <f>New!M:M</f>
        <v>0</v>
      </c>
      <c r="B1922" s="12">
        <f>New!A:A</f>
        <v>0</v>
      </c>
      <c r="D1922" s="47">
        <f>New!P:P</f>
        <v>0</v>
      </c>
    </row>
    <row r="1923" spans="1:4" ht="12.75">
      <c r="A1923" s="45">
        <f>New!M:M</f>
        <v>0</v>
      </c>
      <c r="B1923" s="12">
        <f>New!A:A</f>
        <v>0</v>
      </c>
      <c r="D1923" s="47">
        <f>New!P:P</f>
        <v>0</v>
      </c>
    </row>
    <row r="1924" spans="1:4" ht="12.75">
      <c r="A1924" s="45">
        <f>New!M:M</f>
        <v>0</v>
      </c>
      <c r="B1924" s="12">
        <f>New!A:A</f>
        <v>0</v>
      </c>
      <c r="D1924" s="47">
        <f>New!P:P</f>
        <v>0</v>
      </c>
    </row>
    <row r="1925" spans="1:4" ht="12.75">
      <c r="A1925" s="45">
        <f>New!M:M</f>
        <v>0</v>
      </c>
      <c r="B1925" s="12">
        <f>New!A:A</f>
        <v>0</v>
      </c>
      <c r="D1925" s="47">
        <f>New!P:P</f>
        <v>0</v>
      </c>
    </row>
    <row r="1926" spans="1:4" ht="12.75">
      <c r="A1926" s="45">
        <f>New!M:M</f>
        <v>0</v>
      </c>
      <c r="B1926" s="12">
        <f>New!A:A</f>
        <v>0</v>
      </c>
      <c r="D1926" s="47">
        <f>New!P:P</f>
        <v>0</v>
      </c>
    </row>
    <row r="1927" spans="1:4" ht="12.75">
      <c r="A1927" s="45">
        <f>New!M:M</f>
        <v>0</v>
      </c>
      <c r="B1927" s="12">
        <f>New!A:A</f>
        <v>0</v>
      </c>
      <c r="D1927" s="47">
        <f>New!P:P</f>
        <v>0</v>
      </c>
    </row>
    <row r="1928" spans="1:4" ht="12.75">
      <c r="A1928" s="45">
        <f>New!M:M</f>
        <v>0</v>
      </c>
      <c r="B1928" s="12">
        <f>New!A:A</f>
        <v>0</v>
      </c>
      <c r="D1928" s="47">
        <f>New!P:P</f>
        <v>0</v>
      </c>
    </row>
    <row r="1929" spans="1:4" ht="12.75">
      <c r="A1929" s="45">
        <f>New!M:M</f>
        <v>0</v>
      </c>
      <c r="B1929" s="12">
        <f>New!A:A</f>
        <v>0</v>
      </c>
      <c r="D1929" s="47">
        <f>New!P:P</f>
        <v>0</v>
      </c>
    </row>
    <row r="1930" spans="1:4" ht="12.75">
      <c r="A1930" s="45">
        <f>New!M:M</f>
        <v>0</v>
      </c>
      <c r="B1930" s="12">
        <f>New!A:A</f>
        <v>0</v>
      </c>
      <c r="D1930" s="47">
        <f>New!P:P</f>
        <v>0</v>
      </c>
    </row>
    <row r="1931" spans="1:4" ht="12.75">
      <c r="A1931" s="45">
        <f>New!M:M</f>
        <v>0</v>
      </c>
      <c r="B1931" s="12">
        <f>New!A:A</f>
        <v>0</v>
      </c>
      <c r="D1931" s="47">
        <f>New!P:P</f>
        <v>0</v>
      </c>
    </row>
    <row r="1932" spans="1:4" ht="12.75">
      <c r="A1932" s="45">
        <f>New!M:M</f>
        <v>0</v>
      </c>
      <c r="B1932" s="12">
        <f>New!A:A</f>
        <v>0</v>
      </c>
      <c r="D1932" s="47">
        <f>New!P:P</f>
        <v>0</v>
      </c>
    </row>
    <row r="1933" spans="1:4" ht="12.75">
      <c r="A1933" s="45">
        <f>New!M:M</f>
        <v>0</v>
      </c>
      <c r="B1933" s="12">
        <f>New!A:A</f>
        <v>0</v>
      </c>
      <c r="D1933" s="47">
        <f>New!P:P</f>
        <v>0</v>
      </c>
    </row>
    <row r="1934" spans="1:4" ht="12.75">
      <c r="A1934" s="45">
        <f>New!M:M</f>
        <v>0</v>
      </c>
      <c r="B1934" s="12">
        <f>New!A:A</f>
        <v>0</v>
      </c>
      <c r="D1934" s="47">
        <f>New!P:P</f>
        <v>0</v>
      </c>
    </row>
    <row r="1935" spans="1:4" ht="12.75">
      <c r="A1935" s="45">
        <f>New!M:M</f>
        <v>0</v>
      </c>
      <c r="B1935" s="12">
        <f>New!A:A</f>
        <v>0</v>
      </c>
      <c r="D1935" s="47">
        <f>New!P:P</f>
        <v>0</v>
      </c>
    </row>
    <row r="1936" spans="1:4" ht="12.75">
      <c r="A1936" s="45">
        <f>New!M:M</f>
        <v>0</v>
      </c>
      <c r="B1936" s="12">
        <f>New!A:A</f>
        <v>0</v>
      </c>
      <c r="D1936" s="47">
        <f>New!P:P</f>
        <v>0</v>
      </c>
    </row>
    <row r="1937" spans="1:4" ht="12.75">
      <c r="A1937" s="45">
        <f>New!M:M</f>
        <v>0</v>
      </c>
      <c r="B1937" s="12">
        <f>New!A:A</f>
        <v>0</v>
      </c>
      <c r="D1937" s="47">
        <f>New!P:P</f>
        <v>0</v>
      </c>
    </row>
    <row r="1938" spans="1:4" ht="12.75">
      <c r="A1938" s="45">
        <f>New!M:M</f>
        <v>0</v>
      </c>
      <c r="B1938" s="12">
        <f>New!A:A</f>
        <v>0</v>
      </c>
      <c r="D1938" s="47">
        <f>New!P:P</f>
        <v>0</v>
      </c>
    </row>
    <row r="1939" spans="1:4" ht="12.75">
      <c r="A1939" s="45">
        <f>New!M:M</f>
        <v>0</v>
      </c>
      <c r="B1939" s="12">
        <f>New!A:A</f>
        <v>0</v>
      </c>
      <c r="D1939" s="47">
        <f>New!P:P</f>
        <v>0</v>
      </c>
    </row>
    <row r="1940" spans="1:4" ht="12.75">
      <c r="A1940" s="45">
        <f>New!M:M</f>
        <v>0</v>
      </c>
      <c r="B1940" s="12">
        <f>New!A:A</f>
        <v>0</v>
      </c>
      <c r="D1940" s="47">
        <f>New!P:P</f>
        <v>0</v>
      </c>
    </row>
    <row r="1941" spans="1:4" ht="12.75">
      <c r="A1941" s="45">
        <f>New!M:M</f>
        <v>0</v>
      </c>
      <c r="B1941" s="12">
        <f>New!A:A</f>
        <v>0</v>
      </c>
      <c r="D1941" s="47">
        <f>New!P:P</f>
        <v>0</v>
      </c>
    </row>
    <row r="1942" spans="1:4" ht="12.75">
      <c r="A1942" s="45">
        <f>New!M:M</f>
        <v>0</v>
      </c>
      <c r="B1942" s="12">
        <f>New!A:A</f>
        <v>0</v>
      </c>
      <c r="D1942" s="47">
        <f>New!P:P</f>
        <v>0</v>
      </c>
    </row>
    <row r="1943" spans="1:4" ht="12.75">
      <c r="A1943" s="45">
        <f>New!M:M</f>
        <v>0</v>
      </c>
      <c r="B1943" s="12">
        <f>New!A:A</f>
        <v>0</v>
      </c>
      <c r="D1943" s="47">
        <f>New!P:P</f>
        <v>0</v>
      </c>
    </row>
    <row r="1944" spans="1:4" ht="12.75">
      <c r="A1944" s="45">
        <f>New!M:M</f>
        <v>0</v>
      </c>
      <c r="B1944" s="12">
        <f>New!A:A</f>
        <v>0</v>
      </c>
      <c r="D1944" s="47">
        <f>New!P:P</f>
        <v>0</v>
      </c>
    </row>
    <row r="1945" spans="1:4" ht="12.75">
      <c r="A1945" s="45">
        <f>New!M:M</f>
        <v>0</v>
      </c>
      <c r="B1945" s="12">
        <f>New!A:A</f>
        <v>0</v>
      </c>
      <c r="D1945" s="47">
        <f>New!P:P</f>
        <v>0</v>
      </c>
    </row>
    <row r="1946" spans="1:4" ht="12.75">
      <c r="A1946" s="45">
        <f>New!M:M</f>
        <v>0</v>
      </c>
      <c r="B1946" s="12">
        <f>New!A:A</f>
        <v>0</v>
      </c>
      <c r="D1946" s="47">
        <f>New!P:P</f>
        <v>0</v>
      </c>
    </row>
    <row r="1947" spans="1:4" ht="12.75">
      <c r="A1947" s="45">
        <f>New!M:M</f>
        <v>0</v>
      </c>
      <c r="B1947" s="12">
        <f>New!A:A</f>
        <v>0</v>
      </c>
      <c r="D1947" s="47">
        <f>New!P:P</f>
        <v>0</v>
      </c>
    </row>
    <row r="1948" spans="1:4" ht="12.75">
      <c r="A1948" s="45">
        <f>New!M:M</f>
        <v>0</v>
      </c>
      <c r="B1948" s="12">
        <f>New!A:A</f>
        <v>0</v>
      </c>
      <c r="D1948" s="47">
        <f>New!P:P</f>
        <v>0</v>
      </c>
    </row>
    <row r="1949" spans="1:4" ht="12.75">
      <c r="A1949" s="45">
        <f>New!M:M</f>
        <v>0</v>
      </c>
      <c r="B1949" s="12">
        <f>New!A:A</f>
        <v>0</v>
      </c>
      <c r="D1949" s="47">
        <f>New!P:P</f>
        <v>0</v>
      </c>
    </row>
    <row r="1950" spans="1:4" ht="12.75">
      <c r="A1950" s="45">
        <f>New!M:M</f>
        <v>0</v>
      </c>
      <c r="B1950" s="12">
        <f>New!A:A</f>
        <v>0</v>
      </c>
      <c r="D1950" s="47">
        <f>New!P:P</f>
        <v>0</v>
      </c>
    </row>
    <row r="1951" spans="1:4" ht="12.75">
      <c r="A1951" s="45">
        <f>New!M:M</f>
        <v>0</v>
      </c>
      <c r="B1951" s="12">
        <f>New!A:A</f>
        <v>0</v>
      </c>
      <c r="D1951" s="47">
        <f>New!P:P</f>
        <v>0</v>
      </c>
    </row>
    <row r="1952" spans="1:4" ht="12.75">
      <c r="A1952" s="45">
        <f>New!M:M</f>
        <v>0</v>
      </c>
      <c r="B1952" s="12">
        <f>New!A:A</f>
        <v>0</v>
      </c>
      <c r="D1952" s="47">
        <f>New!P:P</f>
        <v>0</v>
      </c>
    </row>
    <row r="1953" spans="1:4" ht="12.75">
      <c r="A1953" s="45">
        <f>New!M:M</f>
        <v>0</v>
      </c>
      <c r="B1953" s="12">
        <f>New!A:A</f>
        <v>0</v>
      </c>
      <c r="D1953" s="47">
        <f>New!P:P</f>
        <v>0</v>
      </c>
    </row>
    <row r="1954" spans="1:4" ht="12.75">
      <c r="A1954" s="45">
        <f>New!M:M</f>
        <v>0</v>
      </c>
      <c r="B1954" s="12">
        <f>New!A:A</f>
        <v>0</v>
      </c>
      <c r="D1954" s="47">
        <f>New!P:P</f>
        <v>0</v>
      </c>
    </row>
    <row r="1955" spans="1:4" ht="12.75">
      <c r="A1955" s="45">
        <f>New!M:M</f>
        <v>0</v>
      </c>
      <c r="B1955" s="12">
        <f>New!A:A</f>
        <v>0</v>
      </c>
      <c r="D1955" s="47">
        <f>New!P:P</f>
        <v>0</v>
      </c>
    </row>
    <row r="1956" spans="1:4" ht="12.75">
      <c r="A1956" s="45">
        <f>New!M:M</f>
        <v>0</v>
      </c>
      <c r="B1956" s="12">
        <f>New!A:A</f>
        <v>0</v>
      </c>
      <c r="D1956" s="47">
        <f>New!P:P</f>
        <v>0</v>
      </c>
    </row>
    <row r="1957" spans="1:4" ht="12.75">
      <c r="A1957" s="45">
        <f>New!M:M</f>
        <v>0</v>
      </c>
      <c r="B1957" s="12">
        <f>New!A:A</f>
        <v>0</v>
      </c>
      <c r="D1957" s="47">
        <f>New!P:P</f>
        <v>0</v>
      </c>
    </row>
    <row r="1958" spans="1:4" ht="12.75">
      <c r="A1958" s="45">
        <f>New!M:M</f>
        <v>0</v>
      </c>
      <c r="B1958" s="12">
        <f>New!A:A</f>
        <v>0</v>
      </c>
      <c r="D1958" s="47">
        <f>New!P:P</f>
        <v>0</v>
      </c>
    </row>
    <row r="1959" spans="1:4" ht="12.75">
      <c r="A1959" s="45">
        <f>New!M:M</f>
        <v>0</v>
      </c>
      <c r="B1959" s="12">
        <f>New!A:A</f>
        <v>0</v>
      </c>
      <c r="D1959" s="47">
        <f>New!P:P</f>
        <v>0</v>
      </c>
    </row>
    <row r="1960" spans="1:4" ht="12.75">
      <c r="A1960" s="45">
        <f>New!M:M</f>
        <v>0</v>
      </c>
      <c r="B1960" s="12">
        <f>New!A:A</f>
        <v>0</v>
      </c>
      <c r="D1960" s="47">
        <f>New!P:P</f>
        <v>0</v>
      </c>
    </row>
    <row r="1961" spans="1:4" ht="12.75">
      <c r="A1961" s="45">
        <f>New!M:M</f>
        <v>0</v>
      </c>
      <c r="B1961" s="12">
        <f>New!A:A</f>
        <v>0</v>
      </c>
      <c r="D1961" s="47">
        <f>New!P:P</f>
        <v>0</v>
      </c>
    </row>
    <row r="1962" spans="1:4" ht="12.75">
      <c r="A1962" s="45">
        <f>New!M:M</f>
        <v>0</v>
      </c>
      <c r="B1962" s="12">
        <f>New!A:A</f>
        <v>0</v>
      </c>
      <c r="D1962" s="47">
        <f>New!P:P</f>
        <v>0</v>
      </c>
    </row>
    <row r="1963" spans="1:4" ht="12.75">
      <c r="A1963" s="45">
        <f>New!M:M</f>
        <v>0</v>
      </c>
      <c r="B1963" s="12">
        <f>New!A:A</f>
        <v>0</v>
      </c>
      <c r="D1963" s="47">
        <f>New!P:P</f>
        <v>0</v>
      </c>
    </row>
    <row r="1964" spans="1:4" ht="12.75">
      <c r="A1964" s="45">
        <f>New!M:M</f>
        <v>0</v>
      </c>
      <c r="B1964" s="12">
        <f>New!A:A</f>
        <v>0</v>
      </c>
      <c r="D1964" s="47">
        <f>New!P:P</f>
        <v>0</v>
      </c>
    </row>
    <row r="1965" spans="1:4" ht="12.75">
      <c r="A1965" s="45">
        <f>New!M:M</f>
        <v>0</v>
      </c>
      <c r="B1965" s="12">
        <f>New!A:A</f>
        <v>0</v>
      </c>
      <c r="D1965" s="47">
        <f>New!P:P</f>
        <v>0</v>
      </c>
    </row>
    <row r="1966" spans="1:4" ht="12.75">
      <c r="A1966" s="45">
        <f>New!M:M</f>
        <v>0</v>
      </c>
      <c r="B1966" s="12">
        <f>New!A:A</f>
        <v>0</v>
      </c>
      <c r="D1966" s="47">
        <f>New!P:P</f>
        <v>0</v>
      </c>
    </row>
    <row r="1967" spans="1:4" ht="12.75">
      <c r="A1967" s="45">
        <f>New!M:M</f>
        <v>0</v>
      </c>
      <c r="B1967" s="12">
        <f>New!A:A</f>
        <v>0</v>
      </c>
      <c r="D1967" s="47">
        <f>New!P:P</f>
        <v>0</v>
      </c>
    </row>
    <row r="1968" spans="1:4" ht="12.75">
      <c r="A1968" s="45">
        <f>New!M:M</f>
        <v>0</v>
      </c>
      <c r="B1968" s="12">
        <f>New!A:A</f>
        <v>0</v>
      </c>
      <c r="D1968" s="47">
        <f>New!P:P</f>
        <v>0</v>
      </c>
    </row>
    <row r="1969" spans="1:4" ht="12.75">
      <c r="A1969" s="45">
        <f>New!M:M</f>
        <v>0</v>
      </c>
      <c r="B1969" s="12">
        <f>New!A:A</f>
        <v>0</v>
      </c>
      <c r="D1969" s="47">
        <f>New!P:P</f>
        <v>0</v>
      </c>
    </row>
    <row r="1970" spans="1:4" ht="12.75">
      <c r="A1970" s="45">
        <f>New!M:M</f>
        <v>0</v>
      </c>
      <c r="B1970" s="12">
        <f>New!A:A</f>
        <v>0</v>
      </c>
      <c r="D1970" s="47">
        <f>New!P:P</f>
        <v>0</v>
      </c>
    </row>
    <row r="1971" spans="1:4" ht="12.75">
      <c r="A1971" s="45">
        <f>New!M:M</f>
        <v>0</v>
      </c>
      <c r="B1971" s="12">
        <f>New!A:A</f>
        <v>0</v>
      </c>
      <c r="D1971" s="47">
        <f>New!P:P</f>
        <v>0</v>
      </c>
    </row>
    <row r="1972" spans="1:4" ht="12.75">
      <c r="A1972" s="45">
        <f>New!M:M</f>
        <v>0</v>
      </c>
      <c r="B1972" s="12">
        <f>New!A:A</f>
        <v>0</v>
      </c>
      <c r="D1972" s="47">
        <f>New!P:P</f>
        <v>0</v>
      </c>
    </row>
    <row r="1973" spans="1:4" ht="12.75">
      <c r="A1973" s="45">
        <f>New!M:M</f>
        <v>0</v>
      </c>
      <c r="B1973" s="12">
        <f>New!A:A</f>
        <v>0</v>
      </c>
      <c r="D1973" s="47">
        <f>New!P:P</f>
        <v>0</v>
      </c>
    </row>
    <row r="1974" spans="1:4" ht="12.75">
      <c r="A1974" s="45">
        <f>New!M:M</f>
        <v>0</v>
      </c>
      <c r="B1974" s="12">
        <f>New!A:A</f>
        <v>0</v>
      </c>
      <c r="D1974" s="47">
        <f>New!P:P</f>
        <v>0</v>
      </c>
    </row>
    <row r="1975" spans="1:4" ht="12.75">
      <c r="A1975" s="45">
        <f>New!M:M</f>
        <v>0</v>
      </c>
      <c r="B1975" s="12">
        <f>New!A:A</f>
        <v>0</v>
      </c>
      <c r="D1975" s="47">
        <f>New!P:P</f>
        <v>0</v>
      </c>
    </row>
    <row r="1976" spans="1:4" ht="12.75">
      <c r="A1976" s="45">
        <f>New!M:M</f>
        <v>0</v>
      </c>
      <c r="B1976" s="12">
        <f>New!A:A</f>
        <v>0</v>
      </c>
      <c r="D1976" s="47">
        <f>New!P:P</f>
        <v>0</v>
      </c>
    </row>
    <row r="1977" spans="1:4" ht="12.75">
      <c r="A1977" s="45">
        <f>New!M:M</f>
        <v>0</v>
      </c>
      <c r="B1977" s="12">
        <f>New!A:A</f>
        <v>0</v>
      </c>
      <c r="D1977" s="47">
        <f>New!P:P</f>
        <v>0</v>
      </c>
    </row>
    <row r="1978" spans="1:4" ht="12.75">
      <c r="A1978" s="45">
        <f>New!M:M</f>
        <v>0</v>
      </c>
      <c r="B1978" s="12">
        <f>New!A:A</f>
        <v>0</v>
      </c>
      <c r="D1978" s="47">
        <f>New!P:P</f>
        <v>0</v>
      </c>
    </row>
    <row r="1979" spans="1:4" ht="12.75">
      <c r="A1979" s="45">
        <f>New!M:M</f>
        <v>0</v>
      </c>
      <c r="B1979" s="12">
        <f>New!A:A</f>
        <v>0</v>
      </c>
      <c r="D1979" s="47">
        <f>New!P:P</f>
        <v>0</v>
      </c>
    </row>
    <row r="1980" spans="1:4" ht="12.75">
      <c r="A1980" s="45">
        <f>New!M:M</f>
        <v>0</v>
      </c>
      <c r="B1980" s="12">
        <f>New!A:A</f>
        <v>0</v>
      </c>
      <c r="D1980" s="47">
        <f>New!P:P</f>
        <v>0</v>
      </c>
    </row>
    <row r="1981" spans="1:4" ht="12.75">
      <c r="A1981" s="45">
        <f>New!M:M</f>
        <v>0</v>
      </c>
      <c r="B1981" s="12">
        <f>New!A:A</f>
        <v>0</v>
      </c>
      <c r="D1981" s="47">
        <f>New!P:P</f>
        <v>0</v>
      </c>
    </row>
    <row r="1982" spans="1:4" ht="12.75">
      <c r="A1982" s="45">
        <f>New!M:M</f>
        <v>0</v>
      </c>
      <c r="B1982" s="12">
        <f>New!A:A</f>
        <v>0</v>
      </c>
      <c r="D1982" s="47">
        <f>New!P:P</f>
        <v>0</v>
      </c>
    </row>
    <row r="1983" spans="1:4" ht="12.75">
      <c r="A1983" s="45">
        <f>New!M:M</f>
        <v>0</v>
      </c>
      <c r="B1983" s="12">
        <f>New!A:A</f>
        <v>0</v>
      </c>
      <c r="D1983" s="47">
        <f>New!P:P</f>
        <v>0</v>
      </c>
    </row>
    <row r="1984" spans="1:4" ht="12.75">
      <c r="A1984" s="45">
        <f>New!M:M</f>
        <v>0</v>
      </c>
      <c r="B1984" s="12">
        <f>New!A:A</f>
        <v>0</v>
      </c>
      <c r="D1984" s="47">
        <f>New!P:P</f>
        <v>0</v>
      </c>
    </row>
    <row r="1985" spans="1:4" ht="12.75">
      <c r="A1985" s="45">
        <f>New!M:M</f>
        <v>0</v>
      </c>
      <c r="B1985" s="12">
        <f>New!A:A</f>
        <v>0</v>
      </c>
      <c r="D1985" s="47">
        <f>New!P:P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809"/>
  <sheetViews>
    <sheetView workbookViewId="0"/>
  </sheetViews>
  <sheetFormatPr defaultColWidth="12.5703125" defaultRowHeight="15.75" customHeight="1"/>
  <cols>
    <col min="1" max="1" width="14.140625" customWidth="1"/>
    <col min="4" max="4" width="15.7109375" customWidth="1"/>
    <col min="6" max="6" width="16.85546875" customWidth="1"/>
  </cols>
  <sheetData>
    <row r="1" spans="1:9">
      <c r="A1" s="12" t="s">
        <v>8896</v>
      </c>
      <c r="B1" s="12" t="s">
        <v>8897</v>
      </c>
      <c r="D1" s="46" t="s">
        <v>8898</v>
      </c>
      <c r="F1" s="46"/>
      <c r="G1" s="12"/>
      <c r="H1" s="12"/>
      <c r="I1" s="12"/>
    </row>
    <row r="2" spans="1:9">
      <c r="A2" s="12" t="s">
        <v>8899</v>
      </c>
      <c r="B2" s="12" t="s">
        <v>8900</v>
      </c>
      <c r="D2" s="46" t="s">
        <v>8901</v>
      </c>
      <c r="G2" s="12"/>
      <c r="H2" s="12"/>
      <c r="I2" s="12"/>
    </row>
    <row r="3" spans="1:9">
      <c r="A3" s="12" t="s">
        <v>8902</v>
      </c>
      <c r="B3" s="12" t="s">
        <v>8903</v>
      </c>
      <c r="D3" s="46" t="s">
        <v>8904</v>
      </c>
      <c r="G3" s="12"/>
      <c r="H3" s="12"/>
      <c r="I3" s="12"/>
    </row>
    <row r="4" spans="1:9">
      <c r="A4" s="12" t="s">
        <v>8905</v>
      </c>
      <c r="B4" s="12" t="s">
        <v>8906</v>
      </c>
      <c r="D4" s="46" t="s">
        <v>8907</v>
      </c>
      <c r="G4" s="12"/>
      <c r="I4" s="12"/>
    </row>
    <row r="5" spans="1:9">
      <c r="A5" s="12" t="s">
        <v>8908</v>
      </c>
      <c r="B5" s="12" t="s">
        <v>8909</v>
      </c>
      <c r="D5" s="46" t="s">
        <v>8910</v>
      </c>
      <c r="G5" s="12"/>
      <c r="H5" s="12"/>
      <c r="I5" s="12"/>
    </row>
    <row r="6" spans="1:9">
      <c r="A6" s="12" t="s">
        <v>8911</v>
      </c>
      <c r="B6" s="12" t="s">
        <v>3384</v>
      </c>
      <c r="D6" s="46" t="s">
        <v>8912</v>
      </c>
      <c r="G6" s="12"/>
      <c r="H6" s="12"/>
      <c r="I6" s="12"/>
    </row>
    <row r="7" spans="1:9">
      <c r="A7" s="12" t="s">
        <v>8913</v>
      </c>
      <c r="B7" s="12" t="s">
        <v>2703</v>
      </c>
      <c r="D7" s="46" t="s">
        <v>8914</v>
      </c>
      <c r="G7" s="12"/>
      <c r="H7" s="12"/>
      <c r="I7" s="12"/>
    </row>
    <row r="8" spans="1:9">
      <c r="A8" s="12" t="s">
        <v>8915</v>
      </c>
      <c r="B8" s="12" t="s">
        <v>3384</v>
      </c>
      <c r="D8" s="46" t="s">
        <v>8916</v>
      </c>
      <c r="G8" s="12"/>
      <c r="H8" s="12"/>
      <c r="I8" s="12"/>
    </row>
    <row r="9" spans="1:9">
      <c r="A9" s="12" t="s">
        <v>8917</v>
      </c>
      <c r="B9" s="12" t="s">
        <v>8918</v>
      </c>
      <c r="D9" s="46" t="s">
        <v>8919</v>
      </c>
      <c r="G9" s="12"/>
      <c r="H9" s="12"/>
      <c r="I9" s="12"/>
    </row>
    <row r="10" spans="1:9">
      <c r="A10" s="12" t="s">
        <v>8920</v>
      </c>
      <c r="B10" s="12" t="s">
        <v>8900</v>
      </c>
      <c r="D10" s="46" t="s">
        <v>8921</v>
      </c>
      <c r="G10" s="12"/>
      <c r="H10" s="12"/>
      <c r="I10" s="12"/>
    </row>
    <row r="11" spans="1:9">
      <c r="A11" s="12" t="s">
        <v>8922</v>
      </c>
      <c r="B11" s="12" t="s">
        <v>8903</v>
      </c>
      <c r="D11" s="46" t="s">
        <v>8923</v>
      </c>
      <c r="G11" s="12"/>
      <c r="H11" s="12"/>
      <c r="I11" s="12"/>
    </row>
    <row r="12" spans="1:9">
      <c r="A12" s="12" t="s">
        <v>8924</v>
      </c>
      <c r="B12" s="12" t="s">
        <v>8925</v>
      </c>
      <c r="D12" s="46" t="s">
        <v>8926</v>
      </c>
      <c r="G12" s="12"/>
      <c r="H12" s="12"/>
      <c r="I12" s="12"/>
    </row>
    <row r="13" spans="1:9">
      <c r="A13" s="12" t="s">
        <v>8927</v>
      </c>
      <c r="B13" s="12" t="s">
        <v>8928</v>
      </c>
      <c r="D13" s="46" t="s">
        <v>8929</v>
      </c>
      <c r="G13" s="12"/>
      <c r="H13" s="12"/>
      <c r="I13" s="12"/>
    </row>
    <row r="14" spans="1:9">
      <c r="A14" s="12" t="s">
        <v>8930</v>
      </c>
      <c r="B14" s="12" t="s">
        <v>8931</v>
      </c>
      <c r="D14" s="46" t="s">
        <v>8932</v>
      </c>
      <c r="G14" s="12"/>
      <c r="H14" s="12"/>
      <c r="I14" s="12"/>
    </row>
    <row r="15" spans="1:9">
      <c r="A15" s="12" t="s">
        <v>8933</v>
      </c>
      <c r="B15" s="12" t="s">
        <v>8934</v>
      </c>
      <c r="D15" s="46" t="s">
        <v>8935</v>
      </c>
      <c r="G15" s="12"/>
      <c r="H15" s="12"/>
      <c r="I15" s="12"/>
    </row>
    <row r="16" spans="1:9">
      <c r="A16" s="12" t="s">
        <v>8936</v>
      </c>
      <c r="B16" s="12" t="s">
        <v>8937</v>
      </c>
      <c r="D16" s="46" t="s">
        <v>8938</v>
      </c>
      <c r="G16" s="12"/>
      <c r="H16" s="12"/>
      <c r="I16" s="12"/>
    </row>
    <row r="17" spans="1:9">
      <c r="A17" s="12" t="s">
        <v>8939</v>
      </c>
      <c r="B17" s="12" t="s">
        <v>8940</v>
      </c>
      <c r="D17" s="46" t="s">
        <v>8941</v>
      </c>
      <c r="G17" s="12"/>
      <c r="H17" s="12"/>
      <c r="I17" s="12"/>
    </row>
    <row r="18" spans="1:9">
      <c r="A18" s="12" t="s">
        <v>8942</v>
      </c>
      <c r="B18" s="12" t="s">
        <v>8943</v>
      </c>
      <c r="D18" s="46" t="s">
        <v>8944</v>
      </c>
      <c r="G18" s="12"/>
      <c r="H18" s="12"/>
      <c r="I18" s="12"/>
    </row>
    <row r="19" spans="1:9">
      <c r="A19" s="12" t="s">
        <v>8945</v>
      </c>
      <c r="B19" s="12" t="s">
        <v>4735</v>
      </c>
      <c r="D19" s="46" t="s">
        <v>8946</v>
      </c>
      <c r="G19" s="12"/>
      <c r="H19" s="12"/>
      <c r="I19" s="12"/>
    </row>
    <row r="20" spans="1:9">
      <c r="A20" s="12" t="s">
        <v>8947</v>
      </c>
      <c r="B20" s="12" t="s">
        <v>8900</v>
      </c>
      <c r="D20" s="46" t="s">
        <v>8948</v>
      </c>
      <c r="G20" s="12"/>
      <c r="H20" s="12"/>
      <c r="I20" s="12"/>
    </row>
    <row r="21" spans="1:9">
      <c r="A21" s="12" t="s">
        <v>8949</v>
      </c>
      <c r="B21" s="12" t="s">
        <v>1605</v>
      </c>
      <c r="D21" s="46" t="s">
        <v>8950</v>
      </c>
      <c r="G21" s="12"/>
      <c r="H21" s="12"/>
      <c r="I21" s="12"/>
    </row>
    <row r="22" spans="1:9">
      <c r="A22" s="12" t="s">
        <v>8951</v>
      </c>
      <c r="B22" s="12" t="s">
        <v>8952</v>
      </c>
      <c r="D22" s="46" t="s">
        <v>8953</v>
      </c>
      <c r="G22" s="12"/>
      <c r="H22" s="12"/>
      <c r="I22" s="12"/>
    </row>
    <row r="23" spans="1:9">
      <c r="A23" s="12" t="s">
        <v>8954</v>
      </c>
      <c r="B23" s="12" t="s">
        <v>8955</v>
      </c>
      <c r="D23" s="46" t="s">
        <v>8956</v>
      </c>
      <c r="G23" s="12"/>
      <c r="H23" s="12"/>
      <c r="I23" s="12"/>
    </row>
    <row r="24" spans="1:9">
      <c r="A24" s="12" t="s">
        <v>8957</v>
      </c>
      <c r="B24" s="12" t="s">
        <v>8958</v>
      </c>
      <c r="D24" s="46" t="s">
        <v>8959</v>
      </c>
      <c r="G24" s="12"/>
      <c r="H24" s="12"/>
      <c r="I24" s="12"/>
    </row>
    <row r="25" spans="1:9">
      <c r="A25" s="12" t="s">
        <v>8960</v>
      </c>
      <c r="B25" s="12" t="s">
        <v>8961</v>
      </c>
      <c r="D25" s="46" t="s">
        <v>8962</v>
      </c>
      <c r="G25" s="12"/>
      <c r="H25" s="12"/>
      <c r="I25" s="12"/>
    </row>
    <row r="26" spans="1:9">
      <c r="A26" s="12" t="s">
        <v>8963</v>
      </c>
      <c r="B26" s="12" t="s">
        <v>8900</v>
      </c>
      <c r="D26" s="46" t="s">
        <v>8964</v>
      </c>
      <c r="G26" s="12"/>
      <c r="H26" s="12"/>
      <c r="I26" s="12"/>
    </row>
    <row r="27" spans="1:9">
      <c r="A27" s="12" t="s">
        <v>8965</v>
      </c>
      <c r="B27" s="12" t="s">
        <v>3384</v>
      </c>
      <c r="D27" s="46" t="s">
        <v>8966</v>
      </c>
      <c r="G27" s="12"/>
      <c r="H27" s="12"/>
      <c r="I27" s="12"/>
    </row>
    <row r="28" spans="1:9">
      <c r="A28" s="12" t="s">
        <v>8967</v>
      </c>
      <c r="B28" s="12" t="s">
        <v>8968</v>
      </c>
      <c r="D28" s="46" t="s">
        <v>8969</v>
      </c>
      <c r="G28" s="12"/>
      <c r="I28" s="12"/>
    </row>
    <row r="29" spans="1:9">
      <c r="A29" s="12" t="s">
        <v>8970</v>
      </c>
      <c r="B29" s="12" t="s">
        <v>8900</v>
      </c>
      <c r="D29" s="46" t="s">
        <v>8971</v>
      </c>
      <c r="G29" s="12"/>
      <c r="H29" s="12"/>
      <c r="I29" s="12"/>
    </row>
    <row r="30" spans="1:9">
      <c r="A30" s="12" t="s">
        <v>8972</v>
      </c>
      <c r="B30" s="12" t="s">
        <v>8903</v>
      </c>
      <c r="D30" s="46" t="s">
        <v>8973</v>
      </c>
      <c r="G30" s="12"/>
      <c r="H30" s="12"/>
      <c r="I30" s="12"/>
    </row>
    <row r="31" spans="1:9">
      <c r="A31" s="12" t="s">
        <v>8974</v>
      </c>
      <c r="B31" s="12" t="s">
        <v>8975</v>
      </c>
      <c r="D31" s="46" t="s">
        <v>8976</v>
      </c>
      <c r="G31" s="12"/>
      <c r="H31" s="12"/>
      <c r="I31" s="12"/>
    </row>
    <row r="32" spans="1:9">
      <c r="A32" s="12" t="s">
        <v>8977</v>
      </c>
      <c r="B32" s="12" t="s">
        <v>8978</v>
      </c>
      <c r="D32" s="46" t="s">
        <v>8979</v>
      </c>
      <c r="G32" s="12"/>
      <c r="H32" s="12"/>
      <c r="I32" s="12"/>
    </row>
    <row r="33" spans="1:9">
      <c r="A33" s="12" t="s">
        <v>8980</v>
      </c>
      <c r="B33" s="12" t="s">
        <v>8900</v>
      </c>
      <c r="D33" s="46" t="s">
        <v>8981</v>
      </c>
      <c r="G33" s="12"/>
      <c r="H33" s="12"/>
      <c r="I33" s="12"/>
    </row>
    <row r="34" spans="1:9">
      <c r="A34" s="12" t="s">
        <v>8982</v>
      </c>
      <c r="B34" s="12" t="s">
        <v>8983</v>
      </c>
      <c r="D34" s="46" t="s">
        <v>8984</v>
      </c>
      <c r="G34" s="12"/>
      <c r="H34" s="12"/>
      <c r="I34" s="12"/>
    </row>
    <row r="35" spans="1:9">
      <c r="A35" s="12" t="s">
        <v>8985</v>
      </c>
      <c r="B35" s="12" t="s">
        <v>8952</v>
      </c>
      <c r="D35" s="46" t="s">
        <v>8986</v>
      </c>
      <c r="G35" s="12"/>
      <c r="H35" s="12"/>
      <c r="I35" s="12"/>
    </row>
    <row r="36" spans="1:9">
      <c r="A36" s="12" t="s">
        <v>8987</v>
      </c>
      <c r="B36" s="12" t="s">
        <v>8988</v>
      </c>
      <c r="D36" s="46" t="s">
        <v>8989</v>
      </c>
      <c r="G36" s="12"/>
      <c r="H36" s="12"/>
      <c r="I36" s="12"/>
    </row>
    <row r="37" spans="1:9">
      <c r="A37" s="12" t="s">
        <v>8990</v>
      </c>
      <c r="B37" s="12" t="s">
        <v>8991</v>
      </c>
      <c r="D37" s="46" t="s">
        <v>8992</v>
      </c>
      <c r="G37" s="12"/>
      <c r="H37" s="12"/>
      <c r="I37" s="12"/>
    </row>
    <row r="38" spans="1:9">
      <c r="A38" s="12" t="s">
        <v>8993</v>
      </c>
      <c r="B38" s="12" t="s">
        <v>8994</v>
      </c>
      <c r="D38" s="46" t="s">
        <v>8995</v>
      </c>
      <c r="G38" s="12"/>
      <c r="H38" s="12"/>
      <c r="I38" s="12"/>
    </row>
    <row r="39" spans="1:9">
      <c r="A39" s="12" t="s">
        <v>8996</v>
      </c>
      <c r="B39" s="12" t="s">
        <v>8997</v>
      </c>
      <c r="D39" s="46" t="s">
        <v>8998</v>
      </c>
      <c r="G39" s="12"/>
      <c r="H39" s="12"/>
      <c r="I39" s="12"/>
    </row>
    <row r="40" spans="1:9">
      <c r="A40" s="12" t="s">
        <v>8999</v>
      </c>
      <c r="B40" s="12" t="s">
        <v>9000</v>
      </c>
      <c r="D40" s="46" t="s">
        <v>9001</v>
      </c>
      <c r="G40" s="12"/>
      <c r="H40" s="12"/>
      <c r="I40" s="12"/>
    </row>
    <row r="41" spans="1:9">
      <c r="A41" s="12" t="s">
        <v>9002</v>
      </c>
      <c r="B41" s="12" t="s">
        <v>9003</v>
      </c>
      <c r="D41" s="46" t="s">
        <v>9004</v>
      </c>
      <c r="G41" s="12"/>
      <c r="H41" s="12"/>
      <c r="I41" s="12"/>
    </row>
    <row r="42" spans="1:9">
      <c r="A42" s="12" t="s">
        <v>9005</v>
      </c>
      <c r="B42" s="12" t="s">
        <v>3384</v>
      </c>
      <c r="D42" s="46" t="s">
        <v>9006</v>
      </c>
      <c r="G42" s="12"/>
      <c r="H42" s="12"/>
      <c r="I42" s="12"/>
    </row>
    <row r="43" spans="1:9">
      <c r="A43" s="12" t="s">
        <v>9007</v>
      </c>
      <c r="B43" s="12" t="s">
        <v>9008</v>
      </c>
      <c r="D43" s="46" t="s">
        <v>9009</v>
      </c>
      <c r="G43" s="12"/>
      <c r="H43" s="12"/>
      <c r="I43" s="12"/>
    </row>
    <row r="44" spans="1:9">
      <c r="A44" s="12" t="s">
        <v>9010</v>
      </c>
      <c r="B44" s="12" t="s">
        <v>9011</v>
      </c>
      <c r="D44" s="46" t="s">
        <v>9012</v>
      </c>
      <c r="G44" s="12"/>
      <c r="H44" s="12"/>
      <c r="I44" s="12"/>
    </row>
    <row r="45" spans="1:9">
      <c r="A45" s="12" t="s">
        <v>9013</v>
      </c>
      <c r="B45" s="12" t="s">
        <v>3384</v>
      </c>
      <c r="D45" s="46" t="s">
        <v>9014</v>
      </c>
      <c r="G45" s="12"/>
      <c r="H45" s="12"/>
      <c r="I45" s="12"/>
    </row>
    <row r="46" spans="1:9">
      <c r="A46" s="12" t="s">
        <v>9015</v>
      </c>
      <c r="B46" s="12" t="s">
        <v>8934</v>
      </c>
      <c r="G46" s="12"/>
      <c r="H46" s="12"/>
      <c r="I46" s="12"/>
    </row>
    <row r="47" spans="1:9">
      <c r="A47" s="12" t="s">
        <v>9016</v>
      </c>
      <c r="B47" s="12" t="s">
        <v>9017</v>
      </c>
      <c r="G47" s="12"/>
      <c r="H47" s="12"/>
      <c r="I47" s="12"/>
    </row>
    <row r="48" spans="1:9">
      <c r="A48" s="12" t="s">
        <v>9018</v>
      </c>
      <c r="B48" s="12" t="s">
        <v>9019</v>
      </c>
      <c r="G48" s="12"/>
      <c r="H48" s="12"/>
      <c r="I48" s="12"/>
    </row>
    <row r="49" spans="1:9">
      <c r="A49" s="12" t="s">
        <v>9020</v>
      </c>
      <c r="B49" s="12" t="s">
        <v>9021</v>
      </c>
      <c r="G49" s="12"/>
      <c r="H49" s="12"/>
      <c r="I49" s="12"/>
    </row>
    <row r="50" spans="1:9">
      <c r="A50" s="12" t="s">
        <v>9022</v>
      </c>
      <c r="B50" s="12" t="s">
        <v>9023</v>
      </c>
      <c r="G50" s="12"/>
      <c r="H50" s="12"/>
      <c r="I50" s="12"/>
    </row>
    <row r="51" spans="1:9">
      <c r="A51" s="12" t="s">
        <v>9024</v>
      </c>
      <c r="B51" s="12" t="s">
        <v>4735</v>
      </c>
      <c r="G51" s="12"/>
      <c r="H51" s="12"/>
      <c r="I51" s="12"/>
    </row>
    <row r="52" spans="1:9">
      <c r="A52" s="12" t="s">
        <v>9025</v>
      </c>
      <c r="B52" s="12" t="s">
        <v>8900</v>
      </c>
      <c r="G52" s="12"/>
      <c r="H52" s="12"/>
      <c r="I52" s="12"/>
    </row>
    <row r="53" spans="1:9">
      <c r="A53" s="12" t="s">
        <v>9026</v>
      </c>
      <c r="B53" s="12" t="s">
        <v>8900</v>
      </c>
      <c r="G53" s="12"/>
      <c r="H53" s="12"/>
      <c r="I53" s="12"/>
    </row>
    <row r="54" spans="1:9">
      <c r="A54" s="12" t="s">
        <v>9027</v>
      </c>
      <c r="B54" s="12" t="s">
        <v>9028</v>
      </c>
      <c r="G54" s="12"/>
      <c r="H54" s="12"/>
      <c r="I54" s="12"/>
    </row>
    <row r="55" spans="1:9">
      <c r="A55" s="12" t="s">
        <v>9029</v>
      </c>
      <c r="B55" s="12" t="s">
        <v>9030</v>
      </c>
      <c r="G55" s="12"/>
      <c r="I55" s="12"/>
    </row>
    <row r="56" spans="1:9">
      <c r="A56" s="12" t="s">
        <v>9031</v>
      </c>
      <c r="B56" s="12" t="s">
        <v>8983</v>
      </c>
      <c r="G56" s="12"/>
      <c r="H56" s="12"/>
      <c r="I56" s="12"/>
    </row>
    <row r="57" spans="1:9">
      <c r="A57" s="12" t="s">
        <v>9032</v>
      </c>
      <c r="B57" s="12" t="s">
        <v>9033</v>
      </c>
      <c r="G57" s="12"/>
      <c r="H57" s="12"/>
      <c r="I57" s="12"/>
    </row>
    <row r="58" spans="1:9">
      <c r="A58" s="12" t="s">
        <v>9034</v>
      </c>
      <c r="B58" s="12" t="s">
        <v>4735</v>
      </c>
      <c r="G58" s="12"/>
      <c r="H58" s="12"/>
      <c r="I58" s="12"/>
    </row>
    <row r="59" spans="1:9">
      <c r="A59" s="12" t="s">
        <v>9035</v>
      </c>
      <c r="B59" s="12" t="s">
        <v>8900</v>
      </c>
      <c r="G59" s="12"/>
      <c r="H59" s="12"/>
      <c r="I59" s="12"/>
    </row>
    <row r="60" spans="1:9">
      <c r="A60" s="12" t="s">
        <v>9036</v>
      </c>
      <c r="B60" s="12" t="s">
        <v>8900</v>
      </c>
      <c r="G60" s="12"/>
      <c r="H60" s="12"/>
      <c r="I60" s="12"/>
    </row>
    <row r="61" spans="1:9">
      <c r="A61" s="12" t="s">
        <v>9037</v>
      </c>
      <c r="B61" s="12" t="s">
        <v>9038</v>
      </c>
      <c r="G61" s="12"/>
      <c r="I61" s="12"/>
    </row>
    <row r="62" spans="1:9">
      <c r="A62" s="12" t="s">
        <v>9039</v>
      </c>
      <c r="B62" s="12" t="s">
        <v>9008</v>
      </c>
      <c r="G62" s="12"/>
      <c r="I62" s="12"/>
    </row>
    <row r="63" spans="1:9">
      <c r="A63" s="12" t="s">
        <v>9040</v>
      </c>
      <c r="B63" s="12" t="s">
        <v>9041</v>
      </c>
      <c r="G63" s="12"/>
      <c r="H63" s="12"/>
      <c r="I63" s="12"/>
    </row>
    <row r="64" spans="1:9">
      <c r="A64" s="12" t="s">
        <v>9042</v>
      </c>
      <c r="B64" s="12" t="s">
        <v>9043</v>
      </c>
      <c r="G64" s="12"/>
      <c r="H64" s="12"/>
      <c r="I64" s="12"/>
    </row>
    <row r="65" spans="1:9">
      <c r="A65" s="12" t="s">
        <v>9044</v>
      </c>
      <c r="B65" s="12" t="s">
        <v>8900</v>
      </c>
      <c r="G65" s="12"/>
      <c r="H65" s="12"/>
      <c r="I65" s="12"/>
    </row>
    <row r="66" spans="1:9">
      <c r="A66" s="12" t="s">
        <v>9045</v>
      </c>
      <c r="B66" s="12" t="s">
        <v>8900</v>
      </c>
      <c r="G66" s="12"/>
      <c r="H66" s="12"/>
      <c r="I66" s="12"/>
    </row>
    <row r="67" spans="1:9">
      <c r="A67" s="12" t="s">
        <v>9046</v>
      </c>
      <c r="B67" s="12" t="s">
        <v>9047</v>
      </c>
      <c r="G67" s="12"/>
      <c r="H67" s="12"/>
      <c r="I67" s="12"/>
    </row>
    <row r="68" spans="1:9">
      <c r="A68" s="12" t="s">
        <v>9048</v>
      </c>
      <c r="B68" s="12" t="s">
        <v>9008</v>
      </c>
      <c r="G68" s="12"/>
      <c r="I68" s="12"/>
    </row>
    <row r="69" spans="1:9">
      <c r="A69" s="12" t="s">
        <v>9049</v>
      </c>
      <c r="B69" s="12" t="s">
        <v>9050</v>
      </c>
      <c r="G69" s="12"/>
      <c r="I69" s="12"/>
    </row>
    <row r="70" spans="1:9">
      <c r="A70" s="7" t="s">
        <v>9051</v>
      </c>
      <c r="B70" s="12" t="s">
        <v>8900</v>
      </c>
      <c r="G70" s="12"/>
      <c r="I70" s="12"/>
    </row>
    <row r="71" spans="1:9">
      <c r="A71" s="12" t="s">
        <v>9052</v>
      </c>
      <c r="B71" s="12" t="s">
        <v>8900</v>
      </c>
      <c r="G71" s="12"/>
      <c r="H71" s="12"/>
      <c r="I71" s="12"/>
    </row>
    <row r="72" spans="1:9">
      <c r="A72" s="12" t="s">
        <v>9053</v>
      </c>
      <c r="B72" s="12" t="s">
        <v>8900</v>
      </c>
      <c r="G72" s="12"/>
      <c r="I72" s="12"/>
    </row>
    <row r="73" spans="1:9">
      <c r="A73" s="12" t="s">
        <v>9054</v>
      </c>
      <c r="B73" s="12" t="s">
        <v>9003</v>
      </c>
      <c r="G73" s="12"/>
      <c r="I73" s="12"/>
    </row>
    <row r="74" spans="1:9">
      <c r="A74" s="7" t="s">
        <v>9055</v>
      </c>
      <c r="B74" s="12" t="s">
        <v>9056</v>
      </c>
      <c r="G74" s="12"/>
      <c r="H74" s="12"/>
      <c r="I74" s="12"/>
    </row>
    <row r="75" spans="1:9">
      <c r="A75" s="12" t="s">
        <v>9057</v>
      </c>
      <c r="B75" s="12" t="s">
        <v>9008</v>
      </c>
      <c r="G75" s="12"/>
      <c r="H75" s="12"/>
      <c r="I75" s="12"/>
    </row>
    <row r="76" spans="1:9">
      <c r="A76" s="12" t="s">
        <v>9058</v>
      </c>
      <c r="B76" s="12" t="s">
        <v>8983</v>
      </c>
      <c r="G76" s="12"/>
      <c r="H76" s="12"/>
      <c r="I76" s="12"/>
    </row>
    <row r="77" spans="1:9">
      <c r="A77" s="12" t="s">
        <v>9059</v>
      </c>
      <c r="B77" s="12" t="s">
        <v>9003</v>
      </c>
      <c r="G77" s="12"/>
      <c r="I77" s="12"/>
    </row>
    <row r="78" spans="1:9">
      <c r="A78" s="12" t="s">
        <v>9060</v>
      </c>
      <c r="B78" s="12" t="s">
        <v>3384</v>
      </c>
      <c r="G78" s="12"/>
      <c r="H78" s="12"/>
      <c r="I78" s="12"/>
    </row>
    <row r="79" spans="1:9">
      <c r="A79" s="12" t="s">
        <v>9061</v>
      </c>
      <c r="B79" s="12" t="s">
        <v>8958</v>
      </c>
      <c r="G79" s="12"/>
      <c r="H79" s="12"/>
      <c r="I79" s="12"/>
    </row>
    <row r="80" spans="1:9">
      <c r="A80" s="12" t="s">
        <v>9062</v>
      </c>
      <c r="B80" s="12" t="s">
        <v>9063</v>
      </c>
      <c r="G80" s="12"/>
      <c r="H80" s="12"/>
      <c r="I80" s="12"/>
    </row>
    <row r="81" spans="1:9">
      <c r="A81" s="12" t="s">
        <v>9064</v>
      </c>
      <c r="B81" s="12" t="s">
        <v>9065</v>
      </c>
      <c r="G81" s="12"/>
      <c r="H81" s="12"/>
      <c r="I81" s="12"/>
    </row>
    <row r="82" spans="1:9">
      <c r="A82" s="12" t="s">
        <v>9066</v>
      </c>
      <c r="B82" s="12" t="s">
        <v>9067</v>
      </c>
      <c r="G82" s="12"/>
      <c r="I82" s="12"/>
    </row>
    <row r="83" spans="1:9">
      <c r="A83" s="12" t="s">
        <v>9068</v>
      </c>
      <c r="B83" s="12" t="s">
        <v>9067</v>
      </c>
      <c r="G83" s="12"/>
      <c r="H83" s="12"/>
      <c r="I83" s="12"/>
    </row>
    <row r="84" spans="1:9">
      <c r="A84" s="12" t="s">
        <v>9069</v>
      </c>
      <c r="B84" s="12" t="s">
        <v>9070</v>
      </c>
      <c r="G84" s="12"/>
      <c r="H84" s="12"/>
      <c r="I84" s="12"/>
    </row>
    <row r="85" spans="1:9">
      <c r="A85" s="12" t="s">
        <v>9071</v>
      </c>
      <c r="B85" s="12" t="s">
        <v>3827</v>
      </c>
      <c r="G85" s="12"/>
      <c r="H85" s="12"/>
      <c r="I85" s="12"/>
    </row>
    <row r="86" spans="1:9">
      <c r="A86" s="12" t="s">
        <v>9072</v>
      </c>
      <c r="B86" s="12" t="s">
        <v>9073</v>
      </c>
      <c r="F86" s="46"/>
      <c r="G86" s="12"/>
      <c r="I86" s="12"/>
    </row>
    <row r="87" spans="1:9">
      <c r="A87" s="7" t="s">
        <v>9074</v>
      </c>
      <c r="B87" s="12" t="s">
        <v>8978</v>
      </c>
      <c r="F87" s="46"/>
      <c r="G87" s="12"/>
      <c r="H87" s="12"/>
      <c r="I87" s="12"/>
    </row>
    <row r="88" spans="1:9">
      <c r="A88" s="12" t="s">
        <v>9075</v>
      </c>
      <c r="B88" s="12" t="s">
        <v>8918</v>
      </c>
      <c r="G88" s="12"/>
      <c r="H88" s="12"/>
      <c r="I88" s="12"/>
    </row>
    <row r="89" spans="1:9">
      <c r="A89" s="12" t="s">
        <v>9076</v>
      </c>
      <c r="B89" s="12" t="s">
        <v>8975</v>
      </c>
      <c r="G89" s="12"/>
      <c r="H89" s="12"/>
      <c r="I89" s="12"/>
    </row>
    <row r="90" spans="1:9">
      <c r="A90" s="12" t="s">
        <v>9077</v>
      </c>
      <c r="B90" s="12" t="s">
        <v>3827</v>
      </c>
      <c r="G90" s="12"/>
      <c r="I90" s="12"/>
    </row>
    <row r="91" spans="1:9">
      <c r="A91" s="12" t="s">
        <v>9078</v>
      </c>
      <c r="B91" s="12" t="s">
        <v>8940</v>
      </c>
      <c r="G91" s="12"/>
      <c r="H91" s="12"/>
      <c r="I91" s="12"/>
    </row>
    <row r="92" spans="1:9">
      <c r="A92" s="12" t="s">
        <v>9079</v>
      </c>
      <c r="B92" s="12" t="s">
        <v>8991</v>
      </c>
      <c r="G92" s="12"/>
      <c r="H92" s="12"/>
      <c r="I92" s="12"/>
    </row>
    <row r="93" spans="1:9">
      <c r="A93" s="12" t="s">
        <v>9080</v>
      </c>
      <c r="B93" s="12" t="s">
        <v>8900</v>
      </c>
      <c r="G93" s="12"/>
      <c r="I93" s="12"/>
    </row>
    <row r="94" spans="1:9">
      <c r="A94" s="12" t="s">
        <v>9081</v>
      </c>
      <c r="B94" s="12" t="s">
        <v>8958</v>
      </c>
      <c r="G94" s="12"/>
      <c r="I94" s="12"/>
    </row>
    <row r="95" spans="1:9">
      <c r="A95" s="12" t="s">
        <v>9082</v>
      </c>
      <c r="B95" s="12" t="s">
        <v>9083</v>
      </c>
      <c r="G95" s="12"/>
      <c r="I95" s="12"/>
    </row>
    <row r="96" spans="1:9">
      <c r="A96" s="12" t="s">
        <v>9084</v>
      </c>
      <c r="B96" s="12" t="s">
        <v>9028</v>
      </c>
      <c r="G96" s="12"/>
      <c r="H96" s="12"/>
      <c r="I96" s="12"/>
    </row>
    <row r="97" spans="1:9">
      <c r="A97" s="12" t="s">
        <v>9085</v>
      </c>
      <c r="B97" s="12" t="s">
        <v>8900</v>
      </c>
      <c r="G97" s="12"/>
      <c r="I97" s="12"/>
    </row>
    <row r="98" spans="1:9">
      <c r="A98" s="12" t="s">
        <v>9086</v>
      </c>
      <c r="B98" s="12" t="s">
        <v>9087</v>
      </c>
      <c r="G98" s="12"/>
      <c r="H98" s="12"/>
      <c r="I98" s="12"/>
    </row>
    <row r="99" spans="1:9">
      <c r="A99" s="12" t="s">
        <v>9088</v>
      </c>
      <c r="B99" s="12" t="s">
        <v>8958</v>
      </c>
      <c r="G99" s="12"/>
      <c r="I99" s="12"/>
    </row>
    <row r="100" spans="1:9">
      <c r="A100" s="12" t="s">
        <v>9089</v>
      </c>
      <c r="B100" s="12" t="s">
        <v>8952</v>
      </c>
      <c r="G100" s="12"/>
      <c r="H100" s="12"/>
      <c r="I100" s="12"/>
    </row>
    <row r="101" spans="1:9">
      <c r="A101" s="12" t="s">
        <v>9090</v>
      </c>
      <c r="B101" s="12" t="s">
        <v>8983</v>
      </c>
      <c r="G101" s="12"/>
      <c r="I101" s="12"/>
    </row>
    <row r="102" spans="1:9">
      <c r="A102" s="12" t="s">
        <v>9091</v>
      </c>
      <c r="B102" s="12" t="s">
        <v>9092</v>
      </c>
      <c r="G102" s="12"/>
      <c r="I102" s="12"/>
    </row>
    <row r="103" spans="1:9">
      <c r="A103" s="12" t="s">
        <v>9093</v>
      </c>
      <c r="B103" s="12" t="s">
        <v>9094</v>
      </c>
      <c r="G103" s="12"/>
      <c r="I103" s="12"/>
    </row>
    <row r="104" spans="1:9">
      <c r="A104" s="12" t="s">
        <v>9095</v>
      </c>
      <c r="B104" s="12" t="s">
        <v>8978</v>
      </c>
      <c r="G104" s="12"/>
      <c r="I104" s="12"/>
    </row>
    <row r="105" spans="1:9">
      <c r="A105" s="12" t="s">
        <v>9096</v>
      </c>
      <c r="B105" s="12" t="s">
        <v>8978</v>
      </c>
      <c r="G105" s="12"/>
      <c r="I105" s="12"/>
    </row>
    <row r="106" spans="1:9">
      <c r="A106" s="12" t="s">
        <v>9097</v>
      </c>
      <c r="B106" s="12" t="s">
        <v>9098</v>
      </c>
      <c r="G106" s="12"/>
      <c r="H106" s="12"/>
      <c r="I106" s="12"/>
    </row>
    <row r="107" spans="1:9">
      <c r="A107" s="45" t="s">
        <v>9099</v>
      </c>
      <c r="B107" s="12" t="s">
        <v>9073</v>
      </c>
      <c r="G107" s="12"/>
      <c r="I107" s="12"/>
    </row>
    <row r="108" spans="1:9">
      <c r="A108" s="45" t="s">
        <v>9100</v>
      </c>
      <c r="B108" s="12" t="s">
        <v>8900</v>
      </c>
      <c r="F108" s="46"/>
      <c r="G108" s="12"/>
      <c r="H108" s="12"/>
      <c r="I108" s="12"/>
    </row>
    <row r="109" spans="1:9">
      <c r="A109" s="45" t="s">
        <v>9101</v>
      </c>
      <c r="B109" s="12" t="s">
        <v>9033</v>
      </c>
      <c r="F109" s="46"/>
      <c r="G109" s="12"/>
      <c r="H109" s="12"/>
      <c r="I109" s="12"/>
    </row>
    <row r="110" spans="1:9">
      <c r="A110" s="45" t="s">
        <v>9102</v>
      </c>
      <c r="B110" s="12" t="s">
        <v>9103</v>
      </c>
      <c r="G110" s="12"/>
      <c r="I110" s="12"/>
    </row>
    <row r="111" spans="1:9">
      <c r="A111" s="12" t="s">
        <v>9104</v>
      </c>
      <c r="B111" s="12" t="s">
        <v>9105</v>
      </c>
      <c r="G111" s="12"/>
      <c r="H111" s="12"/>
      <c r="I111" s="12"/>
    </row>
    <row r="112" spans="1:9">
      <c r="A112" s="45" t="s">
        <v>9106</v>
      </c>
      <c r="B112" s="12" t="s">
        <v>9107</v>
      </c>
      <c r="G112" s="12"/>
      <c r="H112" s="12"/>
      <c r="I112" s="12"/>
    </row>
    <row r="113" spans="1:9">
      <c r="A113" s="45" t="s">
        <v>9108</v>
      </c>
      <c r="B113" s="12" t="s">
        <v>9109</v>
      </c>
      <c r="G113" s="12"/>
      <c r="I113" s="12"/>
    </row>
    <row r="114" spans="1:9">
      <c r="A114" s="45" t="s">
        <v>9110</v>
      </c>
      <c r="B114" s="12" t="s">
        <v>3384</v>
      </c>
      <c r="G114" s="12"/>
      <c r="H114" s="12"/>
      <c r="I114" s="12"/>
    </row>
    <row r="115" spans="1:9">
      <c r="A115" s="45" t="s">
        <v>9111</v>
      </c>
      <c r="B115" s="12" t="s">
        <v>9112</v>
      </c>
      <c r="G115" s="12"/>
      <c r="I115" s="12"/>
    </row>
    <row r="116" spans="1:9">
      <c r="A116" s="45" t="s">
        <v>9113</v>
      </c>
      <c r="B116" s="12" t="s">
        <v>4735</v>
      </c>
      <c r="F116" s="46"/>
      <c r="G116" s="12"/>
      <c r="H116" s="12"/>
      <c r="I116" s="12"/>
    </row>
    <row r="117" spans="1:9">
      <c r="A117" s="45" t="s">
        <v>9114</v>
      </c>
      <c r="B117" s="12" t="s">
        <v>4735</v>
      </c>
      <c r="F117" s="46"/>
      <c r="G117" s="12"/>
      <c r="H117" s="12"/>
      <c r="I117" s="12"/>
    </row>
    <row r="118" spans="1:9">
      <c r="A118" s="45" t="s">
        <v>9115</v>
      </c>
      <c r="B118" s="12" t="s">
        <v>8983</v>
      </c>
      <c r="F118" s="46"/>
      <c r="G118" s="12"/>
      <c r="H118" s="12"/>
      <c r="I118" s="12"/>
    </row>
    <row r="119" spans="1:9">
      <c r="A119" s="45" t="s">
        <v>9116</v>
      </c>
      <c r="B119" s="12" t="s">
        <v>9103</v>
      </c>
      <c r="F119" s="46"/>
      <c r="G119" s="12"/>
      <c r="I119" s="12"/>
    </row>
    <row r="120" spans="1:9">
      <c r="A120" s="45" t="s">
        <v>9117</v>
      </c>
      <c r="B120" s="12" t="s">
        <v>8937</v>
      </c>
      <c r="F120" s="46"/>
      <c r="G120" s="12"/>
      <c r="I120" s="12"/>
    </row>
    <row r="121" spans="1:9">
      <c r="A121" s="45" t="s">
        <v>9118</v>
      </c>
      <c r="B121" s="12" t="s">
        <v>9119</v>
      </c>
      <c r="F121" s="46"/>
      <c r="G121" s="12"/>
      <c r="H121" s="12"/>
      <c r="I121" s="12"/>
    </row>
    <row r="122" spans="1:9">
      <c r="A122" s="45" t="s">
        <v>9120</v>
      </c>
      <c r="B122" s="12" t="s">
        <v>8958</v>
      </c>
      <c r="F122" s="46"/>
      <c r="G122" s="12"/>
      <c r="H122" s="12"/>
      <c r="I122" s="12"/>
    </row>
    <row r="123" spans="1:9">
      <c r="A123" s="45" t="s">
        <v>9121</v>
      </c>
      <c r="B123" s="12" t="s">
        <v>4735</v>
      </c>
      <c r="F123" s="46"/>
      <c r="G123" s="12"/>
      <c r="I123" s="12"/>
    </row>
    <row r="124" spans="1:9">
      <c r="A124" s="45" t="s">
        <v>9122</v>
      </c>
      <c r="B124" s="12" t="s">
        <v>4735</v>
      </c>
      <c r="F124" s="46"/>
      <c r="G124" s="12"/>
      <c r="H124" s="12"/>
      <c r="I124" s="12"/>
    </row>
    <row r="125" spans="1:9">
      <c r="A125" s="45" t="s">
        <v>9123</v>
      </c>
      <c r="B125" s="12" t="s">
        <v>8900</v>
      </c>
      <c r="F125" s="46"/>
      <c r="G125" s="12"/>
      <c r="I125" s="12"/>
    </row>
    <row r="126" spans="1:9">
      <c r="A126" s="45" t="s">
        <v>9124</v>
      </c>
      <c r="B126" s="12" t="s">
        <v>8900</v>
      </c>
      <c r="F126" s="46"/>
      <c r="G126" s="12"/>
      <c r="H126" s="12"/>
      <c r="I126" s="12"/>
    </row>
    <row r="127" spans="1:9">
      <c r="A127" s="45" t="s">
        <v>9125</v>
      </c>
      <c r="B127" s="12" t="s">
        <v>9063</v>
      </c>
      <c r="F127" s="46"/>
      <c r="G127" s="12"/>
      <c r="H127" s="12"/>
      <c r="I127" s="12"/>
    </row>
    <row r="128" spans="1:9">
      <c r="A128" s="45" t="s">
        <v>9126</v>
      </c>
      <c r="B128" s="12" t="s">
        <v>8983</v>
      </c>
      <c r="F128" s="46"/>
      <c r="G128" s="12"/>
      <c r="I128" s="12"/>
    </row>
    <row r="129" spans="1:9">
      <c r="A129" s="45" t="s">
        <v>9127</v>
      </c>
      <c r="B129" s="12" t="s">
        <v>9098</v>
      </c>
      <c r="G129" s="12"/>
      <c r="H129" s="12"/>
      <c r="I129" s="12"/>
    </row>
    <row r="130" spans="1:9">
      <c r="A130" s="45" t="s">
        <v>9128</v>
      </c>
      <c r="B130" s="12" t="s">
        <v>8900</v>
      </c>
      <c r="G130" s="12"/>
      <c r="H130" s="12"/>
      <c r="I130" s="12"/>
    </row>
    <row r="131" spans="1:9">
      <c r="A131" s="45" t="s">
        <v>9129</v>
      </c>
      <c r="B131" s="12" t="s">
        <v>8988</v>
      </c>
      <c r="G131" s="12"/>
      <c r="I131" s="12"/>
    </row>
    <row r="132" spans="1:9">
      <c r="A132" s="45" t="s">
        <v>9130</v>
      </c>
      <c r="B132" s="12" t="s">
        <v>8900</v>
      </c>
      <c r="F132" s="46"/>
      <c r="G132" s="12"/>
      <c r="H132" s="12"/>
      <c r="I132" s="12"/>
    </row>
    <row r="133" spans="1:9">
      <c r="A133" s="45" t="s">
        <v>9131</v>
      </c>
      <c r="B133" s="12" t="s">
        <v>3384</v>
      </c>
      <c r="F133" s="46"/>
      <c r="G133" s="12"/>
      <c r="H133" s="12"/>
      <c r="I133" s="12"/>
    </row>
    <row r="134" spans="1:9">
      <c r="A134" s="45" t="s">
        <v>9132</v>
      </c>
      <c r="B134" s="12" t="s">
        <v>9028</v>
      </c>
      <c r="F134" s="46"/>
      <c r="G134" s="12"/>
      <c r="H134" s="12"/>
      <c r="I134" s="12"/>
    </row>
    <row r="135" spans="1:9">
      <c r="A135" s="45" t="s">
        <v>9133</v>
      </c>
      <c r="B135" s="12" t="s">
        <v>9119</v>
      </c>
      <c r="F135" s="46"/>
      <c r="G135" s="12"/>
      <c r="H135" s="12"/>
      <c r="I135" s="12"/>
    </row>
    <row r="136" spans="1:9">
      <c r="B136" s="12"/>
      <c r="F136" s="46"/>
      <c r="G136" s="12"/>
      <c r="I136" s="12"/>
    </row>
    <row r="137" spans="1:9">
      <c r="B137" s="12"/>
      <c r="F137" s="46"/>
      <c r="G137" s="12"/>
      <c r="H137" s="12"/>
      <c r="I137" s="12"/>
    </row>
    <row r="138" spans="1:9">
      <c r="B138" s="12"/>
      <c r="F138" s="46"/>
      <c r="G138" s="12"/>
      <c r="I138" s="12"/>
    </row>
    <row r="139" spans="1:9">
      <c r="B139" s="12"/>
      <c r="G139" s="12"/>
      <c r="I139" s="12"/>
    </row>
    <row r="140" spans="1:9">
      <c r="B140" s="12"/>
      <c r="G140" s="12"/>
      <c r="H140" s="12"/>
      <c r="I140" s="12"/>
    </row>
    <row r="141" spans="1:9">
      <c r="B141" s="12"/>
      <c r="G141" s="12"/>
      <c r="I141" s="12"/>
    </row>
    <row r="142" spans="1:9">
      <c r="B142" s="12"/>
      <c r="F142" s="46"/>
      <c r="G142" s="12"/>
      <c r="H142" s="12"/>
      <c r="I142" s="12"/>
    </row>
    <row r="143" spans="1:9">
      <c r="B143" s="12"/>
      <c r="F143" s="46"/>
      <c r="G143" s="12"/>
      <c r="H143" s="12"/>
      <c r="I143" s="12"/>
    </row>
    <row r="144" spans="1:9">
      <c r="B144" s="12"/>
      <c r="F144" s="46"/>
      <c r="G144" s="12"/>
      <c r="H144" s="12"/>
      <c r="I144" s="12"/>
    </row>
    <row r="145" spans="2:9">
      <c r="B145" s="12"/>
      <c r="F145" s="46"/>
      <c r="G145" s="12"/>
      <c r="H145" s="12"/>
      <c r="I145" s="12"/>
    </row>
    <row r="146" spans="2:9">
      <c r="B146" s="12"/>
      <c r="F146" s="46"/>
      <c r="G146" s="12"/>
      <c r="H146" s="12"/>
      <c r="I146" s="12"/>
    </row>
    <row r="147" spans="2:9">
      <c r="B147" s="12"/>
      <c r="F147" s="46"/>
      <c r="G147" s="12"/>
      <c r="H147" s="12"/>
      <c r="I147" s="12"/>
    </row>
    <row r="148" spans="2:9">
      <c r="B148" s="12"/>
      <c r="F148" s="46"/>
      <c r="G148" s="12"/>
      <c r="H148" s="12"/>
      <c r="I148" s="12"/>
    </row>
    <row r="149" spans="2:9">
      <c r="B149" s="12"/>
      <c r="F149" s="46"/>
      <c r="G149" s="12"/>
      <c r="H149" s="12"/>
      <c r="I149" s="12"/>
    </row>
    <row r="150" spans="2:9">
      <c r="B150" s="12"/>
      <c r="F150" s="46"/>
      <c r="G150" s="12"/>
      <c r="H150" s="12"/>
      <c r="I150" s="12"/>
    </row>
    <row r="151" spans="2:9">
      <c r="B151" s="12"/>
      <c r="F151" s="46"/>
      <c r="G151" s="12"/>
      <c r="H151" s="12"/>
      <c r="I151" s="12"/>
    </row>
    <row r="152" spans="2:9">
      <c r="B152" s="12"/>
      <c r="F152" s="46"/>
    </row>
    <row r="153" spans="2:9">
      <c r="B153" s="12"/>
      <c r="F153" s="46"/>
    </row>
    <row r="154" spans="2:9">
      <c r="B154" s="12"/>
      <c r="F154" s="46"/>
    </row>
    <row r="155" spans="2:9">
      <c r="B155" s="12"/>
      <c r="F155" s="46"/>
    </row>
    <row r="156" spans="2:9">
      <c r="B156" s="12"/>
      <c r="F156" s="46"/>
    </row>
    <row r="157" spans="2:9">
      <c r="B157" s="12"/>
      <c r="F157" s="46"/>
    </row>
    <row r="158" spans="2:9">
      <c r="B158" s="12"/>
      <c r="F158" s="46"/>
    </row>
    <row r="159" spans="2:9">
      <c r="B159" s="12"/>
      <c r="F159" s="46"/>
    </row>
    <row r="160" spans="2:9">
      <c r="B160" s="12"/>
      <c r="F160" s="46"/>
    </row>
    <row r="161" spans="2:6">
      <c r="B161" s="12"/>
      <c r="F161" s="46"/>
    </row>
    <row r="162" spans="2:6">
      <c r="B162" s="12"/>
      <c r="F162" s="46"/>
    </row>
    <row r="163" spans="2:6">
      <c r="B163" s="12"/>
      <c r="F163" s="46"/>
    </row>
    <row r="164" spans="2:6">
      <c r="B164" s="12"/>
      <c r="F164" s="46"/>
    </row>
    <row r="165" spans="2:6">
      <c r="B165" s="12"/>
      <c r="F165" s="46"/>
    </row>
    <row r="166" spans="2:6">
      <c r="B166" s="12"/>
      <c r="F166" s="46"/>
    </row>
    <row r="167" spans="2:6">
      <c r="B167" s="12"/>
      <c r="F167" s="46"/>
    </row>
    <row r="168" spans="2:6">
      <c r="B168" s="12"/>
      <c r="F168" s="46"/>
    </row>
    <row r="169" spans="2:6">
      <c r="B169" s="12"/>
      <c r="F169" s="46"/>
    </row>
    <row r="170" spans="2:6">
      <c r="B170" s="12"/>
      <c r="F170" s="46"/>
    </row>
    <row r="171" spans="2:6">
      <c r="B171" s="12"/>
      <c r="F171" s="46"/>
    </row>
    <row r="172" spans="2:6">
      <c r="B172" s="12"/>
      <c r="F172" s="46"/>
    </row>
    <row r="173" spans="2:6">
      <c r="B173" s="12"/>
      <c r="F173" s="46"/>
    </row>
    <row r="174" spans="2:6">
      <c r="B174" s="12"/>
      <c r="F174" s="46"/>
    </row>
    <row r="175" spans="2:6">
      <c r="B175" s="12"/>
      <c r="F175" s="46"/>
    </row>
    <row r="176" spans="2:6">
      <c r="B176" s="12"/>
      <c r="F176" s="46"/>
    </row>
    <row r="177" spans="2:6">
      <c r="B177" s="12"/>
      <c r="F177" s="46"/>
    </row>
    <row r="178" spans="2:6">
      <c r="B178" s="12"/>
      <c r="F178" s="46"/>
    </row>
    <row r="179" spans="2:6">
      <c r="B179" s="12"/>
      <c r="F179" s="46"/>
    </row>
    <row r="180" spans="2:6">
      <c r="B180" s="12"/>
      <c r="F180" s="46"/>
    </row>
    <row r="181" spans="2:6">
      <c r="B181" s="12"/>
      <c r="F181" s="46"/>
    </row>
    <row r="182" spans="2:6">
      <c r="B182" s="12"/>
      <c r="F182" s="46"/>
    </row>
    <row r="183" spans="2:6">
      <c r="B183" s="12"/>
      <c r="F183" s="46"/>
    </row>
    <row r="184" spans="2:6">
      <c r="B184" s="12"/>
      <c r="F184" s="46"/>
    </row>
    <row r="185" spans="2:6">
      <c r="B185" s="12"/>
      <c r="F185" s="46"/>
    </row>
    <row r="186" spans="2:6">
      <c r="B186" s="12"/>
      <c r="F186" s="46"/>
    </row>
    <row r="187" spans="2:6">
      <c r="B187" s="12"/>
      <c r="F187" s="46"/>
    </row>
    <row r="188" spans="2:6">
      <c r="B188" s="12"/>
      <c r="F188" s="46"/>
    </row>
    <row r="189" spans="2:6">
      <c r="B189" s="12"/>
      <c r="F189" s="46"/>
    </row>
    <row r="190" spans="2:6">
      <c r="B190" s="12"/>
      <c r="F190" s="46"/>
    </row>
    <row r="191" spans="2:6">
      <c r="B191" s="12"/>
      <c r="F191" s="46"/>
    </row>
    <row r="192" spans="2:6">
      <c r="B192" s="12"/>
      <c r="F192" s="46"/>
    </row>
    <row r="193" spans="2:6">
      <c r="B193" s="12"/>
      <c r="F193" s="46"/>
    </row>
    <row r="194" spans="2:6">
      <c r="B194" s="12"/>
      <c r="F194" s="46"/>
    </row>
    <row r="195" spans="2:6">
      <c r="B195" s="12"/>
      <c r="F195" s="46"/>
    </row>
    <row r="196" spans="2:6">
      <c r="B196" s="12"/>
      <c r="F196" s="46"/>
    </row>
    <row r="197" spans="2:6">
      <c r="B197" s="12"/>
      <c r="F197" s="46"/>
    </row>
    <row r="198" spans="2:6">
      <c r="B198" s="12"/>
      <c r="F198" s="46"/>
    </row>
    <row r="199" spans="2:6">
      <c r="B199" s="12"/>
      <c r="F199" s="46"/>
    </row>
    <row r="200" spans="2:6">
      <c r="B200" s="12"/>
      <c r="F200" s="46"/>
    </row>
    <row r="201" spans="2:6">
      <c r="B201" s="12"/>
      <c r="F201" s="46"/>
    </row>
    <row r="202" spans="2:6">
      <c r="B202" s="12"/>
      <c r="F202" s="46"/>
    </row>
    <row r="203" spans="2:6">
      <c r="B203" s="12"/>
      <c r="F203" s="46"/>
    </row>
    <row r="204" spans="2:6">
      <c r="B204" s="12"/>
      <c r="F204" s="46"/>
    </row>
    <row r="205" spans="2:6">
      <c r="B205" s="12"/>
      <c r="F205" s="46"/>
    </row>
    <row r="206" spans="2:6">
      <c r="B206" s="12"/>
      <c r="F206" s="46"/>
    </row>
    <row r="207" spans="2:6">
      <c r="B207" s="12"/>
      <c r="F207" s="46"/>
    </row>
    <row r="208" spans="2:6">
      <c r="B208" s="12"/>
      <c r="F208" s="46"/>
    </row>
    <row r="209" spans="2:6">
      <c r="B209" s="12"/>
      <c r="F209" s="46"/>
    </row>
    <row r="210" spans="2:6">
      <c r="B210" s="12"/>
      <c r="F210" s="46"/>
    </row>
    <row r="211" spans="2:6">
      <c r="B211" s="12"/>
      <c r="F211" s="46"/>
    </row>
    <row r="212" spans="2:6">
      <c r="B212" s="12"/>
      <c r="F212" s="46"/>
    </row>
    <row r="213" spans="2:6">
      <c r="B213" s="12"/>
      <c r="F213" s="46"/>
    </row>
    <row r="214" spans="2:6">
      <c r="B214" s="12"/>
      <c r="F214" s="46"/>
    </row>
    <row r="215" spans="2:6">
      <c r="B215" s="12"/>
      <c r="F215" s="46"/>
    </row>
    <row r="216" spans="2:6">
      <c r="B216" s="12"/>
      <c r="F216" s="46"/>
    </row>
    <row r="217" spans="2:6">
      <c r="B217" s="12"/>
      <c r="F217" s="46"/>
    </row>
    <row r="218" spans="2:6">
      <c r="B218" s="12"/>
      <c r="F218" s="46"/>
    </row>
    <row r="219" spans="2:6">
      <c r="B219" s="12"/>
      <c r="F219" s="46"/>
    </row>
    <row r="220" spans="2:6">
      <c r="B220" s="12"/>
      <c r="F220" s="46"/>
    </row>
    <row r="221" spans="2:6">
      <c r="B221" s="12"/>
      <c r="F221" s="46"/>
    </row>
    <row r="222" spans="2:6">
      <c r="B222" s="12"/>
      <c r="F222" s="46"/>
    </row>
    <row r="223" spans="2:6">
      <c r="B223" s="12"/>
      <c r="F223" s="46"/>
    </row>
    <row r="224" spans="2:6">
      <c r="B224" s="12"/>
      <c r="F224" s="46"/>
    </row>
    <row r="225" spans="2:6">
      <c r="B225" s="12"/>
      <c r="F225" s="46"/>
    </row>
    <row r="226" spans="2:6">
      <c r="B226" s="12"/>
      <c r="F226" s="46"/>
    </row>
    <row r="227" spans="2:6">
      <c r="B227" s="12"/>
      <c r="F227" s="46"/>
    </row>
    <row r="228" spans="2:6">
      <c r="B228" s="12"/>
      <c r="F228" s="46"/>
    </row>
    <row r="229" spans="2:6">
      <c r="B229" s="12"/>
      <c r="F229" s="46"/>
    </row>
    <row r="230" spans="2:6">
      <c r="B230" s="12"/>
      <c r="F230" s="46"/>
    </row>
    <row r="231" spans="2:6">
      <c r="B231" s="12"/>
      <c r="F231" s="46"/>
    </row>
    <row r="232" spans="2:6">
      <c r="B232" s="12"/>
      <c r="F232" s="46"/>
    </row>
    <row r="233" spans="2:6">
      <c r="B233" s="12"/>
      <c r="F233" s="46"/>
    </row>
    <row r="234" spans="2:6">
      <c r="B234" s="12"/>
      <c r="F234" s="46"/>
    </row>
    <row r="235" spans="2:6">
      <c r="B235" s="12"/>
      <c r="F235" s="46"/>
    </row>
    <row r="236" spans="2:6">
      <c r="B236" s="12"/>
      <c r="F236" s="46"/>
    </row>
    <row r="237" spans="2:6">
      <c r="B237" s="12"/>
      <c r="F237" s="46"/>
    </row>
    <row r="238" spans="2:6">
      <c r="B238" s="12"/>
      <c r="F238" s="46"/>
    </row>
    <row r="239" spans="2:6">
      <c r="B239" s="12"/>
      <c r="F239" s="46"/>
    </row>
    <row r="240" spans="2:6">
      <c r="B240" s="12"/>
      <c r="F240" s="46"/>
    </row>
    <row r="241" spans="2:6">
      <c r="B241" s="12"/>
      <c r="F241" s="46"/>
    </row>
    <row r="242" spans="2:6">
      <c r="B242" s="12"/>
      <c r="F242" s="46"/>
    </row>
    <row r="243" spans="2:6">
      <c r="B243" s="12"/>
      <c r="F243" s="46"/>
    </row>
    <row r="244" spans="2:6">
      <c r="B244" s="12"/>
      <c r="F244" s="46"/>
    </row>
    <row r="245" spans="2:6">
      <c r="B245" s="12"/>
      <c r="F245" s="46"/>
    </row>
    <row r="246" spans="2:6">
      <c r="B246" s="12"/>
      <c r="F246" s="46"/>
    </row>
    <row r="247" spans="2:6">
      <c r="B247" s="12"/>
      <c r="F247" s="46"/>
    </row>
    <row r="248" spans="2:6">
      <c r="B248" s="12"/>
      <c r="F248" s="46"/>
    </row>
    <row r="249" spans="2:6">
      <c r="B249" s="12"/>
      <c r="F249" s="46"/>
    </row>
    <row r="250" spans="2:6">
      <c r="B250" s="12"/>
      <c r="F250" s="46"/>
    </row>
    <row r="251" spans="2:6">
      <c r="B251" s="12"/>
      <c r="F251" s="46"/>
    </row>
    <row r="252" spans="2:6">
      <c r="B252" s="12"/>
      <c r="F252" s="46"/>
    </row>
    <row r="253" spans="2:6">
      <c r="B253" s="12"/>
      <c r="F253" s="46"/>
    </row>
    <row r="254" spans="2:6">
      <c r="B254" s="12"/>
      <c r="F254" s="46"/>
    </row>
    <row r="255" spans="2:6">
      <c r="B255" s="12"/>
      <c r="F255" s="46"/>
    </row>
    <row r="256" spans="2:6">
      <c r="B256" s="12"/>
      <c r="F256" s="46"/>
    </row>
    <row r="257" spans="2:6">
      <c r="B257" s="12"/>
      <c r="F257" s="46"/>
    </row>
    <row r="258" spans="2:6">
      <c r="B258" s="12"/>
      <c r="F258" s="46"/>
    </row>
    <row r="259" spans="2:6">
      <c r="B259" s="12"/>
      <c r="F259" s="46"/>
    </row>
    <row r="260" spans="2:6">
      <c r="B260" s="12"/>
      <c r="F260" s="46"/>
    </row>
    <row r="261" spans="2:6">
      <c r="B261" s="12"/>
      <c r="F261" s="46"/>
    </row>
    <row r="262" spans="2:6">
      <c r="B262" s="12"/>
      <c r="F262" s="46"/>
    </row>
    <row r="263" spans="2:6">
      <c r="B263" s="12"/>
      <c r="F263" s="46"/>
    </row>
    <row r="264" spans="2:6">
      <c r="B264" s="12"/>
      <c r="F264" s="46"/>
    </row>
    <row r="265" spans="2:6">
      <c r="B265" s="12"/>
      <c r="F265" s="46"/>
    </row>
    <row r="266" spans="2:6">
      <c r="B266" s="12"/>
      <c r="F266" s="46"/>
    </row>
    <row r="267" spans="2:6">
      <c r="B267" s="12"/>
      <c r="F267" s="46"/>
    </row>
    <row r="268" spans="2:6">
      <c r="B268" s="12"/>
      <c r="F268" s="46"/>
    </row>
    <row r="269" spans="2:6">
      <c r="B269" s="12"/>
      <c r="F269" s="46"/>
    </row>
    <row r="270" spans="2:6">
      <c r="B270" s="12"/>
      <c r="F270" s="46"/>
    </row>
    <row r="271" spans="2:6">
      <c r="B271" s="12"/>
      <c r="F271" s="46"/>
    </row>
    <row r="272" spans="2:6">
      <c r="B272" s="12"/>
      <c r="F272" s="46"/>
    </row>
    <row r="273" spans="2:6">
      <c r="B273" s="12"/>
      <c r="F273" s="46"/>
    </row>
    <row r="274" spans="2:6">
      <c r="B274" s="12"/>
      <c r="F274" s="46"/>
    </row>
    <row r="275" spans="2:6">
      <c r="B275" s="12"/>
      <c r="F275" s="46"/>
    </row>
    <row r="276" spans="2:6">
      <c r="B276" s="12"/>
      <c r="F276" s="46"/>
    </row>
    <row r="277" spans="2:6">
      <c r="B277" s="12"/>
      <c r="F277" s="46"/>
    </row>
    <row r="278" spans="2:6">
      <c r="B278" s="12"/>
      <c r="F278" s="46"/>
    </row>
    <row r="279" spans="2:6">
      <c r="B279" s="12"/>
      <c r="F279" s="46"/>
    </row>
    <row r="280" spans="2:6">
      <c r="B280" s="12"/>
      <c r="F280" s="46"/>
    </row>
    <row r="281" spans="2:6">
      <c r="B281" s="12"/>
      <c r="F281" s="46"/>
    </row>
    <row r="282" spans="2:6">
      <c r="B282" s="12"/>
      <c r="F282" s="46"/>
    </row>
    <row r="283" spans="2:6">
      <c r="B283" s="12"/>
      <c r="F283" s="46"/>
    </row>
    <row r="284" spans="2:6">
      <c r="B284" s="12"/>
      <c r="F284" s="46"/>
    </row>
    <row r="285" spans="2:6">
      <c r="B285" s="12"/>
      <c r="F285" s="46"/>
    </row>
    <row r="286" spans="2:6">
      <c r="B286" s="12"/>
      <c r="F286" s="46"/>
    </row>
    <row r="287" spans="2:6">
      <c r="B287" s="12"/>
      <c r="F287" s="46"/>
    </row>
    <row r="288" spans="2:6">
      <c r="B288" s="12"/>
      <c r="F288" s="46"/>
    </row>
    <row r="289" spans="2:6">
      <c r="B289" s="12"/>
      <c r="F289" s="46"/>
    </row>
    <row r="290" spans="2:6">
      <c r="B290" s="12"/>
      <c r="F290" s="46"/>
    </row>
    <row r="291" spans="2:6">
      <c r="B291" s="12"/>
      <c r="F291" s="46"/>
    </row>
    <row r="292" spans="2:6">
      <c r="B292" s="12"/>
      <c r="F292" s="46"/>
    </row>
    <row r="293" spans="2:6">
      <c r="B293" s="12"/>
      <c r="F293" s="46"/>
    </row>
    <row r="294" spans="2:6">
      <c r="B294" s="12"/>
      <c r="F294" s="46"/>
    </row>
    <row r="295" spans="2:6">
      <c r="B295" s="12"/>
      <c r="F295" s="46"/>
    </row>
    <row r="296" spans="2:6">
      <c r="B296" s="12"/>
      <c r="F296" s="46"/>
    </row>
    <row r="297" spans="2:6">
      <c r="B297" s="12"/>
      <c r="F297" s="46"/>
    </row>
    <row r="298" spans="2:6">
      <c r="B298" s="12"/>
      <c r="F298" s="46"/>
    </row>
    <row r="299" spans="2:6">
      <c r="B299" s="12"/>
      <c r="F299" s="46"/>
    </row>
    <row r="300" spans="2:6">
      <c r="B300" s="12"/>
      <c r="F300" s="46"/>
    </row>
    <row r="301" spans="2:6">
      <c r="B301" s="12"/>
      <c r="F301" s="46"/>
    </row>
    <row r="302" spans="2:6">
      <c r="B302" s="12"/>
      <c r="F302" s="46"/>
    </row>
    <row r="303" spans="2:6">
      <c r="B303" s="12"/>
      <c r="F303" s="46"/>
    </row>
    <row r="304" spans="2:6">
      <c r="B304" s="12"/>
      <c r="F304" s="46"/>
    </row>
    <row r="305" spans="2:6">
      <c r="B305" s="12"/>
      <c r="F305" s="46"/>
    </row>
    <row r="306" spans="2:6">
      <c r="B306" s="12"/>
      <c r="F306" s="46"/>
    </row>
    <row r="307" spans="2:6">
      <c r="B307" s="12"/>
      <c r="F307" s="46"/>
    </row>
    <row r="308" spans="2:6">
      <c r="B308" s="12"/>
      <c r="F308" s="46"/>
    </row>
    <row r="309" spans="2:6">
      <c r="B309" s="12"/>
      <c r="F309" s="46"/>
    </row>
    <row r="310" spans="2:6">
      <c r="B310" s="12"/>
      <c r="F310" s="46"/>
    </row>
    <row r="311" spans="2:6">
      <c r="B311" s="12"/>
      <c r="F311" s="46"/>
    </row>
    <row r="312" spans="2:6">
      <c r="B312" s="12"/>
      <c r="F312" s="46"/>
    </row>
    <row r="313" spans="2:6">
      <c r="B313" s="12"/>
      <c r="F313" s="46"/>
    </row>
    <row r="314" spans="2:6">
      <c r="B314" s="12"/>
      <c r="F314" s="46"/>
    </row>
    <row r="315" spans="2:6">
      <c r="B315" s="12"/>
      <c r="F315" s="46"/>
    </row>
    <row r="316" spans="2:6">
      <c r="B316" s="12"/>
      <c r="F316" s="46"/>
    </row>
    <row r="317" spans="2:6">
      <c r="B317" s="12"/>
      <c r="F317" s="46"/>
    </row>
    <row r="318" spans="2:6">
      <c r="B318" s="12"/>
      <c r="F318" s="46"/>
    </row>
    <row r="319" spans="2:6">
      <c r="B319" s="12"/>
      <c r="F319" s="46"/>
    </row>
    <row r="320" spans="2:6">
      <c r="B320" s="12"/>
      <c r="F320" s="46"/>
    </row>
    <row r="321" spans="2:6">
      <c r="B321" s="12"/>
      <c r="F321" s="46"/>
    </row>
    <row r="322" spans="2:6">
      <c r="B322" s="12"/>
      <c r="F322" s="46"/>
    </row>
    <row r="323" spans="2:6">
      <c r="B323" s="12"/>
      <c r="F323" s="46"/>
    </row>
    <row r="324" spans="2:6">
      <c r="B324" s="12"/>
      <c r="F324" s="46"/>
    </row>
    <row r="325" spans="2:6">
      <c r="B325" s="12"/>
      <c r="F325" s="46"/>
    </row>
    <row r="326" spans="2:6">
      <c r="B326" s="12"/>
      <c r="F326" s="46"/>
    </row>
    <row r="327" spans="2:6">
      <c r="B327" s="12"/>
      <c r="F327" s="46"/>
    </row>
    <row r="328" spans="2:6">
      <c r="B328" s="12"/>
      <c r="F328" s="46"/>
    </row>
    <row r="329" spans="2:6">
      <c r="B329" s="12"/>
      <c r="F329" s="46"/>
    </row>
    <row r="330" spans="2:6">
      <c r="B330" s="12"/>
      <c r="F330" s="46"/>
    </row>
    <row r="331" spans="2:6">
      <c r="B331" s="12"/>
      <c r="F331" s="46"/>
    </row>
    <row r="332" spans="2:6">
      <c r="B332" s="12"/>
      <c r="F332" s="46"/>
    </row>
    <row r="333" spans="2:6">
      <c r="B333" s="12"/>
      <c r="F333" s="46"/>
    </row>
    <row r="334" spans="2:6">
      <c r="B334" s="12"/>
      <c r="F334" s="46"/>
    </row>
    <row r="335" spans="2:6">
      <c r="B335" s="12"/>
      <c r="F335" s="46"/>
    </row>
    <row r="336" spans="2:6">
      <c r="B336" s="12"/>
      <c r="F336" s="46"/>
    </row>
    <row r="337" spans="2:6">
      <c r="B337" s="12"/>
      <c r="F337" s="46"/>
    </row>
    <row r="338" spans="2:6">
      <c r="B338" s="12"/>
      <c r="F338" s="46"/>
    </row>
    <row r="339" spans="2:6">
      <c r="B339" s="12"/>
      <c r="F339" s="46"/>
    </row>
    <row r="340" spans="2:6">
      <c r="B340" s="12"/>
      <c r="F340" s="46"/>
    </row>
    <row r="341" spans="2:6">
      <c r="B341" s="12"/>
      <c r="F341" s="46"/>
    </row>
    <row r="342" spans="2:6">
      <c r="B342" s="12"/>
      <c r="F342" s="46"/>
    </row>
    <row r="343" spans="2:6">
      <c r="B343" s="12"/>
      <c r="F343" s="46"/>
    </row>
    <row r="344" spans="2:6">
      <c r="B344" s="12"/>
      <c r="F344" s="46"/>
    </row>
    <row r="345" spans="2:6">
      <c r="B345" s="12"/>
      <c r="F345" s="46"/>
    </row>
    <row r="346" spans="2:6">
      <c r="B346" s="12"/>
      <c r="F346" s="46"/>
    </row>
    <row r="347" spans="2:6">
      <c r="B347" s="12"/>
      <c r="F347" s="46"/>
    </row>
    <row r="348" spans="2:6">
      <c r="B348" s="12"/>
      <c r="F348" s="46"/>
    </row>
    <row r="349" spans="2:6">
      <c r="B349" s="12"/>
      <c r="F349" s="46"/>
    </row>
    <row r="350" spans="2:6">
      <c r="B350" s="12"/>
      <c r="F350" s="46"/>
    </row>
    <row r="351" spans="2:6">
      <c r="B351" s="12"/>
      <c r="F351" s="46"/>
    </row>
    <row r="352" spans="2:6">
      <c r="B352" s="12"/>
      <c r="F352" s="46"/>
    </row>
    <row r="353" spans="2:6">
      <c r="B353" s="12"/>
      <c r="F353" s="46"/>
    </row>
    <row r="354" spans="2:6">
      <c r="B354" s="12"/>
      <c r="F354" s="46"/>
    </row>
    <row r="355" spans="2:6">
      <c r="B355" s="12"/>
      <c r="F355" s="46"/>
    </row>
    <row r="356" spans="2:6">
      <c r="B356" s="12"/>
      <c r="F356" s="46"/>
    </row>
    <row r="357" spans="2:6">
      <c r="B357" s="12"/>
      <c r="F357" s="46"/>
    </row>
    <row r="358" spans="2:6">
      <c r="B358" s="12"/>
      <c r="F358" s="46"/>
    </row>
    <row r="359" spans="2:6">
      <c r="B359" s="12"/>
      <c r="F359" s="46"/>
    </row>
    <row r="360" spans="2:6">
      <c r="B360" s="12"/>
      <c r="F360" s="46"/>
    </row>
    <row r="361" spans="2:6">
      <c r="B361" s="12"/>
      <c r="F361" s="46"/>
    </row>
    <row r="362" spans="2:6">
      <c r="B362" s="12"/>
      <c r="F362" s="46"/>
    </row>
    <row r="363" spans="2:6">
      <c r="B363" s="12"/>
      <c r="F363" s="46"/>
    </row>
    <row r="364" spans="2:6">
      <c r="B364" s="12"/>
      <c r="F364" s="46"/>
    </row>
    <row r="365" spans="2:6">
      <c r="B365" s="12"/>
      <c r="F365" s="46"/>
    </row>
    <row r="366" spans="2:6">
      <c r="B366" s="12"/>
      <c r="F366" s="46"/>
    </row>
    <row r="367" spans="2:6">
      <c r="B367" s="12"/>
      <c r="F367" s="46"/>
    </row>
    <row r="368" spans="2:6">
      <c r="B368" s="12"/>
      <c r="F368" s="46"/>
    </row>
    <row r="369" spans="2:6">
      <c r="B369" s="12"/>
      <c r="F369" s="46"/>
    </row>
    <row r="370" spans="2:6">
      <c r="B370" s="12"/>
      <c r="F370" s="46"/>
    </row>
    <row r="371" spans="2:6">
      <c r="B371" s="12"/>
      <c r="F371" s="46"/>
    </row>
    <row r="372" spans="2:6">
      <c r="B372" s="12"/>
      <c r="F372" s="46"/>
    </row>
    <row r="373" spans="2:6">
      <c r="B373" s="12"/>
      <c r="F373" s="46"/>
    </row>
    <row r="374" spans="2:6">
      <c r="B374" s="12"/>
      <c r="F374" s="46"/>
    </row>
    <row r="375" spans="2:6">
      <c r="B375" s="12"/>
      <c r="F375" s="46"/>
    </row>
    <row r="376" spans="2:6">
      <c r="B376" s="12"/>
      <c r="F376" s="46"/>
    </row>
    <row r="377" spans="2:6">
      <c r="B377" s="12"/>
      <c r="F377" s="46"/>
    </row>
    <row r="378" spans="2:6">
      <c r="B378" s="12"/>
      <c r="F378" s="46"/>
    </row>
    <row r="379" spans="2:6">
      <c r="B379" s="12"/>
      <c r="F379" s="46"/>
    </row>
    <row r="380" spans="2:6">
      <c r="B380" s="12"/>
      <c r="F380" s="46"/>
    </row>
    <row r="381" spans="2:6">
      <c r="B381" s="12"/>
      <c r="F381" s="46"/>
    </row>
    <row r="382" spans="2:6">
      <c r="B382" s="12"/>
      <c r="F382" s="46"/>
    </row>
    <row r="383" spans="2:6">
      <c r="B383" s="12"/>
      <c r="F383" s="46"/>
    </row>
    <row r="384" spans="2:6">
      <c r="B384" s="12"/>
      <c r="F384" s="46"/>
    </row>
    <row r="385" spans="2:6">
      <c r="B385" s="12"/>
      <c r="F385" s="46"/>
    </row>
    <row r="386" spans="2:6">
      <c r="B386" s="12"/>
      <c r="F386" s="46"/>
    </row>
    <row r="387" spans="2:6">
      <c r="B387" s="12"/>
      <c r="F387" s="46"/>
    </row>
    <row r="388" spans="2:6">
      <c r="B388" s="12"/>
      <c r="F388" s="46"/>
    </row>
    <row r="389" spans="2:6">
      <c r="B389" s="12"/>
      <c r="F389" s="46"/>
    </row>
    <row r="390" spans="2:6">
      <c r="B390" s="12"/>
      <c r="F390" s="46"/>
    </row>
    <row r="391" spans="2:6">
      <c r="B391" s="12"/>
      <c r="F391" s="46"/>
    </row>
    <row r="392" spans="2:6">
      <c r="B392" s="12"/>
      <c r="F392" s="46"/>
    </row>
    <row r="393" spans="2:6">
      <c r="B393" s="12"/>
      <c r="F393" s="46"/>
    </row>
    <row r="394" spans="2:6">
      <c r="B394" s="12"/>
      <c r="F394" s="46"/>
    </row>
    <row r="395" spans="2:6">
      <c r="B395" s="12"/>
      <c r="F395" s="46"/>
    </row>
    <row r="396" spans="2:6">
      <c r="B396" s="12"/>
      <c r="F396" s="46"/>
    </row>
    <row r="397" spans="2:6">
      <c r="B397" s="12"/>
      <c r="F397" s="46"/>
    </row>
    <row r="398" spans="2:6">
      <c r="B398" s="12"/>
      <c r="F398" s="46"/>
    </row>
    <row r="399" spans="2:6">
      <c r="B399" s="12"/>
      <c r="F399" s="46"/>
    </row>
    <row r="400" spans="2:6">
      <c r="B400" s="12"/>
      <c r="F400" s="46"/>
    </row>
    <row r="401" spans="2:6">
      <c r="B401" s="12"/>
      <c r="F401" s="46"/>
    </row>
    <row r="402" spans="2:6">
      <c r="B402" s="12"/>
      <c r="F402" s="46"/>
    </row>
    <row r="403" spans="2:6">
      <c r="B403" s="12"/>
      <c r="F403" s="46"/>
    </row>
    <row r="404" spans="2:6">
      <c r="B404" s="12"/>
      <c r="F404" s="46"/>
    </row>
    <row r="405" spans="2:6">
      <c r="B405" s="12"/>
      <c r="F405" s="46"/>
    </row>
    <row r="406" spans="2:6">
      <c r="B406" s="12"/>
      <c r="F406" s="46"/>
    </row>
    <row r="407" spans="2:6">
      <c r="B407" s="12"/>
      <c r="F407" s="46"/>
    </row>
    <row r="408" spans="2:6">
      <c r="B408" s="12"/>
      <c r="F408" s="46"/>
    </row>
    <row r="409" spans="2:6">
      <c r="B409" s="12"/>
      <c r="F409" s="46"/>
    </row>
    <row r="410" spans="2:6">
      <c r="B410" s="12"/>
      <c r="F410" s="46"/>
    </row>
    <row r="411" spans="2:6">
      <c r="B411" s="12"/>
      <c r="F411" s="46"/>
    </row>
    <row r="412" spans="2:6">
      <c r="B412" s="12"/>
      <c r="F412" s="46"/>
    </row>
    <row r="413" spans="2:6">
      <c r="B413" s="12"/>
      <c r="F413" s="46"/>
    </row>
    <row r="414" spans="2:6">
      <c r="B414" s="12"/>
      <c r="F414" s="46"/>
    </row>
    <row r="415" spans="2:6">
      <c r="B415" s="12"/>
      <c r="F415" s="46"/>
    </row>
    <row r="416" spans="2:6">
      <c r="B416" s="12"/>
      <c r="F416" s="46"/>
    </row>
    <row r="417" spans="2:6">
      <c r="B417" s="12"/>
      <c r="F417" s="46"/>
    </row>
    <row r="418" spans="2:6">
      <c r="B418" s="12"/>
      <c r="F418" s="46"/>
    </row>
    <row r="419" spans="2:6">
      <c r="B419" s="12"/>
      <c r="F419" s="46"/>
    </row>
    <row r="420" spans="2:6">
      <c r="B420" s="12"/>
      <c r="F420" s="46"/>
    </row>
    <row r="421" spans="2:6">
      <c r="B421" s="12"/>
      <c r="F421" s="46"/>
    </row>
    <row r="422" spans="2:6">
      <c r="B422" s="12"/>
      <c r="F422" s="46"/>
    </row>
    <row r="423" spans="2:6">
      <c r="B423" s="12"/>
      <c r="F423" s="46"/>
    </row>
    <row r="424" spans="2:6">
      <c r="B424" s="12"/>
      <c r="F424" s="46"/>
    </row>
    <row r="425" spans="2:6">
      <c r="B425" s="12"/>
      <c r="F425" s="46"/>
    </row>
    <row r="426" spans="2:6">
      <c r="B426" s="12"/>
      <c r="F426" s="46"/>
    </row>
    <row r="427" spans="2:6">
      <c r="B427" s="12"/>
      <c r="F427" s="46"/>
    </row>
    <row r="428" spans="2:6">
      <c r="B428" s="12"/>
      <c r="F428" s="46"/>
    </row>
    <row r="429" spans="2:6">
      <c r="B429" s="12"/>
      <c r="F429" s="46"/>
    </row>
    <row r="430" spans="2:6">
      <c r="B430" s="12"/>
      <c r="F430" s="46"/>
    </row>
    <row r="431" spans="2:6">
      <c r="B431" s="12"/>
      <c r="F431" s="46"/>
    </row>
    <row r="432" spans="2:6">
      <c r="B432" s="12"/>
      <c r="F432" s="46"/>
    </row>
    <row r="433" spans="2:6">
      <c r="B433" s="12"/>
      <c r="F433" s="46"/>
    </row>
    <row r="434" spans="2:6">
      <c r="B434" s="12"/>
      <c r="F434" s="46"/>
    </row>
    <row r="435" spans="2:6">
      <c r="B435" s="12"/>
      <c r="F435" s="46"/>
    </row>
    <row r="436" spans="2:6">
      <c r="B436" s="12"/>
      <c r="F436" s="46"/>
    </row>
    <row r="437" spans="2:6">
      <c r="B437" s="12"/>
      <c r="F437" s="46"/>
    </row>
    <row r="438" spans="2:6">
      <c r="B438" s="12"/>
      <c r="F438" s="46"/>
    </row>
    <row r="439" spans="2:6">
      <c r="B439" s="12"/>
      <c r="F439" s="46"/>
    </row>
    <row r="440" spans="2:6">
      <c r="B440" s="12"/>
      <c r="F440" s="46"/>
    </row>
    <row r="441" spans="2:6">
      <c r="B441" s="12"/>
      <c r="F441" s="46"/>
    </row>
    <row r="442" spans="2:6">
      <c r="B442" s="12"/>
      <c r="F442" s="46"/>
    </row>
    <row r="443" spans="2:6">
      <c r="B443" s="12"/>
      <c r="F443" s="46"/>
    </row>
    <row r="444" spans="2:6">
      <c r="B444" s="12"/>
      <c r="F444" s="46"/>
    </row>
    <row r="445" spans="2:6">
      <c r="B445" s="12"/>
      <c r="F445" s="46"/>
    </row>
    <row r="446" spans="2:6">
      <c r="B446" s="12"/>
      <c r="F446" s="46"/>
    </row>
    <row r="447" spans="2:6">
      <c r="B447" s="12"/>
      <c r="F447" s="46"/>
    </row>
    <row r="448" spans="2:6">
      <c r="B448" s="12"/>
      <c r="F448" s="46"/>
    </row>
    <row r="449" spans="2:6">
      <c r="B449" s="12"/>
      <c r="F449" s="46"/>
    </row>
    <row r="450" spans="2:6">
      <c r="B450" s="12"/>
      <c r="F450" s="46"/>
    </row>
    <row r="451" spans="2:6">
      <c r="B451" s="12"/>
      <c r="F451" s="46"/>
    </row>
    <row r="452" spans="2:6">
      <c r="B452" s="12"/>
      <c r="F452" s="46"/>
    </row>
    <row r="453" spans="2:6">
      <c r="B453" s="12"/>
      <c r="F453" s="46"/>
    </row>
    <row r="454" spans="2:6">
      <c r="B454" s="12"/>
      <c r="F454" s="46"/>
    </row>
    <row r="455" spans="2:6">
      <c r="B455" s="12"/>
      <c r="F455" s="46"/>
    </row>
    <row r="456" spans="2:6">
      <c r="B456" s="12"/>
      <c r="F456" s="46"/>
    </row>
    <row r="457" spans="2:6">
      <c r="B457" s="12"/>
      <c r="F457" s="46"/>
    </row>
    <row r="458" spans="2:6">
      <c r="B458" s="12"/>
      <c r="F458" s="46"/>
    </row>
    <row r="459" spans="2:6">
      <c r="B459" s="12"/>
      <c r="F459" s="46"/>
    </row>
    <row r="460" spans="2:6">
      <c r="B460" s="12"/>
      <c r="F460" s="46"/>
    </row>
    <row r="461" spans="2:6">
      <c r="B461" s="12"/>
      <c r="F461" s="46"/>
    </row>
    <row r="462" spans="2:6">
      <c r="B462" s="12"/>
      <c r="F462" s="46"/>
    </row>
    <row r="463" spans="2:6">
      <c r="B463" s="12"/>
      <c r="F463" s="46"/>
    </row>
    <row r="464" spans="2:6">
      <c r="B464" s="12"/>
      <c r="F464" s="46"/>
    </row>
    <row r="465" spans="2:6">
      <c r="B465" s="12"/>
      <c r="F465" s="46"/>
    </row>
    <row r="466" spans="2:6">
      <c r="B466" s="12"/>
      <c r="F466" s="46"/>
    </row>
    <row r="467" spans="2:6">
      <c r="B467" s="12"/>
      <c r="F467" s="46"/>
    </row>
    <row r="468" spans="2:6">
      <c r="B468" s="12"/>
      <c r="F468" s="46"/>
    </row>
    <row r="469" spans="2:6">
      <c r="B469" s="12"/>
      <c r="F469" s="46"/>
    </row>
    <row r="470" spans="2:6">
      <c r="B470" s="12"/>
      <c r="F470" s="46"/>
    </row>
    <row r="471" spans="2:6">
      <c r="B471" s="12"/>
      <c r="F471" s="46"/>
    </row>
    <row r="472" spans="2:6">
      <c r="B472" s="12"/>
      <c r="F472" s="46"/>
    </row>
    <row r="473" spans="2:6">
      <c r="B473" s="12"/>
      <c r="F473" s="46"/>
    </row>
    <row r="474" spans="2:6">
      <c r="B474" s="12"/>
      <c r="F474" s="46"/>
    </row>
    <row r="475" spans="2:6">
      <c r="B475" s="12"/>
      <c r="F475" s="46"/>
    </row>
    <row r="476" spans="2:6">
      <c r="B476" s="12"/>
      <c r="F476" s="46"/>
    </row>
    <row r="477" spans="2:6">
      <c r="B477" s="12"/>
      <c r="F477" s="46"/>
    </row>
    <row r="478" spans="2:6">
      <c r="B478" s="12"/>
      <c r="F478" s="46"/>
    </row>
    <row r="479" spans="2:6">
      <c r="B479" s="12"/>
      <c r="F479" s="46"/>
    </row>
    <row r="480" spans="2:6">
      <c r="B480" s="12"/>
      <c r="F480" s="46"/>
    </row>
    <row r="481" spans="2:6">
      <c r="B481" s="12"/>
      <c r="F481" s="46"/>
    </row>
    <row r="482" spans="2:6">
      <c r="B482" s="12"/>
      <c r="F482" s="46"/>
    </row>
    <row r="483" spans="2:6">
      <c r="B483" s="12"/>
      <c r="F483" s="46"/>
    </row>
    <row r="484" spans="2:6">
      <c r="B484" s="12"/>
      <c r="F484" s="46"/>
    </row>
    <row r="485" spans="2:6">
      <c r="B485" s="12"/>
      <c r="F485" s="46"/>
    </row>
    <row r="486" spans="2:6">
      <c r="B486" s="12"/>
      <c r="F486" s="46"/>
    </row>
    <row r="487" spans="2:6">
      <c r="B487" s="12"/>
      <c r="F487" s="46"/>
    </row>
    <row r="488" spans="2:6">
      <c r="B488" s="12"/>
      <c r="F488" s="46"/>
    </row>
    <row r="489" spans="2:6">
      <c r="B489" s="12"/>
      <c r="F489" s="46"/>
    </row>
    <row r="490" spans="2:6">
      <c r="B490" s="12"/>
      <c r="F490" s="46"/>
    </row>
    <row r="491" spans="2:6">
      <c r="B491" s="12"/>
      <c r="F491" s="46"/>
    </row>
    <row r="492" spans="2:6">
      <c r="B492" s="12"/>
      <c r="F492" s="46"/>
    </row>
    <row r="493" spans="2:6">
      <c r="B493" s="12"/>
      <c r="F493" s="46"/>
    </row>
    <row r="494" spans="2:6">
      <c r="B494" s="12"/>
      <c r="F494" s="46"/>
    </row>
    <row r="495" spans="2:6">
      <c r="B495" s="12"/>
      <c r="F495" s="46"/>
    </row>
    <row r="496" spans="2:6">
      <c r="B496" s="12"/>
      <c r="F496" s="46"/>
    </row>
    <row r="497" spans="2:6">
      <c r="B497" s="12"/>
      <c r="F497" s="46"/>
    </row>
    <row r="498" spans="2:6">
      <c r="B498" s="12"/>
      <c r="F498" s="46"/>
    </row>
    <row r="499" spans="2:6">
      <c r="B499" s="12"/>
      <c r="F499" s="46"/>
    </row>
    <row r="500" spans="2:6">
      <c r="B500" s="12"/>
      <c r="F500" s="46"/>
    </row>
    <row r="501" spans="2:6">
      <c r="B501" s="12"/>
      <c r="F501" s="46"/>
    </row>
    <row r="502" spans="2:6">
      <c r="B502" s="12"/>
      <c r="F502" s="46"/>
    </row>
    <row r="503" spans="2:6">
      <c r="B503" s="12"/>
      <c r="F503" s="46"/>
    </row>
    <row r="504" spans="2:6">
      <c r="B504" s="12"/>
      <c r="F504" s="46"/>
    </row>
    <row r="505" spans="2:6">
      <c r="B505" s="12"/>
      <c r="F505" s="46"/>
    </row>
    <row r="506" spans="2:6">
      <c r="B506" s="12"/>
      <c r="F506" s="46"/>
    </row>
    <row r="507" spans="2:6">
      <c r="B507" s="12"/>
      <c r="F507" s="46"/>
    </row>
    <row r="508" spans="2:6">
      <c r="B508" s="12"/>
      <c r="F508" s="46"/>
    </row>
    <row r="509" spans="2:6">
      <c r="B509" s="12"/>
      <c r="F509" s="46"/>
    </row>
    <row r="510" spans="2:6">
      <c r="B510" s="12"/>
      <c r="F510" s="46"/>
    </row>
    <row r="511" spans="2:6">
      <c r="B511" s="12"/>
      <c r="F511" s="46"/>
    </row>
    <row r="512" spans="2:6">
      <c r="B512" s="12"/>
      <c r="F512" s="46"/>
    </row>
    <row r="513" spans="2:6">
      <c r="B513" s="12"/>
      <c r="F513" s="46"/>
    </row>
    <row r="514" spans="2:6">
      <c r="B514" s="12"/>
      <c r="F514" s="46"/>
    </row>
    <row r="515" spans="2:6">
      <c r="B515" s="12"/>
      <c r="F515" s="46"/>
    </row>
    <row r="516" spans="2:6">
      <c r="B516" s="12"/>
      <c r="F516" s="46"/>
    </row>
    <row r="517" spans="2:6">
      <c r="B517" s="12"/>
      <c r="F517" s="46"/>
    </row>
    <row r="518" spans="2:6">
      <c r="B518" s="12"/>
      <c r="F518" s="46"/>
    </row>
    <row r="519" spans="2:6">
      <c r="B519" s="12"/>
      <c r="F519" s="46"/>
    </row>
    <row r="520" spans="2:6">
      <c r="B520" s="12"/>
      <c r="F520" s="46"/>
    </row>
    <row r="521" spans="2:6">
      <c r="B521" s="12"/>
      <c r="F521" s="46"/>
    </row>
    <row r="522" spans="2:6">
      <c r="B522" s="12"/>
      <c r="F522" s="46"/>
    </row>
    <row r="523" spans="2:6">
      <c r="B523" s="12"/>
      <c r="F523" s="46"/>
    </row>
    <row r="524" spans="2:6">
      <c r="B524" s="12"/>
      <c r="F524" s="46"/>
    </row>
    <row r="525" spans="2:6">
      <c r="B525" s="12"/>
      <c r="F525" s="46"/>
    </row>
    <row r="526" spans="2:6">
      <c r="B526" s="12"/>
      <c r="F526" s="46"/>
    </row>
    <row r="527" spans="2:6">
      <c r="B527" s="12"/>
      <c r="F527" s="46"/>
    </row>
    <row r="528" spans="2:6">
      <c r="B528" s="12"/>
      <c r="F528" s="46"/>
    </row>
    <row r="529" spans="2:6">
      <c r="B529" s="12"/>
      <c r="F529" s="46"/>
    </row>
    <row r="530" spans="2:6">
      <c r="B530" s="12"/>
      <c r="F530" s="46"/>
    </row>
    <row r="531" spans="2:6">
      <c r="B531" s="12"/>
      <c r="F531" s="46"/>
    </row>
    <row r="532" spans="2:6">
      <c r="B532" s="12"/>
      <c r="F532" s="46"/>
    </row>
    <row r="533" spans="2:6">
      <c r="B533" s="12"/>
      <c r="F533" s="46"/>
    </row>
    <row r="534" spans="2:6">
      <c r="B534" s="12"/>
      <c r="F534" s="46"/>
    </row>
    <row r="535" spans="2:6">
      <c r="B535" s="12"/>
      <c r="F535" s="46"/>
    </row>
    <row r="536" spans="2:6">
      <c r="B536" s="12"/>
      <c r="F536" s="46"/>
    </row>
    <row r="537" spans="2:6">
      <c r="B537" s="12"/>
      <c r="F537" s="46"/>
    </row>
    <row r="538" spans="2:6">
      <c r="B538" s="12"/>
      <c r="F538" s="46"/>
    </row>
    <row r="539" spans="2:6">
      <c r="B539" s="12"/>
      <c r="F539" s="46"/>
    </row>
    <row r="540" spans="2:6">
      <c r="B540" s="12"/>
      <c r="F540" s="46"/>
    </row>
    <row r="541" spans="2:6">
      <c r="B541" s="12"/>
      <c r="F541" s="46"/>
    </row>
    <row r="542" spans="2:6">
      <c r="B542" s="12"/>
      <c r="F542" s="46"/>
    </row>
    <row r="543" spans="2:6">
      <c r="B543" s="12"/>
      <c r="F543" s="46"/>
    </row>
    <row r="544" spans="2:6">
      <c r="B544" s="12"/>
      <c r="F544" s="46"/>
    </row>
    <row r="545" spans="2:6">
      <c r="B545" s="12"/>
      <c r="F545" s="46"/>
    </row>
    <row r="546" spans="2:6">
      <c r="B546" s="12"/>
      <c r="F546" s="46"/>
    </row>
    <row r="547" spans="2:6">
      <c r="B547" s="12"/>
      <c r="F547" s="46"/>
    </row>
    <row r="548" spans="2:6">
      <c r="B548" s="12"/>
      <c r="F548" s="46"/>
    </row>
    <row r="549" spans="2:6">
      <c r="B549" s="12"/>
      <c r="F549" s="46"/>
    </row>
    <row r="550" spans="2:6">
      <c r="B550" s="12"/>
      <c r="F550" s="46"/>
    </row>
    <row r="551" spans="2:6">
      <c r="B551" s="12"/>
      <c r="F551" s="46"/>
    </row>
    <row r="552" spans="2:6">
      <c r="B552" s="12"/>
      <c r="F552" s="46"/>
    </row>
    <row r="553" spans="2:6">
      <c r="B553" s="12"/>
      <c r="F553" s="46"/>
    </row>
    <row r="554" spans="2:6">
      <c r="B554" s="12"/>
      <c r="F554" s="46"/>
    </row>
    <row r="555" spans="2:6">
      <c r="B555" s="12"/>
      <c r="F555" s="46"/>
    </row>
    <row r="556" spans="2:6">
      <c r="B556" s="12"/>
      <c r="F556" s="46"/>
    </row>
    <row r="557" spans="2:6">
      <c r="B557" s="12"/>
      <c r="F557" s="46"/>
    </row>
    <row r="558" spans="2:6">
      <c r="B558" s="12"/>
      <c r="F558" s="46"/>
    </row>
    <row r="559" spans="2:6">
      <c r="B559" s="12"/>
      <c r="F559" s="46"/>
    </row>
    <row r="560" spans="2:6">
      <c r="B560" s="12"/>
      <c r="F560" s="46"/>
    </row>
    <row r="561" spans="2:6">
      <c r="B561" s="12"/>
      <c r="F561" s="46"/>
    </row>
    <row r="562" spans="2:6">
      <c r="B562" s="12"/>
      <c r="F562" s="46"/>
    </row>
    <row r="563" spans="2:6">
      <c r="B563" s="12"/>
      <c r="F563" s="46"/>
    </row>
    <row r="564" spans="2:6">
      <c r="B564" s="12"/>
      <c r="F564" s="46"/>
    </row>
    <row r="565" spans="2:6">
      <c r="B565" s="12"/>
      <c r="F565" s="46"/>
    </row>
    <row r="566" spans="2:6">
      <c r="B566" s="12"/>
      <c r="F566" s="46"/>
    </row>
    <row r="567" spans="2:6">
      <c r="B567" s="12"/>
      <c r="F567" s="46"/>
    </row>
    <row r="568" spans="2:6">
      <c r="B568" s="12"/>
      <c r="F568" s="46"/>
    </row>
    <row r="569" spans="2:6">
      <c r="B569" s="12"/>
      <c r="F569" s="46"/>
    </row>
    <row r="570" spans="2:6">
      <c r="B570" s="12"/>
      <c r="F570" s="46"/>
    </row>
    <row r="571" spans="2:6">
      <c r="B571" s="12"/>
      <c r="F571" s="46"/>
    </row>
    <row r="572" spans="2:6">
      <c r="B572" s="12"/>
      <c r="F572" s="46"/>
    </row>
    <row r="573" spans="2:6">
      <c r="B573" s="12"/>
      <c r="F573" s="46"/>
    </row>
    <row r="574" spans="2:6">
      <c r="B574" s="12"/>
      <c r="F574" s="46"/>
    </row>
    <row r="575" spans="2:6">
      <c r="B575" s="12"/>
      <c r="F575" s="46"/>
    </row>
    <row r="576" spans="2:6">
      <c r="B576" s="12"/>
      <c r="F576" s="46"/>
    </row>
    <row r="577" spans="2:6">
      <c r="B577" s="12"/>
      <c r="F577" s="46"/>
    </row>
    <row r="578" spans="2:6">
      <c r="B578" s="12"/>
      <c r="F578" s="46"/>
    </row>
    <row r="579" spans="2:6">
      <c r="B579" s="12"/>
      <c r="F579" s="46"/>
    </row>
    <row r="580" spans="2:6">
      <c r="B580" s="12"/>
      <c r="F580" s="46"/>
    </row>
    <row r="581" spans="2:6">
      <c r="B581" s="12"/>
      <c r="F581" s="46"/>
    </row>
    <row r="582" spans="2:6">
      <c r="B582" s="12"/>
      <c r="F582" s="46"/>
    </row>
    <row r="583" spans="2:6">
      <c r="B583" s="12"/>
      <c r="F583" s="46"/>
    </row>
    <row r="584" spans="2:6">
      <c r="B584" s="12"/>
      <c r="F584" s="46"/>
    </row>
    <row r="585" spans="2:6">
      <c r="B585" s="12"/>
      <c r="F585" s="46"/>
    </row>
    <row r="586" spans="2:6">
      <c r="B586" s="12"/>
      <c r="F586" s="46"/>
    </row>
    <row r="587" spans="2:6">
      <c r="B587" s="12"/>
      <c r="F587" s="46"/>
    </row>
    <row r="588" spans="2:6">
      <c r="B588" s="12"/>
      <c r="F588" s="46"/>
    </row>
    <row r="589" spans="2:6">
      <c r="B589" s="12"/>
      <c r="F589" s="46"/>
    </row>
    <row r="590" spans="2:6">
      <c r="B590" s="12"/>
      <c r="F590" s="46"/>
    </row>
    <row r="591" spans="2:6">
      <c r="B591" s="12"/>
      <c r="F591" s="46"/>
    </row>
    <row r="592" spans="2:6">
      <c r="B592" s="12"/>
      <c r="F592" s="46"/>
    </row>
    <row r="593" spans="2:6">
      <c r="B593" s="12"/>
      <c r="F593" s="46"/>
    </row>
    <row r="594" spans="2:6">
      <c r="B594" s="12"/>
      <c r="F594" s="46"/>
    </row>
    <row r="595" spans="2:6">
      <c r="B595" s="12"/>
      <c r="F595" s="46"/>
    </row>
    <row r="596" spans="2:6">
      <c r="B596" s="12"/>
      <c r="F596" s="46"/>
    </row>
    <row r="597" spans="2:6">
      <c r="B597" s="12"/>
      <c r="F597" s="46"/>
    </row>
    <row r="598" spans="2:6">
      <c r="B598" s="12"/>
      <c r="F598" s="46"/>
    </row>
    <row r="599" spans="2:6">
      <c r="B599" s="12"/>
      <c r="F599" s="46"/>
    </row>
    <row r="600" spans="2:6">
      <c r="B600" s="12"/>
      <c r="F600" s="46"/>
    </row>
    <row r="601" spans="2:6">
      <c r="B601" s="12"/>
      <c r="F601" s="46"/>
    </row>
    <row r="602" spans="2:6">
      <c r="B602" s="12"/>
      <c r="F602" s="46"/>
    </row>
    <row r="603" spans="2:6">
      <c r="B603" s="12"/>
      <c r="F603" s="46"/>
    </row>
    <row r="604" spans="2:6">
      <c r="B604" s="12"/>
      <c r="F604" s="46"/>
    </row>
    <row r="605" spans="2:6">
      <c r="B605" s="12"/>
      <c r="F605" s="46"/>
    </row>
    <row r="606" spans="2:6">
      <c r="B606" s="12"/>
      <c r="F606" s="46"/>
    </row>
    <row r="607" spans="2:6">
      <c r="B607" s="12"/>
      <c r="F607" s="46"/>
    </row>
    <row r="608" spans="2:6">
      <c r="B608" s="12"/>
      <c r="F608" s="46"/>
    </row>
    <row r="609" spans="2:6">
      <c r="B609" s="12"/>
      <c r="F609" s="46"/>
    </row>
    <row r="610" spans="2:6">
      <c r="B610" s="12"/>
      <c r="F610" s="46"/>
    </row>
    <row r="611" spans="2:6">
      <c r="B611" s="12"/>
      <c r="F611" s="46"/>
    </row>
    <row r="612" spans="2:6">
      <c r="B612" s="12"/>
      <c r="F612" s="46"/>
    </row>
    <row r="613" spans="2:6">
      <c r="B613" s="12"/>
      <c r="F613" s="46"/>
    </row>
    <row r="614" spans="2:6">
      <c r="B614" s="12"/>
      <c r="F614" s="46"/>
    </row>
    <row r="615" spans="2:6">
      <c r="B615" s="12"/>
      <c r="F615" s="46"/>
    </row>
    <row r="616" spans="2:6">
      <c r="B616" s="12"/>
      <c r="F616" s="46"/>
    </row>
    <row r="617" spans="2:6">
      <c r="B617" s="12"/>
      <c r="F617" s="46"/>
    </row>
    <row r="618" spans="2:6">
      <c r="B618" s="12"/>
      <c r="F618" s="46"/>
    </row>
    <row r="619" spans="2:6">
      <c r="B619" s="12"/>
      <c r="F619" s="46"/>
    </row>
    <row r="620" spans="2:6">
      <c r="B620" s="12"/>
      <c r="F620" s="46"/>
    </row>
    <row r="621" spans="2:6">
      <c r="B621" s="12"/>
      <c r="F621" s="46"/>
    </row>
    <row r="622" spans="2:6">
      <c r="B622" s="12"/>
      <c r="F622" s="46"/>
    </row>
    <row r="623" spans="2:6">
      <c r="B623" s="12"/>
      <c r="F623" s="46"/>
    </row>
    <row r="624" spans="2:6">
      <c r="B624" s="12"/>
      <c r="F624" s="46"/>
    </row>
    <row r="625" spans="2:6">
      <c r="B625" s="12"/>
      <c r="F625" s="46"/>
    </row>
    <row r="626" spans="2:6">
      <c r="B626" s="12"/>
      <c r="F626" s="46"/>
    </row>
    <row r="627" spans="2:6">
      <c r="B627" s="12"/>
      <c r="F627" s="46"/>
    </row>
    <row r="628" spans="2:6">
      <c r="B628" s="12"/>
      <c r="F628" s="46"/>
    </row>
    <row r="629" spans="2:6">
      <c r="B629" s="12"/>
      <c r="F629" s="46"/>
    </row>
    <row r="630" spans="2:6">
      <c r="B630" s="12"/>
      <c r="F630" s="46"/>
    </row>
    <row r="631" spans="2:6">
      <c r="B631" s="12"/>
      <c r="F631" s="46"/>
    </row>
    <row r="632" spans="2:6">
      <c r="B632" s="12"/>
      <c r="F632" s="46"/>
    </row>
    <row r="633" spans="2:6">
      <c r="B633" s="12"/>
      <c r="F633" s="46"/>
    </row>
    <row r="634" spans="2:6">
      <c r="B634" s="12"/>
      <c r="F634" s="46"/>
    </row>
    <row r="635" spans="2:6">
      <c r="B635" s="12"/>
      <c r="F635" s="46"/>
    </row>
    <row r="636" spans="2:6">
      <c r="B636" s="12"/>
      <c r="F636" s="46"/>
    </row>
    <row r="637" spans="2:6">
      <c r="B637" s="12"/>
      <c r="F637" s="46"/>
    </row>
    <row r="638" spans="2:6">
      <c r="B638" s="12"/>
      <c r="F638" s="46"/>
    </row>
    <row r="639" spans="2:6">
      <c r="B639" s="12"/>
      <c r="F639" s="46"/>
    </row>
    <row r="640" spans="2:6">
      <c r="B640" s="12"/>
      <c r="F640" s="46"/>
    </row>
    <row r="641" spans="2:6">
      <c r="B641" s="12"/>
      <c r="F641" s="46"/>
    </row>
    <row r="642" spans="2:6">
      <c r="B642" s="12"/>
      <c r="F642" s="46"/>
    </row>
    <row r="643" spans="2:6">
      <c r="B643" s="12"/>
      <c r="F643" s="46"/>
    </row>
    <row r="644" spans="2:6">
      <c r="B644" s="12"/>
      <c r="F644" s="46"/>
    </row>
    <row r="645" spans="2:6">
      <c r="B645" s="12"/>
      <c r="F645" s="46"/>
    </row>
    <row r="646" spans="2:6">
      <c r="B646" s="12"/>
      <c r="F646" s="46"/>
    </row>
    <row r="647" spans="2:6">
      <c r="B647" s="12"/>
      <c r="F647" s="46"/>
    </row>
    <row r="648" spans="2:6">
      <c r="B648" s="12"/>
      <c r="F648" s="46"/>
    </row>
    <row r="649" spans="2:6">
      <c r="B649" s="12"/>
      <c r="F649" s="46"/>
    </row>
    <row r="650" spans="2:6">
      <c r="B650" s="12"/>
      <c r="F650" s="46"/>
    </row>
    <row r="651" spans="2:6">
      <c r="B651" s="12"/>
      <c r="F651" s="46"/>
    </row>
    <row r="652" spans="2:6">
      <c r="B652" s="12"/>
      <c r="F652" s="46"/>
    </row>
    <row r="653" spans="2:6">
      <c r="B653" s="12"/>
      <c r="F653" s="46"/>
    </row>
    <row r="654" spans="2:6">
      <c r="B654" s="12"/>
      <c r="F654" s="46"/>
    </row>
    <row r="655" spans="2:6">
      <c r="B655" s="12"/>
      <c r="F655" s="46"/>
    </row>
    <row r="656" spans="2:6">
      <c r="B656" s="12"/>
      <c r="F656" s="46"/>
    </row>
    <row r="657" spans="2:6">
      <c r="B657" s="12"/>
      <c r="F657" s="46"/>
    </row>
    <row r="658" spans="2:6">
      <c r="B658" s="12"/>
      <c r="F658" s="46"/>
    </row>
    <row r="659" spans="2:6">
      <c r="B659" s="12"/>
      <c r="F659" s="46"/>
    </row>
    <row r="660" spans="2:6">
      <c r="B660" s="12"/>
      <c r="F660" s="46"/>
    </row>
    <row r="661" spans="2:6">
      <c r="B661" s="12"/>
      <c r="F661" s="46"/>
    </row>
    <row r="662" spans="2:6">
      <c r="B662" s="12"/>
      <c r="F662" s="46"/>
    </row>
    <row r="663" spans="2:6">
      <c r="B663" s="12"/>
      <c r="F663" s="46"/>
    </row>
    <row r="664" spans="2:6">
      <c r="B664" s="12"/>
      <c r="F664" s="46"/>
    </row>
    <row r="665" spans="2:6">
      <c r="B665" s="12"/>
      <c r="F665" s="46"/>
    </row>
    <row r="666" spans="2:6">
      <c r="B666" s="12"/>
      <c r="F666" s="46"/>
    </row>
    <row r="667" spans="2:6">
      <c r="B667" s="12"/>
      <c r="F667" s="46"/>
    </row>
    <row r="668" spans="2:6">
      <c r="B668" s="12"/>
      <c r="F668" s="46"/>
    </row>
    <row r="669" spans="2:6">
      <c r="B669" s="12"/>
      <c r="F669" s="46"/>
    </row>
    <row r="670" spans="2:6">
      <c r="B670" s="12"/>
      <c r="F670" s="46"/>
    </row>
    <row r="671" spans="2:6">
      <c r="B671" s="12"/>
      <c r="F671" s="46"/>
    </row>
    <row r="672" spans="2:6">
      <c r="B672" s="12"/>
      <c r="F672" s="46"/>
    </row>
    <row r="673" spans="2:6">
      <c r="B673" s="12"/>
      <c r="F673" s="46"/>
    </row>
    <row r="674" spans="2:6">
      <c r="B674" s="12"/>
      <c r="F674" s="46"/>
    </row>
    <row r="675" spans="2:6">
      <c r="B675" s="12"/>
      <c r="F675" s="46"/>
    </row>
    <row r="676" spans="2:6">
      <c r="B676" s="12"/>
      <c r="F676" s="46"/>
    </row>
    <row r="677" spans="2:6">
      <c r="B677" s="12"/>
      <c r="F677" s="46"/>
    </row>
    <row r="678" spans="2:6">
      <c r="B678" s="12"/>
      <c r="F678" s="46"/>
    </row>
    <row r="679" spans="2:6">
      <c r="B679" s="12"/>
      <c r="F679" s="46"/>
    </row>
    <row r="680" spans="2:6">
      <c r="B680" s="12"/>
      <c r="F680" s="46"/>
    </row>
    <row r="681" spans="2:6">
      <c r="B681" s="12"/>
      <c r="F681" s="46"/>
    </row>
    <row r="682" spans="2:6">
      <c r="B682" s="12"/>
      <c r="F682" s="46"/>
    </row>
    <row r="683" spans="2:6">
      <c r="B683" s="12"/>
      <c r="F683" s="46"/>
    </row>
    <row r="684" spans="2:6">
      <c r="B684" s="12"/>
      <c r="F684" s="46"/>
    </row>
    <row r="685" spans="2:6">
      <c r="B685" s="12"/>
      <c r="F685" s="46"/>
    </row>
    <row r="686" spans="2:6">
      <c r="B686" s="12"/>
      <c r="F686" s="46"/>
    </row>
    <row r="687" spans="2:6">
      <c r="B687" s="12"/>
      <c r="F687" s="46"/>
    </row>
    <row r="688" spans="2:6">
      <c r="B688" s="12"/>
      <c r="F688" s="46"/>
    </row>
    <row r="689" spans="2:6">
      <c r="B689" s="12"/>
      <c r="F689" s="46"/>
    </row>
    <row r="690" spans="2:6">
      <c r="B690" s="12"/>
      <c r="F690" s="46"/>
    </row>
    <row r="691" spans="2:6">
      <c r="B691" s="12"/>
      <c r="F691" s="46"/>
    </row>
    <row r="692" spans="2:6">
      <c r="B692" s="12"/>
      <c r="F692" s="46"/>
    </row>
    <row r="693" spans="2:6">
      <c r="B693" s="12"/>
      <c r="F693" s="46"/>
    </row>
    <row r="694" spans="2:6">
      <c r="B694" s="12"/>
      <c r="F694" s="46"/>
    </row>
    <row r="695" spans="2:6">
      <c r="B695" s="12"/>
      <c r="F695" s="46"/>
    </row>
    <row r="696" spans="2:6">
      <c r="B696" s="12"/>
      <c r="F696" s="46"/>
    </row>
    <row r="697" spans="2:6">
      <c r="B697" s="12"/>
      <c r="F697" s="46"/>
    </row>
    <row r="698" spans="2:6">
      <c r="B698" s="12"/>
      <c r="F698" s="46"/>
    </row>
    <row r="699" spans="2:6">
      <c r="B699" s="12"/>
      <c r="F699" s="46"/>
    </row>
    <row r="700" spans="2:6">
      <c r="B700" s="12"/>
      <c r="F700" s="46"/>
    </row>
    <row r="701" spans="2:6">
      <c r="B701" s="12"/>
      <c r="F701" s="46"/>
    </row>
    <row r="702" spans="2:6">
      <c r="B702" s="12"/>
      <c r="F702" s="46"/>
    </row>
    <row r="703" spans="2:6">
      <c r="B703" s="12"/>
      <c r="F703" s="46"/>
    </row>
    <row r="704" spans="2:6">
      <c r="B704" s="12"/>
      <c r="F704" s="46"/>
    </row>
    <row r="705" spans="2:6">
      <c r="B705" s="12"/>
      <c r="F705" s="46"/>
    </row>
    <row r="706" spans="2:6">
      <c r="B706" s="12"/>
      <c r="F706" s="46"/>
    </row>
    <row r="707" spans="2:6">
      <c r="B707" s="12"/>
      <c r="F707" s="46"/>
    </row>
    <row r="708" spans="2:6">
      <c r="B708" s="12"/>
      <c r="F708" s="46"/>
    </row>
    <row r="709" spans="2:6">
      <c r="B709" s="12"/>
      <c r="F709" s="46"/>
    </row>
    <row r="710" spans="2:6">
      <c r="B710" s="12"/>
      <c r="F710" s="46"/>
    </row>
    <row r="711" spans="2:6">
      <c r="B711" s="12"/>
      <c r="F711" s="46"/>
    </row>
    <row r="712" spans="2:6">
      <c r="B712" s="12"/>
      <c r="F712" s="46"/>
    </row>
    <row r="713" spans="2:6">
      <c r="B713" s="12"/>
      <c r="F713" s="46"/>
    </row>
    <row r="714" spans="2:6">
      <c r="B714" s="12"/>
      <c r="F714" s="46"/>
    </row>
    <row r="715" spans="2:6">
      <c r="B715" s="12"/>
      <c r="F715" s="46"/>
    </row>
    <row r="716" spans="2:6">
      <c r="B716" s="12"/>
      <c r="F716" s="46"/>
    </row>
    <row r="717" spans="2:6">
      <c r="B717" s="12"/>
      <c r="F717" s="46"/>
    </row>
    <row r="718" spans="2:6">
      <c r="B718" s="12"/>
      <c r="F718" s="46"/>
    </row>
    <row r="719" spans="2:6">
      <c r="B719" s="12"/>
      <c r="F719" s="46"/>
    </row>
    <row r="720" spans="2:6">
      <c r="B720" s="12"/>
      <c r="F720" s="46"/>
    </row>
    <row r="721" spans="2:6">
      <c r="B721" s="12"/>
      <c r="F721" s="46"/>
    </row>
    <row r="722" spans="2:6">
      <c r="B722" s="12"/>
      <c r="F722" s="46"/>
    </row>
    <row r="723" spans="2:6">
      <c r="B723" s="12"/>
      <c r="F723" s="46"/>
    </row>
    <row r="724" spans="2:6">
      <c r="B724" s="12"/>
      <c r="F724" s="46"/>
    </row>
    <row r="725" spans="2:6">
      <c r="B725" s="12"/>
      <c r="F725" s="46"/>
    </row>
    <row r="726" spans="2:6">
      <c r="B726" s="12"/>
      <c r="F726" s="46"/>
    </row>
    <row r="727" spans="2:6">
      <c r="B727" s="12"/>
      <c r="F727" s="46"/>
    </row>
    <row r="728" spans="2:6">
      <c r="B728" s="12"/>
      <c r="F728" s="46"/>
    </row>
    <row r="729" spans="2:6">
      <c r="B729" s="12"/>
      <c r="F729" s="46"/>
    </row>
    <row r="730" spans="2:6">
      <c r="B730" s="12"/>
      <c r="F730" s="46"/>
    </row>
    <row r="731" spans="2:6">
      <c r="B731" s="12"/>
      <c r="F731" s="46"/>
    </row>
    <row r="732" spans="2:6">
      <c r="B732" s="12"/>
      <c r="F732" s="46"/>
    </row>
    <row r="733" spans="2:6">
      <c r="B733" s="12"/>
      <c r="F733" s="46"/>
    </row>
    <row r="734" spans="2:6">
      <c r="B734" s="12"/>
      <c r="F734" s="46"/>
    </row>
    <row r="735" spans="2:6">
      <c r="B735" s="12"/>
      <c r="F735" s="46"/>
    </row>
    <row r="736" spans="2:6">
      <c r="B736" s="12"/>
      <c r="F736" s="46"/>
    </row>
    <row r="737" spans="2:6">
      <c r="B737" s="12"/>
      <c r="F737" s="46"/>
    </row>
    <row r="738" spans="2:6">
      <c r="B738" s="12"/>
      <c r="F738" s="46"/>
    </row>
    <row r="739" spans="2:6">
      <c r="B739" s="12"/>
      <c r="F739" s="46"/>
    </row>
    <row r="740" spans="2:6">
      <c r="B740" s="12"/>
      <c r="F740" s="46"/>
    </row>
    <row r="741" spans="2:6">
      <c r="B741" s="12"/>
      <c r="F741" s="46"/>
    </row>
    <row r="742" spans="2:6">
      <c r="B742" s="12"/>
      <c r="F742" s="46"/>
    </row>
    <row r="743" spans="2:6">
      <c r="B743" s="12"/>
      <c r="F743" s="46"/>
    </row>
    <row r="744" spans="2:6">
      <c r="B744" s="12"/>
      <c r="F744" s="46"/>
    </row>
    <row r="745" spans="2:6">
      <c r="B745" s="12"/>
      <c r="F745" s="46"/>
    </row>
    <row r="746" spans="2:6">
      <c r="B746" s="12"/>
      <c r="F746" s="46"/>
    </row>
    <row r="747" spans="2:6">
      <c r="B747" s="12"/>
      <c r="F747" s="46"/>
    </row>
    <row r="748" spans="2:6">
      <c r="B748" s="12"/>
      <c r="F748" s="46"/>
    </row>
    <row r="749" spans="2:6">
      <c r="B749" s="12"/>
      <c r="F749" s="46"/>
    </row>
    <row r="750" spans="2:6">
      <c r="B750" s="12"/>
      <c r="F750" s="46"/>
    </row>
    <row r="751" spans="2:6">
      <c r="B751" s="12"/>
      <c r="F751" s="46"/>
    </row>
    <row r="752" spans="2:6">
      <c r="B752" s="12"/>
      <c r="F752" s="46"/>
    </row>
    <row r="753" spans="2:6">
      <c r="B753" s="12"/>
      <c r="F753" s="46"/>
    </row>
    <row r="754" spans="2:6">
      <c r="B754" s="12"/>
      <c r="F754" s="46"/>
    </row>
    <row r="755" spans="2:6">
      <c r="B755" s="12"/>
      <c r="F755" s="46"/>
    </row>
    <row r="756" spans="2:6">
      <c r="B756" s="12"/>
      <c r="F756" s="46"/>
    </row>
    <row r="757" spans="2:6">
      <c r="B757" s="12"/>
      <c r="F757" s="46"/>
    </row>
    <row r="758" spans="2:6">
      <c r="B758" s="12"/>
      <c r="F758" s="46"/>
    </row>
    <row r="759" spans="2:6">
      <c r="B759" s="12"/>
      <c r="F759" s="46"/>
    </row>
    <row r="760" spans="2:6">
      <c r="B760" s="12"/>
      <c r="F760" s="46"/>
    </row>
    <row r="761" spans="2:6">
      <c r="B761" s="12"/>
      <c r="F761" s="46"/>
    </row>
    <row r="762" spans="2:6">
      <c r="B762" s="12"/>
      <c r="F762" s="46"/>
    </row>
    <row r="763" spans="2:6">
      <c r="B763" s="12"/>
      <c r="F763" s="46"/>
    </row>
    <row r="764" spans="2:6">
      <c r="B764" s="12"/>
      <c r="F764" s="46"/>
    </row>
    <row r="765" spans="2:6">
      <c r="B765" s="12"/>
      <c r="F765" s="46"/>
    </row>
    <row r="766" spans="2:6">
      <c r="B766" s="12"/>
      <c r="F766" s="46"/>
    </row>
    <row r="767" spans="2:6">
      <c r="B767" s="12"/>
      <c r="F767" s="46"/>
    </row>
    <row r="768" spans="2:6">
      <c r="B768" s="12"/>
      <c r="F768" s="46"/>
    </row>
    <row r="769" spans="2:6">
      <c r="B769" s="12"/>
      <c r="F769" s="46"/>
    </row>
    <row r="770" spans="2:6">
      <c r="B770" s="12"/>
      <c r="F770" s="46"/>
    </row>
    <row r="771" spans="2:6">
      <c r="B771" s="12"/>
      <c r="F771" s="46"/>
    </row>
    <row r="772" spans="2:6">
      <c r="B772" s="12"/>
      <c r="F772" s="46"/>
    </row>
    <row r="773" spans="2:6">
      <c r="B773" s="12"/>
      <c r="F773" s="46"/>
    </row>
    <row r="774" spans="2:6">
      <c r="B774" s="12"/>
      <c r="F774" s="46"/>
    </row>
    <row r="775" spans="2:6">
      <c r="B775" s="12"/>
      <c r="F775" s="46"/>
    </row>
    <row r="776" spans="2:6">
      <c r="B776" s="12"/>
      <c r="F776" s="46"/>
    </row>
    <row r="777" spans="2:6">
      <c r="B777" s="12"/>
      <c r="F777" s="46"/>
    </row>
    <row r="778" spans="2:6">
      <c r="B778" s="12"/>
      <c r="F778" s="46"/>
    </row>
    <row r="779" spans="2:6">
      <c r="B779" s="12"/>
      <c r="F779" s="46"/>
    </row>
    <row r="780" spans="2:6">
      <c r="B780" s="12"/>
      <c r="F780" s="46"/>
    </row>
    <row r="781" spans="2:6">
      <c r="B781" s="12"/>
      <c r="F781" s="46"/>
    </row>
    <row r="782" spans="2:6">
      <c r="B782" s="12"/>
      <c r="F782" s="46"/>
    </row>
    <row r="783" spans="2:6">
      <c r="B783" s="12"/>
      <c r="F783" s="46"/>
    </row>
    <row r="784" spans="2:6">
      <c r="B784" s="12"/>
      <c r="F784" s="46"/>
    </row>
    <row r="785" spans="2:6">
      <c r="B785" s="12"/>
      <c r="F785" s="46"/>
    </row>
    <row r="786" spans="2:6">
      <c r="B786" s="12"/>
      <c r="F786" s="46"/>
    </row>
    <row r="787" spans="2:6">
      <c r="B787" s="12"/>
      <c r="F787" s="46"/>
    </row>
    <row r="788" spans="2:6">
      <c r="B788" s="12"/>
      <c r="F788" s="46"/>
    </row>
    <row r="789" spans="2:6">
      <c r="B789" s="12"/>
      <c r="F789" s="46"/>
    </row>
    <row r="790" spans="2:6">
      <c r="B790" s="12"/>
      <c r="F790" s="46"/>
    </row>
    <row r="791" spans="2:6">
      <c r="B791" s="12"/>
      <c r="F791" s="46"/>
    </row>
    <row r="792" spans="2:6">
      <c r="B792" s="12"/>
      <c r="F792" s="46"/>
    </row>
    <row r="793" spans="2:6">
      <c r="B793" s="12"/>
      <c r="F793" s="46"/>
    </row>
    <row r="794" spans="2:6">
      <c r="B794" s="12"/>
      <c r="F794" s="46"/>
    </row>
    <row r="795" spans="2:6">
      <c r="B795" s="12"/>
      <c r="F795" s="46"/>
    </row>
    <row r="796" spans="2:6">
      <c r="B796" s="12"/>
      <c r="F796" s="46"/>
    </row>
    <row r="797" spans="2:6">
      <c r="B797" s="12"/>
      <c r="F797" s="46"/>
    </row>
    <row r="798" spans="2:6">
      <c r="B798" s="12"/>
      <c r="F798" s="46"/>
    </row>
    <row r="799" spans="2:6">
      <c r="B799" s="12"/>
      <c r="F799" s="46"/>
    </row>
    <row r="800" spans="2:6">
      <c r="B800" s="12"/>
      <c r="F800" s="46"/>
    </row>
    <row r="801" spans="2:6">
      <c r="B801" s="12"/>
      <c r="F801" s="46"/>
    </row>
    <row r="802" spans="2:6">
      <c r="B802" s="12"/>
      <c r="F802" s="46"/>
    </row>
    <row r="803" spans="2:6">
      <c r="B803" s="12"/>
      <c r="F803" s="46"/>
    </row>
    <row r="804" spans="2:6">
      <c r="B804" s="12"/>
      <c r="F804" s="46"/>
    </row>
    <row r="805" spans="2:6">
      <c r="B805" s="12"/>
      <c r="F805" s="46"/>
    </row>
    <row r="806" spans="2:6">
      <c r="B806" s="12"/>
      <c r="F806" s="46"/>
    </row>
    <row r="807" spans="2:6">
      <c r="B807" s="12"/>
      <c r="F807" s="46"/>
    </row>
    <row r="808" spans="2:6">
      <c r="B808" s="12"/>
      <c r="F808" s="46"/>
    </row>
    <row r="809" spans="2:6">
      <c r="B809" s="12"/>
      <c r="F809" s="46"/>
    </row>
    <row r="810" spans="2:6">
      <c r="B810" s="12"/>
      <c r="F810" s="46"/>
    </row>
    <row r="811" spans="2:6">
      <c r="B811" s="12"/>
      <c r="F811" s="46"/>
    </row>
    <row r="812" spans="2:6">
      <c r="B812" s="12"/>
      <c r="F812" s="46"/>
    </row>
    <row r="813" spans="2:6">
      <c r="B813" s="12"/>
      <c r="F813" s="46"/>
    </row>
    <row r="814" spans="2:6">
      <c r="B814" s="12"/>
      <c r="F814" s="46"/>
    </row>
    <row r="815" spans="2:6">
      <c r="B815" s="12"/>
      <c r="F815" s="46"/>
    </row>
    <row r="816" spans="2:6">
      <c r="B816" s="12"/>
      <c r="F816" s="46"/>
    </row>
    <row r="817" spans="2:6">
      <c r="B817" s="12"/>
      <c r="F817" s="46"/>
    </row>
    <row r="818" spans="2:6">
      <c r="B818" s="12"/>
      <c r="F818" s="46"/>
    </row>
    <row r="819" spans="2:6">
      <c r="B819" s="12"/>
      <c r="F819" s="46"/>
    </row>
    <row r="820" spans="2:6">
      <c r="B820" s="12"/>
      <c r="F820" s="46"/>
    </row>
    <row r="821" spans="2:6">
      <c r="B821" s="12"/>
      <c r="F821" s="46"/>
    </row>
    <row r="822" spans="2:6">
      <c r="B822" s="12"/>
      <c r="F822" s="46"/>
    </row>
    <row r="823" spans="2:6">
      <c r="B823" s="12"/>
      <c r="F823" s="46"/>
    </row>
    <row r="824" spans="2:6">
      <c r="B824" s="12"/>
      <c r="F824" s="46"/>
    </row>
    <row r="825" spans="2:6">
      <c r="B825" s="12"/>
      <c r="F825" s="46"/>
    </row>
    <row r="826" spans="2:6">
      <c r="B826" s="12"/>
      <c r="F826" s="46"/>
    </row>
    <row r="827" spans="2:6">
      <c r="B827" s="12"/>
      <c r="F827" s="46"/>
    </row>
    <row r="828" spans="2:6">
      <c r="B828" s="12"/>
      <c r="F828" s="46"/>
    </row>
    <row r="829" spans="2:6">
      <c r="B829" s="12"/>
      <c r="F829" s="46"/>
    </row>
    <row r="830" spans="2:6">
      <c r="B830" s="12"/>
      <c r="F830" s="46"/>
    </row>
    <row r="831" spans="2:6">
      <c r="B831" s="12"/>
      <c r="F831" s="46"/>
    </row>
    <row r="832" spans="2:6">
      <c r="B832" s="12"/>
      <c r="F832" s="46"/>
    </row>
    <row r="833" spans="2:6">
      <c r="B833" s="12"/>
      <c r="F833" s="46"/>
    </row>
    <row r="834" spans="2:6">
      <c r="B834" s="12"/>
      <c r="F834" s="46"/>
    </row>
    <row r="835" spans="2:6">
      <c r="B835" s="12"/>
      <c r="F835" s="46"/>
    </row>
    <row r="836" spans="2:6">
      <c r="B836" s="12"/>
      <c r="F836" s="46"/>
    </row>
    <row r="837" spans="2:6">
      <c r="B837" s="12"/>
      <c r="F837" s="46"/>
    </row>
    <row r="838" spans="2:6">
      <c r="B838" s="12"/>
      <c r="F838" s="46"/>
    </row>
    <row r="839" spans="2:6">
      <c r="B839" s="12"/>
      <c r="F839" s="46"/>
    </row>
    <row r="840" spans="2:6">
      <c r="B840" s="12"/>
      <c r="F840" s="46"/>
    </row>
    <row r="841" spans="2:6">
      <c r="B841" s="12"/>
      <c r="F841" s="46"/>
    </row>
    <row r="842" spans="2:6">
      <c r="B842" s="12"/>
      <c r="F842" s="46"/>
    </row>
    <row r="843" spans="2:6">
      <c r="B843" s="12"/>
      <c r="F843" s="46"/>
    </row>
    <row r="844" spans="2:6">
      <c r="B844" s="12"/>
      <c r="F844" s="46"/>
    </row>
    <row r="845" spans="2:6">
      <c r="B845" s="12"/>
      <c r="F845" s="46"/>
    </row>
    <row r="846" spans="2:6">
      <c r="B846" s="12"/>
      <c r="F846" s="46"/>
    </row>
    <row r="847" spans="2:6">
      <c r="B847" s="12"/>
      <c r="F847" s="46"/>
    </row>
    <row r="848" spans="2:6">
      <c r="B848" s="12"/>
      <c r="F848" s="46"/>
    </row>
    <row r="849" spans="2:6">
      <c r="B849" s="12"/>
      <c r="F849" s="46"/>
    </row>
    <row r="850" spans="2:6">
      <c r="B850" s="12"/>
      <c r="F850" s="46"/>
    </row>
    <row r="851" spans="2:6">
      <c r="B851" s="12"/>
      <c r="F851" s="46"/>
    </row>
    <row r="852" spans="2:6">
      <c r="B852" s="12"/>
      <c r="F852" s="46"/>
    </row>
    <row r="853" spans="2:6">
      <c r="B853" s="12"/>
      <c r="F853" s="46"/>
    </row>
    <row r="854" spans="2:6">
      <c r="B854" s="12"/>
      <c r="F854" s="46"/>
    </row>
    <row r="855" spans="2:6">
      <c r="B855" s="12"/>
      <c r="F855" s="46"/>
    </row>
    <row r="856" spans="2:6">
      <c r="B856" s="12"/>
      <c r="F856" s="46"/>
    </row>
    <row r="857" spans="2:6">
      <c r="B857" s="12"/>
      <c r="F857" s="46"/>
    </row>
    <row r="858" spans="2:6">
      <c r="B858" s="12"/>
      <c r="F858" s="46"/>
    </row>
    <row r="859" spans="2:6">
      <c r="B859" s="12"/>
      <c r="F859" s="46"/>
    </row>
    <row r="860" spans="2:6">
      <c r="B860" s="12"/>
      <c r="F860" s="46"/>
    </row>
    <row r="861" spans="2:6">
      <c r="B861" s="12"/>
      <c r="F861" s="46"/>
    </row>
    <row r="862" spans="2:6">
      <c r="B862" s="12"/>
      <c r="F862" s="46"/>
    </row>
    <row r="863" spans="2:6">
      <c r="B863" s="12"/>
      <c r="F863" s="46"/>
    </row>
    <row r="864" spans="2:6">
      <c r="B864" s="12"/>
      <c r="F864" s="46"/>
    </row>
    <row r="865" spans="2:6">
      <c r="B865" s="12"/>
      <c r="F865" s="46"/>
    </row>
    <row r="866" spans="2:6">
      <c r="B866" s="12"/>
      <c r="F866" s="46"/>
    </row>
    <row r="867" spans="2:6">
      <c r="B867" s="12"/>
      <c r="F867" s="46"/>
    </row>
    <row r="868" spans="2:6">
      <c r="B868" s="12"/>
      <c r="F868" s="46"/>
    </row>
    <row r="869" spans="2:6">
      <c r="B869" s="12"/>
      <c r="F869" s="46"/>
    </row>
    <row r="870" spans="2:6">
      <c r="B870" s="12"/>
      <c r="F870" s="46"/>
    </row>
    <row r="871" spans="2:6">
      <c r="B871" s="12"/>
      <c r="F871" s="46"/>
    </row>
    <row r="872" spans="2:6">
      <c r="B872" s="12"/>
      <c r="F872" s="46"/>
    </row>
    <row r="873" spans="2:6">
      <c r="B873" s="12"/>
      <c r="F873" s="46"/>
    </row>
    <row r="874" spans="2:6">
      <c r="B874" s="12"/>
      <c r="F874" s="46"/>
    </row>
    <row r="875" spans="2:6">
      <c r="B875" s="12"/>
      <c r="F875" s="46"/>
    </row>
    <row r="876" spans="2:6">
      <c r="B876" s="12"/>
      <c r="F876" s="46"/>
    </row>
    <row r="877" spans="2:6">
      <c r="B877" s="12"/>
      <c r="F877" s="46"/>
    </row>
    <row r="878" spans="2:6">
      <c r="B878" s="12"/>
      <c r="F878" s="46"/>
    </row>
    <row r="879" spans="2:6">
      <c r="B879" s="12"/>
      <c r="F879" s="46"/>
    </row>
    <row r="880" spans="2:6">
      <c r="B880" s="12"/>
      <c r="F880" s="46"/>
    </row>
    <row r="881" spans="2:6">
      <c r="B881" s="12"/>
      <c r="F881" s="46"/>
    </row>
    <row r="882" spans="2:6">
      <c r="B882" s="12"/>
      <c r="F882" s="46"/>
    </row>
    <row r="883" spans="2:6">
      <c r="B883" s="12"/>
      <c r="F883" s="46"/>
    </row>
    <row r="884" spans="2:6">
      <c r="B884" s="12"/>
      <c r="F884" s="46"/>
    </row>
    <row r="885" spans="2:6">
      <c r="B885" s="12"/>
      <c r="F885" s="46"/>
    </row>
    <row r="886" spans="2:6">
      <c r="B886" s="12"/>
      <c r="F886" s="46"/>
    </row>
    <row r="887" spans="2:6">
      <c r="B887" s="12"/>
      <c r="F887" s="46"/>
    </row>
    <row r="888" spans="2:6">
      <c r="B888" s="12"/>
      <c r="F888" s="46"/>
    </row>
    <row r="889" spans="2:6">
      <c r="B889" s="12"/>
      <c r="F889" s="46"/>
    </row>
    <row r="890" spans="2:6">
      <c r="B890" s="12"/>
      <c r="F890" s="46"/>
    </row>
    <row r="891" spans="2:6">
      <c r="B891" s="12"/>
      <c r="F891" s="46"/>
    </row>
    <row r="892" spans="2:6">
      <c r="B892" s="12"/>
      <c r="F892" s="46"/>
    </row>
    <row r="893" spans="2:6">
      <c r="B893" s="12"/>
      <c r="F893" s="46"/>
    </row>
    <row r="894" spans="2:6">
      <c r="B894" s="12"/>
      <c r="F894" s="46"/>
    </row>
    <row r="895" spans="2:6">
      <c r="B895" s="12"/>
      <c r="F895" s="46"/>
    </row>
    <row r="896" spans="2:6">
      <c r="B896" s="12"/>
      <c r="F896" s="46"/>
    </row>
    <row r="897" spans="2:6">
      <c r="B897" s="12"/>
      <c r="F897" s="46"/>
    </row>
    <row r="898" spans="2:6">
      <c r="B898" s="12"/>
      <c r="F898" s="46"/>
    </row>
    <row r="899" spans="2:6">
      <c r="B899" s="12"/>
      <c r="F899" s="46"/>
    </row>
    <row r="900" spans="2:6">
      <c r="B900" s="12"/>
      <c r="F900" s="46"/>
    </row>
    <row r="901" spans="2:6">
      <c r="B901" s="12"/>
      <c r="F901" s="46"/>
    </row>
    <row r="902" spans="2:6">
      <c r="B902" s="12"/>
      <c r="F902" s="46"/>
    </row>
    <row r="903" spans="2:6">
      <c r="B903" s="12"/>
      <c r="F903" s="46"/>
    </row>
    <row r="904" spans="2:6">
      <c r="B904" s="12"/>
      <c r="F904" s="46"/>
    </row>
    <row r="905" spans="2:6">
      <c r="B905" s="12"/>
      <c r="F905" s="46"/>
    </row>
    <row r="906" spans="2:6">
      <c r="B906" s="12"/>
      <c r="F906" s="46"/>
    </row>
    <row r="907" spans="2:6">
      <c r="B907" s="12"/>
      <c r="F907" s="46"/>
    </row>
    <row r="908" spans="2:6">
      <c r="B908" s="12"/>
      <c r="F908" s="46"/>
    </row>
    <row r="909" spans="2:6">
      <c r="B909" s="12"/>
      <c r="F909" s="46"/>
    </row>
    <row r="910" spans="2:6">
      <c r="B910" s="12"/>
      <c r="F910" s="46"/>
    </row>
    <row r="911" spans="2:6">
      <c r="B911" s="12"/>
      <c r="F911" s="46"/>
    </row>
    <row r="912" spans="2:6">
      <c r="B912" s="12"/>
      <c r="F912" s="46"/>
    </row>
    <row r="913" spans="2:6">
      <c r="B913" s="12"/>
      <c r="F913" s="46"/>
    </row>
    <row r="914" spans="2:6">
      <c r="B914" s="12"/>
      <c r="F914" s="46"/>
    </row>
    <row r="915" spans="2:6">
      <c r="B915" s="12"/>
      <c r="F915" s="46"/>
    </row>
    <row r="916" spans="2:6">
      <c r="B916" s="12"/>
      <c r="F916" s="46"/>
    </row>
    <row r="917" spans="2:6">
      <c r="B917" s="12"/>
      <c r="F917" s="46"/>
    </row>
    <row r="918" spans="2:6">
      <c r="B918" s="12"/>
      <c r="F918" s="46"/>
    </row>
    <row r="919" spans="2:6">
      <c r="B919" s="12"/>
      <c r="F919" s="46"/>
    </row>
    <row r="920" spans="2:6">
      <c r="B920" s="12"/>
      <c r="F920" s="46"/>
    </row>
    <row r="921" spans="2:6">
      <c r="B921" s="12"/>
      <c r="F921" s="46"/>
    </row>
    <row r="922" spans="2:6">
      <c r="B922" s="12"/>
      <c r="F922" s="46"/>
    </row>
    <row r="923" spans="2:6">
      <c r="B923" s="12"/>
      <c r="F923" s="46"/>
    </row>
    <row r="924" spans="2:6">
      <c r="B924" s="12"/>
      <c r="F924" s="46"/>
    </row>
    <row r="925" spans="2:6">
      <c r="B925" s="12"/>
      <c r="F925" s="46"/>
    </row>
    <row r="926" spans="2:6">
      <c r="B926" s="12"/>
      <c r="F926" s="46"/>
    </row>
    <row r="927" spans="2:6">
      <c r="B927" s="12"/>
      <c r="F927" s="46"/>
    </row>
    <row r="928" spans="2:6">
      <c r="B928" s="12"/>
      <c r="F928" s="46"/>
    </row>
    <row r="929" spans="2:6">
      <c r="B929" s="12"/>
      <c r="F929" s="46"/>
    </row>
    <row r="930" spans="2:6">
      <c r="B930" s="12"/>
      <c r="F930" s="46"/>
    </row>
    <row r="931" spans="2:6">
      <c r="B931" s="12"/>
      <c r="F931" s="46"/>
    </row>
    <row r="932" spans="2:6">
      <c r="B932" s="12"/>
      <c r="F932" s="46"/>
    </row>
    <row r="933" spans="2:6">
      <c r="B933" s="12"/>
      <c r="F933" s="46"/>
    </row>
    <row r="934" spans="2:6">
      <c r="B934" s="12"/>
      <c r="F934" s="46"/>
    </row>
    <row r="935" spans="2:6">
      <c r="B935" s="12"/>
      <c r="F935" s="46"/>
    </row>
    <row r="936" spans="2:6">
      <c r="B936" s="12"/>
      <c r="F936" s="46"/>
    </row>
    <row r="937" spans="2:6">
      <c r="B937" s="12"/>
      <c r="F937" s="46"/>
    </row>
    <row r="938" spans="2:6">
      <c r="B938" s="12"/>
      <c r="F938" s="46"/>
    </row>
    <row r="939" spans="2:6">
      <c r="B939" s="12"/>
      <c r="F939" s="46"/>
    </row>
    <row r="940" spans="2:6">
      <c r="B940" s="12"/>
      <c r="F940" s="46"/>
    </row>
    <row r="941" spans="2:6">
      <c r="B941" s="12"/>
      <c r="F941" s="46"/>
    </row>
    <row r="942" spans="2:6">
      <c r="B942" s="12"/>
      <c r="F942" s="46"/>
    </row>
    <row r="943" spans="2:6">
      <c r="B943" s="12"/>
      <c r="F943" s="46"/>
    </row>
    <row r="944" spans="2:6">
      <c r="B944" s="12"/>
      <c r="F944" s="46"/>
    </row>
    <row r="945" spans="2:6">
      <c r="B945" s="12"/>
      <c r="F945" s="46"/>
    </row>
    <row r="946" spans="2:6">
      <c r="B946" s="12"/>
      <c r="F946" s="46"/>
    </row>
    <row r="947" spans="2:6">
      <c r="B947" s="12"/>
      <c r="F947" s="46"/>
    </row>
    <row r="948" spans="2:6">
      <c r="B948" s="12"/>
      <c r="F948" s="46"/>
    </row>
    <row r="949" spans="2:6">
      <c r="B949" s="12"/>
      <c r="F949" s="46"/>
    </row>
    <row r="950" spans="2:6">
      <c r="B950" s="12"/>
      <c r="F950" s="46"/>
    </row>
    <row r="951" spans="2:6">
      <c r="B951" s="12"/>
      <c r="F951" s="46"/>
    </row>
    <row r="952" spans="2:6">
      <c r="B952" s="12"/>
      <c r="F952" s="46"/>
    </row>
    <row r="953" spans="2:6">
      <c r="B953" s="12"/>
      <c r="F953" s="46"/>
    </row>
    <row r="954" spans="2:6">
      <c r="B954" s="12"/>
      <c r="F954" s="46"/>
    </row>
    <row r="955" spans="2:6">
      <c r="B955" s="12"/>
      <c r="F955" s="46"/>
    </row>
    <row r="956" spans="2:6">
      <c r="B956" s="12"/>
      <c r="F956" s="46"/>
    </row>
    <row r="957" spans="2:6">
      <c r="B957" s="12"/>
      <c r="F957" s="46"/>
    </row>
    <row r="958" spans="2:6">
      <c r="B958" s="12"/>
      <c r="F958" s="46"/>
    </row>
    <row r="959" spans="2:6">
      <c r="B959" s="12"/>
      <c r="F959" s="46"/>
    </row>
    <row r="960" spans="2:6">
      <c r="B960" s="12"/>
      <c r="F960" s="46"/>
    </row>
    <row r="961" spans="2:6">
      <c r="B961" s="12"/>
      <c r="F961" s="46"/>
    </row>
    <row r="962" spans="2:6">
      <c r="B962" s="12"/>
      <c r="F962" s="46"/>
    </row>
    <row r="963" spans="2:6">
      <c r="B963" s="12"/>
      <c r="F963" s="46"/>
    </row>
    <row r="964" spans="2:6">
      <c r="B964" s="12"/>
      <c r="F964" s="46"/>
    </row>
    <row r="965" spans="2:6">
      <c r="B965" s="12"/>
      <c r="F965" s="46"/>
    </row>
    <row r="966" spans="2:6">
      <c r="B966" s="12"/>
      <c r="F966" s="46"/>
    </row>
    <row r="967" spans="2:6">
      <c r="B967" s="12"/>
      <c r="F967" s="46"/>
    </row>
    <row r="968" spans="2:6">
      <c r="B968" s="12"/>
      <c r="F968" s="46"/>
    </row>
    <row r="969" spans="2:6">
      <c r="B969" s="12"/>
      <c r="F969" s="46"/>
    </row>
    <row r="970" spans="2:6">
      <c r="B970" s="12"/>
      <c r="F970" s="46"/>
    </row>
    <row r="971" spans="2:6">
      <c r="B971" s="12"/>
      <c r="F971" s="46"/>
    </row>
    <row r="972" spans="2:6">
      <c r="B972" s="12"/>
      <c r="F972" s="46"/>
    </row>
    <row r="973" spans="2:6">
      <c r="B973" s="12"/>
      <c r="F973" s="46"/>
    </row>
    <row r="974" spans="2:6">
      <c r="B974" s="12"/>
      <c r="F974" s="46"/>
    </row>
    <row r="975" spans="2:6">
      <c r="B975" s="12"/>
      <c r="F975" s="46"/>
    </row>
    <row r="976" spans="2:6">
      <c r="B976" s="12"/>
      <c r="F976" s="46"/>
    </row>
    <row r="977" spans="2:6">
      <c r="B977" s="12"/>
      <c r="F977" s="46"/>
    </row>
    <row r="978" spans="2:6">
      <c r="B978" s="12"/>
      <c r="F978" s="46"/>
    </row>
    <row r="979" spans="2:6">
      <c r="B979" s="12"/>
      <c r="F979" s="46"/>
    </row>
    <row r="980" spans="2:6">
      <c r="B980" s="12"/>
      <c r="F980" s="46"/>
    </row>
    <row r="981" spans="2:6">
      <c r="B981" s="12"/>
      <c r="F981" s="46"/>
    </row>
    <row r="982" spans="2:6">
      <c r="B982" s="12"/>
      <c r="F982" s="46"/>
    </row>
    <row r="983" spans="2:6">
      <c r="B983" s="12"/>
      <c r="F983" s="46"/>
    </row>
    <row r="984" spans="2:6">
      <c r="B984" s="12"/>
      <c r="F984" s="46"/>
    </row>
    <row r="985" spans="2:6">
      <c r="B985" s="12"/>
      <c r="F985" s="46"/>
    </row>
    <row r="986" spans="2:6">
      <c r="B986" s="12"/>
      <c r="F986" s="46"/>
    </row>
    <row r="987" spans="2:6">
      <c r="B987" s="12"/>
      <c r="F987" s="46"/>
    </row>
    <row r="988" spans="2:6">
      <c r="B988" s="12"/>
      <c r="F988" s="46"/>
    </row>
    <row r="989" spans="2:6">
      <c r="B989" s="12"/>
      <c r="F989" s="46"/>
    </row>
    <row r="990" spans="2:6">
      <c r="B990" s="12"/>
      <c r="F990" s="46"/>
    </row>
    <row r="991" spans="2:6">
      <c r="B991" s="12"/>
      <c r="F991" s="46"/>
    </row>
    <row r="992" spans="2:6">
      <c r="B992" s="12"/>
      <c r="F992" s="46"/>
    </row>
    <row r="993" spans="2:6">
      <c r="B993" s="12"/>
      <c r="F993" s="46"/>
    </row>
    <row r="994" spans="2:6">
      <c r="B994" s="12"/>
      <c r="F994" s="46"/>
    </row>
    <row r="995" spans="2:6">
      <c r="B995" s="12"/>
      <c r="F995" s="46"/>
    </row>
    <row r="996" spans="2:6">
      <c r="B996" s="12"/>
      <c r="F996" s="46"/>
    </row>
    <row r="997" spans="2:6">
      <c r="B997" s="12"/>
      <c r="F997" s="46"/>
    </row>
    <row r="998" spans="2:6">
      <c r="B998" s="12"/>
      <c r="F998" s="46"/>
    </row>
    <row r="999" spans="2:6">
      <c r="B999" s="12"/>
      <c r="F999" s="46"/>
    </row>
    <row r="1000" spans="2:6">
      <c r="B1000" s="12"/>
      <c r="F1000" s="46"/>
    </row>
    <row r="1001" spans="2:6">
      <c r="B1001" s="12"/>
      <c r="F1001" s="46"/>
    </row>
    <row r="1002" spans="2:6">
      <c r="B1002" s="12"/>
      <c r="F1002" s="46"/>
    </row>
    <row r="1003" spans="2:6">
      <c r="B1003" s="12"/>
      <c r="F1003" s="46"/>
    </row>
    <row r="1004" spans="2:6">
      <c r="B1004" s="12"/>
      <c r="F1004" s="46"/>
    </row>
    <row r="1005" spans="2:6">
      <c r="B1005" s="12"/>
      <c r="F1005" s="46"/>
    </row>
    <row r="1006" spans="2:6">
      <c r="B1006" s="12"/>
      <c r="F1006" s="46"/>
    </row>
    <row r="1007" spans="2:6">
      <c r="B1007" s="12"/>
      <c r="F1007" s="46"/>
    </row>
    <row r="1008" spans="2:6">
      <c r="B1008" s="12"/>
      <c r="F1008" s="46"/>
    </row>
    <row r="1009" spans="2:6">
      <c r="B1009" s="12"/>
      <c r="F1009" s="46"/>
    </row>
    <row r="1010" spans="2:6">
      <c r="B1010" s="12"/>
      <c r="F1010" s="46"/>
    </row>
    <row r="1011" spans="2:6">
      <c r="B1011" s="12"/>
      <c r="F1011" s="46"/>
    </row>
    <row r="1012" spans="2:6">
      <c r="B1012" s="12"/>
      <c r="F1012" s="46"/>
    </row>
    <row r="1013" spans="2:6">
      <c r="B1013" s="12"/>
      <c r="F1013" s="46"/>
    </row>
    <row r="1014" spans="2:6">
      <c r="B1014" s="12"/>
      <c r="F1014" s="46"/>
    </row>
    <row r="1015" spans="2:6">
      <c r="B1015" s="12"/>
      <c r="F1015" s="46"/>
    </row>
    <row r="1016" spans="2:6">
      <c r="B1016" s="12"/>
      <c r="F1016" s="46"/>
    </row>
    <row r="1017" spans="2:6">
      <c r="B1017" s="12"/>
      <c r="F1017" s="46"/>
    </row>
    <row r="1018" spans="2:6">
      <c r="B1018" s="12"/>
      <c r="F1018" s="46"/>
    </row>
    <row r="1019" spans="2:6">
      <c r="B1019" s="12"/>
      <c r="F1019" s="46"/>
    </row>
    <row r="1020" spans="2:6">
      <c r="B1020" s="12"/>
      <c r="F1020" s="46"/>
    </row>
    <row r="1021" spans="2:6">
      <c r="B1021" s="12"/>
      <c r="F1021" s="46"/>
    </row>
    <row r="1022" spans="2:6">
      <c r="B1022" s="12"/>
      <c r="F1022" s="46"/>
    </row>
    <row r="1023" spans="2:6">
      <c r="B1023" s="12"/>
      <c r="F1023" s="46"/>
    </row>
    <row r="1024" spans="2:6">
      <c r="B1024" s="12"/>
      <c r="F1024" s="46"/>
    </row>
    <row r="1025" spans="2:6">
      <c r="B1025" s="12"/>
      <c r="F1025" s="46"/>
    </row>
    <row r="1026" spans="2:6">
      <c r="B1026" s="12"/>
      <c r="F1026" s="46"/>
    </row>
    <row r="1027" spans="2:6">
      <c r="B1027" s="12"/>
      <c r="F1027" s="46"/>
    </row>
    <row r="1028" spans="2:6">
      <c r="B1028" s="12"/>
      <c r="F1028" s="46"/>
    </row>
    <row r="1029" spans="2:6">
      <c r="B1029" s="12"/>
      <c r="F1029" s="46"/>
    </row>
    <row r="1030" spans="2:6">
      <c r="B1030" s="12"/>
      <c r="F1030" s="46"/>
    </row>
    <row r="1031" spans="2:6">
      <c r="B1031" s="12"/>
      <c r="F1031" s="46"/>
    </row>
    <row r="1032" spans="2:6">
      <c r="B1032" s="12"/>
      <c r="F1032" s="46"/>
    </row>
    <row r="1033" spans="2:6">
      <c r="B1033" s="12"/>
      <c r="F1033" s="46"/>
    </row>
    <row r="1034" spans="2:6">
      <c r="B1034" s="12"/>
      <c r="F1034" s="46"/>
    </row>
    <row r="1035" spans="2:6">
      <c r="B1035" s="12"/>
      <c r="F1035" s="46"/>
    </row>
    <row r="1036" spans="2:6">
      <c r="B1036" s="12"/>
      <c r="F1036" s="46"/>
    </row>
    <row r="1037" spans="2:6">
      <c r="B1037" s="12"/>
      <c r="F1037" s="46"/>
    </row>
    <row r="1038" spans="2:6">
      <c r="B1038" s="12"/>
      <c r="F1038" s="46"/>
    </row>
    <row r="1039" spans="2:6">
      <c r="B1039" s="12"/>
      <c r="F1039" s="46"/>
    </row>
    <row r="1040" spans="2:6">
      <c r="B1040" s="12"/>
      <c r="F1040" s="46"/>
    </row>
    <row r="1041" spans="2:6">
      <c r="B1041" s="12"/>
      <c r="F1041" s="46"/>
    </row>
    <row r="1042" spans="2:6">
      <c r="B1042" s="12"/>
      <c r="F1042" s="46"/>
    </row>
    <row r="1043" spans="2:6">
      <c r="B1043" s="12"/>
      <c r="F1043" s="46"/>
    </row>
    <row r="1044" spans="2:6">
      <c r="B1044" s="12"/>
      <c r="F1044" s="46"/>
    </row>
    <row r="1045" spans="2:6">
      <c r="B1045" s="12"/>
      <c r="F1045" s="46"/>
    </row>
    <row r="1046" spans="2:6">
      <c r="B1046" s="12"/>
      <c r="F1046" s="46"/>
    </row>
    <row r="1047" spans="2:6">
      <c r="B1047" s="12"/>
      <c r="F1047" s="46"/>
    </row>
    <row r="1048" spans="2:6">
      <c r="B1048" s="12"/>
      <c r="F1048" s="46"/>
    </row>
    <row r="1049" spans="2:6">
      <c r="B1049" s="12"/>
      <c r="F1049" s="46"/>
    </row>
    <row r="1050" spans="2:6">
      <c r="B1050" s="12"/>
      <c r="F1050" s="46"/>
    </row>
    <row r="1051" spans="2:6">
      <c r="B1051" s="12"/>
      <c r="F1051" s="46"/>
    </row>
    <row r="1052" spans="2:6">
      <c r="B1052" s="12"/>
      <c r="F1052" s="46"/>
    </row>
    <row r="1053" spans="2:6">
      <c r="B1053" s="12"/>
      <c r="F1053" s="46"/>
    </row>
    <row r="1054" spans="2:6">
      <c r="B1054" s="12"/>
      <c r="F1054" s="46"/>
    </row>
    <row r="1055" spans="2:6">
      <c r="B1055" s="12"/>
      <c r="F1055" s="46"/>
    </row>
    <row r="1056" spans="2:6">
      <c r="B1056" s="12"/>
      <c r="F1056" s="46"/>
    </row>
    <row r="1057" spans="2:6">
      <c r="B1057" s="12"/>
      <c r="F1057" s="46"/>
    </row>
    <row r="1058" spans="2:6">
      <c r="B1058" s="12"/>
      <c r="F1058" s="46"/>
    </row>
    <row r="1059" spans="2:6">
      <c r="B1059" s="12"/>
      <c r="F1059" s="46"/>
    </row>
    <row r="1060" spans="2:6">
      <c r="B1060" s="12"/>
      <c r="F1060" s="46"/>
    </row>
    <row r="1061" spans="2:6">
      <c r="B1061" s="12"/>
      <c r="F1061" s="46"/>
    </row>
    <row r="1062" spans="2:6">
      <c r="B1062" s="12"/>
      <c r="F1062" s="46"/>
    </row>
    <row r="1063" spans="2:6">
      <c r="B1063" s="12"/>
      <c r="F1063" s="46"/>
    </row>
    <row r="1064" spans="2:6">
      <c r="B1064" s="12"/>
      <c r="F1064" s="46"/>
    </row>
    <row r="1065" spans="2:6">
      <c r="B1065" s="12"/>
      <c r="F1065" s="46"/>
    </row>
    <row r="1066" spans="2:6">
      <c r="B1066" s="12"/>
      <c r="F1066" s="46"/>
    </row>
    <row r="1067" spans="2:6">
      <c r="B1067" s="12"/>
      <c r="F1067" s="46"/>
    </row>
    <row r="1068" spans="2:6">
      <c r="B1068" s="12"/>
      <c r="F1068" s="46"/>
    </row>
    <row r="1069" spans="2:6">
      <c r="B1069" s="12"/>
      <c r="F1069" s="46"/>
    </row>
    <row r="1070" spans="2:6">
      <c r="B1070" s="12"/>
      <c r="F1070" s="46"/>
    </row>
    <row r="1071" spans="2:6">
      <c r="B1071" s="12"/>
      <c r="F1071" s="46"/>
    </row>
    <row r="1072" spans="2:6">
      <c r="B1072" s="12"/>
      <c r="F1072" s="46"/>
    </row>
    <row r="1073" spans="2:6">
      <c r="B1073" s="12"/>
      <c r="F1073" s="46"/>
    </row>
    <row r="1074" spans="2:6">
      <c r="B1074" s="12"/>
      <c r="F1074" s="46"/>
    </row>
    <row r="1075" spans="2:6">
      <c r="B1075" s="12"/>
      <c r="F1075" s="46"/>
    </row>
    <row r="1076" spans="2:6">
      <c r="B1076" s="12"/>
      <c r="F1076" s="46"/>
    </row>
    <row r="1077" spans="2:6">
      <c r="B1077" s="12"/>
      <c r="F1077" s="46"/>
    </row>
    <row r="1078" spans="2:6">
      <c r="B1078" s="12"/>
      <c r="F1078" s="46"/>
    </row>
    <row r="1079" spans="2:6">
      <c r="B1079" s="12"/>
      <c r="F1079" s="46"/>
    </row>
    <row r="1080" spans="2:6">
      <c r="B1080" s="12"/>
      <c r="F1080" s="46"/>
    </row>
    <row r="1081" spans="2:6">
      <c r="B1081" s="12"/>
      <c r="F1081" s="46"/>
    </row>
    <row r="1082" spans="2:6">
      <c r="B1082" s="12"/>
      <c r="F1082" s="46"/>
    </row>
    <row r="1083" spans="2:6">
      <c r="B1083" s="12"/>
      <c r="F1083" s="46"/>
    </row>
    <row r="1084" spans="2:6">
      <c r="B1084" s="12"/>
      <c r="F1084" s="46"/>
    </row>
    <row r="1085" spans="2:6">
      <c r="B1085" s="12"/>
      <c r="F1085" s="46"/>
    </row>
    <row r="1086" spans="2:6">
      <c r="B1086" s="12"/>
      <c r="F1086" s="46"/>
    </row>
    <row r="1087" spans="2:6">
      <c r="B1087" s="12"/>
      <c r="F1087" s="46"/>
    </row>
    <row r="1088" spans="2:6">
      <c r="B1088" s="12"/>
      <c r="F1088" s="46"/>
    </row>
    <row r="1089" spans="2:6">
      <c r="B1089" s="12"/>
      <c r="F1089" s="46"/>
    </row>
    <row r="1090" spans="2:6">
      <c r="B1090" s="12"/>
      <c r="F1090" s="46"/>
    </row>
    <row r="1091" spans="2:6">
      <c r="B1091" s="12"/>
      <c r="F1091" s="46"/>
    </row>
    <row r="1092" spans="2:6">
      <c r="B1092" s="12"/>
      <c r="F1092" s="46"/>
    </row>
    <row r="1093" spans="2:6">
      <c r="B1093" s="12"/>
      <c r="F1093" s="46"/>
    </row>
    <row r="1094" spans="2:6">
      <c r="B1094" s="12"/>
      <c r="F1094" s="46"/>
    </row>
    <row r="1095" spans="2:6">
      <c r="B1095" s="12"/>
      <c r="F1095" s="46"/>
    </row>
    <row r="1096" spans="2:6">
      <c r="B1096" s="12"/>
      <c r="F1096" s="46"/>
    </row>
    <row r="1097" spans="2:6">
      <c r="B1097" s="12"/>
      <c r="F1097" s="46"/>
    </row>
    <row r="1098" spans="2:6">
      <c r="B1098" s="12"/>
      <c r="F1098" s="46"/>
    </row>
    <row r="1099" spans="2:6">
      <c r="B1099" s="12"/>
      <c r="F1099" s="46"/>
    </row>
    <row r="1100" spans="2:6">
      <c r="B1100" s="12"/>
      <c r="F1100" s="46"/>
    </row>
    <row r="1101" spans="2:6">
      <c r="B1101" s="12"/>
      <c r="F1101" s="46"/>
    </row>
    <row r="1102" spans="2:6">
      <c r="B1102" s="12"/>
      <c r="F1102" s="46"/>
    </row>
    <row r="1103" spans="2:6">
      <c r="B1103" s="12"/>
      <c r="F1103" s="46"/>
    </row>
    <row r="1104" spans="2:6">
      <c r="B1104" s="12"/>
      <c r="F1104" s="46"/>
    </row>
    <row r="1105" spans="2:6">
      <c r="B1105" s="12"/>
      <c r="F1105" s="46"/>
    </row>
    <row r="1106" spans="2:6">
      <c r="B1106" s="12"/>
      <c r="F1106" s="46"/>
    </row>
    <row r="1107" spans="2:6">
      <c r="B1107" s="12"/>
      <c r="F1107" s="46"/>
    </row>
    <row r="1108" spans="2:6">
      <c r="B1108" s="12"/>
      <c r="F1108" s="46"/>
    </row>
    <row r="1109" spans="2:6">
      <c r="B1109" s="12"/>
      <c r="F1109" s="46"/>
    </row>
    <row r="1110" spans="2:6">
      <c r="B1110" s="12"/>
      <c r="F1110" s="46"/>
    </row>
    <row r="1111" spans="2:6">
      <c r="B1111" s="12"/>
      <c r="F1111" s="46"/>
    </row>
    <row r="1112" spans="2:6">
      <c r="B1112" s="12"/>
      <c r="F1112" s="46"/>
    </row>
    <row r="1113" spans="2:6">
      <c r="B1113" s="12"/>
      <c r="F1113" s="46"/>
    </row>
    <row r="1114" spans="2:6">
      <c r="B1114" s="12"/>
      <c r="F1114" s="46"/>
    </row>
    <row r="1115" spans="2:6">
      <c r="B1115" s="12"/>
      <c r="F1115" s="46"/>
    </row>
    <row r="1116" spans="2:6">
      <c r="B1116" s="12"/>
      <c r="F1116" s="46"/>
    </row>
    <row r="1117" spans="2:6">
      <c r="B1117" s="12"/>
      <c r="F1117" s="46"/>
    </row>
    <row r="1118" spans="2:6">
      <c r="B1118" s="12"/>
      <c r="F1118" s="46"/>
    </row>
    <row r="1119" spans="2:6">
      <c r="B1119" s="12"/>
      <c r="F1119" s="46"/>
    </row>
    <row r="1120" spans="2:6">
      <c r="B1120" s="12"/>
      <c r="F1120" s="46"/>
    </row>
    <row r="1121" spans="2:6">
      <c r="B1121" s="12"/>
      <c r="F1121" s="46"/>
    </row>
    <row r="1122" spans="2:6">
      <c r="B1122" s="12"/>
      <c r="F1122" s="46"/>
    </row>
    <row r="1123" spans="2:6">
      <c r="B1123" s="12"/>
      <c r="F1123" s="46"/>
    </row>
    <row r="1124" spans="2:6">
      <c r="B1124" s="12"/>
      <c r="F1124" s="46"/>
    </row>
    <row r="1125" spans="2:6">
      <c r="B1125" s="12"/>
      <c r="F1125" s="46"/>
    </row>
    <row r="1126" spans="2:6">
      <c r="B1126" s="12"/>
      <c r="F1126" s="46"/>
    </row>
    <row r="1127" spans="2:6">
      <c r="B1127" s="12"/>
      <c r="F1127" s="46"/>
    </row>
    <row r="1128" spans="2:6">
      <c r="B1128" s="12"/>
      <c r="F1128" s="46"/>
    </row>
    <row r="1129" spans="2:6">
      <c r="B1129" s="12"/>
      <c r="F1129" s="46"/>
    </row>
    <row r="1130" spans="2:6">
      <c r="B1130" s="12"/>
      <c r="F1130" s="46"/>
    </row>
    <row r="1131" spans="2:6">
      <c r="B1131" s="12"/>
      <c r="F1131" s="46"/>
    </row>
    <row r="1132" spans="2:6">
      <c r="B1132" s="12"/>
      <c r="F1132" s="46"/>
    </row>
    <row r="1133" spans="2:6">
      <c r="B1133" s="12"/>
      <c r="F1133" s="46"/>
    </row>
    <row r="1134" spans="2:6">
      <c r="B1134" s="12"/>
      <c r="F1134" s="46"/>
    </row>
    <row r="1135" spans="2:6">
      <c r="B1135" s="12"/>
      <c r="F1135" s="46"/>
    </row>
    <row r="1136" spans="2:6">
      <c r="B1136" s="12"/>
      <c r="F1136" s="46"/>
    </row>
    <row r="1137" spans="2:6">
      <c r="B1137" s="12"/>
      <c r="F1137" s="46"/>
    </row>
    <row r="1138" spans="2:6">
      <c r="B1138" s="12"/>
      <c r="F1138" s="46"/>
    </row>
    <row r="1139" spans="2:6">
      <c r="B1139" s="12"/>
      <c r="F1139" s="46"/>
    </row>
    <row r="1140" spans="2:6">
      <c r="B1140" s="12"/>
      <c r="F1140" s="46"/>
    </row>
    <row r="1141" spans="2:6">
      <c r="B1141" s="12"/>
      <c r="F1141" s="46"/>
    </row>
    <row r="1142" spans="2:6">
      <c r="B1142" s="12"/>
      <c r="F1142" s="46"/>
    </row>
    <row r="1143" spans="2:6">
      <c r="B1143" s="12"/>
      <c r="F1143" s="46"/>
    </row>
    <row r="1144" spans="2:6">
      <c r="B1144" s="12"/>
      <c r="F1144" s="46"/>
    </row>
    <row r="1145" spans="2:6">
      <c r="B1145" s="12"/>
      <c r="F1145" s="46"/>
    </row>
    <row r="1146" spans="2:6">
      <c r="B1146" s="12"/>
      <c r="F1146" s="46"/>
    </row>
    <row r="1147" spans="2:6">
      <c r="B1147" s="12"/>
      <c r="F1147" s="46"/>
    </row>
    <row r="1148" spans="2:6">
      <c r="B1148" s="12"/>
      <c r="F1148" s="46"/>
    </row>
    <row r="1149" spans="2:6">
      <c r="B1149" s="12"/>
      <c r="F1149" s="46"/>
    </row>
    <row r="1150" spans="2:6">
      <c r="B1150" s="12"/>
      <c r="F1150" s="46"/>
    </row>
    <row r="1151" spans="2:6">
      <c r="B1151" s="12"/>
      <c r="F1151" s="46"/>
    </row>
    <row r="1152" spans="2:6">
      <c r="B1152" s="12"/>
      <c r="F1152" s="46"/>
    </row>
    <row r="1153" spans="2:6">
      <c r="B1153" s="12"/>
      <c r="F1153" s="46"/>
    </row>
    <row r="1154" spans="2:6">
      <c r="B1154" s="12"/>
      <c r="F1154" s="46"/>
    </row>
    <row r="1155" spans="2:6">
      <c r="B1155" s="12"/>
      <c r="F1155" s="46"/>
    </row>
    <row r="1156" spans="2:6">
      <c r="B1156" s="12"/>
      <c r="F1156" s="46"/>
    </row>
    <row r="1157" spans="2:6">
      <c r="B1157" s="12"/>
      <c r="F1157" s="46"/>
    </row>
    <row r="1158" spans="2:6">
      <c r="B1158" s="12"/>
      <c r="F1158" s="46"/>
    </row>
    <row r="1159" spans="2:6">
      <c r="B1159" s="12"/>
      <c r="F1159" s="46"/>
    </row>
    <row r="1160" spans="2:6">
      <c r="B1160" s="12"/>
      <c r="F1160" s="46"/>
    </row>
    <row r="1161" spans="2:6">
      <c r="B1161" s="12"/>
      <c r="F1161" s="46"/>
    </row>
    <row r="1162" spans="2:6">
      <c r="B1162" s="12"/>
      <c r="F1162" s="46"/>
    </row>
    <row r="1163" spans="2:6">
      <c r="B1163" s="12"/>
      <c r="F1163" s="46"/>
    </row>
    <row r="1164" spans="2:6">
      <c r="B1164" s="12"/>
      <c r="F1164" s="46"/>
    </row>
    <row r="1165" spans="2:6">
      <c r="B1165" s="12"/>
      <c r="F1165" s="46"/>
    </row>
    <row r="1166" spans="2:6">
      <c r="B1166" s="12"/>
      <c r="F1166" s="46"/>
    </row>
    <row r="1167" spans="2:6">
      <c r="B1167" s="12"/>
      <c r="F1167" s="46"/>
    </row>
    <row r="1168" spans="2:6">
      <c r="B1168" s="12"/>
      <c r="F1168" s="46"/>
    </row>
    <row r="1169" spans="2:6">
      <c r="B1169" s="12"/>
      <c r="F1169" s="46"/>
    </row>
    <row r="1170" spans="2:6">
      <c r="B1170" s="12"/>
      <c r="F1170" s="46"/>
    </row>
    <row r="1171" spans="2:6">
      <c r="B1171" s="12"/>
      <c r="F1171" s="46"/>
    </row>
    <row r="1172" spans="2:6">
      <c r="B1172" s="12"/>
      <c r="F1172" s="46"/>
    </row>
    <row r="1173" spans="2:6">
      <c r="B1173" s="12"/>
      <c r="F1173" s="46"/>
    </row>
    <row r="1174" spans="2:6">
      <c r="B1174" s="12"/>
      <c r="F1174" s="46"/>
    </row>
    <row r="1175" spans="2:6">
      <c r="B1175" s="12"/>
      <c r="F1175" s="46"/>
    </row>
    <row r="1176" spans="2:6">
      <c r="B1176" s="12"/>
      <c r="F1176" s="46"/>
    </row>
    <row r="1177" spans="2:6">
      <c r="B1177" s="12"/>
      <c r="F1177" s="46"/>
    </row>
    <row r="1178" spans="2:6">
      <c r="B1178" s="12"/>
      <c r="F1178" s="46"/>
    </row>
    <row r="1179" spans="2:6">
      <c r="B1179" s="12"/>
      <c r="F1179" s="46"/>
    </row>
    <row r="1180" spans="2:6">
      <c r="B1180" s="12"/>
      <c r="F1180" s="46"/>
    </row>
    <row r="1181" spans="2:6">
      <c r="B1181" s="12"/>
      <c r="F1181" s="46"/>
    </row>
    <row r="1182" spans="2:6">
      <c r="B1182" s="12"/>
      <c r="F1182" s="46"/>
    </row>
    <row r="1183" spans="2:6">
      <c r="B1183" s="12"/>
      <c r="F1183" s="46"/>
    </row>
    <row r="1184" spans="2:6">
      <c r="B1184" s="12"/>
      <c r="F1184" s="46"/>
    </row>
    <row r="1185" spans="2:6">
      <c r="B1185" s="12"/>
      <c r="F1185" s="46"/>
    </row>
    <row r="1186" spans="2:6">
      <c r="B1186" s="12"/>
      <c r="F1186" s="46"/>
    </row>
    <row r="1187" spans="2:6">
      <c r="B1187" s="12"/>
      <c r="F1187" s="46"/>
    </row>
    <row r="1188" spans="2:6">
      <c r="B1188" s="12"/>
      <c r="F1188" s="46"/>
    </row>
    <row r="1189" spans="2:6">
      <c r="B1189" s="12"/>
      <c r="F1189" s="46"/>
    </row>
    <row r="1190" spans="2:6">
      <c r="B1190" s="12"/>
      <c r="F1190" s="46"/>
    </row>
    <row r="1191" spans="2:6">
      <c r="B1191" s="12"/>
      <c r="F1191" s="46"/>
    </row>
    <row r="1192" spans="2:6">
      <c r="B1192" s="12"/>
      <c r="F1192" s="46"/>
    </row>
    <row r="1193" spans="2:6">
      <c r="B1193" s="12"/>
      <c r="F1193" s="46"/>
    </row>
    <row r="1194" spans="2:6">
      <c r="B1194" s="12"/>
      <c r="F1194" s="46"/>
    </row>
    <row r="1195" spans="2:6">
      <c r="B1195" s="12"/>
      <c r="F1195" s="46"/>
    </row>
    <row r="1196" spans="2:6">
      <c r="B1196" s="12"/>
      <c r="F1196" s="46"/>
    </row>
    <row r="1197" spans="2:6">
      <c r="B1197" s="12"/>
      <c r="F1197" s="46"/>
    </row>
    <row r="1198" spans="2:6">
      <c r="B1198" s="12"/>
      <c r="F1198" s="46"/>
    </row>
    <row r="1199" spans="2:6">
      <c r="B1199" s="12"/>
      <c r="F1199" s="46"/>
    </row>
    <row r="1200" spans="2:6">
      <c r="B1200" s="12"/>
      <c r="F1200" s="46"/>
    </row>
    <row r="1201" spans="2:6">
      <c r="B1201" s="12"/>
      <c r="F1201" s="46"/>
    </row>
    <row r="1202" spans="2:6">
      <c r="B1202" s="12"/>
      <c r="F1202" s="46"/>
    </row>
    <row r="1203" spans="2:6">
      <c r="B1203" s="12"/>
      <c r="F1203" s="46"/>
    </row>
    <row r="1204" spans="2:6">
      <c r="B1204" s="12"/>
      <c r="F1204" s="46"/>
    </row>
    <row r="1205" spans="2:6">
      <c r="B1205" s="12"/>
      <c r="F1205" s="46"/>
    </row>
    <row r="1206" spans="2:6">
      <c r="B1206" s="12"/>
      <c r="F1206" s="46"/>
    </row>
    <row r="1207" spans="2:6">
      <c r="B1207" s="12"/>
      <c r="F1207" s="46"/>
    </row>
    <row r="1208" spans="2:6">
      <c r="B1208" s="12"/>
      <c r="F1208" s="46"/>
    </row>
    <row r="1209" spans="2:6">
      <c r="B1209" s="12"/>
      <c r="F1209" s="46"/>
    </row>
    <row r="1210" spans="2:6">
      <c r="B1210" s="12"/>
      <c r="F1210" s="46"/>
    </row>
    <row r="1211" spans="2:6">
      <c r="B1211" s="12"/>
      <c r="F1211" s="46"/>
    </row>
    <row r="1212" spans="2:6">
      <c r="B1212" s="12"/>
      <c r="F1212" s="46"/>
    </row>
    <row r="1213" spans="2:6">
      <c r="B1213" s="12"/>
      <c r="F1213" s="46"/>
    </row>
    <row r="1214" spans="2:6">
      <c r="B1214" s="12"/>
      <c r="F1214" s="46"/>
    </row>
    <row r="1215" spans="2:6">
      <c r="B1215" s="12"/>
      <c r="F1215" s="46"/>
    </row>
    <row r="1216" spans="2:6">
      <c r="B1216" s="12"/>
      <c r="F1216" s="46"/>
    </row>
    <row r="1217" spans="2:6">
      <c r="B1217" s="12"/>
      <c r="F1217" s="46"/>
    </row>
    <row r="1218" spans="2:6">
      <c r="B1218" s="12"/>
      <c r="F1218" s="46"/>
    </row>
    <row r="1219" spans="2:6">
      <c r="B1219" s="12"/>
      <c r="F1219" s="46"/>
    </row>
    <row r="1220" spans="2:6">
      <c r="B1220" s="12"/>
      <c r="F1220" s="46"/>
    </row>
    <row r="1221" spans="2:6">
      <c r="B1221" s="12"/>
      <c r="F1221" s="46"/>
    </row>
    <row r="1222" spans="2:6">
      <c r="B1222" s="12"/>
      <c r="F1222" s="46"/>
    </row>
    <row r="1223" spans="2:6">
      <c r="B1223" s="12"/>
      <c r="F1223" s="46"/>
    </row>
    <row r="1224" spans="2:6">
      <c r="B1224" s="12"/>
      <c r="F1224" s="46"/>
    </row>
    <row r="1225" spans="2:6">
      <c r="B1225" s="12"/>
      <c r="F1225" s="46"/>
    </row>
    <row r="1226" spans="2:6">
      <c r="B1226" s="12"/>
      <c r="F1226" s="46"/>
    </row>
    <row r="1227" spans="2:6">
      <c r="B1227" s="12"/>
      <c r="F1227" s="46"/>
    </row>
    <row r="1228" spans="2:6">
      <c r="B1228" s="12"/>
      <c r="F1228" s="46"/>
    </row>
    <row r="1229" spans="2:6">
      <c r="B1229" s="12"/>
      <c r="F1229" s="46"/>
    </row>
    <row r="1230" spans="2:6">
      <c r="B1230" s="12"/>
      <c r="F1230" s="46"/>
    </row>
    <row r="1231" spans="2:6">
      <c r="B1231" s="12"/>
      <c r="F1231" s="46"/>
    </row>
    <row r="1232" spans="2:6">
      <c r="B1232" s="12"/>
      <c r="F1232" s="46"/>
    </row>
    <row r="1233" spans="2:6">
      <c r="B1233" s="12"/>
      <c r="F1233" s="46"/>
    </row>
    <row r="1234" spans="2:6">
      <c r="B1234" s="12"/>
      <c r="F1234" s="46"/>
    </row>
    <row r="1235" spans="2:6">
      <c r="B1235" s="12"/>
      <c r="F1235" s="46"/>
    </row>
    <row r="1236" spans="2:6">
      <c r="B1236" s="12"/>
      <c r="F1236" s="46"/>
    </row>
    <row r="1237" spans="2:6">
      <c r="B1237" s="12"/>
      <c r="F1237" s="46"/>
    </row>
    <row r="1238" spans="2:6">
      <c r="B1238" s="12"/>
      <c r="F1238" s="46"/>
    </row>
    <row r="1239" spans="2:6">
      <c r="B1239" s="12"/>
      <c r="F1239" s="46"/>
    </row>
    <row r="1240" spans="2:6">
      <c r="B1240" s="12"/>
      <c r="F1240" s="46"/>
    </row>
    <row r="1241" spans="2:6">
      <c r="B1241" s="12"/>
      <c r="F1241" s="46"/>
    </row>
    <row r="1242" spans="2:6">
      <c r="B1242" s="12"/>
      <c r="F1242" s="46"/>
    </row>
    <row r="1243" spans="2:6">
      <c r="B1243" s="12"/>
      <c r="F1243" s="46"/>
    </row>
    <row r="1244" spans="2:6">
      <c r="B1244" s="12"/>
      <c r="F1244" s="46"/>
    </row>
    <row r="1245" spans="2:6">
      <c r="B1245" s="12"/>
      <c r="F1245" s="46"/>
    </row>
    <row r="1246" spans="2:6">
      <c r="B1246" s="12"/>
      <c r="F1246" s="46"/>
    </row>
    <row r="1247" spans="2:6">
      <c r="B1247" s="12"/>
      <c r="F1247" s="46"/>
    </row>
    <row r="1248" spans="2:6">
      <c r="B1248" s="12"/>
      <c r="F1248" s="46"/>
    </row>
    <row r="1249" spans="2:6">
      <c r="B1249" s="12"/>
      <c r="F1249" s="46"/>
    </row>
    <row r="1250" spans="2:6">
      <c r="B1250" s="12"/>
      <c r="F1250" s="46"/>
    </row>
    <row r="1251" spans="2:6">
      <c r="B1251" s="12"/>
      <c r="F1251" s="46"/>
    </row>
    <row r="1252" spans="2:6">
      <c r="B1252" s="12"/>
      <c r="F1252" s="46"/>
    </row>
    <row r="1253" spans="2:6">
      <c r="B1253" s="12"/>
      <c r="F1253" s="46"/>
    </row>
    <row r="1254" spans="2:6">
      <c r="B1254" s="12"/>
      <c r="F1254" s="46"/>
    </row>
    <row r="1255" spans="2:6">
      <c r="B1255" s="12"/>
      <c r="F1255" s="46"/>
    </row>
    <row r="1256" spans="2:6">
      <c r="B1256" s="12"/>
      <c r="F1256" s="46"/>
    </row>
    <row r="1257" spans="2:6">
      <c r="B1257" s="12"/>
      <c r="F1257" s="46"/>
    </row>
    <row r="1258" spans="2:6">
      <c r="B1258" s="12"/>
      <c r="F1258" s="46"/>
    </row>
    <row r="1259" spans="2:6">
      <c r="B1259" s="12"/>
      <c r="F1259" s="46"/>
    </row>
    <row r="1260" spans="2:6">
      <c r="B1260" s="12"/>
      <c r="F1260" s="46"/>
    </row>
    <row r="1261" spans="2:6">
      <c r="B1261" s="12"/>
      <c r="F1261" s="46"/>
    </row>
    <row r="1262" spans="2:6">
      <c r="B1262" s="12"/>
      <c r="F1262" s="46"/>
    </row>
    <row r="1263" spans="2:6">
      <c r="B1263" s="12"/>
      <c r="F1263" s="46"/>
    </row>
    <row r="1264" spans="2:6">
      <c r="B1264" s="12"/>
      <c r="F1264" s="46"/>
    </row>
    <row r="1265" spans="2:6">
      <c r="B1265" s="12"/>
      <c r="F1265" s="46"/>
    </row>
    <row r="1266" spans="2:6">
      <c r="B1266" s="12"/>
      <c r="F1266" s="46"/>
    </row>
    <row r="1267" spans="2:6">
      <c r="B1267" s="12"/>
      <c r="F1267" s="46"/>
    </row>
    <row r="1268" spans="2:6">
      <c r="B1268" s="12"/>
      <c r="F1268" s="46"/>
    </row>
    <row r="1269" spans="2:6">
      <c r="B1269" s="12"/>
      <c r="F1269" s="46"/>
    </row>
    <row r="1270" spans="2:6">
      <c r="B1270" s="12"/>
      <c r="F1270" s="46"/>
    </row>
    <row r="1271" spans="2:6">
      <c r="B1271" s="12"/>
      <c r="F1271" s="46"/>
    </row>
    <row r="1272" spans="2:6">
      <c r="B1272" s="12"/>
      <c r="F1272" s="46"/>
    </row>
    <row r="1273" spans="2:6">
      <c r="B1273" s="12"/>
      <c r="F1273" s="46"/>
    </row>
    <row r="1274" spans="2:6">
      <c r="B1274" s="12"/>
      <c r="F1274" s="46"/>
    </row>
    <row r="1275" spans="2:6">
      <c r="B1275" s="12"/>
      <c r="F1275" s="46"/>
    </row>
    <row r="1276" spans="2:6">
      <c r="B1276" s="12"/>
      <c r="F1276" s="46"/>
    </row>
    <row r="1277" spans="2:6">
      <c r="B1277" s="12"/>
      <c r="F1277" s="46"/>
    </row>
    <row r="1278" spans="2:6">
      <c r="B1278" s="12"/>
      <c r="F1278" s="46"/>
    </row>
    <row r="1279" spans="2:6">
      <c r="B1279" s="12"/>
      <c r="F1279" s="46"/>
    </row>
    <row r="1280" spans="2:6">
      <c r="B1280" s="12"/>
      <c r="F1280" s="46"/>
    </row>
    <row r="1281" spans="2:6">
      <c r="B1281" s="12"/>
      <c r="F1281" s="46"/>
    </row>
    <row r="1282" spans="2:6">
      <c r="B1282" s="12"/>
      <c r="F1282" s="46"/>
    </row>
    <row r="1283" spans="2:6">
      <c r="B1283" s="12"/>
      <c r="F1283" s="46"/>
    </row>
    <row r="1284" spans="2:6">
      <c r="B1284" s="12"/>
      <c r="F1284" s="46"/>
    </row>
    <row r="1285" spans="2:6">
      <c r="B1285" s="12"/>
      <c r="F1285" s="46"/>
    </row>
    <row r="1286" spans="2:6">
      <c r="B1286" s="12"/>
      <c r="F1286" s="46"/>
    </row>
    <row r="1287" spans="2:6">
      <c r="B1287" s="12"/>
      <c r="F1287" s="46"/>
    </row>
    <row r="1288" spans="2:6">
      <c r="B1288" s="12"/>
      <c r="F1288" s="46"/>
    </row>
    <row r="1289" spans="2:6">
      <c r="B1289" s="12"/>
      <c r="F1289" s="46"/>
    </row>
    <row r="1290" spans="2:6">
      <c r="B1290" s="12"/>
      <c r="F1290" s="46"/>
    </row>
    <row r="1291" spans="2:6">
      <c r="B1291" s="12"/>
      <c r="F1291" s="46"/>
    </row>
    <row r="1292" spans="2:6">
      <c r="B1292" s="12"/>
      <c r="F1292" s="46"/>
    </row>
    <row r="1293" spans="2:6">
      <c r="B1293" s="12"/>
      <c r="F1293" s="46"/>
    </row>
    <row r="1294" spans="2:6">
      <c r="B1294" s="12"/>
      <c r="F1294" s="46"/>
    </row>
    <row r="1295" spans="2:6">
      <c r="B1295" s="12"/>
      <c r="F1295" s="46"/>
    </row>
    <row r="1296" spans="2:6">
      <c r="B1296" s="12"/>
      <c r="F1296" s="46"/>
    </row>
    <row r="1297" spans="2:6">
      <c r="B1297" s="12"/>
      <c r="F1297" s="46"/>
    </row>
    <row r="1298" spans="2:6">
      <c r="B1298" s="12"/>
      <c r="F1298" s="46"/>
    </row>
    <row r="1299" spans="2:6">
      <c r="B1299" s="12"/>
      <c r="F1299" s="46"/>
    </row>
    <row r="1300" spans="2:6">
      <c r="B1300" s="12"/>
      <c r="F1300" s="46"/>
    </row>
    <row r="1301" spans="2:6">
      <c r="B1301" s="12"/>
      <c r="F1301" s="46"/>
    </row>
    <row r="1302" spans="2:6">
      <c r="B1302" s="12"/>
      <c r="F1302" s="46"/>
    </row>
    <row r="1303" spans="2:6">
      <c r="B1303" s="12"/>
      <c r="F1303" s="46"/>
    </row>
    <row r="1304" spans="2:6">
      <c r="B1304" s="12"/>
      <c r="F1304" s="46"/>
    </row>
    <row r="1305" spans="2:6">
      <c r="B1305" s="12"/>
      <c r="F1305" s="46"/>
    </row>
    <row r="1306" spans="2:6">
      <c r="B1306" s="12"/>
      <c r="F1306" s="46"/>
    </row>
    <row r="1307" spans="2:6">
      <c r="B1307" s="12"/>
      <c r="F1307" s="46"/>
    </row>
    <row r="1308" spans="2:6">
      <c r="B1308" s="12"/>
      <c r="F1308" s="46"/>
    </row>
    <row r="1309" spans="2:6">
      <c r="B1309" s="12"/>
      <c r="F1309" s="46"/>
    </row>
    <row r="1310" spans="2:6">
      <c r="B1310" s="12"/>
      <c r="F1310" s="46"/>
    </row>
    <row r="1311" spans="2:6">
      <c r="B1311" s="12"/>
      <c r="F1311" s="46"/>
    </row>
    <row r="1312" spans="2:6">
      <c r="B1312" s="12"/>
      <c r="F1312" s="46"/>
    </row>
    <row r="1313" spans="2:6">
      <c r="B1313" s="12"/>
      <c r="F1313" s="46"/>
    </row>
    <row r="1314" spans="2:6">
      <c r="B1314" s="12"/>
      <c r="F1314" s="46"/>
    </row>
    <row r="1315" spans="2:6">
      <c r="B1315" s="12"/>
      <c r="F1315" s="46"/>
    </row>
    <row r="1316" spans="2:6">
      <c r="B1316" s="12"/>
      <c r="F1316" s="46"/>
    </row>
    <row r="1317" spans="2:6">
      <c r="B1317" s="12"/>
      <c r="F1317" s="46"/>
    </row>
    <row r="1318" spans="2:6">
      <c r="B1318" s="12"/>
      <c r="F1318" s="46"/>
    </row>
    <row r="1319" spans="2:6">
      <c r="B1319" s="12"/>
      <c r="F1319" s="46"/>
    </row>
    <row r="1320" spans="2:6">
      <c r="B1320" s="12"/>
      <c r="F1320" s="46"/>
    </row>
    <row r="1321" spans="2:6">
      <c r="B1321" s="12"/>
      <c r="F1321" s="46"/>
    </row>
    <row r="1322" spans="2:6">
      <c r="B1322" s="12"/>
      <c r="F1322" s="46"/>
    </row>
    <row r="1323" spans="2:6">
      <c r="B1323" s="12"/>
      <c r="F1323" s="46"/>
    </row>
    <row r="1324" spans="2:6">
      <c r="B1324" s="12"/>
      <c r="F1324" s="46"/>
    </row>
    <row r="1325" spans="2:6">
      <c r="B1325" s="12"/>
      <c r="F1325" s="46"/>
    </row>
    <row r="1326" spans="2:6">
      <c r="B1326" s="12"/>
      <c r="F1326" s="46"/>
    </row>
    <row r="1327" spans="2:6">
      <c r="B1327" s="12"/>
      <c r="F1327" s="46"/>
    </row>
    <row r="1328" spans="2:6">
      <c r="B1328" s="12"/>
      <c r="F1328" s="46"/>
    </row>
    <row r="1329" spans="2:6">
      <c r="B1329" s="12"/>
      <c r="F1329" s="46"/>
    </row>
    <row r="1330" spans="2:6">
      <c r="B1330" s="12"/>
      <c r="F1330" s="46"/>
    </row>
    <row r="1331" spans="2:6">
      <c r="B1331" s="12"/>
      <c r="F1331" s="46"/>
    </row>
    <row r="1332" spans="2:6">
      <c r="B1332" s="12"/>
      <c r="F1332" s="46"/>
    </row>
    <row r="1333" spans="2:6">
      <c r="B1333" s="12"/>
      <c r="F1333" s="46"/>
    </row>
    <row r="1334" spans="2:6">
      <c r="B1334" s="12"/>
      <c r="F1334" s="46"/>
    </row>
    <row r="1335" spans="2:6">
      <c r="B1335" s="12"/>
      <c r="F1335" s="46"/>
    </row>
    <row r="1336" spans="2:6">
      <c r="B1336" s="12"/>
      <c r="F1336" s="46"/>
    </row>
    <row r="1337" spans="2:6">
      <c r="B1337" s="12"/>
      <c r="F1337" s="46"/>
    </row>
    <row r="1338" spans="2:6">
      <c r="B1338" s="12"/>
      <c r="F1338" s="46"/>
    </row>
    <row r="1339" spans="2:6">
      <c r="B1339" s="12"/>
      <c r="F1339" s="46"/>
    </row>
    <row r="1340" spans="2:6">
      <c r="B1340" s="12"/>
      <c r="F1340" s="46"/>
    </row>
    <row r="1341" spans="2:6">
      <c r="B1341" s="12"/>
      <c r="F1341" s="46"/>
    </row>
    <row r="1342" spans="2:6">
      <c r="B1342" s="12"/>
      <c r="F1342" s="46"/>
    </row>
    <row r="1343" spans="2:6">
      <c r="B1343" s="12"/>
      <c r="F1343" s="46"/>
    </row>
    <row r="1344" spans="2:6">
      <c r="B1344" s="12"/>
      <c r="F1344" s="46"/>
    </row>
    <row r="1345" spans="2:6">
      <c r="B1345" s="12"/>
      <c r="F1345" s="46"/>
    </row>
    <row r="1346" spans="2:6">
      <c r="B1346" s="12"/>
      <c r="F1346" s="46"/>
    </row>
    <row r="1347" spans="2:6">
      <c r="B1347" s="12"/>
      <c r="F1347" s="46"/>
    </row>
    <row r="1348" spans="2:6">
      <c r="B1348" s="12"/>
      <c r="F1348" s="46"/>
    </row>
    <row r="1349" spans="2:6">
      <c r="B1349" s="12"/>
      <c r="F1349" s="46"/>
    </row>
    <row r="1350" spans="2:6">
      <c r="B1350" s="12"/>
      <c r="F1350" s="46"/>
    </row>
    <row r="1351" spans="2:6">
      <c r="B1351" s="12"/>
      <c r="F1351" s="46"/>
    </row>
    <row r="1352" spans="2:6">
      <c r="B1352" s="12"/>
      <c r="F1352" s="46"/>
    </row>
    <row r="1353" spans="2:6">
      <c r="B1353" s="12"/>
      <c r="F1353" s="46"/>
    </row>
    <row r="1354" spans="2:6">
      <c r="B1354" s="12"/>
      <c r="F1354" s="46"/>
    </row>
    <row r="1355" spans="2:6">
      <c r="B1355" s="12"/>
      <c r="F1355" s="46"/>
    </row>
    <row r="1356" spans="2:6">
      <c r="B1356" s="12"/>
      <c r="F1356" s="46"/>
    </row>
    <row r="1357" spans="2:6">
      <c r="B1357" s="12"/>
      <c r="F1357" s="46"/>
    </row>
    <row r="1358" spans="2:6">
      <c r="B1358" s="12"/>
      <c r="F1358" s="46"/>
    </row>
    <row r="1359" spans="2:6">
      <c r="B1359" s="12"/>
      <c r="F1359" s="46"/>
    </row>
    <row r="1360" spans="2:6">
      <c r="B1360" s="12"/>
      <c r="F1360" s="46"/>
    </row>
    <row r="1361" spans="2:6">
      <c r="B1361" s="12"/>
      <c r="F1361" s="46"/>
    </row>
    <row r="1362" spans="2:6">
      <c r="B1362" s="12"/>
      <c r="F1362" s="46"/>
    </row>
    <row r="1363" spans="2:6">
      <c r="B1363" s="12"/>
      <c r="F1363" s="46"/>
    </row>
    <row r="1364" spans="2:6">
      <c r="B1364" s="12"/>
      <c r="F1364" s="46"/>
    </row>
    <row r="1365" spans="2:6">
      <c r="B1365" s="12"/>
      <c r="F1365" s="46"/>
    </row>
    <row r="1366" spans="2:6">
      <c r="B1366" s="12"/>
      <c r="F1366" s="46"/>
    </row>
    <row r="1367" spans="2:6">
      <c r="B1367" s="12"/>
      <c r="F1367" s="46"/>
    </row>
    <row r="1368" spans="2:6">
      <c r="B1368" s="12"/>
      <c r="F1368" s="46"/>
    </row>
    <row r="1369" spans="2:6">
      <c r="B1369" s="12"/>
      <c r="F1369" s="46"/>
    </row>
    <row r="1370" spans="2:6">
      <c r="B1370" s="12"/>
      <c r="F1370" s="46"/>
    </row>
    <row r="1371" spans="2:6">
      <c r="B1371" s="12"/>
      <c r="F1371" s="46"/>
    </row>
    <row r="1372" spans="2:6">
      <c r="B1372" s="12"/>
      <c r="F1372" s="46"/>
    </row>
    <row r="1373" spans="2:6">
      <c r="B1373" s="12"/>
      <c r="F1373" s="46"/>
    </row>
    <row r="1374" spans="2:6">
      <c r="B1374" s="12"/>
      <c r="F1374" s="46"/>
    </row>
    <row r="1375" spans="2:6">
      <c r="B1375" s="12"/>
      <c r="F1375" s="46"/>
    </row>
    <row r="1376" spans="2:6">
      <c r="B1376" s="12"/>
      <c r="F1376" s="46"/>
    </row>
    <row r="1377" spans="2:6">
      <c r="B1377" s="12"/>
      <c r="F1377" s="46"/>
    </row>
    <row r="1378" spans="2:6">
      <c r="B1378" s="12"/>
      <c r="F1378" s="46"/>
    </row>
    <row r="1379" spans="2:6">
      <c r="B1379" s="12"/>
      <c r="F1379" s="46"/>
    </row>
    <row r="1380" spans="2:6">
      <c r="B1380" s="12"/>
      <c r="F1380" s="46"/>
    </row>
    <row r="1381" spans="2:6">
      <c r="B1381" s="12"/>
      <c r="F1381" s="46"/>
    </row>
    <row r="1382" spans="2:6">
      <c r="B1382" s="12"/>
      <c r="F1382" s="46"/>
    </row>
    <row r="1383" spans="2:6">
      <c r="B1383" s="12"/>
      <c r="F1383" s="46"/>
    </row>
    <row r="1384" spans="2:6">
      <c r="B1384" s="12"/>
      <c r="F1384" s="46"/>
    </row>
    <row r="1385" spans="2:6">
      <c r="B1385" s="12"/>
      <c r="F1385" s="46"/>
    </row>
    <row r="1386" spans="2:6">
      <c r="B1386" s="12"/>
      <c r="F1386" s="46"/>
    </row>
    <row r="1387" spans="2:6">
      <c r="B1387" s="12"/>
      <c r="F1387" s="46"/>
    </row>
    <row r="1388" spans="2:6">
      <c r="B1388" s="12"/>
      <c r="F1388" s="46"/>
    </row>
    <row r="1389" spans="2:6">
      <c r="B1389" s="12"/>
      <c r="F1389" s="46"/>
    </row>
    <row r="1390" spans="2:6">
      <c r="B1390" s="12"/>
      <c r="F1390" s="46"/>
    </row>
    <row r="1391" spans="2:6">
      <c r="B1391" s="12"/>
      <c r="F1391" s="46"/>
    </row>
    <row r="1392" spans="2:6">
      <c r="B1392" s="12"/>
      <c r="F1392" s="46"/>
    </row>
    <row r="1393" spans="2:6">
      <c r="B1393" s="12"/>
      <c r="F1393" s="46"/>
    </row>
    <row r="1394" spans="2:6">
      <c r="B1394" s="12"/>
      <c r="F1394" s="46"/>
    </row>
    <row r="1395" spans="2:6">
      <c r="B1395" s="12"/>
      <c r="F1395" s="46"/>
    </row>
    <row r="1396" spans="2:6">
      <c r="B1396" s="12"/>
      <c r="F1396" s="46"/>
    </row>
    <row r="1397" spans="2:6">
      <c r="B1397" s="12"/>
      <c r="F1397" s="46"/>
    </row>
    <row r="1398" spans="2:6">
      <c r="B1398" s="12"/>
      <c r="F1398" s="46"/>
    </row>
    <row r="1399" spans="2:6">
      <c r="B1399" s="12"/>
      <c r="F1399" s="46"/>
    </row>
    <row r="1400" spans="2:6">
      <c r="B1400" s="12"/>
      <c r="F1400" s="46"/>
    </row>
    <row r="1401" spans="2:6">
      <c r="B1401" s="12"/>
      <c r="F1401" s="46"/>
    </row>
    <row r="1402" spans="2:6">
      <c r="B1402" s="12"/>
      <c r="F1402" s="46"/>
    </row>
    <row r="1403" spans="2:6">
      <c r="B1403" s="12"/>
      <c r="F1403" s="46"/>
    </row>
    <row r="1404" spans="2:6">
      <c r="B1404" s="12"/>
      <c r="F1404" s="46"/>
    </row>
    <row r="1405" spans="2:6">
      <c r="B1405" s="12"/>
      <c r="F1405" s="46"/>
    </row>
    <row r="1406" spans="2:6">
      <c r="B1406" s="12"/>
      <c r="F1406" s="46"/>
    </row>
    <row r="1407" spans="2:6">
      <c r="B1407" s="12"/>
      <c r="F1407" s="46"/>
    </row>
    <row r="1408" spans="2:6">
      <c r="B1408" s="12"/>
      <c r="F1408" s="46"/>
    </row>
    <row r="1409" spans="2:6">
      <c r="B1409" s="12"/>
      <c r="F1409" s="46"/>
    </row>
    <row r="1410" spans="2:6">
      <c r="B1410" s="12"/>
      <c r="F1410" s="46"/>
    </row>
    <row r="1411" spans="2:6">
      <c r="B1411" s="12"/>
      <c r="F1411" s="46"/>
    </row>
    <row r="1412" spans="2:6">
      <c r="B1412" s="12"/>
      <c r="F1412" s="46"/>
    </row>
    <row r="1413" spans="2:6">
      <c r="B1413" s="12"/>
      <c r="F1413" s="46"/>
    </row>
    <row r="1414" spans="2:6">
      <c r="B1414" s="12"/>
      <c r="F1414" s="46"/>
    </row>
    <row r="1415" spans="2:6">
      <c r="B1415" s="12"/>
      <c r="F1415" s="46"/>
    </row>
    <row r="1416" spans="2:6">
      <c r="B1416" s="12"/>
      <c r="F1416" s="46"/>
    </row>
    <row r="1417" spans="2:6">
      <c r="B1417" s="12"/>
      <c r="F1417" s="46"/>
    </row>
    <row r="1418" spans="2:6">
      <c r="B1418" s="12"/>
      <c r="F1418" s="46"/>
    </row>
    <row r="1419" spans="2:6">
      <c r="B1419" s="12"/>
      <c r="F1419" s="46"/>
    </row>
    <row r="1420" spans="2:6">
      <c r="B1420" s="12"/>
      <c r="F1420" s="46"/>
    </row>
    <row r="1421" spans="2:6">
      <c r="B1421" s="12"/>
      <c r="F1421" s="46"/>
    </row>
    <row r="1422" spans="2:6">
      <c r="B1422" s="12"/>
      <c r="F1422" s="46"/>
    </row>
    <row r="1423" spans="2:6">
      <c r="B1423" s="12"/>
      <c r="F1423" s="46"/>
    </row>
    <row r="1424" spans="2:6">
      <c r="B1424" s="12"/>
      <c r="F1424" s="46"/>
    </row>
    <row r="1425" spans="2:6">
      <c r="B1425" s="12"/>
      <c r="F1425" s="46"/>
    </row>
    <row r="1426" spans="2:6">
      <c r="B1426" s="12"/>
      <c r="F1426" s="46"/>
    </row>
    <row r="1427" spans="2:6">
      <c r="B1427" s="12"/>
      <c r="F1427" s="46"/>
    </row>
    <row r="1428" spans="2:6">
      <c r="B1428" s="12"/>
      <c r="F1428" s="46"/>
    </row>
    <row r="1429" spans="2:6">
      <c r="B1429" s="12"/>
      <c r="F1429" s="46"/>
    </row>
    <row r="1430" spans="2:6">
      <c r="B1430" s="12"/>
      <c r="F1430" s="46"/>
    </row>
    <row r="1431" spans="2:6">
      <c r="B1431" s="12"/>
      <c r="F1431" s="46"/>
    </row>
    <row r="1432" spans="2:6">
      <c r="B1432" s="12"/>
      <c r="F1432" s="46"/>
    </row>
    <row r="1433" spans="2:6">
      <c r="B1433" s="12"/>
      <c r="F1433" s="46"/>
    </row>
    <row r="1434" spans="2:6">
      <c r="B1434" s="12"/>
      <c r="F1434" s="46"/>
    </row>
    <row r="1435" spans="2:6">
      <c r="B1435" s="12"/>
      <c r="F1435" s="46"/>
    </row>
    <row r="1436" spans="2:6">
      <c r="B1436" s="12"/>
      <c r="F1436" s="46"/>
    </row>
    <row r="1437" spans="2:6">
      <c r="B1437" s="12"/>
      <c r="F1437" s="46"/>
    </row>
    <row r="1438" spans="2:6">
      <c r="B1438" s="12"/>
      <c r="F1438" s="46"/>
    </row>
    <row r="1439" spans="2:6">
      <c r="B1439" s="12"/>
      <c r="F1439" s="46"/>
    </row>
    <row r="1440" spans="2:6">
      <c r="B1440" s="12"/>
      <c r="F1440" s="46"/>
    </row>
    <row r="1441" spans="2:6">
      <c r="B1441" s="12"/>
      <c r="F1441" s="46"/>
    </row>
    <row r="1442" spans="2:6">
      <c r="B1442" s="12"/>
      <c r="F1442" s="46"/>
    </row>
    <row r="1443" spans="2:6">
      <c r="B1443" s="12"/>
      <c r="F1443" s="46"/>
    </row>
    <row r="1444" spans="2:6">
      <c r="B1444" s="12"/>
      <c r="F1444" s="46"/>
    </row>
    <row r="1445" spans="2:6">
      <c r="B1445" s="12"/>
      <c r="F1445" s="46"/>
    </row>
    <row r="1446" spans="2:6">
      <c r="B1446" s="12"/>
      <c r="F1446" s="46"/>
    </row>
    <row r="1447" spans="2:6">
      <c r="B1447" s="12"/>
      <c r="F1447" s="46"/>
    </row>
    <row r="1448" spans="2:6">
      <c r="B1448" s="12"/>
      <c r="F1448" s="46"/>
    </row>
    <row r="1449" spans="2:6">
      <c r="B1449" s="12"/>
      <c r="F1449" s="46"/>
    </row>
    <row r="1450" spans="2:6">
      <c r="B1450" s="12"/>
      <c r="F1450" s="46"/>
    </row>
    <row r="1451" spans="2:6">
      <c r="B1451" s="12"/>
      <c r="F1451" s="46"/>
    </row>
    <row r="1452" spans="2:6">
      <c r="B1452" s="12"/>
      <c r="F1452" s="46"/>
    </row>
    <row r="1453" spans="2:6">
      <c r="B1453" s="12"/>
      <c r="F1453" s="46"/>
    </row>
    <row r="1454" spans="2:6">
      <c r="B1454" s="12"/>
      <c r="F1454" s="46"/>
    </row>
    <row r="1455" spans="2:6">
      <c r="B1455" s="12"/>
      <c r="F1455" s="46"/>
    </row>
    <row r="1456" spans="2:6">
      <c r="B1456" s="12"/>
      <c r="F1456" s="46"/>
    </row>
    <row r="1457" spans="2:6">
      <c r="B1457" s="12"/>
      <c r="F1457" s="46"/>
    </row>
    <row r="1458" spans="2:6">
      <c r="B1458" s="12"/>
      <c r="F1458" s="46"/>
    </row>
    <row r="1459" spans="2:6">
      <c r="B1459" s="12"/>
      <c r="F1459" s="46"/>
    </row>
    <row r="1460" spans="2:6">
      <c r="B1460" s="12"/>
      <c r="F1460" s="46"/>
    </row>
    <row r="1461" spans="2:6">
      <c r="B1461" s="12"/>
      <c r="F1461" s="46"/>
    </row>
    <row r="1462" spans="2:6">
      <c r="B1462" s="12"/>
      <c r="F1462" s="46"/>
    </row>
    <row r="1463" spans="2:6">
      <c r="B1463" s="12"/>
      <c r="F1463" s="46"/>
    </row>
    <row r="1464" spans="2:6">
      <c r="B1464" s="12"/>
      <c r="F1464" s="46"/>
    </row>
    <row r="1465" spans="2:6">
      <c r="B1465" s="12"/>
      <c r="F1465" s="46"/>
    </row>
    <row r="1466" spans="2:6">
      <c r="B1466" s="12"/>
      <c r="F1466" s="46"/>
    </row>
    <row r="1467" spans="2:6">
      <c r="B1467" s="12"/>
      <c r="F1467" s="46"/>
    </row>
    <row r="1468" spans="2:6">
      <c r="B1468" s="12"/>
      <c r="F1468" s="46"/>
    </row>
    <row r="1469" spans="2:6">
      <c r="B1469" s="12"/>
      <c r="F1469" s="46"/>
    </row>
    <row r="1470" spans="2:6">
      <c r="B1470" s="12"/>
      <c r="F1470" s="46"/>
    </row>
    <row r="1471" spans="2:6">
      <c r="B1471" s="12"/>
      <c r="F1471" s="46"/>
    </row>
    <row r="1472" spans="2:6">
      <c r="B1472" s="12"/>
      <c r="F1472" s="46"/>
    </row>
    <row r="1473" spans="2:6">
      <c r="B1473" s="12"/>
      <c r="F1473" s="46"/>
    </row>
    <row r="1474" spans="2:6">
      <c r="B1474" s="12"/>
      <c r="F1474" s="46"/>
    </row>
    <row r="1475" spans="2:6">
      <c r="B1475" s="12"/>
      <c r="F1475" s="46"/>
    </row>
    <row r="1476" spans="2:6">
      <c r="B1476" s="12"/>
      <c r="F1476" s="46"/>
    </row>
    <row r="1477" spans="2:6">
      <c r="B1477" s="12"/>
      <c r="F1477" s="46"/>
    </row>
    <row r="1478" spans="2:6">
      <c r="B1478" s="12"/>
      <c r="F1478" s="46"/>
    </row>
    <row r="1479" spans="2:6">
      <c r="B1479" s="12"/>
      <c r="F1479" s="46"/>
    </row>
    <row r="1480" spans="2:6">
      <c r="B1480" s="12"/>
      <c r="F1480" s="46"/>
    </row>
    <row r="1481" spans="2:6">
      <c r="B1481" s="12"/>
      <c r="F1481" s="46"/>
    </row>
    <row r="1482" spans="2:6">
      <c r="B1482" s="12"/>
      <c r="F1482" s="46"/>
    </row>
    <row r="1483" spans="2:6">
      <c r="B1483" s="12"/>
      <c r="F1483" s="46"/>
    </row>
    <row r="1484" spans="2:6">
      <c r="B1484" s="12"/>
      <c r="F1484" s="46"/>
    </row>
    <row r="1485" spans="2:6">
      <c r="B1485" s="12"/>
      <c r="F1485" s="46"/>
    </row>
    <row r="1486" spans="2:6">
      <c r="B1486" s="12"/>
      <c r="F1486" s="46"/>
    </row>
    <row r="1487" spans="2:6">
      <c r="B1487" s="12"/>
      <c r="F1487" s="46"/>
    </row>
    <row r="1488" spans="2:6">
      <c r="B1488" s="12"/>
      <c r="F1488" s="46"/>
    </row>
    <row r="1489" spans="2:6">
      <c r="B1489" s="12"/>
      <c r="F1489" s="46"/>
    </row>
    <row r="1490" spans="2:6">
      <c r="B1490" s="12"/>
      <c r="F1490" s="46"/>
    </row>
    <row r="1491" spans="2:6">
      <c r="B1491" s="12"/>
      <c r="F1491" s="46"/>
    </row>
    <row r="1492" spans="2:6">
      <c r="B1492" s="12"/>
      <c r="F1492" s="46"/>
    </row>
    <row r="1493" spans="2:6">
      <c r="B1493" s="12"/>
      <c r="F1493" s="46"/>
    </row>
    <row r="1494" spans="2:6">
      <c r="B1494" s="12"/>
      <c r="F1494" s="46"/>
    </row>
    <row r="1495" spans="2:6">
      <c r="B1495" s="12"/>
      <c r="F1495" s="46"/>
    </row>
    <row r="1496" spans="2:6">
      <c r="B1496" s="12"/>
      <c r="F1496" s="46"/>
    </row>
    <row r="1497" spans="2:6">
      <c r="B1497" s="12"/>
      <c r="F1497" s="46"/>
    </row>
    <row r="1498" spans="2:6">
      <c r="B1498" s="12"/>
      <c r="F1498" s="46"/>
    </row>
    <row r="1499" spans="2:6">
      <c r="B1499" s="12"/>
      <c r="F1499" s="46"/>
    </row>
    <row r="1500" spans="2:6">
      <c r="B1500" s="12"/>
      <c r="F1500" s="46"/>
    </row>
    <row r="1501" spans="2:6">
      <c r="B1501" s="12"/>
      <c r="F1501" s="46"/>
    </row>
    <row r="1502" spans="2:6">
      <c r="B1502" s="12"/>
      <c r="F1502" s="46"/>
    </row>
    <row r="1503" spans="2:6">
      <c r="B1503" s="12"/>
      <c r="F1503" s="46"/>
    </row>
    <row r="1504" spans="2:6">
      <c r="B1504" s="12"/>
      <c r="F1504" s="46"/>
    </row>
    <row r="1505" spans="2:6">
      <c r="B1505" s="12"/>
      <c r="F1505" s="46"/>
    </row>
    <row r="1506" spans="2:6">
      <c r="B1506" s="12"/>
      <c r="F1506" s="46"/>
    </row>
    <row r="1507" spans="2:6">
      <c r="B1507" s="12"/>
      <c r="F1507" s="46"/>
    </row>
    <row r="1508" spans="2:6">
      <c r="B1508" s="12"/>
      <c r="F1508" s="46"/>
    </row>
    <row r="1509" spans="2:6">
      <c r="B1509" s="12"/>
      <c r="F1509" s="46"/>
    </row>
    <row r="1510" spans="2:6">
      <c r="B1510" s="12"/>
      <c r="F1510" s="46"/>
    </row>
    <row r="1511" spans="2:6">
      <c r="B1511" s="12"/>
      <c r="F1511" s="46"/>
    </row>
    <row r="1512" spans="2:6">
      <c r="B1512" s="12"/>
      <c r="F1512" s="46"/>
    </row>
    <row r="1513" spans="2:6">
      <c r="B1513" s="12"/>
      <c r="F1513" s="46"/>
    </row>
    <row r="1514" spans="2:6">
      <c r="B1514" s="12"/>
      <c r="F1514" s="46"/>
    </row>
    <row r="1515" spans="2:6">
      <c r="B1515" s="12"/>
      <c r="F1515" s="46"/>
    </row>
    <row r="1516" spans="2:6">
      <c r="B1516" s="12"/>
      <c r="F1516" s="46"/>
    </row>
    <row r="1517" spans="2:6">
      <c r="B1517" s="12"/>
      <c r="F1517" s="46"/>
    </row>
    <row r="1518" spans="2:6">
      <c r="B1518" s="12"/>
      <c r="F1518" s="46"/>
    </row>
    <row r="1519" spans="2:6">
      <c r="B1519" s="12"/>
      <c r="F1519" s="46"/>
    </row>
    <row r="1520" spans="2:6">
      <c r="B1520" s="12"/>
      <c r="F1520" s="46"/>
    </row>
    <row r="1521" spans="2:6">
      <c r="B1521" s="12"/>
      <c r="F1521" s="46"/>
    </row>
    <row r="1522" spans="2:6">
      <c r="B1522" s="12"/>
      <c r="F1522" s="46"/>
    </row>
    <row r="1523" spans="2:6">
      <c r="B1523" s="12"/>
      <c r="F1523" s="46"/>
    </row>
    <row r="1524" spans="2:6">
      <c r="B1524" s="12"/>
      <c r="F1524" s="46"/>
    </row>
    <row r="1525" spans="2:6">
      <c r="B1525" s="12"/>
      <c r="F1525" s="46"/>
    </row>
    <row r="1526" spans="2:6">
      <c r="B1526" s="12"/>
      <c r="F1526" s="46"/>
    </row>
    <row r="1527" spans="2:6">
      <c r="B1527" s="12"/>
      <c r="F1527" s="46"/>
    </row>
    <row r="1528" spans="2:6">
      <c r="B1528" s="12"/>
      <c r="F1528" s="46"/>
    </row>
    <row r="1529" spans="2:6">
      <c r="B1529" s="12"/>
      <c r="F1529" s="46"/>
    </row>
    <row r="1530" spans="2:6">
      <c r="B1530" s="12"/>
      <c r="F1530" s="46"/>
    </row>
    <row r="1531" spans="2:6">
      <c r="B1531" s="12"/>
      <c r="F1531" s="46"/>
    </row>
    <row r="1532" spans="2:6">
      <c r="B1532" s="12"/>
      <c r="F1532" s="46"/>
    </row>
    <row r="1533" spans="2:6">
      <c r="B1533" s="12"/>
      <c r="F1533" s="46"/>
    </row>
    <row r="1534" spans="2:6">
      <c r="B1534" s="12"/>
      <c r="F1534" s="46"/>
    </row>
    <row r="1535" spans="2:6">
      <c r="B1535" s="12"/>
      <c r="F1535" s="46"/>
    </row>
    <row r="1536" spans="2:6">
      <c r="B1536" s="12"/>
      <c r="F1536" s="46"/>
    </row>
    <row r="1537" spans="2:6">
      <c r="B1537" s="12"/>
      <c r="F1537" s="46"/>
    </row>
    <row r="1538" spans="2:6">
      <c r="B1538" s="12"/>
      <c r="F1538" s="46"/>
    </row>
    <row r="1539" spans="2:6">
      <c r="B1539" s="12"/>
      <c r="F1539" s="46"/>
    </row>
    <row r="1540" spans="2:6">
      <c r="B1540" s="12"/>
      <c r="F1540" s="46"/>
    </row>
    <row r="1541" spans="2:6">
      <c r="B1541" s="12"/>
      <c r="F1541" s="46"/>
    </row>
    <row r="1542" spans="2:6">
      <c r="B1542" s="12"/>
      <c r="F1542" s="46"/>
    </row>
    <row r="1543" spans="2:6">
      <c r="B1543" s="12"/>
      <c r="F1543" s="46"/>
    </row>
    <row r="1544" spans="2:6">
      <c r="B1544" s="12"/>
      <c r="F1544" s="46"/>
    </row>
    <row r="1545" spans="2:6">
      <c r="B1545" s="12"/>
      <c r="F1545" s="46"/>
    </row>
    <row r="1546" spans="2:6">
      <c r="B1546" s="12"/>
      <c r="F1546" s="46"/>
    </row>
    <row r="1547" spans="2:6">
      <c r="B1547" s="12"/>
      <c r="F1547" s="46"/>
    </row>
    <row r="1548" spans="2:6">
      <c r="B1548" s="12"/>
      <c r="F1548" s="46"/>
    </row>
    <row r="1549" spans="2:6">
      <c r="B1549" s="12"/>
      <c r="F1549" s="46"/>
    </row>
    <row r="1550" spans="2:6">
      <c r="B1550" s="12"/>
      <c r="F1550" s="46"/>
    </row>
    <row r="1551" spans="2:6">
      <c r="B1551" s="12"/>
      <c r="F1551" s="46"/>
    </row>
    <row r="1552" spans="2:6">
      <c r="B1552" s="12"/>
      <c r="F1552" s="46"/>
    </row>
    <row r="1553" spans="2:6">
      <c r="B1553" s="12"/>
      <c r="F1553" s="46"/>
    </row>
    <row r="1554" spans="2:6">
      <c r="B1554" s="12"/>
      <c r="F1554" s="46"/>
    </row>
    <row r="1555" spans="2:6">
      <c r="B1555" s="12"/>
      <c r="F1555" s="46"/>
    </row>
    <row r="1556" spans="2:6">
      <c r="B1556" s="12"/>
      <c r="F1556" s="46"/>
    </row>
    <row r="1557" spans="2:6">
      <c r="B1557" s="12"/>
      <c r="F1557" s="46"/>
    </row>
    <row r="1558" spans="2:6">
      <c r="B1558" s="12"/>
      <c r="F1558" s="46"/>
    </row>
    <row r="1559" spans="2:6">
      <c r="B1559" s="12"/>
      <c r="F1559" s="46"/>
    </row>
    <row r="1560" spans="2:6">
      <c r="B1560" s="12"/>
      <c r="F1560" s="46"/>
    </row>
    <row r="1561" spans="2:6">
      <c r="B1561" s="12"/>
      <c r="F1561" s="46"/>
    </row>
    <row r="1562" spans="2:6">
      <c r="B1562" s="12"/>
      <c r="F1562" s="46"/>
    </row>
    <row r="1563" spans="2:6">
      <c r="B1563" s="12"/>
      <c r="F1563" s="46"/>
    </row>
    <row r="1564" spans="2:6">
      <c r="B1564" s="12"/>
      <c r="F1564" s="46"/>
    </row>
    <row r="1565" spans="2:6">
      <c r="B1565" s="12"/>
      <c r="F1565" s="46"/>
    </row>
    <row r="1566" spans="2:6">
      <c r="B1566" s="12"/>
      <c r="F1566" s="46"/>
    </row>
    <row r="1567" spans="2:6">
      <c r="B1567" s="12"/>
      <c r="F1567" s="46"/>
    </row>
    <row r="1568" spans="2:6">
      <c r="B1568" s="12"/>
      <c r="F1568" s="46"/>
    </row>
    <row r="1569" spans="2:6">
      <c r="B1569" s="12"/>
      <c r="F1569" s="46"/>
    </row>
    <row r="1570" spans="2:6">
      <c r="B1570" s="12"/>
      <c r="F1570" s="46"/>
    </row>
    <row r="1571" spans="2:6">
      <c r="B1571" s="12"/>
      <c r="F1571" s="46"/>
    </row>
    <row r="1572" spans="2:6">
      <c r="B1572" s="12"/>
      <c r="F1572" s="46"/>
    </row>
    <row r="1573" spans="2:6">
      <c r="B1573" s="12"/>
      <c r="F1573" s="46"/>
    </row>
    <row r="1574" spans="2:6">
      <c r="B1574" s="12"/>
      <c r="F1574" s="46"/>
    </row>
    <row r="1575" spans="2:6">
      <c r="B1575" s="12"/>
      <c r="F1575" s="46"/>
    </row>
    <row r="1576" spans="2:6">
      <c r="B1576" s="12"/>
      <c r="F1576" s="46"/>
    </row>
    <row r="1577" spans="2:6">
      <c r="B1577" s="12"/>
      <c r="F1577" s="46"/>
    </row>
    <row r="1578" spans="2:6">
      <c r="B1578" s="12"/>
      <c r="F1578" s="46"/>
    </row>
    <row r="1579" spans="2:6">
      <c r="B1579" s="12"/>
      <c r="F1579" s="46"/>
    </row>
    <row r="1580" spans="2:6">
      <c r="B1580" s="12"/>
      <c r="F1580" s="46"/>
    </row>
    <row r="1581" spans="2:6">
      <c r="B1581" s="12"/>
      <c r="F1581" s="46"/>
    </row>
    <row r="1582" spans="2:6">
      <c r="B1582" s="12"/>
      <c r="F1582" s="46"/>
    </row>
    <row r="1583" spans="2:6">
      <c r="B1583" s="12"/>
      <c r="F1583" s="46"/>
    </row>
    <row r="1584" spans="2:6">
      <c r="B1584" s="12"/>
      <c r="F1584" s="46"/>
    </row>
    <row r="1585" spans="2:6">
      <c r="B1585" s="12"/>
      <c r="F1585" s="46"/>
    </row>
    <row r="1586" spans="2:6">
      <c r="B1586" s="12"/>
      <c r="F1586" s="46"/>
    </row>
    <row r="1587" spans="2:6">
      <c r="B1587" s="12"/>
      <c r="F1587" s="46"/>
    </row>
    <row r="1588" spans="2:6">
      <c r="B1588" s="12"/>
      <c r="F1588" s="46"/>
    </row>
    <row r="1589" spans="2:6">
      <c r="B1589" s="12"/>
      <c r="F1589" s="46"/>
    </row>
    <row r="1590" spans="2:6">
      <c r="B1590" s="12"/>
      <c r="F1590" s="46"/>
    </row>
    <row r="1591" spans="2:6">
      <c r="B1591" s="12"/>
      <c r="F1591" s="46"/>
    </row>
    <row r="1592" spans="2:6">
      <c r="B1592" s="12"/>
      <c r="F1592" s="46"/>
    </row>
    <row r="1593" spans="2:6">
      <c r="B1593" s="12"/>
      <c r="F1593" s="46"/>
    </row>
    <row r="1594" spans="2:6">
      <c r="B1594" s="12"/>
      <c r="F1594" s="46"/>
    </row>
    <row r="1595" spans="2:6">
      <c r="B1595" s="12"/>
      <c r="F1595" s="46"/>
    </row>
    <row r="1596" spans="2:6">
      <c r="B1596" s="12"/>
      <c r="F1596" s="46"/>
    </row>
    <row r="1597" spans="2:6">
      <c r="B1597" s="12"/>
      <c r="F1597" s="46"/>
    </row>
    <row r="1598" spans="2:6">
      <c r="B1598" s="12"/>
      <c r="F1598" s="46"/>
    </row>
    <row r="1599" spans="2:6">
      <c r="B1599" s="12"/>
      <c r="F1599" s="46"/>
    </row>
    <row r="1600" spans="2:6">
      <c r="B1600" s="12"/>
      <c r="F1600" s="46"/>
    </row>
    <row r="1601" spans="2:6">
      <c r="B1601" s="12"/>
      <c r="F1601" s="46"/>
    </row>
    <row r="1602" spans="2:6">
      <c r="B1602" s="12"/>
      <c r="F1602" s="46"/>
    </row>
    <row r="1603" spans="2:6">
      <c r="B1603" s="12"/>
      <c r="F1603" s="46"/>
    </row>
    <row r="1604" spans="2:6">
      <c r="B1604" s="12"/>
      <c r="F1604" s="46"/>
    </row>
    <row r="1605" spans="2:6">
      <c r="B1605" s="12"/>
      <c r="F1605" s="46"/>
    </row>
    <row r="1606" spans="2:6">
      <c r="B1606" s="12"/>
      <c r="F1606" s="46"/>
    </row>
    <row r="1607" spans="2:6">
      <c r="B1607" s="12"/>
      <c r="F1607" s="46"/>
    </row>
    <row r="1608" spans="2:6">
      <c r="B1608" s="12"/>
      <c r="F1608" s="46"/>
    </row>
    <row r="1609" spans="2:6">
      <c r="B1609" s="12"/>
      <c r="F1609" s="46"/>
    </row>
    <row r="1610" spans="2:6">
      <c r="B1610" s="12"/>
      <c r="F1610" s="46"/>
    </row>
    <row r="1611" spans="2:6">
      <c r="B1611" s="12"/>
      <c r="F1611" s="46"/>
    </row>
    <row r="1612" spans="2:6">
      <c r="B1612" s="12"/>
      <c r="F1612" s="46"/>
    </row>
    <row r="1613" spans="2:6">
      <c r="B1613" s="12"/>
      <c r="F1613" s="46"/>
    </row>
    <row r="1614" spans="2:6">
      <c r="B1614" s="12"/>
      <c r="F1614" s="46"/>
    </row>
    <row r="1615" spans="2:6">
      <c r="B1615" s="12"/>
      <c r="F1615" s="46"/>
    </row>
    <row r="1616" spans="2:6">
      <c r="B1616" s="12"/>
      <c r="F1616" s="46"/>
    </row>
    <row r="1617" spans="2:6">
      <c r="B1617" s="12"/>
      <c r="F1617" s="46"/>
    </row>
    <row r="1618" spans="2:6">
      <c r="B1618" s="12"/>
      <c r="F1618" s="46"/>
    </row>
    <row r="1619" spans="2:6">
      <c r="B1619" s="12"/>
      <c r="F1619" s="46"/>
    </row>
    <row r="1620" spans="2:6">
      <c r="B1620" s="12"/>
      <c r="F1620" s="46"/>
    </row>
    <row r="1621" spans="2:6">
      <c r="B1621" s="12"/>
      <c r="F1621" s="46"/>
    </row>
    <row r="1622" spans="2:6">
      <c r="B1622" s="12"/>
      <c r="F1622" s="46"/>
    </row>
    <row r="1623" spans="2:6">
      <c r="B1623" s="12"/>
      <c r="F1623" s="46"/>
    </row>
    <row r="1624" spans="2:6">
      <c r="B1624" s="12"/>
      <c r="F1624" s="46"/>
    </row>
    <row r="1625" spans="2:6">
      <c r="B1625" s="12"/>
      <c r="F1625" s="46"/>
    </row>
    <row r="1626" spans="2:6">
      <c r="B1626" s="12"/>
      <c r="F1626" s="46"/>
    </row>
    <row r="1627" spans="2:6">
      <c r="B1627" s="12"/>
      <c r="F1627" s="46"/>
    </row>
    <row r="1628" spans="2:6">
      <c r="B1628" s="12"/>
      <c r="F1628" s="46"/>
    </row>
    <row r="1629" spans="2:6">
      <c r="B1629" s="12"/>
      <c r="F1629" s="46"/>
    </row>
    <row r="1630" spans="2:6">
      <c r="B1630" s="12"/>
      <c r="F1630" s="46"/>
    </row>
    <row r="1631" spans="2:6">
      <c r="B1631" s="12"/>
      <c r="F1631" s="46"/>
    </row>
    <row r="1632" spans="2:6">
      <c r="B1632" s="12"/>
      <c r="F1632" s="46"/>
    </row>
    <row r="1633" spans="2:6">
      <c r="B1633" s="12"/>
      <c r="F1633" s="46"/>
    </row>
    <row r="1634" spans="2:6">
      <c r="B1634" s="12"/>
      <c r="F1634" s="46"/>
    </row>
    <row r="1635" spans="2:6">
      <c r="B1635" s="12"/>
      <c r="F1635" s="46"/>
    </row>
    <row r="1636" spans="2:6">
      <c r="B1636" s="12"/>
      <c r="F1636" s="46"/>
    </row>
    <row r="1637" spans="2:6">
      <c r="B1637" s="12"/>
      <c r="F1637" s="46"/>
    </row>
    <row r="1638" spans="2:6">
      <c r="B1638" s="12"/>
      <c r="F1638" s="46"/>
    </row>
    <row r="1639" spans="2:6">
      <c r="B1639" s="12"/>
      <c r="F1639" s="46"/>
    </row>
    <row r="1640" spans="2:6">
      <c r="B1640" s="12"/>
      <c r="F1640" s="46"/>
    </row>
    <row r="1641" spans="2:6">
      <c r="B1641" s="12"/>
      <c r="F1641" s="46"/>
    </row>
    <row r="1642" spans="2:6">
      <c r="B1642" s="12"/>
      <c r="F1642" s="46"/>
    </row>
    <row r="1643" spans="2:6">
      <c r="B1643" s="12"/>
      <c r="F1643" s="46"/>
    </row>
    <row r="1644" spans="2:6">
      <c r="B1644" s="12"/>
      <c r="F1644" s="46"/>
    </row>
    <row r="1645" spans="2:6">
      <c r="B1645" s="12"/>
      <c r="F1645" s="46"/>
    </row>
    <row r="1646" spans="2:6">
      <c r="B1646" s="12"/>
      <c r="F1646" s="46"/>
    </row>
    <row r="1647" spans="2:6">
      <c r="B1647" s="12"/>
      <c r="F1647" s="46"/>
    </row>
    <row r="1648" spans="2:6">
      <c r="B1648" s="12"/>
      <c r="F1648" s="46"/>
    </row>
    <row r="1649" spans="2:6">
      <c r="B1649" s="12"/>
      <c r="F1649" s="46"/>
    </row>
    <row r="1650" spans="2:6">
      <c r="B1650" s="12"/>
      <c r="F1650" s="46"/>
    </row>
    <row r="1651" spans="2:6">
      <c r="B1651" s="12"/>
      <c r="F1651" s="46"/>
    </row>
    <row r="1652" spans="2:6">
      <c r="B1652" s="12"/>
      <c r="F1652" s="46"/>
    </row>
    <row r="1653" spans="2:6">
      <c r="B1653" s="12"/>
      <c r="F1653" s="46"/>
    </row>
    <row r="1654" spans="2:6">
      <c r="B1654" s="12"/>
      <c r="F1654" s="46"/>
    </row>
    <row r="1655" spans="2:6">
      <c r="B1655" s="12"/>
      <c r="F1655" s="46"/>
    </row>
    <row r="1656" spans="2:6">
      <c r="B1656" s="12"/>
      <c r="F1656" s="46"/>
    </row>
    <row r="1657" spans="2:6">
      <c r="B1657" s="12"/>
      <c r="F1657" s="46"/>
    </row>
    <row r="1658" spans="2:6">
      <c r="B1658" s="12"/>
      <c r="F1658" s="46"/>
    </row>
    <row r="1659" spans="2:6">
      <c r="B1659" s="12"/>
      <c r="F1659" s="46"/>
    </row>
    <row r="1660" spans="2:6">
      <c r="B1660" s="12"/>
      <c r="F1660" s="46"/>
    </row>
    <row r="1661" spans="2:6">
      <c r="B1661" s="12"/>
      <c r="F1661" s="46"/>
    </row>
    <row r="1662" spans="2:6">
      <c r="B1662" s="12"/>
      <c r="F1662" s="46"/>
    </row>
    <row r="1663" spans="2:6">
      <c r="B1663" s="12"/>
      <c r="F1663" s="46"/>
    </row>
    <row r="1664" spans="2:6">
      <c r="B1664" s="12"/>
      <c r="F1664" s="46"/>
    </row>
    <row r="1665" spans="2:6">
      <c r="B1665" s="12"/>
      <c r="F1665" s="46"/>
    </row>
    <row r="1666" spans="2:6">
      <c r="B1666" s="12"/>
      <c r="F1666" s="46"/>
    </row>
    <row r="1667" spans="2:6">
      <c r="B1667" s="12"/>
      <c r="F1667" s="46"/>
    </row>
    <row r="1668" spans="2:6">
      <c r="B1668" s="12"/>
      <c r="F1668" s="46"/>
    </row>
    <row r="1669" spans="2:6">
      <c r="B1669" s="12"/>
      <c r="F1669" s="46"/>
    </row>
    <row r="1670" spans="2:6">
      <c r="B1670" s="12"/>
      <c r="F1670" s="46"/>
    </row>
    <row r="1671" spans="2:6">
      <c r="B1671" s="12"/>
      <c r="F1671" s="46"/>
    </row>
    <row r="1672" spans="2:6">
      <c r="B1672" s="12"/>
      <c r="F1672" s="46"/>
    </row>
    <row r="1673" spans="2:6">
      <c r="B1673" s="12"/>
      <c r="F1673" s="46"/>
    </row>
    <row r="1674" spans="2:6">
      <c r="B1674" s="12"/>
      <c r="F1674" s="46"/>
    </row>
    <row r="1675" spans="2:6">
      <c r="B1675" s="12"/>
      <c r="F1675" s="46"/>
    </row>
    <row r="1676" spans="2:6">
      <c r="B1676" s="12"/>
      <c r="F1676" s="46"/>
    </row>
    <row r="1677" spans="2:6">
      <c r="B1677" s="12"/>
      <c r="F1677" s="46"/>
    </row>
    <row r="1678" spans="2:6">
      <c r="B1678" s="12"/>
      <c r="F1678" s="46"/>
    </row>
    <row r="1679" spans="2:6">
      <c r="B1679" s="12"/>
      <c r="F1679" s="46"/>
    </row>
    <row r="1680" spans="2:6">
      <c r="B1680" s="12"/>
      <c r="F1680" s="46"/>
    </row>
    <row r="1681" spans="2:6">
      <c r="B1681" s="12"/>
      <c r="F1681" s="46"/>
    </row>
    <row r="1682" spans="2:6">
      <c r="B1682" s="12"/>
      <c r="F1682" s="46"/>
    </row>
    <row r="1683" spans="2:6">
      <c r="B1683" s="12"/>
      <c r="F1683" s="46"/>
    </row>
    <row r="1684" spans="2:6">
      <c r="B1684" s="12"/>
      <c r="F1684" s="46"/>
    </row>
    <row r="1685" spans="2:6">
      <c r="B1685" s="12"/>
      <c r="F1685" s="46"/>
    </row>
    <row r="1686" spans="2:6">
      <c r="B1686" s="12"/>
      <c r="F1686" s="46"/>
    </row>
    <row r="1687" spans="2:6">
      <c r="B1687" s="12"/>
      <c r="F1687" s="46"/>
    </row>
    <row r="1688" spans="2:6">
      <c r="B1688" s="12"/>
      <c r="F1688" s="46"/>
    </row>
    <row r="1689" spans="2:6">
      <c r="B1689" s="12"/>
      <c r="F1689" s="46"/>
    </row>
    <row r="1690" spans="2:6">
      <c r="B1690" s="12"/>
      <c r="F1690" s="46"/>
    </row>
    <row r="1691" spans="2:6">
      <c r="B1691" s="12"/>
      <c r="F1691" s="46"/>
    </row>
    <row r="1692" spans="2:6">
      <c r="B1692" s="12"/>
      <c r="F1692" s="46"/>
    </row>
    <row r="1693" spans="2:6">
      <c r="B1693" s="12"/>
      <c r="F1693" s="46"/>
    </row>
    <row r="1694" spans="2:6">
      <c r="B1694" s="12"/>
      <c r="F1694" s="46"/>
    </row>
    <row r="1695" spans="2:6">
      <c r="B1695" s="12"/>
      <c r="F1695" s="46"/>
    </row>
    <row r="1696" spans="2:6">
      <c r="B1696" s="12"/>
      <c r="F1696" s="46"/>
    </row>
    <row r="1697" spans="2:6">
      <c r="B1697" s="12"/>
      <c r="F1697" s="46"/>
    </row>
    <row r="1698" spans="2:6">
      <c r="B1698" s="12"/>
      <c r="F1698" s="46"/>
    </row>
    <row r="1699" spans="2:6">
      <c r="B1699" s="12"/>
      <c r="F1699" s="46"/>
    </row>
    <row r="1700" spans="2:6">
      <c r="B1700" s="12"/>
      <c r="F1700" s="46"/>
    </row>
    <row r="1701" spans="2:6">
      <c r="B1701" s="12"/>
      <c r="F1701" s="46"/>
    </row>
    <row r="1702" spans="2:6">
      <c r="B1702" s="12"/>
      <c r="F1702" s="46"/>
    </row>
    <row r="1703" spans="2:6">
      <c r="B1703" s="12"/>
      <c r="F1703" s="46"/>
    </row>
    <row r="1704" spans="2:6">
      <c r="B1704" s="12"/>
      <c r="F1704" s="46"/>
    </row>
    <row r="1705" spans="2:6">
      <c r="B1705" s="12"/>
      <c r="F1705" s="46"/>
    </row>
    <row r="1706" spans="2:6">
      <c r="B1706" s="12"/>
      <c r="F1706" s="46"/>
    </row>
    <row r="1707" spans="2:6">
      <c r="B1707" s="12"/>
      <c r="F1707" s="46"/>
    </row>
    <row r="1708" spans="2:6">
      <c r="B1708" s="12"/>
      <c r="F1708" s="46"/>
    </row>
    <row r="1709" spans="2:6">
      <c r="B1709" s="12"/>
      <c r="F1709" s="46"/>
    </row>
    <row r="1710" spans="2:6">
      <c r="B1710" s="12"/>
      <c r="F1710" s="46"/>
    </row>
    <row r="1711" spans="2:6">
      <c r="B1711" s="12"/>
      <c r="F1711" s="46"/>
    </row>
    <row r="1712" spans="2:6">
      <c r="B1712" s="12"/>
      <c r="F1712" s="46"/>
    </row>
    <row r="1713" spans="2:6">
      <c r="B1713" s="12"/>
      <c r="F1713" s="46"/>
    </row>
    <row r="1714" spans="2:6">
      <c r="B1714" s="12"/>
      <c r="F1714" s="46"/>
    </row>
    <row r="1715" spans="2:6">
      <c r="B1715" s="12"/>
      <c r="F1715" s="46"/>
    </row>
    <row r="1716" spans="2:6">
      <c r="B1716" s="12"/>
      <c r="F1716" s="46"/>
    </row>
    <row r="1717" spans="2:6">
      <c r="B1717" s="12"/>
      <c r="F1717" s="46"/>
    </row>
    <row r="1718" spans="2:6">
      <c r="B1718" s="12"/>
      <c r="F1718" s="46"/>
    </row>
    <row r="1719" spans="2:6">
      <c r="B1719" s="12"/>
      <c r="F1719" s="46"/>
    </row>
    <row r="1720" spans="2:6">
      <c r="B1720" s="12"/>
      <c r="F1720" s="46"/>
    </row>
    <row r="1721" spans="2:6">
      <c r="B1721" s="12"/>
      <c r="F1721" s="46"/>
    </row>
    <row r="1722" spans="2:6">
      <c r="B1722" s="12"/>
      <c r="F1722" s="46"/>
    </row>
    <row r="1723" spans="2:6">
      <c r="B1723" s="12"/>
      <c r="F1723" s="46"/>
    </row>
    <row r="1724" spans="2:6">
      <c r="B1724" s="12"/>
      <c r="F1724" s="46"/>
    </row>
    <row r="1725" spans="2:6">
      <c r="B1725" s="12"/>
      <c r="F1725" s="46"/>
    </row>
    <row r="1726" spans="2:6">
      <c r="B1726" s="12"/>
      <c r="F1726" s="46"/>
    </row>
    <row r="1727" spans="2:6">
      <c r="B1727" s="12"/>
      <c r="F1727" s="46"/>
    </row>
    <row r="1728" spans="2:6">
      <c r="B1728" s="12"/>
      <c r="F1728" s="46"/>
    </row>
    <row r="1729" spans="2:6">
      <c r="B1729" s="12"/>
      <c r="F1729" s="46"/>
    </row>
    <row r="1730" spans="2:6">
      <c r="B1730" s="12"/>
      <c r="F1730" s="46"/>
    </row>
    <row r="1731" spans="2:6">
      <c r="B1731" s="12"/>
      <c r="F1731" s="46"/>
    </row>
    <row r="1732" spans="2:6">
      <c r="B1732" s="12"/>
      <c r="F1732" s="46"/>
    </row>
    <row r="1733" spans="2:6">
      <c r="B1733" s="12"/>
      <c r="F1733" s="46"/>
    </row>
    <row r="1734" spans="2:6">
      <c r="B1734" s="12"/>
      <c r="F1734" s="46"/>
    </row>
    <row r="1735" spans="2:6">
      <c r="B1735" s="12"/>
      <c r="F1735" s="46"/>
    </row>
    <row r="1736" spans="2:6">
      <c r="B1736" s="12"/>
      <c r="F1736" s="46"/>
    </row>
    <row r="1737" spans="2:6">
      <c r="B1737" s="12"/>
      <c r="F1737" s="46"/>
    </row>
    <row r="1738" spans="2:6">
      <c r="B1738" s="12"/>
      <c r="F1738" s="46"/>
    </row>
    <row r="1739" spans="2:6">
      <c r="B1739" s="12"/>
      <c r="F1739" s="46"/>
    </row>
    <row r="1740" spans="2:6">
      <c r="B1740" s="12"/>
      <c r="F1740" s="46"/>
    </row>
    <row r="1741" spans="2:6">
      <c r="B1741" s="12"/>
      <c r="F1741" s="46"/>
    </row>
    <row r="1742" spans="2:6">
      <c r="B1742" s="12"/>
      <c r="F1742" s="46"/>
    </row>
    <row r="1743" spans="2:6">
      <c r="B1743" s="12"/>
      <c r="F1743" s="46"/>
    </row>
    <row r="1744" spans="2:6">
      <c r="B1744" s="12"/>
      <c r="F1744" s="46"/>
    </row>
    <row r="1745" spans="2:6">
      <c r="B1745" s="12"/>
      <c r="F1745" s="46"/>
    </row>
    <row r="1746" spans="2:6">
      <c r="B1746" s="12"/>
      <c r="F1746" s="46"/>
    </row>
    <row r="1747" spans="2:6">
      <c r="B1747" s="12"/>
      <c r="F1747" s="46"/>
    </row>
    <row r="1748" spans="2:6">
      <c r="B1748" s="12"/>
      <c r="F1748" s="46"/>
    </row>
    <row r="1749" spans="2:6">
      <c r="B1749" s="12"/>
      <c r="F1749" s="46"/>
    </row>
    <row r="1750" spans="2:6">
      <c r="B1750" s="12"/>
      <c r="F1750" s="46"/>
    </row>
    <row r="1751" spans="2:6">
      <c r="B1751" s="12"/>
      <c r="F1751" s="46"/>
    </row>
    <row r="1752" spans="2:6">
      <c r="B1752" s="12"/>
      <c r="F1752" s="46"/>
    </row>
    <row r="1753" spans="2:6">
      <c r="B1753" s="12"/>
      <c r="F1753" s="46"/>
    </row>
    <row r="1754" spans="2:6">
      <c r="B1754" s="12"/>
      <c r="F1754" s="46"/>
    </row>
    <row r="1755" spans="2:6">
      <c r="B1755" s="12"/>
      <c r="F1755" s="46"/>
    </row>
    <row r="1756" spans="2:6">
      <c r="B1756" s="12"/>
      <c r="F1756" s="46"/>
    </row>
    <row r="1757" spans="2:6">
      <c r="B1757" s="12"/>
      <c r="F1757" s="46"/>
    </row>
    <row r="1758" spans="2:6">
      <c r="B1758" s="12"/>
      <c r="F1758" s="46"/>
    </row>
    <row r="1759" spans="2:6">
      <c r="B1759" s="12"/>
      <c r="F1759" s="46"/>
    </row>
    <row r="1760" spans="2:6">
      <c r="B1760" s="12"/>
      <c r="F1760" s="46"/>
    </row>
    <row r="1761" spans="2:6">
      <c r="B1761" s="12"/>
      <c r="F1761" s="46"/>
    </row>
    <row r="1762" spans="2:6">
      <c r="B1762" s="12"/>
      <c r="F1762" s="46"/>
    </row>
    <row r="1763" spans="2:6">
      <c r="B1763" s="12"/>
      <c r="F1763" s="46"/>
    </row>
    <row r="1764" spans="2:6">
      <c r="B1764" s="12"/>
      <c r="F1764" s="46"/>
    </row>
    <row r="1765" spans="2:6">
      <c r="B1765" s="12"/>
      <c r="F1765" s="46"/>
    </row>
    <row r="1766" spans="2:6">
      <c r="B1766" s="12"/>
      <c r="F1766" s="46"/>
    </row>
    <row r="1767" spans="2:6">
      <c r="B1767" s="12"/>
      <c r="F1767" s="46"/>
    </row>
    <row r="1768" spans="2:6">
      <c r="B1768" s="12"/>
      <c r="F1768" s="46"/>
    </row>
    <row r="1769" spans="2:6">
      <c r="B1769" s="12"/>
      <c r="F1769" s="46"/>
    </row>
    <row r="1770" spans="2:6">
      <c r="B1770" s="12"/>
      <c r="F1770" s="46"/>
    </row>
    <row r="1771" spans="2:6">
      <c r="B1771" s="12"/>
      <c r="F1771" s="46"/>
    </row>
    <row r="1772" spans="2:6">
      <c r="B1772" s="12"/>
      <c r="F1772" s="46"/>
    </row>
    <row r="1773" spans="2:6">
      <c r="B1773" s="12"/>
      <c r="F1773" s="46"/>
    </row>
    <row r="1774" spans="2:6">
      <c r="B1774" s="12"/>
      <c r="F1774" s="46"/>
    </row>
    <row r="1775" spans="2:6">
      <c r="B1775" s="12"/>
      <c r="F1775" s="46"/>
    </row>
    <row r="1776" spans="2:6">
      <c r="B1776" s="12"/>
      <c r="F1776" s="46"/>
    </row>
    <row r="1777" spans="2:6">
      <c r="B1777" s="12"/>
      <c r="F1777" s="46"/>
    </row>
    <row r="1778" spans="2:6">
      <c r="B1778" s="12"/>
      <c r="F1778" s="46"/>
    </row>
    <row r="1779" spans="2:6">
      <c r="B1779" s="12"/>
      <c r="F1779" s="46"/>
    </row>
    <row r="1780" spans="2:6">
      <c r="B1780" s="12"/>
      <c r="F1780" s="46"/>
    </row>
    <row r="1781" spans="2:6">
      <c r="B1781" s="12"/>
      <c r="F1781" s="46"/>
    </row>
    <row r="1782" spans="2:6">
      <c r="B1782" s="12"/>
      <c r="F1782" s="46"/>
    </row>
    <row r="1783" spans="2:6">
      <c r="B1783" s="12"/>
      <c r="F1783" s="46"/>
    </row>
    <row r="1784" spans="2:6">
      <c r="B1784" s="12"/>
      <c r="F1784" s="46"/>
    </row>
    <row r="1785" spans="2:6">
      <c r="B1785" s="12"/>
      <c r="F1785" s="46"/>
    </row>
    <row r="1786" spans="2:6">
      <c r="B1786" s="12"/>
      <c r="F1786" s="46"/>
    </row>
    <row r="1787" spans="2:6">
      <c r="B1787" s="12"/>
      <c r="F1787" s="46"/>
    </row>
    <row r="1788" spans="2:6">
      <c r="B1788" s="12"/>
      <c r="F1788" s="46"/>
    </row>
    <row r="1789" spans="2:6">
      <c r="B1789" s="12"/>
      <c r="F1789" s="46"/>
    </row>
    <row r="1790" spans="2:6">
      <c r="B1790" s="12"/>
      <c r="F1790" s="46"/>
    </row>
    <row r="1791" spans="2:6">
      <c r="B1791" s="12"/>
      <c r="F1791" s="46"/>
    </row>
    <row r="1792" spans="2:6">
      <c r="B1792" s="12"/>
      <c r="F1792" s="46"/>
    </row>
    <row r="1793" spans="2:6">
      <c r="B1793" s="12"/>
      <c r="F1793" s="46"/>
    </row>
    <row r="1794" spans="2:6">
      <c r="B1794" s="12"/>
      <c r="F1794" s="46"/>
    </row>
    <row r="1795" spans="2:6">
      <c r="B1795" s="12"/>
      <c r="F1795" s="46"/>
    </row>
    <row r="1796" spans="2:6">
      <c r="B1796" s="12"/>
      <c r="F1796" s="46"/>
    </row>
    <row r="1797" spans="2:6">
      <c r="B1797" s="12"/>
      <c r="F1797" s="46"/>
    </row>
    <row r="1798" spans="2:6">
      <c r="B1798" s="12"/>
      <c r="F1798" s="46"/>
    </row>
    <row r="1799" spans="2:6">
      <c r="B1799" s="12"/>
      <c r="F1799" s="46"/>
    </row>
    <row r="1800" spans="2:6">
      <c r="B1800" s="12"/>
      <c r="F1800" s="46"/>
    </row>
    <row r="1801" spans="2:6">
      <c r="B1801" s="12"/>
      <c r="F1801" s="46"/>
    </row>
    <row r="1802" spans="2:6">
      <c r="B1802" s="12"/>
      <c r="F1802" s="46"/>
    </row>
    <row r="1803" spans="2:6">
      <c r="B1803" s="12"/>
      <c r="F1803" s="46"/>
    </row>
    <row r="1804" spans="2:6">
      <c r="B1804" s="12"/>
      <c r="F1804" s="46"/>
    </row>
    <row r="1805" spans="2:6">
      <c r="B1805" s="12"/>
      <c r="F1805" s="46"/>
    </row>
    <row r="1806" spans="2:6">
      <c r="B1806" s="12"/>
      <c r="F1806" s="46"/>
    </row>
    <row r="1807" spans="2:6">
      <c r="B1807" s="12"/>
      <c r="F1807" s="46"/>
    </row>
    <row r="1808" spans="2:6">
      <c r="B1808" s="12"/>
      <c r="F1808" s="46"/>
    </row>
    <row r="1809" spans="2:6">
      <c r="B1809" s="12"/>
      <c r="F1809" s="4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29"/>
  <sheetViews>
    <sheetView workbookViewId="0"/>
  </sheetViews>
  <sheetFormatPr defaultColWidth="12.5703125" defaultRowHeight="15.75" customHeight="1"/>
  <cols>
    <col min="8" max="8" width="9.7109375" customWidth="1"/>
  </cols>
  <sheetData>
    <row r="1" spans="1:27">
      <c r="A1" s="6" t="s">
        <v>9134</v>
      </c>
      <c r="B1" s="6" t="s">
        <v>14</v>
      </c>
      <c r="C1" s="7" t="e">
        <f>LEFT(A1,FIND("-",A1)-1)</f>
        <v>#VALUE!</v>
      </c>
      <c r="D1" s="6" t="s">
        <v>8891</v>
      </c>
      <c r="E1" s="6" t="s">
        <v>8892</v>
      </c>
      <c r="F1" s="6" t="s">
        <v>9135</v>
      </c>
      <c r="G1" s="43" t="e">
        <f ca="1">_xludf.CONCAT(D1,K1)</f>
        <v>#NAME?</v>
      </c>
      <c r="H1" s="11" t="str">
        <f ca="1">IFERROR(__xludf.DUMMYFUNCTION("IFERROR(SUBSTITUTE(SUBSTITUTE(REGEXEXTRACT(A1, ""[^-]+- [^-]+- [^-]+ - (.+?)\.jpg""), "".jpg"", """"), ""-"", "", ""), """")"),"")</f>
        <v/>
      </c>
      <c r="I1" s="6" t="str">
        <f ca="1">IFERROR(__xludf.DUMMYFUNCTION("TRIM(IFERROR(MID(A1, FIND("" - "", A1, FIND("" - "", A1) + 1) + 3, FIND("" - "", A1, FIND("" - "", A1, FIND("" - "", A1) + 1) + 1) - (FIND("" - "", A1, FIND("" - "", A1) + 1) + 3)), 
SPLIT(MID(A1, FIND("" - "", A1, FIND("" - "", A1) + 1) + 3, LEN(A1)), """&amp;"."")))"),"#VALUE!")</f>
        <v>#VALUE!</v>
      </c>
      <c r="J1" s="7" t="str">
        <f ca="1">IF(B1="{New}", "(" &amp; YEAR(TODAY()) &amp; ")", "")</f>
        <v>(2026)</v>
      </c>
      <c r="K1" s="7" t="e">
        <f>MID(A1,FIND("-",A1)+2,8)</f>
        <v>#VALUE!</v>
      </c>
      <c r="L1" s="12"/>
      <c r="M1" s="13" t="str">
        <f ca="1">IFERROR(__xludf.DUMMYFUNCTION("TRIM(
  REGEXREPLACE(
    TEXTJOIN("" "",
      TRUE,
      B1,
      C1,
      embaralharLinks(E1,F1,G1),
      H1,
      """",
      J1,
      N1,
      ""#RIPNSFW""
    ),
  "",\s*"", "" "")
)"),"#VALUE!")</f>
        <v>#VALUE!</v>
      </c>
      <c r="N1" s="14"/>
      <c r="O1" s="39" t="s">
        <v>9136</v>
      </c>
      <c r="P1" s="48">
        <v>0</v>
      </c>
      <c r="Q1" s="6"/>
      <c r="R1" s="11"/>
      <c r="S1" s="6"/>
      <c r="T1" s="6"/>
      <c r="U1" s="6"/>
      <c r="V1" s="6"/>
      <c r="W1" s="6"/>
      <c r="X1" s="6"/>
      <c r="Y1" s="6"/>
      <c r="Z1" s="6"/>
      <c r="AA1" s="6"/>
    </row>
    <row r="2" spans="1:27">
      <c r="A2" s="6"/>
      <c r="B2" s="6"/>
      <c r="C2" s="7"/>
      <c r="D2" s="6"/>
      <c r="E2" s="49"/>
      <c r="F2" s="49"/>
      <c r="G2" s="43"/>
      <c r="H2" s="6"/>
      <c r="I2" s="6"/>
      <c r="J2" s="7"/>
      <c r="K2" s="7"/>
      <c r="L2" s="6"/>
      <c r="M2" s="13"/>
      <c r="N2" s="6"/>
      <c r="O2" s="50"/>
      <c r="P2" s="48"/>
      <c r="Q2" s="6"/>
      <c r="R2" s="11"/>
      <c r="S2" s="6"/>
      <c r="T2" s="6"/>
      <c r="U2" s="6"/>
      <c r="V2" s="6"/>
      <c r="W2" s="6"/>
      <c r="X2" s="6"/>
      <c r="Y2" s="6"/>
      <c r="Z2" s="6"/>
      <c r="AA2" s="6"/>
    </row>
    <row r="4" spans="1:27">
      <c r="H4" s="12"/>
    </row>
    <row r="5" spans="1:27">
      <c r="A5" s="12"/>
      <c r="H5" s="12"/>
    </row>
    <row r="6" spans="1:27">
      <c r="H6" s="12"/>
      <c r="I6" s="12"/>
      <c r="J6" s="12"/>
      <c r="K6" s="12"/>
      <c r="L6" s="12"/>
      <c r="M6" s="12"/>
      <c r="N6" s="12"/>
    </row>
    <row r="7" spans="1:27">
      <c r="H7" s="12"/>
    </row>
    <row r="8" spans="1:27">
      <c r="H8" s="6"/>
      <c r="I8" s="12"/>
      <c r="J8" s="12"/>
      <c r="K8" s="12"/>
      <c r="L8" s="12"/>
      <c r="M8" s="12"/>
      <c r="N8" s="12"/>
    </row>
    <row r="9" spans="1:27">
      <c r="H9" s="12"/>
      <c r="I9" s="12"/>
      <c r="J9" s="12"/>
      <c r="K9" s="12"/>
      <c r="L9" s="12"/>
      <c r="M9" s="12"/>
      <c r="N9" s="12"/>
    </row>
    <row r="10" spans="1:27">
      <c r="B10" s="46"/>
      <c r="H10" s="12"/>
      <c r="I10" s="12"/>
      <c r="J10" s="12"/>
      <c r="K10" s="12"/>
      <c r="L10" s="12"/>
      <c r="M10" s="12"/>
      <c r="N10" s="12"/>
    </row>
    <row r="11" spans="1:27">
      <c r="B11" s="46"/>
      <c r="H11" s="12"/>
      <c r="I11" s="12"/>
      <c r="J11" s="12"/>
      <c r="K11" s="12"/>
      <c r="L11" s="12"/>
      <c r="M11" s="12"/>
      <c r="N11" s="12"/>
    </row>
    <row r="12" spans="1:27">
      <c r="A12" s="51"/>
      <c r="B12" s="52"/>
      <c r="C12" s="51"/>
      <c r="D12" s="51"/>
      <c r="E12" s="51"/>
      <c r="F12" s="51"/>
      <c r="G12" s="51"/>
      <c r="H12" s="53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>
      <c r="B13" s="46"/>
      <c r="C13" s="46"/>
      <c r="H13" s="12"/>
    </row>
    <row r="14" spans="1:27">
      <c r="A14" s="51"/>
      <c r="B14" s="52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>
      <c r="B15" s="46"/>
      <c r="H15" s="12"/>
    </row>
    <row r="16" spans="1:27">
      <c r="A16" s="51"/>
      <c r="B16" s="52"/>
      <c r="C16" s="51"/>
      <c r="D16" s="51"/>
      <c r="E16" s="51"/>
      <c r="F16" s="51"/>
      <c r="G16" s="51"/>
      <c r="H16" s="54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>
      <c r="B17" s="46"/>
      <c r="H17" s="12"/>
    </row>
    <row r="18" spans="1:27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spans="1:27">
      <c r="H19" s="12"/>
      <c r="I19" s="12"/>
      <c r="J19" s="12"/>
      <c r="K19" s="12"/>
      <c r="L19" s="12"/>
      <c r="M19" s="12"/>
      <c r="N19" s="12"/>
    </row>
    <row r="20" spans="1:27">
      <c r="H20" s="12"/>
      <c r="I20" s="12"/>
      <c r="J20" s="12"/>
      <c r="K20" s="12"/>
      <c r="L20" s="12"/>
      <c r="M20" s="12"/>
      <c r="N20" s="12"/>
    </row>
    <row r="21" spans="1:27">
      <c r="H21" s="12"/>
      <c r="I21" s="12"/>
      <c r="J21" s="12"/>
      <c r="K21" s="12"/>
      <c r="L21" s="12"/>
      <c r="M21" s="12"/>
      <c r="N21" s="12"/>
    </row>
    <row r="22" spans="1:27">
      <c r="H22" s="12"/>
      <c r="I22" s="12"/>
      <c r="J22" s="12"/>
      <c r="K22" s="12"/>
      <c r="L22" s="12"/>
      <c r="M22" s="12"/>
      <c r="N22" s="12"/>
    </row>
    <row r="23" spans="1:27">
      <c r="H23" s="12"/>
      <c r="I23" s="12"/>
      <c r="J23" s="12"/>
      <c r="K23" s="12"/>
      <c r="L23" s="12"/>
      <c r="M23" s="12"/>
      <c r="N23" s="12"/>
    </row>
    <row r="24" spans="1:27">
      <c r="H24" s="12"/>
      <c r="I24" s="12"/>
      <c r="J24" s="12"/>
      <c r="K24" s="12"/>
      <c r="L24" s="12"/>
      <c r="M24" s="12"/>
      <c r="N24" s="12"/>
    </row>
    <row r="25" spans="1:27">
      <c r="H25" s="12"/>
      <c r="I25" s="12"/>
      <c r="J25" s="12"/>
      <c r="K25" s="12"/>
      <c r="L25" s="12"/>
      <c r="M25" s="12"/>
      <c r="N25" s="12"/>
    </row>
    <row r="26" spans="1:27">
      <c r="H26" s="12"/>
      <c r="I26" s="12"/>
      <c r="J26" s="12"/>
      <c r="K26" s="12"/>
      <c r="L26" s="12"/>
      <c r="M26" s="12"/>
      <c r="N26" s="12"/>
    </row>
    <row r="27" spans="1:27">
      <c r="H27" s="12"/>
      <c r="I27" s="12"/>
      <c r="J27" s="12"/>
      <c r="K27" s="12"/>
      <c r="L27" s="12"/>
      <c r="M27" s="12"/>
      <c r="N27" s="12"/>
    </row>
    <row r="28" spans="1:27">
      <c r="H28" s="12"/>
      <c r="I28" s="12"/>
      <c r="J28" s="12"/>
      <c r="K28" s="12"/>
      <c r="L28" s="12"/>
      <c r="M28" s="12"/>
      <c r="N28" s="12"/>
    </row>
    <row r="29" spans="1:27">
      <c r="H29" s="12"/>
      <c r="I29" s="12"/>
      <c r="J29" s="12"/>
      <c r="K29" s="12"/>
      <c r="L29" s="12"/>
      <c r="M29" s="12"/>
      <c r="N29" s="12"/>
    </row>
    <row r="30" spans="1:27">
      <c r="H30" s="12"/>
      <c r="I30" s="12"/>
      <c r="J30" s="12"/>
      <c r="K30" s="12"/>
      <c r="L30" s="12"/>
      <c r="M30" s="12"/>
      <c r="N30" s="12"/>
    </row>
    <row r="31" spans="1:27">
      <c r="H31" s="12"/>
      <c r="I31" s="12"/>
      <c r="J31" s="12"/>
      <c r="K31" s="12"/>
      <c r="L31" s="12"/>
      <c r="M31" s="12"/>
      <c r="N31" s="12"/>
    </row>
    <row r="32" spans="1:27">
      <c r="H32" s="12"/>
      <c r="I32" s="12"/>
      <c r="J32" s="12"/>
      <c r="K32" s="12"/>
      <c r="L32" s="12"/>
      <c r="M32" s="12"/>
      <c r="N32" s="12"/>
    </row>
    <row r="33" spans="8:14">
      <c r="H33" s="12"/>
      <c r="I33" s="12"/>
      <c r="J33" s="12"/>
      <c r="K33" s="12"/>
      <c r="L33" s="12"/>
      <c r="M33" s="12"/>
      <c r="N33" s="12"/>
    </row>
    <row r="34" spans="8:14">
      <c r="H34" s="12"/>
      <c r="I34" s="12"/>
      <c r="J34" s="12"/>
      <c r="K34" s="12"/>
      <c r="L34" s="12"/>
      <c r="M34" s="12"/>
      <c r="N34" s="12"/>
    </row>
    <row r="35" spans="8:14">
      <c r="H35" s="12"/>
      <c r="I35" s="12"/>
      <c r="J35" s="12"/>
      <c r="K35" s="12"/>
      <c r="L35" s="12"/>
      <c r="M35" s="12"/>
      <c r="N35" s="12"/>
    </row>
    <row r="36" spans="8:14">
      <c r="H36" s="12"/>
      <c r="I36" s="12"/>
      <c r="J36" s="12"/>
      <c r="K36" s="12"/>
      <c r="L36" s="12"/>
      <c r="M36" s="12"/>
      <c r="N36" s="12"/>
    </row>
    <row r="37" spans="8:14">
      <c r="H37" s="12"/>
      <c r="I37" s="12"/>
      <c r="J37" s="12"/>
      <c r="K37" s="12"/>
      <c r="L37" s="12"/>
      <c r="M37" s="12"/>
      <c r="N37" s="12"/>
    </row>
    <row r="38" spans="8:14">
      <c r="H38" s="6"/>
      <c r="I38" s="12"/>
      <c r="J38" s="12"/>
      <c r="K38" s="12"/>
      <c r="L38" s="12"/>
      <c r="M38" s="12"/>
      <c r="N38" s="12"/>
    </row>
    <row r="39" spans="8:14">
      <c r="H39" s="12"/>
      <c r="I39" s="12"/>
      <c r="J39" s="12"/>
      <c r="K39" s="12"/>
      <c r="L39" s="12"/>
      <c r="M39" s="12"/>
      <c r="N39" s="12"/>
    </row>
    <row r="40" spans="8:14">
      <c r="H40" s="6"/>
      <c r="I40" s="12"/>
      <c r="J40" s="12"/>
      <c r="K40" s="12"/>
      <c r="L40" s="12"/>
      <c r="M40" s="12"/>
      <c r="N40" s="12"/>
    </row>
    <row r="41" spans="8:14">
      <c r="H41" s="12"/>
      <c r="I41" s="12"/>
      <c r="J41" s="12"/>
      <c r="K41" s="12"/>
      <c r="L41" s="12"/>
      <c r="M41" s="12"/>
      <c r="N41" s="12"/>
    </row>
    <row r="42" spans="8:14">
      <c r="H42" s="12"/>
      <c r="I42" s="12"/>
      <c r="J42" s="12"/>
      <c r="K42" s="12"/>
      <c r="L42" s="12"/>
      <c r="M42" s="12"/>
      <c r="N42" s="12"/>
    </row>
    <row r="43" spans="8:14">
      <c r="H43" s="6"/>
      <c r="I43" s="12"/>
      <c r="J43" s="12"/>
      <c r="K43" s="12"/>
      <c r="L43" s="12"/>
      <c r="M43" s="12"/>
      <c r="N43" s="12"/>
    </row>
    <row r="44" spans="8:14">
      <c r="H44" s="12"/>
      <c r="I44" s="12"/>
      <c r="J44" s="12"/>
      <c r="K44" s="12"/>
      <c r="L44" s="12"/>
      <c r="M44" s="12"/>
      <c r="N44" s="12"/>
    </row>
    <row r="45" spans="8:14">
      <c r="H45" s="12"/>
      <c r="I45" s="12"/>
      <c r="J45" s="12"/>
      <c r="K45" s="12"/>
      <c r="L45" s="12"/>
      <c r="M45" s="12"/>
      <c r="N45" s="12"/>
    </row>
    <row r="46" spans="8:14">
      <c r="H46" s="12"/>
      <c r="I46" s="12"/>
      <c r="J46" s="12"/>
      <c r="K46" s="12"/>
      <c r="L46" s="12"/>
      <c r="M46" s="12"/>
      <c r="N46" s="12"/>
    </row>
    <row r="47" spans="8:14">
      <c r="H47" s="6"/>
      <c r="I47" s="12"/>
      <c r="J47" s="12"/>
      <c r="K47" s="12"/>
      <c r="L47" s="12"/>
      <c r="M47" s="12"/>
      <c r="N47" s="12"/>
    </row>
    <row r="48" spans="8:14">
      <c r="H48" s="12"/>
      <c r="I48" s="12"/>
      <c r="J48" s="12"/>
      <c r="K48" s="12"/>
      <c r="L48" s="12"/>
      <c r="M48" s="12"/>
      <c r="N48" s="12"/>
    </row>
    <row r="49" spans="8:14">
      <c r="H49" s="12"/>
      <c r="I49" s="12"/>
      <c r="J49" s="12"/>
      <c r="K49" s="12"/>
      <c r="L49" s="12"/>
      <c r="M49" s="12"/>
      <c r="N49" s="12"/>
    </row>
    <row r="50" spans="8:14">
      <c r="H50" s="6"/>
      <c r="I50" s="12"/>
      <c r="J50" s="12"/>
      <c r="K50" s="12"/>
      <c r="L50" s="12"/>
      <c r="M50" s="12"/>
      <c r="N50" s="12"/>
    </row>
    <row r="51" spans="8:14">
      <c r="H51" s="12"/>
      <c r="I51" s="12"/>
      <c r="J51" s="12"/>
      <c r="K51" s="12"/>
      <c r="L51" s="12"/>
      <c r="M51" s="12"/>
      <c r="N51" s="12"/>
    </row>
    <row r="52" spans="8:14">
      <c r="H52" s="12"/>
      <c r="I52" s="12"/>
      <c r="J52" s="12"/>
      <c r="K52" s="12"/>
      <c r="L52" s="12"/>
      <c r="M52" s="12"/>
      <c r="N52" s="12"/>
    </row>
    <row r="53" spans="8:14">
      <c r="H53" s="12"/>
      <c r="I53" s="12"/>
      <c r="J53" s="12"/>
      <c r="K53" s="12"/>
      <c r="L53" s="12"/>
      <c r="M53" s="12"/>
      <c r="N53" s="12"/>
    </row>
    <row r="54" spans="8:14">
      <c r="H54" s="12"/>
      <c r="I54" s="12"/>
      <c r="J54" s="12"/>
      <c r="K54" s="12"/>
      <c r="L54" s="12"/>
      <c r="M54" s="12"/>
      <c r="N54" s="12"/>
    </row>
    <row r="55" spans="8:14">
      <c r="H55" s="12"/>
      <c r="I55" s="12"/>
      <c r="J55" s="12"/>
      <c r="K55" s="12"/>
      <c r="L55" s="12"/>
      <c r="M55" s="12"/>
      <c r="N55" s="12"/>
    </row>
    <row r="56" spans="8:14">
      <c r="H56" s="12"/>
      <c r="I56" s="12"/>
      <c r="J56" s="12"/>
      <c r="K56" s="12"/>
      <c r="L56" s="12"/>
      <c r="M56" s="12"/>
      <c r="N56" s="12"/>
    </row>
    <row r="57" spans="8:14">
      <c r="H57" s="6"/>
      <c r="I57" s="12"/>
      <c r="J57" s="12"/>
      <c r="K57" s="12"/>
      <c r="L57" s="12"/>
      <c r="M57" s="12"/>
      <c r="N57" s="12"/>
    </row>
    <row r="58" spans="8:14">
      <c r="H58" s="12"/>
      <c r="I58" s="12"/>
      <c r="J58" s="12"/>
      <c r="K58" s="12"/>
      <c r="L58" s="12"/>
      <c r="M58" s="12"/>
      <c r="N58" s="12"/>
    </row>
    <row r="59" spans="8:14">
      <c r="H59" s="12"/>
      <c r="I59" s="12"/>
      <c r="J59" s="12"/>
      <c r="K59" s="12"/>
      <c r="L59" s="12"/>
      <c r="M59" s="12"/>
      <c r="N59" s="12"/>
    </row>
    <row r="60" spans="8:14">
      <c r="H60" s="12"/>
      <c r="I60" s="12"/>
      <c r="J60" s="12"/>
      <c r="K60" s="12"/>
      <c r="L60" s="12"/>
      <c r="M60" s="12"/>
      <c r="N60" s="12"/>
    </row>
    <row r="61" spans="8:14">
      <c r="H61" s="12"/>
      <c r="I61" s="12"/>
      <c r="J61" s="12"/>
      <c r="K61" s="12"/>
      <c r="L61" s="12"/>
      <c r="M61" s="12"/>
      <c r="N61" s="12"/>
    </row>
    <row r="62" spans="8:14">
      <c r="H62" s="12"/>
      <c r="I62" s="12"/>
      <c r="J62" s="12"/>
      <c r="K62" s="12"/>
      <c r="L62" s="12"/>
      <c r="M62" s="12"/>
      <c r="N62" s="12"/>
    </row>
    <row r="63" spans="8:14">
      <c r="H63" s="12"/>
      <c r="I63" s="12"/>
      <c r="J63" s="12"/>
      <c r="K63" s="12"/>
      <c r="L63" s="12"/>
      <c r="M63" s="12"/>
      <c r="N63" s="12"/>
    </row>
    <row r="64" spans="8:14">
      <c r="H64" s="12"/>
      <c r="I64" s="12"/>
      <c r="J64" s="12"/>
      <c r="K64" s="12"/>
      <c r="L64" s="12"/>
      <c r="M64" s="12"/>
      <c r="N64" s="12"/>
    </row>
    <row r="65" spans="8:14">
      <c r="H65" s="12"/>
      <c r="I65" s="12"/>
      <c r="J65" s="12"/>
      <c r="K65" s="12"/>
      <c r="L65" s="12"/>
      <c r="M65" s="12"/>
      <c r="N65" s="12"/>
    </row>
    <row r="66" spans="8:14">
      <c r="H66" s="6"/>
      <c r="I66" s="12"/>
      <c r="J66" s="12"/>
      <c r="K66" s="12"/>
      <c r="L66" s="12"/>
      <c r="M66" s="12"/>
      <c r="N66" s="12"/>
    </row>
    <row r="67" spans="8:14">
      <c r="H67" s="12"/>
      <c r="I67" s="12"/>
      <c r="J67" s="12"/>
      <c r="K67" s="12"/>
      <c r="L67" s="12"/>
      <c r="M67" s="12"/>
      <c r="N67" s="12"/>
    </row>
    <row r="68" spans="8:14">
      <c r="H68" s="6"/>
      <c r="I68" s="12"/>
      <c r="J68" s="12"/>
      <c r="K68" s="12"/>
      <c r="L68" s="12"/>
      <c r="M68" s="12"/>
      <c r="N68" s="12"/>
    </row>
    <row r="69" spans="8:14">
      <c r="H69" s="12"/>
      <c r="I69" s="12"/>
      <c r="J69" s="12"/>
      <c r="K69" s="12"/>
      <c r="L69" s="12"/>
      <c r="M69" s="12"/>
      <c r="N69" s="12"/>
    </row>
    <row r="70" spans="8:14">
      <c r="H70" s="12"/>
      <c r="I70" s="12"/>
      <c r="J70" s="12"/>
      <c r="K70" s="12"/>
      <c r="L70" s="12"/>
      <c r="M70" s="12"/>
      <c r="N70" s="12"/>
    </row>
    <row r="71" spans="8:14">
      <c r="H71" s="12"/>
      <c r="I71" s="12"/>
      <c r="J71" s="12"/>
      <c r="K71" s="12"/>
      <c r="L71" s="12"/>
      <c r="M71" s="12"/>
      <c r="N71" s="12"/>
    </row>
    <row r="72" spans="8:14">
      <c r="H72" s="12"/>
      <c r="I72" s="12"/>
      <c r="J72" s="12"/>
      <c r="K72" s="12"/>
      <c r="L72" s="12"/>
      <c r="M72" s="12"/>
      <c r="N72" s="12"/>
    </row>
    <row r="73" spans="8:14">
      <c r="H73" s="12"/>
      <c r="I73" s="12"/>
      <c r="J73" s="12"/>
      <c r="K73" s="12"/>
      <c r="L73" s="12"/>
      <c r="M73" s="12"/>
      <c r="N73" s="12"/>
    </row>
    <row r="74" spans="8:14">
      <c r="H74" s="12"/>
      <c r="I74" s="12"/>
      <c r="J74" s="12"/>
      <c r="K74" s="12"/>
      <c r="L74" s="12"/>
      <c r="M74" s="12"/>
      <c r="N74" s="12"/>
    </row>
    <row r="75" spans="8:14">
      <c r="H75" s="6"/>
      <c r="I75" s="12"/>
      <c r="J75" s="12"/>
      <c r="K75" s="12"/>
      <c r="L75" s="12"/>
      <c r="M75" s="12"/>
      <c r="N75" s="12"/>
    </row>
    <row r="76" spans="8:14">
      <c r="H76" s="12"/>
      <c r="I76" s="12"/>
      <c r="J76" s="12"/>
      <c r="K76" s="12"/>
      <c r="L76" s="12"/>
      <c r="M76" s="12"/>
      <c r="N76" s="12"/>
    </row>
    <row r="77" spans="8:14">
      <c r="H77" s="12"/>
      <c r="I77" s="12"/>
      <c r="J77" s="12"/>
      <c r="K77" s="12"/>
      <c r="L77" s="12"/>
      <c r="M77" s="12"/>
      <c r="N77" s="12"/>
    </row>
    <row r="78" spans="8:14">
      <c r="H78" s="16"/>
      <c r="I78" s="12"/>
      <c r="J78" s="12"/>
      <c r="K78" s="12"/>
      <c r="L78" s="12"/>
      <c r="M78" s="12"/>
      <c r="N78" s="12"/>
    </row>
    <row r="79" spans="8:14">
      <c r="H79" s="12"/>
      <c r="I79" s="12"/>
      <c r="J79" s="12"/>
      <c r="K79" s="12"/>
      <c r="L79" s="12"/>
      <c r="M79" s="12"/>
      <c r="N79" s="12"/>
    </row>
    <row r="80" spans="8:14">
      <c r="H80" s="12"/>
      <c r="I80" s="12"/>
      <c r="J80" s="12"/>
      <c r="K80" s="12"/>
      <c r="L80" s="12"/>
      <c r="M80" s="12"/>
      <c r="N80" s="12"/>
    </row>
    <row r="81" spans="8:14">
      <c r="H81" s="12"/>
      <c r="I81" s="12"/>
      <c r="J81" s="12"/>
      <c r="K81" s="12"/>
      <c r="L81" s="12"/>
      <c r="M81" s="12"/>
      <c r="N81" s="12"/>
    </row>
    <row r="82" spans="8:14">
      <c r="H82" s="12"/>
      <c r="I82" s="12"/>
      <c r="J82" s="12"/>
      <c r="K82" s="12"/>
      <c r="L82" s="12"/>
      <c r="M82" s="12"/>
      <c r="N82" s="12"/>
    </row>
    <row r="83" spans="8:14">
      <c r="H83" s="12"/>
      <c r="I83" s="12"/>
      <c r="J83" s="12"/>
      <c r="K83" s="12"/>
      <c r="L83" s="12"/>
      <c r="M83" s="12"/>
      <c r="N83" s="12"/>
    </row>
    <row r="84" spans="8:14">
      <c r="H84" s="12"/>
      <c r="I84" s="12"/>
      <c r="J84" s="12"/>
      <c r="K84" s="12"/>
      <c r="L84" s="12"/>
      <c r="M84" s="12"/>
      <c r="N84" s="12"/>
    </row>
    <row r="85" spans="8:14">
      <c r="H85" s="12"/>
      <c r="I85" s="12"/>
      <c r="J85" s="12"/>
      <c r="K85" s="12"/>
      <c r="L85" s="12"/>
      <c r="M85" s="12"/>
      <c r="N85" s="12"/>
    </row>
    <row r="86" spans="8:14">
      <c r="H86" s="12"/>
      <c r="I86" s="12"/>
      <c r="J86" s="12"/>
      <c r="K86" s="12"/>
      <c r="L86" s="12"/>
      <c r="M86" s="12"/>
      <c r="N86" s="12"/>
    </row>
    <row r="87" spans="8:14">
      <c r="H87" s="12"/>
      <c r="I87" s="12"/>
      <c r="J87" s="12"/>
      <c r="K87" s="12"/>
      <c r="L87" s="12"/>
      <c r="M87" s="12"/>
      <c r="N87" s="12"/>
    </row>
    <row r="88" spans="8:14">
      <c r="H88" s="6"/>
      <c r="I88" s="12"/>
      <c r="J88" s="12"/>
      <c r="K88" s="12"/>
      <c r="L88" s="12"/>
      <c r="M88" s="12"/>
      <c r="N88" s="12"/>
    </row>
    <row r="89" spans="8:14">
      <c r="H89" s="12"/>
      <c r="I89" s="12"/>
      <c r="J89" s="12"/>
      <c r="K89" s="12"/>
      <c r="L89" s="12"/>
      <c r="M89" s="12"/>
      <c r="N89" s="12"/>
    </row>
    <row r="90" spans="8:14">
      <c r="H90" s="12"/>
      <c r="I90" s="12"/>
      <c r="J90" s="12"/>
      <c r="K90" s="12"/>
      <c r="L90" s="12"/>
      <c r="M90" s="12"/>
      <c r="N90" s="12"/>
    </row>
    <row r="91" spans="8:14">
      <c r="H91" s="6"/>
      <c r="I91" s="12"/>
      <c r="J91" s="12"/>
      <c r="K91" s="12"/>
      <c r="L91" s="12"/>
      <c r="M91" s="12"/>
      <c r="N91" s="12"/>
    </row>
    <row r="92" spans="8:14">
      <c r="H92" s="12"/>
      <c r="I92" s="12"/>
      <c r="J92" s="12"/>
      <c r="K92" s="12"/>
      <c r="L92" s="12"/>
      <c r="M92" s="12"/>
      <c r="N92" s="12"/>
    </row>
    <row r="93" spans="8:14">
      <c r="H93" s="6"/>
      <c r="I93" s="12"/>
      <c r="J93" s="12"/>
      <c r="K93" s="12"/>
      <c r="L93" s="12"/>
      <c r="M93" s="12"/>
      <c r="N93" s="12"/>
    </row>
    <row r="94" spans="8:14">
      <c r="H94" s="12"/>
      <c r="I94" s="12"/>
      <c r="J94" s="12"/>
      <c r="K94" s="12"/>
      <c r="L94" s="12"/>
      <c r="M94" s="12"/>
      <c r="N94" s="12"/>
    </row>
    <row r="95" spans="8:14">
      <c r="H95" s="12"/>
      <c r="I95" s="12"/>
      <c r="J95" s="12"/>
      <c r="K95" s="12"/>
      <c r="L95" s="12"/>
      <c r="M95" s="12"/>
      <c r="N95" s="12"/>
    </row>
    <row r="96" spans="8:14">
      <c r="H96" s="12"/>
      <c r="I96" s="12"/>
      <c r="J96" s="12"/>
      <c r="K96" s="12"/>
      <c r="L96" s="12"/>
      <c r="M96" s="12"/>
      <c r="N96" s="12"/>
    </row>
    <row r="97" spans="8:14">
      <c r="H97" s="12"/>
      <c r="I97" s="12"/>
      <c r="J97" s="12"/>
      <c r="K97" s="12"/>
      <c r="L97" s="12"/>
      <c r="M97" s="12"/>
      <c r="N97" s="12"/>
    </row>
    <row r="98" spans="8:14">
      <c r="H98" s="12"/>
      <c r="I98" s="12"/>
      <c r="J98" s="12"/>
      <c r="K98" s="12"/>
      <c r="L98" s="12"/>
      <c r="M98" s="12"/>
      <c r="N98" s="12"/>
    </row>
    <row r="99" spans="8:14">
      <c r="H99" s="12"/>
      <c r="I99" s="12"/>
      <c r="J99" s="12"/>
      <c r="K99" s="12"/>
      <c r="L99" s="12"/>
      <c r="M99" s="12"/>
      <c r="N99" s="12"/>
    </row>
    <row r="100" spans="8:14">
      <c r="H100" s="12"/>
      <c r="I100" s="12"/>
      <c r="J100" s="12"/>
      <c r="K100" s="12"/>
      <c r="L100" s="12"/>
      <c r="M100" s="12"/>
      <c r="N100" s="12"/>
    </row>
    <row r="101" spans="8:14">
      <c r="H101" s="12"/>
      <c r="I101" s="12"/>
      <c r="J101" s="12"/>
      <c r="K101" s="12"/>
      <c r="L101" s="12"/>
      <c r="M101" s="12"/>
      <c r="N101" s="12"/>
    </row>
    <row r="102" spans="8:14">
      <c r="H102" s="12"/>
      <c r="I102" s="12"/>
      <c r="J102" s="12"/>
      <c r="K102" s="12"/>
      <c r="L102" s="12"/>
      <c r="M102" s="12"/>
      <c r="N102" s="12"/>
    </row>
    <row r="103" spans="8:14">
      <c r="H103" s="6"/>
      <c r="I103" s="12"/>
      <c r="J103" s="12"/>
      <c r="K103" s="12"/>
      <c r="L103" s="12"/>
      <c r="M103" s="12"/>
      <c r="N103" s="12"/>
    </row>
    <row r="104" spans="8:14">
      <c r="H104" s="55"/>
      <c r="I104" s="12"/>
      <c r="J104" s="12"/>
      <c r="K104" s="12"/>
      <c r="L104" s="12"/>
      <c r="M104" s="12"/>
      <c r="N104" s="12"/>
    </row>
    <row r="105" spans="8:14">
      <c r="H105" s="12"/>
      <c r="I105" s="12"/>
      <c r="J105" s="12"/>
      <c r="K105" s="12"/>
      <c r="L105" s="12"/>
      <c r="M105" s="12"/>
      <c r="N105" s="12"/>
    </row>
    <row r="106" spans="8:14">
      <c r="H106" s="12"/>
      <c r="I106" s="12"/>
      <c r="J106" s="12"/>
      <c r="K106" s="12"/>
      <c r="L106" s="12"/>
      <c r="M106" s="12"/>
      <c r="N106" s="12"/>
    </row>
    <row r="107" spans="8:14">
      <c r="H107" s="12"/>
      <c r="I107" s="12"/>
      <c r="J107" s="12"/>
      <c r="K107" s="12"/>
      <c r="L107" s="12"/>
      <c r="M107" s="12"/>
      <c r="N107" s="12"/>
    </row>
    <row r="108" spans="8:14">
      <c r="H108" s="6"/>
      <c r="I108" s="12"/>
      <c r="J108" s="12"/>
      <c r="K108" s="12"/>
      <c r="L108" s="12"/>
      <c r="M108" s="12"/>
      <c r="N108" s="12"/>
    </row>
    <row r="109" spans="8:14">
      <c r="H109" s="12"/>
      <c r="I109" s="12"/>
      <c r="J109" s="12"/>
      <c r="K109" s="12"/>
      <c r="L109" s="12"/>
      <c r="M109" s="12"/>
      <c r="N109" s="12"/>
    </row>
    <row r="110" spans="8:14">
      <c r="H110" s="12"/>
      <c r="I110" s="12"/>
      <c r="J110" s="12"/>
      <c r="K110" s="12"/>
      <c r="L110" s="12"/>
      <c r="M110" s="12"/>
      <c r="N110" s="12"/>
    </row>
    <row r="111" spans="8:14">
      <c r="H111" s="12"/>
      <c r="I111" s="12"/>
      <c r="J111" s="12"/>
      <c r="K111" s="12"/>
      <c r="L111" s="12"/>
      <c r="M111" s="12"/>
      <c r="N111" s="12"/>
    </row>
    <row r="112" spans="8:14">
      <c r="H112" s="16"/>
      <c r="I112" s="12"/>
      <c r="J112" s="12"/>
      <c r="K112" s="12"/>
      <c r="L112" s="12"/>
      <c r="M112" s="12"/>
      <c r="N112" s="12"/>
    </row>
    <row r="113" spans="8:14">
      <c r="H113" s="12"/>
      <c r="I113" s="12"/>
      <c r="J113" s="12"/>
      <c r="K113" s="12"/>
      <c r="L113" s="12"/>
      <c r="M113" s="12"/>
      <c r="N113" s="12"/>
    </row>
    <row r="114" spans="8:14">
      <c r="H114" s="12"/>
      <c r="I114" s="12"/>
      <c r="J114" s="12"/>
      <c r="K114" s="12"/>
      <c r="L114" s="12"/>
      <c r="M114" s="12"/>
      <c r="N114" s="12"/>
    </row>
    <row r="115" spans="8:14">
      <c r="H115" s="6"/>
      <c r="I115" s="12"/>
      <c r="J115" s="12"/>
      <c r="K115" s="12"/>
      <c r="L115" s="12"/>
      <c r="M115" s="12"/>
      <c r="N115" s="12"/>
    </row>
    <row r="116" spans="8:14">
      <c r="H116" s="12"/>
      <c r="I116" s="12"/>
      <c r="J116" s="12"/>
      <c r="K116" s="12"/>
      <c r="L116" s="12"/>
      <c r="M116" s="12"/>
      <c r="N116" s="12"/>
    </row>
    <row r="117" spans="8:14">
      <c r="H117" s="12"/>
      <c r="I117" s="12"/>
      <c r="J117" s="12"/>
      <c r="K117" s="12"/>
      <c r="L117" s="12"/>
      <c r="M117" s="12"/>
      <c r="N117" s="12"/>
    </row>
    <row r="118" spans="8:14">
      <c r="H118" s="12"/>
      <c r="I118" s="12"/>
      <c r="J118" s="12"/>
      <c r="K118" s="12"/>
      <c r="L118" s="12"/>
      <c r="M118" s="12"/>
      <c r="N118" s="12"/>
    </row>
    <row r="119" spans="8:14">
      <c r="H119" s="12"/>
      <c r="I119" s="12"/>
      <c r="J119" s="12"/>
      <c r="K119" s="12"/>
      <c r="L119" s="12"/>
      <c r="M119" s="12"/>
      <c r="N119" s="12"/>
    </row>
    <row r="120" spans="8:14">
      <c r="H120" s="12"/>
      <c r="I120" s="12"/>
      <c r="J120" s="12"/>
      <c r="K120" s="12"/>
      <c r="L120" s="12"/>
      <c r="M120" s="12"/>
      <c r="N120" s="12"/>
    </row>
    <row r="121" spans="8:14">
      <c r="H121" s="12"/>
      <c r="I121" s="12"/>
      <c r="J121" s="12"/>
      <c r="K121" s="12"/>
      <c r="L121" s="12"/>
      <c r="M121" s="12"/>
      <c r="N121" s="12"/>
    </row>
    <row r="122" spans="8:14">
      <c r="H122" s="12"/>
      <c r="I122" s="12"/>
      <c r="J122" s="12"/>
      <c r="K122" s="12"/>
      <c r="L122" s="12"/>
      <c r="M122" s="12"/>
      <c r="N122" s="12"/>
    </row>
    <row r="123" spans="8:14">
      <c r="H123" s="16"/>
      <c r="I123" s="12"/>
      <c r="J123" s="12"/>
      <c r="K123" s="12"/>
      <c r="L123" s="12"/>
      <c r="M123" s="12"/>
      <c r="N123" s="12"/>
    </row>
    <row r="124" spans="8:14">
      <c r="H124" s="12"/>
      <c r="I124" s="12"/>
      <c r="J124" s="12"/>
      <c r="K124" s="12"/>
      <c r="L124" s="12"/>
      <c r="M124" s="12"/>
      <c r="N124" s="12"/>
    </row>
    <row r="125" spans="8:14">
      <c r="H125" s="11"/>
      <c r="I125" s="12"/>
      <c r="J125" s="12"/>
      <c r="K125" s="12"/>
      <c r="L125" s="12"/>
      <c r="M125" s="12"/>
      <c r="N125" s="12"/>
    </row>
    <row r="126" spans="8:14">
      <c r="H126" s="6"/>
      <c r="I126" s="12"/>
      <c r="J126" s="12"/>
      <c r="K126" s="12"/>
      <c r="L126" s="12"/>
      <c r="M126" s="12"/>
      <c r="N126" s="12"/>
    </row>
    <row r="127" spans="8:14">
      <c r="H127" s="12"/>
      <c r="I127" s="12"/>
      <c r="J127" s="12"/>
      <c r="K127" s="12"/>
      <c r="L127" s="12"/>
      <c r="M127" s="12"/>
      <c r="N127" s="12"/>
    </row>
    <row r="128" spans="8:14">
      <c r="H128" s="12"/>
      <c r="I128" s="12"/>
      <c r="J128" s="12"/>
      <c r="K128" s="12"/>
      <c r="L128" s="12"/>
      <c r="M128" s="12"/>
      <c r="N128" s="12"/>
    </row>
    <row r="129" spans="8:14">
      <c r="H129" s="12"/>
      <c r="I129" s="12"/>
      <c r="J129" s="12"/>
      <c r="K129" s="12"/>
      <c r="L129" s="12"/>
      <c r="M129" s="12"/>
      <c r="N129" s="12"/>
    </row>
    <row r="130" spans="8:14">
      <c r="H130" s="12"/>
      <c r="I130" s="12"/>
      <c r="J130" s="12"/>
      <c r="K130" s="12"/>
      <c r="L130" s="12"/>
      <c r="M130" s="12"/>
      <c r="N130" s="12"/>
    </row>
    <row r="131" spans="8:14">
      <c r="H131" s="12"/>
      <c r="I131" s="12"/>
      <c r="J131" s="12"/>
      <c r="K131" s="12"/>
      <c r="L131" s="12"/>
      <c r="M131" s="12"/>
      <c r="N131" s="12"/>
    </row>
    <row r="132" spans="8:14">
      <c r="H132" s="12"/>
      <c r="I132" s="12"/>
      <c r="J132" s="12"/>
      <c r="K132" s="12"/>
      <c r="L132" s="12"/>
      <c r="M132" s="12"/>
      <c r="N132" s="12"/>
    </row>
    <row r="133" spans="8:14">
      <c r="H133" s="12"/>
      <c r="I133" s="12"/>
      <c r="J133" s="12"/>
      <c r="K133" s="12"/>
      <c r="L133" s="12"/>
      <c r="M133" s="12"/>
      <c r="N133" s="12"/>
    </row>
    <row r="134" spans="8:14">
      <c r="H134" s="12"/>
      <c r="I134" s="12"/>
      <c r="J134" s="12"/>
      <c r="K134" s="12"/>
      <c r="L134" s="12"/>
      <c r="M134" s="12"/>
      <c r="N134" s="12"/>
    </row>
    <row r="135" spans="8:14">
      <c r="H135" s="12"/>
      <c r="I135" s="12"/>
      <c r="J135" s="12"/>
      <c r="K135" s="12"/>
      <c r="L135" s="12"/>
      <c r="M135" s="12"/>
      <c r="N135" s="12"/>
    </row>
    <row r="136" spans="8:14">
      <c r="I136" s="12"/>
      <c r="J136" s="12"/>
      <c r="K136" s="12"/>
      <c r="L136" s="12"/>
      <c r="M136" s="12"/>
      <c r="N136" s="12"/>
    </row>
    <row r="137" spans="8:14">
      <c r="I137" s="12"/>
      <c r="J137" s="12"/>
      <c r="K137" s="12"/>
      <c r="L137" s="12"/>
      <c r="M137" s="12"/>
      <c r="N137" s="12"/>
    </row>
    <row r="138" spans="8:14">
      <c r="I138" s="12"/>
      <c r="J138" s="12"/>
      <c r="K138" s="12"/>
      <c r="L138" s="12"/>
      <c r="M138" s="12"/>
      <c r="N138" s="12"/>
    </row>
    <row r="139" spans="8:14">
      <c r="I139" s="12"/>
      <c r="J139" s="12"/>
      <c r="K139" s="12"/>
      <c r="L139" s="12"/>
      <c r="M139" s="12"/>
      <c r="N139" s="12"/>
    </row>
    <row r="140" spans="8:14">
      <c r="I140" s="12"/>
      <c r="J140" s="12"/>
      <c r="K140" s="12"/>
      <c r="L140" s="12"/>
      <c r="M140" s="12"/>
      <c r="N140" s="12"/>
    </row>
    <row r="141" spans="8:14">
      <c r="I141" s="12"/>
      <c r="J141" s="12"/>
      <c r="K141" s="12"/>
      <c r="L141" s="12"/>
      <c r="M141" s="12"/>
      <c r="N141" s="12"/>
    </row>
    <row r="142" spans="8:14">
      <c r="I142" s="12"/>
      <c r="J142" s="12"/>
      <c r="K142" s="12"/>
      <c r="L142" s="12"/>
      <c r="M142" s="12"/>
      <c r="N142" s="12"/>
    </row>
    <row r="143" spans="8:14">
      <c r="I143" s="12"/>
      <c r="J143" s="12"/>
      <c r="K143" s="12"/>
      <c r="L143" s="12"/>
      <c r="M143" s="12"/>
      <c r="N143" s="12"/>
    </row>
    <row r="144" spans="8:14">
      <c r="I144" s="12"/>
      <c r="J144" s="12"/>
      <c r="K144" s="12"/>
      <c r="L144" s="12"/>
      <c r="M144" s="12"/>
      <c r="N144" s="12"/>
    </row>
    <row r="145" spans="9:14">
      <c r="I145" s="12"/>
      <c r="J145" s="12"/>
      <c r="K145" s="12"/>
      <c r="L145" s="12"/>
      <c r="M145" s="12"/>
      <c r="N145" s="12"/>
    </row>
    <row r="146" spans="9:14">
      <c r="I146" s="12"/>
      <c r="J146" s="12"/>
      <c r="K146" s="12"/>
      <c r="L146" s="12"/>
      <c r="M146" s="12"/>
      <c r="N146" s="12"/>
    </row>
    <row r="147" spans="9:14">
      <c r="I147" s="12"/>
      <c r="J147" s="12"/>
      <c r="K147" s="12"/>
      <c r="L147" s="12"/>
      <c r="M147" s="12"/>
      <c r="N147" s="12"/>
    </row>
    <row r="148" spans="9:14">
      <c r="I148" s="12"/>
      <c r="J148" s="12"/>
      <c r="K148" s="12"/>
      <c r="L148" s="12"/>
      <c r="M148" s="12"/>
      <c r="N148" s="12"/>
    </row>
    <row r="149" spans="9:14">
      <c r="I149" s="12"/>
      <c r="J149" s="12"/>
      <c r="K149" s="12"/>
      <c r="L149" s="12"/>
      <c r="M149" s="12"/>
      <c r="N149" s="12"/>
    </row>
    <row r="150" spans="9:14">
      <c r="I150" s="12"/>
      <c r="J150" s="12"/>
      <c r="K150" s="12"/>
      <c r="L150" s="12"/>
      <c r="M150" s="12"/>
      <c r="N150" s="12"/>
    </row>
    <row r="151" spans="9:14">
      <c r="I151" s="12"/>
      <c r="J151" s="12"/>
      <c r="K151" s="12"/>
      <c r="L151" s="12"/>
      <c r="M151" s="12"/>
      <c r="N151" s="12"/>
    </row>
    <row r="152" spans="9:14">
      <c r="I152" s="12"/>
      <c r="J152" s="12"/>
      <c r="K152" s="12"/>
      <c r="L152" s="12"/>
      <c r="M152" s="12"/>
      <c r="N152" s="12"/>
    </row>
    <row r="153" spans="9:14">
      <c r="I153" s="12"/>
      <c r="J153" s="12"/>
      <c r="K153" s="12"/>
      <c r="L153" s="12"/>
      <c r="M153" s="12"/>
      <c r="N153" s="12"/>
    </row>
    <row r="154" spans="9:14">
      <c r="I154" s="12"/>
      <c r="J154" s="12"/>
      <c r="K154" s="12"/>
      <c r="L154" s="12"/>
      <c r="M154" s="12"/>
      <c r="N154" s="12"/>
    </row>
    <row r="155" spans="9:14">
      <c r="I155" s="12"/>
      <c r="J155" s="12"/>
      <c r="K155" s="12"/>
      <c r="L155" s="12"/>
      <c r="M155" s="12"/>
      <c r="N155" s="12"/>
    </row>
    <row r="156" spans="9:14">
      <c r="I156" s="12"/>
      <c r="J156" s="12"/>
      <c r="K156" s="12"/>
      <c r="L156" s="12"/>
      <c r="M156" s="12"/>
      <c r="N156" s="12"/>
    </row>
    <row r="157" spans="9:14">
      <c r="I157" s="12"/>
      <c r="J157" s="12"/>
      <c r="K157" s="12"/>
      <c r="L157" s="12"/>
      <c r="M157" s="12"/>
      <c r="N157" s="12"/>
    </row>
    <row r="158" spans="9:14">
      <c r="I158" s="12"/>
      <c r="J158" s="12"/>
      <c r="K158" s="12"/>
      <c r="L158" s="12"/>
      <c r="M158" s="12"/>
      <c r="N158" s="12"/>
    </row>
    <row r="159" spans="9:14">
      <c r="I159" s="12"/>
      <c r="J159" s="12"/>
      <c r="K159" s="12"/>
      <c r="L159" s="12"/>
      <c r="M159" s="12"/>
      <c r="N159" s="12"/>
    </row>
    <row r="160" spans="9:14">
      <c r="I160" s="12"/>
      <c r="J160" s="12"/>
      <c r="K160" s="12"/>
      <c r="L160" s="12"/>
      <c r="M160" s="12"/>
      <c r="N160" s="12"/>
    </row>
    <row r="161" spans="9:14">
      <c r="I161" s="12"/>
      <c r="J161" s="12"/>
      <c r="K161" s="12"/>
      <c r="L161" s="12"/>
      <c r="M161" s="12"/>
      <c r="N161" s="12"/>
    </row>
    <row r="162" spans="9:14">
      <c r="I162" s="12"/>
      <c r="J162" s="12"/>
      <c r="K162" s="12"/>
      <c r="L162" s="12"/>
      <c r="M162" s="12"/>
      <c r="N162" s="12"/>
    </row>
    <row r="163" spans="9:14">
      <c r="I163" s="12"/>
      <c r="J163" s="12"/>
      <c r="K163" s="12"/>
      <c r="L163" s="12"/>
      <c r="M163" s="12"/>
      <c r="N163" s="12"/>
    </row>
    <row r="164" spans="9:14">
      <c r="I164" s="12"/>
      <c r="J164" s="12"/>
      <c r="K164" s="12"/>
      <c r="L164" s="12"/>
      <c r="M164" s="12"/>
      <c r="N164" s="12"/>
    </row>
    <row r="165" spans="9:14">
      <c r="I165" s="12"/>
      <c r="J165" s="12"/>
      <c r="K165" s="12"/>
      <c r="L165" s="12"/>
      <c r="M165" s="12"/>
      <c r="N165" s="12"/>
    </row>
    <row r="166" spans="9:14">
      <c r="I166" s="12"/>
      <c r="J166" s="12"/>
      <c r="K166" s="12"/>
      <c r="L166" s="12"/>
      <c r="M166" s="12"/>
      <c r="N166" s="12"/>
    </row>
    <row r="167" spans="9:14">
      <c r="I167" s="12"/>
      <c r="J167" s="12"/>
      <c r="K167" s="12"/>
      <c r="L167" s="12"/>
      <c r="M167" s="12"/>
      <c r="N167" s="12"/>
    </row>
    <row r="168" spans="9:14">
      <c r="I168" s="12"/>
      <c r="J168" s="12"/>
      <c r="K168" s="12"/>
      <c r="L168" s="12"/>
      <c r="M168" s="12"/>
      <c r="N168" s="12"/>
    </row>
    <row r="169" spans="9:14">
      <c r="I169" s="12"/>
      <c r="J169" s="12"/>
      <c r="K169" s="12"/>
      <c r="L169" s="12"/>
      <c r="M169" s="12"/>
      <c r="N169" s="12"/>
    </row>
    <row r="170" spans="9:14">
      <c r="I170" s="12"/>
      <c r="J170" s="12"/>
      <c r="K170" s="12"/>
      <c r="L170" s="12"/>
      <c r="M170" s="12"/>
      <c r="N170" s="12"/>
    </row>
    <row r="171" spans="9:14">
      <c r="I171" s="12"/>
      <c r="J171" s="12"/>
      <c r="K171" s="12"/>
      <c r="L171" s="12"/>
      <c r="M171" s="12"/>
      <c r="N171" s="12"/>
    </row>
    <row r="172" spans="9:14">
      <c r="I172" s="12"/>
      <c r="J172" s="12"/>
      <c r="K172" s="12"/>
      <c r="L172" s="12"/>
      <c r="M172" s="12"/>
      <c r="N172" s="12"/>
    </row>
    <row r="173" spans="9:14">
      <c r="I173" s="12"/>
      <c r="J173" s="12"/>
      <c r="K173" s="12"/>
      <c r="L173" s="12"/>
      <c r="M173" s="12"/>
      <c r="N173" s="12"/>
    </row>
    <row r="174" spans="9:14">
      <c r="I174" s="12"/>
      <c r="J174" s="12"/>
      <c r="K174" s="12"/>
      <c r="L174" s="12"/>
      <c r="M174" s="12"/>
      <c r="N174" s="12"/>
    </row>
    <row r="175" spans="9:14">
      <c r="I175" s="12"/>
      <c r="J175" s="12"/>
      <c r="K175" s="12"/>
      <c r="L175" s="12"/>
      <c r="M175" s="12"/>
      <c r="N175" s="12"/>
    </row>
    <row r="176" spans="9:14">
      <c r="I176" s="12"/>
      <c r="J176" s="12"/>
      <c r="K176" s="12"/>
      <c r="L176" s="12"/>
      <c r="M176" s="12"/>
      <c r="N176" s="12"/>
    </row>
    <row r="177" spans="9:14">
      <c r="I177" s="12"/>
      <c r="J177" s="12"/>
      <c r="K177" s="12"/>
      <c r="L177" s="12"/>
      <c r="M177" s="12"/>
      <c r="N177" s="12"/>
    </row>
    <row r="178" spans="9:14">
      <c r="I178" s="12"/>
      <c r="J178" s="12"/>
      <c r="K178" s="12"/>
      <c r="L178" s="12"/>
      <c r="M178" s="12"/>
      <c r="N178" s="12"/>
    </row>
    <row r="179" spans="9:14">
      <c r="I179" s="12"/>
      <c r="J179" s="12"/>
      <c r="K179" s="12"/>
      <c r="L179" s="12"/>
      <c r="M179" s="12"/>
      <c r="N179" s="12"/>
    </row>
    <row r="180" spans="9:14">
      <c r="I180" s="12"/>
      <c r="J180" s="12"/>
      <c r="K180" s="12"/>
      <c r="L180" s="12"/>
      <c r="M180" s="12"/>
      <c r="N180" s="12"/>
    </row>
    <row r="181" spans="9:14">
      <c r="I181" s="12"/>
      <c r="J181" s="12"/>
      <c r="K181" s="12"/>
      <c r="L181" s="12"/>
      <c r="M181" s="12"/>
      <c r="N181" s="12"/>
    </row>
    <row r="182" spans="9:14">
      <c r="I182" s="12"/>
      <c r="J182" s="12"/>
      <c r="K182" s="12"/>
      <c r="L182" s="12"/>
      <c r="M182" s="12"/>
      <c r="N182" s="12"/>
    </row>
    <row r="183" spans="9:14">
      <c r="I183" s="12"/>
      <c r="J183" s="12"/>
      <c r="K183" s="12"/>
      <c r="L183" s="12"/>
      <c r="M183" s="12"/>
      <c r="N183" s="12"/>
    </row>
    <row r="184" spans="9:14">
      <c r="I184" s="12"/>
      <c r="J184" s="12"/>
      <c r="K184" s="12"/>
      <c r="L184" s="12"/>
      <c r="M184" s="12"/>
      <c r="N184" s="12"/>
    </row>
    <row r="185" spans="9:14">
      <c r="I185" s="12"/>
      <c r="J185" s="12"/>
      <c r="K185" s="12"/>
      <c r="L185" s="12"/>
      <c r="M185" s="12"/>
      <c r="N185" s="12"/>
    </row>
    <row r="186" spans="9:14">
      <c r="I186" s="12"/>
      <c r="J186" s="12"/>
      <c r="K186" s="12"/>
      <c r="L186" s="12"/>
      <c r="M186" s="12"/>
      <c r="N186" s="12"/>
    </row>
    <row r="187" spans="9:14">
      <c r="I187" s="12"/>
      <c r="J187" s="12"/>
      <c r="K187" s="12"/>
      <c r="L187" s="12"/>
      <c r="M187" s="12"/>
      <c r="N187" s="12"/>
    </row>
    <row r="188" spans="9:14">
      <c r="I188" s="12"/>
      <c r="J188" s="12"/>
      <c r="K188" s="12"/>
      <c r="L188" s="12"/>
      <c r="M188" s="12"/>
      <c r="N188" s="12"/>
    </row>
    <row r="189" spans="9:14">
      <c r="I189" s="12"/>
      <c r="J189" s="12"/>
      <c r="K189" s="12"/>
      <c r="L189" s="12"/>
      <c r="M189" s="12"/>
      <c r="N189" s="12"/>
    </row>
    <row r="190" spans="9:14">
      <c r="I190" s="12"/>
      <c r="J190" s="12"/>
      <c r="K190" s="12"/>
      <c r="L190" s="12"/>
      <c r="M190" s="12"/>
      <c r="N190" s="12"/>
    </row>
    <row r="191" spans="9:14">
      <c r="I191" s="12"/>
      <c r="J191" s="12"/>
      <c r="K191" s="12"/>
      <c r="L191" s="12"/>
      <c r="M191" s="12"/>
      <c r="N191" s="12"/>
    </row>
    <row r="192" spans="9:14">
      <c r="I192" s="12"/>
      <c r="J192" s="12"/>
      <c r="K192" s="12"/>
      <c r="L192" s="12"/>
      <c r="M192" s="12"/>
      <c r="N192" s="12"/>
    </row>
    <row r="193" spans="9:14">
      <c r="I193" s="12"/>
      <c r="J193" s="12"/>
      <c r="K193" s="12"/>
      <c r="L193" s="12"/>
      <c r="M193" s="12"/>
      <c r="N193" s="12"/>
    </row>
    <row r="194" spans="9:14">
      <c r="I194" s="12"/>
      <c r="J194" s="12"/>
      <c r="K194" s="12"/>
      <c r="L194" s="12"/>
      <c r="M194" s="12"/>
      <c r="N194" s="12"/>
    </row>
    <row r="195" spans="9:14">
      <c r="I195" s="12"/>
      <c r="J195" s="12"/>
      <c r="K195" s="12"/>
      <c r="L195" s="12"/>
      <c r="M195" s="12"/>
      <c r="N195" s="12"/>
    </row>
    <row r="196" spans="9:14">
      <c r="I196" s="12"/>
      <c r="J196" s="12"/>
      <c r="K196" s="12"/>
      <c r="L196" s="12"/>
      <c r="M196" s="12"/>
      <c r="N196" s="12"/>
    </row>
    <row r="197" spans="9:14">
      <c r="I197" s="12"/>
      <c r="J197" s="12"/>
      <c r="K197" s="12"/>
      <c r="L197" s="12"/>
      <c r="M197" s="12"/>
      <c r="N197" s="12"/>
    </row>
    <row r="198" spans="9:14">
      <c r="I198" s="12"/>
      <c r="J198" s="12"/>
      <c r="K198" s="12"/>
      <c r="L198" s="12"/>
      <c r="M198" s="12"/>
      <c r="N198" s="12"/>
    </row>
    <row r="199" spans="9:14">
      <c r="I199" s="12"/>
      <c r="J199" s="12"/>
      <c r="K199" s="12"/>
      <c r="L199" s="12"/>
      <c r="M199" s="12"/>
      <c r="N199" s="12"/>
    </row>
    <row r="200" spans="9:14">
      <c r="I200" s="12"/>
      <c r="J200" s="12"/>
      <c r="K200" s="12"/>
      <c r="L200" s="12"/>
      <c r="M200" s="12"/>
      <c r="N200" s="12"/>
    </row>
    <row r="201" spans="9:14">
      <c r="I201" s="12"/>
      <c r="J201" s="12"/>
      <c r="K201" s="12"/>
      <c r="L201" s="12"/>
      <c r="M201" s="12"/>
      <c r="N201" s="12"/>
    </row>
    <row r="202" spans="9:14">
      <c r="I202" s="12"/>
      <c r="J202" s="12"/>
      <c r="K202" s="12"/>
      <c r="L202" s="12"/>
      <c r="M202" s="12"/>
      <c r="N202" s="12"/>
    </row>
    <row r="203" spans="9:14">
      <c r="I203" s="12"/>
      <c r="J203" s="12"/>
      <c r="K203" s="12"/>
      <c r="L203" s="12"/>
      <c r="M203" s="12"/>
      <c r="N203" s="12"/>
    </row>
    <row r="204" spans="9:14">
      <c r="I204" s="12"/>
      <c r="J204" s="12"/>
      <c r="K204" s="12"/>
      <c r="L204" s="12"/>
      <c r="M204" s="12"/>
      <c r="N204" s="12"/>
    </row>
    <row r="205" spans="9:14">
      <c r="I205" s="12"/>
      <c r="J205" s="12"/>
      <c r="K205" s="12"/>
      <c r="L205" s="12"/>
      <c r="M205" s="12"/>
      <c r="N205" s="12"/>
    </row>
    <row r="206" spans="9:14">
      <c r="I206" s="12"/>
      <c r="J206" s="12"/>
      <c r="K206" s="12"/>
      <c r="L206" s="12"/>
      <c r="M206" s="12"/>
      <c r="N206" s="12"/>
    </row>
    <row r="207" spans="9:14">
      <c r="I207" s="12"/>
      <c r="J207" s="12"/>
      <c r="K207" s="12"/>
      <c r="L207" s="12"/>
      <c r="M207" s="12"/>
      <c r="N207" s="12"/>
    </row>
    <row r="208" spans="9:14">
      <c r="I208" s="12"/>
      <c r="J208" s="12"/>
      <c r="K208" s="12"/>
      <c r="L208" s="12"/>
      <c r="M208" s="12"/>
      <c r="N208" s="12"/>
    </row>
    <row r="209" spans="9:14">
      <c r="I209" s="12"/>
      <c r="J209" s="12"/>
      <c r="K209" s="12"/>
      <c r="L209" s="12"/>
      <c r="M209" s="12"/>
      <c r="N209" s="12"/>
    </row>
    <row r="210" spans="9:14">
      <c r="I210" s="12"/>
      <c r="J210" s="12"/>
      <c r="K210" s="12"/>
      <c r="L210" s="12"/>
      <c r="M210" s="12"/>
      <c r="N210" s="12"/>
    </row>
    <row r="211" spans="9:14">
      <c r="I211" s="12"/>
      <c r="J211" s="12"/>
      <c r="K211" s="12"/>
      <c r="L211" s="12"/>
      <c r="M211" s="12"/>
      <c r="N211" s="12"/>
    </row>
    <row r="212" spans="9:14">
      <c r="I212" s="12"/>
      <c r="J212" s="12"/>
      <c r="K212" s="12"/>
      <c r="L212" s="12"/>
      <c r="M212" s="12"/>
      <c r="N212" s="12"/>
    </row>
    <row r="213" spans="9:14">
      <c r="I213" s="12"/>
      <c r="J213" s="12"/>
      <c r="K213" s="12"/>
      <c r="L213" s="12"/>
      <c r="M213" s="12"/>
      <c r="N213" s="12"/>
    </row>
    <row r="214" spans="9:14">
      <c r="I214" s="12"/>
      <c r="J214" s="12"/>
      <c r="K214" s="12"/>
      <c r="L214" s="12"/>
      <c r="M214" s="12"/>
      <c r="N214" s="12"/>
    </row>
    <row r="215" spans="9:14">
      <c r="I215" s="12"/>
      <c r="J215" s="12"/>
      <c r="K215" s="12"/>
      <c r="L215" s="12"/>
      <c r="M215" s="12"/>
      <c r="N215" s="12"/>
    </row>
    <row r="216" spans="9:14">
      <c r="I216" s="12"/>
      <c r="J216" s="12"/>
      <c r="K216" s="12"/>
      <c r="L216" s="12"/>
      <c r="M216" s="12"/>
      <c r="N216" s="12"/>
    </row>
    <row r="217" spans="9:14">
      <c r="I217" s="12"/>
      <c r="J217" s="12"/>
      <c r="K217" s="12"/>
      <c r="L217" s="12"/>
      <c r="M217" s="12"/>
      <c r="N217" s="12"/>
    </row>
    <row r="218" spans="9:14">
      <c r="I218" s="12"/>
      <c r="J218" s="12"/>
      <c r="K218" s="12"/>
      <c r="L218" s="12"/>
      <c r="M218" s="12"/>
      <c r="N218" s="12"/>
    </row>
    <row r="219" spans="9:14">
      <c r="I219" s="12"/>
      <c r="J219" s="12"/>
      <c r="K219" s="12"/>
      <c r="L219" s="12"/>
      <c r="M219" s="12"/>
      <c r="N219" s="12"/>
    </row>
    <row r="220" spans="9:14">
      <c r="I220" s="12"/>
      <c r="J220" s="12"/>
      <c r="K220" s="12"/>
      <c r="L220" s="12"/>
      <c r="M220" s="12"/>
      <c r="N220" s="12"/>
    </row>
    <row r="221" spans="9:14">
      <c r="I221" s="12"/>
      <c r="J221" s="12"/>
      <c r="K221" s="12"/>
      <c r="L221" s="12"/>
      <c r="M221" s="12"/>
      <c r="N221" s="12"/>
    </row>
    <row r="222" spans="9:14">
      <c r="I222" s="12"/>
      <c r="J222" s="12"/>
      <c r="K222" s="12"/>
      <c r="L222" s="12"/>
      <c r="M222" s="12"/>
      <c r="N222" s="12"/>
    </row>
    <row r="223" spans="9:14">
      <c r="I223" s="12"/>
      <c r="J223" s="12"/>
      <c r="K223" s="12"/>
      <c r="L223" s="12"/>
      <c r="M223" s="12"/>
      <c r="N223" s="12"/>
    </row>
    <row r="224" spans="9:14">
      <c r="I224" s="12"/>
      <c r="J224" s="12"/>
      <c r="K224" s="12"/>
      <c r="L224" s="12"/>
      <c r="M224" s="12"/>
      <c r="N224" s="12"/>
    </row>
    <row r="225" spans="9:14">
      <c r="I225" s="12"/>
      <c r="J225" s="12"/>
      <c r="K225" s="12"/>
      <c r="L225" s="12"/>
      <c r="M225" s="12"/>
      <c r="N225" s="12"/>
    </row>
    <row r="226" spans="9:14">
      <c r="I226" s="12"/>
      <c r="J226" s="12"/>
      <c r="K226" s="12"/>
      <c r="L226" s="12"/>
      <c r="M226" s="12"/>
      <c r="N226" s="12"/>
    </row>
    <row r="227" spans="9:14">
      <c r="I227" s="12"/>
      <c r="J227" s="12"/>
      <c r="K227" s="12"/>
      <c r="L227" s="12"/>
      <c r="M227" s="12"/>
      <c r="N227" s="12"/>
    </row>
    <row r="228" spans="9:14">
      <c r="I228" s="12"/>
      <c r="J228" s="12"/>
      <c r="K228" s="12"/>
      <c r="L228" s="12"/>
      <c r="M228" s="12"/>
      <c r="N228" s="12"/>
    </row>
    <row r="229" spans="9:14">
      <c r="I229" s="12"/>
      <c r="J229" s="12"/>
      <c r="K229" s="12"/>
      <c r="L229" s="12"/>
      <c r="M229" s="12"/>
      <c r="N229" s="12"/>
    </row>
    <row r="230" spans="9:14">
      <c r="I230" s="12"/>
      <c r="J230" s="12"/>
      <c r="K230" s="12"/>
      <c r="L230" s="12"/>
      <c r="M230" s="12"/>
      <c r="N230" s="12"/>
    </row>
    <row r="231" spans="9:14">
      <c r="I231" s="12"/>
      <c r="J231" s="12"/>
      <c r="K231" s="12"/>
      <c r="L231" s="12"/>
      <c r="M231" s="12"/>
      <c r="N231" s="12"/>
    </row>
    <row r="232" spans="9:14">
      <c r="I232" s="12"/>
      <c r="J232" s="12"/>
      <c r="K232" s="12"/>
      <c r="L232" s="12"/>
      <c r="M232" s="12"/>
      <c r="N232" s="12"/>
    </row>
    <row r="233" spans="9:14">
      <c r="I233" s="12"/>
      <c r="J233" s="12"/>
      <c r="K233" s="12"/>
      <c r="L233" s="12"/>
      <c r="M233" s="12"/>
      <c r="N233" s="12"/>
    </row>
    <row r="234" spans="9:14">
      <c r="I234" s="12"/>
      <c r="J234" s="12"/>
      <c r="K234" s="12"/>
      <c r="L234" s="12"/>
      <c r="M234" s="12"/>
      <c r="N234" s="12"/>
    </row>
    <row r="235" spans="9:14">
      <c r="I235" s="12"/>
      <c r="J235" s="12"/>
      <c r="K235" s="12"/>
      <c r="L235" s="12"/>
      <c r="M235" s="12"/>
      <c r="N235" s="12"/>
    </row>
    <row r="236" spans="9:14">
      <c r="I236" s="12"/>
      <c r="J236" s="12"/>
      <c r="K236" s="12"/>
      <c r="L236" s="12"/>
      <c r="M236" s="12"/>
      <c r="N236" s="12"/>
    </row>
    <row r="237" spans="9:14">
      <c r="I237" s="12"/>
      <c r="J237" s="12"/>
      <c r="K237" s="12"/>
      <c r="L237" s="12"/>
      <c r="M237" s="12"/>
      <c r="N237" s="12"/>
    </row>
    <row r="238" spans="9:14">
      <c r="I238" s="12"/>
      <c r="J238" s="12"/>
      <c r="K238" s="12"/>
      <c r="L238" s="12"/>
      <c r="M238" s="12"/>
      <c r="N238" s="12"/>
    </row>
    <row r="239" spans="9:14">
      <c r="I239" s="12"/>
      <c r="J239" s="12"/>
      <c r="K239" s="12"/>
      <c r="L239" s="12"/>
      <c r="M239" s="12"/>
      <c r="N239" s="12"/>
    </row>
    <row r="240" spans="9:14">
      <c r="I240" s="12"/>
      <c r="J240" s="12"/>
      <c r="K240" s="12"/>
      <c r="L240" s="12"/>
      <c r="M240" s="12"/>
      <c r="N240" s="12"/>
    </row>
    <row r="241" spans="9:14">
      <c r="I241" s="12"/>
      <c r="J241" s="12"/>
      <c r="K241" s="12"/>
      <c r="L241" s="12"/>
      <c r="M241" s="12"/>
      <c r="N241" s="12"/>
    </row>
    <row r="242" spans="9:14">
      <c r="I242" s="12"/>
      <c r="J242" s="12"/>
      <c r="K242" s="12"/>
      <c r="L242" s="12"/>
      <c r="M242" s="12"/>
      <c r="N242" s="12"/>
    </row>
    <row r="243" spans="9:14">
      <c r="I243" s="12"/>
      <c r="J243" s="12"/>
      <c r="K243" s="12"/>
      <c r="L243" s="12"/>
      <c r="M243" s="12"/>
      <c r="N243" s="12"/>
    </row>
    <row r="244" spans="9:14">
      <c r="I244" s="12"/>
      <c r="J244" s="12"/>
      <c r="K244" s="12"/>
      <c r="L244" s="12"/>
      <c r="M244" s="12"/>
      <c r="N244" s="12"/>
    </row>
    <row r="245" spans="9:14">
      <c r="I245" s="12"/>
      <c r="J245" s="12"/>
      <c r="K245" s="12"/>
      <c r="L245" s="12"/>
      <c r="M245" s="12"/>
      <c r="N245" s="12"/>
    </row>
    <row r="246" spans="9:14">
      <c r="I246" s="12"/>
      <c r="J246" s="12"/>
      <c r="K246" s="12"/>
      <c r="L246" s="12"/>
      <c r="M246" s="12"/>
      <c r="N246" s="12"/>
    </row>
    <row r="247" spans="9:14">
      <c r="I247" s="12"/>
      <c r="J247" s="12"/>
      <c r="K247" s="12"/>
      <c r="L247" s="12"/>
      <c r="M247" s="12"/>
      <c r="N247" s="12"/>
    </row>
    <row r="248" spans="9:14">
      <c r="I248" s="12"/>
      <c r="J248" s="12"/>
      <c r="K248" s="12"/>
      <c r="L248" s="12"/>
      <c r="M248" s="12"/>
      <c r="N248" s="12"/>
    </row>
    <row r="249" spans="9:14">
      <c r="I249" s="12"/>
      <c r="J249" s="12"/>
      <c r="K249" s="12"/>
      <c r="L249" s="12"/>
      <c r="M249" s="12"/>
      <c r="N249" s="12"/>
    </row>
    <row r="250" spans="9:14">
      <c r="I250" s="12"/>
      <c r="J250" s="12"/>
      <c r="K250" s="12"/>
      <c r="L250" s="12"/>
      <c r="M250" s="12"/>
      <c r="N250" s="12"/>
    </row>
    <row r="251" spans="9:14">
      <c r="I251" s="12"/>
      <c r="J251" s="12"/>
      <c r="K251" s="12"/>
      <c r="L251" s="12"/>
      <c r="M251" s="12"/>
      <c r="N251" s="12"/>
    </row>
    <row r="252" spans="9:14">
      <c r="I252" s="12"/>
      <c r="J252" s="12"/>
      <c r="K252" s="12"/>
      <c r="L252" s="12"/>
      <c r="M252" s="12"/>
      <c r="N252" s="12"/>
    </row>
    <row r="253" spans="9:14">
      <c r="I253" s="12"/>
      <c r="J253" s="12"/>
      <c r="K253" s="12"/>
      <c r="L253" s="12"/>
      <c r="M253" s="12"/>
      <c r="N253" s="12"/>
    </row>
    <row r="254" spans="9:14">
      <c r="I254" s="12"/>
      <c r="J254" s="12"/>
      <c r="K254" s="12"/>
      <c r="L254" s="12"/>
      <c r="M254" s="12"/>
      <c r="N254" s="12"/>
    </row>
    <row r="255" spans="9:14">
      <c r="I255" s="12"/>
      <c r="J255" s="12"/>
      <c r="K255" s="12"/>
      <c r="L255" s="12"/>
      <c r="M255" s="12"/>
      <c r="N255" s="12"/>
    </row>
    <row r="256" spans="9:14">
      <c r="I256" s="12"/>
      <c r="J256" s="12"/>
      <c r="K256" s="12"/>
      <c r="L256" s="12"/>
      <c r="M256" s="12"/>
      <c r="N256" s="12"/>
    </row>
    <row r="257" spans="9:14">
      <c r="I257" s="12"/>
      <c r="J257" s="12"/>
      <c r="K257" s="12"/>
      <c r="L257" s="12"/>
      <c r="M257" s="12"/>
      <c r="N257" s="12"/>
    </row>
    <row r="258" spans="9:14">
      <c r="I258" s="12"/>
      <c r="J258" s="12"/>
      <c r="K258" s="12"/>
      <c r="L258" s="12"/>
      <c r="M258" s="12"/>
      <c r="N258" s="12"/>
    </row>
    <row r="259" spans="9:14">
      <c r="I259" s="12"/>
      <c r="J259" s="12"/>
      <c r="K259" s="12"/>
      <c r="L259" s="12"/>
      <c r="M259" s="12"/>
      <c r="N259" s="12"/>
    </row>
    <row r="260" spans="9:14">
      <c r="I260" s="12"/>
      <c r="J260" s="12"/>
      <c r="K260" s="12"/>
      <c r="L260" s="12"/>
      <c r="M260" s="12"/>
      <c r="N260" s="12"/>
    </row>
    <row r="261" spans="9:14">
      <c r="I261" s="12"/>
      <c r="J261" s="12"/>
      <c r="K261" s="12"/>
      <c r="L261" s="12"/>
      <c r="M261" s="12"/>
      <c r="N261" s="12"/>
    </row>
    <row r="262" spans="9:14">
      <c r="I262" s="12"/>
      <c r="J262" s="12"/>
      <c r="K262" s="12"/>
      <c r="L262" s="12"/>
      <c r="M262" s="12"/>
      <c r="N262" s="12"/>
    </row>
    <row r="263" spans="9:14">
      <c r="I263" s="12"/>
      <c r="J263" s="12"/>
      <c r="K263" s="12"/>
      <c r="L263" s="12"/>
      <c r="M263" s="12"/>
      <c r="N263" s="12"/>
    </row>
    <row r="264" spans="9:14">
      <c r="I264" s="12"/>
      <c r="J264" s="12"/>
      <c r="K264" s="12"/>
      <c r="L264" s="12"/>
      <c r="M264" s="12"/>
      <c r="N264" s="12"/>
    </row>
    <row r="265" spans="9:14">
      <c r="I265" s="12"/>
      <c r="J265" s="12"/>
      <c r="K265" s="12"/>
      <c r="L265" s="12"/>
      <c r="M265" s="12"/>
      <c r="N265" s="12"/>
    </row>
    <row r="266" spans="9:14">
      <c r="I266" s="12"/>
      <c r="J266" s="12"/>
      <c r="K266" s="12"/>
      <c r="L266" s="12"/>
      <c r="M266" s="12"/>
      <c r="N266" s="12"/>
    </row>
    <row r="267" spans="9:14">
      <c r="I267" s="12"/>
      <c r="J267" s="12"/>
      <c r="K267" s="12"/>
      <c r="L267" s="12"/>
      <c r="M267" s="12"/>
      <c r="N267" s="12"/>
    </row>
    <row r="268" spans="9:14">
      <c r="I268" s="12"/>
      <c r="J268" s="12"/>
      <c r="K268" s="12"/>
      <c r="L268" s="12"/>
      <c r="M268" s="12"/>
      <c r="N268" s="12"/>
    </row>
    <row r="269" spans="9:14">
      <c r="I269" s="12"/>
      <c r="J269" s="12"/>
      <c r="K269" s="12"/>
      <c r="L269" s="12"/>
      <c r="M269" s="12"/>
      <c r="N269" s="12"/>
    </row>
    <row r="270" spans="9:14">
      <c r="I270" s="12"/>
      <c r="J270" s="12"/>
      <c r="K270" s="12"/>
      <c r="L270" s="12"/>
      <c r="M270" s="12"/>
      <c r="N270" s="12"/>
    </row>
    <row r="271" spans="9:14">
      <c r="I271" s="12"/>
      <c r="J271" s="12"/>
      <c r="K271" s="12"/>
      <c r="L271" s="12"/>
      <c r="M271" s="12"/>
      <c r="N271" s="12"/>
    </row>
    <row r="272" spans="9:14">
      <c r="I272" s="12"/>
      <c r="J272" s="12"/>
      <c r="K272" s="12"/>
      <c r="L272" s="12"/>
      <c r="M272" s="12"/>
      <c r="N272" s="12"/>
    </row>
    <row r="273" spans="9:14">
      <c r="I273" s="12"/>
      <c r="J273" s="12"/>
      <c r="K273" s="12"/>
      <c r="L273" s="12"/>
      <c r="M273" s="12"/>
      <c r="N273" s="12"/>
    </row>
    <row r="274" spans="9:14">
      <c r="I274" s="12"/>
      <c r="J274" s="12"/>
      <c r="K274" s="12"/>
      <c r="L274" s="12"/>
      <c r="M274" s="12"/>
      <c r="N274" s="12"/>
    </row>
    <row r="275" spans="9:14">
      <c r="I275" s="12"/>
      <c r="J275" s="12"/>
      <c r="K275" s="12"/>
      <c r="L275" s="12"/>
      <c r="M275" s="12"/>
      <c r="N275" s="12"/>
    </row>
    <row r="276" spans="9:14">
      <c r="I276" s="12"/>
      <c r="J276" s="12"/>
      <c r="K276" s="12"/>
      <c r="L276" s="12"/>
      <c r="M276" s="12"/>
      <c r="N276" s="12"/>
    </row>
    <row r="277" spans="9:14">
      <c r="I277" s="12"/>
      <c r="J277" s="12"/>
      <c r="K277" s="12"/>
      <c r="L277" s="12"/>
      <c r="M277" s="12"/>
      <c r="N277" s="12"/>
    </row>
    <row r="278" spans="9:14">
      <c r="I278" s="12"/>
      <c r="J278" s="12"/>
      <c r="K278" s="12"/>
      <c r="L278" s="12"/>
      <c r="M278" s="12"/>
      <c r="N278" s="12"/>
    </row>
    <row r="279" spans="9:14">
      <c r="I279" s="12"/>
      <c r="J279" s="12"/>
      <c r="K279" s="12"/>
      <c r="L279" s="12"/>
      <c r="M279" s="12"/>
      <c r="N279" s="12"/>
    </row>
    <row r="280" spans="9:14">
      <c r="I280" s="12"/>
      <c r="J280" s="12"/>
      <c r="K280" s="12"/>
      <c r="L280" s="12"/>
      <c r="M280" s="12"/>
      <c r="N280" s="12"/>
    </row>
    <row r="281" spans="9:14">
      <c r="I281" s="12"/>
      <c r="J281" s="12"/>
      <c r="K281" s="12"/>
      <c r="L281" s="12"/>
      <c r="M281" s="12"/>
      <c r="N281" s="12"/>
    </row>
    <row r="282" spans="9:14">
      <c r="I282" s="12"/>
      <c r="J282" s="12"/>
      <c r="K282" s="12"/>
      <c r="L282" s="12"/>
      <c r="M282" s="12"/>
      <c r="N282" s="12"/>
    </row>
    <row r="283" spans="9:14">
      <c r="I283" s="12"/>
      <c r="J283" s="12"/>
      <c r="K283" s="12"/>
      <c r="L283" s="12"/>
      <c r="M283" s="12"/>
      <c r="N283" s="12"/>
    </row>
    <row r="284" spans="9:14">
      <c r="I284" s="12"/>
      <c r="J284" s="12"/>
      <c r="K284" s="12"/>
      <c r="L284" s="12"/>
      <c r="M284" s="12"/>
      <c r="N284" s="12"/>
    </row>
    <row r="285" spans="9:14">
      <c r="I285" s="12"/>
      <c r="J285" s="12"/>
      <c r="K285" s="12"/>
      <c r="L285" s="12"/>
      <c r="M285" s="12"/>
      <c r="N285" s="12"/>
    </row>
    <row r="286" spans="9:14">
      <c r="I286" s="12"/>
      <c r="J286" s="12"/>
      <c r="K286" s="12"/>
      <c r="L286" s="12"/>
      <c r="M286" s="12"/>
      <c r="N286" s="12"/>
    </row>
    <row r="287" spans="9:14">
      <c r="I287" s="12"/>
      <c r="J287" s="12"/>
      <c r="K287" s="12"/>
      <c r="L287" s="12"/>
      <c r="M287" s="12"/>
      <c r="N287" s="12"/>
    </row>
    <row r="288" spans="9:14">
      <c r="I288" s="12"/>
      <c r="J288" s="12"/>
      <c r="K288" s="12"/>
      <c r="L288" s="12"/>
      <c r="M288" s="12"/>
      <c r="N288" s="12"/>
    </row>
    <row r="289" spans="9:14">
      <c r="I289" s="12"/>
      <c r="J289" s="12"/>
      <c r="K289" s="12"/>
      <c r="L289" s="12"/>
      <c r="M289" s="12"/>
      <c r="N289" s="12"/>
    </row>
    <row r="290" spans="9:14">
      <c r="I290" s="12"/>
      <c r="J290" s="12"/>
      <c r="K290" s="12"/>
      <c r="L290" s="12"/>
      <c r="M290" s="12"/>
      <c r="N290" s="12"/>
    </row>
    <row r="291" spans="9:14">
      <c r="I291" s="12"/>
      <c r="J291" s="12"/>
      <c r="K291" s="12"/>
      <c r="L291" s="12"/>
      <c r="M291" s="12"/>
      <c r="N291" s="12"/>
    </row>
    <row r="292" spans="9:14">
      <c r="I292" s="12"/>
      <c r="J292" s="12"/>
      <c r="K292" s="12"/>
      <c r="L292" s="12"/>
      <c r="M292" s="12"/>
      <c r="N292" s="12"/>
    </row>
    <row r="293" spans="9:14">
      <c r="I293" s="12"/>
      <c r="J293" s="12"/>
      <c r="K293" s="12"/>
      <c r="L293" s="12"/>
      <c r="M293" s="12"/>
      <c r="N293" s="12"/>
    </row>
    <row r="294" spans="9:14">
      <c r="I294" s="12"/>
      <c r="J294" s="12"/>
      <c r="K294" s="12"/>
      <c r="L294" s="12"/>
      <c r="M294" s="12"/>
      <c r="N294" s="12"/>
    </row>
    <row r="295" spans="9:14">
      <c r="I295" s="12"/>
      <c r="J295" s="12"/>
      <c r="K295" s="12"/>
      <c r="L295" s="12"/>
      <c r="M295" s="12"/>
      <c r="N295" s="12"/>
    </row>
    <row r="296" spans="9:14">
      <c r="I296" s="12"/>
      <c r="J296" s="12"/>
      <c r="K296" s="12"/>
      <c r="L296" s="12"/>
      <c r="M296" s="12"/>
      <c r="N296" s="12"/>
    </row>
    <row r="297" spans="9:14">
      <c r="I297" s="12"/>
      <c r="J297" s="12"/>
      <c r="K297" s="12"/>
      <c r="L297" s="12"/>
      <c r="M297" s="12"/>
      <c r="N297" s="12"/>
    </row>
    <row r="298" spans="9:14">
      <c r="I298" s="12"/>
      <c r="J298" s="12"/>
      <c r="K298" s="12"/>
      <c r="L298" s="12"/>
      <c r="M298" s="12"/>
      <c r="N298" s="12"/>
    </row>
    <row r="299" spans="9:14">
      <c r="I299" s="12"/>
      <c r="J299" s="12"/>
      <c r="K299" s="12"/>
      <c r="L299" s="12"/>
      <c r="M299" s="12"/>
      <c r="N299" s="12"/>
    </row>
    <row r="300" spans="9:14">
      <c r="I300" s="12"/>
      <c r="J300" s="12"/>
      <c r="K300" s="12"/>
      <c r="L300" s="12"/>
      <c r="M300" s="12"/>
      <c r="N300" s="12"/>
    </row>
    <row r="301" spans="9:14">
      <c r="I301" s="12"/>
      <c r="J301" s="12"/>
      <c r="K301" s="12"/>
      <c r="L301" s="12"/>
      <c r="M301" s="12"/>
      <c r="N301" s="12"/>
    </row>
    <row r="302" spans="9:14">
      <c r="I302" s="12"/>
      <c r="J302" s="12"/>
      <c r="K302" s="12"/>
      <c r="L302" s="12"/>
      <c r="M302" s="12"/>
      <c r="N302" s="12"/>
    </row>
    <row r="303" spans="9:14">
      <c r="I303" s="12"/>
      <c r="J303" s="12"/>
      <c r="K303" s="12"/>
      <c r="L303" s="12"/>
      <c r="M303" s="12"/>
      <c r="N303" s="12"/>
    </row>
    <row r="304" spans="9:14">
      <c r="I304" s="12"/>
      <c r="J304" s="12"/>
      <c r="K304" s="12"/>
      <c r="L304" s="12"/>
      <c r="M304" s="12"/>
      <c r="N304" s="12"/>
    </row>
    <row r="305" spans="9:14">
      <c r="I305" s="12"/>
      <c r="J305" s="12"/>
      <c r="K305" s="12"/>
      <c r="L305" s="12"/>
      <c r="M305" s="12"/>
      <c r="N305" s="12"/>
    </row>
    <row r="306" spans="9:14">
      <c r="I306" s="12"/>
      <c r="J306" s="12"/>
      <c r="K306" s="12"/>
      <c r="L306" s="12"/>
      <c r="M306" s="12"/>
      <c r="N306" s="12"/>
    </row>
    <row r="307" spans="9:14">
      <c r="I307" s="12"/>
      <c r="J307" s="12"/>
      <c r="K307" s="12"/>
      <c r="L307" s="12"/>
      <c r="M307" s="12"/>
      <c r="N307" s="12"/>
    </row>
    <row r="308" spans="9:14">
      <c r="I308" s="12"/>
      <c r="J308" s="12"/>
      <c r="K308" s="12"/>
      <c r="L308" s="12"/>
      <c r="M308" s="12"/>
      <c r="N308" s="12"/>
    </row>
    <row r="309" spans="9:14">
      <c r="I309" s="12"/>
      <c r="J309" s="12"/>
      <c r="K309" s="12"/>
      <c r="L309" s="12"/>
      <c r="M309" s="12"/>
      <c r="N309" s="12"/>
    </row>
    <row r="310" spans="9:14">
      <c r="I310" s="12"/>
      <c r="J310" s="12"/>
      <c r="K310" s="12"/>
      <c r="L310" s="12"/>
      <c r="M310" s="12"/>
      <c r="N310" s="12"/>
    </row>
    <row r="311" spans="9:14">
      <c r="I311" s="12"/>
      <c r="J311" s="12"/>
      <c r="K311" s="12"/>
      <c r="L311" s="12"/>
      <c r="M311" s="12"/>
      <c r="N311" s="12"/>
    </row>
    <row r="312" spans="9:14">
      <c r="I312" s="12"/>
      <c r="J312" s="12"/>
      <c r="K312" s="12"/>
      <c r="L312" s="12"/>
      <c r="M312" s="12"/>
      <c r="N312" s="12"/>
    </row>
    <row r="313" spans="9:14">
      <c r="I313" s="12"/>
      <c r="J313" s="12"/>
      <c r="K313" s="12"/>
      <c r="L313" s="12"/>
      <c r="M313" s="12"/>
      <c r="N313" s="12"/>
    </row>
    <row r="314" spans="9:14">
      <c r="I314" s="12"/>
      <c r="J314" s="12"/>
      <c r="K314" s="12"/>
      <c r="L314" s="12"/>
      <c r="M314" s="12"/>
      <c r="N314" s="12"/>
    </row>
    <row r="315" spans="9:14">
      <c r="I315" s="12"/>
      <c r="J315" s="12"/>
      <c r="K315" s="12"/>
      <c r="L315" s="12"/>
      <c r="M315" s="12"/>
      <c r="N315" s="12"/>
    </row>
    <row r="316" spans="9:14">
      <c r="I316" s="12"/>
      <c r="J316" s="12"/>
      <c r="K316" s="12"/>
      <c r="L316" s="12"/>
      <c r="M316" s="12"/>
      <c r="N316" s="12"/>
    </row>
    <row r="317" spans="9:14">
      <c r="I317" s="12"/>
      <c r="J317" s="12"/>
      <c r="K317" s="12"/>
      <c r="L317" s="12"/>
      <c r="M317" s="12"/>
      <c r="N317" s="12"/>
    </row>
    <row r="318" spans="9:14">
      <c r="I318" s="12"/>
      <c r="J318" s="12"/>
      <c r="K318" s="12"/>
      <c r="L318" s="12"/>
      <c r="M318" s="12"/>
      <c r="N318" s="12"/>
    </row>
    <row r="319" spans="9:14">
      <c r="I319" s="12"/>
      <c r="J319" s="12"/>
      <c r="K319" s="12"/>
      <c r="L319" s="12"/>
      <c r="M319" s="12"/>
      <c r="N319" s="12"/>
    </row>
    <row r="320" spans="9:14">
      <c r="I320" s="12"/>
      <c r="J320" s="12"/>
      <c r="K320" s="12"/>
      <c r="L320" s="12"/>
      <c r="M320" s="12"/>
      <c r="N320" s="12"/>
    </row>
    <row r="321" spans="9:14">
      <c r="I321" s="12"/>
      <c r="J321" s="12"/>
      <c r="K321" s="12"/>
      <c r="L321" s="12"/>
      <c r="M321" s="12"/>
      <c r="N321" s="12"/>
    </row>
    <row r="322" spans="9:14">
      <c r="I322" s="12"/>
      <c r="J322" s="12"/>
      <c r="K322" s="12"/>
      <c r="L322" s="12"/>
      <c r="M322" s="12"/>
      <c r="N322" s="12"/>
    </row>
    <row r="323" spans="9:14">
      <c r="I323" s="12"/>
      <c r="J323" s="12"/>
      <c r="K323" s="12"/>
      <c r="L323" s="12"/>
      <c r="M323" s="12"/>
      <c r="N323" s="12"/>
    </row>
    <row r="324" spans="9:14">
      <c r="I324" s="12"/>
      <c r="J324" s="12"/>
      <c r="K324" s="12"/>
      <c r="L324" s="12"/>
      <c r="M324" s="12"/>
      <c r="N324" s="12"/>
    </row>
    <row r="325" spans="9:14">
      <c r="I325" s="12"/>
      <c r="J325" s="12"/>
      <c r="K325" s="12"/>
      <c r="L325" s="12"/>
      <c r="M325" s="12"/>
      <c r="N325" s="12"/>
    </row>
    <row r="326" spans="9:14">
      <c r="I326" s="12"/>
      <c r="J326" s="12"/>
      <c r="K326" s="12"/>
      <c r="L326" s="12"/>
      <c r="M326" s="12"/>
      <c r="N326" s="12"/>
    </row>
    <row r="327" spans="9:14">
      <c r="I327" s="12"/>
      <c r="J327" s="12"/>
      <c r="K327" s="12"/>
      <c r="L327" s="12"/>
      <c r="M327" s="12"/>
      <c r="N327" s="12"/>
    </row>
    <row r="328" spans="9:14">
      <c r="I328" s="12"/>
      <c r="J328" s="12"/>
      <c r="K328" s="12"/>
      <c r="L328" s="12"/>
      <c r="M328" s="12"/>
      <c r="N328" s="12"/>
    </row>
    <row r="329" spans="9:14">
      <c r="I329" s="12"/>
      <c r="J329" s="12"/>
      <c r="K329" s="12"/>
      <c r="L329" s="12"/>
      <c r="M329" s="12"/>
      <c r="N329" s="12"/>
    </row>
    <row r="330" spans="9:14">
      <c r="I330" s="12"/>
      <c r="J330" s="12"/>
      <c r="K330" s="12"/>
      <c r="L330" s="12"/>
      <c r="M330" s="12"/>
      <c r="N330" s="12"/>
    </row>
    <row r="331" spans="9:14">
      <c r="I331" s="12"/>
      <c r="J331" s="12"/>
      <c r="K331" s="12"/>
      <c r="L331" s="12"/>
      <c r="M331" s="12"/>
      <c r="N331" s="12"/>
    </row>
    <row r="332" spans="9:14">
      <c r="I332" s="12"/>
      <c r="J332" s="12"/>
      <c r="K332" s="12"/>
      <c r="L332" s="12"/>
      <c r="M332" s="12"/>
      <c r="N332" s="12"/>
    </row>
    <row r="333" spans="9:14">
      <c r="I333" s="12"/>
      <c r="J333" s="12"/>
      <c r="K333" s="12"/>
      <c r="L333" s="12"/>
      <c r="M333" s="12"/>
      <c r="N333" s="12"/>
    </row>
    <row r="334" spans="9:14">
      <c r="I334" s="12"/>
      <c r="J334" s="12"/>
      <c r="K334" s="12"/>
      <c r="L334" s="12"/>
      <c r="M334" s="12"/>
      <c r="N334" s="12"/>
    </row>
    <row r="335" spans="9:14">
      <c r="I335" s="12"/>
      <c r="J335" s="12"/>
      <c r="K335" s="12"/>
      <c r="L335" s="12"/>
      <c r="M335" s="12"/>
      <c r="N335" s="12"/>
    </row>
    <row r="336" spans="9:14">
      <c r="I336" s="12"/>
      <c r="J336" s="12"/>
      <c r="K336" s="12"/>
      <c r="L336" s="12"/>
      <c r="M336" s="12"/>
      <c r="N336" s="12"/>
    </row>
    <row r="337" spans="9:14">
      <c r="I337" s="12"/>
      <c r="J337" s="12"/>
      <c r="K337" s="12"/>
      <c r="L337" s="12"/>
      <c r="M337" s="12"/>
      <c r="N337" s="12"/>
    </row>
    <row r="338" spans="9:14">
      <c r="I338" s="12"/>
      <c r="J338" s="12"/>
      <c r="K338" s="12"/>
      <c r="L338" s="12"/>
      <c r="M338" s="12"/>
      <c r="N338" s="12"/>
    </row>
    <row r="339" spans="9:14">
      <c r="I339" s="12"/>
      <c r="J339" s="12"/>
      <c r="K339" s="12"/>
      <c r="L339" s="12"/>
      <c r="M339" s="12"/>
      <c r="N339" s="12"/>
    </row>
    <row r="340" spans="9:14">
      <c r="I340" s="12"/>
      <c r="J340" s="12"/>
      <c r="K340" s="12"/>
      <c r="L340" s="12"/>
      <c r="M340" s="12"/>
      <c r="N340" s="12"/>
    </row>
    <row r="341" spans="9:14">
      <c r="I341" s="12"/>
      <c r="J341" s="12"/>
      <c r="K341" s="12"/>
      <c r="L341" s="12"/>
      <c r="M341" s="12"/>
      <c r="N341" s="12"/>
    </row>
    <row r="342" spans="9:14">
      <c r="I342" s="12"/>
      <c r="J342" s="12"/>
      <c r="K342" s="12"/>
      <c r="L342" s="12"/>
      <c r="M342" s="12"/>
      <c r="N342" s="12"/>
    </row>
    <row r="343" spans="9:14">
      <c r="I343" s="12"/>
      <c r="J343" s="12"/>
      <c r="K343" s="12"/>
      <c r="L343" s="12"/>
      <c r="M343" s="12"/>
      <c r="N343" s="12"/>
    </row>
    <row r="344" spans="9:14">
      <c r="I344" s="12"/>
      <c r="J344" s="12"/>
      <c r="K344" s="12"/>
      <c r="L344" s="12"/>
      <c r="M344" s="12"/>
      <c r="N344" s="12"/>
    </row>
    <row r="345" spans="9:14">
      <c r="I345" s="12"/>
      <c r="J345" s="12"/>
      <c r="K345" s="12"/>
      <c r="L345" s="12"/>
      <c r="M345" s="12"/>
      <c r="N345" s="12"/>
    </row>
    <row r="346" spans="9:14">
      <c r="I346" s="12"/>
      <c r="J346" s="12"/>
      <c r="K346" s="12"/>
      <c r="L346" s="12"/>
      <c r="M346" s="12"/>
      <c r="N346" s="12"/>
    </row>
    <row r="347" spans="9:14">
      <c r="I347" s="12"/>
      <c r="J347" s="12"/>
      <c r="K347" s="12"/>
      <c r="L347" s="12"/>
      <c r="M347" s="12"/>
      <c r="N347" s="12"/>
    </row>
    <row r="348" spans="9:14">
      <c r="I348" s="12"/>
      <c r="J348" s="12"/>
      <c r="K348" s="12"/>
      <c r="L348" s="12"/>
      <c r="M348" s="12"/>
      <c r="N348" s="12"/>
    </row>
    <row r="349" spans="9:14">
      <c r="I349" s="12"/>
      <c r="J349" s="12"/>
      <c r="K349" s="12"/>
      <c r="L349" s="12"/>
      <c r="M349" s="12"/>
      <c r="N349" s="12"/>
    </row>
    <row r="350" spans="9:14">
      <c r="I350" s="12"/>
      <c r="J350" s="12"/>
      <c r="K350" s="12"/>
      <c r="L350" s="12"/>
      <c r="M350" s="12"/>
      <c r="N350" s="12"/>
    </row>
    <row r="351" spans="9:14">
      <c r="I351" s="12"/>
      <c r="J351" s="12"/>
      <c r="K351" s="12"/>
      <c r="L351" s="12"/>
      <c r="M351" s="12"/>
      <c r="N351" s="12"/>
    </row>
    <row r="352" spans="9:14">
      <c r="I352" s="12"/>
      <c r="J352" s="12"/>
      <c r="K352" s="12"/>
      <c r="L352" s="12"/>
      <c r="M352" s="12"/>
      <c r="N352" s="12"/>
    </row>
    <row r="353" spans="9:14">
      <c r="I353" s="12"/>
      <c r="J353" s="12"/>
      <c r="K353" s="12"/>
      <c r="L353" s="12"/>
      <c r="M353" s="12"/>
      <c r="N353" s="12"/>
    </row>
    <row r="354" spans="9:14">
      <c r="I354" s="12"/>
      <c r="J354" s="12"/>
      <c r="K354" s="12"/>
      <c r="L354" s="12"/>
      <c r="M354" s="12"/>
      <c r="N354" s="12"/>
    </row>
    <row r="355" spans="9:14">
      <c r="I355" s="12"/>
      <c r="J355" s="12"/>
      <c r="K355" s="12"/>
      <c r="L355" s="12"/>
      <c r="M355" s="12"/>
      <c r="N355" s="12"/>
    </row>
    <row r="356" spans="9:14">
      <c r="I356" s="12"/>
      <c r="J356" s="12"/>
      <c r="K356" s="12"/>
      <c r="L356" s="12"/>
      <c r="M356" s="12"/>
      <c r="N356" s="12"/>
    </row>
    <row r="357" spans="9:14">
      <c r="I357" s="12"/>
      <c r="J357" s="12"/>
      <c r="K357" s="12"/>
      <c r="L357" s="12"/>
      <c r="M357" s="12"/>
      <c r="N357" s="12"/>
    </row>
    <row r="358" spans="9:14">
      <c r="I358" s="12"/>
      <c r="J358" s="12"/>
      <c r="K358" s="12"/>
      <c r="L358" s="12"/>
      <c r="M358" s="12"/>
      <c r="N358" s="12"/>
    </row>
    <row r="359" spans="9:14">
      <c r="I359" s="12"/>
      <c r="J359" s="12"/>
      <c r="K359" s="12"/>
      <c r="L359" s="12"/>
      <c r="M359" s="12"/>
      <c r="N359" s="12"/>
    </row>
    <row r="360" spans="9:14">
      <c r="I360" s="12"/>
      <c r="J360" s="12"/>
      <c r="K360" s="12"/>
      <c r="L360" s="12"/>
      <c r="M360" s="12"/>
      <c r="N360" s="12"/>
    </row>
    <row r="361" spans="9:14">
      <c r="I361" s="12"/>
      <c r="J361" s="12"/>
      <c r="K361" s="12"/>
      <c r="L361" s="12"/>
      <c r="M361" s="12"/>
      <c r="N361" s="12"/>
    </row>
    <row r="362" spans="9:14">
      <c r="I362" s="12"/>
      <c r="J362" s="12"/>
      <c r="K362" s="12"/>
      <c r="L362" s="12"/>
      <c r="M362" s="12"/>
      <c r="N362" s="12"/>
    </row>
    <row r="363" spans="9:14">
      <c r="I363" s="12"/>
      <c r="J363" s="12"/>
      <c r="K363" s="12"/>
      <c r="L363" s="12"/>
      <c r="M363" s="12"/>
      <c r="N363" s="12"/>
    </row>
    <row r="364" spans="9:14">
      <c r="I364" s="12"/>
      <c r="J364" s="12"/>
      <c r="K364" s="12"/>
      <c r="L364" s="12"/>
      <c r="M364" s="12"/>
      <c r="N364" s="12"/>
    </row>
    <row r="365" spans="9:14">
      <c r="I365" s="12"/>
      <c r="J365" s="12"/>
      <c r="K365" s="12"/>
      <c r="L365" s="12"/>
      <c r="M365" s="12"/>
      <c r="N365" s="12"/>
    </row>
    <row r="366" spans="9:14">
      <c r="I366" s="12"/>
      <c r="J366" s="12"/>
      <c r="K366" s="12"/>
      <c r="L366" s="12"/>
      <c r="M366" s="12"/>
      <c r="N366" s="12"/>
    </row>
    <row r="367" spans="9:14">
      <c r="I367" s="12"/>
      <c r="J367" s="12"/>
      <c r="K367" s="12"/>
      <c r="L367" s="12"/>
      <c r="M367" s="12"/>
      <c r="N367" s="12"/>
    </row>
    <row r="368" spans="9:14">
      <c r="I368" s="12"/>
      <c r="J368" s="12"/>
      <c r="K368" s="12"/>
      <c r="L368" s="12"/>
      <c r="M368" s="12"/>
      <c r="N368" s="12"/>
    </row>
    <row r="369" spans="9:14">
      <c r="I369" s="12"/>
      <c r="J369" s="12"/>
      <c r="K369" s="12"/>
      <c r="L369" s="12"/>
      <c r="M369" s="12"/>
      <c r="N369" s="12"/>
    </row>
    <row r="370" spans="9:14">
      <c r="I370" s="12"/>
      <c r="J370" s="12"/>
      <c r="K370" s="12"/>
      <c r="L370" s="12"/>
      <c r="M370" s="12"/>
      <c r="N370" s="12"/>
    </row>
    <row r="371" spans="9:14">
      <c r="I371" s="12"/>
      <c r="J371" s="12"/>
      <c r="K371" s="12"/>
      <c r="L371" s="12"/>
      <c r="M371" s="12"/>
      <c r="N371" s="12"/>
    </row>
    <row r="372" spans="9:14">
      <c r="I372" s="12"/>
      <c r="J372" s="12"/>
      <c r="K372" s="12"/>
      <c r="L372" s="12"/>
      <c r="M372" s="12"/>
      <c r="N372" s="12"/>
    </row>
    <row r="373" spans="9:14">
      <c r="I373" s="12"/>
      <c r="J373" s="12"/>
      <c r="K373" s="12"/>
      <c r="L373" s="12"/>
      <c r="M373" s="12"/>
      <c r="N373" s="12"/>
    </row>
    <row r="374" spans="9:14">
      <c r="I374" s="12"/>
      <c r="J374" s="12"/>
      <c r="K374" s="12"/>
      <c r="L374" s="12"/>
      <c r="M374" s="12"/>
      <c r="N374" s="12"/>
    </row>
    <row r="375" spans="9:14">
      <c r="I375" s="12"/>
      <c r="J375" s="12"/>
      <c r="K375" s="12"/>
      <c r="L375" s="12"/>
      <c r="M375" s="12"/>
      <c r="N375" s="12"/>
    </row>
    <row r="376" spans="9:14">
      <c r="I376" s="12"/>
      <c r="J376" s="12"/>
      <c r="K376" s="12"/>
      <c r="L376" s="12"/>
      <c r="M376" s="12"/>
      <c r="N376" s="12"/>
    </row>
    <row r="377" spans="9:14">
      <c r="I377" s="12"/>
      <c r="J377" s="12"/>
      <c r="K377" s="12"/>
      <c r="L377" s="12"/>
      <c r="M377" s="12"/>
      <c r="N377" s="12"/>
    </row>
    <row r="378" spans="9:14">
      <c r="I378" s="12"/>
      <c r="J378" s="12"/>
      <c r="K378" s="12"/>
      <c r="L378" s="12"/>
      <c r="M378" s="12"/>
      <c r="N378" s="12"/>
    </row>
    <row r="379" spans="9:14">
      <c r="I379" s="12"/>
      <c r="J379" s="12"/>
      <c r="K379" s="12"/>
      <c r="L379" s="12"/>
      <c r="M379" s="12"/>
      <c r="N379" s="12"/>
    </row>
    <row r="380" spans="9:14">
      <c r="I380" s="12"/>
      <c r="J380" s="12"/>
      <c r="K380" s="12"/>
      <c r="L380" s="12"/>
      <c r="M380" s="12"/>
      <c r="N380" s="12"/>
    </row>
    <row r="381" spans="9:14">
      <c r="I381" s="12"/>
      <c r="J381" s="12"/>
      <c r="K381" s="12"/>
      <c r="L381" s="12"/>
      <c r="M381" s="12"/>
      <c r="N381" s="12"/>
    </row>
    <row r="382" spans="9:14">
      <c r="I382" s="12"/>
      <c r="J382" s="12"/>
      <c r="K382" s="12"/>
      <c r="L382" s="12"/>
      <c r="M382" s="12"/>
      <c r="N382" s="12"/>
    </row>
    <row r="383" spans="9:14">
      <c r="I383" s="12"/>
      <c r="J383" s="12"/>
      <c r="K383" s="12"/>
      <c r="L383" s="12"/>
      <c r="M383" s="12"/>
      <c r="N383" s="12"/>
    </row>
    <row r="384" spans="9:14">
      <c r="I384" s="12"/>
      <c r="J384" s="12"/>
      <c r="K384" s="12"/>
      <c r="L384" s="12"/>
      <c r="M384" s="12"/>
      <c r="N384" s="12"/>
    </row>
    <row r="385" spans="9:14">
      <c r="I385" s="12"/>
      <c r="J385" s="12"/>
      <c r="K385" s="12"/>
      <c r="L385" s="12"/>
      <c r="M385" s="12"/>
      <c r="N385" s="12"/>
    </row>
    <row r="386" spans="9:14">
      <c r="I386" s="12"/>
      <c r="J386" s="12"/>
      <c r="K386" s="12"/>
      <c r="L386" s="12"/>
      <c r="M386" s="12"/>
      <c r="N386" s="12"/>
    </row>
    <row r="387" spans="9:14">
      <c r="I387" s="12"/>
      <c r="J387" s="12"/>
      <c r="K387" s="12"/>
      <c r="L387" s="12"/>
      <c r="M387" s="12"/>
      <c r="N387" s="12"/>
    </row>
    <row r="388" spans="9:14">
      <c r="I388" s="12"/>
      <c r="J388" s="12"/>
      <c r="K388" s="12"/>
      <c r="L388" s="12"/>
      <c r="M388" s="12"/>
      <c r="N388" s="12"/>
    </row>
    <row r="389" spans="9:14">
      <c r="I389" s="12"/>
      <c r="J389" s="12"/>
      <c r="K389" s="12"/>
      <c r="L389" s="12"/>
      <c r="M389" s="12"/>
      <c r="N389" s="12"/>
    </row>
    <row r="390" spans="9:14">
      <c r="I390" s="12"/>
      <c r="J390" s="12"/>
      <c r="K390" s="12"/>
      <c r="L390" s="12"/>
      <c r="M390" s="12"/>
      <c r="N390" s="12"/>
    </row>
    <row r="391" spans="9:14">
      <c r="I391" s="12"/>
      <c r="J391" s="12"/>
      <c r="K391" s="12"/>
      <c r="L391" s="12"/>
      <c r="M391" s="12"/>
      <c r="N391" s="12"/>
    </row>
    <row r="392" spans="9:14">
      <c r="I392" s="12"/>
      <c r="J392" s="12"/>
      <c r="K392" s="12"/>
      <c r="L392" s="12"/>
      <c r="M392" s="12"/>
      <c r="N392" s="12"/>
    </row>
    <row r="393" spans="9:14">
      <c r="I393" s="12"/>
      <c r="J393" s="12"/>
      <c r="K393" s="12"/>
      <c r="L393" s="12"/>
      <c r="M393" s="12"/>
      <c r="N393" s="12"/>
    </row>
    <row r="394" spans="9:14">
      <c r="I394" s="12"/>
      <c r="J394" s="12"/>
      <c r="K394" s="12"/>
      <c r="L394" s="12"/>
      <c r="M394" s="12"/>
      <c r="N394" s="12"/>
    </row>
    <row r="395" spans="9:14">
      <c r="I395" s="12"/>
      <c r="J395" s="12"/>
      <c r="K395" s="12"/>
      <c r="L395" s="12"/>
      <c r="M395" s="12"/>
      <c r="N395" s="12"/>
    </row>
    <row r="396" spans="9:14">
      <c r="I396" s="12"/>
      <c r="J396" s="12"/>
      <c r="K396" s="12"/>
      <c r="L396" s="12"/>
      <c r="M396" s="12"/>
      <c r="N396" s="12"/>
    </row>
    <row r="397" spans="9:14">
      <c r="I397" s="12"/>
      <c r="J397" s="12"/>
      <c r="K397" s="12"/>
      <c r="L397" s="12"/>
      <c r="M397" s="12"/>
      <c r="N397" s="12"/>
    </row>
    <row r="398" spans="9:14">
      <c r="I398" s="12"/>
      <c r="J398" s="12"/>
      <c r="K398" s="12"/>
      <c r="L398" s="12"/>
      <c r="M398" s="12"/>
      <c r="N398" s="12"/>
    </row>
    <row r="399" spans="9:14">
      <c r="I399" s="12"/>
      <c r="J399" s="12"/>
      <c r="K399" s="12"/>
      <c r="L399" s="12"/>
      <c r="M399" s="12"/>
      <c r="N399" s="12"/>
    </row>
    <row r="400" spans="9:14">
      <c r="I400" s="12"/>
      <c r="J400" s="12"/>
      <c r="K400" s="12"/>
      <c r="L400" s="12"/>
      <c r="M400" s="12"/>
      <c r="N400" s="12"/>
    </row>
    <row r="401" spans="9:14">
      <c r="I401" s="12"/>
      <c r="J401" s="12"/>
      <c r="K401" s="12"/>
      <c r="L401" s="12"/>
      <c r="M401" s="12"/>
      <c r="N401" s="12"/>
    </row>
    <row r="402" spans="9:14">
      <c r="I402" s="12"/>
      <c r="J402" s="12"/>
      <c r="K402" s="12"/>
      <c r="L402" s="12"/>
      <c r="M402" s="12"/>
      <c r="N402" s="12"/>
    </row>
    <row r="403" spans="9:14">
      <c r="I403" s="12"/>
      <c r="J403" s="12"/>
      <c r="K403" s="12"/>
      <c r="L403" s="12"/>
      <c r="M403" s="12"/>
      <c r="N403" s="12"/>
    </row>
    <row r="404" spans="9:14">
      <c r="I404" s="12"/>
      <c r="J404" s="12"/>
      <c r="K404" s="12"/>
      <c r="L404" s="12"/>
      <c r="M404" s="12"/>
      <c r="N404" s="12"/>
    </row>
    <row r="405" spans="9:14">
      <c r="I405" s="12"/>
      <c r="J405" s="12"/>
      <c r="K405" s="12"/>
      <c r="L405" s="12"/>
      <c r="M405" s="12"/>
      <c r="N405" s="12"/>
    </row>
    <row r="406" spans="9:14">
      <c r="I406" s="12"/>
      <c r="J406" s="12"/>
      <c r="K406" s="12"/>
      <c r="L406" s="12"/>
      <c r="M406" s="12"/>
      <c r="N406" s="12"/>
    </row>
    <row r="407" spans="9:14">
      <c r="I407" s="12"/>
      <c r="J407" s="12"/>
      <c r="K407" s="12"/>
      <c r="L407" s="12"/>
      <c r="M407" s="12"/>
      <c r="N407" s="12"/>
    </row>
    <row r="408" spans="9:14">
      <c r="I408" s="12"/>
      <c r="J408" s="12"/>
      <c r="K408" s="12"/>
      <c r="L408" s="12"/>
      <c r="M408" s="12"/>
      <c r="N408" s="12"/>
    </row>
    <row r="409" spans="9:14">
      <c r="I409" s="12"/>
      <c r="J409" s="12"/>
      <c r="K409" s="12"/>
      <c r="L409" s="12"/>
      <c r="M409" s="12"/>
      <c r="N409" s="12"/>
    </row>
    <row r="410" spans="9:14">
      <c r="I410" s="12"/>
      <c r="J410" s="12"/>
      <c r="K410" s="12"/>
      <c r="L410" s="12"/>
      <c r="M410" s="12"/>
      <c r="N410" s="12"/>
    </row>
    <row r="411" spans="9:14">
      <c r="I411" s="12"/>
      <c r="J411" s="12"/>
      <c r="K411" s="12"/>
      <c r="L411" s="12"/>
      <c r="M411" s="12"/>
      <c r="N411" s="12"/>
    </row>
    <row r="412" spans="9:14">
      <c r="I412" s="12"/>
      <c r="J412" s="12"/>
      <c r="K412" s="12"/>
      <c r="L412" s="12"/>
      <c r="M412" s="12"/>
      <c r="N412" s="12"/>
    </row>
    <row r="413" spans="9:14">
      <c r="I413" s="12"/>
      <c r="J413" s="12"/>
      <c r="K413" s="12"/>
      <c r="L413" s="12"/>
      <c r="M413" s="12"/>
      <c r="N413" s="12"/>
    </row>
    <row r="414" spans="9:14">
      <c r="I414" s="12"/>
      <c r="J414" s="12"/>
      <c r="K414" s="12"/>
      <c r="L414" s="12"/>
      <c r="M414" s="12"/>
      <c r="N414" s="12"/>
    </row>
    <row r="415" spans="9:14">
      <c r="I415" s="12"/>
      <c r="J415" s="12"/>
      <c r="K415" s="12"/>
      <c r="L415" s="12"/>
      <c r="M415" s="12"/>
      <c r="N415" s="12"/>
    </row>
    <row r="416" spans="9:14">
      <c r="I416" s="12"/>
      <c r="J416" s="12"/>
      <c r="K416" s="12"/>
      <c r="L416" s="12"/>
      <c r="M416" s="12"/>
      <c r="N416" s="12"/>
    </row>
    <row r="417" spans="9:14">
      <c r="I417" s="12"/>
      <c r="J417" s="12"/>
      <c r="K417" s="12"/>
      <c r="L417" s="12"/>
      <c r="M417" s="12"/>
      <c r="N417" s="12"/>
    </row>
    <row r="418" spans="9:14">
      <c r="I418" s="12"/>
      <c r="J418" s="12"/>
      <c r="K418" s="12"/>
      <c r="L418" s="12"/>
      <c r="M418" s="12"/>
      <c r="N418" s="12"/>
    </row>
    <row r="419" spans="9:14">
      <c r="I419" s="12"/>
      <c r="J419" s="12"/>
      <c r="K419" s="12"/>
      <c r="L419" s="12"/>
      <c r="M419" s="12"/>
      <c r="N419" s="12"/>
    </row>
    <row r="420" spans="9:14">
      <c r="I420" s="12"/>
      <c r="J420" s="12"/>
      <c r="K420" s="12"/>
      <c r="L420" s="12"/>
      <c r="M420" s="12"/>
      <c r="N420" s="12"/>
    </row>
    <row r="421" spans="9:14">
      <c r="I421" s="12"/>
      <c r="J421" s="12"/>
      <c r="K421" s="12"/>
      <c r="L421" s="12"/>
      <c r="M421" s="12"/>
      <c r="N421" s="12"/>
    </row>
    <row r="422" spans="9:14">
      <c r="I422" s="12"/>
      <c r="J422" s="12"/>
      <c r="K422" s="12"/>
      <c r="L422" s="12"/>
      <c r="M422" s="12"/>
      <c r="N422" s="12"/>
    </row>
    <row r="423" spans="9:14">
      <c r="I423" s="12"/>
      <c r="J423" s="12"/>
      <c r="K423" s="12"/>
      <c r="L423" s="12"/>
      <c r="M423" s="12"/>
      <c r="N423" s="12"/>
    </row>
    <row r="424" spans="9:14">
      <c r="I424" s="12"/>
      <c r="J424" s="12"/>
      <c r="K424" s="12"/>
      <c r="L424" s="12"/>
      <c r="M424" s="12"/>
      <c r="N424" s="12"/>
    </row>
    <row r="425" spans="9:14">
      <c r="I425" s="12"/>
      <c r="J425" s="12"/>
      <c r="K425" s="12"/>
      <c r="L425" s="12"/>
      <c r="M425" s="12"/>
      <c r="N425" s="12"/>
    </row>
    <row r="426" spans="9:14">
      <c r="I426" s="12"/>
      <c r="J426" s="12"/>
      <c r="K426" s="12"/>
      <c r="L426" s="12"/>
      <c r="M426" s="12"/>
      <c r="N426" s="12"/>
    </row>
    <row r="427" spans="9:14">
      <c r="I427" s="12"/>
      <c r="J427" s="12"/>
      <c r="K427" s="12"/>
      <c r="L427" s="12"/>
      <c r="M427" s="12"/>
      <c r="N427" s="12"/>
    </row>
    <row r="428" spans="9:14">
      <c r="I428" s="12"/>
      <c r="J428" s="12"/>
      <c r="K428" s="12"/>
      <c r="L428" s="12"/>
      <c r="M428" s="12"/>
      <c r="N428" s="12"/>
    </row>
    <row r="429" spans="9:14">
      <c r="I429" s="12"/>
      <c r="J429" s="12"/>
      <c r="K429" s="12"/>
      <c r="L429" s="12"/>
      <c r="M429" s="12"/>
      <c r="N429" s="12"/>
    </row>
    <row r="430" spans="9:14">
      <c r="I430" s="12"/>
      <c r="J430" s="12"/>
      <c r="K430" s="12"/>
      <c r="L430" s="12"/>
      <c r="M430" s="12"/>
      <c r="N430" s="12"/>
    </row>
    <row r="431" spans="9:14">
      <c r="I431" s="12"/>
      <c r="J431" s="12"/>
      <c r="K431" s="12"/>
      <c r="L431" s="12"/>
      <c r="M431" s="12"/>
      <c r="N431" s="12"/>
    </row>
    <row r="432" spans="9:14">
      <c r="I432" s="12"/>
      <c r="J432" s="12"/>
      <c r="K432" s="12"/>
      <c r="L432" s="12"/>
      <c r="M432" s="12"/>
      <c r="N432" s="12"/>
    </row>
    <row r="433" spans="9:14">
      <c r="I433" s="12"/>
      <c r="J433" s="12"/>
      <c r="K433" s="12"/>
      <c r="L433" s="12"/>
      <c r="M433" s="12"/>
      <c r="N433" s="12"/>
    </row>
    <row r="434" spans="9:14">
      <c r="I434" s="12"/>
      <c r="J434" s="12"/>
      <c r="K434" s="12"/>
      <c r="L434" s="12"/>
      <c r="M434" s="12"/>
      <c r="N434" s="12"/>
    </row>
    <row r="435" spans="9:14">
      <c r="I435" s="12"/>
      <c r="J435" s="12"/>
      <c r="K435" s="12"/>
      <c r="L435" s="12"/>
      <c r="M435" s="12"/>
      <c r="N435" s="12"/>
    </row>
    <row r="436" spans="9:14">
      <c r="I436" s="12"/>
      <c r="J436" s="12"/>
      <c r="K436" s="12"/>
      <c r="L436" s="12"/>
      <c r="M436" s="12"/>
      <c r="N436" s="12"/>
    </row>
    <row r="437" spans="9:14">
      <c r="I437" s="12"/>
      <c r="J437" s="12"/>
      <c r="K437" s="12"/>
      <c r="L437" s="12"/>
      <c r="M437" s="12"/>
      <c r="N437" s="12"/>
    </row>
    <row r="438" spans="9:14">
      <c r="I438" s="12"/>
      <c r="J438" s="12"/>
      <c r="K438" s="12"/>
      <c r="L438" s="12"/>
      <c r="M438" s="12"/>
      <c r="N438" s="12"/>
    </row>
    <row r="439" spans="9:14">
      <c r="I439" s="12"/>
      <c r="J439" s="12"/>
      <c r="K439" s="12"/>
      <c r="L439" s="12"/>
      <c r="M439" s="12"/>
      <c r="N439" s="12"/>
    </row>
    <row r="440" spans="9:14">
      <c r="I440" s="12"/>
      <c r="J440" s="12"/>
      <c r="K440" s="12"/>
      <c r="L440" s="12"/>
      <c r="M440" s="12"/>
      <c r="N440" s="12"/>
    </row>
    <row r="441" spans="9:14">
      <c r="I441" s="12"/>
      <c r="J441" s="12"/>
      <c r="K441" s="12"/>
      <c r="L441" s="12"/>
      <c r="M441" s="12"/>
      <c r="N441" s="12"/>
    </row>
    <row r="442" spans="9:14">
      <c r="I442" s="12"/>
      <c r="J442" s="12"/>
      <c r="K442" s="12"/>
      <c r="L442" s="12"/>
      <c r="M442" s="12"/>
      <c r="N442" s="12"/>
    </row>
    <row r="443" spans="9:14">
      <c r="I443" s="12"/>
      <c r="J443" s="12"/>
      <c r="K443" s="12"/>
      <c r="L443" s="12"/>
      <c r="M443" s="12"/>
      <c r="N443" s="12"/>
    </row>
    <row r="444" spans="9:14">
      <c r="I444" s="12"/>
      <c r="J444" s="12"/>
      <c r="K444" s="12"/>
      <c r="L444" s="12"/>
      <c r="M444" s="12"/>
      <c r="N444" s="12"/>
    </row>
    <row r="445" spans="9:14">
      <c r="I445" s="12"/>
      <c r="J445" s="12"/>
      <c r="K445" s="12"/>
      <c r="L445" s="12"/>
      <c r="M445" s="12"/>
      <c r="N445" s="12"/>
    </row>
    <row r="446" spans="9:14">
      <c r="I446" s="12"/>
      <c r="J446" s="12"/>
      <c r="K446" s="12"/>
      <c r="L446" s="12"/>
      <c r="M446" s="12"/>
      <c r="N446" s="12"/>
    </row>
    <row r="447" spans="9:14">
      <c r="I447" s="12"/>
      <c r="J447" s="12"/>
      <c r="K447" s="12"/>
      <c r="L447" s="12"/>
      <c r="M447" s="12"/>
      <c r="N447" s="12"/>
    </row>
    <row r="448" spans="9:14">
      <c r="I448" s="12"/>
      <c r="J448" s="12"/>
      <c r="K448" s="12"/>
      <c r="L448" s="12"/>
      <c r="M448" s="12"/>
      <c r="N448" s="12"/>
    </row>
    <row r="449" spans="9:14">
      <c r="I449" s="12"/>
      <c r="J449" s="12"/>
      <c r="K449" s="12"/>
      <c r="L449" s="12"/>
      <c r="M449" s="12"/>
      <c r="N449" s="12"/>
    </row>
    <row r="450" spans="9:14">
      <c r="I450" s="12"/>
      <c r="J450" s="12"/>
      <c r="K450" s="12"/>
      <c r="L450" s="12"/>
      <c r="M450" s="12"/>
      <c r="N450" s="12"/>
    </row>
    <row r="451" spans="9:14">
      <c r="I451" s="12"/>
      <c r="J451" s="12"/>
      <c r="K451" s="12"/>
      <c r="L451" s="12"/>
      <c r="M451" s="12"/>
      <c r="N451" s="12"/>
    </row>
    <row r="452" spans="9:14">
      <c r="I452" s="12"/>
      <c r="J452" s="12"/>
      <c r="K452" s="12"/>
      <c r="L452" s="12"/>
      <c r="M452" s="12"/>
      <c r="N452" s="12"/>
    </row>
    <row r="453" spans="9:14">
      <c r="I453" s="12"/>
      <c r="J453" s="12"/>
      <c r="K453" s="12"/>
      <c r="L453" s="12"/>
      <c r="M453" s="12"/>
      <c r="N453" s="12"/>
    </row>
    <row r="454" spans="9:14">
      <c r="I454" s="12"/>
      <c r="J454" s="12"/>
      <c r="K454" s="12"/>
      <c r="L454" s="12"/>
      <c r="M454" s="12"/>
      <c r="N454" s="12"/>
    </row>
    <row r="455" spans="9:14">
      <c r="I455" s="12"/>
      <c r="J455" s="12"/>
      <c r="K455" s="12"/>
      <c r="L455" s="12"/>
      <c r="M455" s="12"/>
      <c r="N455" s="12"/>
    </row>
    <row r="456" spans="9:14">
      <c r="I456" s="12"/>
      <c r="J456" s="12"/>
      <c r="K456" s="12"/>
      <c r="L456" s="12"/>
      <c r="M456" s="12"/>
      <c r="N456" s="12"/>
    </row>
    <row r="457" spans="9:14">
      <c r="I457" s="12"/>
      <c r="J457" s="12"/>
      <c r="K457" s="12"/>
      <c r="L457" s="12"/>
      <c r="M457" s="12"/>
      <c r="N457" s="12"/>
    </row>
    <row r="458" spans="9:14">
      <c r="I458" s="12"/>
      <c r="J458" s="12"/>
      <c r="K458" s="12"/>
      <c r="L458" s="12"/>
      <c r="M458" s="12"/>
      <c r="N458" s="12"/>
    </row>
    <row r="459" spans="9:14">
      <c r="I459" s="12"/>
      <c r="J459" s="12"/>
      <c r="K459" s="12"/>
      <c r="L459" s="12"/>
      <c r="M459" s="12"/>
      <c r="N459" s="12"/>
    </row>
    <row r="460" spans="9:14">
      <c r="I460" s="12"/>
      <c r="J460" s="12"/>
      <c r="K460" s="12"/>
      <c r="L460" s="12"/>
      <c r="M460" s="12"/>
      <c r="N460" s="12"/>
    </row>
    <row r="461" spans="9:14">
      <c r="I461" s="12"/>
      <c r="J461" s="12"/>
      <c r="K461" s="12"/>
      <c r="L461" s="12"/>
      <c r="M461" s="12"/>
      <c r="N461" s="12"/>
    </row>
    <row r="462" spans="9:14">
      <c r="I462" s="12"/>
      <c r="J462" s="12"/>
      <c r="K462" s="12"/>
      <c r="L462" s="12"/>
      <c r="M462" s="12"/>
      <c r="N462" s="12"/>
    </row>
    <row r="463" spans="9:14">
      <c r="I463" s="12"/>
      <c r="J463" s="12"/>
      <c r="K463" s="12"/>
      <c r="L463" s="12"/>
      <c r="M463" s="12"/>
      <c r="N463" s="12"/>
    </row>
    <row r="464" spans="9:14">
      <c r="I464" s="12"/>
      <c r="J464" s="12"/>
      <c r="K464" s="12"/>
      <c r="L464" s="12"/>
      <c r="M464" s="12"/>
      <c r="N464" s="12"/>
    </row>
    <row r="465" spans="9:14">
      <c r="I465" s="12"/>
      <c r="J465" s="12"/>
      <c r="K465" s="12"/>
      <c r="L465" s="12"/>
      <c r="M465" s="12"/>
      <c r="N465" s="12"/>
    </row>
    <row r="466" spans="9:14">
      <c r="I466" s="12"/>
      <c r="J466" s="12"/>
      <c r="K466" s="12"/>
      <c r="L466" s="12"/>
      <c r="M466" s="12"/>
      <c r="N466" s="12"/>
    </row>
    <row r="467" spans="9:14">
      <c r="I467" s="12"/>
      <c r="J467" s="12"/>
      <c r="K467" s="12"/>
      <c r="L467" s="12"/>
      <c r="M467" s="12"/>
      <c r="N467" s="12"/>
    </row>
    <row r="468" spans="9:14">
      <c r="I468" s="12"/>
      <c r="J468" s="12"/>
      <c r="K468" s="12"/>
      <c r="L468" s="12"/>
      <c r="M468" s="12"/>
      <c r="N468" s="12"/>
    </row>
    <row r="469" spans="9:14">
      <c r="I469" s="12"/>
      <c r="J469" s="12"/>
      <c r="K469" s="12"/>
      <c r="L469" s="12"/>
      <c r="M469" s="12"/>
      <c r="N469" s="12"/>
    </row>
    <row r="470" spans="9:14">
      <c r="I470" s="12"/>
      <c r="J470" s="12"/>
      <c r="K470" s="12"/>
      <c r="L470" s="12"/>
      <c r="M470" s="12"/>
      <c r="N470" s="12"/>
    </row>
    <row r="471" spans="9:14">
      <c r="I471" s="12"/>
      <c r="J471" s="12"/>
      <c r="K471" s="12"/>
      <c r="L471" s="12"/>
      <c r="M471" s="12"/>
      <c r="N471" s="12"/>
    </row>
    <row r="472" spans="9:14">
      <c r="I472" s="12"/>
      <c r="J472" s="12"/>
      <c r="K472" s="12"/>
      <c r="L472" s="12"/>
      <c r="M472" s="12"/>
      <c r="N472" s="12"/>
    </row>
    <row r="473" spans="9:14">
      <c r="I473" s="12"/>
      <c r="J473" s="12"/>
      <c r="K473" s="12"/>
      <c r="L473" s="12"/>
      <c r="M473" s="12"/>
      <c r="N473" s="12"/>
    </row>
    <row r="474" spans="9:14">
      <c r="I474" s="12"/>
      <c r="J474" s="12"/>
      <c r="K474" s="12"/>
      <c r="L474" s="12"/>
      <c r="M474" s="12"/>
      <c r="N474" s="12"/>
    </row>
    <row r="475" spans="9:14">
      <c r="I475" s="12"/>
      <c r="J475" s="12"/>
      <c r="K475" s="12"/>
      <c r="L475" s="12"/>
      <c r="M475" s="12"/>
      <c r="N475" s="12"/>
    </row>
    <row r="476" spans="9:14">
      <c r="I476" s="12"/>
      <c r="J476" s="12"/>
      <c r="K476" s="12"/>
      <c r="L476" s="12"/>
      <c r="M476" s="12"/>
      <c r="N476" s="12"/>
    </row>
    <row r="477" spans="9:14">
      <c r="I477" s="12"/>
      <c r="J477" s="12"/>
      <c r="K477" s="12"/>
      <c r="L477" s="12"/>
      <c r="M477" s="12"/>
      <c r="N477" s="12"/>
    </row>
    <row r="478" spans="9:14">
      <c r="I478" s="12"/>
      <c r="J478" s="12"/>
      <c r="K478" s="12"/>
      <c r="L478" s="12"/>
      <c r="M478" s="12"/>
      <c r="N478" s="12"/>
    </row>
    <row r="479" spans="9:14">
      <c r="I479" s="12"/>
      <c r="J479" s="12"/>
      <c r="K479" s="12"/>
      <c r="L479" s="12"/>
      <c r="M479" s="12"/>
      <c r="N479" s="12"/>
    </row>
    <row r="480" spans="9:14">
      <c r="I480" s="12"/>
      <c r="J480" s="12"/>
      <c r="K480" s="12"/>
      <c r="L480" s="12"/>
      <c r="M480" s="12"/>
      <c r="N480" s="12"/>
    </row>
    <row r="481" spans="9:14">
      <c r="I481" s="12"/>
      <c r="J481" s="12"/>
      <c r="K481" s="12"/>
      <c r="L481" s="12"/>
      <c r="M481" s="12"/>
      <c r="N481" s="12"/>
    </row>
    <row r="482" spans="9:14">
      <c r="I482" s="12"/>
      <c r="J482" s="12"/>
      <c r="K482" s="12"/>
      <c r="L482" s="12"/>
      <c r="M482" s="12"/>
      <c r="N482" s="12"/>
    </row>
    <row r="483" spans="9:14">
      <c r="I483" s="12"/>
      <c r="J483" s="12"/>
      <c r="K483" s="12"/>
      <c r="L483" s="12"/>
      <c r="M483" s="12"/>
      <c r="N483" s="12"/>
    </row>
    <row r="484" spans="9:14">
      <c r="I484" s="12"/>
      <c r="J484" s="12"/>
      <c r="K484" s="12"/>
      <c r="L484" s="12"/>
      <c r="M484" s="12"/>
      <c r="N484" s="12"/>
    </row>
    <row r="485" spans="9:14">
      <c r="I485" s="12"/>
      <c r="J485" s="12"/>
      <c r="K485" s="12"/>
      <c r="L485" s="12"/>
      <c r="M485" s="12"/>
      <c r="N485" s="12"/>
    </row>
    <row r="486" spans="9:14">
      <c r="I486" s="12"/>
      <c r="J486" s="12"/>
      <c r="K486" s="12"/>
      <c r="L486" s="12"/>
      <c r="M486" s="12"/>
      <c r="N486" s="12"/>
    </row>
    <row r="487" spans="9:14">
      <c r="I487" s="12"/>
      <c r="J487" s="12"/>
      <c r="K487" s="12"/>
      <c r="L487" s="12"/>
      <c r="M487" s="12"/>
      <c r="N487" s="12"/>
    </row>
    <row r="488" spans="9:14">
      <c r="I488" s="12"/>
      <c r="J488" s="12"/>
      <c r="K488" s="12"/>
      <c r="L488" s="12"/>
      <c r="M488" s="12"/>
      <c r="N488" s="12"/>
    </row>
    <row r="489" spans="9:14">
      <c r="I489" s="12"/>
      <c r="J489" s="12"/>
      <c r="K489" s="12"/>
      <c r="L489" s="12"/>
      <c r="M489" s="12"/>
      <c r="N489" s="12"/>
    </row>
    <row r="490" spans="9:14">
      <c r="I490" s="12"/>
      <c r="J490" s="12"/>
      <c r="K490" s="12"/>
      <c r="L490" s="12"/>
      <c r="M490" s="12"/>
      <c r="N490" s="12"/>
    </row>
    <row r="491" spans="9:14">
      <c r="I491" s="12"/>
      <c r="J491" s="12"/>
      <c r="K491" s="12"/>
      <c r="L491" s="12"/>
      <c r="M491" s="12"/>
      <c r="N491" s="12"/>
    </row>
    <row r="492" spans="9:14">
      <c r="I492" s="12"/>
      <c r="J492" s="12"/>
      <c r="K492" s="12"/>
      <c r="L492" s="12"/>
      <c r="M492" s="12"/>
      <c r="N492" s="12"/>
    </row>
    <row r="493" spans="9:14">
      <c r="I493" s="12"/>
      <c r="J493" s="12"/>
      <c r="K493" s="12"/>
      <c r="L493" s="12"/>
      <c r="M493" s="12"/>
      <c r="N493" s="12"/>
    </row>
    <row r="494" spans="9:14">
      <c r="I494" s="12"/>
      <c r="J494" s="12"/>
      <c r="K494" s="12"/>
      <c r="L494" s="12"/>
      <c r="M494" s="12"/>
      <c r="N494" s="12"/>
    </row>
    <row r="495" spans="9:14">
      <c r="I495" s="12"/>
      <c r="J495" s="12"/>
      <c r="K495" s="12"/>
      <c r="L495" s="12"/>
      <c r="M495" s="12"/>
      <c r="N495" s="12"/>
    </row>
    <row r="496" spans="9:14">
      <c r="I496" s="12"/>
      <c r="J496" s="12"/>
      <c r="K496" s="12"/>
      <c r="L496" s="12"/>
      <c r="M496" s="12"/>
      <c r="N496" s="12"/>
    </row>
    <row r="497" spans="9:14">
      <c r="I497" s="12"/>
      <c r="J497" s="12"/>
      <c r="K497" s="12"/>
      <c r="L497" s="12"/>
      <c r="M497" s="12"/>
      <c r="N497" s="12"/>
    </row>
    <row r="498" spans="9:14">
      <c r="I498" s="12"/>
      <c r="J498" s="12"/>
      <c r="K498" s="12"/>
      <c r="L498" s="12"/>
      <c r="M498" s="12"/>
      <c r="N498" s="12"/>
    </row>
    <row r="499" spans="9:14">
      <c r="I499" s="12"/>
      <c r="J499" s="12"/>
      <c r="K499" s="12"/>
      <c r="L499" s="12"/>
      <c r="M499" s="12"/>
      <c r="N499" s="12"/>
    </row>
    <row r="500" spans="9:14">
      <c r="I500" s="12"/>
      <c r="J500" s="12"/>
      <c r="K500" s="12"/>
      <c r="L500" s="12"/>
      <c r="M500" s="12"/>
      <c r="N500" s="12"/>
    </row>
    <row r="501" spans="9:14">
      <c r="I501" s="12"/>
      <c r="J501" s="12"/>
      <c r="K501" s="12"/>
      <c r="L501" s="12"/>
      <c r="M501" s="12"/>
      <c r="N501" s="12"/>
    </row>
    <row r="502" spans="9:14">
      <c r="I502" s="12"/>
      <c r="J502" s="12"/>
      <c r="K502" s="12"/>
      <c r="L502" s="12"/>
      <c r="M502" s="12"/>
      <c r="N502" s="12"/>
    </row>
    <row r="503" spans="9:14">
      <c r="I503" s="12"/>
      <c r="J503" s="12"/>
      <c r="K503" s="12"/>
      <c r="L503" s="12"/>
      <c r="M503" s="12"/>
      <c r="N503" s="12"/>
    </row>
    <row r="504" spans="9:14">
      <c r="I504" s="12"/>
      <c r="J504" s="12"/>
      <c r="K504" s="12"/>
      <c r="L504" s="12"/>
      <c r="M504" s="12"/>
      <c r="N504" s="12"/>
    </row>
    <row r="505" spans="9:14">
      <c r="I505" s="12"/>
      <c r="J505" s="12"/>
      <c r="K505" s="12"/>
      <c r="L505" s="12"/>
      <c r="M505" s="12"/>
      <c r="N505" s="12"/>
    </row>
    <row r="506" spans="9:14">
      <c r="I506" s="12"/>
      <c r="J506" s="12"/>
      <c r="K506" s="12"/>
      <c r="L506" s="12"/>
      <c r="M506" s="12"/>
      <c r="N506" s="12"/>
    </row>
    <row r="507" spans="9:14">
      <c r="I507" s="12"/>
      <c r="J507" s="12"/>
      <c r="K507" s="12"/>
      <c r="L507" s="12"/>
      <c r="M507" s="12"/>
      <c r="N507" s="12"/>
    </row>
    <row r="508" spans="9:14">
      <c r="I508" s="12"/>
      <c r="J508" s="12"/>
      <c r="K508" s="12"/>
      <c r="L508" s="12"/>
      <c r="M508" s="12"/>
      <c r="N508" s="12"/>
    </row>
    <row r="509" spans="9:14">
      <c r="I509" s="12"/>
      <c r="J509" s="12"/>
      <c r="K509" s="12"/>
      <c r="L509" s="12"/>
      <c r="M509" s="12"/>
      <c r="N509" s="12"/>
    </row>
    <row r="510" spans="9:14">
      <c r="I510" s="12"/>
      <c r="J510" s="12"/>
      <c r="K510" s="12"/>
      <c r="L510" s="12"/>
      <c r="M510" s="12"/>
      <c r="N510" s="12"/>
    </row>
    <row r="511" spans="9:14">
      <c r="I511" s="12"/>
      <c r="J511" s="12"/>
      <c r="K511" s="12"/>
      <c r="L511" s="12"/>
      <c r="M511" s="12"/>
      <c r="N511" s="12"/>
    </row>
    <row r="512" spans="9:14">
      <c r="I512" s="12"/>
      <c r="J512" s="12"/>
      <c r="K512" s="12"/>
      <c r="L512" s="12"/>
      <c r="M512" s="12"/>
      <c r="N512" s="12"/>
    </row>
    <row r="513" spans="9:14">
      <c r="I513" s="12"/>
      <c r="J513" s="12"/>
      <c r="K513" s="12"/>
      <c r="L513" s="12"/>
      <c r="M513" s="12"/>
      <c r="N513" s="12"/>
    </row>
    <row r="514" spans="9:14">
      <c r="I514" s="12"/>
      <c r="J514" s="12"/>
      <c r="K514" s="12"/>
      <c r="L514" s="12"/>
      <c r="M514" s="12"/>
      <c r="N514" s="12"/>
    </row>
    <row r="515" spans="9:14">
      <c r="I515" s="12"/>
      <c r="J515" s="12"/>
      <c r="K515" s="12"/>
      <c r="L515" s="12"/>
      <c r="M515" s="12"/>
      <c r="N515" s="12"/>
    </row>
    <row r="516" spans="9:14">
      <c r="I516" s="12"/>
      <c r="J516" s="12"/>
      <c r="K516" s="12"/>
      <c r="L516" s="12"/>
      <c r="M516" s="12"/>
      <c r="N516" s="12"/>
    </row>
    <row r="517" spans="9:14">
      <c r="I517" s="12"/>
      <c r="J517" s="12"/>
      <c r="K517" s="12"/>
      <c r="L517" s="12"/>
      <c r="M517" s="12"/>
      <c r="N517" s="12"/>
    </row>
    <row r="518" spans="9:14">
      <c r="I518" s="12"/>
      <c r="J518" s="12"/>
      <c r="K518" s="12"/>
      <c r="L518" s="12"/>
      <c r="M518" s="12"/>
      <c r="N518" s="12"/>
    </row>
    <row r="519" spans="9:14">
      <c r="I519" s="12"/>
      <c r="J519" s="12"/>
      <c r="K519" s="12"/>
      <c r="L519" s="12"/>
      <c r="M519" s="12"/>
      <c r="N519" s="12"/>
    </row>
    <row r="520" spans="9:14">
      <c r="I520" s="12"/>
      <c r="J520" s="12"/>
      <c r="K520" s="12"/>
      <c r="L520" s="12"/>
      <c r="M520" s="12"/>
      <c r="N520" s="12"/>
    </row>
    <row r="521" spans="9:14">
      <c r="I521" s="12"/>
      <c r="J521" s="12"/>
      <c r="K521" s="12"/>
      <c r="L521" s="12"/>
      <c r="M521" s="12"/>
      <c r="N521" s="12"/>
    </row>
    <row r="522" spans="9:14">
      <c r="I522" s="12"/>
      <c r="J522" s="12"/>
      <c r="K522" s="12"/>
      <c r="L522" s="12"/>
      <c r="M522" s="12"/>
      <c r="N522" s="12"/>
    </row>
    <row r="523" spans="9:14">
      <c r="I523" s="12"/>
      <c r="J523" s="12"/>
      <c r="K523" s="12"/>
      <c r="L523" s="12"/>
      <c r="M523" s="12"/>
      <c r="N523" s="12"/>
    </row>
    <row r="524" spans="9:14">
      <c r="I524" s="12"/>
      <c r="J524" s="12"/>
      <c r="K524" s="12"/>
      <c r="L524" s="12"/>
      <c r="M524" s="12"/>
      <c r="N524" s="12"/>
    </row>
    <row r="525" spans="9:14">
      <c r="I525" s="12"/>
      <c r="J525" s="12"/>
      <c r="K525" s="12"/>
      <c r="L525" s="12"/>
      <c r="M525" s="12"/>
      <c r="N525" s="12"/>
    </row>
    <row r="526" spans="9:14">
      <c r="I526" s="12"/>
      <c r="J526" s="12"/>
      <c r="K526" s="12"/>
      <c r="L526" s="12"/>
      <c r="M526" s="12"/>
      <c r="N526" s="12"/>
    </row>
    <row r="527" spans="9:14">
      <c r="I527" s="12"/>
      <c r="J527" s="12"/>
      <c r="K527" s="12"/>
      <c r="L527" s="12"/>
      <c r="M527" s="12"/>
      <c r="N527" s="12"/>
    </row>
    <row r="528" spans="9:14">
      <c r="I528" s="12"/>
      <c r="J528" s="12"/>
      <c r="K528" s="12"/>
      <c r="L528" s="12"/>
      <c r="M528" s="12"/>
      <c r="N528" s="12"/>
    </row>
    <row r="529" spans="9:14">
      <c r="I529" s="12"/>
      <c r="J529" s="12"/>
      <c r="K529" s="12"/>
      <c r="L529" s="12"/>
      <c r="M529" s="12"/>
      <c r="N529" s="12"/>
    </row>
    <row r="530" spans="9:14">
      <c r="I530" s="12"/>
      <c r="J530" s="12"/>
      <c r="K530" s="12"/>
      <c r="L530" s="12"/>
      <c r="M530" s="12"/>
      <c r="N530" s="12"/>
    </row>
    <row r="531" spans="9:14">
      <c r="I531" s="12"/>
      <c r="J531" s="12"/>
      <c r="K531" s="12"/>
      <c r="L531" s="12"/>
      <c r="M531" s="12"/>
      <c r="N531" s="12"/>
    </row>
    <row r="532" spans="9:14">
      <c r="I532" s="12"/>
      <c r="J532" s="12"/>
      <c r="K532" s="12"/>
      <c r="L532" s="12"/>
      <c r="M532" s="12"/>
      <c r="N532" s="12"/>
    </row>
    <row r="533" spans="9:14">
      <c r="I533" s="12"/>
      <c r="J533" s="12"/>
      <c r="K533" s="12"/>
      <c r="L533" s="12"/>
      <c r="M533" s="12"/>
      <c r="N533" s="12"/>
    </row>
    <row r="534" spans="9:14">
      <c r="I534" s="12"/>
      <c r="J534" s="12"/>
      <c r="K534" s="12"/>
      <c r="L534" s="12"/>
      <c r="M534" s="12"/>
      <c r="N534" s="12"/>
    </row>
    <row r="535" spans="9:14">
      <c r="I535" s="12"/>
      <c r="J535" s="12"/>
      <c r="K535" s="12"/>
      <c r="L535" s="12"/>
      <c r="M535" s="12"/>
      <c r="N535" s="12"/>
    </row>
    <row r="536" spans="9:14">
      <c r="I536" s="12"/>
      <c r="J536" s="12"/>
      <c r="K536" s="12"/>
      <c r="L536" s="12"/>
      <c r="M536" s="12"/>
      <c r="N536" s="12"/>
    </row>
    <row r="537" spans="9:14">
      <c r="I537" s="12"/>
      <c r="J537" s="12"/>
      <c r="K537" s="12"/>
      <c r="L537" s="12"/>
      <c r="M537" s="12"/>
      <c r="N537" s="12"/>
    </row>
    <row r="538" spans="9:14">
      <c r="I538" s="12"/>
      <c r="J538" s="12"/>
      <c r="K538" s="12"/>
      <c r="L538" s="12"/>
      <c r="M538" s="12"/>
      <c r="N538" s="12"/>
    </row>
    <row r="539" spans="9:14">
      <c r="I539" s="12"/>
      <c r="J539" s="12"/>
      <c r="K539" s="12"/>
      <c r="L539" s="12"/>
      <c r="M539" s="12"/>
      <c r="N539" s="12"/>
    </row>
    <row r="540" spans="9:14">
      <c r="I540" s="12"/>
      <c r="J540" s="12"/>
      <c r="K540" s="12"/>
      <c r="L540" s="12"/>
      <c r="M540" s="12"/>
      <c r="N540" s="12"/>
    </row>
    <row r="541" spans="9:14">
      <c r="I541" s="12"/>
      <c r="J541" s="12"/>
      <c r="K541" s="12"/>
      <c r="L541" s="12"/>
      <c r="M541" s="12"/>
      <c r="N541" s="12"/>
    </row>
    <row r="542" spans="9:14">
      <c r="I542" s="12"/>
      <c r="J542" s="12"/>
      <c r="K542" s="12"/>
      <c r="L542" s="12"/>
      <c r="M542" s="12"/>
      <c r="N542" s="12"/>
    </row>
    <row r="543" spans="9:14">
      <c r="I543" s="12"/>
      <c r="J543" s="12"/>
      <c r="K543" s="12"/>
      <c r="L543" s="12"/>
      <c r="M543" s="12"/>
      <c r="N543" s="12"/>
    </row>
    <row r="544" spans="9:14">
      <c r="I544" s="12"/>
      <c r="J544" s="12"/>
      <c r="K544" s="12"/>
      <c r="L544" s="12"/>
      <c r="M544" s="12"/>
      <c r="N544" s="12"/>
    </row>
    <row r="545" spans="9:14">
      <c r="I545" s="12"/>
      <c r="J545" s="12"/>
      <c r="K545" s="12"/>
      <c r="L545" s="12"/>
      <c r="M545" s="12"/>
      <c r="N545" s="12"/>
    </row>
    <row r="546" spans="9:14">
      <c r="I546" s="12"/>
      <c r="J546" s="12"/>
      <c r="K546" s="12"/>
      <c r="L546" s="12"/>
      <c r="M546" s="12"/>
      <c r="N546" s="12"/>
    </row>
    <row r="547" spans="9:14">
      <c r="I547" s="12"/>
      <c r="J547" s="12"/>
      <c r="K547" s="12"/>
      <c r="L547" s="12"/>
      <c r="M547" s="12"/>
      <c r="N547" s="12"/>
    </row>
    <row r="548" spans="9:14">
      <c r="I548" s="12"/>
      <c r="J548" s="12"/>
      <c r="K548" s="12"/>
      <c r="L548" s="12"/>
      <c r="M548" s="12"/>
      <c r="N548" s="12"/>
    </row>
    <row r="549" spans="9:14">
      <c r="I549" s="12"/>
      <c r="J549" s="12"/>
      <c r="K549" s="12"/>
      <c r="L549" s="12"/>
      <c r="M549" s="12"/>
      <c r="N549" s="12"/>
    </row>
    <row r="550" spans="9:14">
      <c r="I550" s="12"/>
      <c r="J550" s="12"/>
      <c r="K550" s="12"/>
      <c r="L550" s="12"/>
      <c r="M550" s="12"/>
      <c r="N550" s="12"/>
    </row>
    <row r="551" spans="9:14">
      <c r="I551" s="12"/>
      <c r="J551" s="12"/>
      <c r="K551" s="12"/>
      <c r="L551" s="12"/>
      <c r="M551" s="12"/>
      <c r="N551" s="12"/>
    </row>
    <row r="552" spans="9:14">
      <c r="I552" s="12"/>
      <c r="J552" s="12"/>
      <c r="K552" s="12"/>
      <c r="L552" s="12"/>
      <c r="M552" s="12"/>
      <c r="N552" s="12"/>
    </row>
    <row r="553" spans="9:14">
      <c r="I553" s="12"/>
      <c r="J553" s="12"/>
      <c r="K553" s="12"/>
      <c r="L553" s="12"/>
      <c r="M553" s="12"/>
      <c r="N553" s="12"/>
    </row>
    <row r="554" spans="9:14">
      <c r="I554" s="12"/>
      <c r="J554" s="12"/>
      <c r="K554" s="12"/>
      <c r="L554" s="12"/>
      <c r="M554" s="12"/>
      <c r="N554" s="12"/>
    </row>
    <row r="555" spans="9:14">
      <c r="I555" s="12"/>
      <c r="J555" s="12"/>
      <c r="K555" s="12"/>
      <c r="L555" s="12"/>
      <c r="M555" s="12"/>
      <c r="N555" s="12"/>
    </row>
    <row r="556" spans="9:14">
      <c r="I556" s="12"/>
      <c r="J556" s="12"/>
      <c r="K556" s="12"/>
      <c r="L556" s="12"/>
      <c r="M556" s="12"/>
      <c r="N556" s="12"/>
    </row>
    <row r="557" spans="9:14">
      <c r="I557" s="12"/>
      <c r="J557" s="12"/>
      <c r="K557" s="12"/>
      <c r="L557" s="12"/>
      <c r="M557" s="12"/>
      <c r="N557" s="12"/>
    </row>
    <row r="558" spans="9:14">
      <c r="I558" s="12"/>
      <c r="J558" s="12"/>
      <c r="K558" s="12"/>
      <c r="L558" s="12"/>
      <c r="M558" s="12"/>
      <c r="N558" s="12"/>
    </row>
    <row r="559" spans="9:14">
      <c r="I559" s="12"/>
      <c r="J559" s="12"/>
      <c r="K559" s="12"/>
      <c r="L559" s="12"/>
      <c r="M559" s="12"/>
      <c r="N559" s="12"/>
    </row>
    <row r="560" spans="9:14">
      <c r="I560" s="12"/>
      <c r="J560" s="12"/>
      <c r="K560" s="12"/>
      <c r="L560" s="12"/>
      <c r="M560" s="12"/>
      <c r="N560" s="12"/>
    </row>
    <row r="561" spans="9:14">
      <c r="I561" s="12"/>
      <c r="J561" s="12"/>
      <c r="K561" s="12"/>
      <c r="L561" s="12"/>
      <c r="M561" s="12"/>
      <c r="N561" s="12"/>
    </row>
    <row r="562" spans="9:14">
      <c r="I562" s="12"/>
      <c r="J562" s="12"/>
      <c r="K562" s="12"/>
      <c r="L562" s="12"/>
      <c r="M562" s="12"/>
      <c r="N562" s="12"/>
    </row>
    <row r="563" spans="9:14">
      <c r="I563" s="12"/>
      <c r="J563" s="12"/>
      <c r="K563" s="12"/>
      <c r="L563" s="12"/>
      <c r="M563" s="12"/>
      <c r="N563" s="12"/>
    </row>
    <row r="564" spans="9:14">
      <c r="I564" s="12"/>
      <c r="J564" s="12"/>
      <c r="K564" s="12"/>
      <c r="L564" s="12"/>
      <c r="M564" s="12"/>
      <c r="N564" s="12"/>
    </row>
    <row r="565" spans="9:14">
      <c r="I565" s="12"/>
      <c r="J565" s="12"/>
      <c r="K565" s="12"/>
      <c r="L565" s="12"/>
      <c r="M565" s="12"/>
      <c r="N565" s="12"/>
    </row>
    <row r="566" spans="9:14">
      <c r="I566" s="12"/>
      <c r="J566" s="12"/>
      <c r="K566" s="12"/>
      <c r="L566" s="12"/>
      <c r="M566" s="12"/>
      <c r="N566" s="12"/>
    </row>
    <row r="567" spans="9:14">
      <c r="I567" s="12"/>
      <c r="J567" s="12"/>
      <c r="K567" s="12"/>
      <c r="L567" s="12"/>
      <c r="M567" s="12"/>
      <c r="N567" s="12"/>
    </row>
    <row r="568" spans="9:14">
      <c r="I568" s="12"/>
      <c r="J568" s="12"/>
      <c r="K568" s="12"/>
      <c r="L568" s="12"/>
      <c r="M568" s="12"/>
      <c r="N568" s="12"/>
    </row>
    <row r="569" spans="9:14">
      <c r="I569" s="12"/>
      <c r="J569" s="12"/>
      <c r="K569" s="12"/>
      <c r="L569" s="12"/>
      <c r="M569" s="12"/>
      <c r="N569" s="12"/>
    </row>
    <row r="570" spans="9:14">
      <c r="I570" s="12"/>
      <c r="J570" s="12"/>
      <c r="K570" s="12"/>
      <c r="L570" s="12"/>
      <c r="M570" s="12"/>
      <c r="N570" s="12"/>
    </row>
    <row r="571" spans="9:14">
      <c r="I571" s="12"/>
      <c r="J571" s="12"/>
      <c r="K571" s="12"/>
      <c r="L571" s="12"/>
      <c r="M571" s="12"/>
      <c r="N571" s="12"/>
    </row>
    <row r="572" spans="9:14">
      <c r="I572" s="12"/>
      <c r="J572" s="12"/>
      <c r="K572" s="12"/>
      <c r="L572" s="12"/>
      <c r="M572" s="12"/>
      <c r="N572" s="12"/>
    </row>
    <row r="573" spans="9:14">
      <c r="I573" s="12"/>
      <c r="J573" s="12"/>
      <c r="K573" s="12"/>
      <c r="L573" s="12"/>
      <c r="M573" s="12"/>
      <c r="N573" s="12"/>
    </row>
    <row r="574" spans="9:14">
      <c r="I574" s="12"/>
      <c r="J574" s="12"/>
      <c r="K574" s="12"/>
      <c r="L574" s="12"/>
      <c r="M574" s="12"/>
      <c r="N574" s="12"/>
    </row>
    <row r="575" spans="9:14">
      <c r="I575" s="12"/>
      <c r="J575" s="12"/>
      <c r="K575" s="12"/>
      <c r="L575" s="12"/>
      <c r="M575" s="12"/>
      <c r="N575" s="12"/>
    </row>
    <row r="576" spans="9:14">
      <c r="I576" s="12"/>
      <c r="J576" s="12"/>
      <c r="K576" s="12"/>
      <c r="L576" s="12"/>
      <c r="M576" s="12"/>
      <c r="N576" s="12"/>
    </row>
    <row r="577" spans="9:14">
      <c r="I577" s="12"/>
      <c r="J577" s="12"/>
      <c r="K577" s="12"/>
      <c r="L577" s="12"/>
      <c r="M577" s="12"/>
      <c r="N577" s="12"/>
    </row>
    <row r="578" spans="9:14">
      <c r="I578" s="12"/>
      <c r="J578" s="12"/>
      <c r="K578" s="12"/>
      <c r="L578" s="12"/>
      <c r="M578" s="12"/>
      <c r="N578" s="12"/>
    </row>
    <row r="579" spans="9:14">
      <c r="I579" s="12"/>
      <c r="J579" s="12"/>
      <c r="K579" s="12"/>
      <c r="L579" s="12"/>
      <c r="M579" s="12"/>
      <c r="N579" s="12"/>
    </row>
    <row r="580" spans="9:14">
      <c r="I580" s="12"/>
      <c r="J580" s="12"/>
      <c r="K580" s="12"/>
      <c r="L580" s="12"/>
      <c r="M580" s="12"/>
      <c r="N580" s="12"/>
    </row>
    <row r="581" spans="9:14">
      <c r="I581" s="12"/>
      <c r="J581" s="12"/>
      <c r="K581" s="12"/>
      <c r="L581" s="12"/>
      <c r="M581" s="12"/>
      <c r="N581" s="12"/>
    </row>
    <row r="582" spans="9:14">
      <c r="I582" s="12"/>
      <c r="J582" s="12"/>
      <c r="K582" s="12"/>
      <c r="L582" s="12"/>
      <c r="M582" s="12"/>
      <c r="N582" s="12"/>
    </row>
    <row r="583" spans="9:14">
      <c r="I583" s="12"/>
      <c r="J583" s="12"/>
      <c r="K583" s="12"/>
      <c r="L583" s="12"/>
      <c r="M583" s="12"/>
      <c r="N583" s="12"/>
    </row>
    <row r="584" spans="9:14">
      <c r="I584" s="12"/>
      <c r="J584" s="12"/>
      <c r="K584" s="12"/>
      <c r="L584" s="12"/>
      <c r="M584" s="12"/>
      <c r="N584" s="12"/>
    </row>
    <row r="585" spans="9:14">
      <c r="I585" s="12"/>
      <c r="J585" s="12"/>
      <c r="K585" s="12"/>
      <c r="L585" s="12"/>
      <c r="M585" s="12"/>
      <c r="N585" s="12"/>
    </row>
    <row r="586" spans="9:14">
      <c r="I586" s="12"/>
      <c r="J586" s="12"/>
      <c r="K586" s="12"/>
      <c r="L586" s="12"/>
      <c r="M586" s="12"/>
      <c r="N586" s="12"/>
    </row>
    <row r="587" spans="9:14">
      <c r="I587" s="12"/>
      <c r="J587" s="12"/>
      <c r="K587" s="12"/>
      <c r="L587" s="12"/>
      <c r="M587" s="12"/>
      <c r="N587" s="12"/>
    </row>
    <row r="588" spans="9:14">
      <c r="I588" s="12"/>
      <c r="J588" s="12"/>
      <c r="K588" s="12"/>
      <c r="L588" s="12"/>
      <c r="M588" s="12"/>
      <c r="N588" s="12"/>
    </row>
    <row r="589" spans="9:14">
      <c r="I589" s="12"/>
      <c r="J589" s="12"/>
      <c r="K589" s="12"/>
      <c r="L589" s="12"/>
      <c r="M589" s="12"/>
      <c r="N589" s="12"/>
    </row>
    <row r="590" spans="9:14">
      <c r="I590" s="12"/>
      <c r="J590" s="12"/>
      <c r="K590" s="12"/>
      <c r="L590" s="12"/>
      <c r="M590" s="12"/>
      <c r="N590" s="12"/>
    </row>
    <row r="591" spans="9:14">
      <c r="I591" s="12"/>
      <c r="J591" s="12"/>
      <c r="K591" s="12"/>
      <c r="L591" s="12"/>
      <c r="M591" s="12"/>
      <c r="N591" s="12"/>
    </row>
    <row r="592" spans="9:14">
      <c r="I592" s="12"/>
      <c r="J592" s="12"/>
      <c r="K592" s="12"/>
      <c r="L592" s="12"/>
      <c r="M592" s="12"/>
      <c r="N592" s="12"/>
    </row>
    <row r="593" spans="9:14">
      <c r="I593" s="12"/>
      <c r="J593" s="12"/>
      <c r="K593" s="12"/>
      <c r="L593" s="12"/>
      <c r="M593" s="12"/>
      <c r="N593" s="12"/>
    </row>
    <row r="594" spans="9:14">
      <c r="I594" s="12"/>
      <c r="J594" s="12"/>
      <c r="K594" s="12"/>
      <c r="L594" s="12"/>
      <c r="M594" s="12"/>
      <c r="N594" s="12"/>
    </row>
    <row r="595" spans="9:14">
      <c r="I595" s="12"/>
      <c r="J595" s="12"/>
      <c r="K595" s="12"/>
      <c r="L595" s="12"/>
      <c r="M595" s="12"/>
      <c r="N595" s="12"/>
    </row>
    <row r="596" spans="9:14">
      <c r="I596" s="12"/>
      <c r="J596" s="12"/>
      <c r="K596" s="12"/>
      <c r="L596" s="12"/>
      <c r="M596" s="12"/>
      <c r="N596" s="12"/>
    </row>
    <row r="597" spans="9:14">
      <c r="I597" s="12"/>
      <c r="J597" s="12"/>
      <c r="K597" s="12"/>
      <c r="L597" s="12"/>
      <c r="M597" s="12"/>
      <c r="N597" s="12"/>
    </row>
    <row r="598" spans="9:14">
      <c r="I598" s="12"/>
      <c r="J598" s="12"/>
      <c r="K598" s="12"/>
      <c r="L598" s="12"/>
      <c r="M598" s="12"/>
      <c r="N598" s="12"/>
    </row>
    <row r="599" spans="9:14">
      <c r="I599" s="12"/>
      <c r="J599" s="12"/>
      <c r="K599" s="12"/>
      <c r="L599" s="12"/>
      <c r="M599" s="12"/>
      <c r="N599" s="12"/>
    </row>
    <row r="600" spans="9:14">
      <c r="I600" s="12"/>
      <c r="J600" s="12"/>
      <c r="K600" s="12"/>
      <c r="L600" s="12"/>
      <c r="M600" s="12"/>
      <c r="N600" s="12"/>
    </row>
    <row r="601" spans="9:14">
      <c r="I601" s="12"/>
      <c r="J601" s="12"/>
      <c r="K601" s="12"/>
      <c r="L601" s="12"/>
      <c r="M601" s="12"/>
      <c r="N601" s="12"/>
    </row>
    <row r="602" spans="9:14">
      <c r="I602" s="12"/>
      <c r="J602" s="12"/>
      <c r="K602" s="12"/>
      <c r="L602" s="12"/>
      <c r="M602" s="12"/>
      <c r="N602" s="12"/>
    </row>
    <row r="603" spans="9:14">
      <c r="I603" s="12"/>
      <c r="J603" s="12"/>
      <c r="K603" s="12"/>
      <c r="L603" s="12"/>
      <c r="M603" s="12"/>
      <c r="N603" s="12"/>
    </row>
    <row r="604" spans="9:14">
      <c r="I604" s="12"/>
      <c r="J604" s="12"/>
      <c r="K604" s="12"/>
      <c r="L604" s="12"/>
      <c r="M604" s="12"/>
      <c r="N604" s="12"/>
    </row>
    <row r="605" spans="9:14">
      <c r="I605" s="12"/>
      <c r="J605" s="12"/>
      <c r="K605" s="12"/>
      <c r="L605" s="12"/>
      <c r="M605" s="12"/>
      <c r="N605" s="12"/>
    </row>
    <row r="606" spans="9:14">
      <c r="I606" s="12"/>
      <c r="J606" s="12"/>
      <c r="K606" s="12"/>
      <c r="L606" s="12"/>
      <c r="M606" s="12"/>
      <c r="N606" s="12"/>
    </row>
    <row r="607" spans="9:14">
      <c r="I607" s="12"/>
      <c r="J607" s="12"/>
      <c r="K607" s="12"/>
      <c r="L607" s="12"/>
      <c r="M607" s="12"/>
      <c r="N607" s="12"/>
    </row>
    <row r="608" spans="9:14">
      <c r="I608" s="12"/>
      <c r="J608" s="12"/>
      <c r="K608" s="12"/>
      <c r="L608" s="12"/>
      <c r="M608" s="12"/>
      <c r="N608" s="12"/>
    </row>
    <row r="609" spans="9:14">
      <c r="I609" s="12"/>
      <c r="J609" s="12"/>
      <c r="K609" s="12"/>
      <c r="L609" s="12"/>
      <c r="M609" s="12"/>
      <c r="N609" s="12"/>
    </row>
    <row r="610" spans="9:14">
      <c r="I610" s="12"/>
      <c r="J610" s="12"/>
      <c r="K610" s="12"/>
      <c r="L610" s="12"/>
      <c r="M610" s="12"/>
      <c r="N610" s="12"/>
    </row>
    <row r="611" spans="9:14">
      <c r="I611" s="12"/>
      <c r="J611" s="12"/>
      <c r="K611" s="12"/>
      <c r="L611" s="12"/>
      <c r="M611" s="12"/>
      <c r="N611" s="12"/>
    </row>
    <row r="612" spans="9:14">
      <c r="I612" s="12"/>
      <c r="J612" s="12"/>
      <c r="K612" s="12"/>
      <c r="L612" s="12"/>
      <c r="M612" s="12"/>
      <c r="N612" s="12"/>
    </row>
    <row r="613" spans="9:14">
      <c r="I613" s="12"/>
      <c r="J613" s="12"/>
      <c r="K613" s="12"/>
      <c r="L613" s="12"/>
      <c r="M613" s="12"/>
      <c r="N613" s="12"/>
    </row>
    <row r="614" spans="9:14">
      <c r="I614" s="12"/>
      <c r="J614" s="12"/>
      <c r="K614" s="12"/>
      <c r="L614" s="12"/>
      <c r="M614" s="12"/>
      <c r="N614" s="12"/>
    </row>
    <row r="615" spans="9:14">
      <c r="I615" s="12"/>
      <c r="J615" s="12"/>
      <c r="K615" s="12"/>
      <c r="L615" s="12"/>
      <c r="M615" s="12"/>
      <c r="N615" s="12"/>
    </row>
    <row r="616" spans="9:14">
      <c r="I616" s="12"/>
      <c r="J616" s="12"/>
      <c r="K616" s="12"/>
      <c r="L616" s="12"/>
      <c r="M616" s="12"/>
      <c r="N616" s="12"/>
    </row>
    <row r="617" spans="9:14">
      <c r="I617" s="12"/>
      <c r="J617" s="12"/>
      <c r="K617" s="12"/>
      <c r="L617" s="12"/>
      <c r="M617" s="12"/>
      <c r="N617" s="12"/>
    </row>
    <row r="618" spans="9:14">
      <c r="I618" s="12"/>
      <c r="J618" s="12"/>
      <c r="K618" s="12"/>
      <c r="L618" s="12"/>
      <c r="M618" s="12"/>
      <c r="N618" s="12"/>
    </row>
    <row r="619" spans="9:14">
      <c r="I619" s="12"/>
      <c r="J619" s="12"/>
      <c r="K619" s="12"/>
      <c r="L619" s="12"/>
      <c r="M619" s="12"/>
      <c r="N619" s="12"/>
    </row>
    <row r="620" spans="9:14">
      <c r="I620" s="12"/>
      <c r="J620" s="12"/>
      <c r="K620" s="12"/>
      <c r="L620" s="12"/>
      <c r="M620" s="12"/>
      <c r="N620" s="12"/>
    </row>
    <row r="621" spans="9:14">
      <c r="I621" s="12"/>
      <c r="J621" s="12"/>
      <c r="K621" s="12"/>
      <c r="L621" s="12"/>
      <c r="M621" s="12"/>
      <c r="N621" s="12"/>
    </row>
    <row r="622" spans="9:14">
      <c r="I622" s="12"/>
      <c r="J622" s="12"/>
      <c r="K622" s="12"/>
      <c r="L622" s="12"/>
      <c r="M622" s="12"/>
      <c r="N622" s="12"/>
    </row>
    <row r="623" spans="9:14">
      <c r="I623" s="12"/>
      <c r="J623" s="12"/>
      <c r="K623" s="12"/>
      <c r="L623" s="12"/>
      <c r="M623" s="12"/>
      <c r="N623" s="12"/>
    </row>
    <row r="624" spans="9:14">
      <c r="I624" s="12"/>
      <c r="J624" s="12"/>
      <c r="K624" s="12"/>
      <c r="L624" s="12"/>
      <c r="M624" s="12"/>
      <c r="N624" s="12"/>
    </row>
    <row r="625" spans="9:14">
      <c r="I625" s="12"/>
      <c r="J625" s="12"/>
      <c r="K625" s="12"/>
      <c r="L625" s="12"/>
      <c r="M625" s="12"/>
      <c r="N625" s="12"/>
    </row>
    <row r="626" spans="9:14">
      <c r="I626" s="12"/>
      <c r="J626" s="12"/>
      <c r="K626" s="12"/>
      <c r="L626" s="12"/>
      <c r="M626" s="12"/>
      <c r="N626" s="12"/>
    </row>
    <row r="627" spans="9:14">
      <c r="I627" s="12"/>
      <c r="J627" s="12"/>
      <c r="K627" s="12"/>
      <c r="L627" s="12"/>
      <c r="M627" s="12"/>
      <c r="N627" s="12"/>
    </row>
    <row r="628" spans="9:14">
      <c r="I628" s="12"/>
      <c r="J628" s="12"/>
      <c r="K628" s="12"/>
      <c r="L628" s="12"/>
      <c r="M628" s="12"/>
      <c r="N628" s="12"/>
    </row>
    <row r="629" spans="9:14">
      <c r="I629" s="12"/>
      <c r="J629" s="12"/>
      <c r="K629" s="12"/>
      <c r="L629" s="12"/>
      <c r="M629" s="12"/>
      <c r="N629" s="12"/>
    </row>
    <row r="630" spans="9:14">
      <c r="I630" s="12"/>
      <c r="J630" s="12"/>
      <c r="K630" s="12"/>
      <c r="L630" s="12"/>
      <c r="M630" s="12"/>
      <c r="N630" s="12"/>
    </row>
    <row r="631" spans="9:14">
      <c r="I631" s="12"/>
      <c r="J631" s="12"/>
      <c r="K631" s="12"/>
      <c r="L631" s="12"/>
      <c r="M631" s="12"/>
      <c r="N631" s="12"/>
    </row>
    <row r="632" spans="9:14">
      <c r="I632" s="12"/>
      <c r="J632" s="12"/>
      <c r="K632" s="12"/>
      <c r="L632" s="12"/>
      <c r="M632" s="12"/>
      <c r="N632" s="12"/>
    </row>
    <row r="633" spans="9:14">
      <c r="I633" s="12"/>
      <c r="J633" s="12"/>
      <c r="K633" s="12"/>
      <c r="L633" s="12"/>
      <c r="M633" s="12"/>
      <c r="N633" s="12"/>
    </row>
    <row r="634" spans="9:14">
      <c r="I634" s="12"/>
      <c r="J634" s="12"/>
      <c r="K634" s="12"/>
      <c r="L634" s="12"/>
      <c r="M634" s="12"/>
      <c r="N634" s="12"/>
    </row>
    <row r="635" spans="9:14">
      <c r="I635" s="12"/>
      <c r="J635" s="12"/>
      <c r="K635" s="12"/>
      <c r="L635" s="12"/>
      <c r="M635" s="12"/>
      <c r="N635" s="12"/>
    </row>
    <row r="636" spans="9:14">
      <c r="I636" s="12"/>
      <c r="J636" s="12"/>
      <c r="K636" s="12"/>
      <c r="L636" s="12"/>
      <c r="M636" s="12"/>
      <c r="N636" s="12"/>
    </row>
    <row r="637" spans="9:14">
      <c r="I637" s="12"/>
      <c r="J637" s="12"/>
      <c r="K637" s="12"/>
      <c r="L637" s="12"/>
      <c r="M637" s="12"/>
      <c r="N637" s="12"/>
    </row>
    <row r="638" spans="9:14">
      <c r="I638" s="12"/>
      <c r="J638" s="12"/>
      <c r="K638" s="12"/>
      <c r="L638" s="12"/>
      <c r="M638" s="12"/>
      <c r="N638" s="12"/>
    </row>
    <row r="639" spans="9:14">
      <c r="I639" s="12"/>
      <c r="J639" s="12"/>
      <c r="K639" s="12"/>
      <c r="L639" s="12"/>
      <c r="M639" s="12"/>
      <c r="N639" s="12"/>
    </row>
    <row r="640" spans="9:14">
      <c r="I640" s="12"/>
      <c r="J640" s="12"/>
      <c r="K640" s="12"/>
      <c r="L640" s="12"/>
      <c r="M640" s="12"/>
      <c r="N640" s="12"/>
    </row>
    <row r="641" spans="9:14">
      <c r="I641" s="12"/>
      <c r="J641" s="12"/>
      <c r="K641" s="12"/>
      <c r="L641" s="12"/>
      <c r="M641" s="12"/>
      <c r="N641" s="12"/>
    </row>
    <row r="642" spans="9:14">
      <c r="I642" s="12"/>
      <c r="J642" s="12"/>
      <c r="K642" s="12"/>
      <c r="L642" s="12"/>
      <c r="M642" s="12"/>
      <c r="N642" s="12"/>
    </row>
    <row r="643" spans="9:14">
      <c r="I643" s="12"/>
      <c r="J643" s="12"/>
      <c r="K643" s="12"/>
      <c r="L643" s="12"/>
      <c r="M643" s="12"/>
      <c r="N643" s="12"/>
    </row>
    <row r="644" spans="9:14">
      <c r="I644" s="12"/>
      <c r="J644" s="12"/>
      <c r="K644" s="12"/>
      <c r="L644" s="12"/>
      <c r="M644" s="12"/>
      <c r="N644" s="12"/>
    </row>
    <row r="645" spans="9:14">
      <c r="I645" s="12"/>
      <c r="J645" s="12"/>
      <c r="K645" s="12"/>
      <c r="L645" s="12"/>
      <c r="M645" s="12"/>
      <c r="N645" s="12"/>
    </row>
    <row r="646" spans="9:14">
      <c r="I646" s="12"/>
      <c r="J646" s="12"/>
      <c r="K646" s="12"/>
      <c r="L646" s="12"/>
      <c r="M646" s="12"/>
      <c r="N646" s="12"/>
    </row>
    <row r="647" spans="9:14">
      <c r="I647" s="12"/>
      <c r="J647" s="12"/>
      <c r="K647" s="12"/>
      <c r="L647" s="12"/>
      <c r="M647" s="12"/>
      <c r="N647" s="12"/>
    </row>
    <row r="648" spans="9:14">
      <c r="I648" s="12"/>
      <c r="J648" s="12"/>
      <c r="K648" s="12"/>
      <c r="L648" s="12"/>
      <c r="M648" s="12"/>
      <c r="N648" s="12"/>
    </row>
    <row r="649" spans="9:14">
      <c r="I649" s="12"/>
      <c r="J649" s="12"/>
      <c r="K649" s="12"/>
      <c r="L649" s="12"/>
      <c r="M649" s="12"/>
      <c r="N649" s="12"/>
    </row>
    <row r="650" spans="9:14">
      <c r="I650" s="12"/>
      <c r="J650" s="12"/>
      <c r="K650" s="12"/>
      <c r="L650" s="12"/>
      <c r="M650" s="12"/>
      <c r="N650" s="12"/>
    </row>
    <row r="651" spans="9:14">
      <c r="I651" s="12"/>
      <c r="J651" s="12"/>
      <c r="K651" s="12"/>
      <c r="L651" s="12"/>
      <c r="M651" s="12"/>
      <c r="N651" s="12"/>
    </row>
    <row r="652" spans="9:14">
      <c r="I652" s="12"/>
      <c r="J652" s="12"/>
      <c r="K652" s="12"/>
      <c r="L652" s="12"/>
      <c r="M652" s="12"/>
      <c r="N652" s="12"/>
    </row>
    <row r="653" spans="9:14">
      <c r="I653" s="12"/>
      <c r="J653" s="12"/>
      <c r="K653" s="12"/>
      <c r="L653" s="12"/>
      <c r="M653" s="12"/>
      <c r="N653" s="12"/>
    </row>
    <row r="654" spans="9:14">
      <c r="I654" s="12"/>
      <c r="J654" s="12"/>
      <c r="K654" s="12"/>
      <c r="L654" s="12"/>
      <c r="M654" s="12"/>
      <c r="N654" s="12"/>
    </row>
    <row r="655" spans="9:14">
      <c r="I655" s="12"/>
      <c r="J655" s="12"/>
      <c r="K655" s="12"/>
      <c r="L655" s="12"/>
      <c r="M655" s="12"/>
      <c r="N655" s="12"/>
    </row>
    <row r="656" spans="9:14">
      <c r="I656" s="12"/>
      <c r="J656" s="12"/>
      <c r="K656" s="12"/>
      <c r="L656" s="12"/>
      <c r="M656" s="12"/>
      <c r="N656" s="12"/>
    </row>
    <row r="657" spans="9:14">
      <c r="I657" s="12"/>
      <c r="J657" s="12"/>
      <c r="K657" s="12"/>
      <c r="L657" s="12"/>
      <c r="M657" s="12"/>
      <c r="N657" s="12"/>
    </row>
    <row r="658" spans="9:14">
      <c r="I658" s="12"/>
      <c r="J658" s="12"/>
      <c r="K658" s="12"/>
      <c r="L658" s="12"/>
      <c r="M658" s="12"/>
      <c r="N658" s="12"/>
    </row>
    <row r="659" spans="9:14">
      <c r="I659" s="12"/>
      <c r="J659" s="12"/>
      <c r="K659" s="12"/>
      <c r="L659" s="12"/>
      <c r="M659" s="12"/>
      <c r="N659" s="12"/>
    </row>
    <row r="660" spans="9:14">
      <c r="I660" s="12"/>
      <c r="J660" s="12"/>
      <c r="K660" s="12"/>
      <c r="L660" s="12"/>
      <c r="M660" s="12"/>
      <c r="N660" s="12"/>
    </row>
    <row r="661" spans="9:14">
      <c r="I661" s="12"/>
      <c r="J661" s="12"/>
      <c r="K661" s="12"/>
      <c r="L661" s="12"/>
      <c r="M661" s="12"/>
      <c r="N661" s="12"/>
    </row>
    <row r="662" spans="9:14">
      <c r="I662" s="12"/>
      <c r="J662" s="12"/>
      <c r="K662" s="12"/>
      <c r="L662" s="12"/>
      <c r="M662" s="12"/>
      <c r="N662" s="12"/>
    </row>
    <row r="663" spans="9:14">
      <c r="I663" s="12"/>
      <c r="J663" s="12"/>
      <c r="K663" s="12"/>
      <c r="L663" s="12"/>
      <c r="M663" s="12"/>
      <c r="N663" s="12"/>
    </row>
    <row r="664" spans="9:14">
      <c r="I664" s="12"/>
      <c r="J664" s="12"/>
      <c r="K664" s="12"/>
      <c r="L664" s="12"/>
      <c r="M664" s="12"/>
      <c r="N664" s="12"/>
    </row>
    <row r="665" spans="9:14">
      <c r="I665" s="12"/>
      <c r="J665" s="12"/>
      <c r="K665" s="12"/>
      <c r="L665" s="12"/>
      <c r="M665" s="12"/>
      <c r="N665" s="12"/>
    </row>
    <row r="666" spans="9:14">
      <c r="I666" s="12"/>
      <c r="J666" s="12"/>
      <c r="K666" s="12"/>
      <c r="L666" s="12"/>
      <c r="M666" s="12"/>
      <c r="N666" s="12"/>
    </row>
    <row r="667" spans="9:14">
      <c r="I667" s="12"/>
      <c r="J667" s="12"/>
      <c r="K667" s="12"/>
      <c r="L667" s="12"/>
      <c r="M667" s="12"/>
      <c r="N667" s="12"/>
    </row>
    <row r="668" spans="9:14">
      <c r="I668" s="12"/>
      <c r="J668" s="12"/>
      <c r="K668" s="12"/>
      <c r="L668" s="12"/>
      <c r="M668" s="12"/>
      <c r="N668" s="12"/>
    </row>
    <row r="669" spans="9:14">
      <c r="I669" s="12"/>
      <c r="J669" s="12"/>
      <c r="K669" s="12"/>
      <c r="L669" s="12"/>
      <c r="M669" s="12"/>
      <c r="N669" s="12"/>
    </row>
    <row r="670" spans="9:14">
      <c r="I670" s="12"/>
      <c r="J670" s="12"/>
      <c r="K670" s="12"/>
      <c r="L670" s="12"/>
      <c r="M670" s="12"/>
      <c r="N670" s="12"/>
    </row>
    <row r="671" spans="9:14">
      <c r="I671" s="12"/>
      <c r="J671" s="12"/>
      <c r="K671" s="12"/>
      <c r="L671" s="12"/>
      <c r="M671" s="12"/>
      <c r="N671" s="12"/>
    </row>
    <row r="672" spans="9:14">
      <c r="I672" s="12"/>
      <c r="J672" s="12"/>
      <c r="K672" s="12"/>
      <c r="L672" s="12"/>
      <c r="M672" s="12"/>
      <c r="N672" s="12"/>
    </row>
    <row r="673" spans="9:14">
      <c r="I673" s="12"/>
      <c r="J673" s="12"/>
      <c r="K673" s="12"/>
      <c r="L673" s="12"/>
      <c r="M673" s="12"/>
      <c r="N673" s="12"/>
    </row>
    <row r="674" spans="9:14">
      <c r="I674" s="12"/>
      <c r="J674" s="12"/>
      <c r="K674" s="12"/>
      <c r="L674" s="12"/>
      <c r="M674" s="12"/>
      <c r="N674" s="12"/>
    </row>
    <row r="675" spans="9:14">
      <c r="I675" s="12"/>
      <c r="J675" s="12"/>
      <c r="K675" s="12"/>
      <c r="L675" s="12"/>
      <c r="M675" s="12"/>
      <c r="N675" s="12"/>
    </row>
    <row r="676" spans="9:14">
      <c r="I676" s="12"/>
      <c r="J676" s="12"/>
      <c r="K676" s="12"/>
      <c r="L676" s="12"/>
      <c r="M676" s="12"/>
      <c r="N676" s="12"/>
    </row>
    <row r="677" spans="9:14">
      <c r="I677" s="12"/>
      <c r="J677" s="12"/>
      <c r="K677" s="12"/>
      <c r="L677" s="12"/>
      <c r="M677" s="12"/>
      <c r="N677" s="12"/>
    </row>
    <row r="678" spans="9:14">
      <c r="I678" s="12"/>
      <c r="J678" s="12"/>
      <c r="K678" s="12"/>
      <c r="L678" s="12"/>
      <c r="M678" s="12"/>
      <c r="N678" s="12"/>
    </row>
    <row r="679" spans="9:14">
      <c r="I679" s="12"/>
      <c r="J679" s="12"/>
      <c r="K679" s="12"/>
      <c r="L679" s="12"/>
      <c r="M679" s="12"/>
      <c r="N679" s="12"/>
    </row>
    <row r="680" spans="9:14">
      <c r="I680" s="12"/>
      <c r="J680" s="12"/>
      <c r="K680" s="12"/>
      <c r="L680" s="12"/>
      <c r="M680" s="12"/>
      <c r="N680" s="12"/>
    </row>
    <row r="681" spans="9:14">
      <c r="I681" s="12"/>
      <c r="J681" s="12"/>
      <c r="K681" s="12"/>
      <c r="L681" s="12"/>
      <c r="M681" s="12"/>
      <c r="N681" s="12"/>
    </row>
    <row r="682" spans="9:14">
      <c r="I682" s="12"/>
      <c r="J682" s="12"/>
      <c r="K682" s="12"/>
      <c r="L682" s="12"/>
      <c r="M682" s="12"/>
      <c r="N682" s="12"/>
    </row>
    <row r="683" spans="9:14">
      <c r="I683" s="12"/>
      <c r="J683" s="12"/>
      <c r="K683" s="12"/>
      <c r="L683" s="12"/>
      <c r="M683" s="12"/>
      <c r="N683" s="12"/>
    </row>
    <row r="684" spans="9:14">
      <c r="I684" s="12"/>
      <c r="J684" s="12"/>
      <c r="K684" s="12"/>
      <c r="L684" s="12"/>
      <c r="M684" s="12"/>
      <c r="N684" s="12"/>
    </row>
    <row r="685" spans="9:14">
      <c r="I685" s="12"/>
      <c r="J685" s="12"/>
      <c r="K685" s="12"/>
      <c r="L685" s="12"/>
      <c r="M685" s="12"/>
      <c r="N685" s="12"/>
    </row>
    <row r="686" spans="9:14">
      <c r="I686" s="12"/>
      <c r="J686" s="12"/>
      <c r="K686" s="12"/>
      <c r="L686" s="12"/>
      <c r="M686" s="12"/>
      <c r="N686" s="12"/>
    </row>
    <row r="687" spans="9:14">
      <c r="I687" s="12"/>
      <c r="J687" s="12"/>
      <c r="K687" s="12"/>
      <c r="L687" s="12"/>
      <c r="M687" s="12"/>
      <c r="N687" s="12"/>
    </row>
    <row r="688" spans="9:14">
      <c r="I688" s="12"/>
      <c r="J688" s="12"/>
      <c r="K688" s="12"/>
      <c r="L688" s="12"/>
      <c r="M688" s="12"/>
      <c r="N688" s="12"/>
    </row>
    <row r="689" spans="9:14">
      <c r="I689" s="12"/>
      <c r="J689" s="12"/>
      <c r="K689" s="12"/>
      <c r="L689" s="12"/>
      <c r="M689" s="12"/>
      <c r="N689" s="12"/>
    </row>
    <row r="690" spans="9:14">
      <c r="I690" s="12"/>
      <c r="J690" s="12"/>
      <c r="K690" s="12"/>
      <c r="L690" s="12"/>
      <c r="M690" s="12"/>
      <c r="N690" s="12"/>
    </row>
    <row r="691" spans="9:14">
      <c r="I691" s="12"/>
      <c r="J691" s="12"/>
      <c r="K691" s="12"/>
      <c r="L691" s="12"/>
      <c r="M691" s="12"/>
      <c r="N691" s="12"/>
    </row>
    <row r="692" spans="9:14">
      <c r="I692" s="12"/>
      <c r="J692" s="12"/>
      <c r="K692" s="12"/>
      <c r="L692" s="12"/>
      <c r="M692" s="12"/>
      <c r="N692" s="12"/>
    </row>
    <row r="693" spans="9:14">
      <c r="I693" s="12"/>
      <c r="J693" s="12"/>
      <c r="K693" s="12"/>
      <c r="L693" s="12"/>
      <c r="M693" s="12"/>
      <c r="N693" s="12"/>
    </row>
    <row r="694" spans="9:14">
      <c r="I694" s="12"/>
      <c r="J694" s="12"/>
      <c r="K694" s="12"/>
      <c r="L694" s="12"/>
      <c r="M694" s="12"/>
      <c r="N694" s="12"/>
    </row>
    <row r="695" spans="9:14">
      <c r="I695" s="12"/>
      <c r="J695" s="12"/>
      <c r="K695" s="12"/>
      <c r="L695" s="12"/>
      <c r="M695" s="12"/>
      <c r="N695" s="12"/>
    </row>
    <row r="696" spans="9:14">
      <c r="I696" s="12"/>
      <c r="J696" s="12"/>
      <c r="K696" s="12"/>
      <c r="L696" s="12"/>
      <c r="M696" s="12"/>
      <c r="N696" s="12"/>
    </row>
    <row r="697" spans="9:14">
      <c r="I697" s="12"/>
      <c r="J697" s="12"/>
      <c r="K697" s="12"/>
      <c r="L697" s="12"/>
      <c r="M697" s="12"/>
      <c r="N697" s="12"/>
    </row>
    <row r="698" spans="9:14">
      <c r="I698" s="12"/>
      <c r="J698" s="12"/>
      <c r="K698" s="12"/>
      <c r="L698" s="12"/>
      <c r="M698" s="12"/>
      <c r="N698" s="12"/>
    </row>
    <row r="699" spans="9:14">
      <c r="I699" s="12"/>
      <c r="J699" s="12"/>
      <c r="K699" s="12"/>
      <c r="L699" s="12"/>
      <c r="M699" s="12"/>
      <c r="N699" s="12"/>
    </row>
    <row r="700" spans="9:14">
      <c r="I700" s="12"/>
      <c r="J700" s="12"/>
      <c r="K700" s="12"/>
      <c r="L700" s="12"/>
      <c r="M700" s="12"/>
      <c r="N700" s="12"/>
    </row>
    <row r="701" spans="9:14">
      <c r="I701" s="12"/>
      <c r="J701" s="12"/>
      <c r="K701" s="12"/>
      <c r="L701" s="12"/>
      <c r="M701" s="12"/>
      <c r="N701" s="12"/>
    </row>
    <row r="702" spans="9:14">
      <c r="I702" s="12"/>
      <c r="J702" s="12"/>
      <c r="K702" s="12"/>
      <c r="L702" s="12"/>
      <c r="M702" s="12"/>
      <c r="N702" s="12"/>
    </row>
    <row r="703" spans="9:14">
      <c r="I703" s="12"/>
      <c r="J703" s="12"/>
      <c r="K703" s="12"/>
      <c r="L703" s="12"/>
      <c r="M703" s="12"/>
      <c r="N703" s="12"/>
    </row>
    <row r="704" spans="9:14">
      <c r="I704" s="12"/>
      <c r="J704" s="12"/>
      <c r="K704" s="12"/>
      <c r="L704" s="12"/>
      <c r="M704" s="12"/>
      <c r="N704" s="12"/>
    </row>
    <row r="705" spans="9:14">
      <c r="I705" s="12"/>
      <c r="J705" s="12"/>
      <c r="K705" s="12"/>
      <c r="L705" s="12"/>
      <c r="M705" s="12"/>
      <c r="N705" s="12"/>
    </row>
    <row r="706" spans="9:14">
      <c r="I706" s="12"/>
      <c r="J706" s="12"/>
      <c r="K706" s="12"/>
      <c r="L706" s="12"/>
      <c r="M706" s="12"/>
      <c r="N706" s="12"/>
    </row>
    <row r="707" spans="9:14">
      <c r="I707" s="12"/>
      <c r="J707" s="12"/>
      <c r="K707" s="12"/>
      <c r="L707" s="12"/>
      <c r="M707" s="12"/>
      <c r="N707" s="12"/>
    </row>
    <row r="708" spans="9:14">
      <c r="I708" s="12"/>
      <c r="J708" s="12"/>
      <c r="K708" s="12"/>
      <c r="L708" s="12"/>
      <c r="M708" s="12"/>
      <c r="N708" s="12"/>
    </row>
    <row r="709" spans="9:14">
      <c r="I709" s="12"/>
      <c r="J709" s="12"/>
      <c r="K709" s="12"/>
      <c r="L709" s="12"/>
      <c r="M709" s="12"/>
      <c r="N709" s="12"/>
    </row>
    <row r="710" spans="9:14">
      <c r="I710" s="12"/>
      <c r="J710" s="12"/>
      <c r="K710" s="12"/>
      <c r="L710" s="12"/>
      <c r="M710" s="12"/>
      <c r="N710" s="12"/>
    </row>
    <row r="711" spans="9:14">
      <c r="I711" s="12"/>
      <c r="J711" s="12"/>
      <c r="K711" s="12"/>
      <c r="L711" s="12"/>
      <c r="M711" s="12"/>
      <c r="N711" s="12"/>
    </row>
    <row r="712" spans="9:14">
      <c r="I712" s="12"/>
      <c r="J712" s="12"/>
      <c r="K712" s="12"/>
      <c r="L712" s="12"/>
      <c r="M712" s="12"/>
      <c r="N712" s="12"/>
    </row>
    <row r="713" spans="9:14">
      <c r="I713" s="12"/>
      <c r="J713" s="12"/>
      <c r="K713" s="12"/>
      <c r="L713" s="12"/>
      <c r="M713" s="12"/>
      <c r="N713" s="12"/>
    </row>
    <row r="714" spans="9:14">
      <c r="I714" s="12"/>
      <c r="J714" s="12"/>
      <c r="K714" s="12"/>
      <c r="L714" s="12"/>
      <c r="M714" s="12"/>
      <c r="N714" s="12"/>
    </row>
    <row r="715" spans="9:14">
      <c r="I715" s="12"/>
      <c r="J715" s="12"/>
      <c r="K715" s="12"/>
      <c r="L715" s="12"/>
      <c r="M715" s="12"/>
      <c r="N715" s="12"/>
    </row>
    <row r="716" spans="9:14">
      <c r="I716" s="12"/>
      <c r="J716" s="12"/>
      <c r="K716" s="12"/>
      <c r="L716" s="12"/>
      <c r="M716" s="12"/>
      <c r="N716" s="12"/>
    </row>
    <row r="717" spans="9:14">
      <c r="I717" s="12"/>
      <c r="J717" s="12"/>
      <c r="K717" s="12"/>
      <c r="L717" s="12"/>
      <c r="M717" s="12"/>
      <c r="N717" s="12"/>
    </row>
    <row r="718" spans="9:14">
      <c r="I718" s="12"/>
      <c r="J718" s="12"/>
      <c r="K718" s="12"/>
      <c r="L718" s="12"/>
      <c r="M718" s="12"/>
      <c r="N718" s="12"/>
    </row>
    <row r="719" spans="9:14">
      <c r="I719" s="12"/>
      <c r="J719" s="12"/>
      <c r="K719" s="12"/>
      <c r="L719" s="12"/>
      <c r="M719" s="12"/>
      <c r="N719" s="12"/>
    </row>
    <row r="720" spans="9:14">
      <c r="I720" s="12"/>
      <c r="J720" s="12"/>
      <c r="K720" s="12"/>
      <c r="L720" s="12"/>
      <c r="M720" s="12"/>
      <c r="N720" s="12"/>
    </row>
    <row r="721" spans="9:14">
      <c r="I721" s="12"/>
      <c r="J721" s="12"/>
      <c r="K721" s="12"/>
      <c r="L721" s="12"/>
      <c r="M721" s="12"/>
      <c r="N721" s="12"/>
    </row>
    <row r="722" spans="9:14">
      <c r="I722" s="12"/>
      <c r="J722" s="12"/>
      <c r="K722" s="12"/>
      <c r="L722" s="12"/>
      <c r="M722" s="12"/>
      <c r="N722" s="12"/>
    </row>
    <row r="723" spans="9:14">
      <c r="I723" s="12"/>
      <c r="J723" s="12"/>
      <c r="K723" s="12"/>
      <c r="L723" s="12"/>
      <c r="M723" s="12"/>
      <c r="N723" s="12"/>
    </row>
    <row r="724" spans="9:14">
      <c r="I724" s="12"/>
      <c r="J724" s="12"/>
      <c r="K724" s="12"/>
      <c r="L724" s="12"/>
      <c r="M724" s="12"/>
      <c r="N724" s="12"/>
    </row>
    <row r="725" spans="9:14">
      <c r="I725" s="12"/>
      <c r="J725" s="12"/>
      <c r="K725" s="12"/>
      <c r="L725" s="12"/>
      <c r="M725" s="12"/>
      <c r="N725" s="12"/>
    </row>
    <row r="726" spans="9:14">
      <c r="I726" s="12"/>
      <c r="J726" s="12"/>
      <c r="K726" s="12"/>
      <c r="L726" s="12"/>
      <c r="M726" s="12"/>
      <c r="N726" s="12"/>
    </row>
    <row r="727" spans="9:14">
      <c r="I727" s="12"/>
      <c r="J727" s="12"/>
      <c r="K727" s="12"/>
      <c r="L727" s="12"/>
      <c r="M727" s="12"/>
      <c r="N727" s="12"/>
    </row>
    <row r="728" spans="9:14">
      <c r="I728" s="12"/>
      <c r="J728" s="12"/>
      <c r="K728" s="12"/>
      <c r="L728" s="12"/>
      <c r="M728" s="12"/>
      <c r="N728" s="12"/>
    </row>
    <row r="729" spans="9:14">
      <c r="I729" s="12"/>
      <c r="J729" s="12"/>
      <c r="K729" s="12"/>
      <c r="L729" s="12"/>
      <c r="M729" s="12"/>
      <c r="N729" s="12"/>
    </row>
    <row r="730" spans="9:14">
      <c r="I730" s="12"/>
      <c r="J730" s="12"/>
      <c r="K730" s="12"/>
      <c r="L730" s="12"/>
      <c r="M730" s="12"/>
      <c r="N730" s="12"/>
    </row>
    <row r="731" spans="9:14">
      <c r="I731" s="12"/>
      <c r="J731" s="12"/>
      <c r="K731" s="12"/>
      <c r="L731" s="12"/>
      <c r="M731" s="12"/>
      <c r="N731" s="12"/>
    </row>
    <row r="732" spans="9:14">
      <c r="I732" s="12"/>
      <c r="J732" s="12"/>
      <c r="K732" s="12"/>
      <c r="L732" s="12"/>
      <c r="M732" s="12"/>
      <c r="N732" s="12"/>
    </row>
    <row r="733" spans="9:14">
      <c r="I733" s="12"/>
      <c r="J733" s="12"/>
      <c r="K733" s="12"/>
      <c r="L733" s="12"/>
      <c r="M733" s="12"/>
      <c r="N733" s="12"/>
    </row>
    <row r="734" spans="9:14">
      <c r="I734" s="12"/>
      <c r="J734" s="12"/>
      <c r="K734" s="12"/>
      <c r="L734" s="12"/>
      <c r="M734" s="12"/>
      <c r="N734" s="12"/>
    </row>
    <row r="735" spans="9:14">
      <c r="I735" s="12"/>
      <c r="J735" s="12"/>
      <c r="K735" s="12"/>
      <c r="L735" s="12"/>
      <c r="M735" s="12"/>
      <c r="N735" s="12"/>
    </row>
    <row r="736" spans="9:14">
      <c r="I736" s="12"/>
      <c r="J736" s="12"/>
      <c r="K736" s="12"/>
      <c r="L736" s="12"/>
      <c r="M736" s="12"/>
      <c r="N736" s="12"/>
    </row>
    <row r="737" spans="9:14">
      <c r="I737" s="12"/>
      <c r="J737" s="12"/>
      <c r="K737" s="12"/>
      <c r="L737" s="12"/>
      <c r="M737" s="12"/>
      <c r="N737" s="12"/>
    </row>
    <row r="738" spans="9:14">
      <c r="I738" s="12"/>
      <c r="J738" s="12"/>
      <c r="K738" s="12"/>
      <c r="L738" s="12"/>
      <c r="M738" s="12"/>
      <c r="N738" s="12"/>
    </row>
    <row r="739" spans="9:14">
      <c r="I739" s="12"/>
      <c r="J739" s="12"/>
      <c r="K739" s="12"/>
      <c r="L739" s="12"/>
      <c r="M739" s="12"/>
      <c r="N739" s="12"/>
    </row>
    <row r="740" spans="9:14">
      <c r="I740" s="12"/>
      <c r="J740" s="12"/>
      <c r="K740" s="12"/>
      <c r="L740" s="12"/>
      <c r="M740" s="12"/>
      <c r="N740" s="12"/>
    </row>
    <row r="741" spans="9:14">
      <c r="I741" s="12"/>
      <c r="J741" s="12"/>
      <c r="K741" s="12"/>
      <c r="L741" s="12"/>
      <c r="M741" s="12"/>
      <c r="N741" s="12"/>
    </row>
    <row r="742" spans="9:14">
      <c r="I742" s="12"/>
      <c r="J742" s="12"/>
      <c r="K742" s="12"/>
      <c r="L742" s="12"/>
      <c r="M742" s="12"/>
      <c r="N742" s="12"/>
    </row>
    <row r="743" spans="9:14">
      <c r="I743" s="12"/>
      <c r="J743" s="12"/>
      <c r="K743" s="12"/>
      <c r="L743" s="12"/>
      <c r="M743" s="12"/>
      <c r="N743" s="12"/>
    </row>
    <row r="744" spans="9:14">
      <c r="I744" s="12"/>
      <c r="J744" s="12"/>
      <c r="K744" s="12"/>
      <c r="L744" s="12"/>
      <c r="M744" s="12"/>
      <c r="N744" s="12"/>
    </row>
    <row r="745" spans="9:14">
      <c r="I745" s="12"/>
      <c r="J745" s="12"/>
      <c r="K745" s="12"/>
      <c r="L745" s="12"/>
      <c r="M745" s="12"/>
      <c r="N745" s="12"/>
    </row>
    <row r="746" spans="9:14">
      <c r="I746" s="12"/>
      <c r="J746" s="12"/>
      <c r="K746" s="12"/>
      <c r="L746" s="12"/>
      <c r="M746" s="12"/>
      <c r="N746" s="12"/>
    </row>
    <row r="747" spans="9:14">
      <c r="I747" s="12"/>
      <c r="J747" s="12"/>
      <c r="K747" s="12"/>
      <c r="L747" s="12"/>
      <c r="M747" s="12"/>
      <c r="N747" s="12"/>
    </row>
    <row r="748" spans="9:14">
      <c r="I748" s="12"/>
      <c r="J748" s="12"/>
      <c r="K748" s="12"/>
      <c r="L748" s="12"/>
      <c r="M748" s="12"/>
      <c r="N748" s="12"/>
    </row>
    <row r="749" spans="9:14">
      <c r="I749" s="12"/>
      <c r="J749" s="12"/>
      <c r="K749" s="12"/>
      <c r="L749" s="12"/>
      <c r="M749" s="12"/>
      <c r="N749" s="12"/>
    </row>
    <row r="750" spans="9:14">
      <c r="I750" s="12"/>
      <c r="J750" s="12"/>
      <c r="K750" s="12"/>
      <c r="L750" s="12"/>
      <c r="M750" s="12"/>
      <c r="N750" s="12"/>
    </row>
    <row r="751" spans="9:14">
      <c r="I751" s="12"/>
      <c r="J751" s="12"/>
      <c r="K751" s="12"/>
      <c r="L751" s="12"/>
      <c r="M751" s="12"/>
      <c r="N751" s="12"/>
    </row>
    <row r="752" spans="9:14">
      <c r="I752" s="12"/>
      <c r="J752" s="12"/>
      <c r="K752" s="12"/>
      <c r="L752" s="12"/>
      <c r="M752" s="12"/>
      <c r="N752" s="12"/>
    </row>
    <row r="753" spans="9:14">
      <c r="I753" s="12"/>
      <c r="J753" s="12"/>
      <c r="K753" s="12"/>
      <c r="L753" s="12"/>
      <c r="M753" s="12"/>
      <c r="N753" s="12"/>
    </row>
    <row r="754" spans="9:14">
      <c r="I754" s="12"/>
      <c r="J754" s="12"/>
      <c r="K754" s="12"/>
      <c r="L754" s="12"/>
      <c r="M754" s="12"/>
      <c r="N754" s="12"/>
    </row>
    <row r="755" spans="9:14">
      <c r="I755" s="12"/>
      <c r="J755" s="12"/>
      <c r="K755" s="12"/>
      <c r="L755" s="12"/>
      <c r="M755" s="12"/>
      <c r="N755" s="12"/>
    </row>
    <row r="756" spans="9:14">
      <c r="I756" s="12"/>
      <c r="J756" s="12"/>
      <c r="K756" s="12"/>
      <c r="L756" s="12"/>
      <c r="M756" s="12"/>
      <c r="N756" s="12"/>
    </row>
    <row r="757" spans="9:14">
      <c r="I757" s="12"/>
      <c r="J757" s="12"/>
      <c r="K757" s="12"/>
      <c r="L757" s="12"/>
      <c r="M757" s="12"/>
      <c r="N757" s="12"/>
    </row>
    <row r="758" spans="9:14">
      <c r="I758" s="12"/>
      <c r="J758" s="12"/>
      <c r="K758" s="12"/>
      <c r="L758" s="12"/>
      <c r="M758" s="12"/>
      <c r="N758" s="12"/>
    </row>
    <row r="759" spans="9:14">
      <c r="I759" s="12"/>
      <c r="J759" s="12"/>
      <c r="K759" s="12"/>
      <c r="L759" s="12"/>
      <c r="M759" s="12"/>
      <c r="N759" s="12"/>
    </row>
    <row r="760" spans="9:14">
      <c r="I760" s="12"/>
      <c r="J760" s="12"/>
      <c r="K760" s="12"/>
      <c r="L760" s="12"/>
      <c r="M760" s="12"/>
      <c r="N760" s="12"/>
    </row>
    <row r="761" spans="9:14">
      <c r="I761" s="12"/>
      <c r="J761" s="12"/>
      <c r="K761" s="12"/>
      <c r="L761" s="12"/>
      <c r="M761" s="12"/>
      <c r="N761" s="12"/>
    </row>
    <row r="762" spans="9:14">
      <c r="I762" s="12"/>
      <c r="J762" s="12"/>
      <c r="K762" s="12"/>
      <c r="L762" s="12"/>
      <c r="M762" s="12"/>
      <c r="N762" s="12"/>
    </row>
    <row r="763" spans="9:14">
      <c r="I763" s="12"/>
      <c r="J763" s="12"/>
      <c r="K763" s="12"/>
      <c r="L763" s="12"/>
      <c r="M763" s="12"/>
      <c r="N763" s="12"/>
    </row>
    <row r="764" spans="9:14">
      <c r="I764" s="12"/>
      <c r="J764" s="12"/>
      <c r="K764" s="12"/>
      <c r="L764" s="12"/>
      <c r="M764" s="12"/>
      <c r="N764" s="12"/>
    </row>
    <row r="765" spans="9:14">
      <c r="I765" s="12"/>
      <c r="J765" s="12"/>
      <c r="K765" s="12"/>
      <c r="L765" s="12"/>
      <c r="M765" s="12"/>
      <c r="N765" s="12"/>
    </row>
    <row r="766" spans="9:14">
      <c r="I766" s="12"/>
      <c r="J766" s="12"/>
      <c r="K766" s="12"/>
      <c r="L766" s="12"/>
      <c r="M766" s="12"/>
      <c r="N766" s="12"/>
    </row>
    <row r="767" spans="9:14">
      <c r="I767" s="12"/>
      <c r="J767" s="12"/>
      <c r="K767" s="12"/>
      <c r="L767" s="12"/>
      <c r="M767" s="12"/>
      <c r="N767" s="12"/>
    </row>
    <row r="768" spans="9:14">
      <c r="I768" s="12"/>
      <c r="J768" s="12"/>
      <c r="K768" s="12"/>
      <c r="L768" s="12"/>
      <c r="M768" s="12"/>
      <c r="N768" s="12"/>
    </row>
    <row r="769" spans="9:14">
      <c r="I769" s="12"/>
      <c r="J769" s="12"/>
      <c r="K769" s="12"/>
      <c r="L769" s="12"/>
      <c r="M769" s="12"/>
      <c r="N769" s="12"/>
    </row>
    <row r="770" spans="9:14">
      <c r="I770" s="12"/>
      <c r="J770" s="12"/>
      <c r="K770" s="12"/>
      <c r="L770" s="12"/>
      <c r="M770" s="12"/>
      <c r="N770" s="12"/>
    </row>
    <row r="771" spans="9:14">
      <c r="I771" s="12"/>
      <c r="J771" s="12"/>
      <c r="K771" s="12"/>
      <c r="L771" s="12"/>
      <c r="M771" s="12"/>
      <c r="N771" s="12"/>
    </row>
    <row r="772" spans="9:14">
      <c r="I772" s="12"/>
      <c r="J772" s="12"/>
      <c r="K772" s="12"/>
      <c r="L772" s="12"/>
      <c r="M772" s="12"/>
      <c r="N772" s="12"/>
    </row>
    <row r="773" spans="9:14">
      <c r="I773" s="12"/>
      <c r="J773" s="12"/>
      <c r="K773" s="12"/>
      <c r="L773" s="12"/>
      <c r="M773" s="12"/>
      <c r="N773" s="12"/>
    </row>
    <row r="774" spans="9:14">
      <c r="I774" s="12"/>
      <c r="J774" s="12"/>
      <c r="K774" s="12"/>
      <c r="L774" s="12"/>
      <c r="M774" s="12"/>
      <c r="N774" s="12"/>
    </row>
    <row r="775" spans="9:14">
      <c r="I775" s="12"/>
      <c r="J775" s="12"/>
      <c r="K775" s="12"/>
      <c r="L775" s="12"/>
      <c r="M775" s="12"/>
      <c r="N775" s="12"/>
    </row>
    <row r="776" spans="9:14">
      <c r="I776" s="12"/>
      <c r="J776" s="12"/>
      <c r="K776" s="12"/>
      <c r="L776" s="12"/>
      <c r="M776" s="12"/>
      <c r="N776" s="12"/>
    </row>
    <row r="777" spans="9:14">
      <c r="I777" s="12"/>
      <c r="J777" s="12"/>
      <c r="K777" s="12"/>
      <c r="L777" s="12"/>
      <c r="M777" s="12"/>
      <c r="N777" s="12"/>
    </row>
    <row r="778" spans="9:14">
      <c r="I778" s="12"/>
      <c r="J778" s="12"/>
      <c r="K778" s="12"/>
      <c r="L778" s="12"/>
      <c r="M778" s="12"/>
      <c r="N778" s="12"/>
    </row>
    <row r="779" spans="9:14">
      <c r="I779" s="12"/>
      <c r="J779" s="12"/>
      <c r="K779" s="12"/>
      <c r="L779" s="12"/>
      <c r="M779" s="12"/>
      <c r="N779" s="12"/>
    </row>
    <row r="780" spans="9:14">
      <c r="I780" s="12"/>
      <c r="J780" s="12"/>
      <c r="K780" s="12"/>
      <c r="L780" s="12"/>
      <c r="M780" s="12"/>
      <c r="N780" s="12"/>
    </row>
    <row r="781" spans="9:14">
      <c r="I781" s="12"/>
      <c r="J781" s="12"/>
      <c r="K781" s="12"/>
      <c r="L781" s="12"/>
      <c r="M781" s="12"/>
      <c r="N781" s="12"/>
    </row>
    <row r="782" spans="9:14">
      <c r="I782" s="12"/>
      <c r="J782" s="12"/>
      <c r="K782" s="12"/>
      <c r="L782" s="12"/>
      <c r="M782" s="12"/>
      <c r="N782" s="12"/>
    </row>
    <row r="783" spans="9:14">
      <c r="I783" s="12"/>
      <c r="J783" s="12"/>
      <c r="K783" s="12"/>
      <c r="L783" s="12"/>
      <c r="M783" s="12"/>
      <c r="N783" s="12"/>
    </row>
    <row r="784" spans="9:14">
      <c r="I784" s="12"/>
      <c r="J784" s="12"/>
      <c r="K784" s="12"/>
      <c r="L784" s="12"/>
      <c r="M784" s="12"/>
      <c r="N784" s="12"/>
    </row>
    <row r="785" spans="9:14">
      <c r="I785" s="12"/>
      <c r="J785" s="12"/>
      <c r="K785" s="12"/>
      <c r="L785" s="12"/>
      <c r="M785" s="12"/>
      <c r="N785" s="12"/>
    </row>
    <row r="786" spans="9:14">
      <c r="I786" s="12"/>
      <c r="J786" s="12"/>
      <c r="K786" s="12"/>
      <c r="L786" s="12"/>
      <c r="M786" s="12"/>
      <c r="N786" s="12"/>
    </row>
    <row r="787" spans="9:14">
      <c r="I787" s="12"/>
      <c r="J787" s="12"/>
      <c r="K787" s="12"/>
      <c r="L787" s="12"/>
      <c r="M787" s="12"/>
      <c r="N787" s="12"/>
    </row>
    <row r="788" spans="9:14">
      <c r="I788" s="12"/>
      <c r="J788" s="12"/>
      <c r="K788" s="12"/>
      <c r="L788" s="12"/>
      <c r="M788" s="12"/>
      <c r="N788" s="12"/>
    </row>
    <row r="789" spans="9:14">
      <c r="I789" s="12"/>
      <c r="J789" s="12"/>
      <c r="K789" s="12"/>
      <c r="L789" s="12"/>
      <c r="M789" s="12"/>
      <c r="N789" s="12"/>
    </row>
    <row r="790" spans="9:14">
      <c r="I790" s="12"/>
      <c r="J790" s="12"/>
      <c r="K790" s="12"/>
      <c r="L790" s="12"/>
      <c r="M790" s="12"/>
      <c r="N790" s="12"/>
    </row>
    <row r="791" spans="9:14">
      <c r="I791" s="12"/>
      <c r="J791" s="12"/>
      <c r="K791" s="12"/>
      <c r="L791" s="12"/>
      <c r="M791" s="12"/>
      <c r="N791" s="12"/>
    </row>
    <row r="792" spans="9:14">
      <c r="I792" s="12"/>
      <c r="J792" s="12"/>
      <c r="K792" s="12"/>
      <c r="L792" s="12"/>
      <c r="M792" s="12"/>
      <c r="N792" s="12"/>
    </row>
    <row r="793" spans="9:14">
      <c r="I793" s="12"/>
      <c r="J793" s="12"/>
      <c r="K793" s="12"/>
      <c r="L793" s="12"/>
      <c r="M793" s="12"/>
      <c r="N793" s="12"/>
    </row>
    <row r="794" spans="9:14">
      <c r="I794" s="12"/>
      <c r="J794" s="12"/>
      <c r="K794" s="12"/>
      <c r="L794" s="12"/>
      <c r="M794" s="12"/>
      <c r="N794" s="12"/>
    </row>
    <row r="795" spans="9:14">
      <c r="I795" s="12"/>
      <c r="J795" s="12"/>
      <c r="K795" s="12"/>
      <c r="L795" s="12"/>
      <c r="M795" s="12"/>
      <c r="N795" s="12"/>
    </row>
    <row r="796" spans="9:14">
      <c r="I796" s="12"/>
      <c r="J796" s="12"/>
      <c r="K796" s="12"/>
      <c r="L796" s="12"/>
      <c r="M796" s="12"/>
      <c r="N796" s="12"/>
    </row>
    <row r="797" spans="9:14">
      <c r="I797" s="12"/>
      <c r="J797" s="12"/>
      <c r="K797" s="12"/>
      <c r="L797" s="12"/>
      <c r="M797" s="12"/>
      <c r="N797" s="12"/>
    </row>
    <row r="798" spans="9:14">
      <c r="I798" s="12"/>
      <c r="J798" s="12"/>
      <c r="K798" s="12"/>
      <c r="L798" s="12"/>
      <c r="M798" s="12"/>
      <c r="N798" s="12"/>
    </row>
    <row r="799" spans="9:14">
      <c r="I799" s="12"/>
      <c r="J799" s="12"/>
      <c r="K799" s="12"/>
      <c r="L799" s="12"/>
      <c r="M799" s="12"/>
      <c r="N799" s="12"/>
    </row>
    <row r="800" spans="9:14">
      <c r="I800" s="12"/>
      <c r="J800" s="12"/>
      <c r="K800" s="12"/>
      <c r="L800" s="12"/>
      <c r="M800" s="12"/>
      <c r="N800" s="12"/>
    </row>
    <row r="801" spans="9:14">
      <c r="I801" s="12"/>
      <c r="J801" s="12"/>
      <c r="K801" s="12"/>
      <c r="L801" s="12"/>
      <c r="M801" s="12"/>
      <c r="N801" s="12"/>
    </row>
    <row r="802" spans="9:14">
      <c r="I802" s="12"/>
      <c r="J802" s="12"/>
      <c r="K802" s="12"/>
      <c r="L802" s="12"/>
      <c r="M802" s="12"/>
      <c r="N802" s="12"/>
    </row>
    <row r="803" spans="9:14">
      <c r="I803" s="12"/>
      <c r="J803" s="12"/>
      <c r="K803" s="12"/>
      <c r="L803" s="12"/>
      <c r="M803" s="12"/>
      <c r="N803" s="12"/>
    </row>
    <row r="804" spans="9:14">
      <c r="I804" s="12"/>
      <c r="J804" s="12"/>
      <c r="K804" s="12"/>
      <c r="L804" s="12"/>
      <c r="M804" s="12"/>
      <c r="N804" s="12"/>
    </row>
    <row r="805" spans="9:14">
      <c r="I805" s="12"/>
      <c r="J805" s="12"/>
      <c r="K805" s="12"/>
      <c r="L805" s="12"/>
      <c r="M805" s="12"/>
      <c r="N805" s="12"/>
    </row>
    <row r="806" spans="9:14">
      <c r="I806" s="12"/>
      <c r="J806" s="12"/>
      <c r="K806" s="12"/>
      <c r="L806" s="12"/>
      <c r="M806" s="12"/>
      <c r="N806" s="12"/>
    </row>
    <row r="807" spans="9:14">
      <c r="I807" s="12"/>
      <c r="J807" s="12"/>
      <c r="K807" s="12"/>
      <c r="L807" s="12"/>
      <c r="M807" s="12"/>
      <c r="N807" s="12"/>
    </row>
    <row r="808" spans="9:14">
      <c r="I808" s="12"/>
      <c r="J808" s="12"/>
      <c r="K808" s="12"/>
      <c r="L808" s="12"/>
      <c r="M808" s="12"/>
      <c r="N808" s="12"/>
    </row>
    <row r="809" spans="9:14">
      <c r="I809" s="12"/>
      <c r="J809" s="12"/>
      <c r="K809" s="12"/>
      <c r="L809" s="12"/>
      <c r="M809" s="12"/>
      <c r="N809" s="12"/>
    </row>
    <row r="810" spans="9:14">
      <c r="I810" s="12"/>
      <c r="J810" s="12"/>
      <c r="K810" s="12"/>
      <c r="L810" s="12"/>
      <c r="M810" s="12"/>
      <c r="N810" s="12"/>
    </row>
    <row r="811" spans="9:14">
      <c r="I811" s="12"/>
      <c r="J811" s="12"/>
      <c r="K811" s="12"/>
      <c r="L811" s="12"/>
      <c r="M811" s="12"/>
      <c r="N811" s="12"/>
    </row>
    <row r="812" spans="9:14">
      <c r="I812" s="12"/>
      <c r="J812" s="12"/>
      <c r="K812" s="12"/>
      <c r="L812" s="12"/>
      <c r="M812" s="12"/>
      <c r="N812" s="12"/>
    </row>
    <row r="813" spans="9:14">
      <c r="I813" s="12"/>
      <c r="J813" s="12"/>
      <c r="K813" s="12"/>
      <c r="L813" s="12"/>
      <c r="M813" s="12"/>
      <c r="N813" s="12"/>
    </row>
    <row r="814" spans="9:14">
      <c r="I814" s="12"/>
      <c r="J814" s="12"/>
      <c r="K814" s="12"/>
      <c r="L814" s="12"/>
      <c r="M814" s="12"/>
      <c r="N814" s="12"/>
    </row>
    <row r="815" spans="9:14">
      <c r="I815" s="12"/>
      <c r="J815" s="12"/>
      <c r="K815" s="12"/>
      <c r="L815" s="12"/>
      <c r="M815" s="12"/>
      <c r="N815" s="12"/>
    </row>
    <row r="816" spans="9:14">
      <c r="I816" s="12"/>
      <c r="J816" s="12"/>
      <c r="K816" s="12"/>
      <c r="L816" s="12"/>
      <c r="M816" s="12"/>
      <c r="N816" s="12"/>
    </row>
    <row r="817" spans="9:14">
      <c r="I817" s="12"/>
      <c r="J817" s="12"/>
      <c r="K817" s="12"/>
      <c r="L817" s="12"/>
      <c r="M817" s="12"/>
      <c r="N817" s="12"/>
    </row>
    <row r="818" spans="9:14">
      <c r="I818" s="12"/>
      <c r="J818" s="12"/>
      <c r="K818" s="12"/>
      <c r="L818" s="12"/>
      <c r="M818" s="12"/>
      <c r="N818" s="12"/>
    </row>
    <row r="819" spans="9:14">
      <c r="I819" s="12"/>
      <c r="J819" s="12"/>
      <c r="K819" s="12"/>
      <c r="L819" s="12"/>
      <c r="M819" s="12"/>
      <c r="N819" s="12"/>
    </row>
    <row r="820" spans="9:14">
      <c r="I820" s="12"/>
      <c r="J820" s="12"/>
      <c r="K820" s="12"/>
      <c r="L820" s="12"/>
      <c r="M820" s="12"/>
      <c r="N820" s="12"/>
    </row>
    <row r="821" spans="9:14">
      <c r="I821" s="12"/>
      <c r="J821" s="12"/>
      <c r="K821" s="12"/>
      <c r="L821" s="12"/>
      <c r="M821" s="12"/>
      <c r="N821" s="12"/>
    </row>
    <row r="822" spans="9:14">
      <c r="I822" s="12"/>
      <c r="J822" s="12"/>
      <c r="K822" s="12"/>
      <c r="L822" s="12"/>
      <c r="M822" s="12"/>
      <c r="N822" s="12"/>
    </row>
    <row r="823" spans="9:14">
      <c r="I823" s="12"/>
      <c r="J823" s="12"/>
      <c r="K823" s="12"/>
      <c r="L823" s="12"/>
      <c r="M823" s="12"/>
      <c r="N823" s="12"/>
    </row>
    <row r="824" spans="9:14">
      <c r="I824" s="12"/>
      <c r="J824" s="12"/>
      <c r="K824" s="12"/>
      <c r="L824" s="12"/>
      <c r="M824" s="12"/>
      <c r="N824" s="12"/>
    </row>
    <row r="825" spans="9:14">
      <c r="I825" s="12"/>
      <c r="J825" s="12"/>
      <c r="K825" s="12"/>
      <c r="L825" s="12"/>
      <c r="M825" s="12"/>
      <c r="N825" s="12"/>
    </row>
    <row r="826" spans="9:14">
      <c r="I826" s="12"/>
      <c r="J826" s="12"/>
      <c r="K826" s="12"/>
      <c r="L826" s="12"/>
      <c r="M826" s="12"/>
      <c r="N826" s="12"/>
    </row>
    <row r="827" spans="9:14">
      <c r="I827" s="12"/>
      <c r="J827" s="12"/>
      <c r="K827" s="12"/>
      <c r="L827" s="12"/>
      <c r="M827" s="12"/>
      <c r="N827" s="12"/>
    </row>
    <row r="828" spans="9:14">
      <c r="I828" s="12"/>
      <c r="J828" s="12"/>
      <c r="K828" s="12"/>
      <c r="L828" s="12"/>
      <c r="M828" s="12"/>
      <c r="N828" s="12"/>
    </row>
    <row r="829" spans="9:14">
      <c r="I829" s="12"/>
      <c r="J829" s="12"/>
      <c r="K829" s="12"/>
      <c r="L829" s="12"/>
      <c r="M829" s="12"/>
      <c r="N829" s="1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MODELOS!$D:$D</xm:f>
          </x14:formula1>
          <xm:sqref>L1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5198"/>
  <sheetViews>
    <sheetView workbookViewId="0"/>
  </sheetViews>
  <sheetFormatPr defaultColWidth="12.5703125" defaultRowHeight="15.75" customHeight="1"/>
  <cols>
    <col min="1" max="1" width="51.7109375" customWidth="1"/>
    <col min="2" max="2" width="21.5703125" customWidth="1"/>
    <col min="4" max="4" width="22.140625" customWidth="1"/>
    <col min="5" max="5" width="9.7109375" customWidth="1"/>
  </cols>
  <sheetData>
    <row r="1" spans="1:8">
      <c r="A1" s="12" t="s">
        <v>9137</v>
      </c>
      <c r="B1" s="12" t="str">
        <f ca="1">IFERROR(__xludf.DUMMYFUNCTION("ARRAYFORMULA(FILTER(REGEXEXTRACT(A1:A4000,""&lt;!-- (.*) --&gt;""), REGEXMATCH(A1:A4000,""&lt;!--"")))"),"Addison Vodka - 47359261 - Onlyfans")</f>
        <v>Addison Vodka - 47359261 - Onlyfans</v>
      </c>
      <c r="C1" s="56" t="str">
        <f ca="1">IFERROR(__xludf.DUMMYFUNCTION("ARRAYFORMULA(FILTER(A2:A4000, MOD(ROW(A2:A4000)-2,3)=0))"),"https://thumbcdn.com/splash/nu5qur8og9tqb50k.jpg")</f>
        <v>https://thumbcdn.com/splash/nu5qur8og9tqb50k.jpg</v>
      </c>
      <c r="D1" s="55" t="s">
        <v>32</v>
      </c>
      <c r="E1" s="57" t="str">
        <f ca="1">IFERROR(__xludf.DUMMYFUNCTION("ARRAYFORMULA(IF(B1:B15198="""", """", IF(REGEXEXTRACT(B1:B15198,""- ([0-9]+) -"") = REGEXEXTRACT(D1:D15198,""- ([0-9]+) -""), ""OK"", ""NÃO ENCONTRADO"")))"),"OK")</f>
        <v>OK</v>
      </c>
      <c r="F1" s="46"/>
      <c r="G1" s="58" t="s">
        <v>2</v>
      </c>
      <c r="H1" s="45" t="s">
        <v>8</v>
      </c>
    </row>
    <row r="2" spans="1:8">
      <c r="A2" s="59" t="s">
        <v>9138</v>
      </c>
      <c r="B2" s="12" t="str">
        <f ca="1">IFERROR(__xludf.DUMMYFUNCTION("""COMPUTED_VALUE"""),"Adriana Chechik - 34528255 - Onlyfans - Kimmy Granger")</f>
        <v>Adriana Chechik - 34528255 - Onlyfans - Kimmy Granger</v>
      </c>
      <c r="C2" s="60" t="str">
        <f ca="1">IFERROR(__xludf.DUMMYFUNCTION("""COMPUTED_VALUE"""),"https://thumbcdn.com/splash/wkufiau460owcq76.jpg")</f>
        <v>https://thumbcdn.com/splash/wkufiau460owcq76.jpg</v>
      </c>
      <c r="D2" s="12" t="s">
        <v>44</v>
      </c>
      <c r="E2" s="57" t="str">
        <f ca="1">IFERROR(__xludf.DUMMYFUNCTION("""COMPUTED_VALUE"""),"OK")</f>
        <v>OK</v>
      </c>
      <c r="F2" s="46"/>
      <c r="G2" s="61" t="s">
        <v>9139</v>
      </c>
      <c r="H2" s="45" t="s">
        <v>9140</v>
      </c>
    </row>
    <row r="3" spans="1:8">
      <c r="A3" s="12"/>
      <c r="B3" s="12" t="str">
        <f ca="1">IFERROR(__xludf.DUMMYFUNCTION("""COMPUTED_VALUE"""),"Adriana Chechik - 51420656 - Onlyfans")</f>
        <v>Adriana Chechik - 51420656 - Onlyfans</v>
      </c>
      <c r="C3" s="60" t="str">
        <f ca="1">IFERROR(__xludf.DUMMYFUNCTION("""COMPUTED_VALUE"""),"https://thumbcdn.com/splash/mstx7nv42qlvlddi.jpg")</f>
        <v>https://thumbcdn.com/splash/mstx7nv42qlvlddi.jpg</v>
      </c>
      <c r="D3" s="12" t="s">
        <v>50</v>
      </c>
      <c r="E3" s="57" t="str">
        <f ca="1">IFERROR(__xludf.DUMMYFUNCTION("""COMPUTED_VALUE"""),"OK")</f>
        <v>OK</v>
      </c>
      <c r="F3" s="46"/>
      <c r="G3" s="62" t="s">
        <v>9141</v>
      </c>
      <c r="H3" s="45" t="s">
        <v>9142</v>
      </c>
    </row>
    <row r="4" spans="1:8">
      <c r="A4" s="12" t="s">
        <v>9143</v>
      </c>
      <c r="B4" s="12" t="str">
        <f ca="1">IFERROR(__xludf.DUMMYFUNCTION("""COMPUTED_VALUE"""),"Adriana Chechik - 59972113 - Tushy")</f>
        <v>Adriana Chechik - 59972113 - Tushy</v>
      </c>
      <c r="C4" s="60" t="str">
        <f ca="1">IFERROR(__xludf.DUMMYFUNCTION("""COMPUTED_VALUE"""),"https://thumbcdn.com/splash/hh6btwx54i0ymciq.jpg")</f>
        <v>https://thumbcdn.com/splash/hh6btwx54i0ymciq.jpg</v>
      </c>
      <c r="D4" s="6" t="s">
        <v>56</v>
      </c>
      <c r="E4" s="63" t="str">
        <f ca="1">IFERROR(__xludf.DUMMYFUNCTION("""COMPUTED_VALUE"""),"OK")</f>
        <v>OK</v>
      </c>
      <c r="F4" s="46"/>
      <c r="G4" s="62" t="s">
        <v>9141</v>
      </c>
      <c r="H4" s="45" t="s">
        <v>9144</v>
      </c>
    </row>
    <row r="5" spans="1:8">
      <c r="A5" s="59" t="s">
        <v>9145</v>
      </c>
      <c r="B5" s="12" t="str">
        <f ca="1">IFERROR(__xludf.DUMMYFUNCTION("""COMPUTED_VALUE"""),"Adriana Chechik - 69701197 - Onlyfans")</f>
        <v>Adriana Chechik - 69701197 - Onlyfans</v>
      </c>
      <c r="C5" s="60" t="str">
        <f ca="1">IFERROR(__xludf.DUMMYFUNCTION("""COMPUTED_VALUE"""),"https://thumbcdn.com/splash/0n7loh0bjp11jigp.jpg")</f>
        <v>https://thumbcdn.com/splash/0n7loh0bjp11jigp.jpg</v>
      </c>
      <c r="D5" s="12" t="s">
        <v>68</v>
      </c>
      <c r="E5" s="57" t="str">
        <f ca="1">IFERROR(__xludf.DUMMYFUNCTION("""COMPUTED_VALUE"""),"OK")</f>
        <v>OK</v>
      </c>
      <c r="F5" s="46"/>
      <c r="G5" s="64" t="s">
        <v>9141</v>
      </c>
      <c r="H5" s="45" t="s">
        <v>9146</v>
      </c>
    </row>
    <row r="6" spans="1:8">
      <c r="A6" s="12"/>
      <c r="B6" s="12" t="str">
        <f ca="1">IFERROR(__xludf.DUMMYFUNCTION("""COMPUTED_VALUE"""),"Adriana Chechik - 78872640 - Onlyfans")</f>
        <v>Adriana Chechik - 78872640 - Onlyfans</v>
      </c>
      <c r="C6" s="60" t="str">
        <f ca="1">IFERROR(__xludf.DUMMYFUNCTION("""COMPUTED_VALUE"""),"https://thumbcdn.com/splash/zt9i0jjrmc4bm8j1.jpg")</f>
        <v>https://thumbcdn.com/splash/zt9i0jjrmc4bm8j1.jpg</v>
      </c>
      <c r="D6" s="12" t="s">
        <v>74</v>
      </c>
      <c r="E6" s="57" t="str">
        <f ca="1">IFERROR(__xludf.DUMMYFUNCTION("""COMPUTED_VALUE"""),"OK")</f>
        <v>OK</v>
      </c>
      <c r="F6" s="46"/>
      <c r="G6" s="65" t="s">
        <v>9141</v>
      </c>
      <c r="H6" s="45" t="s">
        <v>9147</v>
      </c>
    </row>
    <row r="7" spans="1:8">
      <c r="A7" s="12" t="s">
        <v>9148</v>
      </c>
      <c r="B7" s="12" t="str">
        <f ca="1">IFERROR(__xludf.DUMMYFUNCTION("""COMPUTED_VALUE"""),"Alanna Pow - 15841633 - Onlyfans")</f>
        <v>Alanna Pow - 15841633 - Onlyfans</v>
      </c>
      <c r="C7" s="60" t="str">
        <f ca="1">IFERROR(__xludf.DUMMYFUNCTION("""COMPUTED_VALUE"""),"https://thumbcdn.com/splash/65k7ydc4sz0iagos.jpg")</f>
        <v>https://thumbcdn.com/splash/65k7ydc4sz0iagos.jpg</v>
      </c>
      <c r="D7" s="12" t="s">
        <v>78</v>
      </c>
      <c r="E7" s="57" t="str">
        <f ca="1">IFERROR(__xludf.DUMMYFUNCTION("""COMPUTED_VALUE"""),"OK")</f>
        <v>OK</v>
      </c>
      <c r="F7" s="46"/>
      <c r="G7" s="65" t="s">
        <v>9141</v>
      </c>
      <c r="H7" s="45" t="s">
        <v>9149</v>
      </c>
    </row>
    <row r="8" spans="1:8">
      <c r="A8" s="59" t="s">
        <v>9150</v>
      </c>
      <c r="B8" s="12" t="str">
        <f ca="1">IFERROR(__xludf.DUMMYFUNCTION("""COMPUTED_VALUE"""),"Alanna Pow - 17563322 - Onlyfans")</f>
        <v>Alanna Pow - 17563322 - Onlyfans</v>
      </c>
      <c r="C8" s="60" t="str">
        <f ca="1">IFERROR(__xludf.DUMMYFUNCTION("""COMPUTED_VALUE"""),"https://thumbcdn.com/splash/bnggdihvxysua5ro.jpg")</f>
        <v>https://thumbcdn.com/splash/bnggdihvxysua5ro.jpg</v>
      </c>
      <c r="D8" s="12" t="s">
        <v>90</v>
      </c>
      <c r="E8" s="57" t="str">
        <f ca="1">IFERROR(__xludf.DUMMYFUNCTION("""COMPUTED_VALUE"""),"OK")</f>
        <v>OK</v>
      </c>
      <c r="F8" s="46"/>
      <c r="G8" s="64" t="s">
        <v>9151</v>
      </c>
      <c r="H8" s="45" t="s">
        <v>9152</v>
      </c>
    </row>
    <row r="9" spans="1:8">
      <c r="A9" s="12"/>
      <c r="B9" s="12" t="str">
        <f ca="1">IFERROR(__xludf.DUMMYFUNCTION("""COMPUTED_VALUE"""),"Alanna Pow - 19034023 - Onlyfans")</f>
        <v>Alanna Pow - 19034023 - Onlyfans</v>
      </c>
      <c r="C9" s="60" t="str">
        <f ca="1">IFERROR(__xludf.DUMMYFUNCTION("""COMPUTED_VALUE"""),"https://thumbcdn.com/splash/ulyf1nrhddqddcrh.jpg")</f>
        <v>https://thumbcdn.com/splash/ulyf1nrhddqddcrh.jpg</v>
      </c>
      <c r="D9" s="12" t="s">
        <v>100</v>
      </c>
      <c r="E9" s="57" t="str">
        <f ca="1">IFERROR(__xludf.DUMMYFUNCTION("""COMPUTED_VALUE"""),"OK")</f>
        <v>OK</v>
      </c>
      <c r="F9" s="46"/>
      <c r="G9" s="62" t="s">
        <v>9151</v>
      </c>
      <c r="H9" s="45" t="s">
        <v>9153</v>
      </c>
    </row>
    <row r="10" spans="1:8">
      <c r="A10" s="12" t="s">
        <v>9154</v>
      </c>
      <c r="B10" s="12" t="str">
        <f ca="1">IFERROR(__xludf.DUMMYFUNCTION("""COMPUTED_VALUE"""),"Alanna Pow - 22226111 - Onlyfans")</f>
        <v>Alanna Pow - 22226111 - Onlyfans</v>
      </c>
      <c r="C10" s="60" t="str">
        <f ca="1">IFERROR(__xludf.DUMMYFUNCTION("""COMPUTED_VALUE"""),"https://thumbcdn.com/splash/tn6rrr096hjys7ue.jpg")</f>
        <v>https://thumbcdn.com/splash/tn6rrr096hjys7ue.jpg</v>
      </c>
      <c r="D10" s="12" t="s">
        <v>104</v>
      </c>
      <c r="E10" s="57" t="str">
        <f ca="1">IFERROR(__xludf.DUMMYFUNCTION("""COMPUTED_VALUE"""),"OK")</f>
        <v>OK</v>
      </c>
      <c r="F10" s="46"/>
      <c r="G10" s="62" t="s">
        <v>9151</v>
      </c>
      <c r="H10" s="45" t="s">
        <v>9155</v>
      </c>
    </row>
    <row r="11" spans="1:8">
      <c r="A11" s="59" t="s">
        <v>9156</v>
      </c>
      <c r="B11" s="12" t="str">
        <f ca="1">IFERROR(__xludf.DUMMYFUNCTION("""COMPUTED_VALUE"""),"Alanna Pow - 25567227 - Onlyfans")</f>
        <v>Alanna Pow - 25567227 - Onlyfans</v>
      </c>
      <c r="C11" s="60" t="str">
        <f ca="1">IFERROR(__xludf.DUMMYFUNCTION("""COMPUTED_VALUE"""),"https://thumbcdn.com/splash/1c0lsvl548i19fuh.jpg")</f>
        <v>https://thumbcdn.com/splash/1c0lsvl548i19fuh.jpg</v>
      </c>
      <c r="D11" s="6" t="s">
        <v>110</v>
      </c>
      <c r="E11" s="63" t="str">
        <f ca="1">IFERROR(__xludf.DUMMYFUNCTION("""COMPUTED_VALUE"""),"OK")</f>
        <v>OK</v>
      </c>
      <c r="F11" s="46"/>
      <c r="G11" s="64" t="s">
        <v>9151</v>
      </c>
      <c r="H11" s="45" t="s">
        <v>9157</v>
      </c>
    </row>
    <row r="12" spans="1:8">
      <c r="A12" s="12"/>
      <c r="B12" s="12" t="str">
        <f ca="1">IFERROR(__xludf.DUMMYFUNCTION("""COMPUTED_VALUE"""),"Alanna Pow - 26155010 - MCF")</f>
        <v>Alanna Pow - 26155010 - MCF</v>
      </c>
      <c r="C12" s="60" t="str">
        <f ca="1">IFERROR(__xludf.DUMMYFUNCTION("""COMPUTED_VALUE"""),"https://thumbcdn.com/splash/2s7omctmqzr2jy2z.jpg")</f>
        <v>https://thumbcdn.com/splash/2s7omctmqzr2jy2z.jpg</v>
      </c>
      <c r="D12" s="12" t="s">
        <v>114</v>
      </c>
      <c r="E12" s="57" t="str">
        <f ca="1">IFERROR(__xludf.DUMMYFUNCTION("""COMPUTED_VALUE"""),"OK")</f>
        <v>OK</v>
      </c>
      <c r="F12" s="46"/>
      <c r="G12" s="62" t="s">
        <v>9151</v>
      </c>
      <c r="H12" s="45" t="s">
        <v>9158</v>
      </c>
    </row>
    <row r="13" spans="1:8">
      <c r="A13" s="12" t="s">
        <v>9159</v>
      </c>
      <c r="B13" s="12" t="str">
        <f ca="1">IFERROR(__xludf.DUMMYFUNCTION("""COMPUTED_VALUE"""),"Alanna Pow - 27269863 - Onlyfans")</f>
        <v>Alanna Pow - 27269863 - Onlyfans</v>
      </c>
      <c r="C13" s="60" t="str">
        <f ca="1">IFERROR(__xludf.DUMMYFUNCTION("""COMPUTED_VALUE"""),"https://thumbcdn.com/splash/clcooeuwlyl4pk6o.jpg")</f>
        <v>https://thumbcdn.com/splash/clcooeuwlyl4pk6o.jpg</v>
      </c>
      <c r="D13" s="6" t="s">
        <v>120</v>
      </c>
      <c r="E13" s="63" t="str">
        <f ca="1">IFERROR(__xludf.DUMMYFUNCTION("""COMPUTED_VALUE"""),"OK")</f>
        <v>OK</v>
      </c>
      <c r="F13" s="46"/>
      <c r="G13" s="62" t="s">
        <v>9151</v>
      </c>
      <c r="H13" s="45" t="s">
        <v>9160</v>
      </c>
    </row>
    <row r="14" spans="1:8">
      <c r="A14" s="59" t="s">
        <v>9161</v>
      </c>
      <c r="B14" s="12" t="str">
        <f ca="1">IFERROR(__xludf.DUMMYFUNCTION("""COMPUTED_VALUE"""),"Alanna Pow - 37317864 - Onlyfans")</f>
        <v>Alanna Pow - 37317864 - Onlyfans</v>
      </c>
      <c r="C14" s="60" t="str">
        <f ca="1">IFERROR(__xludf.DUMMYFUNCTION("""COMPUTED_VALUE"""),"https://thumbcdn.com/splash/u5qduc1xza2glddt.jpg")</f>
        <v>https://thumbcdn.com/splash/u5qduc1xza2glddt.jpg</v>
      </c>
      <c r="D14" s="12" t="s">
        <v>124</v>
      </c>
      <c r="E14" s="57" t="str">
        <f ca="1">IFERROR(__xludf.DUMMYFUNCTION("""COMPUTED_VALUE"""),"OK")</f>
        <v>OK</v>
      </c>
      <c r="F14" s="46"/>
      <c r="G14" s="64" t="s">
        <v>9151</v>
      </c>
      <c r="H14" s="45" t="s">
        <v>9162</v>
      </c>
    </row>
    <row r="15" spans="1:8">
      <c r="A15" s="12"/>
      <c r="B15" s="12" t="str">
        <f ca="1">IFERROR(__xludf.DUMMYFUNCTION("""COMPUTED_VALUE"""),"Alanna Pow - 38181644 - Onlyfans")</f>
        <v>Alanna Pow - 38181644 - Onlyfans</v>
      </c>
      <c r="C15" s="60" t="str">
        <f ca="1">IFERROR(__xludf.DUMMYFUNCTION("""COMPUTED_VALUE"""),"https://thumbcdn.com/splash/pby6fpkg6a14s1uc.jpg")</f>
        <v>https://thumbcdn.com/splash/pby6fpkg6a14s1uc.jpg</v>
      </c>
      <c r="D15" s="12" t="s">
        <v>136</v>
      </c>
      <c r="E15" s="57" t="str">
        <f ca="1">IFERROR(__xludf.DUMMYFUNCTION("""COMPUTED_VALUE"""),"OK")</f>
        <v>OK</v>
      </c>
      <c r="F15" s="46"/>
      <c r="G15" s="62" t="s">
        <v>9151</v>
      </c>
      <c r="H15" s="45" t="s">
        <v>9163</v>
      </c>
    </row>
    <row r="16" spans="1:8">
      <c r="A16" s="12" t="s">
        <v>9164</v>
      </c>
      <c r="B16" s="12" t="str">
        <f ca="1">IFERROR(__xludf.DUMMYFUNCTION("""COMPUTED_VALUE"""),"Alanna Pow - 38679952 - XVRED")</f>
        <v>Alanna Pow - 38679952 - XVRED</v>
      </c>
      <c r="C16" s="60" t="str">
        <f ca="1">IFERROR(__xludf.DUMMYFUNCTION("""COMPUTED_VALUE"""),"https://thumbcdn.com/splash/9rs1zpf5n43xdwsq.jpg")</f>
        <v>https://thumbcdn.com/splash/9rs1zpf5n43xdwsq.jpg</v>
      </c>
      <c r="D16" s="12" t="s">
        <v>140</v>
      </c>
      <c r="E16" s="57" t="str">
        <f ca="1">IFERROR(__xludf.DUMMYFUNCTION("""COMPUTED_VALUE"""),"OK")</f>
        <v>OK</v>
      </c>
      <c r="F16" s="46"/>
      <c r="G16" s="62" t="s">
        <v>9151</v>
      </c>
      <c r="H16" s="45" t="s">
        <v>9165</v>
      </c>
    </row>
    <row r="17" spans="1:8">
      <c r="A17" s="59" t="s">
        <v>9166</v>
      </c>
      <c r="B17" s="12" t="str">
        <f ca="1">IFERROR(__xludf.DUMMYFUNCTION("""COMPUTED_VALUE"""),"Alanna Pow - 54503023 - Onlyfans")</f>
        <v>Alanna Pow - 54503023 - Onlyfans</v>
      </c>
      <c r="C17" s="60" t="str">
        <f ca="1">IFERROR(__xludf.DUMMYFUNCTION("""COMPUTED_VALUE"""),"https://thumbcdn.com/splash/cclwkkefdggqr6gq.jpg")</f>
        <v>https://thumbcdn.com/splash/cclwkkefdggqr6gq.jpg</v>
      </c>
      <c r="D17" s="12" t="s">
        <v>144</v>
      </c>
      <c r="E17" s="57" t="str">
        <f ca="1">IFERROR(__xludf.DUMMYFUNCTION("""COMPUTED_VALUE"""),"OK")</f>
        <v>OK</v>
      </c>
      <c r="F17" s="46"/>
      <c r="G17" s="64" t="s">
        <v>9151</v>
      </c>
      <c r="H17" s="45" t="s">
        <v>9167</v>
      </c>
    </row>
    <row r="18" spans="1:8">
      <c r="A18" s="12"/>
      <c r="B18" s="12" t="str">
        <f ca="1">IFERROR(__xludf.DUMMYFUNCTION("""COMPUTED_VALUE"""),"Alanna Pow - 54606458 - Onlyfans")</f>
        <v>Alanna Pow - 54606458 - Onlyfans</v>
      </c>
      <c r="C18" s="60" t="str">
        <f ca="1">IFERROR(__xludf.DUMMYFUNCTION("""COMPUTED_VALUE"""),"https://thumbcdn.com/splash/tq5bah9vyi9c63em.jpg")</f>
        <v>https://thumbcdn.com/splash/tq5bah9vyi9c63em.jpg</v>
      </c>
      <c r="D18" s="12" t="s">
        <v>148</v>
      </c>
      <c r="E18" s="57" t="str">
        <f ca="1">IFERROR(__xludf.DUMMYFUNCTION("""COMPUTED_VALUE"""),"OK")</f>
        <v>OK</v>
      </c>
      <c r="F18" s="46"/>
      <c r="G18" s="62" t="s">
        <v>9151</v>
      </c>
      <c r="H18" s="45" t="s">
        <v>9168</v>
      </c>
    </row>
    <row r="19" spans="1:8">
      <c r="A19" s="12" t="s">
        <v>9169</v>
      </c>
      <c r="B19" s="12" t="str">
        <f ca="1">IFERROR(__xludf.DUMMYFUNCTION("""COMPUTED_VALUE"""),"Alanna Pow - 62968616 - Onlyfans")</f>
        <v>Alanna Pow - 62968616 - Onlyfans</v>
      </c>
      <c r="C19" s="60" t="str">
        <f ca="1">IFERROR(__xludf.DUMMYFUNCTION("""COMPUTED_VALUE"""),"https://thumbcdn.com/splash/vzem54fyhdljwa2c.jpg")</f>
        <v>https://thumbcdn.com/splash/vzem54fyhdljwa2c.jpg</v>
      </c>
      <c r="D19" s="12" t="s">
        <v>164</v>
      </c>
      <c r="E19" s="57" t="str">
        <f ca="1">IFERROR(__xludf.DUMMYFUNCTION("""COMPUTED_VALUE"""),"OK")</f>
        <v>OK</v>
      </c>
      <c r="F19" s="46"/>
      <c r="G19" s="62" t="s">
        <v>9151</v>
      </c>
      <c r="H19" s="45" t="s">
        <v>9170</v>
      </c>
    </row>
    <row r="20" spans="1:8">
      <c r="A20" s="59" t="s">
        <v>9171</v>
      </c>
      <c r="B20" s="12" t="str">
        <f ca="1">IFERROR(__xludf.DUMMYFUNCTION("""COMPUTED_VALUE"""),"Alanna Pow - 69979470 - Onlyfans")</f>
        <v>Alanna Pow - 69979470 - Onlyfans</v>
      </c>
      <c r="C20" s="60" t="str">
        <f ca="1">IFERROR(__xludf.DUMMYFUNCTION("""COMPUTED_VALUE"""),"https://thumbcdn.com/splash/1bzsk44ytuvuunaw.jpg")</f>
        <v>https://thumbcdn.com/splash/1bzsk44ytuvuunaw.jpg</v>
      </c>
      <c r="D20" s="12" t="s">
        <v>185</v>
      </c>
      <c r="E20" s="57" t="str">
        <f ca="1">IFERROR(__xludf.DUMMYFUNCTION("""COMPUTED_VALUE"""),"OK")</f>
        <v>OK</v>
      </c>
      <c r="F20" s="46"/>
      <c r="G20" s="64" t="s">
        <v>9151</v>
      </c>
      <c r="H20" s="45" t="s">
        <v>9172</v>
      </c>
    </row>
    <row r="21" spans="1:8">
      <c r="A21" s="12"/>
      <c r="B21" s="12" t="str">
        <f ca="1">IFERROR(__xludf.DUMMYFUNCTION("""COMPUTED_VALUE"""),"Alanna Pow - 72645909 - Onlyfans")</f>
        <v>Alanna Pow - 72645909 - Onlyfans</v>
      </c>
      <c r="C21" s="60" t="str">
        <f ca="1">IFERROR(__xludf.DUMMYFUNCTION("""COMPUTED_VALUE"""),"https://thumbcdn.com/splash/t0hywldsgdsrk74d.jpg")</f>
        <v>https://thumbcdn.com/splash/t0hywldsgdsrk74d.jpg</v>
      </c>
      <c r="D21" s="6" t="s">
        <v>200</v>
      </c>
      <c r="E21" s="63" t="str">
        <f ca="1">IFERROR(__xludf.DUMMYFUNCTION("""COMPUTED_VALUE"""),"OK")</f>
        <v>OK</v>
      </c>
      <c r="F21" s="46"/>
      <c r="G21" s="62" t="s">
        <v>9151</v>
      </c>
      <c r="H21" s="45" t="s">
        <v>9173</v>
      </c>
    </row>
    <row r="22" spans="1:8">
      <c r="A22" s="12" t="s">
        <v>9174</v>
      </c>
      <c r="B22" s="12" t="str">
        <f ca="1">IFERROR(__xludf.DUMMYFUNCTION("""COMPUTED_VALUE"""),"Alanna Pow - 73449975 - Onlyfans")</f>
        <v>Alanna Pow - 73449975 - Onlyfans</v>
      </c>
      <c r="C22" s="60" t="str">
        <f ca="1">IFERROR(__xludf.DUMMYFUNCTION("""COMPUTED_VALUE"""),"https://thumbcdn.com/splash/skcxf8vpx9h7fkfg.jpg")</f>
        <v>https://thumbcdn.com/splash/skcxf8vpx9h7fkfg.jpg</v>
      </c>
      <c r="D22" s="12" t="s">
        <v>204</v>
      </c>
      <c r="E22" s="57" t="str">
        <f ca="1">IFERROR(__xludf.DUMMYFUNCTION("""COMPUTED_VALUE"""),"OK")</f>
        <v>OK</v>
      </c>
      <c r="F22" s="46"/>
      <c r="G22" s="62" t="s">
        <v>9151</v>
      </c>
      <c r="H22" s="45" t="s">
        <v>9175</v>
      </c>
    </row>
    <row r="23" spans="1:8">
      <c r="A23" s="59" t="s">
        <v>9176</v>
      </c>
      <c r="B23" s="12" t="str">
        <f ca="1">IFERROR(__xludf.DUMMYFUNCTION("""COMPUTED_VALUE"""),"Alanna Pow - 77255491 - MLRaw")</f>
        <v>Alanna Pow - 77255491 - MLRaw</v>
      </c>
      <c r="C23" s="60" t="str">
        <f ca="1">IFERROR(__xludf.DUMMYFUNCTION("""COMPUTED_VALUE"""),"https://thumbcdn.com/splash/zq7d8ljoubv4nd16.jpg")</f>
        <v>https://thumbcdn.com/splash/zq7d8ljoubv4nd16.jpg</v>
      </c>
      <c r="D23" s="12" t="s">
        <v>215</v>
      </c>
      <c r="E23" s="57" t="str">
        <f ca="1">IFERROR(__xludf.DUMMYFUNCTION("""COMPUTED_VALUE"""),"OK")</f>
        <v>OK</v>
      </c>
      <c r="F23" s="46"/>
      <c r="G23" s="64" t="s">
        <v>9151</v>
      </c>
      <c r="H23" s="45" t="s">
        <v>9177</v>
      </c>
    </row>
    <row r="24" spans="1:8">
      <c r="A24" s="12"/>
      <c r="B24" s="12" t="str">
        <f ca="1">IFERROR(__xludf.DUMMYFUNCTION("""COMPUTED_VALUE"""),"Alanna Pow - 78660470 - Onlyfans")</f>
        <v>Alanna Pow - 78660470 - Onlyfans</v>
      </c>
      <c r="C24" s="60" t="str">
        <f ca="1">IFERROR(__xludf.DUMMYFUNCTION("""COMPUTED_VALUE"""),"https://thumbcdn.com/splash/yfattlhukc3uc7yt.jpg")</f>
        <v>https://thumbcdn.com/splash/yfattlhukc3uc7yt.jpg</v>
      </c>
      <c r="D24" s="12" t="s">
        <v>224</v>
      </c>
      <c r="E24" s="57" t="str">
        <f ca="1">IFERROR(__xludf.DUMMYFUNCTION("""COMPUTED_VALUE"""),"OK")</f>
        <v>OK</v>
      </c>
      <c r="F24" s="46"/>
      <c r="G24" s="62" t="s">
        <v>9151</v>
      </c>
      <c r="H24" s="45" t="s">
        <v>9178</v>
      </c>
    </row>
    <row r="25" spans="1:8">
      <c r="A25" s="12" t="s">
        <v>9179</v>
      </c>
      <c r="B25" s="12" t="str">
        <f ca="1">IFERROR(__xludf.DUMMYFUNCTION("""COMPUTED_VALUE"""),"Alanna Pow - 81325680 - Onlyfans")</f>
        <v>Alanna Pow - 81325680 - Onlyfans</v>
      </c>
      <c r="C25" s="60" t="str">
        <f ca="1">IFERROR(__xludf.DUMMYFUNCTION("""COMPUTED_VALUE"""),"https://thumbcdn.com/splash/cy07nlvkadbeg6lh.jpg")</f>
        <v>https://thumbcdn.com/splash/cy07nlvkadbeg6lh.jpg</v>
      </c>
      <c r="D25" s="6" t="s">
        <v>234</v>
      </c>
      <c r="E25" s="63" t="str">
        <f ca="1">IFERROR(__xludf.DUMMYFUNCTION("""COMPUTED_VALUE"""),"OK")</f>
        <v>OK</v>
      </c>
      <c r="F25" s="46"/>
      <c r="G25" s="62" t="s">
        <v>9151</v>
      </c>
      <c r="H25" s="45" t="s">
        <v>9180</v>
      </c>
    </row>
    <row r="26" spans="1:8">
      <c r="A26" s="59" t="s">
        <v>9181</v>
      </c>
      <c r="B26" s="12" t="str">
        <f ca="1">IFERROR(__xludf.DUMMYFUNCTION("""COMPUTED_VALUE"""),"Alanna Pow - 84414746 - Onlyfans")</f>
        <v>Alanna Pow - 84414746 - Onlyfans</v>
      </c>
      <c r="C26" s="60" t="str">
        <f ca="1">IFERROR(__xludf.DUMMYFUNCTION("""COMPUTED_VALUE"""),"https://thumbcdn.com/splash/99twg2cvfs812dui.jpg")</f>
        <v>https://thumbcdn.com/splash/99twg2cvfs812dui.jpg</v>
      </c>
      <c r="D26" s="12" t="s">
        <v>245</v>
      </c>
      <c r="E26" s="57" t="str">
        <f ca="1">IFERROR(__xludf.DUMMYFUNCTION("""COMPUTED_VALUE"""),"OK")</f>
        <v>OK</v>
      </c>
      <c r="F26" s="46"/>
      <c r="G26" s="64" t="s">
        <v>9151</v>
      </c>
      <c r="H26" s="45" t="s">
        <v>9182</v>
      </c>
    </row>
    <row r="27" spans="1:8">
      <c r="A27" s="12"/>
      <c r="B27" s="12" t="str">
        <f ca="1">IFERROR(__xludf.DUMMYFUNCTION("""COMPUTED_VALUE"""),"Alanna Pow - 86395221 - Onlyfans")</f>
        <v>Alanna Pow - 86395221 - Onlyfans</v>
      </c>
      <c r="C27" s="60" t="str">
        <f ca="1">IFERROR(__xludf.DUMMYFUNCTION("""COMPUTED_VALUE"""),"https://thumbcdn.com/splash/uzkraixfx28fkn6x.jpg")</f>
        <v>https://thumbcdn.com/splash/uzkraixfx28fkn6x.jpg</v>
      </c>
      <c r="D27" s="6" t="s">
        <v>249</v>
      </c>
      <c r="E27" s="63" t="str">
        <f ca="1">IFERROR(__xludf.DUMMYFUNCTION("""COMPUTED_VALUE"""),"OK")</f>
        <v>OK</v>
      </c>
      <c r="F27" s="46"/>
      <c r="G27" s="62" t="s">
        <v>9151</v>
      </c>
      <c r="H27" s="45" t="s">
        <v>9183</v>
      </c>
    </row>
    <row r="28" spans="1:8">
      <c r="A28" s="12" t="s">
        <v>9184</v>
      </c>
      <c r="B28" s="12" t="str">
        <f ca="1">IFERROR(__xludf.DUMMYFUNCTION("""COMPUTED_VALUE"""),"Alanna Pow - 87263949 - Onlyfans")</f>
        <v>Alanna Pow - 87263949 - Onlyfans</v>
      </c>
      <c r="C28" s="60" t="str">
        <f ca="1">IFERROR(__xludf.DUMMYFUNCTION("""COMPUTED_VALUE"""),"https://thumbcdn.com/splash/tp6ipgucn0iacboh.jpg")</f>
        <v>https://thumbcdn.com/splash/tp6ipgucn0iacboh.jpg</v>
      </c>
      <c r="D28" s="12" t="s">
        <v>255</v>
      </c>
      <c r="E28" s="57" t="str">
        <f ca="1">IFERROR(__xludf.DUMMYFUNCTION("""COMPUTED_VALUE"""),"OK")</f>
        <v>OK</v>
      </c>
      <c r="F28" s="46"/>
      <c r="G28" s="62" t="s">
        <v>9151</v>
      </c>
      <c r="H28" s="45" t="s">
        <v>9185</v>
      </c>
    </row>
    <row r="29" spans="1:8">
      <c r="A29" s="59" t="s">
        <v>9186</v>
      </c>
      <c r="B29" s="12" t="str">
        <f ca="1">IFERROR(__xludf.DUMMYFUNCTION("""COMPUTED_VALUE"""),"Alanna Pow - 93326301 - Onlyfans")</f>
        <v>Alanna Pow - 93326301 - Onlyfans</v>
      </c>
      <c r="C29" s="60" t="str">
        <f ca="1">IFERROR(__xludf.DUMMYFUNCTION("""COMPUTED_VALUE"""),"https://thumbcdn.com/splash/37ua8rlvso92b5ct.jpg")</f>
        <v>https://thumbcdn.com/splash/37ua8rlvso92b5ct.jpg</v>
      </c>
      <c r="D29" s="12" t="s">
        <v>259</v>
      </c>
      <c r="E29" s="57" t="str">
        <f ca="1">IFERROR(__xludf.DUMMYFUNCTION("""COMPUTED_VALUE"""),"OK")</f>
        <v>OK</v>
      </c>
      <c r="F29" s="46"/>
      <c r="G29" s="64" t="s">
        <v>9151</v>
      </c>
      <c r="H29" s="45" t="s">
        <v>9187</v>
      </c>
    </row>
    <row r="30" spans="1:8">
      <c r="A30" s="12"/>
      <c r="B30" s="12" t="str">
        <f ca="1">IFERROR(__xludf.DUMMYFUNCTION("""COMPUTED_VALUE"""),"Alexa Pearl - 98658557 - Onlyfans")</f>
        <v>Alexa Pearl - 98658557 - Onlyfans</v>
      </c>
      <c r="C30" s="60" t="str">
        <f ca="1">IFERROR(__xludf.DUMMYFUNCTION("""COMPUTED_VALUE"""),"https://thumbcdn.com/splash/xc75ybuqdjt93l3w.jpg")</f>
        <v>https://thumbcdn.com/splash/xc75ybuqdjt93l3w.jpg</v>
      </c>
      <c r="D30" s="12" t="s">
        <v>293</v>
      </c>
      <c r="E30" s="57" t="str">
        <f ca="1">IFERROR(__xludf.DUMMYFUNCTION("""COMPUTED_VALUE"""),"OK")</f>
        <v>OK</v>
      </c>
      <c r="F30" s="46"/>
      <c r="G30" s="62" t="s">
        <v>9151</v>
      </c>
      <c r="H30" s="45" t="s">
        <v>9188</v>
      </c>
    </row>
    <row r="31" spans="1:8">
      <c r="A31" s="12" t="s">
        <v>9189</v>
      </c>
      <c r="B31" s="12" t="str">
        <f ca="1">IFERROR(__xludf.DUMMYFUNCTION("""COMPUTED_VALUE"""),"Alexis Fawx - 76454201 - Onlyfans")</f>
        <v>Alexis Fawx - 76454201 - Onlyfans</v>
      </c>
      <c r="C31" s="60" t="str">
        <f ca="1">IFERROR(__xludf.DUMMYFUNCTION("""COMPUTED_VALUE"""),"https://thumbcdn.com/splash/ut2h6i6qyev32an7.jpg")</f>
        <v>https://thumbcdn.com/splash/ut2h6i6qyev32an7.jpg</v>
      </c>
      <c r="D31" s="12" t="s">
        <v>305</v>
      </c>
      <c r="E31" s="57" t="str">
        <f ca="1">IFERROR(__xludf.DUMMYFUNCTION("""COMPUTED_VALUE"""),"OK")</f>
        <v>OK</v>
      </c>
      <c r="F31" s="46"/>
      <c r="G31" s="62" t="s">
        <v>9190</v>
      </c>
      <c r="H31" s="45" t="s">
        <v>9191</v>
      </c>
    </row>
    <row r="32" spans="1:8">
      <c r="A32" s="59" t="s">
        <v>9192</v>
      </c>
      <c r="B32" s="12" t="str">
        <f ca="1">IFERROR(__xludf.DUMMYFUNCTION("""COMPUTED_VALUE"""),"Alexis Fawx - 78579747 - Onlyfans")</f>
        <v>Alexis Fawx - 78579747 - Onlyfans</v>
      </c>
      <c r="C32" s="60" t="str">
        <f ca="1">IFERROR(__xludf.DUMMYFUNCTION("""COMPUTED_VALUE"""),"https://thumbcdn.com/splash/tdu43qsmt9mjb2ga.jpg")</f>
        <v>https://thumbcdn.com/splash/tdu43qsmt9mjb2ga.jpg</v>
      </c>
      <c r="D32" s="12" t="s">
        <v>309</v>
      </c>
      <c r="E32" s="57" t="str">
        <f ca="1">IFERROR(__xludf.DUMMYFUNCTION("""COMPUTED_VALUE"""),"OK")</f>
        <v>OK</v>
      </c>
      <c r="F32" s="46"/>
      <c r="G32" s="64" t="s">
        <v>9193</v>
      </c>
      <c r="H32" s="45" t="s">
        <v>9194</v>
      </c>
    </row>
    <row r="33" spans="1:8">
      <c r="A33" s="12"/>
      <c r="B33" s="12" t="str">
        <f ca="1">IFERROR(__xludf.DUMMYFUNCTION("""COMPUTED_VALUE"""),"Alexis Fawx - 87280451 - Onlyfans")</f>
        <v>Alexis Fawx - 87280451 - Onlyfans</v>
      </c>
      <c r="C33" s="60" t="str">
        <f ca="1">IFERROR(__xludf.DUMMYFUNCTION("""COMPUTED_VALUE"""),"https://thumbcdn.com/splash/viz1u30d0y9hp73y.jpg")</f>
        <v>https://thumbcdn.com/splash/viz1u30d0y9hp73y.jpg</v>
      </c>
      <c r="D33" s="6" t="s">
        <v>313</v>
      </c>
      <c r="E33" s="63" t="str">
        <f ca="1">IFERROR(__xludf.DUMMYFUNCTION("""COMPUTED_VALUE"""),"OK")</f>
        <v>OK</v>
      </c>
      <c r="F33" s="46"/>
      <c r="G33" s="62" t="s">
        <v>9193</v>
      </c>
      <c r="H33" s="45" t="s">
        <v>9195</v>
      </c>
    </row>
    <row r="34" spans="1:8">
      <c r="A34" s="12" t="s">
        <v>9196</v>
      </c>
      <c r="B34" s="12" t="str">
        <f ca="1">IFERROR(__xludf.DUMMYFUNCTION("""COMPUTED_VALUE"""),"Alexis Texas - 55946865 - Onlyfans")</f>
        <v>Alexis Texas - 55946865 - Onlyfans</v>
      </c>
      <c r="C34" s="60" t="str">
        <f ca="1">IFERROR(__xludf.DUMMYFUNCTION("""COMPUTED_VALUE"""),"https://thumbcdn.com/splash/msjiuzzfd7wpmzv4.jpg")</f>
        <v>https://thumbcdn.com/splash/msjiuzzfd7wpmzv4.jpg</v>
      </c>
      <c r="D34" s="12" t="s">
        <v>319</v>
      </c>
      <c r="E34" s="57" t="str">
        <f ca="1">IFERROR(__xludf.DUMMYFUNCTION("""COMPUTED_VALUE"""),"OK")</f>
        <v>OK</v>
      </c>
      <c r="F34" s="46"/>
      <c r="G34" s="62" t="s">
        <v>9193</v>
      </c>
      <c r="H34" s="45" t="s">
        <v>9197</v>
      </c>
    </row>
    <row r="35" spans="1:8">
      <c r="A35" s="59" t="s">
        <v>9198</v>
      </c>
      <c r="B35" s="12" t="str">
        <f ca="1">IFERROR(__xludf.DUMMYFUNCTION("""COMPUTED_VALUE"""),"Alexis Texas - 58344561 - Onlyfans")</f>
        <v>Alexis Texas - 58344561 - Onlyfans</v>
      </c>
      <c r="C35" s="60" t="str">
        <f ca="1">IFERROR(__xludf.DUMMYFUNCTION("""COMPUTED_VALUE"""),"https://thumbcdn.com/splash/q49x8r4777m6qzoy.jpg")</f>
        <v>https://thumbcdn.com/splash/q49x8r4777m6qzoy.jpg</v>
      </c>
      <c r="D35" s="6" t="s">
        <v>325</v>
      </c>
      <c r="E35" s="63" t="str">
        <f ca="1">IFERROR(__xludf.DUMMYFUNCTION("""COMPUTED_VALUE"""),"OK")</f>
        <v>OK</v>
      </c>
      <c r="F35" s="46"/>
      <c r="G35" s="64" t="s">
        <v>9199</v>
      </c>
      <c r="H35" s="45" t="s">
        <v>9200</v>
      </c>
    </row>
    <row r="36" spans="1:8">
      <c r="A36" s="12"/>
      <c r="B36" s="12" t="str">
        <f ca="1">IFERROR(__xludf.DUMMYFUNCTION("""COMPUTED_VALUE"""),"Alexis Texas - 78334326 - Onlyfans - Nikki Benz")</f>
        <v>Alexis Texas - 78334326 - Onlyfans - Nikki Benz</v>
      </c>
      <c r="C36" s="60" t="str">
        <f ca="1">IFERROR(__xludf.DUMMYFUNCTION("""COMPUTED_VALUE"""),"https://thumbcdn.com/splash/mpjshzok97fu2jfy.jpg")</f>
        <v>https://thumbcdn.com/splash/mpjshzok97fu2jfy.jpg</v>
      </c>
      <c r="D36" s="6" t="s">
        <v>331</v>
      </c>
      <c r="E36" s="63" t="str">
        <f ca="1">IFERROR(__xludf.DUMMYFUNCTION("""COMPUTED_VALUE"""),"OK")</f>
        <v>OK</v>
      </c>
      <c r="F36" s="46"/>
      <c r="G36" s="62" t="s">
        <v>9199</v>
      </c>
      <c r="H36" s="45" t="s">
        <v>9201</v>
      </c>
    </row>
    <row r="37" spans="1:8">
      <c r="A37" s="12" t="s">
        <v>9202</v>
      </c>
      <c r="B37" s="12" t="str">
        <f ca="1">IFERROR(__xludf.DUMMYFUNCTION("""COMPUTED_VALUE"""),"Alexis Texas - 85557282 - Onlyfans")</f>
        <v>Alexis Texas - 85557282 - Onlyfans</v>
      </c>
      <c r="C37" s="60" t="str">
        <f ca="1">IFERROR(__xludf.DUMMYFUNCTION("""COMPUTED_VALUE"""),"https://thumbcdn.com/splash/jp6ycg2g9yhcq7vo.jpg")</f>
        <v>https://thumbcdn.com/splash/jp6ycg2g9yhcq7vo.jpg</v>
      </c>
      <c r="D37" s="12" t="s">
        <v>337</v>
      </c>
      <c r="E37" s="57" t="str">
        <f ca="1">IFERROR(__xludf.DUMMYFUNCTION("""COMPUTED_VALUE"""),"OK")</f>
        <v>OK</v>
      </c>
      <c r="F37" s="46"/>
      <c r="G37" s="62" t="s">
        <v>9199</v>
      </c>
      <c r="H37" s="45" t="s">
        <v>9203</v>
      </c>
    </row>
    <row r="38" spans="1:8">
      <c r="A38" s="59" t="s">
        <v>9204</v>
      </c>
      <c r="B38" s="12" t="str">
        <f ca="1">IFERROR(__xludf.DUMMYFUNCTION("""COMPUTED_VALUE"""),"Alice Bong - 80520139 - Onlyfans")</f>
        <v>Alice Bong - 80520139 - Onlyfans</v>
      </c>
      <c r="C38" s="60" t="str">
        <f ca="1">IFERROR(__xludf.DUMMYFUNCTION("""COMPUTED_VALUE"""),"https://thumbcdn.com/splash/y73ziarlc5tkwky6.jpg")</f>
        <v>https://thumbcdn.com/splash/y73ziarlc5tkwky6.jpg</v>
      </c>
      <c r="D38" s="12" t="s">
        <v>343</v>
      </c>
      <c r="E38" s="57" t="str">
        <f ca="1">IFERROR(__xludf.DUMMYFUNCTION("""COMPUTED_VALUE"""),"OK")</f>
        <v>OK</v>
      </c>
      <c r="F38" s="46"/>
      <c r="G38" s="64" t="s">
        <v>9199</v>
      </c>
      <c r="H38" s="45" t="s">
        <v>9205</v>
      </c>
    </row>
    <row r="39" spans="1:8">
      <c r="A39" s="12"/>
      <c r="B39" s="12" t="str">
        <f ca="1">IFERROR(__xludf.DUMMYFUNCTION("""COMPUTED_VALUE"""),"Alice Bong - 93984122 - Onlyfans")</f>
        <v>Alice Bong - 93984122 - Onlyfans</v>
      </c>
      <c r="C39" s="60" t="str">
        <f ca="1">IFERROR(__xludf.DUMMYFUNCTION("""COMPUTED_VALUE"""),"https://thumbcdn.com/splash/gk36g89dux0zbtt8.jpg")</f>
        <v>https://thumbcdn.com/splash/gk36g89dux0zbtt8.jpg</v>
      </c>
      <c r="D39" s="12" t="s">
        <v>349</v>
      </c>
      <c r="E39" s="57" t="str">
        <f ca="1">IFERROR(__xludf.DUMMYFUNCTION("""COMPUTED_VALUE"""),"OK")</f>
        <v>OK</v>
      </c>
      <c r="F39" s="46"/>
      <c r="G39" s="62" t="s">
        <v>9206</v>
      </c>
      <c r="H39" s="45" t="s">
        <v>9207</v>
      </c>
    </row>
    <row r="40" spans="1:8">
      <c r="A40" s="12" t="s">
        <v>9208</v>
      </c>
      <c r="B40" s="12" t="str">
        <f ca="1">IFERROR(__xludf.DUMMYFUNCTION("""COMPUTED_VALUE"""),"AlicexMaia - 10721850 - Onlyfans")</f>
        <v>AlicexMaia - 10721850 - Onlyfans</v>
      </c>
      <c r="C40" s="60" t="str">
        <f ca="1">IFERROR(__xludf.DUMMYFUNCTION("""COMPUTED_VALUE"""),"https://thumbcdn.com/splash/hch2w5ks8h2koyji.jpg")</f>
        <v>https://thumbcdn.com/splash/hch2w5ks8h2koyji.jpg</v>
      </c>
      <c r="D40" s="12" t="s">
        <v>353</v>
      </c>
      <c r="E40" s="57" t="str">
        <f ca="1">IFERROR(__xludf.DUMMYFUNCTION("""COMPUTED_VALUE"""),"OK")</f>
        <v>OK</v>
      </c>
      <c r="F40" s="46"/>
      <c r="G40" s="62" t="s">
        <v>9206</v>
      </c>
      <c r="H40" s="45" t="s">
        <v>9209</v>
      </c>
    </row>
    <row r="41" spans="1:8">
      <c r="A41" s="59" t="s">
        <v>9210</v>
      </c>
      <c r="B41" s="12" t="str">
        <f ca="1">IFERROR(__xludf.DUMMYFUNCTION("""COMPUTED_VALUE"""),"AlicexMaia - 12079108 - Onlyfans")</f>
        <v>AlicexMaia - 12079108 - Onlyfans</v>
      </c>
      <c r="C41" s="60" t="str">
        <f ca="1">IFERROR(__xludf.DUMMYFUNCTION("""COMPUTED_VALUE"""),"https://thumbcdn.com/splash/ik1asxc31y9hfpwq.jpg")</f>
        <v>https://thumbcdn.com/splash/ik1asxc31y9hfpwq.jpg</v>
      </c>
      <c r="D41" s="12" t="s">
        <v>359</v>
      </c>
      <c r="E41" s="57" t="str">
        <f ca="1">IFERROR(__xludf.DUMMYFUNCTION("""COMPUTED_VALUE"""),"OK")</f>
        <v>OK</v>
      </c>
      <c r="F41" s="46"/>
      <c r="G41" s="64" t="s">
        <v>9211</v>
      </c>
      <c r="H41" s="45" t="s">
        <v>9212</v>
      </c>
    </row>
    <row r="42" spans="1:8">
      <c r="A42" s="12"/>
      <c r="B42" s="12" t="str">
        <f ca="1">IFERROR(__xludf.DUMMYFUNCTION("""COMPUTED_VALUE"""),"AlicexMaia - 14731619 - Onlyfans")</f>
        <v>AlicexMaia - 14731619 - Onlyfans</v>
      </c>
      <c r="C42" s="60" t="str">
        <f ca="1">IFERROR(__xludf.DUMMYFUNCTION("""COMPUTED_VALUE"""),"https://thumbcdn.com/splash/k4p0ca0y5sv3wwm2.jpg")</f>
        <v>https://thumbcdn.com/splash/k4p0ca0y5sv3wwm2.jpg</v>
      </c>
      <c r="D42" s="16" t="s">
        <v>363</v>
      </c>
      <c r="E42" s="57" t="str">
        <f ca="1">IFERROR(__xludf.DUMMYFUNCTION("""COMPUTED_VALUE"""),"OK")</f>
        <v>OK</v>
      </c>
      <c r="F42" s="46"/>
      <c r="G42" s="62" t="s">
        <v>9211</v>
      </c>
      <c r="H42" s="45" t="s">
        <v>9213</v>
      </c>
    </row>
    <row r="43" spans="1:8">
      <c r="A43" s="12" t="s">
        <v>9214</v>
      </c>
      <c r="B43" s="12" t="str">
        <f ca="1">IFERROR(__xludf.DUMMYFUNCTION("""COMPUTED_VALUE"""),"AlicexMaia - 17531294 - Onlyfans")</f>
        <v>AlicexMaia - 17531294 - Onlyfans</v>
      </c>
      <c r="C43" s="60" t="str">
        <f ca="1">IFERROR(__xludf.DUMMYFUNCTION("""COMPUTED_VALUE"""),"https://thumbcdn.com/splash/1zhkrua1cttsmy62.jpg")</f>
        <v>https://thumbcdn.com/splash/1zhkrua1cttsmy62.jpg</v>
      </c>
      <c r="D43" s="12" t="s">
        <v>373</v>
      </c>
      <c r="E43" s="57" t="str">
        <f ca="1">IFERROR(__xludf.DUMMYFUNCTION("""COMPUTED_VALUE"""),"OK")</f>
        <v>OK</v>
      </c>
      <c r="F43" s="46"/>
      <c r="G43" s="62" t="s">
        <v>9211</v>
      </c>
      <c r="H43" s="45" t="s">
        <v>9215</v>
      </c>
    </row>
    <row r="44" spans="1:8">
      <c r="A44" s="59" t="s">
        <v>9216</v>
      </c>
      <c r="B44" s="12" t="str">
        <f ca="1">IFERROR(__xludf.DUMMYFUNCTION("""COMPUTED_VALUE"""),"AlicexMaia - 19457440 - Onlyfans")</f>
        <v>AlicexMaia - 19457440 - Onlyfans</v>
      </c>
      <c r="C44" s="60" t="str">
        <f ca="1">IFERROR(__xludf.DUMMYFUNCTION("""COMPUTED_VALUE"""),"https://thumbcdn.com/splash/uwkf2v5hdwr177fj.jpg")</f>
        <v>https://thumbcdn.com/splash/uwkf2v5hdwr177fj.jpg</v>
      </c>
      <c r="D44" s="12" t="s">
        <v>379</v>
      </c>
      <c r="E44" s="57" t="str">
        <f ca="1">IFERROR(__xludf.DUMMYFUNCTION("""COMPUTED_VALUE"""),"OK")</f>
        <v>OK</v>
      </c>
      <c r="F44" s="46"/>
      <c r="G44" s="64" t="s">
        <v>9211</v>
      </c>
      <c r="H44" s="45" t="s">
        <v>9217</v>
      </c>
    </row>
    <row r="45" spans="1:8">
      <c r="A45" s="12"/>
      <c r="B45" s="12" t="str">
        <f ca="1">IFERROR(__xludf.DUMMYFUNCTION("""COMPUTED_VALUE"""),"AlicexMaia - 19553158 - Onlyfans")</f>
        <v>AlicexMaia - 19553158 - Onlyfans</v>
      </c>
      <c r="C45" s="60" t="str">
        <f ca="1">IFERROR(__xludf.DUMMYFUNCTION("""COMPUTED_VALUE"""),"https://thumbcdn.com/splash/y23zpbl44cchimc5.jpg")</f>
        <v>https://thumbcdn.com/splash/y23zpbl44cchimc5.jpg</v>
      </c>
      <c r="D45" s="6" t="s">
        <v>383</v>
      </c>
      <c r="E45" s="63" t="str">
        <f ca="1">IFERROR(__xludf.DUMMYFUNCTION("""COMPUTED_VALUE"""),"OK")</f>
        <v>OK</v>
      </c>
      <c r="F45" s="46"/>
      <c r="G45" s="62" t="s">
        <v>9211</v>
      </c>
      <c r="H45" s="45" t="s">
        <v>9218</v>
      </c>
    </row>
    <row r="46" spans="1:8">
      <c r="A46" s="12" t="s">
        <v>9219</v>
      </c>
      <c r="B46" s="12" t="str">
        <f ca="1">IFERROR(__xludf.DUMMYFUNCTION("""COMPUTED_VALUE"""),"AlicexMaia - 29448765 - Onlyfans")</f>
        <v>AlicexMaia - 29448765 - Onlyfans</v>
      </c>
      <c r="C46" s="60" t="str">
        <f ca="1">IFERROR(__xludf.DUMMYFUNCTION("""COMPUTED_VALUE"""),"https://thumbcdn.com/splash/gewcza0o3ujd8gx3.jpg")</f>
        <v>https://thumbcdn.com/splash/gewcza0o3ujd8gx3.jpg</v>
      </c>
      <c r="D46" s="6" t="s">
        <v>392</v>
      </c>
      <c r="E46" s="63" t="str">
        <f ca="1">IFERROR(__xludf.DUMMYFUNCTION("""COMPUTED_VALUE"""),"OK")</f>
        <v>OK</v>
      </c>
      <c r="F46" s="46"/>
      <c r="G46" s="62" t="s">
        <v>9211</v>
      </c>
      <c r="H46" s="45" t="s">
        <v>9220</v>
      </c>
    </row>
    <row r="47" spans="1:8">
      <c r="A47" s="59" t="s">
        <v>9221</v>
      </c>
      <c r="B47" s="12" t="str">
        <f ca="1">IFERROR(__xludf.DUMMYFUNCTION("""COMPUTED_VALUE"""),"AlicexMaia - 42662611 - Onlyfans")</f>
        <v>AlicexMaia - 42662611 - Onlyfans</v>
      </c>
      <c r="C47" s="60" t="str">
        <f ca="1">IFERROR(__xludf.DUMMYFUNCTION("""COMPUTED_VALUE"""),"https://thumbcdn.com/splash/sdpo7aqz7biqqzer.jpg")</f>
        <v>https://thumbcdn.com/splash/sdpo7aqz7biqqzer.jpg</v>
      </c>
      <c r="D47" s="12" t="s">
        <v>396</v>
      </c>
      <c r="E47" s="57" t="str">
        <f ca="1">IFERROR(__xludf.DUMMYFUNCTION("""COMPUTED_VALUE"""),"OK")</f>
        <v>OK</v>
      </c>
      <c r="F47" s="46"/>
      <c r="G47" s="64" t="s">
        <v>9211</v>
      </c>
      <c r="H47" s="45" t="s">
        <v>9222</v>
      </c>
    </row>
    <row r="48" spans="1:8">
      <c r="A48" s="12"/>
      <c r="B48" s="12" t="str">
        <f ca="1">IFERROR(__xludf.DUMMYFUNCTION("""COMPUTED_VALUE"""),"AlicexMaia - 45305787 - Onlyfans")</f>
        <v>AlicexMaia - 45305787 - Onlyfans</v>
      </c>
      <c r="C48" s="60" t="str">
        <f ca="1">IFERROR(__xludf.DUMMYFUNCTION("""COMPUTED_VALUE"""),"https://thumbcdn.com/splash/vd3694b5x9jgtma7.jpg")</f>
        <v>https://thumbcdn.com/splash/vd3694b5x9jgtma7.jpg</v>
      </c>
      <c r="D48" s="12" t="s">
        <v>400</v>
      </c>
      <c r="E48" s="57" t="str">
        <f ca="1">IFERROR(__xludf.DUMMYFUNCTION("""COMPUTED_VALUE"""),"OK")</f>
        <v>OK</v>
      </c>
      <c r="F48" s="46"/>
      <c r="G48" s="62" t="s">
        <v>9211</v>
      </c>
      <c r="H48" s="45" t="s">
        <v>9223</v>
      </c>
    </row>
    <row r="49" spans="1:8">
      <c r="A49" s="12" t="s">
        <v>9224</v>
      </c>
      <c r="B49" s="12" t="str">
        <f ca="1">IFERROR(__xludf.DUMMYFUNCTION("""COMPUTED_VALUE"""),"AlicexMaia - 49296667 - Onlyfans")</f>
        <v>AlicexMaia - 49296667 - Onlyfans</v>
      </c>
      <c r="C49" s="60" t="str">
        <f ca="1">IFERROR(__xludf.DUMMYFUNCTION("""COMPUTED_VALUE"""),"https://thumbcdn.com/splash/3byfccyanyxacrm9.jpg")</f>
        <v>https://thumbcdn.com/splash/3byfccyanyxacrm9.jpg</v>
      </c>
      <c r="D49" s="12" t="s">
        <v>404</v>
      </c>
      <c r="E49" s="57" t="str">
        <f ca="1">IFERROR(__xludf.DUMMYFUNCTION("""COMPUTED_VALUE"""),"OK")</f>
        <v>OK</v>
      </c>
      <c r="F49" s="46"/>
      <c r="G49" s="62" t="s">
        <v>9211</v>
      </c>
      <c r="H49" s="45" t="s">
        <v>9225</v>
      </c>
    </row>
    <row r="50" spans="1:8">
      <c r="A50" s="59" t="s">
        <v>9226</v>
      </c>
      <c r="B50" s="12" t="str">
        <f ca="1">IFERROR(__xludf.DUMMYFUNCTION("""COMPUTED_VALUE"""),"AlicexMaia - 63578233 - Onlyfans")</f>
        <v>AlicexMaia - 63578233 - Onlyfans</v>
      </c>
      <c r="C50" s="60" t="str">
        <f ca="1">IFERROR(__xludf.DUMMYFUNCTION("""COMPUTED_VALUE"""),"https://thumbcdn.com/splash/dlh9fwr7cu5k8wtu.jpg")</f>
        <v>https://thumbcdn.com/splash/dlh9fwr7cu5k8wtu.jpg</v>
      </c>
      <c r="D50" s="12" t="s">
        <v>408</v>
      </c>
      <c r="E50" s="57" t="str">
        <f ca="1">IFERROR(__xludf.DUMMYFUNCTION("""COMPUTED_VALUE"""),"OK")</f>
        <v>OK</v>
      </c>
      <c r="F50" s="46"/>
      <c r="G50" s="64" t="s">
        <v>9211</v>
      </c>
      <c r="H50" s="45" t="s">
        <v>9227</v>
      </c>
    </row>
    <row r="51" spans="1:8">
      <c r="A51" s="12"/>
      <c r="B51" s="12" t="str">
        <f ca="1">IFERROR(__xludf.DUMMYFUNCTION("""COMPUTED_VALUE"""),"AlicexMaia - 67191993 - Onlyfans")</f>
        <v>AlicexMaia - 67191993 - Onlyfans</v>
      </c>
      <c r="C51" s="60" t="str">
        <f ca="1">IFERROR(__xludf.DUMMYFUNCTION("""COMPUTED_VALUE"""),"https://thumbcdn.com/splash/joxom1j0vnbdlps0.jpg")</f>
        <v>https://thumbcdn.com/splash/joxom1j0vnbdlps0.jpg</v>
      </c>
      <c r="D51" s="12" t="s">
        <v>412</v>
      </c>
      <c r="E51" s="57" t="str">
        <f ca="1">IFERROR(__xludf.DUMMYFUNCTION("""COMPUTED_VALUE"""),"OK")</f>
        <v>OK</v>
      </c>
      <c r="F51" s="46"/>
      <c r="G51" s="62" t="s">
        <v>9211</v>
      </c>
      <c r="H51" s="45" t="s">
        <v>9228</v>
      </c>
    </row>
    <row r="52" spans="1:8">
      <c r="A52" s="12" t="s">
        <v>9229</v>
      </c>
      <c r="B52" s="12" t="str">
        <f ca="1">IFERROR(__xludf.DUMMYFUNCTION("""COMPUTED_VALUE"""),"AlicexMaia - 75717227 - Onlyfans")</f>
        <v>AlicexMaia - 75717227 - Onlyfans</v>
      </c>
      <c r="C52" s="60" t="str">
        <f ca="1">IFERROR(__xludf.DUMMYFUNCTION("""COMPUTED_VALUE"""),"https://thumbcdn.com/splash/4231wzo2uciqp3zj.jpg")</f>
        <v>https://thumbcdn.com/splash/4231wzo2uciqp3zj.jpg</v>
      </c>
      <c r="D52" s="12" t="s">
        <v>416</v>
      </c>
      <c r="E52" s="57" t="str">
        <f ca="1">IFERROR(__xludf.DUMMYFUNCTION("""COMPUTED_VALUE"""),"OK")</f>
        <v>OK</v>
      </c>
      <c r="F52" s="46"/>
      <c r="G52" s="62" t="s">
        <v>9211</v>
      </c>
      <c r="H52" s="45" t="s">
        <v>9230</v>
      </c>
    </row>
    <row r="53" spans="1:8">
      <c r="A53" s="59" t="s">
        <v>9231</v>
      </c>
      <c r="B53" s="12" t="str">
        <f ca="1">IFERROR(__xludf.DUMMYFUNCTION("""COMPUTED_VALUE"""),"AlicexMaia - 78662402 - Onlyfans")</f>
        <v>AlicexMaia - 78662402 - Onlyfans</v>
      </c>
      <c r="C53" s="60" t="str">
        <f ca="1">IFERROR(__xludf.DUMMYFUNCTION("""COMPUTED_VALUE"""),"https://thumbcdn.com/splash/kmp5i56v25irz1qe.jpg")</f>
        <v>https://thumbcdn.com/splash/kmp5i56v25irz1qe.jpg</v>
      </c>
      <c r="D53" s="12" t="s">
        <v>420</v>
      </c>
      <c r="E53" s="57" t="str">
        <f ca="1">IFERROR(__xludf.DUMMYFUNCTION("""COMPUTED_VALUE"""),"OK")</f>
        <v>OK</v>
      </c>
      <c r="F53" s="46"/>
      <c r="G53" s="64" t="s">
        <v>9211</v>
      </c>
      <c r="H53" s="45" t="s">
        <v>9232</v>
      </c>
    </row>
    <row r="54" spans="1:8">
      <c r="A54" s="12"/>
      <c r="B54" s="12" t="str">
        <f ca="1">IFERROR(__xludf.DUMMYFUNCTION("""COMPUTED_VALUE"""),"AlicexMaia - 84776312 - Onlyfans")</f>
        <v>AlicexMaia - 84776312 - Onlyfans</v>
      </c>
      <c r="C54" s="60" t="str">
        <f ca="1">IFERROR(__xludf.DUMMYFUNCTION("""COMPUTED_VALUE"""),"https://thumbcdn.com/splash/asjvdy472gd3qjr3.jpg")</f>
        <v>https://thumbcdn.com/splash/asjvdy472gd3qjr3.jpg</v>
      </c>
      <c r="D54" s="6" t="s">
        <v>428</v>
      </c>
      <c r="E54" s="63" t="str">
        <f ca="1">IFERROR(__xludf.DUMMYFUNCTION("""COMPUTED_VALUE"""),"OK")</f>
        <v>OK</v>
      </c>
      <c r="F54" s="46"/>
      <c r="G54" s="62" t="s">
        <v>9211</v>
      </c>
      <c r="H54" s="45" t="s">
        <v>9233</v>
      </c>
    </row>
    <row r="55" spans="1:8">
      <c r="A55" s="12" t="s">
        <v>9234</v>
      </c>
      <c r="B55" s="12" t="str">
        <f ca="1">IFERROR(__xludf.DUMMYFUNCTION("""COMPUTED_VALUE"""),"AlicexMaia - 88450355 - Onlyfans")</f>
        <v>AlicexMaia - 88450355 - Onlyfans</v>
      </c>
      <c r="C55" s="60" t="str">
        <f ca="1">IFERROR(__xludf.DUMMYFUNCTION("""COMPUTED_VALUE"""),"https://thumbcdn.com/splash/pf1rmaxa6hqjbi4o.jpg")</f>
        <v>https://thumbcdn.com/splash/pf1rmaxa6hqjbi4o.jpg</v>
      </c>
      <c r="D55" s="6" t="s">
        <v>434</v>
      </c>
      <c r="E55" s="63" t="str">
        <f ca="1">IFERROR(__xludf.DUMMYFUNCTION("""COMPUTED_VALUE"""),"OK")</f>
        <v>OK</v>
      </c>
      <c r="F55" s="46"/>
      <c r="G55" s="62" t="s">
        <v>9211</v>
      </c>
      <c r="H55" s="45" t="s">
        <v>9235</v>
      </c>
    </row>
    <row r="56" spans="1:8">
      <c r="A56" s="59" t="s">
        <v>9236</v>
      </c>
      <c r="B56" s="12" t="str">
        <f ca="1">IFERROR(__xludf.DUMMYFUNCTION("""COMPUTED_VALUE"""),"AlicexMaia - 91745439 - Onlyfans")</f>
        <v>AlicexMaia - 91745439 - Onlyfans</v>
      </c>
      <c r="C56" s="60" t="str">
        <f ca="1">IFERROR(__xludf.DUMMYFUNCTION("""COMPUTED_VALUE"""),"https://thumbcdn.com/splash/9xvqh1bvqk7ywx23.jpg")</f>
        <v>https://thumbcdn.com/splash/9xvqh1bvqk7ywx23.jpg</v>
      </c>
      <c r="D56" s="12" t="s">
        <v>438</v>
      </c>
      <c r="E56" s="57" t="str">
        <f ca="1">IFERROR(__xludf.DUMMYFUNCTION("""COMPUTED_VALUE"""),"OK")</f>
        <v>OK</v>
      </c>
      <c r="F56" s="46"/>
      <c r="G56" s="64" t="s">
        <v>9211</v>
      </c>
      <c r="H56" s="45" t="s">
        <v>9237</v>
      </c>
    </row>
    <row r="57" spans="1:8">
      <c r="A57" s="12"/>
      <c r="B57" s="12" t="str">
        <f ca="1">IFERROR(__xludf.DUMMYFUNCTION("""COMPUTED_VALUE"""),"Alina - 93433724 - BackroomCastingCouch")</f>
        <v>Alina - 93433724 - BackroomCastingCouch</v>
      </c>
      <c r="C57" s="60" t="str">
        <f ca="1">IFERROR(__xludf.DUMMYFUNCTION("""COMPUTED_VALUE"""),"https://thumbcdn.com/splash/2j7juglp195jkvzg.jpg")</f>
        <v>https://thumbcdn.com/splash/2j7juglp195jkvzg.jpg</v>
      </c>
      <c r="D57" s="6" t="s">
        <v>452</v>
      </c>
      <c r="E57" s="63" t="str">
        <f ca="1">IFERROR(__xludf.DUMMYFUNCTION("""COMPUTED_VALUE"""),"OK")</f>
        <v>OK</v>
      </c>
      <c r="F57" s="46"/>
      <c r="G57" s="62" t="s">
        <v>9211</v>
      </c>
      <c r="H57" s="45" t="s">
        <v>9238</v>
      </c>
    </row>
    <row r="58" spans="1:8">
      <c r="A58" s="12" t="s">
        <v>9239</v>
      </c>
      <c r="B58" s="12" t="str">
        <f ca="1">IFERROR(__xludf.DUMMYFUNCTION("""COMPUTED_VALUE"""),"Alina Lopez - 39625651 - Onlyfans - Gizelle Blanco")</f>
        <v>Alina Lopez - 39625651 - Onlyfans - Gizelle Blanco</v>
      </c>
      <c r="C58" s="60" t="str">
        <f ca="1">IFERROR(__xludf.DUMMYFUNCTION("""COMPUTED_VALUE"""),"https://thumbcdn.com/splash/jufwwohl4j2hs1rp.jpg")</f>
        <v>https://thumbcdn.com/splash/jufwwohl4j2hs1rp.jpg</v>
      </c>
      <c r="D58" s="6" t="s">
        <v>464</v>
      </c>
      <c r="E58" s="63" t="str">
        <f ca="1">IFERROR(__xludf.DUMMYFUNCTION("""COMPUTED_VALUE"""),"OK")</f>
        <v>OK</v>
      </c>
      <c r="F58" s="46"/>
      <c r="G58" s="62" t="s">
        <v>9240</v>
      </c>
      <c r="H58" s="45" t="s">
        <v>9241</v>
      </c>
    </row>
    <row r="59" spans="1:8">
      <c r="A59" s="59" t="s">
        <v>9242</v>
      </c>
      <c r="B59" s="12" t="str">
        <f ca="1">IFERROR(__xludf.DUMMYFUNCTION("""COMPUTED_VALUE"""),"Amy Rose - 11992120 - Onlyfans")</f>
        <v>Amy Rose - 11992120 - Onlyfans</v>
      </c>
      <c r="C59" s="60" t="str">
        <f ca="1">IFERROR(__xludf.DUMMYFUNCTION("""COMPUTED_VALUE"""),"https://thumbcdn.com/splash/57056jca2rz1fx57.jpg")</f>
        <v>https://thumbcdn.com/splash/57056jca2rz1fx57.jpg</v>
      </c>
      <c r="D59" s="6" t="s">
        <v>488</v>
      </c>
      <c r="E59" s="63" t="str">
        <f ca="1">IFERROR(__xludf.DUMMYFUNCTION("""COMPUTED_VALUE"""),"OK")</f>
        <v>OK</v>
      </c>
      <c r="F59" s="46"/>
      <c r="G59" s="64" t="s">
        <v>9243</v>
      </c>
      <c r="H59" s="45" t="s">
        <v>9244</v>
      </c>
    </row>
    <row r="60" spans="1:8">
      <c r="A60" s="12"/>
      <c r="B60" s="12" t="str">
        <f ca="1">IFERROR(__xludf.DUMMYFUNCTION("""COMPUTED_VALUE"""),"Amy Rose - 15675021 - Onlyfans")</f>
        <v>Amy Rose - 15675021 - Onlyfans</v>
      </c>
      <c r="C60" s="60" t="str">
        <f ca="1">IFERROR(__xludf.DUMMYFUNCTION("""COMPUTED_VALUE"""),"https://thumbcdn.com/splash/nhr78zdqew9xjg45.jpg")</f>
        <v>https://thumbcdn.com/splash/nhr78zdqew9xjg45.jpg</v>
      </c>
      <c r="D60" s="6" t="s">
        <v>494</v>
      </c>
      <c r="E60" s="63" t="str">
        <f ca="1">IFERROR(__xludf.DUMMYFUNCTION("""COMPUTED_VALUE"""),"OK")</f>
        <v>OK</v>
      </c>
      <c r="F60" s="46"/>
      <c r="G60" s="62" t="s">
        <v>9245</v>
      </c>
      <c r="H60" s="45" t="s">
        <v>9246</v>
      </c>
    </row>
    <row r="61" spans="1:8">
      <c r="A61" s="12" t="s">
        <v>9247</v>
      </c>
      <c r="B61" s="12" t="str">
        <f ca="1">IFERROR(__xludf.DUMMYFUNCTION("""COMPUTED_VALUE"""),"Amy Rose - 31711047 - Onlyfans")</f>
        <v>Amy Rose - 31711047 - Onlyfans</v>
      </c>
      <c r="C61" s="60" t="str">
        <f ca="1">IFERROR(__xludf.DUMMYFUNCTION("""COMPUTED_VALUE"""),"https://thumbcdn.com/splash/txcngakwdhrw43d2.jpg")</f>
        <v>https://thumbcdn.com/splash/txcngakwdhrw43d2.jpg</v>
      </c>
      <c r="D61" s="12" t="s">
        <v>500</v>
      </c>
      <c r="E61" s="57" t="str">
        <f ca="1">IFERROR(__xludf.DUMMYFUNCTION("""COMPUTED_VALUE"""),"OK")</f>
        <v>OK</v>
      </c>
      <c r="F61" s="46"/>
      <c r="G61" s="62" t="s">
        <v>9245</v>
      </c>
      <c r="H61" s="45" t="s">
        <v>9248</v>
      </c>
    </row>
    <row r="62" spans="1:8">
      <c r="A62" s="59" t="s">
        <v>9249</v>
      </c>
      <c r="B62" s="12" t="str">
        <f ca="1">IFERROR(__xludf.DUMMYFUNCTION("""COMPUTED_VALUE"""),"Amy Rose - 34061424 - Onlyfans")</f>
        <v>Amy Rose - 34061424 - Onlyfans</v>
      </c>
      <c r="C62" s="60" t="str">
        <f ca="1">IFERROR(__xludf.DUMMYFUNCTION("""COMPUTED_VALUE"""),"https://thumbcdn.com/splash/0h3oc1h9u3z7v3j0.jpg")</f>
        <v>https://thumbcdn.com/splash/0h3oc1h9u3z7v3j0.jpg</v>
      </c>
      <c r="D62" s="12" t="s">
        <v>510</v>
      </c>
      <c r="E62" s="57" t="str">
        <f ca="1">IFERROR(__xludf.DUMMYFUNCTION("""COMPUTED_VALUE"""),"OK")</f>
        <v>OK</v>
      </c>
      <c r="F62" s="46"/>
      <c r="G62" s="64" t="s">
        <v>9245</v>
      </c>
      <c r="H62" s="45" t="s">
        <v>9250</v>
      </c>
    </row>
    <row r="63" spans="1:8">
      <c r="A63" s="12"/>
      <c r="B63" s="12" t="str">
        <f ca="1">IFERROR(__xludf.DUMMYFUNCTION("""COMPUTED_VALUE"""),"Amy Rose - 42163415 - Onlyfans")</f>
        <v>Amy Rose - 42163415 - Onlyfans</v>
      </c>
      <c r="C63" s="60" t="str">
        <f ca="1">IFERROR(__xludf.DUMMYFUNCTION("""COMPUTED_VALUE"""),"https://thumbcdn.com/splash/sxmikwy1tqlwz7ib.jpg")</f>
        <v>https://thumbcdn.com/splash/sxmikwy1tqlwz7ib.jpg</v>
      </c>
      <c r="D63" s="12" t="s">
        <v>514</v>
      </c>
      <c r="E63" s="57" t="str">
        <f ca="1">IFERROR(__xludf.DUMMYFUNCTION("""COMPUTED_VALUE"""),"OK")</f>
        <v>OK</v>
      </c>
      <c r="F63" s="46"/>
      <c r="G63" s="62" t="s">
        <v>9245</v>
      </c>
      <c r="H63" s="45" t="s">
        <v>9251</v>
      </c>
    </row>
    <row r="64" spans="1:8">
      <c r="A64" s="12" t="s">
        <v>9252</v>
      </c>
      <c r="B64" s="12" t="str">
        <f ca="1">IFERROR(__xludf.DUMMYFUNCTION("""COMPUTED_VALUE"""),"Amy Rose - 46469035 - Onlyfans")</f>
        <v>Amy Rose - 46469035 - Onlyfans</v>
      </c>
      <c r="C64" s="60" t="str">
        <f ca="1">IFERROR(__xludf.DUMMYFUNCTION("""COMPUTED_VALUE"""),"https://thumbcdn.com/splash/st5xhfgjh22vdpjr.jpg")</f>
        <v>https://thumbcdn.com/splash/st5xhfgjh22vdpjr.jpg</v>
      </c>
      <c r="D64" s="12" t="s">
        <v>520</v>
      </c>
      <c r="E64" s="57" t="str">
        <f ca="1">IFERROR(__xludf.DUMMYFUNCTION("""COMPUTED_VALUE"""),"OK")</f>
        <v>OK</v>
      </c>
      <c r="F64" s="46"/>
      <c r="G64" s="62" t="s">
        <v>9245</v>
      </c>
      <c r="H64" s="45" t="s">
        <v>9253</v>
      </c>
    </row>
    <row r="65" spans="1:8">
      <c r="A65" s="59" t="s">
        <v>9254</v>
      </c>
      <c r="B65" s="12" t="str">
        <f ca="1">IFERROR(__xludf.DUMMYFUNCTION("""COMPUTED_VALUE"""),"Amy Rose - 51937780 - Onlyfans")</f>
        <v>Amy Rose - 51937780 - Onlyfans</v>
      </c>
      <c r="C65" s="60" t="str">
        <f ca="1">IFERROR(__xludf.DUMMYFUNCTION("""COMPUTED_VALUE"""),"https://thumbcdn.com/splash/7lcdbbq6koc4ljhf.jpg")</f>
        <v>https://thumbcdn.com/splash/7lcdbbq6koc4ljhf.jpg</v>
      </c>
      <c r="D65" s="6" t="s">
        <v>524</v>
      </c>
      <c r="E65" s="63" t="str">
        <f ca="1">IFERROR(__xludf.DUMMYFUNCTION("""COMPUTED_VALUE"""),"OK")</f>
        <v>OK</v>
      </c>
      <c r="F65" s="46"/>
      <c r="G65" s="64" t="s">
        <v>9245</v>
      </c>
      <c r="H65" s="45" t="s">
        <v>9255</v>
      </c>
    </row>
    <row r="66" spans="1:8">
      <c r="A66" s="12"/>
      <c r="B66" s="12" t="str">
        <f ca="1">IFERROR(__xludf.DUMMYFUNCTION("""COMPUTED_VALUE"""),"Amy Rose - 61578433 - Onlyfans")</f>
        <v>Amy Rose - 61578433 - Onlyfans</v>
      </c>
      <c r="C66" s="60" t="str">
        <f ca="1">IFERROR(__xludf.DUMMYFUNCTION("""COMPUTED_VALUE"""),"https://thumbcdn.com/splash/4fr90ak8qkyiobbe.jpg")</f>
        <v>https://thumbcdn.com/splash/4fr90ak8qkyiobbe.jpg</v>
      </c>
      <c r="D66" s="12" t="s">
        <v>536</v>
      </c>
      <c r="E66" s="57" t="str">
        <f ca="1">IFERROR(__xludf.DUMMYFUNCTION("""COMPUTED_VALUE"""),"OK")</f>
        <v>OK</v>
      </c>
      <c r="F66" s="46"/>
      <c r="G66" s="62" t="s">
        <v>9245</v>
      </c>
      <c r="H66" s="45" t="s">
        <v>9256</v>
      </c>
    </row>
    <row r="67" spans="1:8">
      <c r="A67" s="12" t="s">
        <v>9257</v>
      </c>
      <c r="B67" s="12" t="str">
        <f ca="1">IFERROR(__xludf.DUMMYFUNCTION("""COMPUTED_VALUE"""),"Amy Rose - 61767415 - Onlyfans")</f>
        <v>Amy Rose - 61767415 - Onlyfans</v>
      </c>
      <c r="C67" s="60" t="str">
        <f ca="1">IFERROR(__xludf.DUMMYFUNCTION("""COMPUTED_VALUE"""),"https://thumbcdn.com/splash/bp7xh3ve2kyf7ecl.jpg")</f>
        <v>https://thumbcdn.com/splash/bp7xh3ve2kyf7ecl.jpg</v>
      </c>
      <c r="D67" s="12" t="s">
        <v>540</v>
      </c>
      <c r="E67" s="57" t="str">
        <f ca="1">IFERROR(__xludf.DUMMYFUNCTION("""COMPUTED_VALUE"""),"OK")</f>
        <v>OK</v>
      </c>
      <c r="F67" s="46"/>
      <c r="G67" s="62" t="s">
        <v>9245</v>
      </c>
      <c r="H67" s="45" t="s">
        <v>9258</v>
      </c>
    </row>
    <row r="68" spans="1:8">
      <c r="A68" s="59" t="s">
        <v>9259</v>
      </c>
      <c r="B68" s="12" t="str">
        <f ca="1">IFERROR(__xludf.DUMMYFUNCTION("""COMPUTED_VALUE"""),"Amy Rose - 67576256 - Onlyfans")</f>
        <v>Amy Rose - 67576256 - Onlyfans</v>
      </c>
      <c r="C68" s="60" t="str">
        <f ca="1">IFERROR(__xludf.DUMMYFUNCTION("""COMPUTED_VALUE"""),"https://thumbcdn.com/splash/c7vror99hzdidkjq.jpg")</f>
        <v>https://thumbcdn.com/splash/c7vror99hzdidkjq.jpg</v>
      </c>
      <c r="D68" s="12" t="s">
        <v>544</v>
      </c>
      <c r="E68" s="57" t="str">
        <f ca="1">IFERROR(__xludf.DUMMYFUNCTION("""COMPUTED_VALUE"""),"OK")</f>
        <v>OK</v>
      </c>
      <c r="F68" s="46"/>
      <c r="G68" s="64" t="s">
        <v>9245</v>
      </c>
      <c r="H68" s="45" t="s">
        <v>9260</v>
      </c>
    </row>
    <row r="69" spans="1:8">
      <c r="A69" s="12"/>
      <c r="B69" s="12" t="str">
        <f ca="1">IFERROR(__xludf.DUMMYFUNCTION("""COMPUTED_VALUE"""),"Amy Rose - 76271177 - Onlyfans")</f>
        <v>Amy Rose - 76271177 - Onlyfans</v>
      </c>
      <c r="C69" s="60" t="str">
        <f ca="1">IFERROR(__xludf.DUMMYFUNCTION("""COMPUTED_VALUE"""),"https://thumbcdn.com/splash/b9pseadi8ge0ejon.jpg")</f>
        <v>https://thumbcdn.com/splash/b9pseadi8ge0ejon.jpg</v>
      </c>
      <c r="D69" s="12" t="s">
        <v>548</v>
      </c>
      <c r="E69" s="57" t="str">
        <f ca="1">IFERROR(__xludf.DUMMYFUNCTION("""COMPUTED_VALUE"""),"OK")</f>
        <v>OK</v>
      </c>
      <c r="F69" s="46"/>
      <c r="G69" s="62" t="s">
        <v>9245</v>
      </c>
      <c r="H69" s="45" t="s">
        <v>9261</v>
      </c>
    </row>
    <row r="70" spans="1:8">
      <c r="A70" s="12" t="s">
        <v>9262</v>
      </c>
      <c r="B70" s="12" t="str">
        <f ca="1">IFERROR(__xludf.DUMMYFUNCTION("""COMPUTED_VALUE"""),"Amy Rose - 93974731 - Onlyfans")</f>
        <v>Amy Rose - 93974731 - Onlyfans</v>
      </c>
      <c r="C70" s="60" t="str">
        <f ca="1">IFERROR(__xludf.DUMMYFUNCTION("""COMPUTED_VALUE"""),"https://thumbcdn.com/splash/6l33pr5w6o5f46yx.jpg")</f>
        <v>https://thumbcdn.com/splash/6l33pr5w6o5f46yx.jpg</v>
      </c>
      <c r="D70" s="6" t="s">
        <v>552</v>
      </c>
      <c r="E70" s="63" t="str">
        <f ca="1">IFERROR(__xludf.DUMMYFUNCTION("""COMPUTED_VALUE"""),"OK")</f>
        <v>OK</v>
      </c>
      <c r="F70" s="46"/>
      <c r="G70" s="62" t="s">
        <v>9245</v>
      </c>
      <c r="H70" s="45" t="s">
        <v>9263</v>
      </c>
    </row>
    <row r="71" spans="1:8">
      <c r="A71" s="59" t="s">
        <v>9264</v>
      </c>
      <c r="B71" s="12" t="str">
        <f ca="1">IFERROR(__xludf.DUMMYFUNCTION("""COMPUTED_VALUE"""),"Angel Youngs - 10017287 - Onlyfans - Gabby Stone")</f>
        <v>Angel Youngs - 10017287 - Onlyfans - Gabby Stone</v>
      </c>
      <c r="C71" s="56" t="str">
        <f ca="1">IFERROR(__xludf.DUMMYFUNCTION("""COMPUTED_VALUE"""),"https://thumbcdn.com/splash/8w6op1udrj25btjg.jpg")</f>
        <v>https://thumbcdn.com/splash/8w6op1udrj25btjg.jpg</v>
      </c>
      <c r="D71" s="12" t="s">
        <v>576</v>
      </c>
      <c r="E71" s="57" t="str">
        <f ca="1">IFERROR(__xludf.DUMMYFUNCTION("""COMPUTED_VALUE"""),"OK")</f>
        <v>OK</v>
      </c>
      <c r="F71" s="46"/>
      <c r="G71" s="64" t="s">
        <v>9245</v>
      </c>
      <c r="H71" s="45" t="s">
        <v>9265</v>
      </c>
    </row>
    <row r="72" spans="1:8">
      <c r="A72" s="12"/>
      <c r="B72" s="12" t="str">
        <f ca="1">IFERROR(__xludf.DUMMYFUNCTION("""COMPUTED_VALUE"""),"Angel Youngs - 14830070 - Onlyfans")</f>
        <v>Angel Youngs - 14830070 - Onlyfans</v>
      </c>
      <c r="C72" s="60" t="str">
        <f ca="1">IFERROR(__xludf.DUMMYFUNCTION("""COMPUTED_VALUE"""),"https://thumbcdn.com/splash/2wos8pvxuf5vq6vf.jpg")</f>
        <v>https://thumbcdn.com/splash/2wos8pvxuf5vq6vf.jpg</v>
      </c>
      <c r="D72" s="12" t="s">
        <v>582</v>
      </c>
      <c r="E72" s="57" t="str">
        <f ca="1">IFERROR(__xludf.DUMMYFUNCTION("""COMPUTED_VALUE"""),"OK")</f>
        <v>OK</v>
      </c>
      <c r="F72" s="46"/>
      <c r="G72" s="62" t="s">
        <v>9266</v>
      </c>
      <c r="H72" s="45" t="s">
        <v>9267</v>
      </c>
    </row>
    <row r="73" spans="1:8">
      <c r="A73" s="12" t="s">
        <v>9268</v>
      </c>
      <c r="B73" s="12" t="str">
        <f ca="1">IFERROR(__xludf.DUMMYFUNCTION("""COMPUTED_VALUE"""),"Angel Youngs - 19396508 - Onlyfans - Victoria Peach")</f>
        <v>Angel Youngs - 19396508 - Onlyfans - Victoria Peach</v>
      </c>
      <c r="C73" s="60" t="str">
        <f ca="1">IFERROR(__xludf.DUMMYFUNCTION("""COMPUTED_VALUE"""),"https://thumbcdn.com/splash/48hnvr8i3pmgpw53.jpg")</f>
        <v>https://thumbcdn.com/splash/48hnvr8i3pmgpw53.jpg</v>
      </c>
      <c r="D73" s="12" t="s">
        <v>598</v>
      </c>
      <c r="E73" s="57" t="str">
        <f ca="1">IFERROR(__xludf.DUMMYFUNCTION("""COMPUTED_VALUE"""),"OK")</f>
        <v>OK</v>
      </c>
      <c r="F73" s="46"/>
      <c r="G73" s="62" t="s">
        <v>9266</v>
      </c>
      <c r="H73" s="45" t="s">
        <v>9269</v>
      </c>
    </row>
    <row r="74" spans="1:8">
      <c r="A74" s="59" t="s">
        <v>9270</v>
      </c>
      <c r="B74" s="12" t="str">
        <f ca="1">IFERROR(__xludf.DUMMYFUNCTION("""COMPUTED_VALUE"""),"Angel Youngs - 24858157 - Onlyfans")</f>
        <v>Angel Youngs - 24858157 - Onlyfans</v>
      </c>
      <c r="C74" s="60" t="str">
        <f ca="1">IFERROR(__xludf.DUMMYFUNCTION("""COMPUTED_VALUE"""),"https://thumbcdn.com/splash/t726cb1yg1v2ov1v.jpg")</f>
        <v>https://thumbcdn.com/splash/t726cb1yg1v2ov1v.jpg</v>
      </c>
      <c r="D74" s="12" t="s">
        <v>614</v>
      </c>
      <c r="E74" s="57" t="str">
        <f ca="1">IFERROR(__xludf.DUMMYFUNCTION("""COMPUTED_VALUE"""),"OK")</f>
        <v>OK</v>
      </c>
      <c r="F74" s="46"/>
      <c r="G74" s="64" t="s">
        <v>9266</v>
      </c>
      <c r="H74" s="45" t="s">
        <v>9271</v>
      </c>
    </row>
    <row r="75" spans="1:8">
      <c r="A75" s="12"/>
      <c r="B75" s="12" t="str">
        <f ca="1">IFERROR(__xludf.DUMMYFUNCTION("""COMPUTED_VALUE"""),"Angel Youngs - 35043183 - Onlyfans")</f>
        <v>Angel Youngs - 35043183 - Onlyfans</v>
      </c>
      <c r="C75" s="60" t="str">
        <f ca="1">IFERROR(__xludf.DUMMYFUNCTION("""COMPUTED_VALUE"""),"https://thumbcdn.com/splash/db9d8827vw1pd87z.jpg")</f>
        <v>https://thumbcdn.com/splash/db9d8827vw1pd87z.jpg</v>
      </c>
      <c r="D75" s="12" t="s">
        <v>624</v>
      </c>
      <c r="E75" s="57" t="str">
        <f ca="1">IFERROR(__xludf.DUMMYFUNCTION("""COMPUTED_VALUE"""),"OK")</f>
        <v>OK</v>
      </c>
      <c r="F75" s="46"/>
      <c r="G75" s="62" t="s">
        <v>9266</v>
      </c>
      <c r="H75" s="45" t="s">
        <v>9272</v>
      </c>
    </row>
    <row r="76" spans="1:8">
      <c r="A76" s="12" t="s">
        <v>9273</v>
      </c>
      <c r="B76" s="12" t="str">
        <f ca="1">IFERROR(__xludf.DUMMYFUNCTION("""COMPUTED_VALUE"""),"Angel Youngs - 42346078 - Blacked")</f>
        <v>Angel Youngs - 42346078 - Blacked</v>
      </c>
      <c r="C76" s="60" t="str">
        <f ca="1">IFERROR(__xludf.DUMMYFUNCTION("""COMPUTED_VALUE"""),"https://thumbcdn.com/splash/nqc8dqixeur4i3t6.jpg")</f>
        <v>https://thumbcdn.com/splash/nqc8dqixeur4i3t6.jpg</v>
      </c>
      <c r="D76" s="12" t="s">
        <v>642</v>
      </c>
      <c r="E76" s="57" t="str">
        <f ca="1">IFERROR(__xludf.DUMMYFUNCTION("""COMPUTED_VALUE"""),"OK")</f>
        <v>OK</v>
      </c>
      <c r="F76" s="46"/>
      <c r="G76" s="62" t="s">
        <v>9266</v>
      </c>
      <c r="H76" s="45" t="s">
        <v>9274</v>
      </c>
    </row>
    <row r="77" spans="1:8">
      <c r="A77" s="59" t="s">
        <v>9275</v>
      </c>
      <c r="B77" s="12" t="str">
        <f ca="1">IFERROR(__xludf.DUMMYFUNCTION("""COMPUTED_VALUE"""),"Angel Youngs - 43443695 - XVRED - Katrina Colt")</f>
        <v>Angel Youngs - 43443695 - XVRED - Katrina Colt</v>
      </c>
      <c r="C77" s="60" t="str">
        <f ca="1">IFERROR(__xludf.DUMMYFUNCTION("""COMPUTED_VALUE"""),"https://thumbcdn.com/splash/7e8932nvi3iu306z.jpg")</f>
        <v>https://thumbcdn.com/splash/7e8932nvi3iu306z.jpg</v>
      </c>
      <c r="D77" s="12" t="s">
        <v>648</v>
      </c>
      <c r="E77" s="57" t="str">
        <f ca="1">IFERROR(__xludf.DUMMYFUNCTION("""COMPUTED_VALUE"""),"OK")</f>
        <v>OK</v>
      </c>
      <c r="F77" s="46"/>
      <c r="G77" s="64" t="s">
        <v>9266</v>
      </c>
      <c r="H77" s="45" t="s">
        <v>9276</v>
      </c>
    </row>
    <row r="78" spans="1:8">
      <c r="A78" s="12"/>
      <c r="B78" s="12" t="str">
        <f ca="1">IFERROR(__xludf.DUMMYFUNCTION("""COMPUTED_VALUE"""),"Angel Youngs - 54216002 - Onlyfans - Angela White")</f>
        <v>Angel Youngs - 54216002 - Onlyfans - Angela White</v>
      </c>
      <c r="C78" s="60" t="str">
        <f ca="1">IFERROR(__xludf.DUMMYFUNCTION("""COMPUTED_VALUE"""),"https://thumbcdn.com/splash/utuss0vsednzmnfb.jpg")</f>
        <v>https://thumbcdn.com/splash/utuss0vsednzmnfb.jpg</v>
      </c>
      <c r="D78" s="12" t="s">
        <v>667</v>
      </c>
      <c r="E78" s="57" t="str">
        <f ca="1">IFERROR(__xludf.DUMMYFUNCTION("""COMPUTED_VALUE"""),"OK")</f>
        <v>OK</v>
      </c>
      <c r="F78" s="46"/>
      <c r="G78" s="62" t="s">
        <v>9266</v>
      </c>
      <c r="H78" s="45" t="s">
        <v>9277</v>
      </c>
    </row>
    <row r="79" spans="1:8">
      <c r="A79" s="12" t="s">
        <v>9278</v>
      </c>
      <c r="B79" s="12" t="str">
        <f ca="1">IFERROR(__xludf.DUMMYFUNCTION("""COMPUTED_VALUE"""),"Angel Youngs - 78515446 - Onlyfans - Angela White")</f>
        <v>Angel Youngs - 78515446 - Onlyfans - Angela White</v>
      </c>
      <c r="C79" s="60" t="str">
        <f ca="1">IFERROR(__xludf.DUMMYFUNCTION("""COMPUTED_VALUE"""),"https://thumbcdn.com/splash/vytx6v2zv2vv3jh7.jpg")</f>
        <v>https://thumbcdn.com/splash/vytx6v2zv2vv3jh7.jpg</v>
      </c>
      <c r="D79" s="12" t="s">
        <v>677</v>
      </c>
      <c r="E79" s="57" t="str">
        <f ca="1">IFERROR(__xludf.DUMMYFUNCTION("""COMPUTED_VALUE"""),"OK")</f>
        <v>OK</v>
      </c>
      <c r="F79" s="46"/>
      <c r="G79" s="62" t="s">
        <v>9266</v>
      </c>
      <c r="H79" s="45" t="s">
        <v>9279</v>
      </c>
    </row>
    <row r="80" spans="1:8">
      <c r="A80" s="59" t="s">
        <v>9280</v>
      </c>
      <c r="B80" s="12" t="str">
        <f ca="1">IFERROR(__xludf.DUMMYFUNCTION("""COMPUTED_VALUE"""),"Angel Youngs - 89644494 - Onlyfans")</f>
        <v>Angel Youngs - 89644494 - Onlyfans</v>
      </c>
      <c r="C80" s="60" t="str">
        <f ca="1">IFERROR(__xludf.DUMMYFUNCTION("""COMPUTED_VALUE"""),"https://thumbcdn.com/splash/ungzdigm0e5lezck.jpg")</f>
        <v>https://thumbcdn.com/splash/ungzdigm0e5lezck.jpg</v>
      </c>
      <c r="D80" s="12" t="s">
        <v>689</v>
      </c>
      <c r="E80" s="57" t="str">
        <f ca="1">IFERROR(__xludf.DUMMYFUNCTION("""COMPUTED_VALUE"""),"OK")</f>
        <v>OK</v>
      </c>
      <c r="F80" s="46"/>
      <c r="G80" s="64" t="s">
        <v>9266</v>
      </c>
      <c r="H80" s="45" t="s">
        <v>9281</v>
      </c>
    </row>
    <row r="81" spans="1:8">
      <c r="A81" s="12"/>
      <c r="B81" s="12" t="str">
        <f ca="1">IFERROR(__xludf.DUMMYFUNCTION("""COMPUTED_VALUE"""),"Angel Youngs - 94892923 - Onlyfans")</f>
        <v>Angel Youngs - 94892923 - Onlyfans</v>
      </c>
      <c r="C81" s="60" t="str">
        <f ca="1">IFERROR(__xludf.DUMMYFUNCTION("""COMPUTED_VALUE"""),"https://thumbcdn.com/splash/xu9409plgzngovvn.jpg")</f>
        <v>https://thumbcdn.com/splash/xu9409plgzngovvn.jpg</v>
      </c>
      <c r="D81" s="6" t="s">
        <v>707</v>
      </c>
      <c r="E81" s="63" t="str">
        <f ca="1">IFERROR(__xludf.DUMMYFUNCTION("""COMPUTED_VALUE"""),"OK")</f>
        <v>OK</v>
      </c>
      <c r="F81" s="46"/>
      <c r="G81" s="62" t="s">
        <v>9266</v>
      </c>
      <c r="H81" s="45" t="s">
        <v>9282</v>
      </c>
    </row>
    <row r="82" spans="1:8">
      <c r="A82" s="12" t="s">
        <v>9283</v>
      </c>
      <c r="B82" s="12" t="str">
        <f ca="1">IFERROR(__xludf.DUMMYFUNCTION("""COMPUTED_VALUE"""),"Angel Youngs - 95299695 - Onlyfans - Angela White")</f>
        <v>Angel Youngs - 95299695 - Onlyfans - Angela White</v>
      </c>
      <c r="C82" s="60" t="str">
        <f ca="1">IFERROR(__xludf.DUMMYFUNCTION("""COMPUTED_VALUE"""),"https://thumbcdn.com/splash/14cxzrasoblnkk6j.jpg")</f>
        <v>https://thumbcdn.com/splash/14cxzrasoblnkk6j.jpg</v>
      </c>
      <c r="D82" s="12" t="s">
        <v>713</v>
      </c>
      <c r="E82" s="57" t="str">
        <f ca="1">IFERROR(__xludf.DUMMYFUNCTION("""COMPUTED_VALUE"""),"OK")</f>
        <v>OK</v>
      </c>
      <c r="F82" s="46"/>
      <c r="G82" s="62" t="s">
        <v>9266</v>
      </c>
      <c r="H82" s="45" t="s">
        <v>9284</v>
      </c>
    </row>
    <row r="83" spans="1:8">
      <c r="A83" s="59" t="s">
        <v>9285</v>
      </c>
      <c r="B83" s="12" t="str">
        <f ca="1">IFERROR(__xludf.DUMMYFUNCTION("""COMPUTED_VALUE"""),"Angel Youngs - 99101023 - Onlyfans")</f>
        <v>Angel Youngs - 99101023 - Onlyfans</v>
      </c>
      <c r="C83" s="60" t="str">
        <f ca="1">IFERROR(__xludf.DUMMYFUNCTION("""COMPUTED_VALUE"""),"https://thumbcdn.com/splash/zb3rwjhbbnj55igw.jpg")</f>
        <v>https://thumbcdn.com/splash/zb3rwjhbbnj55igw.jpg</v>
      </c>
      <c r="D83" s="6" t="s">
        <v>717</v>
      </c>
      <c r="E83" s="63" t="str">
        <f ca="1">IFERROR(__xludf.DUMMYFUNCTION("""COMPUTED_VALUE"""),"OK")</f>
        <v>OK</v>
      </c>
      <c r="F83" s="46"/>
      <c r="G83" s="64" t="s">
        <v>9266</v>
      </c>
      <c r="H83" s="45" t="s">
        <v>9286</v>
      </c>
    </row>
    <row r="84" spans="1:8">
      <c r="A84" s="12"/>
      <c r="B84" s="12" t="str">
        <f ca="1">IFERROR(__xludf.DUMMYFUNCTION("""COMPUTED_VALUE"""),"Angela White - 12494438 - Onlyfans - VIolet Myers")</f>
        <v>Angela White - 12494438 - Onlyfans - VIolet Myers</v>
      </c>
      <c r="C84" s="60" t="str">
        <f ca="1">IFERROR(__xludf.DUMMYFUNCTION("""COMPUTED_VALUE"""),"https://thumbcdn.com/splash/ixabflwrseb9eswg.jpg")</f>
        <v>https://thumbcdn.com/splash/ixabflwrseb9eswg.jpg</v>
      </c>
      <c r="D84" s="12" t="s">
        <v>721</v>
      </c>
      <c r="E84" s="57" t="str">
        <f ca="1">IFERROR(__xludf.DUMMYFUNCTION("""COMPUTED_VALUE"""),"OK")</f>
        <v>OK</v>
      </c>
      <c r="F84" s="46"/>
      <c r="G84" s="62" t="s">
        <v>9266</v>
      </c>
      <c r="H84" s="45" t="s">
        <v>9287</v>
      </c>
    </row>
    <row r="85" spans="1:8">
      <c r="A85" s="12" t="s">
        <v>9288</v>
      </c>
      <c r="B85" s="12" t="str">
        <f ca="1">IFERROR(__xludf.DUMMYFUNCTION("""COMPUTED_VALUE"""),"Angela White - 12902427 - Onlyfans")</f>
        <v>Angela White - 12902427 - Onlyfans</v>
      </c>
      <c r="C85" s="60" t="str">
        <f ca="1">IFERROR(__xludf.DUMMYFUNCTION("""COMPUTED_VALUE"""),"https://thumbcdn.com/splash/6vnb3zx8i1csvmkr.jpg")</f>
        <v>https://thumbcdn.com/splash/6vnb3zx8i1csvmkr.jpg</v>
      </c>
      <c r="D85" s="6" t="s">
        <v>726</v>
      </c>
      <c r="E85" s="63" t="str">
        <f ca="1">IFERROR(__xludf.DUMMYFUNCTION("""COMPUTED_VALUE"""),"OK")</f>
        <v>OK</v>
      </c>
      <c r="F85" s="46"/>
      <c r="G85" s="62" t="s">
        <v>9289</v>
      </c>
      <c r="H85" s="45" t="s">
        <v>9290</v>
      </c>
    </row>
    <row r="86" spans="1:8">
      <c r="A86" s="59" t="s">
        <v>9291</v>
      </c>
      <c r="B86" s="12" t="str">
        <f ca="1">IFERROR(__xludf.DUMMYFUNCTION("""COMPUTED_VALUE"""),"Angela White - 13039747 - Onlyfans - Rissa May")</f>
        <v>Angela White - 13039747 - Onlyfans - Rissa May</v>
      </c>
      <c r="C86" s="60" t="str">
        <f ca="1">IFERROR(__xludf.DUMMYFUNCTION("""COMPUTED_VALUE"""),"https://thumbcdn.com/splash/a2cdm3h4x98dljvd.jpg")</f>
        <v>https://thumbcdn.com/splash/a2cdm3h4x98dljvd.jpg</v>
      </c>
      <c r="D86" s="12" t="s">
        <v>731</v>
      </c>
      <c r="E86" s="57" t="str">
        <f ca="1">IFERROR(__xludf.DUMMYFUNCTION("""COMPUTED_VALUE"""),"OK")</f>
        <v>OK</v>
      </c>
      <c r="F86" s="46"/>
      <c r="G86" s="64" t="s">
        <v>9289</v>
      </c>
      <c r="H86" s="45" t="s">
        <v>9292</v>
      </c>
    </row>
    <row r="87" spans="1:8">
      <c r="A87" s="12"/>
      <c r="B87" s="12" t="str">
        <f ca="1">IFERROR(__xludf.DUMMYFUNCTION("""COMPUTED_VALUE"""),"Angela White - 13108503 - Onlyfans - Violet Myers")</f>
        <v>Angela White - 13108503 - Onlyfans - Violet Myers</v>
      </c>
      <c r="C87" s="60" t="str">
        <f ca="1">IFERROR(__xludf.DUMMYFUNCTION("""COMPUTED_VALUE"""),"https://thumbcdn.com/splash/u4lac9cjh4089hjd.jpg")</f>
        <v>https://thumbcdn.com/splash/u4lac9cjh4089hjd.jpg</v>
      </c>
      <c r="D87" s="6" t="s">
        <v>736</v>
      </c>
      <c r="E87" s="63" t="str">
        <f ca="1">IFERROR(__xludf.DUMMYFUNCTION("""COMPUTED_VALUE"""),"OK")</f>
        <v>OK</v>
      </c>
      <c r="F87" s="46"/>
      <c r="G87" s="62" t="s">
        <v>9289</v>
      </c>
      <c r="H87" s="45" t="s">
        <v>9293</v>
      </c>
    </row>
    <row r="88" spans="1:8">
      <c r="A88" s="12" t="s">
        <v>9294</v>
      </c>
      <c r="B88" s="12" t="str">
        <f ca="1">IFERROR(__xludf.DUMMYFUNCTION("""COMPUTED_VALUE"""),"Angela White - 17458052 - Onlyfans")</f>
        <v>Angela White - 17458052 - Onlyfans</v>
      </c>
      <c r="C88" s="60" t="str">
        <f ca="1">IFERROR(__xludf.DUMMYFUNCTION("""COMPUTED_VALUE"""),"https://thumbcdn.com/splash/frne91yyo69ac0x7.jpg")</f>
        <v>https://thumbcdn.com/splash/frne91yyo69ac0x7.jpg</v>
      </c>
      <c r="D88" s="6" t="s">
        <v>748</v>
      </c>
      <c r="E88" s="63" t="str">
        <f ca="1">IFERROR(__xludf.DUMMYFUNCTION("""COMPUTED_VALUE"""),"OK")</f>
        <v>OK</v>
      </c>
      <c r="F88" s="46"/>
      <c r="G88" s="62" t="s">
        <v>9289</v>
      </c>
      <c r="H88" s="45" t="s">
        <v>9295</v>
      </c>
    </row>
    <row r="89" spans="1:8">
      <c r="A89" s="59" t="s">
        <v>9296</v>
      </c>
      <c r="B89" s="12" t="str">
        <f ca="1">IFERROR(__xludf.DUMMYFUNCTION("""COMPUTED_VALUE"""),"Angela White - 20460908 - Onlyfans")</f>
        <v>Angela White - 20460908 - Onlyfans</v>
      </c>
      <c r="C89" s="60" t="str">
        <f ca="1">IFERROR(__xludf.DUMMYFUNCTION("""COMPUTED_VALUE"""),"https://thumbcdn.com/splash/plplgrvgfbhjlxag.jpg")</f>
        <v>https://thumbcdn.com/splash/plplgrvgfbhjlxag.jpg</v>
      </c>
      <c r="D89" s="12" t="s">
        <v>772</v>
      </c>
      <c r="E89" s="57" t="str">
        <f ca="1">IFERROR(__xludf.DUMMYFUNCTION("""COMPUTED_VALUE"""),"OK")</f>
        <v>OK</v>
      </c>
      <c r="F89" s="46"/>
      <c r="G89" s="64" t="s">
        <v>9289</v>
      </c>
      <c r="H89" s="45" t="s">
        <v>9297</v>
      </c>
    </row>
    <row r="90" spans="1:8">
      <c r="A90" s="12"/>
      <c r="B90" s="12" t="str">
        <f ca="1">IFERROR(__xludf.DUMMYFUNCTION("""COMPUTED_VALUE"""),"Angela White - 25637668 - Onlyfans - Angel Youngs")</f>
        <v>Angela White - 25637668 - Onlyfans - Angel Youngs</v>
      </c>
      <c r="C90" s="60" t="str">
        <f ca="1">IFERROR(__xludf.DUMMYFUNCTION("""COMPUTED_VALUE"""),"https://thumbcdn.com/splash/4j6flmlk89wqcthj.jpg")</f>
        <v>https://thumbcdn.com/splash/4j6flmlk89wqcthj.jpg</v>
      </c>
      <c r="D90" s="12" t="s">
        <v>790</v>
      </c>
      <c r="E90" s="57" t="str">
        <f ca="1">IFERROR(__xludf.DUMMYFUNCTION("""COMPUTED_VALUE"""),"OK")</f>
        <v>OK</v>
      </c>
      <c r="F90" s="46"/>
      <c r="G90" s="62" t="s">
        <v>9289</v>
      </c>
      <c r="H90" s="45" t="s">
        <v>9298</v>
      </c>
    </row>
    <row r="91" spans="1:8">
      <c r="A91" s="12" t="s">
        <v>9299</v>
      </c>
      <c r="B91" s="12" t="str">
        <f ca="1">IFERROR(__xludf.DUMMYFUNCTION("""COMPUTED_VALUE"""),"Angela White - 26849040 - Onlyfans")</f>
        <v>Angela White - 26849040 - Onlyfans</v>
      </c>
      <c r="C91" s="60" t="str">
        <f ca="1">IFERROR(__xludf.DUMMYFUNCTION("""COMPUTED_VALUE"""),"https://thumbcdn.com/splash/cy3ews0n3bghzor6.jpg")</f>
        <v>https://thumbcdn.com/splash/cy3ews0n3bghzor6.jpg</v>
      </c>
      <c r="D91" s="12" t="s">
        <v>802</v>
      </c>
      <c r="E91" s="57" t="str">
        <f ca="1">IFERROR(__xludf.DUMMYFUNCTION("""COMPUTED_VALUE"""),"OK")</f>
        <v>OK</v>
      </c>
      <c r="F91" s="46"/>
      <c r="G91" s="62" t="s">
        <v>9289</v>
      </c>
      <c r="H91" s="45" t="s">
        <v>9300</v>
      </c>
    </row>
    <row r="92" spans="1:8">
      <c r="A92" s="59" t="s">
        <v>9301</v>
      </c>
      <c r="B92" s="12" t="str">
        <f ca="1">IFERROR(__xludf.DUMMYFUNCTION("""COMPUTED_VALUE"""),"Angela White - 35114411 - Onlyfans")</f>
        <v>Angela White - 35114411 - Onlyfans</v>
      </c>
      <c r="C92" s="60" t="str">
        <f ca="1">IFERROR(__xludf.DUMMYFUNCTION("""COMPUTED_VALUE"""),"https://thumbcdn.com/splash/hih40lpz3p6amu2n.jpg")</f>
        <v>https://thumbcdn.com/splash/hih40lpz3p6amu2n.jpg</v>
      </c>
      <c r="D92" s="16" t="s">
        <v>814</v>
      </c>
      <c r="E92" s="57" t="str">
        <f ca="1">IFERROR(__xludf.DUMMYFUNCTION("""COMPUTED_VALUE"""),"OK")</f>
        <v>OK</v>
      </c>
      <c r="F92" s="46"/>
      <c r="G92" s="64" t="s">
        <v>9289</v>
      </c>
      <c r="H92" s="45" t="s">
        <v>9302</v>
      </c>
    </row>
    <row r="93" spans="1:8">
      <c r="A93" s="12"/>
      <c r="B93" s="12" t="str">
        <f ca="1">IFERROR(__xludf.DUMMYFUNCTION("""COMPUTED_VALUE"""),"Angela White - 35508956 - Onlyfans")</f>
        <v>Angela White - 35508956 - Onlyfans</v>
      </c>
      <c r="C93" s="60" t="str">
        <f ca="1">IFERROR(__xludf.DUMMYFUNCTION("""COMPUTED_VALUE"""),"https://thumbcdn.com/splash/hyq42qw1j2t31apj.jpg")</f>
        <v>https://thumbcdn.com/splash/hyq42qw1j2t31apj.jpg</v>
      </c>
      <c r="D93" s="16" t="s">
        <v>819</v>
      </c>
      <c r="E93" s="57" t="str">
        <f ca="1">IFERROR(__xludf.DUMMYFUNCTION("""COMPUTED_VALUE"""),"OK")</f>
        <v>OK</v>
      </c>
      <c r="F93" s="46"/>
      <c r="G93" s="62" t="s">
        <v>9289</v>
      </c>
      <c r="H93" s="45" t="s">
        <v>9303</v>
      </c>
    </row>
    <row r="94" spans="1:8">
      <c r="A94" s="12" t="s">
        <v>9304</v>
      </c>
      <c r="B94" s="12" t="str">
        <f ca="1">IFERROR(__xludf.DUMMYFUNCTION("""COMPUTED_VALUE"""),"Angela White - 35786373 - Onlyfans - Slimthic Vic")</f>
        <v>Angela White - 35786373 - Onlyfans - Slimthic Vic</v>
      </c>
      <c r="C94" s="60" t="str">
        <f ca="1">IFERROR(__xludf.DUMMYFUNCTION("""COMPUTED_VALUE"""),"https://thumbcdn.com/splash/vu6vxo2lt1420048.jpg")</f>
        <v>https://thumbcdn.com/splash/vu6vxo2lt1420048.jpg</v>
      </c>
      <c r="D94" s="12" t="s">
        <v>824</v>
      </c>
      <c r="E94" s="57" t="str">
        <f ca="1">IFERROR(__xludf.DUMMYFUNCTION("""COMPUTED_VALUE"""),"OK")</f>
        <v>OK</v>
      </c>
      <c r="F94" s="46"/>
      <c r="G94" s="62" t="s">
        <v>9289</v>
      </c>
      <c r="H94" s="45" t="s">
        <v>9305</v>
      </c>
    </row>
    <row r="95" spans="1:8">
      <c r="A95" s="59" t="s">
        <v>9306</v>
      </c>
      <c r="B95" s="12" t="str">
        <f ca="1">IFERROR(__xludf.DUMMYFUNCTION("""COMPUTED_VALUE"""),"Angela White - 36065019 - Onlyfans")</f>
        <v>Angela White - 36065019 - Onlyfans</v>
      </c>
      <c r="C95" s="60" t="str">
        <f ca="1">IFERROR(__xludf.DUMMYFUNCTION("""COMPUTED_VALUE"""),"https://thumbcdn.com/splash/8uvav6rnlrihj7hq.jpg")</f>
        <v>https://thumbcdn.com/splash/8uvav6rnlrihj7hq.jpg</v>
      </c>
      <c r="D95" s="12" t="s">
        <v>829</v>
      </c>
      <c r="E95" s="57" t="str">
        <f ca="1">IFERROR(__xludf.DUMMYFUNCTION("""COMPUTED_VALUE"""),"OK")</f>
        <v>OK</v>
      </c>
      <c r="F95" s="46"/>
      <c r="G95" s="64" t="s">
        <v>9289</v>
      </c>
      <c r="H95" s="45" t="s">
        <v>9307</v>
      </c>
    </row>
    <row r="96" spans="1:8">
      <c r="A96" s="12"/>
      <c r="B96" s="12" t="str">
        <f ca="1">IFERROR(__xludf.DUMMYFUNCTION("""COMPUTED_VALUE"""),"Angela White - 42471317 - Onlyfans")</f>
        <v>Angela White - 42471317 - Onlyfans</v>
      </c>
      <c r="C96" s="60" t="str">
        <f ca="1">IFERROR(__xludf.DUMMYFUNCTION("""COMPUTED_VALUE"""),"https://thumbcdn.com/splash/12gdfu2yv72pvxg7.jpg")</f>
        <v>https://thumbcdn.com/splash/12gdfu2yv72pvxg7.jpg</v>
      </c>
      <c r="D96" s="12" t="s">
        <v>847</v>
      </c>
      <c r="E96" s="57" t="str">
        <f ca="1">IFERROR(__xludf.DUMMYFUNCTION("""COMPUTED_VALUE"""),"OK")</f>
        <v>OK</v>
      </c>
      <c r="F96" s="46"/>
      <c r="G96" s="62" t="s">
        <v>9289</v>
      </c>
      <c r="H96" s="45" t="s">
        <v>9308</v>
      </c>
    </row>
    <row r="97" spans="1:8">
      <c r="A97" s="12" t="s">
        <v>9309</v>
      </c>
      <c r="B97" s="12" t="str">
        <f ca="1">IFERROR(__xludf.DUMMYFUNCTION("""COMPUTED_VALUE"""),"Angela White - 44664461 - Onlyfans - Violet Myers")</f>
        <v>Angela White - 44664461 - Onlyfans - Violet Myers</v>
      </c>
      <c r="C97" s="60" t="str">
        <f ca="1">IFERROR(__xludf.DUMMYFUNCTION("""COMPUTED_VALUE"""),"https://thumbcdn.com/splash/3ssh0y98168b4bhx.jpg")</f>
        <v>https://thumbcdn.com/splash/3ssh0y98168b4bhx.jpg</v>
      </c>
      <c r="D97" s="12" t="s">
        <v>864</v>
      </c>
      <c r="E97" s="57" t="str">
        <f ca="1">IFERROR(__xludf.DUMMYFUNCTION("""COMPUTED_VALUE"""),"OK")</f>
        <v>OK</v>
      </c>
      <c r="F97" s="46"/>
      <c r="G97" s="62" t="s">
        <v>9289</v>
      </c>
      <c r="H97" s="45" t="s">
        <v>9310</v>
      </c>
    </row>
    <row r="98" spans="1:8">
      <c r="A98" s="59" t="s">
        <v>9311</v>
      </c>
      <c r="B98" s="12" t="str">
        <f ca="1">IFERROR(__xludf.DUMMYFUNCTION("""COMPUTED_VALUE"""),"Angela White - 55230680 - Onlyfans")</f>
        <v>Angela White - 55230680 - Onlyfans</v>
      </c>
      <c r="C98" s="60" t="str">
        <f ca="1">IFERROR(__xludf.DUMMYFUNCTION("""COMPUTED_VALUE"""),"https://thumbcdn.com/splash/au0if5vr0rsx0vqs.jpg")</f>
        <v>https://thumbcdn.com/splash/au0if5vr0rsx0vqs.jpg</v>
      </c>
      <c r="D98" s="6" t="s">
        <v>869</v>
      </c>
      <c r="E98" s="63" t="str">
        <f ca="1">IFERROR(__xludf.DUMMYFUNCTION("""COMPUTED_VALUE"""),"OK")</f>
        <v>OK</v>
      </c>
      <c r="F98" s="46"/>
      <c r="G98" s="64" t="s">
        <v>9289</v>
      </c>
      <c r="H98" s="45" t="s">
        <v>9312</v>
      </c>
    </row>
    <row r="99" spans="1:8">
      <c r="A99" s="12"/>
      <c r="B99" s="12" t="str">
        <f ca="1">IFERROR(__xludf.DUMMYFUNCTION("""COMPUTED_VALUE"""),"Angela White - 57030955 - Onlyfans")</f>
        <v>Angela White - 57030955 - Onlyfans</v>
      </c>
      <c r="C99" s="60" t="str">
        <f ca="1">IFERROR(__xludf.DUMMYFUNCTION("""COMPUTED_VALUE"""),"https://thumbcdn.com/splash/3sj6gimgmvse60qs.jpg")</f>
        <v>https://thumbcdn.com/splash/3sj6gimgmvse60qs.jpg</v>
      </c>
      <c r="D99" s="6" t="s">
        <v>874</v>
      </c>
      <c r="E99" s="63" t="str">
        <f ca="1">IFERROR(__xludf.DUMMYFUNCTION("""COMPUTED_VALUE"""),"OK")</f>
        <v>OK</v>
      </c>
      <c r="F99" s="46"/>
      <c r="G99" s="62" t="s">
        <v>9289</v>
      </c>
      <c r="H99" s="45" t="s">
        <v>9313</v>
      </c>
    </row>
    <row r="100" spans="1:8">
      <c r="A100" s="12" t="s">
        <v>9314</v>
      </c>
      <c r="B100" s="12" t="str">
        <f ca="1">IFERROR(__xludf.DUMMYFUNCTION("""COMPUTED_VALUE"""),"Angela White - 61068711 - Onlyfans")</f>
        <v>Angela White - 61068711 - Onlyfans</v>
      </c>
      <c r="C100" s="60" t="str">
        <f ca="1">IFERROR(__xludf.DUMMYFUNCTION("""COMPUTED_VALUE"""),"https://thumbcdn.com/splash/suwoxziqd9atycx8.jpg")</f>
        <v>https://thumbcdn.com/splash/suwoxziqd9atycx8.jpg</v>
      </c>
      <c r="D100" s="6" t="s">
        <v>879</v>
      </c>
      <c r="E100" s="63" t="str">
        <f ca="1">IFERROR(__xludf.DUMMYFUNCTION("""COMPUTED_VALUE"""),"OK")</f>
        <v>OK</v>
      </c>
      <c r="F100" s="46"/>
      <c r="G100" s="62" t="s">
        <v>9289</v>
      </c>
      <c r="H100" s="45" t="s">
        <v>9315</v>
      </c>
    </row>
    <row r="101" spans="1:8">
      <c r="A101" s="59" t="s">
        <v>9316</v>
      </c>
      <c r="B101" s="12" t="str">
        <f ca="1">IFERROR(__xludf.DUMMYFUNCTION("""COMPUTED_VALUE"""),"Angela White - 62235682 - Onlyfans - Lucy Lotus")</f>
        <v>Angela White - 62235682 - Onlyfans - Lucy Lotus</v>
      </c>
      <c r="C101" s="60" t="str">
        <f ca="1">IFERROR(__xludf.DUMMYFUNCTION("""COMPUTED_VALUE"""),"https://thumbcdn.com/splash/lsnb8142sopx0r8d.jpg")</f>
        <v>https://thumbcdn.com/splash/lsnb8142sopx0r8d.jpg</v>
      </c>
      <c r="D101" s="12" t="s">
        <v>890</v>
      </c>
      <c r="E101" s="57" t="str">
        <f ca="1">IFERROR(__xludf.DUMMYFUNCTION("""COMPUTED_VALUE"""),"OK")</f>
        <v>OK</v>
      </c>
      <c r="F101" s="46"/>
      <c r="G101" s="64" t="s">
        <v>9289</v>
      </c>
      <c r="H101" s="45" t="s">
        <v>9317</v>
      </c>
    </row>
    <row r="102" spans="1:8">
      <c r="A102" s="12"/>
      <c r="B102" s="12" t="str">
        <f ca="1">IFERROR(__xludf.DUMMYFUNCTION("""COMPUTED_VALUE"""),"Angela White - 66371349 - Onlyfans - Mia Malkova - Riley Reid")</f>
        <v>Angela White - 66371349 - Onlyfans - Mia Malkova - Riley Reid</v>
      </c>
      <c r="C102" s="60" t="str">
        <f ca="1">IFERROR(__xludf.DUMMYFUNCTION("""COMPUTED_VALUE"""),"https://thumbcdn.com/splash/w0p3izo715rpkn6k.jpg")</f>
        <v>https://thumbcdn.com/splash/w0p3izo715rpkn6k.jpg</v>
      </c>
      <c r="D102" s="12" t="s">
        <v>908</v>
      </c>
      <c r="E102" s="57" t="str">
        <f ca="1">IFERROR(__xludf.DUMMYFUNCTION("""COMPUTED_VALUE"""),"OK")</f>
        <v>OK</v>
      </c>
      <c r="F102" s="46"/>
      <c r="G102" s="62" t="s">
        <v>9289</v>
      </c>
      <c r="H102" s="45" t="s">
        <v>9318</v>
      </c>
    </row>
    <row r="103" spans="1:8">
      <c r="A103" s="12" t="s">
        <v>9319</v>
      </c>
      <c r="B103" s="12" t="str">
        <f ca="1">IFERROR(__xludf.DUMMYFUNCTION("""COMPUTED_VALUE"""),"Angela White - 67538070 - Onlyfans")</f>
        <v>Angela White - 67538070 - Onlyfans</v>
      </c>
      <c r="C103" s="60" t="str">
        <f ca="1">IFERROR(__xludf.DUMMYFUNCTION("""COMPUTED_VALUE"""),"https://thumbcdn.com/splash/arozad4n0snccuwj.jpg")</f>
        <v>https://thumbcdn.com/splash/arozad4n0snccuwj.jpg</v>
      </c>
      <c r="D103" s="12" t="s">
        <v>913</v>
      </c>
      <c r="E103" s="57" t="str">
        <f ca="1">IFERROR(__xludf.DUMMYFUNCTION("""COMPUTED_VALUE"""),"OK")</f>
        <v>OK</v>
      </c>
      <c r="F103" s="46"/>
      <c r="G103" s="62" t="s">
        <v>9289</v>
      </c>
      <c r="H103" s="45" t="s">
        <v>9320</v>
      </c>
    </row>
    <row r="104" spans="1:8">
      <c r="A104" s="59" t="s">
        <v>9321</v>
      </c>
      <c r="B104" s="12" t="str">
        <f ca="1">IFERROR(__xludf.DUMMYFUNCTION("""COMPUTED_VALUE"""),"Angela White - 68398268 - Onlyfans")</f>
        <v>Angela White - 68398268 - Onlyfans</v>
      </c>
      <c r="C104" s="60" t="str">
        <f ca="1">IFERROR(__xludf.DUMMYFUNCTION("""COMPUTED_VALUE"""),"https://thumbcdn.com/splash/i6t02q1xrvt6z3ul.jpg")</f>
        <v>https://thumbcdn.com/splash/i6t02q1xrvt6z3ul.jpg</v>
      </c>
      <c r="D104" s="12" t="s">
        <v>918</v>
      </c>
      <c r="E104" s="57" t="str">
        <f ca="1">IFERROR(__xludf.DUMMYFUNCTION("""COMPUTED_VALUE"""),"OK")</f>
        <v>OK</v>
      </c>
      <c r="F104" s="46"/>
      <c r="G104" s="64" t="s">
        <v>9289</v>
      </c>
      <c r="H104" s="45" t="s">
        <v>9322</v>
      </c>
    </row>
    <row r="105" spans="1:8">
      <c r="A105" s="12"/>
      <c r="B105" s="12" t="str">
        <f ca="1">IFERROR(__xludf.DUMMYFUNCTION("""COMPUTED_VALUE"""),"Angela White - 68460886 - Onlyfans")</f>
        <v>Angela White - 68460886 - Onlyfans</v>
      </c>
      <c r="C105" s="60" t="str">
        <f ca="1">IFERROR(__xludf.DUMMYFUNCTION("""COMPUTED_VALUE"""),"https://thumbcdn.com/splash/fnit5bux2jffm9l9.jpg")</f>
        <v>https://thumbcdn.com/splash/fnit5bux2jffm9l9.jpg</v>
      </c>
      <c r="D105" s="6" t="s">
        <v>923</v>
      </c>
      <c r="E105" s="63" t="str">
        <f ca="1">IFERROR(__xludf.DUMMYFUNCTION("""COMPUTED_VALUE"""),"OK")</f>
        <v>OK</v>
      </c>
      <c r="F105" s="46"/>
      <c r="G105" s="62" t="s">
        <v>9289</v>
      </c>
      <c r="H105" s="45" t="s">
        <v>9323</v>
      </c>
    </row>
    <row r="106" spans="1:8">
      <c r="A106" s="12" t="s">
        <v>9324</v>
      </c>
      <c r="B106" s="12" t="str">
        <f ca="1">IFERROR(__xludf.DUMMYFUNCTION("""COMPUTED_VALUE"""),"Angela White - 74594738 - Onlyfans")</f>
        <v>Angela White - 74594738 - Onlyfans</v>
      </c>
      <c r="C106" s="60" t="str">
        <f ca="1">IFERROR(__xludf.DUMMYFUNCTION("""COMPUTED_VALUE"""),"https://thumbcdn.com/splash/n6h40vgejo3q6myq.jpg")</f>
        <v>https://thumbcdn.com/splash/n6h40vgejo3q6myq.jpg</v>
      </c>
      <c r="D106" s="12" t="s">
        <v>937</v>
      </c>
      <c r="E106" s="57" t="str">
        <f ca="1">IFERROR(__xludf.DUMMYFUNCTION("""COMPUTED_VALUE"""),"OK")</f>
        <v>OK</v>
      </c>
      <c r="F106" s="46"/>
      <c r="G106" s="62" t="s">
        <v>9289</v>
      </c>
      <c r="H106" s="45" t="s">
        <v>9325</v>
      </c>
    </row>
    <row r="107" spans="1:8">
      <c r="A107" s="59" t="s">
        <v>9326</v>
      </c>
      <c r="B107" s="12" t="str">
        <f ca="1">IFERROR(__xludf.DUMMYFUNCTION("""COMPUTED_VALUE"""),"Angela White - 75043078 - Onlyfans")</f>
        <v>Angela White - 75043078 - Onlyfans</v>
      </c>
      <c r="C107" s="60" t="str">
        <f ca="1">IFERROR(__xludf.DUMMYFUNCTION("""COMPUTED_VALUE"""),"https://thumbcdn.com/splash/0que4tuqipv0z88q.jpg")</f>
        <v>https://thumbcdn.com/splash/0que4tuqipv0z88q.jpg</v>
      </c>
      <c r="D107" s="6" t="s">
        <v>942</v>
      </c>
      <c r="E107" s="63" t="str">
        <f ca="1">IFERROR(__xludf.DUMMYFUNCTION("""COMPUTED_VALUE"""),"OK")</f>
        <v>OK</v>
      </c>
      <c r="F107" s="46"/>
      <c r="G107" s="64" t="s">
        <v>9289</v>
      </c>
      <c r="H107" s="45" t="s">
        <v>9327</v>
      </c>
    </row>
    <row r="108" spans="1:8">
      <c r="A108" s="12"/>
      <c r="B108" s="12" t="str">
        <f ca="1">IFERROR(__xludf.DUMMYFUNCTION("""COMPUTED_VALUE"""),"Angela White - 80252257 - Onlyfans")</f>
        <v>Angela White - 80252257 - Onlyfans</v>
      </c>
      <c r="C108" s="60" t="str">
        <f ca="1">IFERROR(__xludf.DUMMYFUNCTION("""COMPUTED_VALUE"""),"https://thumbcdn.com/splash/a0pq8lra3vha3q7w.jpg")</f>
        <v>https://thumbcdn.com/splash/a0pq8lra3vha3q7w.jpg</v>
      </c>
      <c r="D108" s="12" t="s">
        <v>949</v>
      </c>
      <c r="E108" s="57" t="str">
        <f ca="1">IFERROR(__xludf.DUMMYFUNCTION("""COMPUTED_VALUE"""),"OK")</f>
        <v>OK</v>
      </c>
      <c r="F108" s="46"/>
      <c r="G108" s="62" t="s">
        <v>9289</v>
      </c>
      <c r="H108" s="45" t="s">
        <v>9328</v>
      </c>
    </row>
    <row r="109" spans="1:8">
      <c r="A109" s="12" t="s">
        <v>9329</v>
      </c>
      <c r="B109" s="12" t="str">
        <f ca="1">IFERROR(__xludf.DUMMYFUNCTION("""COMPUTED_VALUE"""),"Angela White - 84891613 - Onlyfans")</f>
        <v>Angela White - 84891613 - Onlyfans</v>
      </c>
      <c r="C109" s="60" t="str">
        <f ca="1">IFERROR(__xludf.DUMMYFUNCTION("""COMPUTED_VALUE"""),"https://thumbcdn.com/splash/ym3vpcimblxk5joj.jpg")</f>
        <v>https://thumbcdn.com/splash/ym3vpcimblxk5joj.jpg</v>
      </c>
      <c r="D109" s="12" t="s">
        <v>968</v>
      </c>
      <c r="E109" s="57" t="str">
        <f ca="1">IFERROR(__xludf.DUMMYFUNCTION("""COMPUTED_VALUE"""),"OK")</f>
        <v>OK</v>
      </c>
      <c r="F109" s="46"/>
      <c r="G109" s="62" t="s">
        <v>9289</v>
      </c>
      <c r="H109" s="45" t="s">
        <v>9330</v>
      </c>
    </row>
    <row r="110" spans="1:8">
      <c r="A110" s="59" t="s">
        <v>9331</v>
      </c>
      <c r="B110" s="12" t="str">
        <f ca="1">IFERROR(__xludf.DUMMYFUNCTION("""COMPUTED_VALUE"""),"Angela White - 90791951 - Onlyfans - Lily Starfire")</f>
        <v>Angela White - 90791951 - Onlyfans - Lily Starfire</v>
      </c>
      <c r="C110" s="60" t="str">
        <f ca="1">IFERROR(__xludf.DUMMYFUNCTION("""COMPUTED_VALUE"""),"https://thumbcdn.com/splash/dy8kl7ro6f1v5jtj.jpg")</f>
        <v>https://thumbcdn.com/splash/dy8kl7ro6f1v5jtj.jpg</v>
      </c>
      <c r="D110" s="12" t="s">
        <v>978</v>
      </c>
      <c r="E110" s="57" t="str">
        <f ca="1">IFERROR(__xludf.DUMMYFUNCTION("""COMPUTED_VALUE"""),"OK")</f>
        <v>OK</v>
      </c>
      <c r="F110" s="46"/>
      <c r="G110" s="64" t="s">
        <v>9289</v>
      </c>
      <c r="H110" s="45" t="s">
        <v>9332</v>
      </c>
    </row>
    <row r="111" spans="1:8">
      <c r="A111" s="12"/>
      <c r="B111" s="12" t="str">
        <f ca="1">IFERROR(__xludf.DUMMYFUNCTION("""COMPUTED_VALUE"""),"Angela White - 91733115 - Onlyfans")</f>
        <v>Angela White - 91733115 - Onlyfans</v>
      </c>
      <c r="C111" s="60" t="str">
        <f ca="1">IFERROR(__xludf.DUMMYFUNCTION("""COMPUTED_VALUE"""),"https://thumbcdn.com/splash/ykarz4vpya8cnywz.jpg")</f>
        <v>https://thumbcdn.com/splash/ykarz4vpya8cnywz.jpg</v>
      </c>
      <c r="D111" s="12" t="s">
        <v>983</v>
      </c>
      <c r="E111" s="57" t="str">
        <f ca="1">IFERROR(__xludf.DUMMYFUNCTION("""COMPUTED_VALUE"""),"OK")</f>
        <v>OK</v>
      </c>
      <c r="F111" s="46"/>
      <c r="G111" s="62" t="s">
        <v>9289</v>
      </c>
      <c r="H111" s="45" t="s">
        <v>9333</v>
      </c>
    </row>
    <row r="112" spans="1:8">
      <c r="A112" s="12" t="s">
        <v>9334</v>
      </c>
      <c r="B112" s="12" t="str">
        <f ca="1">IFERROR(__xludf.DUMMYFUNCTION("""COMPUTED_VALUE"""),"Angela White - 95008111 - Onlyfans - Violet Myers")</f>
        <v>Angela White - 95008111 - Onlyfans - Violet Myers</v>
      </c>
      <c r="C112" s="60" t="str">
        <f ca="1">IFERROR(__xludf.DUMMYFUNCTION("""COMPUTED_VALUE"""),"https://thumbcdn.com/splash/fdbrdu8uu2zerr30.jpg")</f>
        <v>https://thumbcdn.com/splash/fdbrdu8uu2zerr30.jpg</v>
      </c>
      <c r="D112" s="6" t="s">
        <v>1001</v>
      </c>
      <c r="E112" s="63" t="str">
        <f ca="1">IFERROR(__xludf.DUMMYFUNCTION("""COMPUTED_VALUE"""),"OK")</f>
        <v>OK</v>
      </c>
      <c r="F112" s="46"/>
      <c r="G112" s="62" t="s">
        <v>9289</v>
      </c>
      <c r="H112" s="45" t="s">
        <v>9335</v>
      </c>
    </row>
    <row r="113" spans="1:8">
      <c r="A113" s="59" t="s">
        <v>9336</v>
      </c>
      <c r="B113" s="12" t="str">
        <f ca="1">IFERROR(__xludf.DUMMYFUNCTION("""COMPUTED_VALUE"""),"Angela White - 99679909 - Onlyfans - Lily Starfire")</f>
        <v>Angela White - 99679909 - Onlyfans - Lily Starfire</v>
      </c>
      <c r="C113" s="60" t="str">
        <f ca="1">IFERROR(__xludf.DUMMYFUNCTION("""COMPUTED_VALUE"""),"https://thumbcdn.com/splash/ig6jetty48i5dd6x.jpg")</f>
        <v>https://thumbcdn.com/splash/ig6jetty48i5dd6x.jpg</v>
      </c>
      <c r="D113" s="12" t="s">
        <v>1020</v>
      </c>
      <c r="E113" s="57" t="str">
        <f ca="1">IFERROR(__xludf.DUMMYFUNCTION("""COMPUTED_VALUE"""),"OK")</f>
        <v>OK</v>
      </c>
      <c r="F113" s="46"/>
      <c r="G113" s="64" t="s">
        <v>9289</v>
      </c>
      <c r="H113" s="45" t="s">
        <v>9337</v>
      </c>
    </row>
    <row r="114" spans="1:8">
      <c r="A114" s="12"/>
      <c r="B114" s="12" t="str">
        <f ca="1">IFERROR(__xludf.DUMMYFUNCTION("""COMPUTED_VALUE"""),"Angie Faith - 27452056 - Blacked")</f>
        <v>Angie Faith - 27452056 - Blacked</v>
      </c>
      <c r="C114" s="60" t="str">
        <f ca="1">IFERROR(__xludf.DUMMYFUNCTION("""COMPUTED_VALUE"""),"https://thumbcdn.com/splash/rgeam8jl0h2wdewl.jpg")</f>
        <v>https://thumbcdn.com/splash/rgeam8jl0h2wdewl.jpg</v>
      </c>
      <c r="D114" s="6" t="s">
        <v>1027</v>
      </c>
      <c r="E114" s="63" t="str">
        <f ca="1">IFERROR(__xludf.DUMMYFUNCTION("""COMPUTED_VALUE"""),"OK")</f>
        <v>OK</v>
      </c>
      <c r="F114" s="46"/>
      <c r="G114" s="62" t="s">
        <v>9289</v>
      </c>
      <c r="H114" s="45" t="s">
        <v>9338</v>
      </c>
    </row>
    <row r="115" spans="1:8">
      <c r="A115" s="12" t="s">
        <v>9339</v>
      </c>
      <c r="B115" s="12" t="str">
        <f ca="1">IFERROR(__xludf.DUMMYFUNCTION("""COMPUTED_VALUE"""),"Angie Faith - 43434590 - Onlyfans")</f>
        <v>Angie Faith - 43434590 - Onlyfans</v>
      </c>
      <c r="C115" s="60" t="str">
        <f ca="1">IFERROR(__xludf.DUMMYFUNCTION("""COMPUTED_VALUE"""),"https://thumbcdn.com/splash/gsx7y08l2d1q4zkm.jpg")</f>
        <v>https://thumbcdn.com/splash/gsx7y08l2d1q4zkm.jpg</v>
      </c>
      <c r="D115" s="12" t="s">
        <v>1031</v>
      </c>
      <c r="E115" s="57" t="str">
        <f ca="1">IFERROR(__xludf.DUMMYFUNCTION("""COMPUTED_VALUE"""),"OK")</f>
        <v>OK</v>
      </c>
      <c r="F115" s="46"/>
      <c r="G115" s="62" t="s">
        <v>9340</v>
      </c>
      <c r="H115" s="45" t="s">
        <v>9341</v>
      </c>
    </row>
    <row r="116" spans="1:8">
      <c r="A116" s="59" t="s">
        <v>9342</v>
      </c>
      <c r="B116" s="12" t="str">
        <f ca="1">IFERROR(__xludf.DUMMYFUNCTION("""COMPUTED_VALUE"""),"Angie Faith - 55810526 - Onlyfans")</f>
        <v>Angie Faith - 55810526 - Onlyfans</v>
      </c>
      <c r="C116" s="60" t="str">
        <f ca="1">IFERROR(__xludf.DUMMYFUNCTION("""COMPUTED_VALUE"""),"https://thumbcdn.com/splash/l5d6e44n0031dwu1.jpg")</f>
        <v>https://thumbcdn.com/splash/l5d6e44n0031dwu1.jpg</v>
      </c>
      <c r="D116" s="12" t="s">
        <v>1035</v>
      </c>
      <c r="E116" s="57" t="str">
        <f ca="1">IFERROR(__xludf.DUMMYFUNCTION("""COMPUTED_VALUE"""),"OK")</f>
        <v>OK</v>
      </c>
      <c r="F116" s="46"/>
      <c r="G116" s="64" t="s">
        <v>9340</v>
      </c>
      <c r="H116" s="45" t="s">
        <v>9343</v>
      </c>
    </row>
    <row r="117" spans="1:8">
      <c r="A117" s="12"/>
      <c r="B117" s="12" t="str">
        <f ca="1">IFERROR(__xludf.DUMMYFUNCTION("""COMPUTED_VALUE"""),"Angie Faith - 73673203 - Deeper")</f>
        <v>Angie Faith - 73673203 - Deeper</v>
      </c>
      <c r="C117" s="60" t="str">
        <f ca="1">IFERROR(__xludf.DUMMYFUNCTION("""COMPUTED_VALUE"""),"https://thumbcdn.com/splash/ccoify2z7qd9ivip.jpg")</f>
        <v>https://thumbcdn.com/splash/ccoify2z7qd9ivip.jpg</v>
      </c>
      <c r="D117" s="12" t="s">
        <v>1047</v>
      </c>
      <c r="E117" s="57" t="str">
        <f ca="1">IFERROR(__xludf.DUMMYFUNCTION("""COMPUTED_VALUE"""),"OK")</f>
        <v>OK</v>
      </c>
      <c r="F117" s="46"/>
      <c r="G117" s="62" t="s">
        <v>9340</v>
      </c>
      <c r="H117" s="45" t="s">
        <v>9344</v>
      </c>
    </row>
    <row r="118" spans="1:8">
      <c r="A118" s="12" t="s">
        <v>9345</v>
      </c>
      <c r="B118" s="12" t="str">
        <f ca="1">IFERROR(__xludf.DUMMYFUNCTION("""COMPUTED_VALUE"""),"Angie Faith - 78793411 - Onlyfans")</f>
        <v>Angie Faith - 78793411 - Onlyfans</v>
      </c>
      <c r="C118" s="60" t="str">
        <f ca="1">IFERROR(__xludf.DUMMYFUNCTION("""COMPUTED_VALUE"""),"https://thumbcdn.com/splash/3dh4ekp5woyrg30d.jpg")</f>
        <v>https://thumbcdn.com/splash/3dh4ekp5woyrg30d.jpg</v>
      </c>
      <c r="D118" s="16" t="s">
        <v>1052</v>
      </c>
      <c r="E118" s="57" t="str">
        <f ca="1">IFERROR(__xludf.DUMMYFUNCTION("""COMPUTED_VALUE"""),"OK")</f>
        <v>OK</v>
      </c>
      <c r="F118" s="46"/>
      <c r="G118" s="62" t="s">
        <v>9340</v>
      </c>
      <c r="H118" s="45" t="s">
        <v>9346</v>
      </c>
    </row>
    <row r="119" spans="1:8">
      <c r="A119" s="59" t="s">
        <v>9347</v>
      </c>
      <c r="B119" s="12" t="str">
        <f ca="1">IFERROR(__xludf.DUMMYFUNCTION("""COMPUTED_VALUE"""),"Angie Faith - 82486972 - MrLLife")</f>
        <v>Angie Faith - 82486972 - MrLLife</v>
      </c>
      <c r="C119" s="60" t="str">
        <f ca="1">IFERROR(__xludf.DUMMYFUNCTION("""COMPUTED_VALUE"""),"https://thumbcdn.com/splash/ncuvdr7eb6022vol.jpg")</f>
        <v>https://thumbcdn.com/splash/ncuvdr7eb6022vol.jpg</v>
      </c>
      <c r="D119" s="12" t="s">
        <v>1057</v>
      </c>
      <c r="E119" s="57" t="str">
        <f ca="1">IFERROR(__xludf.DUMMYFUNCTION("""COMPUTED_VALUE"""),"OK")</f>
        <v>OK</v>
      </c>
      <c r="F119" s="46"/>
      <c r="G119" s="64" t="s">
        <v>9340</v>
      </c>
      <c r="H119" s="45" t="s">
        <v>9348</v>
      </c>
    </row>
    <row r="120" spans="1:8">
      <c r="A120" s="12"/>
      <c r="B120" s="12" t="str">
        <f ca="1">IFERROR(__xludf.DUMMYFUNCTION("""COMPUTED_VALUE"""),"Anna - 81003547 - Czech Casting")</f>
        <v>Anna - 81003547 - Czech Casting</v>
      </c>
      <c r="C120" s="60" t="str">
        <f ca="1">IFERROR(__xludf.DUMMYFUNCTION("""COMPUTED_VALUE"""),"https://thumbcdn.com/splash/vb4z98j0pzz38231.jpg")</f>
        <v>https://thumbcdn.com/splash/vb4z98j0pzz38231.jpg</v>
      </c>
      <c r="D120" s="12" t="s">
        <v>1062</v>
      </c>
      <c r="E120" s="57" t="str">
        <f ca="1">IFERROR(__xludf.DUMMYFUNCTION("""COMPUTED_VALUE"""),"OK")</f>
        <v>OK</v>
      </c>
      <c r="F120" s="46"/>
      <c r="G120" s="62" t="s">
        <v>9340</v>
      </c>
      <c r="H120" s="45" t="s">
        <v>9349</v>
      </c>
    </row>
    <row r="121" spans="1:8">
      <c r="A121" s="12" t="s">
        <v>9350</v>
      </c>
      <c r="B121" s="12" t="str">
        <f ca="1">IFERROR(__xludf.DUMMYFUNCTION("""COMPUTED_VALUE"""),"Anna Claire Clouds - 12069430 - Deeper")</f>
        <v>Anna Claire Clouds - 12069430 - Deeper</v>
      </c>
      <c r="C121" s="60" t="str">
        <f ca="1">IFERROR(__xludf.DUMMYFUNCTION("""COMPUTED_VALUE"""),"https://thumbcdn.com/splash/qci0rv1nly1s8pjy.jpg")</f>
        <v>https://thumbcdn.com/splash/qci0rv1nly1s8pjy.jpg</v>
      </c>
      <c r="D121" s="12" t="s">
        <v>1067</v>
      </c>
      <c r="E121" s="57" t="str">
        <f ca="1">IFERROR(__xludf.DUMMYFUNCTION("""COMPUTED_VALUE"""),"OK")</f>
        <v>OK</v>
      </c>
      <c r="F121" s="46"/>
      <c r="G121" s="62" t="s">
        <v>9351</v>
      </c>
      <c r="H121" s="45" t="s">
        <v>9352</v>
      </c>
    </row>
    <row r="122" spans="1:8">
      <c r="A122" s="59" t="s">
        <v>9353</v>
      </c>
      <c r="B122" s="12" t="str">
        <f ca="1">IFERROR(__xludf.DUMMYFUNCTION("""COMPUTED_VALUE"""),"Arabelle Raphael - 14490824 - GD")</f>
        <v>Arabelle Raphael - 14490824 - GD</v>
      </c>
      <c r="C122" s="60" t="str">
        <f ca="1">IFERROR(__xludf.DUMMYFUNCTION("""COMPUTED_VALUE"""),"https://thumbcdn.com/splash/ar7ax6za4rw80jbh.jpg")</f>
        <v>https://thumbcdn.com/splash/ar7ax6za4rw80jbh.jpg</v>
      </c>
      <c r="D122" s="12" t="s">
        <v>1073</v>
      </c>
      <c r="E122" s="57" t="str">
        <f ca="1">IFERROR(__xludf.DUMMYFUNCTION("""COMPUTED_VALUE"""),"OK")</f>
        <v>OK</v>
      </c>
      <c r="F122" s="46"/>
      <c r="G122" s="64" t="s">
        <v>9354</v>
      </c>
      <c r="H122" s="45" t="s">
        <v>9355</v>
      </c>
    </row>
    <row r="123" spans="1:8">
      <c r="A123" s="12"/>
      <c r="B123" s="12" t="str">
        <f ca="1">IFERROR(__xludf.DUMMYFUNCTION("""COMPUTED_VALUE"""),"Arabelle Raphael - 20603209 - Onlyfans - Hailey Rose")</f>
        <v>Arabelle Raphael - 20603209 - Onlyfans - Hailey Rose</v>
      </c>
      <c r="C123" s="60" t="str">
        <f ca="1">IFERROR(__xludf.DUMMYFUNCTION("""COMPUTED_VALUE"""),"https://thumbcdn.com/splash/um8iv4iz9ikfpiz2.jpg")</f>
        <v>https://thumbcdn.com/splash/um8iv4iz9ikfpiz2.jpg</v>
      </c>
      <c r="D123" s="12" t="s">
        <v>1078</v>
      </c>
      <c r="E123" s="57" t="str">
        <f ca="1">IFERROR(__xludf.DUMMYFUNCTION("""COMPUTED_VALUE"""),"OK")</f>
        <v>OK</v>
      </c>
      <c r="F123" s="46"/>
      <c r="G123" s="62" t="s">
        <v>9356</v>
      </c>
      <c r="H123" s="45" t="s">
        <v>9357</v>
      </c>
    </row>
    <row r="124" spans="1:8">
      <c r="A124" s="12" t="s">
        <v>9358</v>
      </c>
      <c r="B124" s="12" t="str">
        <f ca="1">IFERROR(__xludf.DUMMYFUNCTION("""COMPUTED_VALUE"""),"Arabelle Raphael - 25078464 - Onlyfans")</f>
        <v>Arabelle Raphael - 25078464 - Onlyfans</v>
      </c>
      <c r="C124" s="60" t="str">
        <f ca="1">IFERROR(__xludf.DUMMYFUNCTION("""COMPUTED_VALUE"""),"https://thumbcdn.com/splash/ob317aezw9yza9xz.jpg")</f>
        <v>https://thumbcdn.com/splash/ob317aezw9yza9xz.jpg</v>
      </c>
      <c r="D124" s="12" t="s">
        <v>1083</v>
      </c>
      <c r="E124" s="57" t="str">
        <f ca="1">IFERROR(__xludf.DUMMYFUNCTION("""COMPUTED_VALUE"""),"OK")</f>
        <v>OK</v>
      </c>
      <c r="F124" s="46"/>
      <c r="G124" s="62" t="s">
        <v>9356</v>
      </c>
      <c r="H124" s="45" t="s">
        <v>9359</v>
      </c>
    </row>
    <row r="125" spans="1:8">
      <c r="A125" s="59" t="s">
        <v>9360</v>
      </c>
      <c r="B125" s="12" t="str">
        <f ca="1">IFERROR(__xludf.DUMMYFUNCTION("""COMPUTED_VALUE"""),"Arabelle Raphael - 87639737 - GotFilled")</f>
        <v>Arabelle Raphael - 87639737 - GotFilled</v>
      </c>
      <c r="C125" s="60" t="str">
        <f ca="1">IFERROR(__xludf.DUMMYFUNCTION("""COMPUTED_VALUE"""),"https://thumbcdn.com/splash/z4b9njkig9jj79xi.jpg")</f>
        <v>https://thumbcdn.com/splash/z4b9njkig9jj79xi.jpg</v>
      </c>
      <c r="D125" s="12" t="s">
        <v>1094</v>
      </c>
      <c r="E125" s="57" t="str">
        <f ca="1">IFERROR(__xludf.DUMMYFUNCTION("""COMPUTED_VALUE"""),"OK")</f>
        <v>OK</v>
      </c>
      <c r="F125" s="46"/>
      <c r="G125" s="64" t="s">
        <v>9356</v>
      </c>
      <c r="H125" s="45" t="s">
        <v>9361</v>
      </c>
    </row>
    <row r="126" spans="1:8">
      <c r="A126" s="12"/>
      <c r="B126" s="12" t="str">
        <f ca="1">IFERROR(__xludf.DUMMYFUNCTION("""COMPUTED_VALUE"""),"Asa Akira - 63675570 - Onlyfans")</f>
        <v>Asa Akira - 63675570 - Onlyfans</v>
      </c>
      <c r="C126" s="60" t="str">
        <f ca="1">IFERROR(__xludf.DUMMYFUNCTION("""COMPUTED_VALUE"""),"https://thumbcdn.com/splash/xj2k98uvho1gn4a9.jpg")</f>
        <v>https://thumbcdn.com/splash/xj2k98uvho1gn4a9.jpg</v>
      </c>
      <c r="D126" s="12" t="s">
        <v>1161</v>
      </c>
      <c r="E126" s="57" t="str">
        <f ca="1">IFERROR(__xludf.DUMMYFUNCTION("""COMPUTED_VALUE"""),"OK")</f>
        <v>OK</v>
      </c>
      <c r="F126" s="46"/>
      <c r="G126" s="62" t="s">
        <v>9356</v>
      </c>
      <c r="H126" s="45" t="s">
        <v>9362</v>
      </c>
    </row>
    <row r="127" spans="1:8">
      <c r="A127" s="12" t="s">
        <v>9363</v>
      </c>
      <c r="B127" s="12" t="str">
        <f ca="1">IFERROR(__xludf.DUMMYFUNCTION("""COMPUTED_VALUE"""),"Asa Akira - 81098035 - Onlyfans")</f>
        <v>Asa Akira - 81098035 - Onlyfans</v>
      </c>
      <c r="C127" s="60" t="str">
        <f ca="1">IFERROR(__xludf.DUMMYFUNCTION("""COMPUTED_VALUE"""),"https://thumbcdn.com/splash/f09fepcizhq3ltry.jpg")</f>
        <v>https://thumbcdn.com/splash/f09fepcizhq3ltry.jpg</v>
      </c>
      <c r="D127" s="12" t="s">
        <v>1166</v>
      </c>
      <c r="E127" s="57" t="str">
        <f ca="1">IFERROR(__xludf.DUMMYFUNCTION("""COMPUTED_VALUE"""),"OK")</f>
        <v>OK</v>
      </c>
      <c r="F127" s="46"/>
      <c r="G127" s="62" t="s">
        <v>9364</v>
      </c>
      <c r="H127" s="45" t="s">
        <v>9365</v>
      </c>
    </row>
    <row r="128" spans="1:8">
      <c r="A128" s="59" t="s">
        <v>9366</v>
      </c>
      <c r="B128" s="12" t="str">
        <f ca="1">IFERROR(__xludf.DUMMYFUNCTION("""COMPUTED_VALUE"""),"Autumn Falls - 87819304 - Onlyfans")</f>
        <v>Autumn Falls - 87819304 - Onlyfans</v>
      </c>
      <c r="C128" s="60" t="str">
        <f ca="1">IFERROR(__xludf.DUMMYFUNCTION("""COMPUTED_VALUE"""),"https://thumbcdn.com/splash/udy64l82axafodz5.jpg")</f>
        <v>https://thumbcdn.com/splash/udy64l82axafodz5.jpg</v>
      </c>
      <c r="D128" s="11" t="s">
        <v>1222</v>
      </c>
      <c r="E128" s="63" t="str">
        <f ca="1">IFERROR(__xludf.DUMMYFUNCTION("""COMPUTED_VALUE"""),"OK")</f>
        <v>OK</v>
      </c>
      <c r="F128" s="46"/>
      <c r="G128" s="64" t="s">
        <v>9364</v>
      </c>
      <c r="H128" s="45" t="s">
        <v>9367</v>
      </c>
    </row>
    <row r="129" spans="1:8">
      <c r="A129" s="12"/>
      <c r="B129" s="12" t="str">
        <f ca="1">IFERROR(__xludf.DUMMYFUNCTION("""COMPUTED_VALUE"""),"Ava Nicks - 17338366 - Onlyfans")</f>
        <v>Ava Nicks - 17338366 - Onlyfans</v>
      </c>
      <c r="C129" s="60" t="str">
        <f ca="1">IFERROR(__xludf.DUMMYFUNCTION("""COMPUTED_VALUE"""),"https://thumbcdn.com/splash/6rchnnkzndwl3ays.jpg")</f>
        <v>https://thumbcdn.com/splash/6rchnnkzndwl3ays.jpg</v>
      </c>
      <c r="D129" s="12" t="s">
        <v>1244</v>
      </c>
      <c r="E129" s="57" t="str">
        <f ca="1">IFERROR(__xludf.DUMMYFUNCTION("""COMPUTED_VALUE"""),"OK")</f>
        <v>OK</v>
      </c>
      <c r="F129" s="46"/>
      <c r="G129" s="62" t="s">
        <v>9368</v>
      </c>
      <c r="H129" s="45" t="s">
        <v>9369</v>
      </c>
    </row>
    <row r="130" spans="1:8">
      <c r="A130" s="12" t="s">
        <v>9370</v>
      </c>
      <c r="B130" s="12" t="str">
        <f ca="1">IFERROR(__xludf.DUMMYFUNCTION("""COMPUTED_VALUE"""),"Ava Nicks - 38871602 - Onlyfans")</f>
        <v>Ava Nicks - 38871602 - Onlyfans</v>
      </c>
      <c r="C130" s="60" t="str">
        <f ca="1">IFERROR(__xludf.DUMMYFUNCTION("""COMPUTED_VALUE"""),"https://thumbcdn.com/splash/99gzukhx6glftoys.jpg")</f>
        <v>https://thumbcdn.com/splash/99gzukhx6glftoys.jpg</v>
      </c>
      <c r="D130" s="6" t="s">
        <v>1261</v>
      </c>
      <c r="E130" s="63" t="str">
        <f ca="1">IFERROR(__xludf.DUMMYFUNCTION("""COMPUTED_VALUE"""),"OK")</f>
        <v>OK</v>
      </c>
      <c r="F130" s="46"/>
      <c r="G130" s="62" t="s">
        <v>9371</v>
      </c>
      <c r="H130" s="45" t="s">
        <v>9372</v>
      </c>
    </row>
    <row r="131" spans="1:8">
      <c r="A131" s="59" t="s">
        <v>9373</v>
      </c>
      <c r="B131" s="12" t="str">
        <f ca="1">IFERROR(__xludf.DUMMYFUNCTION("""COMPUTED_VALUE"""),"Ava Nicks - 56147496 - Onlyfans")</f>
        <v>Ava Nicks - 56147496 - Onlyfans</v>
      </c>
      <c r="C131" s="60" t="str">
        <f ca="1">IFERROR(__xludf.DUMMYFUNCTION("""COMPUTED_VALUE"""),"https://thumbcdn.com/splash/q4fawll5pellcvcj.jpg")</f>
        <v>https://thumbcdn.com/splash/q4fawll5pellcvcj.jpg</v>
      </c>
      <c r="D131" s="12" t="s">
        <v>1278</v>
      </c>
      <c r="E131" s="57" t="str">
        <f ca="1">IFERROR(__xludf.DUMMYFUNCTION("""COMPUTED_VALUE"""),"OK")</f>
        <v>OK</v>
      </c>
      <c r="F131" s="46"/>
      <c r="G131" s="64" t="s">
        <v>9371</v>
      </c>
      <c r="H131" s="45" t="s">
        <v>9374</v>
      </c>
    </row>
    <row r="132" spans="1:8">
      <c r="A132" s="12"/>
      <c r="B132" s="12" t="str">
        <f ca="1">IFERROR(__xludf.DUMMYFUNCTION("""COMPUTED_VALUE"""),"Ava Nicks - 71430001 - Onlyfans")</f>
        <v>Ava Nicks - 71430001 - Onlyfans</v>
      </c>
      <c r="C132" s="60" t="str">
        <f ca="1">IFERROR(__xludf.DUMMYFUNCTION("""COMPUTED_VALUE"""),"https://thumbcdn.com/splash/ha41dn34gz88ifu6.jpg")</f>
        <v>https://thumbcdn.com/splash/ha41dn34gz88ifu6.jpg</v>
      </c>
      <c r="D132" s="12" t="s">
        <v>1301</v>
      </c>
      <c r="E132" s="57" t="str">
        <f ca="1">IFERROR(__xludf.DUMMYFUNCTION("""COMPUTED_VALUE"""),"OK")</f>
        <v>OK</v>
      </c>
      <c r="F132" s="46"/>
      <c r="G132" s="62" t="s">
        <v>9371</v>
      </c>
      <c r="H132" s="45" t="s">
        <v>9375</v>
      </c>
    </row>
    <row r="133" spans="1:8">
      <c r="A133" s="12" t="s">
        <v>9376</v>
      </c>
      <c r="B133" s="12" t="str">
        <f ca="1">IFERROR(__xludf.DUMMYFUNCTION("""COMPUTED_VALUE"""),"Ava Nicks - 76436173 - Onlyfans")</f>
        <v>Ava Nicks - 76436173 - Onlyfans</v>
      </c>
      <c r="C133" s="60" t="str">
        <f ca="1">IFERROR(__xludf.DUMMYFUNCTION("""COMPUTED_VALUE"""),"https://thumbcdn.com/splash/fd9ib5m6dg33trkz.jpg")</f>
        <v>https://thumbcdn.com/splash/fd9ib5m6dg33trkz.jpg</v>
      </c>
      <c r="D133" s="6" t="s">
        <v>1306</v>
      </c>
      <c r="E133" s="63" t="str">
        <f ca="1">IFERROR(__xludf.DUMMYFUNCTION("""COMPUTED_VALUE"""),"OK")</f>
        <v>OK</v>
      </c>
      <c r="F133" s="46"/>
      <c r="G133" s="62" t="s">
        <v>9371</v>
      </c>
      <c r="H133" s="45" t="s">
        <v>9377</v>
      </c>
    </row>
    <row r="134" spans="1:8">
      <c r="A134" s="59" t="s">
        <v>9378</v>
      </c>
      <c r="B134" s="12" t="str">
        <f ca="1">IFERROR(__xludf.DUMMYFUNCTION("""COMPUTED_VALUE"""),"Bananapotato333 - 36693743 - Onlyfans")</f>
        <v>Bananapotato333 - 36693743 - Onlyfans</v>
      </c>
      <c r="C134" s="60" t="str">
        <f ca="1">IFERROR(__xludf.DUMMYFUNCTION("""COMPUTED_VALUE"""),"https://thumbcdn.com/splash/w4flufhphasp8w2y.jpg")</f>
        <v>https://thumbcdn.com/splash/w4flufhphasp8w2y.jpg</v>
      </c>
      <c r="D134" s="12" t="s">
        <v>1334</v>
      </c>
      <c r="E134" s="57" t="str">
        <f ca="1">IFERROR(__xludf.DUMMYFUNCTION("""COMPUTED_VALUE"""),"OK")</f>
        <v>OK</v>
      </c>
      <c r="F134" s="46"/>
      <c r="G134" s="64" t="s">
        <v>9371</v>
      </c>
      <c r="H134" s="45" t="s">
        <v>9379</v>
      </c>
    </row>
    <row r="135" spans="1:8">
      <c r="A135" s="12"/>
      <c r="B135" s="12" t="str">
        <f ca="1">IFERROR(__xludf.DUMMYFUNCTION("""COMPUTED_VALUE"""),"Blake Blossom - 52742082 - Camsoda")</f>
        <v>Blake Blossom - 52742082 - Camsoda</v>
      </c>
      <c r="C135" s="60" t="str">
        <f ca="1">IFERROR(__xludf.DUMMYFUNCTION("""COMPUTED_VALUE"""),"https://thumbcdn.com/splash/l0cl5o657maw88v6.jpg")</f>
        <v>https://thumbcdn.com/splash/l0cl5o657maw88v6.jpg</v>
      </c>
      <c r="D135" s="12" t="s">
        <v>1351</v>
      </c>
      <c r="E135" s="57" t="str">
        <f ca="1">IFERROR(__xludf.DUMMYFUNCTION("""COMPUTED_VALUE"""),"OK")</f>
        <v>OK</v>
      </c>
      <c r="F135" s="46"/>
      <c r="G135" s="62" t="s">
        <v>9380</v>
      </c>
      <c r="H135" s="45" t="s">
        <v>9381</v>
      </c>
    </row>
    <row r="136" spans="1:8">
      <c r="A136" s="12" t="s">
        <v>9382</v>
      </c>
      <c r="B136" s="12" t="str">
        <f ca="1">IFERROR(__xludf.DUMMYFUNCTION("""COMPUTED_VALUE"""),"Bonnie Blue - 42460162 - Onlyfans")</f>
        <v>Bonnie Blue - 42460162 - Onlyfans</v>
      </c>
      <c r="C136" s="60" t="str">
        <f ca="1">IFERROR(__xludf.DUMMYFUNCTION("""COMPUTED_VALUE"""),"https://thumbcdn.com/splash/vbx7inadk7w59dpc.jpg")</f>
        <v>https://thumbcdn.com/splash/vbx7inadk7w59dpc.jpg</v>
      </c>
      <c r="D136" s="12" t="s">
        <v>1378</v>
      </c>
      <c r="E136" s="57" t="str">
        <f ca="1">IFERROR(__xludf.DUMMYFUNCTION("""COMPUTED_VALUE"""),"OK")</f>
        <v>OK</v>
      </c>
      <c r="F136" s="46"/>
      <c r="G136" s="62" t="s">
        <v>9383</v>
      </c>
      <c r="H136" s="45" t="s">
        <v>9384</v>
      </c>
    </row>
    <row r="137" spans="1:8">
      <c r="A137" s="59" t="s">
        <v>9385</v>
      </c>
      <c r="B137" s="12" t="str">
        <f ca="1">IFERROR(__xludf.DUMMYFUNCTION("""COMPUTED_VALUE"""),"Bonnie Blue - 58248796 - XVRED")</f>
        <v>Bonnie Blue - 58248796 - XVRED</v>
      </c>
      <c r="C137" s="60" t="str">
        <f ca="1">IFERROR(__xludf.DUMMYFUNCTION("""COMPUTED_VALUE"""),"https://thumbcdn.com/splash/i8h2ngeuzpolld3n.jpg")</f>
        <v>https://thumbcdn.com/splash/i8h2ngeuzpolld3n.jpg</v>
      </c>
      <c r="D137" s="12" t="s">
        <v>1383</v>
      </c>
      <c r="E137" s="57" t="str">
        <f ca="1">IFERROR(__xludf.DUMMYFUNCTION("""COMPUTED_VALUE"""),"OK")</f>
        <v>OK</v>
      </c>
      <c r="F137" s="46"/>
      <c r="G137" s="64" t="s">
        <v>9386</v>
      </c>
      <c r="H137" s="45" t="s">
        <v>9387</v>
      </c>
    </row>
    <row r="138" spans="1:8">
      <c r="A138" s="12"/>
      <c r="B138" s="12" t="str">
        <f ca="1">IFERROR(__xludf.DUMMYFUNCTION("""COMPUTED_VALUE"""),"Brandy Renee - 25399996 - Onlyfans")</f>
        <v>Brandy Renee - 25399996 - Onlyfans</v>
      </c>
      <c r="C138" s="60" t="str">
        <f ca="1">IFERROR(__xludf.DUMMYFUNCTION("""COMPUTED_VALUE"""),"https://thumbcdn.com/splash/ias8lsob7ugtqb6o.jpg")</f>
        <v>https://thumbcdn.com/splash/ias8lsob7ugtqb6o.jpg</v>
      </c>
      <c r="D138" s="12" t="s">
        <v>1395</v>
      </c>
      <c r="E138" s="57" t="str">
        <f ca="1">IFERROR(__xludf.DUMMYFUNCTION("""COMPUTED_VALUE"""),"OK")</f>
        <v>OK</v>
      </c>
      <c r="F138" s="46"/>
      <c r="G138" s="62" t="s">
        <v>9386</v>
      </c>
      <c r="H138" s="45" t="s">
        <v>9388</v>
      </c>
    </row>
    <row r="139" spans="1:8">
      <c r="A139" s="12" t="s">
        <v>9389</v>
      </c>
      <c r="B139" s="12" t="str">
        <f ca="1">IFERROR(__xludf.DUMMYFUNCTION("""COMPUTED_VALUE"""),"Brandy Renee - 45062658 - Onlyfans")</f>
        <v>Brandy Renee - 45062658 - Onlyfans</v>
      </c>
      <c r="C139" s="60" t="str">
        <f ca="1">IFERROR(__xludf.DUMMYFUNCTION("""COMPUTED_VALUE"""),"https://thumbcdn.com/splash/j23glorvw2sewo1i.jpg")</f>
        <v>https://thumbcdn.com/splash/j23glorvw2sewo1i.jpg</v>
      </c>
      <c r="D139" s="12" t="s">
        <v>1421</v>
      </c>
      <c r="E139" s="57" t="str">
        <f ca="1">IFERROR(__xludf.DUMMYFUNCTION("""COMPUTED_VALUE"""),"OK")</f>
        <v>OK</v>
      </c>
      <c r="F139" s="46"/>
      <c r="G139" s="62" t="s">
        <v>9390</v>
      </c>
      <c r="H139" s="45" t="s">
        <v>9391</v>
      </c>
    </row>
    <row r="140" spans="1:8">
      <c r="A140" s="59" t="s">
        <v>9392</v>
      </c>
      <c r="B140" s="12" t="str">
        <f ca="1">IFERROR(__xludf.DUMMYFUNCTION("""COMPUTED_VALUE"""),"Brandy Renee - 52199052 - Onlyfans")</f>
        <v>Brandy Renee - 52199052 - Onlyfans</v>
      </c>
      <c r="C140" s="60" t="str">
        <f ca="1">IFERROR(__xludf.DUMMYFUNCTION("""COMPUTED_VALUE"""),"https://thumbcdn.com/splash/91ilqppwlq0cv4hz.jpg")</f>
        <v>https://thumbcdn.com/splash/91ilqppwlq0cv4hz.jpg</v>
      </c>
      <c r="D140" s="12" t="s">
        <v>1438</v>
      </c>
      <c r="E140" s="57" t="str">
        <f ca="1">IFERROR(__xludf.DUMMYFUNCTION("""COMPUTED_VALUE"""),"OK")</f>
        <v>OK</v>
      </c>
      <c r="F140" s="46"/>
      <c r="G140" s="64" t="s">
        <v>9390</v>
      </c>
      <c r="H140" s="45" t="s">
        <v>9393</v>
      </c>
    </row>
    <row r="141" spans="1:8">
      <c r="A141" s="12"/>
      <c r="B141" s="12" t="str">
        <f ca="1">IFERROR(__xludf.DUMMYFUNCTION("""COMPUTED_VALUE"""),"Brandy Renee - 61045229 - Onlyfans")</f>
        <v>Brandy Renee - 61045229 - Onlyfans</v>
      </c>
      <c r="C141" s="60" t="str">
        <f ca="1">IFERROR(__xludf.DUMMYFUNCTION("""COMPUTED_VALUE"""),"https://thumbcdn.com/splash/2i1licq67c5jqb9f.jpg")</f>
        <v>https://thumbcdn.com/splash/2i1licq67c5jqb9f.jpg</v>
      </c>
      <c r="D141" s="12" t="s">
        <v>1459</v>
      </c>
      <c r="E141" s="57" t="str">
        <f ca="1">IFERROR(__xludf.DUMMYFUNCTION("""COMPUTED_VALUE"""),"OK")</f>
        <v>OK</v>
      </c>
      <c r="F141" s="46"/>
      <c r="G141" s="62" t="s">
        <v>9390</v>
      </c>
      <c r="H141" s="45" t="s">
        <v>9394</v>
      </c>
    </row>
    <row r="142" spans="1:8">
      <c r="A142" s="12" t="s">
        <v>9395</v>
      </c>
      <c r="B142" s="12" t="str">
        <f ca="1">IFERROR(__xludf.DUMMYFUNCTION("""COMPUTED_VALUE"""),"Brandy Renee - 69962852 - PB")</f>
        <v>Brandy Renee - 69962852 - PB</v>
      </c>
      <c r="C142" s="60" t="str">
        <f ca="1">IFERROR(__xludf.DUMMYFUNCTION("""COMPUTED_VALUE"""),"https://thumbcdn.com/splash/c1wf376137r297ok.jpg")</f>
        <v>https://thumbcdn.com/splash/c1wf376137r297ok.jpg</v>
      </c>
      <c r="D142" s="6" t="s">
        <v>1475</v>
      </c>
      <c r="E142" s="63" t="str">
        <f ca="1">IFERROR(__xludf.DUMMYFUNCTION("""COMPUTED_VALUE"""),"OK")</f>
        <v>OK</v>
      </c>
      <c r="F142" s="46"/>
      <c r="G142" s="62" t="s">
        <v>9390</v>
      </c>
      <c r="H142" s="45" t="s">
        <v>9396</v>
      </c>
    </row>
    <row r="143" spans="1:8">
      <c r="A143" s="59" t="s">
        <v>9397</v>
      </c>
      <c r="B143" s="12" t="str">
        <f ca="1">IFERROR(__xludf.DUMMYFUNCTION("""COMPUTED_VALUE"""),"Brandy Renee - 70980059 - Onlyfans")</f>
        <v>Brandy Renee - 70980059 - Onlyfans</v>
      </c>
      <c r="C143" s="60" t="str">
        <f ca="1">IFERROR(__xludf.DUMMYFUNCTION("""COMPUTED_VALUE"""),"https://thumbcdn.com/splash/lfrftd6w5vhbnr2y.jpg")</f>
        <v>https://thumbcdn.com/splash/lfrftd6w5vhbnr2y.jpg</v>
      </c>
      <c r="D143" s="12" t="s">
        <v>1480</v>
      </c>
      <c r="E143" s="57" t="str">
        <f ca="1">IFERROR(__xludf.DUMMYFUNCTION("""COMPUTED_VALUE"""),"OK")</f>
        <v>OK</v>
      </c>
      <c r="F143" s="46"/>
      <c r="G143" s="64" t="s">
        <v>9390</v>
      </c>
      <c r="H143" s="45" t="s">
        <v>9398</v>
      </c>
    </row>
    <row r="144" spans="1:8">
      <c r="A144" s="12"/>
      <c r="B144" s="12" t="str">
        <f ca="1">IFERROR(__xludf.DUMMYFUNCTION("""COMPUTED_VALUE"""),"Brandy Renee - 90479935 - Onlyfans")</f>
        <v>Brandy Renee - 90479935 - Onlyfans</v>
      </c>
      <c r="C144" s="60" t="str">
        <f ca="1">IFERROR(__xludf.DUMMYFUNCTION("""COMPUTED_VALUE"""),"https://thumbcdn.com/splash/ceh5l7dzbqt8ft85.jpg")</f>
        <v>https://thumbcdn.com/splash/ceh5l7dzbqt8ft85.jpg</v>
      </c>
      <c r="D144" s="6" t="s">
        <v>1490</v>
      </c>
      <c r="E144" s="63" t="str">
        <f ca="1">IFERROR(__xludf.DUMMYFUNCTION("""COMPUTED_VALUE"""),"OK")</f>
        <v>OK</v>
      </c>
      <c r="F144" s="46"/>
      <c r="G144" s="62" t="s">
        <v>9390</v>
      </c>
      <c r="H144" s="45" t="s">
        <v>9399</v>
      </c>
    </row>
    <row r="145" spans="1:8">
      <c r="A145" s="12" t="s">
        <v>9400</v>
      </c>
      <c r="B145" s="12" t="str">
        <f ca="1">IFERROR(__xludf.DUMMYFUNCTION("""COMPUTED_VALUE"""),"Brenda Trindade - 11630796 - Onlyfans")</f>
        <v>Brenda Trindade - 11630796 - Onlyfans</v>
      </c>
      <c r="C145" s="60" t="str">
        <f ca="1">IFERROR(__xludf.DUMMYFUNCTION("""COMPUTED_VALUE"""),"https://thumbcdn.com/splash/7sj6hn3hx7pprnk3.jpg")</f>
        <v>https://thumbcdn.com/splash/7sj6hn3hx7pprnk3.jpg</v>
      </c>
      <c r="D145" s="12" t="s">
        <v>1506</v>
      </c>
      <c r="E145" s="57" t="str">
        <f ca="1">IFERROR(__xludf.DUMMYFUNCTION("""COMPUTED_VALUE"""),"OK")</f>
        <v>OK</v>
      </c>
      <c r="F145" s="46"/>
      <c r="G145" s="62" t="s">
        <v>9390</v>
      </c>
      <c r="H145" s="45" t="s">
        <v>9401</v>
      </c>
    </row>
    <row r="146" spans="1:8">
      <c r="A146" s="59" t="s">
        <v>9402</v>
      </c>
      <c r="B146" s="12" t="str">
        <f ca="1">IFERROR(__xludf.DUMMYFUNCTION("""COMPUTED_VALUE"""),"Brenda Trindade - 28778875 - Onlyfans")</f>
        <v>Brenda Trindade - 28778875 - Onlyfans</v>
      </c>
      <c r="C146" s="60" t="str">
        <f ca="1">IFERROR(__xludf.DUMMYFUNCTION("""COMPUTED_VALUE"""),"https://thumbcdn.com/splash/vmingmdpr040jxs5.jpg")</f>
        <v>https://thumbcdn.com/splash/vmingmdpr040jxs5.jpg</v>
      </c>
      <c r="D146" s="12" t="s">
        <v>1534</v>
      </c>
      <c r="E146" s="57" t="str">
        <f ca="1">IFERROR(__xludf.DUMMYFUNCTION("""COMPUTED_VALUE"""),"OK")</f>
        <v>OK</v>
      </c>
      <c r="F146" s="46"/>
      <c r="G146" s="64" t="s">
        <v>9403</v>
      </c>
      <c r="H146" s="45" t="s">
        <v>9404</v>
      </c>
    </row>
    <row r="147" spans="1:8">
      <c r="A147" s="12"/>
      <c r="B147" s="12" t="str">
        <f ca="1">IFERROR(__xludf.DUMMYFUNCTION("""COMPUTED_VALUE"""),"Brenda Trindade - 29851665 - Onlyfans")</f>
        <v>Brenda Trindade - 29851665 - Onlyfans</v>
      </c>
      <c r="C147" s="60" t="str">
        <f ca="1">IFERROR(__xludf.DUMMYFUNCTION("""COMPUTED_VALUE"""),"https://thumbcdn.com/splash/935fllawx5r33ll0.jpg")</f>
        <v>https://thumbcdn.com/splash/935fllawx5r33ll0.jpg</v>
      </c>
      <c r="D147" s="12" t="s">
        <v>1545</v>
      </c>
      <c r="E147" s="57" t="str">
        <f ca="1">IFERROR(__xludf.DUMMYFUNCTION("""COMPUTED_VALUE"""),"OK")</f>
        <v>OK</v>
      </c>
      <c r="F147" s="46"/>
      <c r="G147" s="62" t="s">
        <v>9403</v>
      </c>
      <c r="H147" s="45" t="s">
        <v>9405</v>
      </c>
    </row>
    <row r="148" spans="1:8">
      <c r="A148" s="12" t="s">
        <v>9406</v>
      </c>
      <c r="B148" s="12" t="str">
        <f ca="1">IFERROR(__xludf.DUMMYFUNCTION("""COMPUTED_VALUE"""),"Brenda Trindade - 48654770 - Onlyfans")</f>
        <v>Brenda Trindade - 48654770 - Onlyfans</v>
      </c>
      <c r="C148" s="60" t="str">
        <f ca="1">IFERROR(__xludf.DUMMYFUNCTION("""COMPUTED_VALUE"""),"https://thumbcdn.com/splash/fyb22c9nbumlijud.jpg")</f>
        <v>https://thumbcdn.com/splash/fyb22c9nbumlijud.jpg</v>
      </c>
      <c r="D148" s="6" t="s">
        <v>1566</v>
      </c>
      <c r="E148" s="63" t="str">
        <f ca="1">IFERROR(__xludf.DUMMYFUNCTION("""COMPUTED_VALUE"""),"OK")</f>
        <v>OK</v>
      </c>
      <c r="F148" s="46"/>
      <c r="G148" s="62" t="s">
        <v>9403</v>
      </c>
      <c r="H148" s="45" t="s">
        <v>9407</v>
      </c>
    </row>
    <row r="149" spans="1:8">
      <c r="A149" s="59" t="s">
        <v>9408</v>
      </c>
      <c r="B149" s="12" t="str">
        <f ca="1">IFERROR(__xludf.DUMMYFUNCTION("""COMPUTED_VALUE"""),"Brenda Trindade - 58624434 - Onlyfans")</f>
        <v>Brenda Trindade - 58624434 - Onlyfans</v>
      </c>
      <c r="C149" s="60" t="str">
        <f ca="1">IFERROR(__xludf.DUMMYFUNCTION("""COMPUTED_VALUE"""),"https://thumbcdn.com/splash/wjdt3fei3wo98kf1.jpg")</f>
        <v>https://thumbcdn.com/splash/wjdt3fei3wo98kf1.jpg</v>
      </c>
      <c r="D149" s="12" t="s">
        <v>1577</v>
      </c>
      <c r="E149" s="57" t="str">
        <f ca="1">IFERROR(__xludf.DUMMYFUNCTION("""COMPUTED_VALUE"""),"OK")</f>
        <v>OK</v>
      </c>
      <c r="F149" s="46"/>
      <c r="G149" s="64" t="s">
        <v>9403</v>
      </c>
      <c r="H149" s="45" t="s">
        <v>9409</v>
      </c>
    </row>
    <row r="150" spans="1:8">
      <c r="A150" s="12"/>
      <c r="B150" s="12" t="str">
        <f ca="1">IFERROR(__xludf.DUMMYFUNCTION("""COMPUTED_VALUE"""),"Brenda Trindade - 65684076 - Onlyfans")</f>
        <v>Brenda Trindade - 65684076 - Onlyfans</v>
      </c>
      <c r="C150" s="60" t="str">
        <f ca="1">IFERROR(__xludf.DUMMYFUNCTION("""COMPUTED_VALUE"""),"https://thumbcdn.com/splash/xfkrro4gme2ssrpr.jpg")</f>
        <v>https://thumbcdn.com/splash/xfkrro4gme2ssrpr.jpg</v>
      </c>
      <c r="D150" s="12" t="s">
        <v>1593</v>
      </c>
      <c r="E150" s="57" t="str">
        <f ca="1">IFERROR(__xludf.DUMMYFUNCTION("""COMPUTED_VALUE"""),"OK")</f>
        <v>OK</v>
      </c>
      <c r="F150" s="46"/>
      <c r="G150" s="62" t="s">
        <v>9403</v>
      </c>
      <c r="H150" s="45" t="s">
        <v>9410</v>
      </c>
    </row>
    <row r="151" spans="1:8">
      <c r="A151" s="12" t="s">
        <v>9411</v>
      </c>
      <c r="B151" s="12" t="str">
        <f ca="1">IFERROR(__xludf.DUMMYFUNCTION("""COMPUTED_VALUE"""),"Brenda Trindade - 76832927 - Onlyfans")</f>
        <v>Brenda Trindade - 76832927 - Onlyfans</v>
      </c>
      <c r="C151" s="60" t="str">
        <f ca="1">IFERROR(__xludf.DUMMYFUNCTION("""COMPUTED_VALUE"""),"https://thumbcdn.com/splash/xov75zlm1xe4jmup.jpg")</f>
        <v>https://thumbcdn.com/splash/xov75zlm1xe4jmup.jpg</v>
      </c>
      <c r="D151" s="12" t="s">
        <v>1597</v>
      </c>
      <c r="E151" s="57" t="str">
        <f ca="1">IFERROR(__xludf.DUMMYFUNCTION("""COMPUTED_VALUE"""),"OK")</f>
        <v>OK</v>
      </c>
      <c r="F151" s="46"/>
      <c r="G151" s="62" t="s">
        <v>9403</v>
      </c>
      <c r="H151" s="45" t="s">
        <v>9412</v>
      </c>
    </row>
    <row r="152" spans="1:8">
      <c r="A152" s="59" t="s">
        <v>9413</v>
      </c>
      <c r="B152" s="12" t="str">
        <f ca="1">IFERROR(__xludf.DUMMYFUNCTION("""COMPUTED_VALUE"""),"Brenda Trindade - 81769918 - Onlyfans")</f>
        <v>Brenda Trindade - 81769918 - Onlyfans</v>
      </c>
      <c r="C152" s="60" t="str">
        <f ca="1">IFERROR(__xludf.DUMMYFUNCTION("""COMPUTED_VALUE"""),"https://thumbcdn.com/splash/it3xafz8h45ug7al.jpg")</f>
        <v>https://thumbcdn.com/splash/it3xafz8h45ug7al.jpg</v>
      </c>
      <c r="D152" s="12" t="s">
        <v>1602</v>
      </c>
      <c r="E152" s="57" t="str">
        <f ca="1">IFERROR(__xludf.DUMMYFUNCTION("""COMPUTED_VALUE"""),"OK")</f>
        <v>OK</v>
      </c>
      <c r="F152" s="46"/>
      <c r="G152" s="64" t="s">
        <v>9403</v>
      </c>
      <c r="H152" s="45" t="s">
        <v>9414</v>
      </c>
    </row>
    <row r="153" spans="1:8">
      <c r="A153" s="12"/>
      <c r="B153" s="12" t="str">
        <f ca="1">IFERROR(__xludf.DUMMYFUNCTION("""COMPUTED_VALUE"""),"Brenda Trindade - 95951634 - Onlyfans")</f>
        <v>Brenda Trindade - 95951634 - Onlyfans</v>
      </c>
      <c r="C153" s="60" t="str">
        <f ca="1">IFERROR(__xludf.DUMMYFUNCTION("""COMPUTED_VALUE"""),"https://thumbcdn.com/splash/hpnzfamp6m0uynyc.jpg")</f>
        <v>https://thumbcdn.com/splash/hpnzfamp6m0uynyc.jpg</v>
      </c>
      <c r="D153" s="12" t="s">
        <v>1613</v>
      </c>
      <c r="E153" s="57" t="str">
        <f ca="1">IFERROR(__xludf.DUMMYFUNCTION("""COMPUTED_VALUE"""),"OK")</f>
        <v>OK</v>
      </c>
      <c r="F153" s="46"/>
      <c r="G153" s="62" t="s">
        <v>9403</v>
      </c>
      <c r="H153" s="45" t="s">
        <v>9415</v>
      </c>
    </row>
    <row r="154" spans="1:8">
      <c r="A154" s="12" t="s">
        <v>9416</v>
      </c>
      <c r="B154" s="12" t="str">
        <f ca="1">IFERROR(__xludf.DUMMYFUNCTION("""COMPUTED_VALUE"""),"Brenda Trindade - 97482311 - Onlyfans")</f>
        <v>Brenda Trindade - 97482311 - Onlyfans</v>
      </c>
      <c r="C154" s="60" t="str">
        <f ca="1">IFERROR(__xludf.DUMMYFUNCTION("""COMPUTED_VALUE"""),"https://thumbcdn.com/splash/dhxyl9jn86uv3wm1.jpg")</f>
        <v>https://thumbcdn.com/splash/dhxyl9jn86uv3wm1.jpg</v>
      </c>
      <c r="D154" s="12" t="s">
        <v>1618</v>
      </c>
      <c r="E154" s="57" t="str">
        <f ca="1">IFERROR(__xludf.DUMMYFUNCTION("""COMPUTED_VALUE"""),"OK")</f>
        <v>OK</v>
      </c>
      <c r="F154" s="46"/>
      <c r="G154" s="62" t="s">
        <v>9403</v>
      </c>
      <c r="H154" s="45" t="s">
        <v>9417</v>
      </c>
    </row>
    <row r="155" spans="1:8">
      <c r="A155" s="59" t="s">
        <v>9418</v>
      </c>
      <c r="B155" s="12" t="str">
        <f ca="1">IFERROR(__xludf.DUMMYFUNCTION("""COMPUTED_VALUE"""),"Brenda Trindade - 98672929 - Onlyfans")</f>
        <v>Brenda Trindade - 98672929 - Onlyfans</v>
      </c>
      <c r="C155" s="60" t="str">
        <f ca="1">IFERROR(__xludf.DUMMYFUNCTION("""COMPUTED_VALUE"""),"https://thumbcdn.com/splash/92t8gslazk5uutqr.jpg")</f>
        <v>https://thumbcdn.com/splash/92t8gslazk5uutqr.jpg</v>
      </c>
      <c r="D155" s="12" t="s">
        <v>1622</v>
      </c>
      <c r="E155" s="57" t="str">
        <f ca="1">IFERROR(__xludf.DUMMYFUNCTION("""COMPUTED_VALUE"""),"OK")</f>
        <v>OK</v>
      </c>
      <c r="F155" s="46"/>
      <c r="G155" s="64" t="s">
        <v>9403</v>
      </c>
      <c r="H155" s="45" t="s">
        <v>9419</v>
      </c>
    </row>
    <row r="156" spans="1:8">
      <c r="A156" s="12"/>
      <c r="B156" s="12" t="str">
        <f ca="1">IFERROR(__xludf.DUMMYFUNCTION("""COMPUTED_VALUE"""),"Britney Rose - 10772530 - ExploitedCollegeGirls")</f>
        <v>Britney Rose - 10772530 - ExploitedCollegeGirls</v>
      </c>
      <c r="C156" s="60" t="str">
        <f ca="1">IFERROR(__xludf.DUMMYFUNCTION("""COMPUTED_VALUE"""),"https://thumbcdn.com/splash/u37lcsw07r6gfw25.jpg")</f>
        <v>https://thumbcdn.com/splash/u37lcsw07r6gfw25.jpg</v>
      </c>
      <c r="D156" s="12" t="s">
        <v>1630</v>
      </c>
      <c r="E156" s="57" t="str">
        <f ca="1">IFERROR(__xludf.DUMMYFUNCTION("""COMPUTED_VALUE"""),"OK")</f>
        <v>OK</v>
      </c>
      <c r="F156" s="46"/>
      <c r="G156" s="62" t="s">
        <v>9403</v>
      </c>
      <c r="H156" s="45" t="s">
        <v>9420</v>
      </c>
    </row>
    <row r="157" spans="1:8">
      <c r="A157" s="12" t="s">
        <v>9421</v>
      </c>
      <c r="B157" s="12" t="str">
        <f ca="1">IFERROR(__xludf.DUMMYFUNCTION("""COMPUTED_VALUE"""),"Britney Rose - 48369561 - BackroomCastingCouch")</f>
        <v>Britney Rose - 48369561 - BackroomCastingCouch</v>
      </c>
      <c r="C157" s="60" t="str">
        <f ca="1">IFERROR(__xludf.DUMMYFUNCTION("""COMPUTED_VALUE"""),"https://thumbcdn.com/splash/fhsp15znvo5pn2v8.jpg")</f>
        <v>https://thumbcdn.com/splash/fhsp15znvo5pn2v8.jpg</v>
      </c>
      <c r="D157" s="12" t="s">
        <v>1635</v>
      </c>
      <c r="E157" s="57" t="str">
        <f ca="1">IFERROR(__xludf.DUMMYFUNCTION("""COMPUTED_VALUE"""),"OK")</f>
        <v>OK</v>
      </c>
      <c r="F157" s="46"/>
      <c r="G157" s="62" t="s">
        <v>9422</v>
      </c>
      <c r="H157" s="45" t="s">
        <v>9423</v>
      </c>
    </row>
    <row r="158" spans="1:8">
      <c r="A158" s="59" t="s">
        <v>9424</v>
      </c>
      <c r="B158" s="12" t="str">
        <f ca="1">IFERROR(__xludf.DUMMYFUNCTION("""COMPUTED_VALUE"""),"BunnyDollStella - 50581644 - Onlyfans - JackandJill")</f>
        <v>BunnyDollStella - 50581644 - Onlyfans - JackandJill</v>
      </c>
      <c r="C158" s="60" t="str">
        <f ca="1">IFERROR(__xludf.DUMMYFUNCTION("""COMPUTED_VALUE"""),"https://thumbcdn.com/splash/xa1yqcmp2rwfvg5s.jpg")</f>
        <v>https://thumbcdn.com/splash/xa1yqcmp2rwfvg5s.jpg</v>
      </c>
      <c r="D158" s="12" t="s">
        <v>1646</v>
      </c>
      <c r="E158" s="57" t="str">
        <f ca="1">IFERROR(__xludf.DUMMYFUNCTION("""COMPUTED_VALUE"""),"OK")</f>
        <v>OK</v>
      </c>
      <c r="F158" s="46"/>
      <c r="G158" s="64" t="s">
        <v>9422</v>
      </c>
      <c r="H158" s="45" t="s">
        <v>9425</v>
      </c>
    </row>
    <row r="159" spans="1:8">
      <c r="A159" s="12"/>
      <c r="B159" s="12" t="str">
        <f ca="1">IFERROR(__xludf.DUMMYFUNCTION("""COMPUTED_VALUE"""),"CallMeSlo - 93926811 - Onlyfans")</f>
        <v>CallMeSlo - 93926811 - Onlyfans</v>
      </c>
      <c r="C159" s="60" t="str">
        <f ca="1">IFERROR(__xludf.DUMMYFUNCTION("""COMPUTED_VALUE"""),"https://thumbcdn.com/splash/z5q3xgyylku6y0vo.jpg")</f>
        <v>https://thumbcdn.com/splash/z5q3xgyylku6y0vo.jpg</v>
      </c>
      <c r="D159" s="12" t="s">
        <v>1650</v>
      </c>
      <c r="E159" s="57" t="str">
        <f ca="1">IFERROR(__xludf.DUMMYFUNCTION("""COMPUTED_VALUE"""),"OK")</f>
        <v>OK</v>
      </c>
      <c r="F159" s="46"/>
      <c r="G159" s="62" t="s">
        <v>9426</v>
      </c>
      <c r="H159" s="45" t="s">
        <v>9427</v>
      </c>
    </row>
    <row r="160" spans="1:8">
      <c r="A160" s="12" t="s">
        <v>9428</v>
      </c>
      <c r="B160" s="12" t="str">
        <f ca="1">IFERROR(__xludf.DUMMYFUNCTION("""COMPUTED_VALUE"""),"Chanel Camryn - 17231421 - HotWifexxx")</f>
        <v>Chanel Camryn - 17231421 - HotWifexxx</v>
      </c>
      <c r="C160" s="60" t="str">
        <f ca="1">IFERROR(__xludf.DUMMYFUNCTION("""COMPUTED_VALUE"""),"https://thumbcdn.com/splash/u3wjfifda26bp829.jpg")</f>
        <v>https://thumbcdn.com/splash/u3wjfifda26bp829.jpg</v>
      </c>
      <c r="D160" s="12" t="s">
        <v>1655</v>
      </c>
      <c r="E160" s="57" t="str">
        <f ca="1">IFERROR(__xludf.DUMMYFUNCTION("""COMPUTED_VALUE"""),"OK")</f>
        <v>OK</v>
      </c>
      <c r="F160" s="46"/>
      <c r="G160" s="62" t="s">
        <v>9429</v>
      </c>
      <c r="H160" s="45" t="s">
        <v>9430</v>
      </c>
    </row>
    <row r="161" spans="1:8">
      <c r="A161" s="59" t="s">
        <v>9431</v>
      </c>
      <c r="B161" s="12" t="str">
        <f ca="1">IFERROR(__xludf.DUMMYFUNCTION("""COMPUTED_VALUE"""),"Chanel Camryn - 92612739 - Onlyfans")</f>
        <v>Chanel Camryn - 92612739 - Onlyfans</v>
      </c>
      <c r="C161" s="60" t="str">
        <f ca="1">IFERROR(__xludf.DUMMYFUNCTION("""COMPUTED_VALUE"""),"https://thumbcdn.com/splash/kt5xjuzxr9fccj9b.jpg")</f>
        <v>https://thumbcdn.com/splash/kt5xjuzxr9fccj9b.jpg</v>
      </c>
      <c r="D161" s="16" t="s">
        <v>1666</v>
      </c>
      <c r="E161" s="57" t="str">
        <f ca="1">IFERROR(__xludf.DUMMYFUNCTION("""COMPUTED_VALUE"""),"OK")</f>
        <v>OK</v>
      </c>
      <c r="F161" s="46"/>
      <c r="G161" s="64" t="s">
        <v>9432</v>
      </c>
      <c r="H161" s="45" t="s">
        <v>9433</v>
      </c>
    </row>
    <row r="162" spans="1:8">
      <c r="A162" s="12"/>
      <c r="B162" s="12" t="str">
        <f ca="1">IFERROR(__xludf.DUMMYFUNCTION("""COMPUTED_VALUE"""),"Cherie Deville - 18597806 - Onlyfans")</f>
        <v>Cherie Deville - 18597806 - Onlyfans</v>
      </c>
      <c r="C162" s="60" t="str">
        <f ca="1">IFERROR(__xludf.DUMMYFUNCTION("""COMPUTED_VALUE"""),"https://thumbcdn.com/splash/50z7izc571i6jho2.jpg")</f>
        <v>https://thumbcdn.com/splash/50z7izc571i6jho2.jpg</v>
      </c>
      <c r="D162" s="12" t="s">
        <v>1682</v>
      </c>
      <c r="E162" s="57" t="str">
        <f ca="1">IFERROR(__xludf.DUMMYFUNCTION("""COMPUTED_VALUE"""),"OK")</f>
        <v>OK</v>
      </c>
      <c r="F162" s="46"/>
      <c r="G162" s="62" t="s">
        <v>9432</v>
      </c>
      <c r="H162" s="45" t="s">
        <v>9434</v>
      </c>
    </row>
    <row r="163" spans="1:8">
      <c r="A163" s="12" t="s">
        <v>9435</v>
      </c>
      <c r="B163" s="12" t="str">
        <f ca="1">IFERROR(__xludf.DUMMYFUNCTION("""COMPUTED_VALUE"""),"Cherie Deville - 21818710 - Onlyfans")</f>
        <v>Cherie Deville - 21818710 - Onlyfans</v>
      </c>
      <c r="C163" s="60" t="str">
        <f ca="1">IFERROR(__xludf.DUMMYFUNCTION("""COMPUTED_VALUE"""),"https://thumbcdn.com/splash/hd38khtb96ypycxt.jpg")</f>
        <v>https://thumbcdn.com/splash/hd38khtb96ypycxt.jpg</v>
      </c>
      <c r="D163" s="12" t="s">
        <v>1692</v>
      </c>
      <c r="E163" s="57" t="str">
        <f ca="1">IFERROR(__xludf.DUMMYFUNCTION("""COMPUTED_VALUE"""),"OK")</f>
        <v>OK</v>
      </c>
      <c r="F163" s="46"/>
      <c r="G163" s="62" t="s">
        <v>9436</v>
      </c>
      <c r="H163" s="45" t="s">
        <v>9437</v>
      </c>
    </row>
    <row r="164" spans="1:8">
      <c r="A164" s="59" t="s">
        <v>9438</v>
      </c>
      <c r="B164" s="12" t="str">
        <f ca="1">IFERROR(__xludf.DUMMYFUNCTION("""COMPUTED_VALUE"""),"Cherie Deville - 27444960 - XVRED - Hazel Grace")</f>
        <v>Cherie Deville - 27444960 - XVRED - Hazel Grace</v>
      </c>
      <c r="C164" s="60" t="str">
        <f ca="1">IFERROR(__xludf.DUMMYFUNCTION("""COMPUTED_VALUE"""),"https://thumbcdn.com/splash/hhhvz7q3n2x3tc22.jpg")</f>
        <v>https://thumbcdn.com/splash/hhhvz7q3n2x3tc22.jpg</v>
      </c>
      <c r="D164" s="6" t="s">
        <v>1696</v>
      </c>
      <c r="E164" s="63" t="str">
        <f ca="1">IFERROR(__xludf.DUMMYFUNCTION("""COMPUTED_VALUE"""),"OK")</f>
        <v>OK</v>
      </c>
      <c r="F164" s="46"/>
      <c r="G164" s="64" t="s">
        <v>9436</v>
      </c>
      <c r="H164" s="45" t="s">
        <v>9439</v>
      </c>
    </row>
    <row r="165" spans="1:8">
      <c r="A165" s="12"/>
      <c r="B165" s="12" t="str">
        <f ca="1">IFERROR(__xludf.DUMMYFUNCTION("""COMPUTED_VALUE"""),"Cherie Deville - 43213370 - Onlyfans - Dana DeArmond")</f>
        <v>Cherie Deville - 43213370 - Onlyfans - Dana DeArmond</v>
      </c>
      <c r="C165" s="60" t="str">
        <f ca="1">IFERROR(__xludf.DUMMYFUNCTION("""COMPUTED_VALUE"""),"https://thumbcdn.com/splash/6ppcq75am11s8n30.jpg")</f>
        <v>https://thumbcdn.com/splash/6ppcq75am11s8n30.jpg</v>
      </c>
      <c r="D165" s="6" t="s">
        <v>1702</v>
      </c>
      <c r="E165" s="63" t="str">
        <f ca="1">IFERROR(__xludf.DUMMYFUNCTION("""COMPUTED_VALUE"""),"OK")</f>
        <v>OK</v>
      </c>
      <c r="F165" s="46"/>
      <c r="G165" s="62" t="s">
        <v>9436</v>
      </c>
      <c r="H165" s="45" t="s">
        <v>9440</v>
      </c>
    </row>
    <row r="166" spans="1:8">
      <c r="A166" s="12" t="s">
        <v>9441</v>
      </c>
      <c r="B166" s="12" t="str">
        <f ca="1">IFERROR(__xludf.DUMMYFUNCTION("""COMPUTED_VALUE"""),"Cherie Deville - 49175490 - Onlyfans")</f>
        <v>Cherie Deville - 49175490 - Onlyfans</v>
      </c>
      <c r="C166" s="60" t="str">
        <f ca="1">IFERROR(__xludf.DUMMYFUNCTION("""COMPUTED_VALUE"""),"https://thumbcdn.com/splash/jvogjjjmc9uro6df.jpg")</f>
        <v>https://thumbcdn.com/splash/jvogjjjmc9uro6df.jpg</v>
      </c>
      <c r="D166" s="55" t="s">
        <v>1708</v>
      </c>
      <c r="E166" s="57" t="str">
        <f ca="1">IFERROR(__xludf.DUMMYFUNCTION("""COMPUTED_VALUE"""),"OK")</f>
        <v>OK</v>
      </c>
      <c r="F166" s="46"/>
      <c r="G166" s="62" t="s">
        <v>9436</v>
      </c>
      <c r="H166" s="45" t="s">
        <v>9442</v>
      </c>
    </row>
    <row r="167" spans="1:8">
      <c r="A167" s="59" t="s">
        <v>9443</v>
      </c>
      <c r="B167" s="12" t="str">
        <f ca="1">IFERROR(__xludf.DUMMYFUNCTION("""COMPUTED_VALUE"""),"Cherie Deville - 70617047 - XVRED")</f>
        <v>Cherie Deville - 70617047 - XVRED</v>
      </c>
      <c r="C167" s="60" t="str">
        <f ca="1">IFERROR(__xludf.DUMMYFUNCTION("""COMPUTED_VALUE"""),"https://thumbcdn.com/splash/ajlojk7490gwodfq.jpg")</f>
        <v>https://thumbcdn.com/splash/ajlojk7490gwodfq.jpg</v>
      </c>
      <c r="D167" s="6" t="s">
        <v>1718</v>
      </c>
      <c r="E167" s="63" t="str">
        <f ca="1">IFERROR(__xludf.DUMMYFUNCTION("""COMPUTED_VALUE"""),"OK")</f>
        <v>OK</v>
      </c>
      <c r="F167" s="46"/>
      <c r="G167" s="64" t="s">
        <v>9436</v>
      </c>
      <c r="H167" s="45" t="s">
        <v>9444</v>
      </c>
    </row>
    <row r="168" spans="1:8">
      <c r="A168" s="12"/>
      <c r="B168" s="12" t="str">
        <f ca="1">IFERROR(__xludf.DUMMYFUNCTION("""COMPUTED_VALUE"""),"Cherry Crush - 18101943 - Onlyfans")</f>
        <v>Cherry Crush - 18101943 - Onlyfans</v>
      </c>
      <c r="C168" s="60" t="str">
        <f ca="1">IFERROR(__xludf.DUMMYFUNCTION("""COMPUTED_VALUE"""),"https://thumbcdn.com/splash/ejwlt1hpv1jxvqb7.jpg")</f>
        <v>https://thumbcdn.com/splash/ejwlt1hpv1jxvqb7.jpg</v>
      </c>
      <c r="D168" s="12" t="s">
        <v>1730</v>
      </c>
      <c r="E168" s="57" t="str">
        <f ca="1">IFERROR(__xludf.DUMMYFUNCTION("""COMPUTED_VALUE"""),"OK")</f>
        <v>OK</v>
      </c>
      <c r="F168" s="46"/>
      <c r="G168" s="62" t="s">
        <v>9436</v>
      </c>
      <c r="H168" s="45" t="s">
        <v>9445</v>
      </c>
    </row>
    <row r="169" spans="1:8">
      <c r="A169" s="12" t="s">
        <v>9446</v>
      </c>
      <c r="B169" s="12" t="str">
        <f ca="1">IFERROR(__xludf.DUMMYFUNCTION("""COMPUTED_VALUE"""),"Cherry Crush - 22967091 - Onlyfans")</f>
        <v>Cherry Crush - 22967091 - Onlyfans</v>
      </c>
      <c r="C169" s="60" t="str">
        <f ca="1">IFERROR(__xludf.DUMMYFUNCTION("""COMPUTED_VALUE"""),"https://thumbcdn.com/splash/bxw43356cg7673c9.jpg")</f>
        <v>https://thumbcdn.com/splash/bxw43356cg7673c9.jpg</v>
      </c>
      <c r="D169" s="12" t="s">
        <v>1735</v>
      </c>
      <c r="E169" s="57" t="str">
        <f ca="1">IFERROR(__xludf.DUMMYFUNCTION("""COMPUTED_VALUE"""),"OK")</f>
        <v>OK</v>
      </c>
      <c r="F169" s="46"/>
      <c r="G169" s="62" t="s">
        <v>9447</v>
      </c>
      <c r="H169" s="45" t="s">
        <v>9448</v>
      </c>
    </row>
    <row r="170" spans="1:8">
      <c r="A170" s="59" t="s">
        <v>9449</v>
      </c>
      <c r="B170" s="12" t="str">
        <f ca="1">IFERROR(__xludf.DUMMYFUNCTION("""COMPUTED_VALUE"""),"Cherry Crush - 31670888 - Onlyfans")</f>
        <v>Cherry Crush - 31670888 - Onlyfans</v>
      </c>
      <c r="C170" s="60" t="str">
        <f ca="1">IFERROR(__xludf.DUMMYFUNCTION("""COMPUTED_VALUE"""),"https://thumbcdn.com/splash/vgpzbpbbx6z994k3.jpg")</f>
        <v>https://thumbcdn.com/splash/vgpzbpbbx6z994k3.jpg</v>
      </c>
      <c r="D170" s="12" t="s">
        <v>1740</v>
      </c>
      <c r="E170" s="57" t="str">
        <f ca="1">IFERROR(__xludf.DUMMYFUNCTION("""COMPUTED_VALUE"""),"OK")</f>
        <v>OK</v>
      </c>
      <c r="F170" s="46"/>
      <c r="G170" s="64" t="s">
        <v>9447</v>
      </c>
      <c r="H170" s="45" t="s">
        <v>9450</v>
      </c>
    </row>
    <row r="171" spans="1:8">
      <c r="A171" s="12"/>
      <c r="B171" s="12" t="str">
        <f ca="1">IFERROR(__xludf.DUMMYFUNCTION("""COMPUTED_VALUE"""),"Cherry Crush - 42545650 - Onlyfans")</f>
        <v>Cherry Crush - 42545650 - Onlyfans</v>
      </c>
      <c r="C171" s="60" t="str">
        <f ca="1">IFERROR(__xludf.DUMMYFUNCTION("""COMPUTED_VALUE"""),"https://thumbcdn.com/splash/rljy8avaeoxygi00.jpg")</f>
        <v>https://thumbcdn.com/splash/rljy8avaeoxygi00.jpg</v>
      </c>
      <c r="D171" s="12" t="s">
        <v>1745</v>
      </c>
      <c r="E171" s="57" t="str">
        <f ca="1">IFERROR(__xludf.DUMMYFUNCTION("""COMPUTED_VALUE"""),"OK")</f>
        <v>OK</v>
      </c>
      <c r="F171" s="46"/>
      <c r="G171" s="62" t="s">
        <v>9447</v>
      </c>
      <c r="H171" s="45" t="s">
        <v>9451</v>
      </c>
    </row>
    <row r="172" spans="1:8">
      <c r="A172" s="12" t="s">
        <v>9452</v>
      </c>
      <c r="B172" s="12" t="str">
        <f ca="1">IFERROR(__xludf.DUMMYFUNCTION("""COMPUTED_VALUE"""),"Cherry Crush - 42781173 - Onlyfans")</f>
        <v>Cherry Crush - 42781173 - Onlyfans</v>
      </c>
      <c r="C172" s="60" t="str">
        <f ca="1">IFERROR(__xludf.DUMMYFUNCTION("""COMPUTED_VALUE"""),"https://thumbcdn.com/splash/5ahrn8ykuicbue2s.jpg")</f>
        <v>https://thumbcdn.com/splash/5ahrn8ykuicbue2s.jpg</v>
      </c>
      <c r="D172" s="12" t="s">
        <v>1749</v>
      </c>
      <c r="E172" s="57" t="str">
        <f ca="1">IFERROR(__xludf.DUMMYFUNCTION("""COMPUTED_VALUE"""),"OK")</f>
        <v>OK</v>
      </c>
      <c r="F172" s="46"/>
      <c r="G172" s="62" t="s">
        <v>9447</v>
      </c>
      <c r="H172" s="45" t="s">
        <v>9453</v>
      </c>
    </row>
    <row r="173" spans="1:8">
      <c r="A173" s="59" t="s">
        <v>9454</v>
      </c>
      <c r="B173" s="12" t="str">
        <f ca="1">IFERROR(__xludf.DUMMYFUNCTION("""COMPUTED_VALUE"""),"Cherry Crush - 50898168 - Onlyfans")</f>
        <v>Cherry Crush - 50898168 - Onlyfans</v>
      </c>
      <c r="C173" s="60" t="str">
        <f ca="1">IFERROR(__xludf.DUMMYFUNCTION("""COMPUTED_VALUE"""),"https://thumbcdn.com/splash/z67ag69h3z4quban.jpg")</f>
        <v>https://thumbcdn.com/splash/z67ag69h3z4quban.jpg</v>
      </c>
      <c r="D173" s="12" t="s">
        <v>1754</v>
      </c>
      <c r="E173" s="57" t="str">
        <f ca="1">IFERROR(__xludf.DUMMYFUNCTION("""COMPUTED_VALUE"""),"OK")</f>
        <v>OK</v>
      </c>
      <c r="F173" s="46"/>
      <c r="G173" s="64" t="s">
        <v>9447</v>
      </c>
      <c r="H173" s="45" t="s">
        <v>9455</v>
      </c>
    </row>
    <row r="174" spans="1:8">
      <c r="A174" s="12"/>
      <c r="B174" s="12" t="str">
        <f ca="1">IFERROR(__xludf.DUMMYFUNCTION("""COMPUTED_VALUE"""),"Cherry Crush - 61962423 - Onlyfans")</f>
        <v>Cherry Crush - 61962423 - Onlyfans</v>
      </c>
      <c r="C174" s="60" t="str">
        <f ca="1">IFERROR(__xludf.DUMMYFUNCTION("""COMPUTED_VALUE"""),"https://thumbcdn.com/splash/5lefzngavzpd2p4n.jpg")</f>
        <v>https://thumbcdn.com/splash/5lefzngavzpd2p4n.jpg</v>
      </c>
      <c r="D174" s="6" t="s">
        <v>1758</v>
      </c>
      <c r="E174" s="63" t="str">
        <f ca="1">IFERROR(__xludf.DUMMYFUNCTION("""COMPUTED_VALUE"""),"OK")</f>
        <v>OK</v>
      </c>
      <c r="F174" s="46"/>
      <c r="G174" s="62" t="s">
        <v>9447</v>
      </c>
      <c r="H174" s="45" t="s">
        <v>9456</v>
      </c>
    </row>
    <row r="175" spans="1:8">
      <c r="A175" s="12" t="s">
        <v>9457</v>
      </c>
      <c r="B175" s="12" t="str">
        <f ca="1">IFERROR(__xludf.DUMMYFUNCTION("""COMPUTED_VALUE"""),"Cherry Crush - 70612286 - Onlyfans")</f>
        <v>Cherry Crush - 70612286 - Onlyfans</v>
      </c>
      <c r="C175" s="60" t="str">
        <f ca="1">IFERROR(__xludf.DUMMYFUNCTION("""COMPUTED_VALUE"""),"https://thumbcdn.com/splash/ne4w3wadw2kz5rbc.jpg")</f>
        <v>https://thumbcdn.com/splash/ne4w3wadw2kz5rbc.jpg</v>
      </c>
      <c r="D175" s="12" t="s">
        <v>1764</v>
      </c>
      <c r="E175" s="57" t="str">
        <f ca="1">IFERROR(__xludf.DUMMYFUNCTION("""COMPUTED_VALUE"""),"OK")</f>
        <v>OK</v>
      </c>
      <c r="F175" s="46"/>
      <c r="G175" s="62" t="s">
        <v>9447</v>
      </c>
      <c r="H175" s="45" t="s">
        <v>9458</v>
      </c>
    </row>
    <row r="176" spans="1:8">
      <c r="A176" s="59" t="s">
        <v>9459</v>
      </c>
      <c r="B176" s="12" t="str">
        <f ca="1">IFERROR(__xludf.DUMMYFUNCTION("""COMPUTED_VALUE"""),"Cherry Crush - 72758988 - Onlyfans")</f>
        <v>Cherry Crush - 72758988 - Onlyfans</v>
      </c>
      <c r="C176" s="60" t="str">
        <f ca="1">IFERROR(__xludf.DUMMYFUNCTION("""COMPUTED_VALUE"""),"https://thumbcdn.com/splash/47203l3uh174drd2.jpg")</f>
        <v>https://thumbcdn.com/splash/47203l3uh174drd2.jpg</v>
      </c>
      <c r="D176" s="6" t="s">
        <v>1769</v>
      </c>
      <c r="E176" s="63" t="str">
        <f ca="1">IFERROR(__xludf.DUMMYFUNCTION("""COMPUTED_VALUE"""),"OK")</f>
        <v>OK</v>
      </c>
      <c r="F176" s="46"/>
      <c r="G176" s="64" t="s">
        <v>9447</v>
      </c>
      <c r="H176" s="45" t="s">
        <v>9460</v>
      </c>
    </row>
    <row r="177" spans="1:8">
      <c r="A177" s="12"/>
      <c r="B177" s="12" t="str">
        <f ca="1">IFERROR(__xludf.DUMMYFUNCTION("""COMPUTED_VALUE"""),"Cherry Crush - 75242411 - Onlyfans")</f>
        <v>Cherry Crush - 75242411 - Onlyfans</v>
      </c>
      <c r="C177" s="60" t="str">
        <f ca="1">IFERROR(__xludf.DUMMYFUNCTION("""COMPUTED_VALUE"""),"https://thumbcdn.com/splash/6mfnfp7bohpd02w7.jpg")</f>
        <v>https://thumbcdn.com/splash/6mfnfp7bohpd02w7.jpg</v>
      </c>
      <c r="D177" s="12" t="s">
        <v>1774</v>
      </c>
      <c r="E177" s="57" t="str">
        <f ca="1">IFERROR(__xludf.DUMMYFUNCTION("""COMPUTED_VALUE"""),"OK")</f>
        <v>OK</v>
      </c>
      <c r="F177" s="46"/>
      <c r="G177" s="62" t="s">
        <v>9447</v>
      </c>
      <c r="H177" s="45" t="s">
        <v>9461</v>
      </c>
    </row>
    <row r="178" spans="1:8">
      <c r="A178" s="12" t="s">
        <v>9462</v>
      </c>
      <c r="B178" s="12" t="str">
        <f ca="1">IFERROR(__xludf.DUMMYFUNCTION("""COMPUTED_VALUE"""),"Chloe Foxxe - 49813379 - Onlyfans")</f>
        <v>Chloe Foxxe - 49813379 - Onlyfans</v>
      </c>
      <c r="C178" s="60" t="str">
        <f ca="1">IFERROR(__xludf.DUMMYFUNCTION("""COMPUTED_VALUE"""),"https://thumbcdn.com/splash/qk7u4wmrfns0694k.jpg")</f>
        <v>https://thumbcdn.com/splash/qk7u4wmrfns0694k.jpg</v>
      </c>
      <c r="D178" s="12" t="s">
        <v>1780</v>
      </c>
      <c r="E178" s="57" t="str">
        <f ca="1">IFERROR(__xludf.DUMMYFUNCTION("""COMPUTED_VALUE"""),"OK")</f>
        <v>OK</v>
      </c>
      <c r="F178" s="46"/>
      <c r="G178" s="62" t="s">
        <v>9447</v>
      </c>
      <c r="H178" s="45" t="s">
        <v>9463</v>
      </c>
    </row>
    <row r="179" spans="1:8">
      <c r="A179" s="59" t="s">
        <v>9464</v>
      </c>
      <c r="B179" s="12" t="str">
        <f ca="1">IFERROR(__xludf.DUMMYFUNCTION("""COMPUTED_VALUE"""),"Codi Vore - 25973564 - Onlyfans")</f>
        <v>Codi Vore - 25973564 - Onlyfans</v>
      </c>
      <c r="C179" s="60" t="str">
        <f ca="1">IFERROR(__xludf.DUMMYFUNCTION("""COMPUTED_VALUE"""),"https://thumbcdn.com/splash/ynoer0gg8brbcx0i.jpg")</f>
        <v>https://thumbcdn.com/splash/ynoer0gg8brbcx0i.jpg</v>
      </c>
      <c r="D179" s="12" t="s">
        <v>1785</v>
      </c>
      <c r="E179" s="57" t="str">
        <f ca="1">IFERROR(__xludf.DUMMYFUNCTION("""COMPUTED_VALUE"""),"OK")</f>
        <v>OK</v>
      </c>
      <c r="F179" s="46"/>
      <c r="G179" s="64" t="s">
        <v>9465</v>
      </c>
      <c r="H179" s="45" t="s">
        <v>9466</v>
      </c>
    </row>
    <row r="180" spans="1:8">
      <c r="A180" s="12"/>
      <c r="B180" s="12" t="str">
        <f ca="1">IFERROR(__xludf.DUMMYFUNCTION("""COMPUTED_VALUE"""),"Codi Vore - 59741750 - Onlyfans")</f>
        <v>Codi Vore - 59741750 - Onlyfans</v>
      </c>
      <c r="C180" s="60" t="str">
        <f ca="1">IFERROR(__xludf.DUMMYFUNCTION("""COMPUTED_VALUE"""),"https://thumbcdn.com/splash/9yt84rvpvogmsz4m.jpg")</f>
        <v>https://thumbcdn.com/splash/9yt84rvpvogmsz4m.jpg</v>
      </c>
      <c r="D180" s="6" t="s">
        <v>1790</v>
      </c>
      <c r="E180" s="63" t="str">
        <f ca="1">IFERROR(__xludf.DUMMYFUNCTION("""COMPUTED_VALUE"""),"OK")</f>
        <v>OK</v>
      </c>
      <c r="F180" s="46"/>
      <c r="G180" s="62" t="s">
        <v>9467</v>
      </c>
      <c r="H180" s="45" t="s">
        <v>9468</v>
      </c>
    </row>
    <row r="181" spans="1:8">
      <c r="A181" s="12" t="s">
        <v>9469</v>
      </c>
      <c r="B181" s="12" t="str">
        <f ca="1">IFERROR(__xludf.DUMMYFUNCTION("""COMPUTED_VALUE"""),"Codi Vore - 97196141 - Onlyfans - Ginger Monroe")</f>
        <v>Codi Vore - 97196141 - Onlyfans - Ginger Monroe</v>
      </c>
      <c r="C181" s="60" t="str">
        <f ca="1">IFERROR(__xludf.DUMMYFUNCTION("""COMPUTED_VALUE"""),"https://thumbcdn.com/splash/auv2e68r2f1bzibc.jpg")</f>
        <v>https://thumbcdn.com/splash/auv2e68r2f1bzibc.jpg</v>
      </c>
      <c r="D181" s="12" t="s">
        <v>1795</v>
      </c>
      <c r="E181" s="57" t="str">
        <f ca="1">IFERROR(__xludf.DUMMYFUNCTION("""COMPUTED_VALUE"""),"OK")</f>
        <v>OK</v>
      </c>
      <c r="F181" s="46"/>
      <c r="G181" s="62" t="s">
        <v>9467</v>
      </c>
      <c r="H181" s="45" t="s">
        <v>9470</v>
      </c>
    </row>
    <row r="182" spans="1:8">
      <c r="A182" s="59" t="s">
        <v>9471</v>
      </c>
      <c r="B182" s="12" t="str">
        <f ca="1">IFERROR(__xludf.DUMMYFUNCTION("""COMPUTED_VALUE"""),"Comatozze - 11995759 - Onlyfans")</f>
        <v>Comatozze - 11995759 - Onlyfans</v>
      </c>
      <c r="C182" s="60" t="str">
        <f ca="1">IFERROR(__xludf.DUMMYFUNCTION("""COMPUTED_VALUE"""),"https://thumbcdn.com/splash/xwm3tmr6b01szjuc.jpg")</f>
        <v>https://thumbcdn.com/splash/xwm3tmr6b01szjuc.jpg</v>
      </c>
      <c r="D182" s="12" t="s">
        <v>1800</v>
      </c>
      <c r="E182" s="57" t="str">
        <f ca="1">IFERROR(__xludf.DUMMYFUNCTION("""COMPUTED_VALUE"""),"OK")</f>
        <v>OK</v>
      </c>
      <c r="F182" s="46"/>
      <c r="G182" s="64" t="s">
        <v>9467</v>
      </c>
      <c r="H182" s="45" t="s">
        <v>9472</v>
      </c>
    </row>
    <row r="183" spans="1:8">
      <c r="A183" s="12"/>
      <c r="B183" s="12" t="str">
        <f ca="1">IFERROR(__xludf.DUMMYFUNCTION("""COMPUTED_VALUE"""),"Comatozze - 12745761 - Onlyfans")</f>
        <v>Comatozze - 12745761 - Onlyfans</v>
      </c>
      <c r="C183" s="60" t="str">
        <f ca="1">IFERROR(__xludf.DUMMYFUNCTION("""COMPUTED_VALUE"""),"https://thumbcdn.com/splash/9hos7xu00t81mc60.jpg")</f>
        <v>https://thumbcdn.com/splash/9hos7xu00t81mc60.jpg</v>
      </c>
      <c r="D183" s="12" t="s">
        <v>1804</v>
      </c>
      <c r="E183" s="57" t="str">
        <f ca="1">IFERROR(__xludf.DUMMYFUNCTION("""COMPUTED_VALUE"""),"OK")</f>
        <v>OK</v>
      </c>
      <c r="F183" s="46"/>
      <c r="G183" s="62" t="s">
        <v>9473</v>
      </c>
      <c r="H183" s="45" t="s">
        <v>9474</v>
      </c>
    </row>
    <row r="184" spans="1:8">
      <c r="A184" s="12" t="s">
        <v>9475</v>
      </c>
      <c r="B184" s="12" t="str">
        <f ca="1">IFERROR(__xludf.DUMMYFUNCTION("""COMPUTED_VALUE"""),"Comatozze - 17647210 - Onlyfans")</f>
        <v>Comatozze - 17647210 - Onlyfans</v>
      </c>
      <c r="C184" s="60" t="str">
        <f ca="1">IFERROR(__xludf.DUMMYFUNCTION("""COMPUTED_VALUE"""),"https://thumbcdn.com/splash/t4wh45rpe7ovgmkl.jpg")</f>
        <v>https://thumbcdn.com/splash/t4wh45rpe7ovgmkl.jpg</v>
      </c>
      <c r="D184" s="12" t="s">
        <v>1808</v>
      </c>
      <c r="E184" s="57" t="str">
        <f ca="1">IFERROR(__xludf.DUMMYFUNCTION("""COMPUTED_VALUE"""),"OK")</f>
        <v>OK</v>
      </c>
      <c r="F184" s="46"/>
      <c r="G184" s="62" t="s">
        <v>9473</v>
      </c>
      <c r="H184" s="45" t="s">
        <v>9476</v>
      </c>
    </row>
    <row r="185" spans="1:8">
      <c r="A185" s="59" t="s">
        <v>9477</v>
      </c>
      <c r="B185" s="12" t="str">
        <f ca="1">IFERROR(__xludf.DUMMYFUNCTION("""COMPUTED_VALUE"""),"Comatozze - 22614725 - Onlyfans")</f>
        <v>Comatozze - 22614725 - Onlyfans</v>
      </c>
      <c r="C185" s="60" t="str">
        <f ca="1">IFERROR(__xludf.DUMMYFUNCTION("""COMPUTED_VALUE"""),"https://thumbcdn.com/splash/91i27m8fjbekr3mr.jpg")</f>
        <v>https://thumbcdn.com/splash/91i27m8fjbekr3mr.jpg</v>
      </c>
      <c r="D185" s="12" t="s">
        <v>1812</v>
      </c>
      <c r="E185" s="57" t="str">
        <f ca="1">IFERROR(__xludf.DUMMYFUNCTION("""COMPUTED_VALUE"""),"OK")</f>
        <v>OK</v>
      </c>
      <c r="F185" s="46"/>
      <c r="G185" s="64" t="s">
        <v>9473</v>
      </c>
      <c r="H185" s="45" t="s">
        <v>9478</v>
      </c>
    </row>
    <row r="186" spans="1:8">
      <c r="A186" s="12"/>
      <c r="B186" s="12" t="str">
        <f ca="1">IFERROR(__xludf.DUMMYFUNCTION("""COMPUTED_VALUE"""),"Comatozze - 24841502 - FH")</f>
        <v>Comatozze - 24841502 - FH</v>
      </c>
      <c r="C186" s="60" t="str">
        <f ca="1">IFERROR(__xludf.DUMMYFUNCTION("""COMPUTED_VALUE"""),"https://thumbcdn.com/splash/irqgxgqnyjwiudnp.jpg")</f>
        <v>https://thumbcdn.com/splash/irqgxgqnyjwiudnp.jpg</v>
      </c>
      <c r="D186" s="12" t="s">
        <v>1816</v>
      </c>
      <c r="E186" s="57" t="str">
        <f ca="1">IFERROR(__xludf.DUMMYFUNCTION("""COMPUTED_VALUE"""),"OK")</f>
        <v>OK</v>
      </c>
      <c r="F186" s="46"/>
      <c r="G186" s="62" t="s">
        <v>9473</v>
      </c>
      <c r="H186" s="45" t="s">
        <v>9479</v>
      </c>
    </row>
    <row r="187" spans="1:8">
      <c r="A187" s="12" t="s">
        <v>9480</v>
      </c>
      <c r="B187" s="12" t="str">
        <f ca="1">IFERROR(__xludf.DUMMYFUNCTION("""COMPUTED_VALUE"""),"Comatozze - 30142657 - Onlyfans")</f>
        <v>Comatozze - 30142657 - Onlyfans</v>
      </c>
      <c r="C187" s="60" t="str">
        <f ca="1">IFERROR(__xludf.DUMMYFUNCTION("""COMPUTED_VALUE"""),"https://thumbcdn.com/splash/a0ea8meofrvg6yie.jpg")</f>
        <v>https://thumbcdn.com/splash/a0ea8meofrvg6yie.jpg</v>
      </c>
      <c r="D187" s="6" t="s">
        <v>1820</v>
      </c>
      <c r="E187" s="63" t="str">
        <f ca="1">IFERROR(__xludf.DUMMYFUNCTION("""COMPUTED_VALUE"""),"OK")</f>
        <v>OK</v>
      </c>
      <c r="F187" s="46"/>
      <c r="G187" s="62" t="s">
        <v>9473</v>
      </c>
      <c r="H187" s="45" t="s">
        <v>9481</v>
      </c>
    </row>
    <row r="188" spans="1:8">
      <c r="A188" s="59" t="s">
        <v>9482</v>
      </c>
      <c r="B188" s="12" t="str">
        <f ca="1">IFERROR(__xludf.DUMMYFUNCTION("""COMPUTED_VALUE"""),"Comatozze - 42181282 - Onlyfans")</f>
        <v>Comatozze - 42181282 - Onlyfans</v>
      </c>
      <c r="C188" s="60" t="str">
        <f ca="1">IFERROR(__xludf.DUMMYFUNCTION("""COMPUTED_VALUE"""),"https://thumbcdn.com/splash/7e5x9vk4tgr9rg11.jpg")</f>
        <v>https://thumbcdn.com/splash/7e5x9vk4tgr9rg11.jpg</v>
      </c>
      <c r="D188" s="12" t="s">
        <v>1824</v>
      </c>
      <c r="E188" s="57" t="str">
        <f ca="1">IFERROR(__xludf.DUMMYFUNCTION("""COMPUTED_VALUE"""),"OK")</f>
        <v>OK</v>
      </c>
      <c r="F188" s="46"/>
      <c r="G188" s="64" t="s">
        <v>9473</v>
      </c>
      <c r="H188" s="45" t="s">
        <v>9483</v>
      </c>
    </row>
    <row r="189" spans="1:8">
      <c r="A189" s="12"/>
      <c r="B189" s="12" t="str">
        <f ca="1">IFERROR(__xludf.DUMMYFUNCTION("""COMPUTED_VALUE"""),"Comatozze - 46990227 - Onlyfans")</f>
        <v>Comatozze - 46990227 - Onlyfans</v>
      </c>
      <c r="C189" s="60" t="str">
        <f ca="1">IFERROR(__xludf.DUMMYFUNCTION("""COMPUTED_VALUE"""),"https://thumbcdn.com/splash/tfodf7lm49rywlli.jpg")</f>
        <v>https://thumbcdn.com/splash/tfodf7lm49rywlli.jpg</v>
      </c>
      <c r="D189" s="12" t="s">
        <v>1828</v>
      </c>
      <c r="E189" s="57" t="str">
        <f ca="1">IFERROR(__xludf.DUMMYFUNCTION("""COMPUTED_VALUE"""),"OK")</f>
        <v>OK</v>
      </c>
      <c r="F189" s="46"/>
      <c r="G189" s="62" t="s">
        <v>9473</v>
      </c>
      <c r="H189" s="45" t="s">
        <v>9484</v>
      </c>
    </row>
    <row r="190" spans="1:8">
      <c r="A190" s="12" t="s">
        <v>9485</v>
      </c>
      <c r="B190" s="12" t="str">
        <f ca="1">IFERROR(__xludf.DUMMYFUNCTION("""COMPUTED_VALUE"""),"Comatozze - 49437136 - Onlyfans")</f>
        <v>Comatozze - 49437136 - Onlyfans</v>
      </c>
      <c r="C190" s="60" t="str">
        <f ca="1">IFERROR(__xludf.DUMMYFUNCTION("""COMPUTED_VALUE"""),"https://thumbcdn.com/splash/kf58ck1qj5t8nuzs.jpg")</f>
        <v>https://thumbcdn.com/splash/kf58ck1qj5t8nuzs.jpg</v>
      </c>
      <c r="D190" s="12" t="s">
        <v>1832</v>
      </c>
      <c r="E190" s="57" t="str">
        <f ca="1">IFERROR(__xludf.DUMMYFUNCTION("""COMPUTED_VALUE"""),"OK")</f>
        <v>OK</v>
      </c>
      <c r="F190" s="46"/>
      <c r="G190" s="62" t="s">
        <v>9473</v>
      </c>
      <c r="H190" s="45" t="s">
        <v>9486</v>
      </c>
    </row>
    <row r="191" spans="1:8">
      <c r="A191" s="59" t="s">
        <v>9487</v>
      </c>
      <c r="B191" s="12" t="str">
        <f ca="1">IFERROR(__xludf.DUMMYFUNCTION("""COMPUTED_VALUE"""),"Comatozze - 54421017 - XVRED")</f>
        <v>Comatozze - 54421017 - XVRED</v>
      </c>
      <c r="C191" s="60" t="str">
        <f ca="1">IFERROR(__xludf.DUMMYFUNCTION("""COMPUTED_VALUE"""),"https://thumbcdn.com/splash/x5d7huqo7jayvt34.jpg")</f>
        <v>https://thumbcdn.com/splash/x5d7huqo7jayvt34.jpg</v>
      </c>
      <c r="D191" s="12" t="s">
        <v>1836</v>
      </c>
      <c r="E191" s="57" t="str">
        <f ca="1">IFERROR(__xludf.DUMMYFUNCTION("""COMPUTED_VALUE"""),"OK")</f>
        <v>OK</v>
      </c>
      <c r="F191" s="46"/>
      <c r="G191" s="64" t="s">
        <v>9473</v>
      </c>
      <c r="H191" s="45" t="s">
        <v>9488</v>
      </c>
    </row>
    <row r="192" spans="1:8">
      <c r="A192" s="12"/>
      <c r="B192" s="12" t="str">
        <f ca="1">IFERROR(__xludf.DUMMYFUNCTION("""COMPUTED_VALUE"""),"Comatozze - 68511307 - Onlyfans")</f>
        <v>Comatozze - 68511307 - Onlyfans</v>
      </c>
      <c r="C192" s="60" t="str">
        <f ca="1">IFERROR(__xludf.DUMMYFUNCTION("""COMPUTED_VALUE"""),"https://thumbcdn.com/splash/eacquqs0mfbpl1me.jpg")</f>
        <v>https://thumbcdn.com/splash/eacquqs0mfbpl1me.jpg</v>
      </c>
      <c r="D192" s="12" t="s">
        <v>1840</v>
      </c>
      <c r="E192" s="57" t="str">
        <f ca="1">IFERROR(__xludf.DUMMYFUNCTION("""COMPUTED_VALUE"""),"OK")</f>
        <v>OK</v>
      </c>
      <c r="F192" s="46"/>
      <c r="G192" s="62" t="s">
        <v>9473</v>
      </c>
      <c r="H192" s="45" t="s">
        <v>9489</v>
      </c>
    </row>
    <row r="193" spans="1:8">
      <c r="A193" s="12" t="s">
        <v>9490</v>
      </c>
      <c r="B193" s="12" t="str">
        <f ca="1">IFERROR(__xludf.DUMMYFUNCTION("""COMPUTED_VALUE"""),"Comatozze - 75998619 - Onlyfans")</f>
        <v>Comatozze - 75998619 - Onlyfans</v>
      </c>
      <c r="C193" s="60" t="str">
        <f ca="1">IFERROR(__xludf.DUMMYFUNCTION("""COMPUTED_VALUE"""),"https://thumbcdn.com/splash/lop4zoluuf41d2ay.jpg")</f>
        <v>https://thumbcdn.com/splash/lop4zoluuf41d2ay.jpg</v>
      </c>
      <c r="D193" s="6" t="s">
        <v>1844</v>
      </c>
      <c r="E193" s="63" t="str">
        <f ca="1">IFERROR(__xludf.DUMMYFUNCTION("""COMPUTED_VALUE"""),"OK")</f>
        <v>OK</v>
      </c>
      <c r="F193" s="46"/>
      <c r="G193" s="62" t="s">
        <v>9473</v>
      </c>
      <c r="H193" s="45" t="s">
        <v>9491</v>
      </c>
    </row>
    <row r="194" spans="1:8">
      <c r="A194" s="59" t="s">
        <v>9492</v>
      </c>
      <c r="B194" s="12" t="str">
        <f ca="1">IFERROR(__xludf.DUMMYFUNCTION("""COMPUTED_VALUE"""),"Comatozze - 76965609 -  Onlyfans")</f>
        <v>Comatozze - 76965609 -  Onlyfans</v>
      </c>
      <c r="C194" s="60" t="str">
        <f ca="1">IFERROR(__xludf.DUMMYFUNCTION("""COMPUTED_VALUE"""),"https://thumbcdn.com/splash/hz74kg4dxp5emymu.jpg")</f>
        <v>https://thumbcdn.com/splash/hz74kg4dxp5emymu.jpg</v>
      </c>
      <c r="D194" s="12" t="s">
        <v>1849</v>
      </c>
      <c r="E194" s="57" t="str">
        <f ca="1">IFERROR(__xludf.DUMMYFUNCTION("""COMPUTED_VALUE"""),"OK")</f>
        <v>OK</v>
      </c>
      <c r="F194" s="46"/>
      <c r="G194" s="64" t="s">
        <v>9473</v>
      </c>
      <c r="H194" s="45" t="s">
        <v>9493</v>
      </c>
    </row>
    <row r="195" spans="1:8">
      <c r="A195" s="12"/>
      <c r="B195" s="12" t="str">
        <f ca="1">IFERROR(__xludf.DUMMYFUNCTION("""COMPUTED_VALUE"""),"Comatozze - 84083230 - Onlyfans")</f>
        <v>Comatozze - 84083230 - Onlyfans</v>
      </c>
      <c r="C195" s="60" t="str">
        <f ca="1">IFERROR(__xludf.DUMMYFUNCTION("""COMPUTED_VALUE"""),"https://thumbcdn.com/splash/kvzyk2vm7opf70gj.jpg")</f>
        <v>https://thumbcdn.com/splash/kvzyk2vm7opf70gj.jpg</v>
      </c>
      <c r="D195" s="12" t="s">
        <v>1855</v>
      </c>
      <c r="E195" s="57" t="str">
        <f ca="1">IFERROR(__xludf.DUMMYFUNCTION("""COMPUTED_VALUE"""),"OK")</f>
        <v>OK</v>
      </c>
      <c r="F195" s="46"/>
      <c r="G195" s="62" t="s">
        <v>9473</v>
      </c>
      <c r="H195" s="45" t="s">
        <v>9494</v>
      </c>
    </row>
    <row r="196" spans="1:8">
      <c r="A196" s="12" t="s">
        <v>9495</v>
      </c>
      <c r="B196" s="12" t="str">
        <f ca="1">IFERROR(__xludf.DUMMYFUNCTION("""COMPUTED_VALUE"""),"Comatozze - 89278600 - Onlyfans")</f>
        <v>Comatozze - 89278600 - Onlyfans</v>
      </c>
      <c r="C196" s="60" t="str">
        <f ca="1">IFERROR(__xludf.DUMMYFUNCTION("""COMPUTED_VALUE"""),"https://thumbcdn.com/splash/uemypfnbhq0ymykc.jpg")</f>
        <v>https://thumbcdn.com/splash/uemypfnbhq0ymykc.jpg</v>
      </c>
      <c r="D196" s="12" t="s">
        <v>1860</v>
      </c>
      <c r="E196" s="57" t="str">
        <f ca="1">IFERROR(__xludf.DUMMYFUNCTION("""COMPUTED_VALUE"""),"OK")</f>
        <v>OK</v>
      </c>
      <c r="F196" s="46"/>
      <c r="G196" s="62" t="s">
        <v>9473</v>
      </c>
      <c r="H196" s="45" t="s">
        <v>9496</v>
      </c>
    </row>
    <row r="197" spans="1:8">
      <c r="A197" s="59" t="s">
        <v>9497</v>
      </c>
      <c r="B197" s="12" t="str">
        <f ca="1">IFERROR(__xludf.DUMMYFUNCTION("""COMPUTED_VALUE"""),"Comatozze - 91374902 - FH")</f>
        <v>Comatozze - 91374902 - FH</v>
      </c>
      <c r="C197" s="60" t="str">
        <f ca="1">IFERROR(__xludf.DUMMYFUNCTION("""COMPUTED_VALUE"""),"https://thumbcdn.com/splash/5fm6eieksre8pefh.jpg")</f>
        <v>https://thumbcdn.com/splash/5fm6eieksre8pefh.jpg</v>
      </c>
      <c r="D197" s="6" t="s">
        <v>1864</v>
      </c>
      <c r="E197" s="63" t="str">
        <f ca="1">IFERROR(__xludf.DUMMYFUNCTION("""COMPUTED_VALUE"""),"OK")</f>
        <v>OK</v>
      </c>
      <c r="F197" s="46"/>
      <c r="G197" s="64" t="s">
        <v>9473</v>
      </c>
      <c r="H197" s="45" t="s">
        <v>9498</v>
      </c>
    </row>
    <row r="198" spans="1:8">
      <c r="A198" s="12"/>
      <c r="B198" s="12" t="str">
        <f ca="1">IFERROR(__xludf.DUMMYFUNCTION("""COMPUTED_VALUE"""),"Comatozze - 95705657 - FapHouse")</f>
        <v>Comatozze - 95705657 - FapHouse</v>
      </c>
      <c r="C198" s="60" t="str">
        <f ca="1">IFERROR(__xludf.DUMMYFUNCTION("""COMPUTED_VALUE"""),"https://thumbcdn.com/splash/orxdwfuleaqhie7m.jpg")</f>
        <v>https://thumbcdn.com/splash/orxdwfuleaqhie7m.jpg</v>
      </c>
      <c r="D198" s="12" t="s">
        <v>1868</v>
      </c>
      <c r="E198" s="57" t="str">
        <f ca="1">IFERROR(__xludf.DUMMYFUNCTION("""COMPUTED_VALUE"""),"OK")</f>
        <v>OK</v>
      </c>
      <c r="F198" s="46"/>
      <c r="G198" s="62" t="s">
        <v>9473</v>
      </c>
      <c r="H198" s="45" t="s">
        <v>9499</v>
      </c>
    </row>
    <row r="199" spans="1:8">
      <c r="A199" s="12" t="s">
        <v>9500</v>
      </c>
      <c r="B199" s="12" t="str">
        <f ca="1">IFERROR(__xludf.DUMMYFUNCTION("""COMPUTED_VALUE"""),"Cory Chase - 64159902 - EA")</f>
        <v>Cory Chase - 64159902 - EA</v>
      </c>
      <c r="C199" s="60" t="str">
        <f ca="1">IFERROR(__xludf.DUMMYFUNCTION("""COMPUTED_VALUE"""),"https://thumbcdn.com/splash/f9m3mdoe126x8xwo.jpg")</f>
        <v>https://thumbcdn.com/splash/f9m3mdoe126x8xwo.jpg</v>
      </c>
      <c r="D199" s="12" t="s">
        <v>1873</v>
      </c>
      <c r="E199" s="57" t="str">
        <f ca="1">IFERROR(__xludf.DUMMYFUNCTION("""COMPUTED_VALUE"""),"OK")</f>
        <v>OK</v>
      </c>
      <c r="F199" s="46"/>
      <c r="G199" s="62" t="s">
        <v>9473</v>
      </c>
      <c r="H199" s="45" t="s">
        <v>9501</v>
      </c>
    </row>
    <row r="200" spans="1:8">
      <c r="A200" s="59" t="s">
        <v>9502</v>
      </c>
      <c r="B200" s="12" t="str">
        <f ca="1">IFERROR(__xludf.DUMMYFUNCTION("""COMPUTED_VALUE"""),"Dahlia Sage - 89666098 - BackroomCastingCouch")</f>
        <v>Dahlia Sage - 89666098 - BackroomCastingCouch</v>
      </c>
      <c r="C200" s="60" t="str">
        <f ca="1">IFERROR(__xludf.DUMMYFUNCTION("""COMPUTED_VALUE"""),"https://thumbcdn.com/splash/mekscrs094uqje38.jpg")</f>
        <v>https://thumbcdn.com/splash/mekscrs094uqje38.jpg</v>
      </c>
      <c r="D200" s="12" t="s">
        <v>1884</v>
      </c>
      <c r="E200" s="57" t="str">
        <f ca="1">IFERROR(__xludf.DUMMYFUNCTION("""COMPUTED_VALUE"""),"OK")</f>
        <v>OK</v>
      </c>
      <c r="F200" s="46"/>
      <c r="G200" s="64" t="s">
        <v>9503</v>
      </c>
      <c r="H200" s="45" t="s">
        <v>9504</v>
      </c>
    </row>
    <row r="201" spans="1:8">
      <c r="A201" s="12"/>
      <c r="B201" s="12" t="str">
        <f ca="1">IFERROR(__xludf.DUMMYFUNCTION("""COMPUTED_VALUE"""),"Dainty Wilder - 02791119 - Onlyfans")</f>
        <v>Dainty Wilder - 02791119 - Onlyfans</v>
      </c>
      <c r="C201" s="60" t="str">
        <f ca="1">IFERROR(__xludf.DUMMYFUNCTION("""COMPUTED_VALUE"""),"https://thumbcdn.com/splash/3r8oemjwnmv70z19.jpg")</f>
        <v>https://thumbcdn.com/splash/3r8oemjwnmv70z19.jpg</v>
      </c>
      <c r="D201" s="12" t="s">
        <v>1888</v>
      </c>
      <c r="E201" s="57" t="str">
        <f ca="1">IFERROR(__xludf.DUMMYFUNCTION("""COMPUTED_VALUE"""),"OK")</f>
        <v>OK</v>
      </c>
      <c r="F201" s="46"/>
      <c r="G201" s="62" t="s">
        <v>9505</v>
      </c>
      <c r="H201" s="45" t="s">
        <v>9506</v>
      </c>
    </row>
    <row r="202" spans="1:8">
      <c r="A202" s="12" t="s">
        <v>9507</v>
      </c>
      <c r="B202" s="12" t="str">
        <f ca="1">IFERROR(__xludf.DUMMYFUNCTION("""COMPUTED_VALUE"""),"Dainty Wilder - 10194725 - Onlyfans - Lucy Mochi - Caryn Beaumont")</f>
        <v>Dainty Wilder - 10194725 - Onlyfans - Lucy Mochi - Caryn Beaumont</v>
      </c>
      <c r="C202" s="60" t="str">
        <f ca="1">IFERROR(__xludf.DUMMYFUNCTION("""COMPUTED_VALUE"""),"https://thumbcdn.com/splash/4p55fyzrgu7u4dz3.jpg")</f>
        <v>https://thumbcdn.com/splash/4p55fyzrgu7u4dz3.jpg</v>
      </c>
      <c r="D202" s="6" t="s">
        <v>1893</v>
      </c>
      <c r="E202" s="63" t="str">
        <f ca="1">IFERROR(__xludf.DUMMYFUNCTION("""COMPUTED_VALUE"""),"OK")</f>
        <v>OK</v>
      </c>
      <c r="F202" s="46"/>
      <c r="G202" s="62" t="s">
        <v>9508</v>
      </c>
      <c r="H202" s="45" t="s">
        <v>9509</v>
      </c>
    </row>
    <row r="203" spans="1:8">
      <c r="A203" s="59" t="s">
        <v>9510</v>
      </c>
      <c r="B203" s="12" t="str">
        <f ca="1">IFERROR(__xludf.DUMMYFUNCTION("""COMPUTED_VALUE"""),"Dainty Wilder - 13798100 - Onlyfans - Lena Polanski")</f>
        <v>Dainty Wilder - 13798100 - Onlyfans - Lena Polanski</v>
      </c>
      <c r="C203" s="60" t="str">
        <f ca="1">IFERROR(__xludf.DUMMYFUNCTION("""COMPUTED_VALUE"""),"https://thumbcdn.com/splash/mnt8nwfy3u9jawo4.jpg")</f>
        <v>https://thumbcdn.com/splash/mnt8nwfy3u9jawo4.jpg</v>
      </c>
      <c r="D203" s="12" t="s">
        <v>1899</v>
      </c>
      <c r="E203" s="57" t="str">
        <f ca="1">IFERROR(__xludf.DUMMYFUNCTION("""COMPUTED_VALUE"""),"OK")</f>
        <v>OK</v>
      </c>
      <c r="F203" s="46"/>
      <c r="G203" s="64" t="s">
        <v>9508</v>
      </c>
      <c r="H203" s="45" t="s">
        <v>9511</v>
      </c>
    </row>
    <row r="204" spans="1:8">
      <c r="A204" s="12"/>
      <c r="B204" s="12" t="str">
        <f ca="1">IFERROR(__xludf.DUMMYFUNCTION("""COMPUTED_VALUE"""),"Dainty Wilder - 20082922 - Onlyfans")</f>
        <v>Dainty Wilder - 20082922 - Onlyfans</v>
      </c>
      <c r="C204" s="60" t="str">
        <f ca="1">IFERROR(__xludf.DUMMYFUNCTION("""COMPUTED_VALUE"""),"https://thumbcdn.com/splash/qygr09p6z3q7athp.jpg")</f>
        <v>https://thumbcdn.com/splash/qygr09p6z3q7athp.jpg</v>
      </c>
      <c r="D204" s="6" t="s">
        <v>1904</v>
      </c>
      <c r="E204" s="63" t="str">
        <f ca="1">IFERROR(__xludf.DUMMYFUNCTION("""COMPUTED_VALUE"""),"OK")</f>
        <v>OK</v>
      </c>
      <c r="F204" s="46"/>
      <c r="G204" s="62" t="s">
        <v>9508</v>
      </c>
      <c r="H204" s="45" t="s">
        <v>9512</v>
      </c>
    </row>
    <row r="205" spans="1:8">
      <c r="A205" s="12" t="s">
        <v>9513</v>
      </c>
      <c r="B205" s="12" t="str">
        <f ca="1">IFERROR(__xludf.DUMMYFUNCTION("""COMPUTED_VALUE"""),"Dainty Wilder - 23578439 - Onlyfans")</f>
        <v>Dainty Wilder - 23578439 - Onlyfans</v>
      </c>
      <c r="C205" s="60" t="str">
        <f ca="1">IFERROR(__xludf.DUMMYFUNCTION("""COMPUTED_VALUE"""),"https://thumbcdn.com/splash/lvcrq8s21xqnni54.jpg")</f>
        <v>https://thumbcdn.com/splash/lvcrq8s21xqnni54.jpg</v>
      </c>
      <c r="D205" s="12" t="s">
        <v>1909</v>
      </c>
      <c r="E205" s="57" t="str">
        <f ca="1">IFERROR(__xludf.DUMMYFUNCTION("""COMPUTED_VALUE"""),"OK")</f>
        <v>OK</v>
      </c>
      <c r="F205" s="46"/>
      <c r="G205" s="62" t="s">
        <v>9508</v>
      </c>
      <c r="H205" s="45" t="s">
        <v>9514</v>
      </c>
    </row>
    <row r="206" spans="1:8">
      <c r="A206" s="59" t="s">
        <v>9515</v>
      </c>
      <c r="B206" s="12" t="str">
        <f ca="1">IFERROR(__xludf.DUMMYFUNCTION("""COMPUTED_VALUE"""),"Dainty Wilder - 25302871 - Onlyfans")</f>
        <v>Dainty Wilder - 25302871 - Onlyfans</v>
      </c>
      <c r="C206" s="60" t="str">
        <f ca="1">IFERROR(__xludf.DUMMYFUNCTION("""COMPUTED_VALUE"""),"https://thumbcdn.com/splash/l496hx1oocpandkh.jpg")</f>
        <v>https://thumbcdn.com/splash/l496hx1oocpandkh.jpg</v>
      </c>
      <c r="D206" s="12" t="s">
        <v>1914</v>
      </c>
      <c r="E206" s="57" t="str">
        <f ca="1">IFERROR(__xludf.DUMMYFUNCTION("""COMPUTED_VALUE"""),"OK")</f>
        <v>OK</v>
      </c>
      <c r="F206" s="46"/>
      <c r="G206" s="64" t="s">
        <v>9508</v>
      </c>
      <c r="H206" s="45" t="s">
        <v>9516</v>
      </c>
    </row>
    <row r="207" spans="1:8">
      <c r="A207" s="12"/>
      <c r="B207" s="12" t="str">
        <f ca="1">IFERROR(__xludf.DUMMYFUNCTION("""COMPUTED_VALUE"""),"Dainty Wilder - 25785112 - Onlyfans - Alina Lopez - Lucy Mochi - Cheerleader Kait")</f>
        <v>Dainty Wilder - 25785112 - Onlyfans - Alina Lopez - Lucy Mochi - Cheerleader Kait</v>
      </c>
      <c r="C207" s="60" t="str">
        <f ca="1">IFERROR(__xludf.DUMMYFUNCTION("""COMPUTED_VALUE"""),"https://thumbcdn.com/splash/zzz0np2s4tz1vece.jpg")</f>
        <v>https://thumbcdn.com/splash/zzz0np2s4tz1vece.jpg</v>
      </c>
      <c r="D207" s="6" t="s">
        <v>1919</v>
      </c>
      <c r="E207" s="63" t="str">
        <f ca="1">IFERROR(__xludf.DUMMYFUNCTION("""COMPUTED_VALUE"""),"OK")</f>
        <v>OK</v>
      </c>
      <c r="F207" s="46"/>
      <c r="G207" s="62" t="s">
        <v>9508</v>
      </c>
      <c r="H207" s="45" t="s">
        <v>9517</v>
      </c>
    </row>
    <row r="208" spans="1:8">
      <c r="A208" s="12" t="s">
        <v>9518</v>
      </c>
      <c r="B208" s="12" t="str">
        <f ca="1">IFERROR(__xludf.DUMMYFUNCTION("""COMPUTED_VALUE"""),"Dainty Wilder - 39415690 - Onlyfans")</f>
        <v>Dainty Wilder - 39415690 - Onlyfans</v>
      </c>
      <c r="C208" s="60" t="str">
        <f ca="1">IFERROR(__xludf.DUMMYFUNCTION("""COMPUTED_VALUE"""),"https://thumbcdn.com/splash/4ffr6q76ez1s7g3k.jpg")</f>
        <v>https://thumbcdn.com/splash/4ffr6q76ez1s7g3k.jpg</v>
      </c>
      <c r="D208" s="6" t="s">
        <v>1924</v>
      </c>
      <c r="E208" s="63" t="str">
        <f ca="1">IFERROR(__xludf.DUMMYFUNCTION("""COMPUTED_VALUE"""),"OK")</f>
        <v>OK</v>
      </c>
      <c r="F208" s="46"/>
      <c r="G208" s="62" t="s">
        <v>9508</v>
      </c>
      <c r="H208" s="45" t="s">
        <v>9519</v>
      </c>
    </row>
    <row r="209" spans="1:8">
      <c r="A209" s="59" t="s">
        <v>9520</v>
      </c>
      <c r="B209" s="12" t="str">
        <f ca="1">IFERROR(__xludf.DUMMYFUNCTION("""COMPUTED_VALUE"""),"Dainty Wilder - 43236156 - Onlyfans")</f>
        <v>Dainty Wilder - 43236156 - Onlyfans</v>
      </c>
      <c r="C209" s="60" t="str">
        <f ca="1">IFERROR(__xludf.DUMMYFUNCTION("""COMPUTED_VALUE"""),"https://thumbcdn.com/splash/qa76a82j0wzjai4o.jpg")</f>
        <v>https://thumbcdn.com/splash/qa76a82j0wzjai4o.jpg</v>
      </c>
      <c r="D209" s="6" t="s">
        <v>1929</v>
      </c>
      <c r="E209" s="63" t="str">
        <f ca="1">IFERROR(__xludf.DUMMYFUNCTION("""COMPUTED_VALUE"""),"OK")</f>
        <v>OK</v>
      </c>
      <c r="F209" s="46"/>
      <c r="G209" s="64" t="s">
        <v>9508</v>
      </c>
      <c r="H209" s="45" t="s">
        <v>9521</v>
      </c>
    </row>
    <row r="210" spans="1:8">
      <c r="A210" s="12"/>
      <c r="B210" s="12" t="str">
        <f ca="1">IFERROR(__xludf.DUMMYFUNCTION("""COMPUTED_VALUE"""),"Dainty Wilder - 48110335 - Onlyfans - Ryan Reid")</f>
        <v>Dainty Wilder - 48110335 - Onlyfans - Ryan Reid</v>
      </c>
      <c r="C210" s="60" t="str">
        <f ca="1">IFERROR(__xludf.DUMMYFUNCTION("""COMPUTED_VALUE"""),"https://thumbcdn.com/splash/92hmx0va27we0mw1.jpg")</f>
        <v>https://thumbcdn.com/splash/92hmx0va27we0mw1.jpg</v>
      </c>
      <c r="D210" s="12" t="s">
        <v>1934</v>
      </c>
      <c r="E210" s="57" t="str">
        <f ca="1">IFERROR(__xludf.DUMMYFUNCTION("""COMPUTED_VALUE"""),"OK")</f>
        <v>OK</v>
      </c>
      <c r="F210" s="46"/>
      <c r="G210" s="62" t="s">
        <v>9508</v>
      </c>
      <c r="H210" s="45" t="s">
        <v>9522</v>
      </c>
    </row>
    <row r="211" spans="1:8">
      <c r="A211" s="12" t="s">
        <v>9523</v>
      </c>
      <c r="B211" s="12" t="str">
        <f ca="1">IFERROR(__xludf.DUMMYFUNCTION("""COMPUTED_VALUE"""),"Dainty Wilder - 54428152 - Onlyfans")</f>
        <v>Dainty Wilder - 54428152 - Onlyfans</v>
      </c>
      <c r="C211" s="60" t="str">
        <f ca="1">IFERROR(__xludf.DUMMYFUNCTION("""COMPUTED_VALUE"""),"https://thumbcdn.com/splash/pnrkjpimsa75rapt.jpg")</f>
        <v>https://thumbcdn.com/splash/pnrkjpimsa75rapt.jpg</v>
      </c>
      <c r="D211" s="12" t="s">
        <v>1940</v>
      </c>
      <c r="E211" s="57" t="str">
        <f ca="1">IFERROR(__xludf.DUMMYFUNCTION("""COMPUTED_VALUE"""),"OK")</f>
        <v>OK</v>
      </c>
      <c r="F211" s="46"/>
      <c r="G211" s="62" t="s">
        <v>9508</v>
      </c>
      <c r="H211" s="45" t="s">
        <v>9524</v>
      </c>
    </row>
    <row r="212" spans="1:8">
      <c r="A212" s="59" t="s">
        <v>9525</v>
      </c>
      <c r="B212" s="12" t="str">
        <f ca="1">IFERROR(__xludf.DUMMYFUNCTION("""COMPUTED_VALUE"""),"Dainty Wilder - 65825910 - Onlyfans - Valerica Steele")</f>
        <v>Dainty Wilder - 65825910 - Onlyfans - Valerica Steele</v>
      </c>
      <c r="C212" s="60" t="str">
        <f ca="1">IFERROR(__xludf.DUMMYFUNCTION("""COMPUTED_VALUE"""),"https://thumbcdn.com/splash/y08ccj4yisss716m.jpg")</f>
        <v>https://thumbcdn.com/splash/y08ccj4yisss716m.jpg</v>
      </c>
      <c r="D212" s="12" t="s">
        <v>1946</v>
      </c>
      <c r="E212" s="57" t="str">
        <f ca="1">IFERROR(__xludf.DUMMYFUNCTION("""COMPUTED_VALUE"""),"OK")</f>
        <v>OK</v>
      </c>
      <c r="F212" s="46"/>
      <c r="G212" s="64" t="s">
        <v>9508</v>
      </c>
      <c r="H212" s="45" t="s">
        <v>9526</v>
      </c>
    </row>
    <row r="213" spans="1:8">
      <c r="A213" s="12"/>
      <c r="B213" s="12" t="str">
        <f ca="1">IFERROR(__xludf.DUMMYFUNCTION("""COMPUTED_VALUE"""),"Dainty Wilder - 67327074 - Onlyfans")</f>
        <v>Dainty Wilder - 67327074 - Onlyfans</v>
      </c>
      <c r="C213" s="60" t="str">
        <f ca="1">IFERROR(__xludf.DUMMYFUNCTION("""COMPUTED_VALUE"""),"https://thumbcdn.com/splash/yvf4t1s49afkw1xl.jpg")</f>
        <v>https://thumbcdn.com/splash/yvf4t1s49afkw1xl.jpg</v>
      </c>
      <c r="D213" s="12" t="s">
        <v>1957</v>
      </c>
      <c r="E213" s="57" t="str">
        <f ca="1">IFERROR(__xludf.DUMMYFUNCTION("""COMPUTED_VALUE"""),"OK")</f>
        <v>OK</v>
      </c>
      <c r="F213" s="46"/>
      <c r="G213" s="62" t="s">
        <v>9508</v>
      </c>
      <c r="H213" s="45" t="s">
        <v>9527</v>
      </c>
    </row>
    <row r="214" spans="1:8">
      <c r="A214" s="12" t="s">
        <v>9528</v>
      </c>
      <c r="B214" s="12" t="str">
        <f ca="1">IFERROR(__xludf.DUMMYFUNCTION("""COMPUTED_VALUE"""),"Dainty Wilder - 71504764 - Onlyfans - Martina Smeraldi")</f>
        <v>Dainty Wilder - 71504764 - Onlyfans - Martina Smeraldi</v>
      </c>
      <c r="C214" s="60" t="str">
        <f ca="1">IFERROR(__xludf.DUMMYFUNCTION("""COMPUTED_VALUE"""),"https://thumbcdn.com/splash/jzdpprvxvhgd94ax.jpg")</f>
        <v>https://thumbcdn.com/splash/jzdpprvxvhgd94ax.jpg</v>
      </c>
      <c r="D214" s="12" t="s">
        <v>1968</v>
      </c>
      <c r="E214" s="57" t="str">
        <f ca="1">IFERROR(__xludf.DUMMYFUNCTION("""COMPUTED_VALUE"""),"OK")</f>
        <v>OK</v>
      </c>
      <c r="F214" s="46"/>
      <c r="G214" s="62" t="s">
        <v>9508</v>
      </c>
      <c r="H214" s="45" t="s">
        <v>9529</v>
      </c>
    </row>
    <row r="215" spans="1:8">
      <c r="A215" s="59" t="s">
        <v>9530</v>
      </c>
      <c r="B215" s="12" t="str">
        <f ca="1">IFERROR(__xludf.DUMMYFUNCTION("""COMPUTED_VALUE"""),"Dainty Wilder - 73520865 - Onlyfans")</f>
        <v>Dainty Wilder - 73520865 - Onlyfans</v>
      </c>
      <c r="C215" s="60" t="str">
        <f ca="1">IFERROR(__xludf.DUMMYFUNCTION("""COMPUTED_VALUE"""),"https://thumbcdn.com/splash/4gohks36uscfuypq.jpg")</f>
        <v>https://thumbcdn.com/splash/4gohks36uscfuypq.jpg</v>
      </c>
      <c r="D215" s="6" t="s">
        <v>1973</v>
      </c>
      <c r="E215" s="63" t="str">
        <f ca="1">IFERROR(__xludf.DUMMYFUNCTION("""COMPUTED_VALUE"""),"OK")</f>
        <v>OK</v>
      </c>
      <c r="F215" s="46"/>
      <c r="G215" s="64" t="s">
        <v>9508</v>
      </c>
      <c r="H215" s="45" t="s">
        <v>9531</v>
      </c>
    </row>
    <row r="216" spans="1:8">
      <c r="A216" s="12"/>
      <c r="B216" s="12" t="str">
        <f ca="1">IFERROR(__xludf.DUMMYFUNCTION("""COMPUTED_VALUE"""),"Dainty Wilder - 85880814 - Onlyfans - Lucy Mochi")</f>
        <v>Dainty Wilder - 85880814 - Onlyfans - Lucy Mochi</v>
      </c>
      <c r="C216" s="60" t="str">
        <f ca="1">IFERROR(__xludf.DUMMYFUNCTION("""COMPUTED_VALUE"""),"https://thumbcdn.com/splash/w8y1r93g2ipvpvdk.jpg")</f>
        <v>https://thumbcdn.com/splash/w8y1r93g2ipvpvdk.jpg</v>
      </c>
      <c r="D216" s="12" t="s">
        <v>1990</v>
      </c>
      <c r="E216" s="57" t="str">
        <f ca="1">IFERROR(__xludf.DUMMYFUNCTION("""COMPUTED_VALUE"""),"OK")</f>
        <v>OK</v>
      </c>
      <c r="F216" s="46"/>
      <c r="G216" s="62" t="s">
        <v>9508</v>
      </c>
      <c r="H216" s="45" t="s">
        <v>9532</v>
      </c>
    </row>
    <row r="217" spans="1:8">
      <c r="A217" s="12" t="s">
        <v>9533</v>
      </c>
      <c r="B217" s="12" t="str">
        <f ca="1">IFERROR(__xludf.DUMMYFUNCTION("""COMPUTED_VALUE"""),"Dainty Wilder - 86337696 - Onlyfans")</f>
        <v>Dainty Wilder - 86337696 - Onlyfans</v>
      </c>
      <c r="C217" s="60" t="str">
        <f ca="1">IFERROR(__xludf.DUMMYFUNCTION("""COMPUTED_VALUE"""),"https://thumbcdn.com/splash/vqqt3nybzsmxwrwq.jpg")</f>
        <v>https://thumbcdn.com/splash/vqqt3nybzsmxwrwq.jpg</v>
      </c>
      <c r="D217" s="12" t="s">
        <v>1995</v>
      </c>
      <c r="E217" s="57" t="str">
        <f ca="1">IFERROR(__xludf.DUMMYFUNCTION("""COMPUTED_VALUE"""),"OK")</f>
        <v>OK</v>
      </c>
      <c r="F217" s="46"/>
      <c r="G217" s="62" t="s">
        <v>9508</v>
      </c>
      <c r="H217" s="45" t="s">
        <v>9534</v>
      </c>
    </row>
    <row r="218" spans="1:8">
      <c r="A218" s="59" t="s">
        <v>9535</v>
      </c>
      <c r="B218" s="12" t="str">
        <f ca="1">IFERROR(__xludf.DUMMYFUNCTION("""COMPUTED_VALUE"""),"Dainty Wilder - 89040537 - Onlyfans")</f>
        <v>Dainty Wilder - 89040537 - Onlyfans</v>
      </c>
      <c r="C218" s="60" t="str">
        <f ca="1">IFERROR(__xludf.DUMMYFUNCTION("""COMPUTED_VALUE"""),"https://thumbcdn.com/splash/6dqlpjci7uqwuor9.jpg")</f>
        <v>https://thumbcdn.com/splash/6dqlpjci7uqwuor9.jpg</v>
      </c>
      <c r="D218" s="12" t="s">
        <v>2000</v>
      </c>
      <c r="E218" s="57" t="str">
        <f ca="1">IFERROR(__xludf.DUMMYFUNCTION("""COMPUTED_VALUE"""),"OK")</f>
        <v>OK</v>
      </c>
      <c r="F218" s="46"/>
      <c r="G218" s="64" t="s">
        <v>9508</v>
      </c>
      <c r="H218" s="45" t="s">
        <v>9536</v>
      </c>
    </row>
    <row r="219" spans="1:8">
      <c r="A219" s="12"/>
      <c r="B219" s="12" t="str">
        <f ca="1">IFERROR(__xludf.DUMMYFUNCTION("""COMPUTED_VALUE"""),"Dainty Wilder - 89256519 - Onlyfans - Caryn Beaumont")</f>
        <v>Dainty Wilder - 89256519 - Onlyfans - Caryn Beaumont</v>
      </c>
      <c r="C219" s="60" t="str">
        <f ca="1">IFERROR(__xludf.DUMMYFUNCTION("""COMPUTED_VALUE"""),"https://thumbcdn.com/splash/kuojiofrn87il0h5.jpg")</f>
        <v>https://thumbcdn.com/splash/kuojiofrn87il0h5.jpg</v>
      </c>
      <c r="D219" s="6" t="s">
        <v>2005</v>
      </c>
      <c r="E219" s="63" t="str">
        <f ca="1">IFERROR(__xludf.DUMMYFUNCTION("""COMPUTED_VALUE"""),"OK")</f>
        <v>OK</v>
      </c>
      <c r="F219" s="46"/>
      <c r="G219" s="62" t="s">
        <v>9508</v>
      </c>
      <c r="H219" s="45" t="s">
        <v>9537</v>
      </c>
    </row>
    <row r="220" spans="1:8">
      <c r="A220" s="12" t="s">
        <v>9538</v>
      </c>
      <c r="B220" s="12" t="str">
        <f ca="1">IFERROR(__xludf.DUMMYFUNCTION("""COMPUTED_VALUE"""),"Dainty Wilder - 89850398 - Onlyfans")</f>
        <v>Dainty Wilder - 89850398 - Onlyfans</v>
      </c>
      <c r="C220" s="60" t="str">
        <f ca="1">IFERROR(__xludf.DUMMYFUNCTION("""COMPUTED_VALUE"""),"https://thumbcdn.com/splash/c52uuv771ipm7t4a.jpg")</f>
        <v>https://thumbcdn.com/splash/c52uuv771ipm7t4a.jpg</v>
      </c>
      <c r="D220" s="12" t="s">
        <v>2011</v>
      </c>
      <c r="E220" s="57" t="str">
        <f ca="1">IFERROR(__xludf.DUMMYFUNCTION("""COMPUTED_VALUE"""),"OK")</f>
        <v>OK</v>
      </c>
      <c r="F220" s="46"/>
      <c r="G220" s="62" t="s">
        <v>9508</v>
      </c>
      <c r="H220" s="45" t="s">
        <v>9539</v>
      </c>
    </row>
    <row r="221" spans="1:8">
      <c r="A221" s="59" t="s">
        <v>9540</v>
      </c>
      <c r="B221" s="12" t="str">
        <f ca="1">IFERROR(__xludf.DUMMYFUNCTION("""COMPUTED_VALUE"""),"Dainty Wilder - 90178666 - Onlyfans")</f>
        <v>Dainty Wilder - 90178666 - Onlyfans</v>
      </c>
      <c r="C221" s="60" t="str">
        <f ca="1">IFERROR(__xludf.DUMMYFUNCTION("""COMPUTED_VALUE"""),"https://thumbcdn.com/splash/i6m74wrke7z1ldcn.jpg")</f>
        <v>https://thumbcdn.com/splash/i6m74wrke7z1ldcn.jpg</v>
      </c>
      <c r="D221" s="6" t="s">
        <v>2016</v>
      </c>
      <c r="E221" s="63" t="str">
        <f ca="1">IFERROR(__xludf.DUMMYFUNCTION("""COMPUTED_VALUE"""),"OK")</f>
        <v>OK</v>
      </c>
      <c r="F221" s="46"/>
      <c r="G221" s="64" t="s">
        <v>9508</v>
      </c>
      <c r="H221" s="45" t="s">
        <v>9541</v>
      </c>
    </row>
    <row r="222" spans="1:8">
      <c r="A222" s="12"/>
      <c r="B222" s="12" t="str">
        <f ca="1">IFERROR(__xludf.DUMMYFUNCTION("""COMPUTED_VALUE"""),"Dainty Wilder - 94217019 - Onlyfans")</f>
        <v>Dainty Wilder - 94217019 - Onlyfans</v>
      </c>
      <c r="C222" s="60" t="str">
        <f ca="1">IFERROR(__xludf.DUMMYFUNCTION("""COMPUTED_VALUE"""),"https://thumbcdn.com/splash/eemxyeel28fyw3ax.jpg")</f>
        <v>https://thumbcdn.com/splash/eemxyeel28fyw3ax.jpg</v>
      </c>
      <c r="D222" s="12" t="s">
        <v>2027</v>
      </c>
      <c r="E222" s="57" t="str">
        <f ca="1">IFERROR(__xludf.DUMMYFUNCTION("""COMPUTED_VALUE"""),"OK")</f>
        <v>OK</v>
      </c>
      <c r="F222" s="46"/>
      <c r="G222" s="62" t="s">
        <v>9508</v>
      </c>
      <c r="H222" s="45" t="s">
        <v>9542</v>
      </c>
    </row>
    <row r="223" spans="1:8">
      <c r="A223" s="12" t="s">
        <v>9543</v>
      </c>
      <c r="B223" s="12" t="str">
        <f ca="1">IFERROR(__xludf.DUMMYFUNCTION("""COMPUTED_VALUE"""),"Dainty Wilder - 95597183 - Onlyfans")</f>
        <v>Dainty Wilder - 95597183 - Onlyfans</v>
      </c>
      <c r="C223" s="60" t="str">
        <f ca="1">IFERROR(__xludf.DUMMYFUNCTION("""COMPUTED_VALUE"""),"https://thumbcdn.com/splash/jkh6qodu0vb2wvlu.jpg")</f>
        <v>https://thumbcdn.com/splash/jkh6qodu0vb2wvlu.jpg</v>
      </c>
      <c r="D223" s="16" t="s">
        <v>2031</v>
      </c>
      <c r="E223" s="57" t="str">
        <f ca="1">IFERROR(__xludf.DUMMYFUNCTION("""COMPUTED_VALUE"""),"OK")</f>
        <v>OK</v>
      </c>
      <c r="F223" s="46"/>
      <c r="G223" s="62" t="s">
        <v>9508</v>
      </c>
      <c r="H223" s="45" t="s">
        <v>9544</v>
      </c>
    </row>
    <row r="224" spans="1:8">
      <c r="A224" s="59" t="s">
        <v>9545</v>
      </c>
      <c r="B224" s="12" t="str">
        <f ca="1">IFERROR(__xludf.DUMMYFUNCTION("""COMPUTED_VALUE"""),"Dainty Wilder - 96957950 - Onlyfans")</f>
        <v>Dainty Wilder - 96957950 - Onlyfans</v>
      </c>
      <c r="C224" s="60" t="str">
        <f ca="1">IFERROR(__xludf.DUMMYFUNCTION("""COMPUTED_VALUE"""),"https://thumbcdn.com/splash/qfygaoocpp9qb2rs.jpg")</f>
        <v>https://thumbcdn.com/splash/qfygaoocpp9qb2rs.jpg</v>
      </c>
      <c r="D224" s="6" t="s">
        <v>2036</v>
      </c>
      <c r="E224" s="63" t="str">
        <f ca="1">IFERROR(__xludf.DUMMYFUNCTION("""COMPUTED_VALUE"""),"OK")</f>
        <v>OK</v>
      </c>
      <c r="F224" s="46"/>
      <c r="G224" s="64" t="s">
        <v>9508</v>
      </c>
      <c r="H224" s="45" t="s">
        <v>9546</v>
      </c>
    </row>
    <row r="225" spans="1:8">
      <c r="A225" s="12"/>
      <c r="B225" s="12" t="str">
        <f ca="1">IFERROR(__xludf.DUMMYFUNCTION("""COMPUTED_VALUE"""),"Dainty Wilder - 99124741 - Onlyfans - Angela White")</f>
        <v>Dainty Wilder - 99124741 - Onlyfans - Angela White</v>
      </c>
      <c r="C225" s="60" t="str">
        <f ca="1">IFERROR(__xludf.DUMMYFUNCTION("""COMPUTED_VALUE"""),"https://thumbcdn.com/splash/1cwsi17hca5kuiny.jpg")</f>
        <v>https://thumbcdn.com/splash/1cwsi17hca5kuiny.jpg</v>
      </c>
      <c r="D225" s="12" t="s">
        <v>2041</v>
      </c>
      <c r="E225" s="57" t="str">
        <f ca="1">IFERROR(__xludf.DUMMYFUNCTION("""COMPUTED_VALUE"""),"OK")</f>
        <v>OK</v>
      </c>
      <c r="F225" s="46"/>
      <c r="G225" s="62" t="s">
        <v>9508</v>
      </c>
      <c r="H225" s="45" t="s">
        <v>9547</v>
      </c>
    </row>
    <row r="226" spans="1:8">
      <c r="A226" s="12" t="s">
        <v>9548</v>
      </c>
      <c r="B226" s="12" t="str">
        <f ca="1">IFERROR(__xludf.DUMMYFUNCTION("""COMPUTED_VALUE"""),"Dani Daniels - 10120271 - Onlyfans")</f>
        <v>Dani Daniels - 10120271 - Onlyfans</v>
      </c>
      <c r="C226" s="60" t="str">
        <f ca="1">IFERROR(__xludf.DUMMYFUNCTION("""COMPUTED_VALUE"""),"https://thumbcdn.com/splash/9srjkue77a83ky3t.jpg")</f>
        <v>https://thumbcdn.com/splash/9srjkue77a83ky3t.jpg</v>
      </c>
      <c r="D226" s="12" t="s">
        <v>2058</v>
      </c>
      <c r="E226" s="57" t="str">
        <f ca="1">IFERROR(__xludf.DUMMYFUNCTION("""COMPUTED_VALUE"""),"OK")</f>
        <v>OK</v>
      </c>
      <c r="F226" s="46"/>
      <c r="G226" s="62" t="s">
        <v>9508</v>
      </c>
      <c r="H226" s="45" t="s">
        <v>9549</v>
      </c>
    </row>
    <row r="227" spans="1:8">
      <c r="A227" s="59" t="s">
        <v>9550</v>
      </c>
      <c r="B227" s="12" t="str">
        <f ca="1">IFERROR(__xludf.DUMMYFUNCTION("""COMPUTED_VALUE"""),"Dani Daniels - 10192788 - Onlyfans")</f>
        <v>Dani Daniels - 10192788 - Onlyfans</v>
      </c>
      <c r="C227" s="60" t="str">
        <f ca="1">IFERROR(__xludf.DUMMYFUNCTION("""COMPUTED_VALUE"""),"https://thumbcdn.com/splash/4dzrghvill6fah24.jpg")</f>
        <v>https://thumbcdn.com/splash/4dzrghvill6fah24.jpg</v>
      </c>
      <c r="D227" s="12" t="s">
        <v>2063</v>
      </c>
      <c r="E227" s="57" t="str">
        <f ca="1">IFERROR(__xludf.DUMMYFUNCTION("""COMPUTED_VALUE"""),"OK")</f>
        <v>OK</v>
      </c>
      <c r="F227" s="46"/>
      <c r="G227" s="64" t="s">
        <v>9551</v>
      </c>
      <c r="H227" s="45" t="s">
        <v>9552</v>
      </c>
    </row>
    <row r="228" spans="1:8">
      <c r="A228" s="12"/>
      <c r="B228" s="12" t="str">
        <f ca="1">IFERROR(__xludf.DUMMYFUNCTION("""COMPUTED_VALUE"""),"Dani Daniels - 11866682 - Onlyfans")</f>
        <v>Dani Daniels - 11866682 - Onlyfans</v>
      </c>
      <c r="C228" s="60" t="str">
        <f ca="1">IFERROR(__xludf.DUMMYFUNCTION("""COMPUTED_VALUE"""),"https://thumbcdn.com/splash/gwq1t5jz1pb9k51s.jpg")</f>
        <v>https://thumbcdn.com/splash/gwq1t5jz1pb9k51s.jpg</v>
      </c>
      <c r="D228" s="12" t="s">
        <v>2068</v>
      </c>
      <c r="E228" s="57" t="str">
        <f ca="1">IFERROR(__xludf.DUMMYFUNCTION("""COMPUTED_VALUE"""),"OK")</f>
        <v>OK</v>
      </c>
      <c r="F228" s="46"/>
      <c r="G228" s="62" t="s">
        <v>9551</v>
      </c>
      <c r="H228" s="45" t="s">
        <v>9553</v>
      </c>
    </row>
    <row r="229" spans="1:8">
      <c r="A229" s="12" t="s">
        <v>9554</v>
      </c>
      <c r="B229" s="12" t="str">
        <f ca="1">IFERROR(__xludf.DUMMYFUNCTION("""COMPUTED_VALUE"""),"Dani Daniels - 12369492 - Onlyfans")</f>
        <v>Dani Daniels - 12369492 - Onlyfans</v>
      </c>
      <c r="C229" s="60" t="str">
        <f ca="1">IFERROR(__xludf.DUMMYFUNCTION("""COMPUTED_VALUE"""),"https://thumbcdn.com/splash/3o2fchh07rvke87g.jpg")</f>
        <v>https://thumbcdn.com/splash/3o2fchh07rvke87g.jpg</v>
      </c>
      <c r="D229" s="12" t="s">
        <v>2080</v>
      </c>
      <c r="E229" s="57" t="str">
        <f ca="1">IFERROR(__xludf.DUMMYFUNCTION("""COMPUTED_VALUE"""),"OK")</f>
        <v>OK</v>
      </c>
      <c r="F229" s="46"/>
      <c r="G229" s="62" t="s">
        <v>9551</v>
      </c>
      <c r="H229" s="45" t="s">
        <v>9555</v>
      </c>
    </row>
    <row r="230" spans="1:8">
      <c r="A230" s="59" t="s">
        <v>9556</v>
      </c>
      <c r="B230" s="12" t="str">
        <f ca="1">IFERROR(__xludf.DUMMYFUNCTION("""COMPUTED_VALUE"""),"Dani Daniels - 12709167 - Onlyfans")</f>
        <v>Dani Daniels - 12709167 - Onlyfans</v>
      </c>
      <c r="C230" s="60" t="str">
        <f ca="1">IFERROR(__xludf.DUMMYFUNCTION("""COMPUTED_VALUE"""),"https://thumbcdn.com/splash/1nsaqvu5t2t2w53b.jpg")</f>
        <v>https://thumbcdn.com/splash/1nsaqvu5t2t2w53b.jpg</v>
      </c>
      <c r="D230" s="12" t="s">
        <v>2084</v>
      </c>
      <c r="E230" s="57" t="str">
        <f ca="1">IFERROR(__xludf.DUMMYFUNCTION("""COMPUTED_VALUE"""),"OK")</f>
        <v>OK</v>
      </c>
      <c r="F230" s="46"/>
      <c r="G230" s="64" t="s">
        <v>9551</v>
      </c>
      <c r="H230" s="45" t="s">
        <v>9557</v>
      </c>
    </row>
    <row r="231" spans="1:8">
      <c r="A231" s="12"/>
      <c r="B231" s="12" t="str">
        <f ca="1">IFERROR(__xludf.DUMMYFUNCTION("""COMPUTED_VALUE"""),"Dani Daniels - 13782221 - Onlyfans - Cherie Deville")</f>
        <v>Dani Daniels - 13782221 - Onlyfans - Cherie Deville</v>
      </c>
      <c r="C231" s="60" t="str">
        <f ca="1">IFERROR(__xludf.DUMMYFUNCTION("""COMPUTED_VALUE"""),"https://thumbcdn.com/splash/5alrj6wpbmcosrgq.jpg")</f>
        <v>https://thumbcdn.com/splash/5alrj6wpbmcosrgq.jpg</v>
      </c>
      <c r="D231" s="12" t="s">
        <v>2088</v>
      </c>
      <c r="E231" s="57" t="str">
        <f ca="1">IFERROR(__xludf.DUMMYFUNCTION("""COMPUTED_VALUE"""),"OK")</f>
        <v>OK</v>
      </c>
      <c r="F231" s="46"/>
      <c r="G231" s="62" t="s">
        <v>9551</v>
      </c>
      <c r="H231" s="45" t="s">
        <v>9558</v>
      </c>
    </row>
    <row r="232" spans="1:8">
      <c r="A232" s="12" t="s">
        <v>9559</v>
      </c>
      <c r="B232" s="12" t="str">
        <f ca="1">IFERROR(__xludf.DUMMYFUNCTION("""COMPUTED_VALUE"""),"Dani Daniels - 14936776 - Onlyfans")</f>
        <v>Dani Daniels - 14936776 - Onlyfans</v>
      </c>
      <c r="C232" s="60" t="str">
        <f ca="1">IFERROR(__xludf.DUMMYFUNCTION("""COMPUTED_VALUE"""),"https://thumbcdn.com/splash/q9up5m0fy4hnlx03.jpg")</f>
        <v>https://thumbcdn.com/splash/q9up5m0fy4hnlx03.jpg</v>
      </c>
      <c r="D232" s="12" t="s">
        <v>2093</v>
      </c>
      <c r="E232" s="57" t="str">
        <f ca="1">IFERROR(__xludf.DUMMYFUNCTION("""COMPUTED_VALUE"""),"OK")</f>
        <v>OK</v>
      </c>
      <c r="F232" s="46"/>
      <c r="G232" s="62" t="s">
        <v>9551</v>
      </c>
      <c r="H232" s="45" t="s">
        <v>9560</v>
      </c>
    </row>
    <row r="233" spans="1:8">
      <c r="A233" s="59" t="s">
        <v>9561</v>
      </c>
      <c r="B233" s="12" t="str">
        <f ca="1">IFERROR(__xludf.DUMMYFUNCTION("""COMPUTED_VALUE"""),"Dani Daniels - 18551184 - Onlyfans")</f>
        <v>Dani Daniels - 18551184 - Onlyfans</v>
      </c>
      <c r="C233" s="60" t="str">
        <f ca="1">IFERROR(__xludf.DUMMYFUNCTION("""COMPUTED_VALUE"""),"https://thumbcdn.com/splash/lswjw3ldssn7pwoe.jpg")</f>
        <v>https://thumbcdn.com/splash/lswjw3ldssn7pwoe.jpg</v>
      </c>
      <c r="D233" s="6" t="s">
        <v>2113</v>
      </c>
      <c r="E233" s="63" t="str">
        <f ca="1">IFERROR(__xludf.DUMMYFUNCTION("""COMPUTED_VALUE"""),"OK")</f>
        <v>OK</v>
      </c>
      <c r="F233" s="46"/>
      <c r="G233" s="64" t="s">
        <v>9551</v>
      </c>
      <c r="H233" s="45" t="s">
        <v>9562</v>
      </c>
    </row>
    <row r="234" spans="1:8">
      <c r="A234" s="12"/>
      <c r="B234" s="12" t="str">
        <f ca="1">IFERROR(__xludf.DUMMYFUNCTION("""COMPUTED_VALUE"""),"Dani Daniels - 20554155 - Onlyfans")</f>
        <v>Dani Daniels - 20554155 - Onlyfans</v>
      </c>
      <c r="C234" s="60" t="str">
        <f ca="1">IFERROR(__xludf.DUMMYFUNCTION("""COMPUTED_VALUE"""),"https://thumbcdn.com/splash/ks1qju9zwlzo5hzn.jpg")</f>
        <v>https://thumbcdn.com/splash/ks1qju9zwlzo5hzn.jpg</v>
      </c>
      <c r="D234" s="12" t="s">
        <v>2117</v>
      </c>
      <c r="E234" s="57" t="str">
        <f ca="1">IFERROR(__xludf.DUMMYFUNCTION("""COMPUTED_VALUE"""),"OK")</f>
        <v>OK</v>
      </c>
      <c r="F234" s="46"/>
      <c r="G234" s="62" t="s">
        <v>9551</v>
      </c>
      <c r="H234" s="45" t="s">
        <v>9563</v>
      </c>
    </row>
    <row r="235" spans="1:8">
      <c r="A235" s="12" t="s">
        <v>9564</v>
      </c>
      <c r="B235" s="12" t="str">
        <f ca="1">IFERROR(__xludf.DUMMYFUNCTION("""COMPUTED_VALUE"""),"Dani Daniels - 21193358 - Onlyfans - Cherie Deville")</f>
        <v>Dani Daniels - 21193358 - Onlyfans - Cherie Deville</v>
      </c>
      <c r="C235" s="60" t="str">
        <f ca="1">IFERROR(__xludf.DUMMYFUNCTION("""COMPUTED_VALUE"""),"https://thumbcdn.com/splash/7tq4y6a505esqqu8.jpg")</f>
        <v>https://thumbcdn.com/splash/7tq4y6a505esqqu8.jpg</v>
      </c>
      <c r="D235" s="12" t="s">
        <v>2122</v>
      </c>
      <c r="E235" s="57" t="str">
        <f ca="1">IFERROR(__xludf.DUMMYFUNCTION("""COMPUTED_VALUE"""),"OK")</f>
        <v>OK</v>
      </c>
      <c r="F235" s="46"/>
      <c r="G235" s="62" t="s">
        <v>9551</v>
      </c>
      <c r="H235" s="45" t="s">
        <v>9565</v>
      </c>
    </row>
    <row r="236" spans="1:8">
      <c r="A236" s="59" t="s">
        <v>9566</v>
      </c>
      <c r="B236" s="12" t="str">
        <f ca="1">IFERROR(__xludf.DUMMYFUNCTION("""COMPUTED_VALUE"""),"Dani Daniels - 23640136 - Onlyfans")</f>
        <v>Dani Daniels - 23640136 - Onlyfans</v>
      </c>
      <c r="C236" s="60" t="str">
        <f ca="1">IFERROR(__xludf.DUMMYFUNCTION("""COMPUTED_VALUE"""),"https://thumbcdn.com/splash/xjeec9y2mha4te94.jpg")</f>
        <v>https://thumbcdn.com/splash/xjeec9y2mha4te94.jpg</v>
      </c>
      <c r="D236" s="6" t="s">
        <v>2137</v>
      </c>
      <c r="E236" s="63" t="str">
        <f ca="1">IFERROR(__xludf.DUMMYFUNCTION("""COMPUTED_VALUE"""),"OK")</f>
        <v>OK</v>
      </c>
      <c r="F236" s="46"/>
      <c r="G236" s="64" t="s">
        <v>9551</v>
      </c>
      <c r="H236" s="45" t="s">
        <v>9567</v>
      </c>
    </row>
    <row r="237" spans="1:8">
      <c r="A237" s="12"/>
      <c r="B237" s="12" t="str">
        <f ca="1">IFERROR(__xludf.DUMMYFUNCTION("""COMPUTED_VALUE"""),"Dani Daniels - 24938224 - Onlyfans")</f>
        <v>Dani Daniels - 24938224 - Onlyfans</v>
      </c>
      <c r="C237" s="60" t="str">
        <f ca="1">IFERROR(__xludf.DUMMYFUNCTION("""COMPUTED_VALUE"""),"https://thumbcdn.com/splash/31tmdvumfk74v9lu.jpg")</f>
        <v>https://thumbcdn.com/splash/31tmdvumfk74v9lu.jpg</v>
      </c>
      <c r="D237" s="12" t="s">
        <v>2141</v>
      </c>
      <c r="E237" s="57" t="str">
        <f ca="1">IFERROR(__xludf.DUMMYFUNCTION("""COMPUTED_VALUE"""),"OK")</f>
        <v>OK</v>
      </c>
      <c r="F237" s="46"/>
      <c r="G237" s="62" t="s">
        <v>9551</v>
      </c>
      <c r="H237" s="45" t="s">
        <v>9568</v>
      </c>
    </row>
    <row r="238" spans="1:8">
      <c r="A238" s="12" t="s">
        <v>9569</v>
      </c>
      <c r="B238" s="12" t="str">
        <f ca="1">IFERROR(__xludf.DUMMYFUNCTION("""COMPUTED_VALUE"""),"Dani Daniels - 24947976 - Onlyfans")</f>
        <v>Dani Daniels - 24947976 - Onlyfans</v>
      </c>
      <c r="C238" s="60" t="str">
        <f ca="1">IFERROR(__xludf.DUMMYFUNCTION("""COMPUTED_VALUE"""),"https://thumbcdn.com/splash/7o9vbd8j47vjj91y.jpg")</f>
        <v>https://thumbcdn.com/splash/7o9vbd8j47vjj91y.jpg</v>
      </c>
      <c r="D238" s="6" t="s">
        <v>2145</v>
      </c>
      <c r="E238" s="63" t="str">
        <f ca="1">IFERROR(__xludf.DUMMYFUNCTION("""COMPUTED_VALUE"""),"OK")</f>
        <v>OK</v>
      </c>
      <c r="F238" s="46"/>
      <c r="G238" s="62" t="s">
        <v>9551</v>
      </c>
      <c r="H238" s="45" t="s">
        <v>9570</v>
      </c>
    </row>
    <row r="239" spans="1:8">
      <c r="A239" s="59" t="s">
        <v>9571</v>
      </c>
      <c r="B239" s="12" t="str">
        <f ca="1">IFERROR(__xludf.DUMMYFUNCTION("""COMPUTED_VALUE"""),"Dani Daniels - 25310723 - Onlyfans")</f>
        <v>Dani Daniels - 25310723 - Onlyfans</v>
      </c>
      <c r="C239" s="60" t="str">
        <f ca="1">IFERROR(__xludf.DUMMYFUNCTION("""COMPUTED_VALUE"""),"https://thumbcdn.com/splash/re4q6du2zwftizvo.jpg")</f>
        <v>https://thumbcdn.com/splash/re4q6du2zwftizvo.jpg</v>
      </c>
      <c r="D239" s="12" t="s">
        <v>2150</v>
      </c>
      <c r="E239" s="57" t="str">
        <f ca="1">IFERROR(__xludf.DUMMYFUNCTION("""COMPUTED_VALUE"""),"OK")</f>
        <v>OK</v>
      </c>
      <c r="F239" s="46"/>
      <c r="G239" s="64" t="s">
        <v>9551</v>
      </c>
      <c r="H239" s="45" t="s">
        <v>9572</v>
      </c>
    </row>
    <row r="240" spans="1:8">
      <c r="A240" s="12"/>
      <c r="B240" s="12" t="str">
        <f ca="1">IFERROR(__xludf.DUMMYFUNCTION("""COMPUTED_VALUE"""),"Dani Daniels - 26059965 - Onlyfans")</f>
        <v>Dani Daniels - 26059965 - Onlyfans</v>
      </c>
      <c r="C240" s="60" t="str">
        <f ca="1">IFERROR(__xludf.DUMMYFUNCTION("""COMPUTED_VALUE"""),"https://thumbcdn.com/splash/ymi3w5cq535lm0rf.jpg")</f>
        <v>https://thumbcdn.com/splash/ymi3w5cq535lm0rf.jpg</v>
      </c>
      <c r="D240" s="12" t="s">
        <v>2160</v>
      </c>
      <c r="E240" s="57" t="str">
        <f ca="1">IFERROR(__xludf.DUMMYFUNCTION("""COMPUTED_VALUE"""),"OK")</f>
        <v>OK</v>
      </c>
      <c r="F240" s="46"/>
      <c r="G240" s="62" t="s">
        <v>9551</v>
      </c>
      <c r="H240" s="45" t="s">
        <v>9573</v>
      </c>
    </row>
    <row r="241" spans="1:8">
      <c r="A241" s="12" t="s">
        <v>9574</v>
      </c>
      <c r="B241" s="12" t="str">
        <f ca="1">IFERROR(__xludf.DUMMYFUNCTION("""COMPUTED_VALUE"""),"Dani Daniels - 26780664 - Onlyfans")</f>
        <v>Dani Daniels - 26780664 - Onlyfans</v>
      </c>
      <c r="C241" s="60" t="str">
        <f ca="1">IFERROR(__xludf.DUMMYFUNCTION("""COMPUTED_VALUE"""),"https://thumbcdn.com/splash/m5apnwbdqeqacyev.jpg")</f>
        <v>https://thumbcdn.com/splash/m5apnwbdqeqacyev.jpg</v>
      </c>
      <c r="D241" s="12" t="s">
        <v>2165</v>
      </c>
      <c r="E241" s="57" t="str">
        <f ca="1">IFERROR(__xludf.DUMMYFUNCTION("""COMPUTED_VALUE"""),"OK")</f>
        <v>OK</v>
      </c>
      <c r="F241" s="46"/>
      <c r="G241" s="62" t="s">
        <v>9551</v>
      </c>
      <c r="H241" s="45" t="s">
        <v>9575</v>
      </c>
    </row>
    <row r="242" spans="1:8">
      <c r="A242" s="59" t="s">
        <v>9576</v>
      </c>
      <c r="B242" s="12" t="str">
        <f ca="1">IFERROR(__xludf.DUMMYFUNCTION("""COMPUTED_VALUE"""),"Dani Daniels - 28431182 - Onlyfans")</f>
        <v>Dani Daniels - 28431182 - Onlyfans</v>
      </c>
      <c r="C242" s="60" t="str">
        <f ca="1">IFERROR(__xludf.DUMMYFUNCTION("""COMPUTED_VALUE"""),"https://thumbcdn.com/splash/ef2d2di9fbo2y8e8.jpg")</f>
        <v>https://thumbcdn.com/splash/ef2d2di9fbo2y8e8.jpg</v>
      </c>
      <c r="D242" s="12" t="s">
        <v>2169</v>
      </c>
      <c r="E242" s="57" t="str">
        <f ca="1">IFERROR(__xludf.DUMMYFUNCTION("""COMPUTED_VALUE"""),"OK")</f>
        <v>OK</v>
      </c>
      <c r="F242" s="46"/>
      <c r="G242" s="64" t="s">
        <v>9551</v>
      </c>
      <c r="H242" s="45" t="s">
        <v>9577</v>
      </c>
    </row>
    <row r="243" spans="1:8">
      <c r="A243" s="12"/>
      <c r="B243" s="12" t="str">
        <f ca="1">IFERROR(__xludf.DUMMYFUNCTION("""COMPUTED_VALUE"""),"Dani Daniels - 30012565 - Onlyfans")</f>
        <v>Dani Daniels - 30012565 - Onlyfans</v>
      </c>
      <c r="C243" s="60" t="str">
        <f ca="1">IFERROR(__xludf.DUMMYFUNCTION("""COMPUTED_VALUE"""),"https://thumbcdn.com/splash/edo4oeydqmnrppc7.jpg")</f>
        <v>https://thumbcdn.com/splash/edo4oeydqmnrppc7.jpg</v>
      </c>
      <c r="D243" s="6" t="s">
        <v>2174</v>
      </c>
      <c r="E243" s="63" t="str">
        <f ca="1">IFERROR(__xludf.DUMMYFUNCTION("""COMPUTED_VALUE"""),"OK")</f>
        <v>OK</v>
      </c>
      <c r="F243" s="46"/>
      <c r="G243" s="62" t="s">
        <v>9551</v>
      </c>
      <c r="H243" s="45" t="s">
        <v>9578</v>
      </c>
    </row>
    <row r="244" spans="1:8">
      <c r="A244" s="12" t="s">
        <v>9579</v>
      </c>
      <c r="B244" s="12" t="str">
        <f ca="1">IFERROR(__xludf.DUMMYFUNCTION("""COMPUTED_VALUE"""),"Dani Daniels - 30908064 - Onlyfans")</f>
        <v>Dani Daniels - 30908064 - Onlyfans</v>
      </c>
      <c r="C244" s="60" t="str">
        <f ca="1">IFERROR(__xludf.DUMMYFUNCTION("""COMPUTED_VALUE"""),"https://thumbcdn.com/splash/7wub0lr46a92qpzk.jpg")</f>
        <v>https://thumbcdn.com/splash/7wub0lr46a92qpzk.jpg</v>
      </c>
      <c r="D244" s="6" t="s">
        <v>2179</v>
      </c>
      <c r="E244" s="63" t="str">
        <f ca="1">IFERROR(__xludf.DUMMYFUNCTION("""COMPUTED_VALUE"""),"OK")</f>
        <v>OK</v>
      </c>
      <c r="F244" s="46"/>
      <c r="G244" s="62" t="s">
        <v>9551</v>
      </c>
      <c r="H244" s="45" t="s">
        <v>9580</v>
      </c>
    </row>
    <row r="245" spans="1:8">
      <c r="A245" s="59" t="s">
        <v>9581</v>
      </c>
      <c r="B245" s="12" t="str">
        <f ca="1">IFERROR(__xludf.DUMMYFUNCTION("""COMPUTED_VALUE"""),"Dani Daniels - 32212857 - Onlyfans")</f>
        <v>Dani Daniels - 32212857 - Onlyfans</v>
      </c>
      <c r="C245" s="60" t="str">
        <f ca="1">IFERROR(__xludf.DUMMYFUNCTION("""COMPUTED_VALUE"""),"https://thumbcdn.com/splash/lftmgmhdsi115etb.jpg")</f>
        <v>https://thumbcdn.com/splash/lftmgmhdsi115etb.jpg</v>
      </c>
      <c r="D245" s="12" t="s">
        <v>2185</v>
      </c>
      <c r="E245" s="57" t="str">
        <f ca="1">IFERROR(__xludf.DUMMYFUNCTION("""COMPUTED_VALUE"""),"OK")</f>
        <v>OK</v>
      </c>
      <c r="F245" s="46"/>
      <c r="G245" s="64" t="s">
        <v>9551</v>
      </c>
      <c r="H245" s="45" t="s">
        <v>9582</v>
      </c>
    </row>
    <row r="246" spans="1:8">
      <c r="A246" s="12"/>
      <c r="B246" s="12" t="str">
        <f ca="1">IFERROR(__xludf.DUMMYFUNCTION("""COMPUTED_VALUE"""),"Dani Daniels - 32498568 - Onlyfans")</f>
        <v>Dani Daniels - 32498568 - Onlyfans</v>
      </c>
      <c r="C246" s="60" t="str">
        <f ca="1">IFERROR(__xludf.DUMMYFUNCTION("""COMPUTED_VALUE"""),"https://thumbcdn.com/splash/jec7d26cs9nm8whg.jpg")</f>
        <v>https://thumbcdn.com/splash/jec7d26cs9nm8whg.jpg</v>
      </c>
      <c r="D246" s="12" t="s">
        <v>2189</v>
      </c>
      <c r="E246" s="57" t="str">
        <f ca="1">IFERROR(__xludf.DUMMYFUNCTION("""COMPUTED_VALUE"""),"OK")</f>
        <v>OK</v>
      </c>
      <c r="F246" s="46"/>
      <c r="G246" s="62" t="s">
        <v>9551</v>
      </c>
      <c r="H246" s="45" t="s">
        <v>9583</v>
      </c>
    </row>
    <row r="247" spans="1:8">
      <c r="A247" s="12" t="s">
        <v>9584</v>
      </c>
      <c r="B247" s="12" t="str">
        <f ca="1">IFERROR(__xludf.DUMMYFUNCTION("""COMPUTED_VALUE"""),"Dani Daniels - 32595635 - Onlyfans")</f>
        <v>Dani Daniels - 32595635 - Onlyfans</v>
      </c>
      <c r="C247" s="60" t="str">
        <f ca="1">IFERROR(__xludf.DUMMYFUNCTION("""COMPUTED_VALUE"""),"https://thumbcdn.com/splash/22cc2en8ujyu6uq7.jpg")</f>
        <v>https://thumbcdn.com/splash/22cc2en8ujyu6uq7.jpg</v>
      </c>
      <c r="D247" s="12" t="s">
        <v>2193</v>
      </c>
      <c r="E247" s="57" t="str">
        <f ca="1">IFERROR(__xludf.DUMMYFUNCTION("""COMPUTED_VALUE"""),"OK")</f>
        <v>OK</v>
      </c>
      <c r="F247" s="46"/>
      <c r="G247" s="62" t="s">
        <v>9551</v>
      </c>
      <c r="H247" s="45" t="s">
        <v>9585</v>
      </c>
    </row>
    <row r="248" spans="1:8">
      <c r="A248" s="59" t="s">
        <v>9586</v>
      </c>
      <c r="B248" s="12" t="str">
        <f ca="1">IFERROR(__xludf.DUMMYFUNCTION("""COMPUTED_VALUE"""),"Dani Daniels - 33684637 - Onlyfans")</f>
        <v>Dani Daniels - 33684637 - Onlyfans</v>
      </c>
      <c r="C248" s="60" t="str">
        <f ca="1">IFERROR(__xludf.DUMMYFUNCTION("""COMPUTED_VALUE"""),"https://thumbcdn.com/splash/ch6z4eetpc3nj2pc.jpg")</f>
        <v>https://thumbcdn.com/splash/ch6z4eetpc3nj2pc.jpg</v>
      </c>
      <c r="D248" s="12" t="s">
        <v>2197</v>
      </c>
      <c r="E248" s="57" t="str">
        <f ca="1">IFERROR(__xludf.DUMMYFUNCTION("""COMPUTED_VALUE"""),"OK")</f>
        <v>OK</v>
      </c>
      <c r="F248" s="46"/>
      <c r="G248" s="64" t="s">
        <v>9551</v>
      </c>
      <c r="H248" s="45" t="s">
        <v>9587</v>
      </c>
    </row>
    <row r="249" spans="1:8">
      <c r="A249" s="12"/>
      <c r="B249" s="12" t="str">
        <f ca="1">IFERROR(__xludf.DUMMYFUNCTION("""COMPUTED_VALUE"""),"Dani Daniels - 34237053 - Onlyfans")</f>
        <v>Dani Daniels - 34237053 - Onlyfans</v>
      </c>
      <c r="C249" s="60" t="str">
        <f ca="1">IFERROR(__xludf.DUMMYFUNCTION("""COMPUTED_VALUE"""),"https://thumbcdn.com/splash/jqzor7t3jna5bwcv.jpg")</f>
        <v>https://thumbcdn.com/splash/jqzor7t3jna5bwcv.jpg</v>
      </c>
      <c r="D249" s="12" t="s">
        <v>2202</v>
      </c>
      <c r="E249" s="57" t="str">
        <f ca="1">IFERROR(__xludf.DUMMYFUNCTION("""COMPUTED_VALUE"""),"OK")</f>
        <v>OK</v>
      </c>
      <c r="F249" s="46"/>
      <c r="G249" s="62" t="s">
        <v>9551</v>
      </c>
      <c r="H249" s="45" t="s">
        <v>9588</v>
      </c>
    </row>
    <row r="250" spans="1:8">
      <c r="A250" s="12" t="s">
        <v>9589</v>
      </c>
      <c r="B250" s="12" t="str">
        <f ca="1">IFERROR(__xludf.DUMMYFUNCTION("""COMPUTED_VALUE"""),"Dani Daniels - 36451659 - Onlyfans")</f>
        <v>Dani Daniels - 36451659 - Onlyfans</v>
      </c>
      <c r="C250" s="60" t="str">
        <f ca="1">IFERROR(__xludf.DUMMYFUNCTION("""COMPUTED_VALUE"""),"https://thumbcdn.com/splash/lxm7co7mkd5mw10p.jpg")</f>
        <v>https://thumbcdn.com/splash/lxm7co7mkd5mw10p.jpg</v>
      </c>
      <c r="D250" s="12" t="s">
        <v>2211</v>
      </c>
      <c r="E250" s="57" t="str">
        <f ca="1">IFERROR(__xludf.DUMMYFUNCTION("""COMPUTED_VALUE"""),"OK")</f>
        <v>OK</v>
      </c>
      <c r="F250" s="46"/>
      <c r="G250" s="62" t="s">
        <v>9551</v>
      </c>
      <c r="H250" s="45" t="s">
        <v>9590</v>
      </c>
    </row>
    <row r="251" spans="1:8">
      <c r="A251" s="59" t="s">
        <v>9591</v>
      </c>
      <c r="B251" s="12" t="str">
        <f ca="1">IFERROR(__xludf.DUMMYFUNCTION("""COMPUTED_VALUE"""),"Dani Daniels - 36758110 - Onlyfans")</f>
        <v>Dani Daniels - 36758110 - Onlyfans</v>
      </c>
      <c r="C251" s="60" t="str">
        <f ca="1">IFERROR(__xludf.DUMMYFUNCTION("""COMPUTED_VALUE"""),"https://thumbcdn.com/splash/9ey43gddxydhjrfo.jpg")</f>
        <v>https://thumbcdn.com/splash/9ey43gddxydhjrfo.jpg</v>
      </c>
      <c r="D251" s="12" t="s">
        <v>2219</v>
      </c>
      <c r="E251" s="57" t="str">
        <f ca="1">IFERROR(__xludf.DUMMYFUNCTION("""COMPUTED_VALUE"""),"OK")</f>
        <v>OK</v>
      </c>
      <c r="F251" s="46"/>
      <c r="G251" s="64" t="s">
        <v>9551</v>
      </c>
      <c r="H251" s="45" t="s">
        <v>9592</v>
      </c>
    </row>
    <row r="252" spans="1:8">
      <c r="A252" s="12"/>
      <c r="B252" s="12" t="str">
        <f ca="1">IFERROR(__xludf.DUMMYFUNCTION("""COMPUTED_VALUE"""),"Dani Daniels - 38519286 - Onlyfans")</f>
        <v>Dani Daniels - 38519286 - Onlyfans</v>
      </c>
      <c r="C252" s="60" t="str">
        <f ca="1">IFERROR(__xludf.DUMMYFUNCTION("""COMPUTED_VALUE"""),"https://thumbcdn.com/splash/cij9rsjwnj75gjxy.jpg")</f>
        <v>https://thumbcdn.com/splash/cij9rsjwnj75gjxy.jpg</v>
      </c>
      <c r="D252" s="12" t="s">
        <v>2233</v>
      </c>
      <c r="E252" s="57" t="str">
        <f ca="1">IFERROR(__xludf.DUMMYFUNCTION("""COMPUTED_VALUE"""),"OK")</f>
        <v>OK</v>
      </c>
      <c r="F252" s="46"/>
      <c r="G252" s="62" t="s">
        <v>9551</v>
      </c>
      <c r="H252" s="45" t="s">
        <v>9593</v>
      </c>
    </row>
    <row r="253" spans="1:8">
      <c r="A253" s="12" t="s">
        <v>9594</v>
      </c>
      <c r="B253" s="12" t="str">
        <f ca="1">IFERROR(__xludf.DUMMYFUNCTION("""COMPUTED_VALUE"""),"Dani Daniels - 39608022 - Onlyfans")</f>
        <v>Dani Daniels - 39608022 - Onlyfans</v>
      </c>
      <c r="C253" s="60" t="str">
        <f ca="1">IFERROR(__xludf.DUMMYFUNCTION("""COMPUTED_VALUE"""),"https://thumbcdn.com/splash/x9yyskptozsh3ycf.jpg")</f>
        <v>https://thumbcdn.com/splash/x9yyskptozsh3ycf.jpg</v>
      </c>
      <c r="D253" s="12" t="s">
        <v>2241</v>
      </c>
      <c r="E253" s="57" t="str">
        <f ca="1">IFERROR(__xludf.DUMMYFUNCTION("""COMPUTED_VALUE"""),"OK")</f>
        <v>OK</v>
      </c>
      <c r="F253" s="46"/>
      <c r="G253" s="62" t="s">
        <v>9551</v>
      </c>
      <c r="H253" s="45" t="s">
        <v>9595</v>
      </c>
    </row>
    <row r="254" spans="1:8">
      <c r="A254" s="59" t="s">
        <v>9596</v>
      </c>
      <c r="B254" s="12" t="str">
        <f ca="1">IFERROR(__xludf.DUMMYFUNCTION("""COMPUTED_VALUE"""),"Dani Daniels - 40739253 - Onlyfans")</f>
        <v>Dani Daniels - 40739253 - Onlyfans</v>
      </c>
      <c r="C254" s="60" t="str">
        <f ca="1">IFERROR(__xludf.DUMMYFUNCTION("""COMPUTED_VALUE"""),"https://thumbcdn.com/splash/zasuo82j5rapbd37.jpg")</f>
        <v>https://thumbcdn.com/splash/zasuo82j5rapbd37.jpg</v>
      </c>
      <c r="D254" s="12" t="s">
        <v>2245</v>
      </c>
      <c r="E254" s="57" t="str">
        <f ca="1">IFERROR(__xludf.DUMMYFUNCTION("""COMPUTED_VALUE"""),"OK")</f>
        <v>OK</v>
      </c>
      <c r="F254" s="46"/>
      <c r="G254" s="64" t="s">
        <v>9551</v>
      </c>
      <c r="H254" s="45" t="s">
        <v>9597</v>
      </c>
    </row>
    <row r="255" spans="1:8">
      <c r="A255" s="12"/>
      <c r="B255" s="12" t="str">
        <f ca="1">IFERROR(__xludf.DUMMYFUNCTION("""COMPUTED_VALUE"""),"Dani Daniels - 42919483 - Onlyfans")</f>
        <v>Dani Daniels - 42919483 - Onlyfans</v>
      </c>
      <c r="C255" s="60" t="str">
        <f ca="1">IFERROR(__xludf.DUMMYFUNCTION("""COMPUTED_VALUE"""),"https://thumbcdn.com/splash/38l7pwzfxakqqa16.jpg")</f>
        <v>https://thumbcdn.com/splash/38l7pwzfxakqqa16.jpg</v>
      </c>
      <c r="D255" s="12" t="s">
        <v>2265</v>
      </c>
      <c r="E255" s="57" t="str">
        <f ca="1">IFERROR(__xludf.DUMMYFUNCTION("""COMPUTED_VALUE"""),"OK")</f>
        <v>OK</v>
      </c>
      <c r="F255" s="46"/>
      <c r="G255" s="62" t="s">
        <v>9551</v>
      </c>
      <c r="H255" s="45" t="s">
        <v>9598</v>
      </c>
    </row>
    <row r="256" spans="1:8">
      <c r="A256" s="12" t="s">
        <v>9599</v>
      </c>
      <c r="B256" s="12" t="str">
        <f ca="1">IFERROR(__xludf.DUMMYFUNCTION("""COMPUTED_VALUE"""),"Dani Daniels - 42956171 - Onlyfans")</f>
        <v>Dani Daniels - 42956171 - Onlyfans</v>
      </c>
      <c r="C256" s="60" t="str">
        <f ca="1">IFERROR(__xludf.DUMMYFUNCTION("""COMPUTED_VALUE"""),"https://thumbcdn.com/splash/2202e6q87pzza8s9.jpg")</f>
        <v>https://thumbcdn.com/splash/2202e6q87pzza8s9.jpg</v>
      </c>
      <c r="D256" s="6" t="s">
        <v>2269</v>
      </c>
      <c r="E256" s="63" t="str">
        <f ca="1">IFERROR(__xludf.DUMMYFUNCTION("""COMPUTED_VALUE"""),"OK")</f>
        <v>OK</v>
      </c>
      <c r="F256" s="46"/>
      <c r="G256" s="62" t="s">
        <v>9551</v>
      </c>
      <c r="H256" s="45" t="s">
        <v>9600</v>
      </c>
    </row>
    <row r="257" spans="1:8">
      <c r="A257" s="59" t="s">
        <v>9601</v>
      </c>
      <c r="B257" s="12" t="str">
        <f ca="1">IFERROR(__xludf.DUMMYFUNCTION("""COMPUTED_VALUE"""),"Dani Daniels - 43341333 - Onlyfans")</f>
        <v>Dani Daniels - 43341333 - Onlyfans</v>
      </c>
      <c r="C257" s="60" t="str">
        <f ca="1">IFERROR(__xludf.DUMMYFUNCTION("""COMPUTED_VALUE"""),"https://thumbcdn.com/splash/vqtevpns7g8lmrkt.jpg")</f>
        <v>https://thumbcdn.com/splash/vqtevpns7g8lmrkt.jpg</v>
      </c>
      <c r="D257" s="12" t="s">
        <v>2274</v>
      </c>
      <c r="E257" s="57" t="str">
        <f ca="1">IFERROR(__xludf.DUMMYFUNCTION("""COMPUTED_VALUE"""),"OK")</f>
        <v>OK</v>
      </c>
      <c r="F257" s="46"/>
      <c r="G257" s="64" t="s">
        <v>9551</v>
      </c>
      <c r="H257" s="45" t="s">
        <v>9602</v>
      </c>
    </row>
    <row r="258" spans="1:8">
      <c r="A258" s="12"/>
      <c r="B258" s="12" t="str">
        <f ca="1">IFERROR(__xludf.DUMMYFUNCTION("""COMPUTED_VALUE"""),"Dani Daniels - 43357088 - Onlyfans")</f>
        <v>Dani Daniels - 43357088 - Onlyfans</v>
      </c>
      <c r="C258" s="60" t="str">
        <f ca="1">IFERROR(__xludf.DUMMYFUNCTION("""COMPUTED_VALUE"""),"https://thumbcdn.com/splash/69jk1eep1qfczjqy.jpg")</f>
        <v>https://thumbcdn.com/splash/69jk1eep1qfczjqy.jpg</v>
      </c>
      <c r="D258" s="12" t="s">
        <v>2278</v>
      </c>
      <c r="E258" s="57" t="str">
        <f ca="1">IFERROR(__xludf.DUMMYFUNCTION("""COMPUTED_VALUE"""),"OK")</f>
        <v>OK</v>
      </c>
      <c r="F258" s="46"/>
      <c r="G258" s="62" t="s">
        <v>9551</v>
      </c>
      <c r="H258" s="45" t="s">
        <v>9603</v>
      </c>
    </row>
    <row r="259" spans="1:8">
      <c r="A259" s="12" t="s">
        <v>9604</v>
      </c>
      <c r="B259" s="12" t="str">
        <f ca="1">IFERROR(__xludf.DUMMYFUNCTION("""COMPUTED_VALUE"""),"Dani Daniels - 44166498 - Onlyfans")</f>
        <v>Dani Daniels - 44166498 - Onlyfans</v>
      </c>
      <c r="C259" s="60" t="str">
        <f ca="1">IFERROR(__xludf.DUMMYFUNCTION("""COMPUTED_VALUE"""),"https://thumbcdn.com/splash/l5nyhd2yeefb8n0z.jpg")</f>
        <v>https://thumbcdn.com/splash/l5nyhd2yeefb8n0z.jpg</v>
      </c>
      <c r="D259" s="6" t="s">
        <v>2283</v>
      </c>
      <c r="E259" s="63" t="str">
        <f ca="1">IFERROR(__xludf.DUMMYFUNCTION("""COMPUTED_VALUE"""),"OK")</f>
        <v>OK</v>
      </c>
      <c r="F259" s="46"/>
      <c r="G259" s="62" t="s">
        <v>9551</v>
      </c>
      <c r="H259" s="45" t="s">
        <v>9605</v>
      </c>
    </row>
    <row r="260" spans="1:8">
      <c r="A260" s="59" t="s">
        <v>9606</v>
      </c>
      <c r="B260" s="12" t="str">
        <f ca="1">IFERROR(__xludf.DUMMYFUNCTION("""COMPUTED_VALUE"""),"Dani Daniels - 44807966 - Onlyfans")</f>
        <v>Dani Daniels - 44807966 - Onlyfans</v>
      </c>
      <c r="C260" s="60" t="str">
        <f ca="1">IFERROR(__xludf.DUMMYFUNCTION("""COMPUTED_VALUE"""),"https://thumbcdn.com/splash/29aef2y63wr26nh1.jpg")</f>
        <v>https://thumbcdn.com/splash/29aef2y63wr26nh1.jpg</v>
      </c>
      <c r="D260" s="12" t="s">
        <v>2288</v>
      </c>
      <c r="E260" s="57" t="str">
        <f ca="1">IFERROR(__xludf.DUMMYFUNCTION("""COMPUTED_VALUE"""),"OK")</f>
        <v>OK</v>
      </c>
      <c r="F260" s="46"/>
      <c r="G260" s="64" t="s">
        <v>9551</v>
      </c>
      <c r="H260" s="45" t="s">
        <v>9607</v>
      </c>
    </row>
    <row r="261" spans="1:8">
      <c r="A261" s="12"/>
      <c r="B261" s="12" t="str">
        <f ca="1">IFERROR(__xludf.DUMMYFUNCTION("""COMPUTED_VALUE"""),"Dani Daniels - 46535961 - Onlyfans")</f>
        <v>Dani Daniels - 46535961 - Onlyfans</v>
      </c>
      <c r="C261" s="60" t="str">
        <f ca="1">IFERROR(__xludf.DUMMYFUNCTION("""COMPUTED_VALUE"""),"https://thumbcdn.com/splash/6hri671wcccn8k8g.jpg")</f>
        <v>https://thumbcdn.com/splash/6hri671wcccn8k8g.jpg</v>
      </c>
      <c r="D261" s="12" t="s">
        <v>2293</v>
      </c>
      <c r="E261" s="57" t="str">
        <f ca="1">IFERROR(__xludf.DUMMYFUNCTION("""COMPUTED_VALUE"""),"OK")</f>
        <v>OK</v>
      </c>
      <c r="F261" s="46"/>
      <c r="G261" s="62" t="s">
        <v>9551</v>
      </c>
      <c r="H261" s="45" t="s">
        <v>9608</v>
      </c>
    </row>
    <row r="262" spans="1:8">
      <c r="A262" s="12" t="s">
        <v>9609</v>
      </c>
      <c r="B262" s="12" t="str">
        <f ca="1">IFERROR(__xludf.DUMMYFUNCTION("""COMPUTED_VALUE"""),"Dani Daniels - 47568354 - Onlyfans")</f>
        <v>Dani Daniels - 47568354 - Onlyfans</v>
      </c>
      <c r="C262" s="60" t="str">
        <f ca="1">IFERROR(__xludf.DUMMYFUNCTION("""COMPUTED_VALUE"""),"https://thumbcdn.com/splash/5s0rjv6uqw5pw9an.jpg")</f>
        <v>https://thumbcdn.com/splash/5s0rjv6uqw5pw9an.jpg</v>
      </c>
      <c r="D262" s="12" t="s">
        <v>2297</v>
      </c>
      <c r="E262" s="57" t="str">
        <f ca="1">IFERROR(__xludf.DUMMYFUNCTION("""COMPUTED_VALUE"""),"OK")</f>
        <v>OK</v>
      </c>
      <c r="F262" s="46"/>
      <c r="G262" s="62" t="s">
        <v>9551</v>
      </c>
      <c r="H262" s="45" t="s">
        <v>9610</v>
      </c>
    </row>
    <row r="263" spans="1:8">
      <c r="A263" s="59" t="s">
        <v>9611</v>
      </c>
      <c r="B263" s="12" t="str">
        <f ca="1">IFERROR(__xludf.DUMMYFUNCTION("""COMPUTED_VALUE"""),"Dani Daniels - 47942974 - Onlyfans")</f>
        <v>Dani Daniels - 47942974 - Onlyfans</v>
      </c>
      <c r="C263" s="60" t="str">
        <f ca="1">IFERROR(__xludf.DUMMYFUNCTION("""COMPUTED_VALUE"""),"https://thumbcdn.com/splash/ya77bdjidx288fa0.jpg")</f>
        <v>https://thumbcdn.com/splash/ya77bdjidx288fa0.jpg</v>
      </c>
      <c r="D263" s="12" t="s">
        <v>2301</v>
      </c>
      <c r="E263" s="57" t="str">
        <f ca="1">IFERROR(__xludf.DUMMYFUNCTION("""COMPUTED_VALUE"""),"OK")</f>
        <v>OK</v>
      </c>
      <c r="F263" s="46"/>
      <c r="G263" s="64" t="s">
        <v>9551</v>
      </c>
      <c r="H263" s="45" t="s">
        <v>9612</v>
      </c>
    </row>
    <row r="264" spans="1:8">
      <c r="A264" s="12"/>
      <c r="B264" s="12" t="str">
        <f ca="1">IFERROR(__xludf.DUMMYFUNCTION("""COMPUTED_VALUE"""),"Dani Daniels - 48386737 - Onlyfans")</f>
        <v>Dani Daniels - 48386737 - Onlyfans</v>
      </c>
      <c r="C264" s="60" t="str">
        <f ca="1">IFERROR(__xludf.DUMMYFUNCTION("""COMPUTED_VALUE"""),"https://thumbcdn.com/splash/rvjb1qp26mi81zee.jpg")</f>
        <v>https://thumbcdn.com/splash/rvjb1qp26mi81zee.jpg</v>
      </c>
      <c r="D264" s="12" t="s">
        <v>2306</v>
      </c>
      <c r="E264" s="57" t="str">
        <f ca="1">IFERROR(__xludf.DUMMYFUNCTION("""COMPUTED_VALUE"""),"OK")</f>
        <v>OK</v>
      </c>
      <c r="F264" s="46"/>
      <c r="G264" s="62" t="s">
        <v>9551</v>
      </c>
      <c r="H264" s="45" t="s">
        <v>9613</v>
      </c>
    </row>
    <row r="265" spans="1:8">
      <c r="A265" s="12" t="s">
        <v>9614</v>
      </c>
      <c r="B265" s="12" t="str">
        <f ca="1">IFERROR(__xludf.DUMMYFUNCTION("""COMPUTED_VALUE"""),"Dani Daniels - 49151166 - Onlyfans")</f>
        <v>Dani Daniels - 49151166 - Onlyfans</v>
      </c>
      <c r="C265" s="60" t="str">
        <f ca="1">IFERROR(__xludf.DUMMYFUNCTION("""COMPUTED_VALUE"""),"https://thumbcdn.com/splash/3y3ram1gcgxy61qo.jpg")</f>
        <v>https://thumbcdn.com/splash/3y3ram1gcgxy61qo.jpg</v>
      </c>
      <c r="D265" s="12" t="s">
        <v>2316</v>
      </c>
      <c r="E265" s="57" t="str">
        <f ca="1">IFERROR(__xludf.DUMMYFUNCTION("""COMPUTED_VALUE"""),"OK")</f>
        <v>OK</v>
      </c>
      <c r="F265" s="46"/>
      <c r="G265" s="62" t="s">
        <v>9551</v>
      </c>
      <c r="H265" s="45" t="s">
        <v>9615</v>
      </c>
    </row>
    <row r="266" spans="1:8">
      <c r="A266" s="59" t="s">
        <v>9616</v>
      </c>
      <c r="B266" s="12" t="str">
        <f ca="1">IFERROR(__xludf.DUMMYFUNCTION("""COMPUTED_VALUE"""),"Dani Daniels - 50955700 - Onlyfans")</f>
        <v>Dani Daniels - 50955700 - Onlyfans</v>
      </c>
      <c r="C266" s="60" t="str">
        <f ca="1">IFERROR(__xludf.DUMMYFUNCTION("""COMPUTED_VALUE"""),"https://thumbcdn.com/splash/7xft28dz6tqznkn8.jpg")</f>
        <v>https://thumbcdn.com/splash/7xft28dz6tqznkn8.jpg</v>
      </c>
      <c r="D266" s="6" t="s">
        <v>2324</v>
      </c>
      <c r="E266" s="63" t="str">
        <f ca="1">IFERROR(__xludf.DUMMYFUNCTION("""COMPUTED_VALUE"""),"OK")</f>
        <v>OK</v>
      </c>
      <c r="F266" s="46"/>
      <c r="G266" s="64" t="s">
        <v>9551</v>
      </c>
      <c r="H266" s="45" t="s">
        <v>9617</v>
      </c>
    </row>
    <row r="267" spans="1:8">
      <c r="A267" s="12"/>
      <c r="B267" s="12" t="str">
        <f ca="1">IFERROR(__xludf.DUMMYFUNCTION("""COMPUTED_VALUE"""),"Dani Daniels - 52597804 - Onlyfans")</f>
        <v>Dani Daniels - 52597804 - Onlyfans</v>
      </c>
      <c r="C267" s="60" t="str">
        <f ca="1">IFERROR(__xludf.DUMMYFUNCTION("""COMPUTED_VALUE"""),"https://thumbcdn.com/splash/7f96ese3398tjzib.jpg")</f>
        <v>https://thumbcdn.com/splash/7f96ese3398tjzib.jpg</v>
      </c>
      <c r="D267" s="6" t="s">
        <v>2334</v>
      </c>
      <c r="E267" s="63" t="str">
        <f ca="1">IFERROR(__xludf.DUMMYFUNCTION("""COMPUTED_VALUE"""),"OK")</f>
        <v>OK</v>
      </c>
      <c r="F267" s="46"/>
      <c r="G267" s="62" t="s">
        <v>9551</v>
      </c>
      <c r="H267" s="45" t="s">
        <v>9618</v>
      </c>
    </row>
    <row r="268" spans="1:8">
      <c r="A268" s="12" t="s">
        <v>9619</v>
      </c>
      <c r="B268" s="12" t="str">
        <f ca="1">IFERROR(__xludf.DUMMYFUNCTION("""COMPUTED_VALUE"""),"Dani Daniels - 53224351 - Onlyfans")</f>
        <v>Dani Daniels - 53224351 - Onlyfans</v>
      </c>
      <c r="C268" s="60" t="str">
        <f ca="1">IFERROR(__xludf.DUMMYFUNCTION("""COMPUTED_VALUE"""),"https://thumbcdn.com/splash/fhxb5jamixr1jzpq.jpg")</f>
        <v>https://thumbcdn.com/splash/fhxb5jamixr1jzpq.jpg</v>
      </c>
      <c r="D268" s="12" t="s">
        <v>2339</v>
      </c>
      <c r="E268" s="57" t="str">
        <f ca="1">IFERROR(__xludf.DUMMYFUNCTION("""COMPUTED_VALUE"""),"OK")</f>
        <v>OK</v>
      </c>
      <c r="F268" s="46"/>
      <c r="G268" s="62" t="s">
        <v>9551</v>
      </c>
      <c r="H268" s="45" t="s">
        <v>9620</v>
      </c>
    </row>
    <row r="269" spans="1:8">
      <c r="A269" s="59" t="s">
        <v>9621</v>
      </c>
      <c r="B269" s="12" t="str">
        <f ca="1">IFERROR(__xludf.DUMMYFUNCTION("""COMPUTED_VALUE"""),"Dani Daniels - 53635031 - Onlyfans")</f>
        <v>Dani Daniels - 53635031 - Onlyfans</v>
      </c>
      <c r="C269" s="60" t="str">
        <f ca="1">IFERROR(__xludf.DUMMYFUNCTION("""COMPUTED_VALUE"""),"https://thumbcdn.com/splash/kytv8g5jdfwagjbs.jpg")</f>
        <v>https://thumbcdn.com/splash/kytv8g5jdfwagjbs.jpg</v>
      </c>
      <c r="D269" s="6" t="s">
        <v>2343</v>
      </c>
      <c r="E269" s="63" t="str">
        <f ca="1">IFERROR(__xludf.DUMMYFUNCTION("""COMPUTED_VALUE"""),"OK")</f>
        <v>OK</v>
      </c>
      <c r="F269" s="46"/>
      <c r="G269" s="64" t="s">
        <v>9551</v>
      </c>
      <c r="H269" s="45" t="s">
        <v>9622</v>
      </c>
    </row>
    <row r="270" spans="1:8">
      <c r="A270" s="12"/>
      <c r="B270" s="12" t="str">
        <f ca="1">IFERROR(__xludf.DUMMYFUNCTION("""COMPUTED_VALUE"""),"Dani Daniels - 56497943 - Onlyfans")</f>
        <v>Dani Daniels - 56497943 - Onlyfans</v>
      </c>
      <c r="C270" s="60" t="str">
        <f ca="1">IFERROR(__xludf.DUMMYFUNCTION("""COMPUTED_VALUE"""),"https://thumbcdn.com/splash/3wt31nr2b8jx4c13.jpg")</f>
        <v>https://thumbcdn.com/splash/3wt31nr2b8jx4c13.jpg</v>
      </c>
      <c r="D270" s="6" t="s">
        <v>2352</v>
      </c>
      <c r="E270" s="63" t="str">
        <f ca="1">IFERROR(__xludf.DUMMYFUNCTION("""COMPUTED_VALUE"""),"OK")</f>
        <v>OK</v>
      </c>
      <c r="F270" s="46"/>
      <c r="G270" s="62" t="s">
        <v>9551</v>
      </c>
      <c r="H270" s="45" t="s">
        <v>9623</v>
      </c>
    </row>
    <row r="271" spans="1:8">
      <c r="A271" s="12" t="s">
        <v>9624</v>
      </c>
      <c r="B271" s="12" t="str">
        <f ca="1">IFERROR(__xludf.DUMMYFUNCTION("""COMPUTED_VALUE"""),"Dani Daniels - 57203383 - Onlyfans")</f>
        <v>Dani Daniels - 57203383 - Onlyfans</v>
      </c>
      <c r="C271" s="60" t="str">
        <f ca="1">IFERROR(__xludf.DUMMYFUNCTION("""COMPUTED_VALUE"""),"https://thumbcdn.com/splash/onfeibcqgx55pzji.jpg")</f>
        <v>https://thumbcdn.com/splash/onfeibcqgx55pzji.jpg</v>
      </c>
      <c r="D271" s="12" t="s">
        <v>2358</v>
      </c>
      <c r="E271" s="57" t="str">
        <f ca="1">IFERROR(__xludf.DUMMYFUNCTION("""COMPUTED_VALUE"""),"OK")</f>
        <v>OK</v>
      </c>
      <c r="F271" s="46"/>
      <c r="G271" s="62" t="s">
        <v>9551</v>
      </c>
      <c r="H271" s="45" t="s">
        <v>9625</v>
      </c>
    </row>
    <row r="272" spans="1:8">
      <c r="A272" s="59" t="s">
        <v>9626</v>
      </c>
      <c r="B272" s="12" t="str">
        <f ca="1">IFERROR(__xludf.DUMMYFUNCTION("""COMPUTED_VALUE"""),"Dani Daniels - 58313208 - Onlyfans")</f>
        <v>Dani Daniels - 58313208 - Onlyfans</v>
      </c>
      <c r="C272" s="60" t="str">
        <f ca="1">IFERROR(__xludf.DUMMYFUNCTION("""COMPUTED_VALUE"""),"https://thumbcdn.com/splash/ui1wsa4aroqm6gpk.jpg")</f>
        <v>https://thumbcdn.com/splash/ui1wsa4aroqm6gpk.jpg</v>
      </c>
      <c r="D272" s="12" t="s">
        <v>2363</v>
      </c>
      <c r="E272" s="57" t="str">
        <f ca="1">IFERROR(__xludf.DUMMYFUNCTION("""COMPUTED_VALUE"""),"OK")</f>
        <v>OK</v>
      </c>
      <c r="F272" s="46"/>
      <c r="G272" s="45" t="s">
        <v>9551</v>
      </c>
      <c r="H272" s="45" t="s">
        <v>9627</v>
      </c>
    </row>
    <row r="273" spans="1:8">
      <c r="A273" s="12"/>
      <c r="B273" s="12" t="str">
        <f ca="1">IFERROR(__xludf.DUMMYFUNCTION("""COMPUTED_VALUE"""),"Dani Daniels - 60408971 - Onlyfans")</f>
        <v>Dani Daniels - 60408971 - Onlyfans</v>
      </c>
      <c r="C273" s="60" t="str">
        <f ca="1">IFERROR(__xludf.DUMMYFUNCTION("""COMPUTED_VALUE"""),"https://thumbcdn.com/splash/8yvhzy81k3rssiwr.jpg")</f>
        <v>https://thumbcdn.com/splash/8yvhzy81k3rssiwr.jpg</v>
      </c>
      <c r="D273" s="12" t="s">
        <v>2377</v>
      </c>
      <c r="E273" s="57" t="str">
        <f ca="1">IFERROR(__xludf.DUMMYFUNCTION("""COMPUTED_VALUE"""),"OK")</f>
        <v>OK</v>
      </c>
      <c r="F273" s="46"/>
      <c r="G273" s="45" t="s">
        <v>9551</v>
      </c>
      <c r="H273" s="45" t="s">
        <v>9628</v>
      </c>
    </row>
    <row r="274" spans="1:8">
      <c r="A274" s="12" t="s">
        <v>9629</v>
      </c>
      <c r="B274" s="12" t="str">
        <f ca="1">IFERROR(__xludf.DUMMYFUNCTION("""COMPUTED_VALUE"""),"Dani Daniels - 61335376 - Onlyfans")</f>
        <v>Dani Daniels - 61335376 - Onlyfans</v>
      </c>
      <c r="C274" s="60" t="str">
        <f ca="1">IFERROR(__xludf.DUMMYFUNCTION("""COMPUTED_VALUE"""),"https://thumbcdn.com/splash/0fmhwf10sx0nvf9b.jpg")</f>
        <v>https://thumbcdn.com/splash/0fmhwf10sx0nvf9b.jpg</v>
      </c>
      <c r="D274" s="12" t="s">
        <v>2381</v>
      </c>
      <c r="E274" s="57" t="str">
        <f ca="1">IFERROR(__xludf.DUMMYFUNCTION("""COMPUTED_VALUE"""),"OK")</f>
        <v>OK</v>
      </c>
      <c r="F274" s="46"/>
      <c r="G274" s="45" t="s">
        <v>9551</v>
      </c>
      <c r="H274" s="45" t="s">
        <v>9630</v>
      </c>
    </row>
    <row r="275" spans="1:8">
      <c r="A275" s="59" t="s">
        <v>9631</v>
      </c>
      <c r="B275" s="12" t="str">
        <f ca="1">IFERROR(__xludf.DUMMYFUNCTION("""COMPUTED_VALUE"""),"Dani Daniels - 63122723 - Onlyfans")</f>
        <v>Dani Daniels - 63122723 - Onlyfans</v>
      </c>
      <c r="C275" s="60" t="str">
        <f ca="1">IFERROR(__xludf.DUMMYFUNCTION("""COMPUTED_VALUE"""),"https://thumbcdn.com/splash/m1lqt2b075ub2qvh.jpg")</f>
        <v>https://thumbcdn.com/splash/m1lqt2b075ub2qvh.jpg</v>
      </c>
      <c r="D275" s="6" t="s">
        <v>2385</v>
      </c>
      <c r="E275" s="63" t="str">
        <f ca="1">IFERROR(__xludf.DUMMYFUNCTION("""COMPUTED_VALUE"""),"OK")</f>
        <v>OK</v>
      </c>
      <c r="F275" s="46"/>
      <c r="G275" s="45" t="s">
        <v>9551</v>
      </c>
      <c r="H275" s="45" t="s">
        <v>9632</v>
      </c>
    </row>
    <row r="276" spans="1:8">
      <c r="A276" s="12"/>
      <c r="B276" s="12" t="str">
        <f ca="1">IFERROR(__xludf.DUMMYFUNCTION("""COMPUTED_VALUE"""),"Dani Daniels - 64808876 - Onlyfans")</f>
        <v>Dani Daniels - 64808876 - Onlyfans</v>
      </c>
      <c r="C276" s="60" t="str">
        <f ca="1">IFERROR(__xludf.DUMMYFUNCTION("""COMPUTED_VALUE"""),"https://thumbcdn.com/splash/97brcig60g86kc71.jpg")</f>
        <v>https://thumbcdn.com/splash/97brcig60g86kc71.jpg</v>
      </c>
      <c r="D276" s="12" t="s">
        <v>2398</v>
      </c>
      <c r="E276" s="57" t="str">
        <f ca="1">IFERROR(__xludf.DUMMYFUNCTION("""COMPUTED_VALUE"""),"OK")</f>
        <v>OK</v>
      </c>
      <c r="F276" s="46"/>
      <c r="G276" s="45" t="s">
        <v>9551</v>
      </c>
      <c r="H276" s="45" t="s">
        <v>9633</v>
      </c>
    </row>
    <row r="277" spans="1:8">
      <c r="A277" s="12" t="s">
        <v>9634</v>
      </c>
      <c r="B277" s="12" t="str">
        <f ca="1">IFERROR(__xludf.DUMMYFUNCTION("""COMPUTED_VALUE"""),"Dani Daniels - 65000313 - Onlyfans")</f>
        <v>Dani Daniels - 65000313 - Onlyfans</v>
      </c>
      <c r="C277" s="60" t="str">
        <f ca="1">IFERROR(__xludf.DUMMYFUNCTION("""COMPUTED_VALUE"""),"https://thumbcdn.com/splash/4n4matrh22axceo9.jpg")</f>
        <v>https://thumbcdn.com/splash/4n4matrh22axceo9.jpg</v>
      </c>
      <c r="D277" s="6" t="s">
        <v>2402</v>
      </c>
      <c r="E277" s="63" t="str">
        <f ca="1">IFERROR(__xludf.DUMMYFUNCTION("""COMPUTED_VALUE"""),"OK")</f>
        <v>OK</v>
      </c>
      <c r="F277" s="46"/>
      <c r="G277" s="45" t="s">
        <v>9551</v>
      </c>
      <c r="H277" s="45" t="s">
        <v>9635</v>
      </c>
    </row>
    <row r="278" spans="1:8">
      <c r="A278" s="59" t="s">
        <v>9636</v>
      </c>
      <c r="B278" s="12" t="str">
        <f ca="1">IFERROR(__xludf.DUMMYFUNCTION("""COMPUTED_VALUE"""),"Dani Daniels - 66212622 - Onlyfans")</f>
        <v>Dani Daniels - 66212622 - Onlyfans</v>
      </c>
      <c r="C278" s="60" t="str">
        <f ca="1">IFERROR(__xludf.DUMMYFUNCTION("""COMPUTED_VALUE"""),"https://thumbcdn.com/splash/yzp561ujztgrrv76.jpg")</f>
        <v>https://thumbcdn.com/splash/yzp561ujztgrrv76.jpg</v>
      </c>
      <c r="D278" s="12" t="s">
        <v>2407</v>
      </c>
      <c r="E278" s="57" t="str">
        <f ca="1">IFERROR(__xludf.DUMMYFUNCTION("""COMPUTED_VALUE"""),"OK")</f>
        <v>OK</v>
      </c>
      <c r="F278" s="46"/>
      <c r="G278" s="45" t="s">
        <v>9551</v>
      </c>
      <c r="H278" s="45" t="s">
        <v>9637</v>
      </c>
    </row>
    <row r="279" spans="1:8">
      <c r="A279" s="12"/>
      <c r="B279" s="12" t="str">
        <f ca="1">IFERROR(__xludf.DUMMYFUNCTION("""COMPUTED_VALUE"""),"Dani Daniels - 66422331 - Onlyfans")</f>
        <v>Dani Daniels - 66422331 - Onlyfans</v>
      </c>
      <c r="C279" s="60" t="str">
        <f ca="1">IFERROR(__xludf.DUMMYFUNCTION("""COMPUTED_VALUE"""),"https://thumbcdn.com/splash/c82u0xp5izmm75f1.jpg")</f>
        <v>https://thumbcdn.com/splash/c82u0xp5izmm75f1.jpg</v>
      </c>
      <c r="D279" s="16" t="s">
        <v>2411</v>
      </c>
      <c r="E279" s="57" t="str">
        <f ca="1">IFERROR(__xludf.DUMMYFUNCTION("""COMPUTED_VALUE"""),"OK")</f>
        <v>OK</v>
      </c>
      <c r="F279" s="46"/>
      <c r="G279" s="45" t="s">
        <v>9551</v>
      </c>
      <c r="H279" s="45" t="s">
        <v>9638</v>
      </c>
    </row>
    <row r="280" spans="1:8">
      <c r="A280" s="12" t="s">
        <v>9639</v>
      </c>
      <c r="B280" s="12" t="str">
        <f ca="1">IFERROR(__xludf.DUMMYFUNCTION("""COMPUTED_VALUE"""),"Dani Daniels - 66537645 - Onlyfans")</f>
        <v>Dani Daniels - 66537645 - Onlyfans</v>
      </c>
      <c r="C280" s="60" t="str">
        <f ca="1">IFERROR(__xludf.DUMMYFUNCTION("""COMPUTED_VALUE"""),"https://thumbcdn.com/splash/66wo5m4xu2y2t5wz.jpg")</f>
        <v>https://thumbcdn.com/splash/66wo5m4xu2y2t5wz.jpg</v>
      </c>
      <c r="D280" s="12" t="s">
        <v>2415</v>
      </c>
      <c r="E280" s="57" t="str">
        <f ca="1">IFERROR(__xludf.DUMMYFUNCTION("""COMPUTED_VALUE"""),"OK")</f>
        <v>OK</v>
      </c>
      <c r="F280" s="46"/>
      <c r="G280" s="45" t="s">
        <v>9551</v>
      </c>
      <c r="H280" s="45" t="s">
        <v>9640</v>
      </c>
    </row>
    <row r="281" spans="1:8">
      <c r="A281" s="59" t="s">
        <v>9641</v>
      </c>
      <c r="B281" s="12" t="str">
        <f ca="1">IFERROR(__xludf.DUMMYFUNCTION("""COMPUTED_VALUE"""),"Dani Daniels - 67231091 - Onlyfans")</f>
        <v>Dani Daniels - 67231091 - Onlyfans</v>
      </c>
      <c r="C281" s="60" t="str">
        <f ca="1">IFERROR(__xludf.DUMMYFUNCTION("""COMPUTED_VALUE"""),"https://thumbcdn.com/splash/64zh4j7s955053kf.jpg")</f>
        <v>https://thumbcdn.com/splash/64zh4j7s955053kf.jpg</v>
      </c>
      <c r="D281" s="12" t="s">
        <v>2420</v>
      </c>
      <c r="E281" s="57" t="str">
        <f ca="1">IFERROR(__xludf.DUMMYFUNCTION("""COMPUTED_VALUE"""),"OK")</f>
        <v>OK</v>
      </c>
      <c r="F281" s="46"/>
      <c r="G281" s="45" t="s">
        <v>9551</v>
      </c>
      <c r="H281" s="45" t="s">
        <v>9642</v>
      </c>
    </row>
    <row r="282" spans="1:8">
      <c r="A282" s="12"/>
      <c r="B282" s="12" t="str">
        <f ca="1">IFERROR(__xludf.DUMMYFUNCTION("""COMPUTED_VALUE"""),"Dani Daniels - 67462200 - Onlyfans")</f>
        <v>Dani Daniels - 67462200 - Onlyfans</v>
      </c>
      <c r="C282" s="60" t="str">
        <f ca="1">IFERROR(__xludf.DUMMYFUNCTION("""COMPUTED_VALUE"""),"https://thumbcdn.com/splash/lwpwdagvn32byqen.jpg")</f>
        <v>https://thumbcdn.com/splash/lwpwdagvn32byqen.jpg</v>
      </c>
      <c r="D282" s="12" t="s">
        <v>2424</v>
      </c>
      <c r="E282" s="57" t="str">
        <f ca="1">IFERROR(__xludf.DUMMYFUNCTION("""COMPUTED_VALUE"""),"OK")</f>
        <v>OK</v>
      </c>
      <c r="F282" s="46"/>
      <c r="G282" s="45" t="s">
        <v>9551</v>
      </c>
      <c r="H282" s="45" t="s">
        <v>9643</v>
      </c>
    </row>
    <row r="283" spans="1:8">
      <c r="A283" s="12" t="s">
        <v>9644</v>
      </c>
      <c r="B283" s="12" t="str">
        <f ca="1">IFERROR(__xludf.DUMMYFUNCTION("""COMPUTED_VALUE"""),"Dani Daniels - 73207233 - Onlyfans")</f>
        <v>Dani Daniels - 73207233 - Onlyfans</v>
      </c>
      <c r="C283" s="60" t="str">
        <f ca="1">IFERROR(__xludf.DUMMYFUNCTION("""COMPUTED_VALUE"""),"https://thumbcdn.com/splash/fuuu3k5kz6lqaey5.jpg")</f>
        <v>https://thumbcdn.com/splash/fuuu3k5kz6lqaey5.jpg</v>
      </c>
      <c r="D283" s="6" t="s">
        <v>2437</v>
      </c>
      <c r="E283" s="63" t="str">
        <f ca="1">IFERROR(__xludf.DUMMYFUNCTION("""COMPUTED_VALUE"""),"OK")</f>
        <v>OK</v>
      </c>
      <c r="F283" s="46"/>
      <c r="G283" s="45" t="s">
        <v>9551</v>
      </c>
      <c r="H283" s="45" t="s">
        <v>9645</v>
      </c>
    </row>
    <row r="284" spans="1:8">
      <c r="A284" s="59" t="s">
        <v>9646</v>
      </c>
      <c r="B284" s="12" t="str">
        <f ca="1">IFERROR(__xludf.DUMMYFUNCTION("""COMPUTED_VALUE"""),"Dani Daniels - 73971620 - Onlyfans")</f>
        <v>Dani Daniels - 73971620 - Onlyfans</v>
      </c>
      <c r="C284" s="60" t="str">
        <f ca="1">IFERROR(__xludf.DUMMYFUNCTION("""COMPUTED_VALUE"""),"https://thumbcdn.com/splash/a5ct51prezetcas4.jpg")</f>
        <v>https://thumbcdn.com/splash/a5ct51prezetcas4.jpg</v>
      </c>
      <c r="D284" s="12" t="s">
        <v>2447</v>
      </c>
      <c r="E284" s="57" t="str">
        <f ca="1">IFERROR(__xludf.DUMMYFUNCTION("""COMPUTED_VALUE"""),"OK")</f>
        <v>OK</v>
      </c>
      <c r="F284" s="46"/>
      <c r="G284" s="45" t="s">
        <v>9551</v>
      </c>
      <c r="H284" s="45" t="s">
        <v>9647</v>
      </c>
    </row>
    <row r="285" spans="1:8">
      <c r="A285" s="12"/>
      <c r="B285" s="12" t="str">
        <f ca="1">IFERROR(__xludf.DUMMYFUNCTION("""COMPUTED_VALUE"""),"Dani Daniels - 75405909 - Onlyfans")</f>
        <v>Dani Daniels - 75405909 - Onlyfans</v>
      </c>
      <c r="C285" s="60" t="str">
        <f ca="1">IFERROR(__xludf.DUMMYFUNCTION("""COMPUTED_VALUE"""),"https://thumbcdn.com/splash/1gvvwc9ewe143j29.jpg")</f>
        <v>https://thumbcdn.com/splash/1gvvwc9ewe143j29.jpg</v>
      </c>
      <c r="D285" s="12" t="s">
        <v>2451</v>
      </c>
      <c r="E285" s="57" t="str">
        <f ca="1">IFERROR(__xludf.DUMMYFUNCTION("""COMPUTED_VALUE"""),"OK")</f>
        <v>OK</v>
      </c>
      <c r="F285" s="46"/>
      <c r="G285" s="45" t="s">
        <v>9551</v>
      </c>
      <c r="H285" s="45" t="s">
        <v>9648</v>
      </c>
    </row>
    <row r="286" spans="1:8">
      <c r="A286" s="12" t="s">
        <v>9649</v>
      </c>
      <c r="B286" s="12" t="str">
        <f ca="1">IFERROR(__xludf.DUMMYFUNCTION("""COMPUTED_VALUE"""),"Dani Daniels - 80036291 - Onlyfans")</f>
        <v>Dani Daniels - 80036291 - Onlyfans</v>
      </c>
      <c r="C286" s="60" t="str">
        <f ca="1">IFERROR(__xludf.DUMMYFUNCTION("""COMPUTED_VALUE"""),"https://thumbcdn.com/splash/qqmpzn5aq5cmkgmp.jpg")</f>
        <v>https://thumbcdn.com/splash/qqmpzn5aq5cmkgmp.jpg</v>
      </c>
      <c r="D286" s="6" t="s">
        <v>2472</v>
      </c>
      <c r="E286" s="63" t="str">
        <f ca="1">IFERROR(__xludf.DUMMYFUNCTION("""COMPUTED_VALUE"""),"OK")</f>
        <v>OK</v>
      </c>
      <c r="F286" s="46"/>
      <c r="G286" s="45" t="s">
        <v>9551</v>
      </c>
      <c r="H286" s="45" t="s">
        <v>9650</v>
      </c>
    </row>
    <row r="287" spans="1:8">
      <c r="A287" s="59" t="s">
        <v>9651</v>
      </c>
      <c r="B287" s="12" t="str">
        <f ca="1">IFERROR(__xludf.DUMMYFUNCTION("""COMPUTED_VALUE"""),"Dani Daniels - 81731075 - Onlyfans")</f>
        <v>Dani Daniels - 81731075 - Onlyfans</v>
      </c>
      <c r="C287" s="60" t="str">
        <f ca="1">IFERROR(__xludf.DUMMYFUNCTION("""COMPUTED_VALUE"""),"https://thumbcdn.com/splash/oqutvnqwuiz37uwe.jpg")</f>
        <v>https://thumbcdn.com/splash/oqutvnqwuiz37uwe.jpg</v>
      </c>
      <c r="D287" s="12" t="s">
        <v>2476</v>
      </c>
      <c r="E287" s="57" t="str">
        <f ca="1">IFERROR(__xludf.DUMMYFUNCTION("""COMPUTED_VALUE"""),"OK")</f>
        <v>OK</v>
      </c>
      <c r="F287" s="46"/>
      <c r="G287" s="45" t="s">
        <v>9551</v>
      </c>
      <c r="H287" s="45" t="s">
        <v>9652</v>
      </c>
    </row>
    <row r="288" spans="1:8">
      <c r="A288" s="12"/>
      <c r="B288" s="12" t="str">
        <f ca="1">IFERROR(__xludf.DUMMYFUNCTION("""COMPUTED_VALUE"""),"Dani Daniels - 82404264 - Onlyfans")</f>
        <v>Dani Daniels - 82404264 - Onlyfans</v>
      </c>
      <c r="C288" s="60" t="str">
        <f ca="1">IFERROR(__xludf.DUMMYFUNCTION("""COMPUTED_VALUE"""),"https://thumbcdn.com/splash/p9udrgn069hezqmd.jpg")</f>
        <v>https://thumbcdn.com/splash/p9udrgn069hezqmd.jpg</v>
      </c>
      <c r="D288" s="12" t="s">
        <v>2480</v>
      </c>
      <c r="E288" s="57" t="str">
        <f ca="1">IFERROR(__xludf.DUMMYFUNCTION("""COMPUTED_VALUE"""),"OK")</f>
        <v>OK</v>
      </c>
      <c r="F288" s="46"/>
      <c r="G288" s="45" t="s">
        <v>9551</v>
      </c>
      <c r="H288" s="45" t="s">
        <v>9653</v>
      </c>
    </row>
    <row r="289" spans="1:8">
      <c r="A289" s="12" t="s">
        <v>9654</v>
      </c>
      <c r="B289" s="12" t="str">
        <f ca="1">IFERROR(__xludf.DUMMYFUNCTION("""COMPUTED_VALUE"""),"Dani Daniels - 84456951 - Onlyfans")</f>
        <v>Dani Daniels - 84456951 - Onlyfans</v>
      </c>
      <c r="C289" s="60" t="str">
        <f ca="1">IFERROR(__xludf.DUMMYFUNCTION("""COMPUTED_VALUE"""),"https://thumbcdn.com/splash/mi58p1zgbk9upijz.jpg")</f>
        <v>https://thumbcdn.com/splash/mi58p1zgbk9upijz.jpg</v>
      </c>
      <c r="D289" s="12" t="s">
        <v>2485</v>
      </c>
      <c r="E289" s="57" t="str">
        <f ca="1">IFERROR(__xludf.DUMMYFUNCTION("""COMPUTED_VALUE"""),"OK")</f>
        <v>OK</v>
      </c>
      <c r="F289" s="46"/>
      <c r="G289" s="45" t="s">
        <v>9551</v>
      </c>
      <c r="H289" s="45" t="s">
        <v>9655</v>
      </c>
    </row>
    <row r="290" spans="1:8">
      <c r="A290" s="59" t="s">
        <v>9656</v>
      </c>
      <c r="B290" s="12" t="str">
        <f ca="1">IFERROR(__xludf.DUMMYFUNCTION("""COMPUTED_VALUE"""),"Dani Daniels - 87513728 - Onlyfans")</f>
        <v>Dani Daniels - 87513728 - Onlyfans</v>
      </c>
      <c r="C290" s="60" t="str">
        <f ca="1">IFERROR(__xludf.DUMMYFUNCTION("""COMPUTED_VALUE"""),"https://thumbcdn.com/splash/0b1gv3ajimjraxys.jpg")</f>
        <v>https://thumbcdn.com/splash/0b1gv3ajimjraxys.jpg</v>
      </c>
      <c r="D290" s="12" t="s">
        <v>2498</v>
      </c>
      <c r="E290" s="57" t="str">
        <f ca="1">IFERROR(__xludf.DUMMYFUNCTION("""COMPUTED_VALUE"""),"OK")</f>
        <v>OK</v>
      </c>
      <c r="F290" s="46"/>
      <c r="G290" s="45" t="s">
        <v>9551</v>
      </c>
      <c r="H290" s="45" t="s">
        <v>9657</v>
      </c>
    </row>
    <row r="291" spans="1:8">
      <c r="A291" s="12"/>
      <c r="B291" s="12" t="str">
        <f ca="1">IFERROR(__xludf.DUMMYFUNCTION("""COMPUTED_VALUE"""),"Dani Daniels - 89355838 - Onlyfans")</f>
        <v>Dani Daniels - 89355838 - Onlyfans</v>
      </c>
      <c r="C291" s="60" t="str">
        <f ca="1">IFERROR(__xludf.DUMMYFUNCTION("""COMPUTED_VALUE"""),"https://thumbcdn.com/splash/k6f0y5g5j3jkraum.jpg")</f>
        <v>https://thumbcdn.com/splash/k6f0y5g5j3jkraum.jpg</v>
      </c>
      <c r="D291" s="12" t="s">
        <v>2502</v>
      </c>
      <c r="E291" s="57" t="str">
        <f ca="1">IFERROR(__xludf.DUMMYFUNCTION("""COMPUTED_VALUE"""),"OK")</f>
        <v>OK</v>
      </c>
      <c r="F291" s="46"/>
      <c r="G291" s="45" t="s">
        <v>9551</v>
      </c>
      <c r="H291" s="45" t="s">
        <v>9658</v>
      </c>
    </row>
    <row r="292" spans="1:8">
      <c r="A292" s="12" t="s">
        <v>9659</v>
      </c>
      <c r="B292" s="12" t="str">
        <f ca="1">IFERROR(__xludf.DUMMYFUNCTION("""COMPUTED_VALUE"""),"Dani Daniels - 90128248 - Onlyfans")</f>
        <v>Dani Daniels - 90128248 - Onlyfans</v>
      </c>
      <c r="C292" s="60" t="str">
        <f ca="1">IFERROR(__xludf.DUMMYFUNCTION("""COMPUTED_VALUE"""),"https://thumbcdn.com/splash/nb25n2dtrql8f8bt.jpg")</f>
        <v>https://thumbcdn.com/splash/nb25n2dtrql8f8bt.jpg</v>
      </c>
      <c r="D292" s="12" t="s">
        <v>2516</v>
      </c>
      <c r="E292" s="57" t="str">
        <f ca="1">IFERROR(__xludf.DUMMYFUNCTION("""COMPUTED_VALUE"""),"OK")</f>
        <v>OK</v>
      </c>
      <c r="F292" s="46"/>
      <c r="G292" s="45" t="s">
        <v>9551</v>
      </c>
      <c r="H292" s="45" t="s">
        <v>9660</v>
      </c>
    </row>
    <row r="293" spans="1:8">
      <c r="A293" s="59" t="s">
        <v>9661</v>
      </c>
      <c r="B293" s="12" t="str">
        <f ca="1">IFERROR(__xludf.DUMMYFUNCTION("""COMPUTED_VALUE"""),"Dani Daniels - 90416090 - Onlyfans")</f>
        <v>Dani Daniels - 90416090 - Onlyfans</v>
      </c>
      <c r="C293" s="60" t="str">
        <f ca="1">IFERROR(__xludf.DUMMYFUNCTION("""COMPUTED_VALUE"""),"https://thumbcdn.com/splash/oicm654iauca204p.jpg")</f>
        <v>https://thumbcdn.com/splash/oicm654iauca204p.jpg</v>
      </c>
      <c r="D293" s="12" t="s">
        <v>2520</v>
      </c>
      <c r="E293" s="57" t="str">
        <f ca="1">IFERROR(__xludf.DUMMYFUNCTION("""COMPUTED_VALUE"""),"OK")</f>
        <v>OK</v>
      </c>
      <c r="F293" s="46"/>
      <c r="G293" s="45" t="s">
        <v>9551</v>
      </c>
      <c r="H293" s="45" t="s">
        <v>9662</v>
      </c>
    </row>
    <row r="294" spans="1:8">
      <c r="A294" s="12"/>
      <c r="B294" s="12" t="str">
        <f ca="1">IFERROR(__xludf.DUMMYFUNCTION("""COMPUTED_VALUE"""),"Dani Daniels - 91909436 - Onlyfans")</f>
        <v>Dani Daniels - 91909436 - Onlyfans</v>
      </c>
      <c r="C294" s="60" t="str">
        <f ca="1">IFERROR(__xludf.DUMMYFUNCTION("""COMPUTED_VALUE"""),"https://thumbcdn.com/splash/o88gup3id9es0i1q.jpg")</f>
        <v>https://thumbcdn.com/splash/o88gup3id9es0i1q.jpg</v>
      </c>
      <c r="D294" s="16" t="s">
        <v>2525</v>
      </c>
      <c r="E294" s="57" t="str">
        <f ca="1">IFERROR(__xludf.DUMMYFUNCTION("""COMPUTED_VALUE"""),"OK")</f>
        <v>OK</v>
      </c>
      <c r="F294" s="46"/>
      <c r="G294" s="45" t="s">
        <v>9551</v>
      </c>
      <c r="H294" s="45" t="s">
        <v>9663</v>
      </c>
    </row>
    <row r="295" spans="1:8">
      <c r="A295" s="12" t="s">
        <v>9664</v>
      </c>
      <c r="B295" s="12" t="str">
        <f ca="1">IFERROR(__xludf.DUMMYFUNCTION("""COMPUTED_VALUE"""),"Dani Daniels - 93689739 - Onlyfans")</f>
        <v>Dani Daniels - 93689739 - Onlyfans</v>
      </c>
      <c r="C295" s="60" t="str">
        <f ca="1">IFERROR(__xludf.DUMMYFUNCTION("""COMPUTED_VALUE"""),"https://thumbcdn.com/splash/cdffijzxxesotrt7.jpg")</f>
        <v>https://thumbcdn.com/splash/cdffijzxxesotrt7.jpg</v>
      </c>
      <c r="D295" s="12" t="s">
        <v>2534</v>
      </c>
      <c r="E295" s="57" t="str">
        <f ca="1">IFERROR(__xludf.DUMMYFUNCTION("""COMPUTED_VALUE"""),"OK")</f>
        <v>OK</v>
      </c>
      <c r="F295" s="46"/>
      <c r="G295" s="45" t="s">
        <v>9551</v>
      </c>
      <c r="H295" s="45" t="s">
        <v>9665</v>
      </c>
    </row>
    <row r="296" spans="1:8">
      <c r="A296" s="59" t="s">
        <v>9666</v>
      </c>
      <c r="B296" s="12" t="str">
        <f ca="1">IFERROR(__xludf.DUMMYFUNCTION("""COMPUTED_VALUE"""),"Dani Daniels - 95592521 - Onlyfans")</f>
        <v>Dani Daniels - 95592521 - Onlyfans</v>
      </c>
      <c r="C296" s="60" t="str">
        <f ca="1">IFERROR(__xludf.DUMMYFUNCTION("""COMPUTED_VALUE"""),"https://thumbcdn.com/splash/stz5prk8n00txn2x.jpg")</f>
        <v>https://thumbcdn.com/splash/stz5prk8n00txn2x.jpg</v>
      </c>
      <c r="D296" s="12" t="s">
        <v>2544</v>
      </c>
      <c r="E296" s="57" t="str">
        <f ca="1">IFERROR(__xludf.DUMMYFUNCTION("""COMPUTED_VALUE"""),"OK")</f>
        <v>OK</v>
      </c>
      <c r="F296" s="46"/>
      <c r="G296" s="45" t="s">
        <v>9551</v>
      </c>
      <c r="H296" s="45" t="s">
        <v>9667</v>
      </c>
    </row>
    <row r="297" spans="1:8">
      <c r="A297" s="12"/>
      <c r="B297" s="12" t="str">
        <f ca="1">IFERROR(__xludf.DUMMYFUNCTION("""COMPUTED_VALUE"""),"Dani Daniels - 95662151 - Onlyfans")</f>
        <v>Dani Daniels - 95662151 - Onlyfans</v>
      </c>
      <c r="C297" s="60" t="str">
        <f ca="1">IFERROR(__xludf.DUMMYFUNCTION("""COMPUTED_VALUE"""),"https://thumbcdn.com/splash/kr7gb9ntjbtq00ds.jpg")</f>
        <v>https://thumbcdn.com/splash/kr7gb9ntjbtq00ds.jpg</v>
      </c>
      <c r="D297" s="12" t="s">
        <v>2548</v>
      </c>
      <c r="E297" s="57" t="str">
        <f ca="1">IFERROR(__xludf.DUMMYFUNCTION("""COMPUTED_VALUE"""),"OK")</f>
        <v>OK</v>
      </c>
      <c r="F297" s="46"/>
      <c r="G297" s="45" t="s">
        <v>9551</v>
      </c>
      <c r="H297" s="45" t="s">
        <v>9668</v>
      </c>
    </row>
    <row r="298" spans="1:8">
      <c r="A298" s="12" t="s">
        <v>9669</v>
      </c>
      <c r="B298" s="12" t="str">
        <f ca="1">IFERROR(__xludf.DUMMYFUNCTION("""COMPUTED_VALUE"""),"Dani Daniels - 95688512 - Onlyfans")</f>
        <v>Dani Daniels - 95688512 - Onlyfans</v>
      </c>
      <c r="C298" s="60" t="str">
        <f ca="1">IFERROR(__xludf.DUMMYFUNCTION("""COMPUTED_VALUE"""),"https://thumbcdn.com/splash/xzf4oiuhsjh0sx0c.jpg")</f>
        <v>https://thumbcdn.com/splash/xzf4oiuhsjh0sx0c.jpg</v>
      </c>
      <c r="D298" s="12" t="s">
        <v>2552</v>
      </c>
      <c r="E298" s="57" t="str">
        <f ca="1">IFERROR(__xludf.DUMMYFUNCTION("""COMPUTED_VALUE"""),"OK")</f>
        <v>OK</v>
      </c>
      <c r="F298" s="46"/>
      <c r="G298" s="45" t="s">
        <v>9551</v>
      </c>
      <c r="H298" s="45" t="s">
        <v>9670</v>
      </c>
    </row>
    <row r="299" spans="1:8">
      <c r="A299" s="59" t="s">
        <v>9671</v>
      </c>
      <c r="B299" s="12" t="str">
        <f ca="1">IFERROR(__xludf.DUMMYFUNCTION("""COMPUTED_VALUE"""),"Dani Daniels - 96155439 - Onlyfans")</f>
        <v>Dani Daniels - 96155439 - Onlyfans</v>
      </c>
      <c r="C299" s="60" t="str">
        <f ca="1">IFERROR(__xludf.DUMMYFUNCTION("""COMPUTED_VALUE"""),"https://thumbcdn.com/splash/e1w74r3nznqdhmzh.jpg")</f>
        <v>https://thumbcdn.com/splash/e1w74r3nznqdhmzh.jpg</v>
      </c>
      <c r="D299" s="12" t="s">
        <v>2556</v>
      </c>
      <c r="E299" s="57" t="str">
        <f ca="1">IFERROR(__xludf.DUMMYFUNCTION("""COMPUTED_VALUE"""),"OK")</f>
        <v>OK</v>
      </c>
      <c r="F299" s="46"/>
      <c r="G299" s="45" t="s">
        <v>9551</v>
      </c>
      <c r="H299" s="45" t="s">
        <v>9672</v>
      </c>
    </row>
    <row r="300" spans="1:8">
      <c r="A300" s="12"/>
      <c r="B300" s="12" t="str">
        <f ca="1">IFERROR(__xludf.DUMMYFUNCTION("""COMPUTED_VALUE"""),"Dani Daniels - 96494907 - Onlyfans")</f>
        <v>Dani Daniels - 96494907 - Onlyfans</v>
      </c>
      <c r="C300" s="60" t="str">
        <f ca="1">IFERROR(__xludf.DUMMYFUNCTION("""COMPUTED_VALUE"""),"https://thumbcdn.com/splash/ffrzlbyutq8pa4a5.jpg")</f>
        <v>https://thumbcdn.com/splash/ffrzlbyutq8pa4a5.jpg</v>
      </c>
      <c r="D300" s="16" t="s">
        <v>2560</v>
      </c>
      <c r="E300" s="57" t="str">
        <f ca="1">IFERROR(__xludf.DUMMYFUNCTION("""COMPUTED_VALUE"""),"OK")</f>
        <v>OK</v>
      </c>
      <c r="F300" s="46"/>
      <c r="G300" s="45" t="s">
        <v>9551</v>
      </c>
      <c r="H300" s="45" t="s">
        <v>9673</v>
      </c>
    </row>
    <row r="301" spans="1:8">
      <c r="A301" s="12" t="s">
        <v>9674</v>
      </c>
      <c r="B301" s="12" t="str">
        <f ca="1">IFERROR(__xludf.DUMMYFUNCTION("""COMPUTED_VALUE"""),"Dani Daniels - 97058650 - Onlyfans")</f>
        <v>Dani Daniels - 97058650 - Onlyfans</v>
      </c>
      <c r="C301" s="60" t="str">
        <f ca="1">IFERROR(__xludf.DUMMYFUNCTION("""COMPUTED_VALUE"""),"https://thumbcdn.com/splash/c01n8ywiyslrei6d.jpg")</f>
        <v>https://thumbcdn.com/splash/c01n8ywiyslrei6d.jpg</v>
      </c>
      <c r="D301" s="12" t="s">
        <v>2564</v>
      </c>
      <c r="E301" s="57" t="str">
        <f ca="1">IFERROR(__xludf.DUMMYFUNCTION("""COMPUTED_VALUE"""),"OK")</f>
        <v>OK</v>
      </c>
      <c r="F301" s="46"/>
      <c r="G301" s="45" t="s">
        <v>9551</v>
      </c>
      <c r="H301" s="45" t="s">
        <v>9675</v>
      </c>
    </row>
    <row r="302" spans="1:8">
      <c r="A302" s="59" t="s">
        <v>9676</v>
      </c>
      <c r="B302" s="12" t="str">
        <f ca="1">IFERROR(__xludf.DUMMYFUNCTION("""COMPUTED_VALUE"""),"Dani Daniels - 97485031 - Onlyfans")</f>
        <v>Dani Daniels - 97485031 - Onlyfans</v>
      </c>
      <c r="C302" s="60" t="str">
        <f ca="1">IFERROR(__xludf.DUMMYFUNCTION("""COMPUTED_VALUE"""),"https://thumbcdn.com/splash/pe59vgc9hrbxspdt.jpg")</f>
        <v>https://thumbcdn.com/splash/pe59vgc9hrbxspdt.jpg</v>
      </c>
      <c r="D302" s="12" t="s">
        <v>2568</v>
      </c>
      <c r="E302" s="57" t="str">
        <f ca="1">IFERROR(__xludf.DUMMYFUNCTION("""COMPUTED_VALUE"""),"OK")</f>
        <v>OK</v>
      </c>
      <c r="F302" s="46"/>
      <c r="G302" s="45" t="s">
        <v>9551</v>
      </c>
      <c r="H302" s="45" t="s">
        <v>9677</v>
      </c>
    </row>
    <row r="303" spans="1:8">
      <c r="A303" s="12"/>
      <c r="B303" s="12" t="str">
        <f ca="1">IFERROR(__xludf.DUMMYFUNCTION("""COMPUTED_VALUE"""),"Dani Daniels - 98334702 - Onlyfans")</f>
        <v>Dani Daniels - 98334702 - Onlyfans</v>
      </c>
      <c r="C303" s="60" t="str">
        <f ca="1">IFERROR(__xludf.DUMMYFUNCTION("""COMPUTED_VALUE"""),"https://thumbcdn.com/splash/5x14s56wj6stkp6r.jpg")</f>
        <v>https://thumbcdn.com/splash/5x14s56wj6stkp6r.jpg</v>
      </c>
      <c r="D303" s="6" t="s">
        <v>2572</v>
      </c>
      <c r="E303" s="63" t="str">
        <f ca="1">IFERROR(__xludf.DUMMYFUNCTION("""COMPUTED_VALUE"""),"OK")</f>
        <v>OK</v>
      </c>
      <c r="F303" s="46"/>
      <c r="G303" s="45" t="s">
        <v>9551</v>
      </c>
      <c r="H303" s="45" t="s">
        <v>9678</v>
      </c>
    </row>
    <row r="304" spans="1:8">
      <c r="A304" s="12" t="s">
        <v>9679</v>
      </c>
      <c r="B304" s="12" t="str">
        <f ca="1">IFERROR(__xludf.DUMMYFUNCTION("""COMPUTED_VALUE"""),"Dani Daniels - 98881443 - Onlyfans")</f>
        <v>Dani Daniels - 98881443 - Onlyfans</v>
      </c>
      <c r="C304" s="60" t="str">
        <f ca="1">IFERROR(__xludf.DUMMYFUNCTION("""COMPUTED_VALUE"""),"https://thumbcdn.com/splash/jn1mzj61v9zpngck.jpg")</f>
        <v>https://thumbcdn.com/splash/jn1mzj61v9zpngck.jpg</v>
      </c>
      <c r="D304" s="6" t="s">
        <v>2576</v>
      </c>
      <c r="E304" s="63" t="str">
        <f ca="1">IFERROR(__xludf.DUMMYFUNCTION("""COMPUTED_VALUE"""),"OK")</f>
        <v>OK</v>
      </c>
      <c r="F304" s="46"/>
      <c r="G304" s="45" t="s">
        <v>9551</v>
      </c>
      <c r="H304" s="45" t="s">
        <v>9680</v>
      </c>
    </row>
    <row r="305" spans="1:8">
      <c r="A305" s="59" t="s">
        <v>9681</v>
      </c>
      <c r="B305" s="12" t="str">
        <f ca="1">IFERROR(__xludf.DUMMYFUNCTION("""COMPUTED_VALUE"""),"Dani Daniels - 99392329 - Onlyfans")</f>
        <v>Dani Daniels - 99392329 - Onlyfans</v>
      </c>
      <c r="C305" s="60" t="str">
        <f ca="1">IFERROR(__xludf.DUMMYFUNCTION("""COMPUTED_VALUE"""),"https://thumbcdn.com/splash/wrwcneddlwd202wd.jpg")</f>
        <v>https://thumbcdn.com/splash/wrwcneddlwd202wd.jpg</v>
      </c>
      <c r="D305" s="12" t="s">
        <v>2582</v>
      </c>
      <c r="E305" s="57" t="str">
        <f ca="1">IFERROR(__xludf.DUMMYFUNCTION("""COMPUTED_VALUE"""),"OK")</f>
        <v>OK</v>
      </c>
      <c r="F305" s="46"/>
      <c r="G305" s="45" t="s">
        <v>9551</v>
      </c>
      <c r="H305" s="45" t="s">
        <v>9682</v>
      </c>
    </row>
    <row r="306" spans="1:8">
      <c r="A306" s="12"/>
      <c r="B306" s="12" t="str">
        <f ca="1">IFERROR(__xludf.DUMMYFUNCTION("""COMPUTED_VALUE"""),"Diamond Franco - 16454260 - FS - Amiee Cambridge")</f>
        <v>Diamond Franco - 16454260 - FS - Amiee Cambridge</v>
      </c>
      <c r="C306" s="60" t="str">
        <f ca="1">IFERROR(__xludf.DUMMYFUNCTION("""COMPUTED_VALUE"""),"https://thumbcdn.com/splash/3l58k8ceze66dhoo.jpg")</f>
        <v>https://thumbcdn.com/splash/3l58k8ceze66dhoo.jpg</v>
      </c>
      <c r="D306" s="12" t="s">
        <v>2601</v>
      </c>
      <c r="E306" s="57" t="str">
        <f ca="1">IFERROR(__xludf.DUMMYFUNCTION("""COMPUTED_VALUE"""),"OK")</f>
        <v>OK</v>
      </c>
      <c r="F306" s="46"/>
      <c r="G306" s="45" t="s">
        <v>9551</v>
      </c>
      <c r="H306" s="45" t="s">
        <v>9683</v>
      </c>
    </row>
    <row r="307" spans="1:8">
      <c r="A307" s="12" t="s">
        <v>9684</v>
      </c>
      <c r="B307" s="12" t="str">
        <f ca="1">IFERROR(__xludf.DUMMYFUNCTION("""COMPUTED_VALUE"""),"Diamond Franco - 42383378 - Onlyfans")</f>
        <v>Diamond Franco - 42383378 - Onlyfans</v>
      </c>
      <c r="C307" s="60" t="str">
        <f ca="1">IFERROR(__xludf.DUMMYFUNCTION("""COMPUTED_VALUE"""),"https://thumbcdn.com/splash/p1ih2bddut5nea0a.jpg")</f>
        <v>https://thumbcdn.com/splash/p1ih2bddut5nea0a.jpg</v>
      </c>
      <c r="D307" s="12" t="s">
        <v>2611</v>
      </c>
      <c r="E307" s="57" t="str">
        <f ca="1">IFERROR(__xludf.DUMMYFUNCTION("""COMPUTED_VALUE"""),"OK")</f>
        <v>OK</v>
      </c>
      <c r="F307" s="46"/>
      <c r="G307" s="45" t="s">
        <v>9685</v>
      </c>
      <c r="H307" s="45" t="s">
        <v>9686</v>
      </c>
    </row>
    <row r="308" spans="1:8">
      <c r="A308" s="59" t="s">
        <v>9687</v>
      </c>
      <c r="B308" s="12" t="str">
        <f ca="1">IFERROR(__xludf.DUMMYFUNCTION("""COMPUTED_VALUE"""),"Diamond Franco - 59378949 - Onlyfans")</f>
        <v>Diamond Franco - 59378949 - Onlyfans</v>
      </c>
      <c r="C308" s="60" t="str">
        <f ca="1">IFERROR(__xludf.DUMMYFUNCTION("""COMPUTED_VALUE"""),"https://thumbcdn.com/splash/whtj94rcpno09yoq.jpg")</f>
        <v>https://thumbcdn.com/splash/whtj94rcpno09yoq.jpg</v>
      </c>
      <c r="D308" s="12" t="s">
        <v>2616</v>
      </c>
      <c r="E308" s="57" t="str">
        <f ca="1">IFERROR(__xludf.DUMMYFUNCTION("""COMPUTED_VALUE"""),"OK")</f>
        <v>OK</v>
      </c>
      <c r="F308" s="46"/>
      <c r="G308" s="45" t="s">
        <v>9685</v>
      </c>
      <c r="H308" s="45" t="s">
        <v>9688</v>
      </c>
    </row>
    <row r="309" spans="1:8">
      <c r="A309" s="12"/>
      <c r="B309" s="12" t="str">
        <f ca="1">IFERROR(__xludf.DUMMYFUNCTION("""COMPUTED_VALUE"""),"Diamond Franco - 68883516 - MPF")</f>
        <v>Diamond Franco - 68883516 - MPF</v>
      </c>
      <c r="C309" s="60" t="str">
        <f ca="1">IFERROR(__xludf.DUMMYFUNCTION("""COMPUTED_VALUE"""),"https://thumbcdn.com/splash/pnfq3adozpm6eyt0.jpg")</f>
        <v>https://thumbcdn.com/splash/pnfq3adozpm6eyt0.jpg</v>
      </c>
      <c r="D309" s="16" t="s">
        <v>2621</v>
      </c>
      <c r="E309" s="57" t="str">
        <f ca="1">IFERROR(__xludf.DUMMYFUNCTION("""COMPUTED_VALUE"""),"OK")</f>
        <v>OK</v>
      </c>
      <c r="F309" s="46"/>
      <c r="G309" s="45" t="s">
        <v>9685</v>
      </c>
      <c r="H309" s="45" t="s">
        <v>9689</v>
      </c>
    </row>
    <row r="310" spans="1:8">
      <c r="A310" s="12" t="s">
        <v>9690</v>
      </c>
      <c r="B310" s="12" t="str">
        <f ca="1">IFERROR(__xludf.DUMMYFUNCTION("""COMPUTED_VALUE"""),"Diamond Franco - 75076645 - Onlyfans")</f>
        <v>Diamond Franco - 75076645 - Onlyfans</v>
      </c>
      <c r="C310" s="60" t="str">
        <f ca="1">IFERROR(__xludf.DUMMYFUNCTION("""COMPUTED_VALUE"""),"https://thumbcdn.com/splash/d9g4j51ct11k88ri.jpg")</f>
        <v>https://thumbcdn.com/splash/d9g4j51ct11k88ri.jpg</v>
      </c>
      <c r="D310" s="12" t="s">
        <v>2626</v>
      </c>
      <c r="E310" s="57" t="str">
        <f ca="1">IFERROR(__xludf.DUMMYFUNCTION("""COMPUTED_VALUE"""),"OK")</f>
        <v>OK</v>
      </c>
      <c r="F310" s="46"/>
      <c r="G310" s="45" t="s">
        <v>9685</v>
      </c>
      <c r="H310" s="45" t="s">
        <v>9691</v>
      </c>
    </row>
    <row r="311" spans="1:8">
      <c r="A311" s="59" t="s">
        <v>9692</v>
      </c>
      <c r="B311" s="12" t="str">
        <f ca="1">IFERROR(__xludf.DUMMYFUNCTION("""COMPUTED_VALUE"""),"Diamond Franco - 78123221 - Onlyfans - Lena the plug")</f>
        <v>Diamond Franco - 78123221 - Onlyfans - Lena the plug</v>
      </c>
      <c r="C311" s="60" t="str">
        <f ca="1">IFERROR(__xludf.DUMMYFUNCTION("""COMPUTED_VALUE"""),"https://thumbcdn.com/splash/cotu9vlo0g00c0qo.jpg")</f>
        <v>https://thumbcdn.com/splash/cotu9vlo0g00c0qo.jpg</v>
      </c>
      <c r="D311" s="12" t="s">
        <v>2631</v>
      </c>
      <c r="E311" s="57" t="str">
        <f ca="1">IFERROR(__xludf.DUMMYFUNCTION("""COMPUTED_VALUE"""),"OK")</f>
        <v>OK</v>
      </c>
      <c r="F311" s="46"/>
      <c r="G311" s="45" t="s">
        <v>9685</v>
      </c>
      <c r="H311" s="45" t="s">
        <v>9693</v>
      </c>
    </row>
    <row r="312" spans="1:8">
      <c r="A312" s="12"/>
      <c r="B312" s="12" t="str">
        <f ca="1">IFERROR(__xludf.DUMMYFUNCTION("""COMPUTED_VALUE"""),"Diamond Franco - 83210407 - Onlyfans")</f>
        <v>Diamond Franco - 83210407 - Onlyfans</v>
      </c>
      <c r="C312" s="60" t="str">
        <f ca="1">IFERROR(__xludf.DUMMYFUNCTION("""COMPUTED_VALUE"""),"https://thumbcdn.com/splash/9rcli8r1ja58mnq9.jpg")</f>
        <v>https://thumbcdn.com/splash/9rcli8r1ja58mnq9.jpg</v>
      </c>
      <c r="D312" s="12" t="s">
        <v>2636</v>
      </c>
      <c r="E312" s="57" t="str">
        <f ca="1">IFERROR(__xludf.DUMMYFUNCTION("""COMPUTED_VALUE"""),"OK")</f>
        <v>OK</v>
      </c>
      <c r="F312" s="46"/>
      <c r="G312" s="45" t="s">
        <v>9685</v>
      </c>
      <c r="H312" s="45" t="s">
        <v>9694</v>
      </c>
    </row>
    <row r="313" spans="1:8">
      <c r="A313" s="12" t="s">
        <v>9695</v>
      </c>
      <c r="B313" s="12" t="str">
        <f ca="1">IFERROR(__xludf.DUMMYFUNCTION("""COMPUTED_VALUE"""),"Elle Brooke - 20581581 - Onlyfans")</f>
        <v>Elle Brooke - 20581581 - Onlyfans</v>
      </c>
      <c r="C313" s="60" t="str">
        <f ca="1">IFERROR(__xludf.DUMMYFUNCTION("""COMPUTED_VALUE"""),"https://thumbcdn.com/splash/2v7c9ns9x5xvnymt.jpg")</f>
        <v>https://thumbcdn.com/splash/2v7c9ns9x5xvnymt.jpg</v>
      </c>
      <c r="D313" s="12" t="s">
        <v>2641</v>
      </c>
      <c r="E313" s="57" t="str">
        <f ca="1">IFERROR(__xludf.DUMMYFUNCTION("""COMPUTED_VALUE"""),"OK")</f>
        <v>OK</v>
      </c>
      <c r="F313" s="46"/>
      <c r="G313" s="45" t="s">
        <v>9685</v>
      </c>
      <c r="H313" s="45" t="s">
        <v>9696</v>
      </c>
    </row>
    <row r="314" spans="1:8">
      <c r="A314" s="59" t="s">
        <v>9697</v>
      </c>
      <c r="B314" s="12" t="str">
        <f ca="1">IFERROR(__xludf.DUMMYFUNCTION("""COMPUTED_VALUE"""),"Elle Brooke - 25581299 - Onlyfans")</f>
        <v>Elle Brooke - 25581299 - Onlyfans</v>
      </c>
      <c r="C314" s="60" t="str">
        <f ca="1">IFERROR(__xludf.DUMMYFUNCTION("""COMPUTED_VALUE"""),"https://thumbcdn.com/splash/5k6dk6bnu85vqzpb.jpg")</f>
        <v>https://thumbcdn.com/splash/5k6dk6bnu85vqzpb.jpg</v>
      </c>
      <c r="D314" s="12" t="s">
        <v>2645</v>
      </c>
      <c r="E314" s="57" t="str">
        <f ca="1">IFERROR(__xludf.DUMMYFUNCTION("""COMPUTED_VALUE"""),"OK")</f>
        <v>OK</v>
      </c>
      <c r="F314" s="46"/>
      <c r="G314" s="45" t="s">
        <v>9698</v>
      </c>
      <c r="H314" s="45" t="s">
        <v>9699</v>
      </c>
    </row>
    <row r="315" spans="1:8">
      <c r="A315" s="12"/>
      <c r="B315" s="12" t="str">
        <f ca="1">IFERROR(__xludf.DUMMYFUNCTION("""COMPUTED_VALUE"""),"Elle Brooke - 36398354 - Onlyfans")</f>
        <v>Elle Brooke - 36398354 - Onlyfans</v>
      </c>
      <c r="C315" s="60" t="str">
        <f ca="1">IFERROR(__xludf.DUMMYFUNCTION("""COMPUTED_VALUE"""),"https://thumbcdn.com/splash/6x1k9a93arplq5wt.jpg")</f>
        <v>https://thumbcdn.com/splash/6x1k9a93arplq5wt.jpg</v>
      </c>
      <c r="D315" s="12" t="s">
        <v>2657</v>
      </c>
      <c r="E315" s="57" t="str">
        <f ca="1">IFERROR(__xludf.DUMMYFUNCTION("""COMPUTED_VALUE"""),"OK")</f>
        <v>OK</v>
      </c>
      <c r="F315" s="46"/>
      <c r="G315" s="45" t="s">
        <v>9698</v>
      </c>
      <c r="H315" s="45" t="s">
        <v>9700</v>
      </c>
    </row>
    <row r="316" spans="1:8">
      <c r="A316" s="12" t="s">
        <v>9701</v>
      </c>
      <c r="B316" s="12" t="str">
        <f ca="1">IFERROR(__xludf.DUMMYFUNCTION("""COMPUTED_VALUE"""),"Elle Brooke - 44998593 - Onlyfans")</f>
        <v>Elle Brooke - 44998593 - Onlyfans</v>
      </c>
      <c r="C316" s="60" t="str">
        <f ca="1">IFERROR(__xludf.DUMMYFUNCTION("""COMPUTED_VALUE"""),"https://thumbcdn.com/splash/wum1y5wnfhhh6nz8.jpg")</f>
        <v>https://thumbcdn.com/splash/wum1y5wnfhhh6nz8.jpg</v>
      </c>
      <c r="D316" s="12" t="s">
        <v>2662</v>
      </c>
      <c r="E316" s="57" t="str">
        <f ca="1">IFERROR(__xludf.DUMMYFUNCTION("""COMPUTED_VALUE"""),"OK")</f>
        <v>OK</v>
      </c>
      <c r="F316" s="46"/>
      <c r="G316" s="45" t="s">
        <v>9698</v>
      </c>
      <c r="H316" s="45" t="s">
        <v>9702</v>
      </c>
    </row>
    <row r="317" spans="1:8">
      <c r="A317" s="59" t="s">
        <v>9703</v>
      </c>
      <c r="B317" s="12" t="str">
        <f ca="1">IFERROR(__xludf.DUMMYFUNCTION("""COMPUTED_VALUE"""),"Elle Brooke - 46761279 - Onlyfans")</f>
        <v>Elle Brooke - 46761279 - Onlyfans</v>
      </c>
      <c r="C317" s="60" t="str">
        <f ca="1">IFERROR(__xludf.DUMMYFUNCTION("""COMPUTED_VALUE"""),"https://thumbcdn.com/splash/3q1r5dqpglxbz51f.jpg")</f>
        <v>https://thumbcdn.com/splash/3q1r5dqpglxbz51f.jpg</v>
      </c>
      <c r="D317" s="6" t="s">
        <v>2674</v>
      </c>
      <c r="E317" s="63" t="str">
        <f ca="1">IFERROR(__xludf.DUMMYFUNCTION("""COMPUTED_VALUE"""),"OK")</f>
        <v>OK</v>
      </c>
      <c r="F317" s="46"/>
      <c r="G317" s="45" t="s">
        <v>9698</v>
      </c>
      <c r="H317" s="45" t="s">
        <v>9704</v>
      </c>
    </row>
    <row r="318" spans="1:8">
      <c r="A318" s="12"/>
      <c r="B318" s="12" t="str">
        <f ca="1">IFERROR(__xludf.DUMMYFUNCTION("""COMPUTED_VALUE"""),"Elle Brooke - 62205591 - Onlyfans")</f>
        <v>Elle Brooke - 62205591 - Onlyfans</v>
      </c>
      <c r="C318" s="60" t="str">
        <f ca="1">IFERROR(__xludf.DUMMYFUNCTION("""COMPUTED_VALUE"""),"https://thumbcdn.com/splash/621pd8zq9gu53za2.jpg")</f>
        <v>https://thumbcdn.com/splash/621pd8zq9gu53za2.jpg</v>
      </c>
      <c r="D318" s="12" t="s">
        <v>2680</v>
      </c>
      <c r="E318" s="57" t="str">
        <f ca="1">IFERROR(__xludf.DUMMYFUNCTION("""COMPUTED_VALUE"""),"OK")</f>
        <v>OK</v>
      </c>
      <c r="F318" s="46"/>
      <c r="G318" s="45" t="s">
        <v>9698</v>
      </c>
      <c r="H318" s="45" t="s">
        <v>9705</v>
      </c>
    </row>
    <row r="319" spans="1:8">
      <c r="A319" s="12" t="s">
        <v>9706</v>
      </c>
      <c r="B319" s="12" t="str">
        <f ca="1">IFERROR(__xludf.DUMMYFUNCTION("""COMPUTED_VALUE"""),"Ellie Nova - 76987710 - Onlyfans")</f>
        <v>Ellie Nova - 76987710 - Onlyfans</v>
      </c>
      <c r="C319" s="60" t="str">
        <f ca="1">IFERROR(__xludf.DUMMYFUNCTION("""COMPUTED_VALUE"""),"https://thumbcdn.com/splash/airkbtw9jpluxd5i.jpg")</f>
        <v>https://thumbcdn.com/splash/airkbtw9jpluxd5i.jpg</v>
      </c>
      <c r="D319" s="12" t="s">
        <v>2695</v>
      </c>
      <c r="E319" s="57" t="str">
        <f ca="1">IFERROR(__xludf.DUMMYFUNCTION("""COMPUTED_VALUE"""),"OK")</f>
        <v>OK</v>
      </c>
      <c r="F319" s="46"/>
      <c r="G319" s="45" t="s">
        <v>9698</v>
      </c>
      <c r="H319" s="45" t="s">
        <v>9707</v>
      </c>
    </row>
    <row r="320" spans="1:8">
      <c r="A320" s="59" t="s">
        <v>9708</v>
      </c>
      <c r="B320" s="12" t="str">
        <f ca="1">IFERROR(__xludf.DUMMYFUNCTION("""COMPUTED_VALUE"""),"Ellie Nova - 79574907 - NVG")</f>
        <v>Ellie Nova - 79574907 - NVG</v>
      </c>
      <c r="C320" s="60" t="str">
        <f ca="1">IFERROR(__xludf.DUMMYFUNCTION("""COMPUTED_VALUE"""),"https://thumbcdn.com/splash/g93slaem6vuqyk69.jpg")</f>
        <v>https://thumbcdn.com/splash/g93slaem6vuqyk69.jpg</v>
      </c>
      <c r="D320" s="12" t="s">
        <v>2700</v>
      </c>
      <c r="E320" s="57" t="str">
        <f ca="1">IFERROR(__xludf.DUMMYFUNCTION("""COMPUTED_VALUE"""),"OK")</f>
        <v>OK</v>
      </c>
      <c r="F320" s="46"/>
      <c r="G320" s="45" t="s">
        <v>9709</v>
      </c>
      <c r="H320" s="45" t="s">
        <v>9710</v>
      </c>
    </row>
    <row r="321" spans="1:8">
      <c r="A321" s="12"/>
      <c r="B321" s="12" t="str">
        <f ca="1">IFERROR(__xludf.DUMMYFUNCTION("""COMPUTED_VALUE"""),"Elly Clutch - 19357564 - Onlyfans")</f>
        <v>Elly Clutch - 19357564 - Onlyfans</v>
      </c>
      <c r="C321" s="60" t="str">
        <f ca="1">IFERROR(__xludf.DUMMYFUNCTION("""COMPUTED_VALUE"""),"https://thumbcdn.com/splash/buywer62y1j9lm9m.jpg")</f>
        <v>https://thumbcdn.com/splash/buywer62y1j9lm9m.jpg</v>
      </c>
      <c r="D321" s="6" t="s">
        <v>2733</v>
      </c>
      <c r="E321" s="63" t="str">
        <f ca="1">IFERROR(__xludf.DUMMYFUNCTION("""COMPUTED_VALUE"""),"OK")</f>
        <v>OK</v>
      </c>
      <c r="F321" s="46"/>
      <c r="G321" s="45" t="s">
        <v>9709</v>
      </c>
      <c r="H321" s="45" t="s">
        <v>9711</v>
      </c>
    </row>
    <row r="322" spans="1:8">
      <c r="A322" s="12" t="s">
        <v>9712</v>
      </c>
      <c r="B322" s="12" t="str">
        <f ca="1">IFERROR(__xludf.DUMMYFUNCTION("""COMPUTED_VALUE"""),"Elly Clutch - 23267349 - Onlyfans")</f>
        <v>Elly Clutch - 23267349 - Onlyfans</v>
      </c>
      <c r="C322" s="60" t="str">
        <f ca="1">IFERROR(__xludf.DUMMYFUNCTION("""COMPUTED_VALUE"""),"https://thumbcdn.com/splash/4baxn8ri1z0q1iuf.jpg")</f>
        <v>https://thumbcdn.com/splash/4baxn8ri1z0q1iuf.jpg</v>
      </c>
      <c r="D322" s="6" t="s">
        <v>2738</v>
      </c>
      <c r="E322" s="63" t="str">
        <f ca="1">IFERROR(__xludf.DUMMYFUNCTION("""COMPUTED_VALUE"""),"OK")</f>
        <v>OK</v>
      </c>
      <c r="F322" s="46"/>
      <c r="G322" s="45" t="s">
        <v>9713</v>
      </c>
      <c r="H322" s="45" t="s">
        <v>9714</v>
      </c>
    </row>
    <row r="323" spans="1:8">
      <c r="A323" s="59" t="s">
        <v>9715</v>
      </c>
      <c r="B323" s="12" t="str">
        <f ca="1">IFERROR(__xludf.DUMMYFUNCTION("""COMPUTED_VALUE"""),"Elly Clutch - 26678756 - Onlyfans")</f>
        <v>Elly Clutch - 26678756 - Onlyfans</v>
      </c>
      <c r="C323" s="60" t="str">
        <f ca="1">IFERROR(__xludf.DUMMYFUNCTION("""COMPUTED_VALUE"""),"https://thumbcdn.com/splash/bw1fa59o8r7q2kjt.jpg")</f>
        <v>https://thumbcdn.com/splash/bw1fa59o8r7q2kjt.jpg</v>
      </c>
      <c r="D323" s="6" t="s">
        <v>2744</v>
      </c>
      <c r="E323" s="63" t="str">
        <f ca="1">IFERROR(__xludf.DUMMYFUNCTION("""COMPUTED_VALUE"""),"OK")</f>
        <v>OK</v>
      </c>
      <c r="F323" s="46"/>
      <c r="G323" s="45" t="s">
        <v>9713</v>
      </c>
      <c r="H323" s="45" t="s">
        <v>9716</v>
      </c>
    </row>
    <row r="324" spans="1:8">
      <c r="A324" s="12"/>
      <c r="B324" s="12" t="str">
        <f ca="1">IFERROR(__xludf.DUMMYFUNCTION("""COMPUTED_VALUE"""),"Elly Clutch - 27341499 - Onlyfans")</f>
        <v>Elly Clutch - 27341499 - Onlyfans</v>
      </c>
      <c r="C324" s="60" t="str">
        <f ca="1">IFERROR(__xludf.DUMMYFUNCTION("""COMPUTED_VALUE"""),"https://thumbcdn.com/splash/sjte2iu1uhwlgyoi.jpg")</f>
        <v>https://thumbcdn.com/splash/sjte2iu1uhwlgyoi.jpg</v>
      </c>
      <c r="D324" s="12" t="s">
        <v>2749</v>
      </c>
      <c r="E324" s="57" t="str">
        <f ca="1">IFERROR(__xludf.DUMMYFUNCTION("""COMPUTED_VALUE"""),"OK")</f>
        <v>OK</v>
      </c>
      <c r="F324" s="46"/>
      <c r="G324" s="45" t="s">
        <v>9713</v>
      </c>
      <c r="H324" s="45" t="s">
        <v>9717</v>
      </c>
    </row>
    <row r="325" spans="1:8">
      <c r="A325" s="12" t="s">
        <v>9718</v>
      </c>
      <c r="B325" s="12" t="str">
        <f ca="1">IFERROR(__xludf.DUMMYFUNCTION("""COMPUTED_VALUE"""),"Elly Clutch - 28159340 - Onlyfans")</f>
        <v>Elly Clutch - 28159340 - Onlyfans</v>
      </c>
      <c r="C325" s="60" t="str">
        <f ca="1">IFERROR(__xludf.DUMMYFUNCTION("""COMPUTED_VALUE"""),"https://thumbcdn.com/splash/ecxlhch7418oz5iu.jpg")</f>
        <v>https://thumbcdn.com/splash/ecxlhch7418oz5iu.jpg</v>
      </c>
      <c r="D325" s="12" t="s">
        <v>2754</v>
      </c>
      <c r="E325" s="57" t="str">
        <f ca="1">IFERROR(__xludf.DUMMYFUNCTION("""COMPUTED_VALUE"""),"OK")</f>
        <v>OK</v>
      </c>
      <c r="F325" s="46"/>
      <c r="G325" s="45" t="s">
        <v>9713</v>
      </c>
      <c r="H325" s="45" t="s">
        <v>9719</v>
      </c>
    </row>
    <row r="326" spans="1:8">
      <c r="A326" s="59" t="s">
        <v>9720</v>
      </c>
      <c r="B326" s="12" t="str">
        <f ca="1">IFERROR(__xludf.DUMMYFUNCTION("""COMPUTED_VALUE"""),"Elly Clutch - 32867880 - LucidFlix")</f>
        <v>Elly Clutch - 32867880 - LucidFlix</v>
      </c>
      <c r="C326" s="60" t="str">
        <f ca="1">IFERROR(__xludf.DUMMYFUNCTION("""COMPUTED_VALUE"""),"https://thumbcdn.com/splash/ic4x6epg8xrwqohx.jpg")</f>
        <v>https://thumbcdn.com/splash/ic4x6epg8xrwqohx.jpg</v>
      </c>
      <c r="D326" s="12" t="s">
        <v>2759</v>
      </c>
      <c r="E326" s="57" t="str">
        <f ca="1">IFERROR(__xludf.DUMMYFUNCTION("""COMPUTED_VALUE"""),"OK")</f>
        <v>OK</v>
      </c>
      <c r="F326" s="46"/>
      <c r="G326" s="45" t="s">
        <v>9713</v>
      </c>
      <c r="H326" s="45" t="s">
        <v>9721</v>
      </c>
    </row>
    <row r="327" spans="1:8">
      <c r="A327" s="12"/>
      <c r="B327" s="12" t="str">
        <f ca="1">IFERROR(__xludf.DUMMYFUNCTION("""COMPUTED_VALUE"""),"Elly Clutch - 39927204 - Onlyfans")</f>
        <v>Elly Clutch - 39927204 - Onlyfans</v>
      </c>
      <c r="C327" s="60" t="str">
        <f ca="1">IFERROR(__xludf.DUMMYFUNCTION("""COMPUTED_VALUE"""),"https://thumbcdn.com/splash/2k00ma092zq122bh.jpg")</f>
        <v>https://thumbcdn.com/splash/2k00ma092zq122bh.jpg</v>
      </c>
      <c r="D327" s="12" t="s">
        <v>2764</v>
      </c>
      <c r="E327" s="57" t="str">
        <f ca="1">IFERROR(__xludf.DUMMYFUNCTION("""COMPUTED_VALUE"""),"OK")</f>
        <v>OK</v>
      </c>
      <c r="F327" s="46"/>
      <c r="G327" s="45" t="s">
        <v>9713</v>
      </c>
      <c r="H327" s="45" t="s">
        <v>9722</v>
      </c>
    </row>
    <row r="328" spans="1:8">
      <c r="A328" s="12" t="s">
        <v>9723</v>
      </c>
      <c r="B328" s="12" t="str">
        <f ca="1">IFERROR(__xludf.DUMMYFUNCTION("""COMPUTED_VALUE"""),"Elly Clutch - 45573246 - Onlyfans - Susie Stellar")</f>
        <v>Elly Clutch - 45573246 - Onlyfans - Susie Stellar</v>
      </c>
      <c r="C328" s="60" t="str">
        <f ca="1">IFERROR(__xludf.DUMMYFUNCTION("""COMPUTED_VALUE"""),"https://thumbcdn.com/splash/2b4t16qxkqwa6ewj.jpg")</f>
        <v>https://thumbcdn.com/splash/2b4t16qxkqwa6ewj.jpg</v>
      </c>
      <c r="D328" s="16" t="s">
        <v>2775</v>
      </c>
      <c r="E328" s="57" t="str">
        <f ca="1">IFERROR(__xludf.DUMMYFUNCTION("""COMPUTED_VALUE"""),"OK")</f>
        <v>OK</v>
      </c>
      <c r="F328" s="46"/>
      <c r="G328" s="45" t="s">
        <v>9713</v>
      </c>
      <c r="H328" s="45" t="s">
        <v>9724</v>
      </c>
    </row>
    <row r="329" spans="1:8">
      <c r="A329" s="59" t="s">
        <v>9725</v>
      </c>
      <c r="B329" s="12" t="str">
        <f ca="1">IFERROR(__xludf.DUMMYFUNCTION("""COMPUTED_VALUE"""),"Elly Clutch - 47418489 - DrDaddyPOV")</f>
        <v>Elly Clutch - 47418489 - DrDaddyPOV</v>
      </c>
      <c r="C329" s="60" t="str">
        <f ca="1">IFERROR(__xludf.DUMMYFUNCTION("""COMPUTED_VALUE"""),"https://thumbcdn.com/splash/m79c2e5wxeg7bxdu.jpg")</f>
        <v>https://thumbcdn.com/splash/m79c2e5wxeg7bxdu.jpg</v>
      </c>
      <c r="D329" s="12" t="s">
        <v>2780</v>
      </c>
      <c r="E329" s="57" t="str">
        <f ca="1">IFERROR(__xludf.DUMMYFUNCTION("""COMPUTED_VALUE"""),"OK")</f>
        <v>OK</v>
      </c>
      <c r="F329" s="46"/>
      <c r="G329" s="45" t="s">
        <v>9713</v>
      </c>
      <c r="H329" s="45" t="s">
        <v>9726</v>
      </c>
    </row>
    <row r="330" spans="1:8">
      <c r="A330" s="12"/>
      <c r="B330" s="12" t="str">
        <f ca="1">IFERROR(__xludf.DUMMYFUNCTION("""COMPUTED_VALUE"""),"Elly Clutch - 50931142 - Onlyfans")</f>
        <v>Elly Clutch - 50931142 - Onlyfans</v>
      </c>
      <c r="C330" s="60" t="str">
        <f ca="1">IFERROR(__xludf.DUMMYFUNCTION("""COMPUTED_VALUE"""),"https://thumbcdn.com/splash/rjf5plw3vk2ih992.jpg")</f>
        <v>https://thumbcdn.com/splash/rjf5plw3vk2ih992.jpg</v>
      </c>
      <c r="D330" s="6" t="s">
        <v>2785</v>
      </c>
      <c r="E330" s="63" t="str">
        <f ca="1">IFERROR(__xludf.DUMMYFUNCTION("""COMPUTED_VALUE"""),"OK")</f>
        <v>OK</v>
      </c>
      <c r="F330" s="46"/>
      <c r="G330" s="45" t="s">
        <v>9713</v>
      </c>
      <c r="H330" s="45" t="s">
        <v>9727</v>
      </c>
    </row>
    <row r="331" spans="1:8">
      <c r="A331" s="12" t="s">
        <v>9728</v>
      </c>
      <c r="B331" s="12" t="str">
        <f ca="1">IFERROR(__xludf.DUMMYFUNCTION("""COMPUTED_VALUE"""),"Elly Clutch - 51331959 - XVRED - Jewelz Blu")</f>
        <v>Elly Clutch - 51331959 - XVRED - Jewelz Blu</v>
      </c>
      <c r="C331" s="60" t="str">
        <f ca="1">IFERROR(__xludf.DUMMYFUNCTION("""COMPUTED_VALUE"""),"https://thumbcdn.com/splash/4quf4esw2b32w9z8.jpg")</f>
        <v>https://thumbcdn.com/splash/4quf4esw2b32w9z8.jpg</v>
      </c>
      <c r="D331" s="12" t="s">
        <v>2797</v>
      </c>
      <c r="E331" s="57" t="str">
        <f ca="1">IFERROR(__xludf.DUMMYFUNCTION("""COMPUTED_VALUE"""),"OK")</f>
        <v>OK</v>
      </c>
      <c r="F331" s="46"/>
      <c r="G331" s="45" t="s">
        <v>9713</v>
      </c>
      <c r="H331" s="45" t="s">
        <v>9729</v>
      </c>
    </row>
    <row r="332" spans="1:8">
      <c r="A332" s="59" t="s">
        <v>9730</v>
      </c>
      <c r="B332" s="12" t="str">
        <f ca="1">IFERROR(__xludf.DUMMYFUNCTION("""COMPUTED_VALUE"""),"Elly Clutch - 52743631 - Onlyfans - Chloe Foxxe")</f>
        <v>Elly Clutch - 52743631 - Onlyfans - Chloe Foxxe</v>
      </c>
      <c r="C332" s="60" t="str">
        <f ca="1">IFERROR(__xludf.DUMMYFUNCTION("""COMPUTED_VALUE"""),"https://thumbcdn.com/splash/d69t1ppp3hau2fvf.jpg")</f>
        <v>https://thumbcdn.com/splash/d69t1ppp3hau2fvf.jpg</v>
      </c>
      <c r="D332" s="12" t="s">
        <v>2802</v>
      </c>
      <c r="E332" s="57" t="str">
        <f ca="1">IFERROR(__xludf.DUMMYFUNCTION("""COMPUTED_VALUE"""),"OK")</f>
        <v>OK</v>
      </c>
      <c r="F332" s="46"/>
      <c r="G332" s="45" t="s">
        <v>9713</v>
      </c>
      <c r="H332" s="45" t="s">
        <v>9731</v>
      </c>
    </row>
    <row r="333" spans="1:8">
      <c r="A333" s="12"/>
      <c r="B333" s="12" t="str">
        <f ca="1">IFERROR(__xludf.DUMMYFUNCTION("""COMPUTED_VALUE"""),"Elly Clutch - 56314419 - Onlyfans")</f>
        <v>Elly Clutch - 56314419 - Onlyfans</v>
      </c>
      <c r="C333" s="60" t="str">
        <f ca="1">IFERROR(__xludf.DUMMYFUNCTION("""COMPUTED_VALUE"""),"https://thumbcdn.com/splash/tstfiqrw52kwp4bs.jpg")</f>
        <v>https://thumbcdn.com/splash/tstfiqrw52kwp4bs.jpg</v>
      </c>
      <c r="D333" s="12" t="s">
        <v>2807</v>
      </c>
      <c r="E333" s="57" t="str">
        <f ca="1">IFERROR(__xludf.DUMMYFUNCTION("""COMPUTED_VALUE"""),"OK")</f>
        <v>OK</v>
      </c>
      <c r="F333" s="46"/>
      <c r="G333" s="45" t="s">
        <v>9713</v>
      </c>
      <c r="H333" s="45" t="s">
        <v>9732</v>
      </c>
    </row>
    <row r="334" spans="1:8">
      <c r="A334" s="12" t="s">
        <v>9733</v>
      </c>
      <c r="B334" s="12" t="str">
        <f ca="1">IFERROR(__xludf.DUMMYFUNCTION("""COMPUTED_VALUE"""),"Elly Clutch - 56939748 - Onlyfans")</f>
        <v>Elly Clutch - 56939748 - Onlyfans</v>
      </c>
      <c r="C334" s="60" t="str">
        <f ca="1">IFERROR(__xludf.DUMMYFUNCTION("""COMPUTED_VALUE"""),"https://thumbcdn.com/splash/ie0zflxplln1v4yv.jpg")</f>
        <v>https://thumbcdn.com/splash/ie0zflxplln1v4yv.jpg</v>
      </c>
      <c r="D334" s="12" t="s">
        <v>2812</v>
      </c>
      <c r="E334" s="57" t="str">
        <f ca="1">IFERROR(__xludf.DUMMYFUNCTION("""COMPUTED_VALUE"""),"OK")</f>
        <v>OK</v>
      </c>
      <c r="F334" s="46"/>
      <c r="G334" s="45" t="s">
        <v>9713</v>
      </c>
      <c r="H334" s="45" t="s">
        <v>9734</v>
      </c>
    </row>
    <row r="335" spans="1:8">
      <c r="A335" s="59" t="s">
        <v>9735</v>
      </c>
      <c r="B335" s="12" t="str">
        <f ca="1">IFERROR(__xludf.DUMMYFUNCTION("""COMPUTED_VALUE"""),"Elly Clutch - 60792517 - Onlyfans - Sky Wonderland")</f>
        <v>Elly Clutch - 60792517 - Onlyfans - Sky Wonderland</v>
      </c>
      <c r="C335" s="60" t="str">
        <f ca="1">IFERROR(__xludf.DUMMYFUNCTION("""COMPUTED_VALUE"""),"https://thumbcdn.com/splash/9eev365xoaecbpll.jpg")</f>
        <v>https://thumbcdn.com/splash/9eev365xoaecbpll.jpg</v>
      </c>
      <c r="D335" s="16" t="s">
        <v>2816</v>
      </c>
      <c r="E335" s="57" t="str">
        <f ca="1">IFERROR(__xludf.DUMMYFUNCTION("""COMPUTED_VALUE"""),"OK")</f>
        <v>OK</v>
      </c>
      <c r="F335" s="46"/>
      <c r="G335" s="45" t="s">
        <v>9713</v>
      </c>
      <c r="H335" s="45" t="s">
        <v>9736</v>
      </c>
    </row>
    <row r="336" spans="1:8">
      <c r="A336" s="12"/>
      <c r="B336" s="12" t="str">
        <f ca="1">IFERROR(__xludf.DUMMYFUNCTION("""COMPUTED_VALUE"""),"Elly Clutch - 63179344 - Onlyfans")</f>
        <v>Elly Clutch - 63179344 - Onlyfans</v>
      </c>
      <c r="C336" s="60" t="str">
        <f ca="1">IFERROR(__xludf.DUMMYFUNCTION("""COMPUTED_VALUE"""),"https://thumbcdn.com/splash/inohs75piu4zj1e9.jpg")</f>
        <v>https://thumbcdn.com/splash/inohs75piu4zj1e9.jpg</v>
      </c>
      <c r="D336" s="12" t="s">
        <v>2821</v>
      </c>
      <c r="E336" s="57" t="str">
        <f ca="1">IFERROR(__xludf.DUMMYFUNCTION("""COMPUTED_VALUE"""),"OK")</f>
        <v>OK</v>
      </c>
      <c r="F336" s="46"/>
      <c r="G336" s="45" t="s">
        <v>9713</v>
      </c>
      <c r="H336" s="45" t="s">
        <v>9737</v>
      </c>
    </row>
    <row r="337" spans="1:8">
      <c r="A337" s="12" t="s">
        <v>9738</v>
      </c>
      <c r="B337" s="12" t="str">
        <f ca="1">IFERROR(__xludf.DUMMYFUNCTION("""COMPUTED_VALUE"""),"Elly Clutch - 67600788 - Onlyfans")</f>
        <v>Elly Clutch - 67600788 - Onlyfans</v>
      </c>
      <c r="C337" s="60" t="str">
        <f ca="1">IFERROR(__xludf.DUMMYFUNCTION("""COMPUTED_VALUE"""),"https://thumbcdn.com/splash/ruxh4hhzqtsv1j05.jpg")</f>
        <v>https://thumbcdn.com/splash/ruxh4hhzqtsv1j05.jpg</v>
      </c>
      <c r="D337" s="6" t="s">
        <v>2831</v>
      </c>
      <c r="E337" s="63" t="str">
        <f ca="1">IFERROR(__xludf.DUMMYFUNCTION("""COMPUTED_VALUE"""),"OK")</f>
        <v>OK</v>
      </c>
      <c r="F337" s="46"/>
      <c r="G337" s="45" t="s">
        <v>9713</v>
      </c>
      <c r="H337" s="45" t="s">
        <v>9739</v>
      </c>
    </row>
    <row r="338" spans="1:8">
      <c r="A338" s="59" t="s">
        <v>9740</v>
      </c>
      <c r="B338" s="12" t="str">
        <f ca="1">IFERROR(__xludf.DUMMYFUNCTION("""COMPUTED_VALUE"""),"Elly Clutch - 71915196 - Onlyfans - Hannah Jo")</f>
        <v>Elly Clutch - 71915196 - Onlyfans - Hannah Jo</v>
      </c>
      <c r="C338" s="60" t="str">
        <f ca="1">IFERROR(__xludf.DUMMYFUNCTION("""COMPUTED_VALUE"""),"https://thumbcdn.com/splash/604fjxy44zwlpxiq.jpg")</f>
        <v>https://thumbcdn.com/splash/604fjxy44zwlpxiq.jpg</v>
      </c>
      <c r="D338" s="16" t="s">
        <v>2842</v>
      </c>
      <c r="E338" s="57" t="str">
        <f ca="1">IFERROR(__xludf.DUMMYFUNCTION("""COMPUTED_VALUE"""),"OK")</f>
        <v>OK</v>
      </c>
      <c r="F338" s="46"/>
      <c r="G338" s="45" t="s">
        <v>9713</v>
      </c>
      <c r="H338" s="45" t="s">
        <v>9741</v>
      </c>
    </row>
    <row r="339" spans="1:8">
      <c r="A339" s="12"/>
      <c r="B339" s="12" t="str">
        <f ca="1">IFERROR(__xludf.DUMMYFUNCTION("""COMPUTED_VALUE"""),"Elly Clutch - 79397769 - Onlyfans")</f>
        <v>Elly Clutch - 79397769 - Onlyfans</v>
      </c>
      <c r="C339" s="60" t="str">
        <f ca="1">IFERROR(__xludf.DUMMYFUNCTION("""COMPUTED_VALUE"""),"https://thumbcdn.com/splash/zp02jh1flpsq549f.jpg")</f>
        <v>https://thumbcdn.com/splash/zp02jh1flpsq549f.jpg</v>
      </c>
      <c r="D339" s="6" t="s">
        <v>2847</v>
      </c>
      <c r="E339" s="63" t="str">
        <f ca="1">IFERROR(__xludf.DUMMYFUNCTION("""COMPUTED_VALUE"""),"OK")</f>
        <v>OK</v>
      </c>
      <c r="F339" s="46"/>
      <c r="G339" s="45" t="s">
        <v>9713</v>
      </c>
      <c r="H339" s="45" t="s">
        <v>9742</v>
      </c>
    </row>
    <row r="340" spans="1:8">
      <c r="A340" s="12" t="s">
        <v>9743</v>
      </c>
      <c r="B340" s="12" t="str">
        <f ca="1">IFERROR(__xludf.DUMMYFUNCTION("""COMPUTED_VALUE"""),"Emily Walters - 16857122 - Onlyfans")</f>
        <v>Emily Walters - 16857122 - Onlyfans</v>
      </c>
      <c r="C340" s="60" t="str">
        <f ca="1">IFERROR(__xludf.DUMMYFUNCTION("""COMPUTED_VALUE"""),"https://thumbcdn.com/splash/gupfu4iskqewws11.jpg")</f>
        <v>https://thumbcdn.com/splash/gupfu4iskqewws11.jpg</v>
      </c>
      <c r="D340" s="6" t="s">
        <v>2865</v>
      </c>
      <c r="E340" s="63" t="str">
        <f ca="1">IFERROR(__xludf.DUMMYFUNCTION("""COMPUTED_VALUE"""),"OK")</f>
        <v>OK</v>
      </c>
      <c r="F340" s="46"/>
      <c r="G340" s="45" t="s">
        <v>9713</v>
      </c>
      <c r="H340" s="45" t="s">
        <v>9744</v>
      </c>
    </row>
    <row r="341" spans="1:8">
      <c r="A341" s="59" t="s">
        <v>9745</v>
      </c>
      <c r="B341" s="12" t="str">
        <f ca="1">IFERROR(__xludf.DUMMYFUNCTION("""COMPUTED_VALUE"""),"Emily Walters - 17222726 - Onlyfans")</f>
        <v>Emily Walters - 17222726 - Onlyfans</v>
      </c>
      <c r="C341" s="60" t="str">
        <f ca="1">IFERROR(__xludf.DUMMYFUNCTION("""COMPUTED_VALUE"""),"https://thumbcdn.com/splash/h7o834i5h4lkdufv.jpg")</f>
        <v>https://thumbcdn.com/splash/h7o834i5h4lkdufv.jpg</v>
      </c>
      <c r="D341" s="12" t="s">
        <v>2871</v>
      </c>
      <c r="E341" s="57" t="str">
        <f ca="1">IFERROR(__xludf.DUMMYFUNCTION("""COMPUTED_VALUE"""),"OK")</f>
        <v>OK</v>
      </c>
      <c r="F341" s="46"/>
      <c r="G341" s="45" t="s">
        <v>9746</v>
      </c>
      <c r="H341" s="45" t="s">
        <v>9747</v>
      </c>
    </row>
    <row r="342" spans="1:8">
      <c r="A342" s="12"/>
      <c r="B342" s="12" t="str">
        <f ca="1">IFERROR(__xludf.DUMMYFUNCTION("""COMPUTED_VALUE"""),"Emily Walters - 19561148 - Onlyfans")</f>
        <v>Emily Walters - 19561148 - Onlyfans</v>
      </c>
      <c r="C342" s="60" t="str">
        <f ca="1">IFERROR(__xludf.DUMMYFUNCTION("""COMPUTED_VALUE"""),"https://thumbcdn.com/splash/1n2yd0g35pto2osw.jpg")</f>
        <v>https://thumbcdn.com/splash/1n2yd0g35pto2osw.jpg</v>
      </c>
      <c r="D342" s="12" t="s">
        <v>2876</v>
      </c>
      <c r="E342" s="57" t="str">
        <f ca="1">IFERROR(__xludf.DUMMYFUNCTION("""COMPUTED_VALUE"""),"OK")</f>
        <v>OK</v>
      </c>
      <c r="F342" s="46"/>
      <c r="G342" s="45" t="s">
        <v>9746</v>
      </c>
      <c r="H342" s="45" t="s">
        <v>9748</v>
      </c>
    </row>
    <row r="343" spans="1:8">
      <c r="A343" s="12" t="s">
        <v>9749</v>
      </c>
      <c r="B343" s="12" t="str">
        <f ca="1">IFERROR(__xludf.DUMMYFUNCTION("""COMPUTED_VALUE"""),"Emily Walters - 26307279 - Onlyfans")</f>
        <v>Emily Walters - 26307279 - Onlyfans</v>
      </c>
      <c r="C343" s="60" t="str">
        <f ca="1">IFERROR(__xludf.DUMMYFUNCTION("""COMPUTED_VALUE"""),"https://thumbcdn.com/splash/5626ly3h2gky46kz.jpg")</f>
        <v>https://thumbcdn.com/splash/5626ly3h2gky46kz.jpg</v>
      </c>
      <c r="D343" s="12" t="s">
        <v>2882</v>
      </c>
      <c r="E343" s="57" t="str">
        <f ca="1">IFERROR(__xludf.DUMMYFUNCTION("""COMPUTED_VALUE"""),"OK")</f>
        <v>OK</v>
      </c>
      <c r="F343" s="46"/>
      <c r="G343" s="45" t="s">
        <v>9746</v>
      </c>
      <c r="H343" s="45" t="s">
        <v>9750</v>
      </c>
    </row>
    <row r="344" spans="1:8">
      <c r="A344" s="59" t="s">
        <v>9751</v>
      </c>
      <c r="B344" s="12" t="str">
        <f ca="1">IFERROR(__xludf.DUMMYFUNCTION("""COMPUTED_VALUE"""),"Emily Walters - 54972070 - Onlyfans")</f>
        <v>Emily Walters - 54972070 - Onlyfans</v>
      </c>
      <c r="C344" s="60" t="str">
        <f ca="1">IFERROR(__xludf.DUMMYFUNCTION("""COMPUTED_VALUE"""),"https://thumbcdn.com/splash/jo4fkr8zxxdwo7bq.jpg")</f>
        <v>https://thumbcdn.com/splash/jo4fkr8zxxdwo7bq.jpg</v>
      </c>
      <c r="D344" s="12" t="s">
        <v>2887</v>
      </c>
      <c r="E344" s="57" t="str">
        <f ca="1">IFERROR(__xludf.DUMMYFUNCTION("""COMPUTED_VALUE"""),"OK")</f>
        <v>OK</v>
      </c>
      <c r="F344" s="46"/>
      <c r="G344" s="45" t="s">
        <v>9746</v>
      </c>
      <c r="H344" s="45" t="s">
        <v>9752</v>
      </c>
    </row>
    <row r="345" spans="1:8">
      <c r="A345" s="12"/>
      <c r="B345" s="12" t="str">
        <f ca="1">IFERROR(__xludf.DUMMYFUNCTION("""COMPUTED_VALUE"""),"Emily Walters - 57438156 - Onlyfans")</f>
        <v>Emily Walters - 57438156 - Onlyfans</v>
      </c>
      <c r="C345" s="60" t="str">
        <f ca="1">IFERROR(__xludf.DUMMYFUNCTION("""COMPUTED_VALUE"""),"https://thumbcdn.com/splash/6ccf5xh8j6kwn8ij.jpg")</f>
        <v>https://thumbcdn.com/splash/6ccf5xh8j6kwn8ij.jpg</v>
      </c>
      <c r="D345" s="12" t="s">
        <v>2892</v>
      </c>
      <c r="E345" s="57" t="str">
        <f ca="1">IFERROR(__xludf.DUMMYFUNCTION("""COMPUTED_VALUE"""),"OK")</f>
        <v>OK</v>
      </c>
      <c r="F345" s="46"/>
      <c r="G345" s="45" t="s">
        <v>9746</v>
      </c>
      <c r="H345" s="45" t="s">
        <v>9753</v>
      </c>
    </row>
    <row r="346" spans="1:8">
      <c r="A346" s="12" t="s">
        <v>9754</v>
      </c>
      <c r="B346" s="12" t="str">
        <f ca="1">IFERROR(__xludf.DUMMYFUNCTION("""COMPUTED_VALUE"""),"Emily Walters - 57597598 - Onlyfans - Hotwife Alice")</f>
        <v>Emily Walters - 57597598 - Onlyfans - Hotwife Alice</v>
      </c>
      <c r="C346" s="60" t="str">
        <f ca="1">IFERROR(__xludf.DUMMYFUNCTION("""COMPUTED_VALUE"""),"https://thumbcdn.com/splash/pkg1ko9l3sob4b91.jpg")</f>
        <v>https://thumbcdn.com/splash/pkg1ko9l3sob4b91.jpg</v>
      </c>
      <c r="D346" s="12" t="s">
        <v>2897</v>
      </c>
      <c r="E346" s="57" t="str">
        <f ca="1">IFERROR(__xludf.DUMMYFUNCTION("""COMPUTED_VALUE"""),"OK")</f>
        <v>OK</v>
      </c>
      <c r="F346" s="46"/>
      <c r="G346" s="45" t="s">
        <v>9746</v>
      </c>
      <c r="H346" s="45" t="s">
        <v>9755</v>
      </c>
    </row>
    <row r="347" spans="1:8">
      <c r="A347" s="59" t="s">
        <v>9756</v>
      </c>
      <c r="B347" s="12" t="str">
        <f ca="1">IFERROR(__xludf.DUMMYFUNCTION("""COMPUTED_VALUE"""),"Emily Walters - 62534135 - Onlyfans")</f>
        <v>Emily Walters - 62534135 - Onlyfans</v>
      </c>
      <c r="C347" s="60" t="str">
        <f ca="1">IFERROR(__xludf.DUMMYFUNCTION("""COMPUTED_VALUE"""),"https://thumbcdn.com/splash/iorubhqpb5futotc.jpg")</f>
        <v>https://thumbcdn.com/splash/iorubhqpb5futotc.jpg</v>
      </c>
      <c r="D347" s="12" t="s">
        <v>2901</v>
      </c>
      <c r="E347" s="57" t="str">
        <f ca="1">IFERROR(__xludf.DUMMYFUNCTION("""COMPUTED_VALUE"""),"OK")</f>
        <v>OK</v>
      </c>
      <c r="F347" s="46"/>
      <c r="G347" s="45" t="s">
        <v>9746</v>
      </c>
      <c r="H347" s="45" t="s">
        <v>9757</v>
      </c>
    </row>
    <row r="348" spans="1:8">
      <c r="A348" s="12"/>
      <c r="B348" s="12" t="str">
        <f ca="1">IFERROR(__xludf.DUMMYFUNCTION("""COMPUTED_VALUE"""),"Emily Walters - 92239134 - Onlyfans")</f>
        <v>Emily Walters - 92239134 - Onlyfans</v>
      </c>
      <c r="C348" s="60" t="str">
        <f ca="1">IFERROR(__xludf.DUMMYFUNCTION("""COMPUTED_VALUE"""),"https://thumbcdn.com/splash/amrdbd74meco8hdp.jpg")</f>
        <v>https://thumbcdn.com/splash/amrdbd74meco8hdp.jpg</v>
      </c>
      <c r="D348" s="6" t="s">
        <v>2906</v>
      </c>
      <c r="E348" s="63" t="str">
        <f ca="1">IFERROR(__xludf.DUMMYFUNCTION("""COMPUTED_VALUE"""),"OK")</f>
        <v>OK</v>
      </c>
      <c r="F348" s="46"/>
      <c r="G348" s="45" t="s">
        <v>9746</v>
      </c>
      <c r="H348" s="45" t="s">
        <v>9758</v>
      </c>
    </row>
    <row r="349" spans="1:8">
      <c r="A349" s="12" t="s">
        <v>9759</v>
      </c>
      <c r="B349" s="12" t="str">
        <f ca="1">IFERROR(__xludf.DUMMYFUNCTION("""COMPUTED_VALUE"""),"Emily Walters - 93399680 - Onlyfans")</f>
        <v>Emily Walters - 93399680 - Onlyfans</v>
      </c>
      <c r="C349" s="60" t="str">
        <f ca="1">IFERROR(__xludf.DUMMYFUNCTION("""COMPUTED_VALUE"""),"https://thumbcdn.com/splash/ahu3glw6x4qo3k1q.jpg")</f>
        <v>https://thumbcdn.com/splash/ahu3glw6x4qo3k1q.jpg</v>
      </c>
      <c r="D349" s="12" t="s">
        <v>2911</v>
      </c>
      <c r="E349" s="57" t="str">
        <f ca="1">IFERROR(__xludf.DUMMYFUNCTION("""COMPUTED_VALUE"""),"OK")</f>
        <v>OK</v>
      </c>
      <c r="F349" s="46"/>
      <c r="G349" s="45" t="s">
        <v>9746</v>
      </c>
      <c r="H349" s="45" t="s">
        <v>9760</v>
      </c>
    </row>
    <row r="350" spans="1:8">
      <c r="A350" s="59" t="s">
        <v>9761</v>
      </c>
      <c r="B350" s="12" t="str">
        <f ca="1">IFERROR(__xludf.DUMMYFUNCTION("""COMPUTED_VALUE"""),"Emma Magnolia - 11393557 - Onlyfans - Jewelz Blu")</f>
        <v>Emma Magnolia - 11393557 - Onlyfans - Jewelz Blu</v>
      </c>
      <c r="C350" s="60" t="str">
        <f ca="1">IFERROR(__xludf.DUMMYFUNCTION("""COMPUTED_VALUE"""),"https://thumbcdn.com/splash/5fypc5mose24uzeu.jpg")</f>
        <v>https://thumbcdn.com/splash/5fypc5mose24uzeu.jpg</v>
      </c>
      <c r="D350" s="12" t="s">
        <v>2923</v>
      </c>
      <c r="E350" s="57" t="str">
        <f ca="1">IFERROR(__xludf.DUMMYFUNCTION("""COMPUTED_VALUE"""),"OK")</f>
        <v>OK</v>
      </c>
      <c r="F350" s="46"/>
      <c r="G350" s="45" t="s">
        <v>9746</v>
      </c>
      <c r="H350" s="45" t="s">
        <v>9762</v>
      </c>
    </row>
    <row r="351" spans="1:8">
      <c r="A351" s="12"/>
      <c r="B351" s="12" t="str">
        <f ca="1">IFERROR(__xludf.DUMMYFUNCTION("""COMPUTED_VALUE"""),"Emma Magnolia - 16838177 - Onlyfans")</f>
        <v>Emma Magnolia - 16838177 - Onlyfans</v>
      </c>
      <c r="C351" s="60" t="str">
        <f ca="1">IFERROR(__xludf.DUMMYFUNCTION("""COMPUTED_VALUE"""),"https://thumbcdn.com/splash/6pg90zhyrrm5ukok.jpg")</f>
        <v>https://thumbcdn.com/splash/6pg90zhyrrm5ukok.jpg</v>
      </c>
      <c r="D351" s="6" t="s">
        <v>2927</v>
      </c>
      <c r="E351" s="63" t="str">
        <f ca="1">IFERROR(__xludf.DUMMYFUNCTION("""COMPUTED_VALUE"""),"OK")</f>
        <v>OK</v>
      </c>
      <c r="F351" s="46"/>
      <c r="G351" s="45" t="s">
        <v>9763</v>
      </c>
      <c r="H351" s="45" t="s">
        <v>9764</v>
      </c>
    </row>
    <row r="352" spans="1:8">
      <c r="A352" s="12" t="s">
        <v>9765</v>
      </c>
      <c r="B352" s="12" t="str">
        <f ca="1">IFERROR(__xludf.DUMMYFUNCTION("""COMPUTED_VALUE"""),"Emma Magnolia - 71272411 - Onlyfans - Cami Strella")</f>
        <v>Emma Magnolia - 71272411 - Onlyfans - Cami Strella</v>
      </c>
      <c r="C352" s="60" t="str">
        <f ca="1">IFERROR(__xludf.DUMMYFUNCTION("""COMPUTED_VALUE"""),"https://thumbcdn.com/splash/wdctfmbzukq9ul5u.jpg")</f>
        <v>https://thumbcdn.com/splash/wdctfmbzukq9ul5u.jpg</v>
      </c>
      <c r="D352" s="16" t="s">
        <v>2931</v>
      </c>
      <c r="E352" s="57" t="str">
        <f ca="1">IFERROR(__xludf.DUMMYFUNCTION("""COMPUTED_VALUE"""),"OK")</f>
        <v>OK</v>
      </c>
      <c r="F352" s="46"/>
      <c r="G352" s="45" t="s">
        <v>9763</v>
      </c>
      <c r="H352" s="45" t="s">
        <v>9766</v>
      </c>
    </row>
    <row r="353" spans="1:8">
      <c r="A353" s="59" t="s">
        <v>9767</v>
      </c>
      <c r="B353" s="12" t="str">
        <f ca="1">IFERROR(__xludf.DUMMYFUNCTION("""COMPUTED_VALUE"""),"Erin - 91380296 - BackroomCastingCouch")</f>
        <v>Erin - 91380296 - BackroomCastingCouch</v>
      </c>
      <c r="C353" s="60" t="str">
        <f ca="1">IFERROR(__xludf.DUMMYFUNCTION("""COMPUTED_VALUE"""),"https://thumbcdn.com/splash/l0i20y1lwtqtoxs3.jpg")</f>
        <v>https://thumbcdn.com/splash/l0i20y1lwtqtoxs3.jpg</v>
      </c>
      <c r="D353" s="12" t="s">
        <v>2936</v>
      </c>
      <c r="E353" s="57" t="str">
        <f ca="1">IFERROR(__xludf.DUMMYFUNCTION("""COMPUTED_VALUE"""),"OK")</f>
        <v>OK</v>
      </c>
      <c r="F353" s="46"/>
      <c r="G353" s="45" t="s">
        <v>9763</v>
      </c>
      <c r="H353" s="45" t="s">
        <v>9768</v>
      </c>
    </row>
    <row r="354" spans="1:8">
      <c r="A354" s="12"/>
      <c r="B354" s="12" t="str">
        <f ca="1">IFERROR(__xludf.DUMMYFUNCTION("""COMPUTED_VALUE"""),"Eva Elfie - 10969325 - PPV")</f>
        <v>Eva Elfie - 10969325 - PPV</v>
      </c>
      <c r="C354" s="60" t="str">
        <f ca="1">IFERROR(__xludf.DUMMYFUNCTION("""COMPUTED_VALUE"""),"https://thumbcdn.com/splash/cjjlmxihkmfltppl.jpg")</f>
        <v>https://thumbcdn.com/splash/cjjlmxihkmfltppl.jpg</v>
      </c>
      <c r="D354" s="12" t="s">
        <v>2941</v>
      </c>
      <c r="E354" s="57" t="str">
        <f ca="1">IFERROR(__xludf.DUMMYFUNCTION("""COMPUTED_VALUE"""),"OK")</f>
        <v>OK</v>
      </c>
      <c r="F354" s="46"/>
      <c r="G354" s="45" t="s">
        <v>9769</v>
      </c>
      <c r="H354" s="45" t="s">
        <v>9770</v>
      </c>
    </row>
    <row r="355" spans="1:8">
      <c r="A355" s="12" t="s">
        <v>9771</v>
      </c>
      <c r="B355" s="12" t="str">
        <f ca="1">IFERROR(__xludf.DUMMYFUNCTION("""COMPUTED_VALUE"""),"Eva Elfie - 14676280 - Onlyfans")</f>
        <v>Eva Elfie - 14676280 - Onlyfans</v>
      </c>
      <c r="C355" s="60" t="str">
        <f ca="1">IFERROR(__xludf.DUMMYFUNCTION("""COMPUTED_VALUE"""),"https://thumbcdn.com/splash/950wye3h0plnyr8x.jpg")</f>
        <v>https://thumbcdn.com/splash/950wye3h0plnyr8x.jpg</v>
      </c>
      <c r="D355" s="12" t="s">
        <v>2945</v>
      </c>
      <c r="E355" s="57" t="str">
        <f ca="1">IFERROR(__xludf.DUMMYFUNCTION("""COMPUTED_VALUE"""),"OK")</f>
        <v>OK</v>
      </c>
      <c r="F355" s="46"/>
      <c r="G355" s="45" t="s">
        <v>9772</v>
      </c>
      <c r="H355" s="45" t="s">
        <v>9773</v>
      </c>
    </row>
    <row r="356" spans="1:8">
      <c r="A356" s="59" t="s">
        <v>9774</v>
      </c>
      <c r="B356" s="12" t="str">
        <f ca="1">IFERROR(__xludf.DUMMYFUNCTION("""COMPUTED_VALUE"""),"Eva Elfie - 16361811 - Onlyfans")</f>
        <v>Eva Elfie - 16361811 - Onlyfans</v>
      </c>
      <c r="C356" s="60" t="str">
        <f ca="1">IFERROR(__xludf.DUMMYFUNCTION("""COMPUTED_VALUE"""),"https://thumbcdn.com/splash/kn3hyiqrhwt3hpgm.jpg")</f>
        <v>https://thumbcdn.com/splash/kn3hyiqrhwt3hpgm.jpg</v>
      </c>
      <c r="D356" s="6" t="s">
        <v>2955</v>
      </c>
      <c r="E356" s="63" t="str">
        <f ca="1">IFERROR(__xludf.DUMMYFUNCTION("""COMPUTED_VALUE"""),"OK")</f>
        <v>OK</v>
      </c>
      <c r="F356" s="46"/>
      <c r="G356" s="45" t="s">
        <v>9772</v>
      </c>
      <c r="H356" s="45" t="s">
        <v>9775</v>
      </c>
    </row>
    <row r="357" spans="1:8">
      <c r="A357" s="12"/>
      <c r="B357" s="12" t="str">
        <f ca="1">IFERROR(__xludf.DUMMYFUNCTION("""COMPUTED_VALUE"""),"Eva Elfie - 17962206 - Onlyfans")</f>
        <v>Eva Elfie - 17962206 - Onlyfans</v>
      </c>
      <c r="C357" s="60" t="str">
        <f ca="1">IFERROR(__xludf.DUMMYFUNCTION("""COMPUTED_VALUE"""),"https://thumbcdn.com/splash/h0z27npo7056y16k.jpg")</f>
        <v>https://thumbcdn.com/splash/h0z27npo7056y16k.jpg</v>
      </c>
      <c r="D357" s="12" t="s">
        <v>2959</v>
      </c>
      <c r="E357" s="57" t="str">
        <f ca="1">IFERROR(__xludf.DUMMYFUNCTION("""COMPUTED_VALUE"""),"OK")</f>
        <v>OK</v>
      </c>
      <c r="F357" s="46"/>
      <c r="G357" s="45" t="s">
        <v>9772</v>
      </c>
      <c r="H357" s="45" t="s">
        <v>9776</v>
      </c>
    </row>
    <row r="358" spans="1:8">
      <c r="A358" s="12" t="s">
        <v>9777</v>
      </c>
      <c r="B358" s="12" t="str">
        <f ca="1">IFERROR(__xludf.DUMMYFUNCTION("""COMPUTED_VALUE"""),"Eva Elfie - 19230638 - Onlyfans")</f>
        <v>Eva Elfie - 19230638 - Onlyfans</v>
      </c>
      <c r="C358" s="60" t="str">
        <f ca="1">IFERROR(__xludf.DUMMYFUNCTION("""COMPUTED_VALUE"""),"https://thumbcdn.com/splash/4qzo13xf9b09osga.jpg")</f>
        <v>https://thumbcdn.com/splash/4qzo13xf9b09osga.jpg</v>
      </c>
      <c r="D358" s="6" t="s">
        <v>2964</v>
      </c>
      <c r="E358" s="63" t="str">
        <f ca="1">IFERROR(__xludf.DUMMYFUNCTION("""COMPUTED_VALUE"""),"OK")</f>
        <v>OK</v>
      </c>
      <c r="F358" s="46"/>
      <c r="G358" s="45" t="s">
        <v>9772</v>
      </c>
      <c r="H358" s="45" t="s">
        <v>9778</v>
      </c>
    </row>
    <row r="359" spans="1:8">
      <c r="A359" s="59" t="s">
        <v>9779</v>
      </c>
      <c r="B359" s="12" t="str">
        <f ca="1">IFERROR(__xludf.DUMMYFUNCTION("""COMPUTED_VALUE"""),"Eva Elfie - 20301549 - Onlyfans")</f>
        <v>Eva Elfie - 20301549 - Onlyfans</v>
      </c>
      <c r="C359" s="60" t="str">
        <f ca="1">IFERROR(__xludf.DUMMYFUNCTION("""COMPUTED_VALUE"""),"https://thumbcdn.com/splash/ciu8v9rtktewmpal.jpg")</f>
        <v>https://thumbcdn.com/splash/ciu8v9rtktewmpal.jpg</v>
      </c>
      <c r="D359" s="16" t="s">
        <v>2970</v>
      </c>
      <c r="E359" s="57" t="str">
        <f ca="1">IFERROR(__xludf.DUMMYFUNCTION("""COMPUTED_VALUE"""),"OK")</f>
        <v>OK</v>
      </c>
      <c r="F359" s="46"/>
      <c r="G359" s="45" t="s">
        <v>9772</v>
      </c>
      <c r="H359" s="45" t="s">
        <v>9780</v>
      </c>
    </row>
    <row r="360" spans="1:8">
      <c r="A360" s="12"/>
      <c r="B360" s="12" t="str">
        <f ca="1">IFERROR(__xludf.DUMMYFUNCTION("""COMPUTED_VALUE"""),"Eva Elfie - 32413746 - Onlyfans")</f>
        <v>Eva Elfie - 32413746 - Onlyfans</v>
      </c>
      <c r="C360" s="60" t="str">
        <f ca="1">IFERROR(__xludf.DUMMYFUNCTION("""COMPUTED_VALUE"""),"https://thumbcdn.com/splash/3qy7rsi5qqx232pg.jpg")</f>
        <v>https://thumbcdn.com/splash/3qy7rsi5qqx232pg.jpg</v>
      </c>
      <c r="D360" s="12" t="s">
        <v>2980</v>
      </c>
      <c r="E360" s="57" t="str">
        <f ca="1">IFERROR(__xludf.DUMMYFUNCTION("""COMPUTED_VALUE"""),"OK")</f>
        <v>OK</v>
      </c>
      <c r="F360" s="46"/>
      <c r="G360" s="45" t="s">
        <v>9772</v>
      </c>
      <c r="H360" s="45" t="s">
        <v>9781</v>
      </c>
    </row>
    <row r="361" spans="1:8">
      <c r="A361" s="12" t="s">
        <v>9782</v>
      </c>
      <c r="B361" s="12" t="str">
        <f ca="1">IFERROR(__xludf.DUMMYFUNCTION("""COMPUTED_VALUE"""),"Eva Elfie - 33050807 - Onlyfans")</f>
        <v>Eva Elfie - 33050807 - Onlyfans</v>
      </c>
      <c r="C361" s="60" t="str">
        <f ca="1">IFERROR(__xludf.DUMMYFUNCTION("""COMPUTED_VALUE"""),"https://thumbcdn.com/splash/8j6mxovmo70m00l1.jpg")</f>
        <v>https://thumbcdn.com/splash/8j6mxovmo70m00l1.jpg</v>
      </c>
      <c r="D361" s="6" t="s">
        <v>2984</v>
      </c>
      <c r="E361" s="63" t="str">
        <f ca="1">IFERROR(__xludf.DUMMYFUNCTION("""COMPUTED_VALUE"""),"OK")</f>
        <v>OK</v>
      </c>
      <c r="F361" s="46"/>
      <c r="G361" s="45" t="s">
        <v>9772</v>
      </c>
      <c r="H361" s="45" t="s">
        <v>9783</v>
      </c>
    </row>
    <row r="362" spans="1:8">
      <c r="A362" s="59" t="s">
        <v>9784</v>
      </c>
      <c r="B362" s="12" t="str">
        <f ca="1">IFERROR(__xludf.DUMMYFUNCTION("""COMPUTED_VALUE"""),"Eva Elfie - 41235226 - Onlyfans")</f>
        <v>Eva Elfie - 41235226 - Onlyfans</v>
      </c>
      <c r="C362" s="60" t="str">
        <f ca="1">IFERROR(__xludf.DUMMYFUNCTION("""COMPUTED_VALUE"""),"https://thumbcdn.com/splash/z8012xxtt014huuu.jpg")</f>
        <v>https://thumbcdn.com/splash/z8012xxtt014huuu.jpg</v>
      </c>
      <c r="D362" s="12" t="s">
        <v>2996</v>
      </c>
      <c r="E362" s="57" t="str">
        <f ca="1">IFERROR(__xludf.DUMMYFUNCTION("""COMPUTED_VALUE"""),"OK")</f>
        <v>OK</v>
      </c>
      <c r="F362" s="46"/>
      <c r="G362" s="45" t="s">
        <v>9772</v>
      </c>
      <c r="H362" s="45" t="s">
        <v>9785</v>
      </c>
    </row>
    <row r="363" spans="1:8">
      <c r="A363" s="12"/>
      <c r="B363" s="12" t="str">
        <f ca="1">IFERROR(__xludf.DUMMYFUNCTION("""COMPUTED_VALUE"""),"Eva Elfie - 42075104 - Onlyfans")</f>
        <v>Eva Elfie - 42075104 - Onlyfans</v>
      </c>
      <c r="C363" s="60" t="str">
        <f ca="1">IFERROR(__xludf.DUMMYFUNCTION("""COMPUTED_VALUE"""),"https://thumbcdn.com/splash/we2zx97ek05gv45o.jpg")</f>
        <v>https://thumbcdn.com/splash/we2zx97ek05gv45o.jpg</v>
      </c>
      <c r="D363" s="6" t="s">
        <v>3000</v>
      </c>
      <c r="E363" s="63" t="str">
        <f ca="1">IFERROR(__xludf.DUMMYFUNCTION("""COMPUTED_VALUE"""),"OK")</f>
        <v>OK</v>
      </c>
      <c r="F363" s="46"/>
      <c r="G363" s="45" t="s">
        <v>9772</v>
      </c>
      <c r="H363" s="45" t="s">
        <v>9786</v>
      </c>
    </row>
    <row r="364" spans="1:8">
      <c r="A364" s="12" t="s">
        <v>9787</v>
      </c>
      <c r="B364" s="12" t="str">
        <f ca="1">IFERROR(__xludf.DUMMYFUNCTION("""COMPUTED_VALUE"""),"Eva Elfie - 47114945 - Onlyfans")</f>
        <v>Eva Elfie - 47114945 - Onlyfans</v>
      </c>
      <c r="C364" s="60" t="str">
        <f ca="1">IFERROR(__xludf.DUMMYFUNCTION("""COMPUTED_VALUE"""),"https://thumbcdn.com/splash/yjlsedr0u9kke3nn.jpg")</f>
        <v>https://thumbcdn.com/splash/yjlsedr0u9kke3nn.jpg</v>
      </c>
      <c r="D364" s="12" t="s">
        <v>3005</v>
      </c>
      <c r="E364" s="57" t="str">
        <f ca="1">IFERROR(__xludf.DUMMYFUNCTION("""COMPUTED_VALUE"""),"OK")</f>
        <v>OK</v>
      </c>
      <c r="F364" s="46"/>
      <c r="G364" s="45" t="s">
        <v>9772</v>
      </c>
      <c r="H364" s="45" t="s">
        <v>9788</v>
      </c>
    </row>
    <row r="365" spans="1:8">
      <c r="A365" s="59" t="s">
        <v>9789</v>
      </c>
      <c r="B365" s="12" t="str">
        <f ca="1">IFERROR(__xludf.DUMMYFUNCTION("""COMPUTED_VALUE"""),"Eva Elfie - 51558283 - Onlyfans")</f>
        <v>Eva Elfie - 51558283 - Onlyfans</v>
      </c>
      <c r="C365" s="60" t="str">
        <f ca="1">IFERROR(__xludf.DUMMYFUNCTION("""COMPUTED_VALUE"""),"https://thumbcdn.com/splash/k3i9iok565r6x0fr.jpg")</f>
        <v>https://thumbcdn.com/splash/k3i9iok565r6x0fr.jpg</v>
      </c>
      <c r="D365" s="6" t="s">
        <v>3015</v>
      </c>
      <c r="E365" s="63" t="str">
        <f ca="1">IFERROR(__xludf.DUMMYFUNCTION("""COMPUTED_VALUE"""),"OK")</f>
        <v>OK</v>
      </c>
      <c r="F365" s="46"/>
      <c r="G365" s="45" t="s">
        <v>9772</v>
      </c>
      <c r="H365" s="45" t="s">
        <v>9790</v>
      </c>
    </row>
    <row r="366" spans="1:8">
      <c r="A366" s="12"/>
      <c r="B366" s="12" t="str">
        <f ca="1">IFERROR(__xludf.DUMMYFUNCTION("""COMPUTED_VALUE"""),"Eva Elfie - 55413650 - Onlyfans")</f>
        <v>Eva Elfie - 55413650 - Onlyfans</v>
      </c>
      <c r="C366" s="60" t="str">
        <f ca="1">IFERROR(__xludf.DUMMYFUNCTION("""COMPUTED_VALUE"""),"https://thumbcdn.com/splash/4yfjg7735fcyh9wg.jpg")</f>
        <v>https://thumbcdn.com/splash/4yfjg7735fcyh9wg.jpg</v>
      </c>
      <c r="D366" s="6" t="s">
        <v>3020</v>
      </c>
      <c r="E366" s="63" t="str">
        <f ca="1">IFERROR(__xludf.DUMMYFUNCTION("""COMPUTED_VALUE"""),"OK")</f>
        <v>OK</v>
      </c>
      <c r="F366" s="46"/>
      <c r="G366" s="45" t="s">
        <v>9772</v>
      </c>
      <c r="H366" s="45" t="s">
        <v>9791</v>
      </c>
    </row>
    <row r="367" spans="1:8">
      <c r="A367" s="12" t="s">
        <v>9792</v>
      </c>
      <c r="B367" s="12" t="str">
        <f ca="1">IFERROR(__xludf.DUMMYFUNCTION("""COMPUTED_VALUE"""),"Eva Elfie - 59206791 - Onlyfans")</f>
        <v>Eva Elfie - 59206791 - Onlyfans</v>
      </c>
      <c r="C367" s="60" t="str">
        <f ca="1">IFERROR(__xludf.DUMMYFUNCTION("""COMPUTED_VALUE"""),"https://thumbcdn.com/splash/muu8k24uq1ttv32w.jpg")</f>
        <v>https://thumbcdn.com/splash/muu8k24uq1ttv32w.jpg</v>
      </c>
      <c r="D367" s="12" t="s">
        <v>3025</v>
      </c>
      <c r="E367" s="57" t="str">
        <f ca="1">IFERROR(__xludf.DUMMYFUNCTION("""COMPUTED_VALUE"""),"OK")</f>
        <v>OK</v>
      </c>
      <c r="F367" s="46"/>
      <c r="G367" s="45" t="s">
        <v>9772</v>
      </c>
      <c r="H367" s="45" t="s">
        <v>9793</v>
      </c>
    </row>
    <row r="368" spans="1:8">
      <c r="A368" s="59" t="s">
        <v>9794</v>
      </c>
      <c r="B368" s="12" t="str">
        <f ca="1">IFERROR(__xludf.DUMMYFUNCTION("""COMPUTED_VALUE"""),"Eva Elfie - 64057150 - Onlyfans")</f>
        <v>Eva Elfie - 64057150 - Onlyfans</v>
      </c>
      <c r="C368" s="60" t="str">
        <f ca="1">IFERROR(__xludf.DUMMYFUNCTION("""COMPUTED_VALUE"""),"https://thumbcdn.com/splash/qwqebu7fz5coxng9.jpg")</f>
        <v>https://thumbcdn.com/splash/qwqebu7fz5coxng9.jpg</v>
      </c>
      <c r="D368" s="6" t="s">
        <v>3029</v>
      </c>
      <c r="E368" s="63" t="str">
        <f ca="1">IFERROR(__xludf.DUMMYFUNCTION("""COMPUTED_VALUE"""),"OK")</f>
        <v>OK</v>
      </c>
      <c r="F368" s="46"/>
      <c r="G368" s="45" t="s">
        <v>9772</v>
      </c>
      <c r="H368" s="45" t="s">
        <v>9795</v>
      </c>
    </row>
    <row r="369" spans="1:8">
      <c r="A369" s="12"/>
      <c r="B369" s="12" t="str">
        <f ca="1">IFERROR(__xludf.DUMMYFUNCTION("""COMPUTED_VALUE"""),"Eva Elfie - 67250856 - Onlyfans")</f>
        <v>Eva Elfie - 67250856 - Onlyfans</v>
      </c>
      <c r="C369" s="60" t="str">
        <f ca="1">IFERROR(__xludf.DUMMYFUNCTION("""COMPUTED_VALUE"""),"https://thumbcdn.com/splash/18frbm0tc6of856i.jpg")</f>
        <v>https://thumbcdn.com/splash/18frbm0tc6of856i.jpg</v>
      </c>
      <c r="D369" s="6" t="s">
        <v>3033</v>
      </c>
      <c r="E369" s="63" t="str">
        <f ca="1">IFERROR(__xludf.DUMMYFUNCTION("""COMPUTED_VALUE"""),"OK")</f>
        <v>OK</v>
      </c>
      <c r="F369" s="46"/>
      <c r="G369" s="45" t="s">
        <v>9772</v>
      </c>
      <c r="H369" s="45" t="s">
        <v>9796</v>
      </c>
    </row>
    <row r="370" spans="1:8">
      <c r="A370" s="12" t="s">
        <v>9797</v>
      </c>
      <c r="B370" s="12" t="str">
        <f ca="1">IFERROR(__xludf.DUMMYFUNCTION("""COMPUTED_VALUE"""),"Eva Elfie - 68592528 - Onlyfans")</f>
        <v>Eva Elfie - 68592528 - Onlyfans</v>
      </c>
      <c r="C370" s="60" t="str">
        <f ca="1">IFERROR(__xludf.DUMMYFUNCTION("""COMPUTED_VALUE"""),"https://thumbcdn.com/splash/ixg3mfcfzeebh81g.jpg")</f>
        <v>https://thumbcdn.com/splash/ixg3mfcfzeebh81g.jpg</v>
      </c>
      <c r="D370" s="12" t="s">
        <v>3037</v>
      </c>
      <c r="E370" s="57" t="str">
        <f ca="1">IFERROR(__xludf.DUMMYFUNCTION("""COMPUTED_VALUE"""),"OK")</f>
        <v>OK</v>
      </c>
      <c r="F370" s="46"/>
      <c r="G370" s="45" t="s">
        <v>9772</v>
      </c>
      <c r="H370" s="45" t="s">
        <v>9798</v>
      </c>
    </row>
    <row r="371" spans="1:8">
      <c r="A371" s="59" t="s">
        <v>9799</v>
      </c>
      <c r="B371" s="12" t="str">
        <f ca="1">IFERROR(__xludf.DUMMYFUNCTION("""COMPUTED_VALUE"""),"Eva Elfie - 70410727 - Onlyfans")</f>
        <v>Eva Elfie - 70410727 - Onlyfans</v>
      </c>
      <c r="C371" s="60" t="str">
        <f ca="1">IFERROR(__xludf.DUMMYFUNCTION("""COMPUTED_VALUE"""),"https://thumbcdn.com/splash/fbgcou5uz8ohak9a.jpg")</f>
        <v>https://thumbcdn.com/splash/fbgcou5uz8ohak9a.jpg</v>
      </c>
      <c r="D371" s="11" t="s">
        <v>3041</v>
      </c>
      <c r="E371" s="63" t="str">
        <f ca="1">IFERROR(__xludf.DUMMYFUNCTION("""COMPUTED_VALUE"""),"OK")</f>
        <v>OK</v>
      </c>
      <c r="F371" s="46"/>
      <c r="G371" s="45" t="s">
        <v>9772</v>
      </c>
      <c r="H371" s="45" t="s">
        <v>9800</v>
      </c>
    </row>
    <row r="372" spans="1:8">
      <c r="A372" s="12"/>
      <c r="B372" s="12" t="str">
        <f ca="1">IFERROR(__xludf.DUMMYFUNCTION("""COMPUTED_VALUE"""),"Eva Elfie - 71677812 - Onlyfans")</f>
        <v>Eva Elfie - 71677812 - Onlyfans</v>
      </c>
      <c r="C372" s="60" t="str">
        <f ca="1">IFERROR(__xludf.DUMMYFUNCTION("""COMPUTED_VALUE"""),"https://thumbcdn.com/splash/7mtpn2vndzk71cs2.jpg")</f>
        <v>https://thumbcdn.com/splash/7mtpn2vndzk71cs2.jpg</v>
      </c>
      <c r="D372" s="6" t="s">
        <v>3046</v>
      </c>
      <c r="E372" s="63" t="str">
        <f ca="1">IFERROR(__xludf.DUMMYFUNCTION("""COMPUTED_VALUE"""),"OK")</f>
        <v>OK</v>
      </c>
      <c r="F372" s="46"/>
      <c r="G372" s="45" t="s">
        <v>9772</v>
      </c>
      <c r="H372" s="45" t="s">
        <v>9801</v>
      </c>
    </row>
    <row r="373" spans="1:8">
      <c r="A373" s="12" t="s">
        <v>9802</v>
      </c>
      <c r="B373" s="12" t="str">
        <f ca="1">IFERROR(__xludf.DUMMYFUNCTION("""COMPUTED_VALUE"""),"Eva Elfie - 76703582 - Onlyfans")</f>
        <v>Eva Elfie - 76703582 - Onlyfans</v>
      </c>
      <c r="C373" s="60" t="str">
        <f ca="1">IFERROR(__xludf.DUMMYFUNCTION("""COMPUTED_VALUE"""),"https://thumbcdn.com/splash/g7cybym1bi44vbg3.jpg")</f>
        <v>https://thumbcdn.com/splash/g7cybym1bi44vbg3.jpg</v>
      </c>
      <c r="D373" s="12" t="s">
        <v>3052</v>
      </c>
      <c r="E373" s="57" t="str">
        <f ca="1">IFERROR(__xludf.DUMMYFUNCTION("""COMPUTED_VALUE"""),"OK")</f>
        <v>OK</v>
      </c>
      <c r="F373" s="46"/>
      <c r="G373" s="45" t="s">
        <v>9772</v>
      </c>
      <c r="H373" s="45" t="s">
        <v>9803</v>
      </c>
    </row>
    <row r="374" spans="1:8">
      <c r="A374" s="59" t="s">
        <v>9804</v>
      </c>
      <c r="B374" s="12" t="str">
        <f ca="1">IFERROR(__xludf.DUMMYFUNCTION("""COMPUTED_VALUE"""),"Eva Elfie - 81379736 - Onlyfans")</f>
        <v>Eva Elfie - 81379736 - Onlyfans</v>
      </c>
      <c r="C374" s="60" t="str">
        <f ca="1">IFERROR(__xludf.DUMMYFUNCTION("""COMPUTED_VALUE"""),"https://thumbcdn.com/splash/na2vgtpchqthjml6.jpg")</f>
        <v>https://thumbcdn.com/splash/na2vgtpchqthjml6.jpg</v>
      </c>
      <c r="D374" s="12" t="s">
        <v>3056</v>
      </c>
      <c r="E374" s="57" t="str">
        <f ca="1">IFERROR(__xludf.DUMMYFUNCTION("""COMPUTED_VALUE"""),"OK")</f>
        <v>OK</v>
      </c>
      <c r="F374" s="46"/>
      <c r="G374" s="45" t="s">
        <v>9772</v>
      </c>
      <c r="H374" s="45" t="s">
        <v>9805</v>
      </c>
    </row>
    <row r="375" spans="1:8">
      <c r="A375" s="12"/>
      <c r="B375" s="12" t="str">
        <f ca="1">IFERROR(__xludf.DUMMYFUNCTION("""COMPUTED_VALUE"""),"Eva Elfie - 85253171 - Onlyfans")</f>
        <v>Eva Elfie - 85253171 - Onlyfans</v>
      </c>
      <c r="C375" s="60" t="str">
        <f ca="1">IFERROR(__xludf.DUMMYFUNCTION("""COMPUTED_VALUE"""),"https://thumbcdn.com/splash/ubn8gdjbr671q28f.jpg")</f>
        <v>https://thumbcdn.com/splash/ubn8gdjbr671q28f.jpg</v>
      </c>
      <c r="D375" s="12" t="s">
        <v>3068</v>
      </c>
      <c r="E375" s="57" t="str">
        <f ca="1">IFERROR(__xludf.DUMMYFUNCTION("""COMPUTED_VALUE"""),"OK")</f>
        <v>OK</v>
      </c>
      <c r="F375" s="46"/>
      <c r="G375" s="45" t="s">
        <v>9772</v>
      </c>
      <c r="H375" s="45" t="s">
        <v>9806</v>
      </c>
    </row>
    <row r="376" spans="1:8">
      <c r="A376" s="12" t="s">
        <v>9807</v>
      </c>
      <c r="B376" s="12" t="str">
        <f ca="1">IFERROR(__xludf.DUMMYFUNCTION("""COMPUTED_VALUE"""),"Eva Elfie - 87988491 - Onlyfans")</f>
        <v>Eva Elfie - 87988491 - Onlyfans</v>
      </c>
      <c r="C376" s="60" t="str">
        <f ca="1">IFERROR(__xludf.DUMMYFUNCTION("""COMPUTED_VALUE"""),"https://thumbcdn.com/splash/wtt319yoy0okeisg.jpg")</f>
        <v>https://thumbcdn.com/splash/wtt319yoy0okeisg.jpg</v>
      </c>
      <c r="D376" s="12" t="s">
        <v>3072</v>
      </c>
      <c r="E376" s="57" t="str">
        <f ca="1">IFERROR(__xludf.DUMMYFUNCTION("""COMPUTED_VALUE"""),"OK")</f>
        <v>OK</v>
      </c>
      <c r="F376" s="46"/>
      <c r="G376" s="45" t="s">
        <v>9772</v>
      </c>
      <c r="H376" s="45" t="s">
        <v>9808</v>
      </c>
    </row>
    <row r="377" spans="1:8">
      <c r="A377" s="59" t="s">
        <v>9809</v>
      </c>
      <c r="B377" s="12" t="str">
        <f ca="1">IFERROR(__xludf.DUMMYFUNCTION("""COMPUTED_VALUE"""),"Eva Elfie - 91672213 - Onlyfans")</f>
        <v>Eva Elfie - 91672213 - Onlyfans</v>
      </c>
      <c r="C377" s="60" t="str">
        <f ca="1">IFERROR(__xludf.DUMMYFUNCTION("""COMPUTED_VALUE"""),"https://thumbcdn.com/splash/rabtjqh3ys1jubj1.jpg")</f>
        <v>https://thumbcdn.com/splash/rabtjqh3ys1jubj1.jpg</v>
      </c>
      <c r="D377" s="12" t="s">
        <v>3078</v>
      </c>
      <c r="E377" s="57" t="str">
        <f ca="1">IFERROR(__xludf.DUMMYFUNCTION("""COMPUTED_VALUE"""),"OK")</f>
        <v>OK</v>
      </c>
      <c r="F377" s="46"/>
      <c r="G377" s="45" t="s">
        <v>9772</v>
      </c>
      <c r="H377" s="45" t="s">
        <v>9810</v>
      </c>
    </row>
    <row r="378" spans="1:8">
      <c r="A378" s="12"/>
      <c r="B378" s="12" t="str">
        <f ca="1">IFERROR(__xludf.DUMMYFUNCTION("""COMPUTED_VALUE"""),"Eva Elfie - 93618535 - Onlyfans")</f>
        <v>Eva Elfie - 93618535 - Onlyfans</v>
      </c>
      <c r="C378" s="60" t="str">
        <f ca="1">IFERROR(__xludf.DUMMYFUNCTION("""COMPUTED_VALUE"""),"https://thumbcdn.com/splash/ef2borkf6ykogby3.jpg")</f>
        <v>https://thumbcdn.com/splash/ef2borkf6ykogby3.jpg</v>
      </c>
      <c r="D378" s="12" t="s">
        <v>3082</v>
      </c>
      <c r="E378" s="57" t="str">
        <f ca="1">IFERROR(__xludf.DUMMYFUNCTION("""COMPUTED_VALUE"""),"OK")</f>
        <v>OK</v>
      </c>
      <c r="F378" s="46"/>
      <c r="G378" s="45" t="s">
        <v>9772</v>
      </c>
      <c r="H378" s="45" t="s">
        <v>9811</v>
      </c>
    </row>
    <row r="379" spans="1:8">
      <c r="A379" s="12" t="s">
        <v>9812</v>
      </c>
      <c r="B379" s="12" t="str">
        <f ca="1">IFERROR(__xludf.DUMMYFUNCTION("""COMPUTED_VALUE"""),"Eva Elfie - 97760224 - Onlyfans")</f>
        <v>Eva Elfie - 97760224 - Onlyfans</v>
      </c>
      <c r="C379" s="60" t="str">
        <f ca="1">IFERROR(__xludf.DUMMYFUNCTION("""COMPUTED_VALUE"""),"https://thumbcdn.com/splash/5vagppdk5i0l2e0t.jpg")</f>
        <v>https://thumbcdn.com/splash/5vagppdk5i0l2e0t.jpg</v>
      </c>
      <c r="D379" s="12" t="s">
        <v>3086</v>
      </c>
      <c r="E379" s="57" t="str">
        <f ca="1">IFERROR(__xludf.DUMMYFUNCTION("""COMPUTED_VALUE"""),"OK")</f>
        <v>OK</v>
      </c>
      <c r="F379" s="46"/>
      <c r="G379" s="45" t="s">
        <v>9772</v>
      </c>
      <c r="H379" s="45" t="s">
        <v>9813</v>
      </c>
    </row>
    <row r="380" spans="1:8">
      <c r="A380" s="59" t="s">
        <v>9814</v>
      </c>
      <c r="B380" s="12" t="str">
        <f ca="1">IFERROR(__xludf.DUMMYFUNCTION("""COMPUTED_VALUE"""),"Eva Elfie - 99259850 - Onlyfans")</f>
        <v>Eva Elfie - 99259850 - Onlyfans</v>
      </c>
      <c r="C380" s="60" t="str">
        <f ca="1">IFERROR(__xludf.DUMMYFUNCTION("""COMPUTED_VALUE"""),"https://thumbcdn.com/splash/s162v56b2g9g36x7.jpg")</f>
        <v>https://thumbcdn.com/splash/s162v56b2g9g36x7.jpg</v>
      </c>
      <c r="D380" s="16" t="s">
        <v>3090</v>
      </c>
      <c r="E380" s="57" t="str">
        <f ca="1">IFERROR(__xludf.DUMMYFUNCTION("""COMPUTED_VALUE"""),"OK")</f>
        <v>OK</v>
      </c>
      <c r="F380" s="46"/>
      <c r="G380" s="45" t="s">
        <v>9772</v>
      </c>
      <c r="H380" s="45" t="s">
        <v>9815</v>
      </c>
    </row>
    <row r="381" spans="1:8">
      <c r="A381" s="12"/>
      <c r="B381" s="12" t="str">
        <f ca="1">IFERROR(__xludf.DUMMYFUNCTION("""COMPUTED_VALUE"""),"Eva Nyx - 70048649 - PPV")</f>
        <v>Eva Nyx - 70048649 - PPV</v>
      </c>
      <c r="C381" s="60" t="str">
        <f ca="1">IFERROR(__xludf.DUMMYFUNCTION("""COMPUTED_VALUE"""),"https://thumbcdn.com/splash/uqgkukbrtb7awm3x.jpg")</f>
        <v>https://thumbcdn.com/splash/uqgkukbrtb7awm3x.jpg</v>
      </c>
      <c r="D381" s="12" t="s">
        <v>3094</v>
      </c>
      <c r="E381" s="57" t="str">
        <f ca="1">IFERROR(__xludf.DUMMYFUNCTION("""COMPUTED_VALUE"""),"OK")</f>
        <v>OK</v>
      </c>
      <c r="F381" s="46"/>
      <c r="G381" s="45" t="s">
        <v>9772</v>
      </c>
      <c r="H381" s="45" t="s">
        <v>9816</v>
      </c>
    </row>
    <row r="382" spans="1:8">
      <c r="A382" s="12" t="s">
        <v>9817</v>
      </c>
      <c r="B382" s="12" t="str">
        <f ca="1">IFERROR(__xludf.DUMMYFUNCTION("""COMPUTED_VALUE"""),"Eva Nyx - 86406160 - FS - Charlie Forde")</f>
        <v>Eva Nyx - 86406160 - FS - Charlie Forde</v>
      </c>
      <c r="C382" s="60" t="str">
        <f ca="1">IFERROR(__xludf.DUMMYFUNCTION("""COMPUTED_VALUE"""),"https://thumbcdn.com/splash/58tjsp550sg892i8.jpg")</f>
        <v>https://thumbcdn.com/splash/58tjsp550sg892i8.jpg</v>
      </c>
      <c r="D382" s="6" t="s">
        <v>3099</v>
      </c>
      <c r="E382" s="63" t="str">
        <f ca="1">IFERROR(__xludf.DUMMYFUNCTION("""COMPUTED_VALUE"""),"OK")</f>
        <v>OK</v>
      </c>
      <c r="F382" s="46"/>
      <c r="G382" s="45" t="s">
        <v>9818</v>
      </c>
      <c r="H382" s="45" t="s">
        <v>9819</v>
      </c>
    </row>
    <row r="383" spans="1:8">
      <c r="A383" s="59" t="s">
        <v>9820</v>
      </c>
      <c r="B383" s="12" t="str">
        <f ca="1">IFERROR(__xludf.DUMMYFUNCTION("""COMPUTED_VALUE"""),"Gabbie Carter - 11937242 - Onlyfans")</f>
        <v>Gabbie Carter - 11937242 - Onlyfans</v>
      </c>
      <c r="C383" s="60" t="str">
        <f ca="1">IFERROR(__xludf.DUMMYFUNCTION("""COMPUTED_VALUE"""),"https://thumbcdn.com/splash/b9dywvzzrnr67i8b.jpg")</f>
        <v>https://thumbcdn.com/splash/b9dywvzzrnr67i8b.jpg</v>
      </c>
      <c r="D383" s="6" t="s">
        <v>3105</v>
      </c>
      <c r="E383" s="63" t="str">
        <f ca="1">IFERROR(__xludf.DUMMYFUNCTION("""COMPUTED_VALUE"""),"OK")</f>
        <v>OK</v>
      </c>
      <c r="F383" s="46"/>
      <c r="G383" s="45" t="s">
        <v>9818</v>
      </c>
      <c r="H383" s="45" t="s">
        <v>9821</v>
      </c>
    </row>
    <row r="384" spans="1:8">
      <c r="A384" s="12"/>
      <c r="B384" s="12" t="str">
        <f ca="1">IFERROR(__xludf.DUMMYFUNCTION("""COMPUTED_VALUE"""),"Gabbie Carter - 16143215 - Onlyfans")</f>
        <v>Gabbie Carter - 16143215 - Onlyfans</v>
      </c>
      <c r="C384" s="60" t="str">
        <f ca="1">IFERROR(__xludf.DUMMYFUNCTION("""COMPUTED_VALUE"""),"https://thumbcdn.com/splash/9txnkt34ab00v14c.jpg")</f>
        <v>https://thumbcdn.com/splash/9txnkt34ab00v14c.jpg</v>
      </c>
      <c r="D384" s="6" t="s">
        <v>3117</v>
      </c>
      <c r="E384" s="63" t="str">
        <f ca="1">IFERROR(__xludf.DUMMYFUNCTION("""COMPUTED_VALUE"""),"OK")</f>
        <v>OK</v>
      </c>
      <c r="F384" s="46"/>
      <c r="G384" s="45" t="s">
        <v>9822</v>
      </c>
      <c r="H384" s="45" t="s">
        <v>9823</v>
      </c>
    </row>
    <row r="385" spans="1:8">
      <c r="A385" s="12" t="s">
        <v>9824</v>
      </c>
      <c r="B385" s="12" t="str">
        <f ca="1">IFERROR(__xludf.DUMMYFUNCTION("""COMPUTED_VALUE"""),"Gabbie Carter - 20538793 - Onlyfans")</f>
        <v>Gabbie Carter - 20538793 - Onlyfans</v>
      </c>
      <c r="C385" s="60" t="str">
        <f ca="1">IFERROR(__xludf.DUMMYFUNCTION("""COMPUTED_VALUE"""),"https://thumbcdn.com/splash/jqfzlieb5erge6os.jpg")</f>
        <v>https://thumbcdn.com/splash/jqfzlieb5erge6os.jpg</v>
      </c>
      <c r="D385" s="6" t="s">
        <v>3122</v>
      </c>
      <c r="E385" s="63" t="str">
        <f ca="1">IFERROR(__xludf.DUMMYFUNCTION("""COMPUTED_VALUE"""),"OK")</f>
        <v>OK</v>
      </c>
      <c r="F385" s="46"/>
      <c r="G385" s="45" t="s">
        <v>9822</v>
      </c>
      <c r="H385" s="45" t="s">
        <v>9825</v>
      </c>
    </row>
    <row r="386" spans="1:8">
      <c r="A386" s="59" t="s">
        <v>9826</v>
      </c>
      <c r="B386" s="12" t="str">
        <f ca="1">IFERROR(__xludf.DUMMYFUNCTION("""COMPUTED_VALUE"""),"Gabbie Carter - 22251371 - Onlyfans")</f>
        <v>Gabbie Carter - 22251371 - Onlyfans</v>
      </c>
      <c r="C386" s="60" t="str">
        <f ca="1">IFERROR(__xludf.DUMMYFUNCTION("""COMPUTED_VALUE"""),"https://thumbcdn.com/splash/ytjduv3hngjuqewg.jpg")</f>
        <v>https://thumbcdn.com/splash/ytjduv3hngjuqewg.jpg</v>
      </c>
      <c r="D386" s="12" t="s">
        <v>3127</v>
      </c>
      <c r="E386" s="57" t="str">
        <f ca="1">IFERROR(__xludf.DUMMYFUNCTION("""COMPUTED_VALUE"""),"OK")</f>
        <v>OK</v>
      </c>
      <c r="F386" s="46"/>
      <c r="G386" s="45" t="s">
        <v>9822</v>
      </c>
      <c r="H386" s="45" t="s">
        <v>9827</v>
      </c>
    </row>
    <row r="387" spans="1:8">
      <c r="A387" s="12"/>
      <c r="B387" s="12" t="str">
        <f ca="1">IFERROR(__xludf.DUMMYFUNCTION("""COMPUTED_VALUE"""),"Gabbie Carter - 27573005 - Onlyfans")</f>
        <v>Gabbie Carter - 27573005 - Onlyfans</v>
      </c>
      <c r="C387" s="60" t="str">
        <f ca="1">IFERROR(__xludf.DUMMYFUNCTION("""COMPUTED_VALUE"""),"https://thumbcdn.com/splash/oivk4dpqz8mmufzp.jpg")</f>
        <v>https://thumbcdn.com/splash/oivk4dpqz8mmufzp.jpg</v>
      </c>
      <c r="D387" s="12" t="s">
        <v>3132</v>
      </c>
      <c r="E387" s="57" t="str">
        <f ca="1">IFERROR(__xludf.DUMMYFUNCTION("""COMPUTED_VALUE"""),"OK")</f>
        <v>OK</v>
      </c>
      <c r="F387" s="46"/>
      <c r="G387" s="45" t="s">
        <v>9822</v>
      </c>
      <c r="H387" s="45" t="s">
        <v>9828</v>
      </c>
    </row>
    <row r="388" spans="1:8">
      <c r="A388" s="12" t="s">
        <v>9829</v>
      </c>
      <c r="B388" s="12" t="str">
        <f ca="1">IFERROR(__xludf.DUMMYFUNCTION("""COMPUTED_VALUE"""),"Gabbie Carter - 28724000 - Onlyfans")</f>
        <v>Gabbie Carter - 28724000 - Onlyfans</v>
      </c>
      <c r="C388" s="60" t="str">
        <f ca="1">IFERROR(__xludf.DUMMYFUNCTION("""COMPUTED_VALUE"""),"https://thumbcdn.com/splash/kz9wx3xo6w39f4c9.jpg")</f>
        <v>https://thumbcdn.com/splash/kz9wx3xo6w39f4c9.jpg</v>
      </c>
      <c r="D388" s="6" t="s">
        <v>3136</v>
      </c>
      <c r="E388" s="63" t="str">
        <f ca="1">IFERROR(__xludf.DUMMYFUNCTION("""COMPUTED_VALUE"""),"OK")</f>
        <v>OK</v>
      </c>
      <c r="F388" s="46"/>
      <c r="G388" s="45" t="s">
        <v>9822</v>
      </c>
      <c r="H388" s="45" t="s">
        <v>9830</v>
      </c>
    </row>
    <row r="389" spans="1:8">
      <c r="A389" s="59" t="s">
        <v>9831</v>
      </c>
      <c r="B389" s="12" t="str">
        <f ca="1">IFERROR(__xludf.DUMMYFUNCTION("""COMPUTED_VALUE"""),"Gabbie Carter - 33418129 - Onlyfans")</f>
        <v>Gabbie Carter - 33418129 - Onlyfans</v>
      </c>
      <c r="C389" s="60" t="str">
        <f ca="1">IFERROR(__xludf.DUMMYFUNCTION("""COMPUTED_VALUE"""),"https://thumbcdn.com/splash/4xo0ah6useo2sy1f.jpg")</f>
        <v>https://thumbcdn.com/splash/4xo0ah6useo2sy1f.jpg</v>
      </c>
      <c r="D389" s="12" t="s">
        <v>3141</v>
      </c>
      <c r="E389" s="57" t="str">
        <f ca="1">IFERROR(__xludf.DUMMYFUNCTION("""COMPUTED_VALUE"""),"OK")</f>
        <v>OK</v>
      </c>
      <c r="F389" s="46"/>
      <c r="G389" s="45" t="s">
        <v>9822</v>
      </c>
      <c r="H389" s="45" t="s">
        <v>9832</v>
      </c>
    </row>
    <row r="390" spans="1:8">
      <c r="A390" s="12"/>
      <c r="B390" s="12" t="str">
        <f ca="1">IFERROR(__xludf.DUMMYFUNCTION("""COMPUTED_VALUE"""),"Gabbie Carter - 34898438 - Onlyfans")</f>
        <v>Gabbie Carter - 34898438 - Onlyfans</v>
      </c>
      <c r="C390" s="60" t="str">
        <f ca="1">IFERROR(__xludf.DUMMYFUNCTION("""COMPUTED_VALUE"""),"https://thumbcdn.com/splash/b4jfshe4fxjqpqbx.jpg")</f>
        <v>https://thumbcdn.com/splash/b4jfshe4fxjqpqbx.jpg</v>
      </c>
      <c r="D390" s="12" t="s">
        <v>3146</v>
      </c>
      <c r="E390" s="57" t="str">
        <f ca="1">IFERROR(__xludf.DUMMYFUNCTION("""COMPUTED_VALUE"""),"OK")</f>
        <v>OK</v>
      </c>
      <c r="F390" s="46"/>
      <c r="G390" s="45" t="s">
        <v>9822</v>
      </c>
      <c r="H390" s="45" t="s">
        <v>9833</v>
      </c>
    </row>
    <row r="391" spans="1:8">
      <c r="A391" s="12" t="s">
        <v>9834</v>
      </c>
      <c r="B391" s="12" t="str">
        <f ca="1">IFERROR(__xludf.DUMMYFUNCTION("""COMPUTED_VALUE"""),"Gabbie Carter - 35121961 - Onlyfans")</f>
        <v>Gabbie Carter - 35121961 - Onlyfans</v>
      </c>
      <c r="C391" s="60" t="str">
        <f ca="1">IFERROR(__xludf.DUMMYFUNCTION("""COMPUTED_VALUE"""),"https://thumbcdn.com/splash/4h4877vs9lfaj0d9.jpg")</f>
        <v>https://thumbcdn.com/splash/4h4877vs9lfaj0d9.jpg</v>
      </c>
      <c r="D391" s="12" t="s">
        <v>3151</v>
      </c>
      <c r="E391" s="57" t="str">
        <f ca="1">IFERROR(__xludf.DUMMYFUNCTION("""COMPUTED_VALUE"""),"OK")</f>
        <v>OK</v>
      </c>
      <c r="F391" s="46"/>
      <c r="G391" s="45" t="s">
        <v>9822</v>
      </c>
      <c r="H391" s="45" t="s">
        <v>9835</v>
      </c>
    </row>
    <row r="392" spans="1:8">
      <c r="A392" s="59" t="s">
        <v>9836</v>
      </c>
      <c r="B392" s="12" t="str">
        <f ca="1">IFERROR(__xludf.DUMMYFUNCTION("""COMPUTED_VALUE"""),"Gabbie Carter - 36367348 - Onlyfans")</f>
        <v>Gabbie Carter - 36367348 - Onlyfans</v>
      </c>
      <c r="C392" s="60" t="str">
        <f ca="1">IFERROR(__xludf.DUMMYFUNCTION("""COMPUTED_VALUE"""),"https://thumbcdn.com/splash/0tssguatf27bmliq.jpg")</f>
        <v>https://thumbcdn.com/splash/0tssguatf27bmliq.jpg</v>
      </c>
      <c r="D392" s="16" t="s">
        <v>3156</v>
      </c>
      <c r="E392" s="57" t="str">
        <f ca="1">IFERROR(__xludf.DUMMYFUNCTION("""COMPUTED_VALUE"""),"OK")</f>
        <v>OK</v>
      </c>
      <c r="F392" s="46"/>
      <c r="G392" s="45" t="s">
        <v>9822</v>
      </c>
      <c r="H392" s="45" t="s">
        <v>9837</v>
      </c>
    </row>
    <row r="393" spans="1:8">
      <c r="A393" s="12"/>
      <c r="B393" s="12" t="str">
        <f ca="1">IFERROR(__xludf.DUMMYFUNCTION("""COMPUTED_VALUE"""),"Gabbie Carter - 43063870 - Onlyfans")</f>
        <v>Gabbie Carter - 43063870 - Onlyfans</v>
      </c>
      <c r="C393" s="60" t="str">
        <f ca="1">IFERROR(__xludf.DUMMYFUNCTION("""COMPUTED_VALUE"""),"https://thumbcdn.com/splash/72h41g4xk6me5lqu.jpg")</f>
        <v>https://thumbcdn.com/splash/72h41g4xk6me5lqu.jpg</v>
      </c>
      <c r="D393" s="11" t="s">
        <v>3183</v>
      </c>
      <c r="E393" s="63" t="str">
        <f ca="1">IFERROR(__xludf.DUMMYFUNCTION("""COMPUTED_VALUE"""),"OK")</f>
        <v>OK</v>
      </c>
      <c r="F393" s="46"/>
      <c r="G393" s="45" t="s">
        <v>9822</v>
      </c>
      <c r="H393" s="45" t="s">
        <v>9838</v>
      </c>
    </row>
    <row r="394" spans="1:8">
      <c r="A394" s="12" t="s">
        <v>9839</v>
      </c>
      <c r="B394" s="12" t="str">
        <f ca="1">IFERROR(__xludf.DUMMYFUNCTION("""COMPUTED_VALUE"""),"Gabbie Carter - 43669016 - Onlyfans")</f>
        <v>Gabbie Carter - 43669016 - Onlyfans</v>
      </c>
      <c r="C394" s="60" t="str">
        <f ca="1">IFERROR(__xludf.DUMMYFUNCTION("""COMPUTED_VALUE"""),"https://thumbcdn.com/splash/pqzisv0cpvt6mvat.jpg")</f>
        <v>https://thumbcdn.com/splash/pqzisv0cpvt6mvat.jpg</v>
      </c>
      <c r="D394" s="12" t="s">
        <v>3188</v>
      </c>
      <c r="E394" s="57" t="str">
        <f ca="1">IFERROR(__xludf.DUMMYFUNCTION("""COMPUTED_VALUE"""),"OK")</f>
        <v>OK</v>
      </c>
      <c r="F394" s="46"/>
      <c r="G394" s="45" t="s">
        <v>9822</v>
      </c>
      <c r="H394" s="45" t="s">
        <v>9840</v>
      </c>
    </row>
    <row r="395" spans="1:8">
      <c r="A395" s="59" t="s">
        <v>9841</v>
      </c>
      <c r="B395" s="12" t="str">
        <f ca="1">IFERROR(__xludf.DUMMYFUNCTION("""COMPUTED_VALUE"""),"Gabbie Carter - 45387459 - Onlyfans")</f>
        <v>Gabbie Carter - 45387459 - Onlyfans</v>
      </c>
      <c r="C395" s="60" t="str">
        <f ca="1">IFERROR(__xludf.DUMMYFUNCTION("""COMPUTED_VALUE"""),"https://thumbcdn.com/splash/x8kg284q78a9c5jy.jpg")</f>
        <v>https://thumbcdn.com/splash/x8kg284q78a9c5jy.jpg</v>
      </c>
      <c r="D395" s="16" t="s">
        <v>3193</v>
      </c>
      <c r="E395" s="57" t="str">
        <f ca="1">IFERROR(__xludf.DUMMYFUNCTION("""COMPUTED_VALUE"""),"OK")</f>
        <v>OK</v>
      </c>
      <c r="F395" s="46"/>
      <c r="G395" s="45" t="s">
        <v>9822</v>
      </c>
      <c r="H395" s="45" t="s">
        <v>9842</v>
      </c>
    </row>
    <row r="396" spans="1:8">
      <c r="A396" s="12"/>
      <c r="B396" s="12" t="str">
        <f ca="1">IFERROR(__xludf.DUMMYFUNCTION("""COMPUTED_VALUE"""),"Gabbie Carter - 47956232 - Onlyfans")</f>
        <v>Gabbie Carter - 47956232 - Onlyfans</v>
      </c>
      <c r="C396" s="60" t="str">
        <f ca="1">IFERROR(__xludf.DUMMYFUNCTION("""COMPUTED_VALUE"""),"https://thumbcdn.com/splash/7gwmuwp221ev66yb.jpg")</f>
        <v>https://thumbcdn.com/splash/7gwmuwp221ev66yb.jpg</v>
      </c>
      <c r="D396" s="6" t="s">
        <v>3197</v>
      </c>
      <c r="E396" s="63" t="str">
        <f ca="1">IFERROR(__xludf.DUMMYFUNCTION("""COMPUTED_VALUE"""),"OK")</f>
        <v>OK</v>
      </c>
      <c r="F396" s="46"/>
      <c r="G396" s="45" t="s">
        <v>9822</v>
      </c>
      <c r="H396" s="45" t="s">
        <v>9843</v>
      </c>
    </row>
    <row r="397" spans="1:8">
      <c r="A397" s="12" t="s">
        <v>9844</v>
      </c>
      <c r="B397" s="12" t="str">
        <f ca="1">IFERROR(__xludf.DUMMYFUNCTION("""COMPUTED_VALUE"""),"Gabbie Carter - 47987650 - Onlyfans")</f>
        <v>Gabbie Carter - 47987650 - Onlyfans</v>
      </c>
      <c r="C397" s="60" t="str">
        <f ca="1">IFERROR(__xludf.DUMMYFUNCTION("""COMPUTED_VALUE"""),"https://thumbcdn.com/splash/f0gwuc66qh4vcdt1.jpg")</f>
        <v>https://thumbcdn.com/splash/f0gwuc66qh4vcdt1.jpg</v>
      </c>
      <c r="D397" s="6" t="s">
        <v>3202</v>
      </c>
      <c r="E397" s="63" t="str">
        <f ca="1">IFERROR(__xludf.DUMMYFUNCTION("""COMPUTED_VALUE"""),"OK")</f>
        <v>OK</v>
      </c>
      <c r="F397" s="46"/>
      <c r="G397" s="45" t="s">
        <v>9822</v>
      </c>
      <c r="H397" s="45" t="s">
        <v>9845</v>
      </c>
    </row>
    <row r="398" spans="1:8">
      <c r="A398" s="59" t="s">
        <v>9846</v>
      </c>
      <c r="B398" s="12" t="str">
        <f ca="1">IFERROR(__xludf.DUMMYFUNCTION("""COMPUTED_VALUE"""),"Gabbie Carter - 48558257 - Onlyfans")</f>
        <v>Gabbie Carter - 48558257 - Onlyfans</v>
      </c>
      <c r="C398" s="60" t="str">
        <f ca="1">IFERROR(__xludf.DUMMYFUNCTION("""COMPUTED_VALUE"""),"https://thumbcdn.com/splash/bbqhzd0azjagxf6i.jpg")</f>
        <v>https://thumbcdn.com/splash/bbqhzd0azjagxf6i.jpg</v>
      </c>
      <c r="D398" s="12" t="s">
        <v>3208</v>
      </c>
      <c r="E398" s="57" t="str">
        <f ca="1">IFERROR(__xludf.DUMMYFUNCTION("""COMPUTED_VALUE"""),"OK")</f>
        <v>OK</v>
      </c>
      <c r="F398" s="46"/>
      <c r="G398" s="45" t="s">
        <v>9822</v>
      </c>
      <c r="H398" s="45" t="s">
        <v>9847</v>
      </c>
    </row>
    <row r="399" spans="1:8">
      <c r="A399" s="12"/>
      <c r="B399" s="12" t="str">
        <f ca="1">IFERROR(__xludf.DUMMYFUNCTION("""COMPUTED_VALUE"""),"Gabbie Carter - 57774773 - Onlyfans")</f>
        <v>Gabbie Carter - 57774773 - Onlyfans</v>
      </c>
      <c r="C399" s="60" t="str">
        <f ca="1">IFERROR(__xludf.DUMMYFUNCTION("""COMPUTED_VALUE"""),"https://thumbcdn.com/splash/q94obvbveyamcnj3.jpg")</f>
        <v>https://thumbcdn.com/splash/q94obvbveyamcnj3.jpg</v>
      </c>
      <c r="D399" s="12" t="s">
        <v>3219</v>
      </c>
      <c r="E399" s="57" t="str">
        <f ca="1">IFERROR(__xludf.DUMMYFUNCTION("""COMPUTED_VALUE"""),"OK")</f>
        <v>OK</v>
      </c>
      <c r="F399" s="46"/>
      <c r="G399" s="45" t="s">
        <v>9822</v>
      </c>
      <c r="H399" s="45" t="s">
        <v>9848</v>
      </c>
    </row>
    <row r="400" spans="1:8">
      <c r="A400" s="12" t="s">
        <v>9849</v>
      </c>
      <c r="B400" s="12" t="str">
        <f ca="1">IFERROR(__xludf.DUMMYFUNCTION("""COMPUTED_VALUE"""),"Gabbie Carter - 57960276 - Onlyfans")</f>
        <v>Gabbie Carter - 57960276 - Onlyfans</v>
      </c>
      <c r="C400" s="60" t="str">
        <f ca="1">IFERROR(__xludf.DUMMYFUNCTION("""COMPUTED_VALUE"""),"https://thumbcdn.com/splash/5nuvjrif0acni17q.jpg")</f>
        <v>https://thumbcdn.com/splash/5nuvjrif0acni17q.jpg</v>
      </c>
      <c r="D400" s="12" t="s">
        <v>3224</v>
      </c>
      <c r="E400" s="57" t="str">
        <f ca="1">IFERROR(__xludf.DUMMYFUNCTION("""COMPUTED_VALUE"""),"OK")</f>
        <v>OK</v>
      </c>
      <c r="F400" s="46"/>
      <c r="G400" s="45" t="s">
        <v>9822</v>
      </c>
      <c r="H400" s="45" t="s">
        <v>9850</v>
      </c>
    </row>
    <row r="401" spans="1:8">
      <c r="A401" s="59" t="s">
        <v>9851</v>
      </c>
      <c r="B401" s="12" t="str">
        <f ca="1">IFERROR(__xludf.DUMMYFUNCTION("""COMPUTED_VALUE"""),"Gabbie Carter - 59574286 - Onlyfans")</f>
        <v>Gabbie Carter - 59574286 - Onlyfans</v>
      </c>
      <c r="C401" s="60" t="str">
        <f ca="1">IFERROR(__xludf.DUMMYFUNCTION("""COMPUTED_VALUE"""),"https://thumbcdn.com/splash/g5o8vbv5gghx7cjv.jpg")</f>
        <v>https://thumbcdn.com/splash/g5o8vbv5gghx7cjv.jpg</v>
      </c>
      <c r="D401" s="12" t="s">
        <v>3229</v>
      </c>
      <c r="E401" s="57" t="str">
        <f ca="1">IFERROR(__xludf.DUMMYFUNCTION("""COMPUTED_VALUE"""),"OK")</f>
        <v>OK</v>
      </c>
      <c r="F401" s="46"/>
      <c r="G401" s="45" t="s">
        <v>9822</v>
      </c>
      <c r="H401" s="45" t="s">
        <v>9852</v>
      </c>
    </row>
    <row r="402" spans="1:8">
      <c r="A402" s="12"/>
      <c r="B402" s="12" t="str">
        <f ca="1">IFERROR(__xludf.DUMMYFUNCTION("""COMPUTED_VALUE"""),"Gabbie Carter - 66679080 - Onlyfans")</f>
        <v>Gabbie Carter - 66679080 - Onlyfans</v>
      </c>
      <c r="C402" s="60" t="str">
        <f ca="1">IFERROR(__xludf.DUMMYFUNCTION("""COMPUTED_VALUE"""),"https://thumbcdn.com/splash/1ir6geoxfwdtwlt9.jpg")</f>
        <v>https://thumbcdn.com/splash/1ir6geoxfwdtwlt9.jpg</v>
      </c>
      <c r="D402" s="12" t="s">
        <v>3246</v>
      </c>
      <c r="E402" s="57" t="str">
        <f ca="1">IFERROR(__xludf.DUMMYFUNCTION("""COMPUTED_VALUE"""),"OK")</f>
        <v>OK</v>
      </c>
      <c r="F402" s="46"/>
      <c r="G402" s="45" t="s">
        <v>9822</v>
      </c>
      <c r="H402" s="45" t="s">
        <v>9853</v>
      </c>
    </row>
    <row r="403" spans="1:8">
      <c r="A403" s="12" t="s">
        <v>9854</v>
      </c>
      <c r="B403" s="12" t="str">
        <f ca="1">IFERROR(__xludf.DUMMYFUNCTION("""COMPUTED_VALUE"""),"Gabbie Carter - 67796670 - Onlyfans")</f>
        <v>Gabbie Carter - 67796670 - Onlyfans</v>
      </c>
      <c r="C403" s="60" t="str">
        <f ca="1">IFERROR(__xludf.DUMMYFUNCTION("""COMPUTED_VALUE"""),"https://thumbcdn.com/splash/qmzohui7mnreacu7.jpg")</f>
        <v>https://thumbcdn.com/splash/qmzohui7mnreacu7.jpg</v>
      </c>
      <c r="D403" s="12" t="s">
        <v>3251</v>
      </c>
      <c r="E403" s="57" t="str">
        <f ca="1">IFERROR(__xludf.DUMMYFUNCTION("""COMPUTED_VALUE"""),"OK")</f>
        <v>OK</v>
      </c>
      <c r="F403" s="46"/>
      <c r="G403" s="45" t="s">
        <v>9822</v>
      </c>
      <c r="H403" s="45" t="s">
        <v>9855</v>
      </c>
    </row>
    <row r="404" spans="1:8">
      <c r="A404" s="59" t="s">
        <v>9856</v>
      </c>
      <c r="B404" s="12" t="str">
        <f ca="1">IFERROR(__xludf.DUMMYFUNCTION("""COMPUTED_VALUE"""),"Gabbie Carter - 70879136 - Onlyfans")</f>
        <v>Gabbie Carter - 70879136 - Onlyfans</v>
      </c>
      <c r="C404" s="60" t="str">
        <f ca="1">IFERROR(__xludf.DUMMYFUNCTION("""COMPUTED_VALUE"""),"https://thumbcdn.com/splash/3ny66ar9z6p4kx26.jpg")</f>
        <v>https://thumbcdn.com/splash/3ny66ar9z6p4kx26.jpg</v>
      </c>
      <c r="D404" s="6" t="s">
        <v>3261</v>
      </c>
      <c r="E404" s="63" t="str">
        <f ca="1">IFERROR(__xludf.DUMMYFUNCTION("""COMPUTED_VALUE"""),"OK")</f>
        <v>OK</v>
      </c>
      <c r="F404" s="46"/>
      <c r="G404" s="45" t="s">
        <v>9822</v>
      </c>
      <c r="H404" s="45" t="s">
        <v>9857</v>
      </c>
    </row>
    <row r="405" spans="1:8">
      <c r="A405" s="12"/>
      <c r="B405" s="12" t="str">
        <f ca="1">IFERROR(__xludf.DUMMYFUNCTION("""COMPUTED_VALUE"""),"Gabbie Carter - 75482473 - Onlyfans")</f>
        <v>Gabbie Carter - 75482473 - Onlyfans</v>
      </c>
      <c r="C405" s="60" t="str">
        <f ca="1">IFERROR(__xludf.DUMMYFUNCTION("""COMPUTED_VALUE"""),"https://thumbcdn.com/splash/m06rn19ry6ypaoz7.jpg")</f>
        <v>https://thumbcdn.com/splash/m06rn19ry6ypaoz7.jpg</v>
      </c>
      <c r="D405" s="6" t="s">
        <v>3265</v>
      </c>
      <c r="E405" s="63" t="str">
        <f ca="1">IFERROR(__xludf.DUMMYFUNCTION("""COMPUTED_VALUE"""),"OK")</f>
        <v>OK</v>
      </c>
      <c r="F405" s="46"/>
      <c r="G405" s="45" t="s">
        <v>9822</v>
      </c>
      <c r="H405" s="45" t="s">
        <v>9858</v>
      </c>
    </row>
    <row r="406" spans="1:8">
      <c r="A406" s="12" t="s">
        <v>9859</v>
      </c>
      <c r="B406" s="12" t="str">
        <f ca="1">IFERROR(__xludf.DUMMYFUNCTION("""COMPUTED_VALUE"""),"Gabbie Carter - 78356614 - Onlyfans")</f>
        <v>Gabbie Carter - 78356614 - Onlyfans</v>
      </c>
      <c r="C406" s="60" t="str">
        <f ca="1">IFERROR(__xludf.DUMMYFUNCTION("""COMPUTED_VALUE"""),"https://thumbcdn.com/splash/2q990cs129j8n5pb.jpg")</f>
        <v>https://thumbcdn.com/splash/2q990cs129j8n5pb.jpg</v>
      </c>
      <c r="D406" s="12" t="s">
        <v>3269</v>
      </c>
      <c r="E406" s="57" t="str">
        <f ca="1">IFERROR(__xludf.DUMMYFUNCTION("""COMPUTED_VALUE"""),"OK")</f>
        <v>OK</v>
      </c>
      <c r="F406" s="46"/>
      <c r="G406" s="45" t="s">
        <v>9822</v>
      </c>
      <c r="H406" s="45" t="s">
        <v>9860</v>
      </c>
    </row>
    <row r="407" spans="1:8">
      <c r="A407" s="59" t="s">
        <v>9861</v>
      </c>
      <c r="B407" s="12" t="str">
        <f ca="1">IFERROR(__xludf.DUMMYFUNCTION("""COMPUTED_VALUE"""),"Gabbie Carter - 82882024 - Onlyfans")</f>
        <v>Gabbie Carter - 82882024 - Onlyfans</v>
      </c>
      <c r="C407" s="60" t="str">
        <f ca="1">IFERROR(__xludf.DUMMYFUNCTION("""COMPUTED_VALUE"""),"https://thumbcdn.com/splash/20kcdq65w4r84gxg.jpg")</f>
        <v>https://thumbcdn.com/splash/20kcdq65w4r84gxg.jpg</v>
      </c>
      <c r="D407" s="12" t="s">
        <v>3283</v>
      </c>
      <c r="E407" s="57" t="str">
        <f ca="1">IFERROR(__xludf.DUMMYFUNCTION("""COMPUTED_VALUE"""),"OK")</f>
        <v>OK</v>
      </c>
      <c r="F407" s="46"/>
      <c r="G407" s="45" t="s">
        <v>9822</v>
      </c>
      <c r="H407" s="45" t="s">
        <v>9862</v>
      </c>
    </row>
    <row r="408" spans="1:8">
      <c r="A408" s="12"/>
      <c r="B408" s="12" t="str">
        <f ca="1">IFERROR(__xludf.DUMMYFUNCTION("""COMPUTED_VALUE"""),"Gabbie Carter - 83252268 - Onlyfans")</f>
        <v>Gabbie Carter - 83252268 - Onlyfans</v>
      </c>
      <c r="C408" s="60" t="str">
        <f ca="1">IFERROR(__xludf.DUMMYFUNCTION("""COMPUTED_VALUE"""),"https://thumbcdn.com/splash/r0vnhjukqh8qrrms.jpg")</f>
        <v>https://thumbcdn.com/splash/r0vnhjukqh8qrrms.jpg</v>
      </c>
      <c r="D408" s="12" t="s">
        <v>3287</v>
      </c>
      <c r="E408" s="57" t="str">
        <f ca="1">IFERROR(__xludf.DUMMYFUNCTION("""COMPUTED_VALUE"""),"OK")</f>
        <v>OK</v>
      </c>
      <c r="F408" s="46"/>
      <c r="G408" s="45" t="s">
        <v>9822</v>
      </c>
      <c r="H408" s="45" t="s">
        <v>9863</v>
      </c>
    </row>
    <row r="409" spans="1:8">
      <c r="A409" s="12" t="s">
        <v>9864</v>
      </c>
      <c r="B409" s="12" t="str">
        <f ca="1">IFERROR(__xludf.DUMMYFUNCTION("""COMPUTED_VALUE"""),"Gabbie Carter - 84125752 - Onlyfans")</f>
        <v>Gabbie Carter - 84125752 - Onlyfans</v>
      </c>
      <c r="C409" s="60" t="str">
        <f ca="1">IFERROR(__xludf.DUMMYFUNCTION("""COMPUTED_VALUE"""),"https://thumbcdn.com/splash/eetpmo5bbjgqpjcf.jpg")</f>
        <v>https://thumbcdn.com/splash/eetpmo5bbjgqpjcf.jpg</v>
      </c>
      <c r="D409" s="12" t="s">
        <v>3292</v>
      </c>
      <c r="E409" s="57" t="str">
        <f ca="1">IFERROR(__xludf.DUMMYFUNCTION("""COMPUTED_VALUE"""),"OK")</f>
        <v>OK</v>
      </c>
      <c r="F409" s="46"/>
      <c r="G409" s="45" t="s">
        <v>9822</v>
      </c>
      <c r="H409" s="45" t="s">
        <v>9865</v>
      </c>
    </row>
    <row r="410" spans="1:8">
      <c r="A410" s="59" t="s">
        <v>9866</v>
      </c>
      <c r="B410" s="12" t="str">
        <f ca="1">IFERROR(__xludf.DUMMYFUNCTION("""COMPUTED_VALUE"""),"Gabbie Carter - 84416045 - Onlyfans")</f>
        <v>Gabbie Carter - 84416045 - Onlyfans</v>
      </c>
      <c r="C410" s="60" t="str">
        <f ca="1">IFERROR(__xludf.DUMMYFUNCTION("""COMPUTED_VALUE"""),"https://thumbcdn.com/splash/8r5kfml1gxgs5dyn.jpg")</f>
        <v>https://thumbcdn.com/splash/8r5kfml1gxgs5dyn.jpg</v>
      </c>
      <c r="D410" s="12" t="s">
        <v>3297</v>
      </c>
      <c r="E410" s="57" t="str">
        <f ca="1">IFERROR(__xludf.DUMMYFUNCTION("""COMPUTED_VALUE"""),"OK")</f>
        <v>OK</v>
      </c>
      <c r="F410" s="46"/>
      <c r="G410" s="45" t="s">
        <v>9822</v>
      </c>
      <c r="H410" s="45" t="s">
        <v>9867</v>
      </c>
    </row>
    <row r="411" spans="1:8">
      <c r="A411" s="12"/>
      <c r="B411" s="12" t="str">
        <f ca="1">IFERROR(__xludf.DUMMYFUNCTION("""COMPUTED_VALUE"""),"Gabbie Carter - 85598003 - Onlyfans")</f>
        <v>Gabbie Carter - 85598003 - Onlyfans</v>
      </c>
      <c r="C411" s="60" t="str">
        <f ca="1">IFERROR(__xludf.DUMMYFUNCTION("""COMPUTED_VALUE"""),"https://thumbcdn.com/splash/jj7vs30qnrc554cy.jpg")</f>
        <v>https://thumbcdn.com/splash/jj7vs30qnrc554cy.jpg</v>
      </c>
      <c r="D411" s="12" t="s">
        <v>3302</v>
      </c>
      <c r="E411" s="57" t="str">
        <f ca="1">IFERROR(__xludf.DUMMYFUNCTION("""COMPUTED_VALUE"""),"OK")</f>
        <v>OK</v>
      </c>
      <c r="F411" s="46"/>
      <c r="G411" s="45" t="s">
        <v>9822</v>
      </c>
      <c r="H411" s="45" t="s">
        <v>9868</v>
      </c>
    </row>
    <row r="412" spans="1:8">
      <c r="A412" s="12" t="s">
        <v>9869</v>
      </c>
      <c r="B412" s="12" t="str">
        <f ca="1">IFERROR(__xludf.DUMMYFUNCTION("""COMPUTED_VALUE"""),"Gabbie Carter - 88513952 - Onlyfans")</f>
        <v>Gabbie Carter - 88513952 - Onlyfans</v>
      </c>
      <c r="C412" s="60" t="str">
        <f ca="1">IFERROR(__xludf.DUMMYFUNCTION("""COMPUTED_VALUE"""),"https://thumbcdn.com/splash/q1r6c7n9a20la2g6.jpg")</f>
        <v>https://thumbcdn.com/splash/q1r6c7n9a20la2g6.jpg</v>
      </c>
      <c r="D412" s="12" t="s">
        <v>3317</v>
      </c>
      <c r="E412" s="57" t="str">
        <f ca="1">IFERROR(__xludf.DUMMYFUNCTION("""COMPUTED_VALUE"""),"OK")</f>
        <v>OK</v>
      </c>
      <c r="F412" s="46"/>
      <c r="G412" s="45" t="s">
        <v>9822</v>
      </c>
      <c r="H412" s="45" t="s">
        <v>9870</v>
      </c>
    </row>
    <row r="413" spans="1:8">
      <c r="A413" s="59" t="s">
        <v>9871</v>
      </c>
      <c r="B413" s="12" t="str">
        <f ca="1">IFERROR(__xludf.DUMMYFUNCTION("""COMPUTED_VALUE"""),"Gabbie Carter - 91592222 - Onlyfans")</f>
        <v>Gabbie Carter - 91592222 - Onlyfans</v>
      </c>
      <c r="C413" s="60" t="str">
        <f ca="1">IFERROR(__xludf.DUMMYFUNCTION("""COMPUTED_VALUE"""),"https://thumbcdn.com/splash/n5yryih23c7zsutm.jpg")</f>
        <v>https://thumbcdn.com/splash/n5yryih23c7zsutm.jpg</v>
      </c>
      <c r="D413" s="12" t="s">
        <v>3321</v>
      </c>
      <c r="E413" s="57" t="str">
        <f ca="1">IFERROR(__xludf.DUMMYFUNCTION("""COMPUTED_VALUE"""),"OK")</f>
        <v>OK</v>
      </c>
      <c r="F413" s="46"/>
      <c r="G413" s="45" t="s">
        <v>9822</v>
      </c>
      <c r="H413" s="45" t="s">
        <v>9872</v>
      </c>
    </row>
    <row r="414" spans="1:8">
      <c r="A414" s="12"/>
      <c r="B414" s="12" t="str">
        <f ca="1">IFERROR(__xludf.DUMMYFUNCTION("""COMPUTED_VALUE"""),"Gabbie Carter - 96137621 - Onlyfans")</f>
        <v>Gabbie Carter - 96137621 - Onlyfans</v>
      </c>
      <c r="C414" s="60" t="str">
        <f ca="1">IFERROR(__xludf.DUMMYFUNCTION("""COMPUTED_VALUE"""),"https://thumbcdn.com/splash/31e4dv8ry2tsndea.jpg")</f>
        <v>https://thumbcdn.com/splash/31e4dv8ry2tsndea.jpg</v>
      </c>
      <c r="D414" s="6" t="s">
        <v>3326</v>
      </c>
      <c r="E414" s="63" t="str">
        <f ca="1">IFERROR(__xludf.DUMMYFUNCTION("""COMPUTED_VALUE"""),"OK")</f>
        <v>OK</v>
      </c>
      <c r="F414" s="46"/>
      <c r="G414" s="45" t="s">
        <v>9822</v>
      </c>
      <c r="H414" s="45" t="s">
        <v>9873</v>
      </c>
    </row>
    <row r="415" spans="1:8">
      <c r="A415" s="12" t="s">
        <v>9874</v>
      </c>
      <c r="B415" s="12" t="str">
        <f ca="1">IFERROR(__xludf.DUMMYFUNCTION("""COMPUTED_VALUE"""),"Gabbie Carter - 98491626 - Onlyfans")</f>
        <v>Gabbie Carter - 98491626 - Onlyfans</v>
      </c>
      <c r="C415" s="60" t="str">
        <f ca="1">IFERROR(__xludf.DUMMYFUNCTION("""COMPUTED_VALUE"""),"https://thumbcdn.com/splash/l4fz7avabmvle6of.jpg")</f>
        <v>https://thumbcdn.com/splash/l4fz7avabmvle6of.jpg</v>
      </c>
      <c r="D415" s="12" t="s">
        <v>3331</v>
      </c>
      <c r="E415" s="57" t="str">
        <f ca="1">IFERROR(__xludf.DUMMYFUNCTION("""COMPUTED_VALUE"""),"OK")</f>
        <v>OK</v>
      </c>
      <c r="F415" s="46"/>
      <c r="G415" s="45" t="s">
        <v>9822</v>
      </c>
      <c r="H415" s="45" t="s">
        <v>9875</v>
      </c>
    </row>
    <row r="416" spans="1:8">
      <c r="A416" s="59" t="s">
        <v>9876</v>
      </c>
      <c r="B416" s="12" t="str">
        <f ca="1">IFERROR(__xludf.DUMMYFUNCTION("""COMPUTED_VALUE"""),"Gianna Dior - 79907199 - Onlyfans")</f>
        <v>Gianna Dior - 79907199 - Onlyfans</v>
      </c>
      <c r="C416" s="60" t="str">
        <f ca="1">IFERROR(__xludf.DUMMYFUNCTION("""COMPUTED_VALUE"""),"https://thumbcdn.com/splash/zghgrbosg69u2c9r.jpg")</f>
        <v>https://thumbcdn.com/splash/zghgrbosg69u2c9r.jpg</v>
      </c>
      <c r="D416" s="12" t="s">
        <v>3351</v>
      </c>
      <c r="E416" s="57" t="str">
        <f ca="1">IFERROR(__xludf.DUMMYFUNCTION("""COMPUTED_VALUE"""),"OK")</f>
        <v>OK</v>
      </c>
      <c r="F416" s="46"/>
      <c r="G416" s="45" t="s">
        <v>9822</v>
      </c>
      <c r="H416" s="45" t="s">
        <v>9877</v>
      </c>
    </row>
    <row r="417" spans="1:8">
      <c r="A417" s="12"/>
      <c r="B417" s="12" t="str">
        <f ca="1">IFERROR(__xludf.DUMMYFUNCTION("""COMPUTED_VALUE"""),"Gigi Talamini - 16620448 - Onlyfans")</f>
        <v>Gigi Talamini - 16620448 - Onlyfans</v>
      </c>
      <c r="C417" s="60" t="str">
        <f ca="1">IFERROR(__xludf.DUMMYFUNCTION("""COMPUTED_VALUE"""),"https://thumbcdn.com/splash/8bdx7305vnt1xpt1.jpg")</f>
        <v>https://thumbcdn.com/splash/8bdx7305vnt1xpt1.jpg</v>
      </c>
      <c r="D417" s="12" t="s">
        <v>3372</v>
      </c>
      <c r="E417" s="57" t="str">
        <f ca="1">IFERROR(__xludf.DUMMYFUNCTION("""COMPUTED_VALUE"""),"OK")</f>
        <v>OK</v>
      </c>
      <c r="F417" s="46"/>
      <c r="G417" s="45" t="s">
        <v>9878</v>
      </c>
      <c r="H417" s="45" t="s">
        <v>9879</v>
      </c>
    </row>
    <row r="418" spans="1:8">
      <c r="A418" s="12" t="s">
        <v>9880</v>
      </c>
      <c r="B418" s="12" t="str">
        <f ca="1">IFERROR(__xludf.DUMMYFUNCTION("""COMPUTED_VALUE"""),"Gigi Talamini - 25972018 - Onlyfans")</f>
        <v>Gigi Talamini - 25972018 - Onlyfans</v>
      </c>
      <c r="C418" s="60" t="str">
        <f ca="1">IFERROR(__xludf.DUMMYFUNCTION("""COMPUTED_VALUE"""),"https://thumbcdn.com/splash/wiioqq7zaaw34298.jpg")</f>
        <v>https://thumbcdn.com/splash/wiioqq7zaaw34298.jpg</v>
      </c>
      <c r="D418" s="6" t="s">
        <v>3377</v>
      </c>
      <c r="E418" s="63" t="str">
        <f ca="1">IFERROR(__xludf.DUMMYFUNCTION("""COMPUTED_VALUE"""),"OK")</f>
        <v>OK</v>
      </c>
      <c r="F418" s="46"/>
      <c r="G418" s="45" t="s">
        <v>9881</v>
      </c>
      <c r="H418" s="45" t="s">
        <v>9882</v>
      </c>
    </row>
    <row r="419" spans="1:8">
      <c r="A419" s="59" t="s">
        <v>9883</v>
      </c>
      <c r="B419" s="12" t="str">
        <f ca="1">IFERROR(__xludf.DUMMYFUNCTION("""COMPUTED_VALUE"""),"Gigi Talamini - 33625937 - Onlyfans")</f>
        <v>Gigi Talamini - 33625937 - Onlyfans</v>
      </c>
      <c r="C419" s="60" t="str">
        <f ca="1">IFERROR(__xludf.DUMMYFUNCTION("""COMPUTED_VALUE"""),"https://thumbcdn.com/splash/nw5rlsj8hikpuzpb.jpg")</f>
        <v>https://thumbcdn.com/splash/nw5rlsj8hikpuzpb.jpg</v>
      </c>
      <c r="D419" s="12" t="s">
        <v>3381</v>
      </c>
      <c r="E419" s="57" t="str">
        <f ca="1">IFERROR(__xludf.DUMMYFUNCTION("""COMPUTED_VALUE"""),"OK")</f>
        <v>OK</v>
      </c>
      <c r="F419" s="46"/>
      <c r="G419" s="45" t="s">
        <v>9881</v>
      </c>
      <c r="H419" s="45" t="s">
        <v>9884</v>
      </c>
    </row>
    <row r="420" spans="1:8">
      <c r="A420" s="12"/>
      <c r="B420" s="12" t="str">
        <f ca="1">IFERROR(__xludf.DUMMYFUNCTION("""COMPUTED_VALUE"""),"Gigi Talamini - 45883572 - Onlyfans")</f>
        <v>Gigi Talamini - 45883572 - Onlyfans</v>
      </c>
      <c r="C420" s="60" t="str">
        <f ca="1">IFERROR(__xludf.DUMMYFUNCTION("""COMPUTED_VALUE"""),"https://thumbcdn.com/splash/yrxzeysbfwwtvvny.jpg")</f>
        <v>https://thumbcdn.com/splash/yrxzeysbfwwtvvny.jpg</v>
      </c>
      <c r="D420" s="12" t="s">
        <v>3386</v>
      </c>
      <c r="E420" s="57" t="str">
        <f ca="1">IFERROR(__xludf.DUMMYFUNCTION("""COMPUTED_VALUE"""),"OK")</f>
        <v>OK</v>
      </c>
      <c r="F420" s="46"/>
      <c r="G420" s="45" t="s">
        <v>9881</v>
      </c>
      <c r="H420" s="45" t="s">
        <v>9885</v>
      </c>
    </row>
    <row r="421" spans="1:8">
      <c r="A421" s="12" t="s">
        <v>9886</v>
      </c>
      <c r="B421" s="12" t="str">
        <f ca="1">IFERROR(__xludf.DUMMYFUNCTION("""COMPUTED_VALUE"""),"Gina Valentina - 23298130 - Onlyfans")</f>
        <v>Gina Valentina - 23298130 - Onlyfans</v>
      </c>
      <c r="C421" s="60" t="str">
        <f ca="1">IFERROR(__xludf.DUMMYFUNCTION("""COMPUTED_VALUE"""),"https://thumbcdn.com/splash/kq2qk2u0nftr623j.jpg")</f>
        <v>https://thumbcdn.com/splash/kq2qk2u0nftr623j.jpg</v>
      </c>
      <c r="D421" s="12" t="s">
        <v>3390</v>
      </c>
      <c r="E421" s="57" t="str">
        <f ca="1">IFERROR(__xludf.DUMMYFUNCTION("""COMPUTED_VALUE"""),"OK")</f>
        <v>OK</v>
      </c>
      <c r="F421" s="46"/>
      <c r="G421" s="45" t="s">
        <v>9881</v>
      </c>
      <c r="H421" s="45" t="s">
        <v>9887</v>
      </c>
    </row>
    <row r="422" spans="1:8">
      <c r="A422" s="59" t="s">
        <v>9888</v>
      </c>
      <c r="B422" s="12" t="str">
        <f ca="1">IFERROR(__xludf.DUMMYFUNCTION("""COMPUTED_VALUE"""),"GwenGwiz - 11173292 - Onlyfans")</f>
        <v>GwenGwiz - 11173292 - Onlyfans</v>
      </c>
      <c r="C422" s="60" t="str">
        <f ca="1">IFERROR(__xludf.DUMMYFUNCTION("""COMPUTED_VALUE"""),"https://thumbcdn.com/splash/dyjur4a3krct4ygz.jpg")</f>
        <v>https://thumbcdn.com/splash/dyjur4a3krct4ygz.jpg</v>
      </c>
      <c r="D422" s="6" t="s">
        <v>3413</v>
      </c>
      <c r="E422" s="63" t="str">
        <f ca="1">IFERROR(__xludf.DUMMYFUNCTION("""COMPUTED_VALUE"""),"OK")</f>
        <v>OK</v>
      </c>
      <c r="F422" s="46"/>
      <c r="G422" s="45" t="s">
        <v>9889</v>
      </c>
      <c r="H422" s="45" t="s">
        <v>9890</v>
      </c>
    </row>
    <row r="423" spans="1:8">
      <c r="A423" s="12"/>
      <c r="B423" s="12" t="str">
        <f ca="1">IFERROR(__xludf.DUMMYFUNCTION("""COMPUTED_VALUE"""),"GwenGwiz - 14451453 - Onlyfans")</f>
        <v>GwenGwiz - 14451453 - Onlyfans</v>
      </c>
      <c r="C423" s="60" t="str">
        <f ca="1">IFERROR(__xludf.DUMMYFUNCTION("""COMPUTED_VALUE"""),"https://thumbcdn.com/splash/sh3815tl1h6kwpky.jpg")</f>
        <v>https://thumbcdn.com/splash/sh3815tl1h6kwpky.jpg</v>
      </c>
      <c r="D423" s="12" t="s">
        <v>3418</v>
      </c>
      <c r="E423" s="57" t="str">
        <f ca="1">IFERROR(__xludf.DUMMYFUNCTION("""COMPUTED_VALUE"""),"OK")</f>
        <v>OK</v>
      </c>
      <c r="F423" s="46"/>
      <c r="G423" s="45" t="s">
        <v>9891</v>
      </c>
      <c r="H423" s="45" t="s">
        <v>9892</v>
      </c>
    </row>
    <row r="424" spans="1:8">
      <c r="A424" s="12" t="s">
        <v>9893</v>
      </c>
      <c r="B424" s="12" t="str">
        <f ca="1">IFERROR(__xludf.DUMMYFUNCTION("""COMPUTED_VALUE"""),"GwenGwiz - 19746229 - Onlyfans")</f>
        <v>GwenGwiz - 19746229 - Onlyfans</v>
      </c>
      <c r="C424" s="60" t="str">
        <f ca="1">IFERROR(__xludf.DUMMYFUNCTION("""COMPUTED_VALUE"""),"https://thumbcdn.com/splash/wure0a6imdb9xmgf.jpg")</f>
        <v>https://thumbcdn.com/splash/wure0a6imdb9xmgf.jpg</v>
      </c>
      <c r="D424" s="12" t="s">
        <v>3424</v>
      </c>
      <c r="E424" s="57" t="str">
        <f ca="1">IFERROR(__xludf.DUMMYFUNCTION("""COMPUTED_VALUE"""),"OK")</f>
        <v>OK</v>
      </c>
      <c r="F424" s="46"/>
      <c r="G424" s="45" t="s">
        <v>9891</v>
      </c>
      <c r="H424" s="45" t="s">
        <v>9894</v>
      </c>
    </row>
    <row r="425" spans="1:8">
      <c r="A425" s="59" t="s">
        <v>9895</v>
      </c>
      <c r="B425" s="12" t="str">
        <f ca="1">IFERROR(__xludf.DUMMYFUNCTION("""COMPUTED_VALUE"""),"GwenGwiz - 21124761 - Onlyfans")</f>
        <v>GwenGwiz - 21124761 - Onlyfans</v>
      </c>
      <c r="C425" s="60" t="str">
        <f ca="1">IFERROR(__xludf.DUMMYFUNCTION("""COMPUTED_VALUE"""),"https://thumbcdn.com/splash/3v9wgfgmzqztpmkq.jpg")</f>
        <v>https://thumbcdn.com/splash/3v9wgfgmzqztpmkq.jpg</v>
      </c>
      <c r="D425" s="12" t="s">
        <v>3428</v>
      </c>
      <c r="E425" s="57" t="str">
        <f ca="1">IFERROR(__xludf.DUMMYFUNCTION("""COMPUTED_VALUE"""),"OK")</f>
        <v>OK</v>
      </c>
      <c r="F425" s="46"/>
      <c r="G425" s="45" t="s">
        <v>9891</v>
      </c>
      <c r="H425" s="45" t="s">
        <v>9896</v>
      </c>
    </row>
    <row r="426" spans="1:8">
      <c r="A426" s="12"/>
      <c r="B426" s="12" t="str">
        <f ca="1">IFERROR(__xludf.DUMMYFUNCTION("""COMPUTED_VALUE"""),"GwenGwiz - 21171873 - Onlyfans")</f>
        <v>GwenGwiz - 21171873 - Onlyfans</v>
      </c>
      <c r="C426" s="60" t="str">
        <f ca="1">IFERROR(__xludf.DUMMYFUNCTION("""COMPUTED_VALUE"""),"https://thumbcdn.com/splash/88tz487b81lhj5tu.jpg")</f>
        <v>https://thumbcdn.com/splash/88tz487b81lhj5tu.jpg</v>
      </c>
      <c r="D426" s="6" t="s">
        <v>3432</v>
      </c>
      <c r="E426" s="63" t="str">
        <f ca="1">IFERROR(__xludf.DUMMYFUNCTION("""COMPUTED_VALUE"""),"OK")</f>
        <v>OK</v>
      </c>
      <c r="F426" s="46"/>
      <c r="G426" s="45" t="s">
        <v>9891</v>
      </c>
      <c r="H426" s="45" t="s">
        <v>9897</v>
      </c>
    </row>
    <row r="427" spans="1:8">
      <c r="A427" s="12" t="s">
        <v>9898</v>
      </c>
      <c r="B427" s="12" t="str">
        <f ca="1">IFERROR(__xludf.DUMMYFUNCTION("""COMPUTED_VALUE"""),"GwenGwiz - 23883767 - Onlyfans")</f>
        <v>GwenGwiz - 23883767 - Onlyfans</v>
      </c>
      <c r="C427" s="60" t="str">
        <f ca="1">IFERROR(__xludf.DUMMYFUNCTION("""COMPUTED_VALUE"""),"https://thumbcdn.com/splash/enrk8vhpo4hy26pz.jpg")</f>
        <v>https://thumbcdn.com/splash/enrk8vhpo4hy26pz.jpg</v>
      </c>
      <c r="D427" s="6" t="s">
        <v>3437</v>
      </c>
      <c r="E427" s="63" t="str">
        <f ca="1">IFERROR(__xludf.DUMMYFUNCTION("""COMPUTED_VALUE"""),"OK")</f>
        <v>OK</v>
      </c>
      <c r="F427" s="46"/>
      <c r="G427" s="45" t="s">
        <v>9891</v>
      </c>
      <c r="H427" s="45" t="s">
        <v>9899</v>
      </c>
    </row>
    <row r="428" spans="1:8">
      <c r="A428" s="59" t="s">
        <v>9900</v>
      </c>
      <c r="B428" s="12" t="str">
        <f ca="1">IFERROR(__xludf.DUMMYFUNCTION("""COMPUTED_VALUE"""),"GwenGwiz - 26925539 - Onlyfans")</f>
        <v>GwenGwiz - 26925539 - Onlyfans</v>
      </c>
      <c r="C428" s="60" t="str">
        <f ca="1">IFERROR(__xludf.DUMMYFUNCTION("""COMPUTED_VALUE"""),"https://thumbcdn.com/splash/oizkj4eh7v6dtfwj.jpg")</f>
        <v>https://thumbcdn.com/splash/oizkj4eh7v6dtfwj.jpg</v>
      </c>
      <c r="D428" s="12" t="s">
        <v>3443</v>
      </c>
      <c r="E428" s="57" t="str">
        <f ca="1">IFERROR(__xludf.DUMMYFUNCTION("""COMPUTED_VALUE"""),"OK")</f>
        <v>OK</v>
      </c>
      <c r="F428" s="46"/>
      <c r="G428" s="45" t="s">
        <v>9891</v>
      </c>
      <c r="H428" s="45" t="s">
        <v>9901</v>
      </c>
    </row>
    <row r="429" spans="1:8">
      <c r="A429" s="12"/>
      <c r="B429" s="12" t="str">
        <f ca="1">IFERROR(__xludf.DUMMYFUNCTION("""COMPUTED_VALUE"""),"GwenGwiz - 32001059 - Onlyfans")</f>
        <v>GwenGwiz - 32001059 - Onlyfans</v>
      </c>
      <c r="C429" s="60" t="str">
        <f ca="1">IFERROR(__xludf.DUMMYFUNCTION("""COMPUTED_VALUE"""),"https://thumbcdn.com/splash/xg6x4fgfubkpervi.jpg")</f>
        <v>https://thumbcdn.com/splash/xg6x4fgfubkpervi.jpg</v>
      </c>
      <c r="D429" s="12" t="s">
        <v>3447</v>
      </c>
      <c r="E429" s="57" t="str">
        <f ca="1">IFERROR(__xludf.DUMMYFUNCTION("""COMPUTED_VALUE"""),"OK")</f>
        <v>OK</v>
      </c>
      <c r="F429" s="46"/>
      <c r="G429" s="45" t="s">
        <v>9891</v>
      </c>
      <c r="H429" s="45" t="s">
        <v>9902</v>
      </c>
    </row>
    <row r="430" spans="1:8">
      <c r="A430" s="12" t="s">
        <v>9903</v>
      </c>
      <c r="B430" s="12" t="str">
        <f ca="1">IFERROR(__xludf.DUMMYFUNCTION("""COMPUTED_VALUE"""),"GwenGwiz - 36201641 - Onlyfans")</f>
        <v>GwenGwiz - 36201641 - Onlyfans</v>
      </c>
      <c r="C430" s="60" t="str">
        <f ca="1">IFERROR(__xludf.DUMMYFUNCTION("""COMPUTED_VALUE"""),"https://thumbcdn.com/splash/d1eoar2f9l45vj8n.jpg")</f>
        <v>https://thumbcdn.com/splash/d1eoar2f9l45vj8n.jpg</v>
      </c>
      <c r="D430" s="12" t="s">
        <v>3452</v>
      </c>
      <c r="E430" s="57" t="str">
        <f ca="1">IFERROR(__xludf.DUMMYFUNCTION("""COMPUTED_VALUE"""),"OK")</f>
        <v>OK</v>
      </c>
      <c r="F430" s="46"/>
      <c r="G430" s="45" t="s">
        <v>9891</v>
      </c>
      <c r="H430" s="45" t="s">
        <v>9904</v>
      </c>
    </row>
    <row r="431" spans="1:8">
      <c r="A431" s="59" t="s">
        <v>9905</v>
      </c>
      <c r="B431" s="12" t="str">
        <f ca="1">IFERROR(__xludf.DUMMYFUNCTION("""COMPUTED_VALUE"""),"GwenGwiz - 40219417 - Onlyfans")</f>
        <v>GwenGwiz - 40219417 - Onlyfans</v>
      </c>
      <c r="C431" s="60" t="str">
        <f ca="1">IFERROR(__xludf.DUMMYFUNCTION("""COMPUTED_VALUE"""),"https://thumbcdn.com/splash/brp63q91an3w6iq1.jpg")</f>
        <v>https://thumbcdn.com/splash/brp63q91an3w6iq1.jpg</v>
      </c>
      <c r="D431" s="12" t="s">
        <v>3456</v>
      </c>
      <c r="E431" s="57" t="str">
        <f ca="1">IFERROR(__xludf.DUMMYFUNCTION("""COMPUTED_VALUE"""),"OK")</f>
        <v>OK</v>
      </c>
      <c r="F431" s="46"/>
      <c r="G431" s="45" t="s">
        <v>9891</v>
      </c>
      <c r="H431" s="45" t="s">
        <v>9906</v>
      </c>
    </row>
    <row r="432" spans="1:8">
      <c r="A432" s="12"/>
      <c r="B432" s="12" t="str">
        <f ca="1">IFERROR(__xludf.DUMMYFUNCTION("""COMPUTED_VALUE"""),"GwenGwiz - 46825627 - Onlyfans")</f>
        <v>GwenGwiz - 46825627 - Onlyfans</v>
      </c>
      <c r="C432" s="60" t="str">
        <f ca="1">IFERROR(__xludf.DUMMYFUNCTION("""COMPUTED_VALUE"""),"https://thumbcdn.com/splash/fnrwq1nds51oigeg.jpg")</f>
        <v>https://thumbcdn.com/splash/fnrwq1nds51oigeg.jpg</v>
      </c>
      <c r="D432" s="6" t="s">
        <v>3460</v>
      </c>
      <c r="E432" s="63" t="str">
        <f ca="1">IFERROR(__xludf.DUMMYFUNCTION("""COMPUTED_VALUE"""),"OK")</f>
        <v>OK</v>
      </c>
      <c r="F432" s="46"/>
      <c r="G432" s="45" t="s">
        <v>9891</v>
      </c>
      <c r="H432" s="45" t="s">
        <v>9907</v>
      </c>
    </row>
    <row r="433" spans="1:8">
      <c r="A433" s="12" t="s">
        <v>9908</v>
      </c>
      <c r="B433" s="12" t="str">
        <f ca="1">IFERROR(__xludf.DUMMYFUNCTION("""COMPUTED_VALUE"""),"GwenGwiz - 48119909 - Onlyfans")</f>
        <v>GwenGwiz - 48119909 - Onlyfans</v>
      </c>
      <c r="C433" s="60" t="str">
        <f ca="1">IFERROR(__xludf.DUMMYFUNCTION("""COMPUTED_VALUE"""),"https://thumbcdn.com/splash/bitqspbde7qljsn1.jpg")</f>
        <v>https://thumbcdn.com/splash/bitqspbde7qljsn1.jpg</v>
      </c>
      <c r="D433" s="12" t="s">
        <v>3464</v>
      </c>
      <c r="E433" s="57" t="str">
        <f ca="1">IFERROR(__xludf.DUMMYFUNCTION("""COMPUTED_VALUE"""),"OK")</f>
        <v>OK</v>
      </c>
      <c r="F433" s="46"/>
      <c r="G433" s="45" t="s">
        <v>9891</v>
      </c>
      <c r="H433" s="45" t="s">
        <v>9909</v>
      </c>
    </row>
    <row r="434" spans="1:8">
      <c r="A434" s="59" t="s">
        <v>9910</v>
      </c>
      <c r="B434" s="12" t="str">
        <f ca="1">IFERROR(__xludf.DUMMYFUNCTION("""COMPUTED_VALUE"""),"GwenGwiz - 53384436 - Onlyfans")</f>
        <v>GwenGwiz - 53384436 - Onlyfans</v>
      </c>
      <c r="C434" s="60" t="str">
        <f ca="1">IFERROR(__xludf.DUMMYFUNCTION("""COMPUTED_VALUE"""),"https://thumbcdn.com/splash/gedxoxh5uuvoeuv2.jpg")</f>
        <v>https://thumbcdn.com/splash/gedxoxh5uuvoeuv2.jpg</v>
      </c>
      <c r="D434" s="12" t="s">
        <v>3468</v>
      </c>
      <c r="E434" s="57" t="str">
        <f ca="1">IFERROR(__xludf.DUMMYFUNCTION("""COMPUTED_VALUE"""),"OK")</f>
        <v>OK</v>
      </c>
      <c r="F434" s="46"/>
      <c r="G434" s="45" t="s">
        <v>9891</v>
      </c>
      <c r="H434" s="45" t="s">
        <v>9911</v>
      </c>
    </row>
    <row r="435" spans="1:8">
      <c r="A435" s="12"/>
      <c r="B435" s="12" t="str">
        <f ca="1">IFERROR(__xludf.DUMMYFUNCTION("""COMPUTED_VALUE"""),"GwenGwiz - 65124374 - Onlyfans")</f>
        <v>GwenGwiz - 65124374 - Onlyfans</v>
      </c>
      <c r="C435" s="60" t="str">
        <f ca="1">IFERROR(__xludf.DUMMYFUNCTION("""COMPUTED_VALUE"""),"https://thumbcdn.com/splash/3jyi016xb1xcqmzs.jpg")</f>
        <v>https://thumbcdn.com/splash/3jyi016xb1xcqmzs.jpg</v>
      </c>
      <c r="D435" s="12" t="s">
        <v>3472</v>
      </c>
      <c r="E435" s="57" t="str">
        <f ca="1">IFERROR(__xludf.DUMMYFUNCTION("""COMPUTED_VALUE"""),"OK")</f>
        <v>OK</v>
      </c>
      <c r="F435" s="46"/>
      <c r="G435" s="45" t="s">
        <v>9891</v>
      </c>
      <c r="H435" s="45" t="s">
        <v>9912</v>
      </c>
    </row>
    <row r="436" spans="1:8">
      <c r="A436" s="12" t="s">
        <v>9913</v>
      </c>
      <c r="B436" s="12" t="str">
        <f ca="1">IFERROR(__xludf.DUMMYFUNCTION("""COMPUTED_VALUE"""),"GwenGwiz - 65805926 - Onlyfans")</f>
        <v>GwenGwiz - 65805926 - Onlyfans</v>
      </c>
      <c r="C436" s="60" t="str">
        <f ca="1">IFERROR(__xludf.DUMMYFUNCTION("""COMPUTED_VALUE"""),"https://thumbcdn.com/splash/1cpzycvdwszuyfa7.jpg")</f>
        <v>https://thumbcdn.com/splash/1cpzycvdwszuyfa7.jpg</v>
      </c>
      <c r="D436" s="6" t="s">
        <v>3476</v>
      </c>
      <c r="E436" s="63" t="str">
        <f ca="1">IFERROR(__xludf.DUMMYFUNCTION("""COMPUTED_VALUE"""),"OK")</f>
        <v>OK</v>
      </c>
      <c r="F436" s="46"/>
      <c r="G436" s="45" t="s">
        <v>9891</v>
      </c>
      <c r="H436" s="45" t="s">
        <v>9914</v>
      </c>
    </row>
    <row r="437" spans="1:8">
      <c r="A437" s="59" t="s">
        <v>9915</v>
      </c>
      <c r="B437" s="12" t="str">
        <f ca="1">IFERROR(__xludf.DUMMYFUNCTION("""COMPUTED_VALUE"""),"GwenGwiz - 68168500 - Onlyfans")</f>
        <v>GwenGwiz - 68168500 - Onlyfans</v>
      </c>
      <c r="C437" s="60" t="str">
        <f ca="1">IFERROR(__xludf.DUMMYFUNCTION("""COMPUTED_VALUE"""),"https://thumbcdn.com/splash/gpf4gn7omczfbmt0.jpg")</f>
        <v>https://thumbcdn.com/splash/gpf4gn7omczfbmt0.jpg</v>
      </c>
      <c r="D437" s="6" t="s">
        <v>3482</v>
      </c>
      <c r="E437" s="63" t="str">
        <f ca="1">IFERROR(__xludf.DUMMYFUNCTION("""COMPUTED_VALUE"""),"OK")</f>
        <v>OK</v>
      </c>
      <c r="F437" s="46"/>
      <c r="G437" s="45" t="s">
        <v>9891</v>
      </c>
      <c r="H437" s="45" t="s">
        <v>9916</v>
      </c>
    </row>
    <row r="438" spans="1:8">
      <c r="A438" s="12"/>
      <c r="B438" s="12" t="str">
        <f ca="1">IFERROR(__xludf.DUMMYFUNCTION("""COMPUTED_VALUE"""),"GwenGwiz - 68407312 - Onlyfans")</f>
        <v>GwenGwiz - 68407312 - Onlyfans</v>
      </c>
      <c r="C438" s="60" t="str">
        <f ca="1">IFERROR(__xludf.DUMMYFUNCTION("""COMPUTED_VALUE"""),"https://thumbcdn.com/splash/7u8g630hv9t2h4ra.jpg")</f>
        <v>https://thumbcdn.com/splash/7u8g630hv9t2h4ra.jpg</v>
      </c>
      <c r="D438" s="12" t="s">
        <v>3488</v>
      </c>
      <c r="E438" s="57" t="str">
        <f ca="1">IFERROR(__xludf.DUMMYFUNCTION("""COMPUTED_VALUE"""),"OK")</f>
        <v>OK</v>
      </c>
      <c r="F438" s="46"/>
      <c r="G438" s="45" t="s">
        <v>9891</v>
      </c>
      <c r="H438" s="45" t="s">
        <v>9917</v>
      </c>
    </row>
    <row r="439" spans="1:8">
      <c r="A439" s="12" t="s">
        <v>9918</v>
      </c>
      <c r="B439" s="12" t="str">
        <f ca="1">IFERROR(__xludf.DUMMYFUNCTION("""COMPUTED_VALUE"""),"GwenGwiz - 70119396 - Onlyfans")</f>
        <v>GwenGwiz - 70119396 - Onlyfans</v>
      </c>
      <c r="C439" s="60" t="str">
        <f ca="1">IFERROR(__xludf.DUMMYFUNCTION("""COMPUTED_VALUE"""),"https://thumbcdn.com/splash/6taalshx6nhs7yvr.jpg")</f>
        <v>https://thumbcdn.com/splash/6taalshx6nhs7yvr.jpg</v>
      </c>
      <c r="D439" s="6" t="s">
        <v>3492</v>
      </c>
      <c r="E439" s="63" t="str">
        <f ca="1">IFERROR(__xludf.DUMMYFUNCTION("""COMPUTED_VALUE"""),"OK")</f>
        <v>OK</v>
      </c>
      <c r="F439" s="46"/>
      <c r="G439" s="45" t="s">
        <v>9891</v>
      </c>
      <c r="H439" s="45" t="s">
        <v>9919</v>
      </c>
    </row>
    <row r="440" spans="1:8">
      <c r="A440" s="59" t="s">
        <v>9920</v>
      </c>
      <c r="B440" s="12" t="str">
        <f ca="1">IFERROR(__xludf.DUMMYFUNCTION("""COMPUTED_VALUE"""),"GwenGwiz - 71208676 - Onlyfans")</f>
        <v>GwenGwiz - 71208676 - Onlyfans</v>
      </c>
      <c r="C440" s="60" t="str">
        <f ca="1">IFERROR(__xludf.DUMMYFUNCTION("""COMPUTED_VALUE"""),"https://thumbcdn.com/splash/qvzcaz13fax7wws9.jpg")</f>
        <v>https://thumbcdn.com/splash/qvzcaz13fax7wws9.jpg</v>
      </c>
      <c r="D440" s="12" t="s">
        <v>3496</v>
      </c>
      <c r="E440" s="57" t="str">
        <f ca="1">IFERROR(__xludf.DUMMYFUNCTION("""COMPUTED_VALUE"""),"OK")</f>
        <v>OK</v>
      </c>
      <c r="F440" s="46"/>
      <c r="G440" s="45" t="s">
        <v>9891</v>
      </c>
      <c r="H440" s="45" t="s">
        <v>9921</v>
      </c>
    </row>
    <row r="441" spans="1:8">
      <c r="A441" s="12"/>
      <c r="B441" s="12" t="str">
        <f ca="1">IFERROR(__xludf.DUMMYFUNCTION("""COMPUTED_VALUE"""),"GwenGwiz - 80799513 - Onlyfans")</f>
        <v>GwenGwiz - 80799513 - Onlyfans</v>
      </c>
      <c r="C441" s="60" t="str">
        <f ca="1">IFERROR(__xludf.DUMMYFUNCTION("""COMPUTED_VALUE"""),"https://thumbcdn.com/splash/89rgqbtqlsdn2rix.jpg")</f>
        <v>https://thumbcdn.com/splash/89rgqbtqlsdn2rix.jpg</v>
      </c>
      <c r="D441" s="12" t="s">
        <v>3500</v>
      </c>
      <c r="E441" s="57" t="str">
        <f ca="1">IFERROR(__xludf.DUMMYFUNCTION("""COMPUTED_VALUE"""),"OK")</f>
        <v>OK</v>
      </c>
      <c r="F441" s="46"/>
      <c r="G441" s="45" t="s">
        <v>9891</v>
      </c>
      <c r="H441" s="45" t="s">
        <v>9922</v>
      </c>
    </row>
    <row r="442" spans="1:8">
      <c r="A442" s="12" t="s">
        <v>9923</v>
      </c>
      <c r="B442" s="12" t="str">
        <f ca="1">IFERROR(__xludf.DUMMYFUNCTION("""COMPUTED_VALUE"""),"GwenGwiz - 82250884 - Onlyfans")</f>
        <v>GwenGwiz - 82250884 - Onlyfans</v>
      </c>
      <c r="C442" s="60" t="str">
        <f ca="1">IFERROR(__xludf.DUMMYFUNCTION("""COMPUTED_VALUE"""),"https://thumbcdn.com/splash/pab4fz0t3q9qaeyl.jpg")</f>
        <v>https://thumbcdn.com/splash/pab4fz0t3q9qaeyl.jpg</v>
      </c>
      <c r="D442" s="12" t="s">
        <v>3504</v>
      </c>
      <c r="E442" s="57" t="str">
        <f ca="1">IFERROR(__xludf.DUMMYFUNCTION("""COMPUTED_VALUE"""),"OK")</f>
        <v>OK</v>
      </c>
      <c r="F442" s="46"/>
      <c r="G442" s="45" t="s">
        <v>9891</v>
      </c>
      <c r="H442" s="45" t="s">
        <v>9924</v>
      </c>
    </row>
    <row r="443" spans="1:8">
      <c r="A443" s="59" t="s">
        <v>9925</v>
      </c>
      <c r="B443" s="12" t="str">
        <f ca="1">IFERROR(__xludf.DUMMYFUNCTION("""COMPUTED_VALUE"""),"GwenGwiz - 91197485 - Onlyfans")</f>
        <v>GwenGwiz - 91197485 - Onlyfans</v>
      </c>
      <c r="C443" s="60" t="str">
        <f ca="1">IFERROR(__xludf.DUMMYFUNCTION("""COMPUTED_VALUE"""),"https://thumbcdn.com/splash/7phi6xmkq65bs10y.jpg")</f>
        <v>https://thumbcdn.com/splash/7phi6xmkq65bs10y.jpg</v>
      </c>
      <c r="D443" s="12" t="s">
        <v>3508</v>
      </c>
      <c r="E443" s="57" t="str">
        <f ca="1">IFERROR(__xludf.DUMMYFUNCTION("""COMPUTED_VALUE"""),"OK")</f>
        <v>OK</v>
      </c>
      <c r="F443" s="46"/>
      <c r="G443" s="45" t="s">
        <v>9891</v>
      </c>
      <c r="H443" s="45" t="s">
        <v>9926</v>
      </c>
    </row>
    <row r="444" spans="1:8">
      <c r="A444" s="12"/>
      <c r="B444" s="12" t="str">
        <f ca="1">IFERROR(__xludf.DUMMYFUNCTION("""COMPUTED_VALUE"""),"GwenGwiz - 91203069 - Onlyfans")</f>
        <v>GwenGwiz - 91203069 - Onlyfans</v>
      </c>
      <c r="C444" s="60" t="str">
        <f ca="1">IFERROR(__xludf.DUMMYFUNCTION("""COMPUTED_VALUE"""),"https://thumbcdn.com/splash/tvo833qbzttzfufm.jpg")</f>
        <v>https://thumbcdn.com/splash/tvo833qbzttzfufm.jpg</v>
      </c>
      <c r="D444" s="12" t="s">
        <v>3512</v>
      </c>
      <c r="E444" s="57" t="str">
        <f ca="1">IFERROR(__xludf.DUMMYFUNCTION("""COMPUTED_VALUE"""),"OK")</f>
        <v>OK</v>
      </c>
      <c r="F444" s="46"/>
      <c r="G444" s="45" t="s">
        <v>9891</v>
      </c>
      <c r="H444" s="45" t="s">
        <v>9927</v>
      </c>
    </row>
    <row r="445" spans="1:8">
      <c r="A445" s="12" t="s">
        <v>9928</v>
      </c>
      <c r="B445" s="12" t="str">
        <f ca="1">IFERROR(__xludf.DUMMYFUNCTION("""COMPUTED_VALUE"""),"GwenGwiz - 91444182 - Onlyfans")</f>
        <v>GwenGwiz - 91444182 - Onlyfans</v>
      </c>
      <c r="C445" s="60" t="str">
        <f ca="1">IFERROR(__xludf.DUMMYFUNCTION("""COMPUTED_VALUE"""),"https://thumbcdn.com/splash/7xdx7a7sohgvzyll.jpg")</f>
        <v>https://thumbcdn.com/splash/7xdx7a7sohgvzyll.jpg</v>
      </c>
      <c r="D445" s="12" t="s">
        <v>3516</v>
      </c>
      <c r="E445" s="57" t="str">
        <f ca="1">IFERROR(__xludf.DUMMYFUNCTION("""COMPUTED_VALUE"""),"OK")</f>
        <v>OK</v>
      </c>
      <c r="F445" s="46"/>
      <c r="G445" s="45" t="s">
        <v>9891</v>
      </c>
      <c r="H445" s="45" t="s">
        <v>9929</v>
      </c>
    </row>
    <row r="446" spans="1:8">
      <c r="A446" s="59" t="s">
        <v>9930</v>
      </c>
      <c r="B446" s="12" t="str">
        <f ca="1">IFERROR(__xludf.DUMMYFUNCTION("""COMPUTED_VALUE"""),"GwenGwiz - 92110695 - Onlyfans")</f>
        <v>GwenGwiz - 92110695 - Onlyfans</v>
      </c>
      <c r="C446" s="60" t="str">
        <f ca="1">IFERROR(__xludf.DUMMYFUNCTION("""COMPUTED_VALUE"""),"https://thumbcdn.com/splash/acfm49iwyqt7kqcn.jpg")</f>
        <v>https://thumbcdn.com/splash/acfm49iwyqt7kqcn.jpg</v>
      </c>
      <c r="D446" s="12" t="s">
        <v>3520</v>
      </c>
      <c r="E446" s="57" t="str">
        <f ca="1">IFERROR(__xludf.DUMMYFUNCTION("""COMPUTED_VALUE"""),"OK")</f>
        <v>OK</v>
      </c>
      <c r="F446" s="46"/>
      <c r="G446" s="45" t="s">
        <v>9891</v>
      </c>
      <c r="H446" s="45" t="s">
        <v>9931</v>
      </c>
    </row>
    <row r="447" spans="1:8">
      <c r="A447" s="12"/>
      <c r="B447" s="12" t="str">
        <f ca="1">IFERROR(__xludf.DUMMYFUNCTION("""COMPUTED_VALUE"""),"GwenGwiz - 92682708 - Onlyfans")</f>
        <v>GwenGwiz - 92682708 - Onlyfans</v>
      </c>
      <c r="C447" s="60" t="str">
        <f ca="1">IFERROR(__xludf.DUMMYFUNCTION("""COMPUTED_VALUE"""),"https://thumbcdn.com/splash/2xymdrudcgixfhfp.jpg")</f>
        <v>https://thumbcdn.com/splash/2xymdrudcgixfhfp.jpg</v>
      </c>
      <c r="D447" s="12" t="s">
        <v>3525</v>
      </c>
      <c r="E447" s="57" t="str">
        <f ca="1">IFERROR(__xludf.DUMMYFUNCTION("""COMPUTED_VALUE"""),"OK")</f>
        <v>OK</v>
      </c>
      <c r="F447" s="46"/>
      <c r="G447" s="45" t="s">
        <v>9891</v>
      </c>
      <c r="H447" s="45" t="s">
        <v>9932</v>
      </c>
    </row>
    <row r="448" spans="1:8">
      <c r="A448" s="12" t="s">
        <v>9933</v>
      </c>
      <c r="B448" s="12" t="str">
        <f ca="1">IFERROR(__xludf.DUMMYFUNCTION("""COMPUTED_VALUE"""),"Hailey Rose - 18271884 - Onlyfans")</f>
        <v>Hailey Rose - 18271884 - Onlyfans</v>
      </c>
      <c r="C448" s="60" t="str">
        <f ca="1">IFERROR(__xludf.DUMMYFUNCTION("""COMPUTED_VALUE"""),"https://thumbcdn.com/splash/tdykho1me9hgxbs4.jpg")</f>
        <v>https://thumbcdn.com/splash/tdykho1me9hgxbs4.jpg</v>
      </c>
      <c r="D448" s="12" t="s">
        <v>3529</v>
      </c>
      <c r="E448" s="57" t="str">
        <f ca="1">IFERROR(__xludf.DUMMYFUNCTION("""COMPUTED_VALUE"""),"OK")</f>
        <v>OK</v>
      </c>
      <c r="F448" s="46"/>
      <c r="G448" s="45" t="s">
        <v>9891</v>
      </c>
      <c r="H448" s="45" t="s">
        <v>9934</v>
      </c>
    </row>
    <row r="449" spans="1:8">
      <c r="A449" s="59" t="s">
        <v>9935</v>
      </c>
      <c r="B449" s="12" t="str">
        <f ca="1">IFERROR(__xludf.DUMMYFUNCTION("""COMPUTED_VALUE"""),"Hailey Rose - 20228354 - Onlyfans - Azzy Star")</f>
        <v>Hailey Rose - 20228354 - Onlyfans - Azzy Star</v>
      </c>
      <c r="C449" s="60" t="str">
        <f ca="1">IFERROR(__xludf.DUMMYFUNCTION("""COMPUTED_VALUE"""),"https://thumbcdn.com/splash/vaz0359ifxesdppn.jpg")</f>
        <v>https://thumbcdn.com/splash/vaz0359ifxesdppn.jpg</v>
      </c>
      <c r="D449" s="12" t="s">
        <v>3534</v>
      </c>
      <c r="E449" s="57" t="str">
        <f ca="1">IFERROR(__xludf.DUMMYFUNCTION("""COMPUTED_VALUE"""),"OK")</f>
        <v>OK</v>
      </c>
      <c r="F449" s="46"/>
      <c r="G449" s="45" t="s">
        <v>9936</v>
      </c>
      <c r="H449" s="45" t="s">
        <v>9937</v>
      </c>
    </row>
    <row r="450" spans="1:8">
      <c r="A450" s="12"/>
      <c r="B450" s="12" t="str">
        <f ca="1">IFERROR(__xludf.DUMMYFUNCTION("""COMPUTED_VALUE"""),"Hailey Rose - 25813053 - Onlyfans - Alanna Pow")</f>
        <v>Hailey Rose - 25813053 - Onlyfans - Alanna Pow</v>
      </c>
      <c r="C450" s="60" t="str">
        <f ca="1">IFERROR(__xludf.DUMMYFUNCTION("""COMPUTED_VALUE"""),"https://thumbcdn.com/splash/hjvxnyrlgsf0v868.jpg")</f>
        <v>https://thumbcdn.com/splash/hjvxnyrlgsf0v868.jpg</v>
      </c>
      <c r="D450" s="12" t="s">
        <v>3545</v>
      </c>
      <c r="E450" s="57" t="str">
        <f ca="1">IFERROR(__xludf.DUMMYFUNCTION("""COMPUTED_VALUE"""),"OK")</f>
        <v>OK</v>
      </c>
      <c r="F450" s="46"/>
      <c r="G450" s="45" t="s">
        <v>9936</v>
      </c>
      <c r="H450" s="45" t="s">
        <v>9938</v>
      </c>
    </row>
    <row r="451" spans="1:8">
      <c r="A451" s="12" t="s">
        <v>9939</v>
      </c>
      <c r="B451" s="12" t="str">
        <f ca="1">IFERROR(__xludf.DUMMYFUNCTION("""COMPUTED_VALUE"""),"Hailey Rose - 50639876 - Onlyfans - Toochi Kash")</f>
        <v>Hailey Rose - 50639876 - Onlyfans - Toochi Kash</v>
      </c>
      <c r="C451" s="60" t="str">
        <f ca="1">IFERROR(__xludf.DUMMYFUNCTION("""COMPUTED_VALUE"""),"https://thumbcdn.com/splash/9mhp4zibtpf6j6sf.jpg")</f>
        <v>https://thumbcdn.com/splash/9mhp4zibtpf6j6sf.jpg</v>
      </c>
      <c r="D451" s="12" t="s">
        <v>3562</v>
      </c>
      <c r="E451" s="57" t="str">
        <f ca="1">IFERROR(__xludf.DUMMYFUNCTION("""COMPUTED_VALUE"""),"OK")</f>
        <v>OK</v>
      </c>
      <c r="F451" s="46"/>
      <c r="G451" s="45" t="s">
        <v>9936</v>
      </c>
      <c r="H451" s="45" t="s">
        <v>9940</v>
      </c>
    </row>
    <row r="452" spans="1:8">
      <c r="A452" s="59" t="s">
        <v>9941</v>
      </c>
      <c r="B452" s="12" t="str">
        <f ca="1">IFERROR(__xludf.DUMMYFUNCTION("""COMPUTED_VALUE"""),"Hailey Rose - 53044248 - EvilAngel")</f>
        <v>Hailey Rose - 53044248 - EvilAngel</v>
      </c>
      <c r="C452" s="60" t="str">
        <f ca="1">IFERROR(__xludf.DUMMYFUNCTION("""COMPUTED_VALUE"""),"https://thumbcdn.com/splash/looe1kz67qthyl8n.jpg")</f>
        <v>https://thumbcdn.com/splash/looe1kz67qthyl8n.jpg</v>
      </c>
      <c r="D452" s="6" t="s">
        <v>3568</v>
      </c>
      <c r="E452" s="63" t="str">
        <f ca="1">IFERROR(__xludf.DUMMYFUNCTION("""COMPUTED_VALUE"""),"OK")</f>
        <v>OK</v>
      </c>
      <c r="F452" s="46"/>
      <c r="G452" s="45" t="s">
        <v>9936</v>
      </c>
      <c r="H452" s="45" t="s">
        <v>9942</v>
      </c>
    </row>
    <row r="453" spans="1:8">
      <c r="A453" s="12"/>
      <c r="B453" s="12" t="str">
        <f ca="1">IFERROR(__xludf.DUMMYFUNCTION("""COMPUTED_VALUE"""),"Hailey Rose - 57089023 - Onlyfans")</f>
        <v>Hailey Rose - 57089023 - Onlyfans</v>
      </c>
      <c r="C453" s="60" t="str">
        <f ca="1">IFERROR(__xludf.DUMMYFUNCTION("""COMPUTED_VALUE"""),"https://thumbcdn.com/splash/aaaxu9pv478cnlcg.jpg")</f>
        <v>https://thumbcdn.com/splash/aaaxu9pv478cnlcg.jpg</v>
      </c>
      <c r="D453" s="6" t="s">
        <v>3580</v>
      </c>
      <c r="E453" s="63" t="str">
        <f ca="1">IFERROR(__xludf.DUMMYFUNCTION("""COMPUTED_VALUE"""),"OK")</f>
        <v>OK</v>
      </c>
      <c r="F453" s="46"/>
      <c r="G453" s="45" t="s">
        <v>9936</v>
      </c>
      <c r="H453" s="45" t="s">
        <v>9943</v>
      </c>
    </row>
    <row r="454" spans="1:8">
      <c r="A454" s="12" t="s">
        <v>9944</v>
      </c>
      <c r="B454" s="12" t="str">
        <f ca="1">IFERROR(__xludf.DUMMYFUNCTION("""COMPUTED_VALUE"""),"Hailey Rose - 64026964 - Onlyfans")</f>
        <v>Hailey Rose - 64026964 - Onlyfans</v>
      </c>
      <c r="C454" s="60" t="str">
        <f ca="1">IFERROR(__xludf.DUMMYFUNCTION("""COMPUTED_VALUE"""),"https://thumbcdn.com/splash/6ooreqqs0ib5eiq1.jpg")</f>
        <v>https://thumbcdn.com/splash/6ooreqqs0ib5eiq1.jpg</v>
      </c>
      <c r="D454" s="6" t="s">
        <v>3597</v>
      </c>
      <c r="E454" s="63" t="str">
        <f ca="1">IFERROR(__xludf.DUMMYFUNCTION("""COMPUTED_VALUE"""),"OK")</f>
        <v>OK</v>
      </c>
      <c r="F454" s="46"/>
      <c r="G454" s="45" t="s">
        <v>9936</v>
      </c>
      <c r="H454" s="45" t="s">
        <v>9945</v>
      </c>
    </row>
    <row r="455" spans="1:8">
      <c r="A455" s="59" t="s">
        <v>9946</v>
      </c>
      <c r="B455" s="12" t="str">
        <f ca="1">IFERROR(__xludf.DUMMYFUNCTION("""COMPUTED_VALUE"""),"Hailey Rose - 86565490 - Onlyfans - Sabrina Nichole")</f>
        <v>Hailey Rose - 86565490 - Onlyfans - Sabrina Nichole</v>
      </c>
      <c r="C455" s="60" t="str">
        <f ca="1">IFERROR(__xludf.DUMMYFUNCTION("""COMPUTED_VALUE"""),"https://thumbcdn.com/splash/2gpjbuxisqt86fvl.jpg")</f>
        <v>https://thumbcdn.com/splash/2gpjbuxisqt86fvl.jpg</v>
      </c>
      <c r="D455" s="12" t="s">
        <v>3612</v>
      </c>
      <c r="E455" s="57" t="str">
        <f ca="1">IFERROR(__xludf.DUMMYFUNCTION("""COMPUTED_VALUE"""),"OK")</f>
        <v>OK</v>
      </c>
      <c r="F455" s="46"/>
      <c r="G455" s="45" t="s">
        <v>9936</v>
      </c>
      <c r="H455" s="45" t="s">
        <v>9947</v>
      </c>
    </row>
    <row r="456" spans="1:8">
      <c r="A456" s="12"/>
      <c r="B456" s="12" t="str">
        <f ca="1">IFERROR(__xludf.DUMMYFUNCTION("""COMPUTED_VALUE"""),"Hailey Rose - 87831195 - Bang")</f>
        <v>Hailey Rose - 87831195 - Bang</v>
      </c>
      <c r="C456" s="60" t="str">
        <f ca="1">IFERROR(__xludf.DUMMYFUNCTION("""COMPUTED_VALUE"""),"https://thumbcdn.com/splash/3hojtij5qvhvx6lg.jpg")</f>
        <v>https://thumbcdn.com/splash/3hojtij5qvhvx6lg.jpg</v>
      </c>
      <c r="D456" s="12" t="s">
        <v>3617</v>
      </c>
      <c r="E456" s="57" t="str">
        <f ca="1">IFERROR(__xludf.DUMMYFUNCTION("""COMPUTED_VALUE"""),"OK")</f>
        <v>OK</v>
      </c>
      <c r="F456" s="46"/>
      <c r="G456" s="45" t="s">
        <v>9936</v>
      </c>
      <c r="H456" s="45" t="s">
        <v>9948</v>
      </c>
    </row>
    <row r="457" spans="1:8">
      <c r="A457" s="12" t="s">
        <v>9949</v>
      </c>
      <c r="B457" s="12" t="str">
        <f ca="1">IFERROR(__xludf.DUMMYFUNCTION("""COMPUTED_VALUE"""),"Hailey Rose - 89713763 - Onlyfans - Minami Airi")</f>
        <v>Hailey Rose - 89713763 - Onlyfans - Minami Airi</v>
      </c>
      <c r="C457" s="60" t="str">
        <f ca="1">IFERROR(__xludf.DUMMYFUNCTION("""COMPUTED_VALUE"""),"https://thumbcdn.com/splash/hxg9ic2u0fvi4nxc.jpg")</f>
        <v>https://thumbcdn.com/splash/hxg9ic2u0fvi4nxc.jpg</v>
      </c>
      <c r="D457" s="6" t="s">
        <v>3622</v>
      </c>
      <c r="E457" s="63" t="str">
        <f ca="1">IFERROR(__xludf.DUMMYFUNCTION("""COMPUTED_VALUE"""),"OK")</f>
        <v>OK</v>
      </c>
      <c r="F457" s="46"/>
      <c r="G457" s="45" t="s">
        <v>9936</v>
      </c>
      <c r="H457" s="45" t="s">
        <v>9950</v>
      </c>
    </row>
    <row r="458" spans="1:8">
      <c r="A458" s="59" t="s">
        <v>9951</v>
      </c>
      <c r="B458" s="12" t="str">
        <f ca="1">IFERROR(__xludf.DUMMYFUNCTION("""COMPUTED_VALUE"""),"Hailey Rose - 97187164 - Onlyfans - Violet Myers")</f>
        <v>Hailey Rose - 97187164 - Onlyfans - Violet Myers</v>
      </c>
      <c r="C458" s="60" t="str">
        <f ca="1">IFERROR(__xludf.DUMMYFUNCTION("""COMPUTED_VALUE"""),"https://thumbcdn.com/splash/bvapl7gj73dot7mj.jpg")</f>
        <v>https://thumbcdn.com/splash/bvapl7gj73dot7mj.jpg</v>
      </c>
      <c r="D458" s="12" t="s">
        <v>3638</v>
      </c>
      <c r="E458" s="57" t="str">
        <f ca="1">IFERROR(__xludf.DUMMYFUNCTION("""COMPUTED_VALUE"""),"OK")</f>
        <v>OK</v>
      </c>
      <c r="F458" s="46"/>
      <c r="G458" s="45" t="s">
        <v>9936</v>
      </c>
      <c r="H458" s="45" t="s">
        <v>9952</v>
      </c>
    </row>
    <row r="459" spans="1:8">
      <c r="A459" s="12"/>
      <c r="B459" s="12" t="str">
        <f ca="1">IFERROR(__xludf.DUMMYFUNCTION("""COMPUTED_VALUE"""),"Haley Spades - 10933434 - ItsAnal")</f>
        <v>Haley Spades - 10933434 - ItsAnal</v>
      </c>
      <c r="C459" s="60" t="str">
        <f ca="1">IFERROR(__xludf.DUMMYFUNCTION("""COMPUTED_VALUE"""),"https://thumbcdn.com/splash/cmywn0t55s2ix58c.jpg")</f>
        <v>https://thumbcdn.com/splash/cmywn0t55s2ix58c.jpg</v>
      </c>
      <c r="D459" s="12" t="s">
        <v>3649</v>
      </c>
      <c r="E459" s="57" t="str">
        <f ca="1">IFERROR(__xludf.DUMMYFUNCTION("""COMPUTED_VALUE"""),"OK")</f>
        <v>OK</v>
      </c>
      <c r="F459" s="46"/>
      <c r="G459" s="45" t="s">
        <v>9936</v>
      </c>
      <c r="H459" s="45" t="s">
        <v>9953</v>
      </c>
    </row>
    <row r="460" spans="1:8">
      <c r="A460" s="12" t="s">
        <v>9954</v>
      </c>
      <c r="B460" s="12" t="str">
        <f ca="1">IFERROR(__xludf.DUMMYFUNCTION("""COMPUTED_VALUE"""),"Haley Spades - 11884996 - Onlyfans")</f>
        <v>Haley Spades - 11884996 - Onlyfans</v>
      </c>
      <c r="C460" s="60" t="str">
        <f ca="1">IFERROR(__xludf.DUMMYFUNCTION("""COMPUTED_VALUE"""),"https://thumbcdn.com/splash/ngbfyce2o4hrvrmi.jpg")</f>
        <v>https://thumbcdn.com/splash/ngbfyce2o4hrvrmi.jpg</v>
      </c>
      <c r="D460" s="12" t="s">
        <v>3654</v>
      </c>
      <c r="E460" s="57" t="str">
        <f ca="1">IFERROR(__xludf.DUMMYFUNCTION("""COMPUTED_VALUE"""),"OK")</f>
        <v>OK</v>
      </c>
      <c r="F460" s="46"/>
      <c r="G460" s="45" t="s">
        <v>9955</v>
      </c>
      <c r="H460" s="45" t="s">
        <v>9956</v>
      </c>
    </row>
    <row r="461" spans="1:8">
      <c r="A461" s="59" t="s">
        <v>9957</v>
      </c>
      <c r="B461" s="12" t="str">
        <f ca="1">IFERROR(__xludf.DUMMYFUNCTION("""COMPUTED_VALUE"""),"Haley Spades - 13165762 - Onlyfans")</f>
        <v>Haley Spades - 13165762 - Onlyfans</v>
      </c>
      <c r="C461" s="60" t="str">
        <f ca="1">IFERROR(__xludf.DUMMYFUNCTION("""COMPUTED_VALUE"""),"https://thumbcdn.com/splash/bscts9blvmjiefr4.jpg")</f>
        <v>https://thumbcdn.com/splash/bscts9blvmjiefr4.jpg</v>
      </c>
      <c r="D461" s="12" t="s">
        <v>3659</v>
      </c>
      <c r="E461" s="57" t="str">
        <f ca="1">IFERROR(__xludf.DUMMYFUNCTION("""COMPUTED_VALUE"""),"OK")</f>
        <v>OK</v>
      </c>
      <c r="F461" s="46"/>
      <c r="G461" s="45" t="s">
        <v>9955</v>
      </c>
      <c r="H461" s="45" t="s">
        <v>9958</v>
      </c>
    </row>
    <row r="462" spans="1:8">
      <c r="A462" s="12"/>
      <c r="B462" s="12" t="str">
        <f ca="1">IFERROR(__xludf.DUMMYFUNCTION("""COMPUTED_VALUE"""),"Haley Spades - 13747519 - BS")</f>
        <v>Haley Spades - 13747519 - BS</v>
      </c>
      <c r="C462" s="60" t="str">
        <f ca="1">IFERROR(__xludf.DUMMYFUNCTION("""COMPUTED_VALUE"""),"https://thumbcdn.com/splash/evtxrrn4lbewfvbr.jpg")</f>
        <v>https://thumbcdn.com/splash/evtxrrn4lbewfvbr.jpg</v>
      </c>
      <c r="D462" s="12" t="s">
        <v>3664</v>
      </c>
      <c r="E462" s="57" t="str">
        <f ca="1">IFERROR(__xludf.DUMMYFUNCTION("""COMPUTED_VALUE"""),"OK")</f>
        <v>OK</v>
      </c>
      <c r="F462" s="46"/>
      <c r="G462" s="45" t="s">
        <v>9955</v>
      </c>
      <c r="H462" s="45" t="s">
        <v>9959</v>
      </c>
    </row>
    <row r="463" spans="1:8">
      <c r="A463" s="12" t="s">
        <v>9960</v>
      </c>
      <c r="B463" s="12" t="str">
        <f ca="1">IFERROR(__xludf.DUMMYFUNCTION("""COMPUTED_VALUE"""),"Haley Spades - 18505168 - Onlyfans")</f>
        <v>Haley Spades - 18505168 - Onlyfans</v>
      </c>
      <c r="C463" s="60" t="str">
        <f ca="1">IFERROR(__xludf.DUMMYFUNCTION("""COMPUTED_VALUE"""),"https://thumbcdn.com/splash/ipfwshp3zbtobfxs.jpg")</f>
        <v>https://thumbcdn.com/splash/ipfwshp3zbtobfxs.jpg</v>
      </c>
      <c r="D463" s="6" t="s">
        <v>3670</v>
      </c>
      <c r="E463" s="63" t="str">
        <f ca="1">IFERROR(__xludf.DUMMYFUNCTION("""COMPUTED_VALUE"""),"OK")</f>
        <v>OK</v>
      </c>
      <c r="F463" s="46"/>
      <c r="G463" s="45" t="s">
        <v>9955</v>
      </c>
      <c r="H463" s="45" t="s">
        <v>9961</v>
      </c>
    </row>
    <row r="464" spans="1:8">
      <c r="A464" s="59" t="s">
        <v>9962</v>
      </c>
      <c r="B464" s="12" t="str">
        <f ca="1">IFERROR(__xludf.DUMMYFUNCTION("""COMPUTED_VALUE"""),"Haley Spades - 20748217 - Onlyfans")</f>
        <v>Haley Spades - 20748217 - Onlyfans</v>
      </c>
      <c r="C464" s="60" t="str">
        <f ca="1">IFERROR(__xludf.DUMMYFUNCTION("""COMPUTED_VALUE"""),"https://thumbcdn.com/splash/6sv2x8a1ov1j6jcd.jpg")</f>
        <v>https://thumbcdn.com/splash/6sv2x8a1ov1j6jcd.jpg</v>
      </c>
      <c r="D464" s="12" t="s">
        <v>3675</v>
      </c>
      <c r="E464" s="57" t="str">
        <f ca="1">IFERROR(__xludf.DUMMYFUNCTION("""COMPUTED_VALUE"""),"OK")</f>
        <v>OK</v>
      </c>
      <c r="F464" s="46"/>
      <c r="G464" s="45" t="s">
        <v>9955</v>
      </c>
      <c r="H464" s="45" t="s">
        <v>9963</v>
      </c>
    </row>
    <row r="465" spans="1:8">
      <c r="A465" s="12"/>
      <c r="B465" s="12" t="str">
        <f ca="1">IFERROR(__xludf.DUMMYFUNCTION("""COMPUTED_VALUE"""),"Haley Spades - 26381060 - PB")</f>
        <v>Haley Spades - 26381060 - PB</v>
      </c>
      <c r="C465" s="60" t="str">
        <f ca="1">IFERROR(__xludf.DUMMYFUNCTION("""COMPUTED_VALUE"""),"https://thumbcdn.com/splash/z6rm146r9yl9yhce.jpg")</f>
        <v>https://thumbcdn.com/splash/z6rm146r9yl9yhce.jpg</v>
      </c>
      <c r="D465" s="12" t="s">
        <v>3680</v>
      </c>
      <c r="E465" s="57" t="str">
        <f ca="1">IFERROR(__xludf.DUMMYFUNCTION("""COMPUTED_VALUE"""),"OK")</f>
        <v>OK</v>
      </c>
      <c r="F465" s="46"/>
      <c r="G465" s="45" t="s">
        <v>9955</v>
      </c>
      <c r="H465" s="45" t="s">
        <v>9964</v>
      </c>
    </row>
    <row r="466" spans="1:8">
      <c r="A466" s="12" t="s">
        <v>9965</v>
      </c>
      <c r="B466" s="12" t="str">
        <f ca="1">IFERROR(__xludf.DUMMYFUNCTION("""COMPUTED_VALUE"""),"Haley Spades - 26743368 - NP - Mia River")</f>
        <v>Haley Spades - 26743368 - NP - Mia River</v>
      </c>
      <c r="C466" s="60" t="str">
        <f ca="1">IFERROR(__xludf.DUMMYFUNCTION("""COMPUTED_VALUE"""),"https://thumbcdn.com/splash/waxj0hitbbpxkyt1.jpg")</f>
        <v>https://thumbcdn.com/splash/waxj0hitbbpxkyt1.jpg</v>
      </c>
      <c r="D466" s="6" t="s">
        <v>3686</v>
      </c>
      <c r="E466" s="63" t="str">
        <f ca="1">IFERROR(__xludf.DUMMYFUNCTION("""COMPUTED_VALUE"""),"OK")</f>
        <v>OK</v>
      </c>
      <c r="F466" s="46"/>
      <c r="G466" s="45" t="s">
        <v>9955</v>
      </c>
      <c r="H466" s="45" t="s">
        <v>9966</v>
      </c>
    </row>
    <row r="467" spans="1:8">
      <c r="A467" s="59" t="s">
        <v>9967</v>
      </c>
      <c r="B467" s="12" t="str">
        <f ca="1">IFERROR(__xludf.DUMMYFUNCTION("""COMPUTED_VALUE"""),"Haley Spades - 29725313 - XVRED")</f>
        <v>Haley Spades - 29725313 - XVRED</v>
      </c>
      <c r="C467" s="60" t="str">
        <f ca="1">IFERROR(__xludf.DUMMYFUNCTION("""COMPUTED_VALUE"""),"https://thumbcdn.com/splash/mvgp2gj6c3wpi1a1.jpg")</f>
        <v>https://thumbcdn.com/splash/mvgp2gj6c3wpi1a1.jpg</v>
      </c>
      <c r="D467" s="12" t="s">
        <v>3691</v>
      </c>
      <c r="E467" s="57" t="str">
        <f ca="1">IFERROR(__xludf.DUMMYFUNCTION("""COMPUTED_VALUE"""),"OK")</f>
        <v>OK</v>
      </c>
      <c r="F467" s="46"/>
      <c r="G467" s="45" t="s">
        <v>9955</v>
      </c>
      <c r="H467" s="45" t="s">
        <v>9968</v>
      </c>
    </row>
    <row r="468" spans="1:8">
      <c r="A468" s="12"/>
      <c r="B468" s="12" t="str">
        <f ca="1">IFERROR(__xludf.DUMMYFUNCTION("""COMPUTED_VALUE"""),"Haley Spades - 37618933 - Dark X")</f>
        <v>Haley Spades - 37618933 - Dark X</v>
      </c>
      <c r="C468" s="60" t="str">
        <f ca="1">IFERROR(__xludf.DUMMYFUNCTION("""COMPUTED_VALUE"""),"https://thumbcdn.com/splash/sxkz110be8lhery4.jpg")</f>
        <v>https://thumbcdn.com/splash/sxkz110be8lhery4.jpg</v>
      </c>
      <c r="D468" s="6" t="s">
        <v>3702</v>
      </c>
      <c r="E468" s="63" t="str">
        <f ca="1">IFERROR(__xludf.DUMMYFUNCTION("""COMPUTED_VALUE"""),"OK")</f>
        <v>OK</v>
      </c>
      <c r="F468" s="46"/>
      <c r="G468" s="45" t="s">
        <v>9955</v>
      </c>
      <c r="H468" s="45" t="s">
        <v>9969</v>
      </c>
    </row>
    <row r="469" spans="1:8">
      <c r="A469" s="12" t="s">
        <v>9970</v>
      </c>
      <c r="B469" s="12" t="str">
        <f ca="1">IFERROR(__xludf.DUMMYFUNCTION("""COMPUTED_VALUE"""),"Haley Spades - 38025833 - Onlyfans")</f>
        <v>Haley Spades - 38025833 - Onlyfans</v>
      </c>
      <c r="C469" s="60" t="str">
        <f ca="1">IFERROR(__xludf.DUMMYFUNCTION("""COMPUTED_VALUE"""),"https://thumbcdn.com/splash/be98bqm2luv3ihcl.jpg")</f>
        <v>https://thumbcdn.com/splash/be98bqm2luv3ihcl.jpg</v>
      </c>
      <c r="D469" s="12" t="s">
        <v>3707</v>
      </c>
      <c r="E469" s="57" t="str">
        <f ca="1">IFERROR(__xludf.DUMMYFUNCTION("""COMPUTED_VALUE"""),"OK")</f>
        <v>OK</v>
      </c>
      <c r="F469" s="46"/>
      <c r="G469" s="45" t="s">
        <v>9955</v>
      </c>
      <c r="H469" s="45" t="s">
        <v>9971</v>
      </c>
    </row>
    <row r="470" spans="1:8">
      <c r="A470" s="59" t="s">
        <v>9972</v>
      </c>
      <c r="B470" s="12" t="str">
        <f ca="1">IFERROR(__xludf.DUMMYFUNCTION("""COMPUTED_VALUE"""),"Haley Spades - 38720636 - Onlyfans")</f>
        <v>Haley Spades - 38720636 - Onlyfans</v>
      </c>
      <c r="C470" s="60" t="str">
        <f ca="1">IFERROR(__xludf.DUMMYFUNCTION("""COMPUTED_VALUE"""),"https://thumbcdn.com/splash/j2h9dnxgl6fugehk.jpg")</f>
        <v>https://thumbcdn.com/splash/j2h9dnxgl6fugehk.jpg</v>
      </c>
      <c r="D470" s="12" t="s">
        <v>3712</v>
      </c>
      <c r="E470" s="57" t="str">
        <f ca="1">IFERROR(__xludf.DUMMYFUNCTION("""COMPUTED_VALUE"""),"OK")</f>
        <v>OK</v>
      </c>
      <c r="F470" s="46"/>
      <c r="G470" s="45" t="s">
        <v>9955</v>
      </c>
      <c r="H470" s="45" t="s">
        <v>9973</v>
      </c>
    </row>
    <row r="471" spans="1:8">
      <c r="A471" s="12"/>
      <c r="B471" s="12" t="str">
        <f ca="1">IFERROR(__xludf.DUMMYFUNCTION("""COMPUTED_VALUE"""),"Haley Spades - 39361622 - Onlyfans")</f>
        <v>Haley Spades - 39361622 - Onlyfans</v>
      </c>
      <c r="C471" s="60" t="str">
        <f ca="1">IFERROR(__xludf.DUMMYFUNCTION("""COMPUTED_VALUE"""),"https://thumbcdn.com/splash/l5cduvqo2p8opesp.jpg")</f>
        <v>https://thumbcdn.com/splash/l5cduvqo2p8opesp.jpg</v>
      </c>
      <c r="D471" s="12" t="s">
        <v>3717</v>
      </c>
      <c r="E471" s="57" t="str">
        <f ca="1">IFERROR(__xludf.DUMMYFUNCTION("""COMPUTED_VALUE"""),"OK")</f>
        <v>OK</v>
      </c>
      <c r="F471" s="46"/>
      <c r="G471" s="45" t="s">
        <v>9955</v>
      </c>
      <c r="H471" s="45" t="s">
        <v>9974</v>
      </c>
    </row>
    <row r="472" spans="1:8">
      <c r="A472" s="12" t="s">
        <v>9975</v>
      </c>
      <c r="B472" s="12" t="str">
        <f ca="1">IFERROR(__xludf.DUMMYFUNCTION("""COMPUTED_VALUE"""),"Haley Spades - 39906896 - FS")</f>
        <v>Haley Spades - 39906896 - FS</v>
      </c>
      <c r="C472" s="60" t="str">
        <f ca="1">IFERROR(__xludf.DUMMYFUNCTION("""COMPUTED_VALUE"""),"https://thumbcdn.com/splash/kbemvxb0c4leu9wm.jpg")</f>
        <v>https://thumbcdn.com/splash/kbemvxb0c4leu9wm.jpg</v>
      </c>
      <c r="D472" s="12" t="s">
        <v>3722</v>
      </c>
      <c r="E472" s="57" t="str">
        <f ca="1">IFERROR(__xludf.DUMMYFUNCTION("""COMPUTED_VALUE"""),"OK")</f>
        <v>OK</v>
      </c>
      <c r="F472" s="46"/>
      <c r="G472" s="45" t="s">
        <v>9955</v>
      </c>
      <c r="H472" s="45" t="s">
        <v>9976</v>
      </c>
    </row>
    <row r="473" spans="1:8">
      <c r="A473" s="59" t="s">
        <v>9977</v>
      </c>
      <c r="B473" s="12" t="str">
        <f ca="1">IFERROR(__xludf.DUMMYFUNCTION("""COMPUTED_VALUE"""),"Haley Spades - 40753305 - Onlyfans")</f>
        <v>Haley Spades - 40753305 - Onlyfans</v>
      </c>
      <c r="C473" s="60" t="str">
        <f ca="1">IFERROR(__xludf.DUMMYFUNCTION("""COMPUTED_VALUE"""),"https://thumbcdn.com/splash/aqwopyppfm59cjqb.jpg")</f>
        <v>https://thumbcdn.com/splash/aqwopyppfm59cjqb.jpg</v>
      </c>
      <c r="D473" s="6" t="s">
        <v>3727</v>
      </c>
      <c r="E473" s="63" t="str">
        <f ca="1">IFERROR(__xludf.DUMMYFUNCTION("""COMPUTED_VALUE"""),"OK")</f>
        <v>OK</v>
      </c>
      <c r="F473" s="46"/>
      <c r="G473" s="45" t="s">
        <v>9955</v>
      </c>
      <c r="H473" s="45" t="s">
        <v>9978</v>
      </c>
    </row>
    <row r="474" spans="1:8">
      <c r="A474" s="12"/>
      <c r="B474" s="12" t="str">
        <f ca="1">IFERROR(__xludf.DUMMYFUNCTION("""COMPUTED_VALUE"""),"Haley Spades - 47547873 - Onlyfans")</f>
        <v>Haley Spades - 47547873 - Onlyfans</v>
      </c>
      <c r="C474" s="60" t="str">
        <f ca="1">IFERROR(__xludf.DUMMYFUNCTION("""COMPUTED_VALUE"""),"https://thumbcdn.com/splash/ket4z0tn1fiy2u1z.jpg")</f>
        <v>https://thumbcdn.com/splash/ket4z0tn1fiy2u1z.jpg</v>
      </c>
      <c r="D474" s="6" t="s">
        <v>3731</v>
      </c>
      <c r="E474" s="63" t="str">
        <f ca="1">IFERROR(__xludf.DUMMYFUNCTION("""COMPUTED_VALUE"""),"OK")</f>
        <v>OK</v>
      </c>
      <c r="F474" s="46"/>
      <c r="G474" s="45" t="s">
        <v>9955</v>
      </c>
      <c r="H474" s="45" t="s">
        <v>9979</v>
      </c>
    </row>
    <row r="475" spans="1:8">
      <c r="A475" s="12" t="s">
        <v>9980</v>
      </c>
      <c r="B475" s="12" t="str">
        <f ca="1">IFERROR(__xludf.DUMMYFUNCTION("""COMPUTED_VALUE"""),"Haley Spades - 53567199 - EvilAngel")</f>
        <v>Haley Spades - 53567199 - EvilAngel</v>
      </c>
      <c r="C475" s="60" t="str">
        <f ca="1">IFERROR(__xludf.DUMMYFUNCTION("""COMPUTED_VALUE"""),"https://thumbcdn.com/splash/ccxty56e12hjtzie.jpg")</f>
        <v>https://thumbcdn.com/splash/ccxty56e12hjtzie.jpg</v>
      </c>
      <c r="D475" s="6" t="s">
        <v>3736</v>
      </c>
      <c r="E475" s="63" t="str">
        <f ca="1">IFERROR(__xludf.DUMMYFUNCTION("""COMPUTED_VALUE"""),"OK")</f>
        <v>OK</v>
      </c>
      <c r="F475" s="46"/>
      <c r="G475" s="45" t="s">
        <v>9955</v>
      </c>
      <c r="H475" s="45" t="s">
        <v>9981</v>
      </c>
    </row>
    <row r="476" spans="1:8">
      <c r="A476" s="59" t="s">
        <v>9982</v>
      </c>
      <c r="B476" s="12" t="str">
        <f ca="1">IFERROR(__xludf.DUMMYFUNCTION("""COMPUTED_VALUE"""),"Haley Spades - 59507747 - Tushy")</f>
        <v>Haley Spades - 59507747 - Tushy</v>
      </c>
      <c r="C476" s="60" t="str">
        <f ca="1">IFERROR(__xludf.DUMMYFUNCTION("""COMPUTED_VALUE"""),"https://thumbcdn.com/splash/rld9tl5rvj63kj2x.jpg")</f>
        <v>https://thumbcdn.com/splash/rld9tl5rvj63kj2x.jpg</v>
      </c>
      <c r="D476" s="12" t="s">
        <v>3741</v>
      </c>
      <c r="E476" s="57" t="str">
        <f ca="1">IFERROR(__xludf.DUMMYFUNCTION("""COMPUTED_VALUE"""),"OK")</f>
        <v>OK</v>
      </c>
      <c r="F476" s="46"/>
      <c r="G476" s="45" t="s">
        <v>9955</v>
      </c>
      <c r="H476" s="45" t="s">
        <v>9983</v>
      </c>
    </row>
    <row r="477" spans="1:8">
      <c r="A477" s="12"/>
      <c r="B477" s="12" t="str">
        <f ca="1">IFERROR(__xludf.DUMMYFUNCTION("""COMPUTED_VALUE"""),"Haley Spades - 62164664 - Hardx")</f>
        <v>Haley Spades - 62164664 - Hardx</v>
      </c>
      <c r="C477" s="60" t="str">
        <f ca="1">IFERROR(__xludf.DUMMYFUNCTION("""COMPUTED_VALUE"""),"https://thumbcdn.com/splash/ydof2fe1hpmvcqpw.jpg")</f>
        <v>https://thumbcdn.com/splash/ydof2fe1hpmvcqpw.jpg</v>
      </c>
      <c r="D477" s="12" t="s">
        <v>3758</v>
      </c>
      <c r="E477" s="57" t="str">
        <f ca="1">IFERROR(__xludf.DUMMYFUNCTION("""COMPUTED_VALUE"""),"OK")</f>
        <v>OK</v>
      </c>
      <c r="F477" s="46"/>
      <c r="G477" s="45" t="s">
        <v>9955</v>
      </c>
      <c r="H477" s="45" t="s">
        <v>9984</v>
      </c>
    </row>
    <row r="478" spans="1:8">
      <c r="A478" s="12" t="s">
        <v>9985</v>
      </c>
      <c r="B478" s="12" t="str">
        <f ca="1">IFERROR(__xludf.DUMMYFUNCTION("""COMPUTED_VALUE"""),"Haley Spades - 62687412 - Onlyfans")</f>
        <v>Haley Spades - 62687412 - Onlyfans</v>
      </c>
      <c r="C478" s="60" t="str">
        <f ca="1">IFERROR(__xludf.DUMMYFUNCTION("""COMPUTED_VALUE"""),"https://thumbcdn.com/splash/qi77hk67znmrsk3h.jpg")</f>
        <v>https://thumbcdn.com/splash/qi77hk67znmrsk3h.jpg</v>
      </c>
      <c r="D478" s="12" t="s">
        <v>3763</v>
      </c>
      <c r="E478" s="57" t="str">
        <f ca="1">IFERROR(__xludf.DUMMYFUNCTION("""COMPUTED_VALUE"""),"OK")</f>
        <v>OK</v>
      </c>
      <c r="F478" s="46"/>
      <c r="G478" s="45" t="s">
        <v>9955</v>
      </c>
      <c r="H478" s="45" t="s">
        <v>9986</v>
      </c>
    </row>
    <row r="479" spans="1:8">
      <c r="A479" s="59" t="s">
        <v>9987</v>
      </c>
      <c r="B479" s="12" t="str">
        <f ca="1">IFERROR(__xludf.DUMMYFUNCTION("""COMPUTED_VALUE"""),"Haley Spades - 70700659 - FS")</f>
        <v>Haley Spades - 70700659 - FS</v>
      </c>
      <c r="C479" s="60" t="str">
        <f ca="1">IFERROR(__xludf.DUMMYFUNCTION("""COMPUTED_VALUE"""),"https://thumbcdn.com/splash/6irzfhcffgnjzzqh.jpg")</f>
        <v>https://thumbcdn.com/splash/6irzfhcffgnjzzqh.jpg</v>
      </c>
      <c r="D479" s="12" t="s">
        <v>3768</v>
      </c>
      <c r="E479" s="57" t="str">
        <f ca="1">IFERROR(__xludf.DUMMYFUNCTION("""COMPUTED_VALUE"""),"OK")</f>
        <v>OK</v>
      </c>
      <c r="F479" s="46"/>
      <c r="G479" s="45" t="s">
        <v>9955</v>
      </c>
      <c r="H479" s="45" t="s">
        <v>9988</v>
      </c>
    </row>
    <row r="480" spans="1:8">
      <c r="A480" s="12"/>
      <c r="B480" s="12" t="str">
        <f ca="1">IFERROR(__xludf.DUMMYFUNCTION("""COMPUTED_VALUE"""),"Haley Spades - 75230723 - BTS")</f>
        <v>Haley Spades - 75230723 - BTS</v>
      </c>
      <c r="C480" s="60" t="str">
        <f ca="1">IFERROR(__xludf.DUMMYFUNCTION("""COMPUTED_VALUE"""),"https://thumbcdn.com/splash/l2n1b3yhb9quclj5.jpg")</f>
        <v>https://thumbcdn.com/splash/l2n1b3yhb9quclj5.jpg</v>
      </c>
      <c r="D480" s="12" t="s">
        <v>3773</v>
      </c>
      <c r="E480" s="57" t="str">
        <f ca="1">IFERROR(__xludf.DUMMYFUNCTION("""COMPUTED_VALUE"""),"OK")</f>
        <v>OK</v>
      </c>
      <c r="F480" s="46"/>
      <c r="G480" s="45" t="s">
        <v>9955</v>
      </c>
      <c r="H480" s="45" t="s">
        <v>9989</v>
      </c>
    </row>
    <row r="481" spans="1:8">
      <c r="A481" s="12" t="s">
        <v>9990</v>
      </c>
      <c r="B481" s="12" t="str">
        <f ca="1">IFERROR(__xludf.DUMMYFUNCTION("""COMPUTED_VALUE"""),"Haley Spades - 82044382 - XVRED")</f>
        <v>Haley Spades - 82044382 - XVRED</v>
      </c>
      <c r="C481" s="60" t="str">
        <f ca="1">IFERROR(__xludf.DUMMYFUNCTION("""COMPUTED_VALUE"""),"https://thumbcdn.com/splash/xbig7ize1igazc1v.jpg")</f>
        <v>https://thumbcdn.com/splash/xbig7ize1igazc1v.jpg</v>
      </c>
      <c r="D481" s="12" t="s">
        <v>3777</v>
      </c>
      <c r="E481" s="57" t="str">
        <f ca="1">IFERROR(__xludf.DUMMYFUNCTION("""COMPUTED_VALUE"""),"OK")</f>
        <v>OK</v>
      </c>
      <c r="F481" s="46"/>
      <c r="G481" s="45" t="s">
        <v>9955</v>
      </c>
      <c r="H481" s="45" t="s">
        <v>9991</v>
      </c>
    </row>
    <row r="482" spans="1:8">
      <c r="A482" s="59" t="s">
        <v>9992</v>
      </c>
      <c r="B482" s="12" t="str">
        <f ca="1">IFERROR(__xludf.DUMMYFUNCTION("""COMPUTED_VALUE"""),"Haley Spades - 84254722 - PD")</f>
        <v>Haley Spades - 84254722 - PD</v>
      </c>
      <c r="C482" s="60" t="str">
        <f ca="1">IFERROR(__xludf.DUMMYFUNCTION("""COMPUTED_VALUE"""),"https://thumbcdn.com/splash/1v152u6uq6j1ltlx.jpg")</f>
        <v>https://thumbcdn.com/splash/1v152u6uq6j1ltlx.jpg</v>
      </c>
      <c r="D482" s="12" t="s">
        <v>3782</v>
      </c>
      <c r="E482" s="57" t="str">
        <f ca="1">IFERROR(__xludf.DUMMYFUNCTION("""COMPUTED_VALUE"""),"OK")</f>
        <v>OK</v>
      </c>
      <c r="F482" s="46"/>
      <c r="G482" s="45" t="s">
        <v>9955</v>
      </c>
      <c r="H482" s="45" t="s">
        <v>9993</v>
      </c>
    </row>
    <row r="483" spans="1:8">
      <c r="A483" s="12"/>
      <c r="B483" s="12" t="str">
        <f ca="1">IFERROR(__xludf.DUMMYFUNCTION("""COMPUTED_VALUE"""),"Haley Spades - 89312649 - Onlyfans")</f>
        <v>Haley Spades - 89312649 - Onlyfans</v>
      </c>
      <c r="C483" s="60" t="str">
        <f ca="1">IFERROR(__xludf.DUMMYFUNCTION("""COMPUTED_VALUE"""),"https://thumbcdn.com/splash/64kcu03z0o77514x.jpg")</f>
        <v>https://thumbcdn.com/splash/64kcu03z0o77514x.jpg</v>
      </c>
      <c r="D483" s="12" t="s">
        <v>3787</v>
      </c>
      <c r="E483" s="57" t="str">
        <f ca="1">IFERROR(__xludf.DUMMYFUNCTION("""COMPUTED_VALUE"""),"OK")</f>
        <v>OK</v>
      </c>
      <c r="F483" s="46"/>
      <c r="G483" s="45" t="s">
        <v>9955</v>
      </c>
      <c r="H483" s="45" t="s">
        <v>9994</v>
      </c>
    </row>
    <row r="484" spans="1:8">
      <c r="A484" s="12" t="s">
        <v>9995</v>
      </c>
      <c r="B484" s="12" t="str">
        <f ca="1">IFERROR(__xludf.DUMMYFUNCTION("""COMPUTED_VALUE"""),"Haley Spades - 89642695 - Onlyfans")</f>
        <v>Haley Spades - 89642695 - Onlyfans</v>
      </c>
      <c r="C484" s="60" t="str">
        <f ca="1">IFERROR(__xludf.DUMMYFUNCTION("""COMPUTED_VALUE"""),"https://thumbcdn.com/splash/kcq9tifskvriy5sa.jpg")</f>
        <v>https://thumbcdn.com/splash/kcq9tifskvriy5sa.jpg</v>
      </c>
      <c r="D484" s="6" t="s">
        <v>3793</v>
      </c>
      <c r="E484" s="63" t="str">
        <f ca="1">IFERROR(__xludf.DUMMYFUNCTION("""COMPUTED_VALUE"""),"OK")</f>
        <v>OK</v>
      </c>
      <c r="F484" s="46"/>
      <c r="G484" s="45" t="s">
        <v>9955</v>
      </c>
      <c r="H484" s="45" t="s">
        <v>9996</v>
      </c>
    </row>
    <row r="485" spans="1:8">
      <c r="A485" s="59" t="s">
        <v>9997</v>
      </c>
      <c r="B485" s="12" t="str">
        <f ca="1">IFERROR(__xludf.DUMMYFUNCTION("""COMPUTED_VALUE"""),"Haley Spades - 94148243 - OF")</f>
        <v>Haley Spades - 94148243 - OF</v>
      </c>
      <c r="C485" s="60" t="str">
        <f ca="1">IFERROR(__xludf.DUMMYFUNCTION("""COMPUTED_VALUE"""),"https://thumbcdn.com/splash/x6com11pe57sn1iz.jpg")</f>
        <v>https://thumbcdn.com/splash/x6com11pe57sn1iz.jpg</v>
      </c>
      <c r="D485" s="12" t="s">
        <v>3798</v>
      </c>
      <c r="E485" s="57" t="str">
        <f ca="1">IFERROR(__xludf.DUMMYFUNCTION("""COMPUTED_VALUE"""),"OK")</f>
        <v>OK</v>
      </c>
      <c r="F485" s="46"/>
      <c r="G485" s="45" t="s">
        <v>9955</v>
      </c>
      <c r="H485" s="45" t="s">
        <v>9998</v>
      </c>
    </row>
    <row r="486" spans="1:8">
      <c r="A486" s="12"/>
      <c r="B486" s="12" t="str">
        <f ca="1">IFERROR(__xludf.DUMMYFUNCTION("""COMPUTED_VALUE"""),"Haley Spades - 94852051 - Onlyfans - Jewelz Blu")</f>
        <v>Haley Spades - 94852051 - Onlyfans - Jewelz Blu</v>
      </c>
      <c r="C486" s="60" t="str">
        <f ca="1">IFERROR(__xludf.DUMMYFUNCTION("""COMPUTED_VALUE"""),"https://thumbcdn.com/splash/u087kkr97osdhlo8.jpg")</f>
        <v>https://thumbcdn.com/splash/u087kkr97osdhlo8.jpg</v>
      </c>
      <c r="D486" s="12" t="s">
        <v>3803</v>
      </c>
      <c r="E486" s="57" t="str">
        <f ca="1">IFERROR(__xludf.DUMMYFUNCTION("""COMPUTED_VALUE"""),"OK")</f>
        <v>OK</v>
      </c>
      <c r="F486" s="46"/>
      <c r="G486" s="45" t="s">
        <v>9955</v>
      </c>
      <c r="H486" s="45" t="s">
        <v>9999</v>
      </c>
    </row>
    <row r="487" spans="1:8">
      <c r="A487" s="12" t="s">
        <v>10000</v>
      </c>
      <c r="B487" s="12" t="str">
        <f ca="1">IFERROR(__xludf.DUMMYFUNCTION("""COMPUTED_VALUE"""),"Haley Spades - 96147019 - Gangbang Creampie")</f>
        <v>Haley Spades - 96147019 - Gangbang Creampie</v>
      </c>
      <c r="C487" s="60" t="str">
        <f ca="1">IFERROR(__xludf.DUMMYFUNCTION("""COMPUTED_VALUE"""),"https://thumbcdn.com/splash/bxa03d1wx37b0b4n.jpg")</f>
        <v>https://thumbcdn.com/splash/bxa03d1wx37b0b4n.jpg</v>
      </c>
      <c r="D487" s="12" t="s">
        <v>3808</v>
      </c>
      <c r="E487" s="57" t="str">
        <f ca="1">IFERROR(__xludf.DUMMYFUNCTION("""COMPUTED_VALUE"""),"OK")</f>
        <v>OK</v>
      </c>
      <c r="F487" s="46"/>
      <c r="G487" s="45" t="s">
        <v>9955</v>
      </c>
      <c r="H487" s="45" t="s">
        <v>10001</v>
      </c>
    </row>
    <row r="488" spans="1:8">
      <c r="A488" s="59" t="s">
        <v>10002</v>
      </c>
      <c r="B488" s="12" t="str">
        <f ca="1">IFERROR(__xludf.DUMMYFUNCTION("""COMPUTED_VALUE"""),"Happy Yulia - 78859240 - Onlyfans")</f>
        <v>Happy Yulia - 78859240 - Onlyfans</v>
      </c>
      <c r="C488" s="60" t="str">
        <f ca="1">IFERROR(__xludf.DUMMYFUNCTION("""COMPUTED_VALUE"""),"https://thumbcdn.com/splash/pesqdyhuupa64hy4.jpg")</f>
        <v>https://thumbcdn.com/splash/pesqdyhuupa64hy4.jpg</v>
      </c>
      <c r="D488" s="6" t="s">
        <v>3819</v>
      </c>
      <c r="E488" s="63" t="str">
        <f ca="1">IFERROR(__xludf.DUMMYFUNCTION("""COMPUTED_VALUE"""),"OK")</f>
        <v>OK</v>
      </c>
      <c r="F488" s="46"/>
      <c r="G488" s="45" t="s">
        <v>9955</v>
      </c>
      <c r="H488" s="45" t="s">
        <v>10003</v>
      </c>
    </row>
    <row r="489" spans="1:8">
      <c r="A489" s="12"/>
      <c r="B489" s="12" t="str">
        <f ca="1">IFERROR(__xludf.DUMMYFUNCTION("""COMPUTED_VALUE"""),"Hayley Davies - 15229591 - Onlyfans")</f>
        <v>Hayley Davies - 15229591 - Onlyfans</v>
      </c>
      <c r="C489" s="60" t="str">
        <f ca="1">IFERROR(__xludf.DUMMYFUNCTION("""COMPUTED_VALUE"""),"https://thumbcdn.com/splash/vfdlrslw76pj78pv.jpg")</f>
        <v>https://thumbcdn.com/splash/vfdlrslw76pj78pv.jpg</v>
      </c>
      <c r="D489" s="12" t="s">
        <v>3824</v>
      </c>
      <c r="E489" s="57" t="str">
        <f ca="1">IFERROR(__xludf.DUMMYFUNCTION("""COMPUTED_VALUE"""),"OK")</f>
        <v>OK</v>
      </c>
      <c r="F489" s="46"/>
      <c r="G489" s="45" t="s">
        <v>10004</v>
      </c>
      <c r="H489" s="45" t="s">
        <v>10005</v>
      </c>
    </row>
    <row r="490" spans="1:8">
      <c r="A490" s="12" t="s">
        <v>10006</v>
      </c>
      <c r="B490" s="12" t="str">
        <f ca="1">IFERROR(__xludf.DUMMYFUNCTION("""COMPUTED_VALUE"""),"Hayley Davies - 26666486 - PB")</f>
        <v>Hayley Davies - 26666486 - PB</v>
      </c>
      <c r="C490" s="60" t="str">
        <f ca="1">IFERROR(__xludf.DUMMYFUNCTION("""COMPUTED_VALUE"""),"https://thumbcdn.com/splash/sqf3pcvv69tht6g8.jpg")</f>
        <v>https://thumbcdn.com/splash/sqf3pcvv69tht6g8.jpg</v>
      </c>
      <c r="D490" s="12" t="s">
        <v>3829</v>
      </c>
      <c r="E490" s="57" t="str">
        <f ca="1">IFERROR(__xludf.DUMMYFUNCTION("""COMPUTED_VALUE"""),"OK")</f>
        <v>OK</v>
      </c>
      <c r="F490" s="46"/>
      <c r="G490" s="45" t="s">
        <v>10007</v>
      </c>
      <c r="H490" s="45" t="s">
        <v>10008</v>
      </c>
    </row>
    <row r="491" spans="1:8">
      <c r="A491" s="59" t="s">
        <v>10009</v>
      </c>
      <c r="B491" s="12" t="str">
        <f ca="1">IFERROR(__xludf.DUMMYFUNCTION("""COMPUTED_VALUE"""),"Hayley Davies - 43204677 - Onlyfans")</f>
        <v>Hayley Davies - 43204677 - Onlyfans</v>
      </c>
      <c r="C491" s="60" t="str">
        <f ca="1">IFERROR(__xludf.DUMMYFUNCTION("""COMPUTED_VALUE"""),"https://thumbcdn.com/splash/masd493yym2yxhb3.jpg")</f>
        <v>https://thumbcdn.com/splash/masd493yym2yxhb3.jpg</v>
      </c>
      <c r="D491" s="12" t="s">
        <v>3833</v>
      </c>
      <c r="E491" s="57" t="str">
        <f ca="1">IFERROR(__xludf.DUMMYFUNCTION("""COMPUTED_VALUE"""),"OK")</f>
        <v>OK</v>
      </c>
      <c r="F491" s="46"/>
      <c r="G491" s="45" t="s">
        <v>10007</v>
      </c>
      <c r="H491" s="45" t="s">
        <v>10010</v>
      </c>
    </row>
    <row r="492" spans="1:8">
      <c r="A492" s="12"/>
      <c r="B492" s="12" t="str">
        <f ca="1">IFERROR(__xludf.DUMMYFUNCTION("""COMPUTED_VALUE"""),"Hayley Davies - 99348682 - Onlyfans - Violet Myers")</f>
        <v>Hayley Davies - 99348682 - Onlyfans - Violet Myers</v>
      </c>
      <c r="C492" s="60" t="str">
        <f ca="1">IFERROR(__xludf.DUMMYFUNCTION("""COMPUTED_VALUE"""),"https://thumbcdn.com/splash/axe2n1pcwkqbiv7e.jpg")</f>
        <v>https://thumbcdn.com/splash/axe2n1pcwkqbiv7e.jpg</v>
      </c>
      <c r="D492" s="12" t="s">
        <v>3837</v>
      </c>
      <c r="E492" s="57" t="str">
        <f ca="1">IFERROR(__xludf.DUMMYFUNCTION("""COMPUTED_VALUE"""),"OK")</f>
        <v>OK</v>
      </c>
      <c r="F492" s="46"/>
      <c r="G492" s="45" t="s">
        <v>10007</v>
      </c>
      <c r="H492" s="45" t="s">
        <v>10011</v>
      </c>
    </row>
    <row r="493" spans="1:8">
      <c r="A493" s="12" t="s">
        <v>10012</v>
      </c>
      <c r="B493" s="12" t="str">
        <f ca="1">IFERROR(__xludf.DUMMYFUNCTION("""COMPUTED_VALUE"""),"Hinatakio - 84111829 - Onlyfans")</f>
        <v>Hinatakio - 84111829 - Onlyfans</v>
      </c>
      <c r="C493" s="60" t="str">
        <f ca="1">IFERROR(__xludf.DUMMYFUNCTION("""COMPUTED_VALUE"""),"https://thumbcdn.com/splash/wr000prtpn1fx9uc.jpg")</f>
        <v>https://thumbcdn.com/splash/wr000prtpn1fx9uc.jpg</v>
      </c>
      <c r="D493" s="6" t="s">
        <v>3841</v>
      </c>
      <c r="E493" s="63" t="str">
        <f ca="1">IFERROR(__xludf.DUMMYFUNCTION("""COMPUTED_VALUE"""),"OK")</f>
        <v>OK</v>
      </c>
      <c r="F493" s="46"/>
      <c r="G493" s="45" t="s">
        <v>10007</v>
      </c>
      <c r="H493" s="45" t="s">
        <v>10013</v>
      </c>
    </row>
    <row r="494" spans="1:8">
      <c r="A494" s="59" t="s">
        <v>10014</v>
      </c>
      <c r="B494" s="12" t="str">
        <f ca="1">IFERROR(__xludf.DUMMYFUNCTION("""COMPUTED_VALUE"""),"Honey Sasha - 71637373 - Onlyfans")</f>
        <v>Honey Sasha - 71637373 - Onlyfans</v>
      </c>
      <c r="C494" s="60" t="str">
        <f ca="1">IFERROR(__xludf.DUMMYFUNCTION("""COMPUTED_VALUE"""),"https://thumbcdn.com/splash/iodaz0clknrxuhxu.jpg")</f>
        <v>https://thumbcdn.com/splash/iodaz0clknrxuhxu.jpg</v>
      </c>
      <c r="D494" s="6" t="s">
        <v>3847</v>
      </c>
      <c r="E494" s="63" t="str">
        <f ca="1">IFERROR(__xludf.DUMMYFUNCTION("""COMPUTED_VALUE"""),"OK")</f>
        <v>OK</v>
      </c>
      <c r="F494" s="46"/>
      <c r="G494" s="45" t="s">
        <v>10015</v>
      </c>
      <c r="H494" s="45" t="s">
        <v>10016</v>
      </c>
    </row>
    <row r="495" spans="1:8">
      <c r="A495" s="12"/>
      <c r="B495" s="12" t="str">
        <f ca="1">IFERROR(__xludf.DUMMYFUNCTION("""COMPUTED_VALUE"""),"Indica Flower - 40171471 - Onlyfans")</f>
        <v>Indica Flower - 40171471 - Onlyfans</v>
      </c>
      <c r="C495" s="60" t="str">
        <f ca="1">IFERROR(__xludf.DUMMYFUNCTION("""COMPUTED_VALUE"""),"https://thumbcdn.com/splash/zl1arepseenhhi3h.jpg")</f>
        <v>https://thumbcdn.com/splash/zl1arepseenhhi3h.jpg</v>
      </c>
      <c r="D495" s="12" t="s">
        <v>3852</v>
      </c>
      <c r="E495" s="57" t="str">
        <f ca="1">IFERROR(__xludf.DUMMYFUNCTION("""COMPUTED_VALUE"""),"OK")</f>
        <v>OK</v>
      </c>
      <c r="F495" s="46"/>
      <c r="G495" s="45" t="s">
        <v>10017</v>
      </c>
      <c r="H495" s="45" t="s">
        <v>10018</v>
      </c>
    </row>
    <row r="496" spans="1:8">
      <c r="A496" s="12" t="s">
        <v>10019</v>
      </c>
      <c r="B496" s="12" t="str">
        <f ca="1">IFERROR(__xludf.DUMMYFUNCTION("""COMPUTED_VALUE"""),"Indica Flower - 43277129 - Onlyfans")</f>
        <v>Indica Flower - 43277129 - Onlyfans</v>
      </c>
      <c r="C496" s="60" t="str">
        <f ca="1">IFERROR(__xludf.DUMMYFUNCTION("""COMPUTED_VALUE"""),"https://thumbcdn.com/splash/juj8mg25dezdwdly.jpg")</f>
        <v>https://thumbcdn.com/splash/juj8mg25dezdwdly.jpg</v>
      </c>
      <c r="D496" s="12" t="s">
        <v>3856</v>
      </c>
      <c r="E496" s="57" t="str">
        <f ca="1">IFERROR(__xludf.DUMMYFUNCTION("""COMPUTED_VALUE"""),"OK")</f>
        <v>OK</v>
      </c>
      <c r="F496" s="46"/>
      <c r="G496" s="45" t="s">
        <v>10020</v>
      </c>
      <c r="H496" s="45" t="s">
        <v>10021</v>
      </c>
    </row>
    <row r="497" spans="1:8">
      <c r="A497" s="59" t="s">
        <v>10022</v>
      </c>
      <c r="B497" s="12" t="str">
        <f ca="1">IFERROR(__xludf.DUMMYFUNCTION("""COMPUTED_VALUE"""),"Indica Flower - 49136859 - Onlyfans")</f>
        <v>Indica Flower - 49136859 - Onlyfans</v>
      </c>
      <c r="C497" s="60" t="str">
        <f ca="1">IFERROR(__xludf.DUMMYFUNCTION("""COMPUTED_VALUE"""),"https://thumbcdn.com/splash/6n5lbii6c54g4rpt.jpg")</f>
        <v>https://thumbcdn.com/splash/6n5lbii6c54g4rpt.jpg</v>
      </c>
      <c r="D497" s="12" t="s">
        <v>3860</v>
      </c>
      <c r="E497" s="57" t="str">
        <f ca="1">IFERROR(__xludf.DUMMYFUNCTION("""COMPUTED_VALUE"""),"OK")</f>
        <v>OK</v>
      </c>
      <c r="F497" s="46"/>
      <c r="G497" s="45" t="s">
        <v>10020</v>
      </c>
      <c r="H497" s="45" t="s">
        <v>10023</v>
      </c>
    </row>
    <row r="498" spans="1:8">
      <c r="A498" s="12"/>
      <c r="B498" s="12" t="str">
        <f ca="1">IFERROR(__xludf.DUMMYFUNCTION("""COMPUTED_VALUE"""),"Indica Flower - 52696210 - MLR")</f>
        <v>Indica Flower - 52696210 - MLR</v>
      </c>
      <c r="C498" s="60" t="str">
        <f ca="1">IFERROR(__xludf.DUMMYFUNCTION("""COMPUTED_VALUE"""),"https://thumbcdn.com/splash/zua5joblnfz4w5tr.jpg")</f>
        <v>https://thumbcdn.com/splash/zua5joblnfz4w5tr.jpg</v>
      </c>
      <c r="D498" s="6" t="s">
        <v>3864</v>
      </c>
      <c r="E498" s="63" t="str">
        <f ca="1">IFERROR(__xludf.DUMMYFUNCTION("""COMPUTED_VALUE"""),"OK")</f>
        <v>OK</v>
      </c>
      <c r="F498" s="46"/>
      <c r="G498" s="45" t="s">
        <v>10020</v>
      </c>
      <c r="H498" s="45" t="s">
        <v>10024</v>
      </c>
    </row>
    <row r="499" spans="1:8">
      <c r="A499" s="12" t="s">
        <v>10025</v>
      </c>
      <c r="B499" s="12" t="str">
        <f ca="1">IFERROR(__xludf.DUMMYFUNCTION("""COMPUTED_VALUE"""),"Indica Flower - 66160100 - Onlyfans")</f>
        <v>Indica Flower - 66160100 - Onlyfans</v>
      </c>
      <c r="C499" s="60" t="str">
        <f ca="1">IFERROR(__xludf.DUMMYFUNCTION("""COMPUTED_VALUE"""),"https://thumbcdn.com/splash/4ddse1m0u5rb5nru.jpg")</f>
        <v>https://thumbcdn.com/splash/4ddse1m0u5rb5nru.jpg</v>
      </c>
      <c r="D499" s="12" t="s">
        <v>3868</v>
      </c>
      <c r="E499" s="57" t="str">
        <f ca="1">IFERROR(__xludf.DUMMYFUNCTION("""COMPUTED_VALUE"""),"OK")</f>
        <v>OK</v>
      </c>
      <c r="F499" s="46"/>
      <c r="G499" s="45" t="s">
        <v>10020</v>
      </c>
      <c r="H499" s="45" t="s">
        <v>10026</v>
      </c>
    </row>
    <row r="500" spans="1:8">
      <c r="A500" s="59" t="s">
        <v>10027</v>
      </c>
      <c r="B500" s="12" t="str">
        <f ca="1">IFERROR(__xludf.DUMMYFUNCTION("""COMPUTED_VALUE"""),"Indica Flower - 76022716 - Onlyfans")</f>
        <v>Indica Flower - 76022716 - Onlyfans</v>
      </c>
      <c r="C500" s="60" t="str">
        <f ca="1">IFERROR(__xludf.DUMMYFUNCTION("""COMPUTED_VALUE"""),"https://thumbcdn.com/splash/y2s2li80v63kmjuw.jpg")</f>
        <v>https://thumbcdn.com/splash/y2s2li80v63kmjuw.jpg</v>
      </c>
      <c r="D500" s="12" t="s">
        <v>3872</v>
      </c>
      <c r="E500" s="57" t="str">
        <f ca="1">IFERROR(__xludf.DUMMYFUNCTION("""COMPUTED_VALUE"""),"OK")</f>
        <v>OK</v>
      </c>
      <c r="F500" s="46"/>
      <c r="G500" s="45" t="s">
        <v>10020</v>
      </c>
      <c r="H500" s="45" t="s">
        <v>10028</v>
      </c>
    </row>
    <row r="501" spans="1:8">
      <c r="A501" s="12"/>
      <c r="B501" s="12" t="str">
        <f ca="1">IFERROR(__xludf.DUMMYFUNCTION("""COMPUTED_VALUE"""),"Indica Flower - 77303400 - Onlyfans - Angela White")</f>
        <v>Indica Flower - 77303400 - Onlyfans - Angela White</v>
      </c>
      <c r="C501" s="60" t="str">
        <f ca="1">IFERROR(__xludf.DUMMYFUNCTION("""COMPUTED_VALUE"""),"https://thumbcdn.com/splash/g2t1xiqcn0glw6oz.jpg")</f>
        <v>https://thumbcdn.com/splash/g2t1xiqcn0glw6oz.jpg</v>
      </c>
      <c r="D501" s="12" t="s">
        <v>3876</v>
      </c>
      <c r="E501" s="57" t="str">
        <f ca="1">IFERROR(__xludf.DUMMYFUNCTION("""COMPUTED_VALUE"""),"OK")</f>
        <v>OK</v>
      </c>
      <c r="F501" s="46"/>
      <c r="G501" s="45" t="s">
        <v>10020</v>
      </c>
      <c r="H501" s="45" t="s">
        <v>10029</v>
      </c>
    </row>
    <row r="502" spans="1:8">
      <c r="A502" s="12" t="s">
        <v>10030</v>
      </c>
      <c r="B502" s="12" t="str">
        <f ca="1">IFERROR(__xludf.DUMMYFUNCTION("""COMPUTED_VALUE"""),"Indica Flower - 86487740 - Onlyfans")</f>
        <v>Indica Flower - 86487740 - Onlyfans</v>
      </c>
      <c r="C502" s="60" t="str">
        <f ca="1">IFERROR(__xludf.DUMMYFUNCTION("""COMPUTED_VALUE"""),"https://thumbcdn.com/splash/emevavoqq97987g8.jpg")</f>
        <v>https://thumbcdn.com/splash/emevavoqq97987g8.jpg</v>
      </c>
      <c r="D502" s="12" t="s">
        <v>3880</v>
      </c>
      <c r="E502" s="57" t="str">
        <f ca="1">IFERROR(__xludf.DUMMYFUNCTION("""COMPUTED_VALUE"""),"OK")</f>
        <v>OK</v>
      </c>
      <c r="F502" s="46"/>
      <c r="G502" s="45" t="s">
        <v>10020</v>
      </c>
      <c r="H502" s="45" t="s">
        <v>10031</v>
      </c>
    </row>
    <row r="503" spans="1:8">
      <c r="A503" s="59" t="s">
        <v>10032</v>
      </c>
      <c r="B503" s="12" t="str">
        <f ca="1">IFERROR(__xludf.DUMMYFUNCTION("""COMPUTED_VALUE"""),"Indica Flower - 91384409 - Onlyfans")</f>
        <v>Indica Flower - 91384409 - Onlyfans</v>
      </c>
      <c r="C503" s="60" t="str">
        <f ca="1">IFERROR(__xludf.DUMMYFUNCTION("""COMPUTED_VALUE"""),"https://thumbcdn.com/splash/7t4mszywd8ssokbb.jpg")</f>
        <v>https://thumbcdn.com/splash/7t4mszywd8ssokbb.jpg</v>
      </c>
      <c r="D503" s="12" t="s">
        <v>3885</v>
      </c>
      <c r="E503" s="57" t="str">
        <f ca="1">IFERROR(__xludf.DUMMYFUNCTION("""COMPUTED_VALUE"""),"OK")</f>
        <v>OK</v>
      </c>
      <c r="F503" s="46"/>
      <c r="G503" s="45" t="s">
        <v>10020</v>
      </c>
      <c r="H503" s="45" t="s">
        <v>10033</v>
      </c>
    </row>
    <row r="504" spans="1:8">
      <c r="A504" s="12"/>
      <c r="B504" s="12" t="str">
        <f ca="1">IFERROR(__xludf.DUMMYFUNCTION("""COMPUTED_VALUE"""),"Indica Flower - 92908779 - Onlyfans")</f>
        <v>Indica Flower - 92908779 - Onlyfans</v>
      </c>
      <c r="C504" s="60" t="str">
        <f ca="1">IFERROR(__xludf.DUMMYFUNCTION("""COMPUTED_VALUE"""),"https://thumbcdn.com/splash/m8844r1f8zk11a2f.jpg")</f>
        <v>https://thumbcdn.com/splash/m8844r1f8zk11a2f.jpg</v>
      </c>
      <c r="D504" s="12" t="s">
        <v>3889</v>
      </c>
      <c r="E504" s="57" t="str">
        <f ca="1">IFERROR(__xludf.DUMMYFUNCTION("""COMPUTED_VALUE"""),"OK")</f>
        <v>OK</v>
      </c>
      <c r="F504" s="46"/>
      <c r="G504" s="45" t="s">
        <v>10020</v>
      </c>
      <c r="H504" s="45" t="s">
        <v>10034</v>
      </c>
    </row>
    <row r="505" spans="1:8">
      <c r="A505" s="12" t="s">
        <v>10035</v>
      </c>
      <c r="B505" s="12" t="str">
        <f ca="1">IFERROR(__xludf.DUMMYFUNCTION("""COMPUTED_VALUE"""),"Indica Flower - 93773610 - Onlyfans")</f>
        <v>Indica Flower - 93773610 - Onlyfans</v>
      </c>
      <c r="C505" s="60" t="str">
        <f ca="1">IFERROR(__xludf.DUMMYFUNCTION("""COMPUTED_VALUE"""),"https://thumbcdn.com/splash/fkzpzwpwxbbb3h4n.jpg")</f>
        <v>https://thumbcdn.com/splash/fkzpzwpwxbbb3h4n.jpg</v>
      </c>
      <c r="D505" s="6" t="s">
        <v>3893</v>
      </c>
      <c r="E505" s="63" t="str">
        <f ca="1">IFERROR(__xludf.DUMMYFUNCTION("""COMPUTED_VALUE"""),"OK")</f>
        <v>OK</v>
      </c>
      <c r="F505" s="46"/>
      <c r="G505" s="45" t="s">
        <v>10020</v>
      </c>
      <c r="H505" s="45" t="s">
        <v>10036</v>
      </c>
    </row>
    <row r="506" spans="1:8">
      <c r="A506" s="59" t="s">
        <v>10037</v>
      </c>
      <c r="B506" s="12" t="str">
        <f ca="1">IFERROR(__xludf.DUMMYFUNCTION("""COMPUTED_VALUE"""),"Indica Flower - 94126261 - NaughtyAmerica")</f>
        <v>Indica Flower - 94126261 - NaughtyAmerica</v>
      </c>
      <c r="C506" s="60" t="str">
        <f ca="1">IFERROR(__xludf.DUMMYFUNCTION("""COMPUTED_VALUE"""),"https://thumbcdn.com/splash/ha9g6i1h24ui998w.jpg")</f>
        <v>https://thumbcdn.com/splash/ha9g6i1h24ui998w.jpg</v>
      </c>
      <c r="D506" s="12" t="s">
        <v>3898</v>
      </c>
      <c r="E506" s="57" t="str">
        <f ca="1">IFERROR(__xludf.DUMMYFUNCTION("""COMPUTED_VALUE"""),"OK")</f>
        <v>OK</v>
      </c>
      <c r="F506" s="46"/>
      <c r="G506" s="45" t="s">
        <v>10020</v>
      </c>
      <c r="H506" s="45" t="s">
        <v>10038</v>
      </c>
    </row>
    <row r="507" spans="1:8">
      <c r="A507" s="12"/>
      <c r="B507" s="12" t="str">
        <f ca="1">IFERROR(__xludf.DUMMYFUNCTION("""COMPUTED_VALUE"""),"Indica Flower - 97821652 - Onlyfans")</f>
        <v>Indica Flower - 97821652 - Onlyfans</v>
      </c>
      <c r="C507" s="60" t="str">
        <f ca="1">IFERROR(__xludf.DUMMYFUNCTION("""COMPUTED_VALUE"""),"https://thumbcdn.com/splash/o12r88w9147f79w9.jpg")</f>
        <v>https://thumbcdn.com/splash/o12r88w9147f79w9.jpg</v>
      </c>
      <c r="D507" s="55" t="s">
        <v>3902</v>
      </c>
      <c r="E507" s="57" t="str">
        <f ca="1">IFERROR(__xludf.DUMMYFUNCTION("""COMPUTED_VALUE"""),"OK")</f>
        <v>OK</v>
      </c>
      <c r="F507" s="46"/>
      <c r="G507" s="45" t="s">
        <v>10020</v>
      </c>
      <c r="H507" s="45" t="s">
        <v>10039</v>
      </c>
    </row>
    <row r="508" spans="1:8">
      <c r="A508" s="12" t="s">
        <v>10040</v>
      </c>
      <c r="B508" s="12" t="str">
        <f ca="1">IFERROR(__xludf.DUMMYFUNCTION("""COMPUTED_VALUE"""),"Irisxjase - 87281834 - Onlyfans")</f>
        <v>Irisxjase - 87281834 - Onlyfans</v>
      </c>
      <c r="C508" s="60" t="str">
        <f ca="1">IFERROR(__xludf.DUMMYFUNCTION("""COMPUTED_VALUE"""),"https://thumbcdn.com/splash/cp19124jmpmb7qip.jpg")</f>
        <v>https://thumbcdn.com/splash/cp19124jmpmb7qip.jpg</v>
      </c>
      <c r="D508" s="12" t="s">
        <v>3906</v>
      </c>
      <c r="E508" s="57" t="str">
        <f ca="1">IFERROR(__xludf.DUMMYFUNCTION("""COMPUTED_VALUE"""),"OK")</f>
        <v>OK</v>
      </c>
      <c r="F508" s="46"/>
      <c r="G508" s="45" t="s">
        <v>10020</v>
      </c>
      <c r="H508" s="45" t="s">
        <v>10041</v>
      </c>
    </row>
    <row r="509" spans="1:8">
      <c r="A509" s="59" t="s">
        <v>10042</v>
      </c>
      <c r="B509" s="12" t="str">
        <f ca="1">IFERROR(__xludf.DUMMYFUNCTION("""COMPUTED_VALUE"""),"Ivy Lebelle - 22706899 - Onlyfans")</f>
        <v>Ivy Lebelle - 22706899 - Onlyfans</v>
      </c>
      <c r="C509" s="60" t="str">
        <f ca="1">IFERROR(__xludf.DUMMYFUNCTION("""COMPUTED_VALUE"""),"https://thumbcdn.com/splash/zn6aqfye73lu7yo5.jpg")</f>
        <v>https://thumbcdn.com/splash/zn6aqfye73lu7yo5.jpg</v>
      </c>
      <c r="D509" s="12" t="s">
        <v>3912</v>
      </c>
      <c r="E509" s="57" t="str">
        <f ca="1">IFERROR(__xludf.DUMMYFUNCTION("""COMPUTED_VALUE"""),"OK")</f>
        <v>OK</v>
      </c>
      <c r="F509" s="46"/>
      <c r="G509" s="45" t="s">
        <v>10043</v>
      </c>
      <c r="H509" s="45" t="s">
        <v>10044</v>
      </c>
    </row>
    <row r="510" spans="1:8">
      <c r="A510" s="12"/>
      <c r="B510" s="12" t="str">
        <f ca="1">IFERROR(__xludf.DUMMYFUNCTION("""COMPUTED_VALUE"""),"Ivy Lebelle - 30820563 - BA")</f>
        <v>Ivy Lebelle - 30820563 - BA</v>
      </c>
      <c r="C510" s="60" t="str">
        <f ca="1">IFERROR(__xludf.DUMMYFUNCTION("""COMPUTED_VALUE"""),"https://thumbcdn.com/splash/amk2hxd2ajq6jzn1.jpg")</f>
        <v>https://thumbcdn.com/splash/amk2hxd2ajq6jzn1.jpg</v>
      </c>
      <c r="D510" s="12" t="s">
        <v>3916</v>
      </c>
      <c r="E510" s="57" t="str">
        <f ca="1">IFERROR(__xludf.DUMMYFUNCTION("""COMPUTED_VALUE"""),"OK")</f>
        <v>OK</v>
      </c>
      <c r="F510" s="46"/>
      <c r="G510" s="45" t="s">
        <v>10045</v>
      </c>
      <c r="H510" s="45" t="s">
        <v>10046</v>
      </c>
    </row>
    <row r="511" spans="1:8">
      <c r="A511" s="12" t="s">
        <v>10047</v>
      </c>
      <c r="B511" s="12" t="str">
        <f ca="1">IFERROR(__xludf.DUMMYFUNCTION("""COMPUTED_VALUE"""),"Ivy Lebelle - 42093081 - Onlyfans")</f>
        <v>Ivy Lebelle - 42093081 - Onlyfans</v>
      </c>
      <c r="C511" s="60" t="str">
        <f ca="1">IFERROR(__xludf.DUMMYFUNCTION("""COMPUTED_VALUE"""),"https://thumbcdn.com/splash/kcp05ouodwcv86la.jpg")</f>
        <v>https://thumbcdn.com/splash/kcp05ouodwcv86la.jpg</v>
      </c>
      <c r="D511" s="12" t="s">
        <v>3920</v>
      </c>
      <c r="E511" s="57" t="str">
        <f ca="1">IFERROR(__xludf.DUMMYFUNCTION("""COMPUTED_VALUE"""),"OK")</f>
        <v>OK</v>
      </c>
      <c r="F511" s="46"/>
      <c r="G511" s="45" t="s">
        <v>10045</v>
      </c>
      <c r="H511" s="45" t="s">
        <v>10048</v>
      </c>
    </row>
    <row r="512" spans="1:8">
      <c r="A512" s="59" t="s">
        <v>10049</v>
      </c>
      <c r="B512" s="12" t="str">
        <f ca="1">IFERROR(__xludf.DUMMYFUNCTION("""COMPUTED_VALUE"""),"Ivy Lebelle - 99143196 - RR")</f>
        <v>Ivy Lebelle - 99143196 - RR</v>
      </c>
      <c r="C512" s="60" t="str">
        <f ca="1">IFERROR(__xludf.DUMMYFUNCTION("""COMPUTED_VALUE"""),"https://thumbcdn.com/splash/8ma5hyvumtd93lmb.jpg")</f>
        <v>https://thumbcdn.com/splash/8ma5hyvumtd93lmb.jpg</v>
      </c>
      <c r="D512" s="12" t="s">
        <v>3925</v>
      </c>
      <c r="E512" s="57" t="str">
        <f ca="1">IFERROR(__xludf.DUMMYFUNCTION("""COMPUTED_VALUE"""),"OK")</f>
        <v>OK</v>
      </c>
      <c r="F512" s="46"/>
      <c r="G512" s="45" t="s">
        <v>10045</v>
      </c>
      <c r="H512" s="45" t="s">
        <v>10050</v>
      </c>
    </row>
    <row r="513" spans="1:8">
      <c r="A513" s="12"/>
      <c r="B513" s="12" t="str">
        <f ca="1">IFERROR(__xludf.DUMMYFUNCTION("""COMPUTED_VALUE"""),"Izzy - 68912986 - ExploitedCollegeGirls")</f>
        <v>Izzy - 68912986 - ExploitedCollegeGirls</v>
      </c>
      <c r="C513" s="60" t="str">
        <f ca="1">IFERROR(__xludf.DUMMYFUNCTION("""COMPUTED_VALUE"""),"https://thumbcdn.com/splash/5rhfuqfnhomgzbqi.jpg")</f>
        <v>https://thumbcdn.com/splash/5rhfuqfnhomgzbqi.jpg</v>
      </c>
      <c r="D513" s="12" t="s">
        <v>3930</v>
      </c>
      <c r="E513" s="57" t="str">
        <f ca="1">IFERROR(__xludf.DUMMYFUNCTION("""COMPUTED_VALUE"""),"OK")</f>
        <v>OK</v>
      </c>
      <c r="F513" s="46"/>
      <c r="G513" s="45" t="s">
        <v>10045</v>
      </c>
      <c r="H513" s="45" t="s">
        <v>10051</v>
      </c>
    </row>
    <row r="514" spans="1:8">
      <c r="A514" s="12" t="s">
        <v>10052</v>
      </c>
      <c r="B514" s="12" t="str">
        <f ca="1">IFERROR(__xludf.DUMMYFUNCTION("""COMPUTED_VALUE"""),"JackandJill - 30452349 - Chaturbate - Olivia Madison - Vivi Vicious")</f>
        <v>JackandJill - 30452349 - Chaturbate - Olivia Madison - Vivi Vicious</v>
      </c>
      <c r="C514" s="60" t="str">
        <f ca="1">IFERROR(__xludf.DUMMYFUNCTION("""COMPUTED_VALUE"""),"https://thumbcdn.com/splash/7upv846jzl7s2sfv.jpg")</f>
        <v>https://thumbcdn.com/splash/7upv846jzl7s2sfv.jpg</v>
      </c>
      <c r="D514" s="12" t="s">
        <v>3934</v>
      </c>
      <c r="E514" s="57" t="str">
        <f ca="1">IFERROR(__xludf.DUMMYFUNCTION("""COMPUTED_VALUE"""),"OK")</f>
        <v>OK</v>
      </c>
      <c r="F514" s="46"/>
      <c r="G514" s="45" t="s">
        <v>10053</v>
      </c>
      <c r="H514" s="45" t="s">
        <v>10054</v>
      </c>
    </row>
    <row r="515" spans="1:8">
      <c r="A515" s="59" t="s">
        <v>10055</v>
      </c>
      <c r="B515" s="12" t="str">
        <f ca="1">IFERROR(__xludf.DUMMYFUNCTION("""COMPUTED_VALUE"""),"JackandJill - 42997212 - Chaturbate")</f>
        <v>JackandJill - 42997212 - Chaturbate</v>
      </c>
      <c r="C515" s="60" t="str">
        <f ca="1">IFERROR(__xludf.DUMMYFUNCTION("""COMPUTED_VALUE"""),"https://thumbcdn.com/splash/dnevz7r1by67ikdn.jpg")</f>
        <v>https://thumbcdn.com/splash/dnevz7r1by67ikdn.jpg</v>
      </c>
      <c r="D515" s="12" t="s">
        <v>3944</v>
      </c>
      <c r="E515" s="57" t="str">
        <f ca="1">IFERROR(__xludf.DUMMYFUNCTION("""COMPUTED_VALUE"""),"OK")</f>
        <v>OK</v>
      </c>
      <c r="F515" s="46"/>
      <c r="G515" s="45" t="s">
        <v>10056</v>
      </c>
      <c r="H515" s="45" t="s">
        <v>10057</v>
      </c>
    </row>
    <row r="516" spans="1:8">
      <c r="A516" s="12"/>
      <c r="B516" s="12" t="str">
        <f ca="1">IFERROR(__xludf.DUMMYFUNCTION("""COMPUTED_VALUE"""),"JackandJill - 47820545 - Chaturbate - Sami Hayes - BadBarbiePriv")</f>
        <v>JackandJill - 47820545 - Chaturbate - Sami Hayes - BadBarbiePriv</v>
      </c>
      <c r="C516" s="60" t="str">
        <f ca="1">IFERROR(__xludf.DUMMYFUNCTION("""COMPUTED_VALUE"""),"https://thumbcdn.com/splash/cgsg408ttn1id42v.jpg")</f>
        <v>https://thumbcdn.com/splash/cgsg408ttn1id42v.jpg</v>
      </c>
      <c r="D516" s="12" t="s">
        <v>3949</v>
      </c>
      <c r="E516" s="57" t="str">
        <f ca="1">IFERROR(__xludf.DUMMYFUNCTION("""COMPUTED_VALUE"""),"OK")</f>
        <v>OK</v>
      </c>
      <c r="F516" s="46"/>
      <c r="G516" s="45" t="s">
        <v>10056</v>
      </c>
      <c r="H516" s="45" t="s">
        <v>10058</v>
      </c>
    </row>
    <row r="517" spans="1:8">
      <c r="A517" s="12" t="s">
        <v>10059</v>
      </c>
      <c r="B517" s="12" t="str">
        <f ca="1">IFERROR(__xludf.DUMMYFUNCTION("""COMPUTED_VALUE"""),"JadeTeen - 68144218 - Onlyfans")</f>
        <v>JadeTeen - 68144218 - Onlyfans</v>
      </c>
      <c r="C517" s="60" t="str">
        <f ca="1">IFERROR(__xludf.DUMMYFUNCTION("""COMPUTED_VALUE"""),"https://thumbcdn.com/splash/sqa5qhec2xvcjlal.jpg")</f>
        <v>https://thumbcdn.com/splash/sqa5qhec2xvcjlal.jpg</v>
      </c>
      <c r="D517" s="12" t="s">
        <v>10060</v>
      </c>
      <c r="E517" s="57" t="str">
        <f ca="1">IFERROR(__xludf.DUMMYFUNCTION("""COMPUTED_VALUE"""),"OK")</f>
        <v>OK</v>
      </c>
      <c r="F517" s="46"/>
      <c r="G517" s="45" t="s">
        <v>10056</v>
      </c>
      <c r="H517" s="45" t="s">
        <v>10061</v>
      </c>
    </row>
    <row r="518" spans="1:8">
      <c r="A518" s="59" t="s">
        <v>10062</v>
      </c>
      <c r="B518" s="12" t="str">
        <f ca="1">IFERROR(__xludf.DUMMYFUNCTION("""COMPUTED_VALUE"""),"JadeTeen - 83448182 - Onlyfans")</f>
        <v>JadeTeen - 83448182 - Onlyfans</v>
      </c>
      <c r="C518" s="60" t="str">
        <f ca="1">IFERROR(__xludf.DUMMYFUNCTION("""COMPUTED_VALUE"""),"https://thumbcdn.com/splash/91gg8yyr05a66iad.jpg")</f>
        <v>https://thumbcdn.com/splash/91gg8yyr05a66iad.jpg</v>
      </c>
      <c r="D518" s="12" t="s">
        <v>3963</v>
      </c>
      <c r="E518" s="57" t="str">
        <f ca="1">IFERROR(__xludf.DUMMYFUNCTION("""COMPUTED_VALUE"""),"OK")</f>
        <v>OK</v>
      </c>
      <c r="F518" s="46"/>
      <c r="G518" s="45" t="s">
        <v>10063</v>
      </c>
      <c r="H518" s="45" t="s">
        <v>10064</v>
      </c>
    </row>
    <row r="519" spans="1:8">
      <c r="A519" s="12"/>
      <c r="B519" s="12" t="str">
        <f ca="1">IFERROR(__xludf.DUMMYFUNCTION("""COMPUTED_VALUE"""),"Jamie Young - 43184780 - Onlyfans")</f>
        <v>Jamie Young - 43184780 - Onlyfans</v>
      </c>
      <c r="C519" s="60" t="str">
        <f ca="1">IFERROR(__xludf.DUMMYFUNCTION("""COMPUTED_VALUE"""),"https://thumbcdn.com/splash/yhcerb3si7dog3op.jpg")</f>
        <v>https://thumbcdn.com/splash/yhcerb3si7dog3op.jpg</v>
      </c>
      <c r="D519" s="6" t="s">
        <v>3968</v>
      </c>
      <c r="E519" s="63" t="str">
        <f ca="1">IFERROR(__xludf.DUMMYFUNCTION("""COMPUTED_VALUE"""),"OK")</f>
        <v>OK</v>
      </c>
      <c r="F519" s="46"/>
      <c r="G519" s="45" t="s">
        <v>10063</v>
      </c>
      <c r="H519" s="45" t="s">
        <v>10065</v>
      </c>
    </row>
    <row r="520" spans="1:8">
      <c r="A520" s="12" t="s">
        <v>10066</v>
      </c>
      <c r="B520" s="12" t="str">
        <f ca="1">IFERROR(__xludf.DUMMYFUNCTION("""COMPUTED_VALUE"""),"Jamie Young - 43293327 - Onlyfans")</f>
        <v>Jamie Young - 43293327 - Onlyfans</v>
      </c>
      <c r="C520" s="60" t="str">
        <f ca="1">IFERROR(__xludf.DUMMYFUNCTION("""COMPUTED_VALUE"""),"https://thumbcdn.com/splash/jpqlppf3kq4xkx7g.jpg")</f>
        <v>https://thumbcdn.com/splash/jpqlppf3kq4xkx7g.jpg</v>
      </c>
      <c r="D520" s="6" t="s">
        <v>3974</v>
      </c>
      <c r="E520" s="63" t="str">
        <f ca="1">IFERROR(__xludf.DUMMYFUNCTION("""COMPUTED_VALUE"""),"OK")</f>
        <v>OK</v>
      </c>
      <c r="F520" s="46"/>
      <c r="G520" s="45" t="s">
        <v>10067</v>
      </c>
      <c r="H520" s="45" t="s">
        <v>10068</v>
      </c>
    </row>
    <row r="521" spans="1:8">
      <c r="A521" s="59" t="s">
        <v>10069</v>
      </c>
      <c r="B521" s="12" t="str">
        <f ca="1">IFERROR(__xludf.DUMMYFUNCTION("""COMPUTED_VALUE"""),"Jamie Young - 45711223 - Onlyfans")</f>
        <v>Jamie Young - 45711223 - Onlyfans</v>
      </c>
      <c r="C521" s="60" t="str">
        <f ca="1">IFERROR(__xludf.DUMMYFUNCTION("""COMPUTED_VALUE"""),"https://thumbcdn.com/splash/hrqzhuq3i88j79jr.jpg")</f>
        <v>https://thumbcdn.com/splash/hrqzhuq3i88j79jr.jpg</v>
      </c>
      <c r="D521" s="12" t="s">
        <v>3985</v>
      </c>
      <c r="E521" s="57" t="str">
        <f ca="1">IFERROR(__xludf.DUMMYFUNCTION("""COMPUTED_VALUE"""),"OK")</f>
        <v>OK</v>
      </c>
      <c r="F521" s="46"/>
      <c r="G521" s="45" t="s">
        <v>10067</v>
      </c>
      <c r="H521" s="45" t="s">
        <v>10070</v>
      </c>
    </row>
    <row r="522" spans="1:8">
      <c r="A522" s="12"/>
      <c r="B522" s="12" t="str">
        <f ca="1">IFERROR(__xludf.DUMMYFUNCTION("""COMPUTED_VALUE"""),"Jamie Young - 51707129 - Onlyfans")</f>
        <v>Jamie Young - 51707129 - Onlyfans</v>
      </c>
      <c r="C522" s="60" t="str">
        <f ca="1">IFERROR(__xludf.DUMMYFUNCTION("""COMPUTED_VALUE"""),"https://thumbcdn.com/splash/v41xdcj0l4utoxsp.jpg")</f>
        <v>https://thumbcdn.com/splash/v41xdcj0l4utoxsp.jpg</v>
      </c>
      <c r="D522" s="6" t="s">
        <v>3990</v>
      </c>
      <c r="E522" s="63" t="str">
        <f ca="1">IFERROR(__xludf.DUMMYFUNCTION("""COMPUTED_VALUE"""),"OK")</f>
        <v>OK</v>
      </c>
      <c r="F522" s="46"/>
      <c r="G522" s="45" t="s">
        <v>10067</v>
      </c>
      <c r="H522" s="45" t="s">
        <v>10071</v>
      </c>
    </row>
    <row r="523" spans="1:8">
      <c r="A523" s="12" t="s">
        <v>10072</v>
      </c>
      <c r="B523" s="12" t="str">
        <f ca="1">IFERROR(__xludf.DUMMYFUNCTION("""COMPUTED_VALUE"""),"Jamie Young - 58168938 - Onlyfans")</f>
        <v>Jamie Young - 58168938 - Onlyfans</v>
      </c>
      <c r="C523" s="60" t="str">
        <f ca="1">IFERROR(__xludf.DUMMYFUNCTION("""COMPUTED_VALUE"""),"https://thumbcdn.com/splash/kkao4fq4e4e4gxa4.jpg")</f>
        <v>https://thumbcdn.com/splash/kkao4fq4e4e4gxa4.jpg</v>
      </c>
      <c r="D523" s="12" t="s">
        <v>3995</v>
      </c>
      <c r="E523" s="57" t="str">
        <f ca="1">IFERROR(__xludf.DUMMYFUNCTION("""COMPUTED_VALUE"""),"OK")</f>
        <v>OK</v>
      </c>
      <c r="F523" s="46"/>
      <c r="G523" s="45" t="s">
        <v>10067</v>
      </c>
      <c r="H523" s="45" t="s">
        <v>10073</v>
      </c>
    </row>
    <row r="524" spans="1:8">
      <c r="A524" s="59" t="s">
        <v>10074</v>
      </c>
      <c r="B524" s="12" t="str">
        <f ca="1">IFERROR(__xludf.DUMMYFUNCTION("""COMPUTED_VALUE"""),"Jamie Young - 72170116 - Onlyfans")</f>
        <v>Jamie Young - 72170116 - Onlyfans</v>
      </c>
      <c r="C524" s="60" t="str">
        <f ca="1">IFERROR(__xludf.DUMMYFUNCTION("""COMPUTED_VALUE"""),"https://thumbcdn.com/splash/qprtotneqibvoiow.jpg")</f>
        <v>https://thumbcdn.com/splash/qprtotneqibvoiow.jpg</v>
      </c>
      <c r="D524" s="12" t="s">
        <v>4024</v>
      </c>
      <c r="E524" s="57" t="str">
        <f ca="1">IFERROR(__xludf.DUMMYFUNCTION("""COMPUTED_VALUE"""),"OK")</f>
        <v>OK</v>
      </c>
      <c r="F524" s="46"/>
      <c r="G524" s="45" t="s">
        <v>10067</v>
      </c>
      <c r="H524" s="45" t="s">
        <v>10075</v>
      </c>
    </row>
    <row r="525" spans="1:8">
      <c r="A525" s="12"/>
      <c r="B525" s="12" t="str">
        <f ca="1">IFERROR(__xludf.DUMMYFUNCTION("""COMPUTED_VALUE"""),"Jamie Young - 73885756 - Onlyfans")</f>
        <v>Jamie Young - 73885756 - Onlyfans</v>
      </c>
      <c r="C525" s="60" t="str">
        <f ca="1">IFERROR(__xludf.DUMMYFUNCTION("""COMPUTED_VALUE"""),"https://thumbcdn.com/splash/04iivseyq8wnsvi9.jpg")</f>
        <v>https://thumbcdn.com/splash/04iivseyq8wnsvi9.jpg</v>
      </c>
      <c r="D525" s="12" t="s">
        <v>4029</v>
      </c>
      <c r="E525" s="57" t="str">
        <f ca="1">IFERROR(__xludf.DUMMYFUNCTION("""COMPUTED_VALUE"""),"OK")</f>
        <v>OK</v>
      </c>
      <c r="F525" s="46"/>
      <c r="G525" s="45" t="s">
        <v>10067</v>
      </c>
      <c r="H525" s="45" t="s">
        <v>10076</v>
      </c>
    </row>
    <row r="526" spans="1:8">
      <c r="A526" s="12" t="s">
        <v>10077</v>
      </c>
      <c r="B526" s="12" t="str">
        <f ca="1">IFERROR(__xludf.DUMMYFUNCTION("""COMPUTED_VALUE"""),"Jamie Young - 74870486 - Onlyfans")</f>
        <v>Jamie Young - 74870486 - Onlyfans</v>
      </c>
      <c r="C526" s="60" t="str">
        <f ca="1">IFERROR(__xludf.DUMMYFUNCTION("""COMPUTED_VALUE"""),"https://thumbcdn.com/splash/wiotzhjdpa0f49r1.jpg")</f>
        <v>https://thumbcdn.com/splash/wiotzhjdpa0f49r1.jpg</v>
      </c>
      <c r="D526" s="12" t="s">
        <v>4033</v>
      </c>
      <c r="E526" s="57" t="str">
        <f ca="1">IFERROR(__xludf.DUMMYFUNCTION("""COMPUTED_VALUE"""),"OK")</f>
        <v>OK</v>
      </c>
      <c r="F526" s="46"/>
      <c r="G526" s="45" t="s">
        <v>10067</v>
      </c>
      <c r="H526" s="45" t="s">
        <v>10078</v>
      </c>
    </row>
    <row r="527" spans="1:8">
      <c r="A527" s="59" t="s">
        <v>10079</v>
      </c>
      <c r="B527" s="12" t="str">
        <f ca="1">IFERROR(__xludf.DUMMYFUNCTION("""COMPUTED_VALUE"""),"Jamie Young - 77619579 - Onlyfans")</f>
        <v>Jamie Young - 77619579 - Onlyfans</v>
      </c>
      <c r="C527" s="60" t="str">
        <f ca="1">IFERROR(__xludf.DUMMYFUNCTION("""COMPUTED_VALUE"""),"https://thumbcdn.com/splash/ktxt5basqiv570b5.jpg")</f>
        <v>https://thumbcdn.com/splash/ktxt5basqiv570b5.jpg</v>
      </c>
      <c r="D527" s="12" t="s">
        <v>4038</v>
      </c>
      <c r="E527" s="57" t="str">
        <f ca="1">IFERROR(__xludf.DUMMYFUNCTION("""COMPUTED_VALUE"""),"OK")</f>
        <v>OK</v>
      </c>
      <c r="F527" s="46"/>
      <c r="G527" s="45" t="s">
        <v>10067</v>
      </c>
      <c r="H527" s="45" t="s">
        <v>10080</v>
      </c>
    </row>
    <row r="528" spans="1:8">
      <c r="A528" s="12"/>
      <c r="B528" s="12" t="str">
        <f ca="1">IFERROR(__xludf.DUMMYFUNCTION("""COMPUTED_VALUE"""),"Jamie Young - 84155640 - Onlyfans")</f>
        <v>Jamie Young - 84155640 - Onlyfans</v>
      </c>
      <c r="C528" s="60" t="str">
        <f ca="1">IFERROR(__xludf.DUMMYFUNCTION("""COMPUTED_VALUE"""),"https://thumbcdn.com/splash/8q32v6lvz6k1npjb.jpg")</f>
        <v>https://thumbcdn.com/splash/8q32v6lvz6k1npjb.jpg</v>
      </c>
      <c r="D528" s="12" t="s">
        <v>4042</v>
      </c>
      <c r="E528" s="57" t="str">
        <f ca="1">IFERROR(__xludf.DUMMYFUNCTION("""COMPUTED_VALUE"""),"OK")</f>
        <v>OK</v>
      </c>
      <c r="F528" s="46"/>
      <c r="G528" s="45" t="s">
        <v>10067</v>
      </c>
      <c r="H528" s="45" t="s">
        <v>10081</v>
      </c>
    </row>
    <row r="529" spans="1:8">
      <c r="A529" s="12" t="s">
        <v>10082</v>
      </c>
      <c r="B529" s="12" t="str">
        <f ca="1">IFERROR(__xludf.DUMMYFUNCTION("""COMPUTED_VALUE"""),"Jamie Young - 84390953 - Onlyfans")</f>
        <v>Jamie Young - 84390953 - Onlyfans</v>
      </c>
      <c r="C529" s="60" t="str">
        <f ca="1">IFERROR(__xludf.DUMMYFUNCTION("""COMPUTED_VALUE"""),"https://thumbcdn.com/splash/al5cyjvfvycoily4.jpg")</f>
        <v>https://thumbcdn.com/splash/al5cyjvfvycoily4.jpg</v>
      </c>
      <c r="D529" s="12" t="s">
        <v>4046</v>
      </c>
      <c r="E529" s="57" t="str">
        <f ca="1">IFERROR(__xludf.DUMMYFUNCTION("""COMPUTED_VALUE"""),"OK")</f>
        <v>OK</v>
      </c>
      <c r="F529" s="46"/>
      <c r="G529" s="45" t="s">
        <v>10067</v>
      </c>
      <c r="H529" s="45" t="s">
        <v>10083</v>
      </c>
    </row>
    <row r="530" spans="1:8">
      <c r="A530" s="59" t="s">
        <v>10084</v>
      </c>
      <c r="B530" s="12" t="str">
        <f ca="1">IFERROR(__xludf.DUMMYFUNCTION("""COMPUTED_VALUE"""),"Jamie Young - 88118699 - Onlyfans")</f>
        <v>Jamie Young - 88118699 - Onlyfans</v>
      </c>
      <c r="C530" s="60" t="str">
        <f ca="1">IFERROR(__xludf.DUMMYFUNCTION("""COMPUTED_VALUE"""),"https://thumbcdn.com/splash/mi4hz9k9woix0n2g.jpg")</f>
        <v>https://thumbcdn.com/splash/mi4hz9k9woix0n2g.jpg</v>
      </c>
      <c r="D530" s="6" t="s">
        <v>4051</v>
      </c>
      <c r="E530" s="63" t="str">
        <f ca="1">IFERROR(__xludf.DUMMYFUNCTION("""COMPUTED_VALUE"""),"OK")</f>
        <v>OK</v>
      </c>
      <c r="F530" s="46"/>
      <c r="G530" s="45" t="s">
        <v>10067</v>
      </c>
      <c r="H530" s="45" t="s">
        <v>10085</v>
      </c>
    </row>
    <row r="531" spans="1:8">
      <c r="A531" s="12"/>
      <c r="B531" s="12" t="str">
        <f ca="1">IFERROR(__xludf.DUMMYFUNCTION("""COMPUTED_VALUE"""),"Jamie Young - 88859495 - Onlyfans")</f>
        <v>Jamie Young - 88859495 - Onlyfans</v>
      </c>
      <c r="C531" s="60" t="str">
        <f ca="1">IFERROR(__xludf.DUMMYFUNCTION("""COMPUTED_VALUE"""),"https://thumbcdn.com/splash/ky57feiayfjr585y.jpg")</f>
        <v>https://thumbcdn.com/splash/ky57feiayfjr585y.jpg</v>
      </c>
      <c r="D531" s="12" t="s">
        <v>4056</v>
      </c>
      <c r="E531" s="57" t="str">
        <f ca="1">IFERROR(__xludf.DUMMYFUNCTION("""COMPUTED_VALUE"""),"OK")</f>
        <v>OK</v>
      </c>
      <c r="F531" s="46"/>
      <c r="G531" s="45" t="s">
        <v>10067</v>
      </c>
      <c r="H531" s="45" t="s">
        <v>10086</v>
      </c>
    </row>
    <row r="532" spans="1:8">
      <c r="A532" s="12" t="s">
        <v>10087</v>
      </c>
      <c r="B532" s="12" t="str">
        <f ca="1">IFERROR(__xludf.DUMMYFUNCTION("""COMPUTED_VALUE"""),"Jamie Young - 92950989 - Onlyfans")</f>
        <v>Jamie Young - 92950989 - Onlyfans</v>
      </c>
      <c r="C532" s="60" t="str">
        <f ca="1">IFERROR(__xludf.DUMMYFUNCTION("""COMPUTED_VALUE"""),"https://thumbcdn.com/splash/85hj48wagdsrw9ne.jpg")</f>
        <v>https://thumbcdn.com/splash/85hj48wagdsrw9ne.jpg</v>
      </c>
      <c r="D532" s="12" t="s">
        <v>4060</v>
      </c>
      <c r="E532" s="57" t="str">
        <f ca="1">IFERROR(__xludf.DUMMYFUNCTION("""COMPUTED_VALUE"""),"OK")</f>
        <v>OK</v>
      </c>
      <c r="F532" s="46"/>
      <c r="G532" s="45" t="s">
        <v>10067</v>
      </c>
      <c r="H532" s="45" t="s">
        <v>10088</v>
      </c>
    </row>
    <row r="533" spans="1:8">
      <c r="A533" s="59" t="s">
        <v>10089</v>
      </c>
      <c r="B533" s="12" t="str">
        <f ca="1">IFERROR(__xludf.DUMMYFUNCTION("""COMPUTED_VALUE"""),"Jamie Young - 96691307 - Onlyfans")</f>
        <v>Jamie Young - 96691307 - Onlyfans</v>
      </c>
      <c r="C533" s="60" t="str">
        <f ca="1">IFERROR(__xludf.DUMMYFUNCTION("""COMPUTED_VALUE"""),"https://thumbcdn.com/splash/04r4e1l67ivsresb.jpg")</f>
        <v>https://thumbcdn.com/splash/04r4e1l67ivsresb.jpg</v>
      </c>
      <c r="D533" s="12" t="s">
        <v>4064</v>
      </c>
      <c r="E533" s="57" t="str">
        <f ca="1">IFERROR(__xludf.DUMMYFUNCTION("""COMPUTED_VALUE"""),"OK")</f>
        <v>OK</v>
      </c>
      <c r="F533" s="46"/>
      <c r="G533" s="45" t="s">
        <v>10067</v>
      </c>
      <c r="H533" s="45" t="s">
        <v>10090</v>
      </c>
    </row>
    <row r="534" spans="1:8">
      <c r="A534" s="12"/>
      <c r="B534" s="12" t="str">
        <f ca="1">IFERROR(__xludf.DUMMYFUNCTION("""COMPUTED_VALUE"""),"Jenna Starr - 52331648 - Onlyfans")</f>
        <v>Jenna Starr - 52331648 - Onlyfans</v>
      </c>
      <c r="C534" s="60" t="str">
        <f ca="1">IFERROR(__xludf.DUMMYFUNCTION("""COMPUTED_VALUE"""),"https://thumbcdn.com/splash/vct1aqp6cxb8g54e.jpg")</f>
        <v>https://thumbcdn.com/splash/vct1aqp6cxb8g54e.jpg</v>
      </c>
      <c r="D534" s="12" t="s">
        <v>4080</v>
      </c>
      <c r="E534" s="57" t="str">
        <f ca="1">IFERROR(__xludf.DUMMYFUNCTION("""COMPUTED_VALUE"""),"OK")</f>
        <v>OK</v>
      </c>
      <c r="F534" s="46"/>
      <c r="G534" s="45" t="s">
        <v>10067</v>
      </c>
      <c r="H534" s="45" t="s">
        <v>10091</v>
      </c>
    </row>
    <row r="535" spans="1:8">
      <c r="A535" s="12" t="s">
        <v>10092</v>
      </c>
      <c r="B535" s="12" t="str">
        <f ca="1">IFERROR(__xludf.DUMMYFUNCTION("""COMPUTED_VALUE"""),"Jenna Starr - 87417242 - Onlyfans")</f>
        <v>Jenna Starr - 87417242 - Onlyfans</v>
      </c>
      <c r="C535" s="60" t="str">
        <f ca="1">IFERROR(__xludf.DUMMYFUNCTION("""COMPUTED_VALUE"""),"https://thumbcdn.com/splash/zjgz27ur0a1p13ev.jpg")</f>
        <v>https://thumbcdn.com/splash/zjgz27ur0a1p13ev.jpg</v>
      </c>
      <c r="D535" s="12" t="s">
        <v>4084</v>
      </c>
      <c r="E535" s="57" t="str">
        <f ca="1">IFERROR(__xludf.DUMMYFUNCTION("""COMPUTED_VALUE"""),"OK")</f>
        <v>OK</v>
      </c>
      <c r="F535" s="46"/>
      <c r="G535" s="45" t="s">
        <v>10093</v>
      </c>
      <c r="H535" s="45" t="s">
        <v>10094</v>
      </c>
    </row>
    <row r="536" spans="1:8">
      <c r="A536" s="59" t="s">
        <v>10095</v>
      </c>
      <c r="B536" s="12" t="str">
        <f ca="1">IFERROR(__xludf.DUMMYFUNCTION("""COMPUTED_VALUE"""),"Jessie Rogers - 10648497 - Onlyfans")</f>
        <v>Jessie Rogers - 10648497 - Onlyfans</v>
      </c>
      <c r="C536" s="60" t="str">
        <f ca="1">IFERROR(__xludf.DUMMYFUNCTION("""COMPUTED_VALUE"""),"https://thumbcdn.com/splash/ml4f8rhhdnbsefbf.jpg")</f>
        <v>https://thumbcdn.com/splash/ml4f8rhhdnbsefbf.jpg</v>
      </c>
      <c r="D536" s="12" t="s">
        <v>4111</v>
      </c>
      <c r="E536" s="57" t="str">
        <f ca="1">IFERROR(__xludf.DUMMYFUNCTION("""COMPUTED_VALUE"""),"OK")</f>
        <v>OK</v>
      </c>
      <c r="F536" s="46"/>
      <c r="G536" s="45" t="s">
        <v>10093</v>
      </c>
      <c r="H536" s="45" t="s">
        <v>10096</v>
      </c>
    </row>
    <row r="537" spans="1:8">
      <c r="A537" s="12"/>
      <c r="B537" s="12" t="str">
        <f ca="1">IFERROR(__xludf.DUMMYFUNCTION("""COMPUTED_VALUE"""),"Jessie Rogers - 11640804 - Onlyfans")</f>
        <v>Jessie Rogers - 11640804 - Onlyfans</v>
      </c>
      <c r="C537" s="60" t="str">
        <f ca="1">IFERROR(__xludf.DUMMYFUNCTION("""COMPUTED_VALUE"""),"https://thumbcdn.com/splash/scq4lrz5pd0athkm.jpg")</f>
        <v>https://thumbcdn.com/splash/scq4lrz5pd0athkm.jpg</v>
      </c>
      <c r="D537" s="12" t="s">
        <v>4115</v>
      </c>
      <c r="E537" s="57" t="str">
        <f ca="1">IFERROR(__xludf.DUMMYFUNCTION("""COMPUTED_VALUE"""),"OK")</f>
        <v>OK</v>
      </c>
      <c r="F537" s="46"/>
      <c r="G537" s="45" t="s">
        <v>10097</v>
      </c>
      <c r="H537" s="45" t="s">
        <v>10098</v>
      </c>
    </row>
    <row r="538" spans="1:8">
      <c r="A538" s="12" t="s">
        <v>10099</v>
      </c>
      <c r="B538" s="12" t="str">
        <f ca="1">IFERROR(__xludf.DUMMYFUNCTION("""COMPUTED_VALUE"""),"Jessie Rogers - 13653644 - Onlyfans")</f>
        <v>Jessie Rogers - 13653644 - Onlyfans</v>
      </c>
      <c r="C538" s="60" t="str">
        <f ca="1">IFERROR(__xludf.DUMMYFUNCTION("""COMPUTED_VALUE"""),"https://thumbcdn.com/splash/lrfzfjuf9btrlpoz.jpg")</f>
        <v>https://thumbcdn.com/splash/lrfzfjuf9btrlpoz.jpg</v>
      </c>
      <c r="D538" s="12" t="s">
        <v>4119</v>
      </c>
      <c r="E538" s="57" t="str">
        <f ca="1">IFERROR(__xludf.DUMMYFUNCTION("""COMPUTED_VALUE"""),"OK")</f>
        <v>OK</v>
      </c>
      <c r="F538" s="46"/>
      <c r="G538" s="45" t="s">
        <v>10097</v>
      </c>
      <c r="H538" s="45" t="s">
        <v>10100</v>
      </c>
    </row>
    <row r="539" spans="1:8">
      <c r="A539" s="59" t="s">
        <v>10101</v>
      </c>
      <c r="B539" s="12" t="str">
        <f ca="1">IFERROR(__xludf.DUMMYFUNCTION("""COMPUTED_VALUE"""),"Jessie Rogers - 14908342 - NewSensations")</f>
        <v>Jessie Rogers - 14908342 - NewSensations</v>
      </c>
      <c r="C539" s="60" t="str">
        <f ca="1">IFERROR(__xludf.DUMMYFUNCTION("""COMPUTED_VALUE"""),"https://thumbcdn.com/splash/u6n3l7bluwkjh4lz.jpg")</f>
        <v>https://thumbcdn.com/splash/u6n3l7bluwkjh4lz.jpg</v>
      </c>
      <c r="D539" s="12" t="s">
        <v>4123</v>
      </c>
      <c r="E539" s="57" t="str">
        <f ca="1">IFERROR(__xludf.DUMMYFUNCTION("""COMPUTED_VALUE"""),"OK")</f>
        <v>OK</v>
      </c>
      <c r="F539" s="46"/>
      <c r="G539" s="45" t="s">
        <v>10097</v>
      </c>
      <c r="H539" s="45" t="s">
        <v>10102</v>
      </c>
    </row>
    <row r="540" spans="1:8">
      <c r="A540" s="12"/>
      <c r="B540" s="12" t="str">
        <f ca="1">IFERROR(__xludf.DUMMYFUNCTION("""COMPUTED_VALUE"""),"Jessie Rogers - 20897311 - PPV")</f>
        <v>Jessie Rogers - 20897311 - PPV</v>
      </c>
      <c r="C540" s="60" t="str">
        <f ca="1">IFERROR(__xludf.DUMMYFUNCTION("""COMPUTED_VALUE"""),"https://thumbcdn.com/splash/5hj8ybgbao7ugubo.jpg")</f>
        <v>https://thumbcdn.com/splash/5hj8ybgbao7ugubo.jpg</v>
      </c>
      <c r="D540" s="12" t="s">
        <v>4128</v>
      </c>
      <c r="E540" s="57" t="str">
        <f ca="1">IFERROR(__xludf.DUMMYFUNCTION("""COMPUTED_VALUE"""),"OK")</f>
        <v>OK</v>
      </c>
      <c r="F540" s="46"/>
      <c r="G540" s="45" t="s">
        <v>10097</v>
      </c>
      <c r="H540" s="45" t="s">
        <v>10103</v>
      </c>
    </row>
    <row r="541" spans="1:8">
      <c r="A541" s="12" t="s">
        <v>10104</v>
      </c>
      <c r="B541" s="12" t="str">
        <f ca="1">IFERROR(__xludf.DUMMYFUNCTION("""COMPUTED_VALUE"""),"Jessie Rogers - 22580865 - Onlyfans")</f>
        <v>Jessie Rogers - 22580865 - Onlyfans</v>
      </c>
      <c r="C541" s="60" t="str">
        <f ca="1">IFERROR(__xludf.DUMMYFUNCTION("""COMPUTED_VALUE"""),"https://thumbcdn.com/splash/7tt4huzf4065vncw.jpg")</f>
        <v>https://thumbcdn.com/splash/7tt4huzf4065vncw.jpg</v>
      </c>
      <c r="D541" s="12" t="s">
        <v>4132</v>
      </c>
      <c r="E541" s="57" t="str">
        <f ca="1">IFERROR(__xludf.DUMMYFUNCTION("""COMPUTED_VALUE"""),"OK")</f>
        <v>OK</v>
      </c>
      <c r="F541" s="46"/>
      <c r="G541" s="45" t="s">
        <v>10097</v>
      </c>
      <c r="H541" s="45" t="s">
        <v>10105</v>
      </c>
    </row>
    <row r="542" spans="1:8">
      <c r="A542" s="59" t="s">
        <v>10106</v>
      </c>
      <c r="B542" s="12" t="str">
        <f ca="1">IFERROR(__xludf.DUMMYFUNCTION("""COMPUTED_VALUE"""),"Jessie Rogers - 23206176 - PC")</f>
        <v>Jessie Rogers - 23206176 - PC</v>
      </c>
      <c r="C542" s="60" t="str">
        <f ca="1">IFERROR(__xludf.DUMMYFUNCTION("""COMPUTED_VALUE"""),"https://thumbcdn.com/splash/7x6ini63oa90z4uq.jpg")</f>
        <v>https://thumbcdn.com/splash/7x6ini63oa90z4uq.jpg</v>
      </c>
      <c r="D542" s="12" t="s">
        <v>4136</v>
      </c>
      <c r="E542" s="57" t="str">
        <f ca="1">IFERROR(__xludf.DUMMYFUNCTION("""COMPUTED_VALUE"""),"OK")</f>
        <v>OK</v>
      </c>
      <c r="F542" s="46"/>
      <c r="G542" s="45" t="s">
        <v>10097</v>
      </c>
      <c r="H542" s="45" t="s">
        <v>10107</v>
      </c>
    </row>
    <row r="543" spans="1:8">
      <c r="A543" s="12"/>
      <c r="B543" s="12" t="str">
        <f ca="1">IFERROR(__xludf.DUMMYFUNCTION("""COMPUTED_VALUE"""),"Jessie Rogers - 23837155 - BlackedRaw")</f>
        <v>Jessie Rogers - 23837155 - BlackedRaw</v>
      </c>
      <c r="C543" s="60" t="str">
        <f ca="1">IFERROR(__xludf.DUMMYFUNCTION("""COMPUTED_VALUE"""),"https://thumbcdn.com/splash/00y1hwuyw4x02jok.jpg")</f>
        <v>https://thumbcdn.com/splash/00y1hwuyw4x02jok.jpg</v>
      </c>
      <c r="D543" s="6" t="s">
        <v>4141</v>
      </c>
      <c r="E543" s="63" t="str">
        <f ca="1">IFERROR(__xludf.DUMMYFUNCTION("""COMPUTED_VALUE"""),"OK")</f>
        <v>OK</v>
      </c>
      <c r="F543" s="46"/>
      <c r="G543" s="45" t="s">
        <v>10097</v>
      </c>
      <c r="H543" s="45" t="s">
        <v>10108</v>
      </c>
    </row>
    <row r="544" spans="1:8">
      <c r="A544" s="12" t="s">
        <v>10109</v>
      </c>
      <c r="B544" s="12" t="str">
        <f ca="1">IFERROR(__xludf.DUMMYFUNCTION("""COMPUTED_VALUE"""),"Jessie Rogers - 25028555 - Onlyfans - Tommy King")</f>
        <v>Jessie Rogers - 25028555 - Onlyfans - Tommy King</v>
      </c>
      <c r="C544" s="60" t="str">
        <f ca="1">IFERROR(__xludf.DUMMYFUNCTION("""COMPUTED_VALUE"""),"https://thumbcdn.com/splash/gqb7lnx3ivvi2v7m.jpg")</f>
        <v>https://thumbcdn.com/splash/gqb7lnx3ivvi2v7m.jpg</v>
      </c>
      <c r="D544" s="12" t="s">
        <v>4146</v>
      </c>
      <c r="E544" s="57" t="str">
        <f ca="1">IFERROR(__xludf.DUMMYFUNCTION("""COMPUTED_VALUE"""),"OK")</f>
        <v>OK</v>
      </c>
      <c r="F544" s="46"/>
      <c r="G544" s="45" t="s">
        <v>10097</v>
      </c>
      <c r="H544" s="45" t="s">
        <v>10110</v>
      </c>
    </row>
    <row r="545" spans="1:8">
      <c r="A545" s="59" t="s">
        <v>10111</v>
      </c>
      <c r="B545" s="12" t="str">
        <f ca="1">IFERROR(__xludf.DUMMYFUNCTION("""COMPUTED_VALUE"""),"Jessie Rogers - 27969728 - Mylf")</f>
        <v>Jessie Rogers - 27969728 - Mylf</v>
      </c>
      <c r="C545" s="60" t="str">
        <f ca="1">IFERROR(__xludf.DUMMYFUNCTION("""COMPUTED_VALUE"""),"https://thumbcdn.com/splash/cfdcmu4nh5qcm1rs.jpg")</f>
        <v>https://thumbcdn.com/splash/cfdcmu4nh5qcm1rs.jpg</v>
      </c>
      <c r="D545" s="6" t="s">
        <v>4150</v>
      </c>
      <c r="E545" s="63" t="str">
        <f ca="1">IFERROR(__xludf.DUMMYFUNCTION("""COMPUTED_VALUE"""),"OK")</f>
        <v>OK</v>
      </c>
      <c r="F545" s="46"/>
      <c r="G545" s="45" t="s">
        <v>10097</v>
      </c>
      <c r="H545" s="45" t="s">
        <v>10112</v>
      </c>
    </row>
    <row r="546" spans="1:8">
      <c r="A546" s="12"/>
      <c r="B546" s="12" t="str">
        <f ca="1">IFERROR(__xludf.DUMMYFUNCTION("""COMPUTED_VALUE"""),"Jessie Rogers - 29227295 - MPF")</f>
        <v>Jessie Rogers - 29227295 - MPF</v>
      </c>
      <c r="C546" s="60" t="str">
        <f ca="1">IFERROR(__xludf.DUMMYFUNCTION("""COMPUTED_VALUE"""),"https://thumbcdn.com/splash/5g7tu3qz2fqoln6d.jpg")</f>
        <v>https://thumbcdn.com/splash/5g7tu3qz2fqoln6d.jpg</v>
      </c>
      <c r="D546" s="6" t="s">
        <v>4156</v>
      </c>
      <c r="E546" s="63" t="str">
        <f ca="1">IFERROR(__xludf.DUMMYFUNCTION("""COMPUTED_VALUE"""),"OK")</f>
        <v>OK</v>
      </c>
      <c r="F546" s="46"/>
      <c r="G546" s="45" t="s">
        <v>10097</v>
      </c>
      <c r="H546" s="45" t="s">
        <v>10113</v>
      </c>
    </row>
    <row r="547" spans="1:8">
      <c r="A547" s="12" t="s">
        <v>10114</v>
      </c>
      <c r="B547" s="12" t="str">
        <f ca="1">IFERROR(__xludf.DUMMYFUNCTION("""COMPUTED_VALUE"""),"Jessie Rogers - 30802683 - EvilAngel")</f>
        <v>Jessie Rogers - 30802683 - EvilAngel</v>
      </c>
      <c r="C547" s="60" t="str">
        <f ca="1">IFERROR(__xludf.DUMMYFUNCTION("""COMPUTED_VALUE"""),"https://thumbcdn.com/splash/a16s423og5nf15fc.jpg")</f>
        <v>https://thumbcdn.com/splash/a16s423og5nf15fc.jpg</v>
      </c>
      <c r="D547" s="12" t="s">
        <v>4160</v>
      </c>
      <c r="E547" s="57" t="str">
        <f ca="1">IFERROR(__xludf.DUMMYFUNCTION("""COMPUTED_VALUE"""),"OK")</f>
        <v>OK</v>
      </c>
      <c r="F547" s="46"/>
      <c r="G547" s="45" t="s">
        <v>10097</v>
      </c>
      <c r="H547" s="45" t="s">
        <v>10115</v>
      </c>
    </row>
    <row r="548" spans="1:8">
      <c r="A548" s="59" t="s">
        <v>10116</v>
      </c>
      <c r="B548" s="12" t="str">
        <f ca="1">IFERROR(__xludf.DUMMYFUNCTION("""COMPUTED_VALUE"""),"Jessie Rogers - 30904958 - JulesJordan")</f>
        <v>Jessie Rogers - 30904958 - JulesJordan</v>
      </c>
      <c r="C548" s="60" t="str">
        <f ca="1">IFERROR(__xludf.DUMMYFUNCTION("""COMPUTED_VALUE"""),"https://thumbcdn.com/splash/3i6vcvuzh47b7q7z.jpg")</f>
        <v>https://thumbcdn.com/splash/3i6vcvuzh47b7q7z.jpg</v>
      </c>
      <c r="D548" s="11" t="s">
        <v>4164</v>
      </c>
      <c r="E548" s="63" t="str">
        <f ca="1">IFERROR(__xludf.DUMMYFUNCTION("""COMPUTED_VALUE"""),"OK")</f>
        <v>OK</v>
      </c>
      <c r="F548" s="46"/>
      <c r="G548" s="45" t="s">
        <v>10097</v>
      </c>
      <c r="H548" s="45" t="s">
        <v>10117</v>
      </c>
    </row>
    <row r="549" spans="1:8">
      <c r="A549" s="12"/>
      <c r="B549" s="12" t="str">
        <f ca="1">IFERROR(__xludf.DUMMYFUNCTION("""COMPUTED_VALUE"""),"Jessie Rogers - 32575602 - Fansly")</f>
        <v>Jessie Rogers - 32575602 - Fansly</v>
      </c>
      <c r="C549" s="60" t="str">
        <f ca="1">IFERROR(__xludf.DUMMYFUNCTION("""COMPUTED_VALUE"""),"https://thumbcdn.com/splash/39jd48bjzdfob2rq.jpg")</f>
        <v>https://thumbcdn.com/splash/39jd48bjzdfob2rq.jpg</v>
      </c>
      <c r="D549" s="12" t="s">
        <v>4168</v>
      </c>
      <c r="E549" s="57" t="str">
        <f ca="1">IFERROR(__xludf.DUMMYFUNCTION("""COMPUTED_VALUE"""),"OK")</f>
        <v>OK</v>
      </c>
      <c r="F549" s="46"/>
      <c r="G549" s="45" t="s">
        <v>10097</v>
      </c>
      <c r="H549" s="45" t="s">
        <v>10118</v>
      </c>
    </row>
    <row r="550" spans="1:8">
      <c r="A550" s="12" t="s">
        <v>10119</v>
      </c>
      <c r="B550" s="12" t="str">
        <f ca="1">IFERROR(__xludf.DUMMYFUNCTION("""COMPUTED_VALUE"""),"Jessie Rogers - 32870489 - Onlyfans")</f>
        <v>Jessie Rogers - 32870489 - Onlyfans</v>
      </c>
      <c r="C550" s="60" t="str">
        <f ca="1">IFERROR(__xludf.DUMMYFUNCTION("""COMPUTED_VALUE"""),"https://thumbcdn.com/splash/1wpq88edj2ynrbnb.jpg")</f>
        <v>https://thumbcdn.com/splash/1wpq88edj2ynrbnb.jpg</v>
      </c>
      <c r="D550" s="12" t="s">
        <v>4172</v>
      </c>
      <c r="E550" s="57" t="str">
        <f ca="1">IFERROR(__xludf.DUMMYFUNCTION("""COMPUTED_VALUE"""),"OK")</f>
        <v>OK</v>
      </c>
      <c r="F550" s="46"/>
      <c r="G550" s="45" t="s">
        <v>10097</v>
      </c>
      <c r="H550" s="45" t="s">
        <v>10120</v>
      </c>
    </row>
    <row r="551" spans="1:8">
      <c r="A551" s="59" t="s">
        <v>10121</v>
      </c>
      <c r="B551" s="12" t="str">
        <f ca="1">IFERROR(__xludf.DUMMYFUNCTION("""COMPUTED_VALUE"""),"Jessie Rogers - 38320444 - JSTV")</f>
        <v>Jessie Rogers - 38320444 - JSTV</v>
      </c>
      <c r="C551" s="60" t="str">
        <f ca="1">IFERROR(__xludf.DUMMYFUNCTION("""COMPUTED_VALUE"""),"https://thumbcdn.com/splash/ectuslk7tqj3vzyf.jpg")</f>
        <v>https://thumbcdn.com/splash/ectuslk7tqj3vzyf.jpg</v>
      </c>
      <c r="D551" s="12" t="s">
        <v>4177</v>
      </c>
      <c r="E551" s="57" t="str">
        <f ca="1">IFERROR(__xludf.DUMMYFUNCTION("""COMPUTED_VALUE"""),"OK")</f>
        <v>OK</v>
      </c>
      <c r="F551" s="46"/>
      <c r="G551" s="45" t="s">
        <v>10097</v>
      </c>
      <c r="H551" s="45" t="s">
        <v>10122</v>
      </c>
    </row>
    <row r="552" spans="1:8">
      <c r="A552" s="12"/>
      <c r="B552" s="12" t="str">
        <f ca="1">IFERROR(__xludf.DUMMYFUNCTION("""COMPUTED_VALUE"""),"Jessie Rogers - 38677225 - Onlyfans")</f>
        <v>Jessie Rogers - 38677225 - Onlyfans</v>
      </c>
      <c r="C552" s="60" t="str">
        <f ca="1">IFERROR(__xludf.DUMMYFUNCTION("""COMPUTED_VALUE"""),"https://thumbcdn.com/splash/h2kz4ncr5e0k6mav.jpg")</f>
        <v>https://thumbcdn.com/splash/h2kz4ncr5e0k6mav.jpg</v>
      </c>
      <c r="D552" s="12" t="s">
        <v>4182</v>
      </c>
      <c r="E552" s="57" t="str">
        <f ca="1">IFERROR(__xludf.DUMMYFUNCTION("""COMPUTED_VALUE"""),"OK")</f>
        <v>OK</v>
      </c>
      <c r="F552" s="46"/>
      <c r="G552" s="45" t="s">
        <v>10097</v>
      </c>
      <c r="H552" s="45" t="s">
        <v>10123</v>
      </c>
    </row>
    <row r="553" spans="1:8">
      <c r="A553" s="12" t="s">
        <v>10124</v>
      </c>
      <c r="B553" s="12" t="str">
        <f ca="1">IFERROR(__xludf.DUMMYFUNCTION("""COMPUTED_VALUE"""),"Jessie Rogers - 45681547 - Onlyfans")</f>
        <v>Jessie Rogers - 45681547 - Onlyfans</v>
      </c>
      <c r="C553" s="60" t="str">
        <f ca="1">IFERROR(__xludf.DUMMYFUNCTION("""COMPUTED_VALUE"""),"https://thumbcdn.com/splash/tpefsajkf7bem4kw.jpg")</f>
        <v>https://thumbcdn.com/splash/tpefsajkf7bem4kw.jpg</v>
      </c>
      <c r="D553" s="6" t="s">
        <v>4186</v>
      </c>
      <c r="E553" s="63" t="str">
        <f ca="1">IFERROR(__xludf.DUMMYFUNCTION("""COMPUTED_VALUE"""),"OK")</f>
        <v>OK</v>
      </c>
      <c r="F553" s="46"/>
      <c r="G553" s="45" t="s">
        <v>10097</v>
      </c>
      <c r="H553" s="45" t="s">
        <v>10125</v>
      </c>
    </row>
    <row r="554" spans="1:8">
      <c r="A554" s="59" t="s">
        <v>10126</v>
      </c>
      <c r="B554" s="12" t="str">
        <f ca="1">IFERROR(__xludf.DUMMYFUNCTION("""COMPUTED_VALUE"""),"Jessie Rogers - 46655415 - Onlyfans")</f>
        <v>Jessie Rogers - 46655415 - Onlyfans</v>
      </c>
      <c r="C554" s="60" t="str">
        <f ca="1">IFERROR(__xludf.DUMMYFUNCTION("""COMPUTED_VALUE"""),"https://thumbcdn.com/splash/x1xms6il30a2p3oh.jpg")</f>
        <v>https://thumbcdn.com/splash/x1xms6il30a2p3oh.jpg</v>
      </c>
      <c r="D554" s="6" t="s">
        <v>4191</v>
      </c>
      <c r="E554" s="63" t="str">
        <f ca="1">IFERROR(__xludf.DUMMYFUNCTION("""COMPUTED_VALUE"""),"OK")</f>
        <v>OK</v>
      </c>
      <c r="F554" s="46"/>
      <c r="G554" s="45" t="s">
        <v>10097</v>
      </c>
      <c r="H554" s="45" t="s">
        <v>10127</v>
      </c>
    </row>
    <row r="555" spans="1:8">
      <c r="A555" s="12"/>
      <c r="B555" s="12" t="str">
        <f ca="1">IFERROR(__xludf.DUMMYFUNCTION("""COMPUTED_VALUE"""),"Jessie Rogers - 52486299 - Onlyfans")</f>
        <v>Jessie Rogers - 52486299 - Onlyfans</v>
      </c>
      <c r="C555" s="60" t="str">
        <f ca="1">IFERROR(__xludf.DUMMYFUNCTION("""COMPUTED_VALUE"""),"https://thumbcdn.com/splash/7bpr0egesccbuxta.jpg")</f>
        <v>https://thumbcdn.com/splash/7bpr0egesccbuxta.jpg</v>
      </c>
      <c r="D555" s="12" t="s">
        <v>4197</v>
      </c>
      <c r="E555" s="57" t="str">
        <f ca="1">IFERROR(__xludf.DUMMYFUNCTION("""COMPUTED_VALUE"""),"OK")</f>
        <v>OK</v>
      </c>
      <c r="F555" s="46"/>
      <c r="G555" s="45" t="s">
        <v>10097</v>
      </c>
      <c r="H555" s="45" t="s">
        <v>10128</v>
      </c>
    </row>
    <row r="556" spans="1:8">
      <c r="A556" s="12" t="s">
        <v>10129</v>
      </c>
      <c r="B556" s="12" t="str">
        <f ca="1">IFERROR(__xludf.DUMMYFUNCTION("""COMPUTED_VALUE"""),"Jessie Rogers - 52690104 - Tushy")</f>
        <v>Jessie Rogers - 52690104 - Tushy</v>
      </c>
      <c r="C556" s="60" t="str">
        <f ca="1">IFERROR(__xludf.DUMMYFUNCTION("""COMPUTED_VALUE"""),"https://thumbcdn.com/splash/zw0kr7vtihzbkfco.jpg")</f>
        <v>https://thumbcdn.com/splash/zw0kr7vtihzbkfco.jpg</v>
      </c>
      <c r="D556" s="12" t="s">
        <v>4207</v>
      </c>
      <c r="E556" s="57" t="str">
        <f ca="1">IFERROR(__xludf.DUMMYFUNCTION("""COMPUTED_VALUE"""),"OK")</f>
        <v>OK</v>
      </c>
      <c r="F556" s="46"/>
      <c r="G556" s="45" t="s">
        <v>10097</v>
      </c>
      <c r="H556" s="45" t="s">
        <v>10130</v>
      </c>
    </row>
    <row r="557" spans="1:8">
      <c r="A557" s="59" t="s">
        <v>10131</v>
      </c>
      <c r="B557" s="12" t="str">
        <f ca="1">IFERROR(__xludf.DUMMYFUNCTION("""COMPUTED_VALUE"""),"Jessie Rogers - 57572969 - TMW")</f>
        <v>Jessie Rogers - 57572969 - TMW</v>
      </c>
      <c r="C557" s="60" t="str">
        <f ca="1">IFERROR(__xludf.DUMMYFUNCTION("""COMPUTED_VALUE"""),"https://thumbcdn.com/splash/635vrxfupgzds3ad.jpg")</f>
        <v>https://thumbcdn.com/splash/635vrxfupgzds3ad.jpg</v>
      </c>
      <c r="D557" s="12" t="s">
        <v>4212</v>
      </c>
      <c r="E557" s="57" t="str">
        <f ca="1">IFERROR(__xludf.DUMMYFUNCTION("""COMPUTED_VALUE"""),"OK")</f>
        <v>OK</v>
      </c>
      <c r="F557" s="46"/>
      <c r="G557" s="45" t="s">
        <v>10097</v>
      </c>
      <c r="H557" s="45" t="s">
        <v>10132</v>
      </c>
    </row>
    <row r="558" spans="1:8">
      <c r="A558" s="12"/>
      <c r="B558" s="12" t="str">
        <f ca="1">IFERROR(__xludf.DUMMYFUNCTION("""COMPUTED_VALUE"""),"Jessie Rogers - 58009051 - Onlyfans")</f>
        <v>Jessie Rogers - 58009051 - Onlyfans</v>
      </c>
      <c r="C558" s="60" t="str">
        <f ca="1">IFERROR(__xludf.DUMMYFUNCTION("""COMPUTED_VALUE"""),"https://thumbcdn.com/splash/8fk737jl4pxpi5qa.jpg")</f>
        <v>https://thumbcdn.com/splash/8fk737jl4pxpi5qa.jpg</v>
      </c>
      <c r="D558" s="12" t="s">
        <v>4216</v>
      </c>
      <c r="E558" s="57" t="str">
        <f ca="1">IFERROR(__xludf.DUMMYFUNCTION("""COMPUTED_VALUE"""),"OK")</f>
        <v>OK</v>
      </c>
      <c r="F558" s="46"/>
      <c r="G558" s="45" t="s">
        <v>10097</v>
      </c>
      <c r="H558" s="45" t="s">
        <v>10133</v>
      </c>
    </row>
    <row r="559" spans="1:8">
      <c r="A559" s="12" t="s">
        <v>10134</v>
      </c>
      <c r="B559" s="12" t="str">
        <f ca="1">IFERROR(__xludf.DUMMYFUNCTION("""COMPUTED_VALUE"""),"Jessie Rogers - 64518286 - Onlyfans")</f>
        <v>Jessie Rogers - 64518286 - Onlyfans</v>
      </c>
      <c r="C559" s="60" t="str">
        <f ca="1">IFERROR(__xludf.DUMMYFUNCTION("""COMPUTED_VALUE"""),"https://thumbcdn.com/splash/fo6293vgcz4l5bnr.jpg")</f>
        <v>https://thumbcdn.com/splash/fo6293vgcz4l5bnr.jpg</v>
      </c>
      <c r="D559" s="12" t="s">
        <v>4221</v>
      </c>
      <c r="E559" s="57" t="str">
        <f ca="1">IFERROR(__xludf.DUMMYFUNCTION("""COMPUTED_VALUE"""),"OK")</f>
        <v>OK</v>
      </c>
      <c r="F559" s="46"/>
      <c r="G559" s="45" t="s">
        <v>10097</v>
      </c>
      <c r="H559" s="45" t="s">
        <v>10135</v>
      </c>
    </row>
    <row r="560" spans="1:8">
      <c r="A560" s="59" t="s">
        <v>10136</v>
      </c>
      <c r="B560" s="12" t="str">
        <f ca="1">IFERROR(__xludf.DUMMYFUNCTION("""COMPUTED_VALUE"""),"Jessie Rogers - 67186969 - Onlyfans")</f>
        <v>Jessie Rogers - 67186969 - Onlyfans</v>
      </c>
      <c r="C560" s="60" t="str">
        <f ca="1">IFERROR(__xludf.DUMMYFUNCTION("""COMPUTED_VALUE"""),"https://thumbcdn.com/splash/77mfjmve3nbou3p5.jpg")</f>
        <v>https://thumbcdn.com/splash/77mfjmve3nbou3p5.jpg</v>
      </c>
      <c r="D560" s="6" t="s">
        <v>4226</v>
      </c>
      <c r="E560" s="63" t="str">
        <f ca="1">IFERROR(__xludf.DUMMYFUNCTION("""COMPUTED_VALUE"""),"OK")</f>
        <v>OK</v>
      </c>
      <c r="F560" s="46"/>
      <c r="G560" s="45" t="s">
        <v>10097</v>
      </c>
      <c r="H560" s="45" t="s">
        <v>10137</v>
      </c>
    </row>
    <row r="561" spans="1:8">
      <c r="A561" s="12"/>
      <c r="B561" s="12" t="str">
        <f ca="1">IFERROR(__xludf.DUMMYFUNCTION("""COMPUTED_VALUE"""),"Jessie Rogers - 67490497 - Onlyfans")</f>
        <v>Jessie Rogers - 67490497 - Onlyfans</v>
      </c>
      <c r="C561" s="60" t="str">
        <f ca="1">IFERROR(__xludf.DUMMYFUNCTION("""COMPUTED_VALUE"""),"https://thumbcdn.com/splash/53l7h4em2avcjpcq.jpg")</f>
        <v>https://thumbcdn.com/splash/53l7h4em2avcjpcq.jpg</v>
      </c>
      <c r="D561" s="12" t="s">
        <v>10138</v>
      </c>
      <c r="E561" s="57" t="str">
        <f ca="1">IFERROR(__xludf.DUMMYFUNCTION("""COMPUTED_VALUE"""),"OK")</f>
        <v>OK</v>
      </c>
      <c r="F561" s="46"/>
      <c r="G561" s="45" t="s">
        <v>10097</v>
      </c>
      <c r="H561" s="45" t="s">
        <v>10139</v>
      </c>
    </row>
    <row r="562" spans="1:8">
      <c r="A562" s="12" t="s">
        <v>10140</v>
      </c>
      <c r="B562" s="12" t="str">
        <f ca="1">IFERROR(__xludf.DUMMYFUNCTION("""COMPUTED_VALUE"""),"Jessie Rogers - 71295357 - Onlyfans")</f>
        <v>Jessie Rogers - 71295357 - Onlyfans</v>
      </c>
      <c r="C562" s="60" t="str">
        <f ca="1">IFERROR(__xludf.DUMMYFUNCTION("""COMPUTED_VALUE"""),"https://thumbcdn.com/splash/7s4ltule2cmzojor.jpg")</f>
        <v>https://thumbcdn.com/splash/7s4ltule2cmzojor.jpg</v>
      </c>
      <c r="D562" s="12" t="s">
        <v>4232</v>
      </c>
      <c r="E562" s="57" t="str">
        <f ca="1">IFERROR(__xludf.DUMMYFUNCTION("""COMPUTED_VALUE"""),"OK")</f>
        <v>OK</v>
      </c>
      <c r="F562" s="46"/>
      <c r="G562" s="45" t="s">
        <v>10097</v>
      </c>
      <c r="H562" s="45" t="s">
        <v>10141</v>
      </c>
    </row>
    <row r="563" spans="1:8">
      <c r="A563" s="59" t="s">
        <v>10142</v>
      </c>
      <c r="B563" s="12" t="str">
        <f ca="1">IFERROR(__xludf.DUMMYFUNCTION("""COMPUTED_VALUE"""),"Jessie Rogers - 72664390 - Onlyfans")</f>
        <v>Jessie Rogers - 72664390 - Onlyfans</v>
      </c>
      <c r="C563" s="60" t="str">
        <f ca="1">IFERROR(__xludf.DUMMYFUNCTION("""COMPUTED_VALUE"""),"https://thumbcdn.com/splash/7ido45fh44ztu72s.jpg")</f>
        <v>https://thumbcdn.com/splash/7ido45fh44ztu72s.jpg</v>
      </c>
      <c r="D563" s="6" t="s">
        <v>4236</v>
      </c>
      <c r="E563" s="63" t="str">
        <f ca="1">IFERROR(__xludf.DUMMYFUNCTION("""COMPUTED_VALUE"""),"OK")</f>
        <v>OK</v>
      </c>
      <c r="F563" s="46"/>
      <c r="G563" s="45" t="s">
        <v>10097</v>
      </c>
      <c r="H563" s="45" t="s">
        <v>10143</v>
      </c>
    </row>
    <row r="564" spans="1:8">
      <c r="A564" s="12"/>
      <c r="B564" s="12" t="str">
        <f ca="1">IFERROR(__xludf.DUMMYFUNCTION("""COMPUTED_VALUE"""),"Jessie Rogers - 78269518 - Onlyfans")</f>
        <v>Jessie Rogers - 78269518 - Onlyfans</v>
      </c>
      <c r="C564" s="60" t="str">
        <f ca="1">IFERROR(__xludf.DUMMYFUNCTION("""COMPUTED_VALUE"""),"https://thumbcdn.com/splash/exenyb99vmlapsgi.jpg")</f>
        <v>https://thumbcdn.com/splash/exenyb99vmlapsgi.jpg</v>
      </c>
      <c r="D564" s="6" t="s">
        <v>4241</v>
      </c>
      <c r="E564" s="63" t="str">
        <f ca="1">IFERROR(__xludf.DUMMYFUNCTION("""COMPUTED_VALUE"""),"OK")</f>
        <v>OK</v>
      </c>
      <c r="F564" s="46"/>
      <c r="G564" s="45" t="s">
        <v>10097</v>
      </c>
      <c r="H564" s="45" t="s">
        <v>10144</v>
      </c>
    </row>
    <row r="565" spans="1:8">
      <c r="A565" s="12" t="s">
        <v>10145</v>
      </c>
      <c r="B565" s="12" t="str">
        <f ca="1">IFERROR(__xludf.DUMMYFUNCTION("""COMPUTED_VALUE"""),"Jessie Rogers - 79785667 - Evil Angel")</f>
        <v>Jessie Rogers - 79785667 - Evil Angel</v>
      </c>
      <c r="C565" s="60" t="str">
        <f ca="1">IFERROR(__xludf.DUMMYFUNCTION("""COMPUTED_VALUE"""),"https://thumbcdn.com/splash/p8781flyqg8duat2.jpg")</f>
        <v>https://thumbcdn.com/splash/p8781flyqg8duat2.jpg</v>
      </c>
      <c r="D565" s="12" t="s">
        <v>4245</v>
      </c>
      <c r="E565" s="57" t="str">
        <f ca="1">IFERROR(__xludf.DUMMYFUNCTION("""COMPUTED_VALUE"""),"OK")</f>
        <v>OK</v>
      </c>
      <c r="F565" s="46"/>
      <c r="G565" s="45" t="s">
        <v>10097</v>
      </c>
      <c r="H565" s="45" t="s">
        <v>10146</v>
      </c>
    </row>
    <row r="566" spans="1:8">
      <c r="A566" s="59" t="s">
        <v>10147</v>
      </c>
      <c r="B566" s="12" t="str">
        <f ca="1">IFERROR(__xludf.DUMMYFUNCTION("""COMPUTED_VALUE"""),"Jessie Rogers - 84263564 - Onlyfans")</f>
        <v>Jessie Rogers - 84263564 - Onlyfans</v>
      </c>
      <c r="C566" s="60" t="str">
        <f ca="1">IFERROR(__xludf.DUMMYFUNCTION("""COMPUTED_VALUE"""),"https://thumbcdn.com/splash/euv59qfdd21vnhpz.jpg")</f>
        <v>https://thumbcdn.com/splash/euv59qfdd21vnhpz.jpg</v>
      </c>
      <c r="D566" s="12" t="s">
        <v>4250</v>
      </c>
      <c r="E566" s="57" t="str">
        <f ca="1">IFERROR(__xludf.DUMMYFUNCTION("""COMPUTED_VALUE"""),"OK")</f>
        <v>OK</v>
      </c>
      <c r="F566" s="46"/>
      <c r="G566" s="45" t="s">
        <v>10097</v>
      </c>
      <c r="H566" s="45" t="s">
        <v>10148</v>
      </c>
    </row>
    <row r="567" spans="1:8">
      <c r="A567" s="12"/>
      <c r="B567" s="12" t="str">
        <f ca="1">IFERROR(__xludf.DUMMYFUNCTION("""COMPUTED_VALUE"""),"Jessie Rogers - 87103916 - Onlyfans - Violet Myers")</f>
        <v>Jessie Rogers - 87103916 - Onlyfans - Violet Myers</v>
      </c>
      <c r="C567" s="60" t="str">
        <f ca="1">IFERROR(__xludf.DUMMYFUNCTION("""COMPUTED_VALUE"""),"https://thumbcdn.com/splash/jprhxs9x54pvdyjo.jpg")</f>
        <v>https://thumbcdn.com/splash/jprhxs9x54pvdyjo.jpg</v>
      </c>
      <c r="D567" s="6" t="s">
        <v>4254</v>
      </c>
      <c r="E567" s="63" t="str">
        <f ca="1">IFERROR(__xludf.DUMMYFUNCTION("""COMPUTED_VALUE"""),"OK")</f>
        <v>OK</v>
      </c>
      <c r="F567" s="46"/>
      <c r="G567" s="45" t="s">
        <v>10097</v>
      </c>
      <c r="H567" s="45" t="s">
        <v>10149</v>
      </c>
    </row>
    <row r="568" spans="1:8">
      <c r="A568" s="12" t="s">
        <v>10150</v>
      </c>
      <c r="B568" s="12" t="str">
        <f ca="1">IFERROR(__xludf.DUMMYFUNCTION("""COMPUTED_VALUE"""),"Jessie Rogers - 89289006 - Mylf")</f>
        <v>Jessie Rogers - 89289006 - Mylf</v>
      </c>
      <c r="C568" s="60" t="str">
        <f ca="1">IFERROR(__xludf.DUMMYFUNCTION("""COMPUTED_VALUE"""),"https://thumbcdn.com/splash/k9ro3y0h8szbm2ew.jpg")</f>
        <v>https://thumbcdn.com/splash/k9ro3y0h8szbm2ew.jpg</v>
      </c>
      <c r="D568" s="6" t="s">
        <v>4258</v>
      </c>
      <c r="E568" s="63" t="str">
        <f ca="1">IFERROR(__xludf.DUMMYFUNCTION("""COMPUTED_VALUE"""),"OK")</f>
        <v>OK</v>
      </c>
      <c r="F568" s="46"/>
      <c r="G568" s="45" t="s">
        <v>10097</v>
      </c>
      <c r="H568" s="45" t="s">
        <v>10151</v>
      </c>
    </row>
    <row r="569" spans="1:8">
      <c r="A569" s="59" t="s">
        <v>10152</v>
      </c>
      <c r="B569" s="12" t="str">
        <f ca="1">IFERROR(__xludf.DUMMYFUNCTION("""COMPUTED_VALUE"""),"Jessie Rogers - 92786766 - HardX")</f>
        <v>Jessie Rogers - 92786766 - HardX</v>
      </c>
      <c r="C569" s="60" t="str">
        <f ca="1">IFERROR(__xludf.DUMMYFUNCTION("""COMPUTED_VALUE"""),"https://thumbcdn.com/splash/sq7sy54vhz8w7wkh.jpg")</f>
        <v>https://thumbcdn.com/splash/sq7sy54vhz8w7wkh.jpg</v>
      </c>
      <c r="D569" s="12" t="s">
        <v>4262</v>
      </c>
      <c r="E569" s="57" t="str">
        <f ca="1">IFERROR(__xludf.DUMMYFUNCTION("""COMPUTED_VALUE"""),"OK")</f>
        <v>OK</v>
      </c>
      <c r="F569" s="46"/>
      <c r="G569" s="45" t="s">
        <v>10097</v>
      </c>
      <c r="H569" s="45" t="s">
        <v>10153</v>
      </c>
    </row>
    <row r="570" spans="1:8">
      <c r="A570" s="12"/>
      <c r="B570" s="12" t="str">
        <f ca="1">IFERROR(__xludf.DUMMYFUNCTION("""COMPUTED_VALUE"""),"Jessie Rogers - 94536611 - Onlyfans")</f>
        <v>Jessie Rogers - 94536611 - Onlyfans</v>
      </c>
      <c r="C570" s="60" t="str">
        <f ca="1">IFERROR(__xludf.DUMMYFUNCTION("""COMPUTED_VALUE"""),"https://thumbcdn.com/splash/p98riojc7yzlgh9n.jpg")</f>
        <v>https://thumbcdn.com/splash/p98riojc7yzlgh9n.jpg</v>
      </c>
      <c r="D570" s="12" t="s">
        <v>4267</v>
      </c>
      <c r="E570" s="57" t="str">
        <f ca="1">IFERROR(__xludf.DUMMYFUNCTION("""COMPUTED_VALUE"""),"OK")</f>
        <v>OK</v>
      </c>
      <c r="F570" s="46"/>
      <c r="G570" s="45" t="s">
        <v>10097</v>
      </c>
      <c r="H570" s="45" t="s">
        <v>10154</v>
      </c>
    </row>
    <row r="571" spans="1:8">
      <c r="A571" s="12" t="s">
        <v>10155</v>
      </c>
      <c r="B571" s="12" t="str">
        <f ca="1">IFERROR(__xludf.DUMMYFUNCTION("""COMPUTED_VALUE"""),"Jessie Rogers - 98919097 - Elegant Angel")</f>
        <v>Jessie Rogers - 98919097 - Elegant Angel</v>
      </c>
      <c r="C571" s="60" t="str">
        <f ca="1">IFERROR(__xludf.DUMMYFUNCTION("""COMPUTED_VALUE"""),"https://thumbcdn.com/splash/icr44ccpwqes057x.jpg")</f>
        <v>https://thumbcdn.com/splash/icr44ccpwqes057x.jpg</v>
      </c>
      <c r="D571" s="6" t="s">
        <v>4272</v>
      </c>
      <c r="E571" s="63" t="str">
        <f ca="1">IFERROR(__xludf.DUMMYFUNCTION("""COMPUTED_VALUE"""),"OK")</f>
        <v>OK</v>
      </c>
      <c r="F571" s="46"/>
      <c r="G571" s="45" t="s">
        <v>10097</v>
      </c>
      <c r="H571" s="45" t="s">
        <v>10156</v>
      </c>
    </row>
    <row r="572" spans="1:8">
      <c r="A572" s="59" t="s">
        <v>10157</v>
      </c>
      <c r="B572" s="12" t="str">
        <f ca="1">IFERROR(__xludf.DUMMYFUNCTION("""COMPUTED_VALUE"""),"Jessie Rogers - 99017284 - Onlyfans - Lola Rose")</f>
        <v>Jessie Rogers - 99017284 - Onlyfans - Lola Rose</v>
      </c>
      <c r="C572" s="60" t="str">
        <f ca="1">IFERROR(__xludf.DUMMYFUNCTION("""COMPUTED_VALUE"""),"https://thumbcdn.com/splash/iaqm5cxqh3m27hwr.jpg")</f>
        <v>https://thumbcdn.com/splash/iaqm5cxqh3m27hwr.jpg</v>
      </c>
      <c r="D572" s="12" t="s">
        <v>4276</v>
      </c>
      <c r="E572" s="57" t="str">
        <f ca="1">IFERROR(__xludf.DUMMYFUNCTION("""COMPUTED_VALUE"""),"OK")</f>
        <v>OK</v>
      </c>
      <c r="F572" s="46"/>
      <c r="G572" s="45" t="s">
        <v>10097</v>
      </c>
      <c r="H572" s="45" t="s">
        <v>10158</v>
      </c>
    </row>
    <row r="573" spans="1:8">
      <c r="A573" s="12"/>
      <c r="B573" s="12" t="str">
        <f ca="1">IFERROR(__xludf.DUMMYFUNCTION("""COMPUTED_VALUE"""),"Jessie Rogers - 99753692 - HGR")</f>
        <v>Jessie Rogers - 99753692 - HGR</v>
      </c>
      <c r="C573" s="60" t="str">
        <f ca="1">IFERROR(__xludf.DUMMYFUNCTION("""COMPUTED_VALUE"""),"https://thumbcdn.com/splash/s3ix0c51f4s0taiu.jpg")</f>
        <v>https://thumbcdn.com/splash/s3ix0c51f4s0taiu.jpg</v>
      </c>
      <c r="D573" s="16" t="s">
        <v>4281</v>
      </c>
      <c r="E573" s="57" t="str">
        <f ca="1">IFERROR(__xludf.DUMMYFUNCTION("""COMPUTED_VALUE"""),"OK")</f>
        <v>OK</v>
      </c>
      <c r="F573" s="46"/>
      <c r="G573" s="45" t="s">
        <v>10097</v>
      </c>
      <c r="H573" s="45" t="s">
        <v>10159</v>
      </c>
    </row>
    <row r="574" spans="1:8">
      <c r="A574" s="12" t="s">
        <v>10160</v>
      </c>
      <c r="B574" s="12" t="str">
        <f ca="1">IFERROR(__xludf.DUMMYFUNCTION("""COMPUTED_VALUE"""),"Jewelz Blu - 03348831 - XVRED")</f>
        <v>Jewelz Blu - 03348831 - XVRED</v>
      </c>
      <c r="C574" s="60" t="str">
        <f ca="1">IFERROR(__xludf.DUMMYFUNCTION("""COMPUTED_VALUE"""),"https://thumbcdn.com/splash/mehil24tm54oo3qp.jpg")</f>
        <v>https://thumbcdn.com/splash/mehil24tm54oo3qp.jpg</v>
      </c>
      <c r="D574" s="12" t="s">
        <v>4285</v>
      </c>
      <c r="E574" s="57" t="str">
        <f ca="1">IFERROR(__xludf.DUMMYFUNCTION("""COMPUTED_VALUE"""),"OK")</f>
        <v>OK</v>
      </c>
      <c r="F574" s="46"/>
      <c r="G574" s="45" t="s">
        <v>10097</v>
      </c>
      <c r="H574" s="45" t="s">
        <v>10161</v>
      </c>
    </row>
    <row r="575" spans="1:8">
      <c r="A575" s="59" t="s">
        <v>10162</v>
      </c>
      <c r="B575" s="12" t="str">
        <f ca="1">IFERROR(__xludf.DUMMYFUNCTION("""COMPUTED_VALUE"""),"Jewelz Blu - 12758288 - Onlyfans")</f>
        <v>Jewelz Blu - 12758288 - Onlyfans</v>
      </c>
      <c r="C575" s="60" t="str">
        <f ca="1">IFERROR(__xludf.DUMMYFUNCTION("""COMPUTED_VALUE"""),"https://thumbcdn.com/splash/ya25fc71pfpy89iy.jpg")</f>
        <v>https://thumbcdn.com/splash/ya25fc71pfpy89iy.jpg</v>
      </c>
      <c r="D575" s="12" t="s">
        <v>4295</v>
      </c>
      <c r="E575" s="57" t="str">
        <f ca="1">IFERROR(__xludf.DUMMYFUNCTION("""COMPUTED_VALUE"""),"OK")</f>
        <v>OK</v>
      </c>
      <c r="F575" s="46"/>
      <c r="G575" s="45" t="s">
        <v>10163</v>
      </c>
      <c r="H575" s="45" t="s">
        <v>10164</v>
      </c>
    </row>
    <row r="576" spans="1:8">
      <c r="A576" s="12"/>
      <c r="B576" s="12" t="str">
        <f ca="1">IFERROR(__xludf.DUMMYFUNCTION("""COMPUTED_VALUE"""),"Jewelz Blu - 14290187 - DL")</f>
        <v>Jewelz Blu - 14290187 - DL</v>
      </c>
      <c r="C576" s="60" t="str">
        <f ca="1">IFERROR(__xludf.DUMMYFUNCTION("""COMPUTED_VALUE"""),"https://thumbcdn.com/splash/rxhjtg4w3gkp0x13.jpg")</f>
        <v>https://thumbcdn.com/splash/rxhjtg4w3gkp0x13.jpg</v>
      </c>
      <c r="D576" s="6" t="s">
        <v>4299</v>
      </c>
      <c r="E576" s="63" t="str">
        <f ca="1">IFERROR(__xludf.DUMMYFUNCTION("""COMPUTED_VALUE"""),"OK")</f>
        <v>OK</v>
      </c>
      <c r="F576" s="46"/>
      <c r="G576" s="45" t="s">
        <v>10163</v>
      </c>
      <c r="H576" s="45" t="s">
        <v>10165</v>
      </c>
    </row>
    <row r="577" spans="1:8">
      <c r="A577" s="12" t="s">
        <v>10166</v>
      </c>
      <c r="B577" s="12" t="str">
        <f ca="1">IFERROR(__xludf.DUMMYFUNCTION("""COMPUTED_VALUE"""),"Jewelz Blu - 15090517 - XVRED")</f>
        <v>Jewelz Blu - 15090517 - XVRED</v>
      </c>
      <c r="C577" s="60" t="str">
        <f ca="1">IFERROR(__xludf.DUMMYFUNCTION("""COMPUTED_VALUE"""),"https://thumbcdn.com/splash/8lpxjk4xtvi64sur.jpg")</f>
        <v>https://thumbcdn.com/splash/8lpxjk4xtvi64sur.jpg</v>
      </c>
      <c r="D577" s="12" t="s">
        <v>4305</v>
      </c>
      <c r="E577" s="57" t="str">
        <f ca="1">IFERROR(__xludf.DUMMYFUNCTION("""COMPUTED_VALUE"""),"OK")</f>
        <v>OK</v>
      </c>
      <c r="F577" s="46"/>
      <c r="G577" s="45" t="s">
        <v>10163</v>
      </c>
      <c r="H577" s="45" t="s">
        <v>10167</v>
      </c>
    </row>
    <row r="578" spans="1:8">
      <c r="A578" s="59" t="s">
        <v>10168</v>
      </c>
      <c r="B578" s="12" t="str">
        <f ca="1">IFERROR(__xludf.DUMMYFUNCTION("""COMPUTED_VALUE"""),"Jewelz Blu - 20027318 - XVRED")</f>
        <v>Jewelz Blu - 20027318 - XVRED</v>
      </c>
      <c r="C578" s="60" t="str">
        <f ca="1">IFERROR(__xludf.DUMMYFUNCTION("""COMPUTED_VALUE"""),"https://thumbcdn.com/splash/9o1y3f53q4jo7daw.jpg")</f>
        <v>https://thumbcdn.com/splash/9o1y3f53q4jo7daw.jpg</v>
      </c>
      <c r="D578" s="12" t="s">
        <v>4315</v>
      </c>
      <c r="E578" s="57" t="str">
        <f ca="1">IFERROR(__xludf.DUMMYFUNCTION("""COMPUTED_VALUE"""),"OK")</f>
        <v>OK</v>
      </c>
      <c r="F578" s="46"/>
      <c r="G578" s="45" t="s">
        <v>10163</v>
      </c>
      <c r="H578" s="45" t="s">
        <v>10169</v>
      </c>
    </row>
    <row r="579" spans="1:8">
      <c r="A579" s="12"/>
      <c r="B579" s="12" t="str">
        <f ca="1">IFERROR(__xludf.DUMMYFUNCTION("""COMPUTED_VALUE"""),"Jewelz Blu - 20774899 - Onlyfans")</f>
        <v>Jewelz Blu - 20774899 - Onlyfans</v>
      </c>
      <c r="C579" s="60" t="str">
        <f ca="1">IFERROR(__xludf.DUMMYFUNCTION("""COMPUTED_VALUE"""),"https://thumbcdn.com/splash/7uywntb8shp7me46.jpg")</f>
        <v>https://thumbcdn.com/splash/7uywntb8shp7me46.jpg</v>
      </c>
      <c r="D579" s="12" t="s">
        <v>4319</v>
      </c>
      <c r="E579" s="57" t="str">
        <f ca="1">IFERROR(__xludf.DUMMYFUNCTION("""COMPUTED_VALUE"""),"OK")</f>
        <v>OK</v>
      </c>
      <c r="F579" s="46"/>
      <c r="G579" s="45" t="s">
        <v>10163</v>
      </c>
      <c r="H579" s="45" t="s">
        <v>10170</v>
      </c>
    </row>
    <row r="580" spans="1:8">
      <c r="A580" s="12" t="s">
        <v>10171</v>
      </c>
      <c r="B580" s="12" t="str">
        <f ca="1">IFERROR(__xludf.DUMMYFUNCTION("""COMPUTED_VALUE"""),"Jewelz Blu - 24941599 - Onlyfans")</f>
        <v>Jewelz Blu - 24941599 - Onlyfans</v>
      </c>
      <c r="C580" s="60" t="str">
        <f ca="1">IFERROR(__xludf.DUMMYFUNCTION("""COMPUTED_VALUE"""),"https://thumbcdn.com/splash/cw5td57adgt2b38l.jpg")</f>
        <v>https://thumbcdn.com/splash/cw5td57adgt2b38l.jpg</v>
      </c>
      <c r="D580" s="6" t="s">
        <v>4329</v>
      </c>
      <c r="E580" s="63" t="str">
        <f ca="1">IFERROR(__xludf.DUMMYFUNCTION("""COMPUTED_VALUE"""),"OK")</f>
        <v>OK</v>
      </c>
      <c r="F580" s="46"/>
      <c r="G580" s="45" t="s">
        <v>10163</v>
      </c>
      <c r="H580" s="45" t="s">
        <v>10172</v>
      </c>
    </row>
    <row r="581" spans="1:8">
      <c r="A581" s="59" t="s">
        <v>10173</v>
      </c>
      <c r="B581" s="12" t="str">
        <f ca="1">IFERROR(__xludf.DUMMYFUNCTION("""COMPUTED_VALUE"""),"Jewelz Blu - 27017887 - XVRED")</f>
        <v>Jewelz Blu - 27017887 - XVRED</v>
      </c>
      <c r="C581" s="60" t="str">
        <f ca="1">IFERROR(__xludf.DUMMYFUNCTION("""COMPUTED_VALUE"""),"https://thumbcdn.com/splash/7n4rjtg6hwi0gb3j.jpg")</f>
        <v>https://thumbcdn.com/splash/7n4rjtg6hwi0gb3j.jpg</v>
      </c>
      <c r="D581" s="12" t="s">
        <v>4334</v>
      </c>
      <c r="E581" s="57" t="str">
        <f ca="1">IFERROR(__xludf.DUMMYFUNCTION("""COMPUTED_VALUE"""),"OK")</f>
        <v>OK</v>
      </c>
      <c r="F581" s="46"/>
      <c r="G581" s="45" t="s">
        <v>10163</v>
      </c>
      <c r="H581" s="45" t="s">
        <v>10174</v>
      </c>
    </row>
    <row r="582" spans="1:8">
      <c r="A582" s="12"/>
      <c r="B582" s="12" t="str">
        <f ca="1">IFERROR(__xludf.DUMMYFUNCTION("""COMPUTED_VALUE"""),"Jewelz Blu - 27488131 - FamilyTherapy")</f>
        <v>Jewelz Blu - 27488131 - FamilyTherapy</v>
      </c>
      <c r="C582" s="60" t="str">
        <f ca="1">IFERROR(__xludf.DUMMYFUNCTION("""COMPUTED_VALUE"""),"https://thumbcdn.com/splash/4k7xyc5984vcodry.jpg")</f>
        <v>https://thumbcdn.com/splash/4k7xyc5984vcodry.jpg</v>
      </c>
      <c r="D582" s="12" t="s">
        <v>4344</v>
      </c>
      <c r="E582" s="57" t="str">
        <f ca="1">IFERROR(__xludf.DUMMYFUNCTION("""COMPUTED_VALUE"""),"OK")</f>
        <v>OK</v>
      </c>
      <c r="F582" s="46"/>
      <c r="G582" s="45" t="s">
        <v>10163</v>
      </c>
      <c r="H582" s="45" t="s">
        <v>10175</v>
      </c>
    </row>
    <row r="583" spans="1:8">
      <c r="A583" s="12" t="s">
        <v>10176</v>
      </c>
      <c r="B583" s="12" t="str">
        <f ca="1">IFERROR(__xludf.DUMMYFUNCTION("""COMPUTED_VALUE"""),"Jewelz Blu - 27700665 - Onlyfans")</f>
        <v>Jewelz Blu - 27700665 - Onlyfans</v>
      </c>
      <c r="C583" s="60" t="str">
        <f ca="1">IFERROR(__xludf.DUMMYFUNCTION("""COMPUTED_VALUE"""),"https://thumbcdn.com/splash/nvku8mm6bx44ne00.jpg")</f>
        <v>https://thumbcdn.com/splash/nvku8mm6bx44ne00.jpg</v>
      </c>
      <c r="D583" s="12" t="s">
        <v>4349</v>
      </c>
      <c r="E583" s="57" t="str">
        <f ca="1">IFERROR(__xludf.DUMMYFUNCTION("""COMPUTED_VALUE"""),"OK")</f>
        <v>OK</v>
      </c>
      <c r="F583" s="46"/>
      <c r="G583" s="45" t="s">
        <v>10163</v>
      </c>
      <c r="H583" s="45" t="s">
        <v>10177</v>
      </c>
    </row>
    <row r="584" spans="1:8">
      <c r="A584" s="59" t="s">
        <v>10178</v>
      </c>
      <c r="B584" s="12" t="str">
        <f ca="1">IFERROR(__xludf.DUMMYFUNCTION("""COMPUTED_VALUE"""),"Jewelz Blu - 28736983 - Onlyfans")</f>
        <v>Jewelz Blu - 28736983 - Onlyfans</v>
      </c>
      <c r="C584" s="60" t="str">
        <f ca="1">IFERROR(__xludf.DUMMYFUNCTION("""COMPUTED_VALUE"""),"https://thumbcdn.com/splash/zdj5zhsnq5v4h87i.jpg")</f>
        <v>https://thumbcdn.com/splash/zdj5zhsnq5v4h87i.jpg</v>
      </c>
      <c r="D584" s="6" t="s">
        <v>4354</v>
      </c>
      <c r="E584" s="63" t="str">
        <f ca="1">IFERROR(__xludf.DUMMYFUNCTION("""COMPUTED_VALUE"""),"OK")</f>
        <v>OK</v>
      </c>
      <c r="F584" s="46"/>
      <c r="G584" s="45" t="s">
        <v>10163</v>
      </c>
      <c r="H584" s="45" t="s">
        <v>10179</v>
      </c>
    </row>
    <row r="585" spans="1:8">
      <c r="A585" s="12"/>
      <c r="B585" s="12" t="str">
        <f ca="1">IFERROR(__xludf.DUMMYFUNCTION("""COMPUTED_VALUE"""),"Jewelz Blu - 30652345 - Onlyfans")</f>
        <v>Jewelz Blu - 30652345 - Onlyfans</v>
      </c>
      <c r="C585" s="60" t="str">
        <f ca="1">IFERROR(__xludf.DUMMYFUNCTION("""COMPUTED_VALUE"""),"https://thumbcdn.com/splash/qwz4b0wtk4uopi65.jpg")</f>
        <v>https://thumbcdn.com/splash/qwz4b0wtk4uopi65.jpg</v>
      </c>
      <c r="D585" s="12" t="s">
        <v>4364</v>
      </c>
      <c r="E585" s="57" t="str">
        <f ca="1">IFERROR(__xludf.DUMMYFUNCTION("""COMPUTED_VALUE"""),"OK")</f>
        <v>OK</v>
      </c>
      <c r="F585" s="46"/>
      <c r="G585" s="45" t="s">
        <v>10163</v>
      </c>
      <c r="H585" s="45" t="s">
        <v>10180</v>
      </c>
    </row>
    <row r="586" spans="1:8">
      <c r="A586" s="12" t="s">
        <v>10181</v>
      </c>
      <c r="B586" s="12" t="str">
        <f ca="1">IFERROR(__xludf.DUMMYFUNCTION("""COMPUTED_VALUE"""),"Jewelz Blu - 30969940 - FCP")</f>
        <v>Jewelz Blu - 30969940 - FCP</v>
      </c>
      <c r="C586" s="60" t="str">
        <f ca="1">IFERROR(__xludf.DUMMYFUNCTION("""COMPUTED_VALUE"""),"https://thumbcdn.com/splash/bk4pkzewxiho8agk.jpg")</f>
        <v>https://thumbcdn.com/splash/bk4pkzewxiho8agk.jpg</v>
      </c>
      <c r="D586" s="12" t="s">
        <v>4368</v>
      </c>
      <c r="E586" s="57" t="str">
        <f ca="1">IFERROR(__xludf.DUMMYFUNCTION("""COMPUTED_VALUE"""),"OK")</f>
        <v>OK</v>
      </c>
      <c r="F586" s="46"/>
      <c r="G586" s="45" t="s">
        <v>10163</v>
      </c>
      <c r="H586" s="45" t="s">
        <v>10182</v>
      </c>
    </row>
    <row r="587" spans="1:8">
      <c r="A587" s="59" t="s">
        <v>10183</v>
      </c>
      <c r="B587" s="12" t="str">
        <f ca="1">IFERROR(__xludf.DUMMYFUNCTION("""COMPUTED_VALUE"""),"Jewelz Blu - 32850979 - XVRED")</f>
        <v>Jewelz Blu - 32850979 - XVRED</v>
      </c>
      <c r="C587" s="60" t="str">
        <f ca="1">IFERROR(__xludf.DUMMYFUNCTION("""COMPUTED_VALUE"""),"https://thumbcdn.com/splash/c6t5lpra2m2e53do.jpg")</f>
        <v>https://thumbcdn.com/splash/c6t5lpra2m2e53do.jpg</v>
      </c>
      <c r="D587" s="16" t="s">
        <v>4378</v>
      </c>
      <c r="E587" s="57" t="str">
        <f ca="1">IFERROR(__xludf.DUMMYFUNCTION("""COMPUTED_VALUE"""),"OK")</f>
        <v>OK</v>
      </c>
      <c r="F587" s="46"/>
      <c r="G587" s="45" t="s">
        <v>10163</v>
      </c>
      <c r="H587" s="45" t="s">
        <v>10184</v>
      </c>
    </row>
    <row r="588" spans="1:8">
      <c r="A588" s="12"/>
      <c r="B588" s="12" t="str">
        <f ca="1">IFERROR(__xludf.DUMMYFUNCTION("""COMPUTED_VALUE"""),"Jewelz Blu - 34265757 - Onlyfans")</f>
        <v>Jewelz Blu - 34265757 - Onlyfans</v>
      </c>
      <c r="C588" s="60" t="str">
        <f ca="1">IFERROR(__xludf.DUMMYFUNCTION("""COMPUTED_VALUE"""),"https://thumbcdn.com/splash/ayft1ybh8enpxsd7.jpg")</f>
        <v>https://thumbcdn.com/splash/ayft1ybh8enpxsd7.jpg</v>
      </c>
      <c r="D588" s="12" t="s">
        <v>4382</v>
      </c>
      <c r="E588" s="57" t="str">
        <f ca="1">IFERROR(__xludf.DUMMYFUNCTION("""COMPUTED_VALUE"""),"OK")</f>
        <v>OK</v>
      </c>
      <c r="F588" s="46"/>
      <c r="G588" s="45" t="s">
        <v>10163</v>
      </c>
      <c r="H588" s="45" t="s">
        <v>10185</v>
      </c>
    </row>
    <row r="589" spans="1:8">
      <c r="A589" s="12" t="s">
        <v>10186</v>
      </c>
      <c r="B589" s="12" t="str">
        <f ca="1">IFERROR(__xludf.DUMMYFUNCTION("""COMPUTED_VALUE"""),"Jewelz Blu - 34444545 - IDK")</f>
        <v>Jewelz Blu - 34444545 - IDK</v>
      </c>
      <c r="C589" s="60" t="str">
        <f ca="1">IFERROR(__xludf.DUMMYFUNCTION("""COMPUTED_VALUE"""),"https://thumbcdn.com/splash/cu5b9pp5mdbqyjyt.jpg")</f>
        <v>https://thumbcdn.com/splash/cu5b9pp5mdbqyjyt.jpg</v>
      </c>
      <c r="D589" s="12" t="s">
        <v>10187</v>
      </c>
      <c r="E589" s="57" t="str">
        <f ca="1">IFERROR(__xludf.DUMMYFUNCTION("""COMPUTED_VALUE"""),"OK")</f>
        <v>OK</v>
      </c>
      <c r="F589" s="46"/>
      <c r="G589" s="45" t="s">
        <v>10163</v>
      </c>
      <c r="H589" s="45" t="s">
        <v>10188</v>
      </c>
    </row>
    <row r="590" spans="1:8">
      <c r="A590" s="59" t="s">
        <v>10189</v>
      </c>
      <c r="B590" s="12" t="str">
        <f ca="1">IFERROR(__xludf.DUMMYFUNCTION("""COMPUTED_VALUE"""),"Jewelz Blu - 35535447 - XVRED")</f>
        <v>Jewelz Blu - 35535447 - XVRED</v>
      </c>
      <c r="C590" s="60" t="str">
        <f ca="1">IFERROR(__xludf.DUMMYFUNCTION("""COMPUTED_VALUE"""),"https://thumbcdn.com/splash/t21a37utytmrlrn9.jpg")</f>
        <v>https://thumbcdn.com/splash/t21a37utytmrlrn9.jpg</v>
      </c>
      <c r="D590" s="12" t="s">
        <v>4392</v>
      </c>
      <c r="E590" s="57" t="str">
        <f ca="1">IFERROR(__xludf.DUMMYFUNCTION("""COMPUTED_VALUE"""),"OK")</f>
        <v>OK</v>
      </c>
      <c r="F590" s="46"/>
      <c r="G590" s="45" t="s">
        <v>10163</v>
      </c>
      <c r="H590" s="45" t="s">
        <v>10190</v>
      </c>
    </row>
    <row r="591" spans="1:8">
      <c r="A591" s="12"/>
      <c r="B591" s="12" t="str">
        <f ca="1">IFERROR(__xludf.DUMMYFUNCTION("""COMPUTED_VALUE"""),"Jewelz Blu - 37745917 - Onlyfans")</f>
        <v>Jewelz Blu - 37745917 - Onlyfans</v>
      </c>
      <c r="C591" s="60" t="str">
        <f ca="1">IFERROR(__xludf.DUMMYFUNCTION("""COMPUTED_VALUE"""),"https://thumbcdn.com/splash/pzo1wf7uelxtzlk0.jpg")</f>
        <v>https://thumbcdn.com/splash/pzo1wf7uelxtzlk0.jpg</v>
      </c>
      <c r="D591" s="12" t="s">
        <v>4402</v>
      </c>
      <c r="E591" s="57" t="str">
        <f ca="1">IFERROR(__xludf.DUMMYFUNCTION("""COMPUTED_VALUE"""),"OK")</f>
        <v>OK</v>
      </c>
      <c r="F591" s="46"/>
      <c r="G591" s="45" t="s">
        <v>10163</v>
      </c>
      <c r="H591" s="45" t="s">
        <v>10191</v>
      </c>
    </row>
    <row r="592" spans="1:8">
      <c r="A592" s="12" t="s">
        <v>10192</v>
      </c>
      <c r="B592" s="12" t="str">
        <f ca="1">IFERROR(__xludf.DUMMYFUNCTION("""COMPUTED_VALUE"""),"Jewelz Blu - 39366961 - Onlyfans")</f>
        <v>Jewelz Blu - 39366961 - Onlyfans</v>
      </c>
      <c r="C592" s="60" t="str">
        <f ca="1">IFERROR(__xludf.DUMMYFUNCTION("""COMPUTED_VALUE"""),"https://thumbcdn.com/splash/h7v30ns892ef55up.jpg")</f>
        <v>https://thumbcdn.com/splash/h7v30ns892ef55up.jpg</v>
      </c>
      <c r="D592" s="12" t="s">
        <v>4406</v>
      </c>
      <c r="E592" s="57" t="str">
        <f ca="1">IFERROR(__xludf.DUMMYFUNCTION("""COMPUTED_VALUE"""),"OK")</f>
        <v>OK</v>
      </c>
      <c r="F592" s="46"/>
      <c r="G592" s="45" t="s">
        <v>10163</v>
      </c>
      <c r="H592" s="45" t="s">
        <v>10193</v>
      </c>
    </row>
    <row r="593" spans="1:8">
      <c r="A593" s="59" t="s">
        <v>10194</v>
      </c>
      <c r="B593" s="12" t="str">
        <f ca="1">IFERROR(__xludf.DUMMYFUNCTION("""COMPUTED_VALUE"""),"Jewelz Blu - 41229618 - XVRED")</f>
        <v>Jewelz Blu - 41229618 - XVRED</v>
      </c>
      <c r="C593" s="60" t="str">
        <f ca="1">IFERROR(__xludf.DUMMYFUNCTION("""COMPUTED_VALUE"""),"https://thumbcdn.com/splash/6v0txz8rx1roh9l0.jpg")</f>
        <v>https://thumbcdn.com/splash/6v0txz8rx1roh9l0.jpg</v>
      </c>
      <c r="D593" s="12" t="s">
        <v>4410</v>
      </c>
      <c r="E593" s="57" t="str">
        <f ca="1">IFERROR(__xludf.DUMMYFUNCTION("""COMPUTED_VALUE"""),"OK")</f>
        <v>OK</v>
      </c>
      <c r="F593" s="46"/>
      <c r="G593" s="45" t="s">
        <v>10163</v>
      </c>
      <c r="H593" s="45" t="s">
        <v>10195</v>
      </c>
    </row>
    <row r="594" spans="1:8">
      <c r="A594" s="12"/>
      <c r="B594" s="12" t="str">
        <f ca="1">IFERROR(__xludf.DUMMYFUNCTION("""COMPUTED_VALUE"""),"Jewelz Blu - 44600385 - XVRED")</f>
        <v>Jewelz Blu - 44600385 - XVRED</v>
      </c>
      <c r="C594" s="60" t="str">
        <f ca="1">IFERROR(__xludf.DUMMYFUNCTION("""COMPUTED_VALUE"""),"https://thumbcdn.com/splash/aponqh6rflkunn8y.jpg")</f>
        <v>https://thumbcdn.com/splash/aponqh6rflkunn8y.jpg</v>
      </c>
      <c r="D594" s="12" t="s">
        <v>4434</v>
      </c>
      <c r="E594" s="57" t="str">
        <f ca="1">IFERROR(__xludf.DUMMYFUNCTION("""COMPUTED_VALUE"""),"OK")</f>
        <v>OK</v>
      </c>
      <c r="F594" s="46"/>
      <c r="G594" s="45" t="s">
        <v>10163</v>
      </c>
      <c r="H594" s="45" t="s">
        <v>10196</v>
      </c>
    </row>
    <row r="595" spans="1:8">
      <c r="A595" s="12" t="s">
        <v>10197</v>
      </c>
      <c r="B595" s="12" t="str">
        <f ca="1">IFERROR(__xludf.DUMMYFUNCTION("""COMPUTED_VALUE"""),"Jewelz Blu - 45802958 - Onlyfans")</f>
        <v>Jewelz Blu - 45802958 - Onlyfans</v>
      </c>
      <c r="C595" s="60" t="str">
        <f ca="1">IFERROR(__xludf.DUMMYFUNCTION("""COMPUTED_VALUE"""),"https://thumbcdn.com/splash/34ncbvt77knt0pfq.jpg")</f>
        <v>https://thumbcdn.com/splash/34ncbvt77knt0pfq.jpg</v>
      </c>
      <c r="D595" s="12" t="s">
        <v>4448</v>
      </c>
      <c r="E595" s="57" t="str">
        <f ca="1">IFERROR(__xludf.DUMMYFUNCTION("""COMPUTED_VALUE"""),"OK")</f>
        <v>OK</v>
      </c>
      <c r="F595" s="46"/>
      <c r="G595" s="45" t="s">
        <v>10163</v>
      </c>
      <c r="H595" s="45" t="s">
        <v>10198</v>
      </c>
    </row>
    <row r="596" spans="1:8">
      <c r="A596" s="59" t="s">
        <v>10199</v>
      </c>
      <c r="B596" s="12" t="str">
        <f ca="1">IFERROR(__xludf.DUMMYFUNCTION("""COMPUTED_VALUE"""),"Jewelz Blu - 46115763 - XVRED")</f>
        <v>Jewelz Blu - 46115763 - XVRED</v>
      </c>
      <c r="C596" s="60" t="str">
        <f ca="1">IFERROR(__xludf.DUMMYFUNCTION("""COMPUTED_VALUE"""),"https://thumbcdn.com/splash/jg86lkssvytg5c0w.jpg")</f>
        <v>https://thumbcdn.com/splash/jg86lkssvytg5c0w.jpg</v>
      </c>
      <c r="D596" s="6" t="s">
        <v>4453</v>
      </c>
      <c r="E596" s="63" t="str">
        <f ca="1">IFERROR(__xludf.DUMMYFUNCTION("""COMPUTED_VALUE"""),"OK")</f>
        <v>OK</v>
      </c>
      <c r="F596" s="46"/>
      <c r="G596" s="45" t="s">
        <v>10163</v>
      </c>
      <c r="H596" s="45" t="s">
        <v>10200</v>
      </c>
    </row>
    <row r="597" spans="1:8">
      <c r="A597" s="12"/>
      <c r="B597" s="12" t="str">
        <f ca="1">IFERROR(__xludf.DUMMYFUNCTION("""COMPUTED_VALUE"""),"Jewelz Blu - 48982150 - Onlyfans")</f>
        <v>Jewelz Blu - 48982150 - Onlyfans</v>
      </c>
      <c r="C597" s="60" t="str">
        <f ca="1">IFERROR(__xludf.DUMMYFUNCTION("""COMPUTED_VALUE"""),"https://thumbcdn.com/splash/caxcbpsl0ip0aobz.jpg")</f>
        <v>https://thumbcdn.com/splash/caxcbpsl0ip0aobz.jpg</v>
      </c>
      <c r="D597" s="12" t="s">
        <v>4458</v>
      </c>
      <c r="E597" s="57" t="str">
        <f ca="1">IFERROR(__xludf.DUMMYFUNCTION("""COMPUTED_VALUE"""),"OK")</f>
        <v>OK</v>
      </c>
      <c r="F597" s="46"/>
      <c r="G597" s="45" t="s">
        <v>10163</v>
      </c>
      <c r="H597" s="45" t="s">
        <v>10201</v>
      </c>
    </row>
    <row r="598" spans="1:8">
      <c r="A598" s="12" t="s">
        <v>10202</v>
      </c>
      <c r="B598" s="12" t="str">
        <f ca="1">IFERROR(__xludf.DUMMYFUNCTION("""COMPUTED_VALUE"""),"Jewelz Blu - 49589158 - NM")</f>
        <v>Jewelz Blu - 49589158 - NM</v>
      </c>
      <c r="C598" s="60" t="str">
        <f ca="1">IFERROR(__xludf.DUMMYFUNCTION("""COMPUTED_VALUE"""),"https://thumbcdn.com/splash/3l9e4qem2wbofriu.jpg")</f>
        <v>https://thumbcdn.com/splash/3l9e4qem2wbofriu.jpg</v>
      </c>
      <c r="D598" s="12" t="s">
        <v>4462</v>
      </c>
      <c r="E598" s="57" t="str">
        <f ca="1">IFERROR(__xludf.DUMMYFUNCTION("""COMPUTED_VALUE"""),"OK")</f>
        <v>OK</v>
      </c>
      <c r="F598" s="46"/>
      <c r="G598" s="45" t="s">
        <v>10163</v>
      </c>
      <c r="H598" s="45" t="s">
        <v>10203</v>
      </c>
    </row>
    <row r="599" spans="1:8">
      <c r="A599" s="59" t="s">
        <v>10204</v>
      </c>
      <c r="B599" s="12" t="str">
        <f ca="1">IFERROR(__xludf.DUMMYFUNCTION("""COMPUTED_VALUE"""),"Jewelz Blu - 51031582 - EvilAngel")</f>
        <v>Jewelz Blu - 51031582 - EvilAngel</v>
      </c>
      <c r="C599" s="60" t="str">
        <f ca="1">IFERROR(__xludf.DUMMYFUNCTION("""COMPUTED_VALUE"""),"https://thumbcdn.com/splash/qi58sa4zrebfc1xf.jpg")</f>
        <v>https://thumbcdn.com/splash/qi58sa4zrebfc1xf.jpg</v>
      </c>
      <c r="D599" s="12" t="s">
        <v>4466</v>
      </c>
      <c r="E599" s="57" t="str">
        <f ca="1">IFERROR(__xludf.DUMMYFUNCTION("""COMPUTED_VALUE"""),"OK")</f>
        <v>OK</v>
      </c>
      <c r="F599" s="46"/>
      <c r="G599" s="45" t="s">
        <v>10163</v>
      </c>
      <c r="H599" s="45" t="s">
        <v>10205</v>
      </c>
    </row>
    <row r="600" spans="1:8">
      <c r="A600" s="12"/>
      <c r="B600" s="12" t="str">
        <f ca="1">IFERROR(__xludf.DUMMYFUNCTION("""COMPUTED_VALUE"""),"Jewelz Blu - 51129751 - Onlyfans")</f>
        <v>Jewelz Blu - 51129751 - Onlyfans</v>
      </c>
      <c r="C600" s="60" t="str">
        <f ca="1">IFERROR(__xludf.DUMMYFUNCTION("""COMPUTED_VALUE"""),"https://thumbcdn.com/splash/g8xdfj36orjzdvb6.jpg")</f>
        <v>https://thumbcdn.com/splash/g8xdfj36orjzdvb6.jpg</v>
      </c>
      <c r="D600" s="6" t="s">
        <v>4470</v>
      </c>
      <c r="E600" s="63" t="str">
        <f ca="1">IFERROR(__xludf.DUMMYFUNCTION("""COMPUTED_VALUE"""),"OK")</f>
        <v>OK</v>
      </c>
      <c r="F600" s="46"/>
      <c r="G600" s="45" t="s">
        <v>10163</v>
      </c>
      <c r="H600" s="45" t="s">
        <v>10206</v>
      </c>
    </row>
    <row r="601" spans="1:8">
      <c r="A601" s="12" t="s">
        <v>10207</v>
      </c>
      <c r="B601" s="12" t="str">
        <f ca="1">IFERROR(__xludf.DUMMYFUNCTION("""COMPUTED_VALUE"""),"Jewelz Blu - 54539806 - XVRED")</f>
        <v>Jewelz Blu - 54539806 - XVRED</v>
      </c>
      <c r="C601" s="60" t="str">
        <f ca="1">IFERROR(__xludf.DUMMYFUNCTION("""COMPUTED_VALUE"""),"https://thumbcdn.com/splash/emhzt3lsoinjc7l3.jpg")</f>
        <v>https://thumbcdn.com/splash/emhzt3lsoinjc7l3.jpg</v>
      </c>
      <c r="D601" s="12" t="s">
        <v>4480</v>
      </c>
      <c r="E601" s="57" t="str">
        <f ca="1">IFERROR(__xludf.DUMMYFUNCTION("""COMPUTED_VALUE"""),"OK")</f>
        <v>OK</v>
      </c>
      <c r="F601" s="46"/>
      <c r="G601" s="45" t="s">
        <v>10163</v>
      </c>
      <c r="H601" s="45" t="s">
        <v>10208</v>
      </c>
    </row>
    <row r="602" spans="1:8">
      <c r="A602" s="59" t="s">
        <v>10209</v>
      </c>
      <c r="B602" s="12" t="str">
        <f ca="1">IFERROR(__xludf.DUMMYFUNCTION("""COMPUTED_VALUE"""),"Jewelz Blu - 56129913 - Onlyfans")</f>
        <v>Jewelz Blu - 56129913 - Onlyfans</v>
      </c>
      <c r="C602" s="60" t="str">
        <f ca="1">IFERROR(__xludf.DUMMYFUNCTION("""COMPUTED_VALUE"""),"https://thumbcdn.com/splash/qwt5du09pk68a2ac.jpg")</f>
        <v>https://thumbcdn.com/splash/qwt5du09pk68a2ac.jpg</v>
      </c>
      <c r="D602" s="12" t="s">
        <v>4484</v>
      </c>
      <c r="E602" s="57" t="str">
        <f ca="1">IFERROR(__xludf.DUMMYFUNCTION("""COMPUTED_VALUE"""),"OK")</f>
        <v>OK</v>
      </c>
      <c r="F602" s="46"/>
      <c r="G602" s="45" t="s">
        <v>10163</v>
      </c>
      <c r="H602" s="45" t="s">
        <v>10210</v>
      </c>
    </row>
    <row r="603" spans="1:8">
      <c r="A603" s="12"/>
      <c r="B603" s="12" t="str">
        <f ca="1">IFERROR(__xludf.DUMMYFUNCTION("""COMPUTED_VALUE"""),"Jewelz Blu - 56464578 - Onlyfans")</f>
        <v>Jewelz Blu - 56464578 - Onlyfans</v>
      </c>
      <c r="C603" s="60" t="str">
        <f ca="1">IFERROR(__xludf.DUMMYFUNCTION("""COMPUTED_VALUE"""),"https://thumbcdn.com/splash/sa08hvqvb0u2agtx.jpg")</f>
        <v>https://thumbcdn.com/splash/sa08hvqvb0u2agtx.jpg</v>
      </c>
      <c r="D603" s="6" t="s">
        <v>4493</v>
      </c>
      <c r="E603" s="63" t="str">
        <f ca="1">IFERROR(__xludf.DUMMYFUNCTION("""COMPUTED_VALUE"""),"OK")</f>
        <v>OK</v>
      </c>
      <c r="F603" s="46"/>
      <c r="G603" s="45" t="s">
        <v>10163</v>
      </c>
      <c r="H603" s="45" t="s">
        <v>10211</v>
      </c>
    </row>
    <row r="604" spans="1:8">
      <c r="A604" s="12" t="s">
        <v>10212</v>
      </c>
      <c r="B604" s="12" t="str">
        <f ca="1">IFERROR(__xludf.DUMMYFUNCTION("""COMPUTED_VALUE"""),"Jewelz Blu - 56933664 - Onlyfans")</f>
        <v>Jewelz Blu - 56933664 - Onlyfans</v>
      </c>
      <c r="C604" s="60" t="str">
        <f ca="1">IFERROR(__xludf.DUMMYFUNCTION("""COMPUTED_VALUE"""),"https://thumbcdn.com/splash/cxpj5rx29lep2gm1.jpg")</f>
        <v>https://thumbcdn.com/splash/cxpj5rx29lep2gm1.jpg</v>
      </c>
      <c r="D604" s="12" t="s">
        <v>4498</v>
      </c>
      <c r="E604" s="57" t="str">
        <f ca="1">IFERROR(__xludf.DUMMYFUNCTION("""COMPUTED_VALUE"""),"OK")</f>
        <v>OK</v>
      </c>
      <c r="F604" s="46"/>
      <c r="G604" s="45" t="s">
        <v>10163</v>
      </c>
      <c r="H604" s="45" t="s">
        <v>10213</v>
      </c>
    </row>
    <row r="605" spans="1:8">
      <c r="A605" s="59" t="s">
        <v>10214</v>
      </c>
      <c r="B605" s="12" t="str">
        <f ca="1">IFERROR(__xludf.DUMMYFUNCTION("""COMPUTED_VALUE"""),"Jewelz Blu - 57450602 - XVRED")</f>
        <v>Jewelz Blu - 57450602 - XVRED</v>
      </c>
      <c r="C605" s="60" t="str">
        <f ca="1">IFERROR(__xludf.DUMMYFUNCTION("""COMPUTED_VALUE"""),"https://thumbcdn.com/splash/zk1c73qpujgjw9u5.jpg")</f>
        <v>https://thumbcdn.com/splash/zk1c73qpujgjw9u5.jpg</v>
      </c>
      <c r="D605" s="12" t="s">
        <v>4502</v>
      </c>
      <c r="E605" s="57" t="str">
        <f ca="1">IFERROR(__xludf.DUMMYFUNCTION("""COMPUTED_VALUE"""),"OK")</f>
        <v>OK</v>
      </c>
      <c r="F605" s="46"/>
      <c r="G605" s="45" t="s">
        <v>10163</v>
      </c>
      <c r="H605" s="45" t="s">
        <v>10215</v>
      </c>
    </row>
    <row r="606" spans="1:8">
      <c r="A606" s="12"/>
      <c r="B606" s="12" t="str">
        <f ca="1">IFERROR(__xludf.DUMMYFUNCTION("""COMPUTED_VALUE"""),"Jewelz Blu - 58378785 - ElegantAngel")</f>
        <v>Jewelz Blu - 58378785 - ElegantAngel</v>
      </c>
      <c r="C606" s="60" t="str">
        <f ca="1">IFERROR(__xludf.DUMMYFUNCTION("""COMPUTED_VALUE"""),"https://thumbcdn.com/splash/vwslp12m20ql2ty8.jpg")</f>
        <v>https://thumbcdn.com/splash/vwslp12m20ql2ty8.jpg</v>
      </c>
      <c r="D606" s="6" t="s">
        <v>4510</v>
      </c>
      <c r="E606" s="63" t="str">
        <f ca="1">IFERROR(__xludf.DUMMYFUNCTION("""COMPUTED_VALUE"""),"OK")</f>
        <v>OK</v>
      </c>
      <c r="F606" s="46"/>
      <c r="G606" s="45" t="s">
        <v>10163</v>
      </c>
      <c r="H606" s="45" t="s">
        <v>10216</v>
      </c>
    </row>
    <row r="607" spans="1:8">
      <c r="A607" s="12" t="s">
        <v>10217</v>
      </c>
      <c r="B607" s="12" t="str">
        <f ca="1">IFERROR(__xludf.DUMMYFUNCTION("""COMPUTED_VALUE"""),"Jewelz Blu - 59133561 - XVRED")</f>
        <v>Jewelz Blu - 59133561 - XVRED</v>
      </c>
      <c r="C607" s="60" t="str">
        <f ca="1">IFERROR(__xludf.DUMMYFUNCTION("""COMPUTED_VALUE"""),"https://thumbcdn.com/splash/x9xgwod0mcaimkag.jpg")</f>
        <v>https://thumbcdn.com/splash/x9xgwod0mcaimkag.jpg</v>
      </c>
      <c r="D607" s="12" t="s">
        <v>4516</v>
      </c>
      <c r="E607" s="57" t="str">
        <f ca="1">IFERROR(__xludf.DUMMYFUNCTION("""COMPUTED_VALUE"""),"OK")</f>
        <v>OK</v>
      </c>
      <c r="F607" s="46"/>
      <c r="G607" s="45" t="s">
        <v>10163</v>
      </c>
      <c r="H607" s="45" t="s">
        <v>10218</v>
      </c>
    </row>
    <row r="608" spans="1:8">
      <c r="A608" s="59" t="s">
        <v>10219</v>
      </c>
      <c r="B608" s="12" t="str">
        <f ca="1">IFERROR(__xludf.DUMMYFUNCTION("""COMPUTED_VALUE"""),"Jewelz Blu - 65838320 - Onlyfans")</f>
        <v>Jewelz Blu - 65838320 - Onlyfans</v>
      </c>
      <c r="C608" s="60" t="str">
        <f ca="1">IFERROR(__xludf.DUMMYFUNCTION("""COMPUTED_VALUE"""),"https://thumbcdn.com/splash/f6rac1luj82pgijh.jpg")</f>
        <v>https://thumbcdn.com/splash/f6rac1luj82pgijh.jpg</v>
      </c>
      <c r="D608" s="12" t="s">
        <v>4524</v>
      </c>
      <c r="E608" s="57" t="str">
        <f ca="1">IFERROR(__xludf.DUMMYFUNCTION("""COMPUTED_VALUE"""),"OK")</f>
        <v>OK</v>
      </c>
      <c r="F608" s="46"/>
      <c r="G608" s="45" t="s">
        <v>10163</v>
      </c>
      <c r="H608" s="45" t="s">
        <v>10220</v>
      </c>
    </row>
    <row r="609" spans="1:8">
      <c r="A609" s="12"/>
      <c r="B609" s="12" t="str">
        <f ca="1">IFERROR(__xludf.DUMMYFUNCTION("""COMPUTED_VALUE"""),"Jewelz Blu - 66365849 - Onlyfans")</f>
        <v>Jewelz Blu - 66365849 - Onlyfans</v>
      </c>
      <c r="C609" s="60" t="str">
        <f ca="1">IFERROR(__xludf.DUMMYFUNCTION("""COMPUTED_VALUE"""),"https://thumbcdn.com/splash/2h7683rt1eaxc6q5.jpg")</f>
        <v>https://thumbcdn.com/splash/2h7683rt1eaxc6q5.jpg</v>
      </c>
      <c r="D609" s="12" t="s">
        <v>4529</v>
      </c>
      <c r="E609" s="57" t="str">
        <f ca="1">IFERROR(__xludf.DUMMYFUNCTION("""COMPUTED_VALUE"""),"OK")</f>
        <v>OK</v>
      </c>
      <c r="F609" s="46"/>
      <c r="G609" s="45" t="s">
        <v>10163</v>
      </c>
      <c r="H609" s="45" t="s">
        <v>10221</v>
      </c>
    </row>
    <row r="610" spans="1:8">
      <c r="A610" s="12" t="s">
        <v>10222</v>
      </c>
      <c r="B610" s="12" t="str">
        <f ca="1">IFERROR(__xludf.DUMMYFUNCTION("""COMPUTED_VALUE"""),"Jewelz Blu - 66368610 - XVRED")</f>
        <v>Jewelz Blu - 66368610 - XVRED</v>
      </c>
      <c r="C610" s="60" t="str">
        <f ca="1">IFERROR(__xludf.DUMMYFUNCTION("""COMPUTED_VALUE"""),"https://thumbcdn.com/splash/4b08dfpwjvrtbdi7.jpg")</f>
        <v>https://thumbcdn.com/splash/4b08dfpwjvrtbdi7.jpg</v>
      </c>
      <c r="D610" s="12" t="s">
        <v>4534</v>
      </c>
      <c r="E610" s="57" t="str">
        <f ca="1">IFERROR(__xludf.DUMMYFUNCTION("""COMPUTED_VALUE"""),"OK")</f>
        <v>OK</v>
      </c>
      <c r="F610" s="46"/>
      <c r="G610" s="45" t="s">
        <v>10163</v>
      </c>
      <c r="H610" s="45" t="s">
        <v>10223</v>
      </c>
    </row>
    <row r="611" spans="1:8">
      <c r="A611" s="59" t="s">
        <v>10224</v>
      </c>
      <c r="B611" s="12" t="str">
        <f ca="1">IFERROR(__xludf.DUMMYFUNCTION("""COMPUTED_VALUE"""),"Jewelz Blu - 68292768 - PPV")</f>
        <v>Jewelz Blu - 68292768 - PPV</v>
      </c>
      <c r="C611" s="60" t="str">
        <f ca="1">IFERROR(__xludf.DUMMYFUNCTION("""COMPUTED_VALUE"""),"https://thumbcdn.com/splash/wbcqsevayiqapdlx.jpg")</f>
        <v>https://thumbcdn.com/splash/wbcqsevayiqapdlx.jpg</v>
      </c>
      <c r="D611" s="12" t="s">
        <v>4538</v>
      </c>
      <c r="E611" s="57" t="str">
        <f ca="1">IFERROR(__xludf.DUMMYFUNCTION("""COMPUTED_VALUE"""),"OK")</f>
        <v>OK</v>
      </c>
      <c r="F611" s="46"/>
      <c r="G611" s="45" t="s">
        <v>10163</v>
      </c>
      <c r="H611" s="45" t="s">
        <v>10225</v>
      </c>
    </row>
    <row r="612" spans="1:8">
      <c r="A612" s="12"/>
      <c r="B612" s="12" t="str">
        <f ca="1">IFERROR(__xludf.DUMMYFUNCTION("""COMPUTED_VALUE"""),"Jewelz Blu - 71833873 - Onlyfans")</f>
        <v>Jewelz Blu - 71833873 - Onlyfans</v>
      </c>
      <c r="C612" s="60" t="str">
        <f ca="1">IFERROR(__xludf.DUMMYFUNCTION("""COMPUTED_VALUE"""),"https://thumbcdn.com/splash/0cdoc4q7q98u7wf3.jpg")</f>
        <v>https://thumbcdn.com/splash/0cdoc4q7q98u7wf3.jpg</v>
      </c>
      <c r="D612" s="12" t="s">
        <v>4551</v>
      </c>
      <c r="E612" s="57" t="str">
        <f ca="1">IFERROR(__xludf.DUMMYFUNCTION("""COMPUTED_VALUE"""),"OK")</f>
        <v>OK</v>
      </c>
      <c r="F612" s="46"/>
      <c r="G612" s="45" t="s">
        <v>10163</v>
      </c>
      <c r="H612" s="45" t="s">
        <v>10226</v>
      </c>
    </row>
    <row r="613" spans="1:8">
      <c r="A613" s="12" t="s">
        <v>10227</v>
      </c>
      <c r="B613" s="12" t="str">
        <f ca="1">IFERROR(__xludf.DUMMYFUNCTION("""COMPUTED_VALUE"""),"Jewelz Blu - 78824960 - Onlyfans")</f>
        <v>Jewelz Blu - 78824960 - Onlyfans</v>
      </c>
      <c r="C613" s="60" t="str">
        <f ca="1">IFERROR(__xludf.DUMMYFUNCTION("""COMPUTED_VALUE"""),"https://thumbcdn.com/splash/qjzq72uqyu7r31r5.jpg")</f>
        <v>https://thumbcdn.com/splash/qjzq72uqyu7r31r5.jpg</v>
      </c>
      <c r="D613" s="12" t="s">
        <v>4563</v>
      </c>
      <c r="E613" s="57" t="str">
        <f ca="1">IFERROR(__xludf.DUMMYFUNCTION("""COMPUTED_VALUE"""),"OK")</f>
        <v>OK</v>
      </c>
      <c r="F613" s="46"/>
      <c r="G613" s="45" t="s">
        <v>10163</v>
      </c>
      <c r="H613" s="45" t="s">
        <v>10228</v>
      </c>
    </row>
    <row r="614" spans="1:8">
      <c r="A614" s="59" t="s">
        <v>10229</v>
      </c>
      <c r="B614" s="12" t="str">
        <f ca="1">IFERROR(__xludf.DUMMYFUNCTION("""COMPUTED_VALUE"""),"Jewelz Blu - 80080009 - XVRED")</f>
        <v>Jewelz Blu - 80080009 - XVRED</v>
      </c>
      <c r="C614" s="60" t="str">
        <f ca="1">IFERROR(__xludf.DUMMYFUNCTION("""COMPUTED_VALUE"""),"https://thumbcdn.com/splash/i1bn8ead36szn50h.jpg")</f>
        <v>https://thumbcdn.com/splash/i1bn8ead36szn50h.jpg</v>
      </c>
      <c r="D614" s="12" t="s">
        <v>4567</v>
      </c>
      <c r="E614" s="57" t="str">
        <f ca="1">IFERROR(__xludf.DUMMYFUNCTION("""COMPUTED_VALUE"""),"OK")</f>
        <v>OK</v>
      </c>
      <c r="F614" s="46"/>
      <c r="G614" s="45" t="s">
        <v>10163</v>
      </c>
      <c r="H614" s="45" t="s">
        <v>10230</v>
      </c>
    </row>
    <row r="615" spans="1:8">
      <c r="A615" s="12"/>
      <c r="B615" s="12" t="str">
        <f ca="1">IFERROR(__xludf.DUMMYFUNCTION("""COMPUTED_VALUE"""),"Jewelz Blu - 80880139 - XVRED")</f>
        <v>Jewelz Blu - 80880139 - XVRED</v>
      </c>
      <c r="C615" s="60" t="str">
        <f ca="1">IFERROR(__xludf.DUMMYFUNCTION("""COMPUTED_VALUE"""),"https://thumbcdn.com/splash/4hqjahkiujx3cbdx.jpg")</f>
        <v>https://thumbcdn.com/splash/4hqjahkiujx3cbdx.jpg</v>
      </c>
      <c r="D615" s="12" t="s">
        <v>4571</v>
      </c>
      <c r="E615" s="57" t="str">
        <f ca="1">IFERROR(__xludf.DUMMYFUNCTION("""COMPUTED_VALUE"""),"OK")</f>
        <v>OK</v>
      </c>
      <c r="F615" s="46"/>
      <c r="G615" s="45" t="s">
        <v>10163</v>
      </c>
      <c r="H615" s="45" t="s">
        <v>10231</v>
      </c>
    </row>
    <row r="616" spans="1:8">
      <c r="A616" s="12" t="s">
        <v>10232</v>
      </c>
      <c r="B616" s="12" t="str">
        <f ca="1">IFERROR(__xludf.DUMMYFUNCTION("""COMPUTED_VALUE"""),"Jewelz Blu - 83258517 - XVRED")</f>
        <v>Jewelz Blu - 83258517 - XVRED</v>
      </c>
      <c r="C616" s="60" t="str">
        <f ca="1">IFERROR(__xludf.DUMMYFUNCTION("""COMPUTED_VALUE"""),"https://thumbcdn.com/splash/8vb8y50zukw1nu7g.jpg")</f>
        <v>https://thumbcdn.com/splash/8vb8y50zukw1nu7g.jpg</v>
      </c>
      <c r="D616" s="16" t="s">
        <v>4583</v>
      </c>
      <c r="E616" s="57" t="str">
        <f ca="1">IFERROR(__xludf.DUMMYFUNCTION("""COMPUTED_VALUE"""),"OK")</f>
        <v>OK</v>
      </c>
      <c r="F616" s="46"/>
      <c r="G616" s="45" t="s">
        <v>10163</v>
      </c>
      <c r="H616" s="45" t="s">
        <v>10233</v>
      </c>
    </row>
    <row r="617" spans="1:8">
      <c r="A617" s="59" t="s">
        <v>10234</v>
      </c>
      <c r="B617" s="12" t="str">
        <f ca="1">IFERROR(__xludf.DUMMYFUNCTION("""COMPUTED_VALUE"""),"Jewelz Blu - 84014328 - ElegantAngel")</f>
        <v>Jewelz Blu - 84014328 - ElegantAngel</v>
      </c>
      <c r="C617" s="60" t="str">
        <f ca="1">IFERROR(__xludf.DUMMYFUNCTION("""COMPUTED_VALUE"""),"https://thumbcdn.com/splash/r21r2q0urglg27pf.jpg")</f>
        <v>https://thumbcdn.com/splash/r21r2q0urglg27pf.jpg</v>
      </c>
      <c r="D617" s="6" t="s">
        <v>4592</v>
      </c>
      <c r="E617" s="63" t="str">
        <f ca="1">IFERROR(__xludf.DUMMYFUNCTION("""COMPUTED_VALUE"""),"OK")</f>
        <v>OK</v>
      </c>
      <c r="F617" s="46"/>
      <c r="G617" s="45" t="s">
        <v>10163</v>
      </c>
      <c r="H617" s="45" t="s">
        <v>10235</v>
      </c>
    </row>
    <row r="618" spans="1:8">
      <c r="A618" s="12"/>
      <c r="B618" s="12" t="str">
        <f ca="1">IFERROR(__xludf.DUMMYFUNCTION("""COMPUTED_VALUE"""),"Jewelz Blu - 85600588 - XVRED")</f>
        <v>Jewelz Blu - 85600588 - XVRED</v>
      </c>
      <c r="C618" s="60" t="str">
        <f ca="1">IFERROR(__xludf.DUMMYFUNCTION("""COMPUTED_VALUE"""),"https://thumbcdn.com/splash/nlkbf5qpordg40uz.jpg")</f>
        <v>https://thumbcdn.com/splash/nlkbf5qpordg40uz.jpg</v>
      </c>
      <c r="D618" s="12" t="s">
        <v>4596</v>
      </c>
      <c r="E618" s="57" t="str">
        <f ca="1">IFERROR(__xludf.DUMMYFUNCTION("""COMPUTED_VALUE"""),"OK")</f>
        <v>OK</v>
      </c>
      <c r="F618" s="46"/>
      <c r="G618" s="45" t="s">
        <v>10163</v>
      </c>
      <c r="H618" s="45" t="s">
        <v>10236</v>
      </c>
    </row>
    <row r="619" spans="1:8">
      <c r="A619" s="12" t="s">
        <v>10237</v>
      </c>
      <c r="B619" s="12" t="str">
        <f ca="1">IFERROR(__xludf.DUMMYFUNCTION("""COMPUTED_VALUE"""),"Jewelz Blu - 86541323 - XVRED")</f>
        <v>Jewelz Blu - 86541323 - XVRED</v>
      </c>
      <c r="C619" s="60" t="str">
        <f ca="1">IFERROR(__xludf.DUMMYFUNCTION("""COMPUTED_VALUE"""),"https://thumbcdn.com/splash/0wk5c4rr7mm3pjj8.jpg")</f>
        <v>https://thumbcdn.com/splash/0wk5c4rr7mm3pjj8.jpg</v>
      </c>
      <c r="D619" s="6" t="s">
        <v>4600</v>
      </c>
      <c r="E619" s="63" t="str">
        <f ca="1">IFERROR(__xludf.DUMMYFUNCTION("""COMPUTED_VALUE"""),"OK")</f>
        <v>OK</v>
      </c>
      <c r="F619" s="46"/>
      <c r="G619" s="45" t="s">
        <v>10163</v>
      </c>
      <c r="H619" s="45" t="s">
        <v>10238</v>
      </c>
    </row>
    <row r="620" spans="1:8">
      <c r="A620" s="59" t="s">
        <v>10239</v>
      </c>
      <c r="B620" s="12" t="str">
        <f ca="1">IFERROR(__xludf.DUMMYFUNCTION("""COMPUTED_VALUE"""),"Jewelz Blu - 91066475 - Onlyfans")</f>
        <v>Jewelz Blu - 91066475 - Onlyfans</v>
      </c>
      <c r="C620" s="60" t="str">
        <f ca="1">IFERROR(__xludf.DUMMYFUNCTION("""COMPUTED_VALUE"""),"https://thumbcdn.com/splash/vhj4dqsowu0xz78w.jpg")</f>
        <v>https://thumbcdn.com/splash/vhj4dqsowu0xz78w.jpg</v>
      </c>
      <c r="D620" s="12" t="s">
        <v>4619</v>
      </c>
      <c r="E620" s="57" t="str">
        <f ca="1">IFERROR(__xludf.DUMMYFUNCTION("""COMPUTED_VALUE"""),"OK")</f>
        <v>OK</v>
      </c>
      <c r="F620" s="46"/>
      <c r="G620" s="45" t="s">
        <v>10163</v>
      </c>
      <c r="H620" s="45" t="s">
        <v>10240</v>
      </c>
    </row>
    <row r="621" spans="1:8">
      <c r="A621" s="12"/>
      <c r="B621" s="12" t="str">
        <f ca="1">IFERROR(__xludf.DUMMYFUNCTION("""COMPUTED_VALUE"""),"Jewelz Blu - 91464913 - Onlyfans")</f>
        <v>Jewelz Blu - 91464913 - Onlyfans</v>
      </c>
      <c r="C621" s="60" t="str">
        <f ca="1">IFERROR(__xludf.DUMMYFUNCTION("""COMPUTED_VALUE"""),"https://thumbcdn.com/splash/9k970iipb9tq8oci.jpg")</f>
        <v>https://thumbcdn.com/splash/9k970iipb9tq8oci.jpg</v>
      </c>
      <c r="D621" s="12" t="s">
        <v>4624</v>
      </c>
      <c r="E621" s="57" t="str">
        <f ca="1">IFERROR(__xludf.DUMMYFUNCTION("""COMPUTED_VALUE"""),"OK")</f>
        <v>OK</v>
      </c>
      <c r="F621" s="46"/>
      <c r="G621" s="45" t="s">
        <v>10163</v>
      </c>
      <c r="H621" s="45" t="s">
        <v>10241</v>
      </c>
    </row>
    <row r="622" spans="1:8">
      <c r="A622" s="12" t="s">
        <v>10242</v>
      </c>
      <c r="B622" s="12" t="str">
        <f ca="1">IFERROR(__xludf.DUMMYFUNCTION("""COMPUTED_VALUE"""),"Jewelz Blu - 92919613 - XVRED")</f>
        <v>Jewelz Blu - 92919613 - XVRED</v>
      </c>
      <c r="C622" s="60" t="str">
        <f ca="1">IFERROR(__xludf.DUMMYFUNCTION("""COMPUTED_VALUE"""),"https://thumbcdn.com/splash/xc2g3aa6aidy7alw.jpg")</f>
        <v>https://thumbcdn.com/splash/xc2g3aa6aidy7alw.jpg</v>
      </c>
      <c r="D622" s="12" t="s">
        <v>4629</v>
      </c>
      <c r="E622" s="57" t="str">
        <f ca="1">IFERROR(__xludf.DUMMYFUNCTION("""COMPUTED_VALUE"""),"OK")</f>
        <v>OK</v>
      </c>
      <c r="F622" s="46"/>
      <c r="G622" s="45" t="s">
        <v>10163</v>
      </c>
      <c r="H622" s="45" t="s">
        <v>10243</v>
      </c>
    </row>
    <row r="623" spans="1:8">
      <c r="A623" s="59" t="s">
        <v>10244</v>
      </c>
      <c r="B623" s="12" t="str">
        <f ca="1">IFERROR(__xludf.DUMMYFUNCTION("""COMPUTED_VALUE"""),"Jewelz Blu - 93410711 - Onlyfans")</f>
        <v>Jewelz Blu - 93410711 - Onlyfans</v>
      </c>
      <c r="C623" s="60" t="str">
        <f ca="1">IFERROR(__xludf.DUMMYFUNCTION("""COMPUTED_VALUE"""),"https://thumbcdn.com/splash/8h4421j85vqqz3o8.jpg")</f>
        <v>https://thumbcdn.com/splash/8h4421j85vqqz3o8.jpg</v>
      </c>
      <c r="D623" s="12" t="s">
        <v>4633</v>
      </c>
      <c r="E623" s="57" t="str">
        <f ca="1">IFERROR(__xludf.DUMMYFUNCTION("""COMPUTED_VALUE"""),"OK")</f>
        <v>OK</v>
      </c>
      <c r="F623" s="46"/>
      <c r="G623" s="45" t="s">
        <v>10163</v>
      </c>
      <c r="H623" s="45" t="s">
        <v>10245</v>
      </c>
    </row>
    <row r="624" spans="1:8">
      <c r="A624" s="12"/>
      <c r="B624" s="12" t="str">
        <f ca="1">IFERROR(__xludf.DUMMYFUNCTION("""COMPUTED_VALUE"""),"Jewelz Blu - 93619322 - Onlyfans - Haley Spades")</f>
        <v>Jewelz Blu - 93619322 - Onlyfans - Haley Spades</v>
      </c>
      <c r="C624" s="60" t="str">
        <f ca="1">IFERROR(__xludf.DUMMYFUNCTION("""COMPUTED_VALUE"""),"https://thumbcdn.com/splash/ar1c43nm2as7krrr.jpg")</f>
        <v>https://thumbcdn.com/splash/ar1c43nm2as7krrr.jpg</v>
      </c>
      <c r="D624" s="12" t="s">
        <v>4637</v>
      </c>
      <c r="E624" s="57" t="str">
        <f ca="1">IFERROR(__xludf.DUMMYFUNCTION("""COMPUTED_VALUE"""),"OK")</f>
        <v>OK</v>
      </c>
      <c r="F624" s="46"/>
      <c r="G624" s="45" t="s">
        <v>10163</v>
      </c>
      <c r="H624" s="45" t="s">
        <v>10246</v>
      </c>
    </row>
    <row r="625" spans="1:8">
      <c r="A625" s="12" t="s">
        <v>10247</v>
      </c>
      <c r="B625" s="12" t="str">
        <f ca="1">IFERROR(__xludf.DUMMYFUNCTION("""COMPUTED_VALUE"""),"Jewelz Blu - 95336352 - Onlyfans")</f>
        <v>Jewelz Blu - 95336352 - Onlyfans</v>
      </c>
      <c r="C625" s="60" t="str">
        <f ca="1">IFERROR(__xludf.DUMMYFUNCTION("""COMPUTED_VALUE"""),"https://thumbcdn.com/splash/pdv5glxeuhram1er.jpg")</f>
        <v>https://thumbcdn.com/splash/pdv5glxeuhram1er.jpg</v>
      </c>
      <c r="D625" s="6" t="s">
        <v>4643</v>
      </c>
      <c r="E625" s="63" t="str">
        <f ca="1">IFERROR(__xludf.DUMMYFUNCTION("""COMPUTED_VALUE"""),"OK")</f>
        <v>OK</v>
      </c>
      <c r="F625" s="46"/>
      <c r="G625" s="45" t="s">
        <v>10163</v>
      </c>
      <c r="H625" s="45" t="s">
        <v>10248</v>
      </c>
    </row>
    <row r="626" spans="1:8">
      <c r="A626" s="59" t="s">
        <v>10249</v>
      </c>
      <c r="B626" s="12" t="str">
        <f ca="1">IFERROR(__xludf.DUMMYFUNCTION("""COMPUTED_VALUE"""),"Jewelz Blu - 95638896 - XVRED - Hailey Rose")</f>
        <v>Jewelz Blu - 95638896 - XVRED - Hailey Rose</v>
      </c>
      <c r="C626" s="60" t="str">
        <f ca="1">IFERROR(__xludf.DUMMYFUNCTION("""COMPUTED_VALUE"""),"https://thumbcdn.com/splash/q8gzaz5cg8bcn98y.jpg")</f>
        <v>https://thumbcdn.com/splash/q8gzaz5cg8bcn98y.jpg</v>
      </c>
      <c r="D626" s="12" t="s">
        <v>4651</v>
      </c>
      <c r="E626" s="57" t="str">
        <f ca="1">IFERROR(__xludf.DUMMYFUNCTION("""COMPUTED_VALUE"""),"OK")</f>
        <v>OK</v>
      </c>
      <c r="F626" s="46"/>
      <c r="G626" s="45" t="s">
        <v>10163</v>
      </c>
      <c r="H626" s="45" t="s">
        <v>10250</v>
      </c>
    </row>
    <row r="627" spans="1:8">
      <c r="A627" s="12"/>
      <c r="B627" s="12" t="str">
        <f ca="1">IFERROR(__xludf.DUMMYFUNCTION("""COMPUTED_VALUE"""),"Jewelz Blu - 96252943 - XVRED")</f>
        <v>Jewelz Blu - 96252943 - XVRED</v>
      </c>
      <c r="C627" s="60" t="str">
        <f ca="1">IFERROR(__xludf.DUMMYFUNCTION("""COMPUTED_VALUE"""),"https://thumbcdn.com/splash/gfwgnjjfopt43bwi.jpg")</f>
        <v>https://thumbcdn.com/splash/gfwgnjjfopt43bwi.jpg</v>
      </c>
      <c r="D627" s="6" t="s">
        <v>4656</v>
      </c>
      <c r="E627" s="63" t="str">
        <f ca="1">IFERROR(__xludf.DUMMYFUNCTION("""COMPUTED_VALUE"""),"OK")</f>
        <v>OK</v>
      </c>
      <c r="F627" s="46"/>
      <c r="G627" s="45" t="s">
        <v>10163</v>
      </c>
      <c r="H627" s="45" t="s">
        <v>10251</v>
      </c>
    </row>
    <row r="628" spans="1:8">
      <c r="A628" s="12" t="s">
        <v>10252</v>
      </c>
      <c r="B628" s="12" t="str">
        <f ca="1">IFERROR(__xludf.DUMMYFUNCTION("""COMPUTED_VALUE"""),"Jewelz Blu - 96624921 - PF")</f>
        <v>Jewelz Blu - 96624921 - PF</v>
      </c>
      <c r="C628" s="60" t="str">
        <f ca="1">IFERROR(__xludf.DUMMYFUNCTION("""COMPUTED_VALUE"""),"https://thumbcdn.com/splash/4zhh4f6dgj9gctxz.jpg")</f>
        <v>https://thumbcdn.com/splash/4zhh4f6dgj9gctxz.jpg</v>
      </c>
      <c r="D628" s="6" t="s">
        <v>4661</v>
      </c>
      <c r="E628" s="63" t="str">
        <f ca="1">IFERROR(__xludf.DUMMYFUNCTION("""COMPUTED_VALUE"""),"OK")</f>
        <v>OK</v>
      </c>
      <c r="F628" s="46"/>
      <c r="G628" s="45" t="s">
        <v>10163</v>
      </c>
      <c r="H628" s="45" t="s">
        <v>10253</v>
      </c>
    </row>
    <row r="629" spans="1:8">
      <c r="A629" s="59" t="s">
        <v>10254</v>
      </c>
      <c r="B629" s="12" t="str">
        <f ca="1">IFERROR(__xludf.DUMMYFUNCTION("""COMPUTED_VALUE"""),"Jewelz Blu - 96870764 - Onlyfans")</f>
        <v>Jewelz Blu - 96870764 - Onlyfans</v>
      </c>
      <c r="C629" s="60" t="str">
        <f ca="1">IFERROR(__xludf.DUMMYFUNCTION("""COMPUTED_VALUE"""),"https://thumbcdn.com/splash/6u7vbms5qn50nk4d.jpg")</f>
        <v>https://thumbcdn.com/splash/6u7vbms5qn50nk4d.jpg</v>
      </c>
      <c r="D629" s="12" t="s">
        <v>4666</v>
      </c>
      <c r="E629" s="57" t="str">
        <f ca="1">IFERROR(__xludf.DUMMYFUNCTION("""COMPUTED_VALUE"""),"OK")</f>
        <v>OK</v>
      </c>
      <c r="F629" s="46"/>
      <c r="G629" s="45" t="s">
        <v>10163</v>
      </c>
      <c r="H629" s="45" t="s">
        <v>10255</v>
      </c>
    </row>
    <row r="630" spans="1:8">
      <c r="A630" s="12"/>
      <c r="B630" s="12" t="str">
        <f ca="1">IFERROR(__xludf.DUMMYFUNCTION("""COMPUTED_VALUE"""),"Juniper - 73596562 - BackroomCastingCouch")</f>
        <v>Juniper - 73596562 - BackroomCastingCouch</v>
      </c>
      <c r="C630" s="60" t="str">
        <f ca="1">IFERROR(__xludf.DUMMYFUNCTION("""COMPUTED_VALUE"""),"https://thumbcdn.com/splash/7s6zu1gltnqdecvp.jpg")</f>
        <v>https://thumbcdn.com/splash/7s6zu1gltnqdecvp.jpg</v>
      </c>
      <c r="D630" s="12" t="s">
        <v>4671</v>
      </c>
      <c r="E630" s="57" t="str">
        <f ca="1">IFERROR(__xludf.DUMMYFUNCTION("""COMPUTED_VALUE"""),"OK")</f>
        <v>OK</v>
      </c>
      <c r="F630" s="46"/>
      <c r="G630" s="45" t="s">
        <v>10163</v>
      </c>
      <c r="H630" s="45" t="s">
        <v>10256</v>
      </c>
    </row>
    <row r="631" spans="1:8">
      <c r="A631" s="12" t="s">
        <v>10257</v>
      </c>
      <c r="B631" s="12" t="str">
        <f ca="1">IFERROR(__xludf.DUMMYFUNCTION("""COMPUTED_VALUE"""),"Juniper Ren - 12323656 - AO")</f>
        <v>Juniper Ren - 12323656 - AO</v>
      </c>
      <c r="C631" s="60" t="str">
        <f ca="1">IFERROR(__xludf.DUMMYFUNCTION("""COMPUTED_VALUE"""),"https://thumbcdn.com/splash/bjyxkehdatn9tgaw.jpg")</f>
        <v>https://thumbcdn.com/splash/bjyxkehdatn9tgaw.jpg</v>
      </c>
      <c r="D631" s="12" t="s">
        <v>4676</v>
      </c>
      <c r="E631" s="57" t="str">
        <f ca="1">IFERROR(__xludf.DUMMYFUNCTION("""COMPUTED_VALUE"""),"OK")</f>
        <v>OK</v>
      </c>
      <c r="F631" s="46"/>
      <c r="G631" s="45" t="s">
        <v>10258</v>
      </c>
      <c r="H631" s="45" t="s">
        <v>10259</v>
      </c>
    </row>
    <row r="632" spans="1:8">
      <c r="A632" s="59" t="s">
        <v>10260</v>
      </c>
      <c r="B632" s="12" t="str">
        <f ca="1">IFERROR(__xludf.DUMMYFUNCTION("""COMPUTED_VALUE"""),"Kali Roses - 27700551 - Onlyfans")</f>
        <v>Kali Roses - 27700551 - Onlyfans</v>
      </c>
      <c r="C632" s="60" t="str">
        <f ca="1">IFERROR(__xludf.DUMMYFUNCTION("""COMPUTED_VALUE"""),"https://thumbcdn.com/splash/yjpw0nbm7lljq9q8.jpg")</f>
        <v>https://thumbcdn.com/splash/yjpw0nbm7lljq9q8.jpg</v>
      </c>
      <c r="D632" s="12" t="s">
        <v>4715</v>
      </c>
      <c r="E632" s="57" t="str">
        <f ca="1">IFERROR(__xludf.DUMMYFUNCTION("""COMPUTED_VALUE"""),"OK")</f>
        <v>OK</v>
      </c>
      <c r="F632" s="46"/>
      <c r="G632" s="45" t="s">
        <v>10261</v>
      </c>
      <c r="H632" s="45" t="s">
        <v>10262</v>
      </c>
    </row>
    <row r="633" spans="1:8">
      <c r="A633" s="12"/>
      <c r="B633" s="12" t="str">
        <f ca="1">IFERROR(__xludf.DUMMYFUNCTION("""COMPUTED_VALUE"""),"Kali Roses - 28586276 - XVRED - Ali Rose")</f>
        <v>Kali Roses - 28586276 - XVRED - Ali Rose</v>
      </c>
      <c r="C633" s="60" t="str">
        <f ca="1">IFERROR(__xludf.DUMMYFUNCTION("""COMPUTED_VALUE"""),"https://thumbcdn.com/splash/uhysm4xcvzfbf76z.jpg")</f>
        <v>https://thumbcdn.com/splash/uhysm4xcvzfbf76z.jpg</v>
      </c>
      <c r="D633" s="12" t="s">
        <v>4719</v>
      </c>
      <c r="E633" s="57" t="str">
        <f ca="1">IFERROR(__xludf.DUMMYFUNCTION("""COMPUTED_VALUE"""),"OK")</f>
        <v>OK</v>
      </c>
      <c r="F633" s="46"/>
      <c r="G633" s="45" t="s">
        <v>10263</v>
      </c>
      <c r="H633" s="45" t="s">
        <v>10264</v>
      </c>
    </row>
    <row r="634" spans="1:8">
      <c r="A634" s="12" t="s">
        <v>10265</v>
      </c>
      <c r="B634" s="12" t="str">
        <f ca="1">IFERROR(__xludf.DUMMYFUNCTION("""COMPUTED_VALUE"""),"Kali Roses - 34740220 - XVRED")</f>
        <v>Kali Roses - 34740220 - XVRED</v>
      </c>
      <c r="C634" s="60" t="str">
        <f ca="1">IFERROR(__xludf.DUMMYFUNCTION("""COMPUTED_VALUE"""),"https://thumbcdn.com/splash/2rea20f689y59lla.jpg")</f>
        <v>https://thumbcdn.com/splash/2rea20f689y59lla.jpg</v>
      </c>
      <c r="D634" s="12" t="s">
        <v>4728</v>
      </c>
      <c r="E634" s="57" t="str">
        <f ca="1">IFERROR(__xludf.DUMMYFUNCTION("""COMPUTED_VALUE"""),"OK")</f>
        <v>OK</v>
      </c>
      <c r="F634" s="46"/>
      <c r="G634" s="45" t="s">
        <v>10263</v>
      </c>
      <c r="H634" s="45" t="s">
        <v>10266</v>
      </c>
    </row>
    <row r="635" spans="1:8">
      <c r="A635" s="59" t="s">
        <v>10267</v>
      </c>
      <c r="B635" s="12" t="str">
        <f ca="1">IFERROR(__xludf.DUMMYFUNCTION("""COMPUTED_VALUE"""),"Kali Roses - 38472992 - Camsoda")</f>
        <v>Kali Roses - 38472992 - Camsoda</v>
      </c>
      <c r="C635" s="60" t="str">
        <f ca="1">IFERROR(__xludf.DUMMYFUNCTION("""COMPUTED_VALUE"""),"https://thumbcdn.com/splash/bkgsfeip5nriz4o9.jpg")</f>
        <v>https://thumbcdn.com/splash/bkgsfeip5nriz4o9.jpg</v>
      </c>
      <c r="D635" s="12" t="s">
        <v>4732</v>
      </c>
      <c r="E635" s="57" t="str">
        <f ca="1">IFERROR(__xludf.DUMMYFUNCTION("""COMPUTED_VALUE"""),"OK")</f>
        <v>OK</v>
      </c>
      <c r="F635" s="46"/>
      <c r="G635" s="45" t="s">
        <v>10263</v>
      </c>
      <c r="H635" s="45" t="s">
        <v>10268</v>
      </c>
    </row>
    <row r="636" spans="1:8">
      <c r="A636" s="12"/>
      <c r="B636" s="12" t="str">
        <f ca="1">IFERROR(__xludf.DUMMYFUNCTION("""COMPUTED_VALUE"""),"Kali Roses - 44828043 - Manyvids - Elana Bunnz")</f>
        <v>Kali Roses - 44828043 - Manyvids - Elana Bunnz</v>
      </c>
      <c r="C636" s="60" t="str">
        <f ca="1">IFERROR(__xludf.DUMMYFUNCTION("""COMPUTED_VALUE"""),"https://thumbcdn.com/splash/khxy0gglnodk9r7n.jpg")</f>
        <v>https://thumbcdn.com/splash/khxy0gglnodk9r7n.jpg</v>
      </c>
      <c r="D636" s="12" t="s">
        <v>4737</v>
      </c>
      <c r="E636" s="57" t="str">
        <f ca="1">IFERROR(__xludf.DUMMYFUNCTION("""COMPUTED_VALUE"""),"OK")</f>
        <v>OK</v>
      </c>
      <c r="F636" s="46"/>
      <c r="G636" s="45" t="s">
        <v>10263</v>
      </c>
      <c r="H636" s="45" t="s">
        <v>10269</v>
      </c>
    </row>
    <row r="637" spans="1:8">
      <c r="A637" s="12" t="s">
        <v>10270</v>
      </c>
      <c r="B637" s="12" t="str">
        <f ca="1">IFERROR(__xludf.DUMMYFUNCTION("""COMPUTED_VALUE"""),"Kali Roses - 56029035 - XVRED")</f>
        <v>Kali Roses - 56029035 - XVRED</v>
      </c>
      <c r="C637" s="60" t="str">
        <f ca="1">IFERROR(__xludf.DUMMYFUNCTION("""COMPUTED_VALUE"""),"https://thumbcdn.com/splash/31kf0wd6a3har2ad.jpg")</f>
        <v>https://thumbcdn.com/splash/31kf0wd6a3har2ad.jpg</v>
      </c>
      <c r="D637" s="12" t="s">
        <v>4748</v>
      </c>
      <c r="E637" s="57" t="str">
        <f ca="1">IFERROR(__xludf.DUMMYFUNCTION("""COMPUTED_VALUE"""),"OK")</f>
        <v>OK</v>
      </c>
      <c r="F637" s="46"/>
      <c r="G637" s="45" t="s">
        <v>10263</v>
      </c>
      <c r="H637" s="45" t="s">
        <v>10271</v>
      </c>
    </row>
    <row r="638" spans="1:8">
      <c r="A638" s="59" t="s">
        <v>10272</v>
      </c>
      <c r="B638" s="12" t="str">
        <f ca="1">IFERROR(__xludf.DUMMYFUNCTION("""COMPUTED_VALUE"""),"Kali Roses - 63542067 - Onlyfans")</f>
        <v>Kali Roses - 63542067 - Onlyfans</v>
      </c>
      <c r="C638" s="60" t="str">
        <f ca="1">IFERROR(__xludf.DUMMYFUNCTION("""COMPUTED_VALUE"""),"https://thumbcdn.com/splash/nx3ezxpkxx8ek61r.jpg")</f>
        <v>https://thumbcdn.com/splash/nx3ezxpkxx8ek61r.jpg</v>
      </c>
      <c r="D638" s="6" t="s">
        <v>4758</v>
      </c>
      <c r="E638" s="63" t="str">
        <f ca="1">IFERROR(__xludf.DUMMYFUNCTION("""COMPUTED_VALUE"""),"OK")</f>
        <v>OK</v>
      </c>
      <c r="F638" s="46"/>
      <c r="G638" s="45" t="s">
        <v>10263</v>
      </c>
      <c r="H638" s="45" t="s">
        <v>10273</v>
      </c>
    </row>
    <row r="639" spans="1:8">
      <c r="A639" s="12"/>
      <c r="B639" s="12" t="str">
        <f ca="1">IFERROR(__xludf.DUMMYFUNCTION("""COMPUTED_VALUE"""),"Kali Roses - 69966088 - XVRED")</f>
        <v>Kali Roses - 69966088 - XVRED</v>
      </c>
      <c r="C639" s="60" t="str">
        <f ca="1">IFERROR(__xludf.DUMMYFUNCTION("""COMPUTED_VALUE"""),"https://thumbcdn.com/splash/vc4g6tud3ktwmm5o.jpg")</f>
        <v>https://thumbcdn.com/splash/vc4g6tud3ktwmm5o.jpg</v>
      </c>
      <c r="D639" s="16" t="s">
        <v>4763</v>
      </c>
      <c r="E639" s="57" t="str">
        <f ca="1">IFERROR(__xludf.DUMMYFUNCTION("""COMPUTED_VALUE"""),"OK")</f>
        <v>OK</v>
      </c>
      <c r="F639" s="46"/>
      <c r="G639" s="45" t="s">
        <v>10263</v>
      </c>
      <c r="H639" s="45" t="s">
        <v>10274</v>
      </c>
    </row>
    <row r="640" spans="1:8">
      <c r="A640" s="12" t="s">
        <v>10275</v>
      </c>
      <c r="B640" s="12" t="str">
        <f ca="1">IFERROR(__xludf.DUMMYFUNCTION("""COMPUTED_VALUE"""),"Kali Roses - 73978346 - Onlyfans")</f>
        <v>Kali Roses - 73978346 - Onlyfans</v>
      </c>
      <c r="C640" s="60" t="str">
        <f ca="1">IFERROR(__xludf.DUMMYFUNCTION("""COMPUTED_VALUE"""),"https://thumbcdn.com/splash/8q6s3tejr7wh0jl7.jpg")</f>
        <v>https://thumbcdn.com/splash/8q6s3tejr7wh0jl7.jpg</v>
      </c>
      <c r="D640" s="12" t="s">
        <v>4768</v>
      </c>
      <c r="E640" s="57" t="str">
        <f ca="1">IFERROR(__xludf.DUMMYFUNCTION("""COMPUTED_VALUE"""),"OK")</f>
        <v>OK</v>
      </c>
      <c r="F640" s="46"/>
      <c r="G640" s="45" t="s">
        <v>10263</v>
      </c>
      <c r="H640" s="45" t="s">
        <v>10276</v>
      </c>
    </row>
    <row r="641" spans="1:8">
      <c r="A641" s="59" t="s">
        <v>10277</v>
      </c>
      <c r="B641" s="12" t="str">
        <f ca="1">IFERROR(__xludf.DUMMYFUNCTION("""COMPUTED_VALUE"""),"Kali Roses - 74222197 - Onlyfans - Jenna Starr")</f>
        <v>Kali Roses - 74222197 - Onlyfans - Jenna Starr</v>
      </c>
      <c r="C641" s="60" t="str">
        <f ca="1">IFERROR(__xludf.DUMMYFUNCTION("""COMPUTED_VALUE"""),"https://thumbcdn.com/splash/1vxwji36gz9k7ca7.jpg")</f>
        <v>https://thumbcdn.com/splash/1vxwji36gz9k7ca7.jpg</v>
      </c>
      <c r="D641" s="12" t="s">
        <v>4772</v>
      </c>
      <c r="E641" s="57" t="str">
        <f ca="1">IFERROR(__xludf.DUMMYFUNCTION("""COMPUTED_VALUE"""),"OK")</f>
        <v>OK</v>
      </c>
      <c r="F641" s="46"/>
      <c r="G641" s="45" t="s">
        <v>10263</v>
      </c>
      <c r="H641" s="45" t="s">
        <v>10278</v>
      </c>
    </row>
    <row r="642" spans="1:8">
      <c r="A642" s="12"/>
      <c r="B642" s="12" t="str">
        <f ca="1">IFERROR(__xludf.DUMMYFUNCTION("""COMPUTED_VALUE"""),"Kali Roses - 80756120 - HardX")</f>
        <v>Kali Roses - 80756120 - HardX</v>
      </c>
      <c r="C642" s="60" t="str">
        <f ca="1">IFERROR(__xludf.DUMMYFUNCTION("""COMPUTED_VALUE"""),"https://thumbcdn.com/splash/ov18zggjmif6eges.jpg")</f>
        <v>https://thumbcdn.com/splash/ov18zggjmif6eges.jpg</v>
      </c>
      <c r="D642" s="6" t="s">
        <v>4786</v>
      </c>
      <c r="E642" s="63" t="str">
        <f ca="1">IFERROR(__xludf.DUMMYFUNCTION("""COMPUTED_VALUE"""),"OK")</f>
        <v>OK</v>
      </c>
      <c r="F642" s="46"/>
      <c r="G642" s="45" t="s">
        <v>10263</v>
      </c>
      <c r="H642" s="45" t="s">
        <v>10279</v>
      </c>
    </row>
    <row r="643" spans="1:8">
      <c r="A643" s="12" t="s">
        <v>10280</v>
      </c>
      <c r="B643" s="12" t="str">
        <f ca="1">IFERROR(__xludf.DUMMYFUNCTION("""COMPUTED_VALUE"""),"Kali Roses - 89846730 - Onlyfans")</f>
        <v>Kali Roses - 89846730 - Onlyfans</v>
      </c>
      <c r="C643" s="60" t="str">
        <f ca="1">IFERROR(__xludf.DUMMYFUNCTION("""COMPUTED_VALUE"""),"https://thumbcdn.com/splash/5ucwtw74hmoud8o0.jpg")</f>
        <v>https://thumbcdn.com/splash/5ucwtw74hmoud8o0.jpg</v>
      </c>
      <c r="D643" s="12" t="s">
        <v>4797</v>
      </c>
      <c r="E643" s="57" t="str">
        <f ca="1">IFERROR(__xludf.DUMMYFUNCTION("""COMPUTED_VALUE"""),"OK")</f>
        <v>OK</v>
      </c>
      <c r="F643" s="46"/>
      <c r="G643" s="45" t="s">
        <v>10263</v>
      </c>
      <c r="H643" s="45" t="s">
        <v>10281</v>
      </c>
    </row>
    <row r="644" spans="1:8">
      <c r="A644" s="59" t="s">
        <v>10282</v>
      </c>
      <c r="B644" s="12" t="str">
        <f ca="1">IFERROR(__xludf.DUMMYFUNCTION("""COMPUTED_VALUE"""),"Kali Roses - 97216217 - XVRED")</f>
        <v>Kali Roses - 97216217 - XVRED</v>
      </c>
      <c r="C644" s="60" t="str">
        <f ca="1">IFERROR(__xludf.DUMMYFUNCTION("""COMPUTED_VALUE"""),"https://thumbcdn.com/splash/d3y30e4qi1libsxd.jpg")</f>
        <v>https://thumbcdn.com/splash/d3y30e4qi1libsxd.jpg</v>
      </c>
      <c r="D644" s="12" t="s">
        <v>4801</v>
      </c>
      <c r="E644" s="57" t="str">
        <f ca="1">IFERROR(__xludf.DUMMYFUNCTION("""COMPUTED_VALUE"""),"OK")</f>
        <v>OK</v>
      </c>
      <c r="F644" s="46"/>
      <c r="G644" s="45" t="s">
        <v>10263</v>
      </c>
      <c r="H644" s="45" t="s">
        <v>10283</v>
      </c>
    </row>
    <row r="645" spans="1:8">
      <c r="A645" s="12"/>
      <c r="B645" s="12" t="str">
        <f ca="1">IFERROR(__xludf.DUMMYFUNCTION("""COMPUTED_VALUE"""),"Kali Roses - 97546975 - Onlyfans")</f>
        <v>Kali Roses - 97546975 - Onlyfans</v>
      </c>
      <c r="C645" s="60" t="str">
        <f ca="1">IFERROR(__xludf.DUMMYFUNCTION("""COMPUTED_VALUE"""),"https://thumbcdn.com/splash/rop8o5inzdyl4of4.jpg")</f>
        <v>https://thumbcdn.com/splash/rop8o5inzdyl4of4.jpg</v>
      </c>
      <c r="D645" s="12" t="s">
        <v>4805</v>
      </c>
      <c r="E645" s="57" t="str">
        <f ca="1">IFERROR(__xludf.DUMMYFUNCTION("""COMPUTED_VALUE"""),"OK")</f>
        <v>OK</v>
      </c>
      <c r="F645" s="46"/>
      <c r="G645" s="45" t="s">
        <v>10263</v>
      </c>
      <c r="H645" s="45" t="s">
        <v>10284</v>
      </c>
    </row>
    <row r="646" spans="1:8">
      <c r="A646" s="12" t="s">
        <v>10285</v>
      </c>
      <c r="B646" s="12" t="str">
        <f ca="1">IFERROR(__xludf.DUMMYFUNCTION("""COMPUTED_VALUE"""),"Kate Kuray - 11114763 - Onlyfans")</f>
        <v>Kate Kuray - 11114763 - Onlyfans</v>
      </c>
      <c r="C646" s="60" t="str">
        <f ca="1">IFERROR(__xludf.DUMMYFUNCTION("""COMPUTED_VALUE"""),"https://thumbcdn.com/splash/jt12mgcq8i8dra9l.jpg")</f>
        <v>https://thumbcdn.com/splash/jt12mgcq8i8dra9l.jpg</v>
      </c>
      <c r="D646" s="12" t="s">
        <v>4813</v>
      </c>
      <c r="E646" s="57" t="str">
        <f ca="1">IFERROR(__xludf.DUMMYFUNCTION("""COMPUTED_VALUE"""),"OK")</f>
        <v>OK</v>
      </c>
      <c r="F646" s="46"/>
      <c r="G646" s="45" t="s">
        <v>10263</v>
      </c>
      <c r="H646" s="45" t="s">
        <v>10286</v>
      </c>
    </row>
    <row r="647" spans="1:8">
      <c r="A647" s="59" t="s">
        <v>10287</v>
      </c>
      <c r="B647" s="12" t="str">
        <f ca="1">IFERROR(__xludf.DUMMYFUNCTION("""COMPUTED_VALUE"""),"Kate Kuray - 20257771 - Onlyfans")</f>
        <v>Kate Kuray - 20257771 - Onlyfans</v>
      </c>
      <c r="C647" s="60" t="str">
        <f ca="1">IFERROR(__xludf.DUMMYFUNCTION("""COMPUTED_VALUE"""),"https://thumbcdn.com/splash/hjxsgo5hprdsqu4n.jpg")</f>
        <v>https://thumbcdn.com/splash/hjxsgo5hprdsqu4n.jpg</v>
      </c>
      <c r="D647" s="12" t="s">
        <v>4839</v>
      </c>
      <c r="E647" s="57" t="str">
        <f ca="1">IFERROR(__xludf.DUMMYFUNCTION("""COMPUTED_VALUE"""),"OK")</f>
        <v>OK</v>
      </c>
      <c r="F647" s="46"/>
      <c r="G647" s="45" t="s">
        <v>10288</v>
      </c>
      <c r="H647" s="45" t="s">
        <v>10289</v>
      </c>
    </row>
    <row r="648" spans="1:8">
      <c r="A648" s="12"/>
      <c r="B648" s="12" t="str">
        <f ca="1">IFERROR(__xludf.DUMMYFUNCTION("""COMPUTED_VALUE"""),"Kate Kuray - 25748212 - Onlyfans")</f>
        <v>Kate Kuray - 25748212 - Onlyfans</v>
      </c>
      <c r="C648" s="60" t="str">
        <f ca="1">IFERROR(__xludf.DUMMYFUNCTION("""COMPUTED_VALUE"""),"https://thumbcdn.com/splash/gt9n06v32flj8fps.jpg")</f>
        <v>https://thumbcdn.com/splash/gt9n06v32flj8fps.jpg</v>
      </c>
      <c r="D648" s="12" t="s">
        <v>4849</v>
      </c>
      <c r="E648" s="57" t="str">
        <f ca="1">IFERROR(__xludf.DUMMYFUNCTION("""COMPUTED_VALUE"""),"OK")</f>
        <v>OK</v>
      </c>
      <c r="F648" s="46"/>
      <c r="G648" s="45" t="s">
        <v>10288</v>
      </c>
      <c r="H648" s="45" t="s">
        <v>10290</v>
      </c>
    </row>
    <row r="649" spans="1:8">
      <c r="A649" s="12" t="s">
        <v>10291</v>
      </c>
      <c r="B649" s="12" t="str">
        <f ca="1">IFERROR(__xludf.DUMMYFUNCTION("""COMPUTED_VALUE"""),"Kate Kuray - 27058445 - Onlyfans")</f>
        <v>Kate Kuray - 27058445 - Onlyfans</v>
      </c>
      <c r="C649" s="60" t="str">
        <f ca="1">IFERROR(__xludf.DUMMYFUNCTION("""COMPUTED_VALUE"""),"https://thumbcdn.com/splash/gwh1asv0ptwu02p0.jpg")</f>
        <v>https://thumbcdn.com/splash/gwh1asv0ptwu02p0.jpg</v>
      </c>
      <c r="D649" s="6" t="s">
        <v>4853</v>
      </c>
      <c r="E649" s="63" t="str">
        <f ca="1">IFERROR(__xludf.DUMMYFUNCTION("""COMPUTED_VALUE"""),"OK")</f>
        <v>OK</v>
      </c>
      <c r="F649" s="46"/>
      <c r="G649" s="45" t="s">
        <v>10288</v>
      </c>
      <c r="H649" s="45" t="s">
        <v>10292</v>
      </c>
    </row>
    <row r="650" spans="1:8">
      <c r="A650" s="59" t="s">
        <v>10293</v>
      </c>
      <c r="B650" s="12" t="str">
        <f ca="1">IFERROR(__xludf.DUMMYFUNCTION("""COMPUTED_VALUE"""),"Kate Kuray - 29107362 - Onlyfans")</f>
        <v>Kate Kuray - 29107362 - Onlyfans</v>
      </c>
      <c r="C650" s="60" t="str">
        <f ca="1">IFERROR(__xludf.DUMMYFUNCTION("""COMPUTED_VALUE"""),"https://thumbcdn.com/splash/c078h5vsvqzzpe93.jpg")</f>
        <v>https://thumbcdn.com/splash/c078h5vsvqzzpe93.jpg</v>
      </c>
      <c r="D650" s="12" t="s">
        <v>4859</v>
      </c>
      <c r="E650" s="57" t="str">
        <f ca="1">IFERROR(__xludf.DUMMYFUNCTION("""COMPUTED_VALUE"""),"OK")</f>
        <v>OK</v>
      </c>
      <c r="F650" s="46"/>
      <c r="G650" s="45" t="s">
        <v>10288</v>
      </c>
      <c r="H650" s="45" t="s">
        <v>10294</v>
      </c>
    </row>
    <row r="651" spans="1:8">
      <c r="A651" s="12"/>
      <c r="B651" s="12" t="str">
        <f ca="1">IFERROR(__xludf.DUMMYFUNCTION("""COMPUTED_VALUE"""),"Kate Kuray - 32292220 - Onlyfans")</f>
        <v>Kate Kuray - 32292220 - Onlyfans</v>
      </c>
      <c r="C651" s="60" t="str">
        <f ca="1">IFERROR(__xludf.DUMMYFUNCTION("""COMPUTED_VALUE"""),"https://thumbcdn.com/splash/1e7pbyle2i5mpel0.jpg")</f>
        <v>https://thumbcdn.com/splash/1e7pbyle2i5mpel0.jpg</v>
      </c>
      <c r="D651" s="12" t="s">
        <v>4893</v>
      </c>
      <c r="E651" s="57" t="str">
        <f ca="1">IFERROR(__xludf.DUMMYFUNCTION("""COMPUTED_VALUE"""),"OK")</f>
        <v>OK</v>
      </c>
      <c r="F651" s="46"/>
      <c r="G651" s="45" t="s">
        <v>10288</v>
      </c>
      <c r="H651" s="45" t="s">
        <v>10295</v>
      </c>
    </row>
    <row r="652" spans="1:8">
      <c r="A652" s="12" t="s">
        <v>10296</v>
      </c>
      <c r="B652" s="12" t="str">
        <f ca="1">IFERROR(__xludf.DUMMYFUNCTION("""COMPUTED_VALUE"""),"Kate Kuray - 37514322 - Onlyfans")</f>
        <v>Kate Kuray - 37514322 - Onlyfans</v>
      </c>
      <c r="C652" s="60" t="str">
        <f ca="1">IFERROR(__xludf.DUMMYFUNCTION("""COMPUTED_VALUE"""),"https://thumbcdn.com/splash/1gisdaijyw6bg7i0.jpg")</f>
        <v>https://thumbcdn.com/splash/1gisdaijyw6bg7i0.jpg</v>
      </c>
      <c r="D652" s="6" t="s">
        <v>4897</v>
      </c>
      <c r="E652" s="63" t="str">
        <f ca="1">IFERROR(__xludf.DUMMYFUNCTION("""COMPUTED_VALUE"""),"OK")</f>
        <v>OK</v>
      </c>
      <c r="F652" s="46"/>
      <c r="G652" s="45" t="s">
        <v>10288</v>
      </c>
      <c r="H652" s="45" t="s">
        <v>10297</v>
      </c>
    </row>
    <row r="653" spans="1:8">
      <c r="A653" s="59" t="s">
        <v>10298</v>
      </c>
      <c r="B653" s="12" t="str">
        <f ca="1">IFERROR(__xludf.DUMMYFUNCTION("""COMPUTED_VALUE"""),"Kate Kuray - 37527639 - Onlyfans")</f>
        <v>Kate Kuray - 37527639 - Onlyfans</v>
      </c>
      <c r="C653" s="60" t="str">
        <f ca="1">IFERROR(__xludf.DUMMYFUNCTION("""COMPUTED_VALUE"""),"https://thumbcdn.com/splash/2s7bd0d87tv6fwx8.jpg")</f>
        <v>https://thumbcdn.com/splash/2s7bd0d87tv6fwx8.jpg</v>
      </c>
      <c r="D653" s="12" t="s">
        <v>4901</v>
      </c>
      <c r="E653" s="57" t="str">
        <f ca="1">IFERROR(__xludf.DUMMYFUNCTION("""COMPUTED_VALUE"""),"OK")</f>
        <v>OK</v>
      </c>
      <c r="F653" s="46"/>
      <c r="G653" s="45" t="s">
        <v>10288</v>
      </c>
      <c r="H653" s="45" t="s">
        <v>10299</v>
      </c>
    </row>
    <row r="654" spans="1:8">
      <c r="A654" s="12"/>
      <c r="B654" s="12" t="str">
        <f ca="1">IFERROR(__xludf.DUMMYFUNCTION("""COMPUTED_VALUE"""),"Kate Kuray - 39524310 - Onlyfans")</f>
        <v>Kate Kuray - 39524310 - Onlyfans</v>
      </c>
      <c r="C654" s="60" t="str">
        <f ca="1">IFERROR(__xludf.DUMMYFUNCTION("""COMPUTED_VALUE"""),"https://thumbcdn.com/splash/tudr9e4iutdyla01.jpg")</f>
        <v>https://thumbcdn.com/splash/tudr9e4iutdyla01.jpg</v>
      </c>
      <c r="D654" s="6" t="s">
        <v>4917</v>
      </c>
      <c r="E654" s="63" t="str">
        <f ca="1">IFERROR(__xludf.DUMMYFUNCTION("""COMPUTED_VALUE"""),"OK")</f>
        <v>OK</v>
      </c>
      <c r="F654" s="46"/>
      <c r="G654" s="45" t="s">
        <v>10288</v>
      </c>
      <c r="H654" s="45" t="s">
        <v>10300</v>
      </c>
    </row>
    <row r="655" spans="1:8">
      <c r="A655" s="12" t="s">
        <v>10301</v>
      </c>
      <c r="B655" s="12" t="str">
        <f ca="1">IFERROR(__xludf.DUMMYFUNCTION("""COMPUTED_VALUE"""),"Kate Kuray - 42296364 - Onlyfans")</f>
        <v>Kate Kuray - 42296364 - Onlyfans</v>
      </c>
      <c r="C655" s="60" t="str">
        <f ca="1">IFERROR(__xludf.DUMMYFUNCTION("""COMPUTED_VALUE"""),"https://thumbcdn.com/splash/nrkwkbsfg8b30v7c.jpg")</f>
        <v>https://thumbcdn.com/splash/nrkwkbsfg8b30v7c.jpg</v>
      </c>
      <c r="D655" s="12" t="s">
        <v>4923</v>
      </c>
      <c r="E655" s="57" t="str">
        <f ca="1">IFERROR(__xludf.DUMMYFUNCTION("""COMPUTED_VALUE"""),"OK")</f>
        <v>OK</v>
      </c>
      <c r="F655" s="46"/>
      <c r="G655" s="45" t="s">
        <v>10288</v>
      </c>
      <c r="H655" s="45" t="s">
        <v>10302</v>
      </c>
    </row>
    <row r="656" spans="1:8">
      <c r="A656" s="59" t="s">
        <v>10303</v>
      </c>
      <c r="B656" s="12" t="str">
        <f ca="1">IFERROR(__xludf.DUMMYFUNCTION("""COMPUTED_VALUE"""),"Kate Kuray - 48954158 - Onlyfans")</f>
        <v>Kate Kuray - 48954158 - Onlyfans</v>
      </c>
      <c r="C656" s="60" t="str">
        <f ca="1">IFERROR(__xludf.DUMMYFUNCTION("""COMPUTED_VALUE"""),"https://thumbcdn.com/splash/yjcb74xsr9ls26uy.jpg")</f>
        <v>https://thumbcdn.com/splash/yjcb74xsr9ls26uy.jpg</v>
      </c>
      <c r="D656" s="12" t="s">
        <v>4935</v>
      </c>
      <c r="E656" s="57" t="str">
        <f ca="1">IFERROR(__xludf.DUMMYFUNCTION("""COMPUTED_VALUE"""),"OK")</f>
        <v>OK</v>
      </c>
      <c r="F656" s="46"/>
      <c r="G656" s="45" t="s">
        <v>10288</v>
      </c>
      <c r="H656" s="45" t="s">
        <v>10304</v>
      </c>
    </row>
    <row r="657" spans="1:8">
      <c r="A657" s="12"/>
      <c r="B657" s="12" t="str">
        <f ca="1">IFERROR(__xludf.DUMMYFUNCTION("""COMPUTED_VALUE"""),"Kate Kuray - 49501513 - Onlyfans")</f>
        <v>Kate Kuray - 49501513 - Onlyfans</v>
      </c>
      <c r="C657" s="60" t="str">
        <f ca="1">IFERROR(__xludf.DUMMYFUNCTION("""COMPUTED_VALUE"""),"https://thumbcdn.com/splash/tezn82fhzpol4olr.jpg")</f>
        <v>https://thumbcdn.com/splash/tezn82fhzpol4olr.jpg</v>
      </c>
      <c r="D657" s="6" t="s">
        <v>4939</v>
      </c>
      <c r="E657" s="63" t="str">
        <f ca="1">IFERROR(__xludf.DUMMYFUNCTION("""COMPUTED_VALUE"""),"OK")</f>
        <v>OK</v>
      </c>
      <c r="F657" s="46"/>
      <c r="G657" s="45" t="s">
        <v>10288</v>
      </c>
      <c r="H657" s="45" t="s">
        <v>10305</v>
      </c>
    </row>
    <row r="658" spans="1:8">
      <c r="A658" s="12" t="s">
        <v>10306</v>
      </c>
      <c r="B658" s="12" t="str">
        <f ca="1">IFERROR(__xludf.DUMMYFUNCTION("""COMPUTED_VALUE"""),"Kate Kuray - 50681885 - Onlyfans")</f>
        <v>Kate Kuray - 50681885 - Onlyfans</v>
      </c>
      <c r="C658" s="60" t="str">
        <f ca="1">IFERROR(__xludf.DUMMYFUNCTION("""COMPUTED_VALUE"""),"https://thumbcdn.com/splash/0gx9ewn7lw6aw6ga.jpg")</f>
        <v>https://thumbcdn.com/splash/0gx9ewn7lw6aw6ga.jpg</v>
      </c>
      <c r="D658" s="6" t="s">
        <v>4945</v>
      </c>
      <c r="E658" s="63" t="str">
        <f ca="1">IFERROR(__xludf.DUMMYFUNCTION("""COMPUTED_VALUE"""),"OK")</f>
        <v>OK</v>
      </c>
      <c r="F658" s="46"/>
      <c r="G658" s="45" t="s">
        <v>10288</v>
      </c>
      <c r="H658" s="45" t="s">
        <v>10307</v>
      </c>
    </row>
    <row r="659" spans="1:8">
      <c r="A659" s="59" t="s">
        <v>10308</v>
      </c>
      <c r="B659" s="12" t="str">
        <f ca="1">IFERROR(__xludf.DUMMYFUNCTION("""COMPUTED_VALUE"""),"Kate Kuray - 57812832 - Onlyfans")</f>
        <v>Kate Kuray - 57812832 - Onlyfans</v>
      </c>
      <c r="C659" s="60" t="str">
        <f ca="1">IFERROR(__xludf.DUMMYFUNCTION("""COMPUTED_VALUE"""),"https://thumbcdn.com/splash/gty6zdpw3ouw5yri.jpg")</f>
        <v>https://thumbcdn.com/splash/gty6zdpw3ouw5yri.jpg</v>
      </c>
      <c r="D659" s="12" t="s">
        <v>4968</v>
      </c>
      <c r="E659" s="57" t="str">
        <f ca="1">IFERROR(__xludf.DUMMYFUNCTION("""COMPUTED_VALUE"""),"OK")</f>
        <v>OK</v>
      </c>
      <c r="F659" s="46"/>
      <c r="G659" s="45" t="s">
        <v>10288</v>
      </c>
      <c r="H659" s="45" t="s">
        <v>10309</v>
      </c>
    </row>
    <row r="660" spans="1:8">
      <c r="A660" s="12"/>
      <c r="B660" s="12" t="str">
        <f ca="1">IFERROR(__xludf.DUMMYFUNCTION("""COMPUTED_VALUE"""),"Kate Kuray - 58954014 - Onlyfans")</f>
        <v>Kate Kuray - 58954014 - Onlyfans</v>
      </c>
      <c r="C660" s="60" t="str">
        <f ca="1">IFERROR(__xludf.DUMMYFUNCTION("""COMPUTED_VALUE"""),"https://thumbcdn.com/splash/6t05o7k9m7a08n1l.jpg")</f>
        <v>https://thumbcdn.com/splash/6t05o7k9m7a08n1l.jpg</v>
      </c>
      <c r="D660" s="12" t="s">
        <v>4972</v>
      </c>
      <c r="E660" s="57" t="str">
        <f ca="1">IFERROR(__xludf.DUMMYFUNCTION("""COMPUTED_VALUE"""),"OK")</f>
        <v>OK</v>
      </c>
      <c r="F660" s="46"/>
      <c r="G660" s="45" t="s">
        <v>10288</v>
      </c>
      <c r="H660" s="45" t="s">
        <v>10310</v>
      </c>
    </row>
    <row r="661" spans="1:8">
      <c r="A661" s="12" t="s">
        <v>10311</v>
      </c>
      <c r="B661" s="12" t="str">
        <f ca="1">IFERROR(__xludf.DUMMYFUNCTION("""COMPUTED_VALUE"""),"Kate Kuray - 60539133 - Onlyfans")</f>
        <v>Kate Kuray - 60539133 - Onlyfans</v>
      </c>
      <c r="C661" s="60" t="str">
        <f ca="1">IFERROR(__xludf.DUMMYFUNCTION("""COMPUTED_VALUE"""),"https://thumbcdn.com/splash/z7o8ey83kvod4umg.jpg")</f>
        <v>https://thumbcdn.com/splash/z7o8ey83kvod4umg.jpg</v>
      </c>
      <c r="D661" s="12" t="s">
        <v>4980</v>
      </c>
      <c r="E661" s="57" t="str">
        <f ca="1">IFERROR(__xludf.DUMMYFUNCTION("""COMPUTED_VALUE"""),"OK")</f>
        <v>OK</v>
      </c>
      <c r="F661" s="46"/>
      <c r="G661" s="45" t="s">
        <v>10288</v>
      </c>
      <c r="H661" s="45" t="s">
        <v>10312</v>
      </c>
    </row>
    <row r="662" spans="1:8">
      <c r="A662" s="59" t="s">
        <v>10313</v>
      </c>
      <c r="B662" s="12" t="str">
        <f ca="1">IFERROR(__xludf.DUMMYFUNCTION("""COMPUTED_VALUE"""),"Kate Kuray - 61565501 - Onlyfans")</f>
        <v>Kate Kuray - 61565501 - Onlyfans</v>
      </c>
      <c r="C662" s="60" t="str">
        <f ca="1">IFERROR(__xludf.DUMMYFUNCTION("""COMPUTED_VALUE"""),"https://thumbcdn.com/splash/sr44jf11f4y6blwu.jpg")</f>
        <v>https://thumbcdn.com/splash/sr44jf11f4y6blwu.jpg</v>
      </c>
      <c r="D662" s="12" t="s">
        <v>4984</v>
      </c>
      <c r="E662" s="57" t="str">
        <f ca="1">IFERROR(__xludf.DUMMYFUNCTION("""COMPUTED_VALUE"""),"OK")</f>
        <v>OK</v>
      </c>
      <c r="F662" s="46"/>
      <c r="G662" s="45" t="s">
        <v>10288</v>
      </c>
      <c r="H662" s="45" t="s">
        <v>10314</v>
      </c>
    </row>
    <row r="663" spans="1:8">
      <c r="A663" s="12"/>
      <c r="B663" s="12" t="str">
        <f ca="1">IFERROR(__xludf.DUMMYFUNCTION("""COMPUTED_VALUE"""),"Kate Kuray - 62037694 - Onlyfans")</f>
        <v>Kate Kuray - 62037694 - Onlyfans</v>
      </c>
      <c r="C663" s="60" t="str">
        <f ca="1">IFERROR(__xludf.DUMMYFUNCTION("""COMPUTED_VALUE"""),"https://thumbcdn.com/splash/6r8klgrhybrtp30d.jpg")</f>
        <v>https://thumbcdn.com/splash/6r8klgrhybrtp30d.jpg</v>
      </c>
      <c r="D663" s="12" t="s">
        <v>4989</v>
      </c>
      <c r="E663" s="57" t="str">
        <f ca="1">IFERROR(__xludf.DUMMYFUNCTION("""COMPUTED_VALUE"""),"OK")</f>
        <v>OK</v>
      </c>
      <c r="F663" s="46"/>
      <c r="G663" s="45" t="s">
        <v>10288</v>
      </c>
      <c r="H663" s="45" t="s">
        <v>10315</v>
      </c>
    </row>
    <row r="664" spans="1:8">
      <c r="A664" s="12" t="s">
        <v>10316</v>
      </c>
      <c r="B664" s="12" t="str">
        <f ca="1">IFERROR(__xludf.DUMMYFUNCTION("""COMPUTED_VALUE"""),"Kate Kuray - 65746870 - Onlyfans")</f>
        <v>Kate Kuray - 65746870 - Onlyfans</v>
      </c>
      <c r="C664" s="60" t="str">
        <f ca="1">IFERROR(__xludf.DUMMYFUNCTION("""COMPUTED_VALUE"""),"https://thumbcdn.com/splash/j97yeb5xowtmom72.jpg")</f>
        <v>https://thumbcdn.com/splash/j97yeb5xowtmom72.jpg</v>
      </c>
      <c r="D664" s="12" t="s">
        <v>5010</v>
      </c>
      <c r="E664" s="57" t="str">
        <f ca="1">IFERROR(__xludf.DUMMYFUNCTION("""COMPUTED_VALUE"""),"OK")</f>
        <v>OK</v>
      </c>
      <c r="F664" s="46"/>
      <c r="G664" s="45" t="s">
        <v>10288</v>
      </c>
      <c r="H664" s="45" t="s">
        <v>10317</v>
      </c>
    </row>
    <row r="665" spans="1:8">
      <c r="A665" s="59" t="s">
        <v>10318</v>
      </c>
      <c r="B665" s="12" t="str">
        <f ca="1">IFERROR(__xludf.DUMMYFUNCTION("""COMPUTED_VALUE"""),"Kate Kuray - 69887722 - Onlyfans")</f>
        <v>Kate Kuray - 69887722 - Onlyfans</v>
      </c>
      <c r="C665" s="60" t="str">
        <f ca="1">IFERROR(__xludf.DUMMYFUNCTION("""COMPUTED_VALUE"""),"https://thumbcdn.com/splash/52qcfizu6wu9cn8f.jpg")</f>
        <v>https://thumbcdn.com/splash/52qcfizu6wu9cn8f.jpg</v>
      </c>
      <c r="D665" s="12" t="s">
        <v>5025</v>
      </c>
      <c r="E665" s="57" t="str">
        <f ca="1">IFERROR(__xludf.DUMMYFUNCTION("""COMPUTED_VALUE"""),"OK")</f>
        <v>OK</v>
      </c>
      <c r="F665" s="46"/>
      <c r="G665" s="45" t="s">
        <v>10288</v>
      </c>
      <c r="H665" s="45" t="s">
        <v>10319</v>
      </c>
    </row>
    <row r="666" spans="1:8">
      <c r="A666" s="12"/>
      <c r="B666" s="12" t="str">
        <f ca="1">IFERROR(__xludf.DUMMYFUNCTION("""COMPUTED_VALUE"""),"Kate Kuray - 70244559 - Onlyfans")</f>
        <v>Kate Kuray - 70244559 - Onlyfans</v>
      </c>
      <c r="C666" s="60" t="str">
        <f ca="1">IFERROR(__xludf.DUMMYFUNCTION("""COMPUTED_VALUE"""),"https://thumbcdn.com/splash/v0763gkbntsw02b8.jpg")</f>
        <v>https://thumbcdn.com/splash/v0763gkbntsw02b8.jpg</v>
      </c>
      <c r="D666" s="12" t="s">
        <v>10320</v>
      </c>
      <c r="E666" s="57" t="str">
        <f ca="1">IFERROR(__xludf.DUMMYFUNCTION("""COMPUTED_VALUE"""),"OK")</f>
        <v>OK</v>
      </c>
      <c r="F666" s="46"/>
      <c r="G666" s="45" t="s">
        <v>10288</v>
      </c>
      <c r="H666" s="45" t="s">
        <v>10321</v>
      </c>
    </row>
    <row r="667" spans="1:8">
      <c r="A667" s="12" t="s">
        <v>10322</v>
      </c>
      <c r="B667" s="12" t="str">
        <f ca="1">IFERROR(__xludf.DUMMYFUNCTION("""COMPUTED_VALUE"""),"Kate Kuray - 73815915 - Onlyfans")</f>
        <v>Kate Kuray - 73815915 - Onlyfans</v>
      </c>
      <c r="C667" s="60" t="str">
        <f ca="1">IFERROR(__xludf.DUMMYFUNCTION("""COMPUTED_VALUE"""),"https://thumbcdn.com/splash/ygv1u0i5s6kus24k.jpg")</f>
        <v>https://thumbcdn.com/splash/ygv1u0i5s6kus24k.jpg</v>
      </c>
      <c r="D667" s="12" t="s">
        <v>5035</v>
      </c>
      <c r="E667" s="57" t="str">
        <f ca="1">IFERROR(__xludf.DUMMYFUNCTION("""COMPUTED_VALUE"""),"OK")</f>
        <v>OK</v>
      </c>
      <c r="F667" s="46"/>
      <c r="G667" s="45" t="s">
        <v>10288</v>
      </c>
      <c r="H667" s="45" t="s">
        <v>10323</v>
      </c>
    </row>
    <row r="668" spans="1:8">
      <c r="A668" s="59" t="s">
        <v>10324</v>
      </c>
      <c r="B668" s="12" t="str">
        <f ca="1">IFERROR(__xludf.DUMMYFUNCTION("""COMPUTED_VALUE"""),"Kate Kuray - 74101637 - Onlyfans")</f>
        <v>Kate Kuray - 74101637 - Onlyfans</v>
      </c>
      <c r="C668" s="60" t="str">
        <f ca="1">IFERROR(__xludf.DUMMYFUNCTION("""COMPUTED_VALUE"""),"https://thumbcdn.com/splash/halgw4rw1u9x7cdz.jpg")</f>
        <v>https://thumbcdn.com/splash/halgw4rw1u9x7cdz.jpg</v>
      </c>
      <c r="D668" s="12" t="s">
        <v>5039</v>
      </c>
      <c r="E668" s="57" t="str">
        <f ca="1">IFERROR(__xludf.DUMMYFUNCTION("""COMPUTED_VALUE"""),"OK")</f>
        <v>OK</v>
      </c>
      <c r="F668" s="46"/>
      <c r="G668" s="45" t="s">
        <v>10288</v>
      </c>
      <c r="H668" s="45" t="s">
        <v>10325</v>
      </c>
    </row>
    <row r="669" spans="1:8">
      <c r="A669" s="12"/>
      <c r="B669" s="12" t="str">
        <f ca="1">IFERROR(__xludf.DUMMYFUNCTION("""COMPUTED_VALUE"""),"Kate Kuray - 75592039 - Onlyfans")</f>
        <v>Kate Kuray - 75592039 - Onlyfans</v>
      </c>
      <c r="C669" s="60" t="str">
        <f ca="1">IFERROR(__xludf.DUMMYFUNCTION("""COMPUTED_VALUE"""),"https://thumbcdn.com/splash/l3cy02dei55rt7cl.jpg")</f>
        <v>https://thumbcdn.com/splash/l3cy02dei55rt7cl.jpg</v>
      </c>
      <c r="D669" s="12" t="s">
        <v>5043</v>
      </c>
      <c r="E669" s="57" t="str">
        <f ca="1">IFERROR(__xludf.DUMMYFUNCTION("""COMPUTED_VALUE"""),"OK")</f>
        <v>OK</v>
      </c>
      <c r="F669" s="46"/>
      <c r="G669" s="45" t="s">
        <v>10288</v>
      </c>
      <c r="H669" s="45" t="s">
        <v>10326</v>
      </c>
    </row>
    <row r="670" spans="1:8">
      <c r="A670" s="12" t="s">
        <v>10327</v>
      </c>
      <c r="B670" s="12" t="str">
        <f ca="1">IFERROR(__xludf.DUMMYFUNCTION("""COMPUTED_VALUE"""),"Kate Kuray - 76061384 - Onlyfans")</f>
        <v>Kate Kuray - 76061384 - Onlyfans</v>
      </c>
      <c r="C670" s="60" t="str">
        <f ca="1">IFERROR(__xludf.DUMMYFUNCTION("""COMPUTED_VALUE"""),"https://thumbcdn.com/splash/0hhab86aivu885t4.jpg")</f>
        <v>https://thumbcdn.com/splash/0hhab86aivu885t4.jpg</v>
      </c>
      <c r="D670" s="12" t="s">
        <v>5048</v>
      </c>
      <c r="E670" s="57" t="str">
        <f ca="1">IFERROR(__xludf.DUMMYFUNCTION("""COMPUTED_VALUE"""),"OK")</f>
        <v>OK</v>
      </c>
      <c r="F670" s="46"/>
      <c r="G670" s="45" t="s">
        <v>10288</v>
      </c>
      <c r="H670" s="45" t="s">
        <v>10328</v>
      </c>
    </row>
    <row r="671" spans="1:8">
      <c r="A671" s="59" t="s">
        <v>10329</v>
      </c>
      <c r="B671" s="12" t="str">
        <f ca="1">IFERROR(__xludf.DUMMYFUNCTION("""COMPUTED_VALUE"""),"Kate Kuray - 76518279 - Onlyfans")</f>
        <v>Kate Kuray - 76518279 - Onlyfans</v>
      </c>
      <c r="C671" s="60" t="str">
        <f ca="1">IFERROR(__xludf.DUMMYFUNCTION("""COMPUTED_VALUE"""),"https://thumbcdn.com/splash/ypa5zycjg9vxzudz.jpg")</f>
        <v>https://thumbcdn.com/splash/ypa5zycjg9vxzudz.jpg</v>
      </c>
      <c r="D671" s="6" t="s">
        <v>5054</v>
      </c>
      <c r="E671" s="63" t="str">
        <f ca="1">IFERROR(__xludf.DUMMYFUNCTION("""COMPUTED_VALUE"""),"OK")</f>
        <v>OK</v>
      </c>
      <c r="F671" s="46"/>
      <c r="G671" s="45" t="s">
        <v>10288</v>
      </c>
      <c r="H671" s="45" t="s">
        <v>10330</v>
      </c>
    </row>
    <row r="672" spans="1:8">
      <c r="A672" s="12"/>
      <c r="B672" s="12" t="str">
        <f ca="1">IFERROR(__xludf.DUMMYFUNCTION("""COMPUTED_VALUE"""),"Kate Kuray - 78674480 - Onlyfans")</f>
        <v>Kate Kuray - 78674480 - Onlyfans</v>
      </c>
      <c r="C672" s="60" t="str">
        <f ca="1">IFERROR(__xludf.DUMMYFUNCTION("""COMPUTED_VALUE"""),"https://thumbcdn.com/splash/o4ruj0lmxt5cpm2f.jpg")</f>
        <v>https://thumbcdn.com/splash/o4ruj0lmxt5cpm2f.jpg</v>
      </c>
      <c r="D672" s="6" t="s">
        <v>5069</v>
      </c>
      <c r="E672" s="63" t="str">
        <f ca="1">IFERROR(__xludf.DUMMYFUNCTION("""COMPUTED_VALUE"""),"OK")</f>
        <v>OK</v>
      </c>
      <c r="F672" s="46"/>
      <c r="G672" s="45" t="s">
        <v>10288</v>
      </c>
      <c r="H672" s="45" t="s">
        <v>10331</v>
      </c>
    </row>
    <row r="673" spans="1:8">
      <c r="A673" s="12" t="s">
        <v>10332</v>
      </c>
      <c r="B673" s="12" t="str">
        <f ca="1">IFERROR(__xludf.DUMMYFUNCTION("""COMPUTED_VALUE"""),"Kate Kuray - 87376874 - Onlyfans")</f>
        <v>Kate Kuray - 87376874 - Onlyfans</v>
      </c>
      <c r="C673" s="60" t="str">
        <f ca="1">IFERROR(__xludf.DUMMYFUNCTION("""COMPUTED_VALUE"""),"https://thumbcdn.com/splash/28esjbvhmyczdnxt.jpg")</f>
        <v>https://thumbcdn.com/splash/28esjbvhmyczdnxt.jpg</v>
      </c>
      <c r="D673" s="6" t="s">
        <v>5084</v>
      </c>
      <c r="E673" s="63" t="str">
        <f ca="1">IFERROR(__xludf.DUMMYFUNCTION("""COMPUTED_VALUE"""),"OK")</f>
        <v>OK</v>
      </c>
      <c r="F673" s="46"/>
      <c r="G673" s="45" t="s">
        <v>10288</v>
      </c>
      <c r="H673" s="45" t="s">
        <v>10333</v>
      </c>
    </row>
    <row r="674" spans="1:8">
      <c r="A674" s="59" t="s">
        <v>10334</v>
      </c>
      <c r="B674" s="12" t="str">
        <f ca="1">IFERROR(__xludf.DUMMYFUNCTION("""COMPUTED_VALUE"""),"Kate Kuray - 88073470 - Onlyfans")</f>
        <v>Kate Kuray - 88073470 - Onlyfans</v>
      </c>
      <c r="C674" s="60" t="str">
        <f ca="1">IFERROR(__xludf.DUMMYFUNCTION("""COMPUTED_VALUE"""),"https://thumbcdn.com/splash/7nr4f6hdhtkhigux.jpg")</f>
        <v>https://thumbcdn.com/splash/7nr4f6hdhtkhigux.jpg</v>
      </c>
      <c r="D674" s="12" t="s">
        <v>5088</v>
      </c>
      <c r="E674" s="57" t="str">
        <f ca="1">IFERROR(__xludf.DUMMYFUNCTION("""COMPUTED_VALUE"""),"OK")</f>
        <v>OK</v>
      </c>
      <c r="F674" s="46"/>
      <c r="G674" s="45" t="s">
        <v>10288</v>
      </c>
      <c r="H674" s="45" t="s">
        <v>10335</v>
      </c>
    </row>
    <row r="675" spans="1:8">
      <c r="A675" s="12"/>
      <c r="B675" s="12" t="str">
        <f ca="1">IFERROR(__xludf.DUMMYFUNCTION("""COMPUTED_VALUE"""),"Kate Kuray - 94016805 - Onlyfans")</f>
        <v>Kate Kuray - 94016805 - Onlyfans</v>
      </c>
      <c r="C675" s="60" t="str">
        <f ca="1">IFERROR(__xludf.DUMMYFUNCTION("""COMPUTED_VALUE"""),"https://thumbcdn.com/splash/g7s6ywkt2xoqzp06.jpg")</f>
        <v>https://thumbcdn.com/splash/g7s6ywkt2xoqzp06.jpg</v>
      </c>
      <c r="D675" s="12" t="s">
        <v>5112</v>
      </c>
      <c r="E675" s="57" t="str">
        <f ca="1">IFERROR(__xludf.DUMMYFUNCTION("""COMPUTED_VALUE"""),"OK")</f>
        <v>OK</v>
      </c>
      <c r="F675" s="46"/>
      <c r="G675" s="45" t="s">
        <v>10288</v>
      </c>
      <c r="H675" s="45" t="s">
        <v>10336</v>
      </c>
    </row>
    <row r="676" spans="1:8">
      <c r="A676" s="12" t="s">
        <v>10337</v>
      </c>
      <c r="B676" s="12" t="str">
        <f ca="1">IFERROR(__xludf.DUMMYFUNCTION("""COMPUTED_VALUE"""),"Kate Kuray - 95934097 - Onlyfans")</f>
        <v>Kate Kuray - 95934097 - Onlyfans</v>
      </c>
      <c r="C676" s="60" t="str">
        <f ca="1">IFERROR(__xludf.DUMMYFUNCTION("""COMPUTED_VALUE"""),"https://thumbcdn.com/splash/rc8fmu2truzswkk4.jpg")</f>
        <v>https://thumbcdn.com/splash/rc8fmu2truzswkk4.jpg</v>
      </c>
      <c r="D676" s="12" t="s">
        <v>5122</v>
      </c>
      <c r="E676" s="57" t="str">
        <f ca="1">IFERROR(__xludf.DUMMYFUNCTION("""COMPUTED_VALUE"""),"OK")</f>
        <v>OK</v>
      </c>
      <c r="F676" s="46"/>
      <c r="G676" s="45" t="s">
        <v>10288</v>
      </c>
      <c r="H676" s="45" t="s">
        <v>10338</v>
      </c>
    </row>
    <row r="677" spans="1:8">
      <c r="A677" s="59" t="s">
        <v>10339</v>
      </c>
      <c r="B677" s="12" t="str">
        <f ca="1">IFERROR(__xludf.DUMMYFUNCTION("""COMPUTED_VALUE"""),"Katerina - 58905159 - BackroomCastingCouch")</f>
        <v>Katerina - 58905159 - BackroomCastingCouch</v>
      </c>
      <c r="C677" s="60" t="str">
        <f ca="1">IFERROR(__xludf.DUMMYFUNCTION("""COMPUTED_VALUE"""),"https://thumbcdn.com/splash/knn09brkd43zrf5n.jpg")</f>
        <v>https://thumbcdn.com/splash/knn09brkd43zrf5n.jpg</v>
      </c>
      <c r="D677" s="12" t="s">
        <v>5140</v>
      </c>
      <c r="E677" s="57" t="str">
        <f ca="1">IFERROR(__xludf.DUMMYFUNCTION("""COMPUTED_VALUE"""),"OK")</f>
        <v>OK</v>
      </c>
      <c r="F677" s="46"/>
      <c r="G677" s="45" t="s">
        <v>10288</v>
      </c>
      <c r="H677" s="45" t="s">
        <v>10340</v>
      </c>
    </row>
    <row r="678" spans="1:8">
      <c r="A678" s="12"/>
      <c r="B678" s="12" t="str">
        <f ca="1">IFERROR(__xludf.DUMMYFUNCTION("""COMPUTED_VALUE"""),"Kayley Gunner - 14062820 - Onlyfans")</f>
        <v>Kayley Gunner - 14062820 - Onlyfans</v>
      </c>
      <c r="C678" s="60" t="str">
        <f ca="1">IFERROR(__xludf.DUMMYFUNCTION("""COMPUTED_VALUE"""),"https://thumbcdn.com/splash/ryclmzlmq0okqt3y.jpg")</f>
        <v>https://thumbcdn.com/splash/ryclmzlmq0okqt3y.jpg</v>
      </c>
      <c r="D678" s="12" t="s">
        <v>5157</v>
      </c>
      <c r="E678" s="57" t="str">
        <f ca="1">IFERROR(__xludf.DUMMYFUNCTION("""COMPUTED_VALUE"""),"OK")</f>
        <v>OK</v>
      </c>
      <c r="F678" s="46"/>
      <c r="G678" s="45" t="s">
        <v>10341</v>
      </c>
      <c r="H678" s="45" t="s">
        <v>10342</v>
      </c>
    </row>
    <row r="679" spans="1:8">
      <c r="A679" s="12" t="s">
        <v>10343</v>
      </c>
      <c r="B679" s="12" t="str">
        <f ca="1">IFERROR(__xludf.DUMMYFUNCTION("""COMPUTED_VALUE"""),"Kayley Gunner - 25869219 - XVRED - The Official Egypt")</f>
        <v>Kayley Gunner - 25869219 - XVRED - The Official Egypt</v>
      </c>
      <c r="C679" s="60" t="str">
        <f ca="1">IFERROR(__xludf.DUMMYFUNCTION("""COMPUTED_VALUE"""),"https://thumbcdn.com/splash/3oa7byqds6jsu1we.jpg")</f>
        <v>https://thumbcdn.com/splash/3oa7byqds6jsu1we.jpg</v>
      </c>
      <c r="D679" s="12" t="s">
        <v>5161</v>
      </c>
      <c r="E679" s="57" t="str">
        <f ca="1">IFERROR(__xludf.DUMMYFUNCTION("""COMPUTED_VALUE"""),"OK")</f>
        <v>OK</v>
      </c>
      <c r="F679" s="46"/>
      <c r="G679" s="45" t="s">
        <v>10344</v>
      </c>
      <c r="H679" s="45" t="s">
        <v>10345</v>
      </c>
    </row>
    <row r="680" spans="1:8">
      <c r="A680" s="59" t="s">
        <v>10346</v>
      </c>
      <c r="B680" s="12" t="str">
        <f ca="1">IFERROR(__xludf.DUMMYFUNCTION("""COMPUTED_VALUE"""),"Kayley Gunner - 26141834 - TTP")</f>
        <v>Kayley Gunner - 26141834 - TTP</v>
      </c>
      <c r="C680" s="60" t="str">
        <f ca="1">IFERROR(__xludf.DUMMYFUNCTION("""COMPUTED_VALUE"""),"https://thumbcdn.com/splash/k8w2x0bpeko7e1bm.jpg")</f>
        <v>https://thumbcdn.com/splash/k8w2x0bpeko7e1bm.jpg</v>
      </c>
      <c r="D680" s="12" t="s">
        <v>5166</v>
      </c>
      <c r="E680" s="57" t="str">
        <f ca="1">IFERROR(__xludf.DUMMYFUNCTION("""COMPUTED_VALUE"""),"OK")</f>
        <v>OK</v>
      </c>
      <c r="F680" s="46"/>
      <c r="G680" s="45" t="s">
        <v>10344</v>
      </c>
      <c r="H680" s="45" t="s">
        <v>10347</v>
      </c>
    </row>
    <row r="681" spans="1:8">
      <c r="A681" s="12"/>
      <c r="B681" s="12" t="str">
        <f ca="1">IFERROR(__xludf.DUMMYFUNCTION("""COMPUTED_VALUE"""),"Kayley Gunner - 26358645 - Onlyfans - Joanna Angel")</f>
        <v>Kayley Gunner - 26358645 - Onlyfans - Joanna Angel</v>
      </c>
      <c r="C681" s="60" t="str">
        <f ca="1">IFERROR(__xludf.DUMMYFUNCTION("""COMPUTED_VALUE"""),"https://thumbcdn.com/splash/ran88zsqtuhzaunc.jpg")</f>
        <v>https://thumbcdn.com/splash/ran88zsqtuhzaunc.jpg</v>
      </c>
      <c r="D681" s="12" t="s">
        <v>5171</v>
      </c>
      <c r="E681" s="57" t="str">
        <f ca="1">IFERROR(__xludf.DUMMYFUNCTION("""COMPUTED_VALUE"""),"OK")</f>
        <v>OK</v>
      </c>
      <c r="F681" s="46"/>
      <c r="G681" s="45" t="s">
        <v>10344</v>
      </c>
      <c r="H681" s="45" t="s">
        <v>10348</v>
      </c>
    </row>
    <row r="682" spans="1:8">
      <c r="A682" s="12" t="s">
        <v>10349</v>
      </c>
      <c r="B682" s="12" t="str">
        <f ca="1">IFERROR(__xludf.DUMMYFUNCTION("""COMPUTED_VALUE"""),"Kayley Gunner - 35561716 - Onlyfans")</f>
        <v>Kayley Gunner - 35561716 - Onlyfans</v>
      </c>
      <c r="C682" s="60" t="str">
        <f ca="1">IFERROR(__xludf.DUMMYFUNCTION("""COMPUTED_VALUE"""),"https://thumbcdn.com/splash/e9u58c32kd9u62a7.jpg")</f>
        <v>https://thumbcdn.com/splash/e9u58c32kd9u62a7.jpg</v>
      </c>
      <c r="D682" s="12" t="s">
        <v>5185</v>
      </c>
      <c r="E682" s="57" t="str">
        <f ca="1">IFERROR(__xludf.DUMMYFUNCTION("""COMPUTED_VALUE"""),"OK")</f>
        <v>OK</v>
      </c>
      <c r="F682" s="46"/>
      <c r="G682" s="45" t="s">
        <v>10344</v>
      </c>
      <c r="H682" s="45" t="s">
        <v>10350</v>
      </c>
    </row>
    <row r="683" spans="1:8">
      <c r="A683" s="59" t="s">
        <v>10351</v>
      </c>
      <c r="B683" s="12" t="str">
        <f ca="1">IFERROR(__xludf.DUMMYFUNCTION("""COMPUTED_VALUE"""),"Kayley Gunner - 36112750 - Onlyfans - Angel Youngs")</f>
        <v>Kayley Gunner - 36112750 - Onlyfans - Angel Youngs</v>
      </c>
      <c r="C683" s="60" t="str">
        <f ca="1">IFERROR(__xludf.DUMMYFUNCTION("""COMPUTED_VALUE"""),"https://thumbcdn.com/splash/a8fdnm9uhnma0478.jpg")</f>
        <v>https://thumbcdn.com/splash/a8fdnm9uhnma0478.jpg</v>
      </c>
      <c r="D683" s="16" t="s">
        <v>5190</v>
      </c>
      <c r="E683" s="57" t="str">
        <f ca="1">IFERROR(__xludf.DUMMYFUNCTION("""COMPUTED_VALUE"""),"OK")</f>
        <v>OK</v>
      </c>
      <c r="F683" s="46"/>
      <c r="G683" s="45" t="s">
        <v>10344</v>
      </c>
      <c r="H683" s="45" t="s">
        <v>10352</v>
      </c>
    </row>
    <row r="684" spans="1:8">
      <c r="A684" s="12"/>
      <c r="B684" s="12" t="str">
        <f ca="1">IFERROR(__xludf.DUMMYFUNCTION("""COMPUTED_VALUE"""),"Kayley Gunner - 37877312 - Onlyfans")</f>
        <v>Kayley Gunner - 37877312 - Onlyfans</v>
      </c>
      <c r="C684" s="60" t="str">
        <f ca="1">IFERROR(__xludf.DUMMYFUNCTION("""COMPUTED_VALUE"""),"https://thumbcdn.com/splash/jihfsoa33ict4eza.jpg")</f>
        <v>https://thumbcdn.com/splash/jihfsoa33ict4eza.jpg</v>
      </c>
      <c r="D684" s="12" t="s">
        <v>5194</v>
      </c>
      <c r="E684" s="57" t="str">
        <f ca="1">IFERROR(__xludf.DUMMYFUNCTION("""COMPUTED_VALUE"""),"OK")</f>
        <v>OK</v>
      </c>
      <c r="F684" s="46"/>
      <c r="G684" s="45" t="s">
        <v>10344</v>
      </c>
      <c r="H684" s="45" t="s">
        <v>10353</v>
      </c>
    </row>
    <row r="685" spans="1:8">
      <c r="A685" s="12" t="s">
        <v>10354</v>
      </c>
      <c r="B685" s="12" t="str">
        <f ca="1">IFERROR(__xludf.DUMMYFUNCTION("""COMPUTED_VALUE"""),"Kayley Gunner - 45117258 - Onlyfans - Savannah Bond")</f>
        <v>Kayley Gunner - 45117258 - Onlyfans - Savannah Bond</v>
      </c>
      <c r="C685" s="60" t="str">
        <f ca="1">IFERROR(__xludf.DUMMYFUNCTION("""COMPUTED_VALUE"""),"https://thumbcdn.com/splash/r73xcfda1rf2k1r0.jpg")</f>
        <v>https://thumbcdn.com/splash/r73xcfda1rf2k1r0.jpg</v>
      </c>
      <c r="D685" s="6" t="s">
        <v>5204</v>
      </c>
      <c r="E685" s="63" t="str">
        <f ca="1">IFERROR(__xludf.DUMMYFUNCTION("""COMPUTED_VALUE"""),"OK")</f>
        <v>OK</v>
      </c>
      <c r="F685" s="46"/>
      <c r="G685" s="45" t="s">
        <v>10344</v>
      </c>
      <c r="H685" s="45" t="s">
        <v>10355</v>
      </c>
    </row>
    <row r="686" spans="1:8">
      <c r="A686" s="59" t="s">
        <v>10356</v>
      </c>
      <c r="B686" s="12" t="str">
        <f ca="1">IFERROR(__xludf.DUMMYFUNCTION("""COMPUTED_VALUE"""),"Kayley Gunner - 54758611 - Onlyfans")</f>
        <v>Kayley Gunner - 54758611 - Onlyfans</v>
      </c>
      <c r="C686" s="60" t="str">
        <f ca="1">IFERROR(__xludf.DUMMYFUNCTION("""COMPUTED_VALUE"""),"https://thumbcdn.com/splash/ii4igicddz0c5bal.jpg")</f>
        <v>https://thumbcdn.com/splash/ii4igicddz0c5bal.jpg</v>
      </c>
      <c r="D686" s="12" t="s">
        <v>5209</v>
      </c>
      <c r="E686" s="57" t="str">
        <f ca="1">IFERROR(__xludf.DUMMYFUNCTION("""COMPUTED_VALUE"""),"OK")</f>
        <v>OK</v>
      </c>
      <c r="F686" s="46"/>
      <c r="G686" s="45" t="s">
        <v>10344</v>
      </c>
      <c r="H686" s="45" t="s">
        <v>10357</v>
      </c>
    </row>
    <row r="687" spans="1:8">
      <c r="A687" s="12"/>
      <c r="B687" s="12" t="str">
        <f ca="1">IFERROR(__xludf.DUMMYFUNCTION("""COMPUTED_VALUE"""),"Kayley Gunner - 71875781 - Onlyfans - Hailey Rose")</f>
        <v>Kayley Gunner - 71875781 - Onlyfans - Hailey Rose</v>
      </c>
      <c r="C687" s="60" t="str">
        <f ca="1">IFERROR(__xludf.DUMMYFUNCTION("""COMPUTED_VALUE"""),"https://thumbcdn.com/splash/pc8ms34hzfaykt8e.jpg")</f>
        <v>https://thumbcdn.com/splash/pc8ms34hzfaykt8e.jpg</v>
      </c>
      <c r="D687" s="12" t="s">
        <v>5217</v>
      </c>
      <c r="E687" s="57" t="str">
        <f ca="1">IFERROR(__xludf.DUMMYFUNCTION("""COMPUTED_VALUE"""),"OK")</f>
        <v>OK</v>
      </c>
      <c r="F687" s="46"/>
      <c r="G687" s="45" t="s">
        <v>10344</v>
      </c>
      <c r="H687" s="45" t="s">
        <v>10358</v>
      </c>
    </row>
    <row r="688" spans="1:8">
      <c r="A688" s="12" t="s">
        <v>10359</v>
      </c>
      <c r="B688" s="12" t="str">
        <f ca="1">IFERROR(__xludf.DUMMYFUNCTION("""COMPUTED_VALUE"""),"Kayley Gunner - 85945135 - Onlyfans")</f>
        <v>Kayley Gunner - 85945135 - Onlyfans</v>
      </c>
      <c r="C688" s="60" t="str">
        <f ca="1">IFERROR(__xludf.DUMMYFUNCTION("""COMPUTED_VALUE"""),"https://thumbcdn.com/splash/sqb0ytihf3ex0dj6.jpg")</f>
        <v>https://thumbcdn.com/splash/sqb0ytihf3ex0dj6.jpg</v>
      </c>
      <c r="D688" s="16" t="s">
        <v>5222</v>
      </c>
      <c r="E688" s="57" t="str">
        <f ca="1">IFERROR(__xludf.DUMMYFUNCTION("""COMPUTED_VALUE"""),"OK")</f>
        <v>OK</v>
      </c>
      <c r="F688" s="46"/>
      <c r="G688" s="45" t="s">
        <v>10344</v>
      </c>
      <c r="H688" s="45" t="s">
        <v>10360</v>
      </c>
    </row>
    <row r="689" spans="1:8">
      <c r="A689" s="59" t="s">
        <v>10361</v>
      </c>
      <c r="B689" s="12" t="str">
        <f ca="1">IFERROR(__xludf.DUMMYFUNCTION("""COMPUTED_VALUE"""),"Kayley Gunner - 86509715 - Onlyfans")</f>
        <v>Kayley Gunner - 86509715 - Onlyfans</v>
      </c>
      <c r="C689" s="60" t="str">
        <f ca="1">IFERROR(__xludf.DUMMYFUNCTION("""COMPUTED_VALUE"""),"https://thumbcdn.com/splash/jrrkl2kuwb9b886q.jpg")</f>
        <v>https://thumbcdn.com/splash/jrrkl2kuwb9b886q.jpg</v>
      </c>
      <c r="D689" s="12" t="s">
        <v>5226</v>
      </c>
      <c r="E689" s="57" t="str">
        <f ca="1">IFERROR(__xludf.DUMMYFUNCTION("""COMPUTED_VALUE"""),"OK")</f>
        <v>OK</v>
      </c>
      <c r="F689" s="46"/>
      <c r="G689" s="45" t="s">
        <v>10344</v>
      </c>
      <c r="H689" s="45" t="s">
        <v>10362</v>
      </c>
    </row>
    <row r="690" spans="1:8">
      <c r="A690" s="12"/>
      <c r="B690" s="12" t="str">
        <f ca="1">IFERROR(__xludf.DUMMYFUNCTION("""COMPUTED_VALUE"""),"Kayley Gunner - 97434221 - Onlyfans")</f>
        <v>Kayley Gunner - 97434221 - Onlyfans</v>
      </c>
      <c r="C690" s="60" t="str">
        <f ca="1">IFERROR(__xludf.DUMMYFUNCTION("""COMPUTED_VALUE"""),"https://thumbcdn.com/splash/m3okvacbdi23eesh.jpg")</f>
        <v>https://thumbcdn.com/splash/m3okvacbdi23eesh.jpg</v>
      </c>
      <c r="D690" s="12" t="s">
        <v>5231</v>
      </c>
      <c r="E690" s="57" t="str">
        <f ca="1">IFERROR(__xludf.DUMMYFUNCTION("""COMPUTED_VALUE"""),"OK")</f>
        <v>OK</v>
      </c>
      <c r="F690" s="46"/>
      <c r="G690" s="45" t="s">
        <v>10344</v>
      </c>
      <c r="H690" s="45" t="s">
        <v>10363</v>
      </c>
    </row>
    <row r="691" spans="1:8">
      <c r="A691" s="12" t="s">
        <v>10364</v>
      </c>
      <c r="B691" s="12" t="str">
        <f ca="1">IFERROR(__xludf.DUMMYFUNCTION("""COMPUTED_VALUE"""),"Kayley Gunner - 97772911 - JulesJordan")</f>
        <v>Kayley Gunner - 97772911 - JulesJordan</v>
      </c>
      <c r="C691" s="60" t="str">
        <f ca="1">IFERROR(__xludf.DUMMYFUNCTION("""COMPUTED_VALUE"""),"https://thumbcdn.com/splash/p6wh0cf7cky41n7r.jpg")</f>
        <v>https://thumbcdn.com/splash/p6wh0cf7cky41n7r.jpg</v>
      </c>
      <c r="D691" s="6" t="s">
        <v>5236</v>
      </c>
      <c r="E691" s="63" t="str">
        <f ca="1">IFERROR(__xludf.DUMMYFUNCTION("""COMPUTED_VALUE"""),"OK")</f>
        <v>OK</v>
      </c>
      <c r="F691" s="46"/>
      <c r="G691" s="45" t="s">
        <v>10344</v>
      </c>
      <c r="H691" s="45" t="s">
        <v>10365</v>
      </c>
    </row>
    <row r="692" spans="1:8">
      <c r="A692" s="59" t="s">
        <v>10366</v>
      </c>
      <c r="B692" s="12" t="str">
        <f ca="1">IFERROR(__xludf.DUMMYFUNCTION("""COMPUTED_VALUE"""),"Kelsi Monroe - 33753675 - Onlyfans")</f>
        <v>Kelsi Monroe - 33753675 - Onlyfans</v>
      </c>
      <c r="C692" s="60" t="str">
        <f ca="1">IFERROR(__xludf.DUMMYFUNCTION("""COMPUTED_VALUE"""),"https://thumbcdn.com/splash/8bm4q1745e3ij9lt.jpg")</f>
        <v>https://thumbcdn.com/splash/8bm4q1745e3ij9lt.jpg</v>
      </c>
      <c r="D692" s="6" t="s">
        <v>5241</v>
      </c>
      <c r="E692" s="63" t="str">
        <f ca="1">IFERROR(__xludf.DUMMYFUNCTION("""COMPUTED_VALUE"""),"OK")</f>
        <v>OK</v>
      </c>
      <c r="F692" s="46"/>
      <c r="G692" s="45" t="s">
        <v>10344</v>
      </c>
      <c r="H692" s="45" t="s">
        <v>10367</v>
      </c>
    </row>
    <row r="693" spans="1:8">
      <c r="A693" s="12"/>
      <c r="B693" s="12" t="str">
        <f ca="1">IFERROR(__xludf.DUMMYFUNCTION("""COMPUTED_VALUE"""),"Kendra Lust - 60592294 - Onlyfans")</f>
        <v>Kendra Lust - 60592294 - Onlyfans</v>
      </c>
      <c r="C693" s="60" t="str">
        <f ca="1">IFERROR(__xludf.DUMMYFUNCTION("""COMPUTED_VALUE"""),"https://thumbcdn.com/splash/6dgxcb6ybnnkozm6.jpg")</f>
        <v>https://thumbcdn.com/splash/6dgxcb6ybnnkozm6.jpg</v>
      </c>
      <c r="D693" s="6" t="s">
        <v>5259</v>
      </c>
      <c r="E693" s="63" t="str">
        <f ca="1">IFERROR(__xludf.DUMMYFUNCTION("""COMPUTED_VALUE"""),"OK")</f>
        <v>OK</v>
      </c>
      <c r="F693" s="46"/>
      <c r="G693" s="45" t="s">
        <v>10368</v>
      </c>
      <c r="H693" s="45" t="s">
        <v>10369</v>
      </c>
    </row>
    <row r="694" spans="1:8">
      <c r="A694" s="12" t="s">
        <v>10370</v>
      </c>
      <c r="B694" s="12" t="str">
        <f ca="1">IFERROR(__xludf.DUMMYFUNCTION("""COMPUTED_VALUE"""),"Kendra Lust - 76519840 - FH")</f>
        <v>Kendra Lust - 76519840 - FH</v>
      </c>
      <c r="C694" s="60" t="str">
        <f ca="1">IFERROR(__xludf.DUMMYFUNCTION("""COMPUTED_VALUE"""),"https://thumbcdn.com/splash/mjyecthwrtwg4lty.jpg")</f>
        <v>https://thumbcdn.com/splash/mjyecthwrtwg4lty.jpg</v>
      </c>
      <c r="D694" s="6" t="s">
        <v>5270</v>
      </c>
      <c r="E694" s="63" t="str">
        <f ca="1">IFERROR(__xludf.DUMMYFUNCTION("""COMPUTED_VALUE"""),"OK")</f>
        <v>OK</v>
      </c>
      <c r="F694" s="46"/>
      <c r="G694" s="45" t="s">
        <v>10371</v>
      </c>
      <c r="H694" s="45" t="s">
        <v>10372</v>
      </c>
    </row>
    <row r="695" spans="1:8">
      <c r="A695" s="59" t="s">
        <v>10373</v>
      </c>
      <c r="B695" s="12" t="str">
        <f ca="1">IFERROR(__xludf.DUMMYFUNCTION("""COMPUTED_VALUE"""),"Kendra Sunderland - 62925139 - Onlyfans")</f>
        <v>Kendra Sunderland - 62925139 - Onlyfans</v>
      </c>
      <c r="C695" s="60" t="str">
        <f ca="1">IFERROR(__xludf.DUMMYFUNCTION("""COMPUTED_VALUE"""),"https://thumbcdn.com/splash/9vicz8nfilacc8ha.jpg")</f>
        <v>https://thumbcdn.com/splash/9vicz8nfilacc8ha.jpg</v>
      </c>
      <c r="D695" s="12" t="s">
        <v>5283</v>
      </c>
      <c r="E695" s="57" t="str">
        <f ca="1">IFERROR(__xludf.DUMMYFUNCTION("""COMPUTED_VALUE"""),"OK")</f>
        <v>OK</v>
      </c>
      <c r="F695" s="46"/>
      <c r="G695" s="45" t="s">
        <v>10371</v>
      </c>
      <c r="H695" s="45" t="s">
        <v>10374</v>
      </c>
    </row>
    <row r="696" spans="1:8">
      <c r="A696" s="12"/>
      <c r="B696" s="12" t="str">
        <f ca="1">IFERROR(__xludf.DUMMYFUNCTION("""COMPUTED_VALUE"""),"Kianna Dior - 67759608 - Onlyfans")</f>
        <v>Kianna Dior - 67759608 - Onlyfans</v>
      </c>
      <c r="C696" s="60" t="str">
        <f ca="1">IFERROR(__xludf.DUMMYFUNCTION("""COMPUTED_VALUE"""),"https://thumbcdn.com/splash/i750hzve80rll8k6.jpg")</f>
        <v>https://thumbcdn.com/splash/i750hzve80rll8k6.jpg</v>
      </c>
      <c r="D696" s="12" t="s">
        <v>5293</v>
      </c>
      <c r="E696" s="57" t="str">
        <f ca="1">IFERROR(__xludf.DUMMYFUNCTION("""COMPUTED_VALUE"""),"OK")</f>
        <v>OK</v>
      </c>
      <c r="F696" s="46"/>
      <c r="G696" s="45" t="s">
        <v>10375</v>
      </c>
      <c r="H696" s="45" t="s">
        <v>10376</v>
      </c>
    </row>
    <row r="697" spans="1:8">
      <c r="A697" s="12" t="s">
        <v>10377</v>
      </c>
      <c r="B697" s="12" t="str">
        <f ca="1">IFERROR(__xludf.DUMMYFUNCTION("""COMPUTED_VALUE"""),"Kianna Dior - 72268823 - DarkkoTV - Hailey Rose")</f>
        <v>Kianna Dior - 72268823 - DarkkoTV - Hailey Rose</v>
      </c>
      <c r="C697" s="60" t="str">
        <f ca="1">IFERROR(__xludf.DUMMYFUNCTION("""COMPUTED_VALUE"""),"https://thumbcdn.com/splash/woqc086g1r1cvhhy.jpg")</f>
        <v>https://thumbcdn.com/splash/woqc086g1r1cvhhy.jpg</v>
      </c>
      <c r="D697" s="12" t="s">
        <v>5298</v>
      </c>
      <c r="E697" s="57" t="str">
        <f ca="1">IFERROR(__xludf.DUMMYFUNCTION("""COMPUTED_VALUE"""),"OK")</f>
        <v>OK</v>
      </c>
      <c r="F697" s="46"/>
      <c r="G697" s="45" t="s">
        <v>10378</v>
      </c>
      <c r="H697" s="45" t="s">
        <v>10379</v>
      </c>
    </row>
    <row r="698" spans="1:8">
      <c r="A698" s="59" t="s">
        <v>10380</v>
      </c>
      <c r="B698" s="12" t="str">
        <f ca="1">IFERROR(__xludf.DUMMYFUNCTION("""COMPUTED_VALUE"""),"Kimmy Granger - 30878325 - Onlyfans")</f>
        <v>Kimmy Granger - 30878325 - Onlyfans</v>
      </c>
      <c r="C698" s="60" t="str">
        <f ca="1">IFERROR(__xludf.DUMMYFUNCTION("""COMPUTED_VALUE"""),"https://thumbcdn.com/splash/ez5jlaa6sbzg4af8.jpg")</f>
        <v>https://thumbcdn.com/splash/ez5jlaa6sbzg4af8.jpg</v>
      </c>
      <c r="D698" s="6" t="s">
        <v>5308</v>
      </c>
      <c r="E698" s="63" t="str">
        <f ca="1">IFERROR(__xludf.DUMMYFUNCTION("""COMPUTED_VALUE"""),"OK")</f>
        <v>OK</v>
      </c>
      <c r="F698" s="46"/>
      <c r="G698" s="45" t="s">
        <v>10378</v>
      </c>
      <c r="H698" s="45" t="s">
        <v>10381</v>
      </c>
    </row>
    <row r="699" spans="1:8">
      <c r="A699" s="12"/>
      <c r="B699" s="12" t="str">
        <f ca="1">IFERROR(__xludf.DUMMYFUNCTION("""COMPUTED_VALUE"""),"Kinechan - 60680314 - Privacy")</f>
        <v>Kinechan - 60680314 - Privacy</v>
      </c>
      <c r="C699" s="60" t="str">
        <f ca="1">IFERROR(__xludf.DUMMYFUNCTION("""COMPUTED_VALUE"""),"https://thumbcdn.com/splash/zel27x8t100cc6w5.jpg")</f>
        <v>https://thumbcdn.com/splash/zel27x8t100cc6w5.jpg</v>
      </c>
      <c r="D699" s="6" t="s">
        <v>5318</v>
      </c>
      <c r="E699" s="63" t="str">
        <f ca="1">IFERROR(__xludf.DUMMYFUNCTION("""COMPUTED_VALUE"""),"OK")</f>
        <v>OK</v>
      </c>
      <c r="F699" s="46"/>
      <c r="G699" s="45" t="s">
        <v>10382</v>
      </c>
      <c r="H699" s="45" t="s">
        <v>10383</v>
      </c>
    </row>
    <row r="700" spans="1:8">
      <c r="A700" s="12" t="s">
        <v>10384</v>
      </c>
      <c r="B700" s="12" t="str">
        <f ca="1">IFERROR(__xludf.DUMMYFUNCTION("""COMPUTED_VALUE"""),"Lana Rhoades - 54819397 - JulesJordan")</f>
        <v>Lana Rhoades - 54819397 - JulesJordan</v>
      </c>
      <c r="C700" s="60" t="str">
        <f ca="1">IFERROR(__xludf.DUMMYFUNCTION("""COMPUTED_VALUE"""),"https://thumbcdn.com/splash/hxjnv6cmsd9bsk6t.jpg")</f>
        <v>https://thumbcdn.com/splash/hxjnv6cmsd9bsk6t.jpg</v>
      </c>
      <c r="D700" s="12" t="s">
        <v>5340</v>
      </c>
      <c r="E700" s="57" t="str">
        <f ca="1">IFERROR(__xludf.DUMMYFUNCTION("""COMPUTED_VALUE"""),"OK")</f>
        <v>OK</v>
      </c>
      <c r="F700" s="46"/>
      <c r="G700" s="45" t="s">
        <v>10385</v>
      </c>
      <c r="H700" s="45" t="s">
        <v>10386</v>
      </c>
    </row>
    <row r="701" spans="1:8">
      <c r="A701" s="59" t="s">
        <v>10387</v>
      </c>
      <c r="B701" s="12" t="str">
        <f ca="1">IFERROR(__xludf.DUMMYFUNCTION("""COMPUTED_VALUE"""),"Lana Rhoades - 88485313 - Onlyfans")</f>
        <v>Lana Rhoades - 88485313 - Onlyfans</v>
      </c>
      <c r="C701" s="60" t="str">
        <f ca="1">IFERROR(__xludf.DUMMYFUNCTION("""COMPUTED_VALUE"""),"https://thumbcdn.com/splash/u3zwtn14pxgix1dp.jpg")</f>
        <v>https://thumbcdn.com/splash/u3zwtn14pxgix1dp.jpg</v>
      </c>
      <c r="D701" s="12" t="s">
        <v>5344</v>
      </c>
      <c r="E701" s="57" t="str">
        <f ca="1">IFERROR(__xludf.DUMMYFUNCTION("""COMPUTED_VALUE"""),"OK")</f>
        <v>OK</v>
      </c>
      <c r="F701" s="46"/>
      <c r="G701" s="45" t="s">
        <v>10388</v>
      </c>
      <c r="H701" s="45" t="s">
        <v>10389</v>
      </c>
    </row>
    <row r="702" spans="1:8">
      <c r="A702" s="12"/>
      <c r="B702" s="12" t="str">
        <f ca="1">IFERROR(__xludf.DUMMYFUNCTION("""COMPUTED_VALUE"""),"LaSirena69 - 51141387 - Onlyfans")</f>
        <v>LaSirena69 - 51141387 - Onlyfans</v>
      </c>
      <c r="C702" s="60" t="str">
        <f ca="1">IFERROR(__xludf.DUMMYFUNCTION("""COMPUTED_VALUE"""),"https://thumbcdn.com/splash/j5k3rmahebqj69mz.jpg")</f>
        <v>https://thumbcdn.com/splash/j5k3rmahebqj69mz.jpg</v>
      </c>
      <c r="D702" s="12" t="s">
        <v>5384</v>
      </c>
      <c r="E702" s="57" t="str">
        <f ca="1">IFERROR(__xludf.DUMMYFUNCTION("""COMPUTED_VALUE"""),"OK")</f>
        <v>OK</v>
      </c>
      <c r="F702" s="46"/>
      <c r="G702" s="45" t="s">
        <v>10388</v>
      </c>
      <c r="H702" s="45" t="s">
        <v>10390</v>
      </c>
    </row>
    <row r="703" spans="1:8">
      <c r="A703" s="12" t="s">
        <v>10391</v>
      </c>
      <c r="B703" s="12" t="str">
        <f ca="1">IFERROR(__xludf.DUMMYFUNCTION("""COMPUTED_VALUE"""),"Lauren Phillips - 11178968 - OF")</f>
        <v>Lauren Phillips - 11178968 - OF</v>
      </c>
      <c r="C703" s="60" t="str">
        <f ca="1">IFERROR(__xludf.DUMMYFUNCTION("""COMPUTED_VALUE"""),"https://thumbcdn.com/splash/iwbytrinqpn21s4b.jpg")</f>
        <v>https://thumbcdn.com/splash/iwbytrinqpn21s4b.jpg</v>
      </c>
      <c r="D703" s="12" t="s">
        <v>5418</v>
      </c>
      <c r="E703" s="57" t="str">
        <f ca="1">IFERROR(__xludf.DUMMYFUNCTION("""COMPUTED_VALUE"""),"OK")</f>
        <v>OK</v>
      </c>
      <c r="F703" s="46"/>
      <c r="G703" s="45" t="s">
        <v>10392</v>
      </c>
      <c r="H703" s="45" t="s">
        <v>10393</v>
      </c>
    </row>
    <row r="704" spans="1:8">
      <c r="A704" s="59" t="s">
        <v>10394</v>
      </c>
      <c r="B704" s="12" t="str">
        <f ca="1">IFERROR(__xludf.DUMMYFUNCTION("""COMPUTED_VALUE"""),"Lauren Phillips - 25755399 - Camsoda")</f>
        <v>Lauren Phillips - 25755399 - Camsoda</v>
      </c>
      <c r="C704" s="60" t="str">
        <f ca="1">IFERROR(__xludf.DUMMYFUNCTION("""COMPUTED_VALUE"""),"https://thumbcdn.com/splash/6hnclb33c4muovsu.jpg")</f>
        <v>https://thumbcdn.com/splash/6hnclb33c4muovsu.jpg</v>
      </c>
      <c r="D704" s="12" t="s">
        <v>5426</v>
      </c>
      <c r="E704" s="57" t="str">
        <f ca="1">IFERROR(__xludf.DUMMYFUNCTION("""COMPUTED_VALUE"""),"OK")</f>
        <v>OK</v>
      </c>
      <c r="F704" s="46"/>
      <c r="G704" s="45" t="s">
        <v>10395</v>
      </c>
      <c r="H704" s="45" t="s">
        <v>10396</v>
      </c>
    </row>
    <row r="705" spans="1:8">
      <c r="A705" s="12"/>
      <c r="B705" s="12" t="str">
        <f ca="1">IFERROR(__xludf.DUMMYFUNCTION("""COMPUTED_VALUE"""),"Lauren Phillips - 39940867 - Chaturbate")</f>
        <v>Lauren Phillips - 39940867 - Chaturbate</v>
      </c>
      <c r="C705" s="60" t="str">
        <f ca="1">IFERROR(__xludf.DUMMYFUNCTION("""COMPUTED_VALUE"""),"https://thumbcdn.com/splash/s2mkhm2hbgo9zvsg.jpg")</f>
        <v>https://thumbcdn.com/splash/s2mkhm2hbgo9zvsg.jpg</v>
      </c>
      <c r="D705" s="12" t="s">
        <v>5431</v>
      </c>
      <c r="E705" s="57" t="str">
        <f ca="1">IFERROR(__xludf.DUMMYFUNCTION("""COMPUTED_VALUE"""),"OK")</f>
        <v>OK</v>
      </c>
      <c r="F705" s="46"/>
      <c r="G705" s="45" t="s">
        <v>10395</v>
      </c>
      <c r="H705" s="45" t="s">
        <v>10397</v>
      </c>
    </row>
    <row r="706" spans="1:8">
      <c r="A706" s="12" t="s">
        <v>10398</v>
      </c>
      <c r="B706" s="12" t="str">
        <f ca="1">IFERROR(__xludf.DUMMYFUNCTION("""COMPUTED_VALUE"""),"Lauren Phillips - 43962331 - PornWorld")</f>
        <v>Lauren Phillips - 43962331 - PornWorld</v>
      </c>
      <c r="C706" s="60" t="str">
        <f ca="1">IFERROR(__xludf.DUMMYFUNCTION("""COMPUTED_VALUE"""),"https://thumbcdn.com/splash/l6wnu79i8rp38wr4.jpg")</f>
        <v>https://thumbcdn.com/splash/l6wnu79i8rp38wr4.jpg</v>
      </c>
      <c r="D706" s="6" t="s">
        <v>5435</v>
      </c>
      <c r="E706" s="63" t="str">
        <f ca="1">IFERROR(__xludf.DUMMYFUNCTION("""COMPUTED_VALUE"""),"OK")</f>
        <v>OK</v>
      </c>
      <c r="F706" s="46"/>
      <c r="G706" s="45" t="s">
        <v>10395</v>
      </c>
      <c r="H706" s="45" t="s">
        <v>10399</v>
      </c>
    </row>
    <row r="707" spans="1:8">
      <c r="A707" s="59" t="s">
        <v>10400</v>
      </c>
      <c r="B707" s="12" t="str">
        <f ca="1">IFERROR(__xludf.DUMMYFUNCTION("""COMPUTED_VALUE"""),"Lauren Phillips - 44561077 - MTS - Molly Little")</f>
        <v>Lauren Phillips - 44561077 - MTS - Molly Little</v>
      </c>
      <c r="C707" s="60" t="str">
        <f ca="1">IFERROR(__xludf.DUMMYFUNCTION("""COMPUTED_VALUE"""),"https://thumbcdn.com/splash/h3ryg05cgh2io66u.jpg")</f>
        <v>https://thumbcdn.com/splash/h3ryg05cgh2io66u.jpg</v>
      </c>
      <c r="D707" s="6" t="s">
        <v>5441</v>
      </c>
      <c r="E707" s="63" t="str">
        <f ca="1">IFERROR(__xludf.DUMMYFUNCTION("""COMPUTED_VALUE"""),"OK")</f>
        <v>OK</v>
      </c>
      <c r="F707" s="46"/>
      <c r="G707" s="45" t="s">
        <v>10395</v>
      </c>
      <c r="H707" s="45" t="s">
        <v>10401</v>
      </c>
    </row>
    <row r="708" spans="1:8">
      <c r="A708" s="12"/>
      <c r="B708" s="12" t="str">
        <f ca="1">IFERROR(__xludf.DUMMYFUNCTION("""COMPUTED_VALUE"""),"Lauren Phillips - 56919928 - FS")</f>
        <v>Lauren Phillips - 56919928 - FS</v>
      </c>
      <c r="C708" s="60" t="str">
        <f ca="1">IFERROR(__xludf.DUMMYFUNCTION("""COMPUTED_VALUE"""),"https://thumbcdn.com/splash/03qiw5cln4l5jbt6.jpg")</f>
        <v>https://thumbcdn.com/splash/03qiw5cln4l5jbt6.jpg</v>
      </c>
      <c r="D708" s="12" t="s">
        <v>5450</v>
      </c>
      <c r="E708" s="57" t="str">
        <f ca="1">IFERROR(__xludf.DUMMYFUNCTION("""COMPUTED_VALUE"""),"OK")</f>
        <v>OK</v>
      </c>
      <c r="F708" s="46"/>
      <c r="G708" s="45" t="s">
        <v>10395</v>
      </c>
      <c r="H708" s="45" t="s">
        <v>10402</v>
      </c>
    </row>
    <row r="709" spans="1:8">
      <c r="A709" s="12" t="s">
        <v>10403</v>
      </c>
      <c r="B709" s="12" t="str">
        <f ca="1">IFERROR(__xludf.DUMMYFUNCTION("""COMPUTED_VALUE"""),"Lauren Phillips - 59454267 - Milfy")</f>
        <v>Lauren Phillips - 59454267 - Milfy</v>
      </c>
      <c r="C709" s="60" t="str">
        <f ca="1">IFERROR(__xludf.DUMMYFUNCTION("""COMPUTED_VALUE"""),"https://thumbcdn.com/splash/paoizlmqv3zh1ofm.jpg")</f>
        <v>https://thumbcdn.com/splash/paoizlmqv3zh1ofm.jpg</v>
      </c>
      <c r="D709" s="12" t="s">
        <v>5454</v>
      </c>
      <c r="E709" s="57" t="str">
        <f ca="1">IFERROR(__xludf.DUMMYFUNCTION("""COMPUTED_VALUE"""),"OK")</f>
        <v>OK</v>
      </c>
      <c r="F709" s="46"/>
      <c r="G709" s="45" t="s">
        <v>10395</v>
      </c>
      <c r="H709" s="45" t="s">
        <v>10404</v>
      </c>
    </row>
    <row r="710" spans="1:8">
      <c r="A710" s="59" t="s">
        <v>10405</v>
      </c>
      <c r="B710" s="12" t="str">
        <f ca="1">IFERROR(__xludf.DUMMYFUNCTION("""COMPUTED_VALUE"""),"Lauren Phillips - 61130047 - MWTB")</f>
        <v>Lauren Phillips - 61130047 - MWTB</v>
      </c>
      <c r="C710" s="60" t="str">
        <f ca="1">IFERROR(__xludf.DUMMYFUNCTION("""COMPUTED_VALUE"""),"https://thumbcdn.com/splash/2zxpmz4lgr9hgo2d.jpg")</f>
        <v>https://thumbcdn.com/splash/2zxpmz4lgr9hgo2d.jpg</v>
      </c>
      <c r="D710" s="6" t="s">
        <v>5463</v>
      </c>
      <c r="E710" s="63" t="str">
        <f ca="1">IFERROR(__xludf.DUMMYFUNCTION("""COMPUTED_VALUE"""),"OK")</f>
        <v>OK</v>
      </c>
      <c r="F710" s="46"/>
      <c r="G710" s="45" t="s">
        <v>10395</v>
      </c>
      <c r="H710" s="45" t="s">
        <v>10406</v>
      </c>
    </row>
    <row r="711" spans="1:8">
      <c r="A711" s="12"/>
      <c r="B711" s="12" t="str">
        <f ca="1">IFERROR(__xludf.DUMMYFUNCTION("""COMPUTED_VALUE"""),"Lauren Phillips - 82716686 - Onlyfans")</f>
        <v>Lauren Phillips - 82716686 - Onlyfans</v>
      </c>
      <c r="C711" s="60" t="str">
        <f ca="1">IFERROR(__xludf.DUMMYFUNCTION("""COMPUTED_VALUE"""),"https://thumbcdn.com/splash/q1q4o4x85471ihqo.jpg")</f>
        <v>https://thumbcdn.com/splash/q1q4o4x85471ihqo.jpg</v>
      </c>
      <c r="D711" s="12" t="s">
        <v>5472</v>
      </c>
      <c r="E711" s="57" t="str">
        <f ca="1">IFERROR(__xludf.DUMMYFUNCTION("""COMPUTED_VALUE"""),"OK")</f>
        <v>OK</v>
      </c>
      <c r="F711" s="46"/>
      <c r="G711" s="45" t="s">
        <v>10395</v>
      </c>
      <c r="H711" s="45" t="s">
        <v>10407</v>
      </c>
    </row>
    <row r="712" spans="1:8">
      <c r="A712" s="12" t="s">
        <v>10408</v>
      </c>
      <c r="B712" s="12" t="str">
        <f ca="1">IFERROR(__xludf.DUMMYFUNCTION("""COMPUTED_VALUE"""),"Lauren Phillips - 88465112 - MF")</f>
        <v>Lauren Phillips - 88465112 - MF</v>
      </c>
      <c r="C712" s="60" t="str">
        <f ca="1">IFERROR(__xludf.DUMMYFUNCTION("""COMPUTED_VALUE"""),"https://thumbcdn.com/splash/3xuw95b0cv4oncsr.jpg")</f>
        <v>https://thumbcdn.com/splash/3xuw95b0cv4oncsr.jpg</v>
      </c>
      <c r="D712" s="12" t="s">
        <v>5482</v>
      </c>
      <c r="E712" s="57" t="str">
        <f ca="1">IFERROR(__xludf.DUMMYFUNCTION("""COMPUTED_VALUE"""),"OK")</f>
        <v>OK</v>
      </c>
      <c r="F712" s="46"/>
      <c r="G712" s="45" t="s">
        <v>10395</v>
      </c>
      <c r="H712" s="45" t="s">
        <v>10409</v>
      </c>
    </row>
    <row r="713" spans="1:8">
      <c r="A713" s="59" t="s">
        <v>10410</v>
      </c>
      <c r="B713" s="12" t="str">
        <f ca="1">IFERROR(__xludf.DUMMYFUNCTION("""COMPUTED_VALUE"""),"Lauren Phillips - 92862302 - Mylf")</f>
        <v>Lauren Phillips - 92862302 - Mylf</v>
      </c>
      <c r="C713" s="60" t="str">
        <f ca="1">IFERROR(__xludf.DUMMYFUNCTION("""COMPUTED_VALUE"""),"https://thumbcdn.com/splash/1c9193xd9rhtsz95.jpg")</f>
        <v>https://thumbcdn.com/splash/1c9193xd9rhtsz95.jpg</v>
      </c>
      <c r="D713" s="6" t="s">
        <v>5486</v>
      </c>
      <c r="E713" s="63" t="str">
        <f ca="1">IFERROR(__xludf.DUMMYFUNCTION("""COMPUTED_VALUE"""),"OK")</f>
        <v>OK</v>
      </c>
      <c r="F713" s="46"/>
      <c r="G713" s="45" t="s">
        <v>10395</v>
      </c>
      <c r="H713" s="45" t="s">
        <v>10411</v>
      </c>
    </row>
    <row r="714" spans="1:8">
      <c r="A714" s="12"/>
      <c r="B714" s="12" t="str">
        <f ca="1">IFERROR(__xludf.DUMMYFUNCTION("""COMPUTED_VALUE"""),"Lauren Phillips - 99942714 - OF")</f>
        <v>Lauren Phillips - 99942714 - OF</v>
      </c>
      <c r="C714" s="60" t="str">
        <f ca="1">IFERROR(__xludf.DUMMYFUNCTION("""COMPUTED_VALUE"""),"https://thumbcdn.com/splash/6kayceuq5e14irrf.jpg")</f>
        <v>https://thumbcdn.com/splash/6kayceuq5e14irrf.jpg</v>
      </c>
      <c r="D714" s="12" t="s">
        <v>5498</v>
      </c>
      <c r="E714" s="57" t="str">
        <f ca="1">IFERROR(__xludf.DUMMYFUNCTION("""COMPUTED_VALUE"""),"OK")</f>
        <v>OK</v>
      </c>
      <c r="F714" s="46"/>
      <c r="G714" s="45" t="s">
        <v>10395</v>
      </c>
      <c r="H714" s="45" t="s">
        <v>10412</v>
      </c>
    </row>
    <row r="715" spans="1:8">
      <c r="A715" s="12" t="s">
        <v>10413</v>
      </c>
      <c r="B715" s="12" t="str">
        <f ca="1">IFERROR(__xludf.DUMMYFUNCTION("""COMPUTED_VALUE"""),"Lena Paul - 21328114 - Onlyfans")</f>
        <v>Lena Paul - 21328114 - Onlyfans</v>
      </c>
      <c r="C715" s="60" t="str">
        <f ca="1">IFERROR(__xludf.DUMMYFUNCTION("""COMPUTED_VALUE"""),"https://thumbcdn.com/splash/thd6n65hvnhp982g.jpg")</f>
        <v>https://thumbcdn.com/splash/thd6n65hvnhp982g.jpg</v>
      </c>
      <c r="D715" s="12" t="s">
        <v>5502</v>
      </c>
      <c r="E715" s="57" t="str">
        <f ca="1">IFERROR(__xludf.DUMMYFUNCTION("""COMPUTED_VALUE"""),"OK")</f>
        <v>OK</v>
      </c>
      <c r="F715" s="46"/>
      <c r="G715" s="45" t="s">
        <v>10395</v>
      </c>
      <c r="H715" s="45" t="s">
        <v>10414</v>
      </c>
    </row>
    <row r="716" spans="1:8">
      <c r="A716" s="59" t="s">
        <v>10415</v>
      </c>
      <c r="B716" s="12" t="str">
        <f ca="1">IFERROR(__xludf.DUMMYFUNCTION("""COMPUTED_VALUE"""),"Lena Paul - 27997914 - Onlyfans")</f>
        <v>Lena Paul - 27997914 - Onlyfans</v>
      </c>
      <c r="C716" s="60" t="str">
        <f ca="1">IFERROR(__xludf.DUMMYFUNCTION("""COMPUTED_VALUE"""),"https://thumbcdn.com/splash/yrq55873jz4r1fxr.jpg")</f>
        <v>https://thumbcdn.com/splash/yrq55873jz4r1fxr.jpg</v>
      </c>
      <c r="D716" s="12" t="s">
        <v>5506</v>
      </c>
      <c r="E716" s="57" t="str">
        <f ca="1">IFERROR(__xludf.DUMMYFUNCTION("""COMPUTED_VALUE"""),"OK")</f>
        <v>OK</v>
      </c>
      <c r="F716" s="46"/>
      <c r="G716" s="45" t="s">
        <v>10416</v>
      </c>
      <c r="H716" s="45" t="s">
        <v>10417</v>
      </c>
    </row>
    <row r="717" spans="1:8">
      <c r="A717" s="12"/>
      <c r="B717" s="12" t="str">
        <f ca="1">IFERROR(__xludf.DUMMYFUNCTION("""COMPUTED_VALUE"""),"Lena Paul - 30756435 - Onlyfans")</f>
        <v>Lena Paul - 30756435 - Onlyfans</v>
      </c>
      <c r="C717" s="60" t="str">
        <f ca="1">IFERROR(__xludf.DUMMYFUNCTION("""COMPUTED_VALUE"""),"https://thumbcdn.com/splash/2rf166nvouyk2s27.jpg")</f>
        <v>https://thumbcdn.com/splash/2rf166nvouyk2s27.jpg</v>
      </c>
      <c r="D717" s="6" t="s">
        <v>5511</v>
      </c>
      <c r="E717" s="63" t="str">
        <f ca="1">IFERROR(__xludf.DUMMYFUNCTION("""COMPUTED_VALUE"""),"OK")</f>
        <v>OK</v>
      </c>
      <c r="F717" s="46"/>
      <c r="G717" s="45" t="s">
        <v>10416</v>
      </c>
      <c r="H717" s="45" t="s">
        <v>10418</v>
      </c>
    </row>
    <row r="718" spans="1:8">
      <c r="A718" s="12" t="s">
        <v>10419</v>
      </c>
      <c r="B718" s="12" t="str">
        <f ca="1">IFERROR(__xludf.DUMMYFUNCTION("""COMPUTED_VALUE"""),"Lena Paul - 32115319 - Onlyfans - Angel Youngs")</f>
        <v>Lena Paul - 32115319 - Onlyfans - Angel Youngs</v>
      </c>
      <c r="C718" s="60" t="str">
        <f ca="1">IFERROR(__xludf.DUMMYFUNCTION("""COMPUTED_VALUE"""),"https://thumbcdn.com/splash/rzhwl2a3vkxcemoe.jpg")</f>
        <v>https://thumbcdn.com/splash/rzhwl2a3vkxcemoe.jpg</v>
      </c>
      <c r="D718" s="12" t="s">
        <v>5520</v>
      </c>
      <c r="E718" s="57" t="str">
        <f ca="1">IFERROR(__xludf.DUMMYFUNCTION("""COMPUTED_VALUE"""),"OK")</f>
        <v>OK</v>
      </c>
      <c r="F718" s="46"/>
      <c r="G718" s="45" t="s">
        <v>10416</v>
      </c>
      <c r="H718" s="45" t="s">
        <v>10420</v>
      </c>
    </row>
    <row r="719" spans="1:8">
      <c r="A719" s="59" t="s">
        <v>10421</v>
      </c>
      <c r="B719" s="12" t="str">
        <f ca="1">IFERROR(__xludf.DUMMYFUNCTION("""COMPUTED_VALUE"""),"Lena Paul - 41030276 - Onlyfans - Susie Stellar")</f>
        <v>Lena Paul - 41030276 - Onlyfans - Susie Stellar</v>
      </c>
      <c r="C719" s="60" t="str">
        <f ca="1">IFERROR(__xludf.DUMMYFUNCTION("""COMPUTED_VALUE"""),"https://thumbcdn.com/splash/0ybeniaxv17tlue3.jpg")</f>
        <v>https://thumbcdn.com/splash/0ybeniaxv17tlue3.jpg</v>
      </c>
      <c r="D719" s="12" t="s">
        <v>5531</v>
      </c>
      <c r="E719" s="57" t="str">
        <f ca="1">IFERROR(__xludf.DUMMYFUNCTION("""COMPUTED_VALUE"""),"OK")</f>
        <v>OK</v>
      </c>
      <c r="F719" s="46"/>
      <c r="G719" s="45" t="s">
        <v>10416</v>
      </c>
      <c r="H719" s="45" t="s">
        <v>10422</v>
      </c>
    </row>
    <row r="720" spans="1:8">
      <c r="A720" s="12"/>
      <c r="B720" s="12" t="str">
        <f ca="1">IFERROR(__xludf.DUMMYFUNCTION("""COMPUTED_VALUE"""),"Lena Paul - 57956824 - MLR")</f>
        <v>Lena Paul - 57956824 - MLR</v>
      </c>
      <c r="C720" s="60" t="str">
        <f ca="1">IFERROR(__xludf.DUMMYFUNCTION("""COMPUTED_VALUE"""),"https://thumbcdn.com/splash/a8odr2uhv3434yg4.jpg")</f>
        <v>https://thumbcdn.com/splash/a8odr2uhv3434yg4.jpg</v>
      </c>
      <c r="D720" s="12" t="s">
        <v>5546</v>
      </c>
      <c r="E720" s="57" t="str">
        <f ca="1">IFERROR(__xludf.DUMMYFUNCTION("""COMPUTED_VALUE"""),"OK")</f>
        <v>OK</v>
      </c>
      <c r="F720" s="46"/>
      <c r="G720" s="45" t="s">
        <v>10416</v>
      </c>
      <c r="H720" s="45" t="s">
        <v>10423</v>
      </c>
    </row>
    <row r="721" spans="1:8">
      <c r="A721" s="12" t="s">
        <v>10424</v>
      </c>
      <c r="B721" s="12" t="str">
        <f ca="1">IFERROR(__xludf.DUMMYFUNCTION("""COMPUTED_VALUE"""),"Lena Paul - 63024767 - Onlyfans")</f>
        <v>Lena Paul - 63024767 - Onlyfans</v>
      </c>
      <c r="C721" s="60" t="str">
        <f ca="1">IFERROR(__xludf.DUMMYFUNCTION("""COMPUTED_VALUE"""),"https://thumbcdn.com/splash/akpovleubinrcs1l.jpg")</f>
        <v>https://thumbcdn.com/splash/akpovleubinrcs1l.jpg</v>
      </c>
      <c r="D721" s="12" t="s">
        <v>5556</v>
      </c>
      <c r="E721" s="57" t="str">
        <f ca="1">IFERROR(__xludf.DUMMYFUNCTION("""COMPUTED_VALUE"""),"OK")</f>
        <v>OK</v>
      </c>
      <c r="F721" s="46"/>
      <c r="G721" s="45" t="s">
        <v>10416</v>
      </c>
      <c r="H721" s="45" t="s">
        <v>10425</v>
      </c>
    </row>
    <row r="722" spans="1:8">
      <c r="A722" s="59" t="s">
        <v>10426</v>
      </c>
      <c r="B722" s="12" t="str">
        <f ca="1">IFERROR(__xludf.DUMMYFUNCTION("""COMPUTED_VALUE"""),"Lena Paul - 69129060 - Onlyfans")</f>
        <v>Lena Paul - 69129060 - Onlyfans</v>
      </c>
      <c r="C722" s="60" t="str">
        <f ca="1">IFERROR(__xludf.DUMMYFUNCTION("""COMPUTED_VALUE"""),"https://thumbcdn.com/splash/iojnfde5q9jhu6jk.jpg")</f>
        <v>https://thumbcdn.com/splash/iojnfde5q9jhu6jk.jpg</v>
      </c>
      <c r="D722" s="12" t="s">
        <v>5561</v>
      </c>
      <c r="E722" s="57" t="str">
        <f ca="1">IFERROR(__xludf.DUMMYFUNCTION("""COMPUTED_VALUE"""),"OK")</f>
        <v>OK</v>
      </c>
      <c r="F722" s="46"/>
      <c r="G722" s="45" t="s">
        <v>10416</v>
      </c>
      <c r="H722" s="45" t="s">
        <v>10427</v>
      </c>
    </row>
    <row r="723" spans="1:8">
      <c r="A723" s="12"/>
      <c r="B723" s="12" t="str">
        <f ca="1">IFERROR(__xludf.DUMMYFUNCTION("""COMPUTED_VALUE"""),"Lena Paul - 84320153 - Onlyfans")</f>
        <v>Lena Paul - 84320153 - Onlyfans</v>
      </c>
      <c r="C723" s="60" t="str">
        <f ca="1">IFERROR(__xludf.DUMMYFUNCTION("""COMPUTED_VALUE"""),"https://thumbcdn.com/splash/m4jm9iuql041pbz3.jpg")</f>
        <v>https://thumbcdn.com/splash/m4jm9iuql041pbz3.jpg</v>
      </c>
      <c r="D723" s="12" t="s">
        <v>5569</v>
      </c>
      <c r="E723" s="57" t="str">
        <f ca="1">IFERROR(__xludf.DUMMYFUNCTION("""COMPUTED_VALUE"""),"OK")</f>
        <v>OK</v>
      </c>
      <c r="F723" s="46"/>
      <c r="G723" s="45" t="s">
        <v>10416</v>
      </c>
      <c r="H723" s="45" t="s">
        <v>10428</v>
      </c>
    </row>
    <row r="724" spans="1:8">
      <c r="A724" s="12" t="s">
        <v>10429</v>
      </c>
      <c r="B724" s="12" t="str">
        <f ca="1">IFERROR(__xludf.DUMMYFUNCTION("""COMPUTED_VALUE"""),"Lena Polanski - 13773574 - Onlyfans")</f>
        <v>Lena Polanski - 13773574 - Onlyfans</v>
      </c>
      <c r="C724" s="60" t="str">
        <f ca="1">IFERROR(__xludf.DUMMYFUNCTION("""COMPUTED_VALUE"""),"https://thumbcdn.com/splash/xf7zd9f8f67izzsh.jpg")</f>
        <v>https://thumbcdn.com/splash/xf7zd9f8f67izzsh.jpg</v>
      </c>
      <c r="D724" s="12" t="s">
        <v>5589</v>
      </c>
      <c r="E724" s="57" t="str">
        <f ca="1">IFERROR(__xludf.DUMMYFUNCTION("""COMPUTED_VALUE"""),"OK")</f>
        <v>OK</v>
      </c>
      <c r="F724" s="46"/>
      <c r="G724" s="45" t="s">
        <v>10416</v>
      </c>
      <c r="H724" s="45" t="s">
        <v>10430</v>
      </c>
    </row>
    <row r="725" spans="1:8">
      <c r="A725" s="59" t="s">
        <v>10431</v>
      </c>
      <c r="B725" s="12" t="str">
        <f ca="1">IFERROR(__xludf.DUMMYFUNCTION("""COMPUTED_VALUE"""),"Lena Polanski - 38748871 - Onlyfans")</f>
        <v>Lena Polanski - 38748871 - Onlyfans</v>
      </c>
      <c r="C725" s="60" t="str">
        <f ca="1">IFERROR(__xludf.DUMMYFUNCTION("""COMPUTED_VALUE"""),"https://thumbcdn.com/splash/viea47lkcp7gp7az.jpg")</f>
        <v>https://thumbcdn.com/splash/viea47lkcp7gp7az.jpg</v>
      </c>
      <c r="D725" s="12" t="s">
        <v>5599</v>
      </c>
      <c r="E725" s="57" t="str">
        <f ca="1">IFERROR(__xludf.DUMMYFUNCTION("""COMPUTED_VALUE"""),"OK")</f>
        <v>OK</v>
      </c>
      <c r="F725" s="46"/>
      <c r="G725" s="45" t="s">
        <v>10432</v>
      </c>
      <c r="H725" s="45" t="s">
        <v>10433</v>
      </c>
    </row>
    <row r="726" spans="1:8">
      <c r="A726" s="12"/>
      <c r="B726" s="12" t="str">
        <f ca="1">IFERROR(__xludf.DUMMYFUNCTION("""COMPUTED_VALUE"""),"Lena the plug - 15985766 - Onlyfans")</f>
        <v>Lena the plug - 15985766 - Onlyfans</v>
      </c>
      <c r="C726" s="60" t="str">
        <f ca="1">IFERROR(__xludf.DUMMYFUNCTION("""COMPUTED_VALUE"""),"https://thumbcdn.com/splash/q4rhux8s5d7o3ez7.jpg")</f>
        <v>https://thumbcdn.com/splash/q4rhux8s5d7o3ez7.jpg</v>
      </c>
      <c r="D726" s="12" t="s">
        <v>5629</v>
      </c>
      <c r="E726" s="57" t="str">
        <f ca="1">IFERROR(__xludf.DUMMYFUNCTION("""COMPUTED_VALUE"""),"OK")</f>
        <v>OK</v>
      </c>
      <c r="F726" s="46"/>
      <c r="G726" s="45" t="s">
        <v>10432</v>
      </c>
      <c r="H726" s="45" t="s">
        <v>10434</v>
      </c>
    </row>
    <row r="727" spans="1:8">
      <c r="A727" s="12" t="s">
        <v>10435</v>
      </c>
      <c r="B727" s="12" t="str">
        <f ca="1">IFERROR(__xludf.DUMMYFUNCTION("""COMPUTED_VALUE"""),"Lena the plug - 18963060 - Onlyfans - Sinatra Monroe")</f>
        <v>Lena the plug - 18963060 - Onlyfans - Sinatra Monroe</v>
      </c>
      <c r="C727" s="60" t="str">
        <f ca="1">IFERROR(__xludf.DUMMYFUNCTION("""COMPUTED_VALUE"""),"https://thumbcdn.com/splash/smwq08m4p9n7lz78.jpg")</f>
        <v>https://thumbcdn.com/splash/smwq08m4p9n7lz78.jpg</v>
      </c>
      <c r="D727" s="6" t="s">
        <v>5633</v>
      </c>
      <c r="E727" s="63" t="str">
        <f ca="1">IFERROR(__xludf.DUMMYFUNCTION("""COMPUTED_VALUE"""),"OK")</f>
        <v>OK</v>
      </c>
      <c r="F727" s="46"/>
      <c r="G727" s="45" t="s">
        <v>10436</v>
      </c>
      <c r="H727" s="45" t="s">
        <v>10437</v>
      </c>
    </row>
    <row r="728" spans="1:8">
      <c r="A728" s="59" t="s">
        <v>10438</v>
      </c>
      <c r="B728" s="12" t="str">
        <f ca="1">IFERROR(__xludf.DUMMYFUNCTION("""COMPUTED_VALUE"""),"Lena the plug - 29767304 - Onlyfans")</f>
        <v>Lena the plug - 29767304 - Onlyfans</v>
      </c>
      <c r="C728" s="60" t="str">
        <f ca="1">IFERROR(__xludf.DUMMYFUNCTION("""COMPUTED_VALUE"""),"https://thumbcdn.com/splash/uf819or1ezzp7lgr.jpg")</f>
        <v>https://thumbcdn.com/splash/uf819or1ezzp7lgr.jpg</v>
      </c>
      <c r="D728" s="12" t="s">
        <v>5639</v>
      </c>
      <c r="E728" s="57" t="str">
        <f ca="1">IFERROR(__xludf.DUMMYFUNCTION("""COMPUTED_VALUE"""),"OK")</f>
        <v>OK</v>
      </c>
      <c r="F728" s="46"/>
      <c r="G728" s="45" t="s">
        <v>10436</v>
      </c>
      <c r="H728" s="45" t="s">
        <v>10439</v>
      </c>
    </row>
    <row r="729" spans="1:8">
      <c r="A729" s="12"/>
      <c r="B729" s="12" t="str">
        <f ca="1">IFERROR(__xludf.DUMMYFUNCTION("""COMPUTED_VALUE"""),"Lena the plug - 35146123 - Onlyfans - Jewelz Blu")</f>
        <v>Lena the plug - 35146123 - Onlyfans - Jewelz Blu</v>
      </c>
      <c r="C729" s="60" t="str">
        <f ca="1">IFERROR(__xludf.DUMMYFUNCTION("""COMPUTED_VALUE"""),"https://thumbcdn.com/splash/jott6n0mjzkxxw13.jpg")</f>
        <v>https://thumbcdn.com/splash/jott6n0mjzkxxw13.jpg</v>
      </c>
      <c r="D729" s="12" t="s">
        <v>5643</v>
      </c>
      <c r="E729" s="57" t="str">
        <f ca="1">IFERROR(__xludf.DUMMYFUNCTION("""COMPUTED_VALUE"""),"OK")</f>
        <v>OK</v>
      </c>
      <c r="F729" s="46"/>
      <c r="G729" s="45" t="s">
        <v>10436</v>
      </c>
      <c r="H729" s="45" t="s">
        <v>10440</v>
      </c>
    </row>
    <row r="730" spans="1:8">
      <c r="A730" s="12" t="s">
        <v>10441</v>
      </c>
      <c r="B730" s="12" t="str">
        <f ca="1">IFERROR(__xludf.DUMMYFUNCTION("""COMPUTED_VALUE"""),"Lena the plug - 44691980 - Onlyfans")</f>
        <v>Lena the plug - 44691980 - Onlyfans</v>
      </c>
      <c r="C730" s="60" t="str">
        <f ca="1">IFERROR(__xludf.DUMMYFUNCTION("""COMPUTED_VALUE"""),"https://thumbcdn.com/splash/7a7ee8qofhfzksst.jpg")</f>
        <v>https://thumbcdn.com/splash/7a7ee8qofhfzksst.jpg</v>
      </c>
      <c r="D730" s="6" t="s">
        <v>5647</v>
      </c>
      <c r="E730" s="63" t="str">
        <f ca="1">IFERROR(__xludf.DUMMYFUNCTION("""COMPUTED_VALUE"""),"OK")</f>
        <v>OK</v>
      </c>
      <c r="F730" s="46"/>
      <c r="G730" s="45" t="s">
        <v>10436</v>
      </c>
      <c r="H730" s="45" t="s">
        <v>10442</v>
      </c>
    </row>
    <row r="731" spans="1:8">
      <c r="A731" s="59" t="s">
        <v>10443</v>
      </c>
      <c r="B731" s="12" t="str">
        <f ca="1">IFERROR(__xludf.DUMMYFUNCTION("""COMPUTED_VALUE"""),"Lena the plug - 62542301 - Onlyfans")</f>
        <v>Lena the plug - 62542301 - Onlyfans</v>
      </c>
      <c r="C731" s="60" t="str">
        <f ca="1">IFERROR(__xludf.DUMMYFUNCTION("""COMPUTED_VALUE"""),"https://thumbcdn.com/splash/cjswckk32oqxvi8d.jpg")</f>
        <v>https://thumbcdn.com/splash/cjswckk32oqxvi8d.jpg</v>
      </c>
      <c r="D731" s="12" t="s">
        <v>5656</v>
      </c>
      <c r="E731" s="57" t="str">
        <f ca="1">IFERROR(__xludf.DUMMYFUNCTION("""COMPUTED_VALUE"""),"OK")</f>
        <v>OK</v>
      </c>
      <c r="F731" s="46"/>
      <c r="G731" s="45" t="s">
        <v>10436</v>
      </c>
      <c r="H731" s="45" t="s">
        <v>10444</v>
      </c>
    </row>
    <row r="732" spans="1:8">
      <c r="A732" s="12"/>
      <c r="B732" s="12" t="str">
        <f ca="1">IFERROR(__xludf.DUMMYFUNCTION("""COMPUTED_VALUE"""),"Lena the plug - 74722268 - Onlyfans")</f>
        <v>Lena the plug - 74722268 - Onlyfans</v>
      </c>
      <c r="C732" s="60" t="str">
        <f ca="1">IFERROR(__xludf.DUMMYFUNCTION("""COMPUTED_VALUE"""),"https://thumbcdn.com/splash/eic5uj132eehb8bq.jpg")</f>
        <v>https://thumbcdn.com/splash/eic5uj132eehb8bq.jpg</v>
      </c>
      <c r="D732" s="12" t="s">
        <v>5660</v>
      </c>
      <c r="E732" s="57" t="str">
        <f ca="1">IFERROR(__xludf.DUMMYFUNCTION("""COMPUTED_VALUE"""),"OK")</f>
        <v>OK</v>
      </c>
      <c r="F732" s="46"/>
      <c r="G732" s="45" t="s">
        <v>10436</v>
      </c>
      <c r="H732" s="45" t="s">
        <v>10445</v>
      </c>
    </row>
    <row r="733" spans="1:8">
      <c r="A733" s="12" t="s">
        <v>10446</v>
      </c>
      <c r="B733" s="12" t="str">
        <f ca="1">IFERROR(__xludf.DUMMYFUNCTION("""COMPUTED_VALUE"""),"Lena the plug - 75484337 - Onlyfans")</f>
        <v>Lena the plug - 75484337 - Onlyfans</v>
      </c>
      <c r="C733" s="60" t="str">
        <f ca="1">IFERROR(__xludf.DUMMYFUNCTION("""COMPUTED_VALUE"""),"https://thumbcdn.com/splash/hgh9sd0w92oymx13.jpg")</f>
        <v>https://thumbcdn.com/splash/hgh9sd0w92oymx13.jpg</v>
      </c>
      <c r="D733" s="12" t="s">
        <v>5664</v>
      </c>
      <c r="E733" s="57" t="str">
        <f ca="1">IFERROR(__xludf.DUMMYFUNCTION("""COMPUTED_VALUE"""),"OK")</f>
        <v>OK</v>
      </c>
      <c r="F733" s="46"/>
      <c r="G733" s="45" t="s">
        <v>10436</v>
      </c>
      <c r="H733" s="45" t="s">
        <v>10447</v>
      </c>
    </row>
    <row r="734" spans="1:8">
      <c r="A734" s="59" t="s">
        <v>10448</v>
      </c>
      <c r="B734" s="12" t="str">
        <f ca="1">IFERROR(__xludf.DUMMYFUNCTION("""COMPUTED_VALUE"""),"Lena the plug - 79601210 - Onlyfans")</f>
        <v>Lena the plug - 79601210 - Onlyfans</v>
      </c>
      <c r="C734" s="60" t="str">
        <f ca="1">IFERROR(__xludf.DUMMYFUNCTION("""COMPUTED_VALUE"""),"https://thumbcdn.com/splash/a3qi1sebygm2jt48.jpg")</f>
        <v>https://thumbcdn.com/splash/a3qi1sebygm2jt48.jpg</v>
      </c>
      <c r="D734" s="12" t="s">
        <v>5669</v>
      </c>
      <c r="E734" s="57" t="str">
        <f ca="1">IFERROR(__xludf.DUMMYFUNCTION("""COMPUTED_VALUE"""),"OK")</f>
        <v>OK</v>
      </c>
      <c r="F734" s="46"/>
      <c r="G734" s="45" t="s">
        <v>10436</v>
      </c>
      <c r="H734" s="45" t="s">
        <v>10449</v>
      </c>
    </row>
    <row r="735" spans="1:8">
      <c r="A735" s="12"/>
      <c r="B735" s="12" t="str">
        <f ca="1">IFERROR(__xludf.DUMMYFUNCTION("""COMPUTED_VALUE"""),"Lena the plug - 85746653 - Onlyfans")</f>
        <v>Lena the plug - 85746653 - Onlyfans</v>
      </c>
      <c r="C735" s="60" t="str">
        <f ca="1">IFERROR(__xludf.DUMMYFUNCTION("""COMPUTED_VALUE"""),"https://thumbcdn.com/splash/9q9cvo5ddfo63a50.jpg")</f>
        <v>https://thumbcdn.com/splash/9q9cvo5ddfo63a50.jpg</v>
      </c>
      <c r="D735" s="12" t="s">
        <v>5678</v>
      </c>
      <c r="E735" s="57" t="str">
        <f ca="1">IFERROR(__xludf.DUMMYFUNCTION("""COMPUTED_VALUE"""),"OK")</f>
        <v>OK</v>
      </c>
      <c r="F735" s="46"/>
      <c r="G735" s="45" t="s">
        <v>10436</v>
      </c>
      <c r="H735" s="45" t="s">
        <v>10450</v>
      </c>
    </row>
    <row r="736" spans="1:8">
      <c r="A736" s="12" t="s">
        <v>10451</v>
      </c>
      <c r="B736" s="12" t="str">
        <f ca="1">IFERROR(__xludf.DUMMYFUNCTION("""COMPUTED_VALUE"""),"Lexi Belle - 14586632 - Onlyfans")</f>
        <v>Lexi Belle - 14586632 - Onlyfans</v>
      </c>
      <c r="C736" s="60" t="str">
        <f ca="1">IFERROR(__xludf.DUMMYFUNCTION("""COMPUTED_VALUE"""),"https://thumbcdn.com/splash/100mujhg9xqv8or8.jpg")</f>
        <v>https://thumbcdn.com/splash/100mujhg9xqv8or8.jpg</v>
      </c>
      <c r="D736" s="12" t="s">
        <v>5682</v>
      </c>
      <c r="E736" s="57" t="str">
        <f ca="1">IFERROR(__xludf.DUMMYFUNCTION("""COMPUTED_VALUE"""),"OK")</f>
        <v>OK</v>
      </c>
      <c r="F736" s="46"/>
      <c r="G736" s="45" t="s">
        <v>10436</v>
      </c>
      <c r="H736" s="45" t="s">
        <v>10452</v>
      </c>
    </row>
    <row r="737" spans="1:8">
      <c r="A737" s="59" t="s">
        <v>10453</v>
      </c>
      <c r="B737" s="12" t="str">
        <f ca="1">IFERROR(__xludf.DUMMYFUNCTION("""COMPUTED_VALUE"""),"Lexi Belle - 30943150 - Onlyfans")</f>
        <v>Lexi Belle - 30943150 - Onlyfans</v>
      </c>
      <c r="C737" s="60" t="str">
        <f ca="1">IFERROR(__xludf.DUMMYFUNCTION("""COMPUTED_VALUE"""),"https://thumbcdn.com/splash/5gwkn1qf9l3mbpzq.jpg")</f>
        <v>https://thumbcdn.com/splash/5gwkn1qf9l3mbpzq.jpg</v>
      </c>
      <c r="D737" s="6" t="s">
        <v>5688</v>
      </c>
      <c r="E737" s="63" t="str">
        <f ca="1">IFERROR(__xludf.DUMMYFUNCTION("""COMPUTED_VALUE"""),"OK")</f>
        <v>OK</v>
      </c>
      <c r="F737" s="46"/>
      <c r="G737" s="45" t="s">
        <v>10454</v>
      </c>
      <c r="H737" s="45" t="s">
        <v>10455</v>
      </c>
    </row>
    <row r="738" spans="1:8">
      <c r="A738" s="12"/>
      <c r="B738" s="12" t="str">
        <f ca="1">IFERROR(__xludf.DUMMYFUNCTION("""COMPUTED_VALUE"""),"Lexi Belle - 43590742 - Onlyfans")</f>
        <v>Lexi Belle - 43590742 - Onlyfans</v>
      </c>
      <c r="C738" s="60" t="str">
        <f ca="1">IFERROR(__xludf.DUMMYFUNCTION("""COMPUTED_VALUE"""),"https://thumbcdn.com/splash/3eiu06q5ihfgzuwy.jpg")</f>
        <v>https://thumbcdn.com/splash/3eiu06q5ihfgzuwy.jpg</v>
      </c>
      <c r="D738" s="12" t="s">
        <v>5692</v>
      </c>
      <c r="E738" s="57" t="str">
        <f ca="1">IFERROR(__xludf.DUMMYFUNCTION("""COMPUTED_VALUE"""),"OK")</f>
        <v>OK</v>
      </c>
      <c r="F738" s="46"/>
      <c r="G738" s="45" t="s">
        <v>10454</v>
      </c>
      <c r="H738" s="45" t="s">
        <v>10456</v>
      </c>
    </row>
    <row r="739" spans="1:8">
      <c r="A739" s="12" t="s">
        <v>10457</v>
      </c>
      <c r="B739" s="12" t="str">
        <f ca="1">IFERROR(__xludf.DUMMYFUNCTION("""COMPUTED_VALUE"""),"Lexi Belle - 50640426 - Onlyfans")</f>
        <v>Lexi Belle - 50640426 - Onlyfans</v>
      </c>
      <c r="C739" s="60" t="str">
        <f ca="1">IFERROR(__xludf.DUMMYFUNCTION("""COMPUTED_VALUE"""),"https://thumbcdn.com/splash/29o7i53yzxm6da97.jpg")</f>
        <v>https://thumbcdn.com/splash/29o7i53yzxm6da97.jpg</v>
      </c>
      <c r="D739" s="12" t="s">
        <v>5696</v>
      </c>
      <c r="E739" s="57" t="str">
        <f ca="1">IFERROR(__xludf.DUMMYFUNCTION("""COMPUTED_VALUE"""),"OK")</f>
        <v>OK</v>
      </c>
      <c r="F739" s="46"/>
      <c r="G739" s="45" t="s">
        <v>10454</v>
      </c>
      <c r="H739" s="45" t="s">
        <v>10458</v>
      </c>
    </row>
    <row r="740" spans="1:8">
      <c r="A740" s="59" t="s">
        <v>10459</v>
      </c>
      <c r="B740" s="12" t="str">
        <f ca="1">IFERROR(__xludf.DUMMYFUNCTION("""COMPUTED_VALUE"""),"Lexi Belle - 86205405 - Onlyfans")</f>
        <v>Lexi Belle - 86205405 - Onlyfans</v>
      </c>
      <c r="C740" s="60" t="str">
        <f ca="1">IFERROR(__xludf.DUMMYFUNCTION("""COMPUTED_VALUE"""),"https://thumbcdn.com/splash/j6w9vrsom3nl9o04.jpg")</f>
        <v>https://thumbcdn.com/splash/j6w9vrsom3nl9o04.jpg</v>
      </c>
      <c r="D740" s="12" t="s">
        <v>5701</v>
      </c>
      <c r="E740" s="57" t="str">
        <f ca="1">IFERROR(__xludf.DUMMYFUNCTION("""COMPUTED_VALUE"""),"OK")</f>
        <v>OK</v>
      </c>
      <c r="F740" s="46"/>
      <c r="G740" s="45" t="s">
        <v>10454</v>
      </c>
      <c r="H740" s="45" t="s">
        <v>10460</v>
      </c>
    </row>
    <row r="741" spans="1:8">
      <c r="A741" s="12"/>
      <c r="B741" s="12" t="str">
        <f ca="1">IFERROR(__xludf.DUMMYFUNCTION("""COMPUTED_VALUE"""),"Lexi Belle - 89537050 - Onlyfans")</f>
        <v>Lexi Belle - 89537050 - Onlyfans</v>
      </c>
      <c r="C741" s="60" t="str">
        <f ca="1">IFERROR(__xludf.DUMMYFUNCTION("""COMPUTED_VALUE"""),"https://thumbcdn.com/splash/8a8q6llra9l21rp3.jpg")</f>
        <v>https://thumbcdn.com/splash/8a8q6llra9l21rp3.jpg</v>
      </c>
      <c r="D741" s="12" t="s">
        <v>5707</v>
      </c>
      <c r="E741" s="57" t="str">
        <f ca="1">IFERROR(__xludf.DUMMYFUNCTION("""COMPUTED_VALUE"""),"OK")</f>
        <v>OK</v>
      </c>
      <c r="F741" s="46"/>
      <c r="G741" s="45" t="s">
        <v>10454</v>
      </c>
      <c r="H741" s="45" t="s">
        <v>10461</v>
      </c>
    </row>
    <row r="742" spans="1:8">
      <c r="A742" s="12" t="s">
        <v>10462</v>
      </c>
      <c r="B742" s="12" t="str">
        <f ca="1">IFERROR(__xludf.DUMMYFUNCTION("""COMPUTED_VALUE"""),"Lilibet Saunders - 51729589 - TH - Cory Chase")</f>
        <v>Lilibet Saunders - 51729589 - TH - Cory Chase</v>
      </c>
      <c r="C742" s="60" t="str">
        <f ca="1">IFERROR(__xludf.DUMMYFUNCTION("""COMPUTED_VALUE"""),"https://thumbcdn.com/splash/gwloh7m3pu560bpe.jpg")</f>
        <v>https://thumbcdn.com/splash/gwloh7m3pu560bpe.jpg</v>
      </c>
      <c r="D742" s="12" t="s">
        <v>5717</v>
      </c>
      <c r="E742" s="57" t="str">
        <f ca="1">IFERROR(__xludf.DUMMYFUNCTION("""COMPUTED_VALUE"""),"OK")</f>
        <v>OK</v>
      </c>
      <c r="F742" s="46"/>
      <c r="G742" s="45" t="s">
        <v>10454</v>
      </c>
      <c r="H742" s="45" t="s">
        <v>10463</v>
      </c>
    </row>
    <row r="743" spans="1:8">
      <c r="A743" s="59" t="s">
        <v>10464</v>
      </c>
      <c r="B743" s="12" t="str">
        <f ca="1">IFERROR(__xludf.DUMMYFUNCTION("""COMPUTED_VALUE"""),"Lilibet Saunders - 73049112 - TT")</f>
        <v>Lilibet Saunders - 73049112 - TT</v>
      </c>
      <c r="C743" s="60" t="str">
        <f ca="1">IFERROR(__xludf.DUMMYFUNCTION("""COMPUTED_VALUE"""),"https://thumbcdn.com/splash/hu7l5ajvt2dfsnz7.jpg")</f>
        <v>https://thumbcdn.com/splash/hu7l5ajvt2dfsnz7.jpg</v>
      </c>
      <c r="D743" s="12" t="s">
        <v>5736</v>
      </c>
      <c r="E743" s="57" t="str">
        <f ca="1">IFERROR(__xludf.DUMMYFUNCTION("""COMPUTED_VALUE"""),"OK")</f>
        <v>OK</v>
      </c>
      <c r="F743" s="46"/>
      <c r="G743" s="45" t="s">
        <v>10465</v>
      </c>
      <c r="H743" s="45" t="s">
        <v>10466</v>
      </c>
    </row>
    <row r="744" spans="1:8">
      <c r="A744" s="12"/>
      <c r="B744" s="12" t="str">
        <f ca="1">IFERROR(__xludf.DUMMYFUNCTION("""COMPUTED_VALUE"""),"Lily Lanes - 66507163 - Onlyfans")</f>
        <v>Lily Lanes - 66507163 - Onlyfans</v>
      </c>
      <c r="C744" s="60" t="str">
        <f ca="1">IFERROR(__xludf.DUMMYFUNCTION("""COMPUTED_VALUE"""),"https://thumbcdn.com/splash/n8bzrjy4a7plxgro.jpg")</f>
        <v>https://thumbcdn.com/splash/n8bzrjy4a7plxgro.jpg</v>
      </c>
      <c r="D744" s="12" t="s">
        <v>5745</v>
      </c>
      <c r="E744" s="57" t="str">
        <f ca="1">IFERROR(__xludf.DUMMYFUNCTION("""COMPUTED_VALUE"""),"OK")</f>
        <v>OK</v>
      </c>
      <c r="F744" s="46"/>
      <c r="G744" s="45" t="s">
        <v>10465</v>
      </c>
      <c r="H744" s="45" t="s">
        <v>10467</v>
      </c>
    </row>
    <row r="745" spans="1:8">
      <c r="A745" s="12" t="s">
        <v>10468</v>
      </c>
      <c r="B745" s="12" t="str">
        <f ca="1">IFERROR(__xludf.DUMMYFUNCTION("""COMPUTED_VALUE"""),"Lily Lanes - 72145197 - Onlyfans")</f>
        <v>Lily Lanes - 72145197 - Onlyfans</v>
      </c>
      <c r="C745" s="60" t="str">
        <f ca="1">IFERROR(__xludf.DUMMYFUNCTION("""COMPUTED_VALUE"""),"https://thumbcdn.com/splash/ornj44p5jdcpn8iy.jpg")</f>
        <v>https://thumbcdn.com/splash/ornj44p5jdcpn8iy.jpg</v>
      </c>
      <c r="D745" s="12" t="s">
        <v>5750</v>
      </c>
      <c r="E745" s="57" t="str">
        <f ca="1">IFERROR(__xludf.DUMMYFUNCTION("""COMPUTED_VALUE"""),"OK")</f>
        <v>OK</v>
      </c>
      <c r="F745" s="46"/>
      <c r="G745" s="45" t="s">
        <v>10469</v>
      </c>
      <c r="H745" s="45" t="s">
        <v>10470</v>
      </c>
    </row>
    <row r="746" spans="1:8">
      <c r="A746" s="59" t="s">
        <v>10471</v>
      </c>
      <c r="B746" s="12" t="str">
        <f ca="1">IFERROR(__xludf.DUMMYFUNCTION("""COMPUTED_VALUE"""),"Lily Lanes - 94429684 - Onlyfans")</f>
        <v>Lily Lanes - 94429684 - Onlyfans</v>
      </c>
      <c r="C746" s="60" t="str">
        <f ca="1">IFERROR(__xludf.DUMMYFUNCTION("""COMPUTED_VALUE"""),"https://thumbcdn.com/splash/8e20vykiuad9apyu.jpg")</f>
        <v>https://thumbcdn.com/splash/8e20vykiuad9apyu.jpg</v>
      </c>
      <c r="D746" s="12" t="s">
        <v>5754</v>
      </c>
      <c r="E746" s="57" t="str">
        <f ca="1">IFERROR(__xludf.DUMMYFUNCTION("""COMPUTED_VALUE"""),"OK")</f>
        <v>OK</v>
      </c>
      <c r="F746" s="46"/>
      <c r="G746" s="45" t="s">
        <v>10469</v>
      </c>
      <c r="H746" s="45" t="s">
        <v>10472</v>
      </c>
    </row>
    <row r="747" spans="1:8">
      <c r="A747" s="12"/>
      <c r="B747" s="12" t="str">
        <f ca="1">IFERROR(__xludf.DUMMYFUNCTION("""COMPUTED_VALUE"""),"Lily Phillips - 13508856 - Onlyfans - Annie Kate")</f>
        <v>Lily Phillips - 13508856 - Onlyfans - Annie Kate</v>
      </c>
      <c r="C747" s="60" t="str">
        <f ca="1">IFERROR(__xludf.DUMMYFUNCTION("""COMPUTED_VALUE"""),"https://thumbcdn.com/splash/0z8cehuslka2ofjc.jpg")</f>
        <v>https://thumbcdn.com/splash/0z8cehuslka2ofjc.jpg</v>
      </c>
      <c r="D747" s="16" t="s">
        <v>5765</v>
      </c>
      <c r="E747" s="57" t="str">
        <f ca="1">IFERROR(__xludf.DUMMYFUNCTION("""COMPUTED_VALUE"""),"OK")</f>
        <v>OK</v>
      </c>
      <c r="F747" s="46"/>
      <c r="G747" s="45" t="s">
        <v>10469</v>
      </c>
      <c r="H747" s="45" t="s">
        <v>10473</v>
      </c>
    </row>
    <row r="748" spans="1:8">
      <c r="A748" s="12" t="s">
        <v>10474</v>
      </c>
      <c r="B748" s="12" t="str">
        <f ca="1">IFERROR(__xludf.DUMMYFUNCTION("""COMPUTED_VALUE"""),"Lily Phillips - 14574939 - Onlyfans")</f>
        <v>Lily Phillips - 14574939 - Onlyfans</v>
      </c>
      <c r="C748" s="60" t="str">
        <f ca="1">IFERROR(__xludf.DUMMYFUNCTION("""COMPUTED_VALUE"""),"https://thumbcdn.com/splash/iecbw11yny4dc9n0.jpg")</f>
        <v>https://thumbcdn.com/splash/iecbw11yny4dc9n0.jpg</v>
      </c>
      <c r="D748" s="12" t="s">
        <v>5770</v>
      </c>
      <c r="E748" s="57" t="str">
        <f ca="1">IFERROR(__xludf.DUMMYFUNCTION("""COMPUTED_VALUE"""),"OK")</f>
        <v>OK</v>
      </c>
      <c r="F748" s="46"/>
      <c r="G748" s="45" t="s">
        <v>10475</v>
      </c>
      <c r="H748" s="45" t="s">
        <v>10476</v>
      </c>
    </row>
    <row r="749" spans="1:8">
      <c r="A749" s="59" t="s">
        <v>10477</v>
      </c>
      <c r="B749" s="12" t="str">
        <f ca="1">IFERROR(__xludf.DUMMYFUNCTION("""COMPUTED_VALUE"""),"Lily Phillips - 16139632 - Onlyfans")</f>
        <v>Lily Phillips - 16139632 - Onlyfans</v>
      </c>
      <c r="C749" s="60" t="str">
        <f ca="1">IFERROR(__xludf.DUMMYFUNCTION("""COMPUTED_VALUE"""),"https://thumbcdn.com/splash/7nln4np4nosdal0b.jpg")</f>
        <v>https://thumbcdn.com/splash/7nln4np4nosdal0b.jpg</v>
      </c>
      <c r="D749" s="12" t="s">
        <v>5775</v>
      </c>
      <c r="E749" s="57" t="str">
        <f ca="1">IFERROR(__xludf.DUMMYFUNCTION("""COMPUTED_VALUE"""),"OK")</f>
        <v>OK</v>
      </c>
      <c r="F749" s="46"/>
      <c r="G749" s="45" t="s">
        <v>10475</v>
      </c>
      <c r="H749" s="45" t="s">
        <v>10478</v>
      </c>
    </row>
    <row r="750" spans="1:8">
      <c r="A750" s="12"/>
      <c r="B750" s="12" t="str">
        <f ca="1">IFERROR(__xludf.DUMMYFUNCTION("""COMPUTED_VALUE"""),"Lily Phillips - 25426930 - Onlyfans - Bonnie Blue")</f>
        <v>Lily Phillips - 25426930 - Onlyfans - Bonnie Blue</v>
      </c>
      <c r="C750" s="60" t="str">
        <f ca="1">IFERROR(__xludf.DUMMYFUNCTION("""COMPUTED_VALUE"""),"https://thumbcdn.com/splash/s81zx1jw2f4zttxt.jpg")</f>
        <v>https://thumbcdn.com/splash/s81zx1jw2f4zttxt.jpg</v>
      </c>
      <c r="D750" s="12" t="s">
        <v>5779</v>
      </c>
      <c r="E750" s="57" t="str">
        <f ca="1">IFERROR(__xludf.DUMMYFUNCTION("""COMPUTED_VALUE"""),"OK")</f>
        <v>OK</v>
      </c>
      <c r="F750" s="46"/>
      <c r="G750" s="45" t="s">
        <v>10475</v>
      </c>
      <c r="H750" s="45" t="s">
        <v>10479</v>
      </c>
    </row>
    <row r="751" spans="1:8">
      <c r="A751" s="12" t="s">
        <v>10480</v>
      </c>
      <c r="B751" s="12" t="str">
        <f ca="1">IFERROR(__xludf.DUMMYFUNCTION("""COMPUTED_VALUE"""),"Lily Phillips - 40018720 - PB")</f>
        <v>Lily Phillips - 40018720 - PB</v>
      </c>
      <c r="C751" s="60" t="str">
        <f ca="1">IFERROR(__xludf.DUMMYFUNCTION("""COMPUTED_VALUE"""),"https://thumbcdn.com/splash/5ug1iw000datipvj.jpg")</f>
        <v>https://thumbcdn.com/splash/5ug1iw000datipvj.jpg</v>
      </c>
      <c r="D751" s="12" t="s">
        <v>5784</v>
      </c>
      <c r="E751" s="57" t="str">
        <f ca="1">IFERROR(__xludf.DUMMYFUNCTION("""COMPUTED_VALUE"""),"OK")</f>
        <v>OK</v>
      </c>
      <c r="F751" s="46"/>
      <c r="G751" s="45" t="s">
        <v>10475</v>
      </c>
      <c r="H751" s="45" t="s">
        <v>10481</v>
      </c>
    </row>
    <row r="752" spans="1:8">
      <c r="A752" s="59" t="s">
        <v>10482</v>
      </c>
      <c r="B752" s="12" t="str">
        <f ca="1">IFERROR(__xludf.DUMMYFUNCTION("""COMPUTED_VALUE"""),"Lily Phillips - 41732670 - Onlyfans")</f>
        <v>Lily Phillips - 41732670 - Onlyfans</v>
      </c>
      <c r="C752" s="60" t="str">
        <f ca="1">IFERROR(__xludf.DUMMYFUNCTION("""COMPUTED_VALUE"""),"https://thumbcdn.com/splash/ueagxmiv7a8ldjny.jpg")</f>
        <v>https://thumbcdn.com/splash/ueagxmiv7a8ldjny.jpg</v>
      </c>
      <c r="D752" s="12" t="s">
        <v>5788</v>
      </c>
      <c r="E752" s="57" t="str">
        <f ca="1">IFERROR(__xludf.DUMMYFUNCTION("""COMPUTED_VALUE"""),"OK")</f>
        <v>OK</v>
      </c>
      <c r="F752" s="46"/>
      <c r="G752" s="45" t="s">
        <v>10475</v>
      </c>
      <c r="H752" s="45" t="s">
        <v>10483</v>
      </c>
    </row>
    <row r="753" spans="1:8">
      <c r="A753" s="12"/>
      <c r="B753" s="12" t="str">
        <f ca="1">IFERROR(__xludf.DUMMYFUNCTION("""COMPUTED_VALUE"""),"Lily Phillips - 45303572 - Onlyfans")</f>
        <v>Lily Phillips - 45303572 - Onlyfans</v>
      </c>
      <c r="C753" s="60" t="str">
        <f ca="1">IFERROR(__xludf.DUMMYFUNCTION("""COMPUTED_VALUE"""),"https://thumbcdn.com/splash/u8q5qmnhngsxs4hx.jpg")</f>
        <v>https://thumbcdn.com/splash/u8q5qmnhngsxs4hx.jpg</v>
      </c>
      <c r="D753" s="12" t="s">
        <v>5793</v>
      </c>
      <c r="E753" s="57" t="str">
        <f ca="1">IFERROR(__xludf.DUMMYFUNCTION("""COMPUTED_VALUE"""),"OK")</f>
        <v>OK</v>
      </c>
      <c r="F753" s="46"/>
      <c r="G753" s="45" t="s">
        <v>10475</v>
      </c>
      <c r="H753" s="45" t="s">
        <v>10484</v>
      </c>
    </row>
    <row r="754" spans="1:8">
      <c r="A754" s="12" t="s">
        <v>10485</v>
      </c>
      <c r="B754" s="12" t="str">
        <f ca="1">IFERROR(__xludf.DUMMYFUNCTION("""COMPUTED_VALUE"""),"Lily Phillips - 58309361 - Onlyfans")</f>
        <v>Lily Phillips - 58309361 - Onlyfans</v>
      </c>
      <c r="C754" s="60" t="str">
        <f ca="1">IFERROR(__xludf.DUMMYFUNCTION("""COMPUTED_VALUE"""),"https://thumbcdn.com/splash/hcif0bas65ohbd0u.jpg")</f>
        <v>https://thumbcdn.com/splash/hcif0bas65ohbd0u.jpg</v>
      </c>
      <c r="D754" s="12" t="s">
        <v>5798</v>
      </c>
      <c r="E754" s="57" t="str">
        <f ca="1">IFERROR(__xludf.DUMMYFUNCTION("""COMPUTED_VALUE"""),"OK")</f>
        <v>OK</v>
      </c>
      <c r="F754" s="46"/>
      <c r="G754" s="45" t="s">
        <v>10475</v>
      </c>
      <c r="H754" s="45" t="s">
        <v>10486</v>
      </c>
    </row>
    <row r="755" spans="1:8">
      <c r="A755" s="59" t="s">
        <v>10487</v>
      </c>
      <c r="B755" s="12" t="str">
        <f ca="1">IFERROR(__xludf.DUMMYFUNCTION("""COMPUTED_VALUE"""),"Lily Phillips - 59344750 - Onlyfans")</f>
        <v>Lily Phillips - 59344750 - Onlyfans</v>
      </c>
      <c r="C755" s="60" t="str">
        <f ca="1">IFERROR(__xludf.DUMMYFUNCTION("""COMPUTED_VALUE"""),"https://thumbcdn.com/splash/yde1lhb271nxz93n.jpg")</f>
        <v>https://thumbcdn.com/splash/yde1lhb271nxz93n.jpg</v>
      </c>
      <c r="D755" s="16" t="s">
        <v>5803</v>
      </c>
      <c r="E755" s="57" t="str">
        <f ca="1">IFERROR(__xludf.DUMMYFUNCTION("""COMPUTED_VALUE"""),"OK")</f>
        <v>OK</v>
      </c>
      <c r="F755" s="46"/>
      <c r="G755" s="45" t="s">
        <v>10475</v>
      </c>
      <c r="H755" s="45" t="s">
        <v>10488</v>
      </c>
    </row>
    <row r="756" spans="1:8">
      <c r="A756" s="12"/>
      <c r="B756" s="12" t="str">
        <f ca="1">IFERROR(__xludf.DUMMYFUNCTION("""COMPUTED_VALUE"""),"Lily Phillips - 62412720 - Onlyfans")</f>
        <v>Lily Phillips - 62412720 - Onlyfans</v>
      </c>
      <c r="C756" s="60" t="str">
        <f ca="1">IFERROR(__xludf.DUMMYFUNCTION("""COMPUTED_VALUE"""),"https://thumbcdn.com/splash/lsnuhf3j0roxyhg3.jpg")</f>
        <v>https://thumbcdn.com/splash/lsnuhf3j0roxyhg3.jpg</v>
      </c>
      <c r="D756" s="16" t="s">
        <v>5808</v>
      </c>
      <c r="E756" s="57" t="str">
        <f ca="1">IFERROR(__xludf.DUMMYFUNCTION("""COMPUTED_VALUE"""),"OK")</f>
        <v>OK</v>
      </c>
      <c r="F756" s="46"/>
      <c r="G756" s="45" t="s">
        <v>10475</v>
      </c>
      <c r="H756" s="45" t="s">
        <v>10489</v>
      </c>
    </row>
    <row r="757" spans="1:8">
      <c r="A757" s="12" t="s">
        <v>10490</v>
      </c>
      <c r="B757" s="12" t="str">
        <f ca="1">IFERROR(__xludf.DUMMYFUNCTION("""COMPUTED_VALUE"""),"Lily Phillips - 65483042 - TTPOV")</f>
        <v>Lily Phillips - 65483042 - TTPOV</v>
      </c>
      <c r="C757" s="60" t="str">
        <f ca="1">IFERROR(__xludf.DUMMYFUNCTION("""COMPUTED_VALUE"""),"https://thumbcdn.com/splash/pqojtvpwhxjket62.jpg")</f>
        <v>https://thumbcdn.com/splash/pqojtvpwhxjket62.jpg</v>
      </c>
      <c r="D757" s="12" t="s">
        <v>5813</v>
      </c>
      <c r="E757" s="57" t="str">
        <f ca="1">IFERROR(__xludf.DUMMYFUNCTION("""COMPUTED_VALUE"""),"OK")</f>
        <v>OK</v>
      </c>
      <c r="F757" s="46"/>
      <c r="G757" s="45" t="s">
        <v>10475</v>
      </c>
      <c r="H757" s="45" t="s">
        <v>10491</v>
      </c>
    </row>
    <row r="758" spans="1:8">
      <c r="A758" s="59" t="s">
        <v>10492</v>
      </c>
      <c r="B758" s="12" t="str">
        <f ca="1">IFERROR(__xludf.DUMMYFUNCTION("""COMPUTED_VALUE"""),"Lily Phillips - 77002283 - PB")</f>
        <v>Lily Phillips - 77002283 - PB</v>
      </c>
      <c r="C758" s="60" t="str">
        <f ca="1">IFERROR(__xludf.DUMMYFUNCTION("""COMPUTED_VALUE"""),"https://thumbcdn.com/splash/enz87g1yhw60uan9.jpg")</f>
        <v>https://thumbcdn.com/splash/enz87g1yhw60uan9.jpg</v>
      </c>
      <c r="D758" s="6" t="s">
        <v>5824</v>
      </c>
      <c r="E758" s="63" t="str">
        <f ca="1">IFERROR(__xludf.DUMMYFUNCTION("""COMPUTED_VALUE"""),"OK")</f>
        <v>OK</v>
      </c>
      <c r="F758" s="46"/>
      <c r="G758" s="45" t="s">
        <v>10475</v>
      </c>
      <c r="H758" s="45" t="s">
        <v>10493</v>
      </c>
    </row>
    <row r="759" spans="1:8">
      <c r="A759" s="12"/>
      <c r="B759" s="12" t="str">
        <f ca="1">IFERROR(__xludf.DUMMYFUNCTION("""COMPUTED_VALUE"""),"Lily Phillips - 78144589 - Onlyfans")</f>
        <v>Lily Phillips - 78144589 - Onlyfans</v>
      </c>
      <c r="C759" s="60" t="str">
        <f ca="1">IFERROR(__xludf.DUMMYFUNCTION("""COMPUTED_VALUE"""),"https://thumbcdn.com/splash/9bvwqdxliuo712a8.jpg")</f>
        <v>https://thumbcdn.com/splash/9bvwqdxliuo712a8.jpg</v>
      </c>
      <c r="D759" s="12" t="s">
        <v>5829</v>
      </c>
      <c r="E759" s="57" t="str">
        <f ca="1">IFERROR(__xludf.DUMMYFUNCTION("""COMPUTED_VALUE"""),"OK")</f>
        <v>OK</v>
      </c>
      <c r="F759" s="46"/>
      <c r="G759" s="45" t="s">
        <v>10475</v>
      </c>
      <c r="H759" s="45" t="s">
        <v>10494</v>
      </c>
    </row>
    <row r="760" spans="1:8">
      <c r="A760" s="12" t="s">
        <v>10495</v>
      </c>
      <c r="B760" s="12" t="str">
        <f ca="1">IFERROR(__xludf.DUMMYFUNCTION("""COMPUTED_VALUE"""),"Lily Phillips - 89948601 - Onlyfans - Bonnie Blue")</f>
        <v>Lily Phillips - 89948601 - Onlyfans - Bonnie Blue</v>
      </c>
      <c r="C760" s="60" t="str">
        <f ca="1">IFERROR(__xludf.DUMMYFUNCTION("""COMPUTED_VALUE"""),"https://thumbcdn.com/splash/yqwzxu2x716uta12.jpg")</f>
        <v>https://thumbcdn.com/splash/yqwzxu2x716uta12.jpg</v>
      </c>
      <c r="D760" s="12" t="s">
        <v>5833</v>
      </c>
      <c r="E760" s="57" t="str">
        <f ca="1">IFERROR(__xludf.DUMMYFUNCTION("""COMPUTED_VALUE"""),"OK")</f>
        <v>OK</v>
      </c>
      <c r="F760" s="46"/>
      <c r="G760" s="45" t="s">
        <v>10475</v>
      </c>
      <c r="H760" s="45" t="s">
        <v>10496</v>
      </c>
    </row>
    <row r="761" spans="1:8">
      <c r="A761" s="59" t="s">
        <v>10497</v>
      </c>
      <c r="B761" s="12" t="str">
        <f ca="1">IFERROR(__xludf.DUMMYFUNCTION("""COMPUTED_VALUE"""),"Lily Phillips - 91665456 - AV")</f>
        <v>Lily Phillips - 91665456 - AV</v>
      </c>
      <c r="C761" s="60" t="str">
        <f ca="1">IFERROR(__xludf.DUMMYFUNCTION("""COMPUTED_VALUE"""),"https://thumbcdn.com/splash/vomlmttit8fmmu6v.jpg")</f>
        <v>https://thumbcdn.com/splash/vomlmttit8fmmu6v.jpg</v>
      </c>
      <c r="D761" s="12" t="s">
        <v>5838</v>
      </c>
      <c r="E761" s="57" t="str">
        <f ca="1">IFERROR(__xludf.DUMMYFUNCTION("""COMPUTED_VALUE"""),"OK")</f>
        <v>OK</v>
      </c>
      <c r="F761" s="46"/>
      <c r="G761" s="45" t="s">
        <v>10475</v>
      </c>
      <c r="H761" s="45" t="s">
        <v>10498</v>
      </c>
    </row>
    <row r="762" spans="1:8">
      <c r="A762" s="12"/>
      <c r="B762" s="12" t="str">
        <f ca="1">IFERROR(__xludf.DUMMYFUNCTION("""COMPUTED_VALUE"""),"Lily Phillips - 91773332 - Onlyfans - Annie Kate")</f>
        <v>Lily Phillips - 91773332 - Onlyfans - Annie Kate</v>
      </c>
      <c r="C762" s="60" t="str">
        <f ca="1">IFERROR(__xludf.DUMMYFUNCTION("""COMPUTED_VALUE"""),"https://thumbcdn.com/splash/sezte60aagwoqzb7.jpg")</f>
        <v>https://thumbcdn.com/splash/sezte60aagwoqzb7.jpg</v>
      </c>
      <c r="D762" s="16" t="s">
        <v>5843</v>
      </c>
      <c r="E762" s="57" t="str">
        <f ca="1">IFERROR(__xludf.DUMMYFUNCTION("""COMPUTED_VALUE"""),"OK")</f>
        <v>OK</v>
      </c>
      <c r="F762" s="46"/>
      <c r="G762" s="45" t="s">
        <v>10475</v>
      </c>
      <c r="H762" s="45" t="s">
        <v>10499</v>
      </c>
    </row>
    <row r="763" spans="1:8">
      <c r="A763" s="12" t="s">
        <v>10500</v>
      </c>
      <c r="B763" s="12" t="str">
        <f ca="1">IFERROR(__xludf.DUMMYFUNCTION("""COMPUTED_VALUE"""),"Lily Phillips - 97081805 - Onlyfans")</f>
        <v>Lily Phillips - 97081805 - Onlyfans</v>
      </c>
      <c r="C763" s="60" t="str">
        <f ca="1">IFERROR(__xludf.DUMMYFUNCTION("""COMPUTED_VALUE"""),"https://thumbcdn.com/splash/wfiohvitzvr56ho9.jpg")</f>
        <v>https://thumbcdn.com/splash/wfiohvitzvr56ho9.jpg</v>
      </c>
      <c r="D763" s="12" t="s">
        <v>5854</v>
      </c>
      <c r="E763" s="57" t="str">
        <f ca="1">IFERROR(__xludf.DUMMYFUNCTION("""COMPUTED_VALUE"""),"OK")</f>
        <v>OK</v>
      </c>
      <c r="F763" s="46"/>
      <c r="G763" s="45" t="s">
        <v>10475</v>
      </c>
      <c r="H763" s="45" t="s">
        <v>10501</v>
      </c>
    </row>
    <row r="764" spans="1:8">
      <c r="A764" s="59" t="s">
        <v>10502</v>
      </c>
      <c r="B764" s="12" t="str">
        <f ca="1">IFERROR(__xludf.DUMMYFUNCTION("""COMPUTED_VALUE"""),"Lily Phillips - 98914583 - Onlyfans")</f>
        <v>Lily Phillips - 98914583 - Onlyfans</v>
      </c>
      <c r="C764" s="60" t="str">
        <f ca="1">IFERROR(__xludf.DUMMYFUNCTION("""COMPUTED_VALUE"""),"https://thumbcdn.com/splash/wp8qw80rer0dcw6o.jpg")</f>
        <v>https://thumbcdn.com/splash/wp8qw80rer0dcw6o.jpg</v>
      </c>
      <c r="D764" s="12" t="s">
        <v>5858</v>
      </c>
      <c r="E764" s="57" t="str">
        <f ca="1">IFERROR(__xludf.DUMMYFUNCTION("""COMPUTED_VALUE"""),"OK")</f>
        <v>OK</v>
      </c>
      <c r="F764" s="46"/>
      <c r="G764" s="45" t="s">
        <v>10475</v>
      </c>
      <c r="H764" s="45" t="s">
        <v>10503</v>
      </c>
    </row>
    <row r="765" spans="1:8">
      <c r="A765" s="12"/>
      <c r="B765" s="12" t="str">
        <f ca="1">IFERROR(__xludf.DUMMYFUNCTION("""COMPUTED_VALUE"""),"Lily Phillips - 99616786 - Onlyfans")</f>
        <v>Lily Phillips - 99616786 - Onlyfans</v>
      </c>
      <c r="C765" s="60" t="str">
        <f ca="1">IFERROR(__xludf.DUMMYFUNCTION("""COMPUTED_VALUE"""),"https://thumbcdn.com/splash/zowtgvshu3n5n1io.jpg")</f>
        <v>https://thumbcdn.com/splash/zowtgvshu3n5n1io.jpg</v>
      </c>
      <c r="D765" s="12" t="s">
        <v>5863</v>
      </c>
      <c r="E765" s="57" t="str">
        <f ca="1">IFERROR(__xludf.DUMMYFUNCTION("""COMPUTED_VALUE"""),"OK")</f>
        <v>OK</v>
      </c>
      <c r="F765" s="46"/>
      <c r="G765" s="45" t="s">
        <v>10475</v>
      </c>
      <c r="H765" s="45" t="s">
        <v>10504</v>
      </c>
    </row>
    <row r="766" spans="1:8">
      <c r="A766" s="12" t="s">
        <v>10505</v>
      </c>
      <c r="B766" s="12" t="str">
        <f ca="1">IFERROR(__xludf.DUMMYFUNCTION("""COMPUTED_VALUE"""),"Linzy Ray - 81129270 - Onlyfans")</f>
        <v>Linzy Ray - 81129270 - Onlyfans</v>
      </c>
      <c r="C766" s="60" t="str">
        <f ca="1">IFERROR(__xludf.DUMMYFUNCTION("""COMPUTED_VALUE"""),"https://thumbcdn.com/splash/zd9g7e9ofuemm7kd.jpg")</f>
        <v>https://thumbcdn.com/splash/zd9g7e9ofuemm7kd.jpg</v>
      </c>
      <c r="D766" s="12" t="s">
        <v>5867</v>
      </c>
      <c r="E766" s="57" t="str">
        <f ca="1">IFERROR(__xludf.DUMMYFUNCTION("""COMPUTED_VALUE"""),"OK")</f>
        <v>OK</v>
      </c>
      <c r="F766" s="46"/>
      <c r="G766" s="45" t="s">
        <v>10475</v>
      </c>
      <c r="H766" s="45" t="s">
        <v>10506</v>
      </c>
    </row>
    <row r="767" spans="1:8">
      <c r="A767" s="59" t="s">
        <v>10507</v>
      </c>
      <c r="B767" s="12" t="str">
        <f ca="1">IFERROR(__xludf.DUMMYFUNCTION("""COMPUTED_VALUE"""),"Little Caprice - 82751751 - LC")</f>
        <v>Little Caprice - 82751751 - LC</v>
      </c>
      <c r="C767" s="60" t="str">
        <f ca="1">IFERROR(__xludf.DUMMYFUNCTION("""COMPUTED_VALUE"""),"https://thumbcdn.com/splash/ub5tbiuh9ojuk7xg.jpg")</f>
        <v>https://thumbcdn.com/splash/ub5tbiuh9ojuk7xg.jpg</v>
      </c>
      <c r="D767" s="12" t="s">
        <v>5892</v>
      </c>
      <c r="E767" s="57" t="str">
        <f ca="1">IFERROR(__xludf.DUMMYFUNCTION("""COMPUTED_VALUE"""),"OK")</f>
        <v>OK</v>
      </c>
      <c r="F767" s="46"/>
      <c r="G767" s="45" t="s">
        <v>10508</v>
      </c>
      <c r="H767" s="45" t="s">
        <v>10509</v>
      </c>
    </row>
    <row r="768" spans="1:8">
      <c r="A768" s="12"/>
      <c r="B768" s="12" t="str">
        <f ca="1">IFERROR(__xludf.DUMMYFUNCTION("""COMPUTED_VALUE"""),"Liz Jordan - 21264575 - Onlyfans - Madi Ruve")</f>
        <v>Liz Jordan - 21264575 - Onlyfans - Madi Ruve</v>
      </c>
      <c r="C768" s="60" t="str">
        <f ca="1">IFERROR(__xludf.DUMMYFUNCTION("""COMPUTED_VALUE"""),"https://thumbcdn.com/splash/kxpni0z91q4bjv0s.jpg")</f>
        <v>https://thumbcdn.com/splash/kxpni0z91q4bjv0s.jpg</v>
      </c>
      <c r="D768" s="6" t="s">
        <v>5897</v>
      </c>
      <c r="E768" s="63" t="str">
        <f ca="1">IFERROR(__xludf.DUMMYFUNCTION("""COMPUTED_VALUE"""),"OK")</f>
        <v>OK</v>
      </c>
      <c r="F768" s="46"/>
      <c r="G768" s="45" t="s">
        <v>10510</v>
      </c>
      <c r="H768" s="45" t="s">
        <v>10511</v>
      </c>
    </row>
    <row r="769" spans="1:8">
      <c r="A769" s="12" t="s">
        <v>10512</v>
      </c>
      <c r="B769" s="12" t="str">
        <f ca="1">IFERROR(__xludf.DUMMYFUNCTION("""COMPUTED_VALUE"""),"Lizzie Love - 81357602 - CathyScraving")</f>
        <v>Lizzie Love - 81357602 - CathyScraving</v>
      </c>
      <c r="C769" s="60" t="str">
        <f ca="1">IFERROR(__xludf.DUMMYFUNCTION("""COMPUTED_VALUE"""),"https://thumbcdn.com/splash/3s3ndrhtcostunqu.jpg")</f>
        <v>https://thumbcdn.com/splash/3s3ndrhtcostunqu.jpg</v>
      </c>
      <c r="D769" s="12" t="s">
        <v>5903</v>
      </c>
      <c r="E769" s="57" t="str">
        <f ca="1">IFERROR(__xludf.DUMMYFUNCTION("""COMPUTED_VALUE"""),"OK")</f>
        <v>OK</v>
      </c>
      <c r="F769" s="46"/>
      <c r="G769" s="45" t="s">
        <v>10513</v>
      </c>
      <c r="H769" s="45" t="s">
        <v>10514</v>
      </c>
    </row>
    <row r="770" spans="1:8">
      <c r="A770" s="59" t="s">
        <v>10515</v>
      </c>
      <c r="B770" s="12" t="str">
        <f ca="1">IFERROR(__xludf.DUMMYFUNCTION("""COMPUTED_VALUE"""),"Lola Cheeks - 43319214 - BackroomCastingCouch")</f>
        <v>Lola Cheeks - 43319214 - BackroomCastingCouch</v>
      </c>
      <c r="C770" s="60" t="str">
        <f ca="1">IFERROR(__xludf.DUMMYFUNCTION("""COMPUTED_VALUE"""),"https://thumbcdn.com/splash/0w4ua9y22iyxx4ty.jpg")</f>
        <v>https://thumbcdn.com/splash/0w4ua9y22iyxx4ty.jpg</v>
      </c>
      <c r="D770" s="6" t="s">
        <v>5908</v>
      </c>
      <c r="E770" s="63" t="str">
        <f ca="1">IFERROR(__xludf.DUMMYFUNCTION("""COMPUTED_VALUE"""),"OK")</f>
        <v>OK</v>
      </c>
      <c r="F770" s="46"/>
      <c r="G770" s="45" t="s">
        <v>10516</v>
      </c>
      <c r="H770" s="45" t="s">
        <v>10517</v>
      </c>
    </row>
    <row r="771" spans="1:8">
      <c r="A771" s="12"/>
      <c r="B771" s="12" t="str">
        <f ca="1">IFERROR(__xludf.DUMMYFUNCTION("""COMPUTED_VALUE"""),"Lucy - 87467552 - BackroomCastingCouch")</f>
        <v>Lucy - 87467552 - BackroomCastingCouch</v>
      </c>
      <c r="C771" s="60" t="str">
        <f ca="1">IFERROR(__xludf.DUMMYFUNCTION("""COMPUTED_VALUE"""),"https://thumbcdn.com/splash/ynw5vkbapnzzmzsk.jpg")</f>
        <v>https://thumbcdn.com/splash/ynw5vkbapnzzmzsk.jpg</v>
      </c>
      <c r="D771" s="12" t="s">
        <v>5925</v>
      </c>
      <c r="E771" s="57" t="str">
        <f ca="1">IFERROR(__xludf.DUMMYFUNCTION("""COMPUTED_VALUE"""),"OK")</f>
        <v>OK</v>
      </c>
      <c r="F771" s="46"/>
      <c r="G771" s="45" t="s">
        <v>10518</v>
      </c>
      <c r="H771" s="45" t="s">
        <v>10519</v>
      </c>
    </row>
    <row r="772" spans="1:8">
      <c r="A772" s="12" t="s">
        <v>10520</v>
      </c>
      <c r="B772" s="12" t="str">
        <f ca="1">IFERROR(__xludf.DUMMYFUNCTION("""COMPUTED_VALUE"""),"Lucy Foxx - 13250580 - TS")</f>
        <v>Lucy Foxx - 13250580 - TS</v>
      </c>
      <c r="C772" s="60" t="str">
        <f ca="1">IFERROR(__xludf.DUMMYFUNCTION("""COMPUTED_VALUE"""),"https://thumbcdn.com/splash/zvd4eqjwirgejs53.jpg")</f>
        <v>https://thumbcdn.com/splash/zvd4eqjwirgejs53.jpg</v>
      </c>
      <c r="D772" s="12" t="s">
        <v>5930</v>
      </c>
      <c r="E772" s="57" t="str">
        <f ca="1">IFERROR(__xludf.DUMMYFUNCTION("""COMPUTED_VALUE"""),"OK")</f>
        <v>OK</v>
      </c>
      <c r="F772" s="46"/>
      <c r="G772" s="45" t="s">
        <v>10521</v>
      </c>
      <c r="H772" s="45" t="s">
        <v>10522</v>
      </c>
    </row>
    <row r="773" spans="1:8">
      <c r="A773" s="59" t="s">
        <v>10523</v>
      </c>
      <c r="B773" s="12" t="str">
        <f ca="1">IFERROR(__xludf.DUMMYFUNCTION("""COMPUTED_VALUE"""),"Lucy Foxx - 84642179 - XVRED")</f>
        <v>Lucy Foxx - 84642179 - XVRED</v>
      </c>
      <c r="C773" s="60" t="str">
        <f ca="1">IFERROR(__xludf.DUMMYFUNCTION("""COMPUTED_VALUE"""),"https://thumbcdn.com/splash/1kcgmwkz7jc3olel.jpg")</f>
        <v>https://thumbcdn.com/splash/1kcgmwkz7jc3olel.jpg</v>
      </c>
      <c r="D773" s="12" t="s">
        <v>5936</v>
      </c>
      <c r="E773" s="57" t="str">
        <f ca="1">IFERROR(__xludf.DUMMYFUNCTION("""COMPUTED_VALUE"""),"OK")</f>
        <v>OK</v>
      </c>
      <c r="F773" s="46"/>
      <c r="G773" s="45" t="s">
        <v>10524</v>
      </c>
      <c r="H773" s="45" t="s">
        <v>10525</v>
      </c>
    </row>
    <row r="774" spans="1:8">
      <c r="A774" s="12"/>
      <c r="B774" s="12" t="str">
        <f ca="1">IFERROR(__xludf.DUMMYFUNCTION("""COMPUTED_VALUE"""),"Lucy Mochi - 11144877 - Onlyfans")</f>
        <v>Lucy Mochi - 11144877 - Onlyfans</v>
      </c>
      <c r="C774" s="60" t="str">
        <f ca="1">IFERROR(__xludf.DUMMYFUNCTION("""COMPUTED_VALUE"""),"https://thumbcdn.com/splash/1m072lb7phu8sfcf.jpg")</f>
        <v>https://thumbcdn.com/splash/1m072lb7phu8sfcf.jpg</v>
      </c>
      <c r="D774" s="12" t="s">
        <v>5941</v>
      </c>
      <c r="E774" s="57" t="str">
        <f ca="1">IFERROR(__xludf.DUMMYFUNCTION("""COMPUTED_VALUE"""),"OK")</f>
        <v>OK</v>
      </c>
      <c r="F774" s="46"/>
      <c r="G774" s="45" t="s">
        <v>10524</v>
      </c>
      <c r="H774" s="45" t="s">
        <v>10526</v>
      </c>
    </row>
    <row r="775" spans="1:8">
      <c r="A775" s="12" t="s">
        <v>10527</v>
      </c>
      <c r="B775" s="12" t="str">
        <f ca="1">IFERROR(__xludf.DUMMYFUNCTION("""COMPUTED_VALUE"""),"Lucy Mochi - 16687170 - Onlyfans - Nicole Doshi")</f>
        <v>Lucy Mochi - 16687170 - Onlyfans - Nicole Doshi</v>
      </c>
      <c r="C775" s="60" t="str">
        <f ca="1">IFERROR(__xludf.DUMMYFUNCTION("""COMPUTED_VALUE"""),"https://thumbcdn.com/splash/a21rh3pnlimtogwp.jpg")</f>
        <v>https://thumbcdn.com/splash/a21rh3pnlimtogwp.jpg</v>
      </c>
      <c r="D775" s="12" t="s">
        <v>5951</v>
      </c>
      <c r="E775" s="57" t="str">
        <f ca="1">IFERROR(__xludf.DUMMYFUNCTION("""COMPUTED_VALUE"""),"OK")</f>
        <v>OK</v>
      </c>
      <c r="F775" s="46"/>
      <c r="G775" s="45" t="s">
        <v>10528</v>
      </c>
      <c r="H775" s="45" t="s">
        <v>10529</v>
      </c>
    </row>
    <row r="776" spans="1:8">
      <c r="A776" s="59" t="s">
        <v>10530</v>
      </c>
      <c r="B776" s="12" t="str">
        <f ca="1">IFERROR(__xludf.DUMMYFUNCTION("""COMPUTED_VALUE"""),"Lucy Mochi - 23173703 - Onlyfans - JasmineTeaa")</f>
        <v>Lucy Mochi - 23173703 - Onlyfans - JasmineTeaa</v>
      </c>
      <c r="C776" s="60" t="str">
        <f ca="1">IFERROR(__xludf.DUMMYFUNCTION("""COMPUTED_VALUE"""),"https://thumbcdn.com/splash/kgsn2alxh70kuyec.jpg")</f>
        <v>https://thumbcdn.com/splash/kgsn2alxh70kuyec.jpg</v>
      </c>
      <c r="D776" s="12" t="s">
        <v>5956</v>
      </c>
      <c r="E776" s="57" t="str">
        <f ca="1">IFERROR(__xludf.DUMMYFUNCTION("""COMPUTED_VALUE"""),"OK")</f>
        <v>OK</v>
      </c>
      <c r="F776" s="46"/>
      <c r="G776" s="45" t="s">
        <v>10528</v>
      </c>
      <c r="H776" s="45" t="s">
        <v>10531</v>
      </c>
    </row>
    <row r="777" spans="1:8">
      <c r="A777" s="12"/>
      <c r="B777" s="12" t="str">
        <f ca="1">IFERROR(__xludf.DUMMYFUNCTION("""COMPUTED_VALUE"""),"Lucy Mochi - 29122637 - Onlyfans")</f>
        <v>Lucy Mochi - 29122637 - Onlyfans</v>
      </c>
      <c r="C777" s="60" t="str">
        <f ca="1">IFERROR(__xludf.DUMMYFUNCTION("""COMPUTED_VALUE"""),"https://thumbcdn.com/splash/o02mrmz05m021chj.jpg")</f>
        <v>https://thumbcdn.com/splash/o02mrmz05m021chj.jpg</v>
      </c>
      <c r="D777" s="12" t="s">
        <v>5967</v>
      </c>
      <c r="E777" s="57" t="str">
        <f ca="1">IFERROR(__xludf.DUMMYFUNCTION("""COMPUTED_VALUE"""),"OK")</f>
        <v>OK</v>
      </c>
      <c r="F777" s="46"/>
      <c r="G777" s="45" t="s">
        <v>10528</v>
      </c>
      <c r="H777" s="45" t="s">
        <v>10532</v>
      </c>
    </row>
    <row r="778" spans="1:8">
      <c r="A778" s="12" t="s">
        <v>10533</v>
      </c>
      <c r="B778" s="12" t="str">
        <f ca="1">IFERROR(__xludf.DUMMYFUNCTION("""COMPUTED_VALUE"""),"Lucy Mochi - 29795650 - Onlyfans")</f>
        <v>Lucy Mochi - 29795650 - Onlyfans</v>
      </c>
      <c r="C778" s="60" t="str">
        <f ca="1">IFERROR(__xludf.DUMMYFUNCTION("""COMPUTED_VALUE"""),"https://thumbcdn.com/splash/86odnvxsfbvk8z6x.jpg")</f>
        <v>https://thumbcdn.com/splash/86odnvxsfbvk8z6x.jpg</v>
      </c>
      <c r="D778" s="12" t="s">
        <v>5978</v>
      </c>
      <c r="E778" s="57" t="str">
        <f ca="1">IFERROR(__xludf.DUMMYFUNCTION("""COMPUTED_VALUE"""),"OK")</f>
        <v>OK</v>
      </c>
      <c r="F778" s="46"/>
      <c r="G778" s="45" t="s">
        <v>10528</v>
      </c>
      <c r="H778" s="45" t="s">
        <v>10534</v>
      </c>
    </row>
    <row r="779" spans="1:8">
      <c r="A779" s="59" t="s">
        <v>10535</v>
      </c>
      <c r="B779" s="12" t="str">
        <f ca="1">IFERROR(__xludf.DUMMYFUNCTION("""COMPUTED_VALUE"""),"Lucy Mochi - 31426357 - Onlyfans")</f>
        <v>Lucy Mochi - 31426357 - Onlyfans</v>
      </c>
      <c r="C779" s="60" t="str">
        <f ca="1">IFERROR(__xludf.DUMMYFUNCTION("""COMPUTED_VALUE"""),"https://thumbcdn.com/splash/mwja2i21znm8bb48.jpg")</f>
        <v>https://thumbcdn.com/splash/mwja2i21znm8bb48.jpg</v>
      </c>
      <c r="D779" s="12" t="s">
        <v>5983</v>
      </c>
      <c r="E779" s="57" t="str">
        <f ca="1">IFERROR(__xludf.DUMMYFUNCTION("""COMPUTED_VALUE"""),"OK")</f>
        <v>OK</v>
      </c>
      <c r="F779" s="46"/>
      <c r="G779" s="45" t="s">
        <v>10528</v>
      </c>
      <c r="H779" s="45" t="s">
        <v>10536</v>
      </c>
    </row>
    <row r="780" spans="1:8">
      <c r="A780" s="12"/>
      <c r="B780" s="12" t="str">
        <f ca="1">IFERROR(__xludf.DUMMYFUNCTION("""COMPUTED_VALUE"""),"Lucy Mochi - 35825034 - Onlyfans - Jackandjill - EtherealClaire")</f>
        <v>Lucy Mochi - 35825034 - Onlyfans - Jackandjill - EtherealClaire</v>
      </c>
      <c r="C780" s="60" t="str">
        <f ca="1">IFERROR(__xludf.DUMMYFUNCTION("""COMPUTED_VALUE"""),"https://thumbcdn.com/splash/pbj1pg7sm7bizzuh.jpg")</f>
        <v>https://thumbcdn.com/splash/pbj1pg7sm7bizzuh.jpg</v>
      </c>
      <c r="D780" s="6" t="s">
        <v>5988</v>
      </c>
      <c r="E780" s="63" t="str">
        <f ca="1">IFERROR(__xludf.DUMMYFUNCTION("""COMPUTED_VALUE"""),"OK")</f>
        <v>OK</v>
      </c>
      <c r="F780" s="46"/>
      <c r="G780" s="45" t="s">
        <v>10528</v>
      </c>
      <c r="H780" s="45" t="s">
        <v>10537</v>
      </c>
    </row>
    <row r="781" spans="1:8">
      <c r="A781" s="12" t="s">
        <v>10538</v>
      </c>
      <c r="B781" s="12" t="str">
        <f ca="1">IFERROR(__xludf.DUMMYFUNCTION("""COMPUTED_VALUE"""),"Lucy Mochi - 36879561 - Onlyfans")</f>
        <v>Lucy Mochi - 36879561 - Onlyfans</v>
      </c>
      <c r="C781" s="60" t="str">
        <f ca="1">IFERROR(__xludf.DUMMYFUNCTION("""COMPUTED_VALUE"""),"https://thumbcdn.com/splash/clpi6ab7o163ib6k.jpg")</f>
        <v>https://thumbcdn.com/splash/clpi6ab7o163ib6k.jpg</v>
      </c>
      <c r="D781" s="12" t="s">
        <v>5994</v>
      </c>
      <c r="E781" s="57" t="str">
        <f ca="1">IFERROR(__xludf.DUMMYFUNCTION("""COMPUTED_VALUE"""),"OK")</f>
        <v>OK</v>
      </c>
      <c r="F781" s="46"/>
      <c r="G781" s="45" t="s">
        <v>10528</v>
      </c>
      <c r="H781" s="45" t="s">
        <v>10539</v>
      </c>
    </row>
    <row r="782" spans="1:8">
      <c r="A782" s="59" t="s">
        <v>10540</v>
      </c>
      <c r="B782" s="12" t="str">
        <f ca="1">IFERROR(__xludf.DUMMYFUNCTION("""COMPUTED_VALUE"""),"Lucy Mochi - 40363312 - Onlyfans - AliceOnCam")</f>
        <v>Lucy Mochi - 40363312 - Onlyfans - AliceOnCam</v>
      </c>
      <c r="C782" s="60" t="str">
        <f ca="1">IFERROR(__xludf.DUMMYFUNCTION("""COMPUTED_VALUE"""),"https://thumbcdn.com/splash/uex3fb5nqqrnw6ah.jpg")</f>
        <v>https://thumbcdn.com/splash/uex3fb5nqqrnw6ah.jpg</v>
      </c>
      <c r="D782" s="12" t="s">
        <v>5999</v>
      </c>
      <c r="E782" s="57" t="str">
        <f ca="1">IFERROR(__xludf.DUMMYFUNCTION("""COMPUTED_VALUE"""),"OK")</f>
        <v>OK</v>
      </c>
      <c r="F782" s="46"/>
      <c r="G782" s="45" t="s">
        <v>10528</v>
      </c>
      <c r="H782" s="45" t="s">
        <v>10541</v>
      </c>
    </row>
    <row r="783" spans="1:8">
      <c r="A783" s="12"/>
      <c r="B783" s="12" t="str">
        <f ca="1">IFERROR(__xludf.DUMMYFUNCTION("""COMPUTED_VALUE"""),"Lucy Mochi - 48837763 - Onlyfans")</f>
        <v>Lucy Mochi - 48837763 - Onlyfans</v>
      </c>
      <c r="C783" s="60" t="str">
        <f ca="1">IFERROR(__xludf.DUMMYFUNCTION("""COMPUTED_VALUE"""),"https://thumbcdn.com/splash/1da1hqff2onwumm0.jpg")</f>
        <v>https://thumbcdn.com/splash/1da1hqff2onwumm0.jpg</v>
      </c>
      <c r="D783" s="12" t="s">
        <v>6017</v>
      </c>
      <c r="E783" s="57" t="str">
        <f ca="1">IFERROR(__xludf.DUMMYFUNCTION("""COMPUTED_VALUE"""),"OK")</f>
        <v>OK</v>
      </c>
      <c r="F783" s="46"/>
      <c r="G783" s="45" t="s">
        <v>10528</v>
      </c>
      <c r="H783" s="45" t="s">
        <v>10542</v>
      </c>
    </row>
    <row r="784" spans="1:8">
      <c r="A784" s="12" t="s">
        <v>10543</v>
      </c>
      <c r="B784" s="12" t="str">
        <f ca="1">IFERROR(__xludf.DUMMYFUNCTION("""COMPUTED_VALUE"""),"Lucy Mochi - 54228852 - Anal Therapy")</f>
        <v>Lucy Mochi - 54228852 - Anal Therapy</v>
      </c>
      <c r="C784" s="60" t="str">
        <f ca="1">IFERROR(__xludf.DUMMYFUNCTION("""COMPUTED_VALUE"""),"https://thumbcdn.com/splash/sf0n16nugluhvri9.jpg")</f>
        <v>https://thumbcdn.com/splash/sf0n16nugluhvri9.jpg</v>
      </c>
      <c r="D784" s="12" t="s">
        <v>6023</v>
      </c>
      <c r="E784" s="57" t="str">
        <f ca="1">IFERROR(__xludf.DUMMYFUNCTION("""COMPUTED_VALUE"""),"OK")</f>
        <v>OK</v>
      </c>
      <c r="F784" s="46"/>
      <c r="G784" s="45" t="s">
        <v>10528</v>
      </c>
      <c r="H784" s="45" t="s">
        <v>10544</v>
      </c>
    </row>
    <row r="785" spans="1:8">
      <c r="A785" s="59" t="s">
        <v>10545</v>
      </c>
      <c r="B785" s="12" t="str">
        <f ca="1">IFERROR(__xludf.DUMMYFUNCTION("""COMPUTED_VALUE"""),"Lucy Mochi - 66984989 - Family Therapy")</f>
        <v>Lucy Mochi - 66984989 - Family Therapy</v>
      </c>
      <c r="C785" s="60" t="str">
        <f ca="1">IFERROR(__xludf.DUMMYFUNCTION("""COMPUTED_VALUE"""),"https://thumbcdn.com/splash/58zczzoyjlk3bpkw.jpg")</f>
        <v>https://thumbcdn.com/splash/58zczzoyjlk3bpkw.jpg</v>
      </c>
      <c r="D785" s="6" t="s">
        <v>6028</v>
      </c>
      <c r="E785" s="63" t="str">
        <f ca="1">IFERROR(__xludf.DUMMYFUNCTION("""COMPUTED_VALUE"""),"OK")</f>
        <v>OK</v>
      </c>
      <c r="F785" s="46"/>
      <c r="G785" s="45" t="s">
        <v>10528</v>
      </c>
      <c r="H785" s="45" t="s">
        <v>10546</v>
      </c>
    </row>
    <row r="786" spans="1:8">
      <c r="A786" s="12"/>
      <c r="B786" s="12" t="str">
        <f ca="1">IFERROR(__xludf.DUMMYFUNCTION("""COMPUTED_VALUE"""),"Lucy Mochi - 89542094 - Onlyfans")</f>
        <v>Lucy Mochi - 89542094 - Onlyfans</v>
      </c>
      <c r="C786" s="60" t="str">
        <f ca="1">IFERROR(__xludf.DUMMYFUNCTION("""COMPUTED_VALUE"""),"https://thumbcdn.com/splash/y02097a3jdi1bsxb.jpg")</f>
        <v>https://thumbcdn.com/splash/y02097a3jdi1bsxb.jpg</v>
      </c>
      <c r="D786" s="12" t="s">
        <v>6039</v>
      </c>
      <c r="E786" s="57" t="str">
        <f ca="1">IFERROR(__xludf.DUMMYFUNCTION("""COMPUTED_VALUE"""),"OK")</f>
        <v>OK</v>
      </c>
      <c r="F786" s="46"/>
      <c r="G786" s="45" t="s">
        <v>10528</v>
      </c>
      <c r="H786" s="45" t="s">
        <v>10547</v>
      </c>
    </row>
    <row r="787" spans="1:8">
      <c r="A787" s="12" t="s">
        <v>10548</v>
      </c>
      <c r="B787" s="12" t="str">
        <f ca="1">IFERROR(__xludf.DUMMYFUNCTION("""COMPUTED_VALUE"""),"Lucy Mochi - 99388211 - Onlyfans")</f>
        <v>Lucy Mochi - 99388211 - Onlyfans</v>
      </c>
      <c r="C787" s="60" t="str">
        <f ca="1">IFERROR(__xludf.DUMMYFUNCTION("""COMPUTED_VALUE"""),"https://thumbcdn.com/splash/spuyr5g7wsu25afa.jpg")</f>
        <v>https://thumbcdn.com/splash/spuyr5g7wsu25afa.jpg</v>
      </c>
      <c r="D787" s="12" t="s">
        <v>6050</v>
      </c>
      <c r="E787" s="57" t="str">
        <f ca="1">IFERROR(__xludf.DUMMYFUNCTION("""COMPUTED_VALUE"""),"OK")</f>
        <v>OK</v>
      </c>
      <c r="F787" s="46"/>
      <c r="G787" s="45" t="s">
        <v>10528</v>
      </c>
      <c r="H787" s="45" t="s">
        <v>10549</v>
      </c>
    </row>
    <row r="788" spans="1:8">
      <c r="A788" s="59" t="s">
        <v>10550</v>
      </c>
      <c r="B788" s="12" t="str">
        <f ca="1">IFERROR(__xludf.DUMMYFUNCTION("""COMPUTED_VALUE"""),"MaddieBubz - 84035528 - Onlyfans")</f>
        <v>MaddieBubz - 84035528 - Onlyfans</v>
      </c>
      <c r="C788" s="60" t="str">
        <f ca="1">IFERROR(__xludf.DUMMYFUNCTION("""COMPUTED_VALUE"""),"https://thumbcdn.com/splash/cl3bzxp8ec2jwj55.jpg")</f>
        <v>https://thumbcdn.com/splash/cl3bzxp8ec2jwj55.jpg</v>
      </c>
      <c r="D788" s="6" t="s">
        <v>6059</v>
      </c>
      <c r="E788" s="63" t="str">
        <f ca="1">IFERROR(__xludf.DUMMYFUNCTION("""COMPUTED_VALUE"""),"OK")</f>
        <v>OK</v>
      </c>
      <c r="F788" s="46"/>
      <c r="G788" s="45" t="s">
        <v>10528</v>
      </c>
      <c r="H788" s="45" t="s">
        <v>10551</v>
      </c>
    </row>
    <row r="789" spans="1:8">
      <c r="A789" s="12"/>
      <c r="B789" s="12" t="str">
        <f ca="1">IFERROR(__xludf.DUMMYFUNCTION("""COMPUTED_VALUE"""),"Madison Lanez - 95931349 - Onlyfans")</f>
        <v>Madison Lanez - 95931349 - Onlyfans</v>
      </c>
      <c r="C789" s="60" t="str">
        <f ca="1">IFERROR(__xludf.DUMMYFUNCTION("""COMPUTED_VALUE"""),"https://thumbcdn.com/splash/aqvsl8820cybzz9i.jpg")</f>
        <v>https://thumbcdn.com/splash/aqvsl8820cybzz9i.jpg</v>
      </c>
      <c r="D789" s="6" t="s">
        <v>6065</v>
      </c>
      <c r="E789" s="63" t="str">
        <f ca="1">IFERROR(__xludf.DUMMYFUNCTION("""COMPUTED_VALUE"""),"OK")</f>
        <v>OK</v>
      </c>
      <c r="F789" s="46"/>
      <c r="G789" s="45" t="s">
        <v>10552</v>
      </c>
      <c r="H789" s="45" t="s">
        <v>10553</v>
      </c>
    </row>
    <row r="790" spans="1:8">
      <c r="A790" s="12" t="s">
        <v>10554</v>
      </c>
      <c r="B790" s="12" t="str">
        <f ca="1">IFERROR(__xludf.DUMMYFUNCTION("""COMPUTED_VALUE"""),"Madison Morgan - 27978540 - Onlyfans")</f>
        <v>Madison Morgan - 27978540 - Onlyfans</v>
      </c>
      <c r="C790" s="60" t="str">
        <f ca="1">IFERROR(__xludf.DUMMYFUNCTION("""COMPUTED_VALUE"""),"https://thumbcdn.com/splash/9r1eypojjtbx8ri9.jpg")</f>
        <v>https://thumbcdn.com/splash/9r1eypojjtbx8ri9.jpg</v>
      </c>
      <c r="D790" s="12" t="s">
        <v>6071</v>
      </c>
      <c r="E790" s="57" t="str">
        <f ca="1">IFERROR(__xludf.DUMMYFUNCTION("""COMPUTED_VALUE"""),"OK")</f>
        <v>OK</v>
      </c>
      <c r="F790" s="46"/>
      <c r="G790" s="45" t="s">
        <v>10555</v>
      </c>
      <c r="H790" s="45" t="s">
        <v>10556</v>
      </c>
    </row>
    <row r="791" spans="1:8">
      <c r="A791" s="59" t="s">
        <v>10557</v>
      </c>
      <c r="B791" s="12" t="str">
        <f ca="1">IFERROR(__xludf.DUMMYFUNCTION("""COMPUTED_VALUE"""),"Madison Morgan - 60817052 - Elegant Angel")</f>
        <v>Madison Morgan - 60817052 - Elegant Angel</v>
      </c>
      <c r="C791" s="60" t="str">
        <f ca="1">IFERROR(__xludf.DUMMYFUNCTION("""COMPUTED_VALUE"""),"https://thumbcdn.com/splash/psnagkg0xdc4fddj.jpg")</f>
        <v>https://thumbcdn.com/splash/psnagkg0xdc4fddj.jpg</v>
      </c>
      <c r="D791" s="6" t="s">
        <v>6075</v>
      </c>
      <c r="E791" s="63" t="str">
        <f ca="1">IFERROR(__xludf.DUMMYFUNCTION("""COMPUTED_VALUE"""),"OK")</f>
        <v>OK</v>
      </c>
      <c r="F791" s="46"/>
      <c r="G791" s="45" t="s">
        <v>10558</v>
      </c>
      <c r="H791" s="45" t="s">
        <v>10559</v>
      </c>
    </row>
    <row r="792" spans="1:8">
      <c r="A792" s="12"/>
      <c r="B792" s="12" t="str">
        <f ca="1">IFERROR(__xludf.DUMMYFUNCTION("""COMPUTED_VALUE"""),"Mae Winters - 55467075 - XVRED")</f>
        <v>Mae Winters - 55467075 - XVRED</v>
      </c>
      <c r="C792" s="60" t="str">
        <f ca="1">IFERROR(__xludf.DUMMYFUNCTION("""COMPUTED_VALUE"""),"https://thumbcdn.com/splash/dp6h7o4wto4wrcsv.jpg")</f>
        <v>https://thumbcdn.com/splash/dp6h7o4wto4wrcsv.jpg</v>
      </c>
      <c r="D792" s="12" t="s">
        <v>6080</v>
      </c>
      <c r="E792" s="57" t="str">
        <f ca="1">IFERROR(__xludf.DUMMYFUNCTION("""COMPUTED_VALUE"""),"OK")</f>
        <v>OK</v>
      </c>
      <c r="F792" s="46"/>
      <c r="G792" s="45" t="s">
        <v>10558</v>
      </c>
      <c r="H792" s="45" t="s">
        <v>10560</v>
      </c>
    </row>
    <row r="793" spans="1:8">
      <c r="A793" s="12" t="s">
        <v>10561</v>
      </c>
      <c r="B793" s="12" t="str">
        <f ca="1">IFERROR(__xludf.DUMMYFUNCTION("""COMPUTED_VALUE"""),"Maisey Monroe - 39659947 - TouchMyWife")</f>
        <v>Maisey Monroe - 39659947 - TouchMyWife</v>
      </c>
      <c r="C793" s="60" t="str">
        <f ca="1">IFERROR(__xludf.DUMMYFUNCTION("""COMPUTED_VALUE"""),"https://thumbcdn.com/splash/75927ame0lw57f55.jpg")</f>
        <v>https://thumbcdn.com/splash/75927ame0lw57f55.jpg</v>
      </c>
      <c r="D793" s="12" t="s">
        <v>6085</v>
      </c>
      <c r="E793" s="57" t="str">
        <f ca="1">IFERROR(__xludf.DUMMYFUNCTION("""COMPUTED_VALUE"""),"OK")</f>
        <v>OK</v>
      </c>
      <c r="F793" s="46"/>
      <c r="G793" s="45" t="s">
        <v>10562</v>
      </c>
      <c r="H793" s="45" t="s">
        <v>10563</v>
      </c>
    </row>
    <row r="794" spans="1:8">
      <c r="A794" s="59" t="s">
        <v>10564</v>
      </c>
      <c r="B794" s="12" t="str">
        <f ca="1">IFERROR(__xludf.DUMMYFUNCTION("""COMPUTED_VALUE"""),"Marry Queen - 45288539 - WoodmanCastingX")</f>
        <v>Marry Queen - 45288539 - WoodmanCastingX</v>
      </c>
      <c r="C794" s="60" t="str">
        <f ca="1">IFERROR(__xludf.DUMMYFUNCTION("""COMPUTED_VALUE"""),"https://thumbcdn.com/splash/o4sa9bg8tks2nqpd.jpg")</f>
        <v>https://thumbcdn.com/splash/o4sa9bg8tks2nqpd.jpg</v>
      </c>
      <c r="D794" s="12" t="s">
        <v>6090</v>
      </c>
      <c r="E794" s="57" t="str">
        <f ca="1">IFERROR(__xludf.DUMMYFUNCTION("""COMPUTED_VALUE"""),"OK")</f>
        <v>OK</v>
      </c>
      <c r="F794" s="46"/>
      <c r="G794" s="45" t="s">
        <v>10565</v>
      </c>
      <c r="H794" s="45" t="s">
        <v>10566</v>
      </c>
    </row>
    <row r="795" spans="1:8">
      <c r="A795" s="12"/>
      <c r="B795" s="12" t="str">
        <f ca="1">IFERROR(__xludf.DUMMYFUNCTION("""COMPUTED_VALUE"""),"Melanie Marie - 20905476 - PG")</f>
        <v>Melanie Marie - 20905476 - PG</v>
      </c>
      <c r="C795" s="60" t="str">
        <f ca="1">IFERROR(__xludf.DUMMYFUNCTION("""COMPUTED_VALUE"""),"https://thumbcdn.com/splash/l34u1j41dl2jdcc3.jpg")</f>
        <v>https://thumbcdn.com/splash/l34u1j41dl2jdcc3.jpg</v>
      </c>
      <c r="D795" s="12" t="s">
        <v>6106</v>
      </c>
      <c r="E795" s="57" t="str">
        <f ca="1">IFERROR(__xludf.DUMMYFUNCTION("""COMPUTED_VALUE"""),"OK")</f>
        <v>OK</v>
      </c>
      <c r="F795" s="46"/>
      <c r="G795" s="45" t="s">
        <v>10567</v>
      </c>
      <c r="H795" s="45" t="s">
        <v>10568</v>
      </c>
    </row>
    <row r="796" spans="1:8">
      <c r="A796" s="12" t="s">
        <v>10569</v>
      </c>
      <c r="B796" s="12" t="str">
        <f ca="1">IFERROR(__xludf.DUMMYFUNCTION("""COMPUTED_VALUE"""),"Melanie Marie - 24675020 - Tushy")</f>
        <v>Melanie Marie - 24675020 - Tushy</v>
      </c>
      <c r="C796" s="60" t="str">
        <f ca="1">IFERROR(__xludf.DUMMYFUNCTION("""COMPUTED_VALUE"""),"https://thumbcdn.com/splash/mu82p0nzbg8ur53y.jpg")</f>
        <v>https://thumbcdn.com/splash/mu82p0nzbg8ur53y.jpg</v>
      </c>
      <c r="D796" s="12" t="s">
        <v>6111</v>
      </c>
      <c r="E796" s="57" t="str">
        <f ca="1">IFERROR(__xludf.DUMMYFUNCTION("""COMPUTED_VALUE"""),"OK")</f>
        <v>OK</v>
      </c>
      <c r="F796" s="46"/>
      <c r="G796" s="45" t="s">
        <v>10570</v>
      </c>
      <c r="H796" s="45" t="s">
        <v>10571</v>
      </c>
    </row>
    <row r="797" spans="1:8">
      <c r="A797" s="59" t="s">
        <v>10572</v>
      </c>
      <c r="B797" s="12" t="str">
        <f ca="1">IFERROR(__xludf.DUMMYFUNCTION("""COMPUTED_VALUE"""),"Melanie Marie - 69961900 - Onlyfans")</f>
        <v>Melanie Marie - 69961900 - Onlyfans</v>
      </c>
      <c r="C797" s="60" t="str">
        <f ca="1">IFERROR(__xludf.DUMMYFUNCTION("""COMPUTED_VALUE"""),"https://thumbcdn.com/splash/w2llx505v9a1he73.jpg")</f>
        <v>https://thumbcdn.com/splash/w2llx505v9a1he73.jpg</v>
      </c>
      <c r="D797" s="12" t="s">
        <v>6122</v>
      </c>
      <c r="E797" s="57" t="str">
        <f ca="1">IFERROR(__xludf.DUMMYFUNCTION("""COMPUTED_VALUE"""),"OK")</f>
        <v>OK</v>
      </c>
      <c r="F797" s="46"/>
      <c r="G797" s="45" t="s">
        <v>10570</v>
      </c>
      <c r="H797" s="45" t="s">
        <v>10573</v>
      </c>
    </row>
    <row r="798" spans="1:8">
      <c r="A798" s="12"/>
      <c r="B798" s="12" t="str">
        <f ca="1">IFERROR(__xludf.DUMMYFUNCTION("""COMPUTED_VALUE"""),"Melanie Marie - 91881730 - Chaturbate - JackandJill - Dakota Lyn")</f>
        <v>Melanie Marie - 91881730 - Chaturbate - JackandJill - Dakota Lyn</v>
      </c>
      <c r="C798" s="60" t="str">
        <f ca="1">IFERROR(__xludf.DUMMYFUNCTION("""COMPUTED_VALUE"""),"https://thumbcdn.com/splash/id2a1c4gcts4naeb.jpg")</f>
        <v>https://thumbcdn.com/splash/id2a1c4gcts4naeb.jpg</v>
      </c>
      <c r="D798" s="12" t="s">
        <v>6132</v>
      </c>
      <c r="E798" s="57" t="str">
        <f ca="1">IFERROR(__xludf.DUMMYFUNCTION("""COMPUTED_VALUE"""),"OK")</f>
        <v>OK</v>
      </c>
      <c r="F798" s="46"/>
      <c r="G798" s="45" t="s">
        <v>10570</v>
      </c>
      <c r="H798" s="45" t="s">
        <v>10574</v>
      </c>
    </row>
    <row r="799" spans="1:8">
      <c r="A799" s="12" t="s">
        <v>10575</v>
      </c>
      <c r="B799" s="12" t="str">
        <f ca="1">IFERROR(__xludf.DUMMYFUNCTION("""COMPUTED_VALUE"""),"Melody Marks - 41586007 - NF")</f>
        <v>Melody Marks - 41586007 - NF</v>
      </c>
      <c r="C799" s="60" t="str">
        <f ca="1">IFERROR(__xludf.DUMMYFUNCTION("""COMPUTED_VALUE"""),"https://thumbcdn.com/splash/5xe8ygc2t3dhiwl2.jpg")</f>
        <v>https://thumbcdn.com/splash/5xe8ygc2t3dhiwl2.jpg</v>
      </c>
      <c r="D799" s="6" t="s">
        <v>6197</v>
      </c>
      <c r="E799" s="63" t="str">
        <f ca="1">IFERROR(__xludf.DUMMYFUNCTION("""COMPUTED_VALUE"""),"OK")</f>
        <v>OK</v>
      </c>
      <c r="F799" s="46"/>
      <c r="G799" s="45" t="s">
        <v>10570</v>
      </c>
      <c r="H799" s="45" t="s">
        <v>10576</v>
      </c>
    </row>
    <row r="800" spans="1:8">
      <c r="A800" s="59" t="s">
        <v>10577</v>
      </c>
      <c r="B800" s="12" t="str">
        <f ca="1">IFERROR(__xludf.DUMMYFUNCTION("""COMPUTED_VALUE"""),"Melody Marks - 41917273 - Onlyfans")</f>
        <v>Melody Marks - 41917273 - Onlyfans</v>
      </c>
      <c r="C800" s="60" t="str">
        <f ca="1">IFERROR(__xludf.DUMMYFUNCTION("""COMPUTED_VALUE"""),"https://thumbcdn.com/splash/vexcxkh310ro18pw.jpg")</f>
        <v>https://thumbcdn.com/splash/vexcxkh310ro18pw.jpg</v>
      </c>
      <c r="D800" s="12" t="s">
        <v>6202</v>
      </c>
      <c r="E800" s="57" t="str">
        <f ca="1">IFERROR(__xludf.DUMMYFUNCTION("""COMPUTED_VALUE"""),"OK")</f>
        <v>OK</v>
      </c>
      <c r="F800" s="46"/>
      <c r="G800" s="45" t="s">
        <v>10578</v>
      </c>
      <c r="H800" s="45" t="s">
        <v>10579</v>
      </c>
    </row>
    <row r="801" spans="1:8">
      <c r="A801" s="12"/>
      <c r="B801" s="12" t="str">
        <f ca="1">IFERROR(__xludf.DUMMYFUNCTION("""COMPUTED_VALUE"""),"Melody Marks - 44001768 - IP")</f>
        <v>Melody Marks - 44001768 - IP</v>
      </c>
      <c r="C801" s="60" t="str">
        <f ca="1">IFERROR(__xludf.DUMMYFUNCTION("""COMPUTED_VALUE"""),"https://thumbcdn.com/splash/a6r0z9dxsxomeud8.jpg")</f>
        <v>https://thumbcdn.com/splash/a6r0z9dxsxomeud8.jpg</v>
      </c>
      <c r="D801" s="6" t="s">
        <v>6206</v>
      </c>
      <c r="E801" s="63" t="str">
        <f ca="1">IFERROR(__xludf.DUMMYFUNCTION("""COMPUTED_VALUE"""),"OK")</f>
        <v>OK</v>
      </c>
      <c r="F801" s="46"/>
      <c r="G801" s="45" t="s">
        <v>10578</v>
      </c>
      <c r="H801" s="45" t="s">
        <v>10580</v>
      </c>
    </row>
    <row r="802" spans="1:8">
      <c r="A802" s="12" t="s">
        <v>10581</v>
      </c>
      <c r="B802" s="12" t="str">
        <f ca="1">IFERROR(__xludf.DUMMYFUNCTION("""COMPUTED_VALUE"""),"Melody Marks - 49968496 - Deeper")</f>
        <v>Melody Marks - 49968496 - Deeper</v>
      </c>
      <c r="C802" s="60" t="str">
        <f ca="1">IFERROR(__xludf.DUMMYFUNCTION("""COMPUTED_VALUE"""),"https://thumbcdn.com/splash/yyrs9yevekuht3ny.jpg")</f>
        <v>https://thumbcdn.com/splash/yyrs9yevekuht3ny.jpg</v>
      </c>
      <c r="D802" s="12" t="s">
        <v>6222</v>
      </c>
      <c r="E802" s="57" t="str">
        <f ca="1">IFERROR(__xludf.DUMMYFUNCTION("""COMPUTED_VALUE"""),"OK")</f>
        <v>OK</v>
      </c>
      <c r="F802" s="46"/>
      <c r="G802" s="45" t="s">
        <v>10578</v>
      </c>
      <c r="H802" s="45" t="s">
        <v>10582</v>
      </c>
    </row>
    <row r="803" spans="1:8">
      <c r="A803" s="59" t="s">
        <v>10583</v>
      </c>
      <c r="B803" s="12" t="str">
        <f ca="1">IFERROR(__xludf.DUMMYFUNCTION("""COMPUTED_VALUE"""),"Melody Marks - 55284403 - IL")</f>
        <v>Melody Marks - 55284403 - IL</v>
      </c>
      <c r="C803" s="60" t="str">
        <f ca="1">IFERROR(__xludf.DUMMYFUNCTION("""COMPUTED_VALUE"""),"https://thumbcdn.com/splash/e8y88mls7xhaio7u.jpg")</f>
        <v>https://thumbcdn.com/splash/e8y88mls7xhaio7u.jpg</v>
      </c>
      <c r="D803" s="6" t="s">
        <v>6227</v>
      </c>
      <c r="E803" s="63" t="str">
        <f ca="1">IFERROR(__xludf.DUMMYFUNCTION("""COMPUTED_VALUE"""),"OK")</f>
        <v>OK</v>
      </c>
      <c r="F803" s="46"/>
      <c r="G803" s="45" t="s">
        <v>10578</v>
      </c>
      <c r="H803" s="45" t="s">
        <v>10584</v>
      </c>
    </row>
    <row r="804" spans="1:8">
      <c r="A804" s="12"/>
      <c r="B804" s="12" t="str">
        <f ca="1">IFERROR(__xludf.DUMMYFUNCTION("""COMPUTED_VALUE"""),"Melody Marks - 58867059 - PX - Audrey Reid")</f>
        <v>Melody Marks - 58867059 - PX - Audrey Reid</v>
      </c>
      <c r="C804" s="60" t="str">
        <f ca="1">IFERROR(__xludf.DUMMYFUNCTION("""COMPUTED_VALUE"""),"https://thumbcdn.com/splash/6dpx429grzj9orqk.jpg")</f>
        <v>https://thumbcdn.com/splash/6dpx429grzj9orqk.jpg</v>
      </c>
      <c r="D804" s="12" t="s">
        <v>6233</v>
      </c>
      <c r="E804" s="57" t="str">
        <f ca="1">IFERROR(__xludf.DUMMYFUNCTION("""COMPUTED_VALUE"""),"OK")</f>
        <v>OK</v>
      </c>
      <c r="F804" s="46"/>
      <c r="G804" s="45" t="s">
        <v>10578</v>
      </c>
      <c r="H804" s="45" t="s">
        <v>10585</v>
      </c>
    </row>
    <row r="805" spans="1:8">
      <c r="A805" s="12" t="s">
        <v>10586</v>
      </c>
      <c r="B805" s="12" t="str">
        <f ca="1">IFERROR(__xludf.DUMMYFUNCTION("""COMPUTED_VALUE"""),"Melody Marks - 71734885 - Onlyfans")</f>
        <v>Melody Marks - 71734885 - Onlyfans</v>
      </c>
      <c r="C805" s="60" t="str">
        <f ca="1">IFERROR(__xludf.DUMMYFUNCTION("""COMPUTED_VALUE"""),"https://thumbcdn.com/splash/ttlgpjn4lx7kok28.jpg")</f>
        <v>https://thumbcdn.com/splash/ttlgpjn4lx7kok28.jpg</v>
      </c>
      <c r="D805" s="12" t="s">
        <v>6253</v>
      </c>
      <c r="E805" s="57" t="str">
        <f ca="1">IFERROR(__xludf.DUMMYFUNCTION("""COMPUTED_VALUE"""),"OK")</f>
        <v>OK</v>
      </c>
      <c r="F805" s="46"/>
      <c r="G805" s="45" t="s">
        <v>10578</v>
      </c>
      <c r="H805" s="45" t="s">
        <v>10587</v>
      </c>
    </row>
    <row r="806" spans="1:8">
      <c r="A806" s="59" t="s">
        <v>10588</v>
      </c>
      <c r="B806" s="12" t="str">
        <f ca="1">IFERROR(__xludf.DUMMYFUNCTION("""COMPUTED_VALUE"""),"Melody Marks - 77818427 - BlackedRaw - Sky Wonderland")</f>
        <v>Melody Marks - 77818427 - BlackedRaw - Sky Wonderland</v>
      </c>
      <c r="C806" s="60" t="str">
        <f ca="1">IFERROR(__xludf.DUMMYFUNCTION("""COMPUTED_VALUE"""),"https://thumbcdn.com/splash/yb97mpg6hcd0v4v3.jpg")</f>
        <v>https://thumbcdn.com/splash/yb97mpg6hcd0v4v3.jpg</v>
      </c>
      <c r="D806" s="12" t="s">
        <v>6257</v>
      </c>
      <c r="E806" s="57" t="str">
        <f ca="1">IFERROR(__xludf.DUMMYFUNCTION("""COMPUTED_VALUE"""),"OK")</f>
        <v>OK</v>
      </c>
      <c r="F806" s="46"/>
      <c r="G806" s="45" t="s">
        <v>10578</v>
      </c>
      <c r="H806" s="45" t="s">
        <v>10589</v>
      </c>
    </row>
    <row r="807" spans="1:8">
      <c r="A807" s="12"/>
      <c r="B807" s="12" t="str">
        <f ca="1">IFERROR(__xludf.DUMMYFUNCTION("""COMPUTED_VALUE"""),"Melody Marks - 81414858 - Chaturbate - Theodora Day - JackandJill")</f>
        <v>Melody Marks - 81414858 - Chaturbate - Theodora Day - JackandJill</v>
      </c>
      <c r="C807" s="60" t="str">
        <f ca="1">IFERROR(__xludf.DUMMYFUNCTION("""COMPUTED_VALUE"""),"https://thumbcdn.com/splash/t6f0mj8piozg2yaw.jpg")</f>
        <v>https://thumbcdn.com/splash/t6f0mj8piozg2yaw.jpg</v>
      </c>
      <c r="D807" s="12" t="s">
        <v>6267</v>
      </c>
      <c r="E807" s="57" t="str">
        <f ca="1">IFERROR(__xludf.DUMMYFUNCTION("""COMPUTED_VALUE"""),"OK")</f>
        <v>OK</v>
      </c>
      <c r="F807" s="46"/>
      <c r="G807" s="45" t="s">
        <v>10578</v>
      </c>
      <c r="H807" s="45" t="s">
        <v>10590</v>
      </c>
    </row>
    <row r="808" spans="1:8">
      <c r="A808" s="12" t="s">
        <v>10591</v>
      </c>
      <c r="B808" s="12" t="str">
        <f ca="1">IFERROR(__xludf.DUMMYFUNCTION("""COMPUTED_VALUE"""),"Melody Marks - 82099308 - IPOV - Gal Ritchie")</f>
        <v>Melody Marks - 82099308 - IPOV - Gal Ritchie</v>
      </c>
      <c r="C808" s="60" t="str">
        <f ca="1">IFERROR(__xludf.DUMMYFUNCTION("""COMPUTED_VALUE"""),"https://thumbcdn.com/splash/yshxsjpdg0tjfd9p.jpg")</f>
        <v>https://thumbcdn.com/splash/yshxsjpdg0tjfd9p.jpg</v>
      </c>
      <c r="D808" s="12" t="s">
        <v>6272</v>
      </c>
      <c r="E808" s="57" t="str">
        <f ca="1">IFERROR(__xludf.DUMMYFUNCTION("""COMPUTED_VALUE"""),"OK")</f>
        <v>OK</v>
      </c>
      <c r="F808" s="46"/>
      <c r="G808" s="45" t="s">
        <v>10578</v>
      </c>
      <c r="H808" s="45" t="s">
        <v>10592</v>
      </c>
    </row>
    <row r="809" spans="1:8">
      <c r="A809" s="59" t="s">
        <v>10593</v>
      </c>
      <c r="B809" s="12" t="str">
        <f ca="1">IFERROR(__xludf.DUMMYFUNCTION("""COMPUTED_VALUE"""),"Melody Marks - 88122372 - OF")</f>
        <v>Melody Marks - 88122372 - OF</v>
      </c>
      <c r="C809" s="60" t="str">
        <f ca="1">IFERROR(__xludf.DUMMYFUNCTION("""COMPUTED_VALUE"""),"https://thumbcdn.com/splash/lwa3bu7h2qd1w150.jpg")</f>
        <v>https://thumbcdn.com/splash/lwa3bu7h2qd1w150.jpg</v>
      </c>
      <c r="D809" s="12" t="s">
        <v>6301</v>
      </c>
      <c r="E809" s="57" t="str">
        <f ca="1">IFERROR(__xludf.DUMMYFUNCTION("""COMPUTED_VALUE"""),"OK")</f>
        <v>OK</v>
      </c>
      <c r="F809" s="46"/>
      <c r="G809" s="45" t="s">
        <v>10578</v>
      </c>
      <c r="H809" s="45" t="s">
        <v>10594</v>
      </c>
    </row>
    <row r="810" spans="1:8">
      <c r="A810" s="12"/>
      <c r="B810" s="12" t="str">
        <f ca="1">IFERROR(__xludf.DUMMYFUNCTION("""COMPUTED_VALUE"""),"Mia Malkova - 17691696 - Onlyfans")</f>
        <v>Mia Malkova - 17691696 - Onlyfans</v>
      </c>
      <c r="C810" s="60" t="str">
        <f ca="1">IFERROR(__xludf.DUMMYFUNCTION("""COMPUTED_VALUE"""),"https://thumbcdn.com/splash/8q29i84kcyjyzhmm.jpg")</f>
        <v>https://thumbcdn.com/splash/8q29i84kcyjyzhmm.jpg</v>
      </c>
      <c r="D810" s="6" t="s">
        <v>6318</v>
      </c>
      <c r="E810" s="63" t="str">
        <f ca="1">IFERROR(__xludf.DUMMYFUNCTION("""COMPUTED_VALUE"""),"OK")</f>
        <v>OK</v>
      </c>
      <c r="F810" s="46"/>
      <c r="G810" s="45" t="s">
        <v>10578</v>
      </c>
      <c r="H810" s="45" t="s">
        <v>10595</v>
      </c>
    </row>
    <row r="811" spans="1:8">
      <c r="A811" s="12" t="s">
        <v>10596</v>
      </c>
      <c r="B811" s="12" t="str">
        <f ca="1">IFERROR(__xludf.DUMMYFUNCTION("""COMPUTED_VALUE"""),"Mia Malkova - 18416994 - Onlyfans")</f>
        <v>Mia Malkova - 18416994 - Onlyfans</v>
      </c>
      <c r="C811" s="60" t="str">
        <f ca="1">IFERROR(__xludf.DUMMYFUNCTION("""COMPUTED_VALUE"""),"https://thumbcdn.com/splash/o5nj2vvyy6kebcm5.jpg")</f>
        <v>https://thumbcdn.com/splash/o5nj2vvyy6kebcm5.jpg</v>
      </c>
      <c r="D811" s="12" t="s">
        <v>6324</v>
      </c>
      <c r="E811" s="57" t="str">
        <f ca="1">IFERROR(__xludf.DUMMYFUNCTION("""COMPUTED_VALUE"""),"OK")</f>
        <v>OK</v>
      </c>
      <c r="F811" s="46"/>
      <c r="G811" s="45" t="s">
        <v>10597</v>
      </c>
      <c r="H811" s="45" t="s">
        <v>10598</v>
      </c>
    </row>
    <row r="812" spans="1:8">
      <c r="A812" s="59" t="s">
        <v>10599</v>
      </c>
      <c r="B812" s="12" t="str">
        <f ca="1">IFERROR(__xludf.DUMMYFUNCTION("""COMPUTED_VALUE"""),"Mia Malkova - 22061583 - Onlyfans - Belle Delphine")</f>
        <v>Mia Malkova - 22061583 - Onlyfans - Belle Delphine</v>
      </c>
      <c r="C812" s="60" t="str">
        <f ca="1">IFERROR(__xludf.DUMMYFUNCTION("""COMPUTED_VALUE"""),"https://thumbcdn.com/splash/vuazx1zx79mr92ft.jpg")</f>
        <v>https://thumbcdn.com/splash/vuazx1zx79mr92ft.jpg</v>
      </c>
      <c r="D812" s="12" t="s">
        <v>6330</v>
      </c>
      <c r="E812" s="57" t="str">
        <f ca="1">IFERROR(__xludf.DUMMYFUNCTION("""COMPUTED_VALUE"""),"OK")</f>
        <v>OK</v>
      </c>
      <c r="F812" s="46"/>
      <c r="G812" s="45" t="s">
        <v>10597</v>
      </c>
      <c r="H812" s="45" t="s">
        <v>10600</v>
      </c>
    </row>
    <row r="813" spans="1:8">
      <c r="A813" s="12"/>
      <c r="B813" s="12" t="str">
        <f ca="1">IFERROR(__xludf.DUMMYFUNCTION("""COMPUTED_VALUE"""),"Mia Malkova - 38489095 - Onlyfans")</f>
        <v>Mia Malkova - 38489095 - Onlyfans</v>
      </c>
      <c r="C813" s="60" t="str">
        <f ca="1">IFERROR(__xludf.DUMMYFUNCTION("""COMPUTED_VALUE"""),"https://thumbcdn.com/splash/jaeqzmdyutq87bnm.jpg")</f>
        <v>https://thumbcdn.com/splash/jaeqzmdyutq87bnm.jpg</v>
      </c>
      <c r="D813" s="12" t="s">
        <v>6334</v>
      </c>
      <c r="E813" s="57" t="str">
        <f ca="1">IFERROR(__xludf.DUMMYFUNCTION("""COMPUTED_VALUE"""),"OK")</f>
        <v>OK</v>
      </c>
      <c r="F813" s="46"/>
      <c r="G813" s="45" t="s">
        <v>10597</v>
      </c>
      <c r="H813" s="45" t="s">
        <v>10601</v>
      </c>
    </row>
    <row r="814" spans="1:8">
      <c r="A814" s="12" t="s">
        <v>10602</v>
      </c>
      <c r="B814" s="12" t="str">
        <f ca="1">IFERROR(__xludf.DUMMYFUNCTION("""COMPUTED_VALUE"""),"Mia Malkova - 41359143 - Onlyfans")</f>
        <v>Mia Malkova - 41359143 - Onlyfans</v>
      </c>
      <c r="C814" s="60" t="str">
        <f ca="1">IFERROR(__xludf.DUMMYFUNCTION("""COMPUTED_VALUE"""),"https://thumbcdn.com/splash/h5xuyfymzcbymmgn.jpg")</f>
        <v>https://thumbcdn.com/splash/h5xuyfymzcbymmgn.jpg</v>
      </c>
      <c r="D814" s="12" t="s">
        <v>6338</v>
      </c>
      <c r="E814" s="57" t="str">
        <f ca="1">IFERROR(__xludf.DUMMYFUNCTION("""COMPUTED_VALUE"""),"OK")</f>
        <v>OK</v>
      </c>
      <c r="F814" s="46"/>
      <c r="G814" s="45" t="s">
        <v>10597</v>
      </c>
      <c r="H814" s="45" t="s">
        <v>10603</v>
      </c>
    </row>
    <row r="815" spans="1:8">
      <c r="A815" s="59" t="s">
        <v>10604</v>
      </c>
      <c r="B815" s="12" t="str">
        <f ca="1">IFERROR(__xludf.DUMMYFUNCTION("""COMPUTED_VALUE"""),"Mia Malkova - 42738945 - Onlyfans")</f>
        <v>Mia Malkova - 42738945 - Onlyfans</v>
      </c>
      <c r="C815" s="60" t="str">
        <f ca="1">IFERROR(__xludf.DUMMYFUNCTION("""COMPUTED_VALUE"""),"https://thumbcdn.com/splash/b08syigy5m763dmi.jpg")</f>
        <v>https://thumbcdn.com/splash/b08syigy5m763dmi.jpg</v>
      </c>
      <c r="D815" s="12" t="s">
        <v>6342</v>
      </c>
      <c r="E815" s="57" t="str">
        <f ca="1">IFERROR(__xludf.DUMMYFUNCTION("""COMPUTED_VALUE"""),"OK")</f>
        <v>OK</v>
      </c>
      <c r="F815" s="46"/>
      <c r="G815" s="45" t="s">
        <v>10597</v>
      </c>
      <c r="H815" s="45" t="s">
        <v>10605</v>
      </c>
    </row>
    <row r="816" spans="1:8">
      <c r="A816" s="12"/>
      <c r="B816" s="12" t="str">
        <f ca="1">IFERROR(__xludf.DUMMYFUNCTION("""COMPUTED_VALUE"""),"Mia Malkova - 45449164 - Onlyfans")</f>
        <v>Mia Malkova - 45449164 - Onlyfans</v>
      </c>
      <c r="C816" s="60" t="str">
        <f ca="1">IFERROR(__xludf.DUMMYFUNCTION("""COMPUTED_VALUE"""),"https://thumbcdn.com/splash/qacc20393vngmpkh.jpg")</f>
        <v>https://thumbcdn.com/splash/qacc20393vngmpkh.jpg</v>
      </c>
      <c r="D816" s="12" t="s">
        <v>6347</v>
      </c>
      <c r="E816" s="57" t="str">
        <f ca="1">IFERROR(__xludf.DUMMYFUNCTION("""COMPUTED_VALUE"""),"OK")</f>
        <v>OK</v>
      </c>
      <c r="F816" s="46"/>
      <c r="G816" s="45" t="s">
        <v>10597</v>
      </c>
      <c r="H816" s="45" t="s">
        <v>10606</v>
      </c>
    </row>
    <row r="817" spans="1:8">
      <c r="A817" s="12" t="s">
        <v>10607</v>
      </c>
      <c r="B817" s="12" t="str">
        <f ca="1">IFERROR(__xludf.DUMMYFUNCTION("""COMPUTED_VALUE"""),"Mia Malkova - 51929303 - Onlyfans")</f>
        <v>Mia Malkova - 51929303 - Onlyfans</v>
      </c>
      <c r="C817" s="60" t="str">
        <f ca="1">IFERROR(__xludf.DUMMYFUNCTION("""COMPUTED_VALUE"""),"https://thumbcdn.com/splash/simialc1l773mkeo.jpg")</f>
        <v>https://thumbcdn.com/splash/simialc1l773mkeo.jpg</v>
      </c>
      <c r="D817" s="6" t="s">
        <v>6351</v>
      </c>
      <c r="E817" s="63" t="str">
        <f ca="1">IFERROR(__xludf.DUMMYFUNCTION("""COMPUTED_VALUE"""),"OK")</f>
        <v>OK</v>
      </c>
      <c r="F817" s="46"/>
      <c r="G817" s="45" t="s">
        <v>10597</v>
      </c>
      <c r="H817" s="45" t="s">
        <v>10608</v>
      </c>
    </row>
    <row r="818" spans="1:8">
      <c r="A818" s="59" t="s">
        <v>10609</v>
      </c>
      <c r="B818" s="12" t="str">
        <f ca="1">IFERROR(__xludf.DUMMYFUNCTION("""COMPUTED_VALUE"""),"Mia Malkova - 58518494 - Onlyfans - Elle Brooke")</f>
        <v>Mia Malkova - 58518494 - Onlyfans - Elle Brooke</v>
      </c>
      <c r="C818" s="60" t="str">
        <f ca="1">IFERROR(__xludf.DUMMYFUNCTION("""COMPUTED_VALUE"""),"https://thumbcdn.com/splash/a378iwn5d5y3iahu.jpg")</f>
        <v>https://thumbcdn.com/splash/a378iwn5d5y3iahu.jpg</v>
      </c>
      <c r="D818" s="12" t="s">
        <v>6357</v>
      </c>
      <c r="E818" s="57" t="str">
        <f ca="1">IFERROR(__xludf.DUMMYFUNCTION("""COMPUTED_VALUE"""),"OK")</f>
        <v>OK</v>
      </c>
      <c r="F818" s="46"/>
      <c r="G818" s="45" t="s">
        <v>10597</v>
      </c>
      <c r="H818" s="45" t="s">
        <v>10610</v>
      </c>
    </row>
    <row r="819" spans="1:8">
      <c r="A819" s="12"/>
      <c r="B819" s="12" t="str">
        <f ca="1">IFERROR(__xludf.DUMMYFUNCTION("""COMPUTED_VALUE"""),"Mia Malkova - 58551090 - Onlyfans")</f>
        <v>Mia Malkova - 58551090 - Onlyfans</v>
      </c>
      <c r="C819" s="60" t="str">
        <f ca="1">IFERROR(__xludf.DUMMYFUNCTION("""COMPUTED_VALUE"""),"https://thumbcdn.com/splash/0wa6r805nfjds2a2.jpg")</f>
        <v>https://thumbcdn.com/splash/0wa6r805nfjds2a2.jpg</v>
      </c>
      <c r="D819" s="6" t="s">
        <v>6361</v>
      </c>
      <c r="E819" s="63" t="str">
        <f ca="1">IFERROR(__xludf.DUMMYFUNCTION("""COMPUTED_VALUE"""),"OK")</f>
        <v>OK</v>
      </c>
      <c r="F819" s="46"/>
      <c r="G819" s="45" t="s">
        <v>10597</v>
      </c>
      <c r="H819" s="45" t="s">
        <v>10611</v>
      </c>
    </row>
    <row r="820" spans="1:8">
      <c r="A820" s="12" t="s">
        <v>10612</v>
      </c>
      <c r="B820" s="12" t="str">
        <f ca="1">IFERROR(__xludf.DUMMYFUNCTION("""COMPUTED_VALUE"""),"Mia Malkova - 70813268 - Onlyfans")</f>
        <v>Mia Malkova - 70813268 - Onlyfans</v>
      </c>
      <c r="C820" s="60" t="str">
        <f ca="1">IFERROR(__xludf.DUMMYFUNCTION("""COMPUTED_VALUE"""),"https://thumbcdn.com/splash/3pzlp6rgwsuojarg.jpg")</f>
        <v>https://thumbcdn.com/splash/3pzlp6rgwsuojarg.jpg</v>
      </c>
      <c r="D820" s="12" t="s">
        <v>6369</v>
      </c>
      <c r="E820" s="57" t="str">
        <f ca="1">IFERROR(__xludf.DUMMYFUNCTION("""COMPUTED_VALUE"""),"OK")</f>
        <v>OK</v>
      </c>
      <c r="F820" s="46"/>
      <c r="G820" s="45" t="s">
        <v>10597</v>
      </c>
      <c r="H820" s="45" t="s">
        <v>10613</v>
      </c>
    </row>
    <row r="821" spans="1:8">
      <c r="A821" s="59" t="s">
        <v>10614</v>
      </c>
      <c r="B821" s="12" t="str">
        <f ca="1">IFERROR(__xludf.DUMMYFUNCTION("""COMPUTED_VALUE"""),"Mia Malkova - 87253864 - Onlyfans")</f>
        <v>Mia Malkova - 87253864 - Onlyfans</v>
      </c>
      <c r="C821" s="60" t="str">
        <f ca="1">IFERROR(__xludf.DUMMYFUNCTION("""COMPUTED_VALUE"""),"https://thumbcdn.com/splash/z22t6di1wo7ygzp7.jpg")</f>
        <v>https://thumbcdn.com/splash/z22t6di1wo7ygzp7.jpg</v>
      </c>
      <c r="D821" s="6" t="s">
        <v>6373</v>
      </c>
      <c r="E821" s="63" t="str">
        <f ca="1">IFERROR(__xludf.DUMMYFUNCTION("""COMPUTED_VALUE"""),"OK")</f>
        <v>OK</v>
      </c>
      <c r="F821" s="46"/>
      <c r="G821" s="45" t="s">
        <v>10597</v>
      </c>
      <c r="H821" s="45" t="s">
        <v>10615</v>
      </c>
    </row>
    <row r="822" spans="1:8">
      <c r="A822" s="12"/>
      <c r="B822" s="12" t="str">
        <f ca="1">IFERROR(__xludf.DUMMYFUNCTION("""COMPUTED_VALUE"""),"Mia Malkova - 92617722 - Onlyfans")</f>
        <v>Mia Malkova - 92617722 - Onlyfans</v>
      </c>
      <c r="C822" s="60" t="str">
        <f ca="1">IFERROR(__xludf.DUMMYFUNCTION("""COMPUTED_VALUE"""),"https://thumbcdn.com/splash/s7aicwm4moe27ism.jpg")</f>
        <v>https://thumbcdn.com/splash/s7aicwm4moe27ism.jpg</v>
      </c>
      <c r="D822" s="16" t="s">
        <v>6378</v>
      </c>
      <c r="E822" s="57" t="str">
        <f ca="1">IFERROR(__xludf.DUMMYFUNCTION("""COMPUTED_VALUE"""),"OK")</f>
        <v>OK</v>
      </c>
      <c r="F822" s="46"/>
      <c r="G822" s="45" t="s">
        <v>10597</v>
      </c>
      <c r="H822" s="45" t="s">
        <v>10616</v>
      </c>
    </row>
    <row r="823" spans="1:8">
      <c r="A823" s="12" t="s">
        <v>10617</v>
      </c>
      <c r="B823" s="12" t="str">
        <f ca="1">IFERROR(__xludf.DUMMYFUNCTION("""COMPUTED_VALUE"""),"Mila Sobolov - 55887993 - Onlyfans")</f>
        <v>Mila Sobolov - 55887993 - Onlyfans</v>
      </c>
      <c r="C823" s="60" t="str">
        <f ca="1">IFERROR(__xludf.DUMMYFUNCTION("""COMPUTED_VALUE"""),"https://thumbcdn.com/splash/5r4e6cwud5z5s58s.jpg")</f>
        <v>https://thumbcdn.com/splash/5r4e6cwud5z5s58s.jpg</v>
      </c>
      <c r="D823" s="12" t="s">
        <v>6394</v>
      </c>
      <c r="E823" s="57" t="str">
        <f ca="1">IFERROR(__xludf.DUMMYFUNCTION("""COMPUTED_VALUE"""),"OK")</f>
        <v>OK</v>
      </c>
      <c r="F823" s="46"/>
      <c r="G823" s="45" t="s">
        <v>10597</v>
      </c>
      <c r="H823" s="45" t="s">
        <v>10618</v>
      </c>
    </row>
    <row r="824" spans="1:8">
      <c r="A824" s="59" t="s">
        <v>10619</v>
      </c>
      <c r="B824" s="12" t="str">
        <f ca="1">IFERROR(__xludf.DUMMYFUNCTION("""COMPUTED_VALUE"""),"Mini Loonaa - 24435407 - Onlyfans")</f>
        <v>Mini Loonaa - 24435407 - Onlyfans</v>
      </c>
      <c r="C824" s="60" t="str">
        <f ca="1">IFERROR(__xludf.DUMMYFUNCTION("""COMPUTED_VALUE"""),"https://thumbcdn.com/splash/t503y9kbt69wuw0m.jpg")</f>
        <v>https://thumbcdn.com/splash/t503y9kbt69wuw0m.jpg</v>
      </c>
      <c r="D824" s="6" t="s">
        <v>6405</v>
      </c>
      <c r="E824" s="63" t="str">
        <f ca="1">IFERROR(__xludf.DUMMYFUNCTION("""COMPUTED_VALUE"""),"OK")</f>
        <v>OK</v>
      </c>
      <c r="F824" s="46"/>
      <c r="G824" s="45" t="s">
        <v>10620</v>
      </c>
      <c r="H824" s="45" t="s">
        <v>10621</v>
      </c>
    </row>
    <row r="825" spans="1:8">
      <c r="A825" s="12"/>
      <c r="B825" s="12" t="str">
        <f ca="1">IFERROR(__xludf.DUMMYFUNCTION("""COMPUTED_VALUE"""),"Mini Loonaa - 35538209 - Onlyfans")</f>
        <v>Mini Loonaa - 35538209 - Onlyfans</v>
      </c>
      <c r="C825" s="60" t="str">
        <f ca="1">IFERROR(__xludf.DUMMYFUNCTION("""COMPUTED_VALUE"""),"https://thumbcdn.com/splash/a0u6kndno5d3ytwf.jpg")</f>
        <v>https://thumbcdn.com/splash/a0u6kndno5d3ytwf.jpg</v>
      </c>
      <c r="D825" s="12" t="s">
        <v>6414</v>
      </c>
      <c r="E825" s="57" t="str">
        <f ca="1">IFERROR(__xludf.DUMMYFUNCTION("""COMPUTED_VALUE"""),"OK")</f>
        <v>OK</v>
      </c>
      <c r="F825" s="46"/>
      <c r="G825" s="45" t="s">
        <v>10622</v>
      </c>
      <c r="H825" s="45" t="s">
        <v>10623</v>
      </c>
    </row>
    <row r="826" spans="1:8">
      <c r="A826" s="12" t="s">
        <v>10624</v>
      </c>
      <c r="B826" s="12" t="str">
        <f ca="1">IFERROR(__xludf.DUMMYFUNCTION("""COMPUTED_VALUE"""),"Mini Loonaa - 35834297 - Onlyfans")</f>
        <v>Mini Loonaa - 35834297 - Onlyfans</v>
      </c>
      <c r="C826" s="60" t="str">
        <f ca="1">IFERROR(__xludf.DUMMYFUNCTION("""COMPUTED_VALUE"""),"https://thumbcdn.com/splash/tr4yhcpstjdd6lwf.jpg")</f>
        <v>https://thumbcdn.com/splash/tr4yhcpstjdd6lwf.jpg</v>
      </c>
      <c r="D826" s="12" t="s">
        <v>6418</v>
      </c>
      <c r="E826" s="57" t="str">
        <f ca="1">IFERROR(__xludf.DUMMYFUNCTION("""COMPUTED_VALUE"""),"OK")</f>
        <v>OK</v>
      </c>
      <c r="F826" s="46"/>
      <c r="G826" s="45" t="s">
        <v>10622</v>
      </c>
      <c r="H826" s="45" t="s">
        <v>10625</v>
      </c>
    </row>
    <row r="827" spans="1:8">
      <c r="A827" s="59" t="s">
        <v>10626</v>
      </c>
      <c r="B827" s="12" t="str">
        <f ca="1">IFERROR(__xludf.DUMMYFUNCTION("""COMPUTED_VALUE"""),"Mini Loonaa - 64264764 - Onlyfans")</f>
        <v>Mini Loonaa - 64264764 - Onlyfans</v>
      </c>
      <c r="C827" s="60" t="str">
        <f ca="1">IFERROR(__xludf.DUMMYFUNCTION("""COMPUTED_VALUE"""),"https://thumbcdn.com/splash/fdkouvmsfpnf7d46.jpg")</f>
        <v>https://thumbcdn.com/splash/fdkouvmsfpnf7d46.jpg</v>
      </c>
      <c r="D827" s="12" t="s">
        <v>6427</v>
      </c>
      <c r="E827" s="57" t="str">
        <f ca="1">IFERROR(__xludf.DUMMYFUNCTION("""COMPUTED_VALUE"""),"OK")</f>
        <v>OK</v>
      </c>
      <c r="F827" s="46"/>
      <c r="G827" s="45" t="s">
        <v>10622</v>
      </c>
      <c r="H827" s="45" t="s">
        <v>10627</v>
      </c>
    </row>
    <row r="828" spans="1:8">
      <c r="A828" s="12"/>
      <c r="B828" s="12" t="str">
        <f ca="1">IFERROR(__xludf.DUMMYFUNCTION("""COMPUTED_VALUE"""),"Mini Loonaa - 71137386 - Onlyfans")</f>
        <v>Mini Loonaa - 71137386 - Onlyfans</v>
      </c>
      <c r="C828" s="60" t="str">
        <f ca="1">IFERROR(__xludf.DUMMYFUNCTION("""COMPUTED_VALUE"""),"https://thumbcdn.com/splash/2oxarvh93igsxovm.jpg")</f>
        <v>https://thumbcdn.com/splash/2oxarvh93igsxovm.jpg</v>
      </c>
      <c r="D828" s="12" t="s">
        <v>6431</v>
      </c>
      <c r="E828" s="57" t="str">
        <f ca="1">IFERROR(__xludf.DUMMYFUNCTION("""COMPUTED_VALUE"""),"OK")</f>
        <v>OK</v>
      </c>
      <c r="F828" s="46"/>
      <c r="G828" s="45" t="s">
        <v>10622</v>
      </c>
      <c r="H828" s="45" t="s">
        <v>10628</v>
      </c>
    </row>
    <row r="829" spans="1:8">
      <c r="A829" s="12" t="s">
        <v>10629</v>
      </c>
      <c r="B829" s="12" t="str">
        <f ca="1">IFERROR(__xludf.DUMMYFUNCTION("""COMPUTED_VALUE"""),"Misty - 77897391 - PS")</f>
        <v>Misty - 77897391 - PS</v>
      </c>
      <c r="C829" s="60" t="str">
        <f ca="1">IFERROR(__xludf.DUMMYFUNCTION("""COMPUTED_VALUE"""),"https://thumbcdn.com/splash/4zqpk0uk0crvvq88.jpg")</f>
        <v>https://thumbcdn.com/splash/4zqpk0uk0crvvq88.jpg</v>
      </c>
      <c r="D829" s="12" t="s">
        <v>6442</v>
      </c>
      <c r="E829" s="57" t="str">
        <f ca="1">IFERROR(__xludf.DUMMYFUNCTION("""COMPUTED_VALUE"""),"OK")</f>
        <v>OK</v>
      </c>
      <c r="F829" s="46"/>
      <c r="G829" s="45" t="s">
        <v>10622</v>
      </c>
      <c r="H829" s="45" t="s">
        <v>10630</v>
      </c>
    </row>
    <row r="830" spans="1:8">
      <c r="A830" s="59" t="s">
        <v>10631</v>
      </c>
      <c r="B830" s="12" t="str">
        <f ca="1">IFERROR(__xludf.DUMMYFUNCTION("""COMPUTED_VALUE"""),"Nakedbarbiedoll - 24627046 - Onlyfans")</f>
        <v>Nakedbarbiedoll - 24627046 - Onlyfans</v>
      </c>
      <c r="C830" s="60" t="str">
        <f ca="1">IFERROR(__xludf.DUMMYFUNCTION("""COMPUTED_VALUE"""),"https://thumbcdn.com/splash/yk4lplajzuuezeuh.jpg")</f>
        <v>https://thumbcdn.com/splash/yk4lplajzuuezeuh.jpg</v>
      </c>
      <c r="D830" s="12" t="s">
        <v>6448</v>
      </c>
      <c r="E830" s="57" t="str">
        <f ca="1">IFERROR(__xludf.DUMMYFUNCTION("""COMPUTED_VALUE"""),"OK")</f>
        <v>OK</v>
      </c>
      <c r="F830" s="46"/>
      <c r="G830" s="45" t="s">
        <v>10632</v>
      </c>
      <c r="H830" s="45" t="s">
        <v>10633</v>
      </c>
    </row>
    <row r="831" spans="1:8">
      <c r="A831" s="12"/>
      <c r="B831" s="12" t="str">
        <f ca="1">IFERROR(__xludf.DUMMYFUNCTION("""COMPUTED_VALUE"""),"Natasha Nice - 24690414 - Onlyfans")</f>
        <v>Natasha Nice - 24690414 - Onlyfans</v>
      </c>
      <c r="C831" s="60" t="str">
        <f ca="1">IFERROR(__xludf.DUMMYFUNCTION("""COMPUTED_VALUE"""),"https://thumbcdn.com/splash/zuk6efe7xfthn3qk.jpg")</f>
        <v>https://thumbcdn.com/splash/zuk6efe7xfthn3qk.jpg</v>
      </c>
      <c r="D831" s="6" t="s">
        <v>6459</v>
      </c>
      <c r="E831" s="63" t="str">
        <f ca="1">IFERROR(__xludf.DUMMYFUNCTION("""COMPUTED_VALUE"""),"OK")</f>
        <v>OK</v>
      </c>
      <c r="F831" s="46"/>
      <c r="G831" s="45" t="s">
        <v>10634</v>
      </c>
      <c r="H831" s="45" t="s">
        <v>10635</v>
      </c>
    </row>
    <row r="832" spans="1:8">
      <c r="A832" s="12" t="s">
        <v>10636</v>
      </c>
      <c r="B832" s="12" t="str">
        <f ca="1">IFERROR(__xludf.DUMMYFUNCTION("""COMPUTED_VALUE"""),"Natasha Nice - 50308482 - Onlyfans")</f>
        <v>Natasha Nice - 50308482 - Onlyfans</v>
      </c>
      <c r="C832" s="60" t="str">
        <f ca="1">IFERROR(__xludf.DUMMYFUNCTION("""COMPUTED_VALUE"""),"https://thumbcdn.com/splash/l1olo1aa723hd9y3.jpg")</f>
        <v>https://thumbcdn.com/splash/l1olo1aa723hd9y3.jpg</v>
      </c>
      <c r="D832" s="6" t="s">
        <v>6473</v>
      </c>
      <c r="E832" s="63" t="str">
        <f ca="1">IFERROR(__xludf.DUMMYFUNCTION("""COMPUTED_VALUE"""),"OK")</f>
        <v>OK</v>
      </c>
      <c r="F832" s="46"/>
      <c r="G832" s="45" t="s">
        <v>10637</v>
      </c>
      <c r="H832" s="45" t="s">
        <v>10638</v>
      </c>
    </row>
    <row r="833" spans="1:8">
      <c r="A833" s="59" t="s">
        <v>10639</v>
      </c>
      <c r="B833" s="12" t="str">
        <f ca="1">IFERROR(__xludf.DUMMYFUNCTION("""COMPUTED_VALUE"""),"Natasha Nice - 57865739 - XVRED")</f>
        <v>Natasha Nice - 57865739 - XVRED</v>
      </c>
      <c r="C833" s="60" t="str">
        <f ca="1">IFERROR(__xludf.DUMMYFUNCTION("""COMPUTED_VALUE"""),"https://thumbcdn.com/splash/fxw76mpq6zzi3hr4.jpg")</f>
        <v>https://thumbcdn.com/splash/fxw76mpq6zzi3hr4.jpg</v>
      </c>
      <c r="D833" s="12" t="s">
        <v>6477</v>
      </c>
      <c r="E833" s="57" t="str">
        <f ca="1">IFERROR(__xludf.DUMMYFUNCTION("""COMPUTED_VALUE"""),"OK")</f>
        <v>OK</v>
      </c>
      <c r="F833" s="46"/>
      <c r="G833" s="45" t="s">
        <v>10637</v>
      </c>
      <c r="H833" s="45" t="s">
        <v>10640</v>
      </c>
    </row>
    <row r="834" spans="1:8">
      <c r="A834" s="12"/>
      <c r="B834" s="12" t="str">
        <f ca="1">IFERROR(__xludf.DUMMYFUNCTION("""COMPUTED_VALUE"""),"Natasha Nice - 60001539 - XVRED")</f>
        <v>Natasha Nice - 60001539 - XVRED</v>
      </c>
      <c r="C834" s="60" t="str">
        <f ca="1">IFERROR(__xludf.DUMMYFUNCTION("""COMPUTED_VALUE"""),"https://thumbcdn.com/splash/x28nzwvhjjuhx3gv.jpg")</f>
        <v>https://thumbcdn.com/splash/x28nzwvhjjuhx3gv.jpg</v>
      </c>
      <c r="D834" s="6" t="s">
        <v>6481</v>
      </c>
      <c r="E834" s="63" t="str">
        <f ca="1">IFERROR(__xludf.DUMMYFUNCTION("""COMPUTED_VALUE"""),"OK")</f>
        <v>OK</v>
      </c>
      <c r="F834" s="46"/>
      <c r="G834" s="45" t="s">
        <v>10637</v>
      </c>
      <c r="H834" s="45" t="s">
        <v>10641</v>
      </c>
    </row>
    <row r="835" spans="1:8">
      <c r="A835" s="12" t="s">
        <v>10642</v>
      </c>
      <c r="B835" s="12" t="str">
        <f ca="1">IFERROR(__xludf.DUMMYFUNCTION("""COMPUTED_VALUE"""),"Natasha Nice - 70766285 - XVRED")</f>
        <v>Natasha Nice - 70766285 - XVRED</v>
      </c>
      <c r="C835" s="60" t="str">
        <f ca="1">IFERROR(__xludf.DUMMYFUNCTION("""COMPUTED_VALUE"""),"https://thumbcdn.com/splash/xlnlj6hx9ha763nw.jpg")</f>
        <v>https://thumbcdn.com/splash/xlnlj6hx9ha763nw.jpg</v>
      </c>
      <c r="D835" s="6" t="s">
        <v>6485</v>
      </c>
      <c r="E835" s="63" t="str">
        <f ca="1">IFERROR(__xludf.DUMMYFUNCTION("""COMPUTED_VALUE"""),"OK")</f>
        <v>OK</v>
      </c>
      <c r="F835" s="46"/>
      <c r="G835" s="45" t="s">
        <v>10637</v>
      </c>
      <c r="H835" s="45" t="s">
        <v>10643</v>
      </c>
    </row>
    <row r="836" spans="1:8">
      <c r="A836" s="59" t="s">
        <v>10644</v>
      </c>
      <c r="B836" s="12" t="str">
        <f ca="1">IFERROR(__xludf.DUMMYFUNCTION("""COMPUTED_VALUE"""),"Natasha Nice - 97260972 - Onlyfans")</f>
        <v>Natasha Nice - 97260972 - Onlyfans</v>
      </c>
      <c r="C836" s="60" t="str">
        <f ca="1">IFERROR(__xludf.DUMMYFUNCTION("""COMPUTED_VALUE"""),"https://thumbcdn.com/splash/cwuqhqrka8ssz2vs.jpg")</f>
        <v>https://thumbcdn.com/splash/cwuqhqrka8ssz2vs.jpg</v>
      </c>
      <c r="D836" s="12" t="s">
        <v>6491</v>
      </c>
      <c r="E836" s="57" t="str">
        <f ca="1">IFERROR(__xludf.DUMMYFUNCTION("""COMPUTED_VALUE"""),"OK")</f>
        <v>OK</v>
      </c>
      <c r="F836" s="46"/>
      <c r="G836" s="45" t="s">
        <v>10637</v>
      </c>
      <c r="H836" s="45" t="s">
        <v>10645</v>
      </c>
    </row>
    <row r="837" spans="1:8">
      <c r="A837" s="12"/>
      <c r="B837" s="12" t="str">
        <f ca="1">IFERROR(__xludf.DUMMYFUNCTION("""COMPUTED_VALUE"""),"Nikoletta Queen - 54048368 - DD4K")</f>
        <v>Nikoletta Queen - 54048368 - DD4K</v>
      </c>
      <c r="C837" s="60" t="str">
        <f ca="1">IFERROR(__xludf.DUMMYFUNCTION("""COMPUTED_VALUE"""),"https://thumbcdn.com/splash/oub9palqufu47s5h.jpg")</f>
        <v>https://thumbcdn.com/splash/oub9palqufu47s5h.jpg</v>
      </c>
      <c r="D837" s="6" t="s">
        <v>6513</v>
      </c>
      <c r="E837" s="63" t="str">
        <f ca="1">IFERROR(__xludf.DUMMYFUNCTION("""COMPUTED_VALUE"""),"OK")</f>
        <v>OK</v>
      </c>
      <c r="F837" s="46"/>
      <c r="G837" s="45" t="s">
        <v>10637</v>
      </c>
      <c r="H837" s="45" t="s">
        <v>10646</v>
      </c>
    </row>
    <row r="838" spans="1:8">
      <c r="A838" s="12" t="s">
        <v>10647</v>
      </c>
      <c r="B838" s="12" t="str">
        <f ca="1">IFERROR(__xludf.DUMMYFUNCTION("""COMPUTED_VALUE"""),"Nina - 62548810 - BackroomCastingCouch")</f>
        <v>Nina - 62548810 - BackroomCastingCouch</v>
      </c>
      <c r="C838" s="60" t="str">
        <f ca="1">IFERROR(__xludf.DUMMYFUNCTION("""COMPUTED_VALUE"""),"https://thumbcdn.com/splash/hrifimtmzi4pzc0v.jpg")</f>
        <v>https://thumbcdn.com/splash/hrifimtmzi4pzc0v.jpg</v>
      </c>
      <c r="D838" s="12" t="s">
        <v>6519</v>
      </c>
      <c r="E838" s="57" t="str">
        <f ca="1">IFERROR(__xludf.DUMMYFUNCTION("""COMPUTED_VALUE"""),"OK")</f>
        <v>OK</v>
      </c>
      <c r="F838" s="46"/>
      <c r="G838" s="45" t="s">
        <v>10648</v>
      </c>
      <c r="H838" s="45" t="s">
        <v>10649</v>
      </c>
    </row>
    <row r="839" spans="1:8">
      <c r="A839" s="59" t="s">
        <v>10650</v>
      </c>
      <c r="B839" s="12" t="str">
        <f ca="1">IFERROR(__xludf.DUMMYFUNCTION("""COMPUTED_VALUE"""),"Octokuro - 13942903 - Onlyfans")</f>
        <v>Octokuro - 13942903 - Onlyfans</v>
      </c>
      <c r="C839" s="60" t="str">
        <f ca="1">IFERROR(__xludf.DUMMYFUNCTION("""COMPUTED_VALUE"""),"https://thumbcdn.com/splash/bdhciag26enzyq2s.jpg")</f>
        <v>https://thumbcdn.com/splash/bdhciag26enzyq2s.jpg</v>
      </c>
      <c r="D839" s="12" t="s">
        <v>6529</v>
      </c>
      <c r="E839" s="57" t="str">
        <f ca="1">IFERROR(__xludf.DUMMYFUNCTION("""COMPUTED_VALUE"""),"OK")</f>
        <v>OK</v>
      </c>
      <c r="F839" s="46"/>
      <c r="G839" s="45" t="s">
        <v>10651</v>
      </c>
      <c r="H839" s="45" t="s">
        <v>10652</v>
      </c>
    </row>
    <row r="840" spans="1:8">
      <c r="A840" s="12"/>
      <c r="B840" s="12" t="str">
        <f ca="1">IFERROR(__xludf.DUMMYFUNCTION("""COMPUTED_VALUE"""),"Octokuro - 14366191 - Onlyfans")</f>
        <v>Octokuro - 14366191 - Onlyfans</v>
      </c>
      <c r="C840" s="60" t="str">
        <f ca="1">IFERROR(__xludf.DUMMYFUNCTION("""COMPUTED_VALUE"""),"https://thumbcdn.com/splash/op4ndn21tlxdjzqu.jpg")</f>
        <v>https://thumbcdn.com/splash/op4ndn21tlxdjzqu.jpg</v>
      </c>
      <c r="D840" s="12" t="s">
        <v>6533</v>
      </c>
      <c r="E840" s="57" t="str">
        <f ca="1">IFERROR(__xludf.DUMMYFUNCTION("""COMPUTED_VALUE"""),"OK")</f>
        <v>OK</v>
      </c>
      <c r="F840" s="46"/>
      <c r="G840" s="45" t="s">
        <v>10653</v>
      </c>
      <c r="H840" s="45" t="s">
        <v>10654</v>
      </c>
    </row>
    <row r="841" spans="1:8">
      <c r="A841" s="12" t="s">
        <v>10655</v>
      </c>
      <c r="B841" s="12" t="str">
        <f ca="1">IFERROR(__xludf.DUMMYFUNCTION("""COMPUTED_VALUE"""),"Octokuro - 15289353 - Onlyfans")</f>
        <v>Octokuro - 15289353 - Onlyfans</v>
      </c>
      <c r="C841" s="60" t="str">
        <f ca="1">IFERROR(__xludf.DUMMYFUNCTION("""COMPUTED_VALUE"""),"https://thumbcdn.com/splash/n22femnla4qgo1q4.jpg")</f>
        <v>https://thumbcdn.com/splash/n22femnla4qgo1q4.jpg</v>
      </c>
      <c r="D841" s="6" t="s">
        <v>6537</v>
      </c>
      <c r="E841" s="63" t="str">
        <f ca="1">IFERROR(__xludf.DUMMYFUNCTION("""COMPUTED_VALUE"""),"OK")</f>
        <v>OK</v>
      </c>
      <c r="F841" s="46"/>
      <c r="G841" s="45" t="s">
        <v>10653</v>
      </c>
      <c r="H841" s="45" t="s">
        <v>10656</v>
      </c>
    </row>
    <row r="842" spans="1:8">
      <c r="A842" s="59" t="s">
        <v>10657</v>
      </c>
      <c r="B842" s="12" t="str">
        <f ca="1">IFERROR(__xludf.DUMMYFUNCTION("""COMPUTED_VALUE"""),"Octokuro - 20147673 - Onlyfans")</f>
        <v>Octokuro - 20147673 - Onlyfans</v>
      </c>
      <c r="C842" s="60" t="str">
        <f ca="1">IFERROR(__xludf.DUMMYFUNCTION("""COMPUTED_VALUE"""),"https://thumbcdn.com/splash/u6kcu0o3008t1ygb.jpg")</f>
        <v>https://thumbcdn.com/splash/u6kcu0o3008t1ygb.jpg</v>
      </c>
      <c r="D842" s="6" t="s">
        <v>6541</v>
      </c>
      <c r="E842" s="63" t="str">
        <f ca="1">IFERROR(__xludf.DUMMYFUNCTION("""COMPUTED_VALUE"""),"OK")</f>
        <v>OK</v>
      </c>
      <c r="F842" s="46"/>
      <c r="G842" s="45" t="s">
        <v>10653</v>
      </c>
      <c r="H842" s="45" t="s">
        <v>10658</v>
      </c>
    </row>
    <row r="843" spans="1:8">
      <c r="A843" s="12"/>
      <c r="B843" s="12" t="str">
        <f ca="1">IFERROR(__xludf.DUMMYFUNCTION("""COMPUTED_VALUE"""),"Octokuro - 20324869 - Onlyfans")</f>
        <v>Octokuro - 20324869 - Onlyfans</v>
      </c>
      <c r="C843" s="60" t="str">
        <f ca="1">IFERROR(__xludf.DUMMYFUNCTION("""COMPUTED_VALUE"""),"https://thumbcdn.com/splash/b80q2n6zxmy154it.jpg")</f>
        <v>https://thumbcdn.com/splash/b80q2n6zxmy154it.jpg</v>
      </c>
      <c r="D843" s="12" t="s">
        <v>6547</v>
      </c>
      <c r="E843" s="57" t="str">
        <f ca="1">IFERROR(__xludf.DUMMYFUNCTION("""COMPUTED_VALUE"""),"OK")</f>
        <v>OK</v>
      </c>
      <c r="F843" s="46"/>
      <c r="G843" s="45" t="s">
        <v>10653</v>
      </c>
      <c r="H843" s="45" t="s">
        <v>10659</v>
      </c>
    </row>
    <row r="844" spans="1:8">
      <c r="A844" s="12" t="s">
        <v>10660</v>
      </c>
      <c r="B844" s="12" t="str">
        <f ca="1">IFERROR(__xludf.DUMMYFUNCTION("""COMPUTED_VALUE"""),"Octokuro - 22351742 - Onlyfans")</f>
        <v>Octokuro - 22351742 - Onlyfans</v>
      </c>
      <c r="C844" s="60" t="str">
        <f ca="1">IFERROR(__xludf.DUMMYFUNCTION("""COMPUTED_VALUE"""),"https://thumbcdn.com/splash/c6t12s6v0muu9ptf.jpg")</f>
        <v>https://thumbcdn.com/splash/c6t12s6v0muu9ptf.jpg</v>
      </c>
      <c r="D844" s="12" t="s">
        <v>6551</v>
      </c>
      <c r="E844" s="57" t="str">
        <f ca="1">IFERROR(__xludf.DUMMYFUNCTION("""COMPUTED_VALUE"""),"OK")</f>
        <v>OK</v>
      </c>
      <c r="F844" s="46"/>
      <c r="G844" s="45" t="s">
        <v>10653</v>
      </c>
      <c r="H844" s="45" t="s">
        <v>10661</v>
      </c>
    </row>
    <row r="845" spans="1:8">
      <c r="A845" s="59" t="s">
        <v>10662</v>
      </c>
      <c r="B845" s="12" t="str">
        <f ca="1">IFERROR(__xludf.DUMMYFUNCTION("""COMPUTED_VALUE"""),"Octokuro - 24693016 - Onlyfans")</f>
        <v>Octokuro - 24693016 - Onlyfans</v>
      </c>
      <c r="C845" s="60" t="str">
        <f ca="1">IFERROR(__xludf.DUMMYFUNCTION("""COMPUTED_VALUE"""),"https://thumbcdn.com/splash/m5ejl94sfzstd3ap.jpg")</f>
        <v>https://thumbcdn.com/splash/m5ejl94sfzstd3ap.jpg</v>
      </c>
      <c r="D845" s="12" t="s">
        <v>6555</v>
      </c>
      <c r="E845" s="57" t="str">
        <f ca="1">IFERROR(__xludf.DUMMYFUNCTION("""COMPUTED_VALUE"""),"OK")</f>
        <v>OK</v>
      </c>
      <c r="F845" s="46"/>
      <c r="G845" s="45" t="s">
        <v>10653</v>
      </c>
      <c r="H845" s="45" t="s">
        <v>10663</v>
      </c>
    </row>
    <row r="846" spans="1:8">
      <c r="A846" s="12"/>
      <c r="B846" s="12" t="str">
        <f ca="1">IFERROR(__xludf.DUMMYFUNCTION("""COMPUTED_VALUE"""),"Octokuro - 25831855 - Onlyfans")</f>
        <v>Octokuro - 25831855 - Onlyfans</v>
      </c>
      <c r="C846" s="60" t="str">
        <f ca="1">IFERROR(__xludf.DUMMYFUNCTION("""COMPUTED_VALUE"""),"https://thumbcdn.com/splash/mwdrrj9iplvkyj5k.jpg")</f>
        <v>https://thumbcdn.com/splash/mwdrrj9iplvkyj5k.jpg</v>
      </c>
      <c r="D846" s="12" t="s">
        <v>6559</v>
      </c>
      <c r="E846" s="57" t="str">
        <f ca="1">IFERROR(__xludf.DUMMYFUNCTION("""COMPUTED_VALUE"""),"OK")</f>
        <v>OK</v>
      </c>
      <c r="F846" s="46"/>
      <c r="G846" s="45" t="s">
        <v>10653</v>
      </c>
      <c r="H846" s="45" t="s">
        <v>10664</v>
      </c>
    </row>
    <row r="847" spans="1:8">
      <c r="A847" s="12" t="s">
        <v>10665</v>
      </c>
      <c r="B847" s="12" t="str">
        <f ca="1">IFERROR(__xludf.DUMMYFUNCTION("""COMPUTED_VALUE"""),"Octokuro - 32073173 - Onlyfans")</f>
        <v>Octokuro - 32073173 - Onlyfans</v>
      </c>
      <c r="C847" s="60" t="str">
        <f ca="1">IFERROR(__xludf.DUMMYFUNCTION("""COMPUTED_VALUE"""),"https://thumbcdn.com/splash/sg6azgb7o3a1h1ge.jpg")</f>
        <v>https://thumbcdn.com/splash/sg6azgb7o3a1h1ge.jpg</v>
      </c>
      <c r="D847" s="6" t="s">
        <v>6571</v>
      </c>
      <c r="E847" s="63" t="str">
        <f ca="1">IFERROR(__xludf.DUMMYFUNCTION("""COMPUTED_VALUE"""),"OK")</f>
        <v>OK</v>
      </c>
      <c r="F847" s="46"/>
      <c r="G847" s="45" t="s">
        <v>10653</v>
      </c>
      <c r="H847" s="45" t="s">
        <v>10666</v>
      </c>
    </row>
    <row r="848" spans="1:8">
      <c r="A848" s="59" t="s">
        <v>10667</v>
      </c>
      <c r="B848" s="12" t="str">
        <f ca="1">IFERROR(__xludf.DUMMYFUNCTION("""COMPUTED_VALUE"""),"Octokuro - 34038524 - Onlyfans")</f>
        <v>Octokuro - 34038524 - Onlyfans</v>
      </c>
      <c r="C848" s="60" t="str">
        <f ca="1">IFERROR(__xludf.DUMMYFUNCTION("""COMPUTED_VALUE"""),"https://thumbcdn.com/splash/bcwq3uy69j6ysm0j.jpg")</f>
        <v>https://thumbcdn.com/splash/bcwq3uy69j6ysm0j.jpg</v>
      </c>
      <c r="D848" s="12" t="s">
        <v>6577</v>
      </c>
      <c r="E848" s="57" t="str">
        <f ca="1">IFERROR(__xludf.DUMMYFUNCTION("""COMPUTED_VALUE"""),"OK")</f>
        <v>OK</v>
      </c>
      <c r="F848" s="46"/>
      <c r="G848" s="45" t="s">
        <v>10653</v>
      </c>
      <c r="H848" s="45" t="s">
        <v>10668</v>
      </c>
    </row>
    <row r="849" spans="1:8">
      <c r="A849" s="12"/>
      <c r="B849" s="12" t="str">
        <f ca="1">IFERROR(__xludf.DUMMYFUNCTION("""COMPUTED_VALUE"""),"Octokuro - 35071147 - Onlyfans")</f>
        <v>Octokuro - 35071147 - Onlyfans</v>
      </c>
      <c r="C849" s="60" t="str">
        <f ca="1">IFERROR(__xludf.DUMMYFUNCTION("""COMPUTED_VALUE"""),"https://thumbcdn.com/splash/7zweszko5yrnrnds.jpg")</f>
        <v>https://thumbcdn.com/splash/7zweszko5yrnrnds.jpg</v>
      </c>
      <c r="D849" s="6" t="s">
        <v>6581</v>
      </c>
      <c r="E849" s="63" t="str">
        <f ca="1">IFERROR(__xludf.DUMMYFUNCTION("""COMPUTED_VALUE"""),"OK")</f>
        <v>OK</v>
      </c>
      <c r="F849" s="46"/>
      <c r="G849" s="45" t="s">
        <v>10653</v>
      </c>
      <c r="H849" s="45" t="s">
        <v>10669</v>
      </c>
    </row>
    <row r="850" spans="1:8">
      <c r="A850" s="12" t="s">
        <v>10670</v>
      </c>
      <c r="B850" s="12" t="str">
        <f ca="1">IFERROR(__xludf.DUMMYFUNCTION("""COMPUTED_VALUE"""),"Octokuro - 37754208 - Onlyfans")</f>
        <v>Octokuro - 37754208 - Onlyfans</v>
      </c>
      <c r="C850" s="60" t="str">
        <f ca="1">IFERROR(__xludf.DUMMYFUNCTION("""COMPUTED_VALUE"""),"https://thumbcdn.com/splash/099qaj2lolpvtjjd.jpg")</f>
        <v>https://thumbcdn.com/splash/099qaj2lolpvtjjd.jpg</v>
      </c>
      <c r="D850" s="12" t="s">
        <v>6586</v>
      </c>
      <c r="E850" s="57" t="str">
        <f ca="1">IFERROR(__xludf.DUMMYFUNCTION("""COMPUTED_VALUE"""),"OK")</f>
        <v>OK</v>
      </c>
      <c r="F850" s="46"/>
      <c r="G850" s="45" t="s">
        <v>10653</v>
      </c>
      <c r="H850" s="45" t="s">
        <v>10671</v>
      </c>
    </row>
    <row r="851" spans="1:8">
      <c r="A851" s="59" t="s">
        <v>10672</v>
      </c>
      <c r="B851" s="12" t="str">
        <f ca="1">IFERROR(__xludf.DUMMYFUNCTION("""COMPUTED_VALUE"""),"Octokuro - 40551953 - Onlyfans")</f>
        <v>Octokuro - 40551953 - Onlyfans</v>
      </c>
      <c r="C851" s="60" t="str">
        <f ca="1">IFERROR(__xludf.DUMMYFUNCTION("""COMPUTED_VALUE"""),"https://thumbcdn.com/splash/fjqevtc58c357tdt.jpg")</f>
        <v>https://thumbcdn.com/splash/fjqevtc58c357tdt.jpg</v>
      </c>
      <c r="D851" s="12" t="s">
        <v>6590</v>
      </c>
      <c r="E851" s="57" t="str">
        <f ca="1">IFERROR(__xludf.DUMMYFUNCTION("""COMPUTED_VALUE"""),"OK")</f>
        <v>OK</v>
      </c>
      <c r="F851" s="46"/>
      <c r="G851" s="45" t="s">
        <v>10653</v>
      </c>
      <c r="H851" s="45" t="s">
        <v>10673</v>
      </c>
    </row>
    <row r="852" spans="1:8">
      <c r="A852" s="12"/>
      <c r="B852" s="12" t="str">
        <f ca="1">IFERROR(__xludf.DUMMYFUNCTION("""COMPUTED_VALUE"""),"Octokuro - 41129594 - Onlyfans")</f>
        <v>Octokuro - 41129594 - Onlyfans</v>
      </c>
      <c r="C852" s="60" t="str">
        <f ca="1">IFERROR(__xludf.DUMMYFUNCTION("""COMPUTED_VALUE"""),"https://thumbcdn.com/splash/36pkp0omyyh1ugl0.jpg")</f>
        <v>https://thumbcdn.com/splash/36pkp0omyyh1ugl0.jpg</v>
      </c>
      <c r="D852" s="12" t="s">
        <v>6595</v>
      </c>
      <c r="E852" s="57" t="str">
        <f ca="1">IFERROR(__xludf.DUMMYFUNCTION("""COMPUTED_VALUE"""),"OK")</f>
        <v>OK</v>
      </c>
      <c r="F852" s="46"/>
      <c r="G852" s="45" t="s">
        <v>10653</v>
      </c>
      <c r="H852" s="45" t="s">
        <v>10674</v>
      </c>
    </row>
    <row r="853" spans="1:8">
      <c r="A853" s="12" t="s">
        <v>10675</v>
      </c>
      <c r="B853" s="12" t="str">
        <f ca="1">IFERROR(__xludf.DUMMYFUNCTION("""COMPUTED_VALUE"""),"Octokuro - 42043379 - Onlyfans")</f>
        <v>Octokuro - 42043379 - Onlyfans</v>
      </c>
      <c r="C853" s="60" t="str">
        <f ca="1">IFERROR(__xludf.DUMMYFUNCTION("""COMPUTED_VALUE"""),"https://thumbcdn.com/splash/vlbukbbm9ut8kmov.jpg")</f>
        <v>https://thumbcdn.com/splash/vlbukbbm9ut8kmov.jpg</v>
      </c>
      <c r="D853" s="16" t="s">
        <v>6599</v>
      </c>
      <c r="E853" s="57" t="str">
        <f ca="1">IFERROR(__xludf.DUMMYFUNCTION("""COMPUTED_VALUE"""),"OK")</f>
        <v>OK</v>
      </c>
      <c r="F853" s="46"/>
      <c r="G853" s="45" t="s">
        <v>10653</v>
      </c>
      <c r="H853" s="45" t="s">
        <v>10676</v>
      </c>
    </row>
    <row r="854" spans="1:8">
      <c r="A854" s="59" t="s">
        <v>10677</v>
      </c>
      <c r="B854" s="12" t="str">
        <f ca="1">IFERROR(__xludf.DUMMYFUNCTION("""COMPUTED_VALUE"""),"Octokuro - 43317682 - Onlyfans")</f>
        <v>Octokuro - 43317682 - Onlyfans</v>
      </c>
      <c r="C854" s="60" t="str">
        <f ca="1">IFERROR(__xludf.DUMMYFUNCTION("""COMPUTED_VALUE"""),"https://thumbcdn.com/splash/88je6132rtiu94ii.jpg")</f>
        <v>https://thumbcdn.com/splash/88je6132rtiu94ii.jpg</v>
      </c>
      <c r="D854" s="6" t="s">
        <v>6603</v>
      </c>
      <c r="E854" s="63" t="str">
        <f ca="1">IFERROR(__xludf.DUMMYFUNCTION("""COMPUTED_VALUE"""),"OK")</f>
        <v>OK</v>
      </c>
      <c r="F854" s="46"/>
      <c r="G854" s="45" t="s">
        <v>10653</v>
      </c>
      <c r="H854" s="45" t="s">
        <v>10678</v>
      </c>
    </row>
    <row r="855" spans="1:8">
      <c r="A855" s="12"/>
      <c r="B855" s="12" t="str">
        <f ca="1">IFERROR(__xludf.DUMMYFUNCTION("""COMPUTED_VALUE"""),"Octokuro - 43587736 - Onlyfans")</f>
        <v>Octokuro - 43587736 - Onlyfans</v>
      </c>
      <c r="C855" s="60" t="str">
        <f ca="1">IFERROR(__xludf.DUMMYFUNCTION("""COMPUTED_VALUE"""),"https://thumbcdn.com/splash/qrids3zfcnv9nd8h.jpg")</f>
        <v>https://thumbcdn.com/splash/qrids3zfcnv9nd8h.jpg</v>
      </c>
      <c r="D855" s="12" t="s">
        <v>6607</v>
      </c>
      <c r="E855" s="57" t="str">
        <f ca="1">IFERROR(__xludf.DUMMYFUNCTION("""COMPUTED_VALUE"""),"OK")</f>
        <v>OK</v>
      </c>
      <c r="F855" s="46"/>
      <c r="G855" s="45" t="s">
        <v>10653</v>
      </c>
      <c r="H855" s="45" t="s">
        <v>10679</v>
      </c>
    </row>
    <row r="856" spans="1:8">
      <c r="A856" s="12" t="s">
        <v>10680</v>
      </c>
      <c r="B856" s="12" t="str">
        <f ca="1">IFERROR(__xludf.DUMMYFUNCTION("""COMPUTED_VALUE"""),"Octokuro - 46438824 - Onlyfans")</f>
        <v>Octokuro - 46438824 - Onlyfans</v>
      </c>
      <c r="C856" s="60" t="str">
        <f ca="1">IFERROR(__xludf.DUMMYFUNCTION("""COMPUTED_VALUE"""),"https://thumbcdn.com/splash/zqhsxk5yc3pkxc62.jpg")</f>
        <v>https://thumbcdn.com/splash/zqhsxk5yc3pkxc62.jpg</v>
      </c>
      <c r="D856" s="12" t="s">
        <v>6611</v>
      </c>
      <c r="E856" s="57" t="str">
        <f ca="1">IFERROR(__xludf.DUMMYFUNCTION("""COMPUTED_VALUE"""),"OK")</f>
        <v>OK</v>
      </c>
      <c r="F856" s="46"/>
      <c r="G856" s="45" t="s">
        <v>10653</v>
      </c>
      <c r="H856" s="45" t="s">
        <v>10681</v>
      </c>
    </row>
    <row r="857" spans="1:8">
      <c r="A857" s="59" t="s">
        <v>10682</v>
      </c>
      <c r="B857" s="12" t="str">
        <f ca="1">IFERROR(__xludf.DUMMYFUNCTION("""COMPUTED_VALUE"""),"Octokuro - 48603480 - Onlyfans")</f>
        <v>Octokuro - 48603480 - Onlyfans</v>
      </c>
      <c r="C857" s="60" t="str">
        <f ca="1">IFERROR(__xludf.DUMMYFUNCTION("""COMPUTED_VALUE"""),"https://thumbcdn.com/splash/21a0605v7yhjtcwj.jpg")</f>
        <v>https://thumbcdn.com/splash/21a0605v7yhjtcwj.jpg</v>
      </c>
      <c r="D857" s="12" t="s">
        <v>6620</v>
      </c>
      <c r="E857" s="57" t="str">
        <f ca="1">IFERROR(__xludf.DUMMYFUNCTION("""COMPUTED_VALUE"""),"OK")</f>
        <v>OK</v>
      </c>
      <c r="F857" s="46"/>
      <c r="G857" s="45" t="s">
        <v>10653</v>
      </c>
      <c r="H857" s="45" t="s">
        <v>10683</v>
      </c>
    </row>
    <row r="858" spans="1:8">
      <c r="A858" s="12"/>
      <c r="B858" s="12" t="str">
        <f ca="1">IFERROR(__xludf.DUMMYFUNCTION("""COMPUTED_VALUE"""),"Octokuro - 52294903 - PornWorld")</f>
        <v>Octokuro - 52294903 - PornWorld</v>
      </c>
      <c r="C858" s="60" t="str">
        <f ca="1">IFERROR(__xludf.DUMMYFUNCTION("""COMPUTED_VALUE"""),"https://thumbcdn.com/splash/47dzx3oxmx1xawev.jpg")</f>
        <v>https://thumbcdn.com/splash/47dzx3oxmx1xawev.jpg</v>
      </c>
      <c r="D858" s="12" t="s">
        <v>6624</v>
      </c>
      <c r="E858" s="57" t="str">
        <f ca="1">IFERROR(__xludf.DUMMYFUNCTION("""COMPUTED_VALUE"""),"OK")</f>
        <v>OK</v>
      </c>
      <c r="F858" s="46"/>
      <c r="G858" s="45" t="s">
        <v>10653</v>
      </c>
      <c r="H858" s="45" t="s">
        <v>10684</v>
      </c>
    </row>
    <row r="859" spans="1:8">
      <c r="A859" s="12" t="s">
        <v>10685</v>
      </c>
      <c r="B859" s="12" t="str">
        <f ca="1">IFERROR(__xludf.DUMMYFUNCTION("""COMPUTED_VALUE"""),"Octokuro - 53119254 - Onlyfans")</f>
        <v>Octokuro - 53119254 - Onlyfans</v>
      </c>
      <c r="C859" s="60" t="str">
        <f ca="1">IFERROR(__xludf.DUMMYFUNCTION("""COMPUTED_VALUE"""),"https://thumbcdn.com/splash/6ykmdkoul8rvl1v3.jpg")</f>
        <v>https://thumbcdn.com/splash/6ykmdkoul8rvl1v3.jpg</v>
      </c>
      <c r="D859" s="16" t="s">
        <v>10686</v>
      </c>
      <c r="E859" s="57" t="str">
        <f ca="1">IFERROR(__xludf.DUMMYFUNCTION("""COMPUTED_VALUE"""),"OK")</f>
        <v>OK</v>
      </c>
      <c r="F859" s="46"/>
      <c r="G859" s="45" t="s">
        <v>10653</v>
      </c>
      <c r="H859" s="45" t="s">
        <v>10687</v>
      </c>
    </row>
    <row r="860" spans="1:8">
      <c r="A860" s="59" t="s">
        <v>10688</v>
      </c>
      <c r="B860" s="12" t="str">
        <f ca="1">IFERROR(__xludf.DUMMYFUNCTION("""COMPUTED_VALUE"""),"Octokuro - 54716594 - Onlyfans")</f>
        <v>Octokuro - 54716594 - Onlyfans</v>
      </c>
      <c r="C860" s="60" t="str">
        <f ca="1">IFERROR(__xludf.DUMMYFUNCTION("""COMPUTED_VALUE"""),"https://thumbcdn.com/splash/9bqu2vx4112zdjcu.jpg")</f>
        <v>https://thumbcdn.com/splash/9bqu2vx4112zdjcu.jpg</v>
      </c>
      <c r="D860" s="12" t="s">
        <v>6633</v>
      </c>
      <c r="E860" s="57" t="str">
        <f ca="1">IFERROR(__xludf.DUMMYFUNCTION("""COMPUTED_VALUE"""),"OK")</f>
        <v>OK</v>
      </c>
      <c r="F860" s="46"/>
      <c r="G860" s="45" t="s">
        <v>10653</v>
      </c>
      <c r="H860" s="45" t="s">
        <v>10689</v>
      </c>
    </row>
    <row r="861" spans="1:8">
      <c r="A861" s="12"/>
      <c r="B861" s="12" t="str">
        <f ca="1">IFERROR(__xludf.DUMMYFUNCTION("""COMPUTED_VALUE"""),"Octokuro - 58018560 - Onlyfans")</f>
        <v>Octokuro - 58018560 - Onlyfans</v>
      </c>
      <c r="C861" s="60" t="str">
        <f ca="1">IFERROR(__xludf.DUMMYFUNCTION("""COMPUTED_VALUE"""),"https://thumbcdn.com/splash/z94922f8or0zazs9.jpg")</f>
        <v>https://thumbcdn.com/splash/z94922f8or0zazs9.jpg</v>
      </c>
      <c r="D861" s="12" t="s">
        <v>6638</v>
      </c>
      <c r="E861" s="57" t="str">
        <f ca="1">IFERROR(__xludf.DUMMYFUNCTION("""COMPUTED_VALUE"""),"OK")</f>
        <v>OK</v>
      </c>
      <c r="F861" s="46"/>
      <c r="G861" s="45" t="s">
        <v>10653</v>
      </c>
      <c r="H861" s="45" t="s">
        <v>10690</v>
      </c>
    </row>
    <row r="862" spans="1:8">
      <c r="A862" s="12" t="s">
        <v>10691</v>
      </c>
      <c r="B862" s="12" t="str">
        <f ca="1">IFERROR(__xludf.DUMMYFUNCTION("""COMPUTED_VALUE"""),"Octokuro - 59935821 - Onlyfans")</f>
        <v>Octokuro - 59935821 - Onlyfans</v>
      </c>
      <c r="C862" s="60" t="str">
        <f ca="1">IFERROR(__xludf.DUMMYFUNCTION("""COMPUTED_VALUE"""),"https://thumbcdn.com/splash/vbboqleyflxoxcsg.jpg")</f>
        <v>https://thumbcdn.com/splash/vbboqleyflxoxcsg.jpg</v>
      </c>
      <c r="D862" s="12" t="s">
        <v>6642</v>
      </c>
      <c r="E862" s="57" t="str">
        <f ca="1">IFERROR(__xludf.DUMMYFUNCTION("""COMPUTED_VALUE"""),"OK")</f>
        <v>OK</v>
      </c>
      <c r="F862" s="46"/>
      <c r="G862" s="45" t="s">
        <v>10653</v>
      </c>
      <c r="H862" s="45" t="s">
        <v>10692</v>
      </c>
    </row>
    <row r="863" spans="1:8">
      <c r="A863" s="59" t="s">
        <v>10693</v>
      </c>
      <c r="B863" s="12" t="str">
        <f ca="1">IFERROR(__xludf.DUMMYFUNCTION("""COMPUTED_VALUE"""),"Octokuro - 60165630 - Onlyfans")</f>
        <v>Octokuro - 60165630 - Onlyfans</v>
      </c>
      <c r="C863" s="60" t="str">
        <f ca="1">IFERROR(__xludf.DUMMYFUNCTION("""COMPUTED_VALUE"""),"https://thumbcdn.com/splash/mclqb9v4ovv3qvlb.jpg")</f>
        <v>https://thumbcdn.com/splash/mclqb9v4ovv3qvlb.jpg</v>
      </c>
      <c r="D863" s="6" t="s">
        <v>6646</v>
      </c>
      <c r="E863" s="63" t="str">
        <f ca="1">IFERROR(__xludf.DUMMYFUNCTION("""COMPUTED_VALUE"""),"OK")</f>
        <v>OK</v>
      </c>
      <c r="F863" s="46"/>
      <c r="G863" s="45" t="s">
        <v>10653</v>
      </c>
      <c r="H863" s="45" t="s">
        <v>10694</v>
      </c>
    </row>
    <row r="864" spans="1:8">
      <c r="A864" s="12"/>
      <c r="B864" s="12" t="str">
        <f ca="1">IFERROR(__xludf.DUMMYFUNCTION("""COMPUTED_VALUE"""),"Octokuro - 64117623 - Onlyfans")</f>
        <v>Octokuro - 64117623 - Onlyfans</v>
      </c>
      <c r="C864" s="60" t="str">
        <f ca="1">IFERROR(__xludf.DUMMYFUNCTION("""COMPUTED_VALUE"""),"https://thumbcdn.com/splash/j9rx6na42umhnuwf.jpg")</f>
        <v>https://thumbcdn.com/splash/j9rx6na42umhnuwf.jpg</v>
      </c>
      <c r="D864" s="12" t="s">
        <v>6651</v>
      </c>
      <c r="E864" s="57" t="str">
        <f ca="1">IFERROR(__xludf.DUMMYFUNCTION("""COMPUTED_VALUE"""),"OK")</f>
        <v>OK</v>
      </c>
      <c r="F864" s="46"/>
      <c r="G864" s="45" t="s">
        <v>10653</v>
      </c>
      <c r="H864" s="45" t="s">
        <v>10695</v>
      </c>
    </row>
    <row r="865" spans="1:8">
      <c r="A865" s="12" t="s">
        <v>10696</v>
      </c>
      <c r="B865" s="12" t="str">
        <f ca="1">IFERROR(__xludf.DUMMYFUNCTION("""COMPUTED_VALUE"""),"Octokuro - 64883548 - Onlyfans")</f>
        <v>Octokuro - 64883548 - Onlyfans</v>
      </c>
      <c r="C865" s="60" t="str">
        <f ca="1">IFERROR(__xludf.DUMMYFUNCTION("""COMPUTED_VALUE"""),"https://thumbcdn.com/splash/4jnn6d7aejqpebfc.jpg")</f>
        <v>https://thumbcdn.com/splash/4jnn6d7aejqpebfc.jpg</v>
      </c>
      <c r="D865" s="12" t="s">
        <v>6655</v>
      </c>
      <c r="E865" s="57" t="str">
        <f ca="1">IFERROR(__xludf.DUMMYFUNCTION("""COMPUTED_VALUE"""),"OK")</f>
        <v>OK</v>
      </c>
      <c r="F865" s="46"/>
      <c r="G865" s="45" t="s">
        <v>10653</v>
      </c>
      <c r="H865" s="45" t="s">
        <v>10697</v>
      </c>
    </row>
    <row r="866" spans="1:8">
      <c r="A866" s="59" t="s">
        <v>10698</v>
      </c>
      <c r="B866" s="12" t="str">
        <f ca="1">IFERROR(__xludf.DUMMYFUNCTION("""COMPUTED_VALUE"""),"Octokuro - 67483896 - Onlyfans")</f>
        <v>Octokuro - 67483896 - Onlyfans</v>
      </c>
      <c r="C866" s="60" t="str">
        <f ca="1">IFERROR(__xludf.DUMMYFUNCTION("""COMPUTED_VALUE"""),"https://thumbcdn.com/splash/0zchu7pxukohv2wt.jpg")</f>
        <v>https://thumbcdn.com/splash/0zchu7pxukohv2wt.jpg</v>
      </c>
      <c r="D866" s="12" t="s">
        <v>6659</v>
      </c>
      <c r="E866" s="57" t="str">
        <f ca="1">IFERROR(__xludf.DUMMYFUNCTION("""COMPUTED_VALUE"""),"OK")</f>
        <v>OK</v>
      </c>
      <c r="F866" s="46"/>
      <c r="G866" s="45" t="s">
        <v>10653</v>
      </c>
      <c r="H866" s="45" t="s">
        <v>10699</v>
      </c>
    </row>
    <row r="867" spans="1:8">
      <c r="A867" s="12"/>
      <c r="B867" s="12" t="str">
        <f ca="1">IFERROR(__xludf.DUMMYFUNCTION("""COMPUTED_VALUE"""),"Octokuro - 69004840 - OnlyTarts")</f>
        <v>Octokuro - 69004840 - OnlyTarts</v>
      </c>
      <c r="C867" s="60" t="str">
        <f ca="1">IFERROR(__xludf.DUMMYFUNCTION("""COMPUTED_VALUE"""),"https://thumbcdn.com/splash/33mwqeenrj3vw1i7.jpg")</f>
        <v>https://thumbcdn.com/splash/33mwqeenrj3vw1i7.jpg</v>
      </c>
      <c r="D867" s="6" t="s">
        <v>6663</v>
      </c>
      <c r="E867" s="63" t="str">
        <f ca="1">IFERROR(__xludf.DUMMYFUNCTION("""COMPUTED_VALUE"""),"OK")</f>
        <v>OK</v>
      </c>
      <c r="F867" s="46"/>
      <c r="G867" s="45" t="s">
        <v>10653</v>
      </c>
      <c r="H867" s="45" t="s">
        <v>10700</v>
      </c>
    </row>
    <row r="868" spans="1:8">
      <c r="A868" s="12" t="s">
        <v>10701</v>
      </c>
      <c r="B868" s="12" t="str">
        <f ca="1">IFERROR(__xludf.DUMMYFUNCTION("""COMPUTED_VALUE"""),"Octokuro - 69857341 - Onlyfans")</f>
        <v>Octokuro - 69857341 - Onlyfans</v>
      </c>
      <c r="C868" s="60" t="str">
        <f ca="1">IFERROR(__xludf.DUMMYFUNCTION("""COMPUTED_VALUE"""),"https://thumbcdn.com/splash/qv8b6ykbnypx10hr.jpg")</f>
        <v>https://thumbcdn.com/splash/qv8b6ykbnypx10hr.jpg</v>
      </c>
      <c r="D868" s="12" t="s">
        <v>6667</v>
      </c>
      <c r="E868" s="57" t="str">
        <f ca="1">IFERROR(__xludf.DUMMYFUNCTION("""COMPUTED_VALUE"""),"OK")</f>
        <v>OK</v>
      </c>
      <c r="F868" s="46"/>
      <c r="G868" s="45" t="s">
        <v>10653</v>
      </c>
      <c r="H868" s="45" t="s">
        <v>10702</v>
      </c>
    </row>
    <row r="869" spans="1:8">
      <c r="A869" s="59" t="s">
        <v>10703</v>
      </c>
      <c r="B869" s="12" t="str">
        <f ca="1">IFERROR(__xludf.DUMMYFUNCTION("""COMPUTED_VALUE"""),"Octokuro - 75943645 - Onlyfans")</f>
        <v>Octokuro - 75943645 - Onlyfans</v>
      </c>
      <c r="C869" s="60" t="str">
        <f ca="1">IFERROR(__xludf.DUMMYFUNCTION("""COMPUTED_VALUE"""),"https://thumbcdn.com/splash/jqim31261b1gk3su.jpg")</f>
        <v>https://thumbcdn.com/splash/jqim31261b1gk3su.jpg</v>
      </c>
      <c r="D869" s="12" t="s">
        <v>6677</v>
      </c>
      <c r="E869" s="57" t="str">
        <f ca="1">IFERROR(__xludf.DUMMYFUNCTION("""COMPUTED_VALUE"""),"OK")</f>
        <v>OK</v>
      </c>
      <c r="F869" s="46"/>
      <c r="G869" s="45" t="s">
        <v>10653</v>
      </c>
      <c r="H869" s="45" t="s">
        <v>10704</v>
      </c>
    </row>
    <row r="870" spans="1:8">
      <c r="A870" s="12"/>
      <c r="B870" s="12" t="str">
        <f ca="1">IFERROR(__xludf.DUMMYFUNCTION("""COMPUTED_VALUE"""),"Octokuro - 77610147 - Onlyfans")</f>
        <v>Octokuro - 77610147 - Onlyfans</v>
      </c>
      <c r="C870" s="60" t="str">
        <f ca="1">IFERROR(__xludf.DUMMYFUNCTION("""COMPUTED_VALUE"""),"https://thumbcdn.com/splash/0gepoxt15lfx2dwg.jpg")</f>
        <v>https://thumbcdn.com/splash/0gepoxt15lfx2dwg.jpg</v>
      </c>
      <c r="D870" s="12" t="s">
        <v>6681</v>
      </c>
      <c r="E870" s="57" t="str">
        <f ca="1">IFERROR(__xludf.DUMMYFUNCTION("""COMPUTED_VALUE"""),"OK")</f>
        <v>OK</v>
      </c>
      <c r="F870" s="46"/>
      <c r="G870" s="45" t="s">
        <v>10653</v>
      </c>
      <c r="H870" s="45" t="s">
        <v>10705</v>
      </c>
    </row>
    <row r="871" spans="1:8">
      <c r="A871" s="12" t="s">
        <v>10706</v>
      </c>
      <c r="B871" s="12" t="str">
        <f ca="1">IFERROR(__xludf.DUMMYFUNCTION("""COMPUTED_VALUE"""),"Octokuro - 83051674 - Onlyfans")</f>
        <v>Octokuro - 83051674 - Onlyfans</v>
      </c>
      <c r="C871" s="60" t="str">
        <f ca="1">IFERROR(__xludf.DUMMYFUNCTION("""COMPUTED_VALUE"""),"https://thumbcdn.com/splash/0dclwepe2onahwgx.jpg")</f>
        <v>https://thumbcdn.com/splash/0dclwepe2onahwgx.jpg</v>
      </c>
      <c r="D871" s="12" t="s">
        <v>6685</v>
      </c>
      <c r="E871" s="57" t="str">
        <f ca="1">IFERROR(__xludf.DUMMYFUNCTION("""COMPUTED_VALUE"""),"OK")</f>
        <v>OK</v>
      </c>
      <c r="F871" s="46"/>
      <c r="G871" s="45" t="s">
        <v>10653</v>
      </c>
      <c r="H871" s="45" t="s">
        <v>10707</v>
      </c>
    </row>
    <row r="872" spans="1:8">
      <c r="A872" s="59" t="s">
        <v>10708</v>
      </c>
      <c r="B872" s="12" t="str">
        <f ca="1">IFERROR(__xludf.DUMMYFUNCTION("""COMPUTED_VALUE"""),"Octokuro - 83093985 - Onlyfans")</f>
        <v>Octokuro - 83093985 - Onlyfans</v>
      </c>
      <c r="C872" s="60" t="str">
        <f ca="1">IFERROR(__xludf.DUMMYFUNCTION("""COMPUTED_VALUE"""),"https://thumbcdn.com/splash/k4bp4ynavw6jx7yy.jpg")</f>
        <v>https://thumbcdn.com/splash/k4bp4ynavw6jx7yy.jpg</v>
      </c>
      <c r="D872" s="12" t="s">
        <v>6689</v>
      </c>
      <c r="E872" s="57" t="str">
        <f ca="1">IFERROR(__xludf.DUMMYFUNCTION("""COMPUTED_VALUE"""),"OK")</f>
        <v>OK</v>
      </c>
      <c r="F872" s="46"/>
      <c r="G872" s="45" t="s">
        <v>10653</v>
      </c>
      <c r="H872" s="45" t="s">
        <v>10709</v>
      </c>
    </row>
    <row r="873" spans="1:8">
      <c r="A873" s="12"/>
      <c r="B873" s="12" t="str">
        <f ca="1">IFERROR(__xludf.DUMMYFUNCTION("""COMPUTED_VALUE"""),"Octokuro - 86995868 - Vampired")</f>
        <v>Octokuro - 86995868 - Vampired</v>
      </c>
      <c r="C873" s="60" t="str">
        <f ca="1">IFERROR(__xludf.DUMMYFUNCTION("""COMPUTED_VALUE"""),"https://thumbcdn.com/splash/1y6ud00zhbdvdsvk.jpg")</f>
        <v>https://thumbcdn.com/splash/1y6ud00zhbdvdsvk.jpg</v>
      </c>
      <c r="D873" s="12" t="s">
        <v>6699</v>
      </c>
      <c r="E873" s="57" t="str">
        <f ca="1">IFERROR(__xludf.DUMMYFUNCTION("""COMPUTED_VALUE"""),"OK")</f>
        <v>OK</v>
      </c>
      <c r="F873" s="46"/>
      <c r="G873" s="45" t="s">
        <v>10653</v>
      </c>
      <c r="H873" s="45" t="s">
        <v>10710</v>
      </c>
    </row>
    <row r="874" spans="1:8">
      <c r="A874" s="12" t="s">
        <v>10711</v>
      </c>
      <c r="B874" s="12" t="str">
        <f ca="1">IFERROR(__xludf.DUMMYFUNCTION("""COMPUTED_VALUE"""),"Octokuro - 86997868 - Onlyfans")</f>
        <v>Octokuro - 86997868 - Onlyfans</v>
      </c>
      <c r="C874" s="60" t="str">
        <f ca="1">IFERROR(__xludf.DUMMYFUNCTION("""COMPUTED_VALUE"""),"https://thumbcdn.com/splash/xc0pjhxpnlna95fz.jpg")</f>
        <v>https://thumbcdn.com/splash/xc0pjhxpnlna95fz.jpg</v>
      </c>
      <c r="D874" s="16" t="s">
        <v>6704</v>
      </c>
      <c r="E874" s="57" t="str">
        <f ca="1">IFERROR(__xludf.DUMMYFUNCTION("""COMPUTED_VALUE"""),"OK")</f>
        <v>OK</v>
      </c>
      <c r="F874" s="46"/>
      <c r="G874" s="45" t="s">
        <v>10653</v>
      </c>
      <c r="H874" s="45" t="s">
        <v>10712</v>
      </c>
    </row>
    <row r="875" spans="1:8">
      <c r="A875" s="59" t="s">
        <v>10713</v>
      </c>
      <c r="B875" s="12" t="str">
        <f ca="1">IFERROR(__xludf.DUMMYFUNCTION("""COMPUTED_VALUE"""),"Octokuro - 87079998 - RS")</f>
        <v>Octokuro - 87079998 - RS</v>
      </c>
      <c r="C875" s="60" t="str">
        <f ca="1">IFERROR(__xludf.DUMMYFUNCTION("""COMPUTED_VALUE"""),"https://thumbcdn.com/splash/4w28qyhg0lc3o2ht.jpg")</f>
        <v>https://thumbcdn.com/splash/4w28qyhg0lc3o2ht.jpg</v>
      </c>
      <c r="D875" s="6" t="s">
        <v>6709</v>
      </c>
      <c r="E875" s="63" t="str">
        <f ca="1">IFERROR(__xludf.DUMMYFUNCTION("""COMPUTED_VALUE"""),"OK")</f>
        <v>OK</v>
      </c>
      <c r="F875" s="46"/>
      <c r="G875" s="45" t="s">
        <v>10653</v>
      </c>
      <c r="H875" s="45" t="s">
        <v>10714</v>
      </c>
    </row>
    <row r="876" spans="1:8">
      <c r="A876" s="12"/>
      <c r="B876" s="12" t="str">
        <f ca="1">IFERROR(__xludf.DUMMYFUNCTION("""COMPUTED_VALUE"""),"Octokuro - 93953392 - Onlyfans")</f>
        <v>Octokuro - 93953392 - Onlyfans</v>
      </c>
      <c r="C876" s="60" t="str">
        <f ca="1">IFERROR(__xludf.DUMMYFUNCTION("""COMPUTED_VALUE"""),"https://thumbcdn.com/splash/5qbvmo0qvhf8x6b7.jpg")</f>
        <v>https://thumbcdn.com/splash/5qbvmo0qvhf8x6b7.jpg</v>
      </c>
      <c r="D876" s="12" t="s">
        <v>6713</v>
      </c>
      <c r="E876" s="57" t="str">
        <f ca="1">IFERROR(__xludf.DUMMYFUNCTION("""COMPUTED_VALUE"""),"OK")</f>
        <v>OK</v>
      </c>
      <c r="F876" s="46"/>
      <c r="G876" s="45" t="s">
        <v>10653</v>
      </c>
      <c r="H876" s="45" t="s">
        <v>10715</v>
      </c>
    </row>
    <row r="877" spans="1:8">
      <c r="A877" s="12" t="s">
        <v>10716</v>
      </c>
      <c r="B877" s="12" t="str">
        <f ca="1">IFERROR(__xludf.DUMMYFUNCTION("""COMPUTED_VALUE"""),"Octokuro - 96562730 - Onlyfans")</f>
        <v>Octokuro - 96562730 - Onlyfans</v>
      </c>
      <c r="C877" s="60" t="str">
        <f ca="1">IFERROR(__xludf.DUMMYFUNCTION("""COMPUTED_VALUE"""),"https://thumbcdn.com/splash/afrtvsdfbdhq6mpw.jpg")</f>
        <v>https://thumbcdn.com/splash/afrtvsdfbdhq6mpw.jpg</v>
      </c>
      <c r="D877" s="12" t="s">
        <v>6723</v>
      </c>
      <c r="E877" s="57" t="str">
        <f ca="1">IFERROR(__xludf.DUMMYFUNCTION("""COMPUTED_VALUE"""),"OK")</f>
        <v>OK</v>
      </c>
      <c r="F877" s="46"/>
      <c r="G877" s="45" t="s">
        <v>10653</v>
      </c>
      <c r="H877" s="45" t="s">
        <v>10717</v>
      </c>
    </row>
    <row r="878" spans="1:8">
      <c r="A878" s="59" t="s">
        <v>10718</v>
      </c>
      <c r="B878" s="12" t="str">
        <f ca="1">IFERROR(__xludf.DUMMYFUNCTION("""COMPUTED_VALUE"""),"Octokuro - 97262351 - Onlyfans")</f>
        <v>Octokuro - 97262351 - Onlyfans</v>
      </c>
      <c r="C878" s="60" t="str">
        <f ca="1">IFERROR(__xludf.DUMMYFUNCTION("""COMPUTED_VALUE"""),"https://thumbcdn.com/splash/lu12fjwulg7f2ij3.jpg")</f>
        <v>https://thumbcdn.com/splash/lu12fjwulg7f2ij3.jpg</v>
      </c>
      <c r="D878" s="12" t="s">
        <v>6728</v>
      </c>
      <c r="E878" s="57" t="str">
        <f ca="1">IFERROR(__xludf.DUMMYFUNCTION("""COMPUTED_VALUE"""),"OK")</f>
        <v>OK</v>
      </c>
      <c r="F878" s="46"/>
      <c r="G878" s="45" t="s">
        <v>10653</v>
      </c>
      <c r="H878" s="45" t="s">
        <v>10719</v>
      </c>
    </row>
    <row r="879" spans="1:8">
      <c r="A879" s="12"/>
      <c r="B879" s="12" t="str">
        <f ca="1">IFERROR(__xludf.DUMMYFUNCTION("""COMPUTED_VALUE"""),"Octokuro - 98357542 - Onlyfans")</f>
        <v>Octokuro - 98357542 - Onlyfans</v>
      </c>
      <c r="C879" s="60" t="str">
        <f ca="1">IFERROR(__xludf.DUMMYFUNCTION("""COMPUTED_VALUE"""),"https://thumbcdn.com/splash/huwj83dxm27z59u8.jpg")</f>
        <v>https://thumbcdn.com/splash/huwj83dxm27z59u8.jpg</v>
      </c>
      <c r="D879" s="12" t="s">
        <v>6733</v>
      </c>
      <c r="E879" s="57" t="str">
        <f ca="1">IFERROR(__xludf.DUMMYFUNCTION("""COMPUTED_VALUE"""),"OK")</f>
        <v>OK</v>
      </c>
      <c r="F879" s="46"/>
      <c r="G879" s="45" t="s">
        <v>10653</v>
      </c>
      <c r="H879" s="45" t="s">
        <v>10720</v>
      </c>
    </row>
    <row r="880" spans="1:8">
      <c r="A880" s="12" t="s">
        <v>10721</v>
      </c>
      <c r="B880" s="12" t="str">
        <f ca="1">IFERROR(__xludf.DUMMYFUNCTION("""COMPUTED_VALUE"""),"Octokuro - 99769777 - Onlyfans")</f>
        <v>Octokuro - 99769777 - Onlyfans</v>
      </c>
      <c r="C880" s="60" t="str">
        <f ca="1">IFERROR(__xludf.DUMMYFUNCTION("""COMPUTED_VALUE"""),"https://thumbcdn.com/splash/nuy1ddo0442sivhg.jpg")</f>
        <v>https://thumbcdn.com/splash/nuy1ddo0442sivhg.jpg</v>
      </c>
      <c r="D880" s="12" t="s">
        <v>6738</v>
      </c>
      <c r="E880" s="57" t="str">
        <f ca="1">IFERROR(__xludf.DUMMYFUNCTION("""COMPUTED_VALUE"""),"OK")</f>
        <v>OK</v>
      </c>
      <c r="F880" s="46"/>
      <c r="G880" s="45" t="s">
        <v>10653</v>
      </c>
      <c r="H880" s="45" t="s">
        <v>10722</v>
      </c>
    </row>
    <row r="881" spans="1:8">
      <c r="A881" s="59" t="s">
        <v>10723</v>
      </c>
      <c r="B881" s="12" t="str">
        <f ca="1">IFERROR(__xludf.DUMMYFUNCTION("""COMPUTED_VALUE"""),"Octokuro - 99817193 - Onlyfans")</f>
        <v>Octokuro - 99817193 - Onlyfans</v>
      </c>
      <c r="C881" s="60" t="str">
        <f ca="1">IFERROR(__xludf.DUMMYFUNCTION("""COMPUTED_VALUE"""),"https://thumbcdn.com/splash/d1t1uc8uwr8lzuxs.jpg")</f>
        <v>https://thumbcdn.com/splash/d1t1uc8uwr8lzuxs.jpg</v>
      </c>
      <c r="D881" s="12" t="s">
        <v>6742</v>
      </c>
      <c r="E881" s="57" t="str">
        <f ca="1">IFERROR(__xludf.DUMMYFUNCTION("""COMPUTED_VALUE"""),"OK")</f>
        <v>OK</v>
      </c>
      <c r="F881" s="46"/>
      <c r="G881" s="45" t="s">
        <v>10653</v>
      </c>
      <c r="H881" s="45" t="s">
        <v>10724</v>
      </c>
    </row>
    <row r="882" spans="1:8">
      <c r="A882" s="12"/>
      <c r="B882" s="12" t="str">
        <f ca="1">IFERROR(__xludf.DUMMYFUNCTION("""COMPUTED_VALUE"""),"Olivia Sparkle - 11092806 - LCDreams")</f>
        <v>Olivia Sparkle - 11092806 - LCDreams</v>
      </c>
      <c r="C882" s="60" t="str">
        <f ca="1">IFERROR(__xludf.DUMMYFUNCTION("""COMPUTED_VALUE"""),"https://thumbcdn.com/splash/eup4wym3jtc60uhy.jpg")</f>
        <v>https://thumbcdn.com/splash/eup4wym3jtc60uhy.jpg</v>
      </c>
      <c r="D882" s="12" t="s">
        <v>6746</v>
      </c>
      <c r="E882" s="57" t="str">
        <f ca="1">IFERROR(__xludf.DUMMYFUNCTION("""COMPUTED_VALUE"""),"OK")</f>
        <v>OK</v>
      </c>
      <c r="F882" s="46"/>
      <c r="G882" s="45" t="s">
        <v>10653</v>
      </c>
      <c r="H882" s="45" t="s">
        <v>10725</v>
      </c>
    </row>
    <row r="883" spans="1:8">
      <c r="A883" s="12" t="s">
        <v>10726</v>
      </c>
      <c r="B883" s="12" t="str">
        <f ca="1">IFERROR(__xludf.DUMMYFUNCTION("""COMPUTED_VALUE"""),"Olivia Sparkle - 17764835 - H4K")</f>
        <v>Olivia Sparkle - 17764835 - H4K</v>
      </c>
      <c r="C883" s="60" t="str">
        <f ca="1">IFERROR(__xludf.DUMMYFUNCTION("""COMPUTED_VALUE"""),"https://thumbcdn.com/splash/oxlboqlsn6yd4h6w.jpg")</f>
        <v>https://thumbcdn.com/splash/oxlboqlsn6yd4h6w.jpg</v>
      </c>
      <c r="D883" s="6" t="s">
        <v>6755</v>
      </c>
      <c r="E883" s="63" t="str">
        <f ca="1">IFERROR(__xludf.DUMMYFUNCTION("""COMPUTED_VALUE"""),"OK")</f>
        <v>OK</v>
      </c>
      <c r="F883" s="46"/>
      <c r="G883" s="45" t="s">
        <v>10727</v>
      </c>
      <c r="H883" s="45" t="s">
        <v>10728</v>
      </c>
    </row>
    <row r="884" spans="1:8">
      <c r="A884" s="59" t="s">
        <v>10729</v>
      </c>
      <c r="B884" s="12" t="str">
        <f ca="1">IFERROR(__xludf.DUMMYFUNCTION("""COMPUTED_VALUE"""),"Olivia Sparkle - 26408287 - Onlyfans")</f>
        <v>Olivia Sparkle - 26408287 - Onlyfans</v>
      </c>
      <c r="C884" s="60" t="str">
        <f ca="1">IFERROR(__xludf.DUMMYFUNCTION("""COMPUTED_VALUE"""),"https://thumbcdn.com/splash/w7ntk0u169ow3bi9.jpg")</f>
        <v>https://thumbcdn.com/splash/w7ntk0u169ow3bi9.jpg</v>
      </c>
      <c r="D884" s="12" t="s">
        <v>6760</v>
      </c>
      <c r="E884" s="57" t="str">
        <f ca="1">IFERROR(__xludf.DUMMYFUNCTION("""COMPUTED_VALUE"""),"OK")</f>
        <v>OK</v>
      </c>
      <c r="F884" s="46"/>
      <c r="G884" s="45" t="s">
        <v>10727</v>
      </c>
      <c r="H884" s="45" t="s">
        <v>10730</v>
      </c>
    </row>
    <row r="885" spans="1:8">
      <c r="A885" s="12"/>
      <c r="B885" s="12" t="str">
        <f ca="1">IFERROR(__xludf.DUMMYFUNCTION("""COMPUTED_VALUE"""),"Olivia Sparkle - 36942485 - Submissed")</f>
        <v>Olivia Sparkle - 36942485 - Submissed</v>
      </c>
      <c r="C885" s="60" t="str">
        <f ca="1">IFERROR(__xludf.DUMMYFUNCTION("""COMPUTED_VALUE"""),"https://thumbcdn.com/splash/5428fs8r6ewhxx6w.jpg")</f>
        <v>https://thumbcdn.com/splash/5428fs8r6ewhxx6w.jpg</v>
      </c>
      <c r="D885" s="12" t="s">
        <v>6765</v>
      </c>
      <c r="E885" s="57" t="str">
        <f ca="1">IFERROR(__xludf.DUMMYFUNCTION("""COMPUTED_VALUE"""),"OK")</f>
        <v>OK</v>
      </c>
      <c r="F885" s="46"/>
      <c r="G885" s="45" t="s">
        <v>10727</v>
      </c>
      <c r="H885" s="45" t="s">
        <v>10731</v>
      </c>
    </row>
    <row r="886" spans="1:8">
      <c r="A886" s="12" t="s">
        <v>10732</v>
      </c>
      <c r="B886" s="12" t="str">
        <f ca="1">IFERROR(__xludf.DUMMYFUNCTION("""COMPUTED_VALUE"""),"Olivia Sparkle - 58920974 - NF")</f>
        <v>Olivia Sparkle - 58920974 - NF</v>
      </c>
      <c r="C886" s="60" t="str">
        <f ca="1">IFERROR(__xludf.DUMMYFUNCTION("""COMPUTED_VALUE"""),"https://thumbcdn.com/splash/tcs4hpxef5sesme7.jpg")</f>
        <v>https://thumbcdn.com/splash/tcs4hpxef5sesme7.jpg</v>
      </c>
      <c r="D886" s="12" t="s">
        <v>6769</v>
      </c>
      <c r="E886" s="57" t="str">
        <f ca="1">IFERROR(__xludf.DUMMYFUNCTION("""COMPUTED_VALUE"""),"OK")</f>
        <v>OK</v>
      </c>
      <c r="F886" s="46"/>
      <c r="G886" s="45" t="s">
        <v>10727</v>
      </c>
      <c r="H886" s="45" t="s">
        <v>10733</v>
      </c>
    </row>
    <row r="887" spans="1:8">
      <c r="A887" s="59" t="s">
        <v>10734</v>
      </c>
      <c r="B887" s="12" t="str">
        <f ca="1">IFERROR(__xludf.DUMMYFUNCTION("""COMPUTED_VALUE"""),"Olivia Sparkle - 68549677 - NF")</f>
        <v>Olivia Sparkle - 68549677 - NF</v>
      </c>
      <c r="C887" s="60" t="str">
        <f ca="1">IFERROR(__xludf.DUMMYFUNCTION("""COMPUTED_VALUE"""),"https://thumbcdn.com/splash/x33uc81jgukly3cm.jpg")</f>
        <v>https://thumbcdn.com/splash/x33uc81jgukly3cm.jpg</v>
      </c>
      <c r="D887" s="12" t="s">
        <v>6774</v>
      </c>
      <c r="E887" s="57" t="str">
        <f ca="1">IFERROR(__xludf.DUMMYFUNCTION("""COMPUTED_VALUE"""),"OK")</f>
        <v>OK</v>
      </c>
      <c r="F887" s="46"/>
      <c r="G887" s="45" t="s">
        <v>10727</v>
      </c>
      <c r="H887" s="45" t="s">
        <v>10735</v>
      </c>
    </row>
    <row r="888" spans="1:8">
      <c r="A888" s="12"/>
      <c r="B888" s="12" t="str">
        <f ca="1">IFERROR(__xludf.DUMMYFUNCTION("""COMPUTED_VALUE"""),"Olivia Sparkle - 75098849 - DS")</f>
        <v>Olivia Sparkle - 75098849 - DS</v>
      </c>
      <c r="C888" s="60" t="str">
        <f ca="1">IFERROR(__xludf.DUMMYFUNCTION("""COMPUTED_VALUE"""),"https://thumbcdn.com/splash/2evlmoubwab44lta.jpg")</f>
        <v>https://thumbcdn.com/splash/2evlmoubwab44lta.jpg</v>
      </c>
      <c r="D888" s="12" t="s">
        <v>6778</v>
      </c>
      <c r="E888" s="57" t="str">
        <f ca="1">IFERROR(__xludf.DUMMYFUNCTION("""COMPUTED_VALUE"""),"OK")</f>
        <v>OK</v>
      </c>
      <c r="F888" s="46"/>
      <c r="G888" s="45" t="s">
        <v>10727</v>
      </c>
      <c r="H888" s="45" t="s">
        <v>10736</v>
      </c>
    </row>
    <row r="889" spans="1:8">
      <c r="A889" s="12" t="s">
        <v>10737</v>
      </c>
      <c r="B889" s="12" t="str">
        <f ca="1">IFERROR(__xludf.DUMMYFUNCTION("""COMPUTED_VALUE"""),"Olivia Sparkle - 96940959 - CU")</f>
        <v>Olivia Sparkle - 96940959 - CU</v>
      </c>
      <c r="C889" s="60" t="str">
        <f ca="1">IFERROR(__xludf.DUMMYFUNCTION("""COMPUTED_VALUE"""),"https://thumbcdn.com/splash/480js0ibdl7ihfl8.jpg")</f>
        <v>https://thumbcdn.com/splash/480js0ibdl7ihfl8.jpg</v>
      </c>
      <c r="D889" s="12" t="s">
        <v>6788</v>
      </c>
      <c r="E889" s="57" t="str">
        <f ca="1">IFERROR(__xludf.DUMMYFUNCTION("""COMPUTED_VALUE"""),"OK")</f>
        <v>OK</v>
      </c>
      <c r="F889" s="46"/>
      <c r="G889" s="45" t="s">
        <v>10727</v>
      </c>
      <c r="H889" s="45" t="s">
        <v>10738</v>
      </c>
    </row>
    <row r="890" spans="1:8">
      <c r="A890" s="59" t="s">
        <v>10739</v>
      </c>
      <c r="B890" s="12" t="str">
        <f ca="1">IFERROR(__xludf.DUMMYFUNCTION("""COMPUTED_VALUE"""),"Payton Preslee - 34521859 - Onlyfans - Brynn Michaels")</f>
        <v>Payton Preslee - 34521859 - Onlyfans - Brynn Michaels</v>
      </c>
      <c r="C890" s="60" t="str">
        <f ca="1">IFERROR(__xludf.DUMMYFUNCTION("""COMPUTED_VALUE"""),"https://thumbcdn.com/splash/4nrollqlulh43dgb.jpg")</f>
        <v>https://thumbcdn.com/splash/4nrollqlulh43dgb.jpg</v>
      </c>
      <c r="D890" s="12" t="s">
        <v>6793</v>
      </c>
      <c r="E890" s="57" t="str">
        <f ca="1">IFERROR(__xludf.DUMMYFUNCTION("""COMPUTED_VALUE"""),"OK")</f>
        <v>OK</v>
      </c>
      <c r="F890" s="46"/>
      <c r="G890" s="45" t="s">
        <v>10727</v>
      </c>
      <c r="H890" s="45" t="s">
        <v>10740</v>
      </c>
    </row>
    <row r="891" spans="1:8">
      <c r="A891" s="12"/>
      <c r="B891" s="12" t="str">
        <f ca="1">IFERROR(__xludf.DUMMYFUNCTION("""COMPUTED_VALUE"""),"Payton Preslee - 92445527 - HoF - Ellie Nova")</f>
        <v>Payton Preslee - 92445527 - HoF - Ellie Nova</v>
      </c>
      <c r="C891" s="60" t="str">
        <f ca="1">IFERROR(__xludf.DUMMYFUNCTION("""COMPUTED_VALUE"""),"https://thumbcdn.com/splash/m4t2z9a71ewd9cl3.jpg")</f>
        <v>https://thumbcdn.com/splash/m4t2z9a71ewd9cl3.jpg</v>
      </c>
      <c r="D891" s="12" t="s">
        <v>6803</v>
      </c>
      <c r="E891" s="57" t="str">
        <f ca="1">IFERROR(__xludf.DUMMYFUNCTION("""COMPUTED_VALUE"""),"OK")</f>
        <v>OK</v>
      </c>
      <c r="F891" s="46"/>
      <c r="G891" s="45" t="s">
        <v>10741</v>
      </c>
      <c r="H891" s="45" t="s">
        <v>10742</v>
      </c>
    </row>
    <row r="892" spans="1:8">
      <c r="A892" s="12" t="s">
        <v>10743</v>
      </c>
      <c r="B892" s="12" t="str">
        <f ca="1">IFERROR(__xludf.DUMMYFUNCTION("""COMPUTED_VALUE"""),"Payton Preslee - 95697340 - Bang")</f>
        <v>Payton Preslee - 95697340 - Bang</v>
      </c>
      <c r="C892" s="60" t="str">
        <f ca="1">IFERROR(__xludf.DUMMYFUNCTION("""COMPUTED_VALUE"""),"https://thumbcdn.com/splash/3x95uf3r6wzh7rwd.jpg")</f>
        <v>https://thumbcdn.com/splash/3x95uf3r6wzh7rwd.jpg</v>
      </c>
      <c r="D892" s="6" t="s">
        <v>6807</v>
      </c>
      <c r="E892" s="63" t="str">
        <f ca="1">IFERROR(__xludf.DUMMYFUNCTION("""COMPUTED_VALUE"""),"OK")</f>
        <v>OK</v>
      </c>
      <c r="F892" s="46"/>
      <c r="G892" s="45" t="s">
        <v>10741</v>
      </c>
      <c r="H892" s="45" t="s">
        <v>10744</v>
      </c>
    </row>
    <row r="893" spans="1:8">
      <c r="A893" s="59" t="s">
        <v>10745</v>
      </c>
      <c r="B893" s="12" t="str">
        <f ca="1">IFERROR(__xludf.DUMMYFUNCTION("""COMPUTED_VALUE"""),"Rae Lil Black - 36474335 - Onlyfans")</f>
        <v>Rae Lil Black - 36474335 - Onlyfans</v>
      </c>
      <c r="C893" s="60" t="str">
        <f ca="1">IFERROR(__xludf.DUMMYFUNCTION("""COMPUTED_VALUE"""),"https://thumbcdn.com/splash/8so4jhbfzvrjqa7i.jpg")</f>
        <v>https://thumbcdn.com/splash/8so4jhbfzvrjqa7i.jpg</v>
      </c>
      <c r="D893" s="12" t="s">
        <v>6830</v>
      </c>
      <c r="E893" s="57" t="str">
        <f ca="1">IFERROR(__xludf.DUMMYFUNCTION("""COMPUTED_VALUE"""),"OK")</f>
        <v>OK</v>
      </c>
      <c r="F893" s="46"/>
      <c r="G893" s="45" t="s">
        <v>10741</v>
      </c>
      <c r="H893" s="45" t="s">
        <v>10746</v>
      </c>
    </row>
    <row r="894" spans="1:8">
      <c r="A894" s="12"/>
      <c r="B894" s="12" t="str">
        <f ca="1">IFERROR(__xludf.DUMMYFUNCTION("""COMPUTED_VALUE"""),"Rae Lil Black - 97194071 - Onlyfans")</f>
        <v>Rae Lil Black - 97194071 - Onlyfans</v>
      </c>
      <c r="C894" s="60" t="str">
        <f ca="1">IFERROR(__xludf.DUMMYFUNCTION("""COMPUTED_VALUE"""),"https://thumbcdn.com/splash/erq0grjccc4wmh6s.jpg")</f>
        <v>https://thumbcdn.com/splash/erq0grjccc4wmh6s.jpg</v>
      </c>
      <c r="D894" s="6" t="s">
        <v>6841</v>
      </c>
      <c r="E894" s="63" t="str">
        <f ca="1">IFERROR(__xludf.DUMMYFUNCTION("""COMPUTED_VALUE"""),"OK")</f>
        <v>OK</v>
      </c>
      <c r="F894" s="46"/>
      <c r="G894" s="45" t="s">
        <v>10747</v>
      </c>
      <c r="H894" s="45" t="s">
        <v>10748</v>
      </c>
    </row>
    <row r="895" spans="1:8">
      <c r="A895" s="12" t="s">
        <v>10749</v>
      </c>
      <c r="B895" s="12" t="str">
        <f ca="1">IFERROR(__xludf.DUMMYFUNCTION("""COMPUTED_VALUE"""),"Raini - 75439323 - BackroomCastingCouch")</f>
        <v>Raini - 75439323 - BackroomCastingCouch</v>
      </c>
      <c r="C895" s="60" t="str">
        <f ca="1">IFERROR(__xludf.DUMMYFUNCTION("""COMPUTED_VALUE"""),"https://thumbcdn.com/splash/j3jv7n4hfw71ph6f.jpg")</f>
        <v>https://thumbcdn.com/splash/j3jv7n4hfw71ph6f.jpg</v>
      </c>
      <c r="D895" s="12" t="s">
        <v>6847</v>
      </c>
      <c r="E895" s="57" t="str">
        <f ca="1">IFERROR(__xludf.DUMMYFUNCTION("""COMPUTED_VALUE"""),"OK")</f>
        <v>OK</v>
      </c>
      <c r="F895" s="46"/>
      <c r="G895" s="45" t="s">
        <v>10747</v>
      </c>
      <c r="H895" s="45" t="s">
        <v>10750</v>
      </c>
    </row>
    <row r="896" spans="1:8">
      <c r="A896" s="59" t="s">
        <v>10751</v>
      </c>
      <c r="B896" s="12" t="str">
        <f ca="1">IFERROR(__xludf.DUMMYFUNCTION("""COMPUTED_VALUE"""),"Rebeca Fox - 16691815 - AV")</f>
        <v>Rebeca Fox - 16691815 - AV</v>
      </c>
      <c r="C896" s="60" t="str">
        <f ca="1">IFERROR(__xludf.DUMMYFUNCTION("""COMPUTED_VALUE"""),"https://thumbcdn.com/splash/pubtn8jbn8beb5tr.jpg")</f>
        <v>https://thumbcdn.com/splash/pubtn8jbn8beb5tr.jpg</v>
      </c>
      <c r="D896" s="12" t="s">
        <v>6852</v>
      </c>
      <c r="E896" s="57" t="str">
        <f ca="1">IFERROR(__xludf.DUMMYFUNCTION("""COMPUTED_VALUE"""),"OK")</f>
        <v>OK</v>
      </c>
      <c r="F896" s="46"/>
      <c r="G896" s="45" t="s">
        <v>10752</v>
      </c>
      <c r="H896" s="45" t="s">
        <v>10753</v>
      </c>
    </row>
    <row r="897" spans="1:8">
      <c r="A897" s="12"/>
      <c r="B897" s="12" t="str">
        <f ca="1">IFERROR(__xludf.DUMMYFUNCTION("""COMPUTED_VALUE"""),"Rebeca Fox - 97988409 - FAQ")</f>
        <v>Rebeca Fox - 97988409 - FAQ</v>
      </c>
      <c r="C897" s="60" t="str">
        <f ca="1">IFERROR(__xludf.DUMMYFUNCTION("""COMPUTED_VALUE"""),"https://thumbcdn.com/splash/4m9fwqk8h4pfvp4t.jpg")</f>
        <v>https://thumbcdn.com/splash/4m9fwqk8h4pfvp4t.jpg</v>
      </c>
      <c r="D897" s="12" t="s">
        <v>6857</v>
      </c>
      <c r="E897" s="57" t="str">
        <f ca="1">IFERROR(__xludf.DUMMYFUNCTION("""COMPUTED_VALUE"""),"OK")</f>
        <v>OK</v>
      </c>
      <c r="F897" s="46"/>
      <c r="G897" s="45" t="s">
        <v>10754</v>
      </c>
      <c r="H897" s="45" t="s">
        <v>10755</v>
      </c>
    </row>
    <row r="898" spans="1:8">
      <c r="A898" s="12" t="s">
        <v>10756</v>
      </c>
      <c r="B898" s="12" t="str">
        <f ca="1">IFERROR(__xludf.DUMMYFUNCTION("""COMPUTED_VALUE"""),"Remido - 17868897 - D4")</f>
        <v>Remido - 17868897 - D4</v>
      </c>
      <c r="C898" s="60" t="str">
        <f ca="1">IFERROR(__xludf.DUMMYFUNCTION("""COMPUTED_VALUE"""),"https://thumbcdn.com/splash/q5whi5gxbbb8o4ku.jpg")</f>
        <v>https://thumbcdn.com/splash/q5whi5gxbbb8o4ku.jpg</v>
      </c>
      <c r="D898" s="12" t="s">
        <v>6865</v>
      </c>
      <c r="E898" s="57" t="str">
        <f ca="1">IFERROR(__xludf.DUMMYFUNCTION("""COMPUTED_VALUE"""),"OK")</f>
        <v>OK</v>
      </c>
      <c r="F898" s="46"/>
      <c r="G898" s="45" t="s">
        <v>10754</v>
      </c>
      <c r="H898" s="45" t="s">
        <v>10757</v>
      </c>
    </row>
    <row r="899" spans="1:8">
      <c r="A899" s="59" t="s">
        <v>10758</v>
      </c>
      <c r="B899" s="12" t="str">
        <f ca="1">IFERROR(__xludf.DUMMYFUNCTION("""COMPUTED_VALUE"""),"Remido - 61743542 - OT")</f>
        <v>Remido - 61743542 - OT</v>
      </c>
      <c r="C899" s="60" t="str">
        <f ca="1">IFERROR(__xludf.DUMMYFUNCTION("""COMPUTED_VALUE"""),"https://thumbcdn.com/splash/rqfkvx8lhs2jykzs.jpg")</f>
        <v>https://thumbcdn.com/splash/rqfkvx8lhs2jykzs.jpg</v>
      </c>
      <c r="D899" s="12" t="s">
        <v>6875</v>
      </c>
      <c r="E899" s="57" t="str">
        <f ca="1">IFERROR(__xludf.DUMMYFUNCTION("""COMPUTED_VALUE"""),"OK")</f>
        <v>OK</v>
      </c>
      <c r="F899" s="46"/>
      <c r="G899" s="45" t="s">
        <v>10759</v>
      </c>
      <c r="H899" s="45" t="s">
        <v>10760</v>
      </c>
    </row>
    <row r="900" spans="1:8">
      <c r="A900" s="12"/>
      <c r="B900" s="12" t="str">
        <f ca="1">IFERROR(__xludf.DUMMYFUNCTION("""COMPUTED_VALUE"""),"Remy Lacroix - 10307538 - Onlyfans")</f>
        <v>Remy Lacroix - 10307538 - Onlyfans</v>
      </c>
      <c r="C900" s="60" t="str">
        <f ca="1">IFERROR(__xludf.DUMMYFUNCTION("""COMPUTED_VALUE"""),"https://thumbcdn.com/splash/6bo642v4aagvqpj0.jpg")</f>
        <v>https://thumbcdn.com/splash/6bo642v4aagvqpj0.jpg</v>
      </c>
      <c r="D900" s="12" t="s">
        <v>6880</v>
      </c>
      <c r="E900" s="57" t="str">
        <f ca="1">IFERROR(__xludf.DUMMYFUNCTION("""COMPUTED_VALUE"""),"OK")</f>
        <v>OK</v>
      </c>
      <c r="F900" s="46"/>
      <c r="G900" s="45" t="s">
        <v>10759</v>
      </c>
      <c r="H900" s="45" t="s">
        <v>10761</v>
      </c>
    </row>
    <row r="901" spans="1:8">
      <c r="A901" s="12" t="s">
        <v>10762</v>
      </c>
      <c r="B901" s="12" t="str">
        <f ca="1">IFERROR(__xludf.DUMMYFUNCTION("""COMPUTED_VALUE"""),"Remy Lacroix - 11605734 - Onlyfans")</f>
        <v>Remy Lacroix - 11605734 - Onlyfans</v>
      </c>
      <c r="C901" s="60" t="str">
        <f ca="1">IFERROR(__xludf.DUMMYFUNCTION("""COMPUTED_VALUE"""),"https://thumbcdn.com/splash/ywykjnf6v87l6o8c.jpg")</f>
        <v>https://thumbcdn.com/splash/ywykjnf6v87l6o8c.jpg</v>
      </c>
      <c r="D901" s="6" t="s">
        <v>6885</v>
      </c>
      <c r="E901" s="63" t="str">
        <f ca="1">IFERROR(__xludf.DUMMYFUNCTION("""COMPUTED_VALUE"""),"OK")</f>
        <v>OK</v>
      </c>
      <c r="F901" s="46"/>
      <c r="G901" s="45" t="s">
        <v>10763</v>
      </c>
      <c r="H901" s="45" t="s">
        <v>10764</v>
      </c>
    </row>
    <row r="902" spans="1:8">
      <c r="A902" s="59" t="s">
        <v>10765</v>
      </c>
      <c r="B902" s="12" t="str">
        <f ca="1">IFERROR(__xludf.DUMMYFUNCTION("""COMPUTED_VALUE"""),"Remy Lacroix - 25602670 - Onlyfans")</f>
        <v>Remy Lacroix - 25602670 - Onlyfans</v>
      </c>
      <c r="C902" s="60" t="str">
        <f ca="1">IFERROR(__xludf.DUMMYFUNCTION("""COMPUTED_VALUE"""),"https://thumbcdn.com/splash/3g6g5ic52aizi9s7.jpg")</f>
        <v>https://thumbcdn.com/splash/3g6g5ic52aizi9s7.jpg</v>
      </c>
      <c r="D902" s="12" t="s">
        <v>6890</v>
      </c>
      <c r="E902" s="57" t="str">
        <f ca="1">IFERROR(__xludf.DUMMYFUNCTION("""COMPUTED_VALUE"""),"OK")</f>
        <v>OK</v>
      </c>
      <c r="F902" s="46"/>
      <c r="G902" s="45" t="s">
        <v>10763</v>
      </c>
      <c r="H902" s="45" t="s">
        <v>10766</v>
      </c>
    </row>
    <row r="903" spans="1:8">
      <c r="A903" s="12"/>
      <c r="B903" s="12" t="str">
        <f ca="1">IFERROR(__xludf.DUMMYFUNCTION("""COMPUTED_VALUE"""),"Remy Lacroix - 30133802 - Onlyfans")</f>
        <v>Remy Lacroix - 30133802 - Onlyfans</v>
      </c>
      <c r="C903" s="60" t="str">
        <f ca="1">IFERROR(__xludf.DUMMYFUNCTION("""COMPUTED_VALUE"""),"https://thumbcdn.com/splash/3bxvo938072ddv7g.jpg")</f>
        <v>https://thumbcdn.com/splash/3bxvo938072ddv7g.jpg</v>
      </c>
      <c r="D903" s="12" t="s">
        <v>6896</v>
      </c>
      <c r="E903" s="57" t="str">
        <f ca="1">IFERROR(__xludf.DUMMYFUNCTION("""COMPUTED_VALUE"""),"OK")</f>
        <v>OK</v>
      </c>
      <c r="F903" s="46"/>
      <c r="G903" s="45" t="s">
        <v>10763</v>
      </c>
      <c r="H903" s="45" t="s">
        <v>10767</v>
      </c>
    </row>
    <row r="904" spans="1:8">
      <c r="A904" s="12" t="s">
        <v>10768</v>
      </c>
      <c r="B904" s="12" t="str">
        <f ca="1">IFERROR(__xludf.DUMMYFUNCTION("""COMPUTED_VALUE"""),"Remy Lacroix - 35214609 - Onlyfans")</f>
        <v>Remy Lacroix - 35214609 - Onlyfans</v>
      </c>
      <c r="C904" s="60" t="str">
        <f ca="1">IFERROR(__xludf.DUMMYFUNCTION("""COMPUTED_VALUE"""),"https://thumbcdn.com/splash/f78dzopxyjlhwla2.jpg")</f>
        <v>https://thumbcdn.com/splash/f78dzopxyjlhwla2.jpg</v>
      </c>
      <c r="D904" s="12" t="s">
        <v>6900</v>
      </c>
      <c r="E904" s="57" t="str">
        <f ca="1">IFERROR(__xludf.DUMMYFUNCTION("""COMPUTED_VALUE"""),"OK")</f>
        <v>OK</v>
      </c>
      <c r="F904" s="46"/>
      <c r="G904" s="45" t="s">
        <v>10763</v>
      </c>
      <c r="H904" s="45" t="s">
        <v>10769</v>
      </c>
    </row>
    <row r="905" spans="1:8">
      <c r="A905" s="59" t="s">
        <v>10770</v>
      </c>
      <c r="B905" s="12" t="str">
        <f ca="1">IFERROR(__xludf.DUMMYFUNCTION("""COMPUTED_VALUE"""),"Remy Lacroix - 37921435 - Onlyfans")</f>
        <v>Remy Lacroix - 37921435 - Onlyfans</v>
      </c>
      <c r="C905" s="60" t="str">
        <f ca="1">IFERROR(__xludf.DUMMYFUNCTION("""COMPUTED_VALUE"""),"https://thumbcdn.com/splash/opag4rfj78we3mk7.jpg")</f>
        <v>https://thumbcdn.com/splash/opag4rfj78we3mk7.jpg</v>
      </c>
      <c r="D905" s="6" t="s">
        <v>6904</v>
      </c>
      <c r="E905" s="63" t="str">
        <f ca="1">IFERROR(__xludf.DUMMYFUNCTION("""COMPUTED_VALUE"""),"OK")</f>
        <v>OK</v>
      </c>
      <c r="F905" s="46"/>
      <c r="G905" s="45" t="s">
        <v>10763</v>
      </c>
      <c r="H905" s="45" t="s">
        <v>10771</v>
      </c>
    </row>
    <row r="906" spans="1:8">
      <c r="A906" s="12"/>
      <c r="B906" s="12" t="str">
        <f ca="1">IFERROR(__xludf.DUMMYFUNCTION("""COMPUTED_VALUE"""),"Remy Lacroix - 44852556 - Onlyfans")</f>
        <v>Remy Lacroix - 44852556 - Onlyfans</v>
      </c>
      <c r="C906" s="60" t="str">
        <f ca="1">IFERROR(__xludf.DUMMYFUNCTION("""COMPUTED_VALUE"""),"https://thumbcdn.com/splash/f009dhacy8ruwbww.jpg")</f>
        <v>https://thumbcdn.com/splash/f009dhacy8ruwbww.jpg</v>
      </c>
      <c r="D906" s="12" t="s">
        <v>6909</v>
      </c>
      <c r="E906" s="57" t="str">
        <f ca="1">IFERROR(__xludf.DUMMYFUNCTION("""COMPUTED_VALUE"""),"OK")</f>
        <v>OK</v>
      </c>
      <c r="F906" s="46"/>
      <c r="G906" s="45" t="s">
        <v>10763</v>
      </c>
      <c r="H906" s="45" t="s">
        <v>10772</v>
      </c>
    </row>
    <row r="907" spans="1:8">
      <c r="A907" s="12" t="s">
        <v>10773</v>
      </c>
      <c r="B907" s="12" t="str">
        <f ca="1">IFERROR(__xludf.DUMMYFUNCTION("""COMPUTED_VALUE"""),"Remy Lacroix - 46659805 - Onlyfans")</f>
        <v>Remy Lacroix - 46659805 - Onlyfans</v>
      </c>
      <c r="C907" s="60" t="str">
        <f ca="1">IFERROR(__xludf.DUMMYFUNCTION("""COMPUTED_VALUE"""),"https://thumbcdn.com/splash/s4nnhrnyq9g3k8ty.jpg")</f>
        <v>https://thumbcdn.com/splash/s4nnhrnyq9g3k8ty.jpg</v>
      </c>
      <c r="D907" s="12" t="s">
        <v>6915</v>
      </c>
      <c r="E907" s="57" t="str">
        <f ca="1">IFERROR(__xludf.DUMMYFUNCTION("""COMPUTED_VALUE"""),"OK")</f>
        <v>OK</v>
      </c>
      <c r="F907" s="46"/>
      <c r="G907" s="45" t="s">
        <v>10763</v>
      </c>
      <c r="H907" s="45" t="s">
        <v>10774</v>
      </c>
    </row>
    <row r="908" spans="1:8">
      <c r="A908" s="59" t="s">
        <v>10775</v>
      </c>
      <c r="B908" s="12" t="str">
        <f ca="1">IFERROR(__xludf.DUMMYFUNCTION("""COMPUTED_VALUE"""),"Remy Lacroix - 71611678 - Onlyfans")</f>
        <v>Remy Lacroix - 71611678 - Onlyfans</v>
      </c>
      <c r="C908" s="60" t="str">
        <f ca="1">IFERROR(__xludf.DUMMYFUNCTION("""COMPUTED_VALUE"""),"https://thumbcdn.com/splash/b7mrs88ngm1ambrr.jpg")</f>
        <v>https://thumbcdn.com/splash/b7mrs88ngm1ambrr.jpg</v>
      </c>
      <c r="D908" s="6" t="s">
        <v>6926</v>
      </c>
      <c r="E908" s="63" t="str">
        <f ca="1">IFERROR(__xludf.DUMMYFUNCTION("""COMPUTED_VALUE"""),"OK")</f>
        <v>OK</v>
      </c>
      <c r="F908" s="46"/>
      <c r="G908" s="45" t="s">
        <v>10763</v>
      </c>
      <c r="H908" s="45" t="s">
        <v>10776</v>
      </c>
    </row>
    <row r="909" spans="1:8">
      <c r="A909" s="12"/>
      <c r="B909" s="12" t="str">
        <f ca="1">IFERROR(__xludf.DUMMYFUNCTION("""COMPUTED_VALUE"""),"Remy Lacroix - 85696956 - Onlyfans")</f>
        <v>Remy Lacroix - 85696956 - Onlyfans</v>
      </c>
      <c r="C909" s="60" t="str">
        <f ca="1">IFERROR(__xludf.DUMMYFUNCTION("""COMPUTED_VALUE"""),"https://thumbcdn.com/splash/p3s8ugzolyjfohfb.jpg")</f>
        <v>https://thumbcdn.com/splash/p3s8ugzolyjfohfb.jpg</v>
      </c>
      <c r="D909" s="12" t="s">
        <v>6930</v>
      </c>
      <c r="E909" s="57" t="str">
        <f ca="1">IFERROR(__xludf.DUMMYFUNCTION("""COMPUTED_VALUE"""),"OK")</f>
        <v>OK</v>
      </c>
      <c r="F909" s="46"/>
      <c r="G909" s="45" t="s">
        <v>10763</v>
      </c>
      <c r="H909" s="45" t="s">
        <v>10777</v>
      </c>
    </row>
    <row r="910" spans="1:8">
      <c r="A910" s="12" t="s">
        <v>10778</v>
      </c>
      <c r="B910" s="12" t="str">
        <f ca="1">IFERROR(__xludf.DUMMYFUNCTION("""COMPUTED_VALUE"""),"Remy Lacroix - 96309335 - Onlyfans")</f>
        <v>Remy Lacroix - 96309335 - Onlyfans</v>
      </c>
      <c r="C910" s="60" t="str">
        <f ca="1">IFERROR(__xludf.DUMMYFUNCTION("""COMPUTED_VALUE"""),"https://thumbcdn.com/splash/o7cjs92wwrgit9pw.jpg")</f>
        <v>https://thumbcdn.com/splash/o7cjs92wwrgit9pw.jpg</v>
      </c>
      <c r="D910" s="12" t="s">
        <v>6934</v>
      </c>
      <c r="E910" s="57" t="str">
        <f ca="1">IFERROR(__xludf.DUMMYFUNCTION("""COMPUTED_VALUE"""),"OK")</f>
        <v>OK</v>
      </c>
      <c r="F910" s="46"/>
      <c r="G910" s="45" t="s">
        <v>10763</v>
      </c>
      <c r="H910" s="45" t="s">
        <v>10779</v>
      </c>
    </row>
    <row r="911" spans="1:8">
      <c r="A911" s="59" t="s">
        <v>10780</v>
      </c>
      <c r="B911" s="12" t="str">
        <f ca="1">IFERROR(__xludf.DUMMYFUNCTION("""COMPUTED_VALUE"""),"Riley Reid - 12535236 - Onlyfans - Jill Kassidy - Melissa Moore")</f>
        <v>Riley Reid - 12535236 - Onlyfans - Jill Kassidy - Melissa Moore</v>
      </c>
      <c r="C911" s="60" t="str">
        <f ca="1">IFERROR(__xludf.DUMMYFUNCTION("""COMPUTED_VALUE"""),"https://thumbcdn.com/splash/rshp5zcyfufq5sdt.jpg")</f>
        <v>https://thumbcdn.com/splash/rshp5zcyfufq5sdt.jpg</v>
      </c>
      <c r="D911" s="6" t="s">
        <v>6948</v>
      </c>
      <c r="E911" s="63" t="str">
        <f ca="1">IFERROR(__xludf.DUMMYFUNCTION("""COMPUTED_VALUE"""),"OK")</f>
        <v>OK</v>
      </c>
      <c r="F911" s="46"/>
      <c r="G911" s="45" t="s">
        <v>10763</v>
      </c>
      <c r="H911" s="45" t="s">
        <v>10781</v>
      </c>
    </row>
    <row r="912" spans="1:8">
      <c r="A912" s="12"/>
      <c r="B912" s="12" t="str">
        <f ca="1">IFERROR(__xludf.DUMMYFUNCTION("""COMPUTED_VALUE"""),"Riley Reid - 13377773 - Onlyfans")</f>
        <v>Riley Reid - 13377773 - Onlyfans</v>
      </c>
      <c r="C912" s="60" t="str">
        <f ca="1">IFERROR(__xludf.DUMMYFUNCTION("""COMPUTED_VALUE"""),"https://thumbcdn.com/splash/c61fo2kt9ehsjja6.jpg")</f>
        <v>https://thumbcdn.com/splash/c61fo2kt9ehsjja6.jpg</v>
      </c>
      <c r="D912" s="6" t="s">
        <v>6954</v>
      </c>
      <c r="E912" s="63" t="str">
        <f ca="1">IFERROR(__xludf.DUMMYFUNCTION("""COMPUTED_VALUE"""),"OK")</f>
        <v>OK</v>
      </c>
      <c r="F912" s="46"/>
      <c r="G912" s="45" t="s">
        <v>10782</v>
      </c>
      <c r="H912" s="45" t="s">
        <v>10783</v>
      </c>
    </row>
    <row r="913" spans="1:8">
      <c r="A913" s="12" t="s">
        <v>10784</v>
      </c>
      <c r="B913" s="12" t="str">
        <f ca="1">IFERROR(__xludf.DUMMYFUNCTION("""COMPUTED_VALUE"""),"Riley Reid - 16167707 - Onlyfans")</f>
        <v>Riley Reid - 16167707 - Onlyfans</v>
      </c>
      <c r="C913" s="60" t="str">
        <f ca="1">IFERROR(__xludf.DUMMYFUNCTION("""COMPUTED_VALUE"""),"https://thumbcdn.com/splash/5oj830bmuhqjngnq.jpg")</f>
        <v>https://thumbcdn.com/splash/5oj830bmuhqjngnq.jpg</v>
      </c>
      <c r="D913" s="12" t="s">
        <v>6958</v>
      </c>
      <c r="E913" s="57" t="str">
        <f ca="1">IFERROR(__xludf.DUMMYFUNCTION("""COMPUTED_VALUE"""),"OK")</f>
        <v>OK</v>
      </c>
      <c r="F913" s="46"/>
      <c r="G913" s="45" t="s">
        <v>10782</v>
      </c>
      <c r="H913" s="45" t="s">
        <v>10785</v>
      </c>
    </row>
    <row r="914" spans="1:8">
      <c r="A914" s="59" t="s">
        <v>10786</v>
      </c>
      <c r="B914" s="12" t="str">
        <f ca="1">IFERROR(__xludf.DUMMYFUNCTION("""COMPUTED_VALUE"""),"Riley Reid - 19096283 - Onlyfans - Cheerleader Kait")</f>
        <v>Riley Reid - 19096283 - Onlyfans - Cheerleader Kait</v>
      </c>
      <c r="C914" s="60" t="str">
        <f ca="1">IFERROR(__xludf.DUMMYFUNCTION("""COMPUTED_VALUE"""),"https://thumbcdn.com/splash/g0hiqelt8e5ykemu.jpg")</f>
        <v>https://thumbcdn.com/splash/g0hiqelt8e5ykemu.jpg</v>
      </c>
      <c r="D914" s="12" t="s">
        <v>6962</v>
      </c>
      <c r="E914" s="57" t="str">
        <f ca="1">IFERROR(__xludf.DUMMYFUNCTION("""COMPUTED_VALUE"""),"OK")</f>
        <v>OK</v>
      </c>
      <c r="F914" s="46"/>
      <c r="G914" s="45" t="s">
        <v>10782</v>
      </c>
      <c r="H914" s="45" t="s">
        <v>10787</v>
      </c>
    </row>
    <row r="915" spans="1:8">
      <c r="A915" s="12"/>
      <c r="B915" s="12" t="str">
        <f ca="1">IFERROR(__xludf.DUMMYFUNCTION("""COMPUTED_VALUE"""),"Riley Reid - 23234580 - Onlyfans")</f>
        <v>Riley Reid - 23234580 - Onlyfans</v>
      </c>
      <c r="C915" s="60" t="str">
        <f ca="1">IFERROR(__xludf.DUMMYFUNCTION("""COMPUTED_VALUE"""),"https://thumbcdn.com/splash/oifo7d30pd9lfxay.jpg")</f>
        <v>https://thumbcdn.com/splash/oifo7d30pd9lfxay.jpg</v>
      </c>
      <c r="D915" s="12" t="s">
        <v>6967</v>
      </c>
      <c r="E915" s="57" t="str">
        <f ca="1">IFERROR(__xludf.DUMMYFUNCTION("""COMPUTED_VALUE"""),"OK")</f>
        <v>OK</v>
      </c>
      <c r="F915" s="46"/>
      <c r="G915" s="45" t="s">
        <v>10782</v>
      </c>
      <c r="H915" s="45" t="s">
        <v>10788</v>
      </c>
    </row>
    <row r="916" spans="1:8">
      <c r="A916" s="12" t="s">
        <v>10789</v>
      </c>
      <c r="B916" s="12" t="str">
        <f ca="1">IFERROR(__xludf.DUMMYFUNCTION("""COMPUTED_VALUE"""),"Riley Reid - 28043180 - Onlyfans")</f>
        <v>Riley Reid - 28043180 - Onlyfans</v>
      </c>
      <c r="C916" s="60" t="str">
        <f ca="1">IFERROR(__xludf.DUMMYFUNCTION("""COMPUTED_VALUE"""),"https://thumbcdn.com/splash/86lzd3cs9ewg8k94.jpg")</f>
        <v>https://thumbcdn.com/splash/86lzd3cs9ewg8k94.jpg</v>
      </c>
      <c r="D916" s="16" t="s">
        <v>6972</v>
      </c>
      <c r="E916" s="57" t="str">
        <f ca="1">IFERROR(__xludf.DUMMYFUNCTION("""COMPUTED_VALUE"""),"OK")</f>
        <v>OK</v>
      </c>
      <c r="F916" s="46"/>
      <c r="G916" s="45" t="s">
        <v>10782</v>
      </c>
      <c r="H916" s="45" t="s">
        <v>10790</v>
      </c>
    </row>
    <row r="917" spans="1:8">
      <c r="A917" s="59" t="s">
        <v>10791</v>
      </c>
      <c r="B917" s="12" t="str">
        <f ca="1">IFERROR(__xludf.DUMMYFUNCTION("""COMPUTED_VALUE"""),"Riley Reid - 31899025 - Onlyfans")</f>
        <v>Riley Reid - 31899025 - Onlyfans</v>
      </c>
      <c r="C917" s="60" t="str">
        <f ca="1">IFERROR(__xludf.DUMMYFUNCTION("""COMPUTED_VALUE"""),"https://thumbcdn.com/splash/1w8d08kglpqfpyrh.jpg")</f>
        <v>https://thumbcdn.com/splash/1w8d08kglpqfpyrh.jpg</v>
      </c>
      <c r="D917" s="6" t="s">
        <v>6976</v>
      </c>
      <c r="E917" s="63" t="str">
        <f ca="1">IFERROR(__xludf.DUMMYFUNCTION("""COMPUTED_VALUE"""),"OK")</f>
        <v>OK</v>
      </c>
      <c r="F917" s="46"/>
      <c r="G917" s="45" t="s">
        <v>10782</v>
      </c>
      <c r="H917" s="45" t="s">
        <v>10792</v>
      </c>
    </row>
    <row r="918" spans="1:8">
      <c r="A918" s="12"/>
      <c r="B918" s="12" t="str">
        <f ca="1">IFERROR(__xludf.DUMMYFUNCTION("""COMPUTED_VALUE"""),"Riley Reid - 43753980 - Onlyfans")</f>
        <v>Riley Reid - 43753980 - Onlyfans</v>
      </c>
      <c r="C918" s="60" t="str">
        <f ca="1">IFERROR(__xludf.DUMMYFUNCTION("""COMPUTED_VALUE"""),"https://thumbcdn.com/splash/8t2chprzzw8pcfkm.jpg")</f>
        <v>https://thumbcdn.com/splash/8t2chprzzw8pcfkm.jpg</v>
      </c>
      <c r="D918" s="12" t="s">
        <v>6982</v>
      </c>
      <c r="E918" s="57" t="str">
        <f ca="1">IFERROR(__xludf.DUMMYFUNCTION("""COMPUTED_VALUE"""),"OK")</f>
        <v>OK</v>
      </c>
      <c r="F918" s="46"/>
      <c r="G918" s="45" t="s">
        <v>10782</v>
      </c>
      <c r="H918" s="45" t="s">
        <v>10793</v>
      </c>
    </row>
    <row r="919" spans="1:8">
      <c r="A919" s="12" t="s">
        <v>10794</v>
      </c>
      <c r="B919" s="12" t="str">
        <f ca="1">IFERROR(__xludf.DUMMYFUNCTION("""COMPUTED_VALUE"""),"Riley Reid - 45995335 - Onlyfans")</f>
        <v>Riley Reid - 45995335 - Onlyfans</v>
      </c>
      <c r="C919" s="60" t="str">
        <f ca="1">IFERROR(__xludf.DUMMYFUNCTION("""COMPUTED_VALUE"""),"https://thumbcdn.com/splash/5aacz26yte9jhv5o.jpg")</f>
        <v>https://thumbcdn.com/splash/5aacz26yte9jhv5o.jpg</v>
      </c>
      <c r="D919" s="12" t="s">
        <v>6987</v>
      </c>
      <c r="E919" s="57" t="str">
        <f ca="1">IFERROR(__xludf.DUMMYFUNCTION("""COMPUTED_VALUE"""),"OK")</f>
        <v>OK</v>
      </c>
      <c r="F919" s="46"/>
      <c r="G919" s="45" t="s">
        <v>10782</v>
      </c>
      <c r="H919" s="45" t="s">
        <v>10795</v>
      </c>
    </row>
    <row r="920" spans="1:8">
      <c r="A920" s="59" t="s">
        <v>10796</v>
      </c>
      <c r="B920" s="12" t="str">
        <f ca="1">IFERROR(__xludf.DUMMYFUNCTION("""COMPUTED_VALUE"""),"Riley Reid - 56833088 - Onlyfans")</f>
        <v>Riley Reid - 56833088 - Onlyfans</v>
      </c>
      <c r="C920" s="60" t="str">
        <f ca="1">IFERROR(__xludf.DUMMYFUNCTION("""COMPUTED_VALUE"""),"https://thumbcdn.com/splash/qlqeaaylix03i0ww.jpg")</f>
        <v>https://thumbcdn.com/splash/qlqeaaylix03i0ww.jpg</v>
      </c>
      <c r="D920" s="12" t="s">
        <v>6996</v>
      </c>
      <c r="E920" s="57" t="str">
        <f ca="1">IFERROR(__xludf.DUMMYFUNCTION("""COMPUTED_VALUE"""),"OK")</f>
        <v>OK</v>
      </c>
      <c r="F920" s="46"/>
      <c r="G920" s="45" t="s">
        <v>10782</v>
      </c>
      <c r="H920" s="45" t="s">
        <v>10797</v>
      </c>
    </row>
    <row r="921" spans="1:8">
      <c r="A921" s="12"/>
      <c r="B921" s="12" t="str">
        <f ca="1">IFERROR(__xludf.DUMMYFUNCTION("""COMPUTED_VALUE"""),"Riley Reid - 65655091 - Onlyfans")</f>
        <v>Riley Reid - 65655091 - Onlyfans</v>
      </c>
      <c r="C921" s="60" t="str">
        <f ca="1">IFERROR(__xludf.DUMMYFUNCTION("""COMPUTED_VALUE"""),"https://thumbcdn.com/splash/dww715lr3wi1cbpd.jpg")</f>
        <v>https://thumbcdn.com/splash/dww715lr3wi1cbpd.jpg</v>
      </c>
      <c r="D921" s="16" t="s">
        <v>7013</v>
      </c>
      <c r="E921" s="57" t="str">
        <f ca="1">IFERROR(__xludf.DUMMYFUNCTION("""COMPUTED_VALUE"""),"OK")</f>
        <v>OK</v>
      </c>
      <c r="F921" s="46"/>
      <c r="G921" s="45" t="s">
        <v>10782</v>
      </c>
      <c r="H921" s="45" t="s">
        <v>10798</v>
      </c>
    </row>
    <row r="922" spans="1:8">
      <c r="A922" s="12" t="s">
        <v>10799</v>
      </c>
      <c r="B922" s="12" t="str">
        <f ca="1">IFERROR(__xludf.DUMMYFUNCTION("""COMPUTED_VALUE"""),"Riley Reid - 66192061 - Onlyfans")</f>
        <v>Riley Reid - 66192061 - Onlyfans</v>
      </c>
      <c r="C922" s="60" t="str">
        <f ca="1">IFERROR(__xludf.DUMMYFUNCTION("""COMPUTED_VALUE"""),"https://thumbcdn.com/splash/v6lxokjipkrs1ybd.jpg")</f>
        <v>https://thumbcdn.com/splash/v6lxokjipkrs1ybd.jpg</v>
      </c>
      <c r="D922" s="12" t="s">
        <v>7024</v>
      </c>
      <c r="E922" s="57" t="str">
        <f ca="1">IFERROR(__xludf.DUMMYFUNCTION("""COMPUTED_VALUE"""),"OK")</f>
        <v>OK</v>
      </c>
      <c r="F922" s="46"/>
      <c r="G922" s="45" t="s">
        <v>10782</v>
      </c>
      <c r="H922" s="45" t="s">
        <v>10800</v>
      </c>
    </row>
    <row r="923" spans="1:8">
      <c r="A923" s="59" t="s">
        <v>10801</v>
      </c>
      <c r="B923" s="12" t="str">
        <f ca="1">IFERROR(__xludf.DUMMYFUNCTION("""COMPUTED_VALUE"""),"Riley Reid - 73710661 - Onlyfans")</f>
        <v>Riley Reid - 73710661 - Onlyfans</v>
      </c>
      <c r="C923" s="60" t="str">
        <f ca="1">IFERROR(__xludf.DUMMYFUNCTION("""COMPUTED_VALUE"""),"https://thumbcdn.com/splash/ha17prny65ce7unr.jpg")</f>
        <v>https://thumbcdn.com/splash/ha17prny65ce7unr.jpg</v>
      </c>
      <c r="D923" s="12" t="s">
        <v>7040</v>
      </c>
      <c r="E923" s="57" t="str">
        <f ca="1">IFERROR(__xludf.DUMMYFUNCTION("""COMPUTED_VALUE"""),"OK")</f>
        <v>OK</v>
      </c>
      <c r="F923" s="46"/>
      <c r="G923" s="45" t="s">
        <v>10782</v>
      </c>
      <c r="H923" s="45" t="s">
        <v>10802</v>
      </c>
    </row>
    <row r="924" spans="1:8">
      <c r="A924" s="12"/>
      <c r="B924" s="12" t="str">
        <f ca="1">IFERROR(__xludf.DUMMYFUNCTION("""COMPUTED_VALUE"""),"Riley Reid - 77610777 - Onlyfans")</f>
        <v>Riley Reid - 77610777 - Onlyfans</v>
      </c>
      <c r="C924" s="60" t="str">
        <f ca="1">IFERROR(__xludf.DUMMYFUNCTION("""COMPUTED_VALUE"""),"https://thumbcdn.com/splash/ehcppw649yr8stfx.jpg")</f>
        <v>https://thumbcdn.com/splash/ehcppw649yr8stfx.jpg</v>
      </c>
      <c r="D924" s="12" t="s">
        <v>7045</v>
      </c>
      <c r="E924" s="57" t="str">
        <f ca="1">IFERROR(__xludf.DUMMYFUNCTION("""COMPUTED_VALUE"""),"OK")</f>
        <v>OK</v>
      </c>
      <c r="F924" s="46"/>
      <c r="G924" s="45" t="s">
        <v>10782</v>
      </c>
      <c r="H924" s="45" t="s">
        <v>10803</v>
      </c>
    </row>
    <row r="925" spans="1:8">
      <c r="A925" s="12" t="s">
        <v>10804</v>
      </c>
      <c r="B925" s="12" t="str">
        <f ca="1">IFERROR(__xludf.DUMMYFUNCTION("""COMPUTED_VALUE"""),"Riley Reid - 82966135 - Onlyfans - Stella Barey")</f>
        <v>Riley Reid - 82966135 - Onlyfans - Stella Barey</v>
      </c>
      <c r="C925" s="60" t="str">
        <f ca="1">IFERROR(__xludf.DUMMYFUNCTION("""COMPUTED_VALUE"""),"https://thumbcdn.com/splash/3mh3j9hkhzv0yviw.jpg")</f>
        <v>https://thumbcdn.com/splash/3mh3j9hkhzv0yviw.jpg</v>
      </c>
      <c r="D925" s="12" t="s">
        <v>7056</v>
      </c>
      <c r="E925" s="57" t="str">
        <f ca="1">IFERROR(__xludf.DUMMYFUNCTION("""COMPUTED_VALUE"""),"OK")</f>
        <v>OK</v>
      </c>
      <c r="F925" s="46"/>
      <c r="G925" s="45" t="s">
        <v>10782</v>
      </c>
      <c r="H925" s="45" t="s">
        <v>10805</v>
      </c>
    </row>
    <row r="926" spans="1:8">
      <c r="A926" s="59" t="s">
        <v>10806</v>
      </c>
      <c r="B926" s="12" t="str">
        <f ca="1">IFERROR(__xludf.DUMMYFUNCTION("""COMPUTED_VALUE"""),"Riley Reid - 93448192 - Onlyfans - Cheerleader Kait")</f>
        <v>Riley Reid - 93448192 - Onlyfans - Cheerleader Kait</v>
      </c>
      <c r="C926" s="60" t="str">
        <f ca="1">IFERROR(__xludf.DUMMYFUNCTION("""COMPUTED_VALUE"""),"https://thumbcdn.com/splash/rx1jc2ptwdhm0b81.jpg")</f>
        <v>https://thumbcdn.com/splash/rx1jc2ptwdhm0b81.jpg</v>
      </c>
      <c r="D926" s="12" t="s">
        <v>7061</v>
      </c>
      <c r="E926" s="57" t="str">
        <f ca="1">IFERROR(__xludf.DUMMYFUNCTION("""COMPUTED_VALUE"""),"OK")</f>
        <v>OK</v>
      </c>
      <c r="F926" s="46"/>
      <c r="G926" s="45" t="s">
        <v>10782</v>
      </c>
      <c r="H926" s="45" t="s">
        <v>10807</v>
      </c>
    </row>
    <row r="927" spans="1:8">
      <c r="A927" s="12"/>
      <c r="B927" s="12" t="str">
        <f ca="1">IFERROR(__xludf.DUMMYFUNCTION("""COMPUTED_VALUE"""),"Rosaline Dawn - 89378793 - Onlyfans")</f>
        <v>Rosaline Dawn - 89378793 - Onlyfans</v>
      </c>
      <c r="C927" s="60" t="str">
        <f ca="1">IFERROR(__xludf.DUMMYFUNCTION("""COMPUTED_VALUE"""),"https://thumbcdn.com/splash/q68lsgjeosoe8om2.jpg")</f>
        <v>https://thumbcdn.com/splash/q68lsgjeosoe8om2.jpg</v>
      </c>
      <c r="D927" s="55" t="s">
        <v>7065</v>
      </c>
      <c r="E927" s="57" t="str">
        <f ca="1">IFERROR(__xludf.DUMMYFUNCTION("""COMPUTED_VALUE"""),"OK")</f>
        <v>OK</v>
      </c>
      <c r="F927" s="46"/>
      <c r="G927" s="45" t="s">
        <v>10782</v>
      </c>
      <c r="H927" s="45" t="s">
        <v>10808</v>
      </c>
    </row>
    <row r="928" spans="1:8">
      <c r="A928" s="12" t="s">
        <v>10809</v>
      </c>
      <c r="B928" s="12" t="str">
        <f ca="1">IFERROR(__xludf.DUMMYFUNCTION("""COMPUTED_VALUE"""),"Rosaline Dawn - 97771533 - Onlyfans")</f>
        <v>Rosaline Dawn - 97771533 - Onlyfans</v>
      </c>
      <c r="C928" s="60" t="str">
        <f ca="1">IFERROR(__xludf.DUMMYFUNCTION("""COMPUTED_VALUE"""),"https://thumbcdn.com/splash/j6c9n7sxdg5b3ana.jpg")</f>
        <v>https://thumbcdn.com/splash/j6c9n7sxdg5b3ana.jpg</v>
      </c>
      <c r="D928" s="12" t="s">
        <v>7069</v>
      </c>
      <c r="E928" s="57" t="str">
        <f ca="1">IFERROR(__xludf.DUMMYFUNCTION("""COMPUTED_VALUE"""),"OK")</f>
        <v>OK</v>
      </c>
      <c r="F928" s="46"/>
      <c r="G928" s="45" t="s">
        <v>10810</v>
      </c>
      <c r="H928" s="45" t="s">
        <v>10811</v>
      </c>
    </row>
    <row r="929" spans="1:8">
      <c r="A929" s="59" t="s">
        <v>10812</v>
      </c>
      <c r="B929" s="12" t="str">
        <f ca="1">IFERROR(__xludf.DUMMYFUNCTION("""COMPUTED_VALUE"""),"Sage King - 21309506 - BackroomCastingCouch")</f>
        <v>Sage King - 21309506 - BackroomCastingCouch</v>
      </c>
      <c r="C929" s="60" t="str">
        <f ca="1">IFERROR(__xludf.DUMMYFUNCTION("""COMPUTED_VALUE"""),"https://thumbcdn.com/splash/fzrnbe8hkzw6ehdr.jpg")</f>
        <v>https://thumbcdn.com/splash/fzrnbe8hkzw6ehdr.jpg</v>
      </c>
      <c r="D929" s="12" t="s">
        <v>7074</v>
      </c>
      <c r="E929" s="57" t="str">
        <f ca="1">IFERROR(__xludf.DUMMYFUNCTION("""COMPUTED_VALUE"""),"OK")</f>
        <v>OK</v>
      </c>
      <c r="F929" s="46"/>
      <c r="G929" s="45" t="s">
        <v>10810</v>
      </c>
      <c r="H929" s="45" t="s">
        <v>10813</v>
      </c>
    </row>
    <row r="930" spans="1:8">
      <c r="A930" s="12"/>
      <c r="B930" s="12" t="str">
        <f ca="1">IFERROR(__xludf.DUMMYFUNCTION("""COMPUTED_VALUE"""),"Sami Hayes - 17599208 - Onlyfans")</f>
        <v>Sami Hayes - 17599208 - Onlyfans</v>
      </c>
      <c r="C930" s="60" t="str">
        <f ca="1">IFERROR(__xludf.DUMMYFUNCTION("""COMPUTED_VALUE"""),"https://thumbcdn.com/splash/9o10nc169s16pk0d.jpg")</f>
        <v>https://thumbcdn.com/splash/9o10nc169s16pk0d.jpg</v>
      </c>
      <c r="D930" s="6" t="s">
        <v>7084</v>
      </c>
      <c r="E930" s="63" t="str">
        <f ca="1">IFERROR(__xludf.DUMMYFUNCTION("""COMPUTED_VALUE"""),"OK")</f>
        <v>OK</v>
      </c>
      <c r="F930" s="46"/>
      <c r="G930" s="45" t="s">
        <v>10814</v>
      </c>
      <c r="H930" s="45" t="s">
        <v>10815</v>
      </c>
    </row>
    <row r="931" spans="1:8">
      <c r="A931" s="12" t="s">
        <v>10816</v>
      </c>
      <c r="B931" s="12" t="str">
        <f ca="1">IFERROR(__xludf.DUMMYFUNCTION("""COMPUTED_VALUE"""),"Sami Hayes - 18378655 - Onlyfans")</f>
        <v>Sami Hayes - 18378655 - Onlyfans</v>
      </c>
      <c r="C931" s="60" t="str">
        <f ca="1">IFERROR(__xludf.DUMMYFUNCTION("""COMPUTED_VALUE"""),"https://thumbcdn.com/splash/umw59aaq2ouxr1fc.jpg")</f>
        <v>https://thumbcdn.com/splash/umw59aaq2ouxr1fc.jpg</v>
      </c>
      <c r="D931" s="6" t="s">
        <v>7090</v>
      </c>
      <c r="E931" s="63" t="str">
        <f ca="1">IFERROR(__xludf.DUMMYFUNCTION("""COMPUTED_VALUE"""),"OK")</f>
        <v>OK</v>
      </c>
      <c r="F931" s="46"/>
      <c r="G931" s="45" t="s">
        <v>10817</v>
      </c>
      <c r="H931" s="45" t="s">
        <v>10818</v>
      </c>
    </row>
    <row r="932" spans="1:8">
      <c r="A932" s="59" t="s">
        <v>10819</v>
      </c>
      <c r="B932" s="12" t="str">
        <f ca="1">IFERROR(__xludf.DUMMYFUNCTION("""COMPUTED_VALUE"""),"Sami Hayes - 34614987 - Onlyfans")</f>
        <v>Sami Hayes - 34614987 - Onlyfans</v>
      </c>
      <c r="C932" s="60" t="str">
        <f ca="1">IFERROR(__xludf.DUMMYFUNCTION("""COMPUTED_VALUE"""),"https://thumbcdn.com/splash/um91ivuk7ofmw9hb.jpg")</f>
        <v>https://thumbcdn.com/splash/um91ivuk7ofmw9hb.jpg</v>
      </c>
      <c r="D932" s="12" t="s">
        <v>7119</v>
      </c>
      <c r="E932" s="57" t="str">
        <f ca="1">IFERROR(__xludf.DUMMYFUNCTION("""COMPUTED_VALUE"""),"OK")</f>
        <v>OK</v>
      </c>
      <c r="F932" s="46"/>
      <c r="G932" s="45" t="s">
        <v>10817</v>
      </c>
      <c r="H932" s="45" t="s">
        <v>10820</v>
      </c>
    </row>
    <row r="933" spans="1:8">
      <c r="A933" s="12"/>
      <c r="B933" s="12" t="str">
        <f ca="1">IFERROR(__xludf.DUMMYFUNCTION("""COMPUTED_VALUE"""),"Sami Hayes - 37019928 - Onlyfans - Kiki Isobel")</f>
        <v>Sami Hayes - 37019928 - Onlyfans - Kiki Isobel</v>
      </c>
      <c r="C933" s="60" t="str">
        <f ca="1">IFERROR(__xludf.DUMMYFUNCTION("""COMPUTED_VALUE"""),"https://thumbcdn.com/splash/1dzxn6i7bn9xhvjz.jpg")</f>
        <v>https://thumbcdn.com/splash/1dzxn6i7bn9xhvjz.jpg</v>
      </c>
      <c r="D933" s="6" t="s">
        <v>7133</v>
      </c>
      <c r="E933" s="63" t="str">
        <f ca="1">IFERROR(__xludf.DUMMYFUNCTION("""COMPUTED_VALUE"""),"OK")</f>
        <v>OK</v>
      </c>
      <c r="F933" s="46"/>
      <c r="G933" s="45" t="s">
        <v>10817</v>
      </c>
      <c r="H933" s="45" t="s">
        <v>10821</v>
      </c>
    </row>
    <row r="934" spans="1:8">
      <c r="A934" s="12" t="s">
        <v>10822</v>
      </c>
      <c r="B934" s="12" t="str">
        <f ca="1">IFERROR(__xludf.DUMMYFUNCTION("""COMPUTED_VALUE"""),"Sami Hayes - 52847283 - Onlyfans")</f>
        <v>Sami Hayes - 52847283 - Onlyfans</v>
      </c>
      <c r="C934" s="60" t="str">
        <f ca="1">IFERROR(__xludf.DUMMYFUNCTION("""COMPUTED_VALUE"""),"https://thumbcdn.com/splash/b4581hurz6bb1mkz.jpg")</f>
        <v>https://thumbcdn.com/splash/b4581hurz6bb1mkz.jpg</v>
      </c>
      <c r="D934" s="6" t="s">
        <v>7148</v>
      </c>
      <c r="E934" s="63" t="str">
        <f ca="1">IFERROR(__xludf.DUMMYFUNCTION("""COMPUTED_VALUE"""),"OK")</f>
        <v>OK</v>
      </c>
      <c r="F934" s="46"/>
      <c r="G934" s="45" t="s">
        <v>10817</v>
      </c>
      <c r="H934" s="45" t="s">
        <v>10823</v>
      </c>
    </row>
    <row r="935" spans="1:8">
      <c r="A935" s="59" t="s">
        <v>10824</v>
      </c>
      <c r="B935" s="12" t="str">
        <f ca="1">IFERROR(__xludf.DUMMYFUNCTION("""COMPUTED_VALUE"""),"Sami Hayes - 58001185 - Onlyfans")</f>
        <v>Sami Hayes - 58001185 - Onlyfans</v>
      </c>
      <c r="C935" s="60" t="str">
        <f ca="1">IFERROR(__xludf.DUMMYFUNCTION("""COMPUTED_VALUE"""),"https://thumbcdn.com/splash/wycd9cqlh2ntmjkx.jpg")</f>
        <v>https://thumbcdn.com/splash/wycd9cqlh2ntmjkx.jpg</v>
      </c>
      <c r="D935" s="16" t="s">
        <v>7154</v>
      </c>
      <c r="E935" s="57" t="str">
        <f ca="1">IFERROR(__xludf.DUMMYFUNCTION("""COMPUTED_VALUE"""),"OK")</f>
        <v>OK</v>
      </c>
      <c r="F935" s="46"/>
      <c r="G935" s="45" t="s">
        <v>10817</v>
      </c>
      <c r="H935" s="45" t="s">
        <v>10825</v>
      </c>
    </row>
    <row r="936" spans="1:8">
      <c r="A936" s="12"/>
      <c r="B936" s="12" t="str">
        <f ca="1">IFERROR(__xludf.DUMMYFUNCTION("""COMPUTED_VALUE"""),"Sami Hayes - 63650538 - Onlyfans - Ava Amira")</f>
        <v>Sami Hayes - 63650538 - Onlyfans - Ava Amira</v>
      </c>
      <c r="C936" s="60" t="str">
        <f ca="1">IFERROR(__xludf.DUMMYFUNCTION("""COMPUTED_VALUE"""),"https://thumbcdn.com/splash/vzqc9quey3ex1kfx.jpg")</f>
        <v>https://thumbcdn.com/splash/vzqc9quey3ex1kfx.jpg</v>
      </c>
      <c r="D936" s="16" t="s">
        <v>7158</v>
      </c>
      <c r="E936" s="57" t="str">
        <f ca="1">IFERROR(__xludf.DUMMYFUNCTION("""COMPUTED_VALUE"""),"OK")</f>
        <v>OK</v>
      </c>
      <c r="F936" s="46"/>
      <c r="G936" s="45" t="s">
        <v>10817</v>
      </c>
      <c r="H936" s="45" t="s">
        <v>10826</v>
      </c>
    </row>
    <row r="937" spans="1:8">
      <c r="A937" s="12" t="s">
        <v>10827</v>
      </c>
      <c r="B937" s="12" t="str">
        <f ca="1">IFERROR(__xludf.DUMMYFUNCTION("""COMPUTED_VALUE"""),"Sami Hayes - 65397396 - MLR")</f>
        <v>Sami Hayes - 65397396 - MLR</v>
      </c>
      <c r="C937" s="60" t="str">
        <f ca="1">IFERROR(__xludf.DUMMYFUNCTION("""COMPUTED_VALUE"""),"https://thumbcdn.com/splash/mn9y5ghxugzrzogv.jpg")</f>
        <v>https://thumbcdn.com/splash/mn9y5ghxugzrzogv.jpg</v>
      </c>
      <c r="D937" s="6" t="s">
        <v>7162</v>
      </c>
      <c r="E937" s="63" t="str">
        <f ca="1">IFERROR(__xludf.DUMMYFUNCTION("""COMPUTED_VALUE"""),"OK")</f>
        <v>OK</v>
      </c>
      <c r="F937" s="46"/>
      <c r="G937" s="45" t="s">
        <v>10817</v>
      </c>
      <c r="H937" s="45" t="s">
        <v>10828</v>
      </c>
    </row>
    <row r="938" spans="1:8">
      <c r="A938" s="59" t="s">
        <v>10829</v>
      </c>
      <c r="B938" s="12" t="str">
        <f ca="1">IFERROR(__xludf.DUMMYFUNCTION("""COMPUTED_VALUE"""),"Sami Hayes - 77902618 - Onlyfans")</f>
        <v>Sami Hayes - 77902618 - Onlyfans</v>
      </c>
      <c r="C938" s="60" t="str">
        <f ca="1">IFERROR(__xludf.DUMMYFUNCTION("""COMPUTED_VALUE"""),"https://thumbcdn.com/splash/a3qc18oy447xay8z.jpg")</f>
        <v>https://thumbcdn.com/splash/a3qc18oy447xay8z.jpg</v>
      </c>
      <c r="D938" s="6" t="s">
        <v>7173</v>
      </c>
      <c r="E938" s="63" t="str">
        <f ca="1">IFERROR(__xludf.DUMMYFUNCTION("""COMPUTED_VALUE"""),"OK")</f>
        <v>OK</v>
      </c>
      <c r="F938" s="46"/>
      <c r="G938" s="45" t="s">
        <v>10817</v>
      </c>
      <c r="H938" s="45" t="s">
        <v>10830</v>
      </c>
    </row>
    <row r="939" spans="1:8">
      <c r="A939" s="12"/>
      <c r="B939" s="12" t="str">
        <f ca="1">IFERROR(__xludf.DUMMYFUNCTION("""COMPUTED_VALUE"""),"Sami Hayes - 81722742 - Onlyfans")</f>
        <v>Sami Hayes - 81722742 - Onlyfans</v>
      </c>
      <c r="C939" s="60" t="str">
        <f ca="1">IFERROR(__xludf.DUMMYFUNCTION("""COMPUTED_VALUE"""),"https://thumbcdn.com/splash/rcnza2xvbh37uayw.jpg")</f>
        <v>https://thumbcdn.com/splash/rcnza2xvbh37uayw.jpg</v>
      </c>
      <c r="D939" s="12" t="s">
        <v>7178</v>
      </c>
      <c r="E939" s="57" t="str">
        <f ca="1">IFERROR(__xludf.DUMMYFUNCTION("""COMPUTED_VALUE"""),"OK")</f>
        <v>OK</v>
      </c>
      <c r="F939" s="46"/>
      <c r="G939" s="45" t="s">
        <v>10817</v>
      </c>
      <c r="H939" s="45" t="s">
        <v>10831</v>
      </c>
    </row>
    <row r="940" spans="1:8">
      <c r="A940" s="12" t="s">
        <v>10832</v>
      </c>
      <c r="B940" s="12" t="str">
        <f ca="1">IFERROR(__xludf.DUMMYFUNCTION("""COMPUTED_VALUE"""),"Sami Hayes - 93405290 - Onlyfans")</f>
        <v>Sami Hayes - 93405290 - Onlyfans</v>
      </c>
      <c r="C940" s="60" t="str">
        <f ca="1">IFERROR(__xludf.DUMMYFUNCTION("""COMPUTED_VALUE"""),"https://thumbcdn.com/splash/eguytr25lsm3rwtd.jpg")</f>
        <v>https://thumbcdn.com/splash/eguytr25lsm3rwtd.jpg</v>
      </c>
      <c r="D940" s="6" t="s">
        <v>7188</v>
      </c>
      <c r="E940" s="63" t="str">
        <f ca="1">IFERROR(__xludf.DUMMYFUNCTION("""COMPUTED_VALUE"""),"OK")</f>
        <v>OK</v>
      </c>
      <c r="F940" s="46"/>
      <c r="G940" s="45" t="s">
        <v>10817</v>
      </c>
      <c r="H940" s="45" t="s">
        <v>10833</v>
      </c>
    </row>
    <row r="941" spans="1:8">
      <c r="A941" s="59" t="s">
        <v>10834</v>
      </c>
      <c r="B941" s="12" t="str">
        <f ca="1">IFERROR(__xludf.DUMMYFUNCTION("""COMPUTED_VALUE"""),"Sasha Grey - 52381181 - EA")</f>
        <v>Sasha Grey - 52381181 - EA</v>
      </c>
      <c r="C941" s="60" t="str">
        <f ca="1">IFERROR(__xludf.DUMMYFUNCTION("""COMPUTED_VALUE"""),"https://thumbcdn.com/splash/c9u328sndvhxdyj9.jpg")</f>
        <v>https://thumbcdn.com/splash/c9u328sndvhxdyj9.jpg</v>
      </c>
      <c r="D941" s="12" t="s">
        <v>7220</v>
      </c>
      <c r="E941" s="57" t="str">
        <f ca="1">IFERROR(__xludf.DUMMYFUNCTION("""COMPUTED_VALUE"""),"OK")</f>
        <v>OK</v>
      </c>
      <c r="F941" s="46"/>
      <c r="G941" s="45" t="s">
        <v>10817</v>
      </c>
      <c r="H941" s="45" t="s">
        <v>10835</v>
      </c>
    </row>
    <row r="942" spans="1:8">
      <c r="A942" s="12"/>
      <c r="B942" s="12" t="str">
        <f ca="1">IFERROR(__xludf.DUMMYFUNCTION("""COMPUTED_VALUE"""),"Sav Shawz - 94987507 - Onlyfans")</f>
        <v>Sav Shawz - 94987507 - Onlyfans</v>
      </c>
      <c r="C942" s="60" t="str">
        <f ca="1">IFERROR(__xludf.DUMMYFUNCTION("""COMPUTED_VALUE"""),"https://thumbcdn.com/splash/d1bujusd0kspfabo.jpg")</f>
        <v>https://thumbcdn.com/splash/d1bujusd0kspfabo.jpg</v>
      </c>
      <c r="D942" s="12" t="s">
        <v>7237</v>
      </c>
      <c r="E942" s="57" t="str">
        <f ca="1">IFERROR(__xludf.DUMMYFUNCTION("""COMPUTED_VALUE"""),"OK")</f>
        <v>OK</v>
      </c>
      <c r="F942" s="46"/>
      <c r="G942" s="45" t="s">
        <v>10836</v>
      </c>
      <c r="H942" s="45" t="s">
        <v>10837</v>
      </c>
    </row>
    <row r="943" spans="1:8">
      <c r="A943" s="12" t="s">
        <v>10838</v>
      </c>
      <c r="B943" s="12" t="str">
        <f ca="1">IFERROR(__xludf.DUMMYFUNCTION("""COMPUTED_VALUE"""),"Savannah Bond - 14619680 - Onlyfans")</f>
        <v>Savannah Bond - 14619680 - Onlyfans</v>
      </c>
      <c r="C943" s="60" t="str">
        <f ca="1">IFERROR(__xludf.DUMMYFUNCTION("""COMPUTED_VALUE"""),"https://thumbcdn.com/splash/fm7puqkys4i39six.jpg")</f>
        <v>https://thumbcdn.com/splash/fm7puqkys4i39six.jpg</v>
      </c>
      <c r="D943" s="6" t="s">
        <v>7242</v>
      </c>
      <c r="E943" s="63" t="str">
        <f ca="1">IFERROR(__xludf.DUMMYFUNCTION("""COMPUTED_VALUE"""),"OK")</f>
        <v>OK</v>
      </c>
      <c r="F943" s="46"/>
      <c r="G943" s="45" t="s">
        <v>10839</v>
      </c>
      <c r="H943" s="45" t="s">
        <v>10840</v>
      </c>
    </row>
    <row r="944" spans="1:8">
      <c r="A944" s="59" t="s">
        <v>10841</v>
      </c>
      <c r="B944" s="12" t="str">
        <f ca="1">IFERROR(__xludf.DUMMYFUNCTION("""COMPUTED_VALUE"""),"Savannah Bond - 16972233 - EvilAngel")</f>
        <v>Savannah Bond - 16972233 - EvilAngel</v>
      </c>
      <c r="C944" s="60" t="str">
        <f ca="1">IFERROR(__xludf.DUMMYFUNCTION("""COMPUTED_VALUE"""),"https://thumbcdn.com/splash/20zj07m13v5xiqq5.jpg")</f>
        <v>https://thumbcdn.com/splash/20zj07m13v5xiqq5.jpg</v>
      </c>
      <c r="D944" s="6" t="s">
        <v>7247</v>
      </c>
      <c r="E944" s="63" t="str">
        <f ca="1">IFERROR(__xludf.DUMMYFUNCTION("""COMPUTED_VALUE"""),"OK")</f>
        <v>OK</v>
      </c>
      <c r="F944" s="46"/>
      <c r="G944" s="45" t="s">
        <v>10842</v>
      </c>
      <c r="H944" s="45" t="s">
        <v>10843</v>
      </c>
    </row>
    <row r="945" spans="1:8">
      <c r="A945" s="12"/>
      <c r="B945" s="12" t="str">
        <f ca="1">IFERROR(__xludf.DUMMYFUNCTION("""COMPUTED_VALUE"""),"Savannah Bond - 31486715 - Onlyfans - Ivy Lebelle")</f>
        <v>Savannah Bond - 31486715 - Onlyfans - Ivy Lebelle</v>
      </c>
      <c r="C945" s="60" t="str">
        <f ca="1">IFERROR(__xludf.DUMMYFUNCTION("""COMPUTED_VALUE"""),"https://thumbcdn.com/splash/n55hjynzqlmnkai2.jpg")</f>
        <v>https://thumbcdn.com/splash/n55hjynzqlmnkai2.jpg</v>
      </c>
      <c r="D945" s="12" t="s">
        <v>7305</v>
      </c>
      <c r="E945" s="57" t="str">
        <f ca="1">IFERROR(__xludf.DUMMYFUNCTION("""COMPUTED_VALUE"""),"OK")</f>
        <v>OK</v>
      </c>
      <c r="F945" s="46"/>
      <c r="G945" s="45" t="s">
        <v>10842</v>
      </c>
      <c r="H945" s="45" t="s">
        <v>10844</v>
      </c>
    </row>
    <row r="946" spans="1:8">
      <c r="A946" s="12" t="s">
        <v>10845</v>
      </c>
      <c r="B946" s="12" t="str">
        <f ca="1">IFERROR(__xludf.DUMMYFUNCTION("""COMPUTED_VALUE"""),"Savannah Bond - 34293046 - Onlyfans")</f>
        <v>Savannah Bond - 34293046 - Onlyfans</v>
      </c>
      <c r="C946" s="60" t="str">
        <f ca="1">IFERROR(__xludf.DUMMYFUNCTION("""COMPUTED_VALUE"""),"https://thumbcdn.com/splash/9br6kc9nqy3y8gcz.jpg")</f>
        <v>https://thumbcdn.com/splash/9br6kc9nqy3y8gcz.jpg</v>
      </c>
      <c r="D946" s="12" t="s">
        <v>7314</v>
      </c>
      <c r="E946" s="57" t="str">
        <f ca="1">IFERROR(__xludf.DUMMYFUNCTION("""COMPUTED_VALUE"""),"OK")</f>
        <v>OK</v>
      </c>
      <c r="F946" s="46"/>
      <c r="G946" s="45" t="s">
        <v>10842</v>
      </c>
      <c r="H946" s="45" t="s">
        <v>10846</v>
      </c>
    </row>
    <row r="947" spans="1:8">
      <c r="A947" s="59" t="s">
        <v>10847</v>
      </c>
      <c r="B947" s="12" t="str">
        <f ca="1">IFERROR(__xludf.DUMMYFUNCTION("""COMPUTED_VALUE"""),"Savannah Bond - 36028697 - Onlyfans")</f>
        <v>Savannah Bond - 36028697 - Onlyfans</v>
      </c>
      <c r="C947" s="60" t="str">
        <f ca="1">IFERROR(__xludf.DUMMYFUNCTION("""COMPUTED_VALUE"""),"https://thumbcdn.com/splash/xaoiw8sz08h7a6di.jpg")</f>
        <v>https://thumbcdn.com/splash/xaoiw8sz08h7a6di.jpg</v>
      </c>
      <c r="D947" s="12" t="s">
        <v>7318</v>
      </c>
      <c r="E947" s="57" t="str">
        <f ca="1">IFERROR(__xludf.DUMMYFUNCTION("""COMPUTED_VALUE"""),"OK")</f>
        <v>OK</v>
      </c>
      <c r="F947" s="46"/>
      <c r="G947" s="45" t="s">
        <v>10842</v>
      </c>
      <c r="H947" s="45" t="s">
        <v>10848</v>
      </c>
    </row>
    <row r="948" spans="1:8">
      <c r="A948" s="12"/>
      <c r="B948" s="12" t="str">
        <f ca="1">IFERROR(__xludf.DUMMYFUNCTION("""COMPUTED_VALUE"""),"Savannah Bond - 46266365 - Onlyfans")</f>
        <v>Savannah Bond - 46266365 - Onlyfans</v>
      </c>
      <c r="C948" s="60" t="str">
        <f ca="1">IFERROR(__xludf.DUMMYFUNCTION("""COMPUTED_VALUE"""),"https://thumbcdn.com/splash/l748hi04kb4w948y.jpg")</f>
        <v>https://thumbcdn.com/splash/l748hi04kb4w948y.jpg</v>
      </c>
      <c r="D948" s="12" t="s">
        <v>7338</v>
      </c>
      <c r="E948" s="57" t="str">
        <f ca="1">IFERROR(__xludf.DUMMYFUNCTION("""COMPUTED_VALUE"""),"OK")</f>
        <v>OK</v>
      </c>
      <c r="F948" s="46"/>
      <c r="G948" s="45" t="s">
        <v>10842</v>
      </c>
      <c r="H948" s="45" t="s">
        <v>10849</v>
      </c>
    </row>
    <row r="949" spans="1:8">
      <c r="A949" s="12" t="s">
        <v>10850</v>
      </c>
      <c r="B949" s="12" t="str">
        <f ca="1">IFERROR(__xludf.DUMMYFUNCTION("""COMPUTED_VALUE"""),"Savannah Bond - 67876579 - Onlyfans")</f>
        <v>Savannah Bond - 67876579 - Onlyfans</v>
      </c>
      <c r="C949" s="60" t="str">
        <f ca="1">IFERROR(__xludf.DUMMYFUNCTION("""COMPUTED_VALUE"""),"https://thumbcdn.com/splash/4jfhzput62znuvzr.jpg")</f>
        <v>https://thumbcdn.com/splash/4jfhzput62znuvzr.jpg</v>
      </c>
      <c r="D949" s="6" t="s">
        <v>7391</v>
      </c>
      <c r="E949" s="63" t="str">
        <f ca="1">IFERROR(__xludf.DUMMYFUNCTION("""COMPUTED_VALUE"""),"OK")</f>
        <v>OK</v>
      </c>
      <c r="F949" s="46"/>
      <c r="G949" s="45" t="s">
        <v>10842</v>
      </c>
      <c r="H949" s="45" t="s">
        <v>10851</v>
      </c>
    </row>
    <row r="950" spans="1:8">
      <c r="A950" s="59" t="s">
        <v>10852</v>
      </c>
      <c r="B950" s="12" t="str">
        <f ca="1">IFERROR(__xludf.DUMMYFUNCTION("""COMPUTED_VALUE"""),"Savannah Bond - 74884313 - EvilAngel")</f>
        <v>Savannah Bond - 74884313 - EvilAngel</v>
      </c>
      <c r="C950" s="60" t="str">
        <f ca="1">IFERROR(__xludf.DUMMYFUNCTION("""COMPUTED_VALUE"""),"https://thumbcdn.com/splash/ayziylf7t7fghxyn.jpg")</f>
        <v>https://thumbcdn.com/splash/ayziylf7t7fghxyn.jpg</v>
      </c>
      <c r="D950" s="12" t="s">
        <v>7401</v>
      </c>
      <c r="E950" s="57" t="str">
        <f ca="1">IFERROR(__xludf.DUMMYFUNCTION("""COMPUTED_VALUE"""),"OK")</f>
        <v>OK</v>
      </c>
      <c r="F950" s="46"/>
      <c r="G950" s="45" t="s">
        <v>10842</v>
      </c>
      <c r="H950" s="45" t="s">
        <v>10853</v>
      </c>
    </row>
    <row r="951" spans="1:8">
      <c r="A951" s="12"/>
      <c r="B951" s="12" t="str">
        <f ca="1">IFERROR(__xludf.DUMMYFUNCTION("""COMPUTED_VALUE"""),"Savannah Bond - 83857792 - Onlyfans - Violet Myers")</f>
        <v>Savannah Bond - 83857792 - Onlyfans - Violet Myers</v>
      </c>
      <c r="C951" s="60" t="str">
        <f ca="1">IFERROR(__xludf.DUMMYFUNCTION("""COMPUTED_VALUE"""),"https://thumbcdn.com/splash/p5efr78x660plbjy.jpg")</f>
        <v>https://thumbcdn.com/splash/p5efr78x660plbjy.jpg</v>
      </c>
      <c r="D951" s="12" t="s">
        <v>7418</v>
      </c>
      <c r="E951" s="57" t="str">
        <f ca="1">IFERROR(__xludf.DUMMYFUNCTION("""COMPUTED_VALUE"""),"OK")</f>
        <v>OK</v>
      </c>
      <c r="F951" s="46"/>
      <c r="G951" s="45" t="s">
        <v>10842</v>
      </c>
      <c r="H951" s="45" t="s">
        <v>10854</v>
      </c>
    </row>
    <row r="952" spans="1:8">
      <c r="A952" s="12" t="s">
        <v>10855</v>
      </c>
      <c r="B952" s="12" t="str">
        <f ca="1">IFERROR(__xludf.DUMMYFUNCTION("""COMPUTED_VALUE"""),"Scarlett - 24350717 - BackroomCastingCouch")</f>
        <v>Scarlett - 24350717 - BackroomCastingCouch</v>
      </c>
      <c r="C952" s="60" t="str">
        <f ca="1">IFERROR(__xludf.DUMMYFUNCTION("""COMPUTED_VALUE"""),"https://thumbcdn.com/splash/2mtcljl7iyp1fxgt.jpg")</f>
        <v>https://thumbcdn.com/splash/2mtcljl7iyp1fxgt.jpg</v>
      </c>
      <c r="D952" s="12" t="s">
        <v>7467</v>
      </c>
      <c r="E952" s="57" t="str">
        <f ca="1">IFERROR(__xludf.DUMMYFUNCTION("""COMPUTED_VALUE"""),"OK")</f>
        <v>OK</v>
      </c>
      <c r="F952" s="46"/>
      <c r="G952" s="45" t="s">
        <v>10842</v>
      </c>
      <c r="H952" s="45" t="s">
        <v>10856</v>
      </c>
    </row>
    <row r="953" spans="1:8">
      <c r="A953" s="59" t="s">
        <v>10857</v>
      </c>
      <c r="B953" s="12" t="str">
        <f ca="1">IFERROR(__xludf.DUMMYFUNCTION("""COMPUTED_VALUE"""),"Scarlett Hampton - 02295819 - Chaturbate - JackandJill")</f>
        <v>Scarlett Hampton - 02295819 - Chaturbate - JackandJill</v>
      </c>
      <c r="C953" s="60" t="str">
        <f ca="1">IFERROR(__xludf.DUMMYFUNCTION("""COMPUTED_VALUE"""),"https://thumbcdn.com/splash/cl2tzsd66x4yat8a.jpg")</f>
        <v>https://thumbcdn.com/splash/cl2tzsd66x4yat8a.jpg</v>
      </c>
      <c r="D953" s="12" t="s">
        <v>7472</v>
      </c>
      <c r="E953" s="57" t="str">
        <f ca="1">IFERROR(__xludf.DUMMYFUNCTION("""COMPUTED_VALUE"""),"OK")</f>
        <v>OK</v>
      </c>
      <c r="F953" s="46"/>
      <c r="G953" s="45" t="s">
        <v>10858</v>
      </c>
      <c r="H953" s="45" t="s">
        <v>10859</v>
      </c>
    </row>
    <row r="954" spans="1:8">
      <c r="A954" s="12"/>
      <c r="B954" s="12" t="str">
        <f ca="1">IFERROR(__xludf.DUMMYFUNCTION("""COMPUTED_VALUE"""),"Scarlettkissesxo - 37218340 - Onlyfans")</f>
        <v>Scarlettkissesxo - 37218340 - Onlyfans</v>
      </c>
      <c r="C954" s="60" t="str">
        <f ca="1">IFERROR(__xludf.DUMMYFUNCTION("""COMPUTED_VALUE"""),"https://thumbcdn.com/splash/4w5z2qdp95327v9x.jpg")</f>
        <v>https://thumbcdn.com/splash/4w5z2qdp95327v9x.jpg</v>
      </c>
      <c r="D954" s="12" t="s">
        <v>7477</v>
      </c>
      <c r="E954" s="57" t="str">
        <f ca="1">IFERROR(__xludf.DUMMYFUNCTION("""COMPUTED_VALUE"""),"OK")</f>
        <v>OK</v>
      </c>
      <c r="F954" s="46"/>
      <c r="G954" s="45" t="s">
        <v>10860</v>
      </c>
      <c r="H954" s="45" t="s">
        <v>10861</v>
      </c>
    </row>
    <row r="955" spans="1:8">
      <c r="A955" s="12" t="s">
        <v>10862</v>
      </c>
      <c r="B955" s="12" t="str">
        <f ca="1">IFERROR(__xludf.DUMMYFUNCTION("""COMPUTED_VALUE"""),"Scarlettkissesxo - 38580972 - Onlyfans")</f>
        <v>Scarlettkissesxo - 38580972 - Onlyfans</v>
      </c>
      <c r="C955" s="60" t="str">
        <f ca="1">IFERROR(__xludf.DUMMYFUNCTION("""COMPUTED_VALUE"""),"https://thumbcdn.com/splash/0ecgsoz8erbo6xes.jpg")</f>
        <v>https://thumbcdn.com/splash/0ecgsoz8erbo6xes.jpg</v>
      </c>
      <c r="D955" s="12" t="s">
        <v>7481</v>
      </c>
      <c r="E955" s="57" t="str">
        <f ca="1">IFERROR(__xludf.DUMMYFUNCTION("""COMPUTED_VALUE"""),"OK")</f>
        <v>OK</v>
      </c>
      <c r="F955" s="46"/>
      <c r="G955" s="45" t="s">
        <v>10863</v>
      </c>
      <c r="H955" s="45" t="s">
        <v>10864</v>
      </c>
    </row>
    <row r="956" spans="1:8">
      <c r="A956" s="59" t="s">
        <v>10865</v>
      </c>
      <c r="B956" s="12" t="str">
        <f ca="1">IFERROR(__xludf.DUMMYFUNCTION("""COMPUTED_VALUE"""),"Scarlettkissesxo - 49030137 - Onlyfans")</f>
        <v>Scarlettkissesxo - 49030137 - Onlyfans</v>
      </c>
      <c r="C956" s="60" t="str">
        <f ca="1">IFERROR(__xludf.DUMMYFUNCTION("""COMPUTED_VALUE"""),"https://thumbcdn.com/splash/z5maif3w2emsqdla.jpg")</f>
        <v>https://thumbcdn.com/splash/z5maif3w2emsqdla.jpg</v>
      </c>
      <c r="D956" s="12" t="s">
        <v>7485</v>
      </c>
      <c r="E956" s="57" t="str">
        <f ca="1">IFERROR(__xludf.DUMMYFUNCTION("""COMPUTED_VALUE"""),"OK")</f>
        <v>OK</v>
      </c>
      <c r="F956" s="46"/>
      <c r="G956" s="45" t="s">
        <v>10863</v>
      </c>
      <c r="H956" s="45" t="s">
        <v>10866</v>
      </c>
    </row>
    <row r="957" spans="1:8">
      <c r="A957" s="12"/>
      <c r="B957" s="12" t="str">
        <f ca="1">IFERROR(__xludf.DUMMYFUNCTION("""COMPUTED_VALUE"""),"Scarlettkissesxo - 49786567 - Onlyfans")</f>
        <v>Scarlettkissesxo - 49786567 - Onlyfans</v>
      </c>
      <c r="C957" s="60" t="str">
        <f ca="1">IFERROR(__xludf.DUMMYFUNCTION("""COMPUTED_VALUE"""),"https://thumbcdn.com/splash/2smsr36td11u2ap8.jpg")</f>
        <v>https://thumbcdn.com/splash/2smsr36td11u2ap8.jpg</v>
      </c>
      <c r="D957" s="12" t="s">
        <v>7490</v>
      </c>
      <c r="E957" s="57" t="str">
        <f ca="1">IFERROR(__xludf.DUMMYFUNCTION("""COMPUTED_VALUE"""),"OK")</f>
        <v>OK</v>
      </c>
      <c r="F957" s="46"/>
      <c r="G957" s="45" t="s">
        <v>10863</v>
      </c>
      <c r="H957" s="45" t="s">
        <v>10867</v>
      </c>
    </row>
    <row r="958" spans="1:8">
      <c r="A958" s="12" t="s">
        <v>10868</v>
      </c>
      <c r="B958" s="12" t="str">
        <f ca="1">IFERROR(__xludf.DUMMYFUNCTION("""COMPUTED_VALUE"""),"Scarlettkissesxo - 77970543 - Onlyfans")</f>
        <v>Scarlettkissesxo - 77970543 - Onlyfans</v>
      </c>
      <c r="C958" s="60" t="str">
        <f ca="1">IFERROR(__xludf.DUMMYFUNCTION("""COMPUTED_VALUE"""),"https://thumbcdn.com/splash/ts8vvp37s5z7n1li.jpg")</f>
        <v>https://thumbcdn.com/splash/ts8vvp37s5z7n1li.jpg</v>
      </c>
      <c r="D958" s="12" t="s">
        <v>7495</v>
      </c>
      <c r="E958" s="57" t="str">
        <f ca="1">IFERROR(__xludf.DUMMYFUNCTION("""COMPUTED_VALUE"""),"OK")</f>
        <v>OK</v>
      </c>
      <c r="F958" s="46"/>
      <c r="G958" s="45" t="s">
        <v>10863</v>
      </c>
      <c r="H958" s="45" t="s">
        <v>10869</v>
      </c>
    </row>
    <row r="959" spans="1:8">
      <c r="A959" s="59" t="s">
        <v>10870</v>
      </c>
      <c r="B959" s="12" t="str">
        <f ca="1">IFERROR(__xludf.DUMMYFUNCTION("""COMPUTED_VALUE"""),"Scarlettkissesxo - 90057118 - Onlyfans")</f>
        <v>Scarlettkissesxo - 90057118 - Onlyfans</v>
      </c>
      <c r="C959" s="60" t="str">
        <f ca="1">IFERROR(__xludf.DUMMYFUNCTION("""COMPUTED_VALUE"""),"https://thumbcdn.com/splash/8p3su9vd14eea6ih.jpg")</f>
        <v>https://thumbcdn.com/splash/8p3su9vd14eea6ih.jpg</v>
      </c>
      <c r="D959" s="12" t="s">
        <v>7500</v>
      </c>
      <c r="E959" s="57" t="str">
        <f ca="1">IFERROR(__xludf.DUMMYFUNCTION("""COMPUTED_VALUE"""),"OK")</f>
        <v>OK</v>
      </c>
      <c r="F959" s="46"/>
      <c r="G959" s="45" t="s">
        <v>10863</v>
      </c>
      <c r="H959" s="45" t="s">
        <v>10871</v>
      </c>
    </row>
    <row r="960" spans="1:8">
      <c r="A960" s="12"/>
      <c r="B960" s="12" t="str">
        <f ca="1">IFERROR(__xludf.DUMMYFUNCTION("""COMPUTED_VALUE"""),"Shrooms Q - 53174250 - Onlyfans")</f>
        <v>Shrooms Q - 53174250 - Onlyfans</v>
      </c>
      <c r="C960" s="60" t="str">
        <f ca="1">IFERROR(__xludf.DUMMYFUNCTION("""COMPUTED_VALUE"""),"https://thumbcdn.com/splash/kr79bkhjgtf1idxp.jpg")</f>
        <v>https://thumbcdn.com/splash/kr79bkhjgtf1idxp.jpg</v>
      </c>
      <c r="D960" s="16" t="s">
        <v>7528</v>
      </c>
      <c r="E960" s="57" t="str">
        <f ca="1">IFERROR(__xludf.DUMMYFUNCTION("""COMPUTED_VALUE"""),"OK")</f>
        <v>OK</v>
      </c>
      <c r="F960" s="46"/>
      <c r="G960" s="45" t="s">
        <v>10863</v>
      </c>
      <c r="H960" s="45" t="s">
        <v>10872</v>
      </c>
    </row>
    <row r="961" spans="1:8">
      <c r="A961" s="12" t="s">
        <v>10873</v>
      </c>
      <c r="B961" s="12" t="str">
        <f ca="1">IFERROR(__xludf.DUMMYFUNCTION("""COMPUTED_VALUE"""),"Shrooms Q - 57278873 - HHH")</f>
        <v>Shrooms Q - 57278873 - HHH</v>
      </c>
      <c r="C961" s="60" t="str">
        <f ca="1">IFERROR(__xludf.DUMMYFUNCTION("""COMPUTED_VALUE"""),"https://thumbcdn.com/splash/o9t39glivox6h604.jpg")</f>
        <v>https://thumbcdn.com/splash/o9t39glivox6h604.jpg</v>
      </c>
      <c r="D961" s="6" t="s">
        <v>7533</v>
      </c>
      <c r="E961" s="63" t="str">
        <f ca="1">IFERROR(__xludf.DUMMYFUNCTION("""COMPUTED_VALUE"""),"OK")</f>
        <v>OK</v>
      </c>
      <c r="F961" s="46"/>
      <c r="G961" s="45" t="s">
        <v>10874</v>
      </c>
      <c r="H961" s="45" t="s">
        <v>10875</v>
      </c>
    </row>
    <row r="962" spans="1:8">
      <c r="A962" s="59" t="s">
        <v>10876</v>
      </c>
      <c r="B962" s="12" t="str">
        <f ca="1">IFERROR(__xludf.DUMMYFUNCTION("""COMPUTED_VALUE"""),"Shrooms Q - 92378079 - Chaturbate - Katie Cai - JackandJill")</f>
        <v>Shrooms Q - 92378079 - Chaturbate - Katie Cai - JackandJill</v>
      </c>
      <c r="C962" s="60" t="str">
        <f ca="1">IFERROR(__xludf.DUMMYFUNCTION("""COMPUTED_VALUE"""),"https://thumbcdn.com/splash/1fyevo6xoxi5hyue.jpg")</f>
        <v>https://thumbcdn.com/splash/1fyevo6xoxi5hyue.jpg</v>
      </c>
      <c r="D962" s="12" t="s">
        <v>7602</v>
      </c>
      <c r="E962" s="57" t="str">
        <f ca="1">IFERROR(__xludf.DUMMYFUNCTION("""COMPUTED_VALUE"""),"OK")</f>
        <v>OK</v>
      </c>
      <c r="F962" s="46"/>
      <c r="G962" s="45" t="s">
        <v>10874</v>
      </c>
      <c r="H962" s="45" t="s">
        <v>10877</v>
      </c>
    </row>
    <row r="963" spans="1:8">
      <c r="A963" s="12"/>
      <c r="B963" s="12" t="str">
        <f ca="1">IFERROR(__xludf.DUMMYFUNCTION("""COMPUTED_VALUE"""),"Shyla - 65322400 - PS")</f>
        <v>Shyla - 65322400 - PS</v>
      </c>
      <c r="C963" s="60" t="str">
        <f ca="1">IFERROR(__xludf.DUMMYFUNCTION("""COMPUTED_VALUE"""),"https://thumbcdn.com/splash/akg6p95f09y5g7re.jpg")</f>
        <v>https://thumbcdn.com/splash/akg6p95f09y5g7re.jpg</v>
      </c>
      <c r="D963" s="12" t="s">
        <v>7607</v>
      </c>
      <c r="E963" s="57" t="str">
        <f ca="1">IFERROR(__xludf.DUMMYFUNCTION("""COMPUTED_VALUE"""),"OK")</f>
        <v>OK</v>
      </c>
      <c r="F963" s="46"/>
      <c r="G963" s="45" t="s">
        <v>10874</v>
      </c>
      <c r="H963" s="45" t="s">
        <v>10878</v>
      </c>
    </row>
    <row r="964" spans="1:8">
      <c r="A964" s="12" t="s">
        <v>10879</v>
      </c>
      <c r="B964" s="12" t="str">
        <f ca="1">IFERROR(__xludf.DUMMYFUNCTION("""COMPUTED_VALUE"""),"Sky Bri - 10452774 - XVRED")</f>
        <v>Sky Bri - 10452774 - XVRED</v>
      </c>
      <c r="C964" s="60" t="str">
        <f ca="1">IFERROR(__xludf.DUMMYFUNCTION("""COMPUTED_VALUE"""),"https://thumbcdn.com/splash/42ygeh78vtduxeaw.jpg")</f>
        <v>https://thumbcdn.com/splash/42ygeh78vtduxeaw.jpg</v>
      </c>
      <c r="D964" s="12" t="s">
        <v>7620</v>
      </c>
      <c r="E964" s="57" t="str">
        <f ca="1">IFERROR(__xludf.DUMMYFUNCTION("""COMPUTED_VALUE"""),"OK")</f>
        <v>OK</v>
      </c>
      <c r="F964" s="46"/>
      <c r="G964" s="45" t="s">
        <v>10880</v>
      </c>
      <c r="H964" s="45" t="s">
        <v>10881</v>
      </c>
    </row>
    <row r="965" spans="1:8">
      <c r="A965" s="59" t="s">
        <v>10882</v>
      </c>
      <c r="B965" s="12" t="str">
        <f ca="1">IFERROR(__xludf.DUMMYFUNCTION("""COMPUTED_VALUE"""),"Sky Bri - 12892926 - Onlyfans")</f>
        <v>Sky Bri - 12892926 - Onlyfans</v>
      </c>
      <c r="C965" s="60" t="str">
        <f ca="1">IFERROR(__xludf.DUMMYFUNCTION("""COMPUTED_VALUE"""),"https://thumbcdn.com/splash/blanfv3xn77f1n5f.jpg")</f>
        <v>https://thumbcdn.com/splash/blanfv3xn77f1n5f.jpg</v>
      </c>
      <c r="D965" s="12" t="s">
        <v>7624</v>
      </c>
      <c r="E965" s="57" t="str">
        <f ca="1">IFERROR(__xludf.DUMMYFUNCTION("""COMPUTED_VALUE"""),"OK")</f>
        <v>OK</v>
      </c>
      <c r="F965" s="46"/>
      <c r="G965" s="45" t="s">
        <v>10883</v>
      </c>
      <c r="H965" s="45" t="s">
        <v>10884</v>
      </c>
    </row>
    <row r="966" spans="1:8">
      <c r="A966" s="12"/>
      <c r="B966" s="12" t="str">
        <f ca="1">IFERROR(__xludf.DUMMYFUNCTION("""COMPUTED_VALUE"""),"Sky Bri - 13337466 - Onlyfans")</f>
        <v>Sky Bri - 13337466 - Onlyfans</v>
      </c>
      <c r="C966" s="60" t="str">
        <f ca="1">IFERROR(__xludf.DUMMYFUNCTION("""COMPUTED_VALUE"""),"https://thumbcdn.com/splash/xo7jedqbyu30v9qh.jpg")</f>
        <v>https://thumbcdn.com/splash/xo7jedqbyu30v9qh.jpg</v>
      </c>
      <c r="D966" s="6" t="s">
        <v>7628</v>
      </c>
      <c r="E966" s="63" t="str">
        <f ca="1">IFERROR(__xludf.DUMMYFUNCTION("""COMPUTED_VALUE"""),"OK")</f>
        <v>OK</v>
      </c>
      <c r="F966" s="46"/>
      <c r="G966" s="45" t="s">
        <v>10883</v>
      </c>
      <c r="H966" s="45" t="s">
        <v>10885</v>
      </c>
    </row>
    <row r="967" spans="1:8">
      <c r="A967" s="12" t="s">
        <v>10886</v>
      </c>
      <c r="B967" s="12" t="str">
        <f ca="1">IFERROR(__xludf.DUMMYFUNCTION("""COMPUTED_VALUE"""),"Sky Bri - 22104457 - Onlyfans")</f>
        <v>Sky Bri - 22104457 - Onlyfans</v>
      </c>
      <c r="C967" s="60" t="str">
        <f ca="1">IFERROR(__xludf.DUMMYFUNCTION("""COMPUTED_VALUE"""),"https://thumbcdn.com/splash/wmxs1ih9o95tze3n.jpg")</f>
        <v>https://thumbcdn.com/splash/wmxs1ih9o95tze3n.jpg</v>
      </c>
      <c r="D967" s="12" t="s">
        <v>7638</v>
      </c>
      <c r="E967" s="57" t="str">
        <f ca="1">IFERROR(__xludf.DUMMYFUNCTION("""COMPUTED_VALUE"""),"OK")</f>
        <v>OK</v>
      </c>
      <c r="F967" s="46"/>
      <c r="G967" s="45" t="s">
        <v>10883</v>
      </c>
      <c r="H967" s="45" t="s">
        <v>10887</v>
      </c>
    </row>
    <row r="968" spans="1:8">
      <c r="A968" s="59" t="s">
        <v>10888</v>
      </c>
      <c r="B968" s="12" t="str">
        <f ca="1">IFERROR(__xludf.DUMMYFUNCTION("""COMPUTED_VALUE"""),"Sky Bri - 30897205 - Onlyfans - Lena the plug")</f>
        <v>Sky Bri - 30897205 - Onlyfans - Lena the plug</v>
      </c>
      <c r="C968" s="60" t="str">
        <f ca="1">IFERROR(__xludf.DUMMYFUNCTION("""COMPUTED_VALUE"""),"https://thumbcdn.com/splash/abdq02b8temlz1tm.jpg")</f>
        <v>https://thumbcdn.com/splash/abdq02b8temlz1tm.jpg</v>
      </c>
      <c r="D968" s="12" t="s">
        <v>7653</v>
      </c>
      <c r="E968" s="57" t="str">
        <f ca="1">IFERROR(__xludf.DUMMYFUNCTION("""COMPUTED_VALUE"""),"OK")</f>
        <v>OK</v>
      </c>
      <c r="F968" s="46"/>
      <c r="G968" s="45" t="s">
        <v>10883</v>
      </c>
      <c r="H968" s="45" t="s">
        <v>10889</v>
      </c>
    </row>
    <row r="969" spans="1:8">
      <c r="A969" s="12"/>
      <c r="B969" s="12" t="str">
        <f ca="1">IFERROR(__xludf.DUMMYFUNCTION("""COMPUTED_VALUE"""),"Sky Bri - 46781745 - Onlyfans")</f>
        <v>Sky Bri - 46781745 - Onlyfans</v>
      </c>
      <c r="C969" s="60" t="str">
        <f ca="1">IFERROR(__xludf.DUMMYFUNCTION("""COMPUTED_VALUE"""),"https://thumbcdn.com/splash/rmnvrkgeh4vyh0fp.jpg")</f>
        <v>https://thumbcdn.com/splash/rmnvrkgeh4vyh0fp.jpg</v>
      </c>
      <c r="D969" s="12" t="s">
        <v>7658</v>
      </c>
      <c r="E969" s="57" t="str">
        <f ca="1">IFERROR(__xludf.DUMMYFUNCTION("""COMPUTED_VALUE"""),"OK")</f>
        <v>OK</v>
      </c>
      <c r="F969" s="46"/>
      <c r="G969" s="45" t="s">
        <v>10883</v>
      </c>
      <c r="H969" s="45" t="s">
        <v>10890</v>
      </c>
    </row>
    <row r="970" spans="1:8">
      <c r="A970" s="12" t="s">
        <v>10891</v>
      </c>
      <c r="B970" s="12" t="str">
        <f ca="1">IFERROR(__xludf.DUMMYFUNCTION("""COMPUTED_VALUE"""),"Sky Bri - 81507660 - Onlyfans")</f>
        <v>Sky Bri - 81507660 - Onlyfans</v>
      </c>
      <c r="C970" s="60" t="str">
        <f ca="1">IFERROR(__xludf.DUMMYFUNCTION("""COMPUTED_VALUE"""),"https://thumbcdn.com/splash/q2e5dxbd4ydekbym.jpg")</f>
        <v>https://thumbcdn.com/splash/q2e5dxbd4ydekbym.jpg</v>
      </c>
      <c r="D970" s="6" t="s">
        <v>7662</v>
      </c>
      <c r="E970" s="63" t="str">
        <f ca="1">IFERROR(__xludf.DUMMYFUNCTION("""COMPUTED_VALUE"""),"OK")</f>
        <v>OK</v>
      </c>
      <c r="F970" s="46"/>
      <c r="G970" s="45" t="s">
        <v>10883</v>
      </c>
      <c r="H970" s="45" t="s">
        <v>10892</v>
      </c>
    </row>
    <row r="971" spans="1:8">
      <c r="A971" s="59" t="s">
        <v>10893</v>
      </c>
      <c r="B971" s="12" t="str">
        <f ca="1">IFERROR(__xludf.DUMMYFUNCTION("""COMPUTED_VALUE"""),"Sky Bri - 83997240 - Onlyfans")</f>
        <v>Sky Bri - 83997240 - Onlyfans</v>
      </c>
      <c r="C971" s="60" t="str">
        <f ca="1">IFERROR(__xludf.DUMMYFUNCTION("""COMPUTED_VALUE"""),"https://thumbcdn.com/splash/odtnnl483rzn3eyv.jpg")</f>
        <v>https://thumbcdn.com/splash/odtnnl483rzn3eyv.jpg</v>
      </c>
      <c r="D971" s="6" t="s">
        <v>7667</v>
      </c>
      <c r="E971" s="63" t="str">
        <f ca="1">IFERROR(__xludf.DUMMYFUNCTION("""COMPUTED_VALUE"""),"OK")</f>
        <v>OK</v>
      </c>
      <c r="F971" s="46"/>
      <c r="G971" s="45" t="s">
        <v>10883</v>
      </c>
      <c r="H971" s="45" t="s">
        <v>10894</v>
      </c>
    </row>
    <row r="972" spans="1:8">
      <c r="A972" s="12"/>
      <c r="B972" s="12" t="str">
        <f ca="1">IFERROR(__xludf.DUMMYFUNCTION("""COMPUTED_VALUE"""),"Sky Bri - 91788222 - Onlyfans")</f>
        <v>Sky Bri - 91788222 - Onlyfans</v>
      </c>
      <c r="C972" s="60" t="str">
        <f ca="1">IFERROR(__xludf.DUMMYFUNCTION("""COMPUTED_VALUE"""),"https://thumbcdn.com/splash/utmkunjl6sjvasgs.jpg")</f>
        <v>https://thumbcdn.com/splash/utmkunjl6sjvasgs.jpg</v>
      </c>
      <c r="D972" s="12" t="s">
        <v>7671</v>
      </c>
      <c r="E972" s="57" t="str">
        <f ca="1">IFERROR(__xludf.DUMMYFUNCTION("""COMPUTED_VALUE"""),"OK")</f>
        <v>OK</v>
      </c>
      <c r="F972" s="46"/>
      <c r="G972" s="45" t="s">
        <v>10883</v>
      </c>
      <c r="H972" s="45" t="s">
        <v>10895</v>
      </c>
    </row>
    <row r="973" spans="1:8">
      <c r="A973" s="12" t="s">
        <v>10896</v>
      </c>
      <c r="B973" s="12" t="str">
        <f ca="1">IFERROR(__xludf.DUMMYFUNCTION("""COMPUTED_VALUE"""),"Sky Bri - 96295247 - Onlyfans")</f>
        <v>Sky Bri - 96295247 - Onlyfans</v>
      </c>
      <c r="C973" s="60" t="str">
        <f ca="1">IFERROR(__xludf.DUMMYFUNCTION("""COMPUTED_VALUE"""),"https://thumbcdn.com/splash/j9j05o74m2apdg5k.jpg")</f>
        <v>https://thumbcdn.com/splash/j9j05o74m2apdg5k.jpg</v>
      </c>
      <c r="D973" s="6" t="s">
        <v>7676</v>
      </c>
      <c r="E973" s="63" t="str">
        <f ca="1">IFERROR(__xludf.DUMMYFUNCTION("""COMPUTED_VALUE"""),"OK")</f>
        <v>OK</v>
      </c>
      <c r="F973" s="46"/>
      <c r="G973" s="45" t="s">
        <v>10883</v>
      </c>
      <c r="H973" s="45" t="s">
        <v>10897</v>
      </c>
    </row>
    <row r="974" spans="1:8">
      <c r="A974" s="59" t="s">
        <v>10898</v>
      </c>
      <c r="B974" s="12" t="str">
        <f ca="1">IFERROR(__xludf.DUMMYFUNCTION("""COMPUTED_VALUE"""),"Skye Blue - 93915326 - Onlyfans")</f>
        <v>Skye Blue - 93915326 - Onlyfans</v>
      </c>
      <c r="C974" s="60" t="str">
        <f ca="1">IFERROR(__xludf.DUMMYFUNCTION("""COMPUTED_VALUE"""),"https://thumbcdn.com/splash/6yhjb521dv0tju4i.jpg")</f>
        <v>https://thumbcdn.com/splash/6yhjb521dv0tju4i.jpg</v>
      </c>
      <c r="D974" s="12" t="s">
        <v>7691</v>
      </c>
      <c r="E974" s="57" t="str">
        <f ca="1">IFERROR(__xludf.DUMMYFUNCTION("""COMPUTED_VALUE"""),"OK")</f>
        <v>OK</v>
      </c>
      <c r="F974" s="46"/>
      <c r="G974" s="45" t="s">
        <v>10883</v>
      </c>
      <c r="H974" s="45" t="s">
        <v>10899</v>
      </c>
    </row>
    <row r="975" spans="1:8">
      <c r="A975" s="12"/>
      <c r="B975" s="12" t="str">
        <f ca="1">IFERROR(__xludf.DUMMYFUNCTION("""COMPUTED_VALUE"""),"Slimthick Vic - 88680369 - Onlyfans - Kay Lovely")</f>
        <v>Slimthick Vic - 88680369 - Onlyfans - Kay Lovely</v>
      </c>
      <c r="C975" s="60" t="str">
        <f ca="1">IFERROR(__xludf.DUMMYFUNCTION("""COMPUTED_VALUE"""),"https://thumbcdn.com/splash/wxadn18msjj51f4p.jpg")</f>
        <v>https://thumbcdn.com/splash/wxadn18msjj51f4p.jpg</v>
      </c>
      <c r="D975" s="12" t="s">
        <v>7696</v>
      </c>
      <c r="E975" s="57" t="str">
        <f ca="1">IFERROR(__xludf.DUMMYFUNCTION("""COMPUTED_VALUE"""),"OK")</f>
        <v>OK</v>
      </c>
      <c r="F975" s="46"/>
      <c r="G975" s="45" t="s">
        <v>10900</v>
      </c>
      <c r="H975" s="45" t="s">
        <v>10901</v>
      </c>
    </row>
    <row r="976" spans="1:8">
      <c r="A976" s="12" t="s">
        <v>10902</v>
      </c>
      <c r="B976" s="12" t="str">
        <f ca="1">IFERROR(__xludf.DUMMYFUNCTION("""COMPUTED_VALUE"""),"Slimthick Vic - 96569222 - Onlyfans - Brandy Renee")</f>
        <v>Slimthick Vic - 96569222 - Onlyfans - Brandy Renee</v>
      </c>
      <c r="C976" s="60" t="str">
        <f ca="1">IFERROR(__xludf.DUMMYFUNCTION("""COMPUTED_VALUE"""),"https://thumbcdn.com/splash/ervccfkvdbzlrhd9.jpg")</f>
        <v>https://thumbcdn.com/splash/ervccfkvdbzlrhd9.jpg</v>
      </c>
      <c r="D976" s="6" t="s">
        <v>7701</v>
      </c>
      <c r="E976" s="63" t="str">
        <f ca="1">IFERROR(__xludf.DUMMYFUNCTION("""COMPUTED_VALUE"""),"OK")</f>
        <v>OK</v>
      </c>
      <c r="F976" s="46"/>
      <c r="G976" s="45" t="s">
        <v>10903</v>
      </c>
      <c r="H976" s="45" t="s">
        <v>10904</v>
      </c>
    </row>
    <row r="977" spans="1:8">
      <c r="A977" s="59" t="s">
        <v>10905</v>
      </c>
      <c r="B977" s="12" t="str">
        <f ca="1">IFERROR(__xludf.DUMMYFUNCTION("""COMPUTED_VALUE"""),"Sophie Reade - 23896378 - Onlyfans")</f>
        <v>Sophie Reade - 23896378 - Onlyfans</v>
      </c>
      <c r="C977" s="60" t="str">
        <f ca="1">IFERROR(__xludf.DUMMYFUNCTION("""COMPUTED_VALUE"""),"https://thumbcdn.com/splash/8pwcjiprmkum5rga.jpg")</f>
        <v>https://thumbcdn.com/splash/8pwcjiprmkum5rga.jpg</v>
      </c>
      <c r="D977" s="12" t="s">
        <v>7705</v>
      </c>
      <c r="E977" s="57" t="str">
        <f ca="1">IFERROR(__xludf.DUMMYFUNCTION("""COMPUTED_VALUE"""),"OK")</f>
        <v>OK</v>
      </c>
      <c r="F977" s="46"/>
      <c r="G977" s="45" t="s">
        <v>10903</v>
      </c>
      <c r="H977" s="45" t="s">
        <v>10906</v>
      </c>
    </row>
    <row r="978" spans="1:8">
      <c r="A978" s="12"/>
      <c r="B978" s="12" t="str">
        <f ca="1">IFERROR(__xludf.DUMMYFUNCTION("""COMPUTED_VALUE"""),"Sophie Reade - 53603393 - Onlyfans")</f>
        <v>Sophie Reade - 53603393 - Onlyfans</v>
      </c>
      <c r="C978" s="60" t="str">
        <f ca="1">IFERROR(__xludf.DUMMYFUNCTION("""COMPUTED_VALUE"""),"https://thumbcdn.com/splash/3841mtz31jpuxlyl.jpg")</f>
        <v>https://thumbcdn.com/splash/3841mtz31jpuxlyl.jpg</v>
      </c>
      <c r="D978" s="12" t="s">
        <v>7725</v>
      </c>
      <c r="E978" s="57" t="str">
        <f ca="1">IFERROR(__xludf.DUMMYFUNCTION("""COMPUTED_VALUE"""),"OK")</f>
        <v>OK</v>
      </c>
      <c r="F978" s="46"/>
      <c r="G978" s="45" t="s">
        <v>10907</v>
      </c>
      <c r="H978" s="45" t="s">
        <v>10908</v>
      </c>
    </row>
    <row r="979" spans="1:8">
      <c r="A979" s="12" t="s">
        <v>10909</v>
      </c>
      <c r="B979" s="12" t="str">
        <f ca="1">IFERROR(__xludf.DUMMYFUNCTION("""COMPUTED_VALUE"""),"Sophie Reade - 54476943 - Onlyfans")</f>
        <v>Sophie Reade - 54476943 - Onlyfans</v>
      </c>
      <c r="C979" s="60" t="str">
        <f ca="1">IFERROR(__xludf.DUMMYFUNCTION("""COMPUTED_VALUE"""),"https://thumbcdn.com/splash/ftxxh36yfa0c5zi8.jpg")</f>
        <v>https://thumbcdn.com/splash/ftxxh36yfa0c5zi8.jpg</v>
      </c>
      <c r="D979" s="12" t="s">
        <v>7730</v>
      </c>
      <c r="E979" s="57" t="str">
        <f ca="1">IFERROR(__xludf.DUMMYFUNCTION("""COMPUTED_VALUE"""),"OK")</f>
        <v>OK</v>
      </c>
      <c r="F979" s="46"/>
      <c r="G979" s="45" t="s">
        <v>10907</v>
      </c>
      <c r="H979" s="45" t="s">
        <v>10910</v>
      </c>
    </row>
    <row r="980" spans="1:8">
      <c r="A980" s="59" t="s">
        <v>10911</v>
      </c>
      <c r="B980" s="12" t="str">
        <f ca="1">IFERROR(__xludf.DUMMYFUNCTION("""COMPUTED_VALUE"""),"Sophie Reade - 84515479 - FTV")</f>
        <v>Sophie Reade - 84515479 - FTV</v>
      </c>
      <c r="C980" s="60" t="str">
        <f ca="1">IFERROR(__xludf.DUMMYFUNCTION("""COMPUTED_VALUE"""),"https://thumbcdn.com/splash/476s5qxdburez3me.jpg")</f>
        <v>https://thumbcdn.com/splash/476s5qxdburez3me.jpg</v>
      </c>
      <c r="D980" s="12" t="s">
        <v>7745</v>
      </c>
      <c r="E980" s="57" t="str">
        <f ca="1">IFERROR(__xludf.DUMMYFUNCTION("""COMPUTED_VALUE"""),"OK")</f>
        <v>OK</v>
      </c>
      <c r="F980" s="46"/>
      <c r="G980" s="45" t="s">
        <v>10907</v>
      </c>
      <c r="H980" s="45" t="s">
        <v>10912</v>
      </c>
    </row>
    <row r="981" spans="1:8">
      <c r="A981" s="12"/>
      <c r="B981" s="12" t="str">
        <f ca="1">IFERROR(__xludf.DUMMYFUNCTION("""COMPUTED_VALUE"""),"Sophie Reade - 96816459 - Onlyfans")</f>
        <v>Sophie Reade - 96816459 - Onlyfans</v>
      </c>
      <c r="C981" s="60" t="str">
        <f ca="1">IFERROR(__xludf.DUMMYFUNCTION("""COMPUTED_VALUE"""),"https://thumbcdn.com/splash/z78jgvej4tx0ykc1.jpg")</f>
        <v>https://thumbcdn.com/splash/z78jgvej4tx0ykc1.jpg</v>
      </c>
      <c r="D981" s="16" t="s">
        <v>7750</v>
      </c>
      <c r="E981" s="57" t="str">
        <f ca="1">IFERROR(__xludf.DUMMYFUNCTION("""COMPUTED_VALUE"""),"OK")</f>
        <v>OK</v>
      </c>
      <c r="F981" s="46"/>
      <c r="G981" s="45" t="s">
        <v>10907</v>
      </c>
      <c r="H981" s="45" t="s">
        <v>10913</v>
      </c>
    </row>
    <row r="982" spans="1:8">
      <c r="A982" s="12" t="s">
        <v>10914</v>
      </c>
      <c r="B982" s="12" t="str">
        <f ca="1">IFERROR(__xludf.DUMMYFUNCTION("""COMPUTED_VALUE"""),"Stella Barey - 42384532 - Onlyfans - Harper Red")</f>
        <v>Stella Barey - 42384532 - Onlyfans - Harper Red</v>
      </c>
      <c r="C982" s="60" t="str">
        <f ca="1">IFERROR(__xludf.DUMMYFUNCTION("""COMPUTED_VALUE"""),"https://thumbcdn.com/splash/3w2sce81vc8xy4dm.jpg")</f>
        <v>https://thumbcdn.com/splash/3w2sce81vc8xy4dm.jpg</v>
      </c>
      <c r="D982" s="6" t="s">
        <v>7758</v>
      </c>
      <c r="E982" s="63" t="str">
        <f ca="1">IFERROR(__xludf.DUMMYFUNCTION("""COMPUTED_VALUE"""),"OK")</f>
        <v>OK</v>
      </c>
      <c r="F982" s="46"/>
      <c r="G982" s="45" t="s">
        <v>10907</v>
      </c>
      <c r="H982" s="45" t="s">
        <v>10915</v>
      </c>
    </row>
    <row r="983" spans="1:8">
      <c r="A983" s="59" t="s">
        <v>10916</v>
      </c>
      <c r="B983" s="12" t="str">
        <f ca="1">IFERROR(__xludf.DUMMYFUNCTION("""COMPUTED_VALUE"""),"Stella Barey - 64932653 - FamilyTherapy")</f>
        <v>Stella Barey - 64932653 - FamilyTherapy</v>
      </c>
      <c r="C983" s="60" t="str">
        <f ca="1">IFERROR(__xludf.DUMMYFUNCTION("""COMPUTED_VALUE"""),"https://thumbcdn.com/splash/8omkx4isrt8gqara.jpg")</f>
        <v>https://thumbcdn.com/splash/8omkx4isrt8gqara.jpg</v>
      </c>
      <c r="D983" s="12" t="s">
        <v>7763</v>
      </c>
      <c r="E983" s="57" t="str">
        <f ca="1">IFERROR(__xludf.DUMMYFUNCTION("""COMPUTED_VALUE"""),"OK")</f>
        <v>OK</v>
      </c>
      <c r="F983" s="46"/>
      <c r="G983" s="45" t="s">
        <v>10917</v>
      </c>
      <c r="H983" s="45" t="s">
        <v>10918</v>
      </c>
    </row>
    <row r="984" spans="1:8">
      <c r="A984" s="12"/>
      <c r="B984" s="12" t="str">
        <f ca="1">IFERROR(__xludf.DUMMYFUNCTION("""COMPUTED_VALUE"""),"Stella Brooks - 23882974 - Onlyfans")</f>
        <v>Stella Brooks - 23882974 - Onlyfans</v>
      </c>
      <c r="C984" s="60" t="str">
        <f ca="1">IFERROR(__xludf.DUMMYFUNCTION("""COMPUTED_VALUE"""),"https://thumbcdn.com/splash/8v0ggfn655p9kr51.jpg")</f>
        <v>https://thumbcdn.com/splash/8v0ggfn655p9kr51.jpg</v>
      </c>
      <c r="D984" s="12" t="s">
        <v>7768</v>
      </c>
      <c r="E984" s="57" t="str">
        <f ca="1">IFERROR(__xludf.DUMMYFUNCTION("""COMPUTED_VALUE"""),"OK")</f>
        <v>OK</v>
      </c>
      <c r="F984" s="46"/>
      <c r="G984" s="45" t="s">
        <v>10917</v>
      </c>
      <c r="H984" s="45" t="s">
        <v>10919</v>
      </c>
    </row>
    <row r="985" spans="1:8">
      <c r="A985" s="12" t="s">
        <v>10920</v>
      </c>
      <c r="B985" s="12" t="str">
        <f ca="1">IFERROR(__xludf.DUMMYFUNCTION("""COMPUTED_VALUE"""),"Stella Brooks - 30501504 - XVRED")</f>
        <v>Stella Brooks - 30501504 - XVRED</v>
      </c>
      <c r="C985" s="60" t="str">
        <f ca="1">IFERROR(__xludf.DUMMYFUNCTION("""COMPUTED_VALUE"""),"https://thumbcdn.com/splash/2sksmr6g3hloug09.jpg")</f>
        <v>https://thumbcdn.com/splash/2sksmr6g3hloug09.jpg</v>
      </c>
      <c r="D985" s="12" t="s">
        <v>7773</v>
      </c>
      <c r="E985" s="57" t="str">
        <f ca="1">IFERROR(__xludf.DUMMYFUNCTION("""COMPUTED_VALUE"""),"OK")</f>
        <v>OK</v>
      </c>
      <c r="F985" s="46"/>
      <c r="G985" s="45" t="s">
        <v>10921</v>
      </c>
      <c r="H985" s="45" t="s">
        <v>10922</v>
      </c>
    </row>
    <row r="986" spans="1:8">
      <c r="A986" s="59" t="s">
        <v>10923</v>
      </c>
      <c r="B986" s="12" t="str">
        <f ca="1">IFERROR(__xludf.DUMMYFUNCTION("""COMPUTED_VALUE"""),"Stella Brooks - 59319855 - Onlyfans - Ivy Lebelle")</f>
        <v>Stella Brooks - 59319855 - Onlyfans - Ivy Lebelle</v>
      </c>
      <c r="C986" s="60" t="str">
        <f ca="1">IFERROR(__xludf.DUMMYFUNCTION("""COMPUTED_VALUE"""),"https://thumbcdn.com/splash/7wnzs923mznfoi6f.jpg")</f>
        <v>https://thumbcdn.com/splash/7wnzs923mznfoi6f.jpg</v>
      </c>
      <c r="D986" s="6" t="s">
        <v>7778</v>
      </c>
      <c r="E986" s="63" t="str">
        <f ca="1">IFERROR(__xludf.DUMMYFUNCTION("""COMPUTED_VALUE"""),"OK")</f>
        <v>OK</v>
      </c>
      <c r="F986" s="46"/>
      <c r="G986" s="45" t="s">
        <v>10921</v>
      </c>
      <c r="H986" s="45" t="s">
        <v>10924</v>
      </c>
    </row>
    <row r="987" spans="1:8">
      <c r="A987" s="12"/>
      <c r="B987" s="12" t="str">
        <f ca="1">IFERROR(__xludf.DUMMYFUNCTION("""COMPUTED_VALUE"""),"Stella Brooks - 71192884 - XVRED")</f>
        <v>Stella Brooks - 71192884 - XVRED</v>
      </c>
      <c r="C987" s="60" t="str">
        <f ca="1">IFERROR(__xludf.DUMMYFUNCTION("""COMPUTED_VALUE"""),"https://thumbcdn.com/splash/med9lwydglx1ylk0.jpg")</f>
        <v>https://thumbcdn.com/splash/med9lwydglx1ylk0.jpg</v>
      </c>
      <c r="D987" s="12" t="s">
        <v>7782</v>
      </c>
      <c r="E987" s="57" t="str">
        <f ca="1">IFERROR(__xludf.DUMMYFUNCTION("""COMPUTED_VALUE"""),"OK")</f>
        <v>OK</v>
      </c>
      <c r="F987" s="46"/>
      <c r="G987" s="45" t="s">
        <v>10921</v>
      </c>
      <c r="H987" s="45" t="s">
        <v>10925</v>
      </c>
    </row>
    <row r="988" spans="1:8">
      <c r="A988" s="12" t="s">
        <v>10926</v>
      </c>
      <c r="B988" s="12" t="str">
        <f ca="1">IFERROR(__xludf.DUMMYFUNCTION("""COMPUTED_VALUE"""),"Stella Brooks - 83024281 - Onlyfans")</f>
        <v>Stella Brooks - 83024281 - Onlyfans</v>
      </c>
      <c r="C988" s="60" t="str">
        <f ca="1">IFERROR(__xludf.DUMMYFUNCTION("""COMPUTED_VALUE"""),"https://thumbcdn.com/splash/p1txqrj3188hl8en.jpg")</f>
        <v>https://thumbcdn.com/splash/p1txqrj3188hl8en.jpg</v>
      </c>
      <c r="D988" s="6" t="s">
        <v>7786</v>
      </c>
      <c r="E988" s="63" t="str">
        <f ca="1">IFERROR(__xludf.DUMMYFUNCTION("""COMPUTED_VALUE"""),"OK")</f>
        <v>OK</v>
      </c>
      <c r="F988" s="46"/>
      <c r="G988" s="45" t="s">
        <v>10921</v>
      </c>
      <c r="H988" s="45" t="s">
        <v>10927</v>
      </c>
    </row>
    <row r="989" spans="1:8">
      <c r="A989" s="59" t="s">
        <v>10928</v>
      </c>
      <c r="B989" s="12" t="str">
        <f ca="1">IFERROR(__xludf.DUMMYFUNCTION("""COMPUTED_VALUE"""),"Stella Brooks - 97821752 - Onlyfans")</f>
        <v>Stella Brooks - 97821752 - Onlyfans</v>
      </c>
      <c r="C989" s="60" t="str">
        <f ca="1">IFERROR(__xludf.DUMMYFUNCTION("""COMPUTED_VALUE"""),"https://thumbcdn.com/splash/muijz82mhptmytd1.jpg")</f>
        <v>https://thumbcdn.com/splash/muijz82mhptmytd1.jpg</v>
      </c>
      <c r="D989" s="12" t="s">
        <v>7790</v>
      </c>
      <c r="E989" s="57" t="str">
        <f ca="1">IFERROR(__xludf.DUMMYFUNCTION("""COMPUTED_VALUE"""),"OK")</f>
        <v>OK</v>
      </c>
      <c r="F989" s="46"/>
      <c r="G989" s="45" t="s">
        <v>10921</v>
      </c>
      <c r="H989" s="45" t="s">
        <v>10929</v>
      </c>
    </row>
    <row r="990" spans="1:8">
      <c r="A990" s="12"/>
      <c r="B990" s="12" t="str">
        <f ca="1">IFERROR(__xludf.DUMMYFUNCTION("""COMPUTED_VALUE"""),"Stella Luxx - 50248255 - Onlyfans")</f>
        <v>Stella Luxx - 50248255 - Onlyfans</v>
      </c>
      <c r="C990" s="60" t="str">
        <f ca="1">IFERROR(__xludf.DUMMYFUNCTION("""COMPUTED_VALUE"""),"https://thumbcdn.com/splash/dz7rm6bgnbmbi2hm.jpg")</f>
        <v>https://thumbcdn.com/splash/dz7rm6bgnbmbi2hm.jpg</v>
      </c>
      <c r="D990" s="12" t="s">
        <v>7794</v>
      </c>
      <c r="E990" s="57" t="str">
        <f ca="1">IFERROR(__xludf.DUMMYFUNCTION("""COMPUTED_VALUE"""),"OK")</f>
        <v>OK</v>
      </c>
      <c r="F990" s="46"/>
      <c r="G990" s="45" t="s">
        <v>10921</v>
      </c>
      <c r="H990" s="45" t="s">
        <v>10930</v>
      </c>
    </row>
    <row r="991" spans="1:8">
      <c r="A991" s="12" t="s">
        <v>10931</v>
      </c>
      <c r="B991" s="12" t="str">
        <f ca="1">IFERROR(__xludf.DUMMYFUNCTION("""COMPUTED_VALUE"""),"Stella Luxx - 61119564 - Onlyfans")</f>
        <v>Stella Luxx - 61119564 - Onlyfans</v>
      </c>
      <c r="C991" s="60" t="str">
        <f ca="1">IFERROR(__xludf.DUMMYFUNCTION("""COMPUTED_VALUE"""),"https://thumbcdn.com/splash/t7e87o23cfep4ob5.jpg")</f>
        <v>https://thumbcdn.com/splash/t7e87o23cfep4ob5.jpg</v>
      </c>
      <c r="D991" s="12" t="s">
        <v>7804</v>
      </c>
      <c r="E991" s="57" t="str">
        <f ca="1">IFERROR(__xludf.DUMMYFUNCTION("""COMPUTED_VALUE"""),"OK")</f>
        <v>OK</v>
      </c>
      <c r="F991" s="46"/>
      <c r="G991" s="45" t="s">
        <v>10932</v>
      </c>
      <c r="H991" s="45" t="s">
        <v>10933</v>
      </c>
    </row>
    <row r="992" spans="1:8">
      <c r="A992" s="59" t="s">
        <v>10934</v>
      </c>
      <c r="B992" s="12" t="str">
        <f ca="1">IFERROR(__xludf.DUMMYFUNCTION("""COMPUTED_VALUE"""),"Stella Luxx - 94714864 - Blacked")</f>
        <v>Stella Luxx - 94714864 - Blacked</v>
      </c>
      <c r="C992" s="60" t="str">
        <f ca="1">IFERROR(__xludf.DUMMYFUNCTION("""COMPUTED_VALUE"""),"https://thumbcdn.com/splash/yg8p7gthzdef9gtx.jpg")</f>
        <v>https://thumbcdn.com/splash/yg8p7gthzdef9gtx.jpg</v>
      </c>
      <c r="D992" s="12" t="s">
        <v>7808</v>
      </c>
      <c r="E992" s="57" t="str">
        <f ca="1">IFERROR(__xludf.DUMMYFUNCTION("""COMPUTED_VALUE"""),"OK")</f>
        <v>OK</v>
      </c>
      <c r="F992" s="46"/>
      <c r="G992" s="45" t="s">
        <v>10932</v>
      </c>
      <c r="H992" s="45" t="s">
        <v>10935</v>
      </c>
    </row>
    <row r="993" spans="1:8">
      <c r="A993" s="12"/>
      <c r="B993" s="12" t="str">
        <f ca="1">IFERROR(__xludf.DUMMYFUNCTION("""COMPUTED_VALUE"""),"Sweetie Fox - 14534690 - Onlyfans")</f>
        <v>Sweetie Fox - 14534690 - Onlyfans</v>
      </c>
      <c r="C993" s="60" t="str">
        <f ca="1">IFERROR(__xludf.DUMMYFUNCTION("""COMPUTED_VALUE"""),"https://thumbcdn.com/splash/dssv3oxkajjpzl8v.jpg")</f>
        <v>https://thumbcdn.com/splash/dssv3oxkajjpzl8v.jpg</v>
      </c>
      <c r="D993" s="12" t="s">
        <v>7838</v>
      </c>
      <c r="E993" s="57" t="str">
        <f ca="1">IFERROR(__xludf.DUMMYFUNCTION("""COMPUTED_VALUE"""),"OK")</f>
        <v>OK</v>
      </c>
      <c r="F993" s="46"/>
      <c r="G993" s="45" t="s">
        <v>10932</v>
      </c>
      <c r="H993" s="45" t="s">
        <v>10936</v>
      </c>
    </row>
    <row r="994" spans="1:8">
      <c r="A994" s="12" t="s">
        <v>10937</v>
      </c>
      <c r="B994" s="12" t="str">
        <f ca="1">IFERROR(__xludf.DUMMYFUNCTION("""COMPUTED_VALUE"""),"Sweetie Fox - 26093245 - Onlyfans")</f>
        <v>Sweetie Fox - 26093245 - Onlyfans</v>
      </c>
      <c r="C994" s="60" t="str">
        <f ca="1">IFERROR(__xludf.DUMMYFUNCTION("""COMPUTED_VALUE"""),"https://thumbcdn.com/splash/ptrz2lbke5ahp6qn.jpg")</f>
        <v>https://thumbcdn.com/splash/ptrz2lbke5ahp6qn.jpg</v>
      </c>
      <c r="D994" s="12" t="s">
        <v>7847</v>
      </c>
      <c r="E994" s="57" t="str">
        <f ca="1">IFERROR(__xludf.DUMMYFUNCTION("""COMPUTED_VALUE"""),"OK")</f>
        <v>OK</v>
      </c>
      <c r="F994" s="46"/>
      <c r="G994" s="45" t="s">
        <v>10938</v>
      </c>
      <c r="H994" s="45" t="s">
        <v>10939</v>
      </c>
    </row>
    <row r="995" spans="1:8">
      <c r="A995" s="59" t="s">
        <v>10940</v>
      </c>
      <c r="B995" s="12" t="str">
        <f ca="1">IFERROR(__xludf.DUMMYFUNCTION("""COMPUTED_VALUE"""),"Sweetie Fox - 34904991 - Onlyfans - Octokuro")</f>
        <v>Sweetie Fox - 34904991 - Onlyfans - Octokuro</v>
      </c>
      <c r="C995" s="60" t="str">
        <f ca="1">IFERROR(__xludf.DUMMYFUNCTION("""COMPUTED_VALUE"""),"https://thumbcdn.com/splash/jt9ndzmkxqrx729n.jpg")</f>
        <v>https://thumbcdn.com/splash/jt9ndzmkxqrx729n.jpg</v>
      </c>
      <c r="D995" s="11" t="s">
        <v>7858</v>
      </c>
      <c r="E995" s="63" t="str">
        <f ca="1">IFERROR(__xludf.DUMMYFUNCTION("""COMPUTED_VALUE"""),"OK")</f>
        <v>OK</v>
      </c>
      <c r="F995" s="46"/>
      <c r="G995" s="45" t="s">
        <v>10938</v>
      </c>
      <c r="H995" s="45" t="s">
        <v>10941</v>
      </c>
    </row>
    <row r="996" spans="1:8">
      <c r="A996" s="12"/>
      <c r="B996" s="12" t="str">
        <f ca="1">IFERROR(__xludf.DUMMYFUNCTION("""COMPUTED_VALUE"""),"Sweetie Fox - 39327044 - Onlyfans")</f>
        <v>Sweetie Fox - 39327044 - Onlyfans</v>
      </c>
      <c r="C996" s="60" t="str">
        <f ca="1">IFERROR(__xludf.DUMMYFUNCTION("""COMPUTED_VALUE"""),"https://thumbcdn.com/splash/j50got99s11pi7bl.jpg")</f>
        <v>https://thumbcdn.com/splash/j50got99s11pi7bl.jpg</v>
      </c>
      <c r="D996" s="16" t="s">
        <v>7868</v>
      </c>
      <c r="E996" s="57" t="str">
        <f ca="1">IFERROR(__xludf.DUMMYFUNCTION("""COMPUTED_VALUE"""),"OK")</f>
        <v>OK</v>
      </c>
      <c r="F996" s="46"/>
      <c r="G996" s="45" t="s">
        <v>10938</v>
      </c>
      <c r="H996" s="45" t="s">
        <v>10942</v>
      </c>
    </row>
    <row r="997" spans="1:8">
      <c r="A997" s="12" t="s">
        <v>10943</v>
      </c>
      <c r="B997" s="12" t="str">
        <f ca="1">IFERROR(__xludf.DUMMYFUNCTION("""COMPUTED_VALUE"""),"Sweetie Fox - 41562688 - Onlyfans")</f>
        <v>Sweetie Fox - 41562688 - Onlyfans</v>
      </c>
      <c r="C997" s="60" t="str">
        <f ca="1">IFERROR(__xludf.DUMMYFUNCTION("""COMPUTED_VALUE"""),"https://thumbcdn.com/splash/ujthl8reeds1lqrn.jpg")</f>
        <v>https://thumbcdn.com/splash/ujthl8reeds1lqrn.jpg</v>
      </c>
      <c r="D997" s="12" t="s">
        <v>7873</v>
      </c>
      <c r="E997" s="57" t="str">
        <f ca="1">IFERROR(__xludf.DUMMYFUNCTION("""COMPUTED_VALUE"""),"OK")</f>
        <v>OK</v>
      </c>
      <c r="F997" s="46"/>
      <c r="G997" s="45" t="s">
        <v>10938</v>
      </c>
      <c r="H997" s="45" t="s">
        <v>10944</v>
      </c>
    </row>
    <row r="998" spans="1:8">
      <c r="A998" s="59" t="s">
        <v>10945</v>
      </c>
      <c r="B998" s="12" t="str">
        <f ca="1">IFERROR(__xludf.DUMMYFUNCTION("""COMPUTED_VALUE"""),"Sweetie Fox - 49496648 - Onlyfans")</f>
        <v>Sweetie Fox - 49496648 - Onlyfans</v>
      </c>
      <c r="C998" s="60" t="str">
        <f ca="1">IFERROR(__xludf.DUMMYFUNCTION("""COMPUTED_VALUE"""),"https://thumbcdn.com/splash/3my2900v7ti0kdpx.jpg")</f>
        <v>https://thumbcdn.com/splash/3my2900v7ti0kdpx.jpg</v>
      </c>
      <c r="D998" s="12" t="s">
        <v>7878</v>
      </c>
      <c r="E998" s="57" t="str">
        <f ca="1">IFERROR(__xludf.DUMMYFUNCTION("""COMPUTED_VALUE"""),"OK")</f>
        <v>OK</v>
      </c>
      <c r="F998" s="46"/>
      <c r="G998" s="45" t="s">
        <v>10938</v>
      </c>
      <c r="H998" s="45" t="s">
        <v>10946</v>
      </c>
    </row>
    <row r="999" spans="1:8">
      <c r="A999" s="12"/>
      <c r="B999" s="12" t="str">
        <f ca="1">IFERROR(__xludf.DUMMYFUNCTION("""COMPUTED_VALUE"""),"Sweetie Fox - 53610530 - Onlyfans")</f>
        <v>Sweetie Fox - 53610530 - Onlyfans</v>
      </c>
      <c r="C999" s="60" t="str">
        <f ca="1">IFERROR(__xludf.DUMMYFUNCTION("""COMPUTED_VALUE"""),"https://thumbcdn.com/splash/2g2x81uj4vpfkntr.jpg")</f>
        <v>https://thumbcdn.com/splash/2g2x81uj4vpfkntr.jpg</v>
      </c>
      <c r="D999" s="12" t="s">
        <v>7886</v>
      </c>
      <c r="E999" s="57" t="str">
        <f ca="1">IFERROR(__xludf.DUMMYFUNCTION("""COMPUTED_VALUE"""),"OK")</f>
        <v>OK</v>
      </c>
      <c r="F999" s="46"/>
      <c r="G999" s="45" t="s">
        <v>10938</v>
      </c>
      <c r="H999" s="45" t="s">
        <v>10947</v>
      </c>
    </row>
    <row r="1000" spans="1:8">
      <c r="A1000" s="12" t="s">
        <v>10948</v>
      </c>
      <c r="B1000" s="12" t="str">
        <f ca="1">IFERROR(__xludf.DUMMYFUNCTION("""COMPUTED_VALUE"""),"Sweetie Fox - 59555739 - Onlyfans")</f>
        <v>Sweetie Fox - 59555739 - Onlyfans</v>
      </c>
      <c r="C1000" s="60" t="str">
        <f ca="1">IFERROR(__xludf.DUMMYFUNCTION("""COMPUTED_VALUE"""),"https://thumbcdn.com/splash/eux6uc5pz8da4ura.jpg")</f>
        <v>https://thumbcdn.com/splash/eux6uc5pz8da4ura.jpg</v>
      </c>
      <c r="D1000" s="6" t="s">
        <v>7897</v>
      </c>
      <c r="E1000" s="63" t="str">
        <f ca="1">IFERROR(__xludf.DUMMYFUNCTION("""COMPUTED_VALUE"""),"OK")</f>
        <v>OK</v>
      </c>
      <c r="F1000" s="46"/>
      <c r="G1000" s="45" t="s">
        <v>10938</v>
      </c>
      <c r="H1000" s="45" t="s">
        <v>10949</v>
      </c>
    </row>
    <row r="1001" spans="1:8">
      <c r="A1001" s="59" t="s">
        <v>10950</v>
      </c>
      <c r="B1001" s="12" t="str">
        <f ca="1">IFERROR(__xludf.DUMMYFUNCTION("""COMPUTED_VALUE"""),"Sweetie Fox - 63836083 - Onlyfans")</f>
        <v>Sweetie Fox - 63836083 - Onlyfans</v>
      </c>
      <c r="C1001" s="60" t="str">
        <f ca="1">IFERROR(__xludf.DUMMYFUNCTION("""COMPUTED_VALUE"""),"https://thumbcdn.com/splash/6t2qe0ri79vw6ncq.jpg")</f>
        <v>https://thumbcdn.com/splash/6t2qe0ri79vw6ncq.jpg</v>
      </c>
      <c r="D1001" s="12" t="s">
        <v>7901</v>
      </c>
      <c r="E1001" s="57" t="str">
        <f ca="1">IFERROR(__xludf.DUMMYFUNCTION("""COMPUTED_VALUE"""),"OK")</f>
        <v>OK</v>
      </c>
      <c r="F1001" s="46"/>
      <c r="G1001" s="45" t="s">
        <v>10938</v>
      </c>
      <c r="H1001" s="45" t="s">
        <v>10951</v>
      </c>
    </row>
    <row r="1002" spans="1:8">
      <c r="A1002" s="12"/>
      <c r="B1002" s="12" t="str">
        <f ca="1">IFERROR(__xludf.DUMMYFUNCTION("""COMPUTED_VALUE"""),"Sweetie Fox - 77006221 - Onlyfans")</f>
        <v>Sweetie Fox - 77006221 - Onlyfans</v>
      </c>
      <c r="C1002" s="60" t="str">
        <f ca="1">IFERROR(__xludf.DUMMYFUNCTION("""COMPUTED_VALUE"""),"https://thumbcdn.com/splash/ei0otncxii1jbuiw.jpg")</f>
        <v>https://thumbcdn.com/splash/ei0otncxii1jbuiw.jpg</v>
      </c>
      <c r="D1002" s="12" t="s">
        <v>7905</v>
      </c>
      <c r="E1002" s="57" t="str">
        <f ca="1">IFERROR(__xludf.DUMMYFUNCTION("""COMPUTED_VALUE"""),"OK")</f>
        <v>OK</v>
      </c>
      <c r="F1002" s="46"/>
      <c r="G1002" s="45" t="s">
        <v>10938</v>
      </c>
      <c r="H1002" s="45" t="s">
        <v>10952</v>
      </c>
    </row>
    <row r="1003" spans="1:8">
      <c r="A1003" s="12" t="s">
        <v>10953</v>
      </c>
      <c r="B1003" s="12" t="str">
        <f ca="1">IFERROR(__xludf.DUMMYFUNCTION("""COMPUTED_VALUE"""),"Sweetie Fox - 83234134 - Onlyfans")</f>
        <v>Sweetie Fox - 83234134 - Onlyfans</v>
      </c>
      <c r="C1003" s="60" t="str">
        <f ca="1">IFERROR(__xludf.DUMMYFUNCTION("""COMPUTED_VALUE"""),"https://thumbcdn.com/splash/drskmpnqucg4yios.jpg")</f>
        <v>https://thumbcdn.com/splash/drskmpnqucg4yios.jpg</v>
      </c>
      <c r="D1003" s="6" t="s">
        <v>7909</v>
      </c>
      <c r="E1003" s="63" t="str">
        <f ca="1">IFERROR(__xludf.DUMMYFUNCTION("""COMPUTED_VALUE"""),"OK")</f>
        <v>OK</v>
      </c>
      <c r="F1003" s="46"/>
      <c r="G1003" s="45" t="s">
        <v>10938</v>
      </c>
      <c r="H1003" s="45" t="s">
        <v>10954</v>
      </c>
    </row>
    <row r="1004" spans="1:8">
      <c r="A1004" s="59" t="s">
        <v>10955</v>
      </c>
      <c r="B1004" s="12" t="str">
        <f ca="1">IFERROR(__xludf.DUMMYFUNCTION("""COMPUTED_VALUE"""),"Sweetie Fox - 85780578 - Onlyfans")</f>
        <v>Sweetie Fox - 85780578 - Onlyfans</v>
      </c>
      <c r="C1004" s="60" t="str">
        <f ca="1">IFERROR(__xludf.DUMMYFUNCTION("""COMPUTED_VALUE"""),"https://thumbcdn.com/splash/fw0nsu8j2ng0m8qy.jpg")</f>
        <v>https://thumbcdn.com/splash/fw0nsu8j2ng0m8qy.jpg</v>
      </c>
      <c r="D1004" s="12" t="s">
        <v>7915</v>
      </c>
      <c r="E1004" s="57" t="str">
        <f ca="1">IFERROR(__xludf.DUMMYFUNCTION("""COMPUTED_VALUE"""),"OK")</f>
        <v>OK</v>
      </c>
      <c r="F1004" s="46"/>
      <c r="G1004" s="45" t="s">
        <v>10938</v>
      </c>
      <c r="H1004" s="45" t="s">
        <v>10956</v>
      </c>
    </row>
    <row r="1005" spans="1:8">
      <c r="A1005" s="12"/>
      <c r="B1005" s="12" t="str">
        <f ca="1">IFERROR(__xludf.DUMMYFUNCTION("""COMPUTED_VALUE"""),"Sweetie Fox - 89708658 - Onlyfans")</f>
        <v>Sweetie Fox - 89708658 - Onlyfans</v>
      </c>
      <c r="C1005" s="60" t="str">
        <f ca="1">IFERROR(__xludf.DUMMYFUNCTION("""COMPUTED_VALUE"""),"https://thumbcdn.com/splash/9tdc5yu0zdk4j49j.jpg")</f>
        <v>https://thumbcdn.com/splash/9tdc5yu0zdk4j49j.jpg</v>
      </c>
      <c r="D1005" s="12" t="s">
        <v>7919</v>
      </c>
      <c r="E1005" s="57" t="str">
        <f ca="1">IFERROR(__xludf.DUMMYFUNCTION("""COMPUTED_VALUE"""),"OK")</f>
        <v>OK</v>
      </c>
      <c r="F1005" s="46"/>
      <c r="G1005" s="45" t="s">
        <v>10938</v>
      </c>
      <c r="H1005" s="45" t="s">
        <v>10957</v>
      </c>
    </row>
    <row r="1006" spans="1:8">
      <c r="A1006" s="12" t="s">
        <v>10958</v>
      </c>
      <c r="B1006" s="12" t="str">
        <f ca="1">IFERROR(__xludf.DUMMYFUNCTION("""COMPUTED_VALUE"""),"Tessa - 55037351 - BackroomCastingCouch")</f>
        <v>Tessa - 55037351 - BackroomCastingCouch</v>
      </c>
      <c r="C1006" s="60" t="str">
        <f ca="1">IFERROR(__xludf.DUMMYFUNCTION("""COMPUTED_VALUE"""),"https://thumbcdn.com/splash/6mltmt9qg1pxefjh.jpg")</f>
        <v>https://thumbcdn.com/splash/6mltmt9qg1pxefjh.jpg</v>
      </c>
      <c r="D1006" s="12" t="s">
        <v>7934</v>
      </c>
      <c r="E1006" s="57" t="str">
        <f ca="1">IFERROR(__xludf.DUMMYFUNCTION("""COMPUTED_VALUE"""),"OK")</f>
        <v>OK</v>
      </c>
      <c r="F1006" s="46"/>
      <c r="G1006" s="45" t="s">
        <v>10938</v>
      </c>
      <c r="H1006" s="45" t="s">
        <v>10959</v>
      </c>
    </row>
    <row r="1007" spans="1:8">
      <c r="A1007" s="59" t="s">
        <v>10960</v>
      </c>
      <c r="B1007" s="12" t="str">
        <f ca="1">IFERROR(__xludf.DUMMYFUNCTION("""COMPUTED_VALUE"""),"TheDanDangler - 12824636 - Onlyfans - Angela White")</f>
        <v>TheDanDangler - 12824636 - Onlyfans - Angela White</v>
      </c>
      <c r="C1007" s="60" t="str">
        <f ca="1">IFERROR(__xludf.DUMMYFUNCTION("""COMPUTED_VALUE"""),"https://thumbcdn.com/splash/fo6uqz2a0jknc2nf.jpg")</f>
        <v>https://thumbcdn.com/splash/fo6uqz2a0jknc2nf.jpg</v>
      </c>
      <c r="D1007" s="12" t="s">
        <v>7939</v>
      </c>
      <c r="E1007" s="57" t="str">
        <f ca="1">IFERROR(__xludf.DUMMYFUNCTION("""COMPUTED_VALUE"""),"OK")</f>
        <v>OK</v>
      </c>
      <c r="F1007" s="46"/>
      <c r="G1007" s="45" t="s">
        <v>10961</v>
      </c>
      <c r="H1007" s="45" t="s">
        <v>10962</v>
      </c>
    </row>
    <row r="1008" spans="1:8">
      <c r="A1008" s="12"/>
      <c r="B1008" s="12" t="str">
        <f ca="1">IFERROR(__xludf.DUMMYFUNCTION("""COMPUTED_VALUE"""),"TheDanDangler - 17642971 - Onlyfans - Kayla Lea")</f>
        <v>TheDanDangler - 17642971 - Onlyfans - Kayla Lea</v>
      </c>
      <c r="C1008" s="60" t="str">
        <f ca="1">IFERROR(__xludf.DUMMYFUNCTION("""COMPUTED_VALUE"""),"https://thumbcdn.com/splash/hqjw7tmdaesr03ld.jpg")</f>
        <v>https://thumbcdn.com/splash/hqjw7tmdaesr03ld.jpg</v>
      </c>
      <c r="D1008" s="12" t="s">
        <v>7943</v>
      </c>
      <c r="E1008" s="57" t="str">
        <f ca="1">IFERROR(__xludf.DUMMYFUNCTION("""COMPUTED_VALUE"""),"OK")</f>
        <v>OK</v>
      </c>
      <c r="F1008" s="46"/>
      <c r="G1008" s="45" t="s">
        <v>10963</v>
      </c>
      <c r="H1008" s="45" t="s">
        <v>10964</v>
      </c>
    </row>
    <row r="1009" spans="1:8">
      <c r="A1009" s="12" t="s">
        <v>10965</v>
      </c>
      <c r="B1009" s="12" t="str">
        <f ca="1">IFERROR(__xludf.DUMMYFUNCTION("""COMPUTED_VALUE"""),"TheDanDangler - 22869286 - Onlyfans")</f>
        <v>TheDanDangler - 22869286 - Onlyfans</v>
      </c>
      <c r="C1009" s="60" t="str">
        <f ca="1">IFERROR(__xludf.DUMMYFUNCTION("""COMPUTED_VALUE"""),"https://thumbcdn.com/splash/fusfy3c3uhme382o.jpg")</f>
        <v>https://thumbcdn.com/splash/fusfy3c3uhme382o.jpg</v>
      </c>
      <c r="D1009" s="12" t="s">
        <v>7948</v>
      </c>
      <c r="E1009" s="57" t="str">
        <f ca="1">IFERROR(__xludf.DUMMYFUNCTION("""COMPUTED_VALUE"""),"OK")</f>
        <v>OK</v>
      </c>
      <c r="F1009" s="46"/>
      <c r="G1009" s="45" t="s">
        <v>10963</v>
      </c>
      <c r="H1009" s="45" t="s">
        <v>10966</v>
      </c>
    </row>
    <row r="1010" spans="1:8">
      <c r="A1010" s="59" t="s">
        <v>10967</v>
      </c>
      <c r="B1010" s="12" t="str">
        <f ca="1">IFERROR(__xludf.DUMMYFUNCTION("""COMPUTED_VALUE"""),"TheDanDangler - 41207150 - Onlyfans")</f>
        <v>TheDanDangler - 41207150 - Onlyfans</v>
      </c>
      <c r="C1010" s="60" t="str">
        <f ca="1">IFERROR(__xludf.DUMMYFUNCTION("""COMPUTED_VALUE"""),"https://thumbcdn.com/splash/ac9e94312tzwgyxy.jpg")</f>
        <v>https://thumbcdn.com/splash/ac9e94312tzwgyxy.jpg</v>
      </c>
      <c r="D1010" s="12" t="s">
        <v>7952</v>
      </c>
      <c r="E1010" s="57" t="str">
        <f ca="1">IFERROR(__xludf.DUMMYFUNCTION("""COMPUTED_VALUE"""),"OK")</f>
        <v>OK</v>
      </c>
      <c r="F1010" s="46"/>
      <c r="G1010" s="45" t="s">
        <v>10963</v>
      </c>
      <c r="H1010" s="45" t="s">
        <v>10968</v>
      </c>
    </row>
    <row r="1011" spans="1:8">
      <c r="A1011" s="12"/>
      <c r="B1011" s="12" t="str">
        <f ca="1">IFERROR(__xludf.DUMMYFUNCTION("""COMPUTED_VALUE"""),"TheDanDangler - 55519215 - Onlyfans")</f>
        <v>TheDanDangler - 55519215 - Onlyfans</v>
      </c>
      <c r="C1011" s="60" t="str">
        <f ca="1">IFERROR(__xludf.DUMMYFUNCTION("""COMPUTED_VALUE"""),"https://thumbcdn.com/splash/2a5f4xd7dc316bnz.jpg")</f>
        <v>https://thumbcdn.com/splash/2a5f4xd7dc316bnz.jpg</v>
      </c>
      <c r="D1011" s="16" t="s">
        <v>7960</v>
      </c>
      <c r="E1011" s="57" t="str">
        <f ca="1">IFERROR(__xludf.DUMMYFUNCTION("""COMPUTED_VALUE"""),"OK")</f>
        <v>OK</v>
      </c>
      <c r="F1011" s="46"/>
      <c r="G1011" s="45" t="s">
        <v>10963</v>
      </c>
      <c r="H1011" s="45" t="s">
        <v>10969</v>
      </c>
    </row>
    <row r="1012" spans="1:8">
      <c r="A1012" s="12" t="s">
        <v>10970</v>
      </c>
      <c r="B1012" s="12" t="str">
        <f ca="1">IFERROR(__xludf.DUMMYFUNCTION("""COMPUTED_VALUE"""),"TheDanDangler - 62022952 - Onlyfans")</f>
        <v>TheDanDangler - 62022952 - Onlyfans</v>
      </c>
      <c r="C1012" s="60" t="str">
        <f ca="1">IFERROR(__xludf.DUMMYFUNCTION("""COMPUTED_VALUE"""),"https://thumbcdn.com/splash/45hk7ver9k27s5r7.jpg")</f>
        <v>https://thumbcdn.com/splash/45hk7ver9k27s5r7.jpg</v>
      </c>
      <c r="D1012" s="6" t="s">
        <v>7964</v>
      </c>
      <c r="E1012" s="63" t="str">
        <f ca="1">IFERROR(__xludf.DUMMYFUNCTION("""COMPUTED_VALUE"""),"OK")</f>
        <v>OK</v>
      </c>
      <c r="F1012" s="46"/>
      <c r="G1012" s="45" t="s">
        <v>10963</v>
      </c>
      <c r="H1012" s="45" t="s">
        <v>10971</v>
      </c>
    </row>
    <row r="1013" spans="1:8">
      <c r="A1013" s="59" t="s">
        <v>10972</v>
      </c>
      <c r="B1013" s="12" t="str">
        <f ca="1">IFERROR(__xludf.DUMMYFUNCTION("""COMPUTED_VALUE"""),"TheDanDangler - 63370343 - Onlyfans - Lena the plug")</f>
        <v>TheDanDangler - 63370343 - Onlyfans - Lena the plug</v>
      </c>
      <c r="C1013" s="60" t="str">
        <f ca="1">IFERROR(__xludf.DUMMYFUNCTION("""COMPUTED_VALUE"""),"https://thumbcdn.com/splash/yanouo9jl2fak5xp.jpg")</f>
        <v>https://thumbcdn.com/splash/yanouo9jl2fak5xp.jpg</v>
      </c>
      <c r="D1013" s="12" t="s">
        <v>7969</v>
      </c>
      <c r="E1013" s="57" t="str">
        <f ca="1">IFERROR(__xludf.DUMMYFUNCTION("""COMPUTED_VALUE"""),"OK")</f>
        <v>OK</v>
      </c>
      <c r="F1013" s="46"/>
      <c r="G1013" s="45" t="s">
        <v>10963</v>
      </c>
      <c r="H1013" s="45" t="s">
        <v>10973</v>
      </c>
    </row>
    <row r="1014" spans="1:8">
      <c r="A1014" s="12"/>
      <c r="B1014" s="12" t="str">
        <f ca="1">IFERROR(__xludf.DUMMYFUNCTION("""COMPUTED_VALUE"""),"TheDanDangler - 69507662 - Onlyfans - Violet Myers")</f>
        <v>TheDanDangler - 69507662 - Onlyfans - Violet Myers</v>
      </c>
      <c r="C1014" s="60" t="str">
        <f ca="1">IFERROR(__xludf.DUMMYFUNCTION("""COMPUTED_VALUE"""),"https://thumbcdn.com/splash/pqvvfsfwfxbyhfpu.jpg")</f>
        <v>https://thumbcdn.com/splash/pqvvfsfwfxbyhfpu.jpg</v>
      </c>
      <c r="D1014" s="12" t="s">
        <v>7973</v>
      </c>
      <c r="E1014" s="57" t="str">
        <f ca="1">IFERROR(__xludf.DUMMYFUNCTION("""COMPUTED_VALUE"""),"OK")</f>
        <v>OK</v>
      </c>
      <c r="F1014" s="46"/>
      <c r="G1014" s="45" t="s">
        <v>10963</v>
      </c>
      <c r="H1014" s="45" t="s">
        <v>10974</v>
      </c>
    </row>
    <row r="1015" spans="1:8">
      <c r="A1015" s="12" t="s">
        <v>10975</v>
      </c>
      <c r="B1015" s="12" t="str">
        <f ca="1">IFERROR(__xludf.DUMMYFUNCTION("""COMPUTED_VALUE"""),"TheDanDangler - 75016114 - Onlyfans")</f>
        <v>TheDanDangler - 75016114 - Onlyfans</v>
      </c>
      <c r="C1015" s="60" t="str">
        <f ca="1">IFERROR(__xludf.DUMMYFUNCTION("""COMPUTED_VALUE"""),"https://thumbcdn.com/splash/wa3v0k9m7jpuee9h.jpg")</f>
        <v>https://thumbcdn.com/splash/wa3v0k9m7jpuee9h.jpg</v>
      </c>
      <c r="D1015" s="12" t="s">
        <v>7977</v>
      </c>
      <c r="E1015" s="57" t="str">
        <f ca="1">IFERROR(__xludf.DUMMYFUNCTION("""COMPUTED_VALUE"""),"OK")</f>
        <v>OK</v>
      </c>
      <c r="F1015" s="46"/>
      <c r="G1015" s="45" t="s">
        <v>10963</v>
      </c>
      <c r="H1015" s="45" t="s">
        <v>10976</v>
      </c>
    </row>
    <row r="1016" spans="1:8">
      <c r="A1016" s="59" t="s">
        <v>10977</v>
      </c>
      <c r="B1016" s="12" t="str">
        <f ca="1">IFERROR(__xludf.DUMMYFUNCTION("""COMPUTED_VALUE"""),"TheDanDangler - 75377053 - Onlyfans")</f>
        <v>TheDanDangler - 75377053 - Onlyfans</v>
      </c>
      <c r="C1016" s="60" t="str">
        <f ca="1">IFERROR(__xludf.DUMMYFUNCTION("""COMPUTED_VALUE"""),"https://thumbcdn.com/splash/knenqr50mwd6ixia.jpg")</f>
        <v>https://thumbcdn.com/splash/knenqr50mwd6ixia.jpg</v>
      </c>
      <c r="D1016" s="12" t="s">
        <v>7982</v>
      </c>
      <c r="E1016" s="57" t="str">
        <f ca="1">IFERROR(__xludf.DUMMYFUNCTION("""COMPUTED_VALUE"""),"OK")</f>
        <v>OK</v>
      </c>
      <c r="F1016" s="46"/>
      <c r="G1016" s="45" t="s">
        <v>10963</v>
      </c>
      <c r="H1016" s="45" t="s">
        <v>10978</v>
      </c>
    </row>
    <row r="1017" spans="1:8">
      <c r="A1017" s="12"/>
      <c r="B1017" s="12" t="str">
        <f ca="1">IFERROR(__xludf.DUMMYFUNCTION("""COMPUTED_VALUE"""),"TheDanDangler - 80371557 - Onlyfans - Violet Myers - Roxie Sinner - Connie Perignon - Lena the plug")</f>
        <v>TheDanDangler - 80371557 - Onlyfans - Violet Myers - Roxie Sinner - Connie Perignon - Lena the plug</v>
      </c>
      <c r="C1017" s="60" t="str">
        <f ca="1">IFERROR(__xludf.DUMMYFUNCTION("""COMPUTED_VALUE"""),"https://thumbcdn.com/splash/18d5dmspvwr9eyoc.jpg")</f>
        <v>https://thumbcdn.com/splash/18d5dmspvwr9eyoc.jpg</v>
      </c>
      <c r="D1017" s="12" t="s">
        <v>7986</v>
      </c>
      <c r="E1017" s="57" t="str">
        <f ca="1">IFERROR(__xludf.DUMMYFUNCTION("""COMPUTED_VALUE"""),"OK")</f>
        <v>OK</v>
      </c>
      <c r="F1017" s="46"/>
      <c r="G1017" s="45" t="s">
        <v>10963</v>
      </c>
      <c r="H1017" s="45" t="s">
        <v>10979</v>
      </c>
    </row>
    <row r="1018" spans="1:8">
      <c r="A1018" s="12" t="s">
        <v>10980</v>
      </c>
      <c r="B1018" s="12" t="str">
        <f ca="1">IFERROR(__xludf.DUMMYFUNCTION("""COMPUTED_VALUE"""),"TheDanDangler - 82758099 - Chaturbate - JackandJill")</f>
        <v>TheDanDangler - 82758099 - Chaturbate - JackandJill</v>
      </c>
      <c r="C1018" s="60" t="str">
        <f ca="1">IFERROR(__xludf.DUMMYFUNCTION("""COMPUTED_VALUE"""),"https://thumbcdn.com/splash/bx2l8w3sxl3vu3qb.jpg")</f>
        <v>https://thumbcdn.com/splash/bx2l8w3sxl3vu3qb.jpg</v>
      </c>
      <c r="D1018" s="12" t="s">
        <v>7997</v>
      </c>
      <c r="E1018" s="57" t="str">
        <f ca="1">IFERROR(__xludf.DUMMYFUNCTION("""COMPUTED_VALUE"""),"OK")</f>
        <v>OK</v>
      </c>
      <c r="F1018" s="46"/>
      <c r="G1018" s="45" t="s">
        <v>10963</v>
      </c>
      <c r="H1018" s="45" t="s">
        <v>10981</v>
      </c>
    </row>
    <row r="1019" spans="1:8">
      <c r="A1019" s="59" t="s">
        <v>10982</v>
      </c>
      <c r="B1019" s="12" t="str">
        <f ca="1">IFERROR(__xludf.DUMMYFUNCTION("""COMPUTED_VALUE"""),"TheDanDangler - 99244604 - Onlyfans")</f>
        <v>TheDanDangler - 99244604 - Onlyfans</v>
      </c>
      <c r="C1019" s="60" t="str">
        <f ca="1">IFERROR(__xludf.DUMMYFUNCTION("""COMPUTED_VALUE"""),"https://thumbcdn.com/splash/4rk87it7din0ofn5.jpg")</f>
        <v>https://thumbcdn.com/splash/4rk87it7din0ofn5.jpg</v>
      </c>
      <c r="D1019" s="6" t="s">
        <v>8002</v>
      </c>
      <c r="E1019" s="63" t="str">
        <f ca="1">IFERROR(__xludf.DUMMYFUNCTION("""COMPUTED_VALUE"""),"OK")</f>
        <v>OK</v>
      </c>
      <c r="F1019" s="46"/>
      <c r="G1019" s="45" t="s">
        <v>10963</v>
      </c>
      <c r="H1019" s="45" t="s">
        <v>10983</v>
      </c>
    </row>
    <row r="1020" spans="1:8">
      <c r="A1020" s="12"/>
      <c r="B1020" s="12" t="str">
        <f ca="1">IFERROR(__xludf.DUMMYFUNCTION("""COMPUTED_VALUE"""),"Theodora - 61002102 - BackroomCastingCouch")</f>
        <v>Theodora - 61002102 - BackroomCastingCouch</v>
      </c>
      <c r="C1020" s="60" t="str">
        <f ca="1">IFERROR(__xludf.DUMMYFUNCTION("""COMPUTED_VALUE"""),"https://thumbcdn.com/splash/p9r9ha5yffe7cgl6.jpg")</f>
        <v>https://thumbcdn.com/splash/p9r9ha5yffe7cgl6.jpg</v>
      </c>
      <c r="D1020" s="12" t="s">
        <v>8011</v>
      </c>
      <c r="E1020" s="57" t="str">
        <f ca="1">IFERROR(__xludf.DUMMYFUNCTION("""COMPUTED_VALUE"""),"OK")</f>
        <v>OK</v>
      </c>
      <c r="F1020" s="46"/>
      <c r="G1020" s="45" t="s">
        <v>10963</v>
      </c>
      <c r="H1020" s="45" t="s">
        <v>10984</v>
      </c>
    </row>
    <row r="1021" spans="1:8">
      <c r="A1021" s="12" t="s">
        <v>10985</v>
      </c>
      <c r="B1021" s="12" t="str">
        <f ca="1">IFERROR(__xludf.DUMMYFUNCTION("""COMPUTED_VALUE"""),"Tru Kait - 13048826 - Onlyfans")</f>
        <v>Tru Kait - 13048826 - Onlyfans</v>
      </c>
      <c r="C1021" s="60" t="str">
        <f ca="1">IFERROR(__xludf.DUMMYFUNCTION("""COMPUTED_VALUE"""),"https://thumbcdn.com/splash/ka4f5hvw8o10wnmj.jpg")</f>
        <v>https://thumbcdn.com/splash/ka4f5hvw8o10wnmj.jpg</v>
      </c>
      <c r="D1021" s="16" t="s">
        <v>8017</v>
      </c>
      <c r="E1021" s="57" t="str">
        <f ca="1">IFERROR(__xludf.DUMMYFUNCTION("""COMPUTED_VALUE"""),"OK")</f>
        <v>OK</v>
      </c>
      <c r="F1021" s="46"/>
      <c r="G1021" s="45" t="s">
        <v>10986</v>
      </c>
      <c r="H1021" s="45" t="s">
        <v>10987</v>
      </c>
    </row>
    <row r="1022" spans="1:8">
      <c r="A1022" s="59" t="s">
        <v>10988</v>
      </c>
      <c r="B1022" s="12" t="str">
        <f ca="1">IFERROR(__xludf.DUMMYFUNCTION("""COMPUTED_VALUE"""),"Tru Kait - 60340999 - Onlyfans - Elle Brooke")</f>
        <v>Tru Kait - 60340999 - Onlyfans - Elle Brooke</v>
      </c>
      <c r="C1022" s="60" t="str">
        <f ca="1">IFERROR(__xludf.DUMMYFUNCTION("""COMPUTED_VALUE"""),"https://thumbcdn.com/splash/20zshgia87s3e9mk.jpg")</f>
        <v>https://thumbcdn.com/splash/20zshgia87s3e9mk.jpg</v>
      </c>
      <c r="D1022" s="12" t="s">
        <v>8032</v>
      </c>
      <c r="E1022" s="57" t="str">
        <f ca="1">IFERROR(__xludf.DUMMYFUNCTION("""COMPUTED_VALUE"""),"OK")</f>
        <v>OK</v>
      </c>
      <c r="F1022" s="46"/>
      <c r="G1022" s="45" t="s">
        <v>10989</v>
      </c>
      <c r="H1022" s="45" t="s">
        <v>10990</v>
      </c>
    </row>
    <row r="1023" spans="1:8">
      <c r="A1023" s="12"/>
      <c r="B1023" s="12" t="str">
        <f ca="1">IFERROR(__xludf.DUMMYFUNCTION("""COMPUTED_VALUE"""),"Tru Kait - 64359273 - Onlyfans")</f>
        <v>Tru Kait - 64359273 - Onlyfans</v>
      </c>
      <c r="C1023" s="60" t="str">
        <f ca="1">IFERROR(__xludf.DUMMYFUNCTION("""COMPUTED_VALUE"""),"https://thumbcdn.com/splash/osl0xqpaahwxn2ch.jpg")</f>
        <v>https://thumbcdn.com/splash/osl0xqpaahwxn2ch.jpg</v>
      </c>
      <c r="D1023" s="6" t="s">
        <v>8036</v>
      </c>
      <c r="E1023" s="63" t="str">
        <f ca="1">IFERROR(__xludf.DUMMYFUNCTION("""COMPUTED_VALUE"""),"OK")</f>
        <v>OK</v>
      </c>
      <c r="F1023" s="46"/>
      <c r="G1023" s="45" t="s">
        <v>10989</v>
      </c>
      <c r="H1023" s="45" t="s">
        <v>10991</v>
      </c>
    </row>
    <row r="1024" spans="1:8">
      <c r="A1024" s="12" t="s">
        <v>10992</v>
      </c>
      <c r="B1024" s="12" t="str">
        <f ca="1">IFERROR(__xludf.DUMMYFUNCTION("""COMPUTED_VALUE"""),"Tru Kait - 69147960 - Onlyfans")</f>
        <v>Tru Kait - 69147960 - Onlyfans</v>
      </c>
      <c r="C1024" s="60" t="str">
        <f ca="1">IFERROR(__xludf.DUMMYFUNCTION("""COMPUTED_VALUE"""),"https://thumbcdn.com/splash/vjagopnaktg8o82m.jpg")</f>
        <v>https://thumbcdn.com/splash/vjagopnaktg8o82m.jpg</v>
      </c>
      <c r="D1024" s="12" t="s">
        <v>8041</v>
      </c>
      <c r="E1024" s="57" t="str">
        <f ca="1">IFERROR(__xludf.DUMMYFUNCTION("""COMPUTED_VALUE"""),"OK")</f>
        <v>OK</v>
      </c>
      <c r="F1024" s="46"/>
      <c r="G1024" s="45" t="s">
        <v>10989</v>
      </c>
      <c r="H1024" s="45" t="s">
        <v>10993</v>
      </c>
    </row>
    <row r="1025" spans="1:8">
      <c r="A1025" s="59" t="s">
        <v>10994</v>
      </c>
      <c r="B1025" s="12" t="str">
        <f ca="1">IFERROR(__xludf.DUMMYFUNCTION("""COMPUTED_VALUE"""),"Tru Kait - 96724229 - Onlyfans - Hayley Davies")</f>
        <v>Tru Kait - 96724229 - Onlyfans - Hayley Davies</v>
      </c>
      <c r="C1025" s="60" t="str">
        <f ca="1">IFERROR(__xludf.DUMMYFUNCTION("""COMPUTED_VALUE"""),"https://thumbcdn.com/splash/5afw0eq5kt49mlsk.jpg")</f>
        <v>https://thumbcdn.com/splash/5afw0eq5kt49mlsk.jpg</v>
      </c>
      <c r="D1025" s="12" t="s">
        <v>8045</v>
      </c>
      <c r="E1025" s="57" t="str">
        <f ca="1">IFERROR(__xludf.DUMMYFUNCTION("""COMPUTED_VALUE"""),"OK")</f>
        <v>OK</v>
      </c>
      <c r="F1025" s="46"/>
      <c r="G1025" s="45" t="s">
        <v>10989</v>
      </c>
      <c r="H1025" s="45" t="s">
        <v>10995</v>
      </c>
    </row>
    <row r="1026" spans="1:8">
      <c r="A1026" s="12"/>
      <c r="B1026" s="12" t="str">
        <f ca="1">IFERROR(__xludf.DUMMYFUNCTION("""COMPUTED_VALUE"""),"Valentina Nappi - 11582220 - Onlyfans")</f>
        <v>Valentina Nappi - 11582220 - Onlyfans</v>
      </c>
      <c r="C1026" s="60" t="str">
        <f ca="1">IFERROR(__xludf.DUMMYFUNCTION("""COMPUTED_VALUE"""),"https://thumbcdn.com/splash/8i5v4yrzt0ddgvuy.jpg")</f>
        <v>https://thumbcdn.com/splash/8i5v4yrzt0ddgvuy.jpg</v>
      </c>
      <c r="D1026" s="12" t="s">
        <v>8049</v>
      </c>
      <c r="E1026" s="57" t="str">
        <f ca="1">IFERROR(__xludf.DUMMYFUNCTION("""COMPUTED_VALUE"""),"OK")</f>
        <v>OK</v>
      </c>
      <c r="F1026" s="46"/>
      <c r="G1026" s="45" t="s">
        <v>10989</v>
      </c>
      <c r="H1026" s="45" t="s">
        <v>10996</v>
      </c>
    </row>
    <row r="1027" spans="1:8">
      <c r="A1027" s="12" t="s">
        <v>10997</v>
      </c>
      <c r="B1027" s="12" t="str">
        <f ca="1">IFERROR(__xludf.DUMMYFUNCTION("""COMPUTED_VALUE"""),"Valentina Nappi - 18075203 - Onlyfans - Violet Starr")</f>
        <v>Valentina Nappi - 18075203 - Onlyfans - Violet Starr</v>
      </c>
      <c r="C1027" s="60" t="str">
        <f ca="1">IFERROR(__xludf.DUMMYFUNCTION("""COMPUTED_VALUE"""),"https://thumbcdn.com/splash/5vo5icxj6p87r9ae.jpg")</f>
        <v>https://thumbcdn.com/splash/5vo5icxj6p87r9ae.jpg</v>
      </c>
      <c r="D1027" s="12" t="s">
        <v>8054</v>
      </c>
      <c r="E1027" s="57" t="str">
        <f ca="1">IFERROR(__xludf.DUMMYFUNCTION("""COMPUTED_VALUE"""),"OK")</f>
        <v>OK</v>
      </c>
      <c r="F1027" s="46"/>
      <c r="G1027" s="45" t="s">
        <v>10998</v>
      </c>
      <c r="H1027" s="45" t="s">
        <v>10999</v>
      </c>
    </row>
    <row r="1028" spans="1:8">
      <c r="A1028" s="59" t="s">
        <v>11000</v>
      </c>
      <c r="B1028" s="12" t="str">
        <f ca="1">IFERROR(__xludf.DUMMYFUNCTION("""COMPUTED_VALUE"""),"Valentina Nappi - 22365103 - Onlyfans")</f>
        <v>Valentina Nappi - 22365103 - Onlyfans</v>
      </c>
      <c r="C1028" s="60" t="str">
        <f ca="1">IFERROR(__xludf.DUMMYFUNCTION("""COMPUTED_VALUE"""),"https://thumbcdn.com/splash/rtx23i5aj6ezx0hi.jpg")</f>
        <v>https://thumbcdn.com/splash/rtx23i5aj6ezx0hi.jpg</v>
      </c>
      <c r="D1028" s="12" t="s">
        <v>8058</v>
      </c>
      <c r="E1028" s="57" t="str">
        <f ca="1">IFERROR(__xludf.DUMMYFUNCTION("""COMPUTED_VALUE"""),"OK")</f>
        <v>OK</v>
      </c>
      <c r="F1028" s="46"/>
      <c r="G1028" s="45" t="s">
        <v>10998</v>
      </c>
      <c r="H1028" s="45" t="s">
        <v>11001</v>
      </c>
    </row>
    <row r="1029" spans="1:8">
      <c r="A1029" s="12"/>
      <c r="B1029" s="12" t="str">
        <f ca="1">IFERROR(__xludf.DUMMYFUNCTION("""COMPUTED_VALUE"""),"Valentina Nappi - 30306316 - Onlyfans")</f>
        <v>Valentina Nappi - 30306316 - Onlyfans</v>
      </c>
      <c r="C1029" s="60" t="str">
        <f ca="1">IFERROR(__xludf.DUMMYFUNCTION("""COMPUTED_VALUE"""),"https://thumbcdn.com/splash/xsf3opf9xxd3m6r9.jpg")</f>
        <v>https://thumbcdn.com/splash/xsf3opf9xxd3m6r9.jpg</v>
      </c>
      <c r="D1029" s="12" t="s">
        <v>8067</v>
      </c>
      <c r="E1029" s="57" t="str">
        <f ca="1">IFERROR(__xludf.DUMMYFUNCTION("""COMPUTED_VALUE"""),"OK")</f>
        <v>OK</v>
      </c>
      <c r="F1029" s="46"/>
      <c r="G1029" s="45" t="s">
        <v>10998</v>
      </c>
      <c r="H1029" s="45" t="s">
        <v>11002</v>
      </c>
    </row>
    <row r="1030" spans="1:8">
      <c r="A1030" s="12" t="s">
        <v>11003</v>
      </c>
      <c r="B1030" s="12" t="str">
        <f ca="1">IFERROR(__xludf.DUMMYFUNCTION("""COMPUTED_VALUE"""),"Valentina Nappi - 31083478 - Deeper - Gal Ritchie - Chanel Camryn")</f>
        <v>Valentina Nappi - 31083478 - Deeper - Gal Ritchie - Chanel Camryn</v>
      </c>
      <c r="C1030" s="60" t="str">
        <f ca="1">IFERROR(__xludf.DUMMYFUNCTION("""COMPUTED_VALUE"""),"https://thumbcdn.com/splash/vyvjuyogwonzhgvp.jpg")</f>
        <v>https://thumbcdn.com/splash/vyvjuyogwonzhgvp.jpg</v>
      </c>
      <c r="D1030" s="12" t="s">
        <v>8072</v>
      </c>
      <c r="E1030" s="57" t="str">
        <f ca="1">IFERROR(__xludf.DUMMYFUNCTION("""COMPUTED_VALUE"""),"OK")</f>
        <v>OK</v>
      </c>
      <c r="F1030" s="46"/>
      <c r="G1030" s="45" t="s">
        <v>10998</v>
      </c>
      <c r="H1030" s="45" t="s">
        <v>11004</v>
      </c>
    </row>
    <row r="1031" spans="1:8">
      <c r="A1031" s="59" t="s">
        <v>11005</v>
      </c>
      <c r="B1031" s="12" t="str">
        <f ca="1">IFERROR(__xludf.DUMMYFUNCTION("""COMPUTED_VALUE"""),"Valentina Nappi - 32729334 - Onlyfans")</f>
        <v>Valentina Nappi - 32729334 - Onlyfans</v>
      </c>
      <c r="C1031" s="60" t="str">
        <f ca="1">IFERROR(__xludf.DUMMYFUNCTION("""COMPUTED_VALUE"""),"https://thumbcdn.com/splash/gkwdtkzeuxq3ivvm.jpg")</f>
        <v>https://thumbcdn.com/splash/gkwdtkzeuxq3ivvm.jpg</v>
      </c>
      <c r="D1031" s="12" t="s">
        <v>8076</v>
      </c>
      <c r="E1031" s="57" t="str">
        <f ca="1">IFERROR(__xludf.DUMMYFUNCTION("""COMPUTED_VALUE"""),"OK")</f>
        <v>OK</v>
      </c>
      <c r="F1031" s="46"/>
      <c r="G1031" s="45" t="s">
        <v>10998</v>
      </c>
      <c r="H1031" s="45" t="s">
        <v>11006</v>
      </c>
    </row>
    <row r="1032" spans="1:8">
      <c r="A1032" s="12"/>
      <c r="B1032" s="12" t="str">
        <f ca="1">IFERROR(__xludf.DUMMYFUNCTION("""COMPUTED_VALUE"""),"Valentina Nappi - 35990230 - Tushy")</f>
        <v>Valentina Nappi - 35990230 - Tushy</v>
      </c>
      <c r="C1032" s="60" t="str">
        <f ca="1">IFERROR(__xludf.DUMMYFUNCTION("""COMPUTED_VALUE"""),"https://thumbcdn.com/splash/bf1xgilu6iqfwbut.jpg")</f>
        <v>https://thumbcdn.com/splash/bf1xgilu6iqfwbut.jpg</v>
      </c>
      <c r="D1032" s="12" t="s">
        <v>8080</v>
      </c>
      <c r="E1032" s="57" t="str">
        <f ca="1">IFERROR(__xludf.DUMMYFUNCTION("""COMPUTED_VALUE"""),"OK")</f>
        <v>OK</v>
      </c>
      <c r="F1032" s="46"/>
      <c r="G1032" s="45" t="s">
        <v>10998</v>
      </c>
      <c r="H1032" s="45" t="s">
        <v>11007</v>
      </c>
    </row>
    <row r="1033" spans="1:8">
      <c r="A1033" s="12" t="s">
        <v>11008</v>
      </c>
      <c r="B1033" s="12" t="str">
        <f ca="1">IFERROR(__xludf.DUMMYFUNCTION("""COMPUTED_VALUE"""),"Valentina Nappi - 41448076 - Onlyfans")</f>
        <v>Valentina Nappi - 41448076 - Onlyfans</v>
      </c>
      <c r="C1033" s="60" t="str">
        <f ca="1">IFERROR(__xludf.DUMMYFUNCTION("""COMPUTED_VALUE"""),"https://thumbcdn.com/splash/f7oiv195yxqbzbnj.jpg")</f>
        <v>https://thumbcdn.com/splash/f7oiv195yxqbzbnj.jpg</v>
      </c>
      <c r="D1033" s="12" t="s">
        <v>8084</v>
      </c>
      <c r="E1033" s="57" t="str">
        <f ca="1">IFERROR(__xludf.DUMMYFUNCTION("""COMPUTED_VALUE"""),"OK")</f>
        <v>OK</v>
      </c>
      <c r="F1033" s="46"/>
      <c r="G1033" s="45" t="s">
        <v>10998</v>
      </c>
      <c r="H1033" s="45" t="s">
        <v>11009</v>
      </c>
    </row>
    <row r="1034" spans="1:8">
      <c r="A1034" s="59" t="s">
        <v>11010</v>
      </c>
      <c r="B1034" s="12" t="str">
        <f ca="1">IFERROR(__xludf.DUMMYFUNCTION("""COMPUTED_VALUE"""),"Valentina Nappi - 56651761 - Onlyfans - Violet Myers")</f>
        <v>Valentina Nappi - 56651761 - Onlyfans - Violet Myers</v>
      </c>
      <c r="C1034" s="60" t="str">
        <f ca="1">IFERROR(__xludf.DUMMYFUNCTION("""COMPUTED_VALUE"""),"https://thumbcdn.com/splash/fjvvntw2c06vzom7.jpg")</f>
        <v>https://thumbcdn.com/splash/fjvvntw2c06vzom7.jpg</v>
      </c>
      <c r="D1034" s="12" t="s">
        <v>8092</v>
      </c>
      <c r="E1034" s="57" t="str">
        <f ca="1">IFERROR(__xludf.DUMMYFUNCTION("""COMPUTED_VALUE"""),"OK")</f>
        <v>OK</v>
      </c>
      <c r="F1034" s="46"/>
      <c r="G1034" s="45" t="s">
        <v>10998</v>
      </c>
      <c r="H1034" s="45" t="s">
        <v>11011</v>
      </c>
    </row>
    <row r="1035" spans="1:8">
      <c r="A1035" s="12"/>
      <c r="B1035" s="12" t="str">
        <f ca="1">IFERROR(__xludf.DUMMYFUNCTION("""COMPUTED_VALUE"""),"Valentina Nappi - 58549865 - Onlyfans")</f>
        <v>Valentina Nappi - 58549865 - Onlyfans</v>
      </c>
      <c r="C1035" s="60" t="str">
        <f ca="1">IFERROR(__xludf.DUMMYFUNCTION("""COMPUTED_VALUE"""),"https://thumbcdn.com/splash/bsive4ddj8ftei41.jpg")</f>
        <v>https://thumbcdn.com/splash/bsive4ddj8ftei41.jpg</v>
      </c>
      <c r="D1035" s="6" t="s">
        <v>8097</v>
      </c>
      <c r="E1035" s="63" t="str">
        <f ca="1">IFERROR(__xludf.DUMMYFUNCTION("""COMPUTED_VALUE"""),"OK")</f>
        <v>OK</v>
      </c>
      <c r="F1035" s="46"/>
      <c r="G1035" s="45" t="s">
        <v>10998</v>
      </c>
      <c r="H1035" s="45" t="s">
        <v>11012</v>
      </c>
    </row>
    <row r="1036" spans="1:8">
      <c r="A1036" s="12" t="s">
        <v>11013</v>
      </c>
      <c r="B1036" s="12" t="str">
        <f ca="1">IFERROR(__xludf.DUMMYFUNCTION("""COMPUTED_VALUE"""),"Valentina Nappi - 62527848 - Onlyfans")</f>
        <v>Valentina Nappi - 62527848 - Onlyfans</v>
      </c>
      <c r="C1036" s="60" t="str">
        <f ca="1">IFERROR(__xludf.DUMMYFUNCTION("""COMPUTED_VALUE"""),"https://thumbcdn.com/splash/9bnxv5qps3ft2c6k.jpg")</f>
        <v>https://thumbcdn.com/splash/9bnxv5qps3ft2c6k.jpg</v>
      </c>
      <c r="D1036" s="12" t="s">
        <v>8102</v>
      </c>
      <c r="E1036" s="57" t="str">
        <f ca="1">IFERROR(__xludf.DUMMYFUNCTION("""COMPUTED_VALUE"""),"OK")</f>
        <v>OK</v>
      </c>
      <c r="F1036" s="46"/>
      <c r="G1036" s="45" t="s">
        <v>10998</v>
      </c>
      <c r="H1036" s="45" t="s">
        <v>11014</v>
      </c>
    </row>
    <row r="1037" spans="1:8">
      <c r="A1037" s="59" t="s">
        <v>11015</v>
      </c>
      <c r="B1037" s="12" t="str">
        <f ca="1">IFERROR(__xludf.DUMMYFUNCTION("""COMPUTED_VALUE"""),"Valentina Nappi - 62934399 - Onlyfans")</f>
        <v>Valentina Nappi - 62934399 - Onlyfans</v>
      </c>
      <c r="C1037" s="60" t="str">
        <f ca="1">IFERROR(__xludf.DUMMYFUNCTION("""COMPUTED_VALUE"""),"https://thumbcdn.com/splash/ao9ww0m46fbqj8zi.jpg")</f>
        <v>https://thumbcdn.com/splash/ao9ww0m46fbqj8zi.jpg</v>
      </c>
      <c r="D1037" s="12" t="s">
        <v>8107</v>
      </c>
      <c r="E1037" s="57" t="str">
        <f ca="1">IFERROR(__xludf.DUMMYFUNCTION("""COMPUTED_VALUE"""),"OK")</f>
        <v>OK</v>
      </c>
      <c r="F1037" s="46"/>
      <c r="G1037" s="45" t="s">
        <v>10998</v>
      </c>
      <c r="H1037" s="45" t="s">
        <v>11016</v>
      </c>
    </row>
    <row r="1038" spans="1:8">
      <c r="A1038" s="12"/>
      <c r="B1038" s="12" t="str">
        <f ca="1">IFERROR(__xludf.DUMMYFUNCTION("""COMPUTED_VALUE"""),"Valentina Nappi - 64759953 - EvilAngel")</f>
        <v>Valentina Nappi - 64759953 - EvilAngel</v>
      </c>
      <c r="C1038" s="60" t="str">
        <f ca="1">IFERROR(__xludf.DUMMYFUNCTION("""COMPUTED_VALUE"""),"https://thumbcdn.com/splash/qv4pwcwzhm41mj3m.jpg")</f>
        <v>https://thumbcdn.com/splash/qv4pwcwzhm41mj3m.jpg</v>
      </c>
      <c r="D1038" s="12" t="s">
        <v>8111</v>
      </c>
      <c r="E1038" s="57" t="str">
        <f ca="1">IFERROR(__xludf.DUMMYFUNCTION("""COMPUTED_VALUE"""),"OK")</f>
        <v>OK</v>
      </c>
      <c r="F1038" s="46"/>
      <c r="G1038" s="45" t="s">
        <v>10998</v>
      </c>
      <c r="H1038" s="45" t="s">
        <v>11017</v>
      </c>
    </row>
    <row r="1039" spans="1:8">
      <c r="A1039" s="12" t="s">
        <v>11018</v>
      </c>
      <c r="B1039" s="12" t="str">
        <f ca="1">IFERROR(__xludf.DUMMYFUNCTION("""COMPUTED_VALUE"""),"Valentina Nappi - 71950480 - JSTV")</f>
        <v>Valentina Nappi - 71950480 - JSTV</v>
      </c>
      <c r="C1039" s="60" t="str">
        <f ca="1">IFERROR(__xludf.DUMMYFUNCTION("""COMPUTED_VALUE"""),"https://thumbcdn.com/splash/e74ck54qydy0iims.jpg")</f>
        <v>https://thumbcdn.com/splash/e74ck54qydy0iims.jpg</v>
      </c>
      <c r="D1039" s="12" t="s">
        <v>8121</v>
      </c>
      <c r="E1039" s="57" t="str">
        <f ca="1">IFERROR(__xludf.DUMMYFUNCTION("""COMPUTED_VALUE"""),"OK")</f>
        <v>OK</v>
      </c>
      <c r="F1039" s="46"/>
      <c r="G1039" s="45" t="s">
        <v>10998</v>
      </c>
      <c r="H1039" s="45" t="s">
        <v>11019</v>
      </c>
    </row>
    <row r="1040" spans="1:8">
      <c r="A1040" s="59" t="s">
        <v>11020</v>
      </c>
      <c r="B1040" s="12" t="str">
        <f ca="1">IFERROR(__xludf.DUMMYFUNCTION("""COMPUTED_VALUE"""),"Valentina Nappi - 78831902 - PB - Cherie Deville - Kayley Gunner - Yasmina Khan - Luna Star - Sara Retali")</f>
        <v>Valentina Nappi - 78831902 - PB - Cherie Deville - Kayley Gunner - Yasmina Khan - Luna Star - Sara Retali</v>
      </c>
      <c r="C1040" s="60" t="str">
        <f ca="1">IFERROR(__xludf.DUMMYFUNCTION("""COMPUTED_VALUE"""),"https://thumbcdn.com/splash/uypcrow1mo1yz7sf.jpg")</f>
        <v>https://thumbcdn.com/splash/uypcrow1mo1yz7sf.jpg</v>
      </c>
      <c r="D1040" s="12" t="s">
        <v>8126</v>
      </c>
      <c r="E1040" s="57" t="str">
        <f ca="1">IFERROR(__xludf.DUMMYFUNCTION("""COMPUTED_VALUE"""),"OK")</f>
        <v>OK</v>
      </c>
      <c r="F1040" s="46"/>
      <c r="G1040" s="45" t="s">
        <v>10998</v>
      </c>
      <c r="H1040" s="45" t="s">
        <v>11021</v>
      </c>
    </row>
    <row r="1041" spans="1:8">
      <c r="A1041" s="12"/>
      <c r="B1041" s="12" t="str">
        <f ca="1">IFERROR(__xludf.DUMMYFUNCTION("""COMPUTED_VALUE"""),"Valentina Nappi - 84238758 - MP")</f>
        <v>Valentina Nappi - 84238758 - MP</v>
      </c>
      <c r="C1041" s="60" t="str">
        <f ca="1">IFERROR(__xludf.DUMMYFUNCTION("""COMPUTED_VALUE"""),"https://thumbcdn.com/splash/njg0hcsg65mila2x.jpg")</f>
        <v>https://thumbcdn.com/splash/njg0hcsg65mila2x.jpg</v>
      </c>
      <c r="D1041" s="6" t="s">
        <v>8130</v>
      </c>
      <c r="E1041" s="63" t="str">
        <f ca="1">IFERROR(__xludf.DUMMYFUNCTION("""COMPUTED_VALUE"""),"OK")</f>
        <v>OK</v>
      </c>
      <c r="F1041" s="46"/>
      <c r="G1041" s="45" t="s">
        <v>10998</v>
      </c>
      <c r="H1041" s="45" t="s">
        <v>11022</v>
      </c>
    </row>
    <row r="1042" spans="1:8">
      <c r="A1042" s="12" t="s">
        <v>11023</v>
      </c>
      <c r="B1042" s="12" t="str">
        <f ca="1">IFERROR(__xludf.DUMMYFUNCTION("""COMPUTED_VALUE"""),"Valentina Nappi - 90064549 - PornWorld")</f>
        <v>Valentina Nappi - 90064549 - PornWorld</v>
      </c>
      <c r="C1042" s="60" t="str">
        <f ca="1">IFERROR(__xludf.DUMMYFUNCTION("""COMPUTED_VALUE"""),"https://thumbcdn.com/splash/ct18we6wa9k9dbm6.jpg")</f>
        <v>https://thumbcdn.com/splash/ct18we6wa9k9dbm6.jpg</v>
      </c>
      <c r="D1042" s="6" t="s">
        <v>8139</v>
      </c>
      <c r="E1042" s="63" t="str">
        <f ca="1">IFERROR(__xludf.DUMMYFUNCTION("""COMPUTED_VALUE"""),"OK")</f>
        <v>OK</v>
      </c>
      <c r="F1042" s="46"/>
      <c r="G1042" s="45" t="s">
        <v>10998</v>
      </c>
      <c r="H1042" s="45" t="s">
        <v>11024</v>
      </c>
    </row>
    <row r="1043" spans="1:8">
      <c r="A1043" s="59" t="s">
        <v>11025</v>
      </c>
      <c r="B1043" s="12" t="str">
        <f ca="1">IFERROR(__xludf.DUMMYFUNCTION("""COMPUTED_VALUE"""),"Valentina Nappi - 98211643 - JSTV - Agatha Vega")</f>
        <v>Valentina Nappi - 98211643 - JSTV - Agatha Vega</v>
      </c>
      <c r="C1043" s="60" t="str">
        <f ca="1">IFERROR(__xludf.DUMMYFUNCTION("""COMPUTED_VALUE"""),"https://thumbcdn.com/splash/nhqnov7n82joj541.jpg")</f>
        <v>https://thumbcdn.com/splash/nhqnov7n82joj541.jpg</v>
      </c>
      <c r="D1043" s="12" t="s">
        <v>8145</v>
      </c>
      <c r="E1043" s="57" t="str">
        <f ca="1">IFERROR(__xludf.DUMMYFUNCTION("""COMPUTED_VALUE"""),"OK")</f>
        <v>OK</v>
      </c>
      <c r="F1043" s="46"/>
      <c r="G1043" s="45" t="s">
        <v>10998</v>
      </c>
      <c r="H1043" s="45" t="s">
        <v>11026</v>
      </c>
    </row>
    <row r="1044" spans="1:8">
      <c r="A1044" s="12"/>
      <c r="B1044" s="12" t="str">
        <f ca="1">IFERROR(__xludf.DUMMYFUNCTION("""COMPUTED_VALUE"""),"Valentina Nappi - 98931095 - Onlyfans")</f>
        <v>Valentina Nappi - 98931095 - Onlyfans</v>
      </c>
      <c r="C1044" s="60" t="str">
        <f ca="1">IFERROR(__xludf.DUMMYFUNCTION("""COMPUTED_VALUE"""),"https://thumbcdn.com/splash/lsxvn3uq85bek2ls.jpg")</f>
        <v>https://thumbcdn.com/splash/lsxvn3uq85bek2ls.jpg</v>
      </c>
      <c r="D1044" s="12" t="s">
        <v>8149</v>
      </c>
      <c r="E1044" s="57" t="str">
        <f ca="1">IFERROR(__xludf.DUMMYFUNCTION("""COMPUTED_VALUE"""),"OK")</f>
        <v>OK</v>
      </c>
      <c r="F1044" s="46"/>
      <c r="G1044" s="45" t="s">
        <v>10998</v>
      </c>
      <c r="H1044" s="45" t="s">
        <v>11027</v>
      </c>
    </row>
    <row r="1045" spans="1:8">
      <c r="A1045" s="12" t="s">
        <v>11028</v>
      </c>
      <c r="B1045" s="12" t="str">
        <f ca="1">IFERROR(__xludf.DUMMYFUNCTION("""COMPUTED_VALUE"""),"Valentine Vixen - 80195094 - Onlyfans")</f>
        <v>Valentine Vixen - 80195094 - Onlyfans</v>
      </c>
      <c r="C1045" s="60" t="str">
        <f ca="1">IFERROR(__xludf.DUMMYFUNCTION("""COMPUTED_VALUE"""),"https://thumbcdn.com/splash/5cw43sbpocmhcm72.jpg")</f>
        <v>https://thumbcdn.com/splash/5cw43sbpocmhcm72.jpg</v>
      </c>
      <c r="D1045" s="6" t="s">
        <v>8158</v>
      </c>
      <c r="E1045" s="63" t="str">
        <f ca="1">IFERROR(__xludf.DUMMYFUNCTION("""COMPUTED_VALUE"""),"OK")</f>
        <v>OK</v>
      </c>
      <c r="F1045" s="46"/>
      <c r="G1045" s="45" t="s">
        <v>10998</v>
      </c>
      <c r="H1045" s="45" t="s">
        <v>11029</v>
      </c>
    </row>
    <row r="1046" spans="1:8">
      <c r="A1046" s="59" t="s">
        <v>11030</v>
      </c>
      <c r="B1046" s="12" t="str">
        <f ca="1">IFERROR(__xludf.DUMMYFUNCTION("""COMPUTED_VALUE"""),"Valerica Steele - 17080532 - Onlyfans")</f>
        <v>Valerica Steele - 17080532 - Onlyfans</v>
      </c>
      <c r="C1046" s="60" t="str">
        <f ca="1">IFERROR(__xludf.DUMMYFUNCTION("""COMPUTED_VALUE"""),"https://thumbcdn.com/splash/vox3khkhbr82lqpg.jpg")</f>
        <v>https://thumbcdn.com/splash/vox3khkhbr82lqpg.jpg</v>
      </c>
      <c r="D1046" s="11" t="s">
        <v>8163</v>
      </c>
      <c r="E1046" s="63" t="str">
        <f ca="1">IFERROR(__xludf.DUMMYFUNCTION("""COMPUTED_VALUE"""),"OK")</f>
        <v>OK</v>
      </c>
      <c r="F1046" s="46"/>
      <c r="G1046" s="45" t="s">
        <v>11031</v>
      </c>
      <c r="H1046" s="45" t="s">
        <v>11032</v>
      </c>
    </row>
    <row r="1047" spans="1:8">
      <c r="A1047" s="12"/>
      <c r="B1047" s="12" t="str">
        <f ca="1">IFERROR(__xludf.DUMMYFUNCTION("""COMPUTED_VALUE"""),"Valerica Steele - 21782896 - Onlyfans")</f>
        <v>Valerica Steele - 21782896 - Onlyfans</v>
      </c>
      <c r="C1047" s="60" t="str">
        <f ca="1">IFERROR(__xludf.DUMMYFUNCTION("""COMPUTED_VALUE"""),"https://thumbcdn.com/splash/xrvdu22efltkbo9g.jpg")</f>
        <v>https://thumbcdn.com/splash/xrvdu22efltkbo9g.jpg</v>
      </c>
      <c r="D1047" s="6" t="s">
        <v>8167</v>
      </c>
      <c r="E1047" s="63" t="str">
        <f ca="1">IFERROR(__xludf.DUMMYFUNCTION("""COMPUTED_VALUE"""),"OK")</f>
        <v>OK</v>
      </c>
      <c r="F1047" s="46"/>
      <c r="G1047" s="45" t="s">
        <v>11033</v>
      </c>
      <c r="H1047" s="45" t="s">
        <v>11034</v>
      </c>
    </row>
    <row r="1048" spans="1:8">
      <c r="A1048" s="12" t="s">
        <v>11035</v>
      </c>
      <c r="B1048" s="12" t="str">
        <f ca="1">IFERROR(__xludf.DUMMYFUNCTION("""COMPUTED_VALUE"""),"Valerica Steele - 33990394 - PB")</f>
        <v>Valerica Steele - 33990394 - PB</v>
      </c>
      <c r="C1048" s="60" t="str">
        <f ca="1">IFERROR(__xludf.DUMMYFUNCTION("""COMPUTED_VALUE"""),"https://thumbcdn.com/splash/gciv94tk2hkscsxu.jpg")</f>
        <v>https://thumbcdn.com/splash/gciv94tk2hkscsxu.jpg</v>
      </c>
      <c r="D1048" s="6" t="s">
        <v>8172</v>
      </c>
      <c r="E1048" s="63" t="str">
        <f ca="1">IFERROR(__xludf.DUMMYFUNCTION("""COMPUTED_VALUE"""),"OK")</f>
        <v>OK</v>
      </c>
      <c r="F1048" s="46"/>
      <c r="G1048" s="45" t="s">
        <v>11033</v>
      </c>
      <c r="H1048" s="45" t="s">
        <v>11036</v>
      </c>
    </row>
    <row r="1049" spans="1:8">
      <c r="A1049" s="59" t="s">
        <v>11037</v>
      </c>
      <c r="B1049" s="12" t="str">
        <f ca="1">IFERROR(__xludf.DUMMYFUNCTION("""COMPUTED_VALUE"""),"Valerica Steele - 35896064 - Onlyfans")</f>
        <v>Valerica Steele - 35896064 - Onlyfans</v>
      </c>
      <c r="C1049" s="60" t="str">
        <f ca="1">IFERROR(__xludf.DUMMYFUNCTION("""COMPUTED_VALUE"""),"https://thumbcdn.com/splash/tu50x3bdtodwgpxw.jpg")</f>
        <v>https://thumbcdn.com/splash/tu50x3bdtodwgpxw.jpg</v>
      </c>
      <c r="D1049" s="12" t="s">
        <v>8177</v>
      </c>
      <c r="E1049" s="57" t="str">
        <f ca="1">IFERROR(__xludf.DUMMYFUNCTION("""COMPUTED_VALUE"""),"OK")</f>
        <v>OK</v>
      </c>
      <c r="F1049" s="46"/>
      <c r="G1049" s="45" t="s">
        <v>11033</v>
      </c>
      <c r="H1049" s="45" t="s">
        <v>11038</v>
      </c>
    </row>
    <row r="1050" spans="1:8">
      <c r="A1050" s="12"/>
      <c r="B1050" s="12" t="str">
        <f ca="1">IFERROR(__xludf.DUMMYFUNCTION("""COMPUTED_VALUE"""),"Valerica Steele - 40347610 - Onlyfans")</f>
        <v>Valerica Steele - 40347610 - Onlyfans</v>
      </c>
      <c r="C1050" s="60" t="str">
        <f ca="1">IFERROR(__xludf.DUMMYFUNCTION("""COMPUTED_VALUE"""),"https://thumbcdn.com/splash/uju3yg600h1dgevu.jpg")</f>
        <v>https://thumbcdn.com/splash/uju3yg600h1dgevu.jpg</v>
      </c>
      <c r="D1050" s="12" t="s">
        <v>8182</v>
      </c>
      <c r="E1050" s="57" t="str">
        <f ca="1">IFERROR(__xludf.DUMMYFUNCTION("""COMPUTED_VALUE"""),"OK")</f>
        <v>OK</v>
      </c>
      <c r="F1050" s="46"/>
      <c r="G1050" s="45" t="s">
        <v>11033</v>
      </c>
      <c r="H1050" s="45" t="s">
        <v>11039</v>
      </c>
    </row>
    <row r="1051" spans="1:8">
      <c r="A1051" s="12" t="s">
        <v>11040</v>
      </c>
      <c r="B1051" s="12" t="str">
        <f ca="1">IFERROR(__xludf.DUMMYFUNCTION("""COMPUTED_VALUE"""),"Valerica Steele - 46899517 - Onlyfans")</f>
        <v>Valerica Steele - 46899517 - Onlyfans</v>
      </c>
      <c r="C1051" s="60" t="str">
        <f ca="1">IFERROR(__xludf.DUMMYFUNCTION("""COMPUTED_VALUE"""),"https://thumbcdn.com/splash/po6h7r2o3wb7uep2.jpg")</f>
        <v>https://thumbcdn.com/splash/po6h7r2o3wb7uep2.jpg</v>
      </c>
      <c r="D1051" s="12" t="s">
        <v>8186</v>
      </c>
      <c r="E1051" s="57" t="str">
        <f ca="1">IFERROR(__xludf.DUMMYFUNCTION("""COMPUTED_VALUE"""),"OK")</f>
        <v>OK</v>
      </c>
      <c r="F1051" s="46"/>
      <c r="G1051" s="45" t="s">
        <v>11033</v>
      </c>
      <c r="H1051" s="45" t="s">
        <v>11041</v>
      </c>
    </row>
    <row r="1052" spans="1:8">
      <c r="A1052" s="59" t="s">
        <v>11042</v>
      </c>
      <c r="B1052" s="12" t="str">
        <f ca="1">IFERROR(__xludf.DUMMYFUNCTION("""COMPUTED_VALUE"""),"Valerica Steele - 63981478 - Onlyfans")</f>
        <v>Valerica Steele - 63981478 - Onlyfans</v>
      </c>
      <c r="C1052" s="60" t="str">
        <f ca="1">IFERROR(__xludf.DUMMYFUNCTION("""COMPUTED_VALUE"""),"https://thumbcdn.com/splash/mxfdb2qrnysc1n1c.jpg")</f>
        <v>https://thumbcdn.com/splash/mxfdb2qrnysc1n1c.jpg</v>
      </c>
      <c r="D1052" s="12" t="s">
        <v>8194</v>
      </c>
      <c r="E1052" s="57" t="str">
        <f ca="1">IFERROR(__xludf.DUMMYFUNCTION("""COMPUTED_VALUE"""),"OK")</f>
        <v>OK</v>
      </c>
      <c r="F1052" s="46"/>
      <c r="G1052" s="45" t="s">
        <v>11033</v>
      </c>
      <c r="H1052" s="45" t="s">
        <v>11043</v>
      </c>
    </row>
    <row r="1053" spans="1:8">
      <c r="A1053" s="12"/>
      <c r="B1053" s="12" t="str">
        <f ca="1">IFERROR(__xludf.DUMMYFUNCTION("""COMPUTED_VALUE"""),"Valerica Steele - 64528221 - Deeper - Asteria Jade")</f>
        <v>Valerica Steele - 64528221 - Deeper - Asteria Jade</v>
      </c>
      <c r="C1053" s="60" t="str">
        <f ca="1">IFERROR(__xludf.DUMMYFUNCTION("""COMPUTED_VALUE"""),"https://thumbcdn.com/splash/0p864f4fkkv1h33g.jpg")</f>
        <v>https://thumbcdn.com/splash/0p864f4fkkv1h33g.jpg</v>
      </c>
      <c r="D1053" s="12" t="s">
        <v>8198</v>
      </c>
      <c r="E1053" s="57" t="str">
        <f ca="1">IFERROR(__xludf.DUMMYFUNCTION("""COMPUTED_VALUE"""),"OK")</f>
        <v>OK</v>
      </c>
      <c r="F1053" s="46"/>
      <c r="G1053" s="45" t="s">
        <v>11033</v>
      </c>
      <c r="H1053" s="45" t="s">
        <v>11044</v>
      </c>
    </row>
    <row r="1054" spans="1:8">
      <c r="A1054" s="12" t="s">
        <v>11045</v>
      </c>
      <c r="B1054" s="12" t="str">
        <f ca="1">IFERROR(__xludf.DUMMYFUNCTION("""COMPUTED_VALUE"""),"Valerica Steele - 69304102 - Onlyfans")</f>
        <v>Valerica Steele - 69304102 - Onlyfans</v>
      </c>
      <c r="C1054" s="60" t="str">
        <f ca="1">IFERROR(__xludf.DUMMYFUNCTION("""COMPUTED_VALUE"""),"https://thumbcdn.com/splash/sds3wtl0weojpfop.jpg")</f>
        <v>https://thumbcdn.com/splash/sds3wtl0weojpfop.jpg</v>
      </c>
      <c r="D1054" s="6" t="s">
        <v>8209</v>
      </c>
      <c r="E1054" s="63" t="str">
        <f ca="1">IFERROR(__xludf.DUMMYFUNCTION("""COMPUTED_VALUE"""),"OK")</f>
        <v>OK</v>
      </c>
      <c r="F1054" s="46"/>
      <c r="G1054" s="45" t="s">
        <v>11033</v>
      </c>
      <c r="H1054" s="45" t="s">
        <v>11046</v>
      </c>
    </row>
    <row r="1055" spans="1:8">
      <c r="A1055" s="59" t="s">
        <v>11047</v>
      </c>
      <c r="B1055" s="12" t="str">
        <f ca="1">IFERROR(__xludf.DUMMYFUNCTION("""COMPUTED_VALUE"""),"Valerica Steele - 75492502 - Onlyfans")</f>
        <v>Valerica Steele - 75492502 - Onlyfans</v>
      </c>
      <c r="C1055" s="60" t="str">
        <f ca="1">IFERROR(__xludf.DUMMYFUNCTION("""COMPUTED_VALUE"""),"https://thumbcdn.com/splash/p0q925fro0vkpyka.jpg")</f>
        <v>https://thumbcdn.com/splash/p0q925fro0vkpyka.jpg</v>
      </c>
      <c r="D1055" s="12" t="s">
        <v>8214</v>
      </c>
      <c r="E1055" s="57" t="str">
        <f ca="1">IFERROR(__xludf.DUMMYFUNCTION("""COMPUTED_VALUE"""),"OK")</f>
        <v>OK</v>
      </c>
      <c r="F1055" s="46"/>
      <c r="G1055" s="45" t="s">
        <v>11033</v>
      </c>
      <c r="H1055" s="45" t="s">
        <v>11048</v>
      </c>
    </row>
    <row r="1056" spans="1:8">
      <c r="A1056" s="12"/>
      <c r="B1056" s="12" t="str">
        <f ca="1">IFERROR(__xludf.DUMMYFUNCTION("""COMPUTED_VALUE"""),"Valerica Steele - 88056051 - XVRED")</f>
        <v>Valerica Steele - 88056051 - XVRED</v>
      </c>
      <c r="C1056" s="60" t="str">
        <f ca="1">IFERROR(__xludf.DUMMYFUNCTION("""COMPUTED_VALUE"""),"https://thumbcdn.com/splash/iw1coteqzbfj8chq.jpg")</f>
        <v>https://thumbcdn.com/splash/iw1coteqzbfj8chq.jpg</v>
      </c>
      <c r="D1056" s="12" t="s">
        <v>8224</v>
      </c>
      <c r="E1056" s="57" t="str">
        <f ca="1">IFERROR(__xludf.DUMMYFUNCTION("""COMPUTED_VALUE"""),"OK")</f>
        <v>OK</v>
      </c>
      <c r="F1056" s="46"/>
      <c r="G1056" s="45" t="s">
        <v>11033</v>
      </c>
      <c r="H1056" s="45" t="s">
        <v>11049</v>
      </c>
    </row>
    <row r="1057" spans="1:8">
      <c r="A1057" s="12" t="s">
        <v>11050</v>
      </c>
      <c r="B1057" s="12" t="str">
        <f ca="1">IFERROR(__xludf.DUMMYFUNCTION("""COMPUTED_VALUE"""),"Valerica Steele - 88316277 - PB")</f>
        <v>Valerica Steele - 88316277 - PB</v>
      </c>
      <c r="C1057" s="60" t="str">
        <f ca="1">IFERROR(__xludf.DUMMYFUNCTION("""COMPUTED_VALUE"""),"https://thumbcdn.com/splash/c8vskzx9ps698af2.jpg")</f>
        <v>https://thumbcdn.com/splash/c8vskzx9ps698af2.jpg</v>
      </c>
      <c r="D1057" s="12" t="s">
        <v>8228</v>
      </c>
      <c r="E1057" s="57" t="str">
        <f ca="1">IFERROR(__xludf.DUMMYFUNCTION("""COMPUTED_VALUE"""),"OK")</f>
        <v>OK</v>
      </c>
      <c r="F1057" s="46"/>
      <c r="G1057" s="45" t="s">
        <v>11033</v>
      </c>
      <c r="H1057" s="45" t="s">
        <v>11051</v>
      </c>
    </row>
    <row r="1058" spans="1:8">
      <c r="A1058" s="59" t="s">
        <v>11052</v>
      </c>
      <c r="B1058" s="12" t="str">
        <f ca="1">IFERROR(__xludf.DUMMYFUNCTION("""COMPUTED_VALUE"""),"Valerica Steele - 93431306 - Onlyfans")</f>
        <v>Valerica Steele - 93431306 - Onlyfans</v>
      </c>
      <c r="C1058" s="60" t="str">
        <f ca="1">IFERROR(__xludf.DUMMYFUNCTION("""COMPUTED_VALUE"""),"https://thumbcdn.com/splash/emd9kc32tmryincb.jpg")</f>
        <v>https://thumbcdn.com/splash/emd9kc32tmryincb.jpg</v>
      </c>
      <c r="D1058" s="6" t="s">
        <v>8232</v>
      </c>
      <c r="E1058" s="63" t="str">
        <f ca="1">IFERROR(__xludf.DUMMYFUNCTION("""COMPUTED_VALUE"""),"OK")</f>
        <v>OK</v>
      </c>
      <c r="F1058" s="46"/>
      <c r="G1058" s="45" t="s">
        <v>11033</v>
      </c>
      <c r="H1058" s="45" t="s">
        <v>11053</v>
      </c>
    </row>
    <row r="1059" spans="1:8">
      <c r="A1059" s="12"/>
      <c r="B1059" s="12" t="str">
        <f ca="1">IFERROR(__xludf.DUMMYFUNCTION("""COMPUTED_VALUE"""),"Valerica Steele - 94903486 - Onlyfans")</f>
        <v>Valerica Steele - 94903486 - Onlyfans</v>
      </c>
      <c r="C1059" s="60" t="str">
        <f ca="1">IFERROR(__xludf.DUMMYFUNCTION("""COMPUTED_VALUE"""),"https://thumbcdn.com/splash/v3du4yex7onkfpp6.jpg")</f>
        <v>https://thumbcdn.com/splash/v3du4yex7onkfpp6.jpg</v>
      </c>
      <c r="D1059" s="12" t="s">
        <v>8236</v>
      </c>
      <c r="E1059" s="57" t="str">
        <f ca="1">IFERROR(__xludf.DUMMYFUNCTION("""COMPUTED_VALUE"""),"OK")</f>
        <v>OK</v>
      </c>
      <c r="F1059" s="46"/>
      <c r="G1059" s="45" t="s">
        <v>11033</v>
      </c>
      <c r="H1059" s="45" t="s">
        <v>11054</v>
      </c>
    </row>
    <row r="1060" spans="1:8">
      <c r="A1060" s="12" t="s">
        <v>11055</v>
      </c>
      <c r="B1060" s="12" t="str">
        <f ca="1">IFERROR(__xludf.DUMMYFUNCTION("""COMPUTED_VALUE"""),"Valerica Steele - 96288677 - SS")</f>
        <v>Valerica Steele - 96288677 - SS</v>
      </c>
      <c r="C1060" s="60" t="str">
        <f ca="1">IFERROR(__xludf.DUMMYFUNCTION("""COMPUTED_VALUE"""),"https://thumbcdn.com/splash/mvhosheu00u8o2w9.jpg")</f>
        <v>https://thumbcdn.com/splash/mvhosheu00u8o2w9.jpg</v>
      </c>
      <c r="D1060" s="12" t="s">
        <v>8240</v>
      </c>
      <c r="E1060" s="57" t="str">
        <f ca="1">IFERROR(__xludf.DUMMYFUNCTION("""COMPUTED_VALUE"""),"OK")</f>
        <v>OK</v>
      </c>
      <c r="F1060" s="46"/>
      <c r="G1060" s="45" t="s">
        <v>11033</v>
      </c>
      <c r="H1060" s="45" t="s">
        <v>11056</v>
      </c>
    </row>
    <row r="1061" spans="1:8">
      <c r="A1061" s="59" t="s">
        <v>11057</v>
      </c>
      <c r="B1061" s="12" t="str">
        <f ca="1">IFERROR(__xludf.DUMMYFUNCTION("""COMPUTED_VALUE"""),"Valerica Steele - 96346788 - Bang")</f>
        <v>Valerica Steele - 96346788 - Bang</v>
      </c>
      <c r="C1061" s="60" t="str">
        <f ca="1">IFERROR(__xludf.DUMMYFUNCTION("""COMPUTED_VALUE"""),"https://thumbcdn.com/splash/gpxsr9xv79ao7vz3.jpg")</f>
        <v>https://thumbcdn.com/splash/gpxsr9xv79ao7vz3.jpg</v>
      </c>
      <c r="D1061" s="6" t="s">
        <v>8245</v>
      </c>
      <c r="E1061" s="63" t="str">
        <f ca="1">IFERROR(__xludf.DUMMYFUNCTION("""COMPUTED_VALUE"""),"OK")</f>
        <v>OK</v>
      </c>
      <c r="F1061" s="46"/>
      <c r="G1061" s="45" t="s">
        <v>11033</v>
      </c>
      <c r="H1061" s="45" t="s">
        <v>11058</v>
      </c>
    </row>
    <row r="1062" spans="1:8">
      <c r="A1062" s="12"/>
      <c r="B1062" s="12" t="str">
        <f ca="1">IFERROR(__xludf.DUMMYFUNCTION("""COMPUTED_VALUE"""),"Valerica Steele - 97879386 - Onlyfans")</f>
        <v>Valerica Steele - 97879386 - Onlyfans</v>
      </c>
      <c r="C1062" s="60" t="str">
        <f ca="1">IFERROR(__xludf.DUMMYFUNCTION("""COMPUTED_VALUE"""),"https://thumbcdn.com/splash/0ubg0maxcjjqh0b7.jpg")</f>
        <v>https://thumbcdn.com/splash/0ubg0maxcjjqh0b7.jpg</v>
      </c>
      <c r="D1062" s="12" t="s">
        <v>8251</v>
      </c>
      <c r="E1062" s="57" t="str">
        <f ca="1">IFERROR(__xludf.DUMMYFUNCTION("""COMPUTED_VALUE"""),"OK")</f>
        <v>OK</v>
      </c>
      <c r="F1062" s="46"/>
      <c r="G1062" s="45" t="s">
        <v>11033</v>
      </c>
      <c r="H1062" s="45" t="s">
        <v>11059</v>
      </c>
    </row>
    <row r="1063" spans="1:8">
      <c r="A1063" s="12" t="s">
        <v>11060</v>
      </c>
      <c r="B1063" s="12" t="str">
        <f ca="1">IFERROR(__xludf.DUMMYFUNCTION("""COMPUTED_VALUE"""),"Vanda Angel - 23666695 - Inflagranti")</f>
        <v>Vanda Angel - 23666695 - Inflagranti</v>
      </c>
      <c r="C1063" s="60" t="str">
        <f ca="1">IFERROR(__xludf.DUMMYFUNCTION("""COMPUTED_VALUE"""),"https://thumbcdn.com/splash/sw0risa5w4pk4tar.jpg")</f>
        <v>https://thumbcdn.com/splash/sw0risa5w4pk4tar.jpg</v>
      </c>
      <c r="D1063" s="6" t="s">
        <v>8255</v>
      </c>
      <c r="E1063" s="63" t="str">
        <f ca="1">IFERROR(__xludf.DUMMYFUNCTION("""COMPUTED_VALUE"""),"OK")</f>
        <v>OK</v>
      </c>
      <c r="F1063" s="46"/>
      <c r="G1063" s="45" t="s">
        <v>11033</v>
      </c>
      <c r="H1063" s="45" t="s">
        <v>11061</v>
      </c>
    </row>
    <row r="1064" spans="1:8">
      <c r="A1064" s="59" t="s">
        <v>11062</v>
      </c>
      <c r="B1064" s="12" t="str">
        <f ca="1">IFERROR(__xludf.DUMMYFUNCTION("""COMPUTED_VALUE"""),"Vanda Angel - 65423416 - Inflagranti")</f>
        <v>Vanda Angel - 65423416 - Inflagranti</v>
      </c>
      <c r="C1064" s="60" t="str">
        <f ca="1">IFERROR(__xludf.DUMMYFUNCTION("""COMPUTED_VALUE"""),"https://thumbcdn.com/splash/4fplhpz4xkh2a309.jpg")</f>
        <v>https://thumbcdn.com/splash/4fplhpz4xkh2a309.jpg</v>
      </c>
      <c r="D1064" s="6" t="s">
        <v>8259</v>
      </c>
      <c r="E1064" s="63" t="str">
        <f ca="1">IFERROR(__xludf.DUMMYFUNCTION("""COMPUTED_VALUE"""),"OK")</f>
        <v>OK</v>
      </c>
      <c r="F1064" s="46"/>
      <c r="G1064" s="45" t="s">
        <v>11063</v>
      </c>
      <c r="H1064" s="45" t="s">
        <v>11064</v>
      </c>
    </row>
    <row r="1065" spans="1:8">
      <c r="A1065" s="12"/>
      <c r="B1065" s="12" t="str">
        <f ca="1">IFERROR(__xludf.DUMMYFUNCTION("""COMPUTED_VALUE"""),"Vanessa Sky - 15447404 - GD")</f>
        <v>Vanessa Sky - 15447404 - GD</v>
      </c>
      <c r="C1065" s="60" t="str">
        <f ca="1">IFERROR(__xludf.DUMMYFUNCTION("""COMPUTED_VALUE"""),"https://thumbcdn.com/splash/htvg831epaqgsysw.jpg")</f>
        <v>https://thumbcdn.com/splash/htvg831epaqgsysw.jpg</v>
      </c>
      <c r="D1065" s="12" t="s">
        <v>8264</v>
      </c>
      <c r="E1065" s="57" t="str">
        <f ca="1">IFERROR(__xludf.DUMMYFUNCTION("""COMPUTED_VALUE"""),"OK")</f>
        <v>OK</v>
      </c>
      <c r="F1065" s="46"/>
      <c r="G1065" s="45" t="s">
        <v>11063</v>
      </c>
      <c r="H1065" s="45" t="s">
        <v>11065</v>
      </c>
    </row>
    <row r="1066" spans="1:8">
      <c r="A1066" s="12" t="s">
        <v>11066</v>
      </c>
      <c r="B1066" s="12" t="str">
        <f ca="1">IFERROR(__xludf.DUMMYFUNCTION("""COMPUTED_VALUE"""),"Violet Myers - 10931012 - Onlyfans")</f>
        <v>Violet Myers - 10931012 - Onlyfans</v>
      </c>
      <c r="C1066" s="60" t="str">
        <f ca="1">IFERROR(__xludf.DUMMYFUNCTION("""COMPUTED_VALUE"""),"https://thumbcdn.com/splash/faoe8tx4xezvk0am.jpg")</f>
        <v>https://thumbcdn.com/splash/faoe8tx4xezvk0am.jpg</v>
      </c>
      <c r="D1066" s="12" t="s">
        <v>8275</v>
      </c>
      <c r="E1066" s="57" t="str">
        <f ca="1">IFERROR(__xludf.DUMMYFUNCTION("""COMPUTED_VALUE"""),"OK")</f>
        <v>OK</v>
      </c>
      <c r="F1066" s="46"/>
      <c r="G1066" s="45" t="s">
        <v>11067</v>
      </c>
      <c r="H1066" s="45" t="s">
        <v>11068</v>
      </c>
    </row>
    <row r="1067" spans="1:8">
      <c r="A1067" s="59" t="s">
        <v>11069</v>
      </c>
      <c r="B1067" s="12" t="str">
        <f ca="1">IFERROR(__xludf.DUMMYFUNCTION("""COMPUTED_VALUE"""),"Violet Myers - 10931617 - Onlyfans")</f>
        <v>Violet Myers - 10931617 - Onlyfans</v>
      </c>
      <c r="C1067" s="60" t="str">
        <f ca="1">IFERROR(__xludf.DUMMYFUNCTION("""COMPUTED_VALUE"""),"https://thumbcdn.com/splash/rca2jtd39l4f5j0x.jpg")</f>
        <v>https://thumbcdn.com/splash/rca2jtd39l4f5j0x.jpg</v>
      </c>
      <c r="D1067" s="12" t="s">
        <v>8280</v>
      </c>
      <c r="E1067" s="57" t="str">
        <f ca="1">IFERROR(__xludf.DUMMYFUNCTION("""COMPUTED_VALUE"""),"OK")</f>
        <v>OK</v>
      </c>
      <c r="F1067" s="46"/>
      <c r="G1067" s="45" t="s">
        <v>11070</v>
      </c>
      <c r="H1067" s="45" t="s">
        <v>11071</v>
      </c>
    </row>
    <row r="1068" spans="1:8">
      <c r="A1068" s="12"/>
      <c r="B1068" s="12" t="str">
        <f ca="1">IFERROR(__xludf.DUMMYFUNCTION("""COMPUTED_VALUE"""),"Violet Myers - 12378786 - Onlyfans")</f>
        <v>Violet Myers - 12378786 - Onlyfans</v>
      </c>
      <c r="C1068" s="60" t="str">
        <f ca="1">IFERROR(__xludf.DUMMYFUNCTION("""COMPUTED_VALUE"""),"https://thumbcdn.com/splash/hyak0jd89a234w0o.jpg")</f>
        <v>https://thumbcdn.com/splash/hyak0jd89a234w0o.jpg</v>
      </c>
      <c r="D1068" s="12" t="s">
        <v>8295</v>
      </c>
      <c r="E1068" s="57" t="str">
        <f ca="1">IFERROR(__xludf.DUMMYFUNCTION("""COMPUTED_VALUE"""),"OK")</f>
        <v>OK</v>
      </c>
      <c r="F1068" s="46"/>
      <c r="G1068" s="45" t="s">
        <v>11070</v>
      </c>
      <c r="H1068" s="45" t="s">
        <v>11072</v>
      </c>
    </row>
    <row r="1069" spans="1:8">
      <c r="A1069" s="12" t="s">
        <v>11073</v>
      </c>
      <c r="B1069" s="12" t="str">
        <f ca="1">IFERROR(__xludf.DUMMYFUNCTION("""COMPUTED_VALUE"""),"Violet Myers - 15445770 - Onlyfans - Raissa Bellini")</f>
        <v>Violet Myers - 15445770 - Onlyfans - Raissa Bellini</v>
      </c>
      <c r="C1069" s="60" t="str">
        <f ca="1">IFERROR(__xludf.DUMMYFUNCTION("""COMPUTED_VALUE"""),"https://thumbcdn.com/splash/s7etip2tjldzj7w0.jpg")</f>
        <v>https://thumbcdn.com/splash/s7etip2tjldzj7w0.jpg</v>
      </c>
      <c r="D1069" s="6" t="s">
        <v>8299</v>
      </c>
      <c r="E1069" s="63" t="str">
        <f ca="1">IFERROR(__xludf.DUMMYFUNCTION("""COMPUTED_VALUE"""),"OK")</f>
        <v>OK</v>
      </c>
      <c r="F1069" s="46"/>
      <c r="G1069" s="45" t="s">
        <v>11070</v>
      </c>
      <c r="H1069" s="45" t="s">
        <v>11074</v>
      </c>
    </row>
    <row r="1070" spans="1:8">
      <c r="A1070" s="59" t="s">
        <v>11075</v>
      </c>
      <c r="B1070" s="12" t="str">
        <f ca="1">IFERROR(__xludf.DUMMYFUNCTION("""COMPUTED_VALUE"""),"Violet Myers - 17285742 - Onlyfans")</f>
        <v>Violet Myers - 17285742 - Onlyfans</v>
      </c>
      <c r="C1070" s="60" t="str">
        <f ca="1">IFERROR(__xludf.DUMMYFUNCTION("""COMPUTED_VALUE"""),"https://thumbcdn.com/splash/i8mkubb7nulydcii.jpg")</f>
        <v>https://thumbcdn.com/splash/i8mkubb7nulydcii.jpg</v>
      </c>
      <c r="D1070" s="6" t="s">
        <v>8304</v>
      </c>
      <c r="E1070" s="63" t="str">
        <f ca="1">IFERROR(__xludf.DUMMYFUNCTION("""COMPUTED_VALUE"""),"OK")</f>
        <v>OK</v>
      </c>
      <c r="F1070" s="46"/>
      <c r="G1070" s="45" t="s">
        <v>11070</v>
      </c>
      <c r="H1070" s="45" t="s">
        <v>11076</v>
      </c>
    </row>
    <row r="1071" spans="1:8">
      <c r="A1071" s="12"/>
      <c r="B1071" s="12" t="str">
        <f ca="1">IFERROR(__xludf.DUMMYFUNCTION("""COMPUTED_VALUE"""),"Violet Myers - 17383595 - Onlyfans - Emma Magnolia")</f>
        <v>Violet Myers - 17383595 - Onlyfans - Emma Magnolia</v>
      </c>
      <c r="C1071" s="60" t="str">
        <f ca="1">IFERROR(__xludf.DUMMYFUNCTION("""COMPUTED_VALUE"""),"https://thumbcdn.com/splash/qgaiqpt9gx057o5u.jpg")</f>
        <v>https://thumbcdn.com/splash/qgaiqpt9gx057o5u.jpg</v>
      </c>
      <c r="D1071" s="6" t="s">
        <v>8310</v>
      </c>
      <c r="E1071" s="63" t="str">
        <f ca="1">IFERROR(__xludf.DUMMYFUNCTION("""COMPUTED_VALUE"""),"OK")</f>
        <v>OK</v>
      </c>
      <c r="F1071" s="46"/>
      <c r="G1071" s="45" t="s">
        <v>11070</v>
      </c>
      <c r="H1071" s="45" t="s">
        <v>11077</v>
      </c>
    </row>
    <row r="1072" spans="1:8">
      <c r="A1072" s="12" t="s">
        <v>11078</v>
      </c>
      <c r="B1072" s="12" t="str">
        <f ca="1">IFERROR(__xludf.DUMMYFUNCTION("""COMPUTED_VALUE"""),"Violet Myers - 19734092 - Onlyfans")</f>
        <v>Violet Myers - 19734092 - Onlyfans</v>
      </c>
      <c r="C1072" s="60" t="str">
        <f ca="1">IFERROR(__xludf.DUMMYFUNCTION("""COMPUTED_VALUE"""),"https://thumbcdn.com/splash/b1nwguzdrodgztry.jpg")</f>
        <v>https://thumbcdn.com/splash/b1nwguzdrodgztry.jpg</v>
      </c>
      <c r="D1072" s="12" t="s">
        <v>8315</v>
      </c>
      <c r="E1072" s="57" t="str">
        <f ca="1">IFERROR(__xludf.DUMMYFUNCTION("""COMPUTED_VALUE"""),"OK")</f>
        <v>OK</v>
      </c>
      <c r="F1072" s="46"/>
      <c r="G1072" s="45" t="s">
        <v>11070</v>
      </c>
      <c r="H1072" s="45" t="s">
        <v>11079</v>
      </c>
    </row>
    <row r="1073" spans="1:8">
      <c r="A1073" s="59" t="s">
        <v>11080</v>
      </c>
      <c r="B1073" s="12" t="str">
        <f ca="1">IFERROR(__xludf.DUMMYFUNCTION("""COMPUTED_VALUE"""),"Violet Myers - 21770202 - Bellesa")</f>
        <v>Violet Myers - 21770202 - Bellesa</v>
      </c>
      <c r="C1073" s="60" t="str">
        <f ca="1">IFERROR(__xludf.DUMMYFUNCTION("""COMPUTED_VALUE"""),"https://thumbcdn.com/splash/pto0ml9mfzubbqoj.jpg")</f>
        <v>https://thumbcdn.com/splash/pto0ml9mfzubbqoj.jpg</v>
      </c>
      <c r="D1073" s="12" t="s">
        <v>8325</v>
      </c>
      <c r="E1073" s="57" t="str">
        <f ca="1">IFERROR(__xludf.DUMMYFUNCTION("""COMPUTED_VALUE"""),"OK")</f>
        <v>OK</v>
      </c>
      <c r="F1073" s="46"/>
      <c r="G1073" s="45" t="s">
        <v>11070</v>
      </c>
      <c r="H1073" s="45" t="s">
        <v>11081</v>
      </c>
    </row>
    <row r="1074" spans="1:8">
      <c r="A1074" s="12"/>
      <c r="B1074" s="12" t="str">
        <f ca="1">IFERROR(__xludf.DUMMYFUNCTION("""COMPUTED_VALUE"""),"Violet Myers - 22947103 - Blacked")</f>
        <v>Violet Myers - 22947103 - Blacked</v>
      </c>
      <c r="C1074" s="60" t="str">
        <f ca="1">IFERROR(__xludf.DUMMYFUNCTION("""COMPUTED_VALUE"""),"https://thumbcdn.com/splash/9eusu3gbs4sl4mbp.jpg")</f>
        <v>https://thumbcdn.com/splash/9eusu3gbs4sl4mbp.jpg</v>
      </c>
      <c r="D1074" s="6" t="s">
        <v>8329</v>
      </c>
      <c r="E1074" s="63" t="str">
        <f ca="1">IFERROR(__xludf.DUMMYFUNCTION("""COMPUTED_VALUE"""),"OK")</f>
        <v>OK</v>
      </c>
      <c r="F1074" s="46"/>
      <c r="G1074" s="45" t="s">
        <v>11070</v>
      </c>
      <c r="H1074" s="45" t="s">
        <v>11082</v>
      </c>
    </row>
    <row r="1075" spans="1:8">
      <c r="A1075" s="12" t="s">
        <v>11083</v>
      </c>
      <c r="B1075" s="12" t="str">
        <f ca="1">IFERROR(__xludf.DUMMYFUNCTION("""COMPUTED_VALUE"""),"Violet Myers - 24446612 - Onlyfans")</f>
        <v>Violet Myers - 24446612 - Onlyfans</v>
      </c>
      <c r="C1075" s="60" t="str">
        <f ca="1">IFERROR(__xludf.DUMMYFUNCTION("""COMPUTED_VALUE"""),"https://thumbcdn.com/splash/ihmcb37c67chi2d0.jpg")</f>
        <v>https://thumbcdn.com/splash/ihmcb37c67chi2d0.jpg</v>
      </c>
      <c r="D1075" s="12" t="s">
        <v>8333</v>
      </c>
      <c r="E1075" s="57" t="str">
        <f ca="1">IFERROR(__xludf.DUMMYFUNCTION("""COMPUTED_VALUE"""),"OK")</f>
        <v>OK</v>
      </c>
      <c r="F1075" s="46"/>
      <c r="G1075" s="45" t="s">
        <v>11070</v>
      </c>
      <c r="H1075" s="45" t="s">
        <v>11084</v>
      </c>
    </row>
    <row r="1076" spans="1:8">
      <c r="A1076" s="59" t="s">
        <v>11085</v>
      </c>
      <c r="B1076" s="12" t="str">
        <f ca="1">IFERROR(__xludf.DUMMYFUNCTION("""COMPUTED_VALUE"""),"Violet Myers - 25360649 - Onlyfans - Hailey Rose - Jaaden Kyrelle")</f>
        <v>Violet Myers - 25360649 - Onlyfans - Hailey Rose - Jaaden Kyrelle</v>
      </c>
      <c r="C1076" s="60" t="str">
        <f ca="1">IFERROR(__xludf.DUMMYFUNCTION("""COMPUTED_VALUE"""),"https://thumbcdn.com/splash/u8lyhh11448yfcom.jpg")</f>
        <v>https://thumbcdn.com/splash/u8lyhh11448yfcom.jpg</v>
      </c>
      <c r="D1076" s="12" t="s">
        <v>8337</v>
      </c>
      <c r="E1076" s="57" t="str">
        <f ca="1">IFERROR(__xludf.DUMMYFUNCTION("""COMPUTED_VALUE"""),"OK")</f>
        <v>OK</v>
      </c>
      <c r="F1076" s="46"/>
      <c r="G1076" s="45" t="s">
        <v>11070</v>
      </c>
      <c r="H1076" s="45" t="s">
        <v>11086</v>
      </c>
    </row>
    <row r="1077" spans="1:8">
      <c r="A1077" s="12"/>
      <c r="B1077" s="12" t="str">
        <f ca="1">IFERROR(__xludf.DUMMYFUNCTION("""COMPUTED_VALUE"""),"Violet Myers - 25687268 - MLR")</f>
        <v>Violet Myers - 25687268 - MLR</v>
      </c>
      <c r="C1077" s="60" t="str">
        <f ca="1">IFERROR(__xludf.DUMMYFUNCTION("""COMPUTED_VALUE"""),"https://thumbcdn.com/splash/024y7juh5o5tue1h.jpg")</f>
        <v>https://thumbcdn.com/splash/024y7juh5o5tue1h.jpg</v>
      </c>
      <c r="D1077" s="12" t="s">
        <v>8343</v>
      </c>
      <c r="E1077" s="57" t="str">
        <f ca="1">IFERROR(__xludf.DUMMYFUNCTION("""COMPUTED_VALUE"""),"OK")</f>
        <v>OK</v>
      </c>
      <c r="F1077" s="46"/>
      <c r="G1077" s="45" t="s">
        <v>11070</v>
      </c>
      <c r="H1077" s="45" t="s">
        <v>11087</v>
      </c>
    </row>
    <row r="1078" spans="1:8">
      <c r="A1078" s="12" t="s">
        <v>11088</v>
      </c>
      <c r="B1078" s="12" t="str">
        <f ca="1">IFERROR(__xludf.DUMMYFUNCTION("""COMPUTED_VALUE"""),"Violet Myers - 33024590 - Onlyfans - Kianna Dior")</f>
        <v>Violet Myers - 33024590 - Onlyfans - Kianna Dior</v>
      </c>
      <c r="C1078" s="60" t="str">
        <f ca="1">IFERROR(__xludf.DUMMYFUNCTION("""COMPUTED_VALUE"""),"https://thumbcdn.com/splash/2tbjr6xp98a3epm0.jpg")</f>
        <v>https://thumbcdn.com/splash/2tbjr6xp98a3epm0.jpg</v>
      </c>
      <c r="D1078" s="12" t="s">
        <v>8347</v>
      </c>
      <c r="E1078" s="57" t="str">
        <f ca="1">IFERROR(__xludf.DUMMYFUNCTION("""COMPUTED_VALUE"""),"OK")</f>
        <v>OK</v>
      </c>
      <c r="F1078" s="46"/>
      <c r="G1078" s="45" t="s">
        <v>11070</v>
      </c>
      <c r="H1078" s="45" t="s">
        <v>11089</v>
      </c>
    </row>
    <row r="1079" spans="1:8">
      <c r="A1079" s="59" t="s">
        <v>11090</v>
      </c>
      <c r="B1079" s="12" t="str">
        <f ca="1">IFERROR(__xludf.DUMMYFUNCTION("""COMPUTED_VALUE"""),"Violet Myers - 34531153 - Onlyfans")</f>
        <v>Violet Myers - 34531153 - Onlyfans</v>
      </c>
      <c r="C1079" s="60" t="str">
        <f ca="1">IFERROR(__xludf.DUMMYFUNCTION("""COMPUTED_VALUE"""),"https://thumbcdn.com/splash/88b1s2s1bqdcmh6y.jpg")</f>
        <v>https://thumbcdn.com/splash/88b1s2s1bqdcmh6y.jpg</v>
      </c>
      <c r="D1079" s="12" t="s">
        <v>8351</v>
      </c>
      <c r="E1079" s="57" t="str">
        <f ca="1">IFERROR(__xludf.DUMMYFUNCTION("""COMPUTED_VALUE"""),"OK")</f>
        <v>OK</v>
      </c>
      <c r="F1079" s="46"/>
      <c r="G1079" s="45" t="s">
        <v>11070</v>
      </c>
      <c r="H1079" s="45" t="s">
        <v>11091</v>
      </c>
    </row>
    <row r="1080" spans="1:8">
      <c r="A1080" s="12"/>
      <c r="B1080" s="12" t="str">
        <f ca="1">IFERROR(__xludf.DUMMYFUNCTION("""COMPUTED_VALUE"""),"Violet Myers - 36670339 - Onlyfans")</f>
        <v>Violet Myers - 36670339 - Onlyfans</v>
      </c>
      <c r="C1080" s="60" t="str">
        <f ca="1">IFERROR(__xludf.DUMMYFUNCTION("""COMPUTED_VALUE"""),"https://thumbcdn.com/splash/ffepxzuw1oe0irgl.jpg")</f>
        <v>https://thumbcdn.com/splash/ffepxzuw1oe0irgl.jpg</v>
      </c>
      <c r="D1080" s="6" t="s">
        <v>8355</v>
      </c>
      <c r="E1080" s="63" t="str">
        <f ca="1">IFERROR(__xludf.DUMMYFUNCTION("""COMPUTED_VALUE"""),"OK")</f>
        <v>OK</v>
      </c>
      <c r="F1080" s="46"/>
      <c r="G1080" s="45" t="s">
        <v>11070</v>
      </c>
      <c r="H1080" s="45" t="s">
        <v>11092</v>
      </c>
    </row>
    <row r="1081" spans="1:8">
      <c r="A1081" s="12" t="s">
        <v>11093</v>
      </c>
      <c r="B1081" s="12" t="str">
        <f ca="1">IFERROR(__xludf.DUMMYFUNCTION("""COMPUTED_VALUE"""),"Violet Myers - 37239826 - Onlyfans - Angel Youngs")</f>
        <v>Violet Myers - 37239826 - Onlyfans - Angel Youngs</v>
      </c>
      <c r="C1081" s="60" t="str">
        <f ca="1">IFERROR(__xludf.DUMMYFUNCTION("""COMPUTED_VALUE"""),"https://thumbcdn.com/splash/72xj8o0943w3r2r6.jpg")</f>
        <v>https://thumbcdn.com/splash/72xj8o0943w3r2r6.jpg</v>
      </c>
      <c r="D1081" s="12" t="s">
        <v>8359</v>
      </c>
      <c r="E1081" s="57" t="str">
        <f ca="1">IFERROR(__xludf.DUMMYFUNCTION("""COMPUTED_VALUE"""),"OK")</f>
        <v>OK</v>
      </c>
      <c r="F1081" s="46"/>
      <c r="G1081" s="45" t="s">
        <v>11070</v>
      </c>
      <c r="H1081" s="45" t="s">
        <v>11094</v>
      </c>
    </row>
    <row r="1082" spans="1:8">
      <c r="A1082" s="59" t="s">
        <v>11095</v>
      </c>
      <c r="B1082" s="12" t="str">
        <f ca="1">IFERROR(__xludf.DUMMYFUNCTION("""COMPUTED_VALUE"""),"Violet Myers - 38601761 - Onlyfans")</f>
        <v>Violet Myers - 38601761 - Onlyfans</v>
      </c>
      <c r="C1082" s="60" t="str">
        <f ca="1">IFERROR(__xludf.DUMMYFUNCTION("""COMPUTED_VALUE"""),"https://thumbcdn.com/splash/zgfy5xmhgp0h07em.jpg")</f>
        <v>https://thumbcdn.com/splash/zgfy5xmhgp0h07em.jpg</v>
      </c>
      <c r="D1082" s="12" t="s">
        <v>8363</v>
      </c>
      <c r="E1082" s="57" t="str">
        <f ca="1">IFERROR(__xludf.DUMMYFUNCTION("""COMPUTED_VALUE"""),"OK")</f>
        <v>OK</v>
      </c>
      <c r="F1082" s="46"/>
      <c r="G1082" s="45" t="s">
        <v>11070</v>
      </c>
      <c r="H1082" s="45" t="s">
        <v>11096</v>
      </c>
    </row>
    <row r="1083" spans="1:8">
      <c r="A1083" s="12"/>
      <c r="B1083" s="12" t="str">
        <f ca="1">IFERROR(__xludf.DUMMYFUNCTION("""COMPUTED_VALUE"""),"Violet Myers - 39780174 - Onlyfans")</f>
        <v>Violet Myers - 39780174 - Onlyfans</v>
      </c>
      <c r="C1083" s="60" t="str">
        <f ca="1">IFERROR(__xludf.DUMMYFUNCTION("""COMPUTED_VALUE"""),"https://thumbcdn.com/splash/sv2buu5d2nusjoou.jpg")</f>
        <v>https://thumbcdn.com/splash/sv2buu5d2nusjoou.jpg</v>
      </c>
      <c r="D1083" s="12" t="s">
        <v>8368</v>
      </c>
      <c r="E1083" s="57" t="str">
        <f ca="1">IFERROR(__xludf.DUMMYFUNCTION("""COMPUTED_VALUE"""),"OK")</f>
        <v>OK</v>
      </c>
      <c r="F1083" s="46"/>
      <c r="G1083" s="45" t="s">
        <v>11070</v>
      </c>
      <c r="H1083" s="45" t="s">
        <v>11097</v>
      </c>
    </row>
    <row r="1084" spans="1:8">
      <c r="A1084" s="12" t="s">
        <v>11098</v>
      </c>
      <c r="B1084" s="12" t="str">
        <f ca="1">IFERROR(__xludf.DUMMYFUNCTION("""COMPUTED_VALUE"""),"Violet Myers - 41586485 - Tushy")</f>
        <v>Violet Myers - 41586485 - Tushy</v>
      </c>
      <c r="C1084" s="60" t="str">
        <f ca="1">IFERROR(__xludf.DUMMYFUNCTION("""COMPUTED_VALUE"""),"https://thumbcdn.com/splash/j60poub18bqv6w76.jpg")</f>
        <v>https://thumbcdn.com/splash/j60poub18bqv6w76.jpg</v>
      </c>
      <c r="D1084" s="12" t="s">
        <v>8372</v>
      </c>
      <c r="E1084" s="57" t="str">
        <f ca="1">IFERROR(__xludf.DUMMYFUNCTION("""COMPUTED_VALUE"""),"OK")</f>
        <v>OK</v>
      </c>
      <c r="F1084" s="46"/>
      <c r="G1084" s="45" t="s">
        <v>11070</v>
      </c>
      <c r="H1084" s="45" t="s">
        <v>11099</v>
      </c>
    </row>
    <row r="1085" spans="1:8">
      <c r="A1085" s="59" t="s">
        <v>11100</v>
      </c>
      <c r="B1085" s="12" t="str">
        <f ca="1">IFERROR(__xludf.DUMMYFUNCTION("""COMPUTED_VALUE"""),"Violet Myers - 42955362 - Onlyfans")</f>
        <v>Violet Myers - 42955362 - Onlyfans</v>
      </c>
      <c r="C1085" s="60" t="str">
        <f ca="1">IFERROR(__xludf.DUMMYFUNCTION("""COMPUTED_VALUE"""),"https://thumbcdn.com/splash/iv5kts0r91bvxi7j.jpg")</f>
        <v>https://thumbcdn.com/splash/iv5kts0r91bvxi7j.jpg</v>
      </c>
      <c r="D1085" s="12" t="s">
        <v>8376</v>
      </c>
      <c r="E1085" s="57" t="str">
        <f ca="1">IFERROR(__xludf.DUMMYFUNCTION("""COMPUTED_VALUE"""),"OK")</f>
        <v>OK</v>
      </c>
      <c r="F1085" s="46"/>
      <c r="G1085" s="45" t="s">
        <v>11070</v>
      </c>
      <c r="H1085" s="45" t="s">
        <v>11101</v>
      </c>
    </row>
    <row r="1086" spans="1:8">
      <c r="A1086" s="12"/>
      <c r="B1086" s="12" t="str">
        <f ca="1">IFERROR(__xludf.DUMMYFUNCTION("""COMPUTED_VALUE"""),"Violet Myers - 43312973 - MLR")</f>
        <v>Violet Myers - 43312973 - MLR</v>
      </c>
      <c r="C1086" s="60" t="str">
        <f ca="1">IFERROR(__xludf.DUMMYFUNCTION("""COMPUTED_VALUE"""),"https://thumbcdn.com/splash/k10azktmwf0irewg.jpg")</f>
        <v>https://thumbcdn.com/splash/k10azktmwf0irewg.jpg</v>
      </c>
      <c r="D1086" s="12" t="s">
        <v>8380</v>
      </c>
      <c r="E1086" s="57" t="str">
        <f ca="1">IFERROR(__xludf.DUMMYFUNCTION("""COMPUTED_VALUE"""),"OK")</f>
        <v>OK</v>
      </c>
      <c r="F1086" s="46"/>
      <c r="G1086" s="45" t="s">
        <v>11070</v>
      </c>
      <c r="H1086" s="45" t="s">
        <v>11102</v>
      </c>
    </row>
    <row r="1087" spans="1:8">
      <c r="A1087" s="12" t="s">
        <v>11103</v>
      </c>
      <c r="B1087" s="12" t="str">
        <f ca="1">IFERROR(__xludf.DUMMYFUNCTION("""COMPUTED_VALUE"""),"Violet Myers - 44431372 - Onlyfans")</f>
        <v>Violet Myers - 44431372 - Onlyfans</v>
      </c>
      <c r="C1087" s="60" t="str">
        <f ca="1">IFERROR(__xludf.DUMMYFUNCTION("""COMPUTED_VALUE"""),"https://thumbcdn.com/splash/emnpld47ewm90w8b.jpg")</f>
        <v>https://thumbcdn.com/splash/emnpld47ewm90w8b.jpg</v>
      </c>
      <c r="D1087" s="12" t="s">
        <v>8384</v>
      </c>
      <c r="E1087" s="57" t="str">
        <f ca="1">IFERROR(__xludf.DUMMYFUNCTION("""COMPUTED_VALUE"""),"OK")</f>
        <v>OK</v>
      </c>
      <c r="F1087" s="46"/>
      <c r="G1087" s="45" t="s">
        <v>11070</v>
      </c>
      <c r="H1087" s="45" t="s">
        <v>11104</v>
      </c>
    </row>
    <row r="1088" spans="1:8">
      <c r="A1088" s="59" t="s">
        <v>11105</v>
      </c>
      <c r="B1088" s="12" t="str">
        <f ca="1">IFERROR(__xludf.DUMMYFUNCTION("""COMPUTED_VALUE"""),"Violet Myers - 48173020 - Onlyfans")</f>
        <v>Violet Myers - 48173020 - Onlyfans</v>
      </c>
      <c r="C1088" s="60" t="str">
        <f ca="1">IFERROR(__xludf.DUMMYFUNCTION("""COMPUTED_VALUE"""),"https://thumbcdn.com/splash/5nrtll6scvtby4xo.jpg")</f>
        <v>https://thumbcdn.com/splash/5nrtll6scvtby4xo.jpg</v>
      </c>
      <c r="D1088" s="12" t="s">
        <v>8388</v>
      </c>
      <c r="E1088" s="57" t="str">
        <f ca="1">IFERROR(__xludf.DUMMYFUNCTION("""COMPUTED_VALUE"""),"OK")</f>
        <v>OK</v>
      </c>
      <c r="F1088" s="46"/>
      <c r="G1088" s="45" t="s">
        <v>11070</v>
      </c>
      <c r="H1088" s="45" t="s">
        <v>11106</v>
      </c>
    </row>
    <row r="1089" spans="1:8">
      <c r="A1089" s="12"/>
      <c r="B1089" s="12" t="str">
        <f ca="1">IFERROR(__xludf.DUMMYFUNCTION("""COMPUTED_VALUE"""),"Violet Myers - 48491010 - Onlyfans")</f>
        <v>Violet Myers - 48491010 - Onlyfans</v>
      </c>
      <c r="C1089" s="60" t="str">
        <f ca="1">IFERROR(__xludf.DUMMYFUNCTION("""COMPUTED_VALUE"""),"https://thumbcdn.com/splash/uk8nkrn8qu7ul5yq.jpg")</f>
        <v>https://thumbcdn.com/splash/uk8nkrn8qu7ul5yq.jpg</v>
      </c>
      <c r="D1089" s="12" t="s">
        <v>8392</v>
      </c>
      <c r="E1089" s="57" t="str">
        <f ca="1">IFERROR(__xludf.DUMMYFUNCTION("""COMPUTED_VALUE"""),"OK")</f>
        <v>OK</v>
      </c>
      <c r="F1089" s="46"/>
      <c r="G1089" s="45" t="s">
        <v>11070</v>
      </c>
      <c r="H1089" s="45" t="s">
        <v>11107</v>
      </c>
    </row>
    <row r="1090" spans="1:8">
      <c r="A1090" s="12" t="s">
        <v>11108</v>
      </c>
      <c r="B1090" s="12" t="str">
        <f ca="1">IFERROR(__xludf.DUMMYFUNCTION("""COMPUTED_VALUE"""),"Violet Myers - 49168775 - Onlyfans - Elly Clutch")</f>
        <v>Violet Myers - 49168775 - Onlyfans - Elly Clutch</v>
      </c>
      <c r="C1090" s="60" t="str">
        <f ca="1">IFERROR(__xludf.DUMMYFUNCTION("""COMPUTED_VALUE"""),"https://thumbcdn.com/splash/5eamuq4uwf7lbark.jpg")</f>
        <v>https://thumbcdn.com/splash/5eamuq4uwf7lbark.jpg</v>
      </c>
      <c r="D1090" s="12" t="s">
        <v>8397</v>
      </c>
      <c r="E1090" s="57" t="str">
        <f ca="1">IFERROR(__xludf.DUMMYFUNCTION("""COMPUTED_VALUE"""),"OK")</f>
        <v>OK</v>
      </c>
      <c r="F1090" s="46"/>
      <c r="G1090" s="45" t="s">
        <v>11070</v>
      </c>
      <c r="H1090" s="45" t="s">
        <v>11109</v>
      </c>
    </row>
    <row r="1091" spans="1:8">
      <c r="A1091" s="59" t="s">
        <v>11110</v>
      </c>
      <c r="B1091" s="12" t="str">
        <f ca="1">IFERROR(__xludf.DUMMYFUNCTION("""COMPUTED_VALUE"""),"Violet Myers - 49779351 - Onlyfans")</f>
        <v>Violet Myers - 49779351 - Onlyfans</v>
      </c>
      <c r="C1091" s="60" t="str">
        <f ca="1">IFERROR(__xludf.DUMMYFUNCTION("""COMPUTED_VALUE"""),"https://thumbcdn.com/splash/ceh6zgoavwi7moh5.jpg")</f>
        <v>https://thumbcdn.com/splash/ceh6zgoavwi7moh5.jpg</v>
      </c>
      <c r="D1091" s="12" t="s">
        <v>8402</v>
      </c>
      <c r="E1091" s="57" t="str">
        <f ca="1">IFERROR(__xludf.DUMMYFUNCTION("""COMPUTED_VALUE"""),"OK")</f>
        <v>OK</v>
      </c>
      <c r="F1091" s="46"/>
      <c r="G1091" s="45" t="s">
        <v>11070</v>
      </c>
      <c r="H1091" s="45" t="s">
        <v>11111</v>
      </c>
    </row>
    <row r="1092" spans="1:8">
      <c r="A1092" s="12"/>
      <c r="B1092" s="12" t="str">
        <f ca="1">IFERROR(__xludf.DUMMYFUNCTION("""COMPUTED_VALUE"""),"Violet Myers - 51020078 - Onlyfans")</f>
        <v>Violet Myers - 51020078 - Onlyfans</v>
      </c>
      <c r="C1092" s="60" t="str">
        <f ca="1">IFERROR(__xludf.DUMMYFUNCTION("""COMPUTED_VALUE"""),"https://thumbcdn.com/splash/bbqel3qlcipbgtyi.jpg")</f>
        <v>https://thumbcdn.com/splash/bbqel3qlcipbgtyi.jpg</v>
      </c>
      <c r="D1092" s="6" t="s">
        <v>8406</v>
      </c>
      <c r="E1092" s="63" t="str">
        <f ca="1">IFERROR(__xludf.DUMMYFUNCTION("""COMPUTED_VALUE"""),"OK")</f>
        <v>OK</v>
      </c>
      <c r="F1092" s="46"/>
      <c r="G1092" s="45" t="s">
        <v>11070</v>
      </c>
      <c r="H1092" s="45" t="s">
        <v>11112</v>
      </c>
    </row>
    <row r="1093" spans="1:8">
      <c r="A1093" s="12" t="s">
        <v>11113</v>
      </c>
      <c r="B1093" s="12" t="str">
        <f ca="1">IFERROR(__xludf.DUMMYFUNCTION("""COMPUTED_VALUE"""),"Violet Myers - 51617269 - Onlyfans - Angela White")</f>
        <v>Violet Myers - 51617269 - Onlyfans - Angela White</v>
      </c>
      <c r="C1093" s="60" t="str">
        <f ca="1">IFERROR(__xludf.DUMMYFUNCTION("""COMPUTED_VALUE"""),"https://thumbcdn.com/splash/avvzh582jpuawosn.jpg")</f>
        <v>https://thumbcdn.com/splash/avvzh582jpuawosn.jpg</v>
      </c>
      <c r="D1093" s="12" t="s">
        <v>8410</v>
      </c>
      <c r="E1093" s="57" t="str">
        <f ca="1">IFERROR(__xludf.DUMMYFUNCTION("""COMPUTED_VALUE"""),"OK")</f>
        <v>OK</v>
      </c>
      <c r="F1093" s="46"/>
      <c r="G1093" s="45" t="s">
        <v>11070</v>
      </c>
      <c r="H1093" s="45" t="s">
        <v>11114</v>
      </c>
    </row>
    <row r="1094" spans="1:8">
      <c r="A1094" s="59" t="s">
        <v>11115</v>
      </c>
      <c r="B1094" s="12" t="str">
        <f ca="1">IFERROR(__xludf.DUMMYFUNCTION("""COMPUTED_VALUE"""),"Violet Myers - 52285724 - Onlyfans")</f>
        <v>Violet Myers - 52285724 - Onlyfans</v>
      </c>
      <c r="C1094" s="60" t="str">
        <f ca="1">IFERROR(__xludf.DUMMYFUNCTION("""COMPUTED_VALUE"""),"https://thumbcdn.com/splash/b03s9jyiyf6v6kml.jpg")</f>
        <v>https://thumbcdn.com/splash/b03s9jyiyf6v6kml.jpg</v>
      </c>
      <c r="D1094" s="12" t="s">
        <v>8414</v>
      </c>
      <c r="E1094" s="57" t="str">
        <f ca="1">IFERROR(__xludf.DUMMYFUNCTION("""COMPUTED_VALUE"""),"OK")</f>
        <v>OK</v>
      </c>
      <c r="F1094" s="46"/>
      <c r="G1094" s="45" t="s">
        <v>11070</v>
      </c>
      <c r="H1094" s="45" t="s">
        <v>11116</v>
      </c>
    </row>
    <row r="1095" spans="1:8">
      <c r="A1095" s="12"/>
      <c r="B1095" s="12" t="str">
        <f ca="1">IFERROR(__xludf.DUMMYFUNCTION("""COMPUTED_VALUE"""),"Violet Myers - 52594792 - Onlyfans")</f>
        <v>Violet Myers - 52594792 - Onlyfans</v>
      </c>
      <c r="C1095" s="60" t="str">
        <f ca="1">IFERROR(__xludf.DUMMYFUNCTION("""COMPUTED_VALUE"""),"https://thumbcdn.com/splash/drxepnpru24kh2x5.jpg")</f>
        <v>https://thumbcdn.com/splash/drxepnpru24kh2x5.jpg</v>
      </c>
      <c r="D1095" s="16" t="s">
        <v>8418</v>
      </c>
      <c r="E1095" s="57" t="str">
        <f ca="1">IFERROR(__xludf.DUMMYFUNCTION("""COMPUTED_VALUE"""),"OK")</f>
        <v>OK</v>
      </c>
      <c r="F1095" s="46"/>
      <c r="G1095" s="45" t="s">
        <v>11070</v>
      </c>
      <c r="H1095" s="45" t="s">
        <v>11117</v>
      </c>
    </row>
    <row r="1096" spans="1:8">
      <c r="A1096" s="12" t="s">
        <v>11118</v>
      </c>
      <c r="B1096" s="12" t="str">
        <f ca="1">IFERROR(__xludf.DUMMYFUNCTION("""COMPUTED_VALUE"""),"Violet Myers - 54315108 -  Onlyfans")</f>
        <v>Violet Myers - 54315108 -  Onlyfans</v>
      </c>
      <c r="C1096" s="60" t="str">
        <f ca="1">IFERROR(__xludf.DUMMYFUNCTION("""COMPUTED_VALUE"""),"https://thumbcdn.com/splash/l94ke6npczfmr8oj.jpg")</f>
        <v>https://thumbcdn.com/splash/l94ke6npczfmr8oj.jpg</v>
      </c>
      <c r="D1096" s="6" t="s">
        <v>8423</v>
      </c>
      <c r="E1096" s="63" t="str">
        <f ca="1">IFERROR(__xludf.DUMMYFUNCTION("""COMPUTED_VALUE"""),"OK")</f>
        <v>OK</v>
      </c>
      <c r="F1096" s="46"/>
      <c r="G1096" s="45" t="s">
        <v>11070</v>
      </c>
      <c r="H1096" s="45" t="s">
        <v>11119</v>
      </c>
    </row>
    <row r="1097" spans="1:8">
      <c r="A1097" s="59" t="s">
        <v>11120</v>
      </c>
      <c r="B1097" s="12" t="str">
        <f ca="1">IFERROR(__xludf.DUMMYFUNCTION("""COMPUTED_VALUE"""),"Violet Myers - 56549820 - Onlyfans")</f>
        <v>Violet Myers - 56549820 - Onlyfans</v>
      </c>
      <c r="C1097" s="60" t="str">
        <f ca="1">IFERROR(__xludf.DUMMYFUNCTION("""COMPUTED_VALUE"""),"https://thumbcdn.com/splash/grl4g2l8ac99l15s.jpg")</f>
        <v>https://thumbcdn.com/splash/grl4g2l8ac99l15s.jpg</v>
      </c>
      <c r="D1097" s="6" t="s">
        <v>8427</v>
      </c>
      <c r="E1097" s="63" t="str">
        <f ca="1">IFERROR(__xludf.DUMMYFUNCTION("""COMPUTED_VALUE"""),"OK")</f>
        <v>OK</v>
      </c>
      <c r="F1097" s="46"/>
      <c r="G1097" s="45" t="s">
        <v>11070</v>
      </c>
      <c r="H1097" s="45" t="s">
        <v>11121</v>
      </c>
    </row>
    <row r="1098" spans="1:8">
      <c r="A1098" s="12"/>
      <c r="B1098" s="12" t="str">
        <f ca="1">IFERROR(__xludf.DUMMYFUNCTION("""COMPUTED_VALUE"""),"Violet Myers - 57616791 - Camsoda")</f>
        <v>Violet Myers - 57616791 - Camsoda</v>
      </c>
      <c r="C1098" s="60" t="str">
        <f ca="1">IFERROR(__xludf.DUMMYFUNCTION("""COMPUTED_VALUE"""),"https://thumbcdn.com/splash/5v0cvc8uzuhr5c4f.jpg")</f>
        <v>https://thumbcdn.com/splash/5v0cvc8uzuhr5c4f.jpg</v>
      </c>
      <c r="D1098" s="12" t="s">
        <v>8437</v>
      </c>
      <c r="E1098" s="57" t="str">
        <f ca="1">IFERROR(__xludf.DUMMYFUNCTION("""COMPUTED_VALUE"""),"OK")</f>
        <v>OK</v>
      </c>
      <c r="F1098" s="46"/>
      <c r="G1098" s="45" t="s">
        <v>11070</v>
      </c>
      <c r="H1098" s="45" t="s">
        <v>11122</v>
      </c>
    </row>
    <row r="1099" spans="1:8">
      <c r="A1099" s="12" t="s">
        <v>11123</v>
      </c>
      <c r="B1099" s="12" t="str">
        <f ca="1">IFERROR(__xludf.DUMMYFUNCTION("""COMPUTED_VALUE"""),"Violet Myers - 58334536 - Onlyfans - Angela White")</f>
        <v>Violet Myers - 58334536 - Onlyfans - Angela White</v>
      </c>
      <c r="C1099" s="60" t="str">
        <f ca="1">IFERROR(__xludf.DUMMYFUNCTION("""COMPUTED_VALUE"""),"https://thumbcdn.com/splash/o58xl88ykfiobwv0.jpg")</f>
        <v>https://thumbcdn.com/splash/o58xl88ykfiobwv0.jpg</v>
      </c>
      <c r="D1099" s="12" t="s">
        <v>8441</v>
      </c>
      <c r="E1099" s="57" t="str">
        <f ca="1">IFERROR(__xludf.DUMMYFUNCTION("""COMPUTED_VALUE"""),"OK")</f>
        <v>OK</v>
      </c>
      <c r="F1099" s="46"/>
      <c r="G1099" s="45" t="s">
        <v>11070</v>
      </c>
      <c r="H1099" s="45" t="s">
        <v>11124</v>
      </c>
    </row>
    <row r="1100" spans="1:8">
      <c r="A1100" s="59" t="s">
        <v>11125</v>
      </c>
      <c r="B1100" s="12" t="str">
        <f ca="1">IFERROR(__xludf.DUMMYFUNCTION("""COMPUTED_VALUE"""),"Violet Myers - 59964539 - Tushy")</f>
        <v>Violet Myers - 59964539 - Tushy</v>
      </c>
      <c r="C1100" s="60" t="str">
        <f ca="1">IFERROR(__xludf.DUMMYFUNCTION("""COMPUTED_VALUE"""),"https://thumbcdn.com/splash/kkkbcrmlaxsvbxtu.jpg")</f>
        <v>https://thumbcdn.com/splash/kkkbcrmlaxsvbxtu.jpg</v>
      </c>
      <c r="D1100" s="12" t="s">
        <v>8445</v>
      </c>
      <c r="E1100" s="57" t="str">
        <f ca="1">IFERROR(__xludf.DUMMYFUNCTION("""COMPUTED_VALUE"""),"OK")</f>
        <v>OK</v>
      </c>
      <c r="F1100" s="46"/>
      <c r="G1100" s="45" t="s">
        <v>11070</v>
      </c>
      <c r="H1100" s="45" t="s">
        <v>11126</v>
      </c>
    </row>
    <row r="1101" spans="1:8">
      <c r="A1101" s="12"/>
      <c r="B1101" s="12" t="str">
        <f ca="1">IFERROR(__xludf.DUMMYFUNCTION("""COMPUTED_VALUE"""),"Violet Myers - 62469806 - Onlyfans")</f>
        <v>Violet Myers - 62469806 - Onlyfans</v>
      </c>
      <c r="C1101" s="60" t="str">
        <f ca="1">IFERROR(__xludf.DUMMYFUNCTION("""COMPUTED_VALUE"""),"https://thumbcdn.com/splash/icx4zmvv2iyq46sk.jpg")</f>
        <v>https://thumbcdn.com/splash/icx4zmvv2iyq46sk.jpg</v>
      </c>
      <c r="D1101" s="12" t="s">
        <v>8449</v>
      </c>
      <c r="E1101" s="57" t="str">
        <f ca="1">IFERROR(__xludf.DUMMYFUNCTION("""COMPUTED_VALUE"""),"OK")</f>
        <v>OK</v>
      </c>
      <c r="F1101" s="46"/>
      <c r="G1101" s="45" t="s">
        <v>11070</v>
      </c>
      <c r="H1101" s="45" t="s">
        <v>11127</v>
      </c>
    </row>
    <row r="1102" spans="1:8">
      <c r="A1102" s="12" t="s">
        <v>11128</v>
      </c>
      <c r="B1102" s="12" t="str">
        <f ca="1">IFERROR(__xludf.DUMMYFUNCTION("""COMPUTED_VALUE"""),"Violet Myers - 62986674 - Onlyfans")</f>
        <v>Violet Myers - 62986674 - Onlyfans</v>
      </c>
      <c r="C1102" s="60" t="str">
        <f ca="1">IFERROR(__xludf.DUMMYFUNCTION("""COMPUTED_VALUE"""),"https://thumbcdn.com/splash/wozj1n06l2yy2mv5.jpg")</f>
        <v>https://thumbcdn.com/splash/wozj1n06l2yy2mv5.jpg</v>
      </c>
      <c r="D1102" s="12" t="s">
        <v>8453</v>
      </c>
      <c r="E1102" s="57" t="str">
        <f ca="1">IFERROR(__xludf.DUMMYFUNCTION("""COMPUTED_VALUE"""),"OK")</f>
        <v>OK</v>
      </c>
      <c r="F1102" s="46"/>
      <c r="G1102" s="45" t="s">
        <v>11070</v>
      </c>
      <c r="H1102" s="45" t="s">
        <v>11129</v>
      </c>
    </row>
    <row r="1103" spans="1:8">
      <c r="A1103" s="59" t="s">
        <v>11130</v>
      </c>
      <c r="B1103" s="12" t="str">
        <f ca="1">IFERROR(__xludf.DUMMYFUNCTION("""COMPUTED_VALUE"""),"Violet Myers - 64925967 - Onlyfans")</f>
        <v>Violet Myers - 64925967 - Onlyfans</v>
      </c>
      <c r="C1103" s="60" t="str">
        <f ca="1">IFERROR(__xludf.DUMMYFUNCTION("""COMPUTED_VALUE"""),"https://thumbcdn.com/splash/csnuqgb70zz489iv.jpg")</f>
        <v>https://thumbcdn.com/splash/csnuqgb70zz489iv.jpg</v>
      </c>
      <c r="D1103" s="12" t="s">
        <v>8458</v>
      </c>
      <c r="E1103" s="57" t="str">
        <f ca="1">IFERROR(__xludf.DUMMYFUNCTION("""COMPUTED_VALUE"""),"OK")</f>
        <v>OK</v>
      </c>
      <c r="F1103" s="46"/>
      <c r="G1103" s="45" t="s">
        <v>11070</v>
      </c>
      <c r="H1103" s="45" t="s">
        <v>11131</v>
      </c>
    </row>
    <row r="1104" spans="1:8">
      <c r="A1104" s="12"/>
      <c r="B1104" s="12" t="str">
        <f ca="1">IFERROR(__xludf.DUMMYFUNCTION("""COMPUTED_VALUE"""),"Violet Myers - 65437027 - Camsoda")</f>
        <v>Violet Myers - 65437027 - Camsoda</v>
      </c>
      <c r="C1104" s="60" t="str">
        <f ca="1">IFERROR(__xludf.DUMMYFUNCTION("""COMPUTED_VALUE"""),"https://thumbcdn.com/splash/tsnqov63t50jcdnf.jpg")</f>
        <v>https://thumbcdn.com/splash/tsnqov63t50jcdnf.jpg</v>
      </c>
      <c r="D1104" s="12" t="s">
        <v>8462</v>
      </c>
      <c r="E1104" s="57" t="str">
        <f ca="1">IFERROR(__xludf.DUMMYFUNCTION("""COMPUTED_VALUE"""),"OK")</f>
        <v>OK</v>
      </c>
      <c r="F1104" s="46"/>
      <c r="G1104" s="45" t="s">
        <v>11070</v>
      </c>
      <c r="H1104" s="45" t="s">
        <v>11132</v>
      </c>
    </row>
    <row r="1105" spans="1:8">
      <c r="A1105" s="12" t="s">
        <v>11133</v>
      </c>
      <c r="B1105" s="12" t="str">
        <f ca="1">IFERROR(__xludf.DUMMYFUNCTION("""COMPUTED_VALUE"""),"Violet Myers - 68380227 - Onlyfans")</f>
        <v>Violet Myers - 68380227 - Onlyfans</v>
      </c>
      <c r="C1105" s="60" t="str">
        <f ca="1">IFERROR(__xludf.DUMMYFUNCTION("""COMPUTED_VALUE"""),"https://thumbcdn.com/splash/t5qlf04kh9mup0gw.jpg")</f>
        <v>https://thumbcdn.com/splash/t5qlf04kh9mup0gw.jpg</v>
      </c>
      <c r="D1105" s="6" t="s">
        <v>8466</v>
      </c>
      <c r="E1105" s="63" t="str">
        <f ca="1">IFERROR(__xludf.DUMMYFUNCTION("""COMPUTED_VALUE"""),"OK")</f>
        <v>OK</v>
      </c>
      <c r="F1105" s="46"/>
      <c r="G1105" s="45" t="s">
        <v>11070</v>
      </c>
      <c r="H1105" s="45" t="s">
        <v>11134</v>
      </c>
    </row>
    <row r="1106" spans="1:8">
      <c r="A1106" s="59" t="s">
        <v>11135</v>
      </c>
      <c r="B1106" s="12" t="str">
        <f ca="1">IFERROR(__xludf.DUMMYFUNCTION("""COMPUTED_VALUE"""),"Violet Myers - 69941077 - XVRED - Lexi Lore - Bec The Barbie - Linda Lan")</f>
        <v>Violet Myers - 69941077 - XVRED - Lexi Lore - Bec The Barbie - Linda Lan</v>
      </c>
      <c r="C1106" s="60" t="str">
        <f ca="1">IFERROR(__xludf.DUMMYFUNCTION("""COMPUTED_VALUE"""),"https://thumbcdn.com/splash/1o0azmclssebmnp9.jpg")</f>
        <v>https://thumbcdn.com/splash/1o0azmclssebmnp9.jpg</v>
      </c>
      <c r="D1106" s="12" t="s">
        <v>8470</v>
      </c>
      <c r="E1106" s="57" t="str">
        <f ca="1">IFERROR(__xludf.DUMMYFUNCTION("""COMPUTED_VALUE"""),"OK")</f>
        <v>OK</v>
      </c>
      <c r="F1106" s="46"/>
      <c r="G1106" s="45" t="s">
        <v>11070</v>
      </c>
      <c r="H1106" s="45" t="s">
        <v>11136</v>
      </c>
    </row>
    <row r="1107" spans="1:8">
      <c r="A1107" s="12"/>
      <c r="B1107" s="12" t="str">
        <f ca="1">IFERROR(__xludf.DUMMYFUNCTION("""COMPUTED_VALUE"""),"Violet Myers - 71852868 - PC")</f>
        <v>Violet Myers - 71852868 - PC</v>
      </c>
      <c r="C1107" s="60" t="str">
        <f ca="1">IFERROR(__xludf.DUMMYFUNCTION("""COMPUTED_VALUE"""),"https://thumbcdn.com/splash/804ifn0ggr20ah6a.jpg")</f>
        <v>https://thumbcdn.com/splash/804ifn0ggr20ah6a.jpg</v>
      </c>
      <c r="D1107" s="12" t="s">
        <v>8475</v>
      </c>
      <c r="E1107" s="57" t="str">
        <f ca="1">IFERROR(__xludf.DUMMYFUNCTION("""COMPUTED_VALUE"""),"OK")</f>
        <v>OK</v>
      </c>
      <c r="F1107" s="46"/>
      <c r="G1107" s="45" t="s">
        <v>11070</v>
      </c>
      <c r="H1107" s="45" t="s">
        <v>11137</v>
      </c>
    </row>
    <row r="1108" spans="1:8">
      <c r="A1108" s="12" t="s">
        <v>11138</v>
      </c>
      <c r="B1108" s="12" t="str">
        <f ca="1">IFERROR(__xludf.DUMMYFUNCTION("""COMPUTED_VALUE"""),"Violet Myers - 72100664 - XVRED")</f>
        <v>Violet Myers - 72100664 - XVRED</v>
      </c>
      <c r="C1108" s="60" t="str">
        <f ca="1">IFERROR(__xludf.DUMMYFUNCTION("""COMPUTED_VALUE"""),"https://thumbcdn.com/splash/tcaz0u6gf9lnbugq.jpg")</f>
        <v>https://thumbcdn.com/splash/tcaz0u6gf9lnbugq.jpg</v>
      </c>
      <c r="D1108" s="12" t="s">
        <v>11139</v>
      </c>
      <c r="E1108" s="57" t="str">
        <f ca="1">IFERROR(__xludf.DUMMYFUNCTION("""COMPUTED_VALUE"""),"OK")</f>
        <v>OK</v>
      </c>
      <c r="F1108" s="46"/>
      <c r="G1108" s="45" t="s">
        <v>11070</v>
      </c>
      <c r="H1108" s="45" t="s">
        <v>11140</v>
      </c>
    </row>
    <row r="1109" spans="1:8">
      <c r="A1109" s="59" t="s">
        <v>11141</v>
      </c>
      <c r="B1109" s="12" t="str">
        <f ca="1">IFERROR(__xludf.DUMMYFUNCTION("""COMPUTED_VALUE"""),"Violet Myers - 73689223 - XVRED")</f>
        <v>Violet Myers - 73689223 - XVRED</v>
      </c>
      <c r="C1109" s="60" t="str">
        <f ca="1">IFERROR(__xludf.DUMMYFUNCTION("""COMPUTED_VALUE"""),"https://thumbcdn.com/splash/dtyjcnctgltsxjyk.jpg")</f>
        <v>https://thumbcdn.com/splash/dtyjcnctgltsxjyk.jpg</v>
      </c>
      <c r="D1109" s="12" t="s">
        <v>8484</v>
      </c>
      <c r="E1109" s="57" t="str">
        <f ca="1">IFERROR(__xludf.DUMMYFUNCTION("""COMPUTED_VALUE"""),"OK")</f>
        <v>OK</v>
      </c>
      <c r="F1109" s="46"/>
      <c r="G1109" s="45" t="s">
        <v>11070</v>
      </c>
      <c r="H1109" s="45" t="s">
        <v>11142</v>
      </c>
    </row>
    <row r="1110" spans="1:8">
      <c r="A1110" s="12"/>
      <c r="B1110" s="12" t="str">
        <f ca="1">IFERROR(__xludf.DUMMYFUNCTION("""COMPUTED_VALUE"""),"Violet Myers - 74529932 - CamSoda")</f>
        <v>Violet Myers - 74529932 - CamSoda</v>
      </c>
      <c r="C1110" s="60" t="str">
        <f ca="1">IFERROR(__xludf.DUMMYFUNCTION("""COMPUTED_VALUE"""),"https://thumbcdn.com/splash/pve6hbs0ms7kvpqi.jpg")</f>
        <v>https://thumbcdn.com/splash/pve6hbs0ms7kvpqi.jpg</v>
      </c>
      <c r="D1110" s="12" t="s">
        <v>8488</v>
      </c>
      <c r="E1110" s="57" t="str">
        <f ca="1">IFERROR(__xludf.DUMMYFUNCTION("""COMPUTED_VALUE"""),"OK")</f>
        <v>OK</v>
      </c>
      <c r="F1110" s="46"/>
      <c r="G1110" s="45" t="s">
        <v>11070</v>
      </c>
      <c r="H1110" s="45" t="s">
        <v>11143</v>
      </c>
    </row>
    <row r="1111" spans="1:8">
      <c r="A1111" s="12" t="s">
        <v>11144</v>
      </c>
      <c r="B1111" s="12" t="str">
        <f ca="1">IFERROR(__xludf.DUMMYFUNCTION("""COMPUTED_VALUE"""),"Violet Myers - 74865421 - XVRED")</f>
        <v>Violet Myers - 74865421 - XVRED</v>
      </c>
      <c r="C1111" s="60" t="str">
        <f ca="1">IFERROR(__xludf.DUMMYFUNCTION("""COMPUTED_VALUE"""),"https://thumbcdn.com/splash/0w0wui41zxj7lsvv.jpg")</f>
        <v>https://thumbcdn.com/splash/0w0wui41zxj7lsvv.jpg</v>
      </c>
      <c r="D1111" s="6" t="s">
        <v>8492</v>
      </c>
      <c r="E1111" s="63" t="str">
        <f ca="1">IFERROR(__xludf.DUMMYFUNCTION("""COMPUTED_VALUE"""),"OK")</f>
        <v>OK</v>
      </c>
      <c r="F1111" s="46"/>
      <c r="G1111" s="45" t="s">
        <v>11070</v>
      </c>
      <c r="H1111" s="45" t="s">
        <v>11145</v>
      </c>
    </row>
    <row r="1112" spans="1:8">
      <c r="A1112" s="59" t="s">
        <v>11146</v>
      </c>
      <c r="B1112" s="12" t="str">
        <f ca="1">IFERROR(__xludf.DUMMYFUNCTION("""COMPUTED_VALUE"""),"Violet Myers - 75494414 - XVRED")</f>
        <v>Violet Myers - 75494414 - XVRED</v>
      </c>
      <c r="C1112" s="60" t="str">
        <f ca="1">IFERROR(__xludf.DUMMYFUNCTION("""COMPUTED_VALUE"""),"https://thumbcdn.com/splash/iyivkzaeh0pg31g9.jpg")</f>
        <v>https://thumbcdn.com/splash/iyivkzaeh0pg31g9.jpg</v>
      </c>
      <c r="D1112" s="12" t="s">
        <v>8496</v>
      </c>
      <c r="E1112" s="57" t="str">
        <f ca="1">IFERROR(__xludf.DUMMYFUNCTION("""COMPUTED_VALUE"""),"OK")</f>
        <v>OK</v>
      </c>
      <c r="F1112" s="46"/>
      <c r="G1112" s="45" t="s">
        <v>11070</v>
      </c>
      <c r="H1112" s="45" t="s">
        <v>11147</v>
      </c>
    </row>
    <row r="1113" spans="1:8">
      <c r="A1113" s="12"/>
      <c r="B1113" s="12" t="str">
        <f ca="1">IFERROR(__xludf.DUMMYFUNCTION("""COMPUTED_VALUE"""),"Violet Myers - 76155839 - Onlyfans - Alina Lopez")</f>
        <v>Violet Myers - 76155839 - Onlyfans - Alina Lopez</v>
      </c>
      <c r="C1113" s="60" t="str">
        <f ca="1">IFERROR(__xludf.DUMMYFUNCTION("""COMPUTED_VALUE"""),"https://thumbcdn.com/splash/8j5bq2w32sy8f1jp.jpg")</f>
        <v>https://thumbcdn.com/splash/8j5bq2w32sy8f1jp.jpg</v>
      </c>
      <c r="D1113" s="6" t="s">
        <v>8500</v>
      </c>
      <c r="E1113" s="63" t="str">
        <f ca="1">IFERROR(__xludf.DUMMYFUNCTION("""COMPUTED_VALUE"""),"OK")</f>
        <v>OK</v>
      </c>
      <c r="F1113" s="46"/>
      <c r="G1113" s="45" t="s">
        <v>11070</v>
      </c>
      <c r="H1113" s="45" t="s">
        <v>11148</v>
      </c>
    </row>
    <row r="1114" spans="1:8">
      <c r="A1114" s="12" t="s">
        <v>11149</v>
      </c>
      <c r="B1114" s="12" t="str">
        <f ca="1">IFERROR(__xludf.DUMMYFUNCTION("""COMPUTED_VALUE"""),"Violet Myers - 76308967 - Onlyfans")</f>
        <v>Violet Myers - 76308967 - Onlyfans</v>
      </c>
      <c r="C1114" s="60" t="str">
        <f ca="1">IFERROR(__xludf.DUMMYFUNCTION("""COMPUTED_VALUE"""),"https://thumbcdn.com/splash/ibvlbfvr6iwdxvwd.jpg")</f>
        <v>https://thumbcdn.com/splash/ibvlbfvr6iwdxvwd.jpg</v>
      </c>
      <c r="D1114" s="12" t="s">
        <v>8504</v>
      </c>
      <c r="E1114" s="57" t="str">
        <f ca="1">IFERROR(__xludf.DUMMYFUNCTION("""COMPUTED_VALUE"""),"OK")</f>
        <v>OK</v>
      </c>
      <c r="F1114" s="46"/>
      <c r="G1114" s="45" t="s">
        <v>11070</v>
      </c>
      <c r="H1114" s="45" t="s">
        <v>11150</v>
      </c>
    </row>
    <row r="1115" spans="1:8">
      <c r="A1115" s="59" t="s">
        <v>11151</v>
      </c>
      <c r="B1115" s="12" t="str">
        <f ca="1">IFERROR(__xludf.DUMMYFUNCTION("""COMPUTED_VALUE"""),"Violet Myers - 81824789 - Onlyfans")</f>
        <v>Violet Myers - 81824789 - Onlyfans</v>
      </c>
      <c r="C1115" s="60" t="str">
        <f ca="1">IFERROR(__xludf.DUMMYFUNCTION("""COMPUTED_VALUE"""),"https://thumbcdn.com/splash/mxmrzxefpndmo7uf.jpg")</f>
        <v>https://thumbcdn.com/splash/mxmrzxefpndmo7uf.jpg</v>
      </c>
      <c r="D1115" s="12" t="s">
        <v>8508</v>
      </c>
      <c r="E1115" s="57" t="str">
        <f ca="1">IFERROR(__xludf.DUMMYFUNCTION("""COMPUTED_VALUE"""),"OK")</f>
        <v>OK</v>
      </c>
      <c r="F1115" s="46"/>
      <c r="G1115" s="45" t="s">
        <v>11070</v>
      </c>
      <c r="H1115" s="45" t="s">
        <v>11152</v>
      </c>
    </row>
    <row r="1116" spans="1:8">
      <c r="A1116" s="12"/>
      <c r="B1116" s="12" t="str">
        <f ca="1">IFERROR(__xludf.DUMMYFUNCTION("""COMPUTED_VALUE"""),"Violet Myers - 82928322 - Onlyfans")</f>
        <v>Violet Myers - 82928322 - Onlyfans</v>
      </c>
      <c r="C1116" s="60" t="str">
        <f ca="1">IFERROR(__xludf.DUMMYFUNCTION("""COMPUTED_VALUE"""),"https://thumbcdn.com/splash/sdiyrkz6cfjaurel.jpg")</f>
        <v>https://thumbcdn.com/splash/sdiyrkz6cfjaurel.jpg</v>
      </c>
      <c r="D1116" s="6" t="s">
        <v>8512</v>
      </c>
      <c r="E1116" s="63" t="str">
        <f ca="1">IFERROR(__xludf.DUMMYFUNCTION("""COMPUTED_VALUE"""),"OK")</f>
        <v>OK</v>
      </c>
      <c r="F1116" s="46"/>
      <c r="G1116" s="45" t="s">
        <v>11070</v>
      </c>
      <c r="H1116" s="45" t="s">
        <v>11153</v>
      </c>
    </row>
    <row r="1117" spans="1:8">
      <c r="A1117" s="12" t="s">
        <v>11154</v>
      </c>
      <c r="B1117" s="12" t="str">
        <f ca="1">IFERROR(__xludf.DUMMYFUNCTION("""COMPUTED_VALUE"""),"Violet Myers - 85075742 - Onlyfans")</f>
        <v>Violet Myers - 85075742 - Onlyfans</v>
      </c>
      <c r="C1117" s="60" t="str">
        <f ca="1">IFERROR(__xludf.DUMMYFUNCTION("""COMPUTED_VALUE"""),"https://thumbcdn.com/splash/8y64adf7w5zxbscu.jpg")</f>
        <v>https://thumbcdn.com/splash/8y64adf7w5zxbscu.jpg</v>
      </c>
      <c r="D1117" s="6" t="s">
        <v>8516</v>
      </c>
      <c r="E1117" s="63" t="str">
        <f ca="1">IFERROR(__xludf.DUMMYFUNCTION("""COMPUTED_VALUE"""),"OK")</f>
        <v>OK</v>
      </c>
      <c r="F1117" s="46"/>
      <c r="G1117" s="45" t="s">
        <v>11070</v>
      </c>
      <c r="H1117" s="45" t="s">
        <v>11155</v>
      </c>
    </row>
    <row r="1118" spans="1:8">
      <c r="A1118" s="59" t="s">
        <v>11156</v>
      </c>
      <c r="B1118" s="12" t="str">
        <f ca="1">IFERROR(__xludf.DUMMYFUNCTION("""COMPUTED_VALUE"""),"Violet Myers - 87190925 - Onlyfans")</f>
        <v>Violet Myers - 87190925 - Onlyfans</v>
      </c>
      <c r="C1118" s="60" t="str">
        <f ca="1">IFERROR(__xludf.DUMMYFUNCTION("""COMPUTED_VALUE"""),"https://thumbcdn.com/splash/g2rcd36k692l49om.jpg")</f>
        <v>https://thumbcdn.com/splash/g2rcd36k692l49om.jpg</v>
      </c>
      <c r="D1118" s="12" t="s">
        <v>8522</v>
      </c>
      <c r="E1118" s="57" t="str">
        <f ca="1">IFERROR(__xludf.DUMMYFUNCTION("""COMPUTED_VALUE"""),"OK")</f>
        <v>OK</v>
      </c>
      <c r="F1118" s="46"/>
      <c r="G1118" s="45" t="s">
        <v>11070</v>
      </c>
      <c r="H1118" s="45" t="s">
        <v>11157</v>
      </c>
    </row>
    <row r="1119" spans="1:8">
      <c r="A1119" s="12"/>
      <c r="B1119" s="12" t="str">
        <f ca="1">IFERROR(__xludf.DUMMYFUNCTION("""COMPUTED_VALUE"""),"Violet Myers - 87442420 - Onlyfans")</f>
        <v>Violet Myers - 87442420 - Onlyfans</v>
      </c>
      <c r="C1119" s="60" t="str">
        <f ca="1">IFERROR(__xludf.DUMMYFUNCTION("""COMPUTED_VALUE"""),"https://thumbcdn.com/splash/jmbq6ogq1ki20vj4.jpg")</f>
        <v>https://thumbcdn.com/splash/jmbq6ogq1ki20vj4.jpg</v>
      </c>
      <c r="D1119" s="12" t="s">
        <v>8526</v>
      </c>
      <c r="E1119" s="57" t="str">
        <f ca="1">IFERROR(__xludf.DUMMYFUNCTION("""COMPUTED_VALUE"""),"OK")</f>
        <v>OK</v>
      </c>
      <c r="F1119" s="46"/>
      <c r="G1119" s="45" t="s">
        <v>11070</v>
      </c>
      <c r="H1119" s="45" t="s">
        <v>11158</v>
      </c>
    </row>
    <row r="1120" spans="1:8">
      <c r="A1120" s="12" t="s">
        <v>11159</v>
      </c>
      <c r="B1120" s="12" t="str">
        <f ca="1">IFERROR(__xludf.DUMMYFUNCTION("""COMPUTED_VALUE"""),"Violet Myers - 90005104 - Onlyfans")</f>
        <v>Violet Myers - 90005104 - Onlyfans</v>
      </c>
      <c r="C1120" s="60" t="str">
        <f ca="1">IFERROR(__xludf.DUMMYFUNCTION("""COMPUTED_VALUE"""),"https://thumbcdn.com/splash/go1eywmddq9tm4vz.jpg")</f>
        <v>https://thumbcdn.com/splash/go1eywmddq9tm4vz.jpg</v>
      </c>
      <c r="D1120" s="12" t="s">
        <v>8535</v>
      </c>
      <c r="E1120" s="57" t="str">
        <f ca="1">IFERROR(__xludf.DUMMYFUNCTION("""COMPUTED_VALUE"""),"OK")</f>
        <v>OK</v>
      </c>
      <c r="F1120" s="46"/>
      <c r="G1120" s="45" t="s">
        <v>11070</v>
      </c>
      <c r="H1120" s="45" t="s">
        <v>11160</v>
      </c>
    </row>
    <row r="1121" spans="1:8">
      <c r="A1121" s="59" t="s">
        <v>11161</v>
      </c>
      <c r="B1121" s="12" t="str">
        <f ca="1">IFERROR(__xludf.DUMMYFUNCTION("""COMPUTED_VALUE"""),"Violet Myers - 92812758 - Onlyfans")</f>
        <v>Violet Myers - 92812758 - Onlyfans</v>
      </c>
      <c r="C1121" s="60" t="str">
        <f ca="1">IFERROR(__xludf.DUMMYFUNCTION("""COMPUTED_VALUE"""),"https://thumbcdn.com/splash/b1l98o1tpsudb8g6.jpg")</f>
        <v>https://thumbcdn.com/splash/b1l98o1tpsudb8g6.jpg</v>
      </c>
      <c r="D1121" s="6" t="s">
        <v>8539</v>
      </c>
      <c r="E1121" s="63" t="str">
        <f ca="1">IFERROR(__xludf.DUMMYFUNCTION("""COMPUTED_VALUE"""),"OK")</f>
        <v>OK</v>
      </c>
      <c r="F1121" s="46"/>
      <c r="G1121" s="45" t="s">
        <v>11070</v>
      </c>
      <c r="H1121" s="45" t="s">
        <v>11162</v>
      </c>
    </row>
    <row r="1122" spans="1:8">
      <c r="A1122" s="12"/>
      <c r="B1122" s="12" t="str">
        <f ca="1">IFERROR(__xludf.DUMMYFUNCTION("""COMPUTED_VALUE"""),"Violet Myers - 96688536 - Onlyfans")</f>
        <v>Violet Myers - 96688536 - Onlyfans</v>
      </c>
      <c r="C1122" s="60" t="str">
        <f ca="1">IFERROR(__xludf.DUMMYFUNCTION("""COMPUTED_VALUE"""),"https://thumbcdn.com/splash/lyi7aciyv03ru733.jpg")</f>
        <v>https://thumbcdn.com/splash/lyi7aciyv03ru733.jpg</v>
      </c>
      <c r="D1122" s="12" t="s">
        <v>8543</v>
      </c>
      <c r="E1122" s="57" t="str">
        <f ca="1">IFERROR(__xludf.DUMMYFUNCTION("""COMPUTED_VALUE"""),"OK")</f>
        <v>OK</v>
      </c>
      <c r="F1122" s="46"/>
      <c r="G1122" s="45" t="s">
        <v>11070</v>
      </c>
      <c r="H1122" s="45" t="s">
        <v>11163</v>
      </c>
    </row>
    <row r="1123" spans="1:8">
      <c r="A1123" s="12" t="s">
        <v>11164</v>
      </c>
      <c r="B1123" s="12" t="str">
        <f ca="1">IFERROR(__xludf.DUMMYFUNCTION("""COMPUTED_VALUE"""),"Violet Myers - 99229329 - Onlyfans - Lena the plug")</f>
        <v>Violet Myers - 99229329 - Onlyfans - Lena the plug</v>
      </c>
      <c r="C1123" s="60" t="str">
        <f ca="1">IFERROR(__xludf.DUMMYFUNCTION("""COMPUTED_VALUE"""),"https://thumbcdn.com/splash/nede3ob7fkqzcowe.jpg")</f>
        <v>https://thumbcdn.com/splash/nede3ob7fkqzcowe.jpg</v>
      </c>
      <c r="D1123" s="11" t="s">
        <v>8547</v>
      </c>
      <c r="E1123" s="63" t="str">
        <f ca="1">IFERROR(__xludf.DUMMYFUNCTION("""COMPUTED_VALUE"""),"OK")</f>
        <v>OK</v>
      </c>
      <c r="F1123" s="46"/>
      <c r="G1123" s="45" t="s">
        <v>11070</v>
      </c>
      <c r="H1123" s="45" t="s">
        <v>11165</v>
      </c>
    </row>
    <row r="1124" spans="1:8">
      <c r="A1124" s="59" t="s">
        <v>11166</v>
      </c>
      <c r="B1124" s="12" t="str">
        <f ca="1">IFERROR(__xludf.DUMMYFUNCTION("""COMPUTED_VALUE"""),"Violet Ray - 56804782 - ExploitedCollegeGirls")</f>
        <v>Violet Ray - 56804782 - ExploitedCollegeGirls</v>
      </c>
      <c r="C1124" s="60" t="str">
        <f ca="1">IFERROR(__xludf.DUMMYFUNCTION("""COMPUTED_VALUE"""),"https://thumbcdn.com/splash/wn8w3lnm6naag7vz.jpg")</f>
        <v>https://thumbcdn.com/splash/wn8w3lnm6naag7vz.jpg</v>
      </c>
      <c r="D1124" s="12" t="s">
        <v>8551</v>
      </c>
      <c r="E1124" s="57" t="str">
        <f ca="1">IFERROR(__xludf.DUMMYFUNCTION("""COMPUTED_VALUE"""),"OK")</f>
        <v>OK</v>
      </c>
      <c r="F1124" s="46"/>
      <c r="G1124" s="45" t="s">
        <v>11070</v>
      </c>
      <c r="H1124" s="45" t="s">
        <v>11167</v>
      </c>
    </row>
    <row r="1125" spans="1:8">
      <c r="A1125" s="12"/>
      <c r="B1125" s="12" t="str">
        <f ca="1">IFERROR(__xludf.DUMMYFUNCTION("""COMPUTED_VALUE"""),"Vivian Taylor - 21079570 - BR")</f>
        <v>Vivian Taylor - 21079570 - BR</v>
      </c>
      <c r="C1125" s="60" t="str">
        <f ca="1">IFERROR(__xludf.DUMMYFUNCTION("""COMPUTED_VALUE"""),"https://thumbcdn.com/splash/byycq32k4n9n7vl6.jpg")</f>
        <v>https://thumbcdn.com/splash/byycq32k4n9n7vl6.jpg</v>
      </c>
      <c r="D1125" s="12" t="s">
        <v>8557</v>
      </c>
      <c r="E1125" s="57" t="str">
        <f ca="1">IFERROR(__xludf.DUMMYFUNCTION("""COMPUTED_VALUE"""),"OK")</f>
        <v>OK</v>
      </c>
      <c r="F1125" s="46"/>
      <c r="G1125" s="45" t="s">
        <v>11168</v>
      </c>
      <c r="H1125" s="45" t="s">
        <v>11169</v>
      </c>
    </row>
    <row r="1126" spans="1:8">
      <c r="A1126" s="12" t="s">
        <v>11170</v>
      </c>
      <c r="B1126" s="12" t="str">
        <f ca="1">IFERROR(__xludf.DUMMYFUNCTION("""COMPUTED_VALUE"""),"Vivian Taylor - 22537547 - Onlyfans")</f>
        <v>Vivian Taylor - 22537547 - Onlyfans</v>
      </c>
      <c r="C1126" s="60" t="str">
        <f ca="1">IFERROR(__xludf.DUMMYFUNCTION("""COMPUTED_VALUE"""),"https://thumbcdn.com/splash/jpjylyklofbi8efk.jpg")</f>
        <v>https://thumbcdn.com/splash/jpjylyklofbi8efk.jpg</v>
      </c>
      <c r="D1126" s="12" t="s">
        <v>8561</v>
      </c>
      <c r="E1126" s="57" t="str">
        <f ca="1">IFERROR(__xludf.DUMMYFUNCTION("""COMPUTED_VALUE"""),"OK")</f>
        <v>OK</v>
      </c>
      <c r="F1126" s="46"/>
      <c r="G1126" s="45" t="s">
        <v>11171</v>
      </c>
      <c r="H1126" s="45" t="s">
        <v>11172</v>
      </c>
    </row>
    <row r="1127" spans="1:8">
      <c r="A1127" s="59" t="s">
        <v>11173</v>
      </c>
      <c r="B1127" s="12" t="str">
        <f ca="1">IFERROR(__xludf.DUMMYFUNCTION("""COMPUTED_VALUE"""),"Vivian Taylor - 23340937 - Onlyfans")</f>
        <v>Vivian Taylor - 23340937 - Onlyfans</v>
      </c>
      <c r="C1127" s="60" t="str">
        <f ca="1">IFERROR(__xludf.DUMMYFUNCTION("""COMPUTED_VALUE"""),"https://thumbcdn.com/splash/65hfq4yzuneuxo7z.jpg")</f>
        <v>https://thumbcdn.com/splash/65hfq4yzuneuxo7z.jpg</v>
      </c>
      <c r="D1127" s="12" t="s">
        <v>8565</v>
      </c>
      <c r="E1127" s="57" t="str">
        <f ca="1">IFERROR(__xludf.DUMMYFUNCTION("""COMPUTED_VALUE"""),"OK")</f>
        <v>OK</v>
      </c>
      <c r="F1127" s="46"/>
      <c r="G1127" s="45" t="s">
        <v>11171</v>
      </c>
      <c r="H1127" s="45" t="s">
        <v>11174</v>
      </c>
    </row>
    <row r="1128" spans="1:8">
      <c r="A1128" s="12"/>
      <c r="B1128" s="12" t="str">
        <f ca="1">IFERROR(__xludf.DUMMYFUNCTION("""COMPUTED_VALUE"""),"Vivian Taylor - 23782061 - MPF")</f>
        <v>Vivian Taylor - 23782061 - MPF</v>
      </c>
      <c r="C1128" s="60" t="str">
        <f ca="1">IFERROR(__xludf.DUMMYFUNCTION("""COMPUTED_VALUE"""),"https://thumbcdn.com/splash/pkzuxrn8svwnt9or.jpg")</f>
        <v>https://thumbcdn.com/splash/pkzuxrn8svwnt9or.jpg</v>
      </c>
      <c r="D1128" s="6" t="s">
        <v>8569</v>
      </c>
      <c r="E1128" s="63" t="str">
        <f ca="1">IFERROR(__xludf.DUMMYFUNCTION("""COMPUTED_VALUE"""),"OK")</f>
        <v>OK</v>
      </c>
      <c r="F1128" s="46"/>
      <c r="G1128" s="45" t="s">
        <v>11171</v>
      </c>
      <c r="H1128" s="45" t="s">
        <v>11175</v>
      </c>
    </row>
    <row r="1129" spans="1:8">
      <c r="A1129" s="12" t="s">
        <v>11176</v>
      </c>
      <c r="B1129" s="12" t="str">
        <f ca="1">IFERROR(__xludf.DUMMYFUNCTION("""COMPUTED_VALUE"""),"Vivian Taylor - 30693922 - Onlyfans")</f>
        <v>Vivian Taylor - 30693922 - Onlyfans</v>
      </c>
      <c r="C1129" s="60" t="str">
        <f ca="1">IFERROR(__xludf.DUMMYFUNCTION("""COMPUTED_VALUE"""),"https://thumbcdn.com/splash/tcxl1kfuxx9qo440.jpg")</f>
        <v>https://thumbcdn.com/splash/tcxl1kfuxx9qo440.jpg</v>
      </c>
      <c r="D1129" s="16" t="s">
        <v>8579</v>
      </c>
      <c r="E1129" s="57" t="str">
        <f ca="1">IFERROR(__xludf.DUMMYFUNCTION("""COMPUTED_VALUE"""),"OK")</f>
        <v>OK</v>
      </c>
      <c r="F1129" s="46"/>
      <c r="G1129" s="45" t="s">
        <v>11171</v>
      </c>
      <c r="H1129" s="45" t="s">
        <v>11177</v>
      </c>
    </row>
    <row r="1130" spans="1:8">
      <c r="A1130" s="59" t="s">
        <v>11178</v>
      </c>
      <c r="B1130" s="12" t="str">
        <f ca="1">IFERROR(__xludf.DUMMYFUNCTION("""COMPUTED_VALUE"""),"Vivian Taylor - 34896965 - Onlyfans")</f>
        <v>Vivian Taylor - 34896965 - Onlyfans</v>
      </c>
      <c r="C1130" s="60" t="str">
        <f ca="1">IFERROR(__xludf.DUMMYFUNCTION("""COMPUTED_VALUE"""),"https://thumbcdn.com/splash/1cztm70f1jw9weau.jpg")</f>
        <v>https://thumbcdn.com/splash/1cztm70f1jw9weau.jpg</v>
      </c>
      <c r="D1130" s="12" t="s">
        <v>8589</v>
      </c>
      <c r="E1130" s="57" t="str">
        <f ca="1">IFERROR(__xludf.DUMMYFUNCTION("""COMPUTED_VALUE"""),"OK")</f>
        <v>OK</v>
      </c>
      <c r="F1130" s="46"/>
      <c r="G1130" s="45" t="s">
        <v>11171</v>
      </c>
      <c r="H1130" s="45" t="s">
        <v>11179</v>
      </c>
    </row>
    <row r="1131" spans="1:8">
      <c r="A1131" s="12"/>
      <c r="B1131" s="12" t="str">
        <f ca="1">IFERROR(__xludf.DUMMYFUNCTION("""COMPUTED_VALUE"""),"Vivian Taylor - 42892117 - Onlyfans")</f>
        <v>Vivian Taylor - 42892117 - Onlyfans</v>
      </c>
      <c r="C1131" s="60" t="str">
        <f ca="1">IFERROR(__xludf.DUMMYFUNCTION("""COMPUTED_VALUE"""),"https://thumbcdn.com/splash/3yudjjyh0fq5x25r.jpg")</f>
        <v>https://thumbcdn.com/splash/3yudjjyh0fq5x25r.jpg</v>
      </c>
      <c r="D1131" s="12" t="s">
        <v>8601</v>
      </c>
      <c r="E1131" s="57" t="str">
        <f ca="1">IFERROR(__xludf.DUMMYFUNCTION("""COMPUTED_VALUE"""),"OK")</f>
        <v>OK</v>
      </c>
      <c r="F1131" s="46"/>
      <c r="G1131" s="45" t="s">
        <v>11171</v>
      </c>
      <c r="H1131" s="45" t="s">
        <v>11180</v>
      </c>
    </row>
    <row r="1132" spans="1:8">
      <c r="A1132" s="12" t="s">
        <v>11181</v>
      </c>
      <c r="B1132" s="12" t="str">
        <f ca="1">IFERROR(__xludf.DUMMYFUNCTION("""COMPUTED_VALUE"""),"Vivian Taylor - 53117148 - Onlyfans")</f>
        <v>Vivian Taylor - 53117148 - Onlyfans</v>
      </c>
      <c r="C1132" s="60" t="str">
        <f ca="1">IFERROR(__xludf.DUMMYFUNCTION("""COMPUTED_VALUE"""),"https://thumbcdn.com/splash/cj5tdau6x95qjpsp.jpg")</f>
        <v>https://thumbcdn.com/splash/cj5tdau6x95qjpsp.jpg</v>
      </c>
      <c r="D1132" s="12" t="s">
        <v>8611</v>
      </c>
      <c r="E1132" s="57" t="str">
        <f ca="1">IFERROR(__xludf.DUMMYFUNCTION("""COMPUTED_VALUE"""),"OK")</f>
        <v>OK</v>
      </c>
      <c r="F1132" s="46"/>
      <c r="G1132" s="45" t="s">
        <v>11171</v>
      </c>
      <c r="H1132" s="45" t="s">
        <v>11182</v>
      </c>
    </row>
    <row r="1133" spans="1:8">
      <c r="A1133" s="59" t="s">
        <v>11183</v>
      </c>
      <c r="B1133" s="12" t="str">
        <f ca="1">IFERROR(__xludf.DUMMYFUNCTION("""COMPUTED_VALUE"""),"Vivian Taylor - 61592313 - Onlyfans")</f>
        <v>Vivian Taylor - 61592313 - Onlyfans</v>
      </c>
      <c r="C1133" s="60" t="str">
        <f ca="1">IFERROR(__xludf.DUMMYFUNCTION("""COMPUTED_VALUE"""),"https://thumbcdn.com/splash/rc8wsef7mtb4g4l9.jpg")</f>
        <v>https://thumbcdn.com/splash/rc8wsef7mtb4g4l9.jpg</v>
      </c>
      <c r="D1133" s="12" t="s">
        <v>8615</v>
      </c>
      <c r="E1133" s="57" t="str">
        <f ca="1">IFERROR(__xludf.DUMMYFUNCTION("""COMPUTED_VALUE"""),"OK")</f>
        <v>OK</v>
      </c>
      <c r="F1133" s="46"/>
      <c r="G1133" s="45" t="s">
        <v>11171</v>
      </c>
      <c r="H1133" s="45" t="s">
        <v>11184</v>
      </c>
    </row>
    <row r="1134" spans="1:8">
      <c r="A1134" s="12"/>
      <c r="B1134" s="12" t="str">
        <f ca="1">IFERROR(__xludf.DUMMYFUNCTION("""COMPUTED_VALUE"""),"Vivian Taylor - 67870189 - Onlyfans")</f>
        <v>Vivian Taylor - 67870189 - Onlyfans</v>
      </c>
      <c r="C1134" s="60" t="str">
        <f ca="1">IFERROR(__xludf.DUMMYFUNCTION("""COMPUTED_VALUE"""),"https://thumbcdn.com/splash/xtyl3sqbsv2vdqvk.jpg")</f>
        <v>https://thumbcdn.com/splash/xtyl3sqbsv2vdqvk.jpg</v>
      </c>
      <c r="D1134" s="12" t="s">
        <v>8623</v>
      </c>
      <c r="E1134" s="57" t="str">
        <f ca="1">IFERROR(__xludf.DUMMYFUNCTION("""COMPUTED_VALUE"""),"OK")</f>
        <v>OK</v>
      </c>
      <c r="F1134" s="46"/>
      <c r="G1134" s="45" t="s">
        <v>11171</v>
      </c>
      <c r="H1134" s="45" t="s">
        <v>11185</v>
      </c>
    </row>
    <row r="1135" spans="1:8">
      <c r="A1135" s="12" t="s">
        <v>11186</v>
      </c>
      <c r="B1135" s="12" t="str">
        <f ca="1">IFERROR(__xludf.DUMMYFUNCTION("""COMPUTED_VALUE"""),"Vivian Taylor - 74834685 - TMW")</f>
        <v>Vivian Taylor - 74834685 - TMW</v>
      </c>
      <c r="C1135" s="60" t="str">
        <f ca="1">IFERROR(__xludf.DUMMYFUNCTION("""COMPUTED_VALUE"""),"https://thumbcdn.com/splash/hw3jrd1lfs2sgp6e.jpg")</f>
        <v>https://thumbcdn.com/splash/hw3jrd1lfs2sgp6e.jpg</v>
      </c>
      <c r="D1135" s="12" t="s">
        <v>8631</v>
      </c>
      <c r="E1135" s="57" t="str">
        <f ca="1">IFERROR(__xludf.DUMMYFUNCTION("""COMPUTED_VALUE"""),"OK")</f>
        <v>OK</v>
      </c>
      <c r="F1135" s="46"/>
      <c r="G1135" s="45" t="s">
        <v>11171</v>
      </c>
      <c r="H1135" s="45" t="s">
        <v>11187</v>
      </c>
    </row>
    <row r="1136" spans="1:8">
      <c r="A1136" s="59" t="s">
        <v>11188</v>
      </c>
      <c r="B1136" s="12" t="str">
        <f ca="1">IFERROR(__xludf.DUMMYFUNCTION("""COMPUTED_VALUE"""),"Vivian Taylor - 76201123 - Bang")</f>
        <v>Vivian Taylor - 76201123 - Bang</v>
      </c>
      <c r="C1136" s="60" t="str">
        <f ca="1">IFERROR(__xludf.DUMMYFUNCTION("""COMPUTED_VALUE"""),"https://thumbcdn.com/splash/xlfcnrpge0470ouw.jpg")</f>
        <v>https://thumbcdn.com/splash/xlfcnrpge0470ouw.jpg</v>
      </c>
      <c r="D1136" s="16" t="s">
        <v>8635</v>
      </c>
      <c r="E1136" s="57" t="str">
        <f ca="1">IFERROR(__xludf.DUMMYFUNCTION("""COMPUTED_VALUE"""),"OK")</f>
        <v>OK</v>
      </c>
      <c r="F1136" s="46"/>
      <c r="G1136" s="45" t="s">
        <v>11171</v>
      </c>
      <c r="H1136" s="45" t="s">
        <v>11189</v>
      </c>
    </row>
    <row r="1137" spans="1:8">
      <c r="A1137" s="12"/>
      <c r="B1137" s="12" t="str">
        <f ca="1">IFERROR(__xludf.DUMMYFUNCTION("""COMPUTED_VALUE"""),"Vivian Taylor - 83159571 - Onlyfans - Lena the plug")</f>
        <v>Vivian Taylor - 83159571 - Onlyfans - Lena the plug</v>
      </c>
      <c r="C1137" s="60" t="str">
        <f ca="1">IFERROR(__xludf.DUMMYFUNCTION("""COMPUTED_VALUE"""),"https://thumbcdn.com/splash/xfb08roas1l9b37n.jpg")</f>
        <v>https://thumbcdn.com/splash/xfb08roas1l9b37n.jpg</v>
      </c>
      <c r="D1137" s="12" t="s">
        <v>8644</v>
      </c>
      <c r="E1137" s="57" t="str">
        <f ca="1">IFERROR(__xludf.DUMMYFUNCTION("""COMPUTED_VALUE"""),"OK")</f>
        <v>OK</v>
      </c>
      <c r="F1137" s="46"/>
      <c r="G1137" s="45" t="s">
        <v>11171</v>
      </c>
      <c r="H1137" s="45" t="s">
        <v>11190</v>
      </c>
    </row>
    <row r="1138" spans="1:8">
      <c r="A1138" s="12" t="s">
        <v>11191</v>
      </c>
      <c r="B1138" s="12" t="str">
        <f ca="1">IFERROR(__xludf.DUMMYFUNCTION("""COMPUTED_VALUE"""),"Wild Halli - 81526399 - Onlyfans")</f>
        <v>Wild Halli - 81526399 - Onlyfans</v>
      </c>
      <c r="C1138" s="60" t="str">
        <f ca="1">IFERROR(__xludf.DUMMYFUNCTION("""COMPUTED_VALUE"""),"https://thumbcdn.com/splash/b9ssyadbw1zc7fbw.jpg")</f>
        <v>https://thumbcdn.com/splash/b9ssyadbw1zc7fbw.jpg</v>
      </c>
      <c r="D1138" s="12" t="s">
        <v>8665</v>
      </c>
      <c r="E1138" s="57" t="str">
        <f ca="1">IFERROR(__xludf.DUMMYFUNCTION("""COMPUTED_VALUE"""),"OK")</f>
        <v>OK</v>
      </c>
      <c r="F1138" s="46"/>
      <c r="G1138" s="45" t="s">
        <v>11171</v>
      </c>
      <c r="H1138" s="45" t="s">
        <v>11192</v>
      </c>
    </row>
    <row r="1139" spans="1:8">
      <c r="A1139" s="59" t="s">
        <v>11193</v>
      </c>
      <c r="B1139" s="12" t="str">
        <f ca="1">IFERROR(__xludf.DUMMYFUNCTION("""COMPUTED_VALUE"""),"Yuiwoo - 35203460 - Onlyfans")</f>
        <v>Yuiwoo - 35203460 - Onlyfans</v>
      </c>
      <c r="C1139" s="60" t="str">
        <f ca="1">IFERROR(__xludf.DUMMYFUNCTION("""COMPUTED_VALUE"""),"https://thumbcdn.com/splash/lv0ph6vdcoz2pi18.jpg")</f>
        <v>https://thumbcdn.com/splash/lv0ph6vdcoz2pi18.jpg</v>
      </c>
      <c r="D1139" s="12" t="s">
        <v>8674</v>
      </c>
      <c r="E1139" s="57" t="str">
        <f ca="1">IFERROR(__xludf.DUMMYFUNCTION("""COMPUTED_VALUE"""),"OK")</f>
        <v>OK</v>
      </c>
      <c r="F1139" s="46"/>
      <c r="G1139" s="45" t="s">
        <v>11194</v>
      </c>
      <c r="H1139" s="45" t="s">
        <v>11195</v>
      </c>
    </row>
    <row r="1140" spans="1:8">
      <c r="A1140" s="12"/>
      <c r="B1140" s="12" t="str">
        <f ca="1">IFERROR(__xludf.DUMMYFUNCTION("""COMPUTED_VALUE"""),"Yuiwoo - 38709626 - Onlyfans")</f>
        <v>Yuiwoo - 38709626 - Onlyfans</v>
      </c>
      <c r="C1140" s="60" t="str">
        <f ca="1">IFERROR(__xludf.DUMMYFUNCTION("""COMPUTED_VALUE"""),"https://thumbcdn.com/splash/6snff75e7g8384v5.jpg")</f>
        <v>https://thumbcdn.com/splash/6snff75e7g8384v5.jpg</v>
      </c>
      <c r="D1140" s="12" t="s">
        <v>8680</v>
      </c>
      <c r="E1140" s="57" t="str">
        <f ca="1">IFERROR(__xludf.DUMMYFUNCTION("""COMPUTED_VALUE"""),"OK")</f>
        <v>OK</v>
      </c>
      <c r="F1140" s="46"/>
      <c r="G1140" s="45" t="s">
        <v>11196</v>
      </c>
      <c r="H1140" s="45" t="s">
        <v>11197</v>
      </c>
    </row>
    <row r="1141" spans="1:8">
      <c r="A1141" s="12" t="s">
        <v>11198</v>
      </c>
      <c r="B1141" s="12" t="str">
        <f ca="1">IFERROR(__xludf.DUMMYFUNCTION("""COMPUTED_VALUE"""),"ZiaFox - 37596286 - Onlyfans")</f>
        <v>ZiaFox - 37596286 - Onlyfans</v>
      </c>
      <c r="C1141" s="56" t="str">
        <f ca="1">IFERROR(__xludf.DUMMYFUNCTION("""COMPUTED_VALUE"""),"https://thumbcdn.com/splash/gdfgcsg9aa3014ue.jpg")</f>
        <v>https://thumbcdn.com/splash/gdfgcsg9aa3014ue.jpg</v>
      </c>
      <c r="D1141" s="12" t="s">
        <v>8684</v>
      </c>
      <c r="E1141" s="57" t="str">
        <f ca="1">IFERROR(__xludf.DUMMYFUNCTION("""COMPUTED_VALUE"""),"OK")</f>
        <v>OK</v>
      </c>
      <c r="F1141" s="46"/>
      <c r="G1141" s="45" t="s">
        <v>11196</v>
      </c>
      <c r="H1141" s="45" t="s">
        <v>11199</v>
      </c>
    </row>
    <row r="1142" spans="1:8">
      <c r="A1142" s="59" t="s">
        <v>11200</v>
      </c>
      <c r="C1142" s="12"/>
      <c r="D1142" s="12"/>
      <c r="E1142" s="57" t="str">
        <f ca="1">IFERROR(__xludf.DUMMYFUNCTION("""COMPUTED_VALUE"""),"")</f>
        <v/>
      </c>
      <c r="F1142" s="46"/>
      <c r="G1142" s="45" t="s">
        <v>11201</v>
      </c>
      <c r="H1142" s="45" t="s">
        <v>11202</v>
      </c>
    </row>
    <row r="1143" spans="1:8">
      <c r="A1143" s="12"/>
      <c r="C1143" s="12"/>
      <c r="E1143" s="57" t="str">
        <f ca="1">IFERROR(__xludf.DUMMYFUNCTION("""COMPUTED_VALUE"""),"")</f>
        <v/>
      </c>
    </row>
    <row r="1144" spans="1:8">
      <c r="A1144" s="12" t="s">
        <v>11203</v>
      </c>
      <c r="C1144" s="12"/>
      <c r="D1144" s="12"/>
      <c r="E1144" s="57" t="str">
        <f ca="1">IFERROR(__xludf.DUMMYFUNCTION("""COMPUTED_VALUE"""),"")</f>
        <v/>
      </c>
    </row>
    <row r="1145" spans="1:8">
      <c r="A1145" s="59" t="s">
        <v>11204</v>
      </c>
      <c r="C1145" s="12"/>
      <c r="D1145" s="12"/>
      <c r="E1145" s="57" t="str">
        <f ca="1">IFERROR(__xludf.DUMMYFUNCTION("""COMPUTED_VALUE"""),"")</f>
        <v/>
      </c>
    </row>
    <row r="1146" spans="1:8">
      <c r="A1146" s="12"/>
      <c r="C1146" s="12"/>
      <c r="D1146" s="12"/>
      <c r="E1146" s="57" t="str">
        <f ca="1">IFERROR(__xludf.DUMMYFUNCTION("""COMPUTED_VALUE"""),"")</f>
        <v/>
      </c>
    </row>
    <row r="1147" spans="1:8">
      <c r="A1147" s="12" t="s">
        <v>11205</v>
      </c>
      <c r="C1147" s="12"/>
      <c r="D1147" s="12"/>
      <c r="E1147" s="57" t="str">
        <f ca="1">IFERROR(__xludf.DUMMYFUNCTION("""COMPUTED_VALUE"""),"")</f>
        <v/>
      </c>
    </row>
    <row r="1148" spans="1:8">
      <c r="A1148" s="59" t="s">
        <v>11206</v>
      </c>
      <c r="C1148" s="12"/>
      <c r="D1148" s="12"/>
      <c r="E1148" s="57" t="str">
        <f ca="1">IFERROR(__xludf.DUMMYFUNCTION("""COMPUTED_VALUE"""),"")</f>
        <v/>
      </c>
    </row>
    <row r="1149" spans="1:8">
      <c r="A1149" s="12"/>
      <c r="C1149" s="12"/>
      <c r="E1149" s="57" t="str">
        <f ca="1">IFERROR(__xludf.DUMMYFUNCTION("""COMPUTED_VALUE"""),"")</f>
        <v/>
      </c>
    </row>
    <row r="1150" spans="1:8">
      <c r="A1150" s="12" t="s">
        <v>11207</v>
      </c>
      <c r="C1150" s="12"/>
      <c r="D1150" s="12"/>
      <c r="E1150" s="57" t="str">
        <f ca="1">IFERROR(__xludf.DUMMYFUNCTION("""COMPUTED_VALUE"""),"")</f>
        <v/>
      </c>
    </row>
    <row r="1151" spans="1:8">
      <c r="A1151" s="59" t="s">
        <v>11208</v>
      </c>
      <c r="C1151" s="12"/>
      <c r="D1151" s="12"/>
      <c r="E1151" s="57" t="str">
        <f ca="1">IFERROR(__xludf.DUMMYFUNCTION("""COMPUTED_VALUE"""),"")</f>
        <v/>
      </c>
    </row>
    <row r="1152" spans="1:8">
      <c r="A1152" s="12"/>
      <c r="C1152" s="12"/>
      <c r="D1152" s="12"/>
      <c r="E1152" s="57" t="str">
        <f ca="1">IFERROR(__xludf.DUMMYFUNCTION("""COMPUTED_VALUE"""),"")</f>
        <v/>
      </c>
    </row>
    <row r="1153" spans="1:8">
      <c r="A1153" s="12" t="s">
        <v>11209</v>
      </c>
      <c r="C1153" s="12"/>
      <c r="D1153" s="6"/>
      <c r="E1153" s="63" t="str">
        <f ca="1">IFERROR(__xludf.DUMMYFUNCTION("""COMPUTED_VALUE"""),"")</f>
        <v/>
      </c>
    </row>
    <row r="1154" spans="1:8">
      <c r="A1154" s="59" t="s">
        <v>11210</v>
      </c>
      <c r="C1154" s="12"/>
      <c r="D1154" s="12"/>
      <c r="E1154" s="57" t="str">
        <f ca="1">IFERROR(__xludf.DUMMYFUNCTION("""COMPUTED_VALUE"""),"")</f>
        <v/>
      </c>
      <c r="G1154" s="45"/>
      <c r="H1154" s="45"/>
    </row>
    <row r="1155" spans="1:8">
      <c r="A1155" s="12"/>
      <c r="C1155" s="12"/>
      <c r="D1155" s="12"/>
      <c r="E1155" s="57" t="str">
        <f ca="1">IFERROR(__xludf.DUMMYFUNCTION("""COMPUTED_VALUE"""),"")</f>
        <v/>
      </c>
    </row>
    <row r="1156" spans="1:8">
      <c r="A1156" s="12" t="s">
        <v>11211</v>
      </c>
      <c r="C1156" s="12"/>
      <c r="D1156" s="12"/>
      <c r="E1156" s="57" t="str">
        <f ca="1">IFERROR(__xludf.DUMMYFUNCTION("""COMPUTED_VALUE"""),"")</f>
        <v/>
      </c>
    </row>
    <row r="1157" spans="1:8">
      <c r="A1157" s="59" t="s">
        <v>11212</v>
      </c>
      <c r="C1157" s="12"/>
      <c r="D1157" s="12"/>
      <c r="E1157" s="57" t="str">
        <f ca="1">IFERROR(__xludf.DUMMYFUNCTION("""COMPUTED_VALUE"""),"")</f>
        <v/>
      </c>
    </row>
    <row r="1158" spans="1:8">
      <c r="A1158" s="12"/>
      <c r="C1158" s="12"/>
      <c r="D1158" s="12"/>
      <c r="E1158" s="57" t="str">
        <f ca="1">IFERROR(__xludf.DUMMYFUNCTION("""COMPUTED_VALUE"""),"")</f>
        <v/>
      </c>
    </row>
    <row r="1159" spans="1:8">
      <c r="A1159" s="12" t="s">
        <v>11213</v>
      </c>
      <c r="C1159" s="12"/>
      <c r="D1159" s="12"/>
      <c r="E1159" s="57" t="str">
        <f ca="1">IFERROR(__xludf.DUMMYFUNCTION("""COMPUTED_VALUE"""),"")</f>
        <v/>
      </c>
    </row>
    <row r="1160" spans="1:8">
      <c r="A1160" s="59" t="s">
        <v>11214</v>
      </c>
      <c r="C1160" s="12"/>
      <c r="D1160" s="12"/>
      <c r="E1160" s="57" t="str">
        <f ca="1">IFERROR(__xludf.DUMMYFUNCTION("""COMPUTED_VALUE"""),"")</f>
        <v/>
      </c>
    </row>
    <row r="1161" spans="1:8">
      <c r="A1161" s="12"/>
      <c r="C1161" s="12"/>
      <c r="D1161" s="12"/>
      <c r="E1161" s="57" t="str">
        <f ca="1">IFERROR(__xludf.DUMMYFUNCTION("""COMPUTED_VALUE"""),"")</f>
        <v/>
      </c>
    </row>
    <row r="1162" spans="1:8">
      <c r="A1162" s="12" t="s">
        <v>11215</v>
      </c>
      <c r="C1162" s="12"/>
      <c r="D1162" s="12"/>
      <c r="E1162" s="57" t="str">
        <f ca="1">IFERROR(__xludf.DUMMYFUNCTION("""COMPUTED_VALUE"""),"")</f>
        <v/>
      </c>
    </row>
    <row r="1163" spans="1:8">
      <c r="A1163" s="59" t="s">
        <v>11216</v>
      </c>
      <c r="C1163" s="12"/>
      <c r="D1163" s="12"/>
      <c r="E1163" s="57" t="str">
        <f ca="1">IFERROR(__xludf.DUMMYFUNCTION("""COMPUTED_VALUE"""),"")</f>
        <v/>
      </c>
    </row>
    <row r="1164" spans="1:8">
      <c r="A1164" s="12"/>
      <c r="C1164" s="12"/>
      <c r="D1164" s="12"/>
      <c r="E1164" s="57" t="str">
        <f ca="1">IFERROR(__xludf.DUMMYFUNCTION("""COMPUTED_VALUE"""),"")</f>
        <v/>
      </c>
    </row>
    <row r="1165" spans="1:8">
      <c r="A1165" s="12" t="s">
        <v>11217</v>
      </c>
      <c r="C1165" s="12"/>
      <c r="D1165" s="12"/>
      <c r="E1165" s="57" t="str">
        <f ca="1">IFERROR(__xludf.DUMMYFUNCTION("""COMPUTED_VALUE"""),"")</f>
        <v/>
      </c>
    </row>
    <row r="1166" spans="1:8">
      <c r="A1166" s="59" t="s">
        <v>11218</v>
      </c>
      <c r="C1166" s="12"/>
      <c r="D1166" s="12"/>
      <c r="E1166" s="57" t="str">
        <f ca="1">IFERROR(__xludf.DUMMYFUNCTION("""COMPUTED_VALUE"""),"")</f>
        <v/>
      </c>
    </row>
    <row r="1167" spans="1:8">
      <c r="A1167" s="12"/>
      <c r="C1167" s="12"/>
      <c r="D1167" s="12"/>
      <c r="E1167" s="57" t="str">
        <f ca="1">IFERROR(__xludf.DUMMYFUNCTION("""COMPUTED_VALUE"""),"")</f>
        <v/>
      </c>
    </row>
    <row r="1168" spans="1:8">
      <c r="A1168" s="12" t="s">
        <v>11219</v>
      </c>
      <c r="C1168" s="12"/>
      <c r="D1168" s="12"/>
      <c r="E1168" s="57" t="str">
        <f ca="1">IFERROR(__xludf.DUMMYFUNCTION("""COMPUTED_VALUE"""),"")</f>
        <v/>
      </c>
    </row>
    <row r="1169" spans="1:8">
      <c r="A1169" s="59" t="s">
        <v>11220</v>
      </c>
      <c r="C1169" s="12"/>
      <c r="D1169" s="6"/>
      <c r="E1169" s="63" t="str">
        <f ca="1">IFERROR(__xludf.DUMMYFUNCTION("""COMPUTED_VALUE"""),"")</f>
        <v/>
      </c>
    </row>
    <row r="1170" spans="1:8">
      <c r="A1170" s="12"/>
      <c r="C1170" s="12"/>
      <c r="D1170" s="12"/>
      <c r="E1170" s="57" t="str">
        <f ca="1">IFERROR(__xludf.DUMMYFUNCTION("""COMPUTED_VALUE"""),"")</f>
        <v/>
      </c>
      <c r="G1170" s="45"/>
      <c r="H1170" s="45"/>
    </row>
    <row r="1171" spans="1:8">
      <c r="A1171" s="12" t="s">
        <v>11221</v>
      </c>
      <c r="C1171" s="12"/>
      <c r="D1171" s="12"/>
      <c r="E1171" s="57" t="str">
        <f ca="1">IFERROR(__xludf.DUMMYFUNCTION("""COMPUTED_VALUE"""),"")</f>
        <v/>
      </c>
    </row>
    <row r="1172" spans="1:8">
      <c r="A1172" s="59" t="s">
        <v>11222</v>
      </c>
      <c r="C1172" s="12"/>
      <c r="D1172" s="12"/>
      <c r="E1172" s="57" t="str">
        <f ca="1">IFERROR(__xludf.DUMMYFUNCTION("""COMPUTED_VALUE"""),"")</f>
        <v/>
      </c>
    </row>
    <row r="1173" spans="1:8">
      <c r="A1173" s="12"/>
      <c r="C1173" s="12"/>
      <c r="D1173" s="12"/>
      <c r="E1173" s="57" t="str">
        <f ca="1">IFERROR(__xludf.DUMMYFUNCTION("""COMPUTED_VALUE"""),"")</f>
        <v/>
      </c>
    </row>
    <row r="1174" spans="1:8">
      <c r="A1174" s="12" t="s">
        <v>11223</v>
      </c>
      <c r="C1174" s="12"/>
      <c r="D1174" s="12"/>
      <c r="E1174" s="57" t="str">
        <f ca="1">IFERROR(__xludf.DUMMYFUNCTION("""COMPUTED_VALUE"""),"")</f>
        <v/>
      </c>
    </row>
    <row r="1175" spans="1:8">
      <c r="A1175" s="59" t="s">
        <v>11224</v>
      </c>
      <c r="C1175" s="12"/>
      <c r="D1175" s="12"/>
      <c r="E1175" s="57" t="str">
        <f ca="1">IFERROR(__xludf.DUMMYFUNCTION("""COMPUTED_VALUE"""),"")</f>
        <v/>
      </c>
    </row>
    <row r="1176" spans="1:8">
      <c r="A1176" s="12"/>
      <c r="C1176" s="12"/>
      <c r="D1176" s="12"/>
      <c r="E1176" s="57" t="str">
        <f ca="1">IFERROR(__xludf.DUMMYFUNCTION("""COMPUTED_VALUE"""),"")</f>
        <v/>
      </c>
    </row>
    <row r="1177" spans="1:8">
      <c r="A1177" s="12" t="s">
        <v>11225</v>
      </c>
      <c r="C1177" s="12"/>
      <c r="D1177" s="12"/>
      <c r="E1177" s="57" t="str">
        <f ca="1">IFERROR(__xludf.DUMMYFUNCTION("""COMPUTED_VALUE"""),"")</f>
        <v/>
      </c>
    </row>
    <row r="1178" spans="1:8">
      <c r="A1178" s="59" t="s">
        <v>11226</v>
      </c>
      <c r="C1178" s="12"/>
      <c r="D1178" s="12"/>
      <c r="E1178" s="57" t="str">
        <f ca="1">IFERROR(__xludf.DUMMYFUNCTION("""COMPUTED_VALUE"""),"")</f>
        <v/>
      </c>
    </row>
    <row r="1179" spans="1:8">
      <c r="A1179" s="12"/>
      <c r="C1179" s="12"/>
      <c r="D1179" s="12"/>
      <c r="E1179" s="57" t="str">
        <f ca="1">IFERROR(__xludf.DUMMYFUNCTION("""COMPUTED_VALUE"""),"")</f>
        <v/>
      </c>
    </row>
    <row r="1180" spans="1:8">
      <c r="A1180" s="12" t="s">
        <v>11227</v>
      </c>
      <c r="C1180" s="12"/>
      <c r="D1180" s="12"/>
      <c r="E1180" s="57" t="str">
        <f ca="1">IFERROR(__xludf.DUMMYFUNCTION("""COMPUTED_VALUE"""),"")</f>
        <v/>
      </c>
    </row>
    <row r="1181" spans="1:8">
      <c r="A1181" s="59" t="s">
        <v>11228</v>
      </c>
      <c r="C1181" s="12"/>
      <c r="D1181" s="12"/>
      <c r="E1181" s="57" t="str">
        <f ca="1">IFERROR(__xludf.DUMMYFUNCTION("""COMPUTED_VALUE"""),"")</f>
        <v/>
      </c>
    </row>
    <row r="1182" spans="1:8">
      <c r="A1182" s="12"/>
      <c r="C1182" s="12"/>
      <c r="D1182" s="12"/>
      <c r="E1182" s="57" t="str">
        <f ca="1">IFERROR(__xludf.DUMMYFUNCTION("""COMPUTED_VALUE"""),"")</f>
        <v/>
      </c>
    </row>
    <row r="1183" spans="1:8">
      <c r="A1183" s="12" t="s">
        <v>11229</v>
      </c>
      <c r="C1183" s="12"/>
      <c r="D1183" s="12"/>
      <c r="E1183" s="57" t="str">
        <f ca="1">IFERROR(__xludf.DUMMYFUNCTION("""COMPUTED_VALUE"""),"")</f>
        <v/>
      </c>
    </row>
    <row r="1184" spans="1:8">
      <c r="A1184" s="59" t="s">
        <v>11230</v>
      </c>
      <c r="C1184" s="12"/>
      <c r="D1184" s="12"/>
      <c r="E1184" s="57" t="str">
        <f ca="1">IFERROR(__xludf.DUMMYFUNCTION("""COMPUTED_VALUE"""),"")</f>
        <v/>
      </c>
    </row>
    <row r="1185" spans="1:5">
      <c r="A1185" s="12"/>
      <c r="C1185" s="12"/>
      <c r="D1185" s="12"/>
      <c r="E1185" s="57" t="str">
        <f ca="1">IFERROR(__xludf.DUMMYFUNCTION("""COMPUTED_VALUE"""),"")</f>
        <v/>
      </c>
    </row>
    <row r="1186" spans="1:5">
      <c r="A1186" s="12" t="s">
        <v>11231</v>
      </c>
      <c r="C1186" s="12"/>
      <c r="D1186" s="12"/>
      <c r="E1186" s="57" t="str">
        <f ca="1">IFERROR(__xludf.DUMMYFUNCTION("""COMPUTED_VALUE"""),"")</f>
        <v/>
      </c>
    </row>
    <row r="1187" spans="1:5">
      <c r="A1187" s="59" t="s">
        <v>11232</v>
      </c>
      <c r="C1187" s="12"/>
      <c r="D1187" s="12"/>
      <c r="E1187" s="57" t="str">
        <f ca="1">IFERROR(__xludf.DUMMYFUNCTION("""COMPUTED_VALUE"""),"")</f>
        <v/>
      </c>
    </row>
    <row r="1188" spans="1:5">
      <c r="A1188" s="12"/>
      <c r="C1188" s="12"/>
      <c r="D1188" s="12"/>
      <c r="E1188" s="57" t="str">
        <f ca="1">IFERROR(__xludf.DUMMYFUNCTION("""COMPUTED_VALUE"""),"")</f>
        <v/>
      </c>
    </row>
    <row r="1189" spans="1:5">
      <c r="A1189" s="12" t="s">
        <v>11233</v>
      </c>
      <c r="C1189" s="12"/>
      <c r="D1189" s="12"/>
      <c r="E1189" s="57" t="str">
        <f ca="1">IFERROR(__xludf.DUMMYFUNCTION("""COMPUTED_VALUE"""),"")</f>
        <v/>
      </c>
    </row>
    <row r="1190" spans="1:5">
      <c r="A1190" s="59" t="s">
        <v>11234</v>
      </c>
      <c r="C1190" s="12"/>
      <c r="D1190" s="12"/>
      <c r="E1190" s="57" t="str">
        <f ca="1">IFERROR(__xludf.DUMMYFUNCTION("""COMPUTED_VALUE"""),"")</f>
        <v/>
      </c>
    </row>
    <row r="1191" spans="1:5">
      <c r="A1191" s="12"/>
      <c r="C1191" s="12"/>
      <c r="D1191" s="12"/>
      <c r="E1191" s="57" t="str">
        <f ca="1">IFERROR(__xludf.DUMMYFUNCTION("""COMPUTED_VALUE"""),"")</f>
        <v/>
      </c>
    </row>
    <row r="1192" spans="1:5">
      <c r="A1192" s="12" t="s">
        <v>11235</v>
      </c>
      <c r="C1192" s="12"/>
      <c r="D1192" s="12"/>
      <c r="E1192" s="57" t="str">
        <f ca="1">IFERROR(__xludf.DUMMYFUNCTION("""COMPUTED_VALUE"""),"")</f>
        <v/>
      </c>
    </row>
    <row r="1193" spans="1:5">
      <c r="A1193" s="59" t="s">
        <v>11236</v>
      </c>
      <c r="C1193" s="12"/>
      <c r="D1193" s="12"/>
      <c r="E1193" s="57" t="str">
        <f ca="1">IFERROR(__xludf.DUMMYFUNCTION("""COMPUTED_VALUE"""),"")</f>
        <v/>
      </c>
    </row>
    <row r="1194" spans="1:5">
      <c r="A1194" s="12"/>
      <c r="C1194" s="12"/>
      <c r="D1194" s="12"/>
      <c r="E1194" s="57" t="str">
        <f ca="1">IFERROR(__xludf.DUMMYFUNCTION("""COMPUTED_VALUE"""),"")</f>
        <v/>
      </c>
    </row>
    <row r="1195" spans="1:5">
      <c r="A1195" s="12" t="s">
        <v>11237</v>
      </c>
      <c r="C1195" s="12"/>
      <c r="D1195" s="12"/>
      <c r="E1195" s="57" t="str">
        <f ca="1">IFERROR(__xludf.DUMMYFUNCTION("""COMPUTED_VALUE"""),"")</f>
        <v/>
      </c>
    </row>
    <row r="1196" spans="1:5">
      <c r="A1196" s="59" t="s">
        <v>11238</v>
      </c>
      <c r="C1196" s="12"/>
      <c r="D1196" s="12"/>
      <c r="E1196" s="57" t="str">
        <f ca="1">IFERROR(__xludf.DUMMYFUNCTION("""COMPUTED_VALUE"""),"")</f>
        <v/>
      </c>
    </row>
    <row r="1197" spans="1:5">
      <c r="A1197" s="12"/>
      <c r="C1197" s="12"/>
      <c r="D1197" s="12"/>
      <c r="E1197" s="57" t="str">
        <f ca="1">IFERROR(__xludf.DUMMYFUNCTION("""COMPUTED_VALUE"""),"")</f>
        <v/>
      </c>
    </row>
    <row r="1198" spans="1:5">
      <c r="A1198" s="12" t="s">
        <v>11239</v>
      </c>
      <c r="C1198" s="12"/>
      <c r="D1198" s="12"/>
      <c r="E1198" s="57" t="str">
        <f ca="1">IFERROR(__xludf.DUMMYFUNCTION("""COMPUTED_VALUE"""),"")</f>
        <v/>
      </c>
    </row>
    <row r="1199" spans="1:5">
      <c r="A1199" s="59" t="s">
        <v>11240</v>
      </c>
      <c r="C1199" s="12"/>
      <c r="D1199" s="12"/>
      <c r="E1199" s="57" t="str">
        <f ca="1">IFERROR(__xludf.DUMMYFUNCTION("""COMPUTED_VALUE"""),"")</f>
        <v/>
      </c>
    </row>
    <row r="1200" spans="1:5">
      <c r="A1200" s="12"/>
      <c r="C1200" s="12"/>
      <c r="D1200" s="12"/>
      <c r="E1200" s="57" t="str">
        <f ca="1">IFERROR(__xludf.DUMMYFUNCTION("""COMPUTED_VALUE"""),"")</f>
        <v/>
      </c>
    </row>
    <row r="1201" spans="1:5">
      <c r="A1201" s="12" t="s">
        <v>11241</v>
      </c>
      <c r="C1201" s="12"/>
      <c r="D1201" s="12"/>
      <c r="E1201" s="57" t="str">
        <f ca="1">IFERROR(__xludf.DUMMYFUNCTION("""COMPUTED_VALUE"""),"")</f>
        <v/>
      </c>
    </row>
    <row r="1202" spans="1:5">
      <c r="A1202" s="59" t="s">
        <v>11242</v>
      </c>
      <c r="C1202" s="12"/>
      <c r="D1202" s="12"/>
      <c r="E1202" s="57" t="str">
        <f ca="1">IFERROR(__xludf.DUMMYFUNCTION("""COMPUTED_VALUE"""),"")</f>
        <v/>
      </c>
    </row>
    <row r="1203" spans="1:5">
      <c r="A1203" s="12"/>
      <c r="C1203" s="12"/>
      <c r="D1203" s="12"/>
      <c r="E1203" s="57" t="str">
        <f ca="1">IFERROR(__xludf.DUMMYFUNCTION("""COMPUTED_VALUE"""),"")</f>
        <v/>
      </c>
    </row>
    <row r="1204" spans="1:5">
      <c r="A1204" s="12" t="s">
        <v>11243</v>
      </c>
      <c r="C1204" s="12"/>
      <c r="D1204" s="12"/>
      <c r="E1204" s="57" t="str">
        <f ca="1">IFERROR(__xludf.DUMMYFUNCTION("""COMPUTED_VALUE"""),"")</f>
        <v/>
      </c>
    </row>
    <row r="1205" spans="1:5">
      <c r="A1205" s="59" t="s">
        <v>11244</v>
      </c>
      <c r="C1205" s="12"/>
      <c r="D1205" s="12"/>
      <c r="E1205" s="57" t="str">
        <f ca="1">IFERROR(__xludf.DUMMYFUNCTION("""COMPUTED_VALUE"""),"")</f>
        <v/>
      </c>
    </row>
    <row r="1206" spans="1:5">
      <c r="A1206" s="12"/>
      <c r="C1206" s="12"/>
      <c r="D1206" s="12"/>
      <c r="E1206" s="57" t="str">
        <f ca="1">IFERROR(__xludf.DUMMYFUNCTION("""COMPUTED_VALUE"""),"")</f>
        <v/>
      </c>
    </row>
    <row r="1207" spans="1:5">
      <c r="A1207" s="12" t="s">
        <v>11245</v>
      </c>
      <c r="C1207" s="12"/>
      <c r="D1207" s="12"/>
      <c r="E1207" s="57" t="str">
        <f ca="1">IFERROR(__xludf.DUMMYFUNCTION("""COMPUTED_VALUE"""),"")</f>
        <v/>
      </c>
    </row>
    <row r="1208" spans="1:5">
      <c r="A1208" s="59" t="s">
        <v>11246</v>
      </c>
      <c r="C1208" s="12"/>
      <c r="D1208" s="12"/>
      <c r="E1208" s="57" t="str">
        <f ca="1">IFERROR(__xludf.DUMMYFUNCTION("""COMPUTED_VALUE"""),"")</f>
        <v/>
      </c>
    </row>
    <row r="1209" spans="1:5">
      <c r="A1209" s="12"/>
      <c r="C1209" s="12"/>
      <c r="D1209" s="12"/>
      <c r="E1209" s="57" t="str">
        <f ca="1">IFERROR(__xludf.DUMMYFUNCTION("""COMPUTED_VALUE"""),"")</f>
        <v/>
      </c>
    </row>
    <row r="1210" spans="1:5">
      <c r="A1210" s="12" t="s">
        <v>11247</v>
      </c>
      <c r="C1210" s="12"/>
      <c r="D1210" s="12"/>
      <c r="E1210" s="57" t="str">
        <f ca="1">IFERROR(__xludf.DUMMYFUNCTION("""COMPUTED_VALUE"""),"")</f>
        <v/>
      </c>
    </row>
    <row r="1211" spans="1:5">
      <c r="A1211" s="59" t="s">
        <v>11248</v>
      </c>
      <c r="C1211" s="12"/>
      <c r="D1211" s="12"/>
      <c r="E1211" s="57" t="str">
        <f ca="1">IFERROR(__xludf.DUMMYFUNCTION("""COMPUTED_VALUE"""),"")</f>
        <v/>
      </c>
    </row>
    <row r="1212" spans="1:5">
      <c r="A1212" s="12"/>
      <c r="C1212" s="12"/>
      <c r="D1212" s="12"/>
      <c r="E1212" s="57" t="str">
        <f ca="1">IFERROR(__xludf.DUMMYFUNCTION("""COMPUTED_VALUE"""),"")</f>
        <v/>
      </c>
    </row>
    <row r="1213" spans="1:5">
      <c r="A1213" s="12" t="s">
        <v>11249</v>
      </c>
      <c r="C1213" s="12"/>
      <c r="D1213" s="12"/>
      <c r="E1213" s="57" t="str">
        <f ca="1">IFERROR(__xludf.DUMMYFUNCTION("""COMPUTED_VALUE"""),"")</f>
        <v/>
      </c>
    </row>
    <row r="1214" spans="1:5">
      <c r="A1214" s="59" t="s">
        <v>11250</v>
      </c>
      <c r="C1214" s="12"/>
      <c r="D1214" s="12"/>
      <c r="E1214" s="57" t="str">
        <f ca="1">IFERROR(__xludf.DUMMYFUNCTION("""COMPUTED_VALUE"""),"")</f>
        <v/>
      </c>
    </row>
    <row r="1215" spans="1:5">
      <c r="A1215" s="12"/>
      <c r="C1215" s="12"/>
      <c r="D1215" s="12"/>
      <c r="E1215" s="57" t="str">
        <f ca="1">IFERROR(__xludf.DUMMYFUNCTION("""COMPUTED_VALUE"""),"")</f>
        <v/>
      </c>
    </row>
    <row r="1216" spans="1:5">
      <c r="A1216" s="12" t="s">
        <v>11251</v>
      </c>
      <c r="C1216" s="12"/>
      <c r="D1216" s="12"/>
      <c r="E1216" s="57" t="str">
        <f ca="1">IFERROR(__xludf.DUMMYFUNCTION("""COMPUTED_VALUE"""),"")</f>
        <v/>
      </c>
    </row>
    <row r="1217" spans="1:5">
      <c r="A1217" s="59" t="s">
        <v>11252</v>
      </c>
      <c r="C1217" s="12"/>
      <c r="D1217" s="12"/>
      <c r="E1217" s="57" t="str">
        <f ca="1">IFERROR(__xludf.DUMMYFUNCTION("""COMPUTED_VALUE"""),"")</f>
        <v/>
      </c>
    </row>
    <row r="1218" spans="1:5">
      <c r="A1218" s="12"/>
      <c r="C1218" s="12"/>
      <c r="D1218" s="12"/>
      <c r="E1218" s="57" t="str">
        <f ca="1">IFERROR(__xludf.DUMMYFUNCTION("""COMPUTED_VALUE"""),"")</f>
        <v/>
      </c>
    </row>
    <row r="1219" spans="1:5">
      <c r="A1219" s="12" t="s">
        <v>11253</v>
      </c>
      <c r="C1219" s="12"/>
      <c r="D1219" s="12"/>
      <c r="E1219" s="57" t="str">
        <f ca="1">IFERROR(__xludf.DUMMYFUNCTION("""COMPUTED_VALUE"""),"")</f>
        <v/>
      </c>
    </row>
    <row r="1220" spans="1:5">
      <c r="A1220" s="59" t="s">
        <v>11254</v>
      </c>
      <c r="C1220" s="12"/>
      <c r="D1220" s="12"/>
      <c r="E1220" s="57" t="str">
        <f ca="1">IFERROR(__xludf.DUMMYFUNCTION("""COMPUTED_VALUE"""),"")</f>
        <v/>
      </c>
    </row>
    <row r="1221" spans="1:5">
      <c r="A1221" s="12"/>
      <c r="C1221" s="12"/>
      <c r="D1221" s="12"/>
      <c r="E1221" s="57" t="str">
        <f ca="1">IFERROR(__xludf.DUMMYFUNCTION("""COMPUTED_VALUE"""),"")</f>
        <v/>
      </c>
    </row>
    <row r="1222" spans="1:5">
      <c r="A1222" s="12" t="s">
        <v>11255</v>
      </c>
      <c r="C1222" s="12"/>
      <c r="D1222" s="12"/>
      <c r="E1222" s="57" t="str">
        <f ca="1">IFERROR(__xludf.DUMMYFUNCTION("""COMPUTED_VALUE"""),"")</f>
        <v/>
      </c>
    </row>
    <row r="1223" spans="1:5">
      <c r="A1223" s="59" t="s">
        <v>11256</v>
      </c>
      <c r="C1223" s="12"/>
      <c r="D1223" s="12"/>
      <c r="E1223" s="57" t="str">
        <f ca="1">IFERROR(__xludf.DUMMYFUNCTION("""COMPUTED_VALUE"""),"")</f>
        <v/>
      </c>
    </row>
    <row r="1224" spans="1:5">
      <c r="A1224" s="12"/>
      <c r="C1224" s="12"/>
      <c r="D1224" s="12"/>
      <c r="E1224" s="57" t="str">
        <f ca="1">IFERROR(__xludf.DUMMYFUNCTION("""COMPUTED_VALUE"""),"")</f>
        <v/>
      </c>
    </row>
    <row r="1225" spans="1:5">
      <c r="A1225" s="12" t="s">
        <v>11257</v>
      </c>
      <c r="C1225" s="12"/>
      <c r="D1225" s="12"/>
      <c r="E1225" s="57" t="str">
        <f ca="1">IFERROR(__xludf.DUMMYFUNCTION("""COMPUTED_VALUE"""),"")</f>
        <v/>
      </c>
    </row>
    <row r="1226" spans="1:5">
      <c r="A1226" s="59" t="s">
        <v>11258</v>
      </c>
      <c r="C1226" s="12"/>
      <c r="D1226" s="12"/>
      <c r="E1226" s="57" t="str">
        <f ca="1">IFERROR(__xludf.DUMMYFUNCTION("""COMPUTED_VALUE"""),"")</f>
        <v/>
      </c>
    </row>
    <row r="1227" spans="1:5">
      <c r="A1227" s="12"/>
      <c r="C1227" s="12"/>
      <c r="D1227" s="12"/>
      <c r="E1227" s="57" t="str">
        <f ca="1">IFERROR(__xludf.DUMMYFUNCTION("""COMPUTED_VALUE"""),"")</f>
        <v/>
      </c>
    </row>
    <row r="1228" spans="1:5">
      <c r="A1228" s="12" t="s">
        <v>11259</v>
      </c>
      <c r="C1228" s="12"/>
      <c r="D1228" s="12"/>
      <c r="E1228" s="57" t="str">
        <f ca="1">IFERROR(__xludf.DUMMYFUNCTION("""COMPUTED_VALUE"""),"")</f>
        <v/>
      </c>
    </row>
    <row r="1229" spans="1:5">
      <c r="A1229" s="59" t="s">
        <v>11260</v>
      </c>
      <c r="C1229" s="12"/>
      <c r="D1229" s="12"/>
      <c r="E1229" s="57" t="str">
        <f ca="1">IFERROR(__xludf.DUMMYFUNCTION("""COMPUTED_VALUE"""),"")</f>
        <v/>
      </c>
    </row>
    <row r="1230" spans="1:5">
      <c r="A1230" s="12"/>
      <c r="C1230" s="12"/>
      <c r="D1230" s="12"/>
      <c r="E1230" s="57" t="str">
        <f ca="1">IFERROR(__xludf.DUMMYFUNCTION("""COMPUTED_VALUE"""),"")</f>
        <v/>
      </c>
    </row>
    <row r="1231" spans="1:5">
      <c r="A1231" s="12" t="s">
        <v>11261</v>
      </c>
      <c r="C1231" s="12"/>
      <c r="D1231" s="12"/>
      <c r="E1231" s="57" t="str">
        <f ca="1">IFERROR(__xludf.DUMMYFUNCTION("""COMPUTED_VALUE"""),"")</f>
        <v/>
      </c>
    </row>
    <row r="1232" spans="1:5">
      <c r="A1232" s="59" t="s">
        <v>11262</v>
      </c>
      <c r="C1232" s="12"/>
      <c r="D1232" s="12"/>
      <c r="E1232" s="57" t="str">
        <f ca="1">IFERROR(__xludf.DUMMYFUNCTION("""COMPUTED_VALUE"""),"")</f>
        <v/>
      </c>
    </row>
    <row r="1233" spans="1:5">
      <c r="A1233" s="12"/>
      <c r="C1233" s="12"/>
      <c r="D1233" s="12"/>
      <c r="E1233" s="57" t="str">
        <f ca="1">IFERROR(__xludf.DUMMYFUNCTION("""COMPUTED_VALUE"""),"")</f>
        <v/>
      </c>
    </row>
    <row r="1234" spans="1:5">
      <c r="A1234" s="12" t="s">
        <v>11263</v>
      </c>
      <c r="C1234" s="12"/>
      <c r="D1234" s="12"/>
      <c r="E1234" s="57" t="str">
        <f ca="1">IFERROR(__xludf.DUMMYFUNCTION("""COMPUTED_VALUE"""),"")</f>
        <v/>
      </c>
    </row>
    <row r="1235" spans="1:5">
      <c r="A1235" s="59" t="s">
        <v>11264</v>
      </c>
      <c r="C1235" s="12"/>
      <c r="D1235" s="12"/>
      <c r="E1235" s="57" t="str">
        <f ca="1">IFERROR(__xludf.DUMMYFUNCTION("""COMPUTED_VALUE"""),"")</f>
        <v/>
      </c>
    </row>
    <row r="1236" spans="1:5">
      <c r="A1236" s="12"/>
      <c r="C1236" s="12"/>
      <c r="D1236" s="12"/>
      <c r="E1236" s="57" t="str">
        <f ca="1">IFERROR(__xludf.DUMMYFUNCTION("""COMPUTED_VALUE"""),"")</f>
        <v/>
      </c>
    </row>
    <row r="1237" spans="1:5">
      <c r="A1237" s="12" t="s">
        <v>11265</v>
      </c>
      <c r="C1237" s="12"/>
      <c r="D1237" s="12"/>
      <c r="E1237" s="57" t="str">
        <f ca="1">IFERROR(__xludf.DUMMYFUNCTION("""COMPUTED_VALUE"""),"")</f>
        <v/>
      </c>
    </row>
    <row r="1238" spans="1:5">
      <c r="A1238" s="59" t="s">
        <v>11266</v>
      </c>
      <c r="C1238" s="12"/>
      <c r="D1238" s="12"/>
      <c r="E1238" s="57" t="str">
        <f ca="1">IFERROR(__xludf.DUMMYFUNCTION("""COMPUTED_VALUE"""),"")</f>
        <v/>
      </c>
    </row>
    <row r="1239" spans="1:5">
      <c r="A1239" s="12"/>
      <c r="C1239" s="12"/>
      <c r="D1239" s="12"/>
      <c r="E1239" s="57" t="str">
        <f ca="1">IFERROR(__xludf.DUMMYFUNCTION("""COMPUTED_VALUE"""),"")</f>
        <v/>
      </c>
    </row>
    <row r="1240" spans="1:5">
      <c r="A1240" s="12" t="s">
        <v>11267</v>
      </c>
      <c r="C1240" s="12"/>
      <c r="D1240" s="12"/>
      <c r="E1240" s="57" t="str">
        <f ca="1">IFERROR(__xludf.DUMMYFUNCTION("""COMPUTED_VALUE"""),"")</f>
        <v/>
      </c>
    </row>
    <row r="1241" spans="1:5">
      <c r="A1241" s="59" t="s">
        <v>11268</v>
      </c>
      <c r="C1241" s="12"/>
      <c r="D1241" s="12"/>
      <c r="E1241" s="57" t="str">
        <f ca="1">IFERROR(__xludf.DUMMYFUNCTION("""COMPUTED_VALUE"""),"")</f>
        <v/>
      </c>
    </row>
    <row r="1242" spans="1:5">
      <c r="A1242" s="12"/>
      <c r="C1242" s="12"/>
      <c r="D1242" s="12"/>
      <c r="E1242" s="57" t="str">
        <f ca="1">IFERROR(__xludf.DUMMYFUNCTION("""COMPUTED_VALUE"""),"")</f>
        <v/>
      </c>
    </row>
    <row r="1243" spans="1:5">
      <c r="A1243" s="12" t="s">
        <v>11269</v>
      </c>
      <c r="C1243" s="12"/>
      <c r="D1243" s="12"/>
      <c r="E1243" s="57" t="str">
        <f ca="1">IFERROR(__xludf.DUMMYFUNCTION("""COMPUTED_VALUE"""),"")</f>
        <v/>
      </c>
    </row>
    <row r="1244" spans="1:5">
      <c r="A1244" s="59" t="s">
        <v>11270</v>
      </c>
      <c r="C1244" s="12"/>
      <c r="D1244" s="12"/>
      <c r="E1244" s="57" t="str">
        <f ca="1">IFERROR(__xludf.DUMMYFUNCTION("""COMPUTED_VALUE"""),"")</f>
        <v/>
      </c>
    </row>
    <row r="1245" spans="1:5">
      <c r="A1245" s="12"/>
      <c r="C1245" s="12"/>
      <c r="D1245" s="12"/>
      <c r="E1245" s="57" t="str">
        <f ca="1">IFERROR(__xludf.DUMMYFUNCTION("""COMPUTED_VALUE"""),"")</f>
        <v/>
      </c>
    </row>
    <row r="1246" spans="1:5">
      <c r="A1246" s="12" t="s">
        <v>11271</v>
      </c>
      <c r="C1246" s="12"/>
      <c r="D1246" s="12"/>
      <c r="E1246" s="57" t="str">
        <f ca="1">IFERROR(__xludf.DUMMYFUNCTION("""COMPUTED_VALUE"""),"")</f>
        <v/>
      </c>
    </row>
    <row r="1247" spans="1:5">
      <c r="A1247" s="59" t="s">
        <v>11272</v>
      </c>
      <c r="C1247" s="12"/>
      <c r="D1247" s="12"/>
      <c r="E1247" s="57" t="str">
        <f ca="1">IFERROR(__xludf.DUMMYFUNCTION("""COMPUTED_VALUE"""),"")</f>
        <v/>
      </c>
    </row>
    <row r="1248" spans="1:5">
      <c r="A1248" s="12"/>
      <c r="C1248" s="12"/>
      <c r="D1248" s="12"/>
      <c r="E1248" s="57" t="str">
        <f ca="1">IFERROR(__xludf.DUMMYFUNCTION("""COMPUTED_VALUE"""),"")</f>
        <v/>
      </c>
    </row>
    <row r="1249" spans="1:5">
      <c r="A1249" s="12" t="s">
        <v>11273</v>
      </c>
      <c r="C1249" s="12"/>
      <c r="D1249" s="12"/>
      <c r="E1249" s="57" t="str">
        <f ca="1">IFERROR(__xludf.DUMMYFUNCTION("""COMPUTED_VALUE"""),"")</f>
        <v/>
      </c>
    </row>
    <row r="1250" spans="1:5">
      <c r="A1250" s="59" t="s">
        <v>11274</v>
      </c>
      <c r="C1250" s="12"/>
      <c r="D1250" s="12"/>
      <c r="E1250" s="57" t="str">
        <f ca="1">IFERROR(__xludf.DUMMYFUNCTION("""COMPUTED_VALUE"""),"")</f>
        <v/>
      </c>
    </row>
    <row r="1251" spans="1:5">
      <c r="A1251" s="12"/>
      <c r="C1251" s="12"/>
      <c r="D1251" s="12"/>
      <c r="E1251" s="57" t="str">
        <f ca="1">IFERROR(__xludf.DUMMYFUNCTION("""COMPUTED_VALUE"""),"")</f>
        <v/>
      </c>
    </row>
    <row r="1252" spans="1:5">
      <c r="A1252" s="12" t="s">
        <v>11275</v>
      </c>
      <c r="C1252" s="12"/>
      <c r="D1252" s="12"/>
      <c r="E1252" s="57" t="str">
        <f ca="1">IFERROR(__xludf.DUMMYFUNCTION("""COMPUTED_VALUE"""),"")</f>
        <v/>
      </c>
    </row>
    <row r="1253" spans="1:5">
      <c r="A1253" s="59" t="s">
        <v>11276</v>
      </c>
      <c r="C1253" s="12"/>
      <c r="D1253" s="12"/>
      <c r="E1253" s="57" t="str">
        <f ca="1">IFERROR(__xludf.DUMMYFUNCTION("""COMPUTED_VALUE"""),"")</f>
        <v/>
      </c>
    </row>
    <row r="1254" spans="1:5">
      <c r="A1254" s="12"/>
      <c r="C1254" s="12"/>
      <c r="D1254" s="12"/>
      <c r="E1254" s="57" t="str">
        <f ca="1">IFERROR(__xludf.DUMMYFUNCTION("""COMPUTED_VALUE"""),"")</f>
        <v/>
      </c>
    </row>
    <row r="1255" spans="1:5">
      <c r="A1255" s="12" t="s">
        <v>11277</v>
      </c>
      <c r="C1255" s="12"/>
      <c r="D1255" s="12"/>
      <c r="E1255" s="57" t="str">
        <f ca="1">IFERROR(__xludf.DUMMYFUNCTION("""COMPUTED_VALUE"""),"")</f>
        <v/>
      </c>
    </row>
    <row r="1256" spans="1:5">
      <c r="A1256" s="59" t="s">
        <v>11278</v>
      </c>
      <c r="C1256" s="12"/>
      <c r="D1256" s="12"/>
      <c r="E1256" s="57" t="str">
        <f ca="1">IFERROR(__xludf.DUMMYFUNCTION("""COMPUTED_VALUE"""),"")</f>
        <v/>
      </c>
    </row>
    <row r="1257" spans="1:5">
      <c r="A1257" s="12"/>
      <c r="C1257" s="12"/>
      <c r="D1257" s="12"/>
      <c r="E1257" s="57" t="str">
        <f ca="1">IFERROR(__xludf.DUMMYFUNCTION("""COMPUTED_VALUE"""),"")</f>
        <v/>
      </c>
    </row>
    <row r="1258" spans="1:5">
      <c r="A1258" s="12" t="s">
        <v>11279</v>
      </c>
      <c r="C1258" s="12"/>
      <c r="D1258" s="12"/>
      <c r="E1258" s="57" t="str">
        <f ca="1">IFERROR(__xludf.DUMMYFUNCTION("""COMPUTED_VALUE"""),"")</f>
        <v/>
      </c>
    </row>
    <row r="1259" spans="1:5">
      <c r="A1259" s="59" t="s">
        <v>11280</v>
      </c>
      <c r="C1259" s="12"/>
      <c r="D1259" s="12"/>
      <c r="E1259" s="57" t="str">
        <f ca="1">IFERROR(__xludf.DUMMYFUNCTION("""COMPUTED_VALUE"""),"")</f>
        <v/>
      </c>
    </row>
    <row r="1260" spans="1:5">
      <c r="A1260" s="12"/>
      <c r="C1260" s="12"/>
      <c r="D1260" s="12"/>
      <c r="E1260" s="57" t="str">
        <f ca="1">IFERROR(__xludf.DUMMYFUNCTION("""COMPUTED_VALUE"""),"")</f>
        <v/>
      </c>
    </row>
    <row r="1261" spans="1:5">
      <c r="A1261" s="12" t="s">
        <v>11281</v>
      </c>
      <c r="C1261" s="12"/>
      <c r="D1261" s="12"/>
      <c r="E1261" s="57" t="str">
        <f ca="1">IFERROR(__xludf.DUMMYFUNCTION("""COMPUTED_VALUE"""),"")</f>
        <v/>
      </c>
    </row>
    <row r="1262" spans="1:5">
      <c r="A1262" s="59" t="s">
        <v>11282</v>
      </c>
      <c r="C1262" s="12"/>
      <c r="D1262" s="12"/>
      <c r="E1262" s="57" t="str">
        <f ca="1">IFERROR(__xludf.DUMMYFUNCTION("""COMPUTED_VALUE"""),"")</f>
        <v/>
      </c>
    </row>
    <row r="1263" spans="1:5">
      <c r="A1263" s="12"/>
      <c r="C1263" s="12"/>
      <c r="D1263" s="12"/>
      <c r="E1263" s="57" t="str">
        <f ca="1">IFERROR(__xludf.DUMMYFUNCTION("""COMPUTED_VALUE"""),"")</f>
        <v/>
      </c>
    </row>
    <row r="1264" spans="1:5">
      <c r="A1264" s="12" t="s">
        <v>11283</v>
      </c>
      <c r="C1264" s="12"/>
      <c r="D1264" s="12"/>
      <c r="E1264" s="57" t="str">
        <f ca="1">IFERROR(__xludf.DUMMYFUNCTION("""COMPUTED_VALUE"""),"")</f>
        <v/>
      </c>
    </row>
    <row r="1265" spans="1:5">
      <c r="A1265" s="59" t="s">
        <v>11284</v>
      </c>
      <c r="C1265" s="12"/>
      <c r="D1265" s="12"/>
      <c r="E1265" s="57" t="str">
        <f ca="1">IFERROR(__xludf.DUMMYFUNCTION("""COMPUTED_VALUE"""),"")</f>
        <v/>
      </c>
    </row>
    <row r="1266" spans="1:5">
      <c r="A1266" s="12"/>
      <c r="C1266" s="12"/>
      <c r="D1266" s="12"/>
      <c r="E1266" s="57" t="str">
        <f ca="1">IFERROR(__xludf.DUMMYFUNCTION("""COMPUTED_VALUE"""),"")</f>
        <v/>
      </c>
    </row>
    <row r="1267" spans="1:5">
      <c r="A1267" s="12" t="s">
        <v>11285</v>
      </c>
      <c r="C1267" s="12"/>
      <c r="D1267" s="12"/>
      <c r="E1267" s="57" t="str">
        <f ca="1">IFERROR(__xludf.DUMMYFUNCTION("""COMPUTED_VALUE"""),"")</f>
        <v/>
      </c>
    </row>
    <row r="1268" spans="1:5">
      <c r="A1268" s="59" t="s">
        <v>11286</v>
      </c>
      <c r="C1268" s="12"/>
      <c r="D1268" s="12"/>
      <c r="E1268" s="57" t="str">
        <f ca="1">IFERROR(__xludf.DUMMYFUNCTION("""COMPUTED_VALUE"""),"")</f>
        <v/>
      </c>
    </row>
    <row r="1269" spans="1:5">
      <c r="A1269" s="12"/>
      <c r="C1269" s="12"/>
      <c r="D1269" s="12"/>
      <c r="E1269" s="57" t="str">
        <f ca="1">IFERROR(__xludf.DUMMYFUNCTION("""COMPUTED_VALUE"""),"")</f>
        <v/>
      </c>
    </row>
    <row r="1270" spans="1:5">
      <c r="A1270" s="12" t="s">
        <v>11287</v>
      </c>
      <c r="C1270" s="12"/>
      <c r="D1270" s="12"/>
      <c r="E1270" s="57" t="str">
        <f ca="1">IFERROR(__xludf.DUMMYFUNCTION("""COMPUTED_VALUE"""),"")</f>
        <v/>
      </c>
    </row>
    <row r="1271" spans="1:5">
      <c r="A1271" s="59" t="s">
        <v>11288</v>
      </c>
      <c r="C1271" s="12"/>
      <c r="D1271" s="12"/>
      <c r="E1271" s="57" t="str">
        <f ca="1">IFERROR(__xludf.DUMMYFUNCTION("""COMPUTED_VALUE"""),"")</f>
        <v/>
      </c>
    </row>
    <row r="1272" spans="1:5">
      <c r="A1272" s="12"/>
      <c r="C1272" s="12"/>
      <c r="D1272" s="12"/>
      <c r="E1272" s="57" t="str">
        <f ca="1">IFERROR(__xludf.DUMMYFUNCTION("""COMPUTED_VALUE"""),"")</f>
        <v/>
      </c>
    </row>
    <row r="1273" spans="1:5">
      <c r="A1273" s="12" t="s">
        <v>11289</v>
      </c>
      <c r="C1273" s="12"/>
      <c r="D1273" s="12"/>
      <c r="E1273" s="57" t="str">
        <f ca="1">IFERROR(__xludf.DUMMYFUNCTION("""COMPUTED_VALUE"""),"")</f>
        <v/>
      </c>
    </row>
    <row r="1274" spans="1:5">
      <c r="A1274" s="59" t="s">
        <v>11290</v>
      </c>
      <c r="C1274" s="12"/>
      <c r="D1274" s="12"/>
      <c r="E1274" s="57" t="str">
        <f ca="1">IFERROR(__xludf.DUMMYFUNCTION("""COMPUTED_VALUE"""),"")</f>
        <v/>
      </c>
    </row>
    <row r="1275" spans="1:5">
      <c r="A1275" s="12"/>
      <c r="C1275" s="12"/>
      <c r="D1275" s="12"/>
      <c r="E1275" s="57" t="str">
        <f ca="1">IFERROR(__xludf.DUMMYFUNCTION("""COMPUTED_VALUE"""),"")</f>
        <v/>
      </c>
    </row>
    <row r="1276" spans="1:5">
      <c r="A1276" s="12" t="s">
        <v>11291</v>
      </c>
      <c r="C1276" s="12"/>
      <c r="D1276" s="12"/>
      <c r="E1276" s="57" t="str">
        <f ca="1">IFERROR(__xludf.DUMMYFUNCTION("""COMPUTED_VALUE"""),"")</f>
        <v/>
      </c>
    </row>
    <row r="1277" spans="1:5">
      <c r="A1277" s="59" t="s">
        <v>11292</v>
      </c>
      <c r="C1277" s="12"/>
      <c r="D1277" s="12"/>
      <c r="E1277" s="57" t="str">
        <f ca="1">IFERROR(__xludf.DUMMYFUNCTION("""COMPUTED_VALUE"""),"")</f>
        <v/>
      </c>
    </row>
    <row r="1278" spans="1:5">
      <c r="A1278" s="12"/>
      <c r="C1278" s="12"/>
      <c r="D1278" s="12"/>
      <c r="E1278" s="57" t="str">
        <f ca="1">IFERROR(__xludf.DUMMYFUNCTION("""COMPUTED_VALUE"""),"")</f>
        <v/>
      </c>
    </row>
    <row r="1279" spans="1:5">
      <c r="A1279" s="12" t="s">
        <v>11293</v>
      </c>
      <c r="C1279" s="12"/>
      <c r="D1279" s="12"/>
      <c r="E1279" s="57" t="str">
        <f ca="1">IFERROR(__xludf.DUMMYFUNCTION("""COMPUTED_VALUE"""),"")</f>
        <v/>
      </c>
    </row>
    <row r="1280" spans="1:5">
      <c r="A1280" s="59" t="s">
        <v>11294</v>
      </c>
      <c r="C1280" s="12"/>
      <c r="D1280" s="12"/>
      <c r="E1280" s="57" t="str">
        <f ca="1">IFERROR(__xludf.DUMMYFUNCTION("""COMPUTED_VALUE"""),"")</f>
        <v/>
      </c>
    </row>
    <row r="1281" spans="1:5">
      <c r="A1281" s="12"/>
      <c r="C1281" s="12"/>
      <c r="D1281" s="12"/>
      <c r="E1281" s="57" t="str">
        <f ca="1">IFERROR(__xludf.DUMMYFUNCTION("""COMPUTED_VALUE"""),"")</f>
        <v/>
      </c>
    </row>
    <row r="1282" spans="1:5">
      <c r="A1282" s="12" t="s">
        <v>11295</v>
      </c>
      <c r="C1282" s="12"/>
      <c r="D1282" s="12"/>
      <c r="E1282" s="57" t="str">
        <f ca="1">IFERROR(__xludf.DUMMYFUNCTION("""COMPUTED_VALUE"""),"")</f>
        <v/>
      </c>
    </row>
    <row r="1283" spans="1:5">
      <c r="A1283" s="59" t="s">
        <v>11296</v>
      </c>
      <c r="C1283" s="12"/>
      <c r="D1283" s="12"/>
      <c r="E1283" s="57" t="str">
        <f ca="1">IFERROR(__xludf.DUMMYFUNCTION("""COMPUTED_VALUE"""),"")</f>
        <v/>
      </c>
    </row>
    <row r="1284" spans="1:5">
      <c r="A1284" s="12"/>
      <c r="C1284" s="12"/>
      <c r="D1284" s="12"/>
      <c r="E1284" s="57" t="str">
        <f ca="1">IFERROR(__xludf.DUMMYFUNCTION("""COMPUTED_VALUE"""),"")</f>
        <v/>
      </c>
    </row>
    <row r="1285" spans="1:5">
      <c r="A1285" s="12" t="s">
        <v>11297</v>
      </c>
      <c r="C1285" s="12"/>
      <c r="D1285" s="12"/>
      <c r="E1285" s="57" t="str">
        <f ca="1">IFERROR(__xludf.DUMMYFUNCTION("""COMPUTED_VALUE"""),"")</f>
        <v/>
      </c>
    </row>
    <row r="1286" spans="1:5">
      <c r="A1286" s="59" t="s">
        <v>11298</v>
      </c>
      <c r="C1286" s="12"/>
      <c r="D1286" s="12"/>
      <c r="E1286" s="57" t="str">
        <f ca="1">IFERROR(__xludf.DUMMYFUNCTION("""COMPUTED_VALUE"""),"")</f>
        <v/>
      </c>
    </row>
    <row r="1287" spans="1:5">
      <c r="A1287" s="12"/>
      <c r="C1287" s="12"/>
      <c r="D1287" s="12"/>
      <c r="E1287" s="57" t="str">
        <f ca="1">IFERROR(__xludf.DUMMYFUNCTION("""COMPUTED_VALUE"""),"")</f>
        <v/>
      </c>
    </row>
    <row r="1288" spans="1:5">
      <c r="A1288" s="12" t="s">
        <v>11299</v>
      </c>
      <c r="C1288" s="12"/>
      <c r="D1288" s="12"/>
      <c r="E1288" s="57" t="str">
        <f ca="1">IFERROR(__xludf.DUMMYFUNCTION("""COMPUTED_VALUE"""),"")</f>
        <v/>
      </c>
    </row>
    <row r="1289" spans="1:5">
      <c r="A1289" s="59" t="s">
        <v>11300</v>
      </c>
      <c r="C1289" s="12"/>
      <c r="D1289" s="12"/>
      <c r="E1289" s="57" t="str">
        <f ca="1">IFERROR(__xludf.DUMMYFUNCTION("""COMPUTED_VALUE"""),"")</f>
        <v/>
      </c>
    </row>
    <row r="1290" spans="1:5">
      <c r="A1290" s="12"/>
      <c r="C1290" s="12"/>
      <c r="D1290" s="12"/>
      <c r="E1290" s="57" t="str">
        <f ca="1">IFERROR(__xludf.DUMMYFUNCTION("""COMPUTED_VALUE"""),"")</f>
        <v/>
      </c>
    </row>
    <row r="1291" spans="1:5">
      <c r="A1291" s="12" t="s">
        <v>11301</v>
      </c>
      <c r="C1291" s="12"/>
      <c r="D1291" s="12"/>
      <c r="E1291" s="57" t="str">
        <f ca="1">IFERROR(__xludf.DUMMYFUNCTION("""COMPUTED_VALUE"""),"")</f>
        <v/>
      </c>
    </row>
    <row r="1292" spans="1:5">
      <c r="A1292" s="59" t="s">
        <v>11302</v>
      </c>
      <c r="C1292" s="12"/>
      <c r="D1292" s="12"/>
      <c r="E1292" s="57" t="str">
        <f ca="1">IFERROR(__xludf.DUMMYFUNCTION("""COMPUTED_VALUE"""),"")</f>
        <v/>
      </c>
    </row>
    <row r="1293" spans="1:5">
      <c r="A1293" s="12"/>
      <c r="C1293" s="12"/>
      <c r="D1293" s="12"/>
      <c r="E1293" s="57" t="str">
        <f ca="1">IFERROR(__xludf.DUMMYFUNCTION("""COMPUTED_VALUE"""),"")</f>
        <v/>
      </c>
    </row>
    <row r="1294" spans="1:5">
      <c r="A1294" s="12" t="s">
        <v>11303</v>
      </c>
      <c r="C1294" s="12"/>
      <c r="D1294" s="12"/>
      <c r="E1294" s="57" t="str">
        <f ca="1">IFERROR(__xludf.DUMMYFUNCTION("""COMPUTED_VALUE"""),"")</f>
        <v/>
      </c>
    </row>
    <row r="1295" spans="1:5">
      <c r="A1295" s="59" t="s">
        <v>11304</v>
      </c>
      <c r="C1295" s="12"/>
      <c r="D1295" s="12"/>
      <c r="E1295" s="57" t="str">
        <f ca="1">IFERROR(__xludf.DUMMYFUNCTION("""COMPUTED_VALUE"""),"")</f>
        <v/>
      </c>
    </row>
    <row r="1296" spans="1:5">
      <c r="A1296" s="12"/>
      <c r="C1296" s="12"/>
      <c r="D1296" s="12"/>
      <c r="E1296" s="57" t="str">
        <f ca="1">IFERROR(__xludf.DUMMYFUNCTION("""COMPUTED_VALUE"""),"")</f>
        <v/>
      </c>
    </row>
    <row r="1297" spans="1:5">
      <c r="A1297" s="12" t="s">
        <v>11305</v>
      </c>
      <c r="C1297" s="12"/>
      <c r="D1297" s="12"/>
      <c r="E1297" s="57" t="str">
        <f ca="1">IFERROR(__xludf.DUMMYFUNCTION("""COMPUTED_VALUE"""),"")</f>
        <v/>
      </c>
    </row>
    <row r="1298" spans="1:5">
      <c r="A1298" s="59" t="s">
        <v>11306</v>
      </c>
      <c r="C1298" s="12"/>
      <c r="D1298" s="12"/>
      <c r="E1298" s="57" t="str">
        <f ca="1">IFERROR(__xludf.DUMMYFUNCTION("""COMPUTED_VALUE"""),"")</f>
        <v/>
      </c>
    </row>
    <row r="1299" spans="1:5">
      <c r="A1299" s="12"/>
      <c r="C1299" s="12"/>
      <c r="D1299" s="12"/>
      <c r="E1299" s="57" t="str">
        <f ca="1">IFERROR(__xludf.DUMMYFUNCTION("""COMPUTED_VALUE"""),"")</f>
        <v/>
      </c>
    </row>
    <row r="1300" spans="1:5">
      <c r="A1300" s="12" t="s">
        <v>11307</v>
      </c>
      <c r="C1300" s="12"/>
      <c r="D1300" s="12"/>
      <c r="E1300" s="57" t="str">
        <f ca="1">IFERROR(__xludf.DUMMYFUNCTION("""COMPUTED_VALUE"""),"")</f>
        <v/>
      </c>
    </row>
    <row r="1301" spans="1:5">
      <c r="A1301" s="59" t="s">
        <v>11308</v>
      </c>
      <c r="C1301" s="12"/>
      <c r="D1301" s="12"/>
      <c r="E1301" s="57" t="str">
        <f ca="1">IFERROR(__xludf.DUMMYFUNCTION("""COMPUTED_VALUE"""),"")</f>
        <v/>
      </c>
    </row>
    <row r="1302" spans="1:5">
      <c r="A1302" s="12"/>
      <c r="C1302" s="12"/>
      <c r="D1302" s="12"/>
      <c r="E1302" s="57" t="str">
        <f ca="1">IFERROR(__xludf.DUMMYFUNCTION("""COMPUTED_VALUE"""),"")</f>
        <v/>
      </c>
    </row>
    <row r="1303" spans="1:5">
      <c r="A1303" s="12" t="s">
        <v>11309</v>
      </c>
      <c r="C1303" s="12"/>
      <c r="D1303" s="12"/>
      <c r="E1303" s="57" t="str">
        <f ca="1">IFERROR(__xludf.DUMMYFUNCTION("""COMPUTED_VALUE"""),"")</f>
        <v/>
      </c>
    </row>
    <row r="1304" spans="1:5">
      <c r="A1304" s="59" t="s">
        <v>11310</v>
      </c>
      <c r="C1304" s="12"/>
      <c r="D1304" s="12"/>
      <c r="E1304" s="57" t="str">
        <f ca="1">IFERROR(__xludf.DUMMYFUNCTION("""COMPUTED_VALUE"""),"")</f>
        <v/>
      </c>
    </row>
    <row r="1305" spans="1:5">
      <c r="A1305" s="12"/>
      <c r="C1305" s="12"/>
      <c r="D1305" s="12"/>
      <c r="E1305" s="57" t="str">
        <f ca="1">IFERROR(__xludf.DUMMYFUNCTION("""COMPUTED_VALUE"""),"")</f>
        <v/>
      </c>
    </row>
    <row r="1306" spans="1:5">
      <c r="A1306" s="12" t="s">
        <v>11311</v>
      </c>
      <c r="C1306" s="12"/>
      <c r="D1306" s="12"/>
      <c r="E1306" s="57" t="str">
        <f ca="1">IFERROR(__xludf.DUMMYFUNCTION("""COMPUTED_VALUE"""),"")</f>
        <v/>
      </c>
    </row>
    <row r="1307" spans="1:5">
      <c r="A1307" s="59" t="s">
        <v>11312</v>
      </c>
      <c r="C1307" s="12"/>
      <c r="D1307" s="12"/>
      <c r="E1307" s="57" t="str">
        <f ca="1">IFERROR(__xludf.DUMMYFUNCTION("""COMPUTED_VALUE"""),"")</f>
        <v/>
      </c>
    </row>
    <row r="1308" spans="1:5">
      <c r="A1308" s="12"/>
      <c r="C1308" s="12"/>
      <c r="D1308" s="12"/>
      <c r="E1308" s="57" t="str">
        <f ca="1">IFERROR(__xludf.DUMMYFUNCTION("""COMPUTED_VALUE"""),"")</f>
        <v/>
      </c>
    </row>
    <row r="1309" spans="1:5">
      <c r="A1309" s="12" t="s">
        <v>11313</v>
      </c>
      <c r="C1309" s="12"/>
      <c r="D1309" s="12"/>
      <c r="E1309" s="57" t="str">
        <f ca="1">IFERROR(__xludf.DUMMYFUNCTION("""COMPUTED_VALUE"""),"")</f>
        <v/>
      </c>
    </row>
    <row r="1310" spans="1:5">
      <c r="A1310" s="59" t="s">
        <v>11314</v>
      </c>
      <c r="C1310" s="12"/>
      <c r="D1310" s="12"/>
      <c r="E1310" s="57" t="str">
        <f ca="1">IFERROR(__xludf.DUMMYFUNCTION("""COMPUTED_VALUE"""),"")</f>
        <v/>
      </c>
    </row>
    <row r="1311" spans="1:5">
      <c r="A1311" s="12"/>
      <c r="C1311" s="12"/>
      <c r="D1311" s="12"/>
      <c r="E1311" s="57" t="str">
        <f ca="1">IFERROR(__xludf.DUMMYFUNCTION("""COMPUTED_VALUE"""),"")</f>
        <v/>
      </c>
    </row>
    <row r="1312" spans="1:5">
      <c r="A1312" s="12" t="s">
        <v>11315</v>
      </c>
      <c r="C1312" s="12"/>
      <c r="D1312" s="12"/>
      <c r="E1312" s="57" t="str">
        <f ca="1">IFERROR(__xludf.DUMMYFUNCTION("""COMPUTED_VALUE"""),"")</f>
        <v/>
      </c>
    </row>
    <row r="1313" spans="1:5">
      <c r="A1313" s="59" t="s">
        <v>11316</v>
      </c>
      <c r="C1313" s="12"/>
      <c r="D1313" s="12"/>
      <c r="E1313" s="57" t="str">
        <f ca="1">IFERROR(__xludf.DUMMYFUNCTION("""COMPUTED_VALUE"""),"")</f>
        <v/>
      </c>
    </row>
    <row r="1314" spans="1:5">
      <c r="A1314" s="12"/>
      <c r="C1314" s="12"/>
      <c r="D1314" s="12"/>
      <c r="E1314" s="57" t="str">
        <f ca="1">IFERROR(__xludf.DUMMYFUNCTION("""COMPUTED_VALUE"""),"")</f>
        <v/>
      </c>
    </row>
    <row r="1315" spans="1:5">
      <c r="A1315" s="12" t="s">
        <v>11317</v>
      </c>
      <c r="C1315" s="12"/>
      <c r="D1315" s="12"/>
      <c r="E1315" s="57" t="str">
        <f ca="1">IFERROR(__xludf.DUMMYFUNCTION("""COMPUTED_VALUE"""),"")</f>
        <v/>
      </c>
    </row>
    <row r="1316" spans="1:5">
      <c r="A1316" s="59" t="s">
        <v>11318</v>
      </c>
      <c r="C1316" s="12"/>
      <c r="D1316" s="12"/>
      <c r="E1316" s="57" t="str">
        <f ca="1">IFERROR(__xludf.DUMMYFUNCTION("""COMPUTED_VALUE"""),"")</f>
        <v/>
      </c>
    </row>
    <row r="1317" spans="1:5">
      <c r="A1317" s="12"/>
      <c r="C1317" s="12"/>
      <c r="D1317" s="12"/>
      <c r="E1317" s="57" t="str">
        <f ca="1">IFERROR(__xludf.DUMMYFUNCTION("""COMPUTED_VALUE"""),"")</f>
        <v/>
      </c>
    </row>
    <row r="1318" spans="1:5">
      <c r="A1318" s="12" t="s">
        <v>11319</v>
      </c>
      <c r="C1318" s="12"/>
      <c r="D1318" s="12"/>
      <c r="E1318" s="57" t="str">
        <f ca="1">IFERROR(__xludf.DUMMYFUNCTION("""COMPUTED_VALUE"""),"")</f>
        <v/>
      </c>
    </row>
    <row r="1319" spans="1:5">
      <c r="A1319" s="59" t="s">
        <v>11320</v>
      </c>
      <c r="C1319" s="12"/>
      <c r="D1319" s="12"/>
      <c r="E1319" s="57" t="str">
        <f ca="1">IFERROR(__xludf.DUMMYFUNCTION("""COMPUTED_VALUE"""),"")</f>
        <v/>
      </c>
    </row>
    <row r="1320" spans="1:5">
      <c r="A1320" s="12"/>
      <c r="C1320" s="12"/>
      <c r="D1320" s="12"/>
      <c r="E1320" s="57" t="str">
        <f ca="1">IFERROR(__xludf.DUMMYFUNCTION("""COMPUTED_VALUE"""),"")</f>
        <v/>
      </c>
    </row>
    <row r="1321" spans="1:5">
      <c r="A1321" s="12" t="s">
        <v>11321</v>
      </c>
      <c r="C1321" s="12"/>
      <c r="D1321" s="12"/>
      <c r="E1321" s="57" t="str">
        <f ca="1">IFERROR(__xludf.DUMMYFUNCTION("""COMPUTED_VALUE"""),"")</f>
        <v/>
      </c>
    </row>
    <row r="1322" spans="1:5">
      <c r="A1322" s="59" t="s">
        <v>11322</v>
      </c>
      <c r="C1322" s="12"/>
      <c r="D1322" s="12"/>
      <c r="E1322" s="57" t="str">
        <f ca="1">IFERROR(__xludf.DUMMYFUNCTION("""COMPUTED_VALUE"""),"")</f>
        <v/>
      </c>
    </row>
    <row r="1323" spans="1:5">
      <c r="A1323" s="12"/>
      <c r="C1323" s="12"/>
      <c r="D1323" s="12"/>
      <c r="E1323" s="57" t="str">
        <f ca="1">IFERROR(__xludf.DUMMYFUNCTION("""COMPUTED_VALUE"""),"")</f>
        <v/>
      </c>
    </row>
    <row r="1324" spans="1:5">
      <c r="A1324" s="12" t="s">
        <v>11323</v>
      </c>
      <c r="C1324" s="12"/>
      <c r="D1324" s="12"/>
      <c r="E1324" s="57" t="str">
        <f ca="1">IFERROR(__xludf.DUMMYFUNCTION("""COMPUTED_VALUE"""),"")</f>
        <v/>
      </c>
    </row>
    <row r="1325" spans="1:5">
      <c r="A1325" s="59" t="s">
        <v>11324</v>
      </c>
      <c r="C1325" s="12"/>
      <c r="D1325" s="12"/>
      <c r="E1325" s="57" t="str">
        <f ca="1">IFERROR(__xludf.DUMMYFUNCTION("""COMPUTED_VALUE"""),"")</f>
        <v/>
      </c>
    </row>
    <row r="1326" spans="1:5">
      <c r="A1326" s="12"/>
      <c r="C1326" s="12"/>
      <c r="D1326" s="12"/>
      <c r="E1326" s="57" t="str">
        <f ca="1">IFERROR(__xludf.DUMMYFUNCTION("""COMPUTED_VALUE"""),"")</f>
        <v/>
      </c>
    </row>
    <row r="1327" spans="1:5">
      <c r="A1327" s="12" t="s">
        <v>11325</v>
      </c>
      <c r="C1327" s="12"/>
      <c r="D1327" s="12"/>
      <c r="E1327" s="57" t="str">
        <f ca="1">IFERROR(__xludf.DUMMYFUNCTION("""COMPUTED_VALUE"""),"")</f>
        <v/>
      </c>
    </row>
    <row r="1328" spans="1:5">
      <c r="A1328" s="59" t="s">
        <v>11326</v>
      </c>
      <c r="C1328" s="12"/>
      <c r="D1328" s="12"/>
      <c r="E1328" s="57" t="str">
        <f ca="1">IFERROR(__xludf.DUMMYFUNCTION("""COMPUTED_VALUE"""),"")</f>
        <v/>
      </c>
    </row>
    <row r="1329" spans="1:5">
      <c r="A1329" s="12"/>
      <c r="C1329" s="12"/>
      <c r="D1329" s="12"/>
      <c r="E1329" s="57" t="str">
        <f ca="1">IFERROR(__xludf.DUMMYFUNCTION("""COMPUTED_VALUE"""),"")</f>
        <v/>
      </c>
    </row>
    <row r="1330" spans="1:5">
      <c r="A1330" s="12" t="s">
        <v>11327</v>
      </c>
      <c r="C1330" s="12"/>
      <c r="D1330" s="12"/>
      <c r="E1330" s="57" t="str">
        <f ca="1">IFERROR(__xludf.DUMMYFUNCTION("""COMPUTED_VALUE"""),"")</f>
        <v/>
      </c>
    </row>
    <row r="1331" spans="1:5">
      <c r="A1331" s="59" t="s">
        <v>11328</v>
      </c>
      <c r="C1331" s="12"/>
      <c r="D1331" s="12"/>
      <c r="E1331" s="57" t="str">
        <f ca="1">IFERROR(__xludf.DUMMYFUNCTION("""COMPUTED_VALUE"""),"")</f>
        <v/>
      </c>
    </row>
    <row r="1332" spans="1:5">
      <c r="A1332" s="12"/>
      <c r="C1332" s="12"/>
      <c r="D1332" s="12"/>
      <c r="E1332" s="57" t="str">
        <f ca="1">IFERROR(__xludf.DUMMYFUNCTION("""COMPUTED_VALUE"""),"")</f>
        <v/>
      </c>
    </row>
    <row r="1333" spans="1:5">
      <c r="A1333" s="12" t="s">
        <v>11329</v>
      </c>
      <c r="C1333" s="12"/>
      <c r="D1333" s="12"/>
      <c r="E1333" s="57" t="str">
        <f ca="1">IFERROR(__xludf.DUMMYFUNCTION("""COMPUTED_VALUE"""),"")</f>
        <v/>
      </c>
    </row>
    <row r="1334" spans="1:5">
      <c r="A1334" s="59" t="s">
        <v>11330</v>
      </c>
      <c r="D1334" s="12"/>
      <c r="E1334" s="57" t="str">
        <f ca="1">IFERROR(__xludf.DUMMYFUNCTION("""COMPUTED_VALUE"""),"")</f>
        <v/>
      </c>
    </row>
    <row r="1335" spans="1:5">
      <c r="A1335" s="12"/>
      <c r="D1335" s="12"/>
      <c r="E1335" s="57" t="str">
        <f ca="1">IFERROR(__xludf.DUMMYFUNCTION("""COMPUTED_VALUE"""),"")</f>
        <v/>
      </c>
    </row>
    <row r="1336" spans="1:5">
      <c r="A1336" s="12" t="s">
        <v>11331</v>
      </c>
      <c r="D1336" s="12"/>
      <c r="E1336" s="57" t="str">
        <f ca="1">IFERROR(__xludf.DUMMYFUNCTION("""COMPUTED_VALUE"""),"")</f>
        <v/>
      </c>
    </row>
    <row r="1337" spans="1:5">
      <c r="A1337" s="59" t="s">
        <v>11332</v>
      </c>
      <c r="D1337" s="12"/>
      <c r="E1337" s="57" t="str">
        <f ca="1">IFERROR(__xludf.DUMMYFUNCTION("""COMPUTED_VALUE"""),"")</f>
        <v/>
      </c>
    </row>
    <row r="1338" spans="1:5">
      <c r="A1338" s="12"/>
      <c r="D1338" s="12"/>
      <c r="E1338" s="57" t="str">
        <f ca="1">IFERROR(__xludf.DUMMYFUNCTION("""COMPUTED_VALUE"""),"")</f>
        <v/>
      </c>
    </row>
    <row r="1339" spans="1:5">
      <c r="A1339" s="12" t="s">
        <v>11333</v>
      </c>
      <c r="D1339" s="12"/>
      <c r="E1339" s="57" t="str">
        <f ca="1">IFERROR(__xludf.DUMMYFUNCTION("""COMPUTED_VALUE"""),"")</f>
        <v/>
      </c>
    </row>
    <row r="1340" spans="1:5">
      <c r="A1340" s="59" t="s">
        <v>11334</v>
      </c>
      <c r="D1340" s="12"/>
      <c r="E1340" s="57" t="str">
        <f ca="1">IFERROR(__xludf.DUMMYFUNCTION("""COMPUTED_VALUE"""),"")</f>
        <v/>
      </c>
    </row>
    <row r="1341" spans="1:5">
      <c r="A1341" s="12"/>
      <c r="D1341" s="12"/>
      <c r="E1341" s="57" t="str">
        <f ca="1">IFERROR(__xludf.DUMMYFUNCTION("""COMPUTED_VALUE"""),"")</f>
        <v/>
      </c>
    </row>
    <row r="1342" spans="1:5">
      <c r="A1342" s="12" t="s">
        <v>11335</v>
      </c>
      <c r="D1342" s="12"/>
      <c r="E1342" s="57" t="str">
        <f ca="1">IFERROR(__xludf.DUMMYFUNCTION("""COMPUTED_VALUE"""),"")</f>
        <v/>
      </c>
    </row>
    <row r="1343" spans="1:5">
      <c r="A1343" s="59" t="s">
        <v>11336</v>
      </c>
      <c r="D1343" s="12"/>
      <c r="E1343" s="57" t="str">
        <f ca="1">IFERROR(__xludf.DUMMYFUNCTION("""COMPUTED_VALUE"""),"")</f>
        <v/>
      </c>
    </row>
    <row r="1344" spans="1:5">
      <c r="A1344" s="12"/>
      <c r="D1344" s="12"/>
      <c r="E1344" s="57" t="str">
        <f ca="1">IFERROR(__xludf.DUMMYFUNCTION("""COMPUTED_VALUE"""),"")</f>
        <v/>
      </c>
    </row>
    <row r="1345" spans="1:5">
      <c r="A1345" s="12" t="s">
        <v>11337</v>
      </c>
      <c r="D1345" s="12"/>
      <c r="E1345" s="57" t="str">
        <f ca="1">IFERROR(__xludf.DUMMYFUNCTION("""COMPUTED_VALUE"""),"")</f>
        <v/>
      </c>
    </row>
    <row r="1346" spans="1:5">
      <c r="A1346" s="59" t="s">
        <v>11338</v>
      </c>
      <c r="D1346" s="12"/>
      <c r="E1346" s="57" t="str">
        <f ca="1">IFERROR(__xludf.DUMMYFUNCTION("""COMPUTED_VALUE"""),"")</f>
        <v/>
      </c>
    </row>
    <row r="1347" spans="1:5">
      <c r="A1347" s="12"/>
      <c r="D1347" s="12"/>
      <c r="E1347" s="57" t="str">
        <f ca="1">IFERROR(__xludf.DUMMYFUNCTION("""COMPUTED_VALUE"""),"")</f>
        <v/>
      </c>
    </row>
    <row r="1348" spans="1:5">
      <c r="A1348" s="12" t="s">
        <v>11339</v>
      </c>
      <c r="D1348" s="12"/>
      <c r="E1348" s="57" t="str">
        <f ca="1">IFERROR(__xludf.DUMMYFUNCTION("""COMPUTED_VALUE"""),"")</f>
        <v/>
      </c>
    </row>
    <row r="1349" spans="1:5">
      <c r="A1349" s="59" t="s">
        <v>11340</v>
      </c>
      <c r="D1349" s="12"/>
      <c r="E1349" s="57" t="str">
        <f ca="1">IFERROR(__xludf.DUMMYFUNCTION("""COMPUTED_VALUE"""),"")</f>
        <v/>
      </c>
    </row>
    <row r="1350" spans="1:5">
      <c r="A1350" s="12"/>
      <c r="D1350" s="12"/>
      <c r="E1350" s="57" t="str">
        <f ca="1">IFERROR(__xludf.DUMMYFUNCTION("""COMPUTED_VALUE"""),"")</f>
        <v/>
      </c>
    </row>
    <row r="1351" spans="1:5">
      <c r="A1351" s="12" t="s">
        <v>11341</v>
      </c>
      <c r="D1351" s="12"/>
      <c r="E1351" s="57" t="str">
        <f ca="1">IFERROR(__xludf.DUMMYFUNCTION("""COMPUTED_VALUE"""),"")</f>
        <v/>
      </c>
    </row>
    <row r="1352" spans="1:5">
      <c r="A1352" s="59" t="s">
        <v>11342</v>
      </c>
      <c r="D1352" s="12"/>
      <c r="E1352" s="57" t="str">
        <f ca="1">IFERROR(__xludf.DUMMYFUNCTION("""COMPUTED_VALUE"""),"")</f>
        <v/>
      </c>
    </row>
    <row r="1353" spans="1:5">
      <c r="A1353" s="12"/>
      <c r="D1353" s="12"/>
      <c r="E1353" s="57" t="str">
        <f ca="1">IFERROR(__xludf.DUMMYFUNCTION("""COMPUTED_VALUE"""),"")</f>
        <v/>
      </c>
    </row>
    <row r="1354" spans="1:5">
      <c r="A1354" s="12" t="s">
        <v>11343</v>
      </c>
      <c r="D1354" s="12"/>
      <c r="E1354" s="57" t="str">
        <f ca="1">IFERROR(__xludf.DUMMYFUNCTION("""COMPUTED_VALUE"""),"")</f>
        <v/>
      </c>
    </row>
    <row r="1355" spans="1:5">
      <c r="A1355" s="59" t="s">
        <v>11344</v>
      </c>
      <c r="D1355" s="12"/>
      <c r="E1355" s="57" t="str">
        <f ca="1">IFERROR(__xludf.DUMMYFUNCTION("""COMPUTED_VALUE"""),"")</f>
        <v/>
      </c>
    </row>
    <row r="1356" spans="1:5">
      <c r="A1356" s="12"/>
      <c r="D1356" s="12"/>
      <c r="E1356" s="57" t="str">
        <f ca="1">IFERROR(__xludf.DUMMYFUNCTION("""COMPUTED_VALUE"""),"")</f>
        <v/>
      </c>
    </row>
    <row r="1357" spans="1:5">
      <c r="A1357" s="12" t="s">
        <v>11345</v>
      </c>
      <c r="D1357" s="12"/>
      <c r="E1357" s="57" t="str">
        <f ca="1">IFERROR(__xludf.DUMMYFUNCTION("""COMPUTED_VALUE"""),"")</f>
        <v/>
      </c>
    </row>
    <row r="1358" spans="1:5">
      <c r="A1358" s="59" t="s">
        <v>11346</v>
      </c>
      <c r="D1358" s="12"/>
      <c r="E1358" s="57" t="str">
        <f ca="1">IFERROR(__xludf.DUMMYFUNCTION("""COMPUTED_VALUE"""),"")</f>
        <v/>
      </c>
    </row>
    <row r="1359" spans="1:5">
      <c r="A1359" s="12"/>
      <c r="D1359" s="12"/>
      <c r="E1359" s="57" t="str">
        <f ca="1">IFERROR(__xludf.DUMMYFUNCTION("""COMPUTED_VALUE"""),"")</f>
        <v/>
      </c>
    </row>
    <row r="1360" spans="1:5">
      <c r="A1360" s="12" t="s">
        <v>11347</v>
      </c>
      <c r="D1360" s="12"/>
      <c r="E1360" s="57" t="str">
        <f ca="1">IFERROR(__xludf.DUMMYFUNCTION("""COMPUTED_VALUE"""),"")</f>
        <v/>
      </c>
    </row>
    <row r="1361" spans="1:5">
      <c r="A1361" s="59" t="s">
        <v>11348</v>
      </c>
      <c r="D1361" s="12"/>
      <c r="E1361" s="57" t="str">
        <f ca="1">IFERROR(__xludf.DUMMYFUNCTION("""COMPUTED_VALUE"""),"")</f>
        <v/>
      </c>
    </row>
    <row r="1362" spans="1:5">
      <c r="A1362" s="12"/>
      <c r="D1362" s="12"/>
      <c r="E1362" s="57" t="str">
        <f ca="1">IFERROR(__xludf.DUMMYFUNCTION("""COMPUTED_VALUE"""),"")</f>
        <v/>
      </c>
    </row>
    <row r="1363" spans="1:5">
      <c r="A1363" s="12" t="s">
        <v>11349</v>
      </c>
      <c r="D1363" s="12"/>
      <c r="E1363" s="57" t="str">
        <f ca="1">IFERROR(__xludf.DUMMYFUNCTION("""COMPUTED_VALUE"""),"")</f>
        <v/>
      </c>
    </row>
    <row r="1364" spans="1:5">
      <c r="A1364" s="59" t="s">
        <v>11350</v>
      </c>
      <c r="D1364" s="12"/>
      <c r="E1364" s="57" t="str">
        <f ca="1">IFERROR(__xludf.DUMMYFUNCTION("""COMPUTED_VALUE"""),"")</f>
        <v/>
      </c>
    </row>
    <row r="1365" spans="1:5">
      <c r="A1365" s="12"/>
      <c r="D1365" s="12"/>
      <c r="E1365" s="57" t="str">
        <f ca="1">IFERROR(__xludf.DUMMYFUNCTION("""COMPUTED_VALUE"""),"")</f>
        <v/>
      </c>
    </row>
    <row r="1366" spans="1:5">
      <c r="A1366" s="12" t="s">
        <v>11351</v>
      </c>
      <c r="D1366" s="12"/>
      <c r="E1366" s="57" t="str">
        <f ca="1">IFERROR(__xludf.DUMMYFUNCTION("""COMPUTED_VALUE"""),"")</f>
        <v/>
      </c>
    </row>
    <row r="1367" spans="1:5">
      <c r="A1367" s="59" t="s">
        <v>11352</v>
      </c>
      <c r="D1367" s="12"/>
      <c r="E1367" s="57" t="str">
        <f ca="1">IFERROR(__xludf.DUMMYFUNCTION("""COMPUTED_VALUE"""),"")</f>
        <v/>
      </c>
    </row>
    <row r="1368" spans="1:5">
      <c r="A1368" s="12"/>
      <c r="D1368" s="12"/>
      <c r="E1368" s="57" t="str">
        <f ca="1">IFERROR(__xludf.DUMMYFUNCTION("""COMPUTED_VALUE"""),"")</f>
        <v/>
      </c>
    </row>
    <row r="1369" spans="1:5">
      <c r="A1369" s="12" t="s">
        <v>11353</v>
      </c>
      <c r="D1369" s="12"/>
      <c r="E1369" s="57" t="str">
        <f ca="1">IFERROR(__xludf.DUMMYFUNCTION("""COMPUTED_VALUE"""),"")</f>
        <v/>
      </c>
    </row>
    <row r="1370" spans="1:5">
      <c r="A1370" s="59" t="s">
        <v>11354</v>
      </c>
      <c r="D1370" s="12"/>
      <c r="E1370" s="57" t="str">
        <f ca="1">IFERROR(__xludf.DUMMYFUNCTION("""COMPUTED_VALUE"""),"")</f>
        <v/>
      </c>
    </row>
    <row r="1371" spans="1:5">
      <c r="A1371" s="12"/>
      <c r="D1371" s="12"/>
      <c r="E1371" s="57" t="str">
        <f ca="1">IFERROR(__xludf.DUMMYFUNCTION("""COMPUTED_VALUE"""),"")</f>
        <v/>
      </c>
    </row>
    <row r="1372" spans="1:5">
      <c r="A1372" s="12" t="s">
        <v>11355</v>
      </c>
      <c r="D1372" s="12"/>
      <c r="E1372" s="57" t="str">
        <f ca="1">IFERROR(__xludf.DUMMYFUNCTION("""COMPUTED_VALUE"""),"")</f>
        <v/>
      </c>
    </row>
    <row r="1373" spans="1:5">
      <c r="A1373" s="59" t="s">
        <v>11356</v>
      </c>
      <c r="D1373" s="12"/>
      <c r="E1373" s="57" t="str">
        <f ca="1">IFERROR(__xludf.DUMMYFUNCTION("""COMPUTED_VALUE"""),"")</f>
        <v/>
      </c>
    </row>
    <row r="1374" spans="1:5">
      <c r="A1374" s="12"/>
      <c r="D1374" s="12"/>
      <c r="E1374" s="57" t="str">
        <f ca="1">IFERROR(__xludf.DUMMYFUNCTION("""COMPUTED_VALUE"""),"")</f>
        <v/>
      </c>
    </row>
    <row r="1375" spans="1:5">
      <c r="A1375" s="12" t="s">
        <v>11357</v>
      </c>
      <c r="D1375" s="12"/>
      <c r="E1375" s="57" t="str">
        <f ca="1">IFERROR(__xludf.DUMMYFUNCTION("""COMPUTED_VALUE"""),"")</f>
        <v/>
      </c>
    </row>
    <row r="1376" spans="1:5">
      <c r="A1376" s="59" t="s">
        <v>11358</v>
      </c>
      <c r="D1376" s="12"/>
      <c r="E1376" s="57" t="str">
        <f ca="1">IFERROR(__xludf.DUMMYFUNCTION("""COMPUTED_VALUE"""),"")</f>
        <v/>
      </c>
    </row>
    <row r="1377" spans="1:5">
      <c r="A1377" s="12"/>
      <c r="D1377" s="12"/>
      <c r="E1377" s="57" t="str">
        <f ca="1">IFERROR(__xludf.DUMMYFUNCTION("""COMPUTED_VALUE"""),"")</f>
        <v/>
      </c>
    </row>
    <row r="1378" spans="1:5">
      <c r="A1378" s="12" t="s">
        <v>11359</v>
      </c>
      <c r="D1378" s="12"/>
      <c r="E1378" s="57" t="str">
        <f ca="1">IFERROR(__xludf.DUMMYFUNCTION("""COMPUTED_VALUE"""),"")</f>
        <v/>
      </c>
    </row>
    <row r="1379" spans="1:5">
      <c r="A1379" s="59" t="s">
        <v>11360</v>
      </c>
      <c r="D1379" s="12"/>
      <c r="E1379" s="57" t="str">
        <f ca="1">IFERROR(__xludf.DUMMYFUNCTION("""COMPUTED_VALUE"""),"")</f>
        <v/>
      </c>
    </row>
    <row r="1380" spans="1:5">
      <c r="A1380" s="12"/>
      <c r="D1380" s="12"/>
      <c r="E1380" s="57" t="str">
        <f ca="1">IFERROR(__xludf.DUMMYFUNCTION("""COMPUTED_VALUE"""),"")</f>
        <v/>
      </c>
    </row>
    <row r="1381" spans="1:5">
      <c r="A1381" s="12" t="s">
        <v>11361</v>
      </c>
      <c r="D1381" s="12"/>
      <c r="E1381" s="57" t="str">
        <f ca="1">IFERROR(__xludf.DUMMYFUNCTION("""COMPUTED_VALUE"""),"")</f>
        <v/>
      </c>
    </row>
    <row r="1382" spans="1:5">
      <c r="A1382" s="59" t="s">
        <v>11362</v>
      </c>
      <c r="D1382" s="12"/>
      <c r="E1382" s="57" t="str">
        <f ca="1">IFERROR(__xludf.DUMMYFUNCTION("""COMPUTED_VALUE"""),"")</f>
        <v/>
      </c>
    </row>
    <row r="1383" spans="1:5">
      <c r="A1383" s="12"/>
      <c r="D1383" s="12"/>
      <c r="E1383" s="57" t="str">
        <f ca="1">IFERROR(__xludf.DUMMYFUNCTION("""COMPUTED_VALUE"""),"")</f>
        <v/>
      </c>
    </row>
    <row r="1384" spans="1:5">
      <c r="A1384" s="12" t="s">
        <v>11363</v>
      </c>
      <c r="D1384" s="12"/>
      <c r="E1384" s="57" t="str">
        <f ca="1">IFERROR(__xludf.DUMMYFUNCTION("""COMPUTED_VALUE"""),"")</f>
        <v/>
      </c>
    </row>
    <row r="1385" spans="1:5">
      <c r="A1385" s="59" t="s">
        <v>11364</v>
      </c>
      <c r="D1385" s="12"/>
      <c r="E1385" s="57" t="str">
        <f ca="1">IFERROR(__xludf.DUMMYFUNCTION("""COMPUTED_VALUE"""),"")</f>
        <v/>
      </c>
    </row>
    <row r="1386" spans="1:5">
      <c r="A1386" s="12"/>
      <c r="D1386" s="12"/>
      <c r="E1386" s="57" t="str">
        <f ca="1">IFERROR(__xludf.DUMMYFUNCTION("""COMPUTED_VALUE"""),"")</f>
        <v/>
      </c>
    </row>
    <row r="1387" spans="1:5">
      <c r="A1387" s="12" t="s">
        <v>11365</v>
      </c>
      <c r="D1387" s="12"/>
      <c r="E1387" s="57" t="str">
        <f ca="1">IFERROR(__xludf.DUMMYFUNCTION("""COMPUTED_VALUE"""),"")</f>
        <v/>
      </c>
    </row>
    <row r="1388" spans="1:5">
      <c r="A1388" s="59" t="s">
        <v>11366</v>
      </c>
      <c r="D1388" s="12"/>
      <c r="E1388" s="57" t="str">
        <f ca="1">IFERROR(__xludf.DUMMYFUNCTION("""COMPUTED_VALUE"""),"")</f>
        <v/>
      </c>
    </row>
    <row r="1389" spans="1:5">
      <c r="A1389" s="12"/>
      <c r="D1389" s="12"/>
      <c r="E1389" s="57" t="str">
        <f ca="1">IFERROR(__xludf.DUMMYFUNCTION("""COMPUTED_VALUE"""),"")</f>
        <v/>
      </c>
    </row>
    <row r="1390" spans="1:5">
      <c r="A1390" s="12" t="s">
        <v>11367</v>
      </c>
      <c r="D1390" s="12"/>
      <c r="E1390" s="57" t="str">
        <f ca="1">IFERROR(__xludf.DUMMYFUNCTION("""COMPUTED_VALUE"""),"")</f>
        <v/>
      </c>
    </row>
    <row r="1391" spans="1:5">
      <c r="A1391" s="59" t="s">
        <v>11368</v>
      </c>
      <c r="D1391" s="12"/>
      <c r="E1391" s="57" t="str">
        <f ca="1">IFERROR(__xludf.DUMMYFUNCTION("""COMPUTED_VALUE"""),"")</f>
        <v/>
      </c>
    </row>
    <row r="1392" spans="1:5">
      <c r="A1392" s="12"/>
      <c r="D1392" s="12"/>
      <c r="E1392" s="57" t="str">
        <f ca="1">IFERROR(__xludf.DUMMYFUNCTION("""COMPUTED_VALUE"""),"")</f>
        <v/>
      </c>
    </row>
    <row r="1393" spans="1:5">
      <c r="A1393" s="12" t="s">
        <v>11369</v>
      </c>
      <c r="D1393" s="12"/>
      <c r="E1393" s="57" t="str">
        <f ca="1">IFERROR(__xludf.DUMMYFUNCTION("""COMPUTED_VALUE"""),"")</f>
        <v/>
      </c>
    </row>
    <row r="1394" spans="1:5">
      <c r="A1394" s="59" t="s">
        <v>11370</v>
      </c>
      <c r="D1394" s="12"/>
      <c r="E1394" s="57" t="str">
        <f ca="1">IFERROR(__xludf.DUMMYFUNCTION("""COMPUTED_VALUE"""),"")</f>
        <v/>
      </c>
    </row>
    <row r="1395" spans="1:5">
      <c r="A1395" s="12"/>
      <c r="D1395" s="12"/>
      <c r="E1395" s="57" t="str">
        <f ca="1">IFERROR(__xludf.DUMMYFUNCTION("""COMPUTED_VALUE"""),"")</f>
        <v/>
      </c>
    </row>
    <row r="1396" spans="1:5">
      <c r="A1396" s="12" t="s">
        <v>11371</v>
      </c>
      <c r="D1396" s="12"/>
      <c r="E1396" s="57" t="str">
        <f ca="1">IFERROR(__xludf.DUMMYFUNCTION("""COMPUTED_VALUE"""),"")</f>
        <v/>
      </c>
    </row>
    <row r="1397" spans="1:5">
      <c r="A1397" s="59" t="s">
        <v>11372</v>
      </c>
      <c r="D1397" s="12"/>
      <c r="E1397" s="57" t="str">
        <f ca="1">IFERROR(__xludf.DUMMYFUNCTION("""COMPUTED_VALUE"""),"")</f>
        <v/>
      </c>
    </row>
    <row r="1398" spans="1:5">
      <c r="A1398" s="12"/>
      <c r="D1398" s="12"/>
      <c r="E1398" s="57" t="str">
        <f ca="1">IFERROR(__xludf.DUMMYFUNCTION("""COMPUTED_VALUE"""),"")</f>
        <v/>
      </c>
    </row>
    <row r="1399" spans="1:5">
      <c r="A1399" s="12" t="s">
        <v>11373</v>
      </c>
      <c r="D1399" s="12"/>
      <c r="E1399" s="57" t="str">
        <f ca="1">IFERROR(__xludf.DUMMYFUNCTION("""COMPUTED_VALUE"""),"")</f>
        <v/>
      </c>
    </row>
    <row r="1400" spans="1:5">
      <c r="A1400" s="59" t="s">
        <v>11374</v>
      </c>
      <c r="D1400" s="12"/>
      <c r="E1400" s="57" t="str">
        <f ca="1">IFERROR(__xludf.DUMMYFUNCTION("""COMPUTED_VALUE"""),"")</f>
        <v/>
      </c>
    </row>
    <row r="1401" spans="1:5">
      <c r="A1401" s="12"/>
      <c r="D1401" s="12"/>
      <c r="E1401" s="57" t="str">
        <f ca="1">IFERROR(__xludf.DUMMYFUNCTION("""COMPUTED_VALUE"""),"")</f>
        <v/>
      </c>
    </row>
    <row r="1402" spans="1:5">
      <c r="A1402" s="12" t="s">
        <v>11375</v>
      </c>
      <c r="D1402" s="12"/>
      <c r="E1402" s="57" t="str">
        <f ca="1">IFERROR(__xludf.DUMMYFUNCTION("""COMPUTED_VALUE"""),"")</f>
        <v/>
      </c>
    </row>
    <row r="1403" spans="1:5">
      <c r="A1403" s="59" t="s">
        <v>11376</v>
      </c>
      <c r="D1403" s="12"/>
      <c r="E1403" s="57" t="str">
        <f ca="1">IFERROR(__xludf.DUMMYFUNCTION("""COMPUTED_VALUE"""),"")</f>
        <v/>
      </c>
    </row>
    <row r="1404" spans="1:5">
      <c r="A1404" s="12"/>
      <c r="D1404" s="12"/>
      <c r="E1404" s="57" t="str">
        <f ca="1">IFERROR(__xludf.DUMMYFUNCTION("""COMPUTED_VALUE"""),"")</f>
        <v/>
      </c>
    </row>
    <row r="1405" spans="1:5">
      <c r="A1405" s="12" t="s">
        <v>11377</v>
      </c>
      <c r="D1405" s="12"/>
      <c r="E1405" s="57" t="str">
        <f ca="1">IFERROR(__xludf.DUMMYFUNCTION("""COMPUTED_VALUE"""),"")</f>
        <v/>
      </c>
    </row>
    <row r="1406" spans="1:5">
      <c r="A1406" s="59" t="s">
        <v>11378</v>
      </c>
      <c r="D1406" s="12"/>
      <c r="E1406" s="57" t="str">
        <f ca="1">IFERROR(__xludf.DUMMYFUNCTION("""COMPUTED_VALUE"""),"")</f>
        <v/>
      </c>
    </row>
    <row r="1407" spans="1:5">
      <c r="A1407" s="12"/>
      <c r="D1407" s="12"/>
      <c r="E1407" s="57" t="str">
        <f ca="1">IFERROR(__xludf.DUMMYFUNCTION("""COMPUTED_VALUE"""),"")</f>
        <v/>
      </c>
    </row>
    <row r="1408" spans="1:5">
      <c r="A1408" s="12" t="s">
        <v>11379</v>
      </c>
      <c r="D1408" s="12"/>
      <c r="E1408" s="57" t="str">
        <f ca="1">IFERROR(__xludf.DUMMYFUNCTION("""COMPUTED_VALUE"""),"")</f>
        <v/>
      </c>
    </row>
    <row r="1409" spans="1:5">
      <c r="A1409" s="59" t="s">
        <v>11380</v>
      </c>
      <c r="D1409" s="12"/>
      <c r="E1409" s="57" t="str">
        <f ca="1">IFERROR(__xludf.DUMMYFUNCTION("""COMPUTED_VALUE"""),"")</f>
        <v/>
      </c>
    </row>
    <row r="1410" spans="1:5">
      <c r="A1410" s="12"/>
      <c r="D1410" s="12"/>
      <c r="E1410" s="57" t="str">
        <f ca="1">IFERROR(__xludf.DUMMYFUNCTION("""COMPUTED_VALUE"""),"")</f>
        <v/>
      </c>
    </row>
    <row r="1411" spans="1:5">
      <c r="A1411" s="12" t="s">
        <v>11381</v>
      </c>
      <c r="D1411" s="12"/>
      <c r="E1411" s="57" t="str">
        <f ca="1">IFERROR(__xludf.DUMMYFUNCTION("""COMPUTED_VALUE"""),"")</f>
        <v/>
      </c>
    </row>
    <row r="1412" spans="1:5">
      <c r="A1412" s="59" t="s">
        <v>11382</v>
      </c>
      <c r="D1412" s="12"/>
      <c r="E1412" s="57" t="str">
        <f ca="1">IFERROR(__xludf.DUMMYFUNCTION("""COMPUTED_VALUE"""),"")</f>
        <v/>
      </c>
    </row>
    <row r="1413" spans="1:5">
      <c r="A1413" s="12"/>
      <c r="D1413" s="12"/>
      <c r="E1413" s="57" t="str">
        <f ca="1">IFERROR(__xludf.DUMMYFUNCTION("""COMPUTED_VALUE"""),"")</f>
        <v/>
      </c>
    </row>
    <row r="1414" spans="1:5">
      <c r="A1414" s="12" t="s">
        <v>11383</v>
      </c>
      <c r="D1414" s="12"/>
      <c r="E1414" s="57" t="str">
        <f ca="1">IFERROR(__xludf.DUMMYFUNCTION("""COMPUTED_VALUE"""),"")</f>
        <v/>
      </c>
    </row>
    <row r="1415" spans="1:5">
      <c r="A1415" s="59" t="s">
        <v>11384</v>
      </c>
      <c r="D1415" s="12"/>
      <c r="E1415" s="57" t="str">
        <f ca="1">IFERROR(__xludf.DUMMYFUNCTION("""COMPUTED_VALUE"""),"")</f>
        <v/>
      </c>
    </row>
    <row r="1416" spans="1:5">
      <c r="A1416" s="12"/>
      <c r="D1416" s="12"/>
      <c r="E1416" s="57" t="str">
        <f ca="1">IFERROR(__xludf.DUMMYFUNCTION("""COMPUTED_VALUE"""),"")</f>
        <v/>
      </c>
    </row>
    <row r="1417" spans="1:5">
      <c r="A1417" s="12" t="s">
        <v>11385</v>
      </c>
      <c r="D1417" s="12"/>
      <c r="E1417" s="57" t="str">
        <f ca="1">IFERROR(__xludf.DUMMYFUNCTION("""COMPUTED_VALUE"""),"")</f>
        <v/>
      </c>
    </row>
    <row r="1418" spans="1:5">
      <c r="A1418" s="59" t="s">
        <v>11386</v>
      </c>
      <c r="D1418" s="12"/>
      <c r="E1418" s="57" t="str">
        <f ca="1">IFERROR(__xludf.DUMMYFUNCTION("""COMPUTED_VALUE"""),"")</f>
        <v/>
      </c>
    </row>
    <row r="1419" spans="1:5">
      <c r="A1419" s="12"/>
      <c r="D1419" s="12"/>
      <c r="E1419" s="57" t="str">
        <f ca="1">IFERROR(__xludf.DUMMYFUNCTION("""COMPUTED_VALUE"""),"")</f>
        <v/>
      </c>
    </row>
    <row r="1420" spans="1:5">
      <c r="A1420" s="12" t="s">
        <v>11387</v>
      </c>
      <c r="D1420" s="12"/>
      <c r="E1420" s="57" t="str">
        <f ca="1">IFERROR(__xludf.DUMMYFUNCTION("""COMPUTED_VALUE"""),"")</f>
        <v/>
      </c>
    </row>
    <row r="1421" spans="1:5">
      <c r="A1421" s="59" t="s">
        <v>11388</v>
      </c>
      <c r="D1421" s="12"/>
      <c r="E1421" s="57" t="str">
        <f ca="1">IFERROR(__xludf.DUMMYFUNCTION("""COMPUTED_VALUE"""),"")</f>
        <v/>
      </c>
    </row>
    <row r="1422" spans="1:5">
      <c r="A1422" s="12"/>
      <c r="D1422" s="12"/>
      <c r="E1422" s="57" t="str">
        <f ca="1">IFERROR(__xludf.DUMMYFUNCTION("""COMPUTED_VALUE"""),"")</f>
        <v/>
      </c>
    </row>
    <row r="1423" spans="1:5">
      <c r="A1423" s="12" t="s">
        <v>11389</v>
      </c>
      <c r="D1423" s="12"/>
      <c r="E1423" s="57" t="str">
        <f ca="1">IFERROR(__xludf.DUMMYFUNCTION("""COMPUTED_VALUE"""),"")</f>
        <v/>
      </c>
    </row>
    <row r="1424" spans="1:5">
      <c r="A1424" s="59" t="s">
        <v>11390</v>
      </c>
      <c r="D1424" s="12"/>
      <c r="E1424" s="57" t="str">
        <f ca="1">IFERROR(__xludf.DUMMYFUNCTION("""COMPUTED_VALUE"""),"")</f>
        <v/>
      </c>
    </row>
    <row r="1425" spans="1:5">
      <c r="A1425" s="12"/>
      <c r="D1425" s="12"/>
      <c r="E1425" s="57" t="str">
        <f ca="1">IFERROR(__xludf.DUMMYFUNCTION("""COMPUTED_VALUE"""),"")</f>
        <v/>
      </c>
    </row>
    <row r="1426" spans="1:5">
      <c r="A1426" s="12" t="s">
        <v>11391</v>
      </c>
      <c r="D1426" s="12"/>
      <c r="E1426" s="57" t="str">
        <f ca="1">IFERROR(__xludf.DUMMYFUNCTION("""COMPUTED_VALUE"""),"")</f>
        <v/>
      </c>
    </row>
    <row r="1427" spans="1:5">
      <c r="A1427" s="59" t="s">
        <v>11392</v>
      </c>
      <c r="D1427" s="12"/>
      <c r="E1427" s="57" t="str">
        <f ca="1">IFERROR(__xludf.DUMMYFUNCTION("""COMPUTED_VALUE"""),"")</f>
        <v/>
      </c>
    </row>
    <row r="1428" spans="1:5">
      <c r="A1428" s="12"/>
      <c r="D1428" s="12"/>
      <c r="E1428" s="57" t="str">
        <f ca="1">IFERROR(__xludf.DUMMYFUNCTION("""COMPUTED_VALUE"""),"")</f>
        <v/>
      </c>
    </row>
    <row r="1429" spans="1:5">
      <c r="A1429" s="12" t="s">
        <v>11393</v>
      </c>
      <c r="D1429" s="12"/>
      <c r="E1429" s="57" t="str">
        <f ca="1">IFERROR(__xludf.DUMMYFUNCTION("""COMPUTED_VALUE"""),"")</f>
        <v/>
      </c>
    </row>
    <row r="1430" spans="1:5">
      <c r="A1430" s="59" t="s">
        <v>11394</v>
      </c>
      <c r="D1430" s="12"/>
      <c r="E1430" s="57" t="str">
        <f ca="1">IFERROR(__xludf.DUMMYFUNCTION("""COMPUTED_VALUE"""),"")</f>
        <v/>
      </c>
    </row>
    <row r="1431" spans="1:5">
      <c r="A1431" s="12"/>
      <c r="D1431" s="12"/>
      <c r="E1431" s="57" t="str">
        <f ca="1">IFERROR(__xludf.DUMMYFUNCTION("""COMPUTED_VALUE"""),"")</f>
        <v/>
      </c>
    </row>
    <row r="1432" spans="1:5">
      <c r="A1432" s="12" t="s">
        <v>11395</v>
      </c>
      <c r="D1432" s="12"/>
      <c r="E1432" s="57" t="str">
        <f ca="1">IFERROR(__xludf.DUMMYFUNCTION("""COMPUTED_VALUE"""),"")</f>
        <v/>
      </c>
    </row>
    <row r="1433" spans="1:5">
      <c r="A1433" s="59" t="s">
        <v>11396</v>
      </c>
      <c r="D1433" s="12"/>
      <c r="E1433" s="57" t="str">
        <f ca="1">IFERROR(__xludf.DUMMYFUNCTION("""COMPUTED_VALUE"""),"")</f>
        <v/>
      </c>
    </row>
    <row r="1434" spans="1:5">
      <c r="A1434" s="12"/>
      <c r="D1434" s="12"/>
      <c r="E1434" s="57" t="str">
        <f ca="1">IFERROR(__xludf.DUMMYFUNCTION("""COMPUTED_VALUE"""),"")</f>
        <v/>
      </c>
    </row>
    <row r="1435" spans="1:5">
      <c r="A1435" s="12" t="s">
        <v>11397</v>
      </c>
      <c r="D1435" s="12"/>
      <c r="E1435" s="57" t="str">
        <f ca="1">IFERROR(__xludf.DUMMYFUNCTION("""COMPUTED_VALUE"""),"")</f>
        <v/>
      </c>
    </row>
    <row r="1436" spans="1:5">
      <c r="A1436" s="59" t="s">
        <v>11398</v>
      </c>
      <c r="D1436" s="12"/>
      <c r="E1436" s="57" t="str">
        <f ca="1">IFERROR(__xludf.DUMMYFUNCTION("""COMPUTED_VALUE"""),"")</f>
        <v/>
      </c>
    </row>
    <row r="1437" spans="1:5">
      <c r="A1437" s="12"/>
      <c r="D1437" s="12"/>
      <c r="E1437" s="57" t="str">
        <f ca="1">IFERROR(__xludf.DUMMYFUNCTION("""COMPUTED_VALUE"""),"")</f>
        <v/>
      </c>
    </row>
    <row r="1438" spans="1:5">
      <c r="A1438" s="12" t="s">
        <v>11399</v>
      </c>
      <c r="D1438" s="12"/>
      <c r="E1438" s="57" t="str">
        <f ca="1">IFERROR(__xludf.DUMMYFUNCTION("""COMPUTED_VALUE"""),"")</f>
        <v/>
      </c>
    </row>
    <row r="1439" spans="1:5">
      <c r="A1439" s="59" t="s">
        <v>11400</v>
      </c>
      <c r="D1439" s="12"/>
      <c r="E1439" s="57" t="str">
        <f ca="1">IFERROR(__xludf.DUMMYFUNCTION("""COMPUTED_VALUE"""),"")</f>
        <v/>
      </c>
    </row>
    <row r="1440" spans="1:5">
      <c r="A1440" s="12"/>
      <c r="D1440" s="12"/>
      <c r="E1440" s="57" t="str">
        <f ca="1">IFERROR(__xludf.DUMMYFUNCTION("""COMPUTED_VALUE"""),"")</f>
        <v/>
      </c>
    </row>
    <row r="1441" spans="1:5">
      <c r="A1441" s="12" t="s">
        <v>11401</v>
      </c>
      <c r="D1441" s="12"/>
      <c r="E1441" s="57" t="str">
        <f ca="1">IFERROR(__xludf.DUMMYFUNCTION("""COMPUTED_VALUE"""),"")</f>
        <v/>
      </c>
    </row>
    <row r="1442" spans="1:5">
      <c r="A1442" s="59" t="s">
        <v>11402</v>
      </c>
      <c r="D1442" s="12"/>
      <c r="E1442" s="57" t="str">
        <f ca="1">IFERROR(__xludf.DUMMYFUNCTION("""COMPUTED_VALUE"""),"")</f>
        <v/>
      </c>
    </row>
    <row r="1443" spans="1:5">
      <c r="A1443" s="12"/>
      <c r="D1443" s="12"/>
      <c r="E1443" s="57" t="str">
        <f ca="1">IFERROR(__xludf.DUMMYFUNCTION("""COMPUTED_VALUE"""),"")</f>
        <v/>
      </c>
    </row>
    <row r="1444" spans="1:5">
      <c r="A1444" s="12" t="s">
        <v>11403</v>
      </c>
      <c r="D1444" s="12"/>
      <c r="E1444" s="57" t="str">
        <f ca="1">IFERROR(__xludf.DUMMYFUNCTION("""COMPUTED_VALUE"""),"")</f>
        <v/>
      </c>
    </row>
    <row r="1445" spans="1:5">
      <c r="A1445" s="59" t="s">
        <v>11404</v>
      </c>
      <c r="D1445" s="12"/>
      <c r="E1445" s="57" t="str">
        <f ca="1">IFERROR(__xludf.DUMMYFUNCTION("""COMPUTED_VALUE"""),"")</f>
        <v/>
      </c>
    </row>
    <row r="1446" spans="1:5">
      <c r="A1446" s="12"/>
      <c r="D1446" s="12"/>
      <c r="E1446" s="57" t="str">
        <f ca="1">IFERROR(__xludf.DUMMYFUNCTION("""COMPUTED_VALUE"""),"")</f>
        <v/>
      </c>
    </row>
    <row r="1447" spans="1:5">
      <c r="A1447" s="12" t="s">
        <v>11405</v>
      </c>
      <c r="D1447" s="12"/>
      <c r="E1447" s="57" t="str">
        <f ca="1">IFERROR(__xludf.DUMMYFUNCTION("""COMPUTED_VALUE"""),"")</f>
        <v/>
      </c>
    </row>
    <row r="1448" spans="1:5">
      <c r="A1448" s="59" t="s">
        <v>11406</v>
      </c>
      <c r="D1448" s="12"/>
      <c r="E1448" s="57" t="str">
        <f ca="1">IFERROR(__xludf.DUMMYFUNCTION("""COMPUTED_VALUE"""),"")</f>
        <v/>
      </c>
    </row>
    <row r="1449" spans="1:5">
      <c r="A1449" s="12"/>
      <c r="D1449" s="12"/>
      <c r="E1449" s="57" t="str">
        <f ca="1">IFERROR(__xludf.DUMMYFUNCTION("""COMPUTED_VALUE"""),"")</f>
        <v/>
      </c>
    </row>
    <row r="1450" spans="1:5">
      <c r="A1450" s="12" t="s">
        <v>11407</v>
      </c>
      <c r="D1450" s="12"/>
      <c r="E1450" s="57" t="str">
        <f ca="1">IFERROR(__xludf.DUMMYFUNCTION("""COMPUTED_VALUE"""),"")</f>
        <v/>
      </c>
    </row>
    <row r="1451" spans="1:5">
      <c r="A1451" s="59" t="s">
        <v>11408</v>
      </c>
      <c r="D1451" s="12"/>
      <c r="E1451" s="57" t="str">
        <f ca="1">IFERROR(__xludf.DUMMYFUNCTION("""COMPUTED_VALUE"""),"")</f>
        <v/>
      </c>
    </row>
    <row r="1452" spans="1:5">
      <c r="A1452" s="12"/>
      <c r="D1452" s="12"/>
      <c r="E1452" s="57" t="str">
        <f ca="1">IFERROR(__xludf.DUMMYFUNCTION("""COMPUTED_VALUE"""),"")</f>
        <v/>
      </c>
    </row>
    <row r="1453" spans="1:5">
      <c r="A1453" s="12" t="s">
        <v>11409</v>
      </c>
      <c r="D1453" s="12"/>
      <c r="E1453" s="57" t="str">
        <f ca="1">IFERROR(__xludf.DUMMYFUNCTION("""COMPUTED_VALUE"""),"")</f>
        <v/>
      </c>
    </row>
    <row r="1454" spans="1:5">
      <c r="A1454" s="59" t="s">
        <v>11410</v>
      </c>
      <c r="D1454" s="12"/>
      <c r="E1454" s="57" t="str">
        <f ca="1">IFERROR(__xludf.DUMMYFUNCTION("""COMPUTED_VALUE"""),"")</f>
        <v/>
      </c>
    </row>
    <row r="1455" spans="1:5">
      <c r="A1455" s="12"/>
      <c r="D1455" s="12"/>
      <c r="E1455" s="57" t="str">
        <f ca="1">IFERROR(__xludf.DUMMYFUNCTION("""COMPUTED_VALUE"""),"")</f>
        <v/>
      </c>
    </row>
    <row r="1456" spans="1:5">
      <c r="A1456" s="12" t="s">
        <v>11411</v>
      </c>
      <c r="D1456" s="12"/>
      <c r="E1456" s="57" t="str">
        <f ca="1">IFERROR(__xludf.DUMMYFUNCTION("""COMPUTED_VALUE"""),"")</f>
        <v/>
      </c>
    </row>
    <row r="1457" spans="1:5">
      <c r="A1457" s="59" t="s">
        <v>11412</v>
      </c>
      <c r="D1457" s="12"/>
      <c r="E1457" s="57" t="str">
        <f ca="1">IFERROR(__xludf.DUMMYFUNCTION("""COMPUTED_VALUE"""),"")</f>
        <v/>
      </c>
    </row>
    <row r="1458" spans="1:5">
      <c r="A1458" s="12"/>
      <c r="D1458" s="12"/>
      <c r="E1458" s="57" t="str">
        <f ca="1">IFERROR(__xludf.DUMMYFUNCTION("""COMPUTED_VALUE"""),"")</f>
        <v/>
      </c>
    </row>
    <row r="1459" spans="1:5">
      <c r="A1459" s="12" t="s">
        <v>11413</v>
      </c>
      <c r="D1459" s="12"/>
      <c r="E1459" s="57" t="str">
        <f ca="1">IFERROR(__xludf.DUMMYFUNCTION("""COMPUTED_VALUE"""),"")</f>
        <v/>
      </c>
    </row>
    <row r="1460" spans="1:5">
      <c r="A1460" s="59" t="s">
        <v>11414</v>
      </c>
      <c r="D1460" s="12"/>
      <c r="E1460" s="57" t="str">
        <f ca="1">IFERROR(__xludf.DUMMYFUNCTION("""COMPUTED_VALUE"""),"")</f>
        <v/>
      </c>
    </row>
    <row r="1461" spans="1:5">
      <c r="A1461" s="12"/>
      <c r="D1461" s="12"/>
      <c r="E1461" s="57" t="str">
        <f ca="1">IFERROR(__xludf.DUMMYFUNCTION("""COMPUTED_VALUE"""),"")</f>
        <v/>
      </c>
    </row>
    <row r="1462" spans="1:5">
      <c r="A1462" s="12" t="s">
        <v>11415</v>
      </c>
      <c r="D1462" s="12"/>
      <c r="E1462" s="57" t="str">
        <f ca="1">IFERROR(__xludf.DUMMYFUNCTION("""COMPUTED_VALUE"""),"")</f>
        <v/>
      </c>
    </row>
    <row r="1463" spans="1:5">
      <c r="A1463" s="59" t="s">
        <v>11416</v>
      </c>
      <c r="D1463" s="12"/>
      <c r="E1463" s="57" t="str">
        <f ca="1">IFERROR(__xludf.DUMMYFUNCTION("""COMPUTED_VALUE"""),"")</f>
        <v/>
      </c>
    </row>
    <row r="1464" spans="1:5">
      <c r="A1464" s="12"/>
      <c r="D1464" s="12"/>
      <c r="E1464" s="57" t="str">
        <f ca="1">IFERROR(__xludf.DUMMYFUNCTION("""COMPUTED_VALUE"""),"")</f>
        <v/>
      </c>
    </row>
    <row r="1465" spans="1:5">
      <c r="A1465" s="12" t="s">
        <v>11417</v>
      </c>
      <c r="D1465" s="12"/>
      <c r="E1465" s="57" t="str">
        <f ca="1">IFERROR(__xludf.DUMMYFUNCTION("""COMPUTED_VALUE"""),"")</f>
        <v/>
      </c>
    </row>
    <row r="1466" spans="1:5">
      <c r="A1466" s="59" t="s">
        <v>11418</v>
      </c>
      <c r="D1466" s="12"/>
      <c r="E1466" s="57" t="str">
        <f ca="1">IFERROR(__xludf.DUMMYFUNCTION("""COMPUTED_VALUE"""),"")</f>
        <v/>
      </c>
    </row>
    <row r="1467" spans="1:5">
      <c r="A1467" s="12"/>
      <c r="D1467" s="12"/>
      <c r="E1467" s="57" t="str">
        <f ca="1">IFERROR(__xludf.DUMMYFUNCTION("""COMPUTED_VALUE"""),"")</f>
        <v/>
      </c>
    </row>
    <row r="1468" spans="1:5">
      <c r="A1468" s="12" t="s">
        <v>11419</v>
      </c>
      <c r="D1468" s="12"/>
      <c r="E1468" s="57" t="str">
        <f ca="1">IFERROR(__xludf.DUMMYFUNCTION("""COMPUTED_VALUE"""),"")</f>
        <v/>
      </c>
    </row>
    <row r="1469" spans="1:5">
      <c r="A1469" s="59" t="s">
        <v>11420</v>
      </c>
      <c r="D1469" s="12"/>
      <c r="E1469" s="57" t="str">
        <f ca="1">IFERROR(__xludf.DUMMYFUNCTION("""COMPUTED_VALUE"""),"")</f>
        <v/>
      </c>
    </row>
    <row r="1470" spans="1:5">
      <c r="A1470" s="12"/>
      <c r="D1470" s="12"/>
      <c r="E1470" s="57" t="str">
        <f ca="1">IFERROR(__xludf.DUMMYFUNCTION("""COMPUTED_VALUE"""),"")</f>
        <v/>
      </c>
    </row>
    <row r="1471" spans="1:5">
      <c r="A1471" s="12" t="s">
        <v>11421</v>
      </c>
      <c r="D1471" s="12"/>
      <c r="E1471" s="57" t="str">
        <f ca="1">IFERROR(__xludf.DUMMYFUNCTION("""COMPUTED_VALUE"""),"")</f>
        <v/>
      </c>
    </row>
    <row r="1472" spans="1:5">
      <c r="A1472" s="59" t="s">
        <v>11422</v>
      </c>
      <c r="D1472" s="12"/>
      <c r="E1472" s="57" t="str">
        <f ca="1">IFERROR(__xludf.DUMMYFUNCTION("""COMPUTED_VALUE"""),"")</f>
        <v/>
      </c>
    </row>
    <row r="1473" spans="1:5">
      <c r="A1473" s="12"/>
      <c r="D1473" s="12"/>
      <c r="E1473" s="57" t="str">
        <f ca="1">IFERROR(__xludf.DUMMYFUNCTION("""COMPUTED_VALUE"""),"")</f>
        <v/>
      </c>
    </row>
    <row r="1474" spans="1:5">
      <c r="A1474" s="12" t="s">
        <v>11423</v>
      </c>
      <c r="D1474" s="12"/>
      <c r="E1474" s="57" t="str">
        <f ca="1">IFERROR(__xludf.DUMMYFUNCTION("""COMPUTED_VALUE"""),"")</f>
        <v/>
      </c>
    </row>
    <row r="1475" spans="1:5">
      <c r="A1475" s="59" t="s">
        <v>11424</v>
      </c>
      <c r="D1475" s="12"/>
      <c r="E1475" s="57" t="str">
        <f ca="1">IFERROR(__xludf.DUMMYFUNCTION("""COMPUTED_VALUE"""),"")</f>
        <v/>
      </c>
    </row>
    <row r="1476" spans="1:5">
      <c r="A1476" s="12"/>
      <c r="D1476" s="12"/>
      <c r="E1476" s="57" t="str">
        <f ca="1">IFERROR(__xludf.DUMMYFUNCTION("""COMPUTED_VALUE"""),"")</f>
        <v/>
      </c>
    </row>
    <row r="1477" spans="1:5">
      <c r="A1477" s="12" t="s">
        <v>11425</v>
      </c>
      <c r="D1477" s="12"/>
      <c r="E1477" s="57" t="str">
        <f ca="1">IFERROR(__xludf.DUMMYFUNCTION("""COMPUTED_VALUE"""),"")</f>
        <v/>
      </c>
    </row>
    <row r="1478" spans="1:5">
      <c r="A1478" s="59" t="s">
        <v>11426</v>
      </c>
      <c r="D1478" s="12"/>
      <c r="E1478" s="57" t="str">
        <f ca="1">IFERROR(__xludf.DUMMYFUNCTION("""COMPUTED_VALUE"""),"")</f>
        <v/>
      </c>
    </row>
    <row r="1479" spans="1:5">
      <c r="A1479" s="12"/>
      <c r="D1479" s="12"/>
      <c r="E1479" s="57" t="str">
        <f ca="1">IFERROR(__xludf.DUMMYFUNCTION("""COMPUTED_VALUE"""),"")</f>
        <v/>
      </c>
    </row>
    <row r="1480" spans="1:5">
      <c r="A1480" s="12" t="s">
        <v>11427</v>
      </c>
      <c r="D1480" s="12"/>
      <c r="E1480" s="57" t="str">
        <f ca="1">IFERROR(__xludf.DUMMYFUNCTION("""COMPUTED_VALUE"""),"")</f>
        <v/>
      </c>
    </row>
    <row r="1481" spans="1:5">
      <c r="A1481" s="59" t="s">
        <v>11428</v>
      </c>
      <c r="D1481" s="12"/>
      <c r="E1481" s="57" t="str">
        <f ca="1">IFERROR(__xludf.DUMMYFUNCTION("""COMPUTED_VALUE"""),"")</f>
        <v/>
      </c>
    </row>
    <row r="1482" spans="1:5">
      <c r="A1482" s="12"/>
      <c r="D1482" s="12"/>
      <c r="E1482" s="57" t="str">
        <f ca="1">IFERROR(__xludf.DUMMYFUNCTION("""COMPUTED_VALUE"""),"")</f>
        <v/>
      </c>
    </row>
    <row r="1483" spans="1:5">
      <c r="A1483" s="12" t="s">
        <v>11429</v>
      </c>
      <c r="D1483" s="12"/>
      <c r="E1483" s="57" t="str">
        <f ca="1">IFERROR(__xludf.DUMMYFUNCTION("""COMPUTED_VALUE"""),"")</f>
        <v/>
      </c>
    </row>
    <row r="1484" spans="1:5">
      <c r="A1484" s="59" t="s">
        <v>11430</v>
      </c>
      <c r="D1484" s="12"/>
      <c r="E1484" s="57" t="str">
        <f ca="1">IFERROR(__xludf.DUMMYFUNCTION("""COMPUTED_VALUE"""),"")</f>
        <v/>
      </c>
    </row>
    <row r="1485" spans="1:5">
      <c r="A1485" s="12"/>
      <c r="D1485" s="12"/>
      <c r="E1485" s="57" t="str">
        <f ca="1">IFERROR(__xludf.DUMMYFUNCTION("""COMPUTED_VALUE"""),"")</f>
        <v/>
      </c>
    </row>
    <row r="1486" spans="1:5">
      <c r="A1486" s="12" t="s">
        <v>11431</v>
      </c>
      <c r="D1486" s="12"/>
      <c r="E1486" s="57" t="str">
        <f ca="1">IFERROR(__xludf.DUMMYFUNCTION("""COMPUTED_VALUE"""),"")</f>
        <v/>
      </c>
    </row>
    <row r="1487" spans="1:5">
      <c r="A1487" s="59" t="s">
        <v>11432</v>
      </c>
      <c r="D1487" s="12"/>
      <c r="E1487" s="57" t="str">
        <f ca="1">IFERROR(__xludf.DUMMYFUNCTION("""COMPUTED_VALUE"""),"")</f>
        <v/>
      </c>
    </row>
    <row r="1488" spans="1:5">
      <c r="A1488" s="12"/>
      <c r="D1488" s="12"/>
      <c r="E1488" s="57" t="str">
        <f ca="1">IFERROR(__xludf.DUMMYFUNCTION("""COMPUTED_VALUE"""),"")</f>
        <v/>
      </c>
    </row>
    <row r="1489" spans="1:5">
      <c r="A1489" s="12" t="s">
        <v>11433</v>
      </c>
      <c r="D1489" s="12"/>
      <c r="E1489" s="57" t="str">
        <f ca="1">IFERROR(__xludf.DUMMYFUNCTION("""COMPUTED_VALUE"""),"")</f>
        <v/>
      </c>
    </row>
    <row r="1490" spans="1:5">
      <c r="A1490" s="59" t="s">
        <v>11434</v>
      </c>
      <c r="D1490" s="12"/>
      <c r="E1490" s="57" t="str">
        <f ca="1">IFERROR(__xludf.DUMMYFUNCTION("""COMPUTED_VALUE"""),"")</f>
        <v/>
      </c>
    </row>
    <row r="1491" spans="1:5">
      <c r="A1491" s="12"/>
      <c r="D1491" s="12"/>
      <c r="E1491" s="57" t="str">
        <f ca="1">IFERROR(__xludf.DUMMYFUNCTION("""COMPUTED_VALUE"""),"")</f>
        <v/>
      </c>
    </row>
    <row r="1492" spans="1:5">
      <c r="A1492" s="12" t="s">
        <v>11435</v>
      </c>
      <c r="D1492" s="12"/>
      <c r="E1492" s="57" t="str">
        <f ca="1">IFERROR(__xludf.DUMMYFUNCTION("""COMPUTED_VALUE"""),"")</f>
        <v/>
      </c>
    </row>
    <row r="1493" spans="1:5">
      <c r="A1493" s="59" t="s">
        <v>11436</v>
      </c>
      <c r="D1493" s="12"/>
      <c r="E1493" s="57" t="str">
        <f ca="1">IFERROR(__xludf.DUMMYFUNCTION("""COMPUTED_VALUE"""),"")</f>
        <v/>
      </c>
    </row>
    <row r="1494" spans="1:5">
      <c r="A1494" s="12"/>
      <c r="D1494" s="12"/>
      <c r="E1494" s="57" t="str">
        <f ca="1">IFERROR(__xludf.DUMMYFUNCTION("""COMPUTED_VALUE"""),"")</f>
        <v/>
      </c>
    </row>
    <row r="1495" spans="1:5">
      <c r="A1495" s="12" t="s">
        <v>11437</v>
      </c>
      <c r="D1495" s="12"/>
      <c r="E1495" s="57" t="str">
        <f ca="1">IFERROR(__xludf.DUMMYFUNCTION("""COMPUTED_VALUE"""),"")</f>
        <v/>
      </c>
    </row>
    <row r="1496" spans="1:5">
      <c r="A1496" s="59" t="s">
        <v>11438</v>
      </c>
      <c r="D1496" s="12"/>
      <c r="E1496" s="57" t="str">
        <f ca="1">IFERROR(__xludf.DUMMYFUNCTION("""COMPUTED_VALUE"""),"")</f>
        <v/>
      </c>
    </row>
    <row r="1497" spans="1:5">
      <c r="A1497" s="12"/>
      <c r="D1497" s="12"/>
      <c r="E1497" s="57" t="str">
        <f ca="1">IFERROR(__xludf.DUMMYFUNCTION("""COMPUTED_VALUE"""),"")</f>
        <v/>
      </c>
    </row>
    <row r="1498" spans="1:5">
      <c r="A1498" s="12" t="s">
        <v>11439</v>
      </c>
      <c r="D1498" s="12"/>
      <c r="E1498" s="57" t="str">
        <f ca="1">IFERROR(__xludf.DUMMYFUNCTION("""COMPUTED_VALUE"""),"")</f>
        <v/>
      </c>
    </row>
    <row r="1499" spans="1:5">
      <c r="A1499" s="59" t="s">
        <v>11440</v>
      </c>
      <c r="D1499" s="12"/>
      <c r="E1499" s="57" t="str">
        <f ca="1">IFERROR(__xludf.DUMMYFUNCTION("""COMPUTED_VALUE"""),"")</f>
        <v/>
      </c>
    </row>
    <row r="1500" spans="1:5">
      <c r="A1500" s="12"/>
      <c r="D1500" s="12"/>
      <c r="E1500" s="57" t="str">
        <f ca="1">IFERROR(__xludf.DUMMYFUNCTION("""COMPUTED_VALUE"""),"")</f>
        <v/>
      </c>
    </row>
    <row r="1501" spans="1:5">
      <c r="A1501" s="12" t="s">
        <v>11441</v>
      </c>
      <c r="D1501" s="12"/>
      <c r="E1501" s="57" t="str">
        <f ca="1">IFERROR(__xludf.DUMMYFUNCTION("""COMPUTED_VALUE"""),"")</f>
        <v/>
      </c>
    </row>
    <row r="1502" spans="1:5">
      <c r="A1502" s="59" t="s">
        <v>11442</v>
      </c>
      <c r="D1502" s="12"/>
      <c r="E1502" s="57" t="str">
        <f ca="1">IFERROR(__xludf.DUMMYFUNCTION("""COMPUTED_VALUE"""),"")</f>
        <v/>
      </c>
    </row>
    <row r="1503" spans="1:5">
      <c r="A1503" s="12"/>
      <c r="D1503" s="12"/>
      <c r="E1503" s="57" t="str">
        <f ca="1">IFERROR(__xludf.DUMMYFUNCTION("""COMPUTED_VALUE"""),"")</f>
        <v/>
      </c>
    </row>
    <row r="1504" spans="1:5">
      <c r="A1504" s="12" t="s">
        <v>11443</v>
      </c>
      <c r="D1504" s="12"/>
      <c r="E1504" s="57" t="str">
        <f ca="1">IFERROR(__xludf.DUMMYFUNCTION("""COMPUTED_VALUE"""),"")</f>
        <v/>
      </c>
    </row>
    <row r="1505" spans="1:5">
      <c r="A1505" s="59" t="s">
        <v>11444</v>
      </c>
      <c r="D1505" s="12"/>
      <c r="E1505" s="57" t="str">
        <f ca="1">IFERROR(__xludf.DUMMYFUNCTION("""COMPUTED_VALUE"""),"")</f>
        <v/>
      </c>
    </row>
    <row r="1506" spans="1:5">
      <c r="A1506" s="12"/>
      <c r="D1506" s="12"/>
      <c r="E1506" s="57" t="str">
        <f ca="1">IFERROR(__xludf.DUMMYFUNCTION("""COMPUTED_VALUE"""),"")</f>
        <v/>
      </c>
    </row>
    <row r="1507" spans="1:5">
      <c r="A1507" s="12" t="s">
        <v>11445</v>
      </c>
      <c r="D1507" s="12"/>
      <c r="E1507" s="57" t="str">
        <f ca="1">IFERROR(__xludf.DUMMYFUNCTION("""COMPUTED_VALUE"""),"")</f>
        <v/>
      </c>
    </row>
    <row r="1508" spans="1:5">
      <c r="A1508" s="59" t="s">
        <v>11446</v>
      </c>
      <c r="D1508" s="12"/>
      <c r="E1508" s="57" t="str">
        <f ca="1">IFERROR(__xludf.DUMMYFUNCTION("""COMPUTED_VALUE"""),"")</f>
        <v/>
      </c>
    </row>
    <row r="1509" spans="1:5">
      <c r="A1509" s="12"/>
      <c r="D1509" s="12"/>
      <c r="E1509" s="57" t="str">
        <f ca="1">IFERROR(__xludf.DUMMYFUNCTION("""COMPUTED_VALUE"""),"")</f>
        <v/>
      </c>
    </row>
    <row r="1510" spans="1:5">
      <c r="A1510" s="12" t="s">
        <v>11447</v>
      </c>
      <c r="D1510" s="12"/>
      <c r="E1510" s="57" t="str">
        <f ca="1">IFERROR(__xludf.DUMMYFUNCTION("""COMPUTED_VALUE"""),"")</f>
        <v/>
      </c>
    </row>
    <row r="1511" spans="1:5">
      <c r="A1511" s="59" t="s">
        <v>11448</v>
      </c>
      <c r="D1511" s="12"/>
      <c r="E1511" s="57" t="str">
        <f ca="1">IFERROR(__xludf.DUMMYFUNCTION("""COMPUTED_VALUE"""),"")</f>
        <v/>
      </c>
    </row>
    <row r="1512" spans="1:5">
      <c r="A1512" s="12"/>
      <c r="D1512" s="12"/>
      <c r="E1512" s="57" t="str">
        <f ca="1">IFERROR(__xludf.DUMMYFUNCTION("""COMPUTED_VALUE"""),"")</f>
        <v/>
      </c>
    </row>
    <row r="1513" spans="1:5">
      <c r="A1513" s="12" t="s">
        <v>11449</v>
      </c>
      <c r="D1513" s="12"/>
      <c r="E1513" s="57" t="str">
        <f ca="1">IFERROR(__xludf.DUMMYFUNCTION("""COMPUTED_VALUE"""),"")</f>
        <v/>
      </c>
    </row>
    <row r="1514" spans="1:5">
      <c r="A1514" s="59" t="s">
        <v>11450</v>
      </c>
      <c r="D1514" s="12"/>
      <c r="E1514" s="57" t="str">
        <f ca="1">IFERROR(__xludf.DUMMYFUNCTION("""COMPUTED_VALUE"""),"")</f>
        <v/>
      </c>
    </row>
    <row r="1515" spans="1:5">
      <c r="A1515" s="12"/>
      <c r="D1515" s="12"/>
      <c r="E1515" s="57" t="str">
        <f ca="1">IFERROR(__xludf.DUMMYFUNCTION("""COMPUTED_VALUE"""),"")</f>
        <v/>
      </c>
    </row>
    <row r="1516" spans="1:5">
      <c r="A1516" s="12" t="s">
        <v>11451</v>
      </c>
      <c r="D1516" s="12"/>
      <c r="E1516" s="57" t="str">
        <f ca="1">IFERROR(__xludf.DUMMYFUNCTION("""COMPUTED_VALUE"""),"")</f>
        <v/>
      </c>
    </row>
    <row r="1517" spans="1:5">
      <c r="A1517" s="59" t="s">
        <v>11452</v>
      </c>
      <c r="D1517" s="12"/>
      <c r="E1517" s="57" t="str">
        <f ca="1">IFERROR(__xludf.DUMMYFUNCTION("""COMPUTED_VALUE"""),"")</f>
        <v/>
      </c>
    </row>
    <row r="1518" spans="1:5">
      <c r="A1518" s="12"/>
      <c r="D1518" s="12"/>
      <c r="E1518" s="57" t="str">
        <f ca="1">IFERROR(__xludf.DUMMYFUNCTION("""COMPUTED_VALUE"""),"")</f>
        <v/>
      </c>
    </row>
    <row r="1519" spans="1:5">
      <c r="A1519" s="12" t="s">
        <v>11453</v>
      </c>
      <c r="D1519" s="12"/>
      <c r="E1519" s="57" t="str">
        <f ca="1">IFERROR(__xludf.DUMMYFUNCTION("""COMPUTED_VALUE"""),"")</f>
        <v/>
      </c>
    </row>
    <row r="1520" spans="1:5">
      <c r="A1520" s="59" t="s">
        <v>11454</v>
      </c>
      <c r="D1520" s="12"/>
      <c r="E1520" s="57" t="str">
        <f ca="1">IFERROR(__xludf.DUMMYFUNCTION("""COMPUTED_VALUE"""),"")</f>
        <v/>
      </c>
    </row>
    <row r="1521" spans="1:5">
      <c r="A1521" s="12"/>
      <c r="D1521" s="12"/>
      <c r="E1521" s="57" t="str">
        <f ca="1">IFERROR(__xludf.DUMMYFUNCTION("""COMPUTED_VALUE"""),"")</f>
        <v/>
      </c>
    </row>
    <row r="1522" spans="1:5">
      <c r="A1522" s="12" t="s">
        <v>11455</v>
      </c>
      <c r="D1522" s="12"/>
      <c r="E1522" s="57" t="str">
        <f ca="1">IFERROR(__xludf.DUMMYFUNCTION("""COMPUTED_VALUE"""),"")</f>
        <v/>
      </c>
    </row>
    <row r="1523" spans="1:5">
      <c r="A1523" s="59" t="s">
        <v>11456</v>
      </c>
      <c r="D1523" s="12"/>
      <c r="E1523" s="57" t="str">
        <f ca="1">IFERROR(__xludf.DUMMYFUNCTION("""COMPUTED_VALUE"""),"")</f>
        <v/>
      </c>
    </row>
    <row r="1524" spans="1:5">
      <c r="A1524" s="12"/>
      <c r="D1524" s="12"/>
      <c r="E1524" s="57" t="str">
        <f ca="1">IFERROR(__xludf.DUMMYFUNCTION("""COMPUTED_VALUE"""),"")</f>
        <v/>
      </c>
    </row>
    <row r="1525" spans="1:5">
      <c r="A1525" s="12" t="s">
        <v>11457</v>
      </c>
      <c r="D1525" s="12"/>
      <c r="E1525" s="57" t="str">
        <f ca="1">IFERROR(__xludf.DUMMYFUNCTION("""COMPUTED_VALUE"""),"")</f>
        <v/>
      </c>
    </row>
    <row r="1526" spans="1:5">
      <c r="A1526" s="59" t="s">
        <v>11458</v>
      </c>
      <c r="D1526" s="12"/>
      <c r="E1526" s="57" t="str">
        <f ca="1">IFERROR(__xludf.DUMMYFUNCTION("""COMPUTED_VALUE"""),"")</f>
        <v/>
      </c>
    </row>
    <row r="1527" spans="1:5">
      <c r="A1527" s="12"/>
      <c r="D1527" s="12"/>
      <c r="E1527" s="57" t="str">
        <f ca="1">IFERROR(__xludf.DUMMYFUNCTION("""COMPUTED_VALUE"""),"")</f>
        <v/>
      </c>
    </row>
    <row r="1528" spans="1:5">
      <c r="A1528" s="12" t="s">
        <v>11459</v>
      </c>
      <c r="D1528" s="12"/>
      <c r="E1528" s="57" t="str">
        <f ca="1">IFERROR(__xludf.DUMMYFUNCTION("""COMPUTED_VALUE"""),"")</f>
        <v/>
      </c>
    </row>
    <row r="1529" spans="1:5">
      <c r="A1529" s="59" t="s">
        <v>11460</v>
      </c>
      <c r="D1529" s="12"/>
      <c r="E1529" s="57" t="str">
        <f ca="1">IFERROR(__xludf.DUMMYFUNCTION("""COMPUTED_VALUE"""),"")</f>
        <v/>
      </c>
    </row>
    <row r="1530" spans="1:5">
      <c r="A1530" s="12"/>
      <c r="D1530" s="12"/>
      <c r="E1530" s="57" t="str">
        <f ca="1">IFERROR(__xludf.DUMMYFUNCTION("""COMPUTED_VALUE"""),"")</f>
        <v/>
      </c>
    </row>
    <row r="1531" spans="1:5">
      <c r="A1531" s="12" t="s">
        <v>11461</v>
      </c>
      <c r="D1531" s="12"/>
      <c r="E1531" s="57" t="str">
        <f ca="1">IFERROR(__xludf.DUMMYFUNCTION("""COMPUTED_VALUE"""),"")</f>
        <v/>
      </c>
    </row>
    <row r="1532" spans="1:5">
      <c r="A1532" s="59" t="s">
        <v>11462</v>
      </c>
      <c r="D1532" s="12"/>
      <c r="E1532" s="57" t="str">
        <f ca="1">IFERROR(__xludf.DUMMYFUNCTION("""COMPUTED_VALUE"""),"")</f>
        <v/>
      </c>
    </row>
    <row r="1533" spans="1:5">
      <c r="A1533" s="12"/>
      <c r="D1533" s="12"/>
      <c r="E1533" s="57" t="str">
        <f ca="1">IFERROR(__xludf.DUMMYFUNCTION("""COMPUTED_VALUE"""),"")</f>
        <v/>
      </c>
    </row>
    <row r="1534" spans="1:5">
      <c r="A1534" s="12" t="s">
        <v>11463</v>
      </c>
      <c r="D1534" s="12"/>
      <c r="E1534" s="57" t="str">
        <f ca="1">IFERROR(__xludf.DUMMYFUNCTION("""COMPUTED_VALUE"""),"")</f>
        <v/>
      </c>
    </row>
    <row r="1535" spans="1:5">
      <c r="A1535" s="59" t="s">
        <v>11464</v>
      </c>
      <c r="D1535" s="12"/>
      <c r="E1535" s="57" t="str">
        <f ca="1">IFERROR(__xludf.DUMMYFUNCTION("""COMPUTED_VALUE"""),"")</f>
        <v/>
      </c>
    </row>
    <row r="1536" spans="1:5">
      <c r="A1536" s="12"/>
      <c r="D1536" s="12"/>
      <c r="E1536" s="57" t="str">
        <f ca="1">IFERROR(__xludf.DUMMYFUNCTION("""COMPUTED_VALUE"""),"")</f>
        <v/>
      </c>
    </row>
    <row r="1537" spans="1:5">
      <c r="A1537" s="12" t="s">
        <v>11465</v>
      </c>
      <c r="D1537" s="12"/>
      <c r="E1537" s="57" t="str">
        <f ca="1">IFERROR(__xludf.DUMMYFUNCTION("""COMPUTED_VALUE"""),"")</f>
        <v/>
      </c>
    </row>
    <row r="1538" spans="1:5">
      <c r="A1538" s="59" t="s">
        <v>11466</v>
      </c>
      <c r="D1538" s="12"/>
      <c r="E1538" s="57" t="str">
        <f ca="1">IFERROR(__xludf.DUMMYFUNCTION("""COMPUTED_VALUE"""),"")</f>
        <v/>
      </c>
    </row>
    <row r="1539" spans="1:5">
      <c r="A1539" s="12"/>
      <c r="D1539" s="12"/>
      <c r="E1539" s="57" t="str">
        <f ca="1">IFERROR(__xludf.DUMMYFUNCTION("""COMPUTED_VALUE"""),"")</f>
        <v/>
      </c>
    </row>
    <row r="1540" spans="1:5">
      <c r="A1540" s="12" t="s">
        <v>11467</v>
      </c>
      <c r="D1540" s="12"/>
      <c r="E1540" s="57" t="str">
        <f ca="1">IFERROR(__xludf.DUMMYFUNCTION("""COMPUTED_VALUE"""),"")</f>
        <v/>
      </c>
    </row>
    <row r="1541" spans="1:5">
      <c r="A1541" s="59" t="s">
        <v>11468</v>
      </c>
      <c r="D1541" s="12"/>
      <c r="E1541" s="57" t="str">
        <f ca="1">IFERROR(__xludf.DUMMYFUNCTION("""COMPUTED_VALUE"""),"")</f>
        <v/>
      </c>
    </row>
    <row r="1542" spans="1:5">
      <c r="A1542" s="12"/>
      <c r="D1542" s="12"/>
      <c r="E1542" s="57" t="str">
        <f ca="1">IFERROR(__xludf.DUMMYFUNCTION("""COMPUTED_VALUE"""),"")</f>
        <v/>
      </c>
    </row>
    <row r="1543" spans="1:5">
      <c r="A1543" s="12" t="s">
        <v>11469</v>
      </c>
      <c r="D1543" s="12"/>
      <c r="E1543" s="57" t="str">
        <f ca="1">IFERROR(__xludf.DUMMYFUNCTION("""COMPUTED_VALUE"""),"")</f>
        <v/>
      </c>
    </row>
    <row r="1544" spans="1:5">
      <c r="A1544" s="59" t="s">
        <v>11470</v>
      </c>
      <c r="D1544" s="12"/>
      <c r="E1544" s="57" t="str">
        <f ca="1">IFERROR(__xludf.DUMMYFUNCTION("""COMPUTED_VALUE"""),"")</f>
        <v/>
      </c>
    </row>
    <row r="1545" spans="1:5">
      <c r="A1545" s="12"/>
      <c r="D1545" s="12"/>
      <c r="E1545" s="57" t="str">
        <f ca="1">IFERROR(__xludf.DUMMYFUNCTION("""COMPUTED_VALUE"""),"")</f>
        <v/>
      </c>
    </row>
    <row r="1546" spans="1:5">
      <c r="A1546" s="12" t="s">
        <v>11471</v>
      </c>
      <c r="D1546" s="12"/>
      <c r="E1546" s="57" t="str">
        <f ca="1">IFERROR(__xludf.DUMMYFUNCTION("""COMPUTED_VALUE"""),"")</f>
        <v/>
      </c>
    </row>
    <row r="1547" spans="1:5">
      <c r="A1547" s="59" t="s">
        <v>11472</v>
      </c>
      <c r="D1547" s="12"/>
      <c r="E1547" s="57" t="str">
        <f ca="1">IFERROR(__xludf.DUMMYFUNCTION("""COMPUTED_VALUE"""),"")</f>
        <v/>
      </c>
    </row>
    <row r="1548" spans="1:5">
      <c r="A1548" s="12"/>
      <c r="D1548" s="12"/>
      <c r="E1548" s="57" t="str">
        <f ca="1">IFERROR(__xludf.DUMMYFUNCTION("""COMPUTED_VALUE"""),"")</f>
        <v/>
      </c>
    </row>
    <row r="1549" spans="1:5">
      <c r="A1549" s="12" t="s">
        <v>11473</v>
      </c>
      <c r="D1549" s="12"/>
      <c r="E1549" s="57" t="str">
        <f ca="1">IFERROR(__xludf.DUMMYFUNCTION("""COMPUTED_VALUE"""),"")</f>
        <v/>
      </c>
    </row>
    <row r="1550" spans="1:5">
      <c r="A1550" s="59" t="s">
        <v>11474</v>
      </c>
      <c r="D1550" s="12"/>
      <c r="E1550" s="57" t="str">
        <f ca="1">IFERROR(__xludf.DUMMYFUNCTION("""COMPUTED_VALUE"""),"")</f>
        <v/>
      </c>
    </row>
    <row r="1551" spans="1:5">
      <c r="A1551" s="12"/>
      <c r="D1551" s="12"/>
      <c r="E1551" s="57" t="str">
        <f ca="1">IFERROR(__xludf.DUMMYFUNCTION("""COMPUTED_VALUE"""),"")</f>
        <v/>
      </c>
    </row>
    <row r="1552" spans="1:5">
      <c r="A1552" s="12" t="s">
        <v>11475</v>
      </c>
      <c r="D1552" s="12"/>
      <c r="E1552" s="57" t="str">
        <f ca="1">IFERROR(__xludf.DUMMYFUNCTION("""COMPUTED_VALUE"""),"")</f>
        <v/>
      </c>
    </row>
    <row r="1553" spans="1:5">
      <c r="A1553" s="59" t="s">
        <v>11476</v>
      </c>
      <c r="D1553" s="12"/>
      <c r="E1553" s="57" t="str">
        <f ca="1">IFERROR(__xludf.DUMMYFUNCTION("""COMPUTED_VALUE"""),"")</f>
        <v/>
      </c>
    </row>
    <row r="1554" spans="1:5">
      <c r="A1554" s="12"/>
      <c r="D1554" s="12"/>
      <c r="E1554" s="57" t="str">
        <f ca="1">IFERROR(__xludf.DUMMYFUNCTION("""COMPUTED_VALUE"""),"")</f>
        <v/>
      </c>
    </row>
    <row r="1555" spans="1:5">
      <c r="A1555" s="12" t="s">
        <v>11477</v>
      </c>
      <c r="D1555" s="12"/>
      <c r="E1555" s="57" t="str">
        <f ca="1">IFERROR(__xludf.DUMMYFUNCTION("""COMPUTED_VALUE"""),"")</f>
        <v/>
      </c>
    </row>
    <row r="1556" spans="1:5">
      <c r="A1556" s="59" t="s">
        <v>11478</v>
      </c>
      <c r="D1556" s="12"/>
      <c r="E1556" s="57" t="str">
        <f ca="1">IFERROR(__xludf.DUMMYFUNCTION("""COMPUTED_VALUE"""),"")</f>
        <v/>
      </c>
    </row>
    <row r="1557" spans="1:5">
      <c r="A1557" s="12"/>
      <c r="D1557" s="12"/>
      <c r="E1557" s="57" t="str">
        <f ca="1">IFERROR(__xludf.DUMMYFUNCTION("""COMPUTED_VALUE"""),"")</f>
        <v/>
      </c>
    </row>
    <row r="1558" spans="1:5">
      <c r="A1558" s="12" t="s">
        <v>11479</v>
      </c>
      <c r="D1558" s="12"/>
      <c r="E1558" s="57" t="str">
        <f ca="1">IFERROR(__xludf.DUMMYFUNCTION("""COMPUTED_VALUE"""),"")</f>
        <v/>
      </c>
    </row>
    <row r="1559" spans="1:5">
      <c r="A1559" s="59" t="s">
        <v>11480</v>
      </c>
      <c r="D1559" s="12"/>
      <c r="E1559" s="57" t="str">
        <f ca="1">IFERROR(__xludf.DUMMYFUNCTION("""COMPUTED_VALUE"""),"")</f>
        <v/>
      </c>
    </row>
    <row r="1560" spans="1:5">
      <c r="A1560" s="12"/>
      <c r="D1560" s="12"/>
      <c r="E1560" s="57" t="str">
        <f ca="1">IFERROR(__xludf.DUMMYFUNCTION("""COMPUTED_VALUE"""),"")</f>
        <v/>
      </c>
    </row>
    <row r="1561" spans="1:5">
      <c r="A1561" s="12" t="s">
        <v>11481</v>
      </c>
      <c r="D1561" s="12"/>
      <c r="E1561" s="57" t="str">
        <f ca="1">IFERROR(__xludf.DUMMYFUNCTION("""COMPUTED_VALUE"""),"")</f>
        <v/>
      </c>
    </row>
    <row r="1562" spans="1:5">
      <c r="A1562" s="59" t="s">
        <v>11482</v>
      </c>
      <c r="D1562" s="12"/>
      <c r="E1562" s="57" t="str">
        <f ca="1">IFERROR(__xludf.DUMMYFUNCTION("""COMPUTED_VALUE"""),"")</f>
        <v/>
      </c>
    </row>
    <row r="1563" spans="1:5">
      <c r="A1563" s="12"/>
      <c r="D1563" s="12"/>
      <c r="E1563" s="57" t="str">
        <f ca="1">IFERROR(__xludf.DUMMYFUNCTION("""COMPUTED_VALUE"""),"")</f>
        <v/>
      </c>
    </row>
    <row r="1564" spans="1:5">
      <c r="A1564" s="12" t="s">
        <v>11483</v>
      </c>
      <c r="D1564" s="12"/>
      <c r="E1564" s="57" t="str">
        <f ca="1">IFERROR(__xludf.DUMMYFUNCTION("""COMPUTED_VALUE"""),"")</f>
        <v/>
      </c>
    </row>
    <row r="1565" spans="1:5">
      <c r="A1565" s="59" t="s">
        <v>11484</v>
      </c>
      <c r="D1565" s="12"/>
      <c r="E1565" s="57" t="str">
        <f ca="1">IFERROR(__xludf.DUMMYFUNCTION("""COMPUTED_VALUE"""),"")</f>
        <v/>
      </c>
    </row>
    <row r="1566" spans="1:5">
      <c r="A1566" s="12"/>
      <c r="D1566" s="12"/>
      <c r="E1566" s="57" t="str">
        <f ca="1">IFERROR(__xludf.DUMMYFUNCTION("""COMPUTED_VALUE"""),"")</f>
        <v/>
      </c>
    </row>
    <row r="1567" spans="1:5">
      <c r="A1567" s="12" t="s">
        <v>11485</v>
      </c>
      <c r="D1567" s="12"/>
      <c r="E1567" s="57" t="str">
        <f ca="1">IFERROR(__xludf.DUMMYFUNCTION("""COMPUTED_VALUE"""),"")</f>
        <v/>
      </c>
    </row>
    <row r="1568" spans="1:5">
      <c r="A1568" s="59" t="s">
        <v>11486</v>
      </c>
      <c r="D1568" s="12"/>
      <c r="E1568" s="57" t="str">
        <f ca="1">IFERROR(__xludf.DUMMYFUNCTION("""COMPUTED_VALUE"""),"")</f>
        <v/>
      </c>
    </row>
    <row r="1569" spans="1:5">
      <c r="A1569" s="12"/>
      <c r="D1569" s="12"/>
      <c r="E1569" s="57" t="str">
        <f ca="1">IFERROR(__xludf.DUMMYFUNCTION("""COMPUTED_VALUE"""),"")</f>
        <v/>
      </c>
    </row>
    <row r="1570" spans="1:5">
      <c r="A1570" s="12" t="s">
        <v>11487</v>
      </c>
      <c r="D1570" s="12"/>
      <c r="E1570" s="57" t="str">
        <f ca="1">IFERROR(__xludf.DUMMYFUNCTION("""COMPUTED_VALUE"""),"")</f>
        <v/>
      </c>
    </row>
    <row r="1571" spans="1:5">
      <c r="A1571" s="59" t="s">
        <v>11488</v>
      </c>
      <c r="D1571" s="12"/>
      <c r="E1571" s="57" t="str">
        <f ca="1">IFERROR(__xludf.DUMMYFUNCTION("""COMPUTED_VALUE"""),"")</f>
        <v/>
      </c>
    </row>
    <row r="1572" spans="1:5">
      <c r="A1572" s="12"/>
      <c r="D1572" s="12"/>
      <c r="E1572" s="57" t="str">
        <f ca="1">IFERROR(__xludf.DUMMYFUNCTION("""COMPUTED_VALUE"""),"")</f>
        <v/>
      </c>
    </row>
    <row r="1573" spans="1:5">
      <c r="A1573" s="12" t="s">
        <v>11489</v>
      </c>
      <c r="D1573" s="12"/>
      <c r="E1573" s="57" t="str">
        <f ca="1">IFERROR(__xludf.DUMMYFUNCTION("""COMPUTED_VALUE"""),"")</f>
        <v/>
      </c>
    </row>
    <row r="1574" spans="1:5">
      <c r="A1574" s="59" t="s">
        <v>11490</v>
      </c>
      <c r="D1574" s="12"/>
      <c r="E1574" s="57" t="str">
        <f ca="1">IFERROR(__xludf.DUMMYFUNCTION("""COMPUTED_VALUE"""),"")</f>
        <v/>
      </c>
    </row>
    <row r="1575" spans="1:5">
      <c r="A1575" s="12"/>
      <c r="D1575" s="12"/>
      <c r="E1575" s="57" t="str">
        <f ca="1">IFERROR(__xludf.DUMMYFUNCTION("""COMPUTED_VALUE"""),"")</f>
        <v/>
      </c>
    </row>
    <row r="1576" spans="1:5">
      <c r="A1576" s="12" t="s">
        <v>11491</v>
      </c>
      <c r="D1576" s="12"/>
      <c r="E1576" s="57" t="str">
        <f ca="1">IFERROR(__xludf.DUMMYFUNCTION("""COMPUTED_VALUE"""),"")</f>
        <v/>
      </c>
    </row>
    <row r="1577" spans="1:5">
      <c r="A1577" s="59" t="s">
        <v>11492</v>
      </c>
      <c r="D1577" s="12"/>
      <c r="E1577" s="57" t="str">
        <f ca="1">IFERROR(__xludf.DUMMYFUNCTION("""COMPUTED_VALUE"""),"")</f>
        <v/>
      </c>
    </row>
    <row r="1578" spans="1:5">
      <c r="A1578" s="12"/>
      <c r="D1578" s="12"/>
      <c r="E1578" s="57" t="str">
        <f ca="1">IFERROR(__xludf.DUMMYFUNCTION("""COMPUTED_VALUE"""),"")</f>
        <v/>
      </c>
    </row>
    <row r="1579" spans="1:5">
      <c r="A1579" s="12" t="s">
        <v>11493</v>
      </c>
      <c r="D1579" s="12"/>
      <c r="E1579" s="57" t="str">
        <f ca="1">IFERROR(__xludf.DUMMYFUNCTION("""COMPUTED_VALUE"""),"")</f>
        <v/>
      </c>
    </row>
    <row r="1580" spans="1:5">
      <c r="A1580" s="59" t="s">
        <v>11494</v>
      </c>
      <c r="D1580" s="12"/>
      <c r="E1580" s="57" t="str">
        <f ca="1">IFERROR(__xludf.DUMMYFUNCTION("""COMPUTED_VALUE"""),"")</f>
        <v/>
      </c>
    </row>
    <row r="1581" spans="1:5">
      <c r="A1581" s="12"/>
      <c r="D1581" s="12"/>
      <c r="E1581" s="57" t="str">
        <f ca="1">IFERROR(__xludf.DUMMYFUNCTION("""COMPUTED_VALUE"""),"")</f>
        <v/>
      </c>
    </row>
    <row r="1582" spans="1:5">
      <c r="A1582" s="12" t="s">
        <v>11495</v>
      </c>
      <c r="D1582" s="12"/>
      <c r="E1582" s="57" t="str">
        <f ca="1">IFERROR(__xludf.DUMMYFUNCTION("""COMPUTED_VALUE"""),"")</f>
        <v/>
      </c>
    </row>
    <row r="1583" spans="1:5">
      <c r="A1583" s="59" t="s">
        <v>11496</v>
      </c>
      <c r="D1583" s="12"/>
      <c r="E1583" s="57" t="str">
        <f ca="1">IFERROR(__xludf.DUMMYFUNCTION("""COMPUTED_VALUE"""),"")</f>
        <v/>
      </c>
    </row>
    <row r="1584" spans="1:5">
      <c r="A1584" s="12"/>
      <c r="D1584" s="12"/>
      <c r="E1584" s="57" t="str">
        <f ca="1">IFERROR(__xludf.DUMMYFUNCTION("""COMPUTED_VALUE"""),"")</f>
        <v/>
      </c>
    </row>
    <row r="1585" spans="1:5">
      <c r="A1585" s="12" t="s">
        <v>11497</v>
      </c>
      <c r="D1585" s="12"/>
      <c r="E1585" s="57" t="str">
        <f ca="1">IFERROR(__xludf.DUMMYFUNCTION("""COMPUTED_VALUE"""),"")</f>
        <v/>
      </c>
    </row>
    <row r="1586" spans="1:5">
      <c r="A1586" s="59" t="s">
        <v>11498</v>
      </c>
      <c r="D1586" s="12"/>
      <c r="E1586" s="57" t="str">
        <f ca="1">IFERROR(__xludf.DUMMYFUNCTION("""COMPUTED_VALUE"""),"")</f>
        <v/>
      </c>
    </row>
    <row r="1587" spans="1:5">
      <c r="A1587" s="12"/>
      <c r="D1587" s="12"/>
      <c r="E1587" s="57" t="str">
        <f ca="1">IFERROR(__xludf.DUMMYFUNCTION("""COMPUTED_VALUE"""),"")</f>
        <v/>
      </c>
    </row>
    <row r="1588" spans="1:5">
      <c r="A1588" s="12" t="s">
        <v>11499</v>
      </c>
      <c r="D1588" s="12"/>
      <c r="E1588" s="57" t="str">
        <f ca="1">IFERROR(__xludf.DUMMYFUNCTION("""COMPUTED_VALUE"""),"")</f>
        <v/>
      </c>
    </row>
    <row r="1589" spans="1:5">
      <c r="A1589" s="59" t="s">
        <v>11500</v>
      </c>
      <c r="D1589" s="12"/>
      <c r="E1589" s="57" t="str">
        <f ca="1">IFERROR(__xludf.DUMMYFUNCTION("""COMPUTED_VALUE"""),"")</f>
        <v/>
      </c>
    </row>
    <row r="1590" spans="1:5">
      <c r="A1590" s="12"/>
      <c r="D1590" s="12"/>
      <c r="E1590" s="57" t="str">
        <f ca="1">IFERROR(__xludf.DUMMYFUNCTION("""COMPUTED_VALUE"""),"")</f>
        <v/>
      </c>
    </row>
    <row r="1591" spans="1:5">
      <c r="A1591" s="12" t="s">
        <v>11501</v>
      </c>
      <c r="D1591" s="12"/>
      <c r="E1591" s="57" t="str">
        <f ca="1">IFERROR(__xludf.DUMMYFUNCTION("""COMPUTED_VALUE"""),"")</f>
        <v/>
      </c>
    </row>
    <row r="1592" spans="1:5">
      <c r="A1592" s="59" t="s">
        <v>11502</v>
      </c>
      <c r="D1592" s="12"/>
      <c r="E1592" s="57" t="str">
        <f ca="1">IFERROR(__xludf.DUMMYFUNCTION("""COMPUTED_VALUE"""),"")</f>
        <v/>
      </c>
    </row>
    <row r="1593" spans="1:5">
      <c r="A1593" s="12"/>
      <c r="D1593" s="12"/>
      <c r="E1593" s="57" t="str">
        <f ca="1">IFERROR(__xludf.DUMMYFUNCTION("""COMPUTED_VALUE"""),"")</f>
        <v/>
      </c>
    </row>
    <row r="1594" spans="1:5">
      <c r="A1594" s="12" t="s">
        <v>11503</v>
      </c>
      <c r="D1594" s="12"/>
      <c r="E1594" s="57" t="str">
        <f ca="1">IFERROR(__xludf.DUMMYFUNCTION("""COMPUTED_VALUE"""),"")</f>
        <v/>
      </c>
    </row>
    <row r="1595" spans="1:5">
      <c r="A1595" s="59" t="s">
        <v>11504</v>
      </c>
      <c r="D1595" s="12"/>
      <c r="E1595" s="57" t="str">
        <f ca="1">IFERROR(__xludf.DUMMYFUNCTION("""COMPUTED_VALUE"""),"")</f>
        <v/>
      </c>
    </row>
    <row r="1596" spans="1:5">
      <c r="A1596" s="12"/>
      <c r="D1596" s="12"/>
      <c r="E1596" s="57" t="str">
        <f ca="1">IFERROR(__xludf.DUMMYFUNCTION("""COMPUTED_VALUE"""),"")</f>
        <v/>
      </c>
    </row>
    <row r="1597" spans="1:5">
      <c r="A1597" s="12" t="s">
        <v>11505</v>
      </c>
      <c r="D1597" s="12"/>
      <c r="E1597" s="57" t="str">
        <f ca="1">IFERROR(__xludf.DUMMYFUNCTION("""COMPUTED_VALUE"""),"")</f>
        <v/>
      </c>
    </row>
    <row r="1598" spans="1:5">
      <c r="A1598" s="59" t="s">
        <v>11506</v>
      </c>
      <c r="D1598" s="12"/>
      <c r="E1598" s="57" t="str">
        <f ca="1">IFERROR(__xludf.DUMMYFUNCTION("""COMPUTED_VALUE"""),"")</f>
        <v/>
      </c>
    </row>
    <row r="1599" spans="1:5">
      <c r="A1599" s="12"/>
      <c r="D1599" s="12"/>
      <c r="E1599" s="57" t="str">
        <f ca="1">IFERROR(__xludf.DUMMYFUNCTION("""COMPUTED_VALUE"""),"")</f>
        <v/>
      </c>
    </row>
    <row r="1600" spans="1:5">
      <c r="A1600" s="12" t="s">
        <v>11507</v>
      </c>
      <c r="D1600" s="12"/>
      <c r="E1600" s="57" t="str">
        <f ca="1">IFERROR(__xludf.DUMMYFUNCTION("""COMPUTED_VALUE"""),"")</f>
        <v/>
      </c>
    </row>
    <row r="1601" spans="1:5">
      <c r="A1601" s="59" t="s">
        <v>11508</v>
      </c>
      <c r="D1601" s="12"/>
      <c r="E1601" s="57" t="str">
        <f ca="1">IFERROR(__xludf.DUMMYFUNCTION("""COMPUTED_VALUE"""),"")</f>
        <v/>
      </c>
    </row>
    <row r="1602" spans="1:5">
      <c r="A1602" s="12"/>
      <c r="D1602" s="12"/>
      <c r="E1602" s="57" t="str">
        <f ca="1">IFERROR(__xludf.DUMMYFUNCTION("""COMPUTED_VALUE"""),"")</f>
        <v/>
      </c>
    </row>
    <row r="1603" spans="1:5">
      <c r="A1603" s="12" t="s">
        <v>11509</v>
      </c>
      <c r="D1603" s="12"/>
      <c r="E1603" s="57" t="str">
        <f ca="1">IFERROR(__xludf.DUMMYFUNCTION("""COMPUTED_VALUE"""),"")</f>
        <v/>
      </c>
    </row>
    <row r="1604" spans="1:5">
      <c r="A1604" s="59" t="s">
        <v>11510</v>
      </c>
      <c r="D1604" s="12"/>
      <c r="E1604" s="57" t="str">
        <f ca="1">IFERROR(__xludf.DUMMYFUNCTION("""COMPUTED_VALUE"""),"")</f>
        <v/>
      </c>
    </row>
    <row r="1605" spans="1:5">
      <c r="A1605" s="12"/>
      <c r="D1605" s="12"/>
      <c r="E1605" s="57" t="str">
        <f ca="1">IFERROR(__xludf.DUMMYFUNCTION("""COMPUTED_VALUE"""),"")</f>
        <v/>
      </c>
    </row>
    <row r="1606" spans="1:5">
      <c r="A1606" s="12" t="s">
        <v>11511</v>
      </c>
      <c r="D1606" s="12"/>
      <c r="E1606" s="57" t="str">
        <f ca="1">IFERROR(__xludf.DUMMYFUNCTION("""COMPUTED_VALUE"""),"")</f>
        <v/>
      </c>
    </row>
    <row r="1607" spans="1:5">
      <c r="A1607" s="59" t="s">
        <v>11512</v>
      </c>
      <c r="D1607" s="12"/>
      <c r="E1607" s="57" t="str">
        <f ca="1">IFERROR(__xludf.DUMMYFUNCTION("""COMPUTED_VALUE"""),"")</f>
        <v/>
      </c>
    </row>
    <row r="1608" spans="1:5">
      <c r="A1608" s="12"/>
      <c r="D1608" s="12"/>
      <c r="E1608" s="57" t="str">
        <f ca="1">IFERROR(__xludf.DUMMYFUNCTION("""COMPUTED_VALUE"""),"")</f>
        <v/>
      </c>
    </row>
    <row r="1609" spans="1:5">
      <c r="A1609" s="12" t="s">
        <v>11513</v>
      </c>
      <c r="D1609" s="12"/>
      <c r="E1609" s="57" t="str">
        <f ca="1">IFERROR(__xludf.DUMMYFUNCTION("""COMPUTED_VALUE"""),"")</f>
        <v/>
      </c>
    </row>
    <row r="1610" spans="1:5">
      <c r="A1610" s="59" t="s">
        <v>11514</v>
      </c>
      <c r="D1610" s="12"/>
      <c r="E1610" s="57" t="str">
        <f ca="1">IFERROR(__xludf.DUMMYFUNCTION("""COMPUTED_VALUE"""),"")</f>
        <v/>
      </c>
    </row>
    <row r="1611" spans="1:5">
      <c r="A1611" s="12"/>
      <c r="D1611" s="12"/>
      <c r="E1611" s="57" t="str">
        <f ca="1">IFERROR(__xludf.DUMMYFUNCTION("""COMPUTED_VALUE"""),"")</f>
        <v/>
      </c>
    </row>
    <row r="1612" spans="1:5">
      <c r="A1612" s="12" t="s">
        <v>11515</v>
      </c>
      <c r="D1612" s="12"/>
      <c r="E1612" s="57" t="str">
        <f ca="1">IFERROR(__xludf.DUMMYFUNCTION("""COMPUTED_VALUE"""),"")</f>
        <v/>
      </c>
    </row>
    <row r="1613" spans="1:5">
      <c r="A1613" s="59" t="s">
        <v>11516</v>
      </c>
      <c r="D1613" s="12"/>
      <c r="E1613" s="57" t="str">
        <f ca="1">IFERROR(__xludf.DUMMYFUNCTION("""COMPUTED_VALUE"""),"")</f>
        <v/>
      </c>
    </row>
    <row r="1614" spans="1:5">
      <c r="A1614" s="12"/>
      <c r="D1614" s="12"/>
      <c r="E1614" s="57" t="str">
        <f ca="1">IFERROR(__xludf.DUMMYFUNCTION("""COMPUTED_VALUE"""),"")</f>
        <v/>
      </c>
    </row>
    <row r="1615" spans="1:5">
      <c r="A1615" s="12" t="s">
        <v>11517</v>
      </c>
      <c r="D1615" s="12"/>
      <c r="E1615" s="57" t="str">
        <f ca="1">IFERROR(__xludf.DUMMYFUNCTION("""COMPUTED_VALUE"""),"")</f>
        <v/>
      </c>
    </row>
    <row r="1616" spans="1:5">
      <c r="A1616" s="59" t="s">
        <v>11518</v>
      </c>
      <c r="D1616" s="12"/>
      <c r="E1616" s="57" t="str">
        <f ca="1">IFERROR(__xludf.DUMMYFUNCTION("""COMPUTED_VALUE"""),"")</f>
        <v/>
      </c>
    </row>
    <row r="1617" spans="1:5">
      <c r="A1617" s="12"/>
      <c r="D1617" s="12"/>
      <c r="E1617" s="57" t="str">
        <f ca="1">IFERROR(__xludf.DUMMYFUNCTION("""COMPUTED_VALUE"""),"")</f>
        <v/>
      </c>
    </row>
    <row r="1618" spans="1:5">
      <c r="A1618" s="12" t="s">
        <v>11519</v>
      </c>
      <c r="D1618" s="12"/>
      <c r="E1618" s="57" t="str">
        <f ca="1">IFERROR(__xludf.DUMMYFUNCTION("""COMPUTED_VALUE"""),"")</f>
        <v/>
      </c>
    </row>
    <row r="1619" spans="1:5">
      <c r="A1619" s="59" t="s">
        <v>11520</v>
      </c>
      <c r="D1619" s="12"/>
      <c r="E1619" s="57" t="str">
        <f ca="1">IFERROR(__xludf.DUMMYFUNCTION("""COMPUTED_VALUE"""),"")</f>
        <v/>
      </c>
    </row>
    <row r="1620" spans="1:5">
      <c r="A1620" s="12"/>
      <c r="D1620" s="12"/>
      <c r="E1620" s="57" t="str">
        <f ca="1">IFERROR(__xludf.DUMMYFUNCTION("""COMPUTED_VALUE"""),"")</f>
        <v/>
      </c>
    </row>
    <row r="1621" spans="1:5">
      <c r="A1621" s="12" t="s">
        <v>11521</v>
      </c>
      <c r="D1621" s="12"/>
      <c r="E1621" s="57" t="str">
        <f ca="1">IFERROR(__xludf.DUMMYFUNCTION("""COMPUTED_VALUE"""),"")</f>
        <v/>
      </c>
    </row>
    <row r="1622" spans="1:5">
      <c r="A1622" s="59" t="s">
        <v>11522</v>
      </c>
      <c r="D1622" s="12"/>
      <c r="E1622" s="57" t="str">
        <f ca="1">IFERROR(__xludf.DUMMYFUNCTION("""COMPUTED_VALUE"""),"")</f>
        <v/>
      </c>
    </row>
    <row r="1623" spans="1:5">
      <c r="A1623" s="12"/>
      <c r="D1623" s="12"/>
      <c r="E1623" s="57" t="str">
        <f ca="1">IFERROR(__xludf.DUMMYFUNCTION("""COMPUTED_VALUE"""),"")</f>
        <v/>
      </c>
    </row>
    <row r="1624" spans="1:5">
      <c r="A1624" s="12" t="s">
        <v>11523</v>
      </c>
      <c r="D1624" s="12"/>
      <c r="E1624" s="57" t="str">
        <f ca="1">IFERROR(__xludf.DUMMYFUNCTION("""COMPUTED_VALUE"""),"")</f>
        <v/>
      </c>
    </row>
    <row r="1625" spans="1:5">
      <c r="A1625" s="59" t="s">
        <v>11524</v>
      </c>
      <c r="D1625" s="12"/>
      <c r="E1625" s="57" t="str">
        <f ca="1">IFERROR(__xludf.DUMMYFUNCTION("""COMPUTED_VALUE"""),"")</f>
        <v/>
      </c>
    </row>
    <row r="1626" spans="1:5">
      <c r="A1626" s="12"/>
      <c r="D1626" s="12"/>
      <c r="E1626" s="57" t="str">
        <f ca="1">IFERROR(__xludf.DUMMYFUNCTION("""COMPUTED_VALUE"""),"")</f>
        <v/>
      </c>
    </row>
    <row r="1627" spans="1:5">
      <c r="A1627" s="12" t="s">
        <v>11525</v>
      </c>
      <c r="D1627" s="12"/>
      <c r="E1627" s="57" t="str">
        <f ca="1">IFERROR(__xludf.DUMMYFUNCTION("""COMPUTED_VALUE"""),"")</f>
        <v/>
      </c>
    </row>
    <row r="1628" spans="1:5">
      <c r="A1628" s="59" t="s">
        <v>11526</v>
      </c>
      <c r="D1628" s="12"/>
      <c r="E1628" s="57" t="str">
        <f ca="1">IFERROR(__xludf.DUMMYFUNCTION("""COMPUTED_VALUE"""),"")</f>
        <v/>
      </c>
    </row>
    <row r="1629" spans="1:5">
      <c r="A1629" s="12"/>
      <c r="D1629" s="12"/>
      <c r="E1629" s="57" t="str">
        <f ca="1">IFERROR(__xludf.DUMMYFUNCTION("""COMPUTED_VALUE"""),"")</f>
        <v/>
      </c>
    </row>
    <row r="1630" spans="1:5">
      <c r="A1630" s="12" t="s">
        <v>11527</v>
      </c>
      <c r="D1630" s="12"/>
      <c r="E1630" s="57" t="str">
        <f ca="1">IFERROR(__xludf.DUMMYFUNCTION("""COMPUTED_VALUE"""),"")</f>
        <v/>
      </c>
    </row>
    <row r="1631" spans="1:5">
      <c r="A1631" s="59" t="s">
        <v>11528</v>
      </c>
      <c r="D1631" s="12"/>
      <c r="E1631" s="57" t="str">
        <f ca="1">IFERROR(__xludf.DUMMYFUNCTION("""COMPUTED_VALUE"""),"")</f>
        <v/>
      </c>
    </row>
    <row r="1632" spans="1:5">
      <c r="A1632" s="12"/>
      <c r="D1632" s="12"/>
      <c r="E1632" s="57" t="str">
        <f ca="1">IFERROR(__xludf.DUMMYFUNCTION("""COMPUTED_VALUE"""),"")</f>
        <v/>
      </c>
    </row>
    <row r="1633" spans="1:5">
      <c r="A1633" s="12" t="s">
        <v>11529</v>
      </c>
      <c r="D1633" s="12"/>
      <c r="E1633" s="57" t="str">
        <f ca="1">IFERROR(__xludf.DUMMYFUNCTION("""COMPUTED_VALUE"""),"")</f>
        <v/>
      </c>
    </row>
    <row r="1634" spans="1:5">
      <c r="A1634" s="59" t="s">
        <v>11530</v>
      </c>
      <c r="D1634" s="12"/>
      <c r="E1634" s="57" t="str">
        <f ca="1">IFERROR(__xludf.DUMMYFUNCTION("""COMPUTED_VALUE"""),"")</f>
        <v/>
      </c>
    </row>
    <row r="1635" spans="1:5">
      <c r="A1635" s="12"/>
      <c r="D1635" s="12"/>
      <c r="E1635" s="57" t="str">
        <f ca="1">IFERROR(__xludf.DUMMYFUNCTION("""COMPUTED_VALUE"""),"")</f>
        <v/>
      </c>
    </row>
    <row r="1636" spans="1:5">
      <c r="A1636" s="12" t="s">
        <v>11531</v>
      </c>
      <c r="D1636" s="12"/>
      <c r="E1636" s="57" t="str">
        <f ca="1">IFERROR(__xludf.DUMMYFUNCTION("""COMPUTED_VALUE"""),"")</f>
        <v/>
      </c>
    </row>
    <row r="1637" spans="1:5">
      <c r="A1637" s="59" t="s">
        <v>11532</v>
      </c>
      <c r="D1637" s="12"/>
      <c r="E1637" s="57" t="str">
        <f ca="1">IFERROR(__xludf.DUMMYFUNCTION("""COMPUTED_VALUE"""),"")</f>
        <v/>
      </c>
    </row>
    <row r="1638" spans="1:5">
      <c r="A1638" s="12"/>
      <c r="D1638" s="12"/>
      <c r="E1638" s="57" t="str">
        <f ca="1">IFERROR(__xludf.DUMMYFUNCTION("""COMPUTED_VALUE"""),"")</f>
        <v/>
      </c>
    </row>
    <row r="1639" spans="1:5">
      <c r="A1639" s="12" t="s">
        <v>11533</v>
      </c>
      <c r="D1639" s="12"/>
      <c r="E1639" s="57" t="str">
        <f ca="1">IFERROR(__xludf.DUMMYFUNCTION("""COMPUTED_VALUE"""),"")</f>
        <v/>
      </c>
    </row>
    <row r="1640" spans="1:5">
      <c r="A1640" s="59" t="s">
        <v>11534</v>
      </c>
      <c r="D1640" s="12"/>
      <c r="E1640" s="57" t="str">
        <f ca="1">IFERROR(__xludf.DUMMYFUNCTION("""COMPUTED_VALUE"""),"")</f>
        <v/>
      </c>
    </row>
    <row r="1641" spans="1:5">
      <c r="A1641" s="12"/>
      <c r="D1641" s="12"/>
      <c r="E1641" s="57" t="str">
        <f ca="1">IFERROR(__xludf.DUMMYFUNCTION("""COMPUTED_VALUE"""),"")</f>
        <v/>
      </c>
    </row>
    <row r="1642" spans="1:5">
      <c r="A1642" s="12" t="s">
        <v>11535</v>
      </c>
      <c r="D1642" s="12"/>
      <c r="E1642" s="57" t="str">
        <f ca="1">IFERROR(__xludf.DUMMYFUNCTION("""COMPUTED_VALUE"""),"")</f>
        <v/>
      </c>
    </row>
    <row r="1643" spans="1:5">
      <c r="A1643" s="59" t="s">
        <v>11536</v>
      </c>
      <c r="D1643" s="12"/>
      <c r="E1643" s="57" t="str">
        <f ca="1">IFERROR(__xludf.DUMMYFUNCTION("""COMPUTED_VALUE"""),"")</f>
        <v/>
      </c>
    </row>
    <row r="1644" spans="1:5">
      <c r="A1644" s="12"/>
      <c r="D1644" s="12"/>
      <c r="E1644" s="57" t="str">
        <f ca="1">IFERROR(__xludf.DUMMYFUNCTION("""COMPUTED_VALUE"""),"")</f>
        <v/>
      </c>
    </row>
    <row r="1645" spans="1:5">
      <c r="A1645" s="12" t="s">
        <v>11537</v>
      </c>
      <c r="D1645" s="12"/>
      <c r="E1645" s="57" t="str">
        <f ca="1">IFERROR(__xludf.DUMMYFUNCTION("""COMPUTED_VALUE"""),"")</f>
        <v/>
      </c>
    </row>
    <row r="1646" spans="1:5">
      <c r="A1646" s="59" t="s">
        <v>11538</v>
      </c>
      <c r="D1646" s="12"/>
      <c r="E1646" s="57" t="str">
        <f ca="1">IFERROR(__xludf.DUMMYFUNCTION("""COMPUTED_VALUE"""),"")</f>
        <v/>
      </c>
    </row>
    <row r="1647" spans="1:5">
      <c r="A1647" s="12"/>
      <c r="D1647" s="12"/>
      <c r="E1647" s="57" t="str">
        <f ca="1">IFERROR(__xludf.DUMMYFUNCTION("""COMPUTED_VALUE"""),"")</f>
        <v/>
      </c>
    </row>
    <row r="1648" spans="1:5">
      <c r="A1648" s="12" t="s">
        <v>11539</v>
      </c>
      <c r="D1648" s="12"/>
      <c r="E1648" s="57" t="str">
        <f ca="1">IFERROR(__xludf.DUMMYFUNCTION("""COMPUTED_VALUE"""),"")</f>
        <v/>
      </c>
    </row>
    <row r="1649" spans="1:5">
      <c r="A1649" s="59" t="s">
        <v>11540</v>
      </c>
      <c r="D1649" s="12"/>
      <c r="E1649" s="57" t="str">
        <f ca="1">IFERROR(__xludf.DUMMYFUNCTION("""COMPUTED_VALUE"""),"")</f>
        <v/>
      </c>
    </row>
    <row r="1650" spans="1:5">
      <c r="A1650" s="12"/>
      <c r="D1650" s="12"/>
      <c r="E1650" s="57" t="str">
        <f ca="1">IFERROR(__xludf.DUMMYFUNCTION("""COMPUTED_VALUE"""),"")</f>
        <v/>
      </c>
    </row>
    <row r="1651" spans="1:5">
      <c r="A1651" s="12" t="s">
        <v>11541</v>
      </c>
      <c r="D1651" s="12"/>
      <c r="E1651" s="57" t="str">
        <f ca="1">IFERROR(__xludf.DUMMYFUNCTION("""COMPUTED_VALUE"""),"")</f>
        <v/>
      </c>
    </row>
    <row r="1652" spans="1:5">
      <c r="A1652" s="59" t="s">
        <v>11542</v>
      </c>
      <c r="D1652" s="12"/>
      <c r="E1652" s="57" t="str">
        <f ca="1">IFERROR(__xludf.DUMMYFUNCTION("""COMPUTED_VALUE"""),"")</f>
        <v/>
      </c>
    </row>
    <row r="1653" spans="1:5">
      <c r="A1653" s="12"/>
      <c r="D1653" s="12"/>
      <c r="E1653" s="57" t="str">
        <f ca="1">IFERROR(__xludf.DUMMYFUNCTION("""COMPUTED_VALUE"""),"")</f>
        <v/>
      </c>
    </row>
    <row r="1654" spans="1:5">
      <c r="A1654" s="12" t="s">
        <v>11543</v>
      </c>
      <c r="D1654" s="12"/>
      <c r="E1654" s="57" t="str">
        <f ca="1">IFERROR(__xludf.DUMMYFUNCTION("""COMPUTED_VALUE"""),"")</f>
        <v/>
      </c>
    </row>
    <row r="1655" spans="1:5">
      <c r="A1655" s="59" t="s">
        <v>11544</v>
      </c>
      <c r="D1655" s="12"/>
      <c r="E1655" s="57" t="str">
        <f ca="1">IFERROR(__xludf.DUMMYFUNCTION("""COMPUTED_VALUE"""),"")</f>
        <v/>
      </c>
    </row>
    <row r="1656" spans="1:5">
      <c r="A1656" s="12"/>
      <c r="D1656" s="12"/>
      <c r="E1656" s="57" t="str">
        <f ca="1">IFERROR(__xludf.DUMMYFUNCTION("""COMPUTED_VALUE"""),"")</f>
        <v/>
      </c>
    </row>
    <row r="1657" spans="1:5">
      <c r="A1657" s="12" t="s">
        <v>11545</v>
      </c>
      <c r="D1657" s="12"/>
      <c r="E1657" s="57" t="str">
        <f ca="1">IFERROR(__xludf.DUMMYFUNCTION("""COMPUTED_VALUE"""),"")</f>
        <v/>
      </c>
    </row>
    <row r="1658" spans="1:5">
      <c r="A1658" s="59" t="s">
        <v>11546</v>
      </c>
      <c r="D1658" s="12"/>
      <c r="E1658" s="57" t="str">
        <f ca="1">IFERROR(__xludf.DUMMYFUNCTION("""COMPUTED_VALUE"""),"")</f>
        <v/>
      </c>
    </row>
    <row r="1659" spans="1:5">
      <c r="A1659" s="12"/>
      <c r="D1659" s="12"/>
      <c r="E1659" s="57" t="str">
        <f ca="1">IFERROR(__xludf.DUMMYFUNCTION("""COMPUTED_VALUE"""),"")</f>
        <v/>
      </c>
    </row>
    <row r="1660" spans="1:5">
      <c r="A1660" s="12" t="s">
        <v>11547</v>
      </c>
      <c r="D1660" s="12"/>
      <c r="E1660" s="57" t="str">
        <f ca="1">IFERROR(__xludf.DUMMYFUNCTION("""COMPUTED_VALUE"""),"")</f>
        <v/>
      </c>
    </row>
    <row r="1661" spans="1:5">
      <c r="A1661" s="59" t="s">
        <v>11548</v>
      </c>
      <c r="D1661" s="12"/>
      <c r="E1661" s="57" t="str">
        <f ca="1">IFERROR(__xludf.DUMMYFUNCTION("""COMPUTED_VALUE"""),"")</f>
        <v/>
      </c>
    </row>
    <row r="1662" spans="1:5">
      <c r="A1662" s="12"/>
      <c r="D1662" s="12"/>
      <c r="E1662" s="57" t="str">
        <f ca="1">IFERROR(__xludf.DUMMYFUNCTION("""COMPUTED_VALUE"""),"")</f>
        <v/>
      </c>
    </row>
    <row r="1663" spans="1:5">
      <c r="A1663" s="12" t="s">
        <v>11549</v>
      </c>
      <c r="D1663" s="12"/>
      <c r="E1663" s="57" t="str">
        <f ca="1">IFERROR(__xludf.DUMMYFUNCTION("""COMPUTED_VALUE"""),"")</f>
        <v/>
      </c>
    </row>
    <row r="1664" spans="1:5">
      <c r="A1664" s="59" t="s">
        <v>11550</v>
      </c>
      <c r="D1664" s="12"/>
      <c r="E1664" s="57" t="str">
        <f ca="1">IFERROR(__xludf.DUMMYFUNCTION("""COMPUTED_VALUE"""),"")</f>
        <v/>
      </c>
    </row>
    <row r="1665" spans="1:5">
      <c r="A1665" s="12"/>
      <c r="D1665" s="12"/>
      <c r="E1665" s="57" t="str">
        <f ca="1">IFERROR(__xludf.DUMMYFUNCTION("""COMPUTED_VALUE"""),"")</f>
        <v/>
      </c>
    </row>
    <row r="1666" spans="1:5">
      <c r="A1666" s="12" t="s">
        <v>11551</v>
      </c>
      <c r="D1666" s="12"/>
      <c r="E1666" s="57" t="str">
        <f ca="1">IFERROR(__xludf.DUMMYFUNCTION("""COMPUTED_VALUE"""),"")</f>
        <v/>
      </c>
    </row>
    <row r="1667" spans="1:5">
      <c r="A1667" s="59" t="s">
        <v>11552</v>
      </c>
      <c r="D1667" s="12"/>
      <c r="E1667" s="57" t="str">
        <f ca="1">IFERROR(__xludf.DUMMYFUNCTION("""COMPUTED_VALUE"""),"")</f>
        <v/>
      </c>
    </row>
    <row r="1668" spans="1:5">
      <c r="A1668" s="12"/>
      <c r="D1668" s="12"/>
      <c r="E1668" s="57" t="str">
        <f ca="1">IFERROR(__xludf.DUMMYFUNCTION("""COMPUTED_VALUE"""),"")</f>
        <v/>
      </c>
    </row>
    <row r="1669" spans="1:5">
      <c r="A1669" s="12" t="s">
        <v>11553</v>
      </c>
      <c r="D1669" s="12"/>
      <c r="E1669" s="57" t="str">
        <f ca="1">IFERROR(__xludf.DUMMYFUNCTION("""COMPUTED_VALUE"""),"")</f>
        <v/>
      </c>
    </row>
    <row r="1670" spans="1:5">
      <c r="A1670" s="59" t="s">
        <v>11554</v>
      </c>
      <c r="D1670" s="12"/>
      <c r="E1670" s="57" t="str">
        <f ca="1">IFERROR(__xludf.DUMMYFUNCTION("""COMPUTED_VALUE"""),"")</f>
        <v/>
      </c>
    </row>
    <row r="1671" spans="1:5">
      <c r="A1671" s="12"/>
      <c r="D1671" s="12"/>
      <c r="E1671" s="57" t="str">
        <f ca="1">IFERROR(__xludf.DUMMYFUNCTION("""COMPUTED_VALUE"""),"")</f>
        <v/>
      </c>
    </row>
    <row r="1672" spans="1:5">
      <c r="A1672" s="12" t="s">
        <v>11555</v>
      </c>
      <c r="D1672" s="12"/>
      <c r="E1672" s="57" t="str">
        <f ca="1">IFERROR(__xludf.DUMMYFUNCTION("""COMPUTED_VALUE"""),"")</f>
        <v/>
      </c>
    </row>
    <row r="1673" spans="1:5">
      <c r="A1673" s="59" t="s">
        <v>11556</v>
      </c>
      <c r="D1673" s="12"/>
      <c r="E1673" s="57" t="str">
        <f ca="1">IFERROR(__xludf.DUMMYFUNCTION("""COMPUTED_VALUE"""),"")</f>
        <v/>
      </c>
    </row>
    <row r="1674" spans="1:5">
      <c r="A1674" s="12"/>
      <c r="D1674" s="12"/>
      <c r="E1674" s="57" t="str">
        <f ca="1">IFERROR(__xludf.DUMMYFUNCTION("""COMPUTED_VALUE"""),"")</f>
        <v/>
      </c>
    </row>
    <row r="1675" spans="1:5">
      <c r="A1675" s="12" t="s">
        <v>11557</v>
      </c>
      <c r="D1675" s="12"/>
      <c r="E1675" s="57" t="str">
        <f ca="1">IFERROR(__xludf.DUMMYFUNCTION("""COMPUTED_VALUE"""),"")</f>
        <v/>
      </c>
    </row>
    <row r="1676" spans="1:5">
      <c r="A1676" s="59" t="s">
        <v>11558</v>
      </c>
      <c r="D1676" s="12"/>
      <c r="E1676" s="57" t="str">
        <f ca="1">IFERROR(__xludf.DUMMYFUNCTION("""COMPUTED_VALUE"""),"")</f>
        <v/>
      </c>
    </row>
    <row r="1677" spans="1:5">
      <c r="A1677" s="12"/>
      <c r="D1677" s="12"/>
      <c r="E1677" s="57" t="str">
        <f ca="1">IFERROR(__xludf.DUMMYFUNCTION("""COMPUTED_VALUE"""),"")</f>
        <v/>
      </c>
    </row>
    <row r="1678" spans="1:5">
      <c r="A1678" s="12" t="s">
        <v>11559</v>
      </c>
      <c r="D1678" s="12"/>
      <c r="E1678" s="57" t="str">
        <f ca="1">IFERROR(__xludf.DUMMYFUNCTION("""COMPUTED_VALUE"""),"")</f>
        <v/>
      </c>
    </row>
    <row r="1679" spans="1:5">
      <c r="A1679" s="59" t="s">
        <v>11560</v>
      </c>
      <c r="D1679" s="12"/>
      <c r="E1679" s="57" t="str">
        <f ca="1">IFERROR(__xludf.DUMMYFUNCTION("""COMPUTED_VALUE"""),"")</f>
        <v/>
      </c>
    </row>
    <row r="1680" spans="1:5">
      <c r="A1680" s="12"/>
      <c r="D1680" s="12"/>
      <c r="E1680" s="57" t="str">
        <f ca="1">IFERROR(__xludf.DUMMYFUNCTION("""COMPUTED_VALUE"""),"")</f>
        <v/>
      </c>
    </row>
    <row r="1681" spans="1:5">
      <c r="A1681" s="12" t="s">
        <v>11561</v>
      </c>
      <c r="D1681" s="12"/>
      <c r="E1681" s="57" t="str">
        <f ca="1">IFERROR(__xludf.DUMMYFUNCTION("""COMPUTED_VALUE"""),"")</f>
        <v/>
      </c>
    </row>
    <row r="1682" spans="1:5">
      <c r="A1682" s="59" t="s">
        <v>11562</v>
      </c>
      <c r="D1682" s="12"/>
      <c r="E1682" s="57" t="str">
        <f ca="1">IFERROR(__xludf.DUMMYFUNCTION("""COMPUTED_VALUE"""),"")</f>
        <v/>
      </c>
    </row>
    <row r="1683" spans="1:5">
      <c r="A1683" s="12"/>
      <c r="D1683" s="12"/>
      <c r="E1683" s="57" t="str">
        <f ca="1">IFERROR(__xludf.DUMMYFUNCTION("""COMPUTED_VALUE"""),"")</f>
        <v/>
      </c>
    </row>
    <row r="1684" spans="1:5">
      <c r="A1684" s="12" t="s">
        <v>11563</v>
      </c>
      <c r="D1684" s="12"/>
      <c r="E1684" s="57" t="str">
        <f ca="1">IFERROR(__xludf.DUMMYFUNCTION("""COMPUTED_VALUE"""),"")</f>
        <v/>
      </c>
    </row>
    <row r="1685" spans="1:5">
      <c r="A1685" s="59" t="s">
        <v>11564</v>
      </c>
      <c r="D1685" s="12"/>
      <c r="E1685" s="57" t="str">
        <f ca="1">IFERROR(__xludf.DUMMYFUNCTION("""COMPUTED_VALUE"""),"")</f>
        <v/>
      </c>
    </row>
    <row r="1686" spans="1:5">
      <c r="A1686" s="12"/>
      <c r="D1686" s="12"/>
      <c r="E1686" s="57" t="str">
        <f ca="1">IFERROR(__xludf.DUMMYFUNCTION("""COMPUTED_VALUE"""),"")</f>
        <v/>
      </c>
    </row>
    <row r="1687" spans="1:5">
      <c r="A1687" s="12" t="s">
        <v>11565</v>
      </c>
      <c r="D1687" s="12"/>
      <c r="E1687" s="57" t="str">
        <f ca="1">IFERROR(__xludf.DUMMYFUNCTION("""COMPUTED_VALUE"""),"")</f>
        <v/>
      </c>
    </row>
    <row r="1688" spans="1:5">
      <c r="A1688" s="59" t="s">
        <v>11566</v>
      </c>
      <c r="D1688" s="12"/>
      <c r="E1688" s="57" t="str">
        <f ca="1">IFERROR(__xludf.DUMMYFUNCTION("""COMPUTED_VALUE"""),"")</f>
        <v/>
      </c>
    </row>
    <row r="1689" spans="1:5">
      <c r="A1689" s="12"/>
      <c r="D1689" s="12"/>
      <c r="E1689" s="57" t="str">
        <f ca="1">IFERROR(__xludf.DUMMYFUNCTION("""COMPUTED_VALUE"""),"")</f>
        <v/>
      </c>
    </row>
    <row r="1690" spans="1:5">
      <c r="A1690" s="12" t="s">
        <v>11567</v>
      </c>
      <c r="D1690" s="12"/>
      <c r="E1690" s="57" t="str">
        <f ca="1">IFERROR(__xludf.DUMMYFUNCTION("""COMPUTED_VALUE"""),"")</f>
        <v/>
      </c>
    </row>
    <row r="1691" spans="1:5">
      <c r="A1691" s="59" t="s">
        <v>11568</v>
      </c>
      <c r="D1691" s="12"/>
      <c r="E1691" s="57" t="str">
        <f ca="1">IFERROR(__xludf.DUMMYFUNCTION("""COMPUTED_VALUE"""),"")</f>
        <v/>
      </c>
    </row>
    <row r="1692" spans="1:5">
      <c r="A1692" s="12"/>
      <c r="D1692" s="12"/>
      <c r="E1692" s="57" t="str">
        <f ca="1">IFERROR(__xludf.DUMMYFUNCTION("""COMPUTED_VALUE"""),"")</f>
        <v/>
      </c>
    </row>
    <row r="1693" spans="1:5">
      <c r="A1693" s="12" t="s">
        <v>11569</v>
      </c>
      <c r="D1693" s="12"/>
      <c r="E1693" s="57" t="str">
        <f ca="1">IFERROR(__xludf.DUMMYFUNCTION("""COMPUTED_VALUE"""),"")</f>
        <v/>
      </c>
    </row>
    <row r="1694" spans="1:5">
      <c r="A1694" s="59" t="s">
        <v>11570</v>
      </c>
      <c r="D1694" s="12"/>
      <c r="E1694" s="57" t="str">
        <f ca="1">IFERROR(__xludf.DUMMYFUNCTION("""COMPUTED_VALUE"""),"")</f>
        <v/>
      </c>
    </row>
    <row r="1695" spans="1:5">
      <c r="A1695" s="12"/>
      <c r="D1695" s="12"/>
      <c r="E1695" s="57" t="str">
        <f ca="1">IFERROR(__xludf.DUMMYFUNCTION("""COMPUTED_VALUE"""),"")</f>
        <v/>
      </c>
    </row>
    <row r="1696" spans="1:5">
      <c r="A1696" s="12" t="s">
        <v>11571</v>
      </c>
      <c r="D1696" s="12"/>
      <c r="E1696" s="57" t="str">
        <f ca="1">IFERROR(__xludf.DUMMYFUNCTION("""COMPUTED_VALUE"""),"")</f>
        <v/>
      </c>
    </row>
    <row r="1697" spans="1:5">
      <c r="A1697" s="59" t="s">
        <v>11572</v>
      </c>
      <c r="D1697" s="12"/>
      <c r="E1697" s="57" t="str">
        <f ca="1">IFERROR(__xludf.DUMMYFUNCTION("""COMPUTED_VALUE"""),"")</f>
        <v/>
      </c>
    </row>
    <row r="1698" spans="1:5">
      <c r="A1698" s="12"/>
      <c r="D1698" s="12"/>
      <c r="E1698" s="57" t="str">
        <f ca="1">IFERROR(__xludf.DUMMYFUNCTION("""COMPUTED_VALUE"""),"")</f>
        <v/>
      </c>
    </row>
    <row r="1699" spans="1:5">
      <c r="A1699" s="12" t="s">
        <v>11573</v>
      </c>
      <c r="D1699" s="12"/>
      <c r="E1699" s="57" t="str">
        <f ca="1">IFERROR(__xludf.DUMMYFUNCTION("""COMPUTED_VALUE"""),"")</f>
        <v/>
      </c>
    </row>
    <row r="1700" spans="1:5">
      <c r="A1700" s="59" t="s">
        <v>11574</v>
      </c>
      <c r="D1700" s="12"/>
      <c r="E1700" s="57" t="str">
        <f ca="1">IFERROR(__xludf.DUMMYFUNCTION("""COMPUTED_VALUE"""),"")</f>
        <v/>
      </c>
    </row>
    <row r="1701" spans="1:5">
      <c r="A1701" s="12"/>
      <c r="D1701" s="12"/>
      <c r="E1701" s="57" t="str">
        <f ca="1">IFERROR(__xludf.DUMMYFUNCTION("""COMPUTED_VALUE"""),"")</f>
        <v/>
      </c>
    </row>
    <row r="1702" spans="1:5">
      <c r="A1702" s="12" t="s">
        <v>11575</v>
      </c>
      <c r="D1702" s="12"/>
      <c r="E1702" s="57" t="str">
        <f ca="1">IFERROR(__xludf.DUMMYFUNCTION("""COMPUTED_VALUE"""),"")</f>
        <v/>
      </c>
    </row>
    <row r="1703" spans="1:5">
      <c r="A1703" s="59" t="s">
        <v>11576</v>
      </c>
      <c r="D1703" s="12"/>
      <c r="E1703" s="57" t="str">
        <f ca="1">IFERROR(__xludf.DUMMYFUNCTION("""COMPUTED_VALUE"""),"")</f>
        <v/>
      </c>
    </row>
    <row r="1704" spans="1:5">
      <c r="A1704" s="12"/>
      <c r="D1704" s="12"/>
      <c r="E1704" s="57" t="str">
        <f ca="1">IFERROR(__xludf.DUMMYFUNCTION("""COMPUTED_VALUE"""),"")</f>
        <v/>
      </c>
    </row>
    <row r="1705" spans="1:5">
      <c r="A1705" s="12" t="s">
        <v>11577</v>
      </c>
      <c r="D1705" s="12"/>
      <c r="E1705" s="57" t="str">
        <f ca="1">IFERROR(__xludf.DUMMYFUNCTION("""COMPUTED_VALUE"""),"")</f>
        <v/>
      </c>
    </row>
    <row r="1706" spans="1:5">
      <c r="A1706" s="59" t="s">
        <v>11578</v>
      </c>
      <c r="D1706" s="12"/>
      <c r="E1706" s="57" t="str">
        <f ca="1">IFERROR(__xludf.DUMMYFUNCTION("""COMPUTED_VALUE"""),"")</f>
        <v/>
      </c>
    </row>
    <row r="1707" spans="1:5">
      <c r="A1707" s="12"/>
      <c r="D1707" s="12"/>
      <c r="E1707" s="57" t="str">
        <f ca="1">IFERROR(__xludf.DUMMYFUNCTION("""COMPUTED_VALUE"""),"")</f>
        <v/>
      </c>
    </row>
    <row r="1708" spans="1:5">
      <c r="A1708" s="12" t="s">
        <v>11579</v>
      </c>
      <c r="D1708" s="12"/>
      <c r="E1708" s="57" t="str">
        <f ca="1">IFERROR(__xludf.DUMMYFUNCTION("""COMPUTED_VALUE"""),"")</f>
        <v/>
      </c>
    </row>
    <row r="1709" spans="1:5">
      <c r="A1709" s="59" t="s">
        <v>11580</v>
      </c>
      <c r="D1709" s="12"/>
      <c r="E1709" s="57" t="str">
        <f ca="1">IFERROR(__xludf.DUMMYFUNCTION("""COMPUTED_VALUE"""),"")</f>
        <v/>
      </c>
    </row>
    <row r="1710" spans="1:5">
      <c r="A1710" s="12"/>
      <c r="D1710" s="12"/>
      <c r="E1710" s="57" t="str">
        <f ca="1">IFERROR(__xludf.DUMMYFUNCTION("""COMPUTED_VALUE"""),"")</f>
        <v/>
      </c>
    </row>
    <row r="1711" spans="1:5">
      <c r="A1711" s="12" t="s">
        <v>11581</v>
      </c>
      <c r="D1711" s="12"/>
      <c r="E1711" s="57" t="str">
        <f ca="1">IFERROR(__xludf.DUMMYFUNCTION("""COMPUTED_VALUE"""),"")</f>
        <v/>
      </c>
    </row>
    <row r="1712" spans="1:5">
      <c r="A1712" s="59" t="s">
        <v>11582</v>
      </c>
      <c r="D1712" s="12"/>
      <c r="E1712" s="57" t="str">
        <f ca="1">IFERROR(__xludf.DUMMYFUNCTION("""COMPUTED_VALUE"""),"")</f>
        <v/>
      </c>
    </row>
    <row r="1713" spans="1:5">
      <c r="A1713" s="12"/>
      <c r="D1713" s="12"/>
      <c r="E1713" s="57" t="str">
        <f ca="1">IFERROR(__xludf.DUMMYFUNCTION("""COMPUTED_VALUE"""),"")</f>
        <v/>
      </c>
    </row>
    <row r="1714" spans="1:5">
      <c r="A1714" s="12" t="s">
        <v>11583</v>
      </c>
      <c r="D1714" s="12"/>
      <c r="E1714" s="57" t="str">
        <f ca="1">IFERROR(__xludf.DUMMYFUNCTION("""COMPUTED_VALUE"""),"")</f>
        <v/>
      </c>
    </row>
    <row r="1715" spans="1:5">
      <c r="A1715" s="59" t="s">
        <v>11584</v>
      </c>
      <c r="D1715" s="12"/>
      <c r="E1715" s="57" t="str">
        <f ca="1">IFERROR(__xludf.DUMMYFUNCTION("""COMPUTED_VALUE"""),"")</f>
        <v/>
      </c>
    </row>
    <row r="1716" spans="1:5">
      <c r="A1716" s="12"/>
      <c r="D1716" s="12"/>
      <c r="E1716" s="57" t="str">
        <f ca="1">IFERROR(__xludf.DUMMYFUNCTION("""COMPUTED_VALUE"""),"")</f>
        <v/>
      </c>
    </row>
    <row r="1717" spans="1:5">
      <c r="A1717" s="12" t="s">
        <v>11585</v>
      </c>
      <c r="D1717" s="12"/>
      <c r="E1717" s="57" t="str">
        <f ca="1">IFERROR(__xludf.DUMMYFUNCTION("""COMPUTED_VALUE"""),"")</f>
        <v/>
      </c>
    </row>
    <row r="1718" spans="1:5">
      <c r="A1718" s="59" t="s">
        <v>11586</v>
      </c>
      <c r="D1718" s="12"/>
      <c r="E1718" s="57" t="str">
        <f ca="1">IFERROR(__xludf.DUMMYFUNCTION("""COMPUTED_VALUE"""),"")</f>
        <v/>
      </c>
    </row>
    <row r="1719" spans="1:5">
      <c r="A1719" s="12"/>
      <c r="D1719" s="12"/>
      <c r="E1719" s="57" t="str">
        <f ca="1">IFERROR(__xludf.DUMMYFUNCTION("""COMPUTED_VALUE"""),"")</f>
        <v/>
      </c>
    </row>
    <row r="1720" spans="1:5">
      <c r="A1720" s="12" t="s">
        <v>11587</v>
      </c>
      <c r="D1720" s="12"/>
      <c r="E1720" s="57" t="str">
        <f ca="1">IFERROR(__xludf.DUMMYFUNCTION("""COMPUTED_VALUE"""),"")</f>
        <v/>
      </c>
    </row>
    <row r="1721" spans="1:5">
      <c r="A1721" s="59" t="s">
        <v>11588</v>
      </c>
      <c r="D1721" s="12"/>
      <c r="E1721" s="57" t="str">
        <f ca="1">IFERROR(__xludf.DUMMYFUNCTION("""COMPUTED_VALUE"""),"")</f>
        <v/>
      </c>
    </row>
    <row r="1722" spans="1:5">
      <c r="A1722" s="12"/>
      <c r="D1722" s="12"/>
      <c r="E1722" s="57" t="str">
        <f ca="1">IFERROR(__xludf.DUMMYFUNCTION("""COMPUTED_VALUE"""),"")</f>
        <v/>
      </c>
    </row>
    <row r="1723" spans="1:5">
      <c r="A1723" s="12" t="s">
        <v>11589</v>
      </c>
      <c r="D1723" s="12"/>
      <c r="E1723" s="57" t="str">
        <f ca="1">IFERROR(__xludf.DUMMYFUNCTION("""COMPUTED_VALUE"""),"")</f>
        <v/>
      </c>
    </row>
    <row r="1724" spans="1:5">
      <c r="A1724" s="59" t="s">
        <v>11590</v>
      </c>
      <c r="D1724" s="12"/>
      <c r="E1724" s="57" t="str">
        <f ca="1">IFERROR(__xludf.DUMMYFUNCTION("""COMPUTED_VALUE"""),"")</f>
        <v/>
      </c>
    </row>
    <row r="1725" spans="1:5">
      <c r="A1725" s="12"/>
      <c r="D1725" s="12"/>
      <c r="E1725" s="57" t="str">
        <f ca="1">IFERROR(__xludf.DUMMYFUNCTION("""COMPUTED_VALUE"""),"")</f>
        <v/>
      </c>
    </row>
    <row r="1726" spans="1:5">
      <c r="A1726" s="12" t="s">
        <v>11591</v>
      </c>
      <c r="D1726" s="12"/>
      <c r="E1726" s="57" t="str">
        <f ca="1">IFERROR(__xludf.DUMMYFUNCTION("""COMPUTED_VALUE"""),"")</f>
        <v/>
      </c>
    </row>
    <row r="1727" spans="1:5">
      <c r="A1727" s="59" t="s">
        <v>11592</v>
      </c>
      <c r="D1727" s="12"/>
      <c r="E1727" s="57" t="str">
        <f ca="1">IFERROR(__xludf.DUMMYFUNCTION("""COMPUTED_VALUE"""),"")</f>
        <v/>
      </c>
    </row>
    <row r="1728" spans="1:5">
      <c r="A1728" s="12"/>
      <c r="D1728" s="12"/>
      <c r="E1728" s="57" t="str">
        <f ca="1">IFERROR(__xludf.DUMMYFUNCTION("""COMPUTED_VALUE"""),"")</f>
        <v/>
      </c>
    </row>
    <row r="1729" spans="1:5">
      <c r="A1729" s="12" t="s">
        <v>11593</v>
      </c>
      <c r="D1729" s="12"/>
      <c r="E1729" s="57" t="str">
        <f ca="1">IFERROR(__xludf.DUMMYFUNCTION("""COMPUTED_VALUE"""),"")</f>
        <v/>
      </c>
    </row>
    <row r="1730" spans="1:5">
      <c r="A1730" s="59" t="s">
        <v>11594</v>
      </c>
      <c r="D1730" s="12"/>
      <c r="E1730" s="57" t="str">
        <f ca="1">IFERROR(__xludf.DUMMYFUNCTION("""COMPUTED_VALUE"""),"")</f>
        <v/>
      </c>
    </row>
    <row r="1731" spans="1:5">
      <c r="A1731" s="12"/>
      <c r="D1731" s="12"/>
      <c r="E1731" s="57" t="str">
        <f ca="1">IFERROR(__xludf.DUMMYFUNCTION("""COMPUTED_VALUE"""),"")</f>
        <v/>
      </c>
    </row>
    <row r="1732" spans="1:5">
      <c r="A1732" s="12" t="s">
        <v>11595</v>
      </c>
      <c r="D1732" s="12"/>
      <c r="E1732" s="57" t="str">
        <f ca="1">IFERROR(__xludf.DUMMYFUNCTION("""COMPUTED_VALUE"""),"")</f>
        <v/>
      </c>
    </row>
    <row r="1733" spans="1:5">
      <c r="A1733" s="59" t="s">
        <v>11596</v>
      </c>
      <c r="D1733" s="12"/>
      <c r="E1733" s="57" t="str">
        <f ca="1">IFERROR(__xludf.DUMMYFUNCTION("""COMPUTED_VALUE"""),"")</f>
        <v/>
      </c>
    </row>
    <row r="1734" spans="1:5">
      <c r="A1734" s="12"/>
      <c r="D1734" s="12"/>
      <c r="E1734" s="57" t="str">
        <f ca="1">IFERROR(__xludf.DUMMYFUNCTION("""COMPUTED_VALUE"""),"")</f>
        <v/>
      </c>
    </row>
    <row r="1735" spans="1:5">
      <c r="A1735" s="12" t="s">
        <v>11597</v>
      </c>
      <c r="D1735" s="12"/>
      <c r="E1735" s="57" t="str">
        <f ca="1">IFERROR(__xludf.DUMMYFUNCTION("""COMPUTED_VALUE"""),"")</f>
        <v/>
      </c>
    </row>
    <row r="1736" spans="1:5">
      <c r="A1736" s="59" t="s">
        <v>11598</v>
      </c>
      <c r="D1736" s="12"/>
      <c r="E1736" s="57" t="str">
        <f ca="1">IFERROR(__xludf.DUMMYFUNCTION("""COMPUTED_VALUE"""),"")</f>
        <v/>
      </c>
    </row>
    <row r="1737" spans="1:5">
      <c r="A1737" s="12"/>
      <c r="D1737" s="12"/>
      <c r="E1737" s="57" t="str">
        <f ca="1">IFERROR(__xludf.DUMMYFUNCTION("""COMPUTED_VALUE"""),"")</f>
        <v/>
      </c>
    </row>
    <row r="1738" spans="1:5">
      <c r="A1738" s="12" t="s">
        <v>11599</v>
      </c>
      <c r="D1738" s="12"/>
      <c r="E1738" s="57" t="str">
        <f ca="1">IFERROR(__xludf.DUMMYFUNCTION("""COMPUTED_VALUE"""),"")</f>
        <v/>
      </c>
    </row>
    <row r="1739" spans="1:5">
      <c r="A1739" s="59" t="s">
        <v>11600</v>
      </c>
      <c r="D1739" s="12"/>
      <c r="E1739" s="57" t="str">
        <f ca="1">IFERROR(__xludf.DUMMYFUNCTION("""COMPUTED_VALUE"""),"")</f>
        <v/>
      </c>
    </row>
    <row r="1740" spans="1:5">
      <c r="A1740" s="12"/>
      <c r="D1740" s="12"/>
      <c r="E1740" s="57" t="str">
        <f ca="1">IFERROR(__xludf.DUMMYFUNCTION("""COMPUTED_VALUE"""),"")</f>
        <v/>
      </c>
    </row>
    <row r="1741" spans="1:5">
      <c r="A1741" s="12" t="s">
        <v>11601</v>
      </c>
      <c r="D1741" s="12"/>
      <c r="E1741" s="57" t="str">
        <f ca="1">IFERROR(__xludf.DUMMYFUNCTION("""COMPUTED_VALUE"""),"")</f>
        <v/>
      </c>
    </row>
    <row r="1742" spans="1:5">
      <c r="A1742" s="59" t="s">
        <v>11602</v>
      </c>
      <c r="D1742" s="12"/>
      <c r="E1742" s="57" t="str">
        <f ca="1">IFERROR(__xludf.DUMMYFUNCTION("""COMPUTED_VALUE"""),"")</f>
        <v/>
      </c>
    </row>
    <row r="1743" spans="1:5">
      <c r="A1743" s="12"/>
      <c r="D1743" s="12"/>
      <c r="E1743" s="57" t="str">
        <f ca="1">IFERROR(__xludf.DUMMYFUNCTION("""COMPUTED_VALUE"""),"")</f>
        <v/>
      </c>
    </row>
    <row r="1744" spans="1:5">
      <c r="A1744" s="12" t="s">
        <v>11603</v>
      </c>
      <c r="D1744" s="12"/>
      <c r="E1744" s="57" t="str">
        <f ca="1">IFERROR(__xludf.DUMMYFUNCTION("""COMPUTED_VALUE"""),"")</f>
        <v/>
      </c>
    </row>
    <row r="1745" spans="1:5">
      <c r="A1745" s="59" t="s">
        <v>11604</v>
      </c>
      <c r="D1745" s="12"/>
      <c r="E1745" s="57" t="str">
        <f ca="1">IFERROR(__xludf.DUMMYFUNCTION("""COMPUTED_VALUE"""),"")</f>
        <v/>
      </c>
    </row>
    <row r="1746" spans="1:5">
      <c r="A1746" s="12"/>
      <c r="D1746" s="12"/>
      <c r="E1746" s="57" t="str">
        <f ca="1">IFERROR(__xludf.DUMMYFUNCTION("""COMPUTED_VALUE"""),"")</f>
        <v/>
      </c>
    </row>
    <row r="1747" spans="1:5">
      <c r="A1747" s="12" t="s">
        <v>11605</v>
      </c>
      <c r="D1747" s="12"/>
      <c r="E1747" s="57" t="str">
        <f ca="1">IFERROR(__xludf.DUMMYFUNCTION("""COMPUTED_VALUE"""),"")</f>
        <v/>
      </c>
    </row>
    <row r="1748" spans="1:5">
      <c r="A1748" s="59" t="s">
        <v>11606</v>
      </c>
      <c r="D1748" s="12"/>
      <c r="E1748" s="57" t="str">
        <f ca="1">IFERROR(__xludf.DUMMYFUNCTION("""COMPUTED_VALUE"""),"")</f>
        <v/>
      </c>
    </row>
    <row r="1749" spans="1:5">
      <c r="A1749" s="12"/>
      <c r="D1749" s="12"/>
      <c r="E1749" s="57" t="str">
        <f ca="1">IFERROR(__xludf.DUMMYFUNCTION("""COMPUTED_VALUE"""),"")</f>
        <v/>
      </c>
    </row>
    <row r="1750" spans="1:5">
      <c r="A1750" s="12" t="s">
        <v>11607</v>
      </c>
      <c r="D1750" s="12"/>
      <c r="E1750" s="57" t="str">
        <f ca="1">IFERROR(__xludf.DUMMYFUNCTION("""COMPUTED_VALUE"""),"")</f>
        <v/>
      </c>
    </row>
    <row r="1751" spans="1:5">
      <c r="A1751" s="59" t="s">
        <v>11608</v>
      </c>
      <c r="D1751" s="12"/>
      <c r="E1751" s="57" t="str">
        <f ca="1">IFERROR(__xludf.DUMMYFUNCTION("""COMPUTED_VALUE"""),"")</f>
        <v/>
      </c>
    </row>
    <row r="1752" spans="1:5">
      <c r="A1752" s="12"/>
      <c r="D1752" s="12"/>
      <c r="E1752" s="57" t="str">
        <f ca="1">IFERROR(__xludf.DUMMYFUNCTION("""COMPUTED_VALUE"""),"")</f>
        <v/>
      </c>
    </row>
    <row r="1753" spans="1:5">
      <c r="A1753" s="12" t="s">
        <v>11609</v>
      </c>
      <c r="D1753" s="12"/>
      <c r="E1753" s="57" t="str">
        <f ca="1">IFERROR(__xludf.DUMMYFUNCTION("""COMPUTED_VALUE"""),"")</f>
        <v/>
      </c>
    </row>
    <row r="1754" spans="1:5">
      <c r="A1754" s="59" t="s">
        <v>11610</v>
      </c>
      <c r="D1754" s="12"/>
      <c r="E1754" s="57" t="str">
        <f ca="1">IFERROR(__xludf.DUMMYFUNCTION("""COMPUTED_VALUE"""),"")</f>
        <v/>
      </c>
    </row>
    <row r="1755" spans="1:5">
      <c r="A1755" s="12"/>
      <c r="D1755" s="12"/>
      <c r="E1755" s="57" t="str">
        <f ca="1">IFERROR(__xludf.DUMMYFUNCTION("""COMPUTED_VALUE"""),"")</f>
        <v/>
      </c>
    </row>
    <row r="1756" spans="1:5">
      <c r="A1756" s="12" t="s">
        <v>11611</v>
      </c>
      <c r="D1756" s="12"/>
      <c r="E1756" s="57" t="str">
        <f ca="1">IFERROR(__xludf.DUMMYFUNCTION("""COMPUTED_VALUE"""),"")</f>
        <v/>
      </c>
    </row>
    <row r="1757" spans="1:5">
      <c r="A1757" s="59" t="s">
        <v>11612</v>
      </c>
      <c r="D1757" s="12"/>
      <c r="E1757" s="57" t="str">
        <f ca="1">IFERROR(__xludf.DUMMYFUNCTION("""COMPUTED_VALUE"""),"")</f>
        <v/>
      </c>
    </row>
    <row r="1758" spans="1:5">
      <c r="A1758" s="12"/>
      <c r="D1758" s="12"/>
      <c r="E1758" s="57" t="str">
        <f ca="1">IFERROR(__xludf.DUMMYFUNCTION("""COMPUTED_VALUE"""),"")</f>
        <v/>
      </c>
    </row>
    <row r="1759" spans="1:5">
      <c r="A1759" s="12" t="s">
        <v>11613</v>
      </c>
      <c r="D1759" s="12"/>
      <c r="E1759" s="57" t="str">
        <f ca="1">IFERROR(__xludf.DUMMYFUNCTION("""COMPUTED_VALUE"""),"")</f>
        <v/>
      </c>
    </row>
    <row r="1760" spans="1:5">
      <c r="A1760" s="59" t="s">
        <v>11614</v>
      </c>
      <c r="D1760" s="12"/>
      <c r="E1760" s="57" t="str">
        <f ca="1">IFERROR(__xludf.DUMMYFUNCTION("""COMPUTED_VALUE"""),"")</f>
        <v/>
      </c>
    </row>
    <row r="1761" spans="1:5">
      <c r="A1761" s="12"/>
      <c r="D1761" s="12"/>
      <c r="E1761" s="57" t="str">
        <f ca="1">IFERROR(__xludf.DUMMYFUNCTION("""COMPUTED_VALUE"""),"")</f>
        <v/>
      </c>
    </row>
    <row r="1762" spans="1:5">
      <c r="A1762" s="12" t="s">
        <v>11615</v>
      </c>
      <c r="D1762" s="12"/>
      <c r="E1762" s="57" t="str">
        <f ca="1">IFERROR(__xludf.DUMMYFUNCTION("""COMPUTED_VALUE"""),"")</f>
        <v/>
      </c>
    </row>
    <row r="1763" spans="1:5">
      <c r="A1763" s="59" t="s">
        <v>11616</v>
      </c>
      <c r="D1763" s="12"/>
      <c r="E1763" s="57" t="str">
        <f ca="1">IFERROR(__xludf.DUMMYFUNCTION("""COMPUTED_VALUE"""),"")</f>
        <v/>
      </c>
    </row>
    <row r="1764" spans="1:5">
      <c r="A1764" s="12"/>
      <c r="D1764" s="12"/>
      <c r="E1764" s="57" t="str">
        <f ca="1">IFERROR(__xludf.DUMMYFUNCTION("""COMPUTED_VALUE"""),"")</f>
        <v/>
      </c>
    </row>
    <row r="1765" spans="1:5">
      <c r="A1765" s="12" t="s">
        <v>11617</v>
      </c>
      <c r="D1765" s="12"/>
      <c r="E1765" s="57" t="str">
        <f ca="1">IFERROR(__xludf.DUMMYFUNCTION("""COMPUTED_VALUE"""),"")</f>
        <v/>
      </c>
    </row>
    <row r="1766" spans="1:5">
      <c r="A1766" s="59" t="s">
        <v>11618</v>
      </c>
      <c r="D1766" s="12"/>
      <c r="E1766" s="57" t="str">
        <f ca="1">IFERROR(__xludf.DUMMYFUNCTION("""COMPUTED_VALUE"""),"")</f>
        <v/>
      </c>
    </row>
    <row r="1767" spans="1:5">
      <c r="A1767" s="12"/>
      <c r="D1767" s="12"/>
      <c r="E1767" s="57" t="str">
        <f ca="1">IFERROR(__xludf.DUMMYFUNCTION("""COMPUTED_VALUE"""),"")</f>
        <v/>
      </c>
    </row>
    <row r="1768" spans="1:5">
      <c r="A1768" s="12" t="s">
        <v>11619</v>
      </c>
      <c r="D1768" s="12"/>
      <c r="E1768" s="57" t="str">
        <f ca="1">IFERROR(__xludf.DUMMYFUNCTION("""COMPUTED_VALUE"""),"")</f>
        <v/>
      </c>
    </row>
    <row r="1769" spans="1:5">
      <c r="A1769" s="59" t="s">
        <v>11620</v>
      </c>
      <c r="D1769" s="12"/>
      <c r="E1769" s="57" t="str">
        <f ca="1">IFERROR(__xludf.DUMMYFUNCTION("""COMPUTED_VALUE"""),"")</f>
        <v/>
      </c>
    </row>
    <row r="1770" spans="1:5">
      <c r="A1770" s="12"/>
      <c r="D1770" s="12"/>
      <c r="E1770" s="57" t="str">
        <f ca="1">IFERROR(__xludf.DUMMYFUNCTION("""COMPUTED_VALUE"""),"")</f>
        <v/>
      </c>
    </row>
    <row r="1771" spans="1:5">
      <c r="A1771" s="12" t="s">
        <v>11621</v>
      </c>
      <c r="D1771" s="12"/>
      <c r="E1771" s="57" t="str">
        <f ca="1">IFERROR(__xludf.DUMMYFUNCTION("""COMPUTED_VALUE"""),"")</f>
        <v/>
      </c>
    </row>
    <row r="1772" spans="1:5">
      <c r="A1772" s="59" t="s">
        <v>11622</v>
      </c>
      <c r="D1772" s="12"/>
      <c r="E1772" s="57" t="str">
        <f ca="1">IFERROR(__xludf.DUMMYFUNCTION("""COMPUTED_VALUE"""),"")</f>
        <v/>
      </c>
    </row>
    <row r="1773" spans="1:5">
      <c r="A1773" s="12"/>
      <c r="D1773" s="12"/>
      <c r="E1773" s="57" t="str">
        <f ca="1">IFERROR(__xludf.DUMMYFUNCTION("""COMPUTED_VALUE"""),"")</f>
        <v/>
      </c>
    </row>
    <row r="1774" spans="1:5">
      <c r="A1774" s="12" t="s">
        <v>11623</v>
      </c>
      <c r="D1774" s="12"/>
      <c r="E1774" s="57" t="str">
        <f ca="1">IFERROR(__xludf.DUMMYFUNCTION("""COMPUTED_VALUE"""),"")</f>
        <v/>
      </c>
    </row>
    <row r="1775" spans="1:5">
      <c r="A1775" s="59" t="s">
        <v>11624</v>
      </c>
      <c r="D1775" s="12"/>
      <c r="E1775" s="57" t="str">
        <f ca="1">IFERROR(__xludf.DUMMYFUNCTION("""COMPUTED_VALUE"""),"")</f>
        <v/>
      </c>
    </row>
    <row r="1776" spans="1:5">
      <c r="A1776" s="12"/>
      <c r="D1776" s="12"/>
      <c r="E1776" s="57" t="str">
        <f ca="1">IFERROR(__xludf.DUMMYFUNCTION("""COMPUTED_VALUE"""),"")</f>
        <v/>
      </c>
    </row>
    <row r="1777" spans="1:5">
      <c r="A1777" s="12" t="s">
        <v>11625</v>
      </c>
      <c r="D1777" s="12"/>
      <c r="E1777" s="57" t="str">
        <f ca="1">IFERROR(__xludf.DUMMYFUNCTION("""COMPUTED_VALUE"""),"")</f>
        <v/>
      </c>
    </row>
    <row r="1778" spans="1:5">
      <c r="A1778" s="59" t="s">
        <v>11626</v>
      </c>
      <c r="D1778" s="12"/>
      <c r="E1778" s="57" t="str">
        <f ca="1">IFERROR(__xludf.DUMMYFUNCTION("""COMPUTED_VALUE"""),"")</f>
        <v/>
      </c>
    </row>
    <row r="1779" spans="1:5">
      <c r="A1779" s="12"/>
      <c r="D1779" s="12"/>
      <c r="E1779" s="57" t="str">
        <f ca="1">IFERROR(__xludf.DUMMYFUNCTION("""COMPUTED_VALUE"""),"")</f>
        <v/>
      </c>
    </row>
    <row r="1780" spans="1:5">
      <c r="A1780" s="12" t="s">
        <v>11627</v>
      </c>
      <c r="D1780" s="12"/>
      <c r="E1780" s="57" t="str">
        <f ca="1">IFERROR(__xludf.DUMMYFUNCTION("""COMPUTED_VALUE"""),"")</f>
        <v/>
      </c>
    </row>
    <row r="1781" spans="1:5">
      <c r="A1781" s="59" t="s">
        <v>11628</v>
      </c>
      <c r="D1781" s="12"/>
      <c r="E1781" s="57" t="str">
        <f ca="1">IFERROR(__xludf.DUMMYFUNCTION("""COMPUTED_VALUE"""),"")</f>
        <v/>
      </c>
    </row>
    <row r="1782" spans="1:5">
      <c r="A1782" s="12"/>
      <c r="D1782" s="12"/>
      <c r="E1782" s="57" t="str">
        <f ca="1">IFERROR(__xludf.DUMMYFUNCTION("""COMPUTED_VALUE"""),"")</f>
        <v/>
      </c>
    </row>
    <row r="1783" spans="1:5">
      <c r="A1783" s="12" t="s">
        <v>11629</v>
      </c>
      <c r="D1783" s="12"/>
      <c r="E1783" s="57" t="str">
        <f ca="1">IFERROR(__xludf.DUMMYFUNCTION("""COMPUTED_VALUE"""),"")</f>
        <v/>
      </c>
    </row>
    <row r="1784" spans="1:5">
      <c r="A1784" s="59" t="s">
        <v>11630</v>
      </c>
      <c r="D1784" s="12"/>
      <c r="E1784" s="57" t="str">
        <f ca="1">IFERROR(__xludf.DUMMYFUNCTION("""COMPUTED_VALUE"""),"")</f>
        <v/>
      </c>
    </row>
    <row r="1785" spans="1:5">
      <c r="A1785" s="12"/>
      <c r="D1785" s="12"/>
      <c r="E1785" s="57" t="str">
        <f ca="1">IFERROR(__xludf.DUMMYFUNCTION("""COMPUTED_VALUE"""),"")</f>
        <v/>
      </c>
    </row>
    <row r="1786" spans="1:5">
      <c r="A1786" s="12" t="s">
        <v>11631</v>
      </c>
      <c r="D1786" s="12"/>
      <c r="E1786" s="57" t="str">
        <f ca="1">IFERROR(__xludf.DUMMYFUNCTION("""COMPUTED_VALUE"""),"")</f>
        <v/>
      </c>
    </row>
    <row r="1787" spans="1:5">
      <c r="A1787" s="59" t="s">
        <v>11632</v>
      </c>
      <c r="D1787" s="12"/>
      <c r="E1787" s="57" t="str">
        <f ca="1">IFERROR(__xludf.DUMMYFUNCTION("""COMPUTED_VALUE"""),"")</f>
        <v/>
      </c>
    </row>
    <row r="1788" spans="1:5">
      <c r="A1788" s="12"/>
      <c r="D1788" s="12"/>
      <c r="E1788" s="57" t="str">
        <f ca="1">IFERROR(__xludf.DUMMYFUNCTION("""COMPUTED_VALUE"""),"")</f>
        <v/>
      </c>
    </row>
    <row r="1789" spans="1:5">
      <c r="A1789" s="12" t="s">
        <v>11633</v>
      </c>
      <c r="D1789" s="12"/>
      <c r="E1789" s="57" t="str">
        <f ca="1">IFERROR(__xludf.DUMMYFUNCTION("""COMPUTED_VALUE"""),"")</f>
        <v/>
      </c>
    </row>
    <row r="1790" spans="1:5">
      <c r="A1790" s="59" t="s">
        <v>11634</v>
      </c>
      <c r="D1790" s="12"/>
      <c r="E1790" s="57" t="str">
        <f ca="1">IFERROR(__xludf.DUMMYFUNCTION("""COMPUTED_VALUE"""),"")</f>
        <v/>
      </c>
    </row>
    <row r="1791" spans="1:5">
      <c r="A1791" s="12"/>
      <c r="D1791" s="12"/>
      <c r="E1791" s="57" t="str">
        <f ca="1">IFERROR(__xludf.DUMMYFUNCTION("""COMPUTED_VALUE"""),"")</f>
        <v/>
      </c>
    </row>
    <row r="1792" spans="1:5">
      <c r="A1792" s="12" t="s">
        <v>11635</v>
      </c>
      <c r="D1792" s="12"/>
      <c r="E1792" s="57" t="str">
        <f ca="1">IFERROR(__xludf.DUMMYFUNCTION("""COMPUTED_VALUE"""),"")</f>
        <v/>
      </c>
    </row>
    <row r="1793" spans="1:5">
      <c r="A1793" s="59" t="s">
        <v>11636</v>
      </c>
      <c r="D1793" s="12"/>
      <c r="E1793" s="57" t="str">
        <f ca="1">IFERROR(__xludf.DUMMYFUNCTION("""COMPUTED_VALUE"""),"")</f>
        <v/>
      </c>
    </row>
    <row r="1794" spans="1:5">
      <c r="A1794" s="12"/>
      <c r="D1794" s="12"/>
      <c r="E1794" s="57" t="str">
        <f ca="1">IFERROR(__xludf.DUMMYFUNCTION("""COMPUTED_VALUE"""),"")</f>
        <v/>
      </c>
    </row>
    <row r="1795" spans="1:5">
      <c r="A1795" s="12" t="s">
        <v>11637</v>
      </c>
      <c r="D1795" s="12"/>
      <c r="E1795" s="57" t="str">
        <f ca="1">IFERROR(__xludf.DUMMYFUNCTION("""COMPUTED_VALUE"""),"")</f>
        <v/>
      </c>
    </row>
    <row r="1796" spans="1:5">
      <c r="A1796" s="59" t="s">
        <v>11638</v>
      </c>
      <c r="D1796" s="12"/>
      <c r="E1796" s="57" t="str">
        <f ca="1">IFERROR(__xludf.DUMMYFUNCTION("""COMPUTED_VALUE"""),"")</f>
        <v/>
      </c>
    </row>
    <row r="1797" spans="1:5">
      <c r="A1797" s="12"/>
      <c r="D1797" s="12"/>
      <c r="E1797" s="57" t="str">
        <f ca="1">IFERROR(__xludf.DUMMYFUNCTION("""COMPUTED_VALUE"""),"")</f>
        <v/>
      </c>
    </row>
    <row r="1798" spans="1:5">
      <c r="A1798" s="12" t="s">
        <v>11639</v>
      </c>
      <c r="D1798" s="12"/>
      <c r="E1798" s="57" t="str">
        <f ca="1">IFERROR(__xludf.DUMMYFUNCTION("""COMPUTED_VALUE"""),"")</f>
        <v/>
      </c>
    </row>
    <row r="1799" spans="1:5">
      <c r="A1799" s="59" t="s">
        <v>11640</v>
      </c>
      <c r="D1799" s="12"/>
      <c r="E1799" s="57" t="str">
        <f ca="1">IFERROR(__xludf.DUMMYFUNCTION("""COMPUTED_VALUE"""),"")</f>
        <v/>
      </c>
    </row>
    <row r="1800" spans="1:5">
      <c r="A1800" s="12"/>
      <c r="D1800" s="12"/>
      <c r="E1800" s="57" t="str">
        <f ca="1">IFERROR(__xludf.DUMMYFUNCTION("""COMPUTED_VALUE"""),"")</f>
        <v/>
      </c>
    </row>
    <row r="1801" spans="1:5">
      <c r="A1801" s="12" t="s">
        <v>11641</v>
      </c>
      <c r="D1801" s="12"/>
      <c r="E1801" s="57" t="str">
        <f ca="1">IFERROR(__xludf.DUMMYFUNCTION("""COMPUTED_VALUE"""),"")</f>
        <v/>
      </c>
    </row>
    <row r="1802" spans="1:5">
      <c r="A1802" s="59" t="s">
        <v>11642</v>
      </c>
      <c r="D1802" s="12"/>
      <c r="E1802" s="57" t="str">
        <f ca="1">IFERROR(__xludf.DUMMYFUNCTION("""COMPUTED_VALUE"""),"")</f>
        <v/>
      </c>
    </row>
    <row r="1803" spans="1:5">
      <c r="A1803" s="12"/>
      <c r="D1803" s="12"/>
      <c r="E1803" s="57" t="str">
        <f ca="1">IFERROR(__xludf.DUMMYFUNCTION("""COMPUTED_VALUE"""),"")</f>
        <v/>
      </c>
    </row>
    <row r="1804" spans="1:5">
      <c r="A1804" s="12" t="s">
        <v>11643</v>
      </c>
      <c r="D1804" s="12"/>
      <c r="E1804" s="57" t="str">
        <f ca="1">IFERROR(__xludf.DUMMYFUNCTION("""COMPUTED_VALUE"""),"")</f>
        <v/>
      </c>
    </row>
    <row r="1805" spans="1:5">
      <c r="A1805" s="59" t="s">
        <v>11644</v>
      </c>
      <c r="D1805" s="12"/>
      <c r="E1805" s="57" t="str">
        <f ca="1">IFERROR(__xludf.DUMMYFUNCTION("""COMPUTED_VALUE"""),"")</f>
        <v/>
      </c>
    </row>
    <row r="1806" spans="1:5">
      <c r="A1806" s="12"/>
      <c r="D1806" s="12"/>
      <c r="E1806" s="57" t="str">
        <f ca="1">IFERROR(__xludf.DUMMYFUNCTION("""COMPUTED_VALUE"""),"")</f>
        <v/>
      </c>
    </row>
    <row r="1807" spans="1:5">
      <c r="A1807" s="12" t="s">
        <v>11645</v>
      </c>
      <c r="D1807" s="12"/>
      <c r="E1807" s="57" t="str">
        <f ca="1">IFERROR(__xludf.DUMMYFUNCTION("""COMPUTED_VALUE"""),"")</f>
        <v/>
      </c>
    </row>
    <row r="1808" spans="1:5">
      <c r="A1808" s="59" t="s">
        <v>11646</v>
      </c>
      <c r="D1808" s="12"/>
      <c r="E1808" s="57" t="str">
        <f ca="1">IFERROR(__xludf.DUMMYFUNCTION("""COMPUTED_VALUE"""),"")</f>
        <v/>
      </c>
    </row>
    <row r="1809" spans="1:5">
      <c r="A1809" s="12"/>
      <c r="D1809" s="12"/>
      <c r="E1809" s="57" t="str">
        <f ca="1">IFERROR(__xludf.DUMMYFUNCTION("""COMPUTED_VALUE"""),"")</f>
        <v/>
      </c>
    </row>
    <row r="1810" spans="1:5">
      <c r="A1810" s="12" t="s">
        <v>11647</v>
      </c>
      <c r="D1810" s="12"/>
      <c r="E1810" s="57" t="str">
        <f ca="1">IFERROR(__xludf.DUMMYFUNCTION("""COMPUTED_VALUE"""),"")</f>
        <v/>
      </c>
    </row>
    <row r="1811" spans="1:5">
      <c r="A1811" s="59" t="s">
        <v>11648</v>
      </c>
      <c r="D1811" s="12"/>
      <c r="E1811" s="57" t="str">
        <f ca="1">IFERROR(__xludf.DUMMYFUNCTION("""COMPUTED_VALUE"""),"")</f>
        <v/>
      </c>
    </row>
    <row r="1812" spans="1:5">
      <c r="A1812" s="12"/>
      <c r="D1812" s="12"/>
      <c r="E1812" s="57" t="str">
        <f ca="1">IFERROR(__xludf.DUMMYFUNCTION("""COMPUTED_VALUE"""),"")</f>
        <v/>
      </c>
    </row>
    <row r="1813" spans="1:5">
      <c r="A1813" s="12" t="s">
        <v>11649</v>
      </c>
      <c r="D1813" s="12"/>
      <c r="E1813" s="57" t="str">
        <f ca="1">IFERROR(__xludf.DUMMYFUNCTION("""COMPUTED_VALUE"""),"")</f>
        <v/>
      </c>
    </row>
    <row r="1814" spans="1:5">
      <c r="A1814" s="59" t="s">
        <v>11650</v>
      </c>
      <c r="D1814" s="12"/>
      <c r="E1814" s="57" t="str">
        <f ca="1">IFERROR(__xludf.DUMMYFUNCTION("""COMPUTED_VALUE"""),"")</f>
        <v/>
      </c>
    </row>
    <row r="1815" spans="1:5">
      <c r="A1815" s="12"/>
      <c r="D1815" s="12"/>
      <c r="E1815" s="57" t="str">
        <f ca="1">IFERROR(__xludf.DUMMYFUNCTION("""COMPUTED_VALUE"""),"")</f>
        <v/>
      </c>
    </row>
    <row r="1816" spans="1:5">
      <c r="A1816" s="12" t="s">
        <v>11651</v>
      </c>
      <c r="D1816" s="12"/>
      <c r="E1816" s="57" t="str">
        <f ca="1">IFERROR(__xludf.DUMMYFUNCTION("""COMPUTED_VALUE"""),"")</f>
        <v/>
      </c>
    </row>
    <row r="1817" spans="1:5">
      <c r="A1817" s="59" t="s">
        <v>11652</v>
      </c>
      <c r="D1817" s="12"/>
      <c r="E1817" s="57" t="str">
        <f ca="1">IFERROR(__xludf.DUMMYFUNCTION("""COMPUTED_VALUE"""),"")</f>
        <v/>
      </c>
    </row>
    <row r="1818" spans="1:5">
      <c r="A1818" s="12"/>
      <c r="D1818" s="12"/>
      <c r="E1818" s="57" t="str">
        <f ca="1">IFERROR(__xludf.DUMMYFUNCTION("""COMPUTED_VALUE"""),"")</f>
        <v/>
      </c>
    </row>
    <row r="1819" spans="1:5">
      <c r="A1819" s="12" t="s">
        <v>11653</v>
      </c>
      <c r="D1819" s="12"/>
      <c r="E1819" s="57" t="str">
        <f ca="1">IFERROR(__xludf.DUMMYFUNCTION("""COMPUTED_VALUE"""),"")</f>
        <v/>
      </c>
    </row>
    <row r="1820" spans="1:5">
      <c r="A1820" s="59" t="s">
        <v>11654</v>
      </c>
      <c r="D1820" s="12"/>
      <c r="E1820" s="57" t="str">
        <f ca="1">IFERROR(__xludf.DUMMYFUNCTION("""COMPUTED_VALUE"""),"")</f>
        <v/>
      </c>
    </row>
    <row r="1821" spans="1:5">
      <c r="A1821" s="12"/>
      <c r="D1821" s="12"/>
      <c r="E1821" s="57" t="str">
        <f ca="1">IFERROR(__xludf.DUMMYFUNCTION("""COMPUTED_VALUE"""),"")</f>
        <v/>
      </c>
    </row>
    <row r="1822" spans="1:5">
      <c r="A1822" s="12" t="s">
        <v>11655</v>
      </c>
      <c r="D1822" s="12"/>
      <c r="E1822" s="57" t="str">
        <f ca="1">IFERROR(__xludf.DUMMYFUNCTION("""COMPUTED_VALUE"""),"")</f>
        <v/>
      </c>
    </row>
    <row r="1823" spans="1:5">
      <c r="A1823" s="59" t="s">
        <v>11656</v>
      </c>
      <c r="D1823" s="12"/>
      <c r="E1823" s="57" t="str">
        <f ca="1">IFERROR(__xludf.DUMMYFUNCTION("""COMPUTED_VALUE"""),"")</f>
        <v/>
      </c>
    </row>
    <row r="1824" spans="1:5">
      <c r="A1824" s="12"/>
      <c r="D1824" s="12"/>
      <c r="E1824" s="57" t="str">
        <f ca="1">IFERROR(__xludf.DUMMYFUNCTION("""COMPUTED_VALUE"""),"")</f>
        <v/>
      </c>
    </row>
    <row r="1825" spans="1:5">
      <c r="A1825" s="12" t="s">
        <v>11657</v>
      </c>
      <c r="D1825" s="12"/>
      <c r="E1825" s="57" t="str">
        <f ca="1">IFERROR(__xludf.DUMMYFUNCTION("""COMPUTED_VALUE"""),"")</f>
        <v/>
      </c>
    </row>
    <row r="1826" spans="1:5">
      <c r="A1826" s="59" t="s">
        <v>11658</v>
      </c>
      <c r="D1826" s="12"/>
      <c r="E1826" s="57" t="str">
        <f ca="1">IFERROR(__xludf.DUMMYFUNCTION("""COMPUTED_VALUE"""),"")</f>
        <v/>
      </c>
    </row>
    <row r="1827" spans="1:5">
      <c r="A1827" s="12"/>
      <c r="D1827" s="12"/>
      <c r="E1827" s="57" t="str">
        <f ca="1">IFERROR(__xludf.DUMMYFUNCTION("""COMPUTED_VALUE"""),"")</f>
        <v/>
      </c>
    </row>
    <row r="1828" spans="1:5">
      <c r="A1828" s="12" t="s">
        <v>11659</v>
      </c>
      <c r="D1828" s="12"/>
      <c r="E1828" s="57" t="str">
        <f ca="1">IFERROR(__xludf.DUMMYFUNCTION("""COMPUTED_VALUE"""),"")</f>
        <v/>
      </c>
    </row>
    <row r="1829" spans="1:5">
      <c r="A1829" s="59" t="s">
        <v>11660</v>
      </c>
      <c r="D1829" s="12"/>
      <c r="E1829" s="57" t="str">
        <f ca="1">IFERROR(__xludf.DUMMYFUNCTION("""COMPUTED_VALUE"""),"")</f>
        <v/>
      </c>
    </row>
    <row r="1830" spans="1:5">
      <c r="A1830" s="12"/>
      <c r="D1830" s="12"/>
      <c r="E1830" s="57" t="str">
        <f ca="1">IFERROR(__xludf.DUMMYFUNCTION("""COMPUTED_VALUE"""),"")</f>
        <v/>
      </c>
    </row>
    <row r="1831" spans="1:5">
      <c r="A1831" s="12" t="s">
        <v>11661</v>
      </c>
      <c r="D1831" s="12"/>
      <c r="E1831" s="57" t="str">
        <f ca="1">IFERROR(__xludf.DUMMYFUNCTION("""COMPUTED_VALUE"""),"")</f>
        <v/>
      </c>
    </row>
    <row r="1832" spans="1:5">
      <c r="A1832" s="59" t="s">
        <v>11662</v>
      </c>
      <c r="D1832" s="12"/>
      <c r="E1832" s="57" t="str">
        <f ca="1">IFERROR(__xludf.DUMMYFUNCTION("""COMPUTED_VALUE"""),"")</f>
        <v/>
      </c>
    </row>
    <row r="1833" spans="1:5">
      <c r="A1833" s="12"/>
      <c r="D1833" s="12"/>
      <c r="E1833" s="57" t="str">
        <f ca="1">IFERROR(__xludf.DUMMYFUNCTION("""COMPUTED_VALUE"""),"")</f>
        <v/>
      </c>
    </row>
    <row r="1834" spans="1:5">
      <c r="A1834" s="12" t="s">
        <v>11663</v>
      </c>
      <c r="D1834" s="12"/>
      <c r="E1834" s="57" t="str">
        <f ca="1">IFERROR(__xludf.DUMMYFUNCTION("""COMPUTED_VALUE"""),"")</f>
        <v/>
      </c>
    </row>
    <row r="1835" spans="1:5">
      <c r="A1835" s="59" t="s">
        <v>11664</v>
      </c>
      <c r="D1835" s="12"/>
      <c r="E1835" s="57" t="str">
        <f ca="1">IFERROR(__xludf.DUMMYFUNCTION("""COMPUTED_VALUE"""),"")</f>
        <v/>
      </c>
    </row>
    <row r="1836" spans="1:5">
      <c r="A1836" s="12"/>
      <c r="D1836" s="12"/>
      <c r="E1836" s="57" t="str">
        <f ca="1">IFERROR(__xludf.DUMMYFUNCTION("""COMPUTED_VALUE"""),"")</f>
        <v/>
      </c>
    </row>
    <row r="1837" spans="1:5">
      <c r="A1837" s="12" t="s">
        <v>11665</v>
      </c>
      <c r="D1837" s="12"/>
      <c r="E1837" s="57" t="str">
        <f ca="1">IFERROR(__xludf.DUMMYFUNCTION("""COMPUTED_VALUE"""),"")</f>
        <v/>
      </c>
    </row>
    <row r="1838" spans="1:5">
      <c r="A1838" s="59" t="s">
        <v>11666</v>
      </c>
      <c r="D1838" s="12"/>
      <c r="E1838" s="57" t="str">
        <f ca="1">IFERROR(__xludf.DUMMYFUNCTION("""COMPUTED_VALUE"""),"")</f>
        <v/>
      </c>
    </row>
    <row r="1839" spans="1:5">
      <c r="A1839" s="12"/>
      <c r="D1839" s="12"/>
      <c r="E1839" s="57" t="str">
        <f ca="1">IFERROR(__xludf.DUMMYFUNCTION("""COMPUTED_VALUE"""),"")</f>
        <v/>
      </c>
    </row>
    <row r="1840" spans="1:5">
      <c r="A1840" s="12" t="s">
        <v>11667</v>
      </c>
      <c r="D1840" s="12"/>
      <c r="E1840" s="57" t="str">
        <f ca="1">IFERROR(__xludf.DUMMYFUNCTION("""COMPUTED_VALUE"""),"")</f>
        <v/>
      </c>
    </row>
    <row r="1841" spans="1:5">
      <c r="A1841" s="59" t="s">
        <v>11668</v>
      </c>
      <c r="D1841" s="12"/>
      <c r="E1841" s="57" t="str">
        <f ca="1">IFERROR(__xludf.DUMMYFUNCTION("""COMPUTED_VALUE"""),"")</f>
        <v/>
      </c>
    </row>
    <row r="1842" spans="1:5">
      <c r="A1842" s="12"/>
      <c r="D1842" s="12"/>
      <c r="E1842" s="57" t="str">
        <f ca="1">IFERROR(__xludf.DUMMYFUNCTION("""COMPUTED_VALUE"""),"")</f>
        <v/>
      </c>
    </row>
    <row r="1843" spans="1:5">
      <c r="A1843" s="12" t="s">
        <v>11669</v>
      </c>
      <c r="D1843" s="12"/>
      <c r="E1843" s="57" t="str">
        <f ca="1">IFERROR(__xludf.DUMMYFUNCTION("""COMPUTED_VALUE"""),"")</f>
        <v/>
      </c>
    </row>
    <row r="1844" spans="1:5">
      <c r="A1844" s="59" t="s">
        <v>11670</v>
      </c>
      <c r="D1844" s="12"/>
      <c r="E1844" s="57" t="str">
        <f ca="1">IFERROR(__xludf.DUMMYFUNCTION("""COMPUTED_VALUE"""),"")</f>
        <v/>
      </c>
    </row>
    <row r="1845" spans="1:5">
      <c r="A1845" s="12"/>
      <c r="D1845" s="12"/>
      <c r="E1845" s="57" t="str">
        <f ca="1">IFERROR(__xludf.DUMMYFUNCTION("""COMPUTED_VALUE"""),"")</f>
        <v/>
      </c>
    </row>
    <row r="1846" spans="1:5">
      <c r="A1846" s="12" t="s">
        <v>11671</v>
      </c>
      <c r="D1846" s="12"/>
      <c r="E1846" s="57" t="str">
        <f ca="1">IFERROR(__xludf.DUMMYFUNCTION("""COMPUTED_VALUE"""),"")</f>
        <v/>
      </c>
    </row>
    <row r="1847" spans="1:5">
      <c r="A1847" s="59" t="s">
        <v>11672</v>
      </c>
      <c r="D1847" s="12"/>
      <c r="E1847" s="57" t="str">
        <f ca="1">IFERROR(__xludf.DUMMYFUNCTION("""COMPUTED_VALUE"""),"")</f>
        <v/>
      </c>
    </row>
    <row r="1848" spans="1:5">
      <c r="A1848" s="12"/>
      <c r="D1848" s="12"/>
      <c r="E1848" s="57" t="str">
        <f ca="1">IFERROR(__xludf.DUMMYFUNCTION("""COMPUTED_VALUE"""),"")</f>
        <v/>
      </c>
    </row>
    <row r="1849" spans="1:5">
      <c r="A1849" s="12" t="s">
        <v>11673</v>
      </c>
      <c r="D1849" s="12"/>
      <c r="E1849" s="57" t="str">
        <f ca="1">IFERROR(__xludf.DUMMYFUNCTION("""COMPUTED_VALUE"""),"")</f>
        <v/>
      </c>
    </row>
    <row r="1850" spans="1:5">
      <c r="A1850" s="59" t="s">
        <v>11674</v>
      </c>
      <c r="D1850" s="12"/>
      <c r="E1850" s="57" t="str">
        <f ca="1">IFERROR(__xludf.DUMMYFUNCTION("""COMPUTED_VALUE"""),"")</f>
        <v/>
      </c>
    </row>
    <row r="1851" spans="1:5">
      <c r="A1851" s="12"/>
      <c r="D1851" s="12"/>
      <c r="E1851" s="57" t="str">
        <f ca="1">IFERROR(__xludf.DUMMYFUNCTION("""COMPUTED_VALUE"""),"")</f>
        <v/>
      </c>
    </row>
    <row r="1852" spans="1:5">
      <c r="A1852" s="12" t="s">
        <v>11675</v>
      </c>
      <c r="D1852" s="12"/>
      <c r="E1852" s="57" t="str">
        <f ca="1">IFERROR(__xludf.DUMMYFUNCTION("""COMPUTED_VALUE"""),"")</f>
        <v/>
      </c>
    </row>
    <row r="1853" spans="1:5">
      <c r="A1853" s="59" t="s">
        <v>11676</v>
      </c>
      <c r="D1853" s="12"/>
      <c r="E1853" s="57" t="str">
        <f ca="1">IFERROR(__xludf.DUMMYFUNCTION("""COMPUTED_VALUE"""),"")</f>
        <v/>
      </c>
    </row>
    <row r="1854" spans="1:5">
      <c r="A1854" s="12"/>
      <c r="D1854" s="12"/>
      <c r="E1854" s="57" t="str">
        <f ca="1">IFERROR(__xludf.DUMMYFUNCTION("""COMPUTED_VALUE"""),"")</f>
        <v/>
      </c>
    </row>
    <row r="1855" spans="1:5">
      <c r="A1855" s="12" t="s">
        <v>11677</v>
      </c>
      <c r="D1855" s="12"/>
      <c r="E1855" s="57" t="str">
        <f ca="1">IFERROR(__xludf.DUMMYFUNCTION("""COMPUTED_VALUE"""),"")</f>
        <v/>
      </c>
    </row>
    <row r="1856" spans="1:5">
      <c r="A1856" s="59" t="s">
        <v>11678</v>
      </c>
      <c r="D1856" s="12"/>
      <c r="E1856" s="57" t="str">
        <f ca="1">IFERROR(__xludf.DUMMYFUNCTION("""COMPUTED_VALUE"""),"")</f>
        <v/>
      </c>
    </row>
    <row r="1857" spans="1:5">
      <c r="A1857" s="12"/>
      <c r="D1857" s="12"/>
      <c r="E1857" s="57" t="str">
        <f ca="1">IFERROR(__xludf.DUMMYFUNCTION("""COMPUTED_VALUE"""),"")</f>
        <v/>
      </c>
    </row>
    <row r="1858" spans="1:5">
      <c r="A1858" s="12" t="s">
        <v>11679</v>
      </c>
      <c r="D1858" s="12"/>
      <c r="E1858" s="57" t="str">
        <f ca="1">IFERROR(__xludf.DUMMYFUNCTION("""COMPUTED_VALUE"""),"")</f>
        <v/>
      </c>
    </row>
    <row r="1859" spans="1:5">
      <c r="A1859" s="59" t="s">
        <v>11680</v>
      </c>
      <c r="D1859" s="12"/>
      <c r="E1859" s="57" t="str">
        <f ca="1">IFERROR(__xludf.DUMMYFUNCTION("""COMPUTED_VALUE"""),"")</f>
        <v/>
      </c>
    </row>
    <row r="1860" spans="1:5">
      <c r="A1860" s="12"/>
      <c r="D1860" s="12"/>
      <c r="E1860" s="57" t="str">
        <f ca="1">IFERROR(__xludf.DUMMYFUNCTION("""COMPUTED_VALUE"""),"")</f>
        <v/>
      </c>
    </row>
    <row r="1861" spans="1:5">
      <c r="A1861" s="12" t="s">
        <v>11681</v>
      </c>
      <c r="D1861" s="12"/>
      <c r="E1861" s="57" t="str">
        <f ca="1">IFERROR(__xludf.DUMMYFUNCTION("""COMPUTED_VALUE"""),"")</f>
        <v/>
      </c>
    </row>
    <row r="1862" spans="1:5">
      <c r="A1862" s="59" t="s">
        <v>11682</v>
      </c>
      <c r="D1862" s="12"/>
      <c r="E1862" s="57" t="str">
        <f ca="1">IFERROR(__xludf.DUMMYFUNCTION("""COMPUTED_VALUE"""),"")</f>
        <v/>
      </c>
    </row>
    <row r="1863" spans="1:5">
      <c r="A1863" s="12"/>
      <c r="D1863" s="12"/>
      <c r="E1863" s="57" t="str">
        <f ca="1">IFERROR(__xludf.DUMMYFUNCTION("""COMPUTED_VALUE"""),"")</f>
        <v/>
      </c>
    </row>
    <row r="1864" spans="1:5">
      <c r="A1864" s="12" t="s">
        <v>11683</v>
      </c>
      <c r="D1864" s="12"/>
      <c r="E1864" s="57" t="str">
        <f ca="1">IFERROR(__xludf.DUMMYFUNCTION("""COMPUTED_VALUE"""),"")</f>
        <v/>
      </c>
    </row>
    <row r="1865" spans="1:5">
      <c r="A1865" s="59" t="s">
        <v>11684</v>
      </c>
      <c r="D1865" s="12"/>
      <c r="E1865" s="57" t="str">
        <f ca="1">IFERROR(__xludf.DUMMYFUNCTION("""COMPUTED_VALUE"""),"")</f>
        <v/>
      </c>
    </row>
    <row r="1866" spans="1:5">
      <c r="A1866" s="12"/>
      <c r="D1866" s="12"/>
      <c r="E1866" s="57" t="str">
        <f ca="1">IFERROR(__xludf.DUMMYFUNCTION("""COMPUTED_VALUE"""),"")</f>
        <v/>
      </c>
    </row>
    <row r="1867" spans="1:5">
      <c r="A1867" s="12" t="s">
        <v>11685</v>
      </c>
      <c r="D1867" s="12"/>
      <c r="E1867" s="57" t="str">
        <f ca="1">IFERROR(__xludf.DUMMYFUNCTION("""COMPUTED_VALUE"""),"")</f>
        <v/>
      </c>
    </row>
    <row r="1868" spans="1:5">
      <c r="A1868" s="59" t="s">
        <v>11686</v>
      </c>
      <c r="D1868" s="12"/>
      <c r="E1868" s="57" t="str">
        <f ca="1">IFERROR(__xludf.DUMMYFUNCTION("""COMPUTED_VALUE"""),"")</f>
        <v/>
      </c>
    </row>
    <row r="1869" spans="1:5">
      <c r="A1869" s="12"/>
      <c r="D1869" s="12"/>
      <c r="E1869" s="57" t="str">
        <f ca="1">IFERROR(__xludf.DUMMYFUNCTION("""COMPUTED_VALUE"""),"")</f>
        <v/>
      </c>
    </row>
    <row r="1870" spans="1:5">
      <c r="A1870" s="12" t="s">
        <v>11687</v>
      </c>
      <c r="D1870" s="12"/>
      <c r="E1870" s="57" t="str">
        <f ca="1">IFERROR(__xludf.DUMMYFUNCTION("""COMPUTED_VALUE"""),"")</f>
        <v/>
      </c>
    </row>
    <row r="1871" spans="1:5">
      <c r="A1871" s="59" t="s">
        <v>11688</v>
      </c>
      <c r="D1871" s="12"/>
      <c r="E1871" s="57" t="str">
        <f ca="1">IFERROR(__xludf.DUMMYFUNCTION("""COMPUTED_VALUE"""),"")</f>
        <v/>
      </c>
    </row>
    <row r="1872" spans="1:5">
      <c r="A1872" s="12"/>
      <c r="D1872" s="12"/>
      <c r="E1872" s="57" t="str">
        <f ca="1">IFERROR(__xludf.DUMMYFUNCTION("""COMPUTED_VALUE"""),"")</f>
        <v/>
      </c>
    </row>
    <row r="1873" spans="1:5">
      <c r="A1873" s="12" t="s">
        <v>11689</v>
      </c>
      <c r="D1873" s="12"/>
      <c r="E1873" s="57" t="str">
        <f ca="1">IFERROR(__xludf.DUMMYFUNCTION("""COMPUTED_VALUE"""),"")</f>
        <v/>
      </c>
    </row>
    <row r="1874" spans="1:5">
      <c r="A1874" s="59" t="s">
        <v>11690</v>
      </c>
      <c r="D1874" s="12"/>
      <c r="E1874" s="57" t="str">
        <f ca="1">IFERROR(__xludf.DUMMYFUNCTION("""COMPUTED_VALUE"""),"")</f>
        <v/>
      </c>
    </row>
    <row r="1875" spans="1:5">
      <c r="A1875" s="12"/>
      <c r="D1875" s="12"/>
      <c r="E1875" s="57" t="str">
        <f ca="1">IFERROR(__xludf.DUMMYFUNCTION("""COMPUTED_VALUE"""),"")</f>
        <v/>
      </c>
    </row>
    <row r="1876" spans="1:5">
      <c r="A1876" s="12" t="s">
        <v>11691</v>
      </c>
      <c r="D1876" s="12"/>
      <c r="E1876" s="57" t="str">
        <f ca="1">IFERROR(__xludf.DUMMYFUNCTION("""COMPUTED_VALUE"""),"")</f>
        <v/>
      </c>
    </row>
    <row r="1877" spans="1:5">
      <c r="A1877" s="59" t="s">
        <v>11692</v>
      </c>
      <c r="D1877" s="12"/>
      <c r="E1877" s="57" t="str">
        <f ca="1">IFERROR(__xludf.DUMMYFUNCTION("""COMPUTED_VALUE"""),"")</f>
        <v/>
      </c>
    </row>
    <row r="1878" spans="1:5">
      <c r="A1878" s="12"/>
      <c r="D1878" s="12"/>
      <c r="E1878" s="57" t="str">
        <f ca="1">IFERROR(__xludf.DUMMYFUNCTION("""COMPUTED_VALUE"""),"")</f>
        <v/>
      </c>
    </row>
    <row r="1879" spans="1:5">
      <c r="A1879" s="12" t="s">
        <v>11693</v>
      </c>
      <c r="D1879" s="12"/>
      <c r="E1879" s="57" t="str">
        <f ca="1">IFERROR(__xludf.DUMMYFUNCTION("""COMPUTED_VALUE"""),"")</f>
        <v/>
      </c>
    </row>
    <row r="1880" spans="1:5">
      <c r="A1880" s="59" t="s">
        <v>11694</v>
      </c>
      <c r="D1880" s="12"/>
      <c r="E1880" s="57" t="str">
        <f ca="1">IFERROR(__xludf.DUMMYFUNCTION("""COMPUTED_VALUE"""),"")</f>
        <v/>
      </c>
    </row>
    <row r="1881" spans="1:5">
      <c r="A1881" s="12"/>
      <c r="D1881" s="12"/>
      <c r="E1881" s="57" t="str">
        <f ca="1">IFERROR(__xludf.DUMMYFUNCTION("""COMPUTED_VALUE"""),"")</f>
        <v/>
      </c>
    </row>
    <row r="1882" spans="1:5">
      <c r="A1882" s="12" t="s">
        <v>11695</v>
      </c>
      <c r="D1882" s="12"/>
      <c r="E1882" s="57" t="str">
        <f ca="1">IFERROR(__xludf.DUMMYFUNCTION("""COMPUTED_VALUE"""),"")</f>
        <v/>
      </c>
    </row>
    <row r="1883" spans="1:5">
      <c r="A1883" s="59" t="s">
        <v>11696</v>
      </c>
      <c r="D1883" s="12"/>
      <c r="E1883" s="57" t="str">
        <f ca="1">IFERROR(__xludf.DUMMYFUNCTION("""COMPUTED_VALUE"""),"")</f>
        <v/>
      </c>
    </row>
    <row r="1884" spans="1:5">
      <c r="A1884" s="12"/>
      <c r="D1884" s="12"/>
      <c r="E1884" s="57" t="str">
        <f ca="1">IFERROR(__xludf.DUMMYFUNCTION("""COMPUTED_VALUE"""),"")</f>
        <v/>
      </c>
    </row>
    <row r="1885" spans="1:5">
      <c r="A1885" s="12" t="s">
        <v>11697</v>
      </c>
      <c r="D1885" s="12"/>
      <c r="E1885" s="57" t="str">
        <f ca="1">IFERROR(__xludf.DUMMYFUNCTION("""COMPUTED_VALUE"""),"")</f>
        <v/>
      </c>
    </row>
    <row r="1886" spans="1:5">
      <c r="A1886" s="59" t="s">
        <v>11698</v>
      </c>
      <c r="D1886" s="12"/>
      <c r="E1886" s="57" t="str">
        <f ca="1">IFERROR(__xludf.DUMMYFUNCTION("""COMPUTED_VALUE"""),"")</f>
        <v/>
      </c>
    </row>
    <row r="1887" spans="1:5">
      <c r="A1887" s="12"/>
      <c r="D1887" s="12"/>
      <c r="E1887" s="57" t="str">
        <f ca="1">IFERROR(__xludf.DUMMYFUNCTION("""COMPUTED_VALUE"""),"")</f>
        <v/>
      </c>
    </row>
    <row r="1888" spans="1:5">
      <c r="A1888" s="12" t="s">
        <v>11699</v>
      </c>
      <c r="D1888" s="12"/>
      <c r="E1888" s="57" t="str">
        <f ca="1">IFERROR(__xludf.DUMMYFUNCTION("""COMPUTED_VALUE"""),"")</f>
        <v/>
      </c>
    </row>
    <row r="1889" spans="1:5">
      <c r="A1889" s="59" t="s">
        <v>11700</v>
      </c>
      <c r="D1889" s="12"/>
      <c r="E1889" s="57" t="str">
        <f ca="1">IFERROR(__xludf.DUMMYFUNCTION("""COMPUTED_VALUE"""),"")</f>
        <v/>
      </c>
    </row>
    <row r="1890" spans="1:5">
      <c r="A1890" s="12"/>
      <c r="D1890" s="12"/>
      <c r="E1890" s="57" t="str">
        <f ca="1">IFERROR(__xludf.DUMMYFUNCTION("""COMPUTED_VALUE"""),"")</f>
        <v/>
      </c>
    </row>
    <row r="1891" spans="1:5">
      <c r="A1891" s="12" t="s">
        <v>11701</v>
      </c>
      <c r="D1891" s="12"/>
      <c r="E1891" s="57" t="str">
        <f ca="1">IFERROR(__xludf.DUMMYFUNCTION("""COMPUTED_VALUE"""),"")</f>
        <v/>
      </c>
    </row>
    <row r="1892" spans="1:5">
      <c r="A1892" s="59" t="s">
        <v>11702</v>
      </c>
      <c r="D1892" s="12"/>
      <c r="E1892" s="57" t="str">
        <f ca="1">IFERROR(__xludf.DUMMYFUNCTION("""COMPUTED_VALUE"""),"")</f>
        <v/>
      </c>
    </row>
    <row r="1893" spans="1:5">
      <c r="A1893" s="12"/>
      <c r="D1893" s="12"/>
      <c r="E1893" s="57" t="str">
        <f ca="1">IFERROR(__xludf.DUMMYFUNCTION("""COMPUTED_VALUE"""),"")</f>
        <v/>
      </c>
    </row>
    <row r="1894" spans="1:5">
      <c r="A1894" s="12" t="s">
        <v>11703</v>
      </c>
      <c r="D1894" s="12"/>
      <c r="E1894" s="57" t="str">
        <f ca="1">IFERROR(__xludf.DUMMYFUNCTION("""COMPUTED_VALUE"""),"")</f>
        <v/>
      </c>
    </row>
    <row r="1895" spans="1:5">
      <c r="A1895" s="59" t="s">
        <v>11704</v>
      </c>
      <c r="D1895" s="12"/>
      <c r="E1895" s="57" t="str">
        <f ca="1">IFERROR(__xludf.DUMMYFUNCTION("""COMPUTED_VALUE"""),"")</f>
        <v/>
      </c>
    </row>
    <row r="1896" spans="1:5">
      <c r="A1896" s="12"/>
      <c r="D1896" s="12"/>
      <c r="E1896" s="57" t="str">
        <f ca="1">IFERROR(__xludf.DUMMYFUNCTION("""COMPUTED_VALUE"""),"")</f>
        <v/>
      </c>
    </row>
    <row r="1897" spans="1:5">
      <c r="A1897" s="12" t="s">
        <v>11705</v>
      </c>
      <c r="D1897" s="12"/>
      <c r="E1897" s="57" t="str">
        <f ca="1">IFERROR(__xludf.DUMMYFUNCTION("""COMPUTED_VALUE"""),"")</f>
        <v/>
      </c>
    </row>
    <row r="1898" spans="1:5">
      <c r="A1898" s="59" t="s">
        <v>11706</v>
      </c>
      <c r="D1898" s="12"/>
      <c r="E1898" s="57" t="str">
        <f ca="1">IFERROR(__xludf.DUMMYFUNCTION("""COMPUTED_VALUE"""),"")</f>
        <v/>
      </c>
    </row>
    <row r="1899" spans="1:5">
      <c r="A1899" s="12"/>
      <c r="D1899" s="12"/>
      <c r="E1899" s="57" t="str">
        <f ca="1">IFERROR(__xludf.DUMMYFUNCTION("""COMPUTED_VALUE"""),"")</f>
        <v/>
      </c>
    </row>
    <row r="1900" spans="1:5">
      <c r="A1900" s="12" t="s">
        <v>11707</v>
      </c>
      <c r="D1900" s="12"/>
      <c r="E1900" s="57" t="str">
        <f ca="1">IFERROR(__xludf.DUMMYFUNCTION("""COMPUTED_VALUE"""),"")</f>
        <v/>
      </c>
    </row>
    <row r="1901" spans="1:5">
      <c r="A1901" s="59" t="s">
        <v>11708</v>
      </c>
      <c r="D1901" s="12"/>
      <c r="E1901" s="57" t="str">
        <f ca="1">IFERROR(__xludf.DUMMYFUNCTION("""COMPUTED_VALUE"""),"")</f>
        <v/>
      </c>
    </row>
    <row r="1902" spans="1:5">
      <c r="A1902" s="12"/>
      <c r="D1902" s="12"/>
      <c r="E1902" s="57" t="str">
        <f ca="1">IFERROR(__xludf.DUMMYFUNCTION("""COMPUTED_VALUE"""),"")</f>
        <v/>
      </c>
    </row>
    <row r="1903" spans="1:5">
      <c r="A1903" s="12" t="s">
        <v>11709</v>
      </c>
      <c r="D1903" s="12"/>
      <c r="E1903" s="57" t="str">
        <f ca="1">IFERROR(__xludf.DUMMYFUNCTION("""COMPUTED_VALUE"""),"")</f>
        <v/>
      </c>
    </row>
    <row r="1904" spans="1:5">
      <c r="A1904" s="59" t="s">
        <v>11710</v>
      </c>
      <c r="D1904" s="12"/>
      <c r="E1904" s="57" t="str">
        <f ca="1">IFERROR(__xludf.DUMMYFUNCTION("""COMPUTED_VALUE"""),"")</f>
        <v/>
      </c>
    </row>
    <row r="1905" spans="1:5">
      <c r="A1905" s="12"/>
      <c r="D1905" s="12"/>
      <c r="E1905" s="57" t="str">
        <f ca="1">IFERROR(__xludf.DUMMYFUNCTION("""COMPUTED_VALUE"""),"")</f>
        <v/>
      </c>
    </row>
    <row r="1906" spans="1:5">
      <c r="A1906" s="12" t="s">
        <v>11711</v>
      </c>
      <c r="D1906" s="12"/>
      <c r="E1906" s="57" t="str">
        <f ca="1">IFERROR(__xludf.DUMMYFUNCTION("""COMPUTED_VALUE"""),"")</f>
        <v/>
      </c>
    </row>
    <row r="1907" spans="1:5">
      <c r="A1907" s="59" t="s">
        <v>11712</v>
      </c>
      <c r="D1907" s="12"/>
      <c r="E1907" s="57" t="str">
        <f ca="1">IFERROR(__xludf.DUMMYFUNCTION("""COMPUTED_VALUE"""),"")</f>
        <v/>
      </c>
    </row>
    <row r="1908" spans="1:5">
      <c r="A1908" s="12"/>
      <c r="D1908" s="12"/>
      <c r="E1908" s="57" t="str">
        <f ca="1">IFERROR(__xludf.DUMMYFUNCTION("""COMPUTED_VALUE"""),"")</f>
        <v/>
      </c>
    </row>
    <row r="1909" spans="1:5">
      <c r="A1909" s="12" t="s">
        <v>11713</v>
      </c>
      <c r="D1909" s="12"/>
      <c r="E1909" s="57" t="str">
        <f ca="1">IFERROR(__xludf.DUMMYFUNCTION("""COMPUTED_VALUE"""),"")</f>
        <v/>
      </c>
    </row>
    <row r="1910" spans="1:5">
      <c r="A1910" s="59" t="s">
        <v>11714</v>
      </c>
      <c r="D1910" s="12"/>
      <c r="E1910" s="57" t="str">
        <f ca="1">IFERROR(__xludf.DUMMYFUNCTION("""COMPUTED_VALUE"""),"")</f>
        <v/>
      </c>
    </row>
    <row r="1911" spans="1:5">
      <c r="A1911" s="12"/>
      <c r="D1911" s="12"/>
      <c r="E1911" s="57" t="str">
        <f ca="1">IFERROR(__xludf.DUMMYFUNCTION("""COMPUTED_VALUE"""),"")</f>
        <v/>
      </c>
    </row>
    <row r="1912" spans="1:5">
      <c r="A1912" s="12" t="s">
        <v>11715</v>
      </c>
      <c r="D1912" s="12"/>
      <c r="E1912" s="57" t="str">
        <f ca="1">IFERROR(__xludf.DUMMYFUNCTION("""COMPUTED_VALUE"""),"")</f>
        <v/>
      </c>
    </row>
    <row r="1913" spans="1:5">
      <c r="A1913" s="59" t="s">
        <v>11716</v>
      </c>
      <c r="D1913" s="12"/>
      <c r="E1913" s="57" t="str">
        <f ca="1">IFERROR(__xludf.DUMMYFUNCTION("""COMPUTED_VALUE"""),"")</f>
        <v/>
      </c>
    </row>
    <row r="1914" spans="1:5">
      <c r="A1914" s="12"/>
      <c r="D1914" s="12"/>
      <c r="E1914" s="57" t="str">
        <f ca="1">IFERROR(__xludf.DUMMYFUNCTION("""COMPUTED_VALUE"""),"")</f>
        <v/>
      </c>
    </row>
    <row r="1915" spans="1:5">
      <c r="A1915" s="12" t="s">
        <v>11717</v>
      </c>
      <c r="D1915" s="12"/>
      <c r="E1915" s="57" t="str">
        <f ca="1">IFERROR(__xludf.DUMMYFUNCTION("""COMPUTED_VALUE"""),"")</f>
        <v/>
      </c>
    </row>
    <row r="1916" spans="1:5">
      <c r="A1916" s="59" t="s">
        <v>11718</v>
      </c>
      <c r="D1916" s="12"/>
      <c r="E1916" s="57" t="str">
        <f ca="1">IFERROR(__xludf.DUMMYFUNCTION("""COMPUTED_VALUE"""),"")</f>
        <v/>
      </c>
    </row>
    <row r="1917" spans="1:5">
      <c r="A1917" s="12"/>
      <c r="D1917" s="12"/>
      <c r="E1917" s="57" t="str">
        <f ca="1">IFERROR(__xludf.DUMMYFUNCTION("""COMPUTED_VALUE"""),"")</f>
        <v/>
      </c>
    </row>
    <row r="1918" spans="1:5">
      <c r="A1918" s="12" t="s">
        <v>11719</v>
      </c>
      <c r="D1918" s="12"/>
      <c r="E1918" s="57" t="str">
        <f ca="1">IFERROR(__xludf.DUMMYFUNCTION("""COMPUTED_VALUE"""),"")</f>
        <v/>
      </c>
    </row>
    <row r="1919" spans="1:5">
      <c r="A1919" s="59" t="s">
        <v>11720</v>
      </c>
      <c r="D1919" s="12"/>
      <c r="E1919" s="57" t="str">
        <f ca="1">IFERROR(__xludf.DUMMYFUNCTION("""COMPUTED_VALUE"""),"")</f>
        <v/>
      </c>
    </row>
    <row r="1920" spans="1:5">
      <c r="A1920" s="12"/>
      <c r="D1920" s="12"/>
      <c r="E1920" s="57" t="str">
        <f ca="1">IFERROR(__xludf.DUMMYFUNCTION("""COMPUTED_VALUE"""),"")</f>
        <v/>
      </c>
    </row>
    <row r="1921" spans="1:5">
      <c r="A1921" s="12" t="s">
        <v>11721</v>
      </c>
      <c r="D1921" s="12"/>
      <c r="E1921" s="57" t="str">
        <f ca="1">IFERROR(__xludf.DUMMYFUNCTION("""COMPUTED_VALUE"""),"")</f>
        <v/>
      </c>
    </row>
    <row r="1922" spans="1:5">
      <c r="A1922" s="59" t="s">
        <v>11722</v>
      </c>
      <c r="D1922" s="12"/>
      <c r="E1922" s="57" t="str">
        <f ca="1">IFERROR(__xludf.DUMMYFUNCTION("""COMPUTED_VALUE"""),"")</f>
        <v/>
      </c>
    </row>
    <row r="1923" spans="1:5">
      <c r="A1923" s="12"/>
      <c r="D1923" s="12"/>
      <c r="E1923" s="57" t="str">
        <f ca="1">IFERROR(__xludf.DUMMYFUNCTION("""COMPUTED_VALUE"""),"")</f>
        <v/>
      </c>
    </row>
    <row r="1924" spans="1:5">
      <c r="A1924" s="12" t="s">
        <v>11723</v>
      </c>
      <c r="D1924" s="12"/>
      <c r="E1924" s="57" t="str">
        <f ca="1">IFERROR(__xludf.DUMMYFUNCTION("""COMPUTED_VALUE"""),"")</f>
        <v/>
      </c>
    </row>
    <row r="1925" spans="1:5">
      <c r="A1925" s="59" t="s">
        <v>11724</v>
      </c>
      <c r="D1925" s="12"/>
      <c r="E1925" s="57" t="str">
        <f ca="1">IFERROR(__xludf.DUMMYFUNCTION("""COMPUTED_VALUE"""),"")</f>
        <v/>
      </c>
    </row>
    <row r="1926" spans="1:5">
      <c r="A1926" s="12"/>
      <c r="D1926" s="12"/>
      <c r="E1926" s="57" t="str">
        <f ca="1">IFERROR(__xludf.DUMMYFUNCTION("""COMPUTED_VALUE"""),"")</f>
        <v/>
      </c>
    </row>
    <row r="1927" spans="1:5">
      <c r="A1927" s="12" t="s">
        <v>11725</v>
      </c>
      <c r="D1927" s="12"/>
      <c r="E1927" s="57" t="str">
        <f ca="1">IFERROR(__xludf.DUMMYFUNCTION("""COMPUTED_VALUE"""),"")</f>
        <v/>
      </c>
    </row>
    <row r="1928" spans="1:5">
      <c r="A1928" s="59" t="s">
        <v>11726</v>
      </c>
      <c r="D1928" s="12"/>
      <c r="E1928" s="57" t="str">
        <f ca="1">IFERROR(__xludf.DUMMYFUNCTION("""COMPUTED_VALUE"""),"")</f>
        <v/>
      </c>
    </row>
    <row r="1929" spans="1:5">
      <c r="A1929" s="12"/>
      <c r="D1929" s="12"/>
      <c r="E1929" s="57" t="str">
        <f ca="1">IFERROR(__xludf.DUMMYFUNCTION("""COMPUTED_VALUE"""),"")</f>
        <v/>
      </c>
    </row>
    <row r="1930" spans="1:5">
      <c r="A1930" s="12" t="s">
        <v>11727</v>
      </c>
      <c r="D1930" s="12"/>
      <c r="E1930" s="57" t="str">
        <f ca="1">IFERROR(__xludf.DUMMYFUNCTION("""COMPUTED_VALUE"""),"")</f>
        <v/>
      </c>
    </row>
    <row r="1931" spans="1:5">
      <c r="A1931" s="59" t="s">
        <v>11728</v>
      </c>
      <c r="D1931" s="12"/>
      <c r="E1931" s="57" t="str">
        <f ca="1">IFERROR(__xludf.DUMMYFUNCTION("""COMPUTED_VALUE"""),"")</f>
        <v/>
      </c>
    </row>
    <row r="1932" spans="1:5">
      <c r="A1932" s="12"/>
      <c r="D1932" s="12"/>
      <c r="E1932" s="57" t="str">
        <f ca="1">IFERROR(__xludf.DUMMYFUNCTION("""COMPUTED_VALUE"""),"")</f>
        <v/>
      </c>
    </row>
    <row r="1933" spans="1:5">
      <c r="A1933" s="12" t="s">
        <v>11729</v>
      </c>
      <c r="D1933" s="12"/>
      <c r="E1933" s="57" t="str">
        <f ca="1">IFERROR(__xludf.DUMMYFUNCTION("""COMPUTED_VALUE"""),"")</f>
        <v/>
      </c>
    </row>
    <row r="1934" spans="1:5">
      <c r="A1934" s="59" t="s">
        <v>11730</v>
      </c>
      <c r="D1934" s="12"/>
      <c r="E1934" s="57" t="str">
        <f ca="1">IFERROR(__xludf.DUMMYFUNCTION("""COMPUTED_VALUE"""),"")</f>
        <v/>
      </c>
    </row>
    <row r="1935" spans="1:5">
      <c r="A1935" s="12"/>
      <c r="E1935" s="57" t="str">
        <f ca="1">IFERROR(__xludf.DUMMYFUNCTION("""COMPUTED_VALUE"""),"")</f>
        <v/>
      </c>
    </row>
    <row r="1936" spans="1:5">
      <c r="A1936" s="12" t="s">
        <v>11731</v>
      </c>
      <c r="E1936" s="57" t="str">
        <f ca="1">IFERROR(__xludf.DUMMYFUNCTION("""COMPUTED_VALUE"""),"")</f>
        <v/>
      </c>
    </row>
    <row r="1937" spans="1:5">
      <c r="A1937" s="59" t="s">
        <v>11732</v>
      </c>
      <c r="E1937" s="57" t="str">
        <f ca="1">IFERROR(__xludf.DUMMYFUNCTION("""COMPUTED_VALUE"""),"")</f>
        <v/>
      </c>
    </row>
    <row r="1938" spans="1:5">
      <c r="A1938" s="12"/>
      <c r="E1938" s="57" t="str">
        <f ca="1">IFERROR(__xludf.DUMMYFUNCTION("""COMPUTED_VALUE"""),"")</f>
        <v/>
      </c>
    </row>
    <row r="1939" spans="1:5">
      <c r="A1939" s="12" t="s">
        <v>11733</v>
      </c>
      <c r="E1939" s="57" t="str">
        <f ca="1">IFERROR(__xludf.DUMMYFUNCTION("""COMPUTED_VALUE"""),"")</f>
        <v/>
      </c>
    </row>
    <row r="1940" spans="1:5">
      <c r="A1940" s="59" t="s">
        <v>11734</v>
      </c>
      <c r="E1940" s="57" t="str">
        <f ca="1">IFERROR(__xludf.DUMMYFUNCTION("""COMPUTED_VALUE"""),"")</f>
        <v/>
      </c>
    </row>
    <row r="1941" spans="1:5">
      <c r="A1941" s="12"/>
      <c r="E1941" s="57" t="str">
        <f ca="1">IFERROR(__xludf.DUMMYFUNCTION("""COMPUTED_VALUE"""),"")</f>
        <v/>
      </c>
    </row>
    <row r="1942" spans="1:5">
      <c r="A1942" s="12" t="s">
        <v>11735</v>
      </c>
      <c r="E1942" s="57" t="str">
        <f ca="1">IFERROR(__xludf.DUMMYFUNCTION("""COMPUTED_VALUE"""),"")</f>
        <v/>
      </c>
    </row>
    <row r="1943" spans="1:5">
      <c r="A1943" s="59" t="s">
        <v>11736</v>
      </c>
      <c r="E1943" s="57" t="str">
        <f ca="1">IFERROR(__xludf.DUMMYFUNCTION("""COMPUTED_VALUE"""),"")</f>
        <v/>
      </c>
    </row>
    <row r="1944" spans="1:5">
      <c r="A1944" s="12"/>
      <c r="E1944" s="57" t="str">
        <f ca="1">IFERROR(__xludf.DUMMYFUNCTION("""COMPUTED_VALUE"""),"")</f>
        <v/>
      </c>
    </row>
    <row r="1945" spans="1:5">
      <c r="A1945" s="12" t="s">
        <v>11737</v>
      </c>
      <c r="E1945" s="57" t="str">
        <f ca="1">IFERROR(__xludf.DUMMYFUNCTION("""COMPUTED_VALUE"""),"")</f>
        <v/>
      </c>
    </row>
    <row r="1946" spans="1:5">
      <c r="A1946" s="59" t="s">
        <v>11738</v>
      </c>
      <c r="E1946" s="57" t="str">
        <f ca="1">IFERROR(__xludf.DUMMYFUNCTION("""COMPUTED_VALUE"""),"")</f>
        <v/>
      </c>
    </row>
    <row r="1947" spans="1:5">
      <c r="A1947" s="12"/>
      <c r="E1947" s="57" t="str">
        <f ca="1">IFERROR(__xludf.DUMMYFUNCTION("""COMPUTED_VALUE"""),"")</f>
        <v/>
      </c>
    </row>
    <row r="1948" spans="1:5">
      <c r="A1948" s="12" t="s">
        <v>11739</v>
      </c>
      <c r="E1948" s="57" t="str">
        <f ca="1">IFERROR(__xludf.DUMMYFUNCTION("""COMPUTED_VALUE"""),"")</f>
        <v/>
      </c>
    </row>
    <row r="1949" spans="1:5">
      <c r="A1949" s="59" t="s">
        <v>11740</v>
      </c>
      <c r="E1949" s="57" t="str">
        <f ca="1">IFERROR(__xludf.DUMMYFUNCTION("""COMPUTED_VALUE"""),"")</f>
        <v/>
      </c>
    </row>
    <row r="1950" spans="1:5">
      <c r="A1950" s="12"/>
      <c r="E1950" s="57" t="str">
        <f ca="1">IFERROR(__xludf.DUMMYFUNCTION("""COMPUTED_VALUE"""),"")</f>
        <v/>
      </c>
    </row>
    <row r="1951" spans="1:5">
      <c r="A1951" s="12" t="s">
        <v>11741</v>
      </c>
      <c r="E1951" s="57" t="str">
        <f ca="1">IFERROR(__xludf.DUMMYFUNCTION("""COMPUTED_VALUE"""),"")</f>
        <v/>
      </c>
    </row>
    <row r="1952" spans="1:5">
      <c r="A1952" s="59" t="s">
        <v>11742</v>
      </c>
      <c r="E1952" s="57" t="str">
        <f ca="1">IFERROR(__xludf.DUMMYFUNCTION("""COMPUTED_VALUE"""),"")</f>
        <v/>
      </c>
    </row>
    <row r="1953" spans="1:5">
      <c r="A1953" s="12"/>
      <c r="E1953" s="57" t="str">
        <f ca="1">IFERROR(__xludf.DUMMYFUNCTION("""COMPUTED_VALUE"""),"")</f>
        <v/>
      </c>
    </row>
    <row r="1954" spans="1:5">
      <c r="A1954" s="12" t="s">
        <v>11743</v>
      </c>
      <c r="E1954" s="57" t="str">
        <f ca="1">IFERROR(__xludf.DUMMYFUNCTION("""COMPUTED_VALUE"""),"")</f>
        <v/>
      </c>
    </row>
    <row r="1955" spans="1:5">
      <c r="A1955" s="59" t="s">
        <v>11744</v>
      </c>
      <c r="E1955" s="57" t="str">
        <f ca="1">IFERROR(__xludf.DUMMYFUNCTION("""COMPUTED_VALUE"""),"")</f>
        <v/>
      </c>
    </row>
    <row r="1956" spans="1:5">
      <c r="A1956" s="12"/>
      <c r="E1956" s="57" t="str">
        <f ca="1">IFERROR(__xludf.DUMMYFUNCTION("""COMPUTED_VALUE"""),"")</f>
        <v/>
      </c>
    </row>
    <row r="1957" spans="1:5">
      <c r="A1957" s="12" t="s">
        <v>11745</v>
      </c>
      <c r="E1957" s="57" t="str">
        <f ca="1">IFERROR(__xludf.DUMMYFUNCTION("""COMPUTED_VALUE"""),"")</f>
        <v/>
      </c>
    </row>
    <row r="1958" spans="1:5">
      <c r="A1958" s="59" t="s">
        <v>11746</v>
      </c>
      <c r="E1958" s="57" t="str">
        <f ca="1">IFERROR(__xludf.DUMMYFUNCTION("""COMPUTED_VALUE"""),"")</f>
        <v/>
      </c>
    </row>
    <row r="1959" spans="1:5">
      <c r="A1959" s="12"/>
      <c r="E1959" s="57" t="str">
        <f ca="1">IFERROR(__xludf.DUMMYFUNCTION("""COMPUTED_VALUE"""),"")</f>
        <v/>
      </c>
    </row>
    <row r="1960" spans="1:5">
      <c r="A1960" s="12" t="s">
        <v>11747</v>
      </c>
      <c r="E1960" s="57" t="str">
        <f ca="1">IFERROR(__xludf.DUMMYFUNCTION("""COMPUTED_VALUE"""),"")</f>
        <v/>
      </c>
    </row>
    <row r="1961" spans="1:5">
      <c r="A1961" s="59" t="s">
        <v>11748</v>
      </c>
      <c r="E1961" s="57" t="str">
        <f ca="1">IFERROR(__xludf.DUMMYFUNCTION("""COMPUTED_VALUE"""),"")</f>
        <v/>
      </c>
    </row>
    <row r="1962" spans="1:5">
      <c r="A1962" s="12"/>
      <c r="E1962" s="57" t="str">
        <f ca="1">IFERROR(__xludf.DUMMYFUNCTION("""COMPUTED_VALUE"""),"")</f>
        <v/>
      </c>
    </row>
    <row r="1963" spans="1:5">
      <c r="A1963" s="12" t="s">
        <v>11749</v>
      </c>
      <c r="E1963" s="57" t="str">
        <f ca="1">IFERROR(__xludf.DUMMYFUNCTION("""COMPUTED_VALUE"""),"")</f>
        <v/>
      </c>
    </row>
    <row r="1964" spans="1:5">
      <c r="A1964" s="59" t="s">
        <v>11750</v>
      </c>
      <c r="E1964" s="57" t="str">
        <f ca="1">IFERROR(__xludf.DUMMYFUNCTION("""COMPUTED_VALUE"""),"")</f>
        <v/>
      </c>
    </row>
    <row r="1965" spans="1:5">
      <c r="A1965" s="12"/>
      <c r="E1965" s="57" t="str">
        <f ca="1">IFERROR(__xludf.DUMMYFUNCTION("""COMPUTED_VALUE"""),"")</f>
        <v/>
      </c>
    </row>
    <row r="1966" spans="1:5">
      <c r="A1966" s="12" t="s">
        <v>11751</v>
      </c>
      <c r="E1966" s="57" t="str">
        <f ca="1">IFERROR(__xludf.DUMMYFUNCTION("""COMPUTED_VALUE"""),"")</f>
        <v/>
      </c>
    </row>
    <row r="1967" spans="1:5">
      <c r="A1967" s="59" t="s">
        <v>11752</v>
      </c>
      <c r="E1967" s="57" t="str">
        <f ca="1">IFERROR(__xludf.DUMMYFUNCTION("""COMPUTED_VALUE"""),"")</f>
        <v/>
      </c>
    </row>
    <row r="1968" spans="1:5">
      <c r="A1968" s="12"/>
      <c r="E1968" s="57" t="str">
        <f ca="1">IFERROR(__xludf.DUMMYFUNCTION("""COMPUTED_VALUE"""),"")</f>
        <v/>
      </c>
    </row>
    <row r="1969" spans="1:5">
      <c r="A1969" s="12" t="s">
        <v>11753</v>
      </c>
      <c r="E1969" s="57" t="str">
        <f ca="1">IFERROR(__xludf.DUMMYFUNCTION("""COMPUTED_VALUE"""),"")</f>
        <v/>
      </c>
    </row>
    <row r="1970" spans="1:5">
      <c r="A1970" s="59" t="s">
        <v>11754</v>
      </c>
      <c r="E1970" s="57" t="str">
        <f ca="1">IFERROR(__xludf.DUMMYFUNCTION("""COMPUTED_VALUE"""),"")</f>
        <v/>
      </c>
    </row>
    <row r="1971" spans="1:5">
      <c r="A1971" s="12"/>
      <c r="E1971" s="57" t="str">
        <f ca="1">IFERROR(__xludf.DUMMYFUNCTION("""COMPUTED_VALUE"""),"")</f>
        <v/>
      </c>
    </row>
    <row r="1972" spans="1:5">
      <c r="A1972" s="12" t="s">
        <v>11755</v>
      </c>
      <c r="E1972" s="57" t="str">
        <f ca="1">IFERROR(__xludf.DUMMYFUNCTION("""COMPUTED_VALUE"""),"")</f>
        <v/>
      </c>
    </row>
    <row r="1973" spans="1:5">
      <c r="A1973" s="59" t="s">
        <v>11756</v>
      </c>
      <c r="E1973" s="57" t="str">
        <f ca="1">IFERROR(__xludf.DUMMYFUNCTION("""COMPUTED_VALUE"""),"")</f>
        <v/>
      </c>
    </row>
    <row r="1974" spans="1:5">
      <c r="A1974" s="12"/>
      <c r="E1974" s="57" t="str">
        <f ca="1">IFERROR(__xludf.DUMMYFUNCTION("""COMPUTED_VALUE"""),"")</f>
        <v/>
      </c>
    </row>
    <row r="1975" spans="1:5">
      <c r="A1975" s="12" t="s">
        <v>11757</v>
      </c>
      <c r="E1975" s="57" t="str">
        <f ca="1">IFERROR(__xludf.DUMMYFUNCTION("""COMPUTED_VALUE"""),"")</f>
        <v/>
      </c>
    </row>
    <row r="1976" spans="1:5">
      <c r="A1976" s="59" t="s">
        <v>11758</v>
      </c>
      <c r="E1976" s="57" t="str">
        <f ca="1">IFERROR(__xludf.DUMMYFUNCTION("""COMPUTED_VALUE"""),"")</f>
        <v/>
      </c>
    </row>
    <row r="1977" spans="1:5">
      <c r="A1977" s="12"/>
      <c r="E1977" s="57" t="str">
        <f ca="1">IFERROR(__xludf.DUMMYFUNCTION("""COMPUTED_VALUE"""),"")</f>
        <v/>
      </c>
    </row>
    <row r="1978" spans="1:5">
      <c r="A1978" s="12" t="s">
        <v>11759</v>
      </c>
      <c r="E1978" s="57" t="str">
        <f ca="1">IFERROR(__xludf.DUMMYFUNCTION("""COMPUTED_VALUE"""),"")</f>
        <v/>
      </c>
    </row>
    <row r="1979" spans="1:5">
      <c r="A1979" s="59" t="s">
        <v>11760</v>
      </c>
      <c r="E1979" s="57" t="str">
        <f ca="1">IFERROR(__xludf.DUMMYFUNCTION("""COMPUTED_VALUE"""),"")</f>
        <v/>
      </c>
    </row>
    <row r="1980" spans="1:5">
      <c r="A1980" s="12"/>
      <c r="E1980" s="57" t="str">
        <f ca="1">IFERROR(__xludf.DUMMYFUNCTION("""COMPUTED_VALUE"""),"")</f>
        <v/>
      </c>
    </row>
    <row r="1981" spans="1:5">
      <c r="A1981" s="12" t="s">
        <v>11761</v>
      </c>
      <c r="E1981" s="57" t="str">
        <f ca="1">IFERROR(__xludf.DUMMYFUNCTION("""COMPUTED_VALUE"""),"")</f>
        <v/>
      </c>
    </row>
    <row r="1982" spans="1:5">
      <c r="A1982" s="59" t="s">
        <v>11762</v>
      </c>
      <c r="E1982" s="57" t="str">
        <f ca="1">IFERROR(__xludf.DUMMYFUNCTION("""COMPUTED_VALUE"""),"")</f>
        <v/>
      </c>
    </row>
    <row r="1983" spans="1:5">
      <c r="A1983" s="12"/>
      <c r="E1983" s="57" t="str">
        <f ca="1">IFERROR(__xludf.DUMMYFUNCTION("""COMPUTED_VALUE"""),"")</f>
        <v/>
      </c>
    </row>
    <row r="1984" spans="1:5">
      <c r="A1984" s="12" t="s">
        <v>11763</v>
      </c>
      <c r="E1984" s="57" t="str">
        <f ca="1">IFERROR(__xludf.DUMMYFUNCTION("""COMPUTED_VALUE"""),"")</f>
        <v/>
      </c>
    </row>
    <row r="1985" spans="1:5">
      <c r="A1985" s="59" t="s">
        <v>11764</v>
      </c>
      <c r="E1985" s="57" t="str">
        <f ca="1">IFERROR(__xludf.DUMMYFUNCTION("""COMPUTED_VALUE"""),"")</f>
        <v/>
      </c>
    </row>
    <row r="1986" spans="1:5">
      <c r="A1986" s="12"/>
      <c r="E1986" s="57" t="str">
        <f ca="1">IFERROR(__xludf.DUMMYFUNCTION("""COMPUTED_VALUE"""),"")</f>
        <v/>
      </c>
    </row>
    <row r="1987" spans="1:5">
      <c r="A1987" s="12" t="s">
        <v>11765</v>
      </c>
      <c r="E1987" s="57" t="str">
        <f ca="1">IFERROR(__xludf.DUMMYFUNCTION("""COMPUTED_VALUE"""),"")</f>
        <v/>
      </c>
    </row>
    <row r="1988" spans="1:5">
      <c r="A1988" s="59" t="s">
        <v>11766</v>
      </c>
      <c r="E1988" s="57" t="str">
        <f ca="1">IFERROR(__xludf.DUMMYFUNCTION("""COMPUTED_VALUE"""),"")</f>
        <v/>
      </c>
    </row>
    <row r="1989" spans="1:5">
      <c r="A1989" s="12"/>
      <c r="E1989" s="57" t="str">
        <f ca="1">IFERROR(__xludf.DUMMYFUNCTION("""COMPUTED_VALUE"""),"")</f>
        <v/>
      </c>
    </row>
    <row r="1990" spans="1:5">
      <c r="A1990" s="12" t="s">
        <v>11767</v>
      </c>
      <c r="E1990" s="57" t="str">
        <f ca="1">IFERROR(__xludf.DUMMYFUNCTION("""COMPUTED_VALUE"""),"")</f>
        <v/>
      </c>
    </row>
    <row r="1991" spans="1:5">
      <c r="A1991" s="59" t="s">
        <v>11768</v>
      </c>
      <c r="E1991" s="57" t="str">
        <f ca="1">IFERROR(__xludf.DUMMYFUNCTION("""COMPUTED_VALUE"""),"")</f>
        <v/>
      </c>
    </row>
    <row r="1992" spans="1:5">
      <c r="A1992" s="12"/>
      <c r="E1992" s="57" t="str">
        <f ca="1">IFERROR(__xludf.DUMMYFUNCTION("""COMPUTED_VALUE"""),"")</f>
        <v/>
      </c>
    </row>
    <row r="1993" spans="1:5">
      <c r="A1993" s="12" t="s">
        <v>11769</v>
      </c>
      <c r="E1993" s="57" t="str">
        <f ca="1">IFERROR(__xludf.DUMMYFUNCTION("""COMPUTED_VALUE"""),"")</f>
        <v/>
      </c>
    </row>
    <row r="1994" spans="1:5">
      <c r="A1994" s="59" t="s">
        <v>11770</v>
      </c>
      <c r="E1994" s="57" t="str">
        <f ca="1">IFERROR(__xludf.DUMMYFUNCTION("""COMPUTED_VALUE"""),"")</f>
        <v/>
      </c>
    </row>
    <row r="1995" spans="1:5">
      <c r="A1995" s="12"/>
      <c r="E1995" s="57" t="str">
        <f ca="1">IFERROR(__xludf.DUMMYFUNCTION("""COMPUTED_VALUE"""),"")</f>
        <v/>
      </c>
    </row>
    <row r="1996" spans="1:5">
      <c r="A1996" s="12" t="s">
        <v>11771</v>
      </c>
      <c r="E1996" s="57" t="str">
        <f ca="1">IFERROR(__xludf.DUMMYFUNCTION("""COMPUTED_VALUE"""),"")</f>
        <v/>
      </c>
    </row>
    <row r="1997" spans="1:5">
      <c r="A1997" s="59" t="s">
        <v>11772</v>
      </c>
      <c r="E1997" s="57" t="str">
        <f ca="1">IFERROR(__xludf.DUMMYFUNCTION("""COMPUTED_VALUE"""),"")</f>
        <v/>
      </c>
    </row>
    <row r="1998" spans="1:5">
      <c r="A1998" s="12"/>
      <c r="E1998" s="57" t="str">
        <f ca="1">IFERROR(__xludf.DUMMYFUNCTION("""COMPUTED_VALUE"""),"")</f>
        <v/>
      </c>
    </row>
    <row r="1999" spans="1:5">
      <c r="A1999" s="12" t="s">
        <v>11773</v>
      </c>
      <c r="E1999" s="57" t="str">
        <f ca="1">IFERROR(__xludf.DUMMYFUNCTION("""COMPUTED_VALUE"""),"")</f>
        <v/>
      </c>
    </row>
    <row r="2000" spans="1:5">
      <c r="A2000" s="59" t="s">
        <v>11774</v>
      </c>
      <c r="E2000" s="57" t="str">
        <f ca="1">IFERROR(__xludf.DUMMYFUNCTION("""COMPUTED_VALUE"""),"")</f>
        <v/>
      </c>
    </row>
    <row r="2001" spans="1:5">
      <c r="A2001" s="12"/>
      <c r="E2001" s="57" t="str">
        <f ca="1">IFERROR(__xludf.DUMMYFUNCTION("""COMPUTED_VALUE"""),"")</f>
        <v/>
      </c>
    </row>
    <row r="2002" spans="1:5">
      <c r="A2002" s="12" t="s">
        <v>11775</v>
      </c>
      <c r="E2002" s="57" t="str">
        <f ca="1">IFERROR(__xludf.DUMMYFUNCTION("""COMPUTED_VALUE"""),"")</f>
        <v/>
      </c>
    </row>
    <row r="2003" spans="1:5">
      <c r="A2003" s="59" t="s">
        <v>11776</v>
      </c>
      <c r="E2003" s="57" t="str">
        <f ca="1">IFERROR(__xludf.DUMMYFUNCTION("""COMPUTED_VALUE"""),"")</f>
        <v/>
      </c>
    </row>
    <row r="2004" spans="1:5">
      <c r="A2004" s="12"/>
      <c r="E2004" s="57" t="str">
        <f ca="1">IFERROR(__xludf.DUMMYFUNCTION("""COMPUTED_VALUE"""),"")</f>
        <v/>
      </c>
    </row>
    <row r="2005" spans="1:5">
      <c r="A2005" s="12" t="s">
        <v>11777</v>
      </c>
      <c r="E2005" s="57" t="str">
        <f ca="1">IFERROR(__xludf.DUMMYFUNCTION("""COMPUTED_VALUE"""),"")</f>
        <v/>
      </c>
    </row>
    <row r="2006" spans="1:5">
      <c r="A2006" s="59" t="s">
        <v>11778</v>
      </c>
      <c r="E2006" s="57" t="str">
        <f ca="1">IFERROR(__xludf.DUMMYFUNCTION("""COMPUTED_VALUE"""),"")</f>
        <v/>
      </c>
    </row>
    <row r="2007" spans="1:5">
      <c r="A2007" s="12"/>
      <c r="E2007" s="57" t="str">
        <f ca="1">IFERROR(__xludf.DUMMYFUNCTION("""COMPUTED_VALUE"""),"")</f>
        <v/>
      </c>
    </row>
    <row r="2008" spans="1:5">
      <c r="A2008" s="12" t="s">
        <v>11779</v>
      </c>
      <c r="E2008" s="57" t="str">
        <f ca="1">IFERROR(__xludf.DUMMYFUNCTION("""COMPUTED_VALUE"""),"")</f>
        <v/>
      </c>
    </row>
    <row r="2009" spans="1:5">
      <c r="A2009" s="59" t="s">
        <v>11780</v>
      </c>
      <c r="E2009" s="57" t="str">
        <f ca="1">IFERROR(__xludf.DUMMYFUNCTION("""COMPUTED_VALUE"""),"")</f>
        <v/>
      </c>
    </row>
    <row r="2010" spans="1:5">
      <c r="A2010" s="12"/>
      <c r="E2010" s="57" t="str">
        <f ca="1">IFERROR(__xludf.DUMMYFUNCTION("""COMPUTED_VALUE"""),"")</f>
        <v/>
      </c>
    </row>
    <row r="2011" spans="1:5">
      <c r="A2011" s="12" t="s">
        <v>11781</v>
      </c>
      <c r="E2011" s="57" t="str">
        <f ca="1">IFERROR(__xludf.DUMMYFUNCTION("""COMPUTED_VALUE"""),"")</f>
        <v/>
      </c>
    </row>
    <row r="2012" spans="1:5">
      <c r="A2012" s="59" t="s">
        <v>11782</v>
      </c>
      <c r="E2012" s="57" t="str">
        <f ca="1">IFERROR(__xludf.DUMMYFUNCTION("""COMPUTED_VALUE"""),"")</f>
        <v/>
      </c>
    </row>
    <row r="2013" spans="1:5">
      <c r="A2013" s="12"/>
      <c r="E2013" s="57" t="str">
        <f ca="1">IFERROR(__xludf.DUMMYFUNCTION("""COMPUTED_VALUE"""),"")</f>
        <v/>
      </c>
    </row>
    <row r="2014" spans="1:5">
      <c r="A2014" s="12" t="s">
        <v>11783</v>
      </c>
      <c r="E2014" s="57" t="str">
        <f ca="1">IFERROR(__xludf.DUMMYFUNCTION("""COMPUTED_VALUE"""),"")</f>
        <v/>
      </c>
    </row>
    <row r="2015" spans="1:5">
      <c r="A2015" s="59" t="s">
        <v>11784</v>
      </c>
      <c r="E2015" s="57" t="str">
        <f ca="1">IFERROR(__xludf.DUMMYFUNCTION("""COMPUTED_VALUE"""),"")</f>
        <v/>
      </c>
    </row>
    <row r="2016" spans="1:5">
      <c r="A2016" s="12"/>
      <c r="E2016" s="57" t="str">
        <f ca="1">IFERROR(__xludf.DUMMYFUNCTION("""COMPUTED_VALUE"""),"")</f>
        <v/>
      </c>
    </row>
    <row r="2017" spans="1:5">
      <c r="A2017" s="12" t="s">
        <v>11785</v>
      </c>
      <c r="E2017" s="57" t="str">
        <f ca="1">IFERROR(__xludf.DUMMYFUNCTION("""COMPUTED_VALUE"""),"")</f>
        <v/>
      </c>
    </row>
    <row r="2018" spans="1:5">
      <c r="A2018" s="59" t="s">
        <v>11786</v>
      </c>
      <c r="E2018" s="57" t="str">
        <f ca="1">IFERROR(__xludf.DUMMYFUNCTION("""COMPUTED_VALUE"""),"")</f>
        <v/>
      </c>
    </row>
    <row r="2019" spans="1:5">
      <c r="A2019" s="12"/>
      <c r="E2019" s="57" t="str">
        <f ca="1">IFERROR(__xludf.DUMMYFUNCTION("""COMPUTED_VALUE"""),"")</f>
        <v/>
      </c>
    </row>
    <row r="2020" spans="1:5">
      <c r="A2020" s="12" t="s">
        <v>11787</v>
      </c>
      <c r="E2020" s="57" t="str">
        <f ca="1">IFERROR(__xludf.DUMMYFUNCTION("""COMPUTED_VALUE"""),"")</f>
        <v/>
      </c>
    </row>
    <row r="2021" spans="1:5">
      <c r="A2021" s="59" t="s">
        <v>11788</v>
      </c>
      <c r="E2021" s="57" t="str">
        <f ca="1">IFERROR(__xludf.DUMMYFUNCTION("""COMPUTED_VALUE"""),"")</f>
        <v/>
      </c>
    </row>
    <row r="2022" spans="1:5">
      <c r="A2022" s="12"/>
      <c r="E2022" s="57" t="str">
        <f ca="1">IFERROR(__xludf.DUMMYFUNCTION("""COMPUTED_VALUE"""),"")</f>
        <v/>
      </c>
    </row>
    <row r="2023" spans="1:5">
      <c r="A2023" s="12" t="s">
        <v>11789</v>
      </c>
      <c r="E2023" s="57" t="str">
        <f ca="1">IFERROR(__xludf.DUMMYFUNCTION("""COMPUTED_VALUE"""),"")</f>
        <v/>
      </c>
    </row>
    <row r="2024" spans="1:5">
      <c r="A2024" s="59" t="s">
        <v>11790</v>
      </c>
      <c r="E2024" s="57" t="str">
        <f ca="1">IFERROR(__xludf.DUMMYFUNCTION("""COMPUTED_VALUE"""),"")</f>
        <v/>
      </c>
    </row>
    <row r="2025" spans="1:5">
      <c r="A2025" s="12"/>
      <c r="E2025" s="57" t="str">
        <f ca="1">IFERROR(__xludf.DUMMYFUNCTION("""COMPUTED_VALUE"""),"")</f>
        <v/>
      </c>
    </row>
    <row r="2026" spans="1:5">
      <c r="A2026" s="12" t="s">
        <v>11791</v>
      </c>
      <c r="E2026" s="57" t="str">
        <f ca="1">IFERROR(__xludf.DUMMYFUNCTION("""COMPUTED_VALUE"""),"")</f>
        <v/>
      </c>
    </row>
    <row r="2027" spans="1:5">
      <c r="A2027" s="59" t="s">
        <v>11792</v>
      </c>
      <c r="E2027" s="57" t="str">
        <f ca="1">IFERROR(__xludf.DUMMYFUNCTION("""COMPUTED_VALUE"""),"")</f>
        <v/>
      </c>
    </row>
    <row r="2028" spans="1:5">
      <c r="A2028" s="12"/>
      <c r="E2028" s="57" t="str">
        <f ca="1">IFERROR(__xludf.DUMMYFUNCTION("""COMPUTED_VALUE"""),"")</f>
        <v/>
      </c>
    </row>
    <row r="2029" spans="1:5">
      <c r="A2029" s="12" t="s">
        <v>11793</v>
      </c>
      <c r="E2029" s="57" t="str">
        <f ca="1">IFERROR(__xludf.DUMMYFUNCTION("""COMPUTED_VALUE"""),"")</f>
        <v/>
      </c>
    </row>
    <row r="2030" spans="1:5">
      <c r="A2030" s="59" t="s">
        <v>11794</v>
      </c>
      <c r="E2030" s="57" t="str">
        <f ca="1">IFERROR(__xludf.DUMMYFUNCTION("""COMPUTED_VALUE"""),"")</f>
        <v/>
      </c>
    </row>
    <row r="2031" spans="1:5">
      <c r="A2031" s="12"/>
      <c r="E2031" s="57" t="str">
        <f ca="1">IFERROR(__xludf.DUMMYFUNCTION("""COMPUTED_VALUE"""),"")</f>
        <v/>
      </c>
    </row>
    <row r="2032" spans="1:5">
      <c r="A2032" s="12" t="s">
        <v>11795</v>
      </c>
      <c r="E2032" s="57" t="str">
        <f ca="1">IFERROR(__xludf.DUMMYFUNCTION("""COMPUTED_VALUE"""),"")</f>
        <v/>
      </c>
    </row>
    <row r="2033" spans="1:5">
      <c r="A2033" s="59" t="s">
        <v>11796</v>
      </c>
      <c r="E2033" s="57" t="str">
        <f ca="1">IFERROR(__xludf.DUMMYFUNCTION("""COMPUTED_VALUE"""),"")</f>
        <v/>
      </c>
    </row>
    <row r="2034" spans="1:5">
      <c r="A2034" s="12"/>
      <c r="E2034" s="57" t="str">
        <f ca="1">IFERROR(__xludf.DUMMYFUNCTION("""COMPUTED_VALUE"""),"")</f>
        <v/>
      </c>
    </row>
    <row r="2035" spans="1:5">
      <c r="A2035" s="12" t="s">
        <v>11797</v>
      </c>
      <c r="E2035" s="57" t="str">
        <f ca="1">IFERROR(__xludf.DUMMYFUNCTION("""COMPUTED_VALUE"""),"")</f>
        <v/>
      </c>
    </row>
    <row r="2036" spans="1:5">
      <c r="A2036" s="59" t="s">
        <v>11798</v>
      </c>
      <c r="E2036" s="57" t="str">
        <f ca="1">IFERROR(__xludf.DUMMYFUNCTION("""COMPUTED_VALUE"""),"")</f>
        <v/>
      </c>
    </row>
    <row r="2037" spans="1:5">
      <c r="A2037" s="12"/>
      <c r="E2037" s="57" t="str">
        <f ca="1">IFERROR(__xludf.DUMMYFUNCTION("""COMPUTED_VALUE"""),"")</f>
        <v/>
      </c>
    </row>
    <row r="2038" spans="1:5">
      <c r="A2038" s="12" t="s">
        <v>11799</v>
      </c>
      <c r="E2038" s="57" t="str">
        <f ca="1">IFERROR(__xludf.DUMMYFUNCTION("""COMPUTED_VALUE"""),"")</f>
        <v/>
      </c>
    </row>
    <row r="2039" spans="1:5">
      <c r="A2039" s="59" t="s">
        <v>11800</v>
      </c>
      <c r="E2039" s="57" t="str">
        <f ca="1">IFERROR(__xludf.DUMMYFUNCTION("""COMPUTED_VALUE"""),"")</f>
        <v/>
      </c>
    </row>
    <row r="2040" spans="1:5">
      <c r="A2040" s="12"/>
      <c r="E2040" s="57" t="str">
        <f ca="1">IFERROR(__xludf.DUMMYFUNCTION("""COMPUTED_VALUE"""),"")</f>
        <v/>
      </c>
    </row>
    <row r="2041" spans="1:5">
      <c r="A2041" s="12" t="s">
        <v>11801</v>
      </c>
      <c r="E2041" s="57" t="str">
        <f ca="1">IFERROR(__xludf.DUMMYFUNCTION("""COMPUTED_VALUE"""),"")</f>
        <v/>
      </c>
    </row>
    <row r="2042" spans="1:5">
      <c r="A2042" s="59" t="s">
        <v>11802</v>
      </c>
      <c r="E2042" s="57" t="str">
        <f ca="1">IFERROR(__xludf.DUMMYFUNCTION("""COMPUTED_VALUE"""),"")</f>
        <v/>
      </c>
    </row>
    <row r="2043" spans="1:5">
      <c r="A2043" s="12"/>
      <c r="E2043" s="57" t="str">
        <f ca="1">IFERROR(__xludf.DUMMYFUNCTION("""COMPUTED_VALUE"""),"")</f>
        <v/>
      </c>
    </row>
    <row r="2044" spans="1:5">
      <c r="A2044" s="12" t="s">
        <v>11803</v>
      </c>
      <c r="E2044" s="57" t="str">
        <f ca="1">IFERROR(__xludf.DUMMYFUNCTION("""COMPUTED_VALUE"""),"")</f>
        <v/>
      </c>
    </row>
    <row r="2045" spans="1:5">
      <c r="A2045" s="59" t="s">
        <v>11804</v>
      </c>
      <c r="E2045" s="57" t="str">
        <f ca="1">IFERROR(__xludf.DUMMYFUNCTION("""COMPUTED_VALUE"""),"")</f>
        <v/>
      </c>
    </row>
    <row r="2046" spans="1:5">
      <c r="A2046" s="12"/>
      <c r="E2046" s="57" t="str">
        <f ca="1">IFERROR(__xludf.DUMMYFUNCTION("""COMPUTED_VALUE"""),"")</f>
        <v/>
      </c>
    </row>
    <row r="2047" spans="1:5">
      <c r="A2047" s="12" t="s">
        <v>11805</v>
      </c>
      <c r="E2047" s="57" t="str">
        <f ca="1">IFERROR(__xludf.DUMMYFUNCTION("""COMPUTED_VALUE"""),"")</f>
        <v/>
      </c>
    </row>
    <row r="2048" spans="1:5">
      <c r="A2048" s="59" t="s">
        <v>11806</v>
      </c>
      <c r="E2048" s="57" t="str">
        <f ca="1">IFERROR(__xludf.DUMMYFUNCTION("""COMPUTED_VALUE"""),"")</f>
        <v/>
      </c>
    </row>
    <row r="2049" spans="1:5">
      <c r="A2049" s="12"/>
      <c r="E2049" s="57" t="str">
        <f ca="1">IFERROR(__xludf.DUMMYFUNCTION("""COMPUTED_VALUE"""),"")</f>
        <v/>
      </c>
    </row>
    <row r="2050" spans="1:5">
      <c r="A2050" s="12" t="s">
        <v>11807</v>
      </c>
      <c r="E2050" s="57" t="str">
        <f ca="1">IFERROR(__xludf.DUMMYFUNCTION("""COMPUTED_VALUE"""),"")</f>
        <v/>
      </c>
    </row>
    <row r="2051" spans="1:5">
      <c r="A2051" s="59" t="s">
        <v>11808</v>
      </c>
      <c r="E2051" s="57" t="str">
        <f ca="1">IFERROR(__xludf.DUMMYFUNCTION("""COMPUTED_VALUE"""),"")</f>
        <v/>
      </c>
    </row>
    <row r="2052" spans="1:5">
      <c r="A2052" s="12"/>
      <c r="E2052" s="57" t="str">
        <f ca="1">IFERROR(__xludf.DUMMYFUNCTION("""COMPUTED_VALUE"""),"")</f>
        <v/>
      </c>
    </row>
    <row r="2053" spans="1:5">
      <c r="A2053" s="12" t="s">
        <v>11809</v>
      </c>
      <c r="E2053" s="57" t="str">
        <f ca="1">IFERROR(__xludf.DUMMYFUNCTION("""COMPUTED_VALUE"""),"")</f>
        <v/>
      </c>
    </row>
    <row r="2054" spans="1:5">
      <c r="A2054" s="59" t="s">
        <v>11810</v>
      </c>
      <c r="E2054" s="57" t="str">
        <f ca="1">IFERROR(__xludf.DUMMYFUNCTION("""COMPUTED_VALUE"""),"")</f>
        <v/>
      </c>
    </row>
    <row r="2055" spans="1:5">
      <c r="A2055" s="12"/>
      <c r="E2055" s="57" t="str">
        <f ca="1">IFERROR(__xludf.DUMMYFUNCTION("""COMPUTED_VALUE"""),"")</f>
        <v/>
      </c>
    </row>
    <row r="2056" spans="1:5">
      <c r="A2056" s="12" t="s">
        <v>11811</v>
      </c>
      <c r="E2056" s="57" t="str">
        <f ca="1">IFERROR(__xludf.DUMMYFUNCTION("""COMPUTED_VALUE"""),"")</f>
        <v/>
      </c>
    </row>
    <row r="2057" spans="1:5">
      <c r="A2057" s="59" t="s">
        <v>11812</v>
      </c>
      <c r="E2057" s="57" t="str">
        <f ca="1">IFERROR(__xludf.DUMMYFUNCTION("""COMPUTED_VALUE"""),"")</f>
        <v/>
      </c>
    </row>
    <row r="2058" spans="1:5">
      <c r="A2058" s="12"/>
      <c r="E2058" s="57" t="str">
        <f ca="1">IFERROR(__xludf.DUMMYFUNCTION("""COMPUTED_VALUE"""),"")</f>
        <v/>
      </c>
    </row>
    <row r="2059" spans="1:5">
      <c r="A2059" s="12" t="s">
        <v>11813</v>
      </c>
      <c r="E2059" s="57" t="str">
        <f ca="1">IFERROR(__xludf.DUMMYFUNCTION("""COMPUTED_VALUE"""),"")</f>
        <v/>
      </c>
    </row>
    <row r="2060" spans="1:5">
      <c r="A2060" s="59" t="s">
        <v>11814</v>
      </c>
      <c r="E2060" s="57" t="str">
        <f ca="1">IFERROR(__xludf.DUMMYFUNCTION("""COMPUTED_VALUE"""),"")</f>
        <v/>
      </c>
    </row>
    <row r="2061" spans="1:5">
      <c r="A2061" s="12"/>
      <c r="E2061" s="57" t="str">
        <f ca="1">IFERROR(__xludf.DUMMYFUNCTION("""COMPUTED_VALUE"""),"")</f>
        <v/>
      </c>
    </row>
    <row r="2062" spans="1:5">
      <c r="A2062" s="12" t="s">
        <v>11815</v>
      </c>
      <c r="E2062" s="57" t="str">
        <f ca="1">IFERROR(__xludf.DUMMYFUNCTION("""COMPUTED_VALUE"""),"")</f>
        <v/>
      </c>
    </row>
    <row r="2063" spans="1:5">
      <c r="A2063" s="59" t="s">
        <v>11816</v>
      </c>
      <c r="E2063" s="57" t="str">
        <f ca="1">IFERROR(__xludf.DUMMYFUNCTION("""COMPUTED_VALUE"""),"")</f>
        <v/>
      </c>
    </row>
    <row r="2064" spans="1:5">
      <c r="A2064" s="12"/>
      <c r="E2064" s="57" t="str">
        <f ca="1">IFERROR(__xludf.DUMMYFUNCTION("""COMPUTED_VALUE"""),"")</f>
        <v/>
      </c>
    </row>
    <row r="2065" spans="1:5">
      <c r="A2065" s="12" t="s">
        <v>11817</v>
      </c>
      <c r="E2065" s="57" t="str">
        <f ca="1">IFERROR(__xludf.DUMMYFUNCTION("""COMPUTED_VALUE"""),"")</f>
        <v/>
      </c>
    </row>
    <row r="2066" spans="1:5">
      <c r="A2066" s="59" t="s">
        <v>11818</v>
      </c>
      <c r="E2066" s="57" t="str">
        <f ca="1">IFERROR(__xludf.DUMMYFUNCTION("""COMPUTED_VALUE"""),"")</f>
        <v/>
      </c>
    </row>
    <row r="2067" spans="1:5">
      <c r="A2067" s="12"/>
      <c r="E2067" s="57" t="str">
        <f ca="1">IFERROR(__xludf.DUMMYFUNCTION("""COMPUTED_VALUE"""),"")</f>
        <v/>
      </c>
    </row>
    <row r="2068" spans="1:5">
      <c r="A2068" s="12" t="s">
        <v>11819</v>
      </c>
      <c r="E2068" s="57" t="str">
        <f ca="1">IFERROR(__xludf.DUMMYFUNCTION("""COMPUTED_VALUE"""),"")</f>
        <v/>
      </c>
    </row>
    <row r="2069" spans="1:5">
      <c r="A2069" s="59" t="s">
        <v>11820</v>
      </c>
      <c r="E2069" s="57" t="str">
        <f ca="1">IFERROR(__xludf.DUMMYFUNCTION("""COMPUTED_VALUE"""),"")</f>
        <v/>
      </c>
    </row>
    <row r="2070" spans="1:5">
      <c r="A2070" s="12"/>
      <c r="E2070" s="57" t="str">
        <f ca="1">IFERROR(__xludf.DUMMYFUNCTION("""COMPUTED_VALUE"""),"")</f>
        <v/>
      </c>
    </row>
    <row r="2071" spans="1:5">
      <c r="A2071" s="12" t="s">
        <v>11821</v>
      </c>
      <c r="E2071" s="57" t="str">
        <f ca="1">IFERROR(__xludf.DUMMYFUNCTION("""COMPUTED_VALUE"""),"")</f>
        <v/>
      </c>
    </row>
    <row r="2072" spans="1:5">
      <c r="A2072" s="59" t="s">
        <v>11822</v>
      </c>
      <c r="E2072" s="57" t="str">
        <f ca="1">IFERROR(__xludf.DUMMYFUNCTION("""COMPUTED_VALUE"""),"")</f>
        <v/>
      </c>
    </row>
    <row r="2073" spans="1:5">
      <c r="A2073" s="12"/>
      <c r="E2073" s="57" t="str">
        <f ca="1">IFERROR(__xludf.DUMMYFUNCTION("""COMPUTED_VALUE"""),"")</f>
        <v/>
      </c>
    </row>
    <row r="2074" spans="1:5">
      <c r="A2074" s="12" t="s">
        <v>11823</v>
      </c>
      <c r="E2074" s="57" t="str">
        <f ca="1">IFERROR(__xludf.DUMMYFUNCTION("""COMPUTED_VALUE"""),"")</f>
        <v/>
      </c>
    </row>
    <row r="2075" spans="1:5">
      <c r="A2075" s="59" t="s">
        <v>11824</v>
      </c>
      <c r="E2075" s="57" t="str">
        <f ca="1">IFERROR(__xludf.DUMMYFUNCTION("""COMPUTED_VALUE"""),"")</f>
        <v/>
      </c>
    </row>
    <row r="2076" spans="1:5">
      <c r="A2076" s="12"/>
      <c r="E2076" s="57" t="str">
        <f ca="1">IFERROR(__xludf.DUMMYFUNCTION("""COMPUTED_VALUE"""),"")</f>
        <v/>
      </c>
    </row>
    <row r="2077" spans="1:5">
      <c r="A2077" s="12" t="s">
        <v>11825</v>
      </c>
      <c r="E2077" s="57" t="str">
        <f ca="1">IFERROR(__xludf.DUMMYFUNCTION("""COMPUTED_VALUE"""),"")</f>
        <v/>
      </c>
    </row>
    <row r="2078" spans="1:5">
      <c r="A2078" s="59" t="s">
        <v>11826</v>
      </c>
      <c r="E2078" s="57" t="str">
        <f ca="1">IFERROR(__xludf.DUMMYFUNCTION("""COMPUTED_VALUE"""),"")</f>
        <v/>
      </c>
    </row>
    <row r="2079" spans="1:5">
      <c r="A2079" s="12"/>
      <c r="E2079" s="57" t="str">
        <f ca="1">IFERROR(__xludf.DUMMYFUNCTION("""COMPUTED_VALUE"""),"")</f>
        <v/>
      </c>
    </row>
    <row r="2080" spans="1:5">
      <c r="A2080" s="12" t="s">
        <v>11827</v>
      </c>
      <c r="E2080" s="57" t="str">
        <f ca="1">IFERROR(__xludf.DUMMYFUNCTION("""COMPUTED_VALUE"""),"")</f>
        <v/>
      </c>
    </row>
    <row r="2081" spans="1:5">
      <c r="A2081" s="59" t="s">
        <v>11828</v>
      </c>
      <c r="E2081" s="57" t="str">
        <f ca="1">IFERROR(__xludf.DUMMYFUNCTION("""COMPUTED_VALUE"""),"")</f>
        <v/>
      </c>
    </row>
    <row r="2082" spans="1:5">
      <c r="A2082" s="12"/>
      <c r="E2082" s="57" t="str">
        <f ca="1">IFERROR(__xludf.DUMMYFUNCTION("""COMPUTED_VALUE"""),"")</f>
        <v/>
      </c>
    </row>
    <row r="2083" spans="1:5">
      <c r="A2083" s="12" t="s">
        <v>11829</v>
      </c>
      <c r="E2083" s="57" t="str">
        <f ca="1">IFERROR(__xludf.DUMMYFUNCTION("""COMPUTED_VALUE"""),"")</f>
        <v/>
      </c>
    </row>
    <row r="2084" spans="1:5">
      <c r="A2084" s="59" t="s">
        <v>11830</v>
      </c>
      <c r="E2084" s="57" t="str">
        <f ca="1">IFERROR(__xludf.DUMMYFUNCTION("""COMPUTED_VALUE"""),"")</f>
        <v/>
      </c>
    </row>
    <row r="2085" spans="1:5">
      <c r="A2085" s="12"/>
      <c r="E2085" s="57" t="str">
        <f ca="1">IFERROR(__xludf.DUMMYFUNCTION("""COMPUTED_VALUE"""),"")</f>
        <v/>
      </c>
    </row>
    <row r="2086" spans="1:5">
      <c r="A2086" s="12" t="s">
        <v>11831</v>
      </c>
      <c r="E2086" s="57" t="str">
        <f ca="1">IFERROR(__xludf.DUMMYFUNCTION("""COMPUTED_VALUE"""),"")</f>
        <v/>
      </c>
    </row>
    <row r="2087" spans="1:5">
      <c r="A2087" s="59" t="s">
        <v>11832</v>
      </c>
      <c r="E2087" s="57" t="str">
        <f ca="1">IFERROR(__xludf.DUMMYFUNCTION("""COMPUTED_VALUE"""),"")</f>
        <v/>
      </c>
    </row>
    <row r="2088" spans="1:5">
      <c r="A2088" s="12"/>
      <c r="E2088" s="57" t="str">
        <f ca="1">IFERROR(__xludf.DUMMYFUNCTION("""COMPUTED_VALUE"""),"")</f>
        <v/>
      </c>
    </row>
    <row r="2089" spans="1:5">
      <c r="A2089" s="12" t="s">
        <v>11833</v>
      </c>
      <c r="E2089" s="57" t="str">
        <f ca="1">IFERROR(__xludf.DUMMYFUNCTION("""COMPUTED_VALUE"""),"")</f>
        <v/>
      </c>
    </row>
    <row r="2090" spans="1:5">
      <c r="A2090" s="59" t="s">
        <v>11834</v>
      </c>
      <c r="E2090" s="57" t="str">
        <f ca="1">IFERROR(__xludf.DUMMYFUNCTION("""COMPUTED_VALUE"""),"")</f>
        <v/>
      </c>
    </row>
    <row r="2091" spans="1:5">
      <c r="A2091" s="12"/>
      <c r="E2091" s="57" t="str">
        <f ca="1">IFERROR(__xludf.DUMMYFUNCTION("""COMPUTED_VALUE"""),"")</f>
        <v/>
      </c>
    </row>
    <row r="2092" spans="1:5">
      <c r="A2092" s="12" t="s">
        <v>11835</v>
      </c>
      <c r="E2092" s="57" t="str">
        <f ca="1">IFERROR(__xludf.DUMMYFUNCTION("""COMPUTED_VALUE"""),"")</f>
        <v/>
      </c>
    </row>
    <row r="2093" spans="1:5">
      <c r="A2093" s="59" t="s">
        <v>11836</v>
      </c>
      <c r="E2093" s="57" t="str">
        <f ca="1">IFERROR(__xludf.DUMMYFUNCTION("""COMPUTED_VALUE"""),"")</f>
        <v/>
      </c>
    </row>
    <row r="2094" spans="1:5">
      <c r="A2094" s="12"/>
      <c r="E2094" s="57" t="str">
        <f ca="1">IFERROR(__xludf.DUMMYFUNCTION("""COMPUTED_VALUE"""),"")</f>
        <v/>
      </c>
    </row>
    <row r="2095" spans="1:5">
      <c r="A2095" s="12" t="s">
        <v>11837</v>
      </c>
      <c r="E2095" s="57" t="str">
        <f ca="1">IFERROR(__xludf.DUMMYFUNCTION("""COMPUTED_VALUE"""),"")</f>
        <v/>
      </c>
    </row>
    <row r="2096" spans="1:5">
      <c r="A2096" s="59" t="s">
        <v>11838</v>
      </c>
      <c r="E2096" s="57" t="str">
        <f ca="1">IFERROR(__xludf.DUMMYFUNCTION("""COMPUTED_VALUE"""),"")</f>
        <v/>
      </c>
    </row>
    <row r="2097" spans="1:5">
      <c r="A2097" s="12"/>
      <c r="E2097" s="57" t="str">
        <f ca="1">IFERROR(__xludf.DUMMYFUNCTION("""COMPUTED_VALUE"""),"")</f>
        <v/>
      </c>
    </row>
    <row r="2098" spans="1:5">
      <c r="A2098" s="12" t="s">
        <v>11839</v>
      </c>
      <c r="E2098" s="57" t="str">
        <f ca="1">IFERROR(__xludf.DUMMYFUNCTION("""COMPUTED_VALUE"""),"")</f>
        <v/>
      </c>
    </row>
    <row r="2099" spans="1:5">
      <c r="A2099" s="59" t="s">
        <v>11840</v>
      </c>
      <c r="E2099" s="57" t="str">
        <f ca="1">IFERROR(__xludf.DUMMYFUNCTION("""COMPUTED_VALUE"""),"")</f>
        <v/>
      </c>
    </row>
    <row r="2100" spans="1:5">
      <c r="A2100" s="12"/>
      <c r="E2100" s="57" t="str">
        <f ca="1">IFERROR(__xludf.DUMMYFUNCTION("""COMPUTED_VALUE"""),"")</f>
        <v/>
      </c>
    </row>
    <row r="2101" spans="1:5">
      <c r="A2101" s="12" t="s">
        <v>11841</v>
      </c>
      <c r="E2101" s="57" t="str">
        <f ca="1">IFERROR(__xludf.DUMMYFUNCTION("""COMPUTED_VALUE"""),"")</f>
        <v/>
      </c>
    </row>
    <row r="2102" spans="1:5">
      <c r="A2102" s="59" t="s">
        <v>11842</v>
      </c>
      <c r="E2102" s="57" t="str">
        <f ca="1">IFERROR(__xludf.DUMMYFUNCTION("""COMPUTED_VALUE"""),"")</f>
        <v/>
      </c>
    </row>
    <row r="2103" spans="1:5">
      <c r="A2103" s="12"/>
      <c r="E2103" s="57" t="str">
        <f ca="1">IFERROR(__xludf.DUMMYFUNCTION("""COMPUTED_VALUE"""),"")</f>
        <v/>
      </c>
    </row>
    <row r="2104" spans="1:5">
      <c r="A2104" s="12" t="s">
        <v>11843</v>
      </c>
      <c r="E2104" s="57" t="str">
        <f ca="1">IFERROR(__xludf.DUMMYFUNCTION("""COMPUTED_VALUE"""),"")</f>
        <v/>
      </c>
    </row>
    <row r="2105" spans="1:5">
      <c r="A2105" s="59" t="s">
        <v>11844</v>
      </c>
      <c r="E2105" s="57" t="str">
        <f ca="1">IFERROR(__xludf.DUMMYFUNCTION("""COMPUTED_VALUE"""),"")</f>
        <v/>
      </c>
    </row>
    <row r="2106" spans="1:5">
      <c r="A2106" s="12"/>
      <c r="E2106" s="57" t="str">
        <f ca="1">IFERROR(__xludf.DUMMYFUNCTION("""COMPUTED_VALUE"""),"")</f>
        <v/>
      </c>
    </row>
    <row r="2107" spans="1:5">
      <c r="A2107" s="12" t="s">
        <v>11845</v>
      </c>
      <c r="E2107" s="57" t="str">
        <f ca="1">IFERROR(__xludf.DUMMYFUNCTION("""COMPUTED_VALUE"""),"")</f>
        <v/>
      </c>
    </row>
    <row r="2108" spans="1:5">
      <c r="A2108" s="59" t="s">
        <v>11846</v>
      </c>
      <c r="E2108" s="57" t="str">
        <f ca="1">IFERROR(__xludf.DUMMYFUNCTION("""COMPUTED_VALUE"""),"")</f>
        <v/>
      </c>
    </row>
    <row r="2109" spans="1:5">
      <c r="A2109" s="12"/>
      <c r="E2109" s="57" t="str">
        <f ca="1">IFERROR(__xludf.DUMMYFUNCTION("""COMPUTED_VALUE"""),"")</f>
        <v/>
      </c>
    </row>
    <row r="2110" spans="1:5">
      <c r="A2110" s="12" t="s">
        <v>11847</v>
      </c>
      <c r="E2110" s="57" t="str">
        <f ca="1">IFERROR(__xludf.DUMMYFUNCTION("""COMPUTED_VALUE"""),"")</f>
        <v/>
      </c>
    </row>
    <row r="2111" spans="1:5">
      <c r="A2111" s="59" t="s">
        <v>11848</v>
      </c>
      <c r="E2111" s="57" t="str">
        <f ca="1">IFERROR(__xludf.DUMMYFUNCTION("""COMPUTED_VALUE"""),"")</f>
        <v/>
      </c>
    </row>
    <row r="2112" spans="1:5">
      <c r="A2112" s="12"/>
      <c r="E2112" s="57" t="str">
        <f ca="1">IFERROR(__xludf.DUMMYFUNCTION("""COMPUTED_VALUE"""),"")</f>
        <v/>
      </c>
    </row>
    <row r="2113" spans="1:5">
      <c r="A2113" s="12" t="s">
        <v>11849</v>
      </c>
      <c r="E2113" s="57" t="str">
        <f ca="1">IFERROR(__xludf.DUMMYFUNCTION("""COMPUTED_VALUE"""),"")</f>
        <v/>
      </c>
    </row>
    <row r="2114" spans="1:5">
      <c r="A2114" s="59" t="s">
        <v>11850</v>
      </c>
      <c r="E2114" s="57" t="str">
        <f ca="1">IFERROR(__xludf.DUMMYFUNCTION("""COMPUTED_VALUE"""),"")</f>
        <v/>
      </c>
    </row>
    <row r="2115" spans="1:5">
      <c r="A2115" s="12"/>
      <c r="E2115" s="57" t="str">
        <f ca="1">IFERROR(__xludf.DUMMYFUNCTION("""COMPUTED_VALUE"""),"")</f>
        <v/>
      </c>
    </row>
    <row r="2116" spans="1:5">
      <c r="A2116" s="12" t="s">
        <v>11851</v>
      </c>
      <c r="E2116" s="57" t="str">
        <f ca="1">IFERROR(__xludf.DUMMYFUNCTION("""COMPUTED_VALUE"""),"")</f>
        <v/>
      </c>
    </row>
    <row r="2117" spans="1:5">
      <c r="A2117" s="59" t="s">
        <v>11852</v>
      </c>
      <c r="E2117" s="57" t="str">
        <f ca="1">IFERROR(__xludf.DUMMYFUNCTION("""COMPUTED_VALUE"""),"")</f>
        <v/>
      </c>
    </row>
    <row r="2118" spans="1:5">
      <c r="A2118" s="12"/>
      <c r="E2118" s="57" t="str">
        <f ca="1">IFERROR(__xludf.DUMMYFUNCTION("""COMPUTED_VALUE"""),"")</f>
        <v/>
      </c>
    </row>
    <row r="2119" spans="1:5">
      <c r="A2119" s="12" t="s">
        <v>11853</v>
      </c>
      <c r="E2119" s="57" t="str">
        <f ca="1">IFERROR(__xludf.DUMMYFUNCTION("""COMPUTED_VALUE"""),"")</f>
        <v/>
      </c>
    </row>
    <row r="2120" spans="1:5">
      <c r="A2120" s="59" t="s">
        <v>11854</v>
      </c>
      <c r="E2120" s="57" t="str">
        <f ca="1">IFERROR(__xludf.DUMMYFUNCTION("""COMPUTED_VALUE"""),"")</f>
        <v/>
      </c>
    </row>
    <row r="2121" spans="1:5">
      <c r="A2121" s="12"/>
      <c r="E2121" s="57" t="str">
        <f ca="1">IFERROR(__xludf.DUMMYFUNCTION("""COMPUTED_VALUE"""),"")</f>
        <v/>
      </c>
    </row>
    <row r="2122" spans="1:5">
      <c r="A2122" s="12" t="s">
        <v>11855</v>
      </c>
      <c r="E2122" s="57" t="str">
        <f ca="1">IFERROR(__xludf.DUMMYFUNCTION("""COMPUTED_VALUE"""),"")</f>
        <v/>
      </c>
    </row>
    <row r="2123" spans="1:5">
      <c r="A2123" s="59" t="s">
        <v>11856</v>
      </c>
      <c r="E2123" s="57" t="str">
        <f ca="1">IFERROR(__xludf.DUMMYFUNCTION("""COMPUTED_VALUE"""),"")</f>
        <v/>
      </c>
    </row>
    <row r="2124" spans="1:5">
      <c r="A2124" s="12"/>
      <c r="E2124" s="57" t="str">
        <f ca="1">IFERROR(__xludf.DUMMYFUNCTION("""COMPUTED_VALUE"""),"")</f>
        <v/>
      </c>
    </row>
    <row r="2125" spans="1:5">
      <c r="A2125" s="12" t="s">
        <v>11857</v>
      </c>
      <c r="E2125" s="57" t="str">
        <f ca="1">IFERROR(__xludf.DUMMYFUNCTION("""COMPUTED_VALUE"""),"")</f>
        <v/>
      </c>
    </row>
    <row r="2126" spans="1:5">
      <c r="A2126" s="59" t="s">
        <v>11858</v>
      </c>
      <c r="E2126" s="57" t="str">
        <f ca="1">IFERROR(__xludf.DUMMYFUNCTION("""COMPUTED_VALUE"""),"")</f>
        <v/>
      </c>
    </row>
    <row r="2127" spans="1:5">
      <c r="A2127" s="12"/>
      <c r="E2127" s="57" t="str">
        <f ca="1">IFERROR(__xludf.DUMMYFUNCTION("""COMPUTED_VALUE"""),"")</f>
        <v/>
      </c>
    </row>
    <row r="2128" spans="1:5">
      <c r="A2128" s="12" t="s">
        <v>11859</v>
      </c>
      <c r="E2128" s="57" t="str">
        <f ca="1">IFERROR(__xludf.DUMMYFUNCTION("""COMPUTED_VALUE"""),"")</f>
        <v/>
      </c>
    </row>
    <row r="2129" spans="1:5">
      <c r="A2129" s="59" t="s">
        <v>11860</v>
      </c>
      <c r="E2129" s="57" t="str">
        <f ca="1">IFERROR(__xludf.DUMMYFUNCTION("""COMPUTED_VALUE"""),"")</f>
        <v/>
      </c>
    </row>
    <row r="2130" spans="1:5">
      <c r="A2130" s="12"/>
      <c r="E2130" s="57" t="str">
        <f ca="1">IFERROR(__xludf.DUMMYFUNCTION("""COMPUTED_VALUE"""),"")</f>
        <v/>
      </c>
    </row>
    <row r="2131" spans="1:5">
      <c r="A2131" s="12" t="s">
        <v>11861</v>
      </c>
      <c r="E2131" s="57" t="str">
        <f ca="1">IFERROR(__xludf.DUMMYFUNCTION("""COMPUTED_VALUE"""),"")</f>
        <v/>
      </c>
    </row>
    <row r="2132" spans="1:5">
      <c r="A2132" s="59" t="s">
        <v>11862</v>
      </c>
      <c r="E2132" s="57" t="str">
        <f ca="1">IFERROR(__xludf.DUMMYFUNCTION("""COMPUTED_VALUE"""),"")</f>
        <v/>
      </c>
    </row>
    <row r="2133" spans="1:5">
      <c r="A2133" s="12"/>
      <c r="E2133" s="57" t="str">
        <f ca="1">IFERROR(__xludf.DUMMYFUNCTION("""COMPUTED_VALUE"""),"")</f>
        <v/>
      </c>
    </row>
    <row r="2134" spans="1:5">
      <c r="A2134" s="12" t="s">
        <v>11863</v>
      </c>
      <c r="E2134" s="57" t="str">
        <f ca="1">IFERROR(__xludf.DUMMYFUNCTION("""COMPUTED_VALUE"""),"")</f>
        <v/>
      </c>
    </row>
    <row r="2135" spans="1:5">
      <c r="A2135" s="59" t="s">
        <v>11864</v>
      </c>
      <c r="E2135" s="57" t="str">
        <f ca="1">IFERROR(__xludf.DUMMYFUNCTION("""COMPUTED_VALUE"""),"")</f>
        <v/>
      </c>
    </row>
    <row r="2136" spans="1:5">
      <c r="A2136" s="12"/>
      <c r="E2136" s="57" t="str">
        <f ca="1">IFERROR(__xludf.DUMMYFUNCTION("""COMPUTED_VALUE"""),"")</f>
        <v/>
      </c>
    </row>
    <row r="2137" spans="1:5">
      <c r="A2137" s="12" t="s">
        <v>11865</v>
      </c>
      <c r="E2137" s="57" t="str">
        <f ca="1">IFERROR(__xludf.DUMMYFUNCTION("""COMPUTED_VALUE"""),"")</f>
        <v/>
      </c>
    </row>
    <row r="2138" spans="1:5">
      <c r="A2138" s="59" t="s">
        <v>11866</v>
      </c>
      <c r="E2138" s="57" t="str">
        <f ca="1">IFERROR(__xludf.DUMMYFUNCTION("""COMPUTED_VALUE"""),"")</f>
        <v/>
      </c>
    </row>
    <row r="2139" spans="1:5">
      <c r="A2139" s="12"/>
      <c r="E2139" s="57" t="str">
        <f ca="1">IFERROR(__xludf.DUMMYFUNCTION("""COMPUTED_VALUE"""),"")</f>
        <v/>
      </c>
    </row>
    <row r="2140" spans="1:5">
      <c r="A2140" s="12" t="s">
        <v>11867</v>
      </c>
      <c r="E2140" s="57" t="str">
        <f ca="1">IFERROR(__xludf.DUMMYFUNCTION("""COMPUTED_VALUE"""),"")</f>
        <v/>
      </c>
    </row>
    <row r="2141" spans="1:5">
      <c r="A2141" s="59" t="s">
        <v>11868</v>
      </c>
      <c r="E2141" s="57" t="str">
        <f ca="1">IFERROR(__xludf.DUMMYFUNCTION("""COMPUTED_VALUE"""),"")</f>
        <v/>
      </c>
    </row>
    <row r="2142" spans="1:5">
      <c r="A2142" s="12"/>
      <c r="E2142" s="57" t="str">
        <f ca="1">IFERROR(__xludf.DUMMYFUNCTION("""COMPUTED_VALUE"""),"")</f>
        <v/>
      </c>
    </row>
    <row r="2143" spans="1:5">
      <c r="A2143" s="12" t="s">
        <v>11869</v>
      </c>
      <c r="E2143" s="57" t="str">
        <f ca="1">IFERROR(__xludf.DUMMYFUNCTION("""COMPUTED_VALUE"""),"")</f>
        <v/>
      </c>
    </row>
    <row r="2144" spans="1:5">
      <c r="A2144" s="59" t="s">
        <v>11870</v>
      </c>
      <c r="E2144" s="57" t="str">
        <f ca="1">IFERROR(__xludf.DUMMYFUNCTION("""COMPUTED_VALUE"""),"")</f>
        <v/>
      </c>
    </row>
    <row r="2145" spans="1:5">
      <c r="A2145" s="12"/>
      <c r="E2145" s="57" t="str">
        <f ca="1">IFERROR(__xludf.DUMMYFUNCTION("""COMPUTED_VALUE"""),"")</f>
        <v/>
      </c>
    </row>
    <row r="2146" spans="1:5">
      <c r="A2146" s="12" t="s">
        <v>11871</v>
      </c>
      <c r="E2146" s="57" t="str">
        <f ca="1">IFERROR(__xludf.DUMMYFUNCTION("""COMPUTED_VALUE"""),"")</f>
        <v/>
      </c>
    </row>
    <row r="2147" spans="1:5">
      <c r="A2147" s="59" t="s">
        <v>11872</v>
      </c>
      <c r="E2147" s="57" t="str">
        <f ca="1">IFERROR(__xludf.DUMMYFUNCTION("""COMPUTED_VALUE"""),"")</f>
        <v/>
      </c>
    </row>
    <row r="2148" spans="1:5">
      <c r="A2148" s="12"/>
      <c r="E2148" s="57" t="str">
        <f ca="1">IFERROR(__xludf.DUMMYFUNCTION("""COMPUTED_VALUE"""),"")</f>
        <v/>
      </c>
    </row>
    <row r="2149" spans="1:5">
      <c r="A2149" s="12" t="s">
        <v>11873</v>
      </c>
      <c r="E2149" s="57" t="str">
        <f ca="1">IFERROR(__xludf.DUMMYFUNCTION("""COMPUTED_VALUE"""),"")</f>
        <v/>
      </c>
    </row>
    <row r="2150" spans="1:5">
      <c r="A2150" s="59" t="s">
        <v>11874</v>
      </c>
      <c r="E2150" s="57" t="str">
        <f ca="1">IFERROR(__xludf.DUMMYFUNCTION("""COMPUTED_VALUE"""),"")</f>
        <v/>
      </c>
    </row>
    <row r="2151" spans="1:5">
      <c r="A2151" s="12"/>
      <c r="E2151" s="57" t="str">
        <f ca="1">IFERROR(__xludf.DUMMYFUNCTION("""COMPUTED_VALUE"""),"")</f>
        <v/>
      </c>
    </row>
    <row r="2152" spans="1:5">
      <c r="A2152" s="12" t="s">
        <v>11875</v>
      </c>
      <c r="E2152" s="57" t="str">
        <f ca="1">IFERROR(__xludf.DUMMYFUNCTION("""COMPUTED_VALUE"""),"")</f>
        <v/>
      </c>
    </row>
    <row r="2153" spans="1:5">
      <c r="A2153" s="59" t="s">
        <v>11876</v>
      </c>
      <c r="E2153" s="57" t="str">
        <f ca="1">IFERROR(__xludf.DUMMYFUNCTION("""COMPUTED_VALUE"""),"")</f>
        <v/>
      </c>
    </row>
    <row r="2154" spans="1:5">
      <c r="A2154" s="12"/>
      <c r="E2154" s="57" t="str">
        <f ca="1">IFERROR(__xludf.DUMMYFUNCTION("""COMPUTED_VALUE"""),"")</f>
        <v/>
      </c>
    </row>
    <row r="2155" spans="1:5">
      <c r="A2155" s="12" t="s">
        <v>11877</v>
      </c>
      <c r="E2155" s="57" t="str">
        <f ca="1">IFERROR(__xludf.DUMMYFUNCTION("""COMPUTED_VALUE"""),"")</f>
        <v/>
      </c>
    </row>
    <row r="2156" spans="1:5">
      <c r="A2156" s="59" t="s">
        <v>11878</v>
      </c>
      <c r="E2156" s="57" t="str">
        <f ca="1">IFERROR(__xludf.DUMMYFUNCTION("""COMPUTED_VALUE"""),"")</f>
        <v/>
      </c>
    </row>
    <row r="2157" spans="1:5">
      <c r="A2157" s="12"/>
      <c r="E2157" s="57" t="str">
        <f ca="1">IFERROR(__xludf.DUMMYFUNCTION("""COMPUTED_VALUE"""),"")</f>
        <v/>
      </c>
    </row>
    <row r="2158" spans="1:5">
      <c r="A2158" s="12" t="s">
        <v>11879</v>
      </c>
      <c r="E2158" s="57" t="str">
        <f ca="1">IFERROR(__xludf.DUMMYFUNCTION("""COMPUTED_VALUE"""),"")</f>
        <v/>
      </c>
    </row>
    <row r="2159" spans="1:5">
      <c r="A2159" s="59" t="s">
        <v>11880</v>
      </c>
      <c r="E2159" s="57" t="str">
        <f ca="1">IFERROR(__xludf.DUMMYFUNCTION("""COMPUTED_VALUE"""),"")</f>
        <v/>
      </c>
    </row>
    <row r="2160" spans="1:5">
      <c r="A2160" s="12"/>
      <c r="E2160" s="57" t="str">
        <f ca="1">IFERROR(__xludf.DUMMYFUNCTION("""COMPUTED_VALUE"""),"")</f>
        <v/>
      </c>
    </row>
    <row r="2161" spans="1:5">
      <c r="A2161" s="12" t="s">
        <v>11881</v>
      </c>
      <c r="E2161" s="57" t="str">
        <f ca="1">IFERROR(__xludf.DUMMYFUNCTION("""COMPUTED_VALUE"""),"")</f>
        <v/>
      </c>
    </row>
    <row r="2162" spans="1:5">
      <c r="A2162" s="59" t="s">
        <v>11882</v>
      </c>
      <c r="E2162" s="57" t="str">
        <f ca="1">IFERROR(__xludf.DUMMYFUNCTION("""COMPUTED_VALUE"""),"")</f>
        <v/>
      </c>
    </row>
    <row r="2163" spans="1:5">
      <c r="A2163" s="12"/>
      <c r="E2163" s="57" t="str">
        <f ca="1">IFERROR(__xludf.DUMMYFUNCTION("""COMPUTED_VALUE"""),"")</f>
        <v/>
      </c>
    </row>
    <row r="2164" spans="1:5">
      <c r="A2164" s="12" t="s">
        <v>11883</v>
      </c>
      <c r="E2164" s="57" t="str">
        <f ca="1">IFERROR(__xludf.DUMMYFUNCTION("""COMPUTED_VALUE"""),"")</f>
        <v/>
      </c>
    </row>
    <row r="2165" spans="1:5">
      <c r="A2165" s="59" t="s">
        <v>11884</v>
      </c>
      <c r="E2165" s="57" t="str">
        <f ca="1">IFERROR(__xludf.DUMMYFUNCTION("""COMPUTED_VALUE"""),"")</f>
        <v/>
      </c>
    </row>
    <row r="2166" spans="1:5">
      <c r="A2166" s="12"/>
      <c r="E2166" s="57" t="str">
        <f ca="1">IFERROR(__xludf.DUMMYFUNCTION("""COMPUTED_VALUE"""),"")</f>
        <v/>
      </c>
    </row>
    <row r="2167" spans="1:5">
      <c r="A2167" s="12" t="s">
        <v>11885</v>
      </c>
      <c r="E2167" s="57" t="str">
        <f ca="1">IFERROR(__xludf.DUMMYFUNCTION("""COMPUTED_VALUE"""),"")</f>
        <v/>
      </c>
    </row>
    <row r="2168" spans="1:5">
      <c r="A2168" s="59" t="s">
        <v>11886</v>
      </c>
      <c r="E2168" s="57" t="str">
        <f ca="1">IFERROR(__xludf.DUMMYFUNCTION("""COMPUTED_VALUE"""),"")</f>
        <v/>
      </c>
    </row>
    <row r="2169" spans="1:5">
      <c r="A2169" s="12"/>
      <c r="E2169" s="57" t="str">
        <f ca="1">IFERROR(__xludf.DUMMYFUNCTION("""COMPUTED_VALUE"""),"")</f>
        <v/>
      </c>
    </row>
    <row r="2170" spans="1:5">
      <c r="A2170" s="12" t="s">
        <v>11887</v>
      </c>
      <c r="E2170" s="57" t="str">
        <f ca="1">IFERROR(__xludf.DUMMYFUNCTION("""COMPUTED_VALUE"""),"")</f>
        <v/>
      </c>
    </row>
    <row r="2171" spans="1:5">
      <c r="A2171" s="59" t="s">
        <v>11888</v>
      </c>
      <c r="E2171" s="57" t="str">
        <f ca="1">IFERROR(__xludf.DUMMYFUNCTION("""COMPUTED_VALUE"""),"")</f>
        <v/>
      </c>
    </row>
    <row r="2172" spans="1:5">
      <c r="A2172" s="12"/>
      <c r="E2172" s="57" t="str">
        <f ca="1">IFERROR(__xludf.DUMMYFUNCTION("""COMPUTED_VALUE"""),"")</f>
        <v/>
      </c>
    </row>
    <row r="2173" spans="1:5">
      <c r="A2173" s="12" t="s">
        <v>11889</v>
      </c>
      <c r="E2173" s="57" t="str">
        <f ca="1">IFERROR(__xludf.DUMMYFUNCTION("""COMPUTED_VALUE"""),"")</f>
        <v/>
      </c>
    </row>
    <row r="2174" spans="1:5">
      <c r="A2174" s="59" t="s">
        <v>11890</v>
      </c>
      <c r="E2174" s="57" t="str">
        <f ca="1">IFERROR(__xludf.DUMMYFUNCTION("""COMPUTED_VALUE"""),"")</f>
        <v/>
      </c>
    </row>
    <row r="2175" spans="1:5">
      <c r="A2175" s="12"/>
      <c r="E2175" s="57" t="str">
        <f ca="1">IFERROR(__xludf.DUMMYFUNCTION("""COMPUTED_VALUE"""),"")</f>
        <v/>
      </c>
    </row>
    <row r="2176" spans="1:5">
      <c r="A2176" s="12" t="s">
        <v>11891</v>
      </c>
      <c r="E2176" s="57" t="str">
        <f ca="1">IFERROR(__xludf.DUMMYFUNCTION("""COMPUTED_VALUE"""),"")</f>
        <v/>
      </c>
    </row>
    <row r="2177" spans="1:5">
      <c r="A2177" s="59" t="s">
        <v>11892</v>
      </c>
      <c r="E2177" s="57" t="str">
        <f ca="1">IFERROR(__xludf.DUMMYFUNCTION("""COMPUTED_VALUE"""),"")</f>
        <v/>
      </c>
    </row>
    <row r="2178" spans="1:5">
      <c r="A2178" s="12"/>
      <c r="E2178" s="57" t="str">
        <f ca="1">IFERROR(__xludf.DUMMYFUNCTION("""COMPUTED_VALUE"""),"")</f>
        <v/>
      </c>
    </row>
    <row r="2179" spans="1:5">
      <c r="A2179" s="12" t="s">
        <v>11893</v>
      </c>
      <c r="E2179" s="57" t="str">
        <f ca="1">IFERROR(__xludf.DUMMYFUNCTION("""COMPUTED_VALUE"""),"")</f>
        <v/>
      </c>
    </row>
    <row r="2180" spans="1:5">
      <c r="A2180" s="59" t="s">
        <v>11894</v>
      </c>
      <c r="E2180" s="57" t="str">
        <f ca="1">IFERROR(__xludf.DUMMYFUNCTION("""COMPUTED_VALUE"""),"")</f>
        <v/>
      </c>
    </row>
    <row r="2181" spans="1:5">
      <c r="A2181" s="12"/>
      <c r="E2181" s="57" t="str">
        <f ca="1">IFERROR(__xludf.DUMMYFUNCTION("""COMPUTED_VALUE"""),"")</f>
        <v/>
      </c>
    </row>
    <row r="2182" spans="1:5">
      <c r="A2182" s="12" t="s">
        <v>11895</v>
      </c>
      <c r="E2182" s="57" t="str">
        <f ca="1">IFERROR(__xludf.DUMMYFUNCTION("""COMPUTED_VALUE"""),"")</f>
        <v/>
      </c>
    </row>
    <row r="2183" spans="1:5">
      <c r="A2183" s="59" t="s">
        <v>11896</v>
      </c>
      <c r="E2183" s="57" t="str">
        <f ca="1">IFERROR(__xludf.DUMMYFUNCTION("""COMPUTED_VALUE"""),"")</f>
        <v/>
      </c>
    </row>
    <row r="2184" spans="1:5">
      <c r="A2184" s="12"/>
      <c r="E2184" s="57" t="str">
        <f ca="1">IFERROR(__xludf.DUMMYFUNCTION("""COMPUTED_VALUE"""),"")</f>
        <v/>
      </c>
    </row>
    <row r="2185" spans="1:5">
      <c r="A2185" s="12" t="s">
        <v>11897</v>
      </c>
      <c r="E2185" s="57" t="str">
        <f ca="1">IFERROR(__xludf.DUMMYFUNCTION("""COMPUTED_VALUE"""),"")</f>
        <v/>
      </c>
    </row>
    <row r="2186" spans="1:5">
      <c r="A2186" s="59" t="s">
        <v>11898</v>
      </c>
      <c r="E2186" s="57" t="str">
        <f ca="1">IFERROR(__xludf.DUMMYFUNCTION("""COMPUTED_VALUE"""),"")</f>
        <v/>
      </c>
    </row>
    <row r="2187" spans="1:5">
      <c r="A2187" s="12"/>
      <c r="E2187" s="57" t="str">
        <f ca="1">IFERROR(__xludf.DUMMYFUNCTION("""COMPUTED_VALUE"""),"")</f>
        <v/>
      </c>
    </row>
    <row r="2188" spans="1:5">
      <c r="A2188" s="12" t="s">
        <v>11899</v>
      </c>
      <c r="E2188" s="57" t="str">
        <f ca="1">IFERROR(__xludf.DUMMYFUNCTION("""COMPUTED_VALUE"""),"")</f>
        <v/>
      </c>
    </row>
    <row r="2189" spans="1:5">
      <c r="A2189" s="59" t="s">
        <v>11900</v>
      </c>
      <c r="E2189" s="57" t="str">
        <f ca="1">IFERROR(__xludf.DUMMYFUNCTION("""COMPUTED_VALUE"""),"")</f>
        <v/>
      </c>
    </row>
    <row r="2190" spans="1:5">
      <c r="A2190" s="12"/>
      <c r="E2190" s="57" t="str">
        <f ca="1">IFERROR(__xludf.DUMMYFUNCTION("""COMPUTED_VALUE"""),"")</f>
        <v/>
      </c>
    </row>
    <row r="2191" spans="1:5">
      <c r="A2191" s="12" t="s">
        <v>11901</v>
      </c>
      <c r="E2191" s="57" t="str">
        <f ca="1">IFERROR(__xludf.DUMMYFUNCTION("""COMPUTED_VALUE"""),"")</f>
        <v/>
      </c>
    </row>
    <row r="2192" spans="1:5">
      <c r="A2192" s="59" t="s">
        <v>11902</v>
      </c>
      <c r="E2192" s="57" t="str">
        <f ca="1">IFERROR(__xludf.DUMMYFUNCTION("""COMPUTED_VALUE"""),"")</f>
        <v/>
      </c>
    </row>
    <row r="2193" spans="1:5">
      <c r="A2193" s="12"/>
      <c r="E2193" s="57" t="str">
        <f ca="1">IFERROR(__xludf.DUMMYFUNCTION("""COMPUTED_VALUE"""),"")</f>
        <v/>
      </c>
    </row>
    <row r="2194" spans="1:5">
      <c r="A2194" s="12" t="s">
        <v>11903</v>
      </c>
      <c r="E2194" s="57" t="str">
        <f ca="1">IFERROR(__xludf.DUMMYFUNCTION("""COMPUTED_VALUE"""),"")</f>
        <v/>
      </c>
    </row>
    <row r="2195" spans="1:5">
      <c r="A2195" s="59" t="s">
        <v>11904</v>
      </c>
      <c r="E2195" s="57" t="str">
        <f ca="1">IFERROR(__xludf.DUMMYFUNCTION("""COMPUTED_VALUE"""),"")</f>
        <v/>
      </c>
    </row>
    <row r="2196" spans="1:5">
      <c r="A2196" s="12"/>
      <c r="E2196" s="57" t="str">
        <f ca="1">IFERROR(__xludf.DUMMYFUNCTION("""COMPUTED_VALUE"""),"")</f>
        <v/>
      </c>
    </row>
    <row r="2197" spans="1:5">
      <c r="A2197" s="12" t="s">
        <v>11905</v>
      </c>
      <c r="E2197" s="57" t="str">
        <f ca="1">IFERROR(__xludf.DUMMYFUNCTION("""COMPUTED_VALUE"""),"")</f>
        <v/>
      </c>
    </row>
    <row r="2198" spans="1:5">
      <c r="A2198" s="59" t="s">
        <v>11906</v>
      </c>
      <c r="E2198" s="57" t="str">
        <f ca="1">IFERROR(__xludf.DUMMYFUNCTION("""COMPUTED_VALUE"""),"")</f>
        <v/>
      </c>
    </row>
    <row r="2199" spans="1:5">
      <c r="A2199" s="12"/>
      <c r="E2199" s="57" t="str">
        <f ca="1">IFERROR(__xludf.DUMMYFUNCTION("""COMPUTED_VALUE"""),"")</f>
        <v/>
      </c>
    </row>
    <row r="2200" spans="1:5">
      <c r="A2200" s="12" t="s">
        <v>11907</v>
      </c>
      <c r="E2200" s="57" t="str">
        <f ca="1">IFERROR(__xludf.DUMMYFUNCTION("""COMPUTED_VALUE"""),"")</f>
        <v/>
      </c>
    </row>
    <row r="2201" spans="1:5">
      <c r="A2201" s="59" t="s">
        <v>11908</v>
      </c>
      <c r="E2201" s="57" t="str">
        <f ca="1">IFERROR(__xludf.DUMMYFUNCTION("""COMPUTED_VALUE"""),"")</f>
        <v/>
      </c>
    </row>
    <row r="2202" spans="1:5">
      <c r="A2202" s="12"/>
      <c r="E2202" s="57" t="str">
        <f ca="1">IFERROR(__xludf.DUMMYFUNCTION("""COMPUTED_VALUE"""),"")</f>
        <v/>
      </c>
    </row>
    <row r="2203" spans="1:5">
      <c r="A2203" s="12" t="s">
        <v>11909</v>
      </c>
      <c r="E2203" s="57" t="str">
        <f ca="1">IFERROR(__xludf.DUMMYFUNCTION("""COMPUTED_VALUE"""),"")</f>
        <v/>
      </c>
    </row>
    <row r="2204" spans="1:5">
      <c r="A2204" s="59" t="s">
        <v>11910</v>
      </c>
      <c r="E2204" s="57" t="str">
        <f ca="1">IFERROR(__xludf.DUMMYFUNCTION("""COMPUTED_VALUE"""),"")</f>
        <v/>
      </c>
    </row>
    <row r="2205" spans="1:5">
      <c r="A2205" s="12"/>
      <c r="E2205" s="57" t="str">
        <f ca="1">IFERROR(__xludf.DUMMYFUNCTION("""COMPUTED_VALUE"""),"")</f>
        <v/>
      </c>
    </row>
    <row r="2206" spans="1:5">
      <c r="A2206" s="12" t="s">
        <v>11911</v>
      </c>
      <c r="E2206" s="57" t="str">
        <f ca="1">IFERROR(__xludf.DUMMYFUNCTION("""COMPUTED_VALUE"""),"")</f>
        <v/>
      </c>
    </row>
    <row r="2207" spans="1:5">
      <c r="A2207" s="59" t="s">
        <v>11912</v>
      </c>
      <c r="E2207" s="57" t="str">
        <f ca="1">IFERROR(__xludf.DUMMYFUNCTION("""COMPUTED_VALUE"""),"")</f>
        <v/>
      </c>
    </row>
    <row r="2208" spans="1:5">
      <c r="A2208" s="12"/>
      <c r="E2208" s="57" t="str">
        <f ca="1">IFERROR(__xludf.DUMMYFUNCTION("""COMPUTED_VALUE"""),"")</f>
        <v/>
      </c>
    </row>
    <row r="2209" spans="1:5">
      <c r="A2209" s="12" t="s">
        <v>11913</v>
      </c>
      <c r="E2209" s="57" t="str">
        <f ca="1">IFERROR(__xludf.DUMMYFUNCTION("""COMPUTED_VALUE"""),"")</f>
        <v/>
      </c>
    </row>
    <row r="2210" spans="1:5">
      <c r="A2210" s="59" t="s">
        <v>11914</v>
      </c>
      <c r="E2210" s="57" t="str">
        <f ca="1">IFERROR(__xludf.DUMMYFUNCTION("""COMPUTED_VALUE"""),"")</f>
        <v/>
      </c>
    </row>
    <row r="2211" spans="1:5">
      <c r="A2211" s="12"/>
      <c r="E2211" s="57" t="str">
        <f ca="1">IFERROR(__xludf.DUMMYFUNCTION("""COMPUTED_VALUE"""),"")</f>
        <v/>
      </c>
    </row>
    <row r="2212" spans="1:5">
      <c r="A2212" s="12" t="s">
        <v>11915</v>
      </c>
      <c r="E2212" s="57" t="str">
        <f ca="1">IFERROR(__xludf.DUMMYFUNCTION("""COMPUTED_VALUE"""),"")</f>
        <v/>
      </c>
    </row>
    <row r="2213" spans="1:5">
      <c r="A2213" s="59" t="s">
        <v>11916</v>
      </c>
      <c r="E2213" s="57" t="str">
        <f ca="1">IFERROR(__xludf.DUMMYFUNCTION("""COMPUTED_VALUE"""),"")</f>
        <v/>
      </c>
    </row>
    <row r="2214" spans="1:5">
      <c r="A2214" s="12"/>
      <c r="E2214" s="57" t="str">
        <f ca="1">IFERROR(__xludf.DUMMYFUNCTION("""COMPUTED_VALUE"""),"")</f>
        <v/>
      </c>
    </row>
    <row r="2215" spans="1:5">
      <c r="A2215" s="12" t="s">
        <v>11917</v>
      </c>
      <c r="E2215" s="57" t="str">
        <f ca="1">IFERROR(__xludf.DUMMYFUNCTION("""COMPUTED_VALUE"""),"")</f>
        <v/>
      </c>
    </row>
    <row r="2216" spans="1:5">
      <c r="A2216" s="59" t="s">
        <v>11918</v>
      </c>
      <c r="E2216" s="57" t="str">
        <f ca="1">IFERROR(__xludf.DUMMYFUNCTION("""COMPUTED_VALUE"""),"")</f>
        <v/>
      </c>
    </row>
    <row r="2217" spans="1:5">
      <c r="A2217" s="12"/>
      <c r="E2217" s="57" t="str">
        <f ca="1">IFERROR(__xludf.DUMMYFUNCTION("""COMPUTED_VALUE"""),"")</f>
        <v/>
      </c>
    </row>
    <row r="2218" spans="1:5">
      <c r="A2218" s="12" t="s">
        <v>11919</v>
      </c>
      <c r="E2218" s="57" t="str">
        <f ca="1">IFERROR(__xludf.DUMMYFUNCTION("""COMPUTED_VALUE"""),"")</f>
        <v/>
      </c>
    </row>
    <row r="2219" spans="1:5">
      <c r="A2219" s="59" t="s">
        <v>11920</v>
      </c>
      <c r="E2219" s="57" t="str">
        <f ca="1">IFERROR(__xludf.DUMMYFUNCTION("""COMPUTED_VALUE"""),"")</f>
        <v/>
      </c>
    </row>
    <row r="2220" spans="1:5">
      <c r="A2220" s="12"/>
      <c r="E2220" s="57" t="str">
        <f ca="1">IFERROR(__xludf.DUMMYFUNCTION("""COMPUTED_VALUE"""),"")</f>
        <v/>
      </c>
    </row>
    <row r="2221" spans="1:5">
      <c r="A2221" s="12" t="s">
        <v>11921</v>
      </c>
      <c r="E2221" s="57" t="str">
        <f ca="1">IFERROR(__xludf.DUMMYFUNCTION("""COMPUTED_VALUE"""),"")</f>
        <v/>
      </c>
    </row>
    <row r="2222" spans="1:5">
      <c r="A2222" s="59" t="s">
        <v>11922</v>
      </c>
      <c r="E2222" s="57" t="str">
        <f ca="1">IFERROR(__xludf.DUMMYFUNCTION("""COMPUTED_VALUE"""),"")</f>
        <v/>
      </c>
    </row>
    <row r="2223" spans="1:5">
      <c r="A2223" s="12"/>
      <c r="E2223" s="57" t="str">
        <f ca="1">IFERROR(__xludf.DUMMYFUNCTION("""COMPUTED_VALUE"""),"")</f>
        <v/>
      </c>
    </row>
    <row r="2224" spans="1:5">
      <c r="A2224" s="12" t="s">
        <v>11923</v>
      </c>
      <c r="E2224" s="57" t="str">
        <f ca="1">IFERROR(__xludf.DUMMYFUNCTION("""COMPUTED_VALUE"""),"")</f>
        <v/>
      </c>
    </row>
    <row r="2225" spans="1:5">
      <c r="A2225" s="59" t="s">
        <v>11924</v>
      </c>
      <c r="E2225" s="57" t="str">
        <f ca="1">IFERROR(__xludf.DUMMYFUNCTION("""COMPUTED_VALUE"""),"")</f>
        <v/>
      </c>
    </row>
    <row r="2226" spans="1:5">
      <c r="A2226" s="12"/>
      <c r="E2226" s="57" t="str">
        <f ca="1">IFERROR(__xludf.DUMMYFUNCTION("""COMPUTED_VALUE"""),"")</f>
        <v/>
      </c>
    </row>
    <row r="2227" spans="1:5">
      <c r="A2227" s="12" t="s">
        <v>11925</v>
      </c>
      <c r="E2227" s="57" t="str">
        <f ca="1">IFERROR(__xludf.DUMMYFUNCTION("""COMPUTED_VALUE"""),"")</f>
        <v/>
      </c>
    </row>
    <row r="2228" spans="1:5">
      <c r="A2228" s="59" t="s">
        <v>11926</v>
      </c>
      <c r="E2228" s="57" t="str">
        <f ca="1">IFERROR(__xludf.DUMMYFUNCTION("""COMPUTED_VALUE"""),"")</f>
        <v/>
      </c>
    </row>
    <row r="2229" spans="1:5">
      <c r="A2229" s="12"/>
      <c r="E2229" s="57" t="str">
        <f ca="1">IFERROR(__xludf.DUMMYFUNCTION("""COMPUTED_VALUE"""),"")</f>
        <v/>
      </c>
    </row>
    <row r="2230" spans="1:5">
      <c r="A2230" s="12" t="s">
        <v>11927</v>
      </c>
      <c r="E2230" s="57" t="str">
        <f ca="1">IFERROR(__xludf.DUMMYFUNCTION("""COMPUTED_VALUE"""),"")</f>
        <v/>
      </c>
    </row>
    <row r="2231" spans="1:5">
      <c r="A2231" s="59" t="s">
        <v>11928</v>
      </c>
      <c r="E2231" s="57" t="str">
        <f ca="1">IFERROR(__xludf.DUMMYFUNCTION("""COMPUTED_VALUE"""),"")</f>
        <v/>
      </c>
    </row>
    <row r="2232" spans="1:5">
      <c r="A2232" s="12"/>
      <c r="E2232" s="57" t="str">
        <f ca="1">IFERROR(__xludf.DUMMYFUNCTION("""COMPUTED_VALUE"""),"")</f>
        <v/>
      </c>
    </row>
    <row r="2233" spans="1:5">
      <c r="A2233" s="12" t="s">
        <v>11929</v>
      </c>
      <c r="E2233" s="57" t="str">
        <f ca="1">IFERROR(__xludf.DUMMYFUNCTION("""COMPUTED_VALUE"""),"")</f>
        <v/>
      </c>
    </row>
    <row r="2234" spans="1:5">
      <c r="A2234" s="59" t="s">
        <v>11930</v>
      </c>
      <c r="E2234" s="57" t="str">
        <f ca="1">IFERROR(__xludf.DUMMYFUNCTION("""COMPUTED_VALUE"""),"")</f>
        <v/>
      </c>
    </row>
    <row r="2235" spans="1:5">
      <c r="A2235" s="12"/>
      <c r="E2235" s="57" t="str">
        <f ca="1">IFERROR(__xludf.DUMMYFUNCTION("""COMPUTED_VALUE"""),"")</f>
        <v/>
      </c>
    </row>
    <row r="2236" spans="1:5">
      <c r="A2236" s="12" t="s">
        <v>11931</v>
      </c>
      <c r="E2236" s="57" t="str">
        <f ca="1">IFERROR(__xludf.DUMMYFUNCTION("""COMPUTED_VALUE"""),"")</f>
        <v/>
      </c>
    </row>
    <row r="2237" spans="1:5">
      <c r="A2237" s="59" t="s">
        <v>11932</v>
      </c>
      <c r="E2237" s="57" t="str">
        <f ca="1">IFERROR(__xludf.DUMMYFUNCTION("""COMPUTED_VALUE"""),"")</f>
        <v/>
      </c>
    </row>
    <row r="2238" spans="1:5">
      <c r="A2238" s="12"/>
      <c r="E2238" s="57" t="str">
        <f ca="1">IFERROR(__xludf.DUMMYFUNCTION("""COMPUTED_VALUE"""),"")</f>
        <v/>
      </c>
    </row>
    <row r="2239" spans="1:5">
      <c r="A2239" s="12" t="s">
        <v>11933</v>
      </c>
      <c r="E2239" s="57" t="str">
        <f ca="1">IFERROR(__xludf.DUMMYFUNCTION("""COMPUTED_VALUE"""),"")</f>
        <v/>
      </c>
    </row>
    <row r="2240" spans="1:5">
      <c r="A2240" s="59" t="s">
        <v>11934</v>
      </c>
      <c r="E2240" s="57" t="str">
        <f ca="1">IFERROR(__xludf.DUMMYFUNCTION("""COMPUTED_VALUE"""),"")</f>
        <v/>
      </c>
    </row>
    <row r="2241" spans="1:5">
      <c r="A2241" s="12"/>
      <c r="E2241" s="57" t="str">
        <f ca="1">IFERROR(__xludf.DUMMYFUNCTION("""COMPUTED_VALUE"""),"")</f>
        <v/>
      </c>
    </row>
    <row r="2242" spans="1:5">
      <c r="A2242" s="12" t="s">
        <v>11935</v>
      </c>
      <c r="E2242" s="57" t="str">
        <f ca="1">IFERROR(__xludf.DUMMYFUNCTION("""COMPUTED_VALUE"""),"")</f>
        <v/>
      </c>
    </row>
    <row r="2243" spans="1:5">
      <c r="A2243" s="59" t="s">
        <v>11936</v>
      </c>
      <c r="E2243" s="57" t="str">
        <f ca="1">IFERROR(__xludf.DUMMYFUNCTION("""COMPUTED_VALUE"""),"")</f>
        <v/>
      </c>
    </row>
    <row r="2244" spans="1:5">
      <c r="A2244" s="12"/>
      <c r="E2244" s="57" t="str">
        <f ca="1">IFERROR(__xludf.DUMMYFUNCTION("""COMPUTED_VALUE"""),"")</f>
        <v/>
      </c>
    </row>
    <row r="2245" spans="1:5">
      <c r="A2245" s="12" t="s">
        <v>11937</v>
      </c>
      <c r="E2245" s="57" t="str">
        <f ca="1">IFERROR(__xludf.DUMMYFUNCTION("""COMPUTED_VALUE"""),"")</f>
        <v/>
      </c>
    </row>
    <row r="2246" spans="1:5">
      <c r="A2246" s="59" t="s">
        <v>11938</v>
      </c>
      <c r="E2246" s="57" t="str">
        <f ca="1">IFERROR(__xludf.DUMMYFUNCTION("""COMPUTED_VALUE"""),"")</f>
        <v/>
      </c>
    </row>
    <row r="2247" spans="1:5">
      <c r="A2247" s="12"/>
      <c r="E2247" s="57" t="str">
        <f ca="1">IFERROR(__xludf.DUMMYFUNCTION("""COMPUTED_VALUE"""),"")</f>
        <v/>
      </c>
    </row>
    <row r="2248" spans="1:5">
      <c r="A2248" s="12" t="s">
        <v>11939</v>
      </c>
      <c r="E2248" s="57" t="str">
        <f ca="1">IFERROR(__xludf.DUMMYFUNCTION("""COMPUTED_VALUE"""),"")</f>
        <v/>
      </c>
    </row>
    <row r="2249" spans="1:5">
      <c r="A2249" s="59" t="s">
        <v>11940</v>
      </c>
      <c r="E2249" s="57" t="str">
        <f ca="1">IFERROR(__xludf.DUMMYFUNCTION("""COMPUTED_VALUE"""),"")</f>
        <v/>
      </c>
    </row>
    <row r="2250" spans="1:5">
      <c r="A2250" s="12"/>
      <c r="E2250" s="57" t="str">
        <f ca="1">IFERROR(__xludf.DUMMYFUNCTION("""COMPUTED_VALUE"""),"")</f>
        <v/>
      </c>
    </row>
    <row r="2251" spans="1:5">
      <c r="A2251" s="12" t="s">
        <v>11941</v>
      </c>
      <c r="E2251" s="57" t="str">
        <f ca="1">IFERROR(__xludf.DUMMYFUNCTION("""COMPUTED_VALUE"""),"")</f>
        <v/>
      </c>
    </row>
    <row r="2252" spans="1:5">
      <c r="A2252" s="59" t="s">
        <v>11942</v>
      </c>
      <c r="E2252" s="57" t="str">
        <f ca="1">IFERROR(__xludf.DUMMYFUNCTION("""COMPUTED_VALUE"""),"")</f>
        <v/>
      </c>
    </row>
    <row r="2253" spans="1:5">
      <c r="A2253" s="12"/>
      <c r="E2253" s="57" t="str">
        <f ca="1">IFERROR(__xludf.DUMMYFUNCTION("""COMPUTED_VALUE"""),"")</f>
        <v/>
      </c>
    </row>
    <row r="2254" spans="1:5">
      <c r="A2254" s="12" t="s">
        <v>11943</v>
      </c>
      <c r="E2254" s="57" t="str">
        <f ca="1">IFERROR(__xludf.DUMMYFUNCTION("""COMPUTED_VALUE"""),"")</f>
        <v/>
      </c>
    </row>
    <row r="2255" spans="1:5">
      <c r="A2255" s="59" t="s">
        <v>11944</v>
      </c>
      <c r="E2255" s="57" t="str">
        <f ca="1">IFERROR(__xludf.DUMMYFUNCTION("""COMPUTED_VALUE"""),"")</f>
        <v/>
      </c>
    </row>
    <row r="2256" spans="1:5">
      <c r="A2256" s="12"/>
      <c r="E2256" s="57" t="str">
        <f ca="1">IFERROR(__xludf.DUMMYFUNCTION("""COMPUTED_VALUE"""),"")</f>
        <v/>
      </c>
    </row>
    <row r="2257" spans="1:5">
      <c r="A2257" s="12" t="s">
        <v>11945</v>
      </c>
      <c r="E2257" s="57" t="str">
        <f ca="1">IFERROR(__xludf.DUMMYFUNCTION("""COMPUTED_VALUE"""),"")</f>
        <v/>
      </c>
    </row>
    <row r="2258" spans="1:5">
      <c r="A2258" s="59" t="s">
        <v>11946</v>
      </c>
      <c r="E2258" s="57" t="str">
        <f ca="1">IFERROR(__xludf.DUMMYFUNCTION("""COMPUTED_VALUE"""),"")</f>
        <v/>
      </c>
    </row>
    <row r="2259" spans="1:5">
      <c r="A2259" s="12"/>
      <c r="E2259" s="57" t="str">
        <f ca="1">IFERROR(__xludf.DUMMYFUNCTION("""COMPUTED_VALUE"""),"")</f>
        <v/>
      </c>
    </row>
    <row r="2260" spans="1:5">
      <c r="A2260" s="12" t="s">
        <v>11947</v>
      </c>
      <c r="E2260" s="57" t="str">
        <f ca="1">IFERROR(__xludf.DUMMYFUNCTION("""COMPUTED_VALUE"""),"")</f>
        <v/>
      </c>
    </row>
    <row r="2261" spans="1:5">
      <c r="A2261" s="59" t="s">
        <v>11948</v>
      </c>
      <c r="E2261" s="57" t="str">
        <f ca="1">IFERROR(__xludf.DUMMYFUNCTION("""COMPUTED_VALUE"""),"")</f>
        <v/>
      </c>
    </row>
    <row r="2262" spans="1:5">
      <c r="A2262" s="12"/>
      <c r="E2262" s="57" t="str">
        <f ca="1">IFERROR(__xludf.DUMMYFUNCTION("""COMPUTED_VALUE"""),"")</f>
        <v/>
      </c>
    </row>
    <row r="2263" spans="1:5">
      <c r="A2263" s="12" t="s">
        <v>11949</v>
      </c>
      <c r="E2263" s="57" t="str">
        <f ca="1">IFERROR(__xludf.DUMMYFUNCTION("""COMPUTED_VALUE"""),"")</f>
        <v/>
      </c>
    </row>
    <row r="2264" spans="1:5">
      <c r="A2264" s="59" t="s">
        <v>11950</v>
      </c>
      <c r="E2264" s="57" t="str">
        <f ca="1">IFERROR(__xludf.DUMMYFUNCTION("""COMPUTED_VALUE"""),"")</f>
        <v/>
      </c>
    </row>
    <row r="2265" spans="1:5">
      <c r="A2265" s="12"/>
      <c r="E2265" s="57" t="str">
        <f ca="1">IFERROR(__xludf.DUMMYFUNCTION("""COMPUTED_VALUE"""),"")</f>
        <v/>
      </c>
    </row>
    <row r="2266" spans="1:5">
      <c r="A2266" s="12" t="s">
        <v>11951</v>
      </c>
      <c r="E2266" s="57" t="str">
        <f ca="1">IFERROR(__xludf.DUMMYFUNCTION("""COMPUTED_VALUE"""),"")</f>
        <v/>
      </c>
    </row>
    <row r="2267" spans="1:5">
      <c r="A2267" s="59" t="s">
        <v>11952</v>
      </c>
      <c r="E2267" s="57" t="str">
        <f ca="1">IFERROR(__xludf.DUMMYFUNCTION("""COMPUTED_VALUE"""),"")</f>
        <v/>
      </c>
    </row>
    <row r="2268" spans="1:5">
      <c r="A2268" s="12"/>
      <c r="E2268" s="57" t="str">
        <f ca="1">IFERROR(__xludf.DUMMYFUNCTION("""COMPUTED_VALUE"""),"")</f>
        <v/>
      </c>
    </row>
    <row r="2269" spans="1:5">
      <c r="A2269" s="12" t="s">
        <v>11953</v>
      </c>
      <c r="E2269" s="57" t="str">
        <f ca="1">IFERROR(__xludf.DUMMYFUNCTION("""COMPUTED_VALUE"""),"")</f>
        <v/>
      </c>
    </row>
    <row r="2270" spans="1:5">
      <c r="A2270" s="59" t="s">
        <v>11954</v>
      </c>
      <c r="E2270" s="57" t="str">
        <f ca="1">IFERROR(__xludf.DUMMYFUNCTION("""COMPUTED_VALUE"""),"")</f>
        <v/>
      </c>
    </row>
    <row r="2271" spans="1:5">
      <c r="A2271" s="12"/>
      <c r="E2271" s="57" t="str">
        <f ca="1">IFERROR(__xludf.DUMMYFUNCTION("""COMPUTED_VALUE"""),"")</f>
        <v/>
      </c>
    </row>
    <row r="2272" spans="1:5">
      <c r="A2272" s="12" t="s">
        <v>11955</v>
      </c>
      <c r="E2272" s="57" t="str">
        <f ca="1">IFERROR(__xludf.DUMMYFUNCTION("""COMPUTED_VALUE"""),"")</f>
        <v/>
      </c>
    </row>
    <row r="2273" spans="1:5">
      <c r="A2273" s="59" t="s">
        <v>11956</v>
      </c>
      <c r="E2273" s="57" t="str">
        <f ca="1">IFERROR(__xludf.DUMMYFUNCTION("""COMPUTED_VALUE"""),"")</f>
        <v/>
      </c>
    </row>
    <row r="2274" spans="1:5">
      <c r="A2274" s="12"/>
      <c r="E2274" s="57" t="str">
        <f ca="1">IFERROR(__xludf.DUMMYFUNCTION("""COMPUTED_VALUE"""),"")</f>
        <v/>
      </c>
    </row>
    <row r="2275" spans="1:5">
      <c r="A2275" s="12" t="s">
        <v>11957</v>
      </c>
      <c r="E2275" s="57" t="str">
        <f ca="1">IFERROR(__xludf.DUMMYFUNCTION("""COMPUTED_VALUE"""),"")</f>
        <v/>
      </c>
    </row>
    <row r="2276" spans="1:5">
      <c r="A2276" s="59" t="s">
        <v>11958</v>
      </c>
      <c r="E2276" s="57" t="str">
        <f ca="1">IFERROR(__xludf.DUMMYFUNCTION("""COMPUTED_VALUE"""),"")</f>
        <v/>
      </c>
    </row>
    <row r="2277" spans="1:5">
      <c r="A2277" s="12"/>
      <c r="E2277" s="57" t="str">
        <f ca="1">IFERROR(__xludf.DUMMYFUNCTION("""COMPUTED_VALUE"""),"")</f>
        <v/>
      </c>
    </row>
    <row r="2278" spans="1:5">
      <c r="A2278" s="12" t="s">
        <v>11959</v>
      </c>
      <c r="E2278" s="57" t="str">
        <f ca="1">IFERROR(__xludf.DUMMYFUNCTION("""COMPUTED_VALUE"""),"")</f>
        <v/>
      </c>
    </row>
    <row r="2279" spans="1:5">
      <c r="A2279" s="59" t="s">
        <v>11960</v>
      </c>
      <c r="E2279" s="57" t="str">
        <f ca="1">IFERROR(__xludf.DUMMYFUNCTION("""COMPUTED_VALUE"""),"")</f>
        <v/>
      </c>
    </row>
    <row r="2280" spans="1:5">
      <c r="A2280" s="12"/>
      <c r="E2280" s="57" t="str">
        <f ca="1">IFERROR(__xludf.DUMMYFUNCTION("""COMPUTED_VALUE"""),"")</f>
        <v/>
      </c>
    </row>
    <row r="2281" spans="1:5">
      <c r="A2281" s="12" t="s">
        <v>11961</v>
      </c>
      <c r="E2281" s="57" t="str">
        <f ca="1">IFERROR(__xludf.DUMMYFUNCTION("""COMPUTED_VALUE"""),"")</f>
        <v/>
      </c>
    </row>
    <row r="2282" spans="1:5">
      <c r="A2282" s="59" t="s">
        <v>11962</v>
      </c>
      <c r="E2282" s="57" t="str">
        <f ca="1">IFERROR(__xludf.DUMMYFUNCTION("""COMPUTED_VALUE"""),"")</f>
        <v/>
      </c>
    </row>
    <row r="2283" spans="1:5">
      <c r="A2283" s="12"/>
      <c r="E2283" s="57" t="str">
        <f ca="1">IFERROR(__xludf.DUMMYFUNCTION("""COMPUTED_VALUE"""),"")</f>
        <v/>
      </c>
    </row>
    <row r="2284" spans="1:5">
      <c r="A2284" s="12" t="s">
        <v>11963</v>
      </c>
      <c r="E2284" s="57" t="str">
        <f ca="1">IFERROR(__xludf.DUMMYFUNCTION("""COMPUTED_VALUE"""),"")</f>
        <v/>
      </c>
    </row>
    <row r="2285" spans="1:5">
      <c r="A2285" s="59" t="s">
        <v>11964</v>
      </c>
      <c r="E2285" s="57" t="str">
        <f ca="1">IFERROR(__xludf.DUMMYFUNCTION("""COMPUTED_VALUE"""),"")</f>
        <v/>
      </c>
    </row>
    <row r="2286" spans="1:5">
      <c r="A2286" s="12"/>
      <c r="E2286" s="57" t="str">
        <f ca="1">IFERROR(__xludf.DUMMYFUNCTION("""COMPUTED_VALUE"""),"")</f>
        <v/>
      </c>
    </row>
    <row r="2287" spans="1:5">
      <c r="A2287" s="12" t="s">
        <v>11965</v>
      </c>
      <c r="E2287" s="57" t="str">
        <f ca="1">IFERROR(__xludf.DUMMYFUNCTION("""COMPUTED_VALUE"""),"")</f>
        <v/>
      </c>
    </row>
    <row r="2288" spans="1:5">
      <c r="A2288" s="59" t="s">
        <v>11966</v>
      </c>
      <c r="E2288" s="57" t="str">
        <f ca="1">IFERROR(__xludf.DUMMYFUNCTION("""COMPUTED_VALUE"""),"")</f>
        <v/>
      </c>
    </row>
    <row r="2289" spans="1:5">
      <c r="A2289" s="12"/>
      <c r="E2289" s="57" t="str">
        <f ca="1">IFERROR(__xludf.DUMMYFUNCTION("""COMPUTED_VALUE"""),"")</f>
        <v/>
      </c>
    </row>
    <row r="2290" spans="1:5">
      <c r="A2290" s="12" t="s">
        <v>11967</v>
      </c>
      <c r="E2290" s="57" t="str">
        <f ca="1">IFERROR(__xludf.DUMMYFUNCTION("""COMPUTED_VALUE"""),"")</f>
        <v/>
      </c>
    </row>
    <row r="2291" spans="1:5">
      <c r="A2291" s="59" t="s">
        <v>11968</v>
      </c>
      <c r="E2291" s="57" t="str">
        <f ca="1">IFERROR(__xludf.DUMMYFUNCTION("""COMPUTED_VALUE"""),"")</f>
        <v/>
      </c>
    </row>
    <row r="2292" spans="1:5">
      <c r="A2292" s="12"/>
      <c r="E2292" s="57" t="str">
        <f ca="1">IFERROR(__xludf.DUMMYFUNCTION("""COMPUTED_VALUE"""),"")</f>
        <v/>
      </c>
    </row>
    <row r="2293" spans="1:5">
      <c r="A2293" s="12" t="s">
        <v>11969</v>
      </c>
      <c r="E2293" s="57" t="str">
        <f ca="1">IFERROR(__xludf.DUMMYFUNCTION("""COMPUTED_VALUE"""),"")</f>
        <v/>
      </c>
    </row>
    <row r="2294" spans="1:5">
      <c r="A2294" s="59" t="s">
        <v>11970</v>
      </c>
      <c r="E2294" s="57" t="str">
        <f ca="1">IFERROR(__xludf.DUMMYFUNCTION("""COMPUTED_VALUE"""),"")</f>
        <v/>
      </c>
    </row>
    <row r="2295" spans="1:5">
      <c r="A2295" s="12"/>
      <c r="E2295" s="57" t="str">
        <f ca="1">IFERROR(__xludf.DUMMYFUNCTION("""COMPUTED_VALUE"""),"")</f>
        <v/>
      </c>
    </row>
    <row r="2296" spans="1:5">
      <c r="A2296" s="12" t="s">
        <v>11971</v>
      </c>
      <c r="E2296" s="57" t="str">
        <f ca="1">IFERROR(__xludf.DUMMYFUNCTION("""COMPUTED_VALUE"""),"")</f>
        <v/>
      </c>
    </row>
    <row r="2297" spans="1:5">
      <c r="A2297" s="59" t="s">
        <v>11972</v>
      </c>
      <c r="E2297" s="57" t="str">
        <f ca="1">IFERROR(__xludf.DUMMYFUNCTION("""COMPUTED_VALUE"""),"")</f>
        <v/>
      </c>
    </row>
    <row r="2298" spans="1:5">
      <c r="A2298" s="12"/>
      <c r="E2298" s="57" t="str">
        <f ca="1">IFERROR(__xludf.DUMMYFUNCTION("""COMPUTED_VALUE"""),"")</f>
        <v/>
      </c>
    </row>
    <row r="2299" spans="1:5">
      <c r="A2299" s="12" t="s">
        <v>11973</v>
      </c>
      <c r="E2299" s="57" t="str">
        <f ca="1">IFERROR(__xludf.DUMMYFUNCTION("""COMPUTED_VALUE"""),"")</f>
        <v/>
      </c>
    </row>
    <row r="2300" spans="1:5">
      <c r="A2300" s="59" t="s">
        <v>11974</v>
      </c>
      <c r="E2300" s="57" t="str">
        <f ca="1">IFERROR(__xludf.DUMMYFUNCTION("""COMPUTED_VALUE"""),"")</f>
        <v/>
      </c>
    </row>
    <row r="2301" spans="1:5">
      <c r="A2301" s="12"/>
      <c r="E2301" s="57" t="str">
        <f ca="1">IFERROR(__xludf.DUMMYFUNCTION("""COMPUTED_VALUE"""),"")</f>
        <v/>
      </c>
    </row>
    <row r="2302" spans="1:5">
      <c r="A2302" s="12" t="s">
        <v>11975</v>
      </c>
      <c r="E2302" s="57" t="str">
        <f ca="1">IFERROR(__xludf.DUMMYFUNCTION("""COMPUTED_VALUE"""),"")</f>
        <v/>
      </c>
    </row>
    <row r="2303" spans="1:5">
      <c r="A2303" s="59" t="s">
        <v>11976</v>
      </c>
      <c r="E2303" s="57" t="str">
        <f ca="1">IFERROR(__xludf.DUMMYFUNCTION("""COMPUTED_VALUE"""),"")</f>
        <v/>
      </c>
    </row>
    <row r="2304" spans="1:5">
      <c r="A2304" s="12"/>
      <c r="E2304" s="57" t="str">
        <f ca="1">IFERROR(__xludf.DUMMYFUNCTION("""COMPUTED_VALUE"""),"")</f>
        <v/>
      </c>
    </row>
    <row r="2305" spans="1:5">
      <c r="A2305" s="12" t="s">
        <v>11977</v>
      </c>
      <c r="E2305" s="57" t="str">
        <f ca="1">IFERROR(__xludf.DUMMYFUNCTION("""COMPUTED_VALUE"""),"")</f>
        <v/>
      </c>
    </row>
    <row r="2306" spans="1:5">
      <c r="A2306" s="59" t="s">
        <v>11978</v>
      </c>
      <c r="E2306" s="57" t="str">
        <f ca="1">IFERROR(__xludf.DUMMYFUNCTION("""COMPUTED_VALUE"""),"")</f>
        <v/>
      </c>
    </row>
    <row r="2307" spans="1:5">
      <c r="A2307" s="12"/>
      <c r="E2307" s="57" t="str">
        <f ca="1">IFERROR(__xludf.DUMMYFUNCTION("""COMPUTED_VALUE"""),"")</f>
        <v/>
      </c>
    </row>
    <row r="2308" spans="1:5">
      <c r="A2308" s="12" t="s">
        <v>11979</v>
      </c>
      <c r="E2308" s="57" t="str">
        <f ca="1">IFERROR(__xludf.DUMMYFUNCTION("""COMPUTED_VALUE"""),"")</f>
        <v/>
      </c>
    </row>
    <row r="2309" spans="1:5">
      <c r="A2309" s="59" t="s">
        <v>11980</v>
      </c>
      <c r="E2309" s="57" t="str">
        <f ca="1">IFERROR(__xludf.DUMMYFUNCTION("""COMPUTED_VALUE"""),"")</f>
        <v/>
      </c>
    </row>
    <row r="2310" spans="1:5">
      <c r="A2310" s="12"/>
      <c r="E2310" s="57" t="str">
        <f ca="1">IFERROR(__xludf.DUMMYFUNCTION("""COMPUTED_VALUE"""),"")</f>
        <v/>
      </c>
    </row>
    <row r="2311" spans="1:5">
      <c r="A2311" s="12" t="s">
        <v>11981</v>
      </c>
      <c r="E2311" s="57" t="str">
        <f ca="1">IFERROR(__xludf.DUMMYFUNCTION("""COMPUTED_VALUE"""),"")</f>
        <v/>
      </c>
    </row>
    <row r="2312" spans="1:5">
      <c r="A2312" s="59" t="s">
        <v>11982</v>
      </c>
      <c r="E2312" s="57" t="str">
        <f ca="1">IFERROR(__xludf.DUMMYFUNCTION("""COMPUTED_VALUE"""),"")</f>
        <v/>
      </c>
    </row>
    <row r="2313" spans="1:5">
      <c r="A2313" s="12"/>
      <c r="E2313" s="57" t="str">
        <f ca="1">IFERROR(__xludf.DUMMYFUNCTION("""COMPUTED_VALUE"""),"")</f>
        <v/>
      </c>
    </row>
    <row r="2314" spans="1:5">
      <c r="A2314" s="12" t="s">
        <v>11983</v>
      </c>
      <c r="E2314" s="57" t="str">
        <f ca="1">IFERROR(__xludf.DUMMYFUNCTION("""COMPUTED_VALUE"""),"")</f>
        <v/>
      </c>
    </row>
    <row r="2315" spans="1:5">
      <c r="A2315" s="59" t="s">
        <v>11984</v>
      </c>
      <c r="E2315" s="57" t="str">
        <f ca="1">IFERROR(__xludf.DUMMYFUNCTION("""COMPUTED_VALUE"""),"")</f>
        <v/>
      </c>
    </row>
    <row r="2316" spans="1:5">
      <c r="A2316" s="12"/>
      <c r="E2316" s="57" t="str">
        <f ca="1">IFERROR(__xludf.DUMMYFUNCTION("""COMPUTED_VALUE"""),"")</f>
        <v/>
      </c>
    </row>
    <row r="2317" spans="1:5">
      <c r="A2317" s="12" t="s">
        <v>11985</v>
      </c>
      <c r="E2317" s="57" t="str">
        <f ca="1">IFERROR(__xludf.DUMMYFUNCTION("""COMPUTED_VALUE"""),"")</f>
        <v/>
      </c>
    </row>
    <row r="2318" spans="1:5">
      <c r="A2318" s="59" t="s">
        <v>11986</v>
      </c>
      <c r="E2318" s="57" t="str">
        <f ca="1">IFERROR(__xludf.DUMMYFUNCTION("""COMPUTED_VALUE"""),"")</f>
        <v/>
      </c>
    </row>
    <row r="2319" spans="1:5">
      <c r="A2319" s="12"/>
      <c r="E2319" s="57" t="str">
        <f ca="1">IFERROR(__xludf.DUMMYFUNCTION("""COMPUTED_VALUE"""),"")</f>
        <v/>
      </c>
    </row>
    <row r="2320" spans="1:5">
      <c r="A2320" s="12" t="s">
        <v>11987</v>
      </c>
      <c r="E2320" s="57" t="str">
        <f ca="1">IFERROR(__xludf.DUMMYFUNCTION("""COMPUTED_VALUE"""),"")</f>
        <v/>
      </c>
    </row>
    <row r="2321" spans="1:5">
      <c r="A2321" s="59" t="s">
        <v>11988</v>
      </c>
      <c r="E2321" s="57" t="str">
        <f ca="1">IFERROR(__xludf.DUMMYFUNCTION("""COMPUTED_VALUE"""),"")</f>
        <v/>
      </c>
    </row>
    <row r="2322" spans="1:5">
      <c r="A2322" s="12"/>
      <c r="E2322" s="57" t="str">
        <f ca="1">IFERROR(__xludf.DUMMYFUNCTION("""COMPUTED_VALUE"""),"")</f>
        <v/>
      </c>
    </row>
    <row r="2323" spans="1:5">
      <c r="A2323" s="12" t="s">
        <v>11989</v>
      </c>
      <c r="E2323" s="57" t="str">
        <f ca="1">IFERROR(__xludf.DUMMYFUNCTION("""COMPUTED_VALUE"""),"")</f>
        <v/>
      </c>
    </row>
    <row r="2324" spans="1:5">
      <c r="A2324" s="59" t="s">
        <v>11990</v>
      </c>
      <c r="E2324" s="57" t="str">
        <f ca="1">IFERROR(__xludf.DUMMYFUNCTION("""COMPUTED_VALUE"""),"")</f>
        <v/>
      </c>
    </row>
    <row r="2325" spans="1:5">
      <c r="A2325" s="12"/>
      <c r="E2325" s="57" t="str">
        <f ca="1">IFERROR(__xludf.DUMMYFUNCTION("""COMPUTED_VALUE"""),"")</f>
        <v/>
      </c>
    </row>
    <row r="2326" spans="1:5">
      <c r="A2326" s="12" t="s">
        <v>11991</v>
      </c>
      <c r="E2326" s="57" t="str">
        <f ca="1">IFERROR(__xludf.DUMMYFUNCTION("""COMPUTED_VALUE"""),"")</f>
        <v/>
      </c>
    </row>
    <row r="2327" spans="1:5">
      <c r="A2327" s="59" t="s">
        <v>11992</v>
      </c>
      <c r="E2327" s="57" t="str">
        <f ca="1">IFERROR(__xludf.DUMMYFUNCTION("""COMPUTED_VALUE"""),"")</f>
        <v/>
      </c>
    </row>
    <row r="2328" spans="1:5">
      <c r="A2328" s="12"/>
      <c r="E2328" s="57" t="str">
        <f ca="1">IFERROR(__xludf.DUMMYFUNCTION("""COMPUTED_VALUE"""),"")</f>
        <v/>
      </c>
    </row>
    <row r="2329" spans="1:5">
      <c r="A2329" s="12" t="s">
        <v>11993</v>
      </c>
      <c r="E2329" s="57" t="str">
        <f ca="1">IFERROR(__xludf.DUMMYFUNCTION("""COMPUTED_VALUE"""),"")</f>
        <v/>
      </c>
    </row>
    <row r="2330" spans="1:5">
      <c r="A2330" s="59" t="s">
        <v>11994</v>
      </c>
      <c r="E2330" s="57" t="str">
        <f ca="1">IFERROR(__xludf.DUMMYFUNCTION("""COMPUTED_VALUE"""),"")</f>
        <v/>
      </c>
    </row>
    <row r="2331" spans="1:5">
      <c r="A2331" s="12"/>
      <c r="E2331" s="57" t="str">
        <f ca="1">IFERROR(__xludf.DUMMYFUNCTION("""COMPUTED_VALUE"""),"")</f>
        <v/>
      </c>
    </row>
    <row r="2332" spans="1:5">
      <c r="A2332" s="12" t="s">
        <v>11995</v>
      </c>
      <c r="E2332" s="57" t="str">
        <f ca="1">IFERROR(__xludf.DUMMYFUNCTION("""COMPUTED_VALUE"""),"")</f>
        <v/>
      </c>
    </row>
    <row r="2333" spans="1:5">
      <c r="A2333" s="59" t="s">
        <v>11996</v>
      </c>
      <c r="E2333" s="57" t="str">
        <f ca="1">IFERROR(__xludf.DUMMYFUNCTION("""COMPUTED_VALUE"""),"")</f>
        <v/>
      </c>
    </row>
    <row r="2334" spans="1:5">
      <c r="A2334" s="12"/>
      <c r="E2334" s="57" t="str">
        <f ca="1">IFERROR(__xludf.DUMMYFUNCTION("""COMPUTED_VALUE"""),"")</f>
        <v/>
      </c>
    </row>
    <row r="2335" spans="1:5">
      <c r="A2335" s="12" t="s">
        <v>11997</v>
      </c>
      <c r="E2335" s="57" t="str">
        <f ca="1">IFERROR(__xludf.DUMMYFUNCTION("""COMPUTED_VALUE"""),"")</f>
        <v/>
      </c>
    </row>
    <row r="2336" spans="1:5">
      <c r="A2336" s="59" t="s">
        <v>11998</v>
      </c>
      <c r="E2336" s="57" t="str">
        <f ca="1">IFERROR(__xludf.DUMMYFUNCTION("""COMPUTED_VALUE"""),"")</f>
        <v/>
      </c>
    </row>
    <row r="2337" spans="1:5">
      <c r="A2337" s="12"/>
      <c r="E2337" s="57" t="str">
        <f ca="1">IFERROR(__xludf.DUMMYFUNCTION("""COMPUTED_VALUE"""),"")</f>
        <v/>
      </c>
    </row>
    <row r="2338" spans="1:5">
      <c r="A2338" s="12" t="s">
        <v>11999</v>
      </c>
      <c r="E2338" s="57" t="str">
        <f ca="1">IFERROR(__xludf.DUMMYFUNCTION("""COMPUTED_VALUE"""),"")</f>
        <v/>
      </c>
    </row>
    <row r="2339" spans="1:5">
      <c r="A2339" s="59" t="s">
        <v>12000</v>
      </c>
      <c r="E2339" s="57" t="str">
        <f ca="1">IFERROR(__xludf.DUMMYFUNCTION("""COMPUTED_VALUE"""),"")</f>
        <v/>
      </c>
    </row>
    <row r="2340" spans="1:5">
      <c r="A2340" s="12"/>
      <c r="E2340" s="57" t="str">
        <f ca="1">IFERROR(__xludf.DUMMYFUNCTION("""COMPUTED_VALUE"""),"")</f>
        <v/>
      </c>
    </row>
    <row r="2341" spans="1:5">
      <c r="A2341" s="12" t="s">
        <v>12001</v>
      </c>
      <c r="E2341" s="57" t="str">
        <f ca="1">IFERROR(__xludf.DUMMYFUNCTION("""COMPUTED_VALUE"""),"")</f>
        <v/>
      </c>
    </row>
    <row r="2342" spans="1:5">
      <c r="A2342" s="59" t="s">
        <v>12002</v>
      </c>
      <c r="E2342" s="57" t="str">
        <f ca="1">IFERROR(__xludf.DUMMYFUNCTION("""COMPUTED_VALUE"""),"")</f>
        <v/>
      </c>
    </row>
    <row r="2343" spans="1:5">
      <c r="A2343" s="12"/>
      <c r="E2343" s="57" t="str">
        <f ca="1">IFERROR(__xludf.DUMMYFUNCTION("""COMPUTED_VALUE"""),"")</f>
        <v/>
      </c>
    </row>
    <row r="2344" spans="1:5">
      <c r="A2344" s="12" t="s">
        <v>12003</v>
      </c>
      <c r="E2344" s="57" t="str">
        <f ca="1">IFERROR(__xludf.DUMMYFUNCTION("""COMPUTED_VALUE"""),"")</f>
        <v/>
      </c>
    </row>
    <row r="2345" spans="1:5">
      <c r="A2345" s="59" t="s">
        <v>12004</v>
      </c>
      <c r="E2345" s="57" t="str">
        <f ca="1">IFERROR(__xludf.DUMMYFUNCTION("""COMPUTED_VALUE"""),"")</f>
        <v/>
      </c>
    </row>
    <row r="2346" spans="1:5">
      <c r="A2346" s="12"/>
      <c r="E2346" s="57" t="str">
        <f ca="1">IFERROR(__xludf.DUMMYFUNCTION("""COMPUTED_VALUE"""),"")</f>
        <v/>
      </c>
    </row>
    <row r="2347" spans="1:5">
      <c r="A2347" s="12" t="s">
        <v>12005</v>
      </c>
      <c r="E2347" s="57" t="str">
        <f ca="1">IFERROR(__xludf.DUMMYFUNCTION("""COMPUTED_VALUE"""),"")</f>
        <v/>
      </c>
    </row>
    <row r="2348" spans="1:5">
      <c r="A2348" s="59" t="s">
        <v>12006</v>
      </c>
      <c r="E2348" s="57" t="str">
        <f ca="1">IFERROR(__xludf.DUMMYFUNCTION("""COMPUTED_VALUE"""),"")</f>
        <v/>
      </c>
    </row>
    <row r="2349" spans="1:5">
      <c r="A2349" s="12"/>
      <c r="E2349" s="57" t="str">
        <f ca="1">IFERROR(__xludf.DUMMYFUNCTION("""COMPUTED_VALUE"""),"")</f>
        <v/>
      </c>
    </row>
    <row r="2350" spans="1:5">
      <c r="A2350" s="12" t="s">
        <v>12007</v>
      </c>
      <c r="E2350" s="57" t="str">
        <f ca="1">IFERROR(__xludf.DUMMYFUNCTION("""COMPUTED_VALUE"""),"")</f>
        <v/>
      </c>
    </row>
    <row r="2351" spans="1:5">
      <c r="A2351" s="59" t="s">
        <v>12008</v>
      </c>
      <c r="E2351" s="57" t="str">
        <f ca="1">IFERROR(__xludf.DUMMYFUNCTION("""COMPUTED_VALUE"""),"")</f>
        <v/>
      </c>
    </row>
    <row r="2352" spans="1:5">
      <c r="A2352" s="12"/>
      <c r="E2352" s="57" t="str">
        <f ca="1">IFERROR(__xludf.DUMMYFUNCTION("""COMPUTED_VALUE"""),"")</f>
        <v/>
      </c>
    </row>
    <row r="2353" spans="1:5">
      <c r="A2353" s="12" t="s">
        <v>12009</v>
      </c>
      <c r="E2353" s="57" t="str">
        <f ca="1">IFERROR(__xludf.DUMMYFUNCTION("""COMPUTED_VALUE"""),"")</f>
        <v/>
      </c>
    </row>
    <row r="2354" spans="1:5">
      <c r="A2354" s="59" t="s">
        <v>12010</v>
      </c>
      <c r="E2354" s="57" t="str">
        <f ca="1">IFERROR(__xludf.DUMMYFUNCTION("""COMPUTED_VALUE"""),"")</f>
        <v/>
      </c>
    </row>
    <row r="2355" spans="1:5">
      <c r="A2355" s="12"/>
      <c r="E2355" s="57" t="str">
        <f ca="1">IFERROR(__xludf.DUMMYFUNCTION("""COMPUTED_VALUE"""),"")</f>
        <v/>
      </c>
    </row>
    <row r="2356" spans="1:5">
      <c r="A2356" s="12" t="s">
        <v>12011</v>
      </c>
      <c r="E2356" s="57" t="str">
        <f ca="1">IFERROR(__xludf.DUMMYFUNCTION("""COMPUTED_VALUE"""),"")</f>
        <v/>
      </c>
    </row>
    <row r="2357" spans="1:5">
      <c r="A2357" s="59" t="s">
        <v>12012</v>
      </c>
      <c r="E2357" s="57" t="str">
        <f ca="1">IFERROR(__xludf.DUMMYFUNCTION("""COMPUTED_VALUE"""),"")</f>
        <v/>
      </c>
    </row>
    <row r="2358" spans="1:5">
      <c r="A2358" s="12"/>
      <c r="E2358" s="57" t="str">
        <f ca="1">IFERROR(__xludf.DUMMYFUNCTION("""COMPUTED_VALUE"""),"")</f>
        <v/>
      </c>
    </row>
    <row r="2359" spans="1:5">
      <c r="A2359" s="12" t="s">
        <v>12013</v>
      </c>
      <c r="E2359" s="57" t="str">
        <f ca="1">IFERROR(__xludf.DUMMYFUNCTION("""COMPUTED_VALUE"""),"")</f>
        <v/>
      </c>
    </row>
    <row r="2360" spans="1:5">
      <c r="A2360" s="59" t="s">
        <v>12014</v>
      </c>
      <c r="E2360" s="57" t="str">
        <f ca="1">IFERROR(__xludf.DUMMYFUNCTION("""COMPUTED_VALUE"""),"")</f>
        <v/>
      </c>
    </row>
    <row r="2361" spans="1:5">
      <c r="A2361" s="12"/>
      <c r="E2361" s="57" t="str">
        <f ca="1">IFERROR(__xludf.DUMMYFUNCTION("""COMPUTED_VALUE"""),"")</f>
        <v/>
      </c>
    </row>
    <row r="2362" spans="1:5">
      <c r="A2362" s="12" t="s">
        <v>12015</v>
      </c>
      <c r="E2362" s="57" t="str">
        <f ca="1">IFERROR(__xludf.DUMMYFUNCTION("""COMPUTED_VALUE"""),"")</f>
        <v/>
      </c>
    </row>
    <row r="2363" spans="1:5">
      <c r="A2363" s="59" t="s">
        <v>12016</v>
      </c>
      <c r="E2363" s="57" t="str">
        <f ca="1">IFERROR(__xludf.DUMMYFUNCTION("""COMPUTED_VALUE"""),"")</f>
        <v/>
      </c>
    </row>
    <row r="2364" spans="1:5">
      <c r="A2364" s="12"/>
      <c r="E2364" s="57" t="str">
        <f ca="1">IFERROR(__xludf.DUMMYFUNCTION("""COMPUTED_VALUE"""),"")</f>
        <v/>
      </c>
    </row>
    <row r="2365" spans="1:5">
      <c r="A2365" s="12" t="s">
        <v>12017</v>
      </c>
      <c r="E2365" s="57" t="str">
        <f ca="1">IFERROR(__xludf.DUMMYFUNCTION("""COMPUTED_VALUE"""),"")</f>
        <v/>
      </c>
    </row>
    <row r="2366" spans="1:5">
      <c r="A2366" s="59" t="s">
        <v>12018</v>
      </c>
      <c r="E2366" s="57" t="str">
        <f ca="1">IFERROR(__xludf.DUMMYFUNCTION("""COMPUTED_VALUE"""),"")</f>
        <v/>
      </c>
    </row>
    <row r="2367" spans="1:5">
      <c r="A2367" s="12"/>
      <c r="E2367" s="57" t="str">
        <f ca="1">IFERROR(__xludf.DUMMYFUNCTION("""COMPUTED_VALUE"""),"")</f>
        <v/>
      </c>
    </row>
    <row r="2368" spans="1:5">
      <c r="A2368" s="12" t="s">
        <v>12019</v>
      </c>
      <c r="E2368" s="57" t="str">
        <f ca="1">IFERROR(__xludf.DUMMYFUNCTION("""COMPUTED_VALUE"""),"")</f>
        <v/>
      </c>
    </row>
    <row r="2369" spans="1:5">
      <c r="A2369" s="59" t="s">
        <v>12020</v>
      </c>
      <c r="E2369" s="57" t="str">
        <f ca="1">IFERROR(__xludf.DUMMYFUNCTION("""COMPUTED_VALUE"""),"")</f>
        <v/>
      </c>
    </row>
    <row r="2370" spans="1:5">
      <c r="A2370" s="12"/>
      <c r="E2370" s="57" t="str">
        <f ca="1">IFERROR(__xludf.DUMMYFUNCTION("""COMPUTED_VALUE"""),"")</f>
        <v/>
      </c>
    </row>
    <row r="2371" spans="1:5">
      <c r="A2371" s="12" t="s">
        <v>12021</v>
      </c>
      <c r="E2371" s="57" t="str">
        <f ca="1">IFERROR(__xludf.DUMMYFUNCTION("""COMPUTED_VALUE"""),"")</f>
        <v/>
      </c>
    </row>
    <row r="2372" spans="1:5">
      <c r="A2372" s="59" t="s">
        <v>12022</v>
      </c>
      <c r="E2372" s="57" t="str">
        <f ca="1">IFERROR(__xludf.DUMMYFUNCTION("""COMPUTED_VALUE"""),"")</f>
        <v/>
      </c>
    </row>
    <row r="2373" spans="1:5">
      <c r="A2373" s="12"/>
      <c r="E2373" s="57" t="str">
        <f ca="1">IFERROR(__xludf.DUMMYFUNCTION("""COMPUTED_VALUE"""),"")</f>
        <v/>
      </c>
    </row>
    <row r="2374" spans="1:5">
      <c r="A2374" s="12" t="s">
        <v>12023</v>
      </c>
      <c r="E2374" s="57" t="str">
        <f ca="1">IFERROR(__xludf.DUMMYFUNCTION("""COMPUTED_VALUE"""),"")</f>
        <v/>
      </c>
    </row>
    <row r="2375" spans="1:5">
      <c r="A2375" s="59" t="s">
        <v>12024</v>
      </c>
      <c r="E2375" s="57" t="str">
        <f ca="1">IFERROR(__xludf.DUMMYFUNCTION("""COMPUTED_VALUE"""),"")</f>
        <v/>
      </c>
    </row>
    <row r="2376" spans="1:5">
      <c r="A2376" s="12"/>
      <c r="E2376" s="57" t="str">
        <f ca="1">IFERROR(__xludf.DUMMYFUNCTION("""COMPUTED_VALUE"""),"")</f>
        <v/>
      </c>
    </row>
    <row r="2377" spans="1:5">
      <c r="A2377" s="12" t="s">
        <v>12025</v>
      </c>
      <c r="E2377" s="57" t="str">
        <f ca="1">IFERROR(__xludf.DUMMYFUNCTION("""COMPUTED_VALUE"""),"")</f>
        <v/>
      </c>
    </row>
    <row r="2378" spans="1:5">
      <c r="A2378" s="59" t="s">
        <v>12026</v>
      </c>
      <c r="E2378" s="57" t="str">
        <f ca="1">IFERROR(__xludf.DUMMYFUNCTION("""COMPUTED_VALUE"""),"")</f>
        <v/>
      </c>
    </row>
    <row r="2379" spans="1:5">
      <c r="A2379" s="12"/>
      <c r="E2379" s="57" t="str">
        <f ca="1">IFERROR(__xludf.DUMMYFUNCTION("""COMPUTED_VALUE"""),"")</f>
        <v/>
      </c>
    </row>
    <row r="2380" spans="1:5">
      <c r="A2380" s="12" t="s">
        <v>12027</v>
      </c>
      <c r="E2380" s="57" t="str">
        <f ca="1">IFERROR(__xludf.DUMMYFUNCTION("""COMPUTED_VALUE"""),"")</f>
        <v/>
      </c>
    </row>
    <row r="2381" spans="1:5">
      <c r="A2381" s="59" t="s">
        <v>12028</v>
      </c>
      <c r="E2381" s="57" t="str">
        <f ca="1">IFERROR(__xludf.DUMMYFUNCTION("""COMPUTED_VALUE"""),"")</f>
        <v/>
      </c>
    </row>
    <row r="2382" spans="1:5">
      <c r="A2382" s="12"/>
      <c r="E2382" s="57" t="str">
        <f ca="1">IFERROR(__xludf.DUMMYFUNCTION("""COMPUTED_VALUE"""),"")</f>
        <v/>
      </c>
    </row>
    <row r="2383" spans="1:5">
      <c r="A2383" s="12" t="s">
        <v>12029</v>
      </c>
      <c r="E2383" s="57" t="str">
        <f ca="1">IFERROR(__xludf.DUMMYFUNCTION("""COMPUTED_VALUE"""),"")</f>
        <v/>
      </c>
    </row>
    <row r="2384" spans="1:5">
      <c r="A2384" s="59" t="s">
        <v>12030</v>
      </c>
      <c r="E2384" s="57" t="str">
        <f ca="1">IFERROR(__xludf.DUMMYFUNCTION("""COMPUTED_VALUE"""),"")</f>
        <v/>
      </c>
    </row>
    <row r="2385" spans="1:5">
      <c r="A2385" s="12"/>
      <c r="E2385" s="57" t="str">
        <f ca="1">IFERROR(__xludf.DUMMYFUNCTION("""COMPUTED_VALUE"""),"")</f>
        <v/>
      </c>
    </row>
    <row r="2386" spans="1:5">
      <c r="A2386" s="12" t="s">
        <v>12031</v>
      </c>
      <c r="E2386" s="57" t="str">
        <f ca="1">IFERROR(__xludf.DUMMYFUNCTION("""COMPUTED_VALUE"""),"")</f>
        <v/>
      </c>
    </row>
    <row r="2387" spans="1:5">
      <c r="A2387" s="59" t="s">
        <v>12032</v>
      </c>
      <c r="E2387" s="57" t="str">
        <f ca="1">IFERROR(__xludf.DUMMYFUNCTION("""COMPUTED_VALUE"""),"")</f>
        <v/>
      </c>
    </row>
    <row r="2388" spans="1:5">
      <c r="A2388" s="12"/>
      <c r="E2388" s="57" t="str">
        <f ca="1">IFERROR(__xludf.DUMMYFUNCTION("""COMPUTED_VALUE"""),"")</f>
        <v/>
      </c>
    </row>
    <row r="2389" spans="1:5">
      <c r="A2389" s="12" t="s">
        <v>12033</v>
      </c>
      <c r="E2389" s="57" t="str">
        <f ca="1">IFERROR(__xludf.DUMMYFUNCTION("""COMPUTED_VALUE"""),"")</f>
        <v/>
      </c>
    </row>
    <row r="2390" spans="1:5">
      <c r="A2390" s="59" t="s">
        <v>12034</v>
      </c>
      <c r="E2390" s="57" t="str">
        <f ca="1">IFERROR(__xludf.DUMMYFUNCTION("""COMPUTED_VALUE"""),"")</f>
        <v/>
      </c>
    </row>
    <row r="2391" spans="1:5">
      <c r="A2391" s="12"/>
      <c r="E2391" s="57" t="str">
        <f ca="1">IFERROR(__xludf.DUMMYFUNCTION("""COMPUTED_VALUE"""),"")</f>
        <v/>
      </c>
    </row>
    <row r="2392" spans="1:5">
      <c r="A2392" s="12" t="s">
        <v>12035</v>
      </c>
      <c r="E2392" s="57" t="str">
        <f ca="1">IFERROR(__xludf.DUMMYFUNCTION("""COMPUTED_VALUE"""),"")</f>
        <v/>
      </c>
    </row>
    <row r="2393" spans="1:5">
      <c r="A2393" s="59" t="s">
        <v>12036</v>
      </c>
      <c r="E2393" s="57" t="str">
        <f ca="1">IFERROR(__xludf.DUMMYFUNCTION("""COMPUTED_VALUE"""),"")</f>
        <v/>
      </c>
    </row>
    <row r="2394" spans="1:5">
      <c r="A2394" s="12"/>
      <c r="E2394" s="57" t="str">
        <f ca="1">IFERROR(__xludf.DUMMYFUNCTION("""COMPUTED_VALUE"""),"")</f>
        <v/>
      </c>
    </row>
    <row r="2395" spans="1:5">
      <c r="A2395" s="12" t="s">
        <v>12037</v>
      </c>
      <c r="E2395" s="57" t="str">
        <f ca="1">IFERROR(__xludf.DUMMYFUNCTION("""COMPUTED_VALUE"""),"")</f>
        <v/>
      </c>
    </row>
    <row r="2396" spans="1:5">
      <c r="A2396" s="59" t="s">
        <v>12038</v>
      </c>
      <c r="E2396" s="57" t="str">
        <f ca="1">IFERROR(__xludf.DUMMYFUNCTION("""COMPUTED_VALUE"""),"")</f>
        <v/>
      </c>
    </row>
    <row r="2397" spans="1:5">
      <c r="A2397" s="12"/>
      <c r="E2397" s="57" t="str">
        <f ca="1">IFERROR(__xludf.DUMMYFUNCTION("""COMPUTED_VALUE"""),"")</f>
        <v/>
      </c>
    </row>
    <row r="2398" spans="1:5">
      <c r="A2398" s="12" t="s">
        <v>12039</v>
      </c>
      <c r="E2398" s="57" t="str">
        <f ca="1">IFERROR(__xludf.DUMMYFUNCTION("""COMPUTED_VALUE"""),"")</f>
        <v/>
      </c>
    </row>
    <row r="2399" spans="1:5">
      <c r="A2399" s="59" t="s">
        <v>12040</v>
      </c>
      <c r="E2399" s="57" t="str">
        <f ca="1">IFERROR(__xludf.DUMMYFUNCTION("""COMPUTED_VALUE"""),"")</f>
        <v/>
      </c>
    </row>
    <row r="2400" spans="1:5">
      <c r="A2400" s="12"/>
      <c r="E2400" s="57" t="str">
        <f ca="1">IFERROR(__xludf.DUMMYFUNCTION("""COMPUTED_VALUE"""),"")</f>
        <v/>
      </c>
    </row>
    <row r="2401" spans="1:5">
      <c r="A2401" s="12" t="s">
        <v>12041</v>
      </c>
      <c r="E2401" s="57" t="str">
        <f ca="1">IFERROR(__xludf.DUMMYFUNCTION("""COMPUTED_VALUE"""),"")</f>
        <v/>
      </c>
    </row>
    <row r="2402" spans="1:5">
      <c r="A2402" s="59" t="s">
        <v>12042</v>
      </c>
      <c r="E2402" s="57" t="str">
        <f ca="1">IFERROR(__xludf.DUMMYFUNCTION("""COMPUTED_VALUE"""),"")</f>
        <v/>
      </c>
    </row>
    <row r="2403" spans="1:5">
      <c r="A2403" s="12"/>
      <c r="E2403" s="57" t="str">
        <f ca="1">IFERROR(__xludf.DUMMYFUNCTION("""COMPUTED_VALUE"""),"")</f>
        <v/>
      </c>
    </row>
    <row r="2404" spans="1:5">
      <c r="A2404" s="12" t="s">
        <v>12043</v>
      </c>
      <c r="E2404" s="57" t="str">
        <f ca="1">IFERROR(__xludf.DUMMYFUNCTION("""COMPUTED_VALUE"""),"")</f>
        <v/>
      </c>
    </row>
    <row r="2405" spans="1:5">
      <c r="A2405" s="59" t="s">
        <v>12044</v>
      </c>
      <c r="E2405" s="57" t="str">
        <f ca="1">IFERROR(__xludf.DUMMYFUNCTION("""COMPUTED_VALUE"""),"")</f>
        <v/>
      </c>
    </row>
    <row r="2406" spans="1:5">
      <c r="A2406" s="12"/>
      <c r="E2406" s="57" t="str">
        <f ca="1">IFERROR(__xludf.DUMMYFUNCTION("""COMPUTED_VALUE"""),"")</f>
        <v/>
      </c>
    </row>
    <row r="2407" spans="1:5">
      <c r="A2407" s="12" t="s">
        <v>12045</v>
      </c>
      <c r="E2407" s="57" t="str">
        <f ca="1">IFERROR(__xludf.DUMMYFUNCTION("""COMPUTED_VALUE"""),"")</f>
        <v/>
      </c>
    </row>
    <row r="2408" spans="1:5">
      <c r="A2408" s="59" t="s">
        <v>12046</v>
      </c>
      <c r="E2408" s="57" t="str">
        <f ca="1">IFERROR(__xludf.DUMMYFUNCTION("""COMPUTED_VALUE"""),"")</f>
        <v/>
      </c>
    </row>
    <row r="2409" spans="1:5">
      <c r="A2409" s="12"/>
      <c r="E2409" s="57" t="str">
        <f ca="1">IFERROR(__xludf.DUMMYFUNCTION("""COMPUTED_VALUE"""),"")</f>
        <v/>
      </c>
    </row>
    <row r="2410" spans="1:5">
      <c r="A2410" s="12" t="s">
        <v>12047</v>
      </c>
      <c r="E2410" s="57" t="str">
        <f ca="1">IFERROR(__xludf.DUMMYFUNCTION("""COMPUTED_VALUE"""),"")</f>
        <v/>
      </c>
    </row>
    <row r="2411" spans="1:5">
      <c r="A2411" s="59" t="s">
        <v>12048</v>
      </c>
      <c r="E2411" s="57" t="str">
        <f ca="1">IFERROR(__xludf.DUMMYFUNCTION("""COMPUTED_VALUE"""),"")</f>
        <v/>
      </c>
    </row>
    <row r="2412" spans="1:5">
      <c r="A2412" s="12"/>
      <c r="E2412" s="57" t="str">
        <f ca="1">IFERROR(__xludf.DUMMYFUNCTION("""COMPUTED_VALUE"""),"")</f>
        <v/>
      </c>
    </row>
    <row r="2413" spans="1:5">
      <c r="A2413" s="12" t="s">
        <v>12049</v>
      </c>
      <c r="E2413" s="57" t="str">
        <f ca="1">IFERROR(__xludf.DUMMYFUNCTION("""COMPUTED_VALUE"""),"")</f>
        <v/>
      </c>
    </row>
    <row r="2414" spans="1:5">
      <c r="A2414" s="59" t="s">
        <v>12050</v>
      </c>
      <c r="E2414" s="57" t="str">
        <f ca="1">IFERROR(__xludf.DUMMYFUNCTION("""COMPUTED_VALUE"""),"")</f>
        <v/>
      </c>
    </row>
    <row r="2415" spans="1:5">
      <c r="A2415" s="12"/>
      <c r="E2415" s="57" t="str">
        <f ca="1">IFERROR(__xludf.DUMMYFUNCTION("""COMPUTED_VALUE"""),"")</f>
        <v/>
      </c>
    </row>
    <row r="2416" spans="1:5">
      <c r="A2416" s="12" t="s">
        <v>12051</v>
      </c>
      <c r="E2416" s="57" t="str">
        <f ca="1">IFERROR(__xludf.DUMMYFUNCTION("""COMPUTED_VALUE"""),"")</f>
        <v/>
      </c>
    </row>
    <row r="2417" spans="1:5">
      <c r="A2417" s="59" t="s">
        <v>12052</v>
      </c>
      <c r="E2417" s="57" t="str">
        <f ca="1">IFERROR(__xludf.DUMMYFUNCTION("""COMPUTED_VALUE"""),"")</f>
        <v/>
      </c>
    </row>
    <row r="2418" spans="1:5">
      <c r="A2418" s="12"/>
      <c r="E2418" s="57" t="str">
        <f ca="1">IFERROR(__xludf.DUMMYFUNCTION("""COMPUTED_VALUE"""),"")</f>
        <v/>
      </c>
    </row>
    <row r="2419" spans="1:5">
      <c r="A2419" s="12" t="s">
        <v>12053</v>
      </c>
      <c r="E2419" s="57" t="str">
        <f ca="1">IFERROR(__xludf.DUMMYFUNCTION("""COMPUTED_VALUE"""),"")</f>
        <v/>
      </c>
    </row>
    <row r="2420" spans="1:5">
      <c r="A2420" s="59" t="s">
        <v>12054</v>
      </c>
      <c r="E2420" s="57" t="str">
        <f ca="1">IFERROR(__xludf.DUMMYFUNCTION("""COMPUTED_VALUE"""),"")</f>
        <v/>
      </c>
    </row>
    <row r="2421" spans="1:5">
      <c r="A2421" s="12"/>
      <c r="E2421" s="57" t="str">
        <f ca="1">IFERROR(__xludf.DUMMYFUNCTION("""COMPUTED_VALUE"""),"")</f>
        <v/>
      </c>
    </row>
    <row r="2422" spans="1:5">
      <c r="A2422" s="12" t="s">
        <v>12055</v>
      </c>
      <c r="E2422" s="57" t="str">
        <f ca="1">IFERROR(__xludf.DUMMYFUNCTION("""COMPUTED_VALUE"""),"")</f>
        <v/>
      </c>
    </row>
    <row r="2423" spans="1:5">
      <c r="A2423" s="59" t="s">
        <v>12056</v>
      </c>
      <c r="E2423" s="57" t="str">
        <f ca="1">IFERROR(__xludf.DUMMYFUNCTION("""COMPUTED_VALUE"""),"")</f>
        <v/>
      </c>
    </row>
    <row r="2424" spans="1:5">
      <c r="A2424" s="12"/>
      <c r="E2424" s="57" t="str">
        <f ca="1">IFERROR(__xludf.DUMMYFUNCTION("""COMPUTED_VALUE"""),"")</f>
        <v/>
      </c>
    </row>
    <row r="2425" spans="1:5">
      <c r="A2425" s="12" t="s">
        <v>12057</v>
      </c>
      <c r="E2425" s="57" t="str">
        <f ca="1">IFERROR(__xludf.DUMMYFUNCTION("""COMPUTED_VALUE"""),"")</f>
        <v/>
      </c>
    </row>
    <row r="2426" spans="1:5">
      <c r="A2426" s="59" t="s">
        <v>12058</v>
      </c>
      <c r="E2426" s="57" t="str">
        <f ca="1">IFERROR(__xludf.DUMMYFUNCTION("""COMPUTED_VALUE"""),"")</f>
        <v/>
      </c>
    </row>
    <row r="2427" spans="1:5">
      <c r="A2427" s="12"/>
      <c r="E2427" s="57" t="str">
        <f ca="1">IFERROR(__xludf.DUMMYFUNCTION("""COMPUTED_VALUE"""),"")</f>
        <v/>
      </c>
    </row>
    <row r="2428" spans="1:5">
      <c r="A2428" s="12" t="s">
        <v>12059</v>
      </c>
      <c r="E2428" s="57" t="str">
        <f ca="1">IFERROR(__xludf.DUMMYFUNCTION("""COMPUTED_VALUE"""),"")</f>
        <v/>
      </c>
    </row>
    <row r="2429" spans="1:5">
      <c r="A2429" s="59" t="s">
        <v>12060</v>
      </c>
      <c r="E2429" s="57" t="str">
        <f ca="1">IFERROR(__xludf.DUMMYFUNCTION("""COMPUTED_VALUE"""),"")</f>
        <v/>
      </c>
    </row>
    <row r="2430" spans="1:5">
      <c r="A2430" s="12"/>
      <c r="E2430" s="57" t="str">
        <f ca="1">IFERROR(__xludf.DUMMYFUNCTION("""COMPUTED_VALUE"""),"")</f>
        <v/>
      </c>
    </row>
    <row r="2431" spans="1:5">
      <c r="A2431" s="12" t="s">
        <v>12061</v>
      </c>
      <c r="E2431" s="57" t="str">
        <f ca="1">IFERROR(__xludf.DUMMYFUNCTION("""COMPUTED_VALUE"""),"")</f>
        <v/>
      </c>
    </row>
    <row r="2432" spans="1:5">
      <c r="A2432" s="59" t="s">
        <v>12062</v>
      </c>
      <c r="E2432" s="57" t="str">
        <f ca="1">IFERROR(__xludf.DUMMYFUNCTION("""COMPUTED_VALUE"""),"")</f>
        <v/>
      </c>
    </row>
    <row r="2433" spans="1:5">
      <c r="A2433" s="12"/>
      <c r="E2433" s="57" t="str">
        <f ca="1">IFERROR(__xludf.DUMMYFUNCTION("""COMPUTED_VALUE"""),"")</f>
        <v/>
      </c>
    </row>
    <row r="2434" spans="1:5">
      <c r="A2434" s="12" t="s">
        <v>12063</v>
      </c>
      <c r="E2434" s="57" t="str">
        <f ca="1">IFERROR(__xludf.DUMMYFUNCTION("""COMPUTED_VALUE"""),"")</f>
        <v/>
      </c>
    </row>
    <row r="2435" spans="1:5">
      <c r="A2435" s="59" t="s">
        <v>12064</v>
      </c>
      <c r="E2435" s="57" t="str">
        <f ca="1">IFERROR(__xludf.DUMMYFUNCTION("""COMPUTED_VALUE"""),"")</f>
        <v/>
      </c>
    </row>
    <row r="2436" spans="1:5">
      <c r="A2436" s="12"/>
      <c r="E2436" s="57" t="str">
        <f ca="1">IFERROR(__xludf.DUMMYFUNCTION("""COMPUTED_VALUE"""),"")</f>
        <v/>
      </c>
    </row>
    <row r="2437" spans="1:5">
      <c r="A2437" s="12" t="s">
        <v>12065</v>
      </c>
      <c r="E2437" s="57" t="str">
        <f ca="1">IFERROR(__xludf.DUMMYFUNCTION("""COMPUTED_VALUE"""),"")</f>
        <v/>
      </c>
    </row>
    <row r="2438" spans="1:5">
      <c r="A2438" s="59" t="s">
        <v>12066</v>
      </c>
      <c r="E2438" s="57" t="str">
        <f ca="1">IFERROR(__xludf.DUMMYFUNCTION("""COMPUTED_VALUE"""),"")</f>
        <v/>
      </c>
    </row>
    <row r="2439" spans="1:5">
      <c r="A2439" s="12"/>
      <c r="E2439" s="57" t="str">
        <f ca="1">IFERROR(__xludf.DUMMYFUNCTION("""COMPUTED_VALUE"""),"")</f>
        <v/>
      </c>
    </row>
    <row r="2440" spans="1:5">
      <c r="A2440" s="12" t="s">
        <v>12067</v>
      </c>
      <c r="E2440" s="57" t="str">
        <f ca="1">IFERROR(__xludf.DUMMYFUNCTION("""COMPUTED_VALUE"""),"")</f>
        <v/>
      </c>
    </row>
    <row r="2441" spans="1:5">
      <c r="A2441" s="59" t="s">
        <v>12068</v>
      </c>
      <c r="E2441" s="57" t="str">
        <f ca="1">IFERROR(__xludf.DUMMYFUNCTION("""COMPUTED_VALUE"""),"")</f>
        <v/>
      </c>
    </row>
    <row r="2442" spans="1:5">
      <c r="A2442" s="12"/>
      <c r="E2442" s="57" t="str">
        <f ca="1">IFERROR(__xludf.DUMMYFUNCTION("""COMPUTED_VALUE"""),"")</f>
        <v/>
      </c>
    </row>
    <row r="2443" spans="1:5">
      <c r="A2443" s="12" t="s">
        <v>12069</v>
      </c>
      <c r="E2443" s="57" t="str">
        <f ca="1">IFERROR(__xludf.DUMMYFUNCTION("""COMPUTED_VALUE"""),"")</f>
        <v/>
      </c>
    </row>
    <row r="2444" spans="1:5">
      <c r="A2444" s="59" t="s">
        <v>12070</v>
      </c>
      <c r="E2444" s="57" t="str">
        <f ca="1">IFERROR(__xludf.DUMMYFUNCTION("""COMPUTED_VALUE"""),"")</f>
        <v/>
      </c>
    </row>
    <row r="2445" spans="1:5">
      <c r="A2445" s="12"/>
      <c r="E2445" s="57" t="str">
        <f ca="1">IFERROR(__xludf.DUMMYFUNCTION("""COMPUTED_VALUE"""),"")</f>
        <v/>
      </c>
    </row>
    <row r="2446" spans="1:5">
      <c r="A2446" s="12" t="s">
        <v>12071</v>
      </c>
      <c r="E2446" s="57" t="str">
        <f ca="1">IFERROR(__xludf.DUMMYFUNCTION("""COMPUTED_VALUE"""),"")</f>
        <v/>
      </c>
    </row>
    <row r="2447" spans="1:5">
      <c r="A2447" s="59" t="s">
        <v>12072</v>
      </c>
      <c r="E2447" s="57" t="str">
        <f ca="1">IFERROR(__xludf.DUMMYFUNCTION("""COMPUTED_VALUE"""),"")</f>
        <v/>
      </c>
    </row>
    <row r="2448" spans="1:5">
      <c r="A2448" s="12"/>
      <c r="E2448" s="57" t="str">
        <f ca="1">IFERROR(__xludf.DUMMYFUNCTION("""COMPUTED_VALUE"""),"")</f>
        <v/>
      </c>
    </row>
    <row r="2449" spans="1:5">
      <c r="A2449" s="12" t="s">
        <v>12073</v>
      </c>
      <c r="E2449" s="57" t="str">
        <f ca="1">IFERROR(__xludf.DUMMYFUNCTION("""COMPUTED_VALUE"""),"")</f>
        <v/>
      </c>
    </row>
    <row r="2450" spans="1:5">
      <c r="A2450" s="59" t="s">
        <v>12074</v>
      </c>
      <c r="E2450" s="57" t="str">
        <f ca="1">IFERROR(__xludf.DUMMYFUNCTION("""COMPUTED_VALUE"""),"")</f>
        <v/>
      </c>
    </row>
    <row r="2451" spans="1:5">
      <c r="A2451" s="12"/>
      <c r="E2451" s="57" t="str">
        <f ca="1">IFERROR(__xludf.DUMMYFUNCTION("""COMPUTED_VALUE"""),"")</f>
        <v/>
      </c>
    </row>
    <row r="2452" spans="1:5">
      <c r="A2452" s="12" t="s">
        <v>12075</v>
      </c>
      <c r="E2452" s="57" t="str">
        <f ca="1">IFERROR(__xludf.DUMMYFUNCTION("""COMPUTED_VALUE"""),"")</f>
        <v/>
      </c>
    </row>
    <row r="2453" spans="1:5">
      <c r="A2453" s="59" t="s">
        <v>12076</v>
      </c>
      <c r="E2453" s="57" t="str">
        <f ca="1">IFERROR(__xludf.DUMMYFUNCTION("""COMPUTED_VALUE"""),"")</f>
        <v/>
      </c>
    </row>
    <row r="2454" spans="1:5">
      <c r="A2454" s="12"/>
      <c r="E2454" s="57" t="str">
        <f ca="1">IFERROR(__xludf.DUMMYFUNCTION("""COMPUTED_VALUE"""),"")</f>
        <v/>
      </c>
    </row>
    <row r="2455" spans="1:5">
      <c r="A2455" s="12" t="s">
        <v>12077</v>
      </c>
      <c r="E2455" s="57" t="str">
        <f ca="1">IFERROR(__xludf.DUMMYFUNCTION("""COMPUTED_VALUE"""),"")</f>
        <v/>
      </c>
    </row>
    <row r="2456" spans="1:5">
      <c r="A2456" s="59" t="s">
        <v>12078</v>
      </c>
      <c r="E2456" s="57" t="str">
        <f ca="1">IFERROR(__xludf.DUMMYFUNCTION("""COMPUTED_VALUE"""),"")</f>
        <v/>
      </c>
    </row>
    <row r="2457" spans="1:5">
      <c r="A2457" s="12"/>
      <c r="E2457" s="57" t="str">
        <f ca="1">IFERROR(__xludf.DUMMYFUNCTION("""COMPUTED_VALUE"""),"")</f>
        <v/>
      </c>
    </row>
    <row r="2458" spans="1:5">
      <c r="A2458" s="12" t="s">
        <v>12079</v>
      </c>
      <c r="E2458" s="57" t="str">
        <f ca="1">IFERROR(__xludf.DUMMYFUNCTION("""COMPUTED_VALUE"""),"")</f>
        <v/>
      </c>
    </row>
    <row r="2459" spans="1:5">
      <c r="A2459" s="59" t="s">
        <v>12080</v>
      </c>
      <c r="E2459" s="57" t="str">
        <f ca="1">IFERROR(__xludf.DUMMYFUNCTION("""COMPUTED_VALUE"""),"")</f>
        <v/>
      </c>
    </row>
    <row r="2460" spans="1:5">
      <c r="A2460" s="12"/>
      <c r="E2460" s="57" t="str">
        <f ca="1">IFERROR(__xludf.DUMMYFUNCTION("""COMPUTED_VALUE"""),"")</f>
        <v/>
      </c>
    </row>
    <row r="2461" spans="1:5">
      <c r="A2461" s="12" t="s">
        <v>12081</v>
      </c>
      <c r="E2461" s="57" t="str">
        <f ca="1">IFERROR(__xludf.DUMMYFUNCTION("""COMPUTED_VALUE"""),"")</f>
        <v/>
      </c>
    </row>
    <row r="2462" spans="1:5">
      <c r="A2462" s="59" t="s">
        <v>12082</v>
      </c>
      <c r="E2462" s="57" t="str">
        <f ca="1">IFERROR(__xludf.DUMMYFUNCTION("""COMPUTED_VALUE"""),"")</f>
        <v/>
      </c>
    </row>
    <row r="2463" spans="1:5">
      <c r="A2463" s="12"/>
      <c r="E2463" s="57" t="str">
        <f ca="1">IFERROR(__xludf.DUMMYFUNCTION("""COMPUTED_VALUE"""),"")</f>
        <v/>
      </c>
    </row>
    <row r="2464" spans="1:5">
      <c r="A2464" s="12" t="s">
        <v>12083</v>
      </c>
      <c r="E2464" s="57" t="str">
        <f ca="1">IFERROR(__xludf.DUMMYFUNCTION("""COMPUTED_VALUE"""),"")</f>
        <v/>
      </c>
    </row>
    <row r="2465" spans="1:5">
      <c r="A2465" s="59" t="s">
        <v>12084</v>
      </c>
      <c r="E2465" s="57" t="str">
        <f ca="1">IFERROR(__xludf.DUMMYFUNCTION("""COMPUTED_VALUE"""),"")</f>
        <v/>
      </c>
    </row>
    <row r="2466" spans="1:5">
      <c r="A2466" s="12"/>
      <c r="E2466" s="57" t="str">
        <f ca="1">IFERROR(__xludf.DUMMYFUNCTION("""COMPUTED_VALUE"""),"")</f>
        <v/>
      </c>
    </row>
    <row r="2467" spans="1:5">
      <c r="A2467" s="12" t="s">
        <v>12085</v>
      </c>
      <c r="E2467" s="57" t="str">
        <f ca="1">IFERROR(__xludf.DUMMYFUNCTION("""COMPUTED_VALUE"""),"")</f>
        <v/>
      </c>
    </row>
    <row r="2468" spans="1:5">
      <c r="A2468" s="59" t="s">
        <v>12086</v>
      </c>
      <c r="E2468" s="57" t="str">
        <f ca="1">IFERROR(__xludf.DUMMYFUNCTION("""COMPUTED_VALUE"""),"")</f>
        <v/>
      </c>
    </row>
    <row r="2469" spans="1:5">
      <c r="A2469" s="12"/>
      <c r="E2469" s="57" t="str">
        <f ca="1">IFERROR(__xludf.DUMMYFUNCTION("""COMPUTED_VALUE"""),"")</f>
        <v/>
      </c>
    </row>
    <row r="2470" spans="1:5">
      <c r="A2470" s="12" t="s">
        <v>12087</v>
      </c>
      <c r="E2470" s="57" t="str">
        <f ca="1">IFERROR(__xludf.DUMMYFUNCTION("""COMPUTED_VALUE"""),"")</f>
        <v/>
      </c>
    </row>
    <row r="2471" spans="1:5">
      <c r="A2471" s="59" t="s">
        <v>12088</v>
      </c>
      <c r="E2471" s="57" t="str">
        <f ca="1">IFERROR(__xludf.DUMMYFUNCTION("""COMPUTED_VALUE"""),"")</f>
        <v/>
      </c>
    </row>
    <row r="2472" spans="1:5">
      <c r="A2472" s="12"/>
      <c r="E2472" s="57" t="str">
        <f ca="1">IFERROR(__xludf.DUMMYFUNCTION("""COMPUTED_VALUE"""),"")</f>
        <v/>
      </c>
    </row>
    <row r="2473" spans="1:5">
      <c r="A2473" s="12" t="s">
        <v>12089</v>
      </c>
      <c r="E2473" s="57" t="str">
        <f ca="1">IFERROR(__xludf.DUMMYFUNCTION("""COMPUTED_VALUE"""),"")</f>
        <v/>
      </c>
    </row>
    <row r="2474" spans="1:5">
      <c r="A2474" s="59" t="s">
        <v>12090</v>
      </c>
      <c r="E2474" s="57" t="str">
        <f ca="1">IFERROR(__xludf.DUMMYFUNCTION("""COMPUTED_VALUE"""),"")</f>
        <v/>
      </c>
    </row>
    <row r="2475" spans="1:5">
      <c r="A2475" s="12"/>
      <c r="E2475" s="57" t="str">
        <f ca="1">IFERROR(__xludf.DUMMYFUNCTION("""COMPUTED_VALUE"""),"")</f>
        <v/>
      </c>
    </row>
    <row r="2476" spans="1:5">
      <c r="A2476" s="12" t="s">
        <v>12091</v>
      </c>
      <c r="E2476" s="57" t="str">
        <f ca="1">IFERROR(__xludf.DUMMYFUNCTION("""COMPUTED_VALUE"""),"")</f>
        <v/>
      </c>
    </row>
    <row r="2477" spans="1:5">
      <c r="A2477" s="59" t="s">
        <v>12092</v>
      </c>
      <c r="E2477" s="57" t="str">
        <f ca="1">IFERROR(__xludf.DUMMYFUNCTION("""COMPUTED_VALUE"""),"")</f>
        <v/>
      </c>
    </row>
    <row r="2478" spans="1:5">
      <c r="A2478" s="12"/>
      <c r="E2478" s="57" t="str">
        <f ca="1">IFERROR(__xludf.DUMMYFUNCTION("""COMPUTED_VALUE"""),"")</f>
        <v/>
      </c>
    </row>
    <row r="2479" spans="1:5">
      <c r="A2479" s="12" t="s">
        <v>12093</v>
      </c>
      <c r="E2479" s="57" t="str">
        <f ca="1">IFERROR(__xludf.DUMMYFUNCTION("""COMPUTED_VALUE"""),"")</f>
        <v/>
      </c>
    </row>
    <row r="2480" spans="1:5">
      <c r="A2480" s="59" t="s">
        <v>12094</v>
      </c>
      <c r="E2480" s="57" t="str">
        <f ca="1">IFERROR(__xludf.DUMMYFUNCTION("""COMPUTED_VALUE"""),"")</f>
        <v/>
      </c>
    </row>
    <row r="2481" spans="1:5">
      <c r="A2481" s="12"/>
      <c r="E2481" s="57" t="str">
        <f ca="1">IFERROR(__xludf.DUMMYFUNCTION("""COMPUTED_VALUE"""),"")</f>
        <v/>
      </c>
    </row>
    <row r="2482" spans="1:5">
      <c r="A2482" s="12" t="s">
        <v>12095</v>
      </c>
      <c r="E2482" s="57" t="str">
        <f ca="1">IFERROR(__xludf.DUMMYFUNCTION("""COMPUTED_VALUE"""),"")</f>
        <v/>
      </c>
    </row>
    <row r="2483" spans="1:5">
      <c r="A2483" s="59" t="s">
        <v>12096</v>
      </c>
      <c r="E2483" s="57" t="str">
        <f ca="1">IFERROR(__xludf.DUMMYFUNCTION("""COMPUTED_VALUE"""),"")</f>
        <v/>
      </c>
    </row>
    <row r="2484" spans="1:5">
      <c r="A2484" s="12"/>
      <c r="E2484" s="57" t="str">
        <f ca="1">IFERROR(__xludf.DUMMYFUNCTION("""COMPUTED_VALUE"""),"")</f>
        <v/>
      </c>
    </row>
    <row r="2485" spans="1:5">
      <c r="A2485" s="12" t="s">
        <v>12097</v>
      </c>
      <c r="E2485" s="57" t="str">
        <f ca="1">IFERROR(__xludf.DUMMYFUNCTION("""COMPUTED_VALUE"""),"")</f>
        <v/>
      </c>
    </row>
    <row r="2486" spans="1:5">
      <c r="A2486" s="59" t="s">
        <v>12098</v>
      </c>
      <c r="E2486" s="57" t="str">
        <f ca="1">IFERROR(__xludf.DUMMYFUNCTION("""COMPUTED_VALUE"""),"")</f>
        <v/>
      </c>
    </row>
    <row r="2487" spans="1:5">
      <c r="A2487" s="12"/>
      <c r="E2487" s="57" t="str">
        <f ca="1">IFERROR(__xludf.DUMMYFUNCTION("""COMPUTED_VALUE"""),"")</f>
        <v/>
      </c>
    </row>
    <row r="2488" spans="1:5">
      <c r="A2488" s="12" t="s">
        <v>12099</v>
      </c>
      <c r="E2488" s="57" t="str">
        <f ca="1">IFERROR(__xludf.DUMMYFUNCTION("""COMPUTED_VALUE"""),"")</f>
        <v/>
      </c>
    </row>
    <row r="2489" spans="1:5">
      <c r="A2489" s="59" t="s">
        <v>12100</v>
      </c>
      <c r="E2489" s="57" t="str">
        <f ca="1">IFERROR(__xludf.DUMMYFUNCTION("""COMPUTED_VALUE"""),"")</f>
        <v/>
      </c>
    </row>
    <row r="2490" spans="1:5">
      <c r="A2490" s="12"/>
      <c r="E2490" s="57" t="str">
        <f ca="1">IFERROR(__xludf.DUMMYFUNCTION("""COMPUTED_VALUE"""),"")</f>
        <v/>
      </c>
    </row>
    <row r="2491" spans="1:5">
      <c r="A2491" s="12" t="s">
        <v>12101</v>
      </c>
      <c r="E2491" s="57" t="str">
        <f ca="1">IFERROR(__xludf.DUMMYFUNCTION("""COMPUTED_VALUE"""),"")</f>
        <v/>
      </c>
    </row>
    <row r="2492" spans="1:5">
      <c r="A2492" s="59" t="s">
        <v>12102</v>
      </c>
      <c r="E2492" s="57" t="str">
        <f ca="1">IFERROR(__xludf.DUMMYFUNCTION("""COMPUTED_VALUE"""),"")</f>
        <v/>
      </c>
    </row>
    <row r="2493" spans="1:5">
      <c r="A2493" s="12"/>
      <c r="E2493" s="57" t="str">
        <f ca="1">IFERROR(__xludf.DUMMYFUNCTION("""COMPUTED_VALUE"""),"")</f>
        <v/>
      </c>
    </row>
    <row r="2494" spans="1:5">
      <c r="A2494" s="12" t="s">
        <v>12103</v>
      </c>
      <c r="E2494" s="57" t="str">
        <f ca="1">IFERROR(__xludf.DUMMYFUNCTION("""COMPUTED_VALUE"""),"")</f>
        <v/>
      </c>
    </row>
    <row r="2495" spans="1:5">
      <c r="A2495" s="59" t="s">
        <v>12104</v>
      </c>
      <c r="E2495" s="57" t="str">
        <f ca="1">IFERROR(__xludf.DUMMYFUNCTION("""COMPUTED_VALUE"""),"")</f>
        <v/>
      </c>
    </row>
    <row r="2496" spans="1:5">
      <c r="A2496" s="12"/>
      <c r="E2496" s="57" t="str">
        <f ca="1">IFERROR(__xludf.DUMMYFUNCTION("""COMPUTED_VALUE"""),"")</f>
        <v/>
      </c>
    </row>
    <row r="2497" spans="1:5">
      <c r="A2497" s="12" t="s">
        <v>12105</v>
      </c>
      <c r="E2497" s="57" t="str">
        <f ca="1">IFERROR(__xludf.DUMMYFUNCTION("""COMPUTED_VALUE"""),"")</f>
        <v/>
      </c>
    </row>
    <row r="2498" spans="1:5">
      <c r="A2498" s="59" t="s">
        <v>12106</v>
      </c>
      <c r="E2498" s="57" t="str">
        <f ca="1">IFERROR(__xludf.DUMMYFUNCTION("""COMPUTED_VALUE"""),"")</f>
        <v/>
      </c>
    </row>
    <row r="2499" spans="1:5">
      <c r="A2499" s="12"/>
      <c r="E2499" s="57" t="str">
        <f ca="1">IFERROR(__xludf.DUMMYFUNCTION("""COMPUTED_VALUE"""),"")</f>
        <v/>
      </c>
    </row>
    <row r="2500" spans="1:5">
      <c r="A2500" s="12" t="s">
        <v>12107</v>
      </c>
      <c r="E2500" s="57" t="str">
        <f ca="1">IFERROR(__xludf.DUMMYFUNCTION("""COMPUTED_VALUE"""),"")</f>
        <v/>
      </c>
    </row>
    <row r="2501" spans="1:5">
      <c r="A2501" s="59" t="s">
        <v>12108</v>
      </c>
      <c r="E2501" s="57" t="str">
        <f ca="1">IFERROR(__xludf.DUMMYFUNCTION("""COMPUTED_VALUE"""),"")</f>
        <v/>
      </c>
    </row>
    <row r="2502" spans="1:5">
      <c r="A2502" s="12"/>
      <c r="E2502" s="57" t="str">
        <f ca="1">IFERROR(__xludf.DUMMYFUNCTION("""COMPUTED_VALUE"""),"")</f>
        <v/>
      </c>
    </row>
    <row r="2503" spans="1:5">
      <c r="A2503" s="12" t="s">
        <v>12109</v>
      </c>
      <c r="E2503" s="57" t="str">
        <f ca="1">IFERROR(__xludf.DUMMYFUNCTION("""COMPUTED_VALUE"""),"")</f>
        <v/>
      </c>
    </row>
    <row r="2504" spans="1:5">
      <c r="A2504" s="59" t="s">
        <v>12110</v>
      </c>
      <c r="E2504" s="57" t="str">
        <f ca="1">IFERROR(__xludf.DUMMYFUNCTION("""COMPUTED_VALUE"""),"")</f>
        <v/>
      </c>
    </row>
    <row r="2505" spans="1:5">
      <c r="A2505" s="12"/>
      <c r="E2505" s="57" t="str">
        <f ca="1">IFERROR(__xludf.DUMMYFUNCTION("""COMPUTED_VALUE"""),"")</f>
        <v/>
      </c>
    </row>
    <row r="2506" spans="1:5">
      <c r="A2506" s="12" t="s">
        <v>12111</v>
      </c>
      <c r="E2506" s="57" t="str">
        <f ca="1">IFERROR(__xludf.DUMMYFUNCTION("""COMPUTED_VALUE"""),"")</f>
        <v/>
      </c>
    </row>
    <row r="2507" spans="1:5">
      <c r="A2507" s="59" t="s">
        <v>12112</v>
      </c>
      <c r="E2507" s="57" t="str">
        <f ca="1">IFERROR(__xludf.DUMMYFUNCTION("""COMPUTED_VALUE"""),"")</f>
        <v/>
      </c>
    </row>
    <row r="2508" spans="1:5">
      <c r="A2508" s="12"/>
      <c r="E2508" s="57" t="str">
        <f ca="1">IFERROR(__xludf.DUMMYFUNCTION("""COMPUTED_VALUE"""),"")</f>
        <v/>
      </c>
    </row>
    <row r="2509" spans="1:5">
      <c r="A2509" s="12" t="s">
        <v>12113</v>
      </c>
      <c r="E2509" s="57" t="str">
        <f ca="1">IFERROR(__xludf.DUMMYFUNCTION("""COMPUTED_VALUE"""),"")</f>
        <v/>
      </c>
    </row>
    <row r="2510" spans="1:5">
      <c r="A2510" s="59" t="s">
        <v>12114</v>
      </c>
      <c r="E2510" s="57" t="str">
        <f ca="1">IFERROR(__xludf.DUMMYFUNCTION("""COMPUTED_VALUE"""),"")</f>
        <v/>
      </c>
    </row>
    <row r="2511" spans="1:5">
      <c r="A2511" s="12"/>
      <c r="E2511" s="57" t="str">
        <f ca="1">IFERROR(__xludf.DUMMYFUNCTION("""COMPUTED_VALUE"""),"")</f>
        <v/>
      </c>
    </row>
    <row r="2512" spans="1:5">
      <c r="A2512" s="12" t="s">
        <v>12115</v>
      </c>
      <c r="E2512" s="57" t="str">
        <f ca="1">IFERROR(__xludf.DUMMYFUNCTION("""COMPUTED_VALUE"""),"")</f>
        <v/>
      </c>
    </row>
    <row r="2513" spans="1:5">
      <c r="A2513" s="59" t="s">
        <v>12116</v>
      </c>
      <c r="E2513" s="57" t="str">
        <f ca="1">IFERROR(__xludf.DUMMYFUNCTION("""COMPUTED_VALUE"""),"")</f>
        <v/>
      </c>
    </row>
    <row r="2514" spans="1:5">
      <c r="A2514" s="12"/>
      <c r="E2514" s="57" t="str">
        <f ca="1">IFERROR(__xludf.DUMMYFUNCTION("""COMPUTED_VALUE"""),"")</f>
        <v/>
      </c>
    </row>
    <row r="2515" spans="1:5">
      <c r="A2515" s="12" t="s">
        <v>12117</v>
      </c>
      <c r="E2515" s="57" t="str">
        <f ca="1">IFERROR(__xludf.DUMMYFUNCTION("""COMPUTED_VALUE"""),"")</f>
        <v/>
      </c>
    </row>
    <row r="2516" spans="1:5">
      <c r="A2516" s="59" t="s">
        <v>12118</v>
      </c>
      <c r="E2516" s="57" t="str">
        <f ca="1">IFERROR(__xludf.DUMMYFUNCTION("""COMPUTED_VALUE"""),"")</f>
        <v/>
      </c>
    </row>
    <row r="2517" spans="1:5">
      <c r="A2517" s="12"/>
      <c r="E2517" s="57" t="str">
        <f ca="1">IFERROR(__xludf.DUMMYFUNCTION("""COMPUTED_VALUE"""),"")</f>
        <v/>
      </c>
    </row>
    <row r="2518" spans="1:5">
      <c r="A2518" s="12" t="s">
        <v>12119</v>
      </c>
      <c r="E2518" s="57" t="str">
        <f ca="1">IFERROR(__xludf.DUMMYFUNCTION("""COMPUTED_VALUE"""),"")</f>
        <v/>
      </c>
    </row>
    <row r="2519" spans="1:5">
      <c r="A2519" s="59" t="s">
        <v>12120</v>
      </c>
      <c r="E2519" s="57" t="str">
        <f ca="1">IFERROR(__xludf.DUMMYFUNCTION("""COMPUTED_VALUE"""),"")</f>
        <v/>
      </c>
    </row>
    <row r="2520" spans="1:5">
      <c r="A2520" s="12"/>
      <c r="E2520" s="57" t="str">
        <f ca="1">IFERROR(__xludf.DUMMYFUNCTION("""COMPUTED_VALUE"""),"")</f>
        <v/>
      </c>
    </row>
    <row r="2521" spans="1:5">
      <c r="A2521" s="12" t="s">
        <v>12121</v>
      </c>
      <c r="E2521" s="57" t="str">
        <f ca="1">IFERROR(__xludf.DUMMYFUNCTION("""COMPUTED_VALUE"""),"")</f>
        <v/>
      </c>
    </row>
    <row r="2522" spans="1:5">
      <c r="A2522" s="59" t="s">
        <v>12122</v>
      </c>
      <c r="E2522" s="57" t="str">
        <f ca="1">IFERROR(__xludf.DUMMYFUNCTION("""COMPUTED_VALUE"""),"")</f>
        <v/>
      </c>
    </row>
    <row r="2523" spans="1:5">
      <c r="A2523" s="12"/>
      <c r="E2523" s="57" t="str">
        <f ca="1">IFERROR(__xludf.DUMMYFUNCTION("""COMPUTED_VALUE"""),"")</f>
        <v/>
      </c>
    </row>
    <row r="2524" spans="1:5">
      <c r="A2524" s="12" t="s">
        <v>12123</v>
      </c>
      <c r="E2524" s="57" t="str">
        <f ca="1">IFERROR(__xludf.DUMMYFUNCTION("""COMPUTED_VALUE"""),"")</f>
        <v/>
      </c>
    </row>
    <row r="2525" spans="1:5">
      <c r="A2525" s="59" t="s">
        <v>12124</v>
      </c>
      <c r="E2525" s="57" t="str">
        <f ca="1">IFERROR(__xludf.DUMMYFUNCTION("""COMPUTED_VALUE"""),"")</f>
        <v/>
      </c>
    </row>
    <row r="2526" spans="1:5">
      <c r="A2526" s="12"/>
      <c r="E2526" s="57" t="str">
        <f ca="1">IFERROR(__xludf.DUMMYFUNCTION("""COMPUTED_VALUE"""),"")</f>
        <v/>
      </c>
    </row>
    <row r="2527" spans="1:5">
      <c r="A2527" s="12" t="s">
        <v>12125</v>
      </c>
      <c r="E2527" s="57" t="str">
        <f ca="1">IFERROR(__xludf.DUMMYFUNCTION("""COMPUTED_VALUE"""),"")</f>
        <v/>
      </c>
    </row>
    <row r="2528" spans="1:5">
      <c r="A2528" s="59" t="s">
        <v>12126</v>
      </c>
      <c r="E2528" s="57" t="str">
        <f ca="1">IFERROR(__xludf.DUMMYFUNCTION("""COMPUTED_VALUE"""),"")</f>
        <v/>
      </c>
    </row>
    <row r="2529" spans="1:5">
      <c r="A2529" s="12"/>
      <c r="E2529" s="57" t="str">
        <f ca="1">IFERROR(__xludf.DUMMYFUNCTION("""COMPUTED_VALUE"""),"")</f>
        <v/>
      </c>
    </row>
    <row r="2530" spans="1:5">
      <c r="A2530" s="12" t="s">
        <v>12127</v>
      </c>
      <c r="E2530" s="57" t="str">
        <f ca="1">IFERROR(__xludf.DUMMYFUNCTION("""COMPUTED_VALUE"""),"")</f>
        <v/>
      </c>
    </row>
    <row r="2531" spans="1:5">
      <c r="A2531" s="59" t="s">
        <v>12128</v>
      </c>
      <c r="E2531" s="57" t="str">
        <f ca="1">IFERROR(__xludf.DUMMYFUNCTION("""COMPUTED_VALUE"""),"")</f>
        <v/>
      </c>
    </row>
    <row r="2532" spans="1:5">
      <c r="A2532" s="12"/>
      <c r="E2532" s="57" t="str">
        <f ca="1">IFERROR(__xludf.DUMMYFUNCTION("""COMPUTED_VALUE"""),"")</f>
        <v/>
      </c>
    </row>
    <row r="2533" spans="1:5">
      <c r="A2533" s="12" t="s">
        <v>12129</v>
      </c>
      <c r="E2533" s="57" t="str">
        <f ca="1">IFERROR(__xludf.DUMMYFUNCTION("""COMPUTED_VALUE"""),"")</f>
        <v/>
      </c>
    </row>
    <row r="2534" spans="1:5">
      <c r="A2534" s="59" t="s">
        <v>12130</v>
      </c>
      <c r="E2534" s="57" t="str">
        <f ca="1">IFERROR(__xludf.DUMMYFUNCTION("""COMPUTED_VALUE"""),"")</f>
        <v/>
      </c>
    </row>
    <row r="2535" spans="1:5">
      <c r="A2535" s="12"/>
      <c r="E2535" s="57" t="str">
        <f ca="1">IFERROR(__xludf.DUMMYFUNCTION("""COMPUTED_VALUE"""),"")</f>
        <v/>
      </c>
    </row>
    <row r="2536" spans="1:5">
      <c r="A2536" s="12" t="s">
        <v>12131</v>
      </c>
      <c r="E2536" s="57" t="str">
        <f ca="1">IFERROR(__xludf.DUMMYFUNCTION("""COMPUTED_VALUE"""),"")</f>
        <v/>
      </c>
    </row>
    <row r="2537" spans="1:5">
      <c r="A2537" s="59" t="s">
        <v>12132</v>
      </c>
      <c r="E2537" s="57" t="str">
        <f ca="1">IFERROR(__xludf.DUMMYFUNCTION("""COMPUTED_VALUE"""),"")</f>
        <v/>
      </c>
    </row>
    <row r="2538" spans="1:5">
      <c r="A2538" s="12"/>
      <c r="E2538" s="57" t="str">
        <f ca="1">IFERROR(__xludf.DUMMYFUNCTION("""COMPUTED_VALUE"""),"")</f>
        <v/>
      </c>
    </row>
    <row r="2539" spans="1:5">
      <c r="A2539" s="12" t="s">
        <v>12133</v>
      </c>
      <c r="E2539" s="57" t="str">
        <f ca="1">IFERROR(__xludf.DUMMYFUNCTION("""COMPUTED_VALUE"""),"")</f>
        <v/>
      </c>
    </row>
    <row r="2540" spans="1:5">
      <c r="A2540" s="59" t="s">
        <v>12134</v>
      </c>
      <c r="E2540" s="57" t="str">
        <f ca="1">IFERROR(__xludf.DUMMYFUNCTION("""COMPUTED_VALUE"""),"")</f>
        <v/>
      </c>
    </row>
    <row r="2541" spans="1:5">
      <c r="A2541" s="12"/>
      <c r="E2541" s="57" t="str">
        <f ca="1">IFERROR(__xludf.DUMMYFUNCTION("""COMPUTED_VALUE"""),"")</f>
        <v/>
      </c>
    </row>
    <row r="2542" spans="1:5">
      <c r="A2542" s="12" t="s">
        <v>12135</v>
      </c>
      <c r="E2542" s="57" t="str">
        <f ca="1">IFERROR(__xludf.DUMMYFUNCTION("""COMPUTED_VALUE"""),"")</f>
        <v/>
      </c>
    </row>
    <row r="2543" spans="1:5">
      <c r="A2543" s="59" t="s">
        <v>12136</v>
      </c>
      <c r="E2543" s="57" t="str">
        <f ca="1">IFERROR(__xludf.DUMMYFUNCTION("""COMPUTED_VALUE"""),"")</f>
        <v/>
      </c>
    </row>
    <row r="2544" spans="1:5">
      <c r="A2544" s="12"/>
      <c r="E2544" s="57" t="str">
        <f ca="1">IFERROR(__xludf.DUMMYFUNCTION("""COMPUTED_VALUE"""),"")</f>
        <v/>
      </c>
    </row>
    <row r="2545" spans="1:5">
      <c r="A2545" s="12" t="s">
        <v>12137</v>
      </c>
      <c r="E2545" s="57" t="str">
        <f ca="1">IFERROR(__xludf.DUMMYFUNCTION("""COMPUTED_VALUE"""),"")</f>
        <v/>
      </c>
    </row>
    <row r="2546" spans="1:5">
      <c r="A2546" s="59" t="s">
        <v>12138</v>
      </c>
      <c r="E2546" s="57" t="str">
        <f ca="1">IFERROR(__xludf.DUMMYFUNCTION("""COMPUTED_VALUE"""),"")</f>
        <v/>
      </c>
    </row>
    <row r="2547" spans="1:5">
      <c r="A2547" s="12"/>
      <c r="E2547" s="57" t="str">
        <f ca="1">IFERROR(__xludf.DUMMYFUNCTION("""COMPUTED_VALUE"""),"")</f>
        <v/>
      </c>
    </row>
    <row r="2548" spans="1:5">
      <c r="A2548" s="12" t="s">
        <v>12139</v>
      </c>
      <c r="E2548" s="57" t="str">
        <f ca="1">IFERROR(__xludf.DUMMYFUNCTION("""COMPUTED_VALUE"""),"")</f>
        <v/>
      </c>
    </row>
    <row r="2549" spans="1:5">
      <c r="A2549" s="59" t="s">
        <v>12140</v>
      </c>
      <c r="E2549" s="57" t="str">
        <f ca="1">IFERROR(__xludf.DUMMYFUNCTION("""COMPUTED_VALUE"""),"")</f>
        <v/>
      </c>
    </row>
    <row r="2550" spans="1:5">
      <c r="A2550" s="12"/>
      <c r="E2550" s="57" t="str">
        <f ca="1">IFERROR(__xludf.DUMMYFUNCTION("""COMPUTED_VALUE"""),"")</f>
        <v/>
      </c>
    </row>
    <row r="2551" spans="1:5">
      <c r="A2551" s="12" t="s">
        <v>12141</v>
      </c>
      <c r="E2551" s="57" t="str">
        <f ca="1">IFERROR(__xludf.DUMMYFUNCTION("""COMPUTED_VALUE"""),"")</f>
        <v/>
      </c>
    </row>
    <row r="2552" spans="1:5">
      <c r="A2552" s="59" t="s">
        <v>12142</v>
      </c>
      <c r="E2552" s="57" t="str">
        <f ca="1">IFERROR(__xludf.DUMMYFUNCTION("""COMPUTED_VALUE"""),"")</f>
        <v/>
      </c>
    </row>
    <row r="2553" spans="1:5">
      <c r="A2553" s="12"/>
      <c r="E2553" s="57" t="str">
        <f ca="1">IFERROR(__xludf.DUMMYFUNCTION("""COMPUTED_VALUE"""),"")</f>
        <v/>
      </c>
    </row>
    <row r="2554" spans="1:5">
      <c r="A2554" s="12" t="s">
        <v>12143</v>
      </c>
      <c r="E2554" s="57" t="str">
        <f ca="1">IFERROR(__xludf.DUMMYFUNCTION("""COMPUTED_VALUE"""),"")</f>
        <v/>
      </c>
    </row>
    <row r="2555" spans="1:5">
      <c r="A2555" s="59" t="s">
        <v>12144</v>
      </c>
      <c r="E2555" s="57" t="str">
        <f ca="1">IFERROR(__xludf.DUMMYFUNCTION("""COMPUTED_VALUE"""),"")</f>
        <v/>
      </c>
    </row>
    <row r="2556" spans="1:5">
      <c r="A2556" s="12"/>
      <c r="E2556" s="57" t="str">
        <f ca="1">IFERROR(__xludf.DUMMYFUNCTION("""COMPUTED_VALUE"""),"")</f>
        <v/>
      </c>
    </row>
    <row r="2557" spans="1:5">
      <c r="A2557" s="12" t="s">
        <v>12145</v>
      </c>
      <c r="E2557" s="57" t="str">
        <f ca="1">IFERROR(__xludf.DUMMYFUNCTION("""COMPUTED_VALUE"""),"")</f>
        <v/>
      </c>
    </row>
    <row r="2558" spans="1:5">
      <c r="A2558" s="59" t="s">
        <v>12146</v>
      </c>
      <c r="E2558" s="57" t="str">
        <f ca="1">IFERROR(__xludf.DUMMYFUNCTION("""COMPUTED_VALUE"""),"")</f>
        <v/>
      </c>
    </row>
    <row r="2559" spans="1:5">
      <c r="A2559" s="12"/>
      <c r="E2559" s="57" t="str">
        <f ca="1">IFERROR(__xludf.DUMMYFUNCTION("""COMPUTED_VALUE"""),"")</f>
        <v/>
      </c>
    </row>
    <row r="2560" spans="1:5">
      <c r="A2560" s="12" t="s">
        <v>12147</v>
      </c>
      <c r="E2560" s="57" t="str">
        <f ca="1">IFERROR(__xludf.DUMMYFUNCTION("""COMPUTED_VALUE"""),"")</f>
        <v/>
      </c>
    </row>
    <row r="2561" spans="1:5">
      <c r="A2561" s="59" t="s">
        <v>12148</v>
      </c>
      <c r="E2561" s="57" t="str">
        <f ca="1">IFERROR(__xludf.DUMMYFUNCTION("""COMPUTED_VALUE"""),"")</f>
        <v/>
      </c>
    </row>
    <row r="2562" spans="1:5">
      <c r="A2562" s="12"/>
      <c r="E2562" s="57" t="str">
        <f ca="1">IFERROR(__xludf.DUMMYFUNCTION("""COMPUTED_VALUE"""),"")</f>
        <v/>
      </c>
    </row>
    <row r="2563" spans="1:5">
      <c r="A2563" s="12" t="s">
        <v>12149</v>
      </c>
      <c r="E2563" s="57" t="str">
        <f ca="1">IFERROR(__xludf.DUMMYFUNCTION("""COMPUTED_VALUE"""),"")</f>
        <v/>
      </c>
    </row>
    <row r="2564" spans="1:5">
      <c r="A2564" s="59" t="s">
        <v>12150</v>
      </c>
      <c r="E2564" s="57" t="str">
        <f ca="1">IFERROR(__xludf.DUMMYFUNCTION("""COMPUTED_VALUE"""),"")</f>
        <v/>
      </c>
    </row>
    <row r="2565" spans="1:5">
      <c r="A2565" s="12"/>
      <c r="E2565" s="57" t="str">
        <f ca="1">IFERROR(__xludf.DUMMYFUNCTION("""COMPUTED_VALUE"""),"")</f>
        <v/>
      </c>
    </row>
    <row r="2566" spans="1:5">
      <c r="A2566" s="12" t="s">
        <v>12151</v>
      </c>
      <c r="E2566" s="57" t="str">
        <f ca="1">IFERROR(__xludf.DUMMYFUNCTION("""COMPUTED_VALUE"""),"")</f>
        <v/>
      </c>
    </row>
    <row r="2567" spans="1:5">
      <c r="A2567" s="59" t="s">
        <v>12152</v>
      </c>
      <c r="E2567" s="57" t="str">
        <f ca="1">IFERROR(__xludf.DUMMYFUNCTION("""COMPUTED_VALUE"""),"")</f>
        <v/>
      </c>
    </row>
    <row r="2568" spans="1:5">
      <c r="A2568" s="12"/>
      <c r="E2568" s="57" t="str">
        <f ca="1">IFERROR(__xludf.DUMMYFUNCTION("""COMPUTED_VALUE"""),"")</f>
        <v/>
      </c>
    </row>
    <row r="2569" spans="1:5">
      <c r="A2569" s="12" t="s">
        <v>12153</v>
      </c>
      <c r="E2569" s="57" t="str">
        <f ca="1">IFERROR(__xludf.DUMMYFUNCTION("""COMPUTED_VALUE"""),"")</f>
        <v/>
      </c>
    </row>
    <row r="2570" spans="1:5">
      <c r="A2570" s="59" t="s">
        <v>12154</v>
      </c>
      <c r="E2570" s="57" t="str">
        <f ca="1">IFERROR(__xludf.DUMMYFUNCTION("""COMPUTED_VALUE"""),"")</f>
        <v/>
      </c>
    </row>
    <row r="2571" spans="1:5">
      <c r="A2571" s="12"/>
      <c r="E2571" s="57" t="str">
        <f ca="1">IFERROR(__xludf.DUMMYFUNCTION("""COMPUTED_VALUE"""),"")</f>
        <v/>
      </c>
    </row>
    <row r="2572" spans="1:5">
      <c r="A2572" s="12" t="s">
        <v>12155</v>
      </c>
      <c r="E2572" s="57" t="str">
        <f ca="1">IFERROR(__xludf.DUMMYFUNCTION("""COMPUTED_VALUE"""),"")</f>
        <v/>
      </c>
    </row>
    <row r="2573" spans="1:5">
      <c r="A2573" s="59" t="s">
        <v>12156</v>
      </c>
      <c r="E2573" s="57" t="str">
        <f ca="1">IFERROR(__xludf.DUMMYFUNCTION("""COMPUTED_VALUE"""),"")</f>
        <v/>
      </c>
    </row>
    <row r="2574" spans="1:5">
      <c r="A2574" s="12"/>
      <c r="E2574" s="57" t="str">
        <f ca="1">IFERROR(__xludf.DUMMYFUNCTION("""COMPUTED_VALUE"""),"")</f>
        <v/>
      </c>
    </row>
    <row r="2575" spans="1:5">
      <c r="A2575" s="12" t="s">
        <v>12157</v>
      </c>
      <c r="E2575" s="57" t="str">
        <f ca="1">IFERROR(__xludf.DUMMYFUNCTION("""COMPUTED_VALUE"""),"")</f>
        <v/>
      </c>
    </row>
    <row r="2576" spans="1:5">
      <c r="A2576" s="59" t="s">
        <v>12158</v>
      </c>
      <c r="E2576" s="57" t="str">
        <f ca="1">IFERROR(__xludf.DUMMYFUNCTION("""COMPUTED_VALUE"""),"")</f>
        <v/>
      </c>
    </row>
    <row r="2577" spans="1:5">
      <c r="A2577" s="12"/>
      <c r="E2577" s="57" t="str">
        <f ca="1">IFERROR(__xludf.DUMMYFUNCTION("""COMPUTED_VALUE"""),"")</f>
        <v/>
      </c>
    </row>
    <row r="2578" spans="1:5">
      <c r="A2578" s="12" t="s">
        <v>12159</v>
      </c>
      <c r="E2578" s="57" t="str">
        <f ca="1">IFERROR(__xludf.DUMMYFUNCTION("""COMPUTED_VALUE"""),"")</f>
        <v/>
      </c>
    </row>
    <row r="2579" spans="1:5">
      <c r="A2579" s="59" t="s">
        <v>12160</v>
      </c>
      <c r="E2579" s="57" t="str">
        <f ca="1">IFERROR(__xludf.DUMMYFUNCTION("""COMPUTED_VALUE"""),"")</f>
        <v/>
      </c>
    </row>
    <row r="2580" spans="1:5">
      <c r="A2580" s="12"/>
      <c r="E2580" s="57" t="str">
        <f ca="1">IFERROR(__xludf.DUMMYFUNCTION("""COMPUTED_VALUE"""),"")</f>
        <v/>
      </c>
    </row>
    <row r="2581" spans="1:5">
      <c r="A2581" s="12" t="s">
        <v>12161</v>
      </c>
      <c r="E2581" s="57" t="str">
        <f ca="1">IFERROR(__xludf.DUMMYFUNCTION("""COMPUTED_VALUE"""),"")</f>
        <v/>
      </c>
    </row>
    <row r="2582" spans="1:5">
      <c r="A2582" s="59" t="s">
        <v>12162</v>
      </c>
      <c r="E2582" s="57" t="str">
        <f ca="1">IFERROR(__xludf.DUMMYFUNCTION("""COMPUTED_VALUE"""),"")</f>
        <v/>
      </c>
    </row>
    <row r="2583" spans="1:5">
      <c r="A2583" s="12"/>
      <c r="E2583" s="57" t="str">
        <f ca="1">IFERROR(__xludf.DUMMYFUNCTION("""COMPUTED_VALUE"""),"")</f>
        <v/>
      </c>
    </row>
    <row r="2584" spans="1:5">
      <c r="A2584" s="12" t="s">
        <v>12163</v>
      </c>
      <c r="E2584" s="57" t="str">
        <f ca="1">IFERROR(__xludf.DUMMYFUNCTION("""COMPUTED_VALUE"""),"")</f>
        <v/>
      </c>
    </row>
    <row r="2585" spans="1:5">
      <c r="A2585" s="59" t="s">
        <v>12164</v>
      </c>
      <c r="E2585" s="57" t="str">
        <f ca="1">IFERROR(__xludf.DUMMYFUNCTION("""COMPUTED_VALUE"""),"")</f>
        <v/>
      </c>
    </row>
    <row r="2586" spans="1:5">
      <c r="A2586" s="12"/>
      <c r="E2586" s="57" t="str">
        <f ca="1">IFERROR(__xludf.DUMMYFUNCTION("""COMPUTED_VALUE"""),"")</f>
        <v/>
      </c>
    </row>
    <row r="2587" spans="1:5">
      <c r="A2587" s="12" t="s">
        <v>12165</v>
      </c>
      <c r="E2587" s="57" t="str">
        <f ca="1">IFERROR(__xludf.DUMMYFUNCTION("""COMPUTED_VALUE"""),"")</f>
        <v/>
      </c>
    </row>
    <row r="2588" spans="1:5">
      <c r="A2588" s="59" t="s">
        <v>12166</v>
      </c>
      <c r="E2588" s="57" t="str">
        <f ca="1">IFERROR(__xludf.DUMMYFUNCTION("""COMPUTED_VALUE"""),"")</f>
        <v/>
      </c>
    </row>
    <row r="2589" spans="1:5">
      <c r="A2589" s="12"/>
      <c r="E2589" s="57" t="str">
        <f ca="1">IFERROR(__xludf.DUMMYFUNCTION("""COMPUTED_VALUE"""),"")</f>
        <v/>
      </c>
    </row>
    <row r="2590" spans="1:5">
      <c r="A2590" s="12" t="s">
        <v>12167</v>
      </c>
      <c r="E2590" s="57" t="str">
        <f ca="1">IFERROR(__xludf.DUMMYFUNCTION("""COMPUTED_VALUE"""),"")</f>
        <v/>
      </c>
    </row>
    <row r="2591" spans="1:5">
      <c r="A2591" s="59" t="s">
        <v>12168</v>
      </c>
      <c r="E2591" s="57" t="str">
        <f ca="1">IFERROR(__xludf.DUMMYFUNCTION("""COMPUTED_VALUE"""),"")</f>
        <v/>
      </c>
    </row>
    <row r="2592" spans="1:5">
      <c r="A2592" s="12"/>
      <c r="E2592" s="57" t="str">
        <f ca="1">IFERROR(__xludf.DUMMYFUNCTION("""COMPUTED_VALUE"""),"")</f>
        <v/>
      </c>
    </row>
    <row r="2593" spans="1:5">
      <c r="A2593" s="12" t="s">
        <v>12169</v>
      </c>
      <c r="E2593" s="57" t="str">
        <f ca="1">IFERROR(__xludf.DUMMYFUNCTION("""COMPUTED_VALUE"""),"")</f>
        <v/>
      </c>
    </row>
    <row r="2594" spans="1:5">
      <c r="A2594" s="59" t="s">
        <v>12170</v>
      </c>
      <c r="E2594" s="57" t="str">
        <f ca="1">IFERROR(__xludf.DUMMYFUNCTION("""COMPUTED_VALUE"""),"")</f>
        <v/>
      </c>
    </row>
    <row r="2595" spans="1:5">
      <c r="A2595" s="12"/>
      <c r="E2595" s="57" t="str">
        <f ca="1">IFERROR(__xludf.DUMMYFUNCTION("""COMPUTED_VALUE"""),"")</f>
        <v/>
      </c>
    </row>
    <row r="2596" spans="1:5">
      <c r="A2596" s="12" t="s">
        <v>12171</v>
      </c>
      <c r="E2596" s="57" t="str">
        <f ca="1">IFERROR(__xludf.DUMMYFUNCTION("""COMPUTED_VALUE"""),"")</f>
        <v/>
      </c>
    </row>
    <row r="2597" spans="1:5">
      <c r="A2597" s="59" t="s">
        <v>12172</v>
      </c>
      <c r="E2597" s="57" t="str">
        <f ca="1">IFERROR(__xludf.DUMMYFUNCTION("""COMPUTED_VALUE"""),"")</f>
        <v/>
      </c>
    </row>
    <row r="2598" spans="1:5">
      <c r="A2598" s="12"/>
      <c r="E2598" s="57" t="str">
        <f ca="1">IFERROR(__xludf.DUMMYFUNCTION("""COMPUTED_VALUE"""),"")</f>
        <v/>
      </c>
    </row>
    <row r="2599" spans="1:5">
      <c r="A2599" s="12" t="s">
        <v>12173</v>
      </c>
      <c r="E2599" s="57" t="str">
        <f ca="1">IFERROR(__xludf.DUMMYFUNCTION("""COMPUTED_VALUE"""),"")</f>
        <v/>
      </c>
    </row>
    <row r="2600" spans="1:5">
      <c r="A2600" s="59" t="s">
        <v>12174</v>
      </c>
      <c r="E2600" s="57" t="str">
        <f ca="1">IFERROR(__xludf.DUMMYFUNCTION("""COMPUTED_VALUE"""),"")</f>
        <v/>
      </c>
    </row>
    <row r="2601" spans="1:5">
      <c r="A2601" s="12"/>
      <c r="E2601" s="57" t="str">
        <f ca="1">IFERROR(__xludf.DUMMYFUNCTION("""COMPUTED_VALUE"""),"")</f>
        <v/>
      </c>
    </row>
    <row r="2602" spans="1:5">
      <c r="A2602" s="12" t="s">
        <v>12175</v>
      </c>
      <c r="E2602" s="57" t="str">
        <f ca="1">IFERROR(__xludf.DUMMYFUNCTION("""COMPUTED_VALUE"""),"")</f>
        <v/>
      </c>
    </row>
    <row r="2603" spans="1:5">
      <c r="A2603" s="59" t="s">
        <v>12176</v>
      </c>
      <c r="E2603" s="57" t="str">
        <f ca="1">IFERROR(__xludf.DUMMYFUNCTION("""COMPUTED_VALUE"""),"")</f>
        <v/>
      </c>
    </row>
    <row r="2604" spans="1:5">
      <c r="A2604" s="12"/>
      <c r="E2604" s="57" t="str">
        <f ca="1">IFERROR(__xludf.DUMMYFUNCTION("""COMPUTED_VALUE"""),"")</f>
        <v/>
      </c>
    </row>
    <row r="2605" spans="1:5">
      <c r="A2605" s="12" t="s">
        <v>12177</v>
      </c>
      <c r="E2605" s="57" t="str">
        <f ca="1">IFERROR(__xludf.DUMMYFUNCTION("""COMPUTED_VALUE"""),"")</f>
        <v/>
      </c>
    </row>
    <row r="2606" spans="1:5">
      <c r="A2606" s="59" t="s">
        <v>12178</v>
      </c>
      <c r="E2606" s="57" t="str">
        <f ca="1">IFERROR(__xludf.DUMMYFUNCTION("""COMPUTED_VALUE"""),"")</f>
        <v/>
      </c>
    </row>
    <row r="2607" spans="1:5">
      <c r="A2607" s="12"/>
      <c r="E2607" s="57" t="str">
        <f ca="1">IFERROR(__xludf.DUMMYFUNCTION("""COMPUTED_VALUE"""),"")</f>
        <v/>
      </c>
    </row>
    <row r="2608" spans="1:5">
      <c r="A2608" s="12" t="s">
        <v>12179</v>
      </c>
      <c r="E2608" s="57" t="str">
        <f ca="1">IFERROR(__xludf.DUMMYFUNCTION("""COMPUTED_VALUE"""),"")</f>
        <v/>
      </c>
    </row>
    <row r="2609" spans="1:5">
      <c r="A2609" s="59" t="s">
        <v>12180</v>
      </c>
      <c r="E2609" s="57" t="str">
        <f ca="1">IFERROR(__xludf.DUMMYFUNCTION("""COMPUTED_VALUE"""),"")</f>
        <v/>
      </c>
    </row>
    <row r="2610" spans="1:5">
      <c r="A2610" s="12"/>
      <c r="E2610" s="57" t="str">
        <f ca="1">IFERROR(__xludf.DUMMYFUNCTION("""COMPUTED_VALUE"""),"")</f>
        <v/>
      </c>
    </row>
    <row r="2611" spans="1:5">
      <c r="A2611" s="12" t="s">
        <v>12181</v>
      </c>
      <c r="E2611" s="57" t="str">
        <f ca="1">IFERROR(__xludf.DUMMYFUNCTION("""COMPUTED_VALUE"""),"")</f>
        <v/>
      </c>
    </row>
    <row r="2612" spans="1:5">
      <c r="A2612" s="59" t="s">
        <v>12182</v>
      </c>
      <c r="E2612" s="57" t="str">
        <f ca="1">IFERROR(__xludf.DUMMYFUNCTION("""COMPUTED_VALUE"""),"")</f>
        <v/>
      </c>
    </row>
    <row r="2613" spans="1:5">
      <c r="A2613" s="12"/>
      <c r="E2613" s="57" t="str">
        <f ca="1">IFERROR(__xludf.DUMMYFUNCTION("""COMPUTED_VALUE"""),"")</f>
        <v/>
      </c>
    </row>
    <row r="2614" spans="1:5">
      <c r="A2614" s="12" t="s">
        <v>12183</v>
      </c>
      <c r="E2614" s="57" t="str">
        <f ca="1">IFERROR(__xludf.DUMMYFUNCTION("""COMPUTED_VALUE"""),"")</f>
        <v/>
      </c>
    </row>
    <row r="2615" spans="1:5">
      <c r="A2615" s="59" t="s">
        <v>12184</v>
      </c>
      <c r="E2615" s="57" t="str">
        <f ca="1">IFERROR(__xludf.DUMMYFUNCTION("""COMPUTED_VALUE"""),"")</f>
        <v/>
      </c>
    </row>
    <row r="2616" spans="1:5">
      <c r="A2616" s="12"/>
      <c r="E2616" s="57" t="str">
        <f ca="1">IFERROR(__xludf.DUMMYFUNCTION("""COMPUTED_VALUE"""),"")</f>
        <v/>
      </c>
    </row>
    <row r="2617" spans="1:5">
      <c r="A2617" s="12" t="s">
        <v>12185</v>
      </c>
      <c r="E2617" s="57" t="str">
        <f ca="1">IFERROR(__xludf.DUMMYFUNCTION("""COMPUTED_VALUE"""),"")</f>
        <v/>
      </c>
    </row>
    <row r="2618" spans="1:5">
      <c r="A2618" s="59" t="s">
        <v>12186</v>
      </c>
      <c r="E2618" s="57" t="str">
        <f ca="1">IFERROR(__xludf.DUMMYFUNCTION("""COMPUTED_VALUE"""),"")</f>
        <v/>
      </c>
    </row>
    <row r="2619" spans="1:5">
      <c r="A2619" s="12"/>
      <c r="E2619" s="57" t="str">
        <f ca="1">IFERROR(__xludf.DUMMYFUNCTION("""COMPUTED_VALUE"""),"")</f>
        <v/>
      </c>
    </row>
    <row r="2620" spans="1:5">
      <c r="A2620" s="12" t="s">
        <v>12187</v>
      </c>
      <c r="E2620" s="57" t="str">
        <f ca="1">IFERROR(__xludf.DUMMYFUNCTION("""COMPUTED_VALUE"""),"")</f>
        <v/>
      </c>
    </row>
    <row r="2621" spans="1:5">
      <c r="A2621" s="59" t="s">
        <v>12188</v>
      </c>
      <c r="E2621" s="57" t="str">
        <f ca="1">IFERROR(__xludf.DUMMYFUNCTION("""COMPUTED_VALUE"""),"")</f>
        <v/>
      </c>
    </row>
    <row r="2622" spans="1:5">
      <c r="A2622" s="12"/>
      <c r="E2622" s="57" t="str">
        <f ca="1">IFERROR(__xludf.DUMMYFUNCTION("""COMPUTED_VALUE"""),"")</f>
        <v/>
      </c>
    </row>
    <row r="2623" spans="1:5">
      <c r="A2623" s="12" t="s">
        <v>12189</v>
      </c>
      <c r="E2623" s="57" t="str">
        <f ca="1">IFERROR(__xludf.DUMMYFUNCTION("""COMPUTED_VALUE"""),"")</f>
        <v/>
      </c>
    </row>
    <row r="2624" spans="1:5">
      <c r="A2624" s="59" t="s">
        <v>12190</v>
      </c>
      <c r="E2624" s="57" t="str">
        <f ca="1">IFERROR(__xludf.DUMMYFUNCTION("""COMPUTED_VALUE"""),"")</f>
        <v/>
      </c>
    </row>
    <row r="2625" spans="1:5">
      <c r="A2625" s="12"/>
      <c r="E2625" s="57" t="str">
        <f ca="1">IFERROR(__xludf.DUMMYFUNCTION("""COMPUTED_VALUE"""),"")</f>
        <v/>
      </c>
    </row>
    <row r="2626" spans="1:5">
      <c r="A2626" s="12" t="s">
        <v>12191</v>
      </c>
      <c r="E2626" s="57" t="str">
        <f ca="1">IFERROR(__xludf.DUMMYFUNCTION("""COMPUTED_VALUE"""),"")</f>
        <v/>
      </c>
    </row>
    <row r="2627" spans="1:5">
      <c r="A2627" s="59" t="s">
        <v>12192</v>
      </c>
      <c r="E2627" s="57" t="str">
        <f ca="1">IFERROR(__xludf.DUMMYFUNCTION("""COMPUTED_VALUE"""),"")</f>
        <v/>
      </c>
    </row>
    <row r="2628" spans="1:5">
      <c r="A2628" s="12"/>
      <c r="E2628" s="57" t="str">
        <f ca="1">IFERROR(__xludf.DUMMYFUNCTION("""COMPUTED_VALUE"""),"")</f>
        <v/>
      </c>
    </row>
    <row r="2629" spans="1:5">
      <c r="A2629" s="12" t="s">
        <v>12193</v>
      </c>
      <c r="E2629" s="57" t="str">
        <f ca="1">IFERROR(__xludf.DUMMYFUNCTION("""COMPUTED_VALUE"""),"")</f>
        <v/>
      </c>
    </row>
    <row r="2630" spans="1:5">
      <c r="A2630" s="59" t="s">
        <v>12194</v>
      </c>
      <c r="E2630" s="57" t="str">
        <f ca="1">IFERROR(__xludf.DUMMYFUNCTION("""COMPUTED_VALUE"""),"")</f>
        <v/>
      </c>
    </row>
    <row r="2631" spans="1:5">
      <c r="A2631" s="12"/>
      <c r="E2631" s="57" t="str">
        <f ca="1">IFERROR(__xludf.DUMMYFUNCTION("""COMPUTED_VALUE"""),"")</f>
        <v/>
      </c>
    </row>
    <row r="2632" spans="1:5">
      <c r="A2632" s="12" t="s">
        <v>12195</v>
      </c>
      <c r="E2632" s="57" t="str">
        <f ca="1">IFERROR(__xludf.DUMMYFUNCTION("""COMPUTED_VALUE"""),"")</f>
        <v/>
      </c>
    </row>
    <row r="2633" spans="1:5">
      <c r="A2633" s="59" t="s">
        <v>12196</v>
      </c>
      <c r="E2633" s="57" t="str">
        <f ca="1">IFERROR(__xludf.DUMMYFUNCTION("""COMPUTED_VALUE"""),"")</f>
        <v/>
      </c>
    </row>
    <row r="2634" spans="1:5">
      <c r="A2634" s="12"/>
      <c r="E2634" s="57" t="str">
        <f ca="1">IFERROR(__xludf.DUMMYFUNCTION("""COMPUTED_VALUE"""),"")</f>
        <v/>
      </c>
    </row>
    <row r="2635" spans="1:5">
      <c r="A2635" s="12" t="s">
        <v>12197</v>
      </c>
      <c r="E2635" s="57" t="str">
        <f ca="1">IFERROR(__xludf.DUMMYFUNCTION("""COMPUTED_VALUE"""),"")</f>
        <v/>
      </c>
    </row>
    <row r="2636" spans="1:5">
      <c r="A2636" s="59" t="s">
        <v>12198</v>
      </c>
      <c r="E2636" s="57" t="str">
        <f ca="1">IFERROR(__xludf.DUMMYFUNCTION("""COMPUTED_VALUE"""),"")</f>
        <v/>
      </c>
    </row>
    <row r="2637" spans="1:5">
      <c r="A2637" s="12"/>
      <c r="E2637" s="57" t="str">
        <f ca="1">IFERROR(__xludf.DUMMYFUNCTION("""COMPUTED_VALUE"""),"")</f>
        <v/>
      </c>
    </row>
    <row r="2638" spans="1:5">
      <c r="A2638" s="12" t="s">
        <v>12199</v>
      </c>
      <c r="E2638" s="57" t="str">
        <f ca="1">IFERROR(__xludf.DUMMYFUNCTION("""COMPUTED_VALUE"""),"")</f>
        <v/>
      </c>
    </row>
    <row r="2639" spans="1:5">
      <c r="A2639" s="59" t="s">
        <v>12200</v>
      </c>
      <c r="E2639" s="57" t="str">
        <f ca="1">IFERROR(__xludf.DUMMYFUNCTION("""COMPUTED_VALUE"""),"")</f>
        <v/>
      </c>
    </row>
    <row r="2640" spans="1:5">
      <c r="A2640" s="12"/>
      <c r="E2640" s="57" t="str">
        <f ca="1">IFERROR(__xludf.DUMMYFUNCTION("""COMPUTED_VALUE"""),"")</f>
        <v/>
      </c>
    </row>
    <row r="2641" spans="1:5">
      <c r="A2641" s="12" t="s">
        <v>12201</v>
      </c>
      <c r="E2641" s="57" t="str">
        <f ca="1">IFERROR(__xludf.DUMMYFUNCTION("""COMPUTED_VALUE"""),"")</f>
        <v/>
      </c>
    </row>
    <row r="2642" spans="1:5">
      <c r="A2642" s="59" t="s">
        <v>12202</v>
      </c>
      <c r="E2642" s="57" t="str">
        <f ca="1">IFERROR(__xludf.DUMMYFUNCTION("""COMPUTED_VALUE"""),"")</f>
        <v/>
      </c>
    </row>
    <row r="2643" spans="1:5">
      <c r="A2643" s="12"/>
      <c r="E2643" s="57" t="str">
        <f ca="1">IFERROR(__xludf.DUMMYFUNCTION("""COMPUTED_VALUE"""),"")</f>
        <v/>
      </c>
    </row>
    <row r="2644" spans="1:5">
      <c r="A2644" s="12" t="s">
        <v>12203</v>
      </c>
      <c r="E2644" s="57" t="str">
        <f ca="1">IFERROR(__xludf.DUMMYFUNCTION("""COMPUTED_VALUE"""),"")</f>
        <v/>
      </c>
    </row>
    <row r="2645" spans="1:5">
      <c r="A2645" s="59" t="s">
        <v>12204</v>
      </c>
      <c r="E2645" s="57" t="str">
        <f ca="1">IFERROR(__xludf.DUMMYFUNCTION("""COMPUTED_VALUE"""),"")</f>
        <v/>
      </c>
    </row>
    <row r="2646" spans="1:5">
      <c r="A2646" s="12"/>
      <c r="E2646" s="57" t="str">
        <f ca="1">IFERROR(__xludf.DUMMYFUNCTION("""COMPUTED_VALUE"""),"")</f>
        <v/>
      </c>
    </row>
    <row r="2647" spans="1:5">
      <c r="A2647" s="12" t="s">
        <v>12205</v>
      </c>
      <c r="E2647" s="57" t="str">
        <f ca="1">IFERROR(__xludf.DUMMYFUNCTION("""COMPUTED_VALUE"""),"")</f>
        <v/>
      </c>
    </row>
    <row r="2648" spans="1:5">
      <c r="A2648" s="59" t="s">
        <v>12206</v>
      </c>
      <c r="E2648" s="57" t="str">
        <f ca="1">IFERROR(__xludf.DUMMYFUNCTION("""COMPUTED_VALUE"""),"")</f>
        <v/>
      </c>
    </row>
    <row r="2649" spans="1:5">
      <c r="A2649" s="12"/>
      <c r="E2649" s="57" t="str">
        <f ca="1">IFERROR(__xludf.DUMMYFUNCTION("""COMPUTED_VALUE"""),"")</f>
        <v/>
      </c>
    </row>
    <row r="2650" spans="1:5">
      <c r="A2650" s="12" t="s">
        <v>12207</v>
      </c>
      <c r="E2650" s="57" t="str">
        <f ca="1">IFERROR(__xludf.DUMMYFUNCTION("""COMPUTED_VALUE"""),"")</f>
        <v/>
      </c>
    </row>
    <row r="2651" spans="1:5">
      <c r="A2651" s="59" t="s">
        <v>12208</v>
      </c>
      <c r="E2651" s="57" t="str">
        <f ca="1">IFERROR(__xludf.DUMMYFUNCTION("""COMPUTED_VALUE"""),"")</f>
        <v/>
      </c>
    </row>
    <row r="2652" spans="1:5">
      <c r="A2652" s="12"/>
      <c r="E2652" s="57" t="str">
        <f ca="1">IFERROR(__xludf.DUMMYFUNCTION("""COMPUTED_VALUE"""),"")</f>
        <v/>
      </c>
    </row>
    <row r="2653" spans="1:5">
      <c r="A2653" s="12" t="s">
        <v>12209</v>
      </c>
      <c r="E2653" s="57" t="str">
        <f ca="1">IFERROR(__xludf.DUMMYFUNCTION("""COMPUTED_VALUE"""),"")</f>
        <v/>
      </c>
    </row>
    <row r="2654" spans="1:5">
      <c r="A2654" s="59" t="s">
        <v>12210</v>
      </c>
      <c r="E2654" s="57" t="str">
        <f ca="1">IFERROR(__xludf.DUMMYFUNCTION("""COMPUTED_VALUE"""),"")</f>
        <v/>
      </c>
    </row>
    <row r="2655" spans="1:5">
      <c r="A2655" s="12"/>
      <c r="E2655" s="57" t="str">
        <f ca="1">IFERROR(__xludf.DUMMYFUNCTION("""COMPUTED_VALUE"""),"")</f>
        <v/>
      </c>
    </row>
    <row r="2656" spans="1:5">
      <c r="A2656" s="12" t="s">
        <v>12211</v>
      </c>
      <c r="E2656" s="57" t="str">
        <f ca="1">IFERROR(__xludf.DUMMYFUNCTION("""COMPUTED_VALUE"""),"")</f>
        <v/>
      </c>
    </row>
    <row r="2657" spans="1:5">
      <c r="A2657" s="59" t="s">
        <v>12212</v>
      </c>
      <c r="E2657" s="57" t="str">
        <f ca="1">IFERROR(__xludf.DUMMYFUNCTION("""COMPUTED_VALUE"""),"")</f>
        <v/>
      </c>
    </row>
    <row r="2658" spans="1:5">
      <c r="A2658" s="12"/>
      <c r="E2658" s="57" t="str">
        <f ca="1">IFERROR(__xludf.DUMMYFUNCTION("""COMPUTED_VALUE"""),"")</f>
        <v/>
      </c>
    </row>
    <row r="2659" spans="1:5">
      <c r="A2659" s="12" t="s">
        <v>12213</v>
      </c>
      <c r="E2659" s="57" t="str">
        <f ca="1">IFERROR(__xludf.DUMMYFUNCTION("""COMPUTED_VALUE"""),"")</f>
        <v/>
      </c>
    </row>
    <row r="2660" spans="1:5">
      <c r="A2660" s="59" t="s">
        <v>12214</v>
      </c>
      <c r="E2660" s="57" t="str">
        <f ca="1">IFERROR(__xludf.DUMMYFUNCTION("""COMPUTED_VALUE"""),"")</f>
        <v/>
      </c>
    </row>
    <row r="2661" spans="1:5">
      <c r="A2661" s="12"/>
      <c r="E2661" s="57" t="str">
        <f ca="1">IFERROR(__xludf.DUMMYFUNCTION("""COMPUTED_VALUE"""),"")</f>
        <v/>
      </c>
    </row>
    <row r="2662" spans="1:5">
      <c r="A2662" s="12" t="s">
        <v>12215</v>
      </c>
      <c r="E2662" s="57" t="str">
        <f ca="1">IFERROR(__xludf.DUMMYFUNCTION("""COMPUTED_VALUE"""),"")</f>
        <v/>
      </c>
    </row>
    <row r="2663" spans="1:5">
      <c r="A2663" s="59" t="s">
        <v>12216</v>
      </c>
      <c r="E2663" s="57" t="str">
        <f ca="1">IFERROR(__xludf.DUMMYFUNCTION("""COMPUTED_VALUE"""),"")</f>
        <v/>
      </c>
    </row>
    <row r="2664" spans="1:5">
      <c r="A2664" s="12"/>
      <c r="E2664" s="57" t="str">
        <f ca="1">IFERROR(__xludf.DUMMYFUNCTION("""COMPUTED_VALUE"""),"")</f>
        <v/>
      </c>
    </row>
    <row r="2665" spans="1:5">
      <c r="A2665" s="12" t="s">
        <v>12217</v>
      </c>
      <c r="E2665" s="57" t="str">
        <f ca="1">IFERROR(__xludf.DUMMYFUNCTION("""COMPUTED_VALUE"""),"")</f>
        <v/>
      </c>
    </row>
    <row r="2666" spans="1:5">
      <c r="A2666" s="59" t="s">
        <v>12218</v>
      </c>
      <c r="E2666" s="57" t="str">
        <f ca="1">IFERROR(__xludf.DUMMYFUNCTION("""COMPUTED_VALUE"""),"")</f>
        <v/>
      </c>
    </row>
    <row r="2667" spans="1:5">
      <c r="A2667" s="12"/>
      <c r="E2667" s="57" t="str">
        <f ca="1">IFERROR(__xludf.DUMMYFUNCTION("""COMPUTED_VALUE"""),"")</f>
        <v/>
      </c>
    </row>
    <row r="2668" spans="1:5">
      <c r="A2668" s="12" t="s">
        <v>12219</v>
      </c>
      <c r="E2668" s="57" t="str">
        <f ca="1">IFERROR(__xludf.DUMMYFUNCTION("""COMPUTED_VALUE"""),"")</f>
        <v/>
      </c>
    </row>
    <row r="2669" spans="1:5">
      <c r="A2669" s="59" t="s">
        <v>12220</v>
      </c>
      <c r="E2669" s="57" t="str">
        <f ca="1">IFERROR(__xludf.DUMMYFUNCTION("""COMPUTED_VALUE"""),"")</f>
        <v/>
      </c>
    </row>
    <row r="2670" spans="1:5">
      <c r="A2670" s="12"/>
      <c r="E2670" s="57" t="str">
        <f ca="1">IFERROR(__xludf.DUMMYFUNCTION("""COMPUTED_VALUE"""),"")</f>
        <v/>
      </c>
    </row>
    <row r="2671" spans="1:5">
      <c r="A2671" s="12" t="s">
        <v>12221</v>
      </c>
      <c r="E2671" s="57" t="str">
        <f ca="1">IFERROR(__xludf.DUMMYFUNCTION("""COMPUTED_VALUE"""),"")</f>
        <v/>
      </c>
    </row>
    <row r="2672" spans="1:5">
      <c r="A2672" s="59" t="s">
        <v>12222</v>
      </c>
      <c r="E2672" s="57" t="str">
        <f ca="1">IFERROR(__xludf.DUMMYFUNCTION("""COMPUTED_VALUE"""),"")</f>
        <v/>
      </c>
    </row>
    <row r="2673" spans="1:5">
      <c r="A2673" s="12"/>
      <c r="E2673" s="57" t="str">
        <f ca="1">IFERROR(__xludf.DUMMYFUNCTION("""COMPUTED_VALUE"""),"")</f>
        <v/>
      </c>
    </row>
    <row r="2674" spans="1:5">
      <c r="A2674" s="12" t="s">
        <v>12223</v>
      </c>
      <c r="E2674" s="57" t="str">
        <f ca="1">IFERROR(__xludf.DUMMYFUNCTION("""COMPUTED_VALUE"""),"")</f>
        <v/>
      </c>
    </row>
    <row r="2675" spans="1:5">
      <c r="A2675" s="59" t="s">
        <v>12224</v>
      </c>
      <c r="E2675" s="57" t="str">
        <f ca="1">IFERROR(__xludf.DUMMYFUNCTION("""COMPUTED_VALUE"""),"")</f>
        <v/>
      </c>
    </row>
    <row r="2676" spans="1:5">
      <c r="A2676" s="12"/>
      <c r="E2676" s="57" t="str">
        <f ca="1">IFERROR(__xludf.DUMMYFUNCTION("""COMPUTED_VALUE"""),"")</f>
        <v/>
      </c>
    </row>
    <row r="2677" spans="1:5">
      <c r="A2677" s="12" t="s">
        <v>12225</v>
      </c>
      <c r="E2677" s="57" t="str">
        <f ca="1">IFERROR(__xludf.DUMMYFUNCTION("""COMPUTED_VALUE"""),"")</f>
        <v/>
      </c>
    </row>
    <row r="2678" spans="1:5">
      <c r="A2678" s="59" t="s">
        <v>12226</v>
      </c>
      <c r="E2678" s="57" t="str">
        <f ca="1">IFERROR(__xludf.DUMMYFUNCTION("""COMPUTED_VALUE"""),"")</f>
        <v/>
      </c>
    </row>
    <row r="2679" spans="1:5">
      <c r="A2679" s="12"/>
      <c r="E2679" s="57" t="str">
        <f ca="1">IFERROR(__xludf.DUMMYFUNCTION("""COMPUTED_VALUE"""),"")</f>
        <v/>
      </c>
    </row>
    <row r="2680" spans="1:5">
      <c r="A2680" s="12" t="s">
        <v>12227</v>
      </c>
      <c r="E2680" s="57" t="str">
        <f ca="1">IFERROR(__xludf.DUMMYFUNCTION("""COMPUTED_VALUE"""),"")</f>
        <v/>
      </c>
    </row>
    <row r="2681" spans="1:5">
      <c r="A2681" s="59" t="s">
        <v>12228</v>
      </c>
      <c r="E2681" s="57" t="str">
        <f ca="1">IFERROR(__xludf.DUMMYFUNCTION("""COMPUTED_VALUE"""),"")</f>
        <v/>
      </c>
    </row>
    <row r="2682" spans="1:5">
      <c r="A2682" s="12"/>
      <c r="E2682" s="57" t="str">
        <f ca="1">IFERROR(__xludf.DUMMYFUNCTION("""COMPUTED_VALUE"""),"")</f>
        <v/>
      </c>
    </row>
    <row r="2683" spans="1:5">
      <c r="A2683" s="12" t="s">
        <v>12229</v>
      </c>
      <c r="E2683" s="57" t="str">
        <f ca="1">IFERROR(__xludf.DUMMYFUNCTION("""COMPUTED_VALUE"""),"")</f>
        <v/>
      </c>
    </row>
    <row r="2684" spans="1:5">
      <c r="A2684" s="59" t="s">
        <v>12230</v>
      </c>
      <c r="E2684" s="57" t="str">
        <f ca="1">IFERROR(__xludf.DUMMYFUNCTION("""COMPUTED_VALUE"""),"")</f>
        <v/>
      </c>
    </row>
    <row r="2685" spans="1:5">
      <c r="A2685" s="12"/>
      <c r="E2685" s="57" t="str">
        <f ca="1">IFERROR(__xludf.DUMMYFUNCTION("""COMPUTED_VALUE"""),"")</f>
        <v/>
      </c>
    </row>
    <row r="2686" spans="1:5">
      <c r="A2686" s="12" t="s">
        <v>12231</v>
      </c>
      <c r="E2686" s="57" t="str">
        <f ca="1">IFERROR(__xludf.DUMMYFUNCTION("""COMPUTED_VALUE"""),"")</f>
        <v/>
      </c>
    </row>
    <row r="2687" spans="1:5">
      <c r="A2687" s="59" t="s">
        <v>12232</v>
      </c>
      <c r="E2687" s="57" t="str">
        <f ca="1">IFERROR(__xludf.DUMMYFUNCTION("""COMPUTED_VALUE"""),"")</f>
        <v/>
      </c>
    </row>
    <row r="2688" spans="1:5">
      <c r="A2688" s="12"/>
      <c r="E2688" s="57" t="str">
        <f ca="1">IFERROR(__xludf.DUMMYFUNCTION("""COMPUTED_VALUE"""),"")</f>
        <v/>
      </c>
    </row>
    <row r="2689" spans="1:5">
      <c r="A2689" s="12" t="s">
        <v>12233</v>
      </c>
      <c r="E2689" s="57" t="str">
        <f ca="1">IFERROR(__xludf.DUMMYFUNCTION("""COMPUTED_VALUE"""),"")</f>
        <v/>
      </c>
    </row>
    <row r="2690" spans="1:5">
      <c r="A2690" s="59" t="s">
        <v>12234</v>
      </c>
      <c r="E2690" s="57" t="str">
        <f ca="1">IFERROR(__xludf.DUMMYFUNCTION("""COMPUTED_VALUE"""),"")</f>
        <v/>
      </c>
    </row>
    <row r="2691" spans="1:5">
      <c r="A2691" s="12"/>
      <c r="E2691" s="57" t="str">
        <f ca="1">IFERROR(__xludf.DUMMYFUNCTION("""COMPUTED_VALUE"""),"")</f>
        <v/>
      </c>
    </row>
    <row r="2692" spans="1:5">
      <c r="A2692" s="12" t="s">
        <v>12235</v>
      </c>
      <c r="E2692" s="57" t="str">
        <f ca="1">IFERROR(__xludf.DUMMYFUNCTION("""COMPUTED_VALUE"""),"")</f>
        <v/>
      </c>
    </row>
    <row r="2693" spans="1:5">
      <c r="A2693" s="59" t="s">
        <v>12236</v>
      </c>
      <c r="E2693" s="57" t="str">
        <f ca="1">IFERROR(__xludf.DUMMYFUNCTION("""COMPUTED_VALUE"""),"")</f>
        <v/>
      </c>
    </row>
    <row r="2694" spans="1:5">
      <c r="A2694" s="12"/>
      <c r="E2694" s="57" t="str">
        <f ca="1">IFERROR(__xludf.DUMMYFUNCTION("""COMPUTED_VALUE"""),"")</f>
        <v/>
      </c>
    </row>
    <row r="2695" spans="1:5">
      <c r="A2695" s="12" t="s">
        <v>12237</v>
      </c>
      <c r="E2695" s="57" t="str">
        <f ca="1">IFERROR(__xludf.DUMMYFUNCTION("""COMPUTED_VALUE"""),"")</f>
        <v/>
      </c>
    </row>
    <row r="2696" spans="1:5">
      <c r="A2696" s="59" t="s">
        <v>12238</v>
      </c>
      <c r="E2696" s="57" t="str">
        <f ca="1">IFERROR(__xludf.DUMMYFUNCTION("""COMPUTED_VALUE"""),"")</f>
        <v/>
      </c>
    </row>
    <row r="2697" spans="1:5">
      <c r="A2697" s="12"/>
      <c r="E2697" s="57" t="str">
        <f ca="1">IFERROR(__xludf.DUMMYFUNCTION("""COMPUTED_VALUE"""),"")</f>
        <v/>
      </c>
    </row>
    <row r="2698" spans="1:5">
      <c r="A2698" s="12" t="s">
        <v>12239</v>
      </c>
      <c r="E2698" s="57" t="str">
        <f ca="1">IFERROR(__xludf.DUMMYFUNCTION("""COMPUTED_VALUE"""),"")</f>
        <v/>
      </c>
    </row>
    <row r="2699" spans="1:5">
      <c r="A2699" s="59" t="s">
        <v>12240</v>
      </c>
      <c r="E2699" s="57" t="str">
        <f ca="1">IFERROR(__xludf.DUMMYFUNCTION("""COMPUTED_VALUE"""),"")</f>
        <v/>
      </c>
    </row>
    <row r="2700" spans="1:5">
      <c r="A2700" s="12"/>
      <c r="E2700" s="57" t="str">
        <f ca="1">IFERROR(__xludf.DUMMYFUNCTION("""COMPUTED_VALUE"""),"")</f>
        <v/>
      </c>
    </row>
    <row r="2701" spans="1:5">
      <c r="A2701" s="12" t="s">
        <v>12241</v>
      </c>
      <c r="E2701" s="57" t="str">
        <f ca="1">IFERROR(__xludf.DUMMYFUNCTION("""COMPUTED_VALUE"""),"")</f>
        <v/>
      </c>
    </row>
    <row r="2702" spans="1:5">
      <c r="A2702" s="59" t="s">
        <v>12242</v>
      </c>
      <c r="E2702" s="57" t="str">
        <f ca="1">IFERROR(__xludf.DUMMYFUNCTION("""COMPUTED_VALUE"""),"")</f>
        <v/>
      </c>
    </row>
    <row r="2703" spans="1:5">
      <c r="A2703" s="12"/>
      <c r="E2703" s="57" t="str">
        <f ca="1">IFERROR(__xludf.DUMMYFUNCTION("""COMPUTED_VALUE"""),"")</f>
        <v/>
      </c>
    </row>
    <row r="2704" spans="1:5">
      <c r="A2704" s="12" t="s">
        <v>12243</v>
      </c>
      <c r="E2704" s="57" t="str">
        <f ca="1">IFERROR(__xludf.DUMMYFUNCTION("""COMPUTED_VALUE"""),"")</f>
        <v/>
      </c>
    </row>
    <row r="2705" spans="1:5">
      <c r="A2705" s="59" t="s">
        <v>12244</v>
      </c>
      <c r="E2705" s="57" t="str">
        <f ca="1">IFERROR(__xludf.DUMMYFUNCTION("""COMPUTED_VALUE"""),"")</f>
        <v/>
      </c>
    </row>
    <row r="2706" spans="1:5">
      <c r="A2706" s="12"/>
      <c r="E2706" s="57" t="str">
        <f ca="1">IFERROR(__xludf.DUMMYFUNCTION("""COMPUTED_VALUE"""),"")</f>
        <v/>
      </c>
    </row>
    <row r="2707" spans="1:5">
      <c r="A2707" s="12" t="s">
        <v>12245</v>
      </c>
      <c r="E2707" s="57" t="str">
        <f ca="1">IFERROR(__xludf.DUMMYFUNCTION("""COMPUTED_VALUE"""),"")</f>
        <v/>
      </c>
    </row>
    <row r="2708" spans="1:5">
      <c r="A2708" s="59" t="s">
        <v>12246</v>
      </c>
      <c r="E2708" s="57" t="str">
        <f ca="1">IFERROR(__xludf.DUMMYFUNCTION("""COMPUTED_VALUE"""),"")</f>
        <v/>
      </c>
    </row>
    <row r="2709" spans="1:5">
      <c r="A2709" s="12"/>
      <c r="E2709" s="57" t="str">
        <f ca="1">IFERROR(__xludf.DUMMYFUNCTION("""COMPUTED_VALUE"""),"")</f>
        <v/>
      </c>
    </row>
    <row r="2710" spans="1:5">
      <c r="A2710" s="12" t="s">
        <v>12247</v>
      </c>
      <c r="E2710" s="57" t="str">
        <f ca="1">IFERROR(__xludf.DUMMYFUNCTION("""COMPUTED_VALUE"""),"")</f>
        <v/>
      </c>
    </row>
    <row r="2711" spans="1:5">
      <c r="A2711" s="59" t="s">
        <v>12248</v>
      </c>
      <c r="E2711" s="57" t="str">
        <f ca="1">IFERROR(__xludf.DUMMYFUNCTION("""COMPUTED_VALUE"""),"")</f>
        <v/>
      </c>
    </row>
    <row r="2712" spans="1:5">
      <c r="A2712" s="12"/>
      <c r="E2712" s="57" t="str">
        <f ca="1">IFERROR(__xludf.DUMMYFUNCTION("""COMPUTED_VALUE"""),"")</f>
        <v/>
      </c>
    </row>
    <row r="2713" spans="1:5">
      <c r="A2713" s="12" t="s">
        <v>12249</v>
      </c>
      <c r="E2713" s="57" t="str">
        <f ca="1">IFERROR(__xludf.DUMMYFUNCTION("""COMPUTED_VALUE"""),"")</f>
        <v/>
      </c>
    </row>
    <row r="2714" spans="1:5">
      <c r="A2714" s="59" t="s">
        <v>12250</v>
      </c>
      <c r="E2714" s="57" t="str">
        <f ca="1">IFERROR(__xludf.DUMMYFUNCTION("""COMPUTED_VALUE"""),"")</f>
        <v/>
      </c>
    </row>
    <row r="2715" spans="1:5">
      <c r="A2715" s="12"/>
      <c r="E2715" s="57" t="str">
        <f ca="1">IFERROR(__xludf.DUMMYFUNCTION("""COMPUTED_VALUE"""),"")</f>
        <v/>
      </c>
    </row>
    <row r="2716" spans="1:5">
      <c r="A2716" s="12" t="s">
        <v>12251</v>
      </c>
      <c r="E2716" s="57" t="str">
        <f ca="1">IFERROR(__xludf.DUMMYFUNCTION("""COMPUTED_VALUE"""),"")</f>
        <v/>
      </c>
    </row>
    <row r="2717" spans="1:5">
      <c r="A2717" s="59" t="s">
        <v>12252</v>
      </c>
      <c r="E2717" s="57" t="str">
        <f ca="1">IFERROR(__xludf.DUMMYFUNCTION("""COMPUTED_VALUE"""),"")</f>
        <v/>
      </c>
    </row>
    <row r="2718" spans="1:5">
      <c r="A2718" s="12"/>
      <c r="E2718" s="57" t="str">
        <f ca="1">IFERROR(__xludf.DUMMYFUNCTION("""COMPUTED_VALUE"""),"")</f>
        <v/>
      </c>
    </row>
    <row r="2719" spans="1:5">
      <c r="A2719" s="12" t="s">
        <v>12253</v>
      </c>
      <c r="E2719" s="57" t="str">
        <f ca="1">IFERROR(__xludf.DUMMYFUNCTION("""COMPUTED_VALUE"""),"")</f>
        <v/>
      </c>
    </row>
    <row r="2720" spans="1:5">
      <c r="A2720" s="59" t="s">
        <v>12254</v>
      </c>
      <c r="E2720" s="57" t="str">
        <f ca="1">IFERROR(__xludf.DUMMYFUNCTION("""COMPUTED_VALUE"""),"")</f>
        <v/>
      </c>
    </row>
    <row r="2721" spans="1:5">
      <c r="A2721" s="12"/>
      <c r="E2721" s="57" t="str">
        <f ca="1">IFERROR(__xludf.DUMMYFUNCTION("""COMPUTED_VALUE"""),"")</f>
        <v/>
      </c>
    </row>
    <row r="2722" spans="1:5">
      <c r="A2722" s="12" t="s">
        <v>12255</v>
      </c>
      <c r="E2722" s="57" t="str">
        <f ca="1">IFERROR(__xludf.DUMMYFUNCTION("""COMPUTED_VALUE"""),"")</f>
        <v/>
      </c>
    </row>
    <row r="2723" spans="1:5">
      <c r="A2723" s="59" t="s">
        <v>12256</v>
      </c>
      <c r="E2723" s="57" t="str">
        <f ca="1">IFERROR(__xludf.DUMMYFUNCTION("""COMPUTED_VALUE"""),"")</f>
        <v/>
      </c>
    </row>
    <row r="2724" spans="1:5">
      <c r="A2724" s="12"/>
      <c r="E2724" s="57" t="str">
        <f ca="1">IFERROR(__xludf.DUMMYFUNCTION("""COMPUTED_VALUE"""),"")</f>
        <v/>
      </c>
    </row>
    <row r="2725" spans="1:5">
      <c r="A2725" s="12" t="s">
        <v>12257</v>
      </c>
      <c r="E2725" s="57" t="str">
        <f ca="1">IFERROR(__xludf.DUMMYFUNCTION("""COMPUTED_VALUE"""),"")</f>
        <v/>
      </c>
    </row>
    <row r="2726" spans="1:5">
      <c r="A2726" s="59" t="s">
        <v>12258</v>
      </c>
      <c r="E2726" s="57" t="str">
        <f ca="1">IFERROR(__xludf.DUMMYFUNCTION("""COMPUTED_VALUE"""),"")</f>
        <v/>
      </c>
    </row>
    <row r="2727" spans="1:5">
      <c r="A2727" s="12"/>
      <c r="E2727" s="57" t="str">
        <f ca="1">IFERROR(__xludf.DUMMYFUNCTION("""COMPUTED_VALUE"""),"")</f>
        <v/>
      </c>
    </row>
    <row r="2728" spans="1:5">
      <c r="A2728" s="12" t="s">
        <v>12259</v>
      </c>
      <c r="E2728" s="57" t="str">
        <f ca="1">IFERROR(__xludf.DUMMYFUNCTION("""COMPUTED_VALUE"""),"")</f>
        <v/>
      </c>
    </row>
    <row r="2729" spans="1:5">
      <c r="A2729" s="59" t="s">
        <v>12260</v>
      </c>
      <c r="E2729" s="57" t="str">
        <f ca="1">IFERROR(__xludf.DUMMYFUNCTION("""COMPUTED_VALUE"""),"")</f>
        <v/>
      </c>
    </row>
    <row r="2730" spans="1:5">
      <c r="A2730" s="12"/>
      <c r="E2730" s="57" t="str">
        <f ca="1">IFERROR(__xludf.DUMMYFUNCTION("""COMPUTED_VALUE"""),"")</f>
        <v/>
      </c>
    </row>
    <row r="2731" spans="1:5">
      <c r="A2731" s="12" t="s">
        <v>12261</v>
      </c>
      <c r="E2731" s="57" t="str">
        <f ca="1">IFERROR(__xludf.DUMMYFUNCTION("""COMPUTED_VALUE"""),"")</f>
        <v/>
      </c>
    </row>
    <row r="2732" spans="1:5">
      <c r="A2732" s="59" t="s">
        <v>12262</v>
      </c>
      <c r="E2732" s="57" t="str">
        <f ca="1">IFERROR(__xludf.DUMMYFUNCTION("""COMPUTED_VALUE"""),"")</f>
        <v/>
      </c>
    </row>
    <row r="2733" spans="1:5">
      <c r="A2733" s="12"/>
      <c r="E2733" s="57" t="str">
        <f ca="1">IFERROR(__xludf.DUMMYFUNCTION("""COMPUTED_VALUE"""),"")</f>
        <v/>
      </c>
    </row>
    <row r="2734" spans="1:5">
      <c r="A2734" s="12" t="s">
        <v>12263</v>
      </c>
      <c r="E2734" s="57" t="str">
        <f ca="1">IFERROR(__xludf.DUMMYFUNCTION("""COMPUTED_VALUE"""),"")</f>
        <v/>
      </c>
    </row>
    <row r="2735" spans="1:5">
      <c r="A2735" s="59" t="s">
        <v>12264</v>
      </c>
      <c r="E2735" s="57" t="str">
        <f ca="1">IFERROR(__xludf.DUMMYFUNCTION("""COMPUTED_VALUE"""),"")</f>
        <v/>
      </c>
    </row>
    <row r="2736" spans="1:5">
      <c r="A2736" s="12"/>
      <c r="E2736" s="57" t="str">
        <f ca="1">IFERROR(__xludf.DUMMYFUNCTION("""COMPUTED_VALUE"""),"")</f>
        <v/>
      </c>
    </row>
    <row r="2737" spans="1:5">
      <c r="A2737" s="12" t="s">
        <v>12265</v>
      </c>
      <c r="E2737" s="57" t="str">
        <f ca="1">IFERROR(__xludf.DUMMYFUNCTION("""COMPUTED_VALUE"""),"")</f>
        <v/>
      </c>
    </row>
    <row r="2738" spans="1:5">
      <c r="A2738" s="59" t="s">
        <v>12266</v>
      </c>
      <c r="E2738" s="57" t="str">
        <f ca="1">IFERROR(__xludf.DUMMYFUNCTION("""COMPUTED_VALUE"""),"")</f>
        <v/>
      </c>
    </row>
    <row r="2739" spans="1:5">
      <c r="A2739" s="12"/>
      <c r="E2739" s="57" t="str">
        <f ca="1">IFERROR(__xludf.DUMMYFUNCTION("""COMPUTED_VALUE"""),"")</f>
        <v/>
      </c>
    </row>
    <row r="2740" spans="1:5">
      <c r="A2740" s="12" t="s">
        <v>12267</v>
      </c>
      <c r="E2740" s="57" t="str">
        <f ca="1">IFERROR(__xludf.DUMMYFUNCTION("""COMPUTED_VALUE"""),"")</f>
        <v/>
      </c>
    </row>
    <row r="2741" spans="1:5">
      <c r="A2741" s="59" t="s">
        <v>12268</v>
      </c>
      <c r="E2741" s="57" t="str">
        <f ca="1">IFERROR(__xludf.DUMMYFUNCTION("""COMPUTED_VALUE"""),"")</f>
        <v/>
      </c>
    </row>
    <row r="2742" spans="1:5">
      <c r="A2742" s="12"/>
      <c r="E2742" s="57" t="str">
        <f ca="1">IFERROR(__xludf.DUMMYFUNCTION("""COMPUTED_VALUE"""),"")</f>
        <v/>
      </c>
    </row>
    <row r="2743" spans="1:5">
      <c r="A2743" s="12" t="s">
        <v>12269</v>
      </c>
      <c r="E2743" s="57" t="str">
        <f ca="1">IFERROR(__xludf.DUMMYFUNCTION("""COMPUTED_VALUE"""),"")</f>
        <v/>
      </c>
    </row>
    <row r="2744" spans="1:5">
      <c r="A2744" s="59" t="s">
        <v>12270</v>
      </c>
      <c r="E2744" s="57" t="str">
        <f ca="1">IFERROR(__xludf.DUMMYFUNCTION("""COMPUTED_VALUE"""),"")</f>
        <v/>
      </c>
    </row>
    <row r="2745" spans="1:5">
      <c r="A2745" s="12"/>
      <c r="E2745" s="57" t="str">
        <f ca="1">IFERROR(__xludf.DUMMYFUNCTION("""COMPUTED_VALUE"""),"")</f>
        <v/>
      </c>
    </row>
    <row r="2746" spans="1:5">
      <c r="A2746" s="12" t="s">
        <v>12271</v>
      </c>
      <c r="E2746" s="57" t="str">
        <f ca="1">IFERROR(__xludf.DUMMYFUNCTION("""COMPUTED_VALUE"""),"")</f>
        <v/>
      </c>
    </row>
    <row r="2747" spans="1:5">
      <c r="A2747" s="59" t="s">
        <v>12272</v>
      </c>
      <c r="E2747" s="57" t="str">
        <f ca="1">IFERROR(__xludf.DUMMYFUNCTION("""COMPUTED_VALUE"""),"")</f>
        <v/>
      </c>
    </row>
    <row r="2748" spans="1:5">
      <c r="A2748" s="12"/>
      <c r="E2748" s="57" t="str">
        <f ca="1">IFERROR(__xludf.DUMMYFUNCTION("""COMPUTED_VALUE"""),"")</f>
        <v/>
      </c>
    </row>
    <row r="2749" spans="1:5">
      <c r="A2749" s="12" t="s">
        <v>12273</v>
      </c>
      <c r="E2749" s="57" t="str">
        <f ca="1">IFERROR(__xludf.DUMMYFUNCTION("""COMPUTED_VALUE"""),"")</f>
        <v/>
      </c>
    </row>
    <row r="2750" spans="1:5">
      <c r="A2750" s="59" t="s">
        <v>12274</v>
      </c>
      <c r="E2750" s="57" t="str">
        <f ca="1">IFERROR(__xludf.DUMMYFUNCTION("""COMPUTED_VALUE"""),"")</f>
        <v/>
      </c>
    </row>
    <row r="2751" spans="1:5">
      <c r="A2751" s="12"/>
      <c r="E2751" s="57" t="str">
        <f ca="1">IFERROR(__xludf.DUMMYFUNCTION("""COMPUTED_VALUE"""),"")</f>
        <v/>
      </c>
    </row>
    <row r="2752" spans="1:5">
      <c r="A2752" s="12" t="s">
        <v>12275</v>
      </c>
      <c r="E2752" s="57" t="str">
        <f ca="1">IFERROR(__xludf.DUMMYFUNCTION("""COMPUTED_VALUE"""),"")</f>
        <v/>
      </c>
    </row>
    <row r="2753" spans="1:5">
      <c r="A2753" s="59" t="s">
        <v>12276</v>
      </c>
      <c r="E2753" s="57" t="str">
        <f ca="1">IFERROR(__xludf.DUMMYFUNCTION("""COMPUTED_VALUE"""),"")</f>
        <v/>
      </c>
    </row>
    <row r="2754" spans="1:5">
      <c r="A2754" s="12"/>
      <c r="E2754" s="57" t="str">
        <f ca="1">IFERROR(__xludf.DUMMYFUNCTION("""COMPUTED_VALUE"""),"")</f>
        <v/>
      </c>
    </row>
    <row r="2755" spans="1:5">
      <c r="A2755" s="12" t="s">
        <v>12277</v>
      </c>
      <c r="E2755" s="57" t="str">
        <f ca="1">IFERROR(__xludf.DUMMYFUNCTION("""COMPUTED_VALUE"""),"")</f>
        <v/>
      </c>
    </row>
    <row r="2756" spans="1:5">
      <c r="A2756" s="59" t="s">
        <v>12278</v>
      </c>
      <c r="E2756" s="57" t="str">
        <f ca="1">IFERROR(__xludf.DUMMYFUNCTION("""COMPUTED_VALUE"""),"")</f>
        <v/>
      </c>
    </row>
    <row r="2757" spans="1:5">
      <c r="A2757" s="12"/>
      <c r="E2757" s="57" t="str">
        <f ca="1">IFERROR(__xludf.DUMMYFUNCTION("""COMPUTED_VALUE"""),"")</f>
        <v/>
      </c>
    </row>
    <row r="2758" spans="1:5">
      <c r="A2758" s="12" t="s">
        <v>12279</v>
      </c>
      <c r="E2758" s="57" t="str">
        <f ca="1">IFERROR(__xludf.DUMMYFUNCTION("""COMPUTED_VALUE"""),"")</f>
        <v/>
      </c>
    </row>
    <row r="2759" spans="1:5">
      <c r="A2759" s="59" t="s">
        <v>12280</v>
      </c>
      <c r="E2759" s="57" t="str">
        <f ca="1">IFERROR(__xludf.DUMMYFUNCTION("""COMPUTED_VALUE"""),"")</f>
        <v/>
      </c>
    </row>
    <row r="2760" spans="1:5">
      <c r="A2760" s="12"/>
      <c r="E2760" s="57" t="str">
        <f ca="1">IFERROR(__xludf.DUMMYFUNCTION("""COMPUTED_VALUE"""),"")</f>
        <v/>
      </c>
    </row>
    <row r="2761" spans="1:5">
      <c r="A2761" s="12" t="s">
        <v>12281</v>
      </c>
      <c r="E2761" s="57" t="str">
        <f ca="1">IFERROR(__xludf.DUMMYFUNCTION("""COMPUTED_VALUE"""),"")</f>
        <v/>
      </c>
    </row>
    <row r="2762" spans="1:5">
      <c r="A2762" s="59" t="s">
        <v>12282</v>
      </c>
      <c r="E2762" s="57" t="str">
        <f ca="1">IFERROR(__xludf.DUMMYFUNCTION("""COMPUTED_VALUE"""),"")</f>
        <v/>
      </c>
    </row>
    <row r="2763" spans="1:5">
      <c r="A2763" s="12"/>
      <c r="E2763" s="57" t="str">
        <f ca="1">IFERROR(__xludf.DUMMYFUNCTION("""COMPUTED_VALUE"""),"")</f>
        <v/>
      </c>
    </row>
    <row r="2764" spans="1:5">
      <c r="A2764" s="12" t="s">
        <v>12283</v>
      </c>
      <c r="E2764" s="57" t="str">
        <f ca="1">IFERROR(__xludf.DUMMYFUNCTION("""COMPUTED_VALUE"""),"")</f>
        <v/>
      </c>
    </row>
    <row r="2765" spans="1:5">
      <c r="A2765" s="59" t="s">
        <v>12284</v>
      </c>
      <c r="E2765" s="57" t="str">
        <f ca="1">IFERROR(__xludf.DUMMYFUNCTION("""COMPUTED_VALUE"""),"")</f>
        <v/>
      </c>
    </row>
    <row r="2766" spans="1:5">
      <c r="A2766" s="12"/>
      <c r="E2766" s="57" t="str">
        <f ca="1">IFERROR(__xludf.DUMMYFUNCTION("""COMPUTED_VALUE"""),"")</f>
        <v/>
      </c>
    </row>
    <row r="2767" spans="1:5">
      <c r="A2767" s="12" t="s">
        <v>12285</v>
      </c>
      <c r="E2767" s="57" t="str">
        <f ca="1">IFERROR(__xludf.DUMMYFUNCTION("""COMPUTED_VALUE"""),"")</f>
        <v/>
      </c>
    </row>
    <row r="2768" spans="1:5">
      <c r="A2768" s="59" t="s">
        <v>12286</v>
      </c>
      <c r="E2768" s="57" t="str">
        <f ca="1">IFERROR(__xludf.DUMMYFUNCTION("""COMPUTED_VALUE"""),"")</f>
        <v/>
      </c>
    </row>
    <row r="2769" spans="1:5">
      <c r="A2769" s="12"/>
      <c r="E2769" s="57" t="str">
        <f ca="1">IFERROR(__xludf.DUMMYFUNCTION("""COMPUTED_VALUE"""),"")</f>
        <v/>
      </c>
    </row>
    <row r="2770" spans="1:5">
      <c r="A2770" s="12" t="s">
        <v>12287</v>
      </c>
      <c r="E2770" s="57" t="str">
        <f ca="1">IFERROR(__xludf.DUMMYFUNCTION("""COMPUTED_VALUE"""),"")</f>
        <v/>
      </c>
    </row>
    <row r="2771" spans="1:5">
      <c r="A2771" s="59" t="s">
        <v>12288</v>
      </c>
      <c r="E2771" s="57" t="str">
        <f ca="1">IFERROR(__xludf.DUMMYFUNCTION("""COMPUTED_VALUE"""),"")</f>
        <v/>
      </c>
    </row>
    <row r="2772" spans="1:5">
      <c r="A2772" s="12"/>
      <c r="E2772" s="57" t="str">
        <f ca="1">IFERROR(__xludf.DUMMYFUNCTION("""COMPUTED_VALUE"""),"")</f>
        <v/>
      </c>
    </row>
    <row r="2773" spans="1:5">
      <c r="A2773" s="12" t="s">
        <v>12289</v>
      </c>
      <c r="E2773" s="57" t="str">
        <f ca="1">IFERROR(__xludf.DUMMYFUNCTION("""COMPUTED_VALUE"""),"")</f>
        <v/>
      </c>
    </row>
    <row r="2774" spans="1:5">
      <c r="A2774" s="59" t="s">
        <v>12290</v>
      </c>
      <c r="E2774" s="57" t="str">
        <f ca="1">IFERROR(__xludf.DUMMYFUNCTION("""COMPUTED_VALUE"""),"")</f>
        <v/>
      </c>
    </row>
    <row r="2775" spans="1:5">
      <c r="A2775" s="12"/>
      <c r="E2775" s="57" t="str">
        <f ca="1">IFERROR(__xludf.DUMMYFUNCTION("""COMPUTED_VALUE"""),"")</f>
        <v/>
      </c>
    </row>
    <row r="2776" spans="1:5">
      <c r="A2776" s="12" t="s">
        <v>12291</v>
      </c>
      <c r="E2776" s="57" t="str">
        <f ca="1">IFERROR(__xludf.DUMMYFUNCTION("""COMPUTED_VALUE"""),"")</f>
        <v/>
      </c>
    </row>
    <row r="2777" spans="1:5">
      <c r="A2777" s="59" t="s">
        <v>12292</v>
      </c>
      <c r="E2777" s="57" t="str">
        <f ca="1">IFERROR(__xludf.DUMMYFUNCTION("""COMPUTED_VALUE"""),"")</f>
        <v/>
      </c>
    </row>
    <row r="2778" spans="1:5">
      <c r="A2778" s="12"/>
      <c r="E2778" s="57" t="str">
        <f ca="1">IFERROR(__xludf.DUMMYFUNCTION("""COMPUTED_VALUE"""),"")</f>
        <v/>
      </c>
    </row>
    <row r="2779" spans="1:5">
      <c r="A2779" s="12" t="s">
        <v>12293</v>
      </c>
      <c r="E2779" s="57" t="str">
        <f ca="1">IFERROR(__xludf.DUMMYFUNCTION("""COMPUTED_VALUE"""),"")</f>
        <v/>
      </c>
    </row>
    <row r="2780" spans="1:5">
      <c r="A2780" s="59" t="s">
        <v>12294</v>
      </c>
      <c r="E2780" s="57" t="str">
        <f ca="1">IFERROR(__xludf.DUMMYFUNCTION("""COMPUTED_VALUE"""),"")</f>
        <v/>
      </c>
    </row>
    <row r="2781" spans="1:5">
      <c r="A2781" s="12"/>
      <c r="E2781" s="57" t="str">
        <f ca="1">IFERROR(__xludf.DUMMYFUNCTION("""COMPUTED_VALUE"""),"")</f>
        <v/>
      </c>
    </row>
    <row r="2782" spans="1:5">
      <c r="A2782" s="12" t="s">
        <v>12295</v>
      </c>
      <c r="E2782" s="57" t="str">
        <f ca="1">IFERROR(__xludf.DUMMYFUNCTION("""COMPUTED_VALUE"""),"")</f>
        <v/>
      </c>
    </row>
    <row r="2783" spans="1:5">
      <c r="A2783" s="59" t="s">
        <v>12296</v>
      </c>
      <c r="E2783" s="57" t="str">
        <f ca="1">IFERROR(__xludf.DUMMYFUNCTION("""COMPUTED_VALUE"""),"")</f>
        <v/>
      </c>
    </row>
    <row r="2784" spans="1:5">
      <c r="A2784" s="12"/>
      <c r="E2784" s="57" t="str">
        <f ca="1">IFERROR(__xludf.DUMMYFUNCTION("""COMPUTED_VALUE"""),"")</f>
        <v/>
      </c>
    </row>
    <row r="2785" spans="1:5">
      <c r="A2785" s="12" t="s">
        <v>12297</v>
      </c>
      <c r="E2785" s="57" t="str">
        <f ca="1">IFERROR(__xludf.DUMMYFUNCTION("""COMPUTED_VALUE"""),"")</f>
        <v/>
      </c>
    </row>
    <row r="2786" spans="1:5">
      <c r="A2786" s="59" t="s">
        <v>12298</v>
      </c>
      <c r="E2786" s="57" t="str">
        <f ca="1">IFERROR(__xludf.DUMMYFUNCTION("""COMPUTED_VALUE"""),"")</f>
        <v/>
      </c>
    </row>
    <row r="2787" spans="1:5">
      <c r="A2787" s="12"/>
      <c r="E2787" s="57" t="str">
        <f ca="1">IFERROR(__xludf.DUMMYFUNCTION("""COMPUTED_VALUE"""),"")</f>
        <v/>
      </c>
    </row>
    <row r="2788" spans="1:5">
      <c r="A2788" s="12" t="s">
        <v>12299</v>
      </c>
      <c r="E2788" s="57" t="str">
        <f ca="1">IFERROR(__xludf.DUMMYFUNCTION("""COMPUTED_VALUE"""),"")</f>
        <v/>
      </c>
    </row>
    <row r="2789" spans="1:5">
      <c r="A2789" s="59" t="s">
        <v>12300</v>
      </c>
      <c r="E2789" s="57" t="str">
        <f ca="1">IFERROR(__xludf.DUMMYFUNCTION("""COMPUTED_VALUE"""),"")</f>
        <v/>
      </c>
    </row>
    <row r="2790" spans="1:5">
      <c r="A2790" s="12"/>
      <c r="E2790" s="57" t="str">
        <f ca="1">IFERROR(__xludf.DUMMYFUNCTION("""COMPUTED_VALUE"""),"")</f>
        <v/>
      </c>
    </row>
    <row r="2791" spans="1:5">
      <c r="A2791" s="12" t="s">
        <v>12301</v>
      </c>
      <c r="E2791" s="57" t="str">
        <f ca="1">IFERROR(__xludf.DUMMYFUNCTION("""COMPUTED_VALUE"""),"")</f>
        <v/>
      </c>
    </row>
    <row r="2792" spans="1:5">
      <c r="A2792" s="59" t="s">
        <v>12302</v>
      </c>
      <c r="E2792" s="57" t="str">
        <f ca="1">IFERROR(__xludf.DUMMYFUNCTION("""COMPUTED_VALUE"""),"")</f>
        <v/>
      </c>
    </row>
    <row r="2793" spans="1:5">
      <c r="A2793" s="12"/>
      <c r="E2793" s="57" t="str">
        <f ca="1">IFERROR(__xludf.DUMMYFUNCTION("""COMPUTED_VALUE"""),"")</f>
        <v/>
      </c>
    </row>
    <row r="2794" spans="1:5">
      <c r="A2794" s="12" t="s">
        <v>12303</v>
      </c>
      <c r="E2794" s="57" t="str">
        <f ca="1">IFERROR(__xludf.DUMMYFUNCTION("""COMPUTED_VALUE"""),"")</f>
        <v/>
      </c>
    </row>
    <row r="2795" spans="1:5">
      <c r="A2795" s="59" t="s">
        <v>12304</v>
      </c>
      <c r="E2795" s="57" t="str">
        <f ca="1">IFERROR(__xludf.DUMMYFUNCTION("""COMPUTED_VALUE"""),"")</f>
        <v/>
      </c>
    </row>
    <row r="2796" spans="1:5">
      <c r="A2796" s="12"/>
      <c r="E2796" s="57" t="str">
        <f ca="1">IFERROR(__xludf.DUMMYFUNCTION("""COMPUTED_VALUE"""),"")</f>
        <v/>
      </c>
    </row>
    <row r="2797" spans="1:5">
      <c r="A2797" s="12" t="s">
        <v>12305</v>
      </c>
      <c r="E2797" s="57" t="str">
        <f ca="1">IFERROR(__xludf.DUMMYFUNCTION("""COMPUTED_VALUE"""),"")</f>
        <v/>
      </c>
    </row>
    <row r="2798" spans="1:5">
      <c r="A2798" s="59" t="s">
        <v>12306</v>
      </c>
      <c r="E2798" s="57" t="str">
        <f ca="1">IFERROR(__xludf.DUMMYFUNCTION("""COMPUTED_VALUE"""),"")</f>
        <v/>
      </c>
    </row>
    <row r="2799" spans="1:5">
      <c r="A2799" s="12"/>
      <c r="E2799" s="57" t="str">
        <f ca="1">IFERROR(__xludf.DUMMYFUNCTION("""COMPUTED_VALUE"""),"")</f>
        <v/>
      </c>
    </row>
    <row r="2800" spans="1:5">
      <c r="A2800" s="12" t="s">
        <v>12307</v>
      </c>
      <c r="E2800" s="57" t="str">
        <f ca="1">IFERROR(__xludf.DUMMYFUNCTION("""COMPUTED_VALUE"""),"")</f>
        <v/>
      </c>
    </row>
    <row r="2801" spans="1:5">
      <c r="A2801" s="59" t="s">
        <v>12308</v>
      </c>
      <c r="E2801" s="57" t="str">
        <f ca="1">IFERROR(__xludf.DUMMYFUNCTION("""COMPUTED_VALUE"""),"")</f>
        <v/>
      </c>
    </row>
    <row r="2802" spans="1:5">
      <c r="A2802" s="12"/>
      <c r="E2802" s="57" t="str">
        <f ca="1">IFERROR(__xludf.DUMMYFUNCTION("""COMPUTED_VALUE"""),"")</f>
        <v/>
      </c>
    </row>
    <row r="2803" spans="1:5">
      <c r="A2803" s="12" t="s">
        <v>12309</v>
      </c>
      <c r="E2803" s="57" t="str">
        <f ca="1">IFERROR(__xludf.DUMMYFUNCTION("""COMPUTED_VALUE"""),"")</f>
        <v/>
      </c>
    </row>
    <row r="2804" spans="1:5">
      <c r="A2804" s="59" t="s">
        <v>12310</v>
      </c>
      <c r="E2804" s="57" t="str">
        <f ca="1">IFERROR(__xludf.DUMMYFUNCTION("""COMPUTED_VALUE"""),"")</f>
        <v/>
      </c>
    </row>
    <row r="2805" spans="1:5">
      <c r="A2805" s="12"/>
      <c r="E2805" s="57" t="str">
        <f ca="1">IFERROR(__xludf.DUMMYFUNCTION("""COMPUTED_VALUE"""),"")</f>
        <v/>
      </c>
    </row>
    <row r="2806" spans="1:5">
      <c r="A2806" s="12" t="s">
        <v>12311</v>
      </c>
      <c r="E2806" s="57" t="str">
        <f ca="1">IFERROR(__xludf.DUMMYFUNCTION("""COMPUTED_VALUE"""),"")</f>
        <v/>
      </c>
    </row>
    <row r="2807" spans="1:5">
      <c r="A2807" s="59" t="s">
        <v>12312</v>
      </c>
      <c r="E2807" s="57" t="str">
        <f ca="1">IFERROR(__xludf.DUMMYFUNCTION("""COMPUTED_VALUE"""),"")</f>
        <v/>
      </c>
    </row>
    <row r="2808" spans="1:5">
      <c r="A2808" s="12"/>
      <c r="E2808" s="57" t="str">
        <f ca="1">IFERROR(__xludf.DUMMYFUNCTION("""COMPUTED_VALUE"""),"")</f>
        <v/>
      </c>
    </row>
    <row r="2809" spans="1:5">
      <c r="A2809" s="12" t="s">
        <v>12313</v>
      </c>
      <c r="E2809" s="57" t="str">
        <f ca="1">IFERROR(__xludf.DUMMYFUNCTION("""COMPUTED_VALUE"""),"")</f>
        <v/>
      </c>
    </row>
    <row r="2810" spans="1:5">
      <c r="A2810" s="59" t="s">
        <v>12314</v>
      </c>
      <c r="E2810" s="57" t="str">
        <f ca="1">IFERROR(__xludf.DUMMYFUNCTION("""COMPUTED_VALUE"""),"")</f>
        <v/>
      </c>
    </row>
    <row r="2811" spans="1:5">
      <c r="A2811" s="12"/>
      <c r="E2811" s="57" t="str">
        <f ca="1">IFERROR(__xludf.DUMMYFUNCTION("""COMPUTED_VALUE"""),"")</f>
        <v/>
      </c>
    </row>
    <row r="2812" spans="1:5">
      <c r="A2812" s="12" t="s">
        <v>12315</v>
      </c>
      <c r="E2812" s="57" t="str">
        <f ca="1">IFERROR(__xludf.DUMMYFUNCTION("""COMPUTED_VALUE"""),"")</f>
        <v/>
      </c>
    </row>
    <row r="2813" spans="1:5">
      <c r="A2813" s="59" t="s">
        <v>12316</v>
      </c>
      <c r="E2813" s="57" t="str">
        <f ca="1">IFERROR(__xludf.DUMMYFUNCTION("""COMPUTED_VALUE"""),"")</f>
        <v/>
      </c>
    </row>
    <row r="2814" spans="1:5">
      <c r="A2814" s="12"/>
      <c r="E2814" s="57" t="str">
        <f ca="1">IFERROR(__xludf.DUMMYFUNCTION("""COMPUTED_VALUE"""),"")</f>
        <v/>
      </c>
    </row>
    <row r="2815" spans="1:5">
      <c r="A2815" s="12" t="s">
        <v>12317</v>
      </c>
      <c r="E2815" s="57" t="str">
        <f ca="1">IFERROR(__xludf.DUMMYFUNCTION("""COMPUTED_VALUE"""),"")</f>
        <v/>
      </c>
    </row>
    <row r="2816" spans="1:5">
      <c r="A2816" s="59" t="s">
        <v>12318</v>
      </c>
      <c r="E2816" s="57" t="str">
        <f ca="1">IFERROR(__xludf.DUMMYFUNCTION("""COMPUTED_VALUE"""),"")</f>
        <v/>
      </c>
    </row>
    <row r="2817" spans="1:5">
      <c r="A2817" s="12"/>
      <c r="E2817" s="57" t="str">
        <f ca="1">IFERROR(__xludf.DUMMYFUNCTION("""COMPUTED_VALUE"""),"")</f>
        <v/>
      </c>
    </row>
    <row r="2818" spans="1:5">
      <c r="A2818" s="12" t="s">
        <v>12319</v>
      </c>
      <c r="E2818" s="57" t="str">
        <f ca="1">IFERROR(__xludf.DUMMYFUNCTION("""COMPUTED_VALUE"""),"")</f>
        <v/>
      </c>
    </row>
    <row r="2819" spans="1:5">
      <c r="A2819" s="59" t="s">
        <v>12320</v>
      </c>
      <c r="E2819" s="57" t="str">
        <f ca="1">IFERROR(__xludf.DUMMYFUNCTION("""COMPUTED_VALUE"""),"")</f>
        <v/>
      </c>
    </row>
    <row r="2820" spans="1:5">
      <c r="A2820" s="12"/>
      <c r="E2820" s="57" t="str">
        <f ca="1">IFERROR(__xludf.DUMMYFUNCTION("""COMPUTED_VALUE"""),"")</f>
        <v/>
      </c>
    </row>
    <row r="2821" spans="1:5">
      <c r="A2821" s="12" t="s">
        <v>12321</v>
      </c>
      <c r="E2821" s="57" t="str">
        <f ca="1">IFERROR(__xludf.DUMMYFUNCTION("""COMPUTED_VALUE"""),"")</f>
        <v/>
      </c>
    </row>
    <row r="2822" spans="1:5">
      <c r="A2822" s="59" t="s">
        <v>12322</v>
      </c>
      <c r="E2822" s="57" t="str">
        <f ca="1">IFERROR(__xludf.DUMMYFUNCTION("""COMPUTED_VALUE"""),"")</f>
        <v/>
      </c>
    </row>
    <row r="2823" spans="1:5">
      <c r="A2823" s="12"/>
      <c r="E2823" s="57" t="str">
        <f ca="1">IFERROR(__xludf.DUMMYFUNCTION("""COMPUTED_VALUE"""),"")</f>
        <v/>
      </c>
    </row>
    <row r="2824" spans="1:5">
      <c r="A2824" s="12" t="s">
        <v>12323</v>
      </c>
      <c r="E2824" s="57" t="str">
        <f ca="1">IFERROR(__xludf.DUMMYFUNCTION("""COMPUTED_VALUE"""),"")</f>
        <v/>
      </c>
    </row>
    <row r="2825" spans="1:5">
      <c r="A2825" s="59" t="s">
        <v>12324</v>
      </c>
      <c r="E2825" s="57" t="str">
        <f ca="1">IFERROR(__xludf.DUMMYFUNCTION("""COMPUTED_VALUE"""),"")</f>
        <v/>
      </c>
    </row>
    <row r="2826" spans="1:5">
      <c r="A2826" s="12"/>
      <c r="E2826" s="57" t="str">
        <f ca="1">IFERROR(__xludf.DUMMYFUNCTION("""COMPUTED_VALUE"""),"")</f>
        <v/>
      </c>
    </row>
    <row r="2827" spans="1:5">
      <c r="A2827" s="12" t="s">
        <v>12325</v>
      </c>
      <c r="E2827" s="57" t="str">
        <f ca="1">IFERROR(__xludf.DUMMYFUNCTION("""COMPUTED_VALUE"""),"")</f>
        <v/>
      </c>
    </row>
    <row r="2828" spans="1:5">
      <c r="A2828" s="59" t="s">
        <v>12326</v>
      </c>
      <c r="E2828" s="57" t="str">
        <f ca="1">IFERROR(__xludf.DUMMYFUNCTION("""COMPUTED_VALUE"""),"")</f>
        <v/>
      </c>
    </row>
    <row r="2829" spans="1:5">
      <c r="A2829" s="12"/>
      <c r="E2829" s="57" t="str">
        <f ca="1">IFERROR(__xludf.DUMMYFUNCTION("""COMPUTED_VALUE"""),"")</f>
        <v/>
      </c>
    </row>
    <row r="2830" spans="1:5">
      <c r="A2830" s="12" t="s">
        <v>12327</v>
      </c>
      <c r="E2830" s="57" t="str">
        <f ca="1">IFERROR(__xludf.DUMMYFUNCTION("""COMPUTED_VALUE"""),"")</f>
        <v/>
      </c>
    </row>
    <row r="2831" spans="1:5">
      <c r="A2831" s="59" t="s">
        <v>12328</v>
      </c>
      <c r="E2831" s="57" t="str">
        <f ca="1">IFERROR(__xludf.DUMMYFUNCTION("""COMPUTED_VALUE"""),"")</f>
        <v/>
      </c>
    </row>
    <row r="2832" spans="1:5">
      <c r="A2832" s="12"/>
      <c r="E2832" s="57" t="str">
        <f ca="1">IFERROR(__xludf.DUMMYFUNCTION("""COMPUTED_VALUE"""),"")</f>
        <v/>
      </c>
    </row>
    <row r="2833" spans="1:5">
      <c r="A2833" s="12" t="s">
        <v>12329</v>
      </c>
      <c r="E2833" s="57" t="str">
        <f ca="1">IFERROR(__xludf.DUMMYFUNCTION("""COMPUTED_VALUE"""),"")</f>
        <v/>
      </c>
    </row>
    <row r="2834" spans="1:5">
      <c r="A2834" s="59" t="s">
        <v>12330</v>
      </c>
      <c r="E2834" s="57" t="str">
        <f ca="1">IFERROR(__xludf.DUMMYFUNCTION("""COMPUTED_VALUE"""),"")</f>
        <v/>
      </c>
    </row>
    <row r="2835" spans="1:5">
      <c r="A2835" s="12"/>
      <c r="E2835" s="57" t="str">
        <f ca="1">IFERROR(__xludf.DUMMYFUNCTION("""COMPUTED_VALUE"""),"")</f>
        <v/>
      </c>
    </row>
    <row r="2836" spans="1:5">
      <c r="A2836" s="12" t="s">
        <v>12331</v>
      </c>
      <c r="E2836" s="57" t="str">
        <f ca="1">IFERROR(__xludf.DUMMYFUNCTION("""COMPUTED_VALUE"""),"")</f>
        <v/>
      </c>
    </row>
    <row r="2837" spans="1:5">
      <c r="A2837" s="59" t="s">
        <v>12332</v>
      </c>
      <c r="E2837" s="57" t="str">
        <f ca="1">IFERROR(__xludf.DUMMYFUNCTION("""COMPUTED_VALUE"""),"")</f>
        <v/>
      </c>
    </row>
    <row r="2838" spans="1:5">
      <c r="A2838" s="12"/>
      <c r="E2838" s="57" t="str">
        <f ca="1">IFERROR(__xludf.DUMMYFUNCTION("""COMPUTED_VALUE"""),"")</f>
        <v/>
      </c>
    </row>
    <row r="2839" spans="1:5">
      <c r="A2839" s="12" t="s">
        <v>12333</v>
      </c>
      <c r="E2839" s="57" t="str">
        <f ca="1">IFERROR(__xludf.DUMMYFUNCTION("""COMPUTED_VALUE"""),"")</f>
        <v/>
      </c>
    </row>
    <row r="2840" spans="1:5">
      <c r="A2840" s="59" t="s">
        <v>12334</v>
      </c>
      <c r="E2840" s="57" t="str">
        <f ca="1">IFERROR(__xludf.DUMMYFUNCTION("""COMPUTED_VALUE"""),"")</f>
        <v/>
      </c>
    </row>
    <row r="2841" spans="1:5">
      <c r="A2841" s="12"/>
      <c r="E2841" s="57" t="str">
        <f ca="1">IFERROR(__xludf.DUMMYFUNCTION("""COMPUTED_VALUE"""),"")</f>
        <v/>
      </c>
    </row>
    <row r="2842" spans="1:5">
      <c r="A2842" s="12" t="s">
        <v>12335</v>
      </c>
      <c r="E2842" s="57" t="str">
        <f ca="1">IFERROR(__xludf.DUMMYFUNCTION("""COMPUTED_VALUE"""),"")</f>
        <v/>
      </c>
    </row>
    <row r="2843" spans="1:5">
      <c r="A2843" s="59" t="s">
        <v>12336</v>
      </c>
      <c r="E2843" s="57" t="str">
        <f ca="1">IFERROR(__xludf.DUMMYFUNCTION("""COMPUTED_VALUE"""),"")</f>
        <v/>
      </c>
    </row>
    <row r="2844" spans="1:5">
      <c r="A2844" s="12"/>
      <c r="E2844" s="57" t="str">
        <f ca="1">IFERROR(__xludf.DUMMYFUNCTION("""COMPUTED_VALUE"""),"")</f>
        <v/>
      </c>
    </row>
    <row r="2845" spans="1:5">
      <c r="A2845" s="12" t="s">
        <v>12337</v>
      </c>
      <c r="E2845" s="57" t="str">
        <f ca="1">IFERROR(__xludf.DUMMYFUNCTION("""COMPUTED_VALUE"""),"")</f>
        <v/>
      </c>
    </row>
    <row r="2846" spans="1:5">
      <c r="A2846" s="59" t="s">
        <v>12338</v>
      </c>
      <c r="E2846" s="57" t="str">
        <f ca="1">IFERROR(__xludf.DUMMYFUNCTION("""COMPUTED_VALUE"""),"")</f>
        <v/>
      </c>
    </row>
    <row r="2847" spans="1:5">
      <c r="A2847" s="12"/>
      <c r="E2847" s="57" t="str">
        <f ca="1">IFERROR(__xludf.DUMMYFUNCTION("""COMPUTED_VALUE"""),"")</f>
        <v/>
      </c>
    </row>
    <row r="2848" spans="1:5">
      <c r="A2848" s="12" t="s">
        <v>12339</v>
      </c>
      <c r="E2848" s="57" t="str">
        <f ca="1">IFERROR(__xludf.DUMMYFUNCTION("""COMPUTED_VALUE"""),"")</f>
        <v/>
      </c>
    </row>
    <row r="2849" spans="1:5">
      <c r="A2849" s="59" t="s">
        <v>12340</v>
      </c>
      <c r="E2849" s="57" t="str">
        <f ca="1">IFERROR(__xludf.DUMMYFUNCTION("""COMPUTED_VALUE"""),"")</f>
        <v/>
      </c>
    </row>
    <row r="2850" spans="1:5">
      <c r="A2850" s="12"/>
      <c r="E2850" s="57" t="str">
        <f ca="1">IFERROR(__xludf.DUMMYFUNCTION("""COMPUTED_VALUE"""),"")</f>
        <v/>
      </c>
    </row>
    <row r="2851" spans="1:5">
      <c r="A2851" s="12" t="s">
        <v>12341</v>
      </c>
      <c r="E2851" s="57" t="str">
        <f ca="1">IFERROR(__xludf.DUMMYFUNCTION("""COMPUTED_VALUE"""),"")</f>
        <v/>
      </c>
    </row>
    <row r="2852" spans="1:5">
      <c r="A2852" s="59" t="s">
        <v>12342</v>
      </c>
      <c r="E2852" s="57" t="str">
        <f ca="1">IFERROR(__xludf.DUMMYFUNCTION("""COMPUTED_VALUE"""),"")</f>
        <v/>
      </c>
    </row>
    <row r="2853" spans="1:5">
      <c r="A2853" s="12"/>
      <c r="E2853" s="57" t="str">
        <f ca="1">IFERROR(__xludf.DUMMYFUNCTION("""COMPUTED_VALUE"""),"")</f>
        <v/>
      </c>
    </row>
    <row r="2854" spans="1:5">
      <c r="A2854" s="12" t="s">
        <v>12343</v>
      </c>
      <c r="E2854" s="57" t="str">
        <f ca="1">IFERROR(__xludf.DUMMYFUNCTION("""COMPUTED_VALUE"""),"")</f>
        <v/>
      </c>
    </row>
    <row r="2855" spans="1:5">
      <c r="A2855" s="59" t="s">
        <v>12344</v>
      </c>
      <c r="E2855" s="57" t="str">
        <f ca="1">IFERROR(__xludf.DUMMYFUNCTION("""COMPUTED_VALUE"""),"")</f>
        <v/>
      </c>
    </row>
    <row r="2856" spans="1:5">
      <c r="A2856" s="12"/>
      <c r="E2856" s="57" t="str">
        <f ca="1">IFERROR(__xludf.DUMMYFUNCTION("""COMPUTED_VALUE"""),"")</f>
        <v/>
      </c>
    </row>
    <row r="2857" spans="1:5">
      <c r="A2857" s="12" t="s">
        <v>12345</v>
      </c>
      <c r="E2857" s="57" t="str">
        <f ca="1">IFERROR(__xludf.DUMMYFUNCTION("""COMPUTED_VALUE"""),"")</f>
        <v/>
      </c>
    </row>
    <row r="2858" spans="1:5">
      <c r="A2858" s="59" t="s">
        <v>12346</v>
      </c>
      <c r="E2858" s="57" t="str">
        <f ca="1">IFERROR(__xludf.DUMMYFUNCTION("""COMPUTED_VALUE"""),"")</f>
        <v/>
      </c>
    </row>
    <row r="2859" spans="1:5">
      <c r="A2859" s="12"/>
      <c r="E2859" s="57" t="str">
        <f ca="1">IFERROR(__xludf.DUMMYFUNCTION("""COMPUTED_VALUE"""),"")</f>
        <v/>
      </c>
    </row>
    <row r="2860" spans="1:5">
      <c r="A2860" s="12" t="s">
        <v>12347</v>
      </c>
      <c r="E2860" s="57" t="str">
        <f ca="1">IFERROR(__xludf.DUMMYFUNCTION("""COMPUTED_VALUE"""),"")</f>
        <v/>
      </c>
    </row>
    <row r="2861" spans="1:5">
      <c r="A2861" s="59" t="s">
        <v>12348</v>
      </c>
      <c r="E2861" s="57" t="str">
        <f ca="1">IFERROR(__xludf.DUMMYFUNCTION("""COMPUTED_VALUE"""),"")</f>
        <v/>
      </c>
    </row>
    <row r="2862" spans="1:5">
      <c r="A2862" s="12"/>
      <c r="E2862" s="57" t="str">
        <f ca="1">IFERROR(__xludf.DUMMYFUNCTION("""COMPUTED_VALUE"""),"")</f>
        <v/>
      </c>
    </row>
    <row r="2863" spans="1:5">
      <c r="A2863" s="12" t="s">
        <v>12349</v>
      </c>
      <c r="E2863" s="57" t="str">
        <f ca="1">IFERROR(__xludf.DUMMYFUNCTION("""COMPUTED_VALUE"""),"")</f>
        <v/>
      </c>
    </row>
    <row r="2864" spans="1:5">
      <c r="A2864" s="59" t="s">
        <v>12350</v>
      </c>
      <c r="E2864" s="57" t="str">
        <f ca="1">IFERROR(__xludf.DUMMYFUNCTION("""COMPUTED_VALUE"""),"")</f>
        <v/>
      </c>
    </row>
    <row r="2865" spans="1:5">
      <c r="A2865" s="12"/>
      <c r="E2865" s="57" t="str">
        <f ca="1">IFERROR(__xludf.DUMMYFUNCTION("""COMPUTED_VALUE"""),"")</f>
        <v/>
      </c>
    </row>
    <row r="2866" spans="1:5">
      <c r="A2866" s="12" t="s">
        <v>12351</v>
      </c>
      <c r="E2866" s="57" t="str">
        <f ca="1">IFERROR(__xludf.DUMMYFUNCTION("""COMPUTED_VALUE"""),"")</f>
        <v/>
      </c>
    </row>
    <row r="2867" spans="1:5">
      <c r="A2867" s="59" t="s">
        <v>12352</v>
      </c>
      <c r="E2867" s="57" t="str">
        <f ca="1">IFERROR(__xludf.DUMMYFUNCTION("""COMPUTED_VALUE"""),"")</f>
        <v/>
      </c>
    </row>
    <row r="2868" spans="1:5">
      <c r="A2868" s="12"/>
      <c r="E2868" s="57" t="str">
        <f ca="1">IFERROR(__xludf.DUMMYFUNCTION("""COMPUTED_VALUE"""),"")</f>
        <v/>
      </c>
    </row>
    <row r="2869" spans="1:5">
      <c r="A2869" s="12" t="s">
        <v>12353</v>
      </c>
      <c r="E2869" s="57" t="str">
        <f ca="1">IFERROR(__xludf.DUMMYFUNCTION("""COMPUTED_VALUE"""),"")</f>
        <v/>
      </c>
    </row>
    <row r="2870" spans="1:5">
      <c r="A2870" s="59" t="s">
        <v>12354</v>
      </c>
      <c r="E2870" s="57" t="str">
        <f ca="1">IFERROR(__xludf.DUMMYFUNCTION("""COMPUTED_VALUE"""),"")</f>
        <v/>
      </c>
    </row>
    <row r="2871" spans="1:5">
      <c r="A2871" s="12"/>
      <c r="E2871" s="57" t="str">
        <f ca="1">IFERROR(__xludf.DUMMYFUNCTION("""COMPUTED_VALUE"""),"")</f>
        <v/>
      </c>
    </row>
    <row r="2872" spans="1:5">
      <c r="A2872" s="12" t="s">
        <v>12355</v>
      </c>
      <c r="E2872" s="57" t="str">
        <f ca="1">IFERROR(__xludf.DUMMYFUNCTION("""COMPUTED_VALUE"""),"")</f>
        <v/>
      </c>
    </row>
    <row r="2873" spans="1:5">
      <c r="A2873" s="59" t="s">
        <v>12356</v>
      </c>
      <c r="E2873" s="57" t="str">
        <f ca="1">IFERROR(__xludf.DUMMYFUNCTION("""COMPUTED_VALUE"""),"")</f>
        <v/>
      </c>
    </row>
    <row r="2874" spans="1:5">
      <c r="A2874" s="12"/>
      <c r="E2874" s="57" t="str">
        <f ca="1">IFERROR(__xludf.DUMMYFUNCTION("""COMPUTED_VALUE"""),"")</f>
        <v/>
      </c>
    </row>
    <row r="2875" spans="1:5">
      <c r="A2875" s="12" t="s">
        <v>12357</v>
      </c>
      <c r="E2875" s="57" t="str">
        <f ca="1">IFERROR(__xludf.DUMMYFUNCTION("""COMPUTED_VALUE"""),"")</f>
        <v/>
      </c>
    </row>
    <row r="2876" spans="1:5">
      <c r="A2876" s="59" t="s">
        <v>12358</v>
      </c>
      <c r="E2876" s="57" t="str">
        <f ca="1">IFERROR(__xludf.DUMMYFUNCTION("""COMPUTED_VALUE"""),"")</f>
        <v/>
      </c>
    </row>
    <row r="2877" spans="1:5">
      <c r="A2877" s="12"/>
      <c r="E2877" s="57" t="str">
        <f ca="1">IFERROR(__xludf.DUMMYFUNCTION("""COMPUTED_VALUE"""),"")</f>
        <v/>
      </c>
    </row>
    <row r="2878" spans="1:5">
      <c r="A2878" s="12" t="s">
        <v>12359</v>
      </c>
      <c r="E2878" s="57" t="str">
        <f ca="1">IFERROR(__xludf.DUMMYFUNCTION("""COMPUTED_VALUE"""),"")</f>
        <v/>
      </c>
    </row>
    <row r="2879" spans="1:5">
      <c r="A2879" s="59" t="s">
        <v>12360</v>
      </c>
      <c r="E2879" s="57" t="str">
        <f ca="1">IFERROR(__xludf.DUMMYFUNCTION("""COMPUTED_VALUE"""),"")</f>
        <v/>
      </c>
    </row>
    <row r="2880" spans="1:5">
      <c r="A2880" s="12"/>
      <c r="E2880" s="57" t="str">
        <f ca="1">IFERROR(__xludf.DUMMYFUNCTION("""COMPUTED_VALUE"""),"")</f>
        <v/>
      </c>
    </row>
    <row r="2881" spans="1:5">
      <c r="A2881" s="12" t="s">
        <v>12361</v>
      </c>
      <c r="E2881" s="57" t="str">
        <f ca="1">IFERROR(__xludf.DUMMYFUNCTION("""COMPUTED_VALUE"""),"")</f>
        <v/>
      </c>
    </row>
    <row r="2882" spans="1:5">
      <c r="A2882" s="59" t="s">
        <v>12362</v>
      </c>
      <c r="E2882" s="57" t="str">
        <f ca="1">IFERROR(__xludf.DUMMYFUNCTION("""COMPUTED_VALUE"""),"")</f>
        <v/>
      </c>
    </row>
    <row r="2883" spans="1:5">
      <c r="A2883" s="12"/>
      <c r="E2883" s="57" t="str">
        <f ca="1">IFERROR(__xludf.DUMMYFUNCTION("""COMPUTED_VALUE"""),"")</f>
        <v/>
      </c>
    </row>
    <row r="2884" spans="1:5">
      <c r="A2884" s="12" t="s">
        <v>12363</v>
      </c>
      <c r="E2884" s="57" t="str">
        <f ca="1">IFERROR(__xludf.DUMMYFUNCTION("""COMPUTED_VALUE"""),"")</f>
        <v/>
      </c>
    </row>
    <row r="2885" spans="1:5">
      <c r="A2885" s="59" t="s">
        <v>12364</v>
      </c>
      <c r="E2885" s="57" t="str">
        <f ca="1">IFERROR(__xludf.DUMMYFUNCTION("""COMPUTED_VALUE"""),"")</f>
        <v/>
      </c>
    </row>
    <row r="2886" spans="1:5">
      <c r="A2886" s="12"/>
      <c r="E2886" s="57" t="str">
        <f ca="1">IFERROR(__xludf.DUMMYFUNCTION("""COMPUTED_VALUE"""),"")</f>
        <v/>
      </c>
    </row>
    <row r="2887" spans="1:5">
      <c r="A2887" s="12" t="s">
        <v>12365</v>
      </c>
      <c r="E2887" s="57" t="str">
        <f ca="1">IFERROR(__xludf.DUMMYFUNCTION("""COMPUTED_VALUE"""),"")</f>
        <v/>
      </c>
    </row>
    <row r="2888" spans="1:5">
      <c r="A2888" s="59" t="s">
        <v>12366</v>
      </c>
      <c r="E2888" s="57" t="str">
        <f ca="1">IFERROR(__xludf.DUMMYFUNCTION("""COMPUTED_VALUE"""),"")</f>
        <v/>
      </c>
    </row>
    <row r="2889" spans="1:5">
      <c r="A2889" s="12"/>
      <c r="E2889" s="57" t="str">
        <f ca="1">IFERROR(__xludf.DUMMYFUNCTION("""COMPUTED_VALUE"""),"")</f>
        <v/>
      </c>
    </row>
    <row r="2890" spans="1:5">
      <c r="A2890" s="12" t="s">
        <v>12367</v>
      </c>
      <c r="E2890" s="57" t="str">
        <f ca="1">IFERROR(__xludf.DUMMYFUNCTION("""COMPUTED_VALUE"""),"")</f>
        <v/>
      </c>
    </row>
    <row r="2891" spans="1:5">
      <c r="A2891" s="59" t="s">
        <v>12368</v>
      </c>
      <c r="E2891" s="57" t="str">
        <f ca="1">IFERROR(__xludf.DUMMYFUNCTION("""COMPUTED_VALUE"""),"")</f>
        <v/>
      </c>
    </row>
    <row r="2892" spans="1:5">
      <c r="A2892" s="12"/>
      <c r="E2892" s="57" t="str">
        <f ca="1">IFERROR(__xludf.DUMMYFUNCTION("""COMPUTED_VALUE"""),"")</f>
        <v/>
      </c>
    </row>
    <row r="2893" spans="1:5">
      <c r="A2893" s="12" t="s">
        <v>12369</v>
      </c>
      <c r="E2893" s="57" t="str">
        <f ca="1">IFERROR(__xludf.DUMMYFUNCTION("""COMPUTED_VALUE"""),"")</f>
        <v/>
      </c>
    </row>
    <row r="2894" spans="1:5">
      <c r="A2894" s="59" t="s">
        <v>12370</v>
      </c>
      <c r="E2894" s="57" t="str">
        <f ca="1">IFERROR(__xludf.DUMMYFUNCTION("""COMPUTED_VALUE"""),"")</f>
        <v/>
      </c>
    </row>
    <row r="2895" spans="1:5">
      <c r="A2895" s="12"/>
      <c r="E2895" s="57" t="str">
        <f ca="1">IFERROR(__xludf.DUMMYFUNCTION("""COMPUTED_VALUE"""),"")</f>
        <v/>
      </c>
    </row>
    <row r="2896" spans="1:5">
      <c r="A2896" s="12" t="s">
        <v>12371</v>
      </c>
      <c r="E2896" s="57" t="str">
        <f ca="1">IFERROR(__xludf.DUMMYFUNCTION("""COMPUTED_VALUE"""),"")</f>
        <v/>
      </c>
    </row>
    <row r="2897" spans="1:5">
      <c r="A2897" s="59" t="s">
        <v>12372</v>
      </c>
      <c r="E2897" s="57" t="str">
        <f ca="1">IFERROR(__xludf.DUMMYFUNCTION("""COMPUTED_VALUE"""),"")</f>
        <v/>
      </c>
    </row>
    <row r="2898" spans="1:5">
      <c r="A2898" s="12"/>
      <c r="E2898" s="57" t="str">
        <f ca="1">IFERROR(__xludf.DUMMYFUNCTION("""COMPUTED_VALUE"""),"")</f>
        <v/>
      </c>
    </row>
    <row r="2899" spans="1:5">
      <c r="A2899" s="12" t="s">
        <v>12373</v>
      </c>
      <c r="E2899" s="57" t="str">
        <f ca="1">IFERROR(__xludf.DUMMYFUNCTION("""COMPUTED_VALUE"""),"")</f>
        <v/>
      </c>
    </row>
    <row r="2900" spans="1:5">
      <c r="A2900" s="59" t="s">
        <v>12374</v>
      </c>
      <c r="E2900" s="57" t="str">
        <f ca="1">IFERROR(__xludf.DUMMYFUNCTION("""COMPUTED_VALUE"""),"")</f>
        <v/>
      </c>
    </row>
    <row r="2901" spans="1:5">
      <c r="A2901" s="12"/>
      <c r="E2901" s="57" t="str">
        <f ca="1">IFERROR(__xludf.DUMMYFUNCTION("""COMPUTED_VALUE"""),"")</f>
        <v/>
      </c>
    </row>
    <row r="2902" spans="1:5">
      <c r="A2902" s="12" t="s">
        <v>12375</v>
      </c>
      <c r="E2902" s="57" t="str">
        <f ca="1">IFERROR(__xludf.DUMMYFUNCTION("""COMPUTED_VALUE"""),"")</f>
        <v/>
      </c>
    </row>
    <row r="2903" spans="1:5">
      <c r="A2903" s="59" t="s">
        <v>12376</v>
      </c>
      <c r="E2903" s="57" t="str">
        <f ca="1">IFERROR(__xludf.DUMMYFUNCTION("""COMPUTED_VALUE"""),"")</f>
        <v/>
      </c>
    </row>
    <row r="2904" spans="1:5">
      <c r="A2904" s="12"/>
      <c r="E2904" s="57" t="str">
        <f ca="1">IFERROR(__xludf.DUMMYFUNCTION("""COMPUTED_VALUE"""),"")</f>
        <v/>
      </c>
    </row>
    <row r="2905" spans="1:5">
      <c r="A2905" s="12" t="s">
        <v>12377</v>
      </c>
      <c r="E2905" s="57" t="str">
        <f ca="1">IFERROR(__xludf.DUMMYFUNCTION("""COMPUTED_VALUE"""),"")</f>
        <v/>
      </c>
    </row>
    <row r="2906" spans="1:5">
      <c r="A2906" s="59" t="s">
        <v>12378</v>
      </c>
      <c r="E2906" s="57" t="str">
        <f ca="1">IFERROR(__xludf.DUMMYFUNCTION("""COMPUTED_VALUE"""),"")</f>
        <v/>
      </c>
    </row>
    <row r="2907" spans="1:5">
      <c r="A2907" s="12"/>
      <c r="E2907" s="57" t="str">
        <f ca="1">IFERROR(__xludf.DUMMYFUNCTION("""COMPUTED_VALUE"""),"")</f>
        <v/>
      </c>
    </row>
    <row r="2908" spans="1:5">
      <c r="A2908" s="12" t="s">
        <v>12379</v>
      </c>
      <c r="E2908" s="57" t="str">
        <f ca="1">IFERROR(__xludf.DUMMYFUNCTION("""COMPUTED_VALUE"""),"")</f>
        <v/>
      </c>
    </row>
    <row r="2909" spans="1:5">
      <c r="A2909" s="59" t="s">
        <v>12380</v>
      </c>
      <c r="E2909" s="57" t="str">
        <f ca="1">IFERROR(__xludf.DUMMYFUNCTION("""COMPUTED_VALUE"""),"")</f>
        <v/>
      </c>
    </row>
    <row r="2910" spans="1:5">
      <c r="A2910" s="12"/>
      <c r="E2910" s="57" t="str">
        <f ca="1">IFERROR(__xludf.DUMMYFUNCTION("""COMPUTED_VALUE"""),"")</f>
        <v/>
      </c>
    </row>
    <row r="2911" spans="1:5">
      <c r="A2911" s="12" t="s">
        <v>12381</v>
      </c>
      <c r="E2911" s="57" t="str">
        <f ca="1">IFERROR(__xludf.DUMMYFUNCTION("""COMPUTED_VALUE"""),"")</f>
        <v/>
      </c>
    </row>
    <row r="2912" spans="1:5">
      <c r="A2912" s="59" t="s">
        <v>12382</v>
      </c>
      <c r="E2912" s="57" t="str">
        <f ca="1">IFERROR(__xludf.DUMMYFUNCTION("""COMPUTED_VALUE"""),"")</f>
        <v/>
      </c>
    </row>
    <row r="2913" spans="1:5">
      <c r="A2913" s="12"/>
      <c r="E2913" s="57" t="str">
        <f ca="1">IFERROR(__xludf.DUMMYFUNCTION("""COMPUTED_VALUE"""),"")</f>
        <v/>
      </c>
    </row>
    <row r="2914" spans="1:5">
      <c r="A2914" s="12" t="s">
        <v>12383</v>
      </c>
      <c r="E2914" s="57" t="str">
        <f ca="1">IFERROR(__xludf.DUMMYFUNCTION("""COMPUTED_VALUE"""),"")</f>
        <v/>
      </c>
    </row>
    <row r="2915" spans="1:5">
      <c r="A2915" s="59" t="s">
        <v>12384</v>
      </c>
      <c r="E2915" s="57" t="str">
        <f ca="1">IFERROR(__xludf.DUMMYFUNCTION("""COMPUTED_VALUE"""),"")</f>
        <v/>
      </c>
    </row>
    <row r="2916" spans="1:5">
      <c r="A2916" s="12"/>
      <c r="E2916" s="57" t="str">
        <f ca="1">IFERROR(__xludf.DUMMYFUNCTION("""COMPUTED_VALUE"""),"")</f>
        <v/>
      </c>
    </row>
    <row r="2917" spans="1:5">
      <c r="A2917" s="12" t="s">
        <v>12385</v>
      </c>
      <c r="E2917" s="57" t="str">
        <f ca="1">IFERROR(__xludf.DUMMYFUNCTION("""COMPUTED_VALUE"""),"")</f>
        <v/>
      </c>
    </row>
    <row r="2918" spans="1:5">
      <c r="A2918" s="59" t="s">
        <v>12386</v>
      </c>
      <c r="E2918" s="57" t="str">
        <f ca="1">IFERROR(__xludf.DUMMYFUNCTION("""COMPUTED_VALUE"""),"")</f>
        <v/>
      </c>
    </row>
    <row r="2919" spans="1:5">
      <c r="A2919" s="12"/>
      <c r="E2919" s="57" t="str">
        <f ca="1">IFERROR(__xludf.DUMMYFUNCTION("""COMPUTED_VALUE"""),"")</f>
        <v/>
      </c>
    </row>
    <row r="2920" spans="1:5">
      <c r="A2920" s="12" t="s">
        <v>12387</v>
      </c>
      <c r="E2920" s="57" t="str">
        <f ca="1">IFERROR(__xludf.DUMMYFUNCTION("""COMPUTED_VALUE"""),"")</f>
        <v/>
      </c>
    </row>
    <row r="2921" spans="1:5">
      <c r="A2921" s="59" t="s">
        <v>12388</v>
      </c>
      <c r="E2921" s="57" t="str">
        <f ca="1">IFERROR(__xludf.DUMMYFUNCTION("""COMPUTED_VALUE"""),"")</f>
        <v/>
      </c>
    </row>
    <row r="2922" spans="1:5">
      <c r="A2922" s="12"/>
      <c r="E2922" s="57" t="str">
        <f ca="1">IFERROR(__xludf.DUMMYFUNCTION("""COMPUTED_VALUE"""),"")</f>
        <v/>
      </c>
    </row>
    <row r="2923" spans="1:5">
      <c r="A2923" s="12" t="s">
        <v>12389</v>
      </c>
      <c r="E2923" s="57" t="str">
        <f ca="1">IFERROR(__xludf.DUMMYFUNCTION("""COMPUTED_VALUE"""),"")</f>
        <v/>
      </c>
    </row>
    <row r="2924" spans="1:5">
      <c r="A2924" s="59" t="s">
        <v>12390</v>
      </c>
      <c r="E2924" s="57" t="str">
        <f ca="1">IFERROR(__xludf.DUMMYFUNCTION("""COMPUTED_VALUE"""),"")</f>
        <v/>
      </c>
    </row>
    <row r="2925" spans="1:5">
      <c r="A2925" s="12"/>
      <c r="E2925" s="57" t="str">
        <f ca="1">IFERROR(__xludf.DUMMYFUNCTION("""COMPUTED_VALUE"""),"")</f>
        <v/>
      </c>
    </row>
    <row r="2926" spans="1:5">
      <c r="A2926" s="12" t="s">
        <v>12391</v>
      </c>
      <c r="E2926" s="57" t="str">
        <f ca="1">IFERROR(__xludf.DUMMYFUNCTION("""COMPUTED_VALUE"""),"")</f>
        <v/>
      </c>
    </row>
    <row r="2927" spans="1:5">
      <c r="A2927" s="59" t="s">
        <v>12392</v>
      </c>
      <c r="E2927" s="57" t="str">
        <f ca="1">IFERROR(__xludf.DUMMYFUNCTION("""COMPUTED_VALUE"""),"")</f>
        <v/>
      </c>
    </row>
    <row r="2928" spans="1:5">
      <c r="A2928" s="12"/>
      <c r="E2928" s="57" t="str">
        <f ca="1">IFERROR(__xludf.DUMMYFUNCTION("""COMPUTED_VALUE"""),"")</f>
        <v/>
      </c>
    </row>
    <row r="2929" spans="1:5">
      <c r="A2929" s="12" t="s">
        <v>12393</v>
      </c>
      <c r="E2929" s="57" t="str">
        <f ca="1">IFERROR(__xludf.DUMMYFUNCTION("""COMPUTED_VALUE"""),"")</f>
        <v/>
      </c>
    </row>
    <row r="2930" spans="1:5">
      <c r="A2930" s="59" t="s">
        <v>12394</v>
      </c>
      <c r="E2930" s="57" t="str">
        <f ca="1">IFERROR(__xludf.DUMMYFUNCTION("""COMPUTED_VALUE"""),"")</f>
        <v/>
      </c>
    </row>
    <row r="2931" spans="1:5">
      <c r="A2931" s="12"/>
      <c r="E2931" s="57" t="str">
        <f ca="1">IFERROR(__xludf.DUMMYFUNCTION("""COMPUTED_VALUE"""),"")</f>
        <v/>
      </c>
    </row>
    <row r="2932" spans="1:5">
      <c r="A2932" s="12" t="s">
        <v>12395</v>
      </c>
      <c r="E2932" s="57" t="str">
        <f ca="1">IFERROR(__xludf.DUMMYFUNCTION("""COMPUTED_VALUE"""),"")</f>
        <v/>
      </c>
    </row>
    <row r="2933" spans="1:5">
      <c r="A2933" s="59" t="s">
        <v>12396</v>
      </c>
      <c r="E2933" s="57" t="str">
        <f ca="1">IFERROR(__xludf.DUMMYFUNCTION("""COMPUTED_VALUE"""),"")</f>
        <v/>
      </c>
    </row>
    <row r="2934" spans="1:5">
      <c r="A2934" s="12"/>
      <c r="E2934" s="57" t="str">
        <f ca="1">IFERROR(__xludf.DUMMYFUNCTION("""COMPUTED_VALUE"""),"")</f>
        <v/>
      </c>
    </row>
    <row r="2935" spans="1:5">
      <c r="A2935" s="12" t="s">
        <v>12397</v>
      </c>
      <c r="E2935" s="57" t="str">
        <f ca="1">IFERROR(__xludf.DUMMYFUNCTION("""COMPUTED_VALUE"""),"")</f>
        <v/>
      </c>
    </row>
    <row r="2936" spans="1:5">
      <c r="A2936" s="59" t="s">
        <v>12398</v>
      </c>
      <c r="E2936" s="57" t="str">
        <f ca="1">IFERROR(__xludf.DUMMYFUNCTION("""COMPUTED_VALUE"""),"")</f>
        <v/>
      </c>
    </row>
    <row r="2937" spans="1:5">
      <c r="A2937" s="12"/>
      <c r="E2937" s="57" t="str">
        <f ca="1">IFERROR(__xludf.DUMMYFUNCTION("""COMPUTED_VALUE"""),"")</f>
        <v/>
      </c>
    </row>
    <row r="2938" spans="1:5">
      <c r="A2938" s="12" t="s">
        <v>12399</v>
      </c>
      <c r="E2938" s="57" t="str">
        <f ca="1">IFERROR(__xludf.DUMMYFUNCTION("""COMPUTED_VALUE"""),"")</f>
        <v/>
      </c>
    </row>
    <row r="2939" spans="1:5">
      <c r="A2939" s="59" t="s">
        <v>12400</v>
      </c>
      <c r="E2939" s="57" t="str">
        <f ca="1">IFERROR(__xludf.DUMMYFUNCTION("""COMPUTED_VALUE"""),"")</f>
        <v/>
      </c>
    </row>
    <row r="2940" spans="1:5">
      <c r="A2940" s="12"/>
      <c r="E2940" s="57" t="str">
        <f ca="1">IFERROR(__xludf.DUMMYFUNCTION("""COMPUTED_VALUE"""),"")</f>
        <v/>
      </c>
    </row>
    <row r="2941" spans="1:5">
      <c r="A2941" s="12" t="s">
        <v>12401</v>
      </c>
      <c r="E2941" s="57" t="str">
        <f ca="1">IFERROR(__xludf.DUMMYFUNCTION("""COMPUTED_VALUE"""),"")</f>
        <v/>
      </c>
    </row>
    <row r="2942" spans="1:5">
      <c r="A2942" s="59" t="s">
        <v>12402</v>
      </c>
      <c r="E2942" s="57" t="str">
        <f ca="1">IFERROR(__xludf.DUMMYFUNCTION("""COMPUTED_VALUE"""),"")</f>
        <v/>
      </c>
    </row>
    <row r="2943" spans="1:5">
      <c r="A2943" s="12"/>
      <c r="E2943" s="57" t="str">
        <f ca="1">IFERROR(__xludf.DUMMYFUNCTION("""COMPUTED_VALUE"""),"")</f>
        <v/>
      </c>
    </row>
    <row r="2944" spans="1:5">
      <c r="A2944" s="12" t="s">
        <v>12403</v>
      </c>
      <c r="E2944" s="57" t="str">
        <f ca="1">IFERROR(__xludf.DUMMYFUNCTION("""COMPUTED_VALUE"""),"")</f>
        <v/>
      </c>
    </row>
    <row r="2945" spans="1:5">
      <c r="A2945" s="59" t="s">
        <v>12404</v>
      </c>
      <c r="E2945" s="57" t="str">
        <f ca="1">IFERROR(__xludf.DUMMYFUNCTION("""COMPUTED_VALUE"""),"")</f>
        <v/>
      </c>
    </row>
    <row r="2946" spans="1:5">
      <c r="A2946" s="12"/>
      <c r="E2946" s="57" t="str">
        <f ca="1">IFERROR(__xludf.DUMMYFUNCTION("""COMPUTED_VALUE"""),"")</f>
        <v/>
      </c>
    </row>
    <row r="2947" spans="1:5">
      <c r="A2947" s="12" t="s">
        <v>12405</v>
      </c>
      <c r="E2947" s="57" t="str">
        <f ca="1">IFERROR(__xludf.DUMMYFUNCTION("""COMPUTED_VALUE"""),"")</f>
        <v/>
      </c>
    </row>
    <row r="2948" spans="1:5">
      <c r="A2948" s="59" t="s">
        <v>12406</v>
      </c>
      <c r="E2948" s="57" t="str">
        <f ca="1">IFERROR(__xludf.DUMMYFUNCTION("""COMPUTED_VALUE"""),"")</f>
        <v/>
      </c>
    </row>
    <row r="2949" spans="1:5">
      <c r="A2949" s="12"/>
      <c r="E2949" s="57" t="str">
        <f ca="1">IFERROR(__xludf.DUMMYFUNCTION("""COMPUTED_VALUE"""),"")</f>
        <v/>
      </c>
    </row>
    <row r="2950" spans="1:5">
      <c r="A2950" s="12" t="s">
        <v>12407</v>
      </c>
      <c r="E2950" s="57" t="str">
        <f ca="1">IFERROR(__xludf.DUMMYFUNCTION("""COMPUTED_VALUE"""),"")</f>
        <v/>
      </c>
    </row>
    <row r="2951" spans="1:5">
      <c r="A2951" s="59" t="s">
        <v>12408</v>
      </c>
      <c r="E2951" s="57" t="str">
        <f ca="1">IFERROR(__xludf.DUMMYFUNCTION("""COMPUTED_VALUE"""),"")</f>
        <v/>
      </c>
    </row>
    <row r="2952" spans="1:5">
      <c r="A2952" s="12"/>
      <c r="E2952" s="57" t="str">
        <f ca="1">IFERROR(__xludf.DUMMYFUNCTION("""COMPUTED_VALUE"""),"")</f>
        <v/>
      </c>
    </row>
    <row r="2953" spans="1:5">
      <c r="A2953" s="12" t="s">
        <v>12409</v>
      </c>
      <c r="E2953" s="57" t="str">
        <f ca="1">IFERROR(__xludf.DUMMYFUNCTION("""COMPUTED_VALUE"""),"")</f>
        <v/>
      </c>
    </row>
    <row r="2954" spans="1:5">
      <c r="A2954" s="59" t="s">
        <v>12410</v>
      </c>
      <c r="E2954" s="57" t="str">
        <f ca="1">IFERROR(__xludf.DUMMYFUNCTION("""COMPUTED_VALUE"""),"")</f>
        <v/>
      </c>
    </row>
    <row r="2955" spans="1:5">
      <c r="A2955" s="12"/>
      <c r="E2955" s="57" t="str">
        <f ca="1">IFERROR(__xludf.DUMMYFUNCTION("""COMPUTED_VALUE"""),"")</f>
        <v/>
      </c>
    </row>
    <row r="2956" spans="1:5">
      <c r="A2956" s="12" t="s">
        <v>12411</v>
      </c>
      <c r="E2956" s="57" t="str">
        <f ca="1">IFERROR(__xludf.DUMMYFUNCTION("""COMPUTED_VALUE"""),"")</f>
        <v/>
      </c>
    </row>
    <row r="2957" spans="1:5">
      <c r="A2957" s="59" t="s">
        <v>12412</v>
      </c>
      <c r="E2957" s="57" t="str">
        <f ca="1">IFERROR(__xludf.DUMMYFUNCTION("""COMPUTED_VALUE"""),"")</f>
        <v/>
      </c>
    </row>
    <row r="2958" spans="1:5">
      <c r="A2958" s="12"/>
      <c r="E2958" s="57" t="str">
        <f ca="1">IFERROR(__xludf.DUMMYFUNCTION("""COMPUTED_VALUE"""),"")</f>
        <v/>
      </c>
    </row>
    <row r="2959" spans="1:5">
      <c r="A2959" s="12" t="s">
        <v>12413</v>
      </c>
      <c r="E2959" s="57" t="str">
        <f ca="1">IFERROR(__xludf.DUMMYFUNCTION("""COMPUTED_VALUE"""),"")</f>
        <v/>
      </c>
    </row>
    <row r="2960" spans="1:5">
      <c r="A2960" s="59" t="s">
        <v>12414</v>
      </c>
      <c r="E2960" s="57" t="str">
        <f ca="1">IFERROR(__xludf.DUMMYFUNCTION("""COMPUTED_VALUE"""),"")</f>
        <v/>
      </c>
    </row>
    <row r="2961" spans="1:5">
      <c r="A2961" s="12"/>
      <c r="E2961" s="57" t="str">
        <f ca="1">IFERROR(__xludf.DUMMYFUNCTION("""COMPUTED_VALUE"""),"")</f>
        <v/>
      </c>
    </row>
    <row r="2962" spans="1:5">
      <c r="A2962" s="12" t="s">
        <v>12415</v>
      </c>
      <c r="E2962" s="57" t="str">
        <f ca="1">IFERROR(__xludf.DUMMYFUNCTION("""COMPUTED_VALUE"""),"")</f>
        <v/>
      </c>
    </row>
    <row r="2963" spans="1:5">
      <c r="A2963" s="59" t="s">
        <v>12416</v>
      </c>
      <c r="E2963" s="57" t="str">
        <f ca="1">IFERROR(__xludf.DUMMYFUNCTION("""COMPUTED_VALUE"""),"")</f>
        <v/>
      </c>
    </row>
    <row r="2964" spans="1:5">
      <c r="A2964" s="12"/>
      <c r="E2964" s="57" t="str">
        <f ca="1">IFERROR(__xludf.DUMMYFUNCTION("""COMPUTED_VALUE"""),"")</f>
        <v/>
      </c>
    </row>
    <row r="2965" spans="1:5">
      <c r="A2965" s="12" t="s">
        <v>12417</v>
      </c>
      <c r="E2965" s="57" t="str">
        <f ca="1">IFERROR(__xludf.DUMMYFUNCTION("""COMPUTED_VALUE"""),"")</f>
        <v/>
      </c>
    </row>
    <row r="2966" spans="1:5">
      <c r="A2966" s="59" t="s">
        <v>12418</v>
      </c>
      <c r="E2966" s="57" t="str">
        <f ca="1">IFERROR(__xludf.DUMMYFUNCTION("""COMPUTED_VALUE"""),"")</f>
        <v/>
      </c>
    </row>
    <row r="2967" spans="1:5">
      <c r="A2967" s="12"/>
      <c r="E2967" s="57" t="str">
        <f ca="1">IFERROR(__xludf.DUMMYFUNCTION("""COMPUTED_VALUE"""),"")</f>
        <v/>
      </c>
    </row>
    <row r="2968" spans="1:5">
      <c r="A2968" s="12" t="s">
        <v>12419</v>
      </c>
      <c r="E2968" s="57" t="str">
        <f ca="1">IFERROR(__xludf.DUMMYFUNCTION("""COMPUTED_VALUE"""),"")</f>
        <v/>
      </c>
    </row>
    <row r="2969" spans="1:5">
      <c r="A2969" s="59" t="s">
        <v>12420</v>
      </c>
      <c r="E2969" s="57" t="str">
        <f ca="1">IFERROR(__xludf.DUMMYFUNCTION("""COMPUTED_VALUE"""),"")</f>
        <v/>
      </c>
    </row>
    <row r="2970" spans="1:5">
      <c r="A2970" s="12"/>
      <c r="E2970" s="57" t="str">
        <f ca="1">IFERROR(__xludf.DUMMYFUNCTION("""COMPUTED_VALUE"""),"")</f>
        <v/>
      </c>
    </row>
    <row r="2971" spans="1:5">
      <c r="A2971" s="12" t="s">
        <v>12421</v>
      </c>
      <c r="E2971" s="57" t="str">
        <f ca="1">IFERROR(__xludf.DUMMYFUNCTION("""COMPUTED_VALUE"""),"")</f>
        <v/>
      </c>
    </row>
    <row r="2972" spans="1:5">
      <c r="A2972" s="59" t="s">
        <v>12422</v>
      </c>
      <c r="E2972" s="57" t="str">
        <f ca="1">IFERROR(__xludf.DUMMYFUNCTION("""COMPUTED_VALUE"""),"")</f>
        <v/>
      </c>
    </row>
    <row r="2973" spans="1:5">
      <c r="A2973" s="12"/>
      <c r="E2973" s="57" t="str">
        <f ca="1">IFERROR(__xludf.DUMMYFUNCTION("""COMPUTED_VALUE"""),"")</f>
        <v/>
      </c>
    </row>
    <row r="2974" spans="1:5">
      <c r="A2974" s="12" t="s">
        <v>12423</v>
      </c>
      <c r="E2974" s="57" t="str">
        <f ca="1">IFERROR(__xludf.DUMMYFUNCTION("""COMPUTED_VALUE"""),"")</f>
        <v/>
      </c>
    </row>
    <row r="2975" spans="1:5">
      <c r="A2975" s="59" t="s">
        <v>12424</v>
      </c>
      <c r="E2975" s="57" t="str">
        <f ca="1">IFERROR(__xludf.DUMMYFUNCTION("""COMPUTED_VALUE"""),"")</f>
        <v/>
      </c>
    </row>
    <row r="2976" spans="1:5">
      <c r="A2976" s="12"/>
      <c r="E2976" s="57" t="str">
        <f ca="1">IFERROR(__xludf.DUMMYFUNCTION("""COMPUTED_VALUE"""),"")</f>
        <v/>
      </c>
    </row>
    <row r="2977" spans="1:5">
      <c r="A2977" s="12" t="s">
        <v>12425</v>
      </c>
      <c r="E2977" s="57" t="str">
        <f ca="1">IFERROR(__xludf.DUMMYFUNCTION("""COMPUTED_VALUE"""),"")</f>
        <v/>
      </c>
    </row>
    <row r="2978" spans="1:5">
      <c r="A2978" s="59" t="s">
        <v>12426</v>
      </c>
      <c r="E2978" s="57" t="str">
        <f ca="1">IFERROR(__xludf.DUMMYFUNCTION("""COMPUTED_VALUE"""),"")</f>
        <v/>
      </c>
    </row>
    <row r="2979" spans="1:5">
      <c r="A2979" s="12"/>
      <c r="E2979" s="57" t="str">
        <f ca="1">IFERROR(__xludf.DUMMYFUNCTION("""COMPUTED_VALUE"""),"")</f>
        <v/>
      </c>
    </row>
    <row r="2980" spans="1:5">
      <c r="A2980" s="12" t="s">
        <v>12427</v>
      </c>
      <c r="E2980" s="57" t="str">
        <f ca="1">IFERROR(__xludf.DUMMYFUNCTION("""COMPUTED_VALUE"""),"")</f>
        <v/>
      </c>
    </row>
    <row r="2981" spans="1:5">
      <c r="A2981" s="59" t="s">
        <v>12428</v>
      </c>
      <c r="E2981" s="57" t="str">
        <f ca="1">IFERROR(__xludf.DUMMYFUNCTION("""COMPUTED_VALUE"""),"")</f>
        <v/>
      </c>
    </row>
    <row r="2982" spans="1:5">
      <c r="A2982" s="12"/>
      <c r="E2982" s="57" t="str">
        <f ca="1">IFERROR(__xludf.DUMMYFUNCTION("""COMPUTED_VALUE"""),"")</f>
        <v/>
      </c>
    </row>
    <row r="2983" spans="1:5">
      <c r="A2983" s="12" t="s">
        <v>12429</v>
      </c>
      <c r="E2983" s="57" t="str">
        <f ca="1">IFERROR(__xludf.DUMMYFUNCTION("""COMPUTED_VALUE"""),"")</f>
        <v/>
      </c>
    </row>
    <row r="2984" spans="1:5">
      <c r="A2984" s="59" t="s">
        <v>12430</v>
      </c>
      <c r="E2984" s="57" t="str">
        <f ca="1">IFERROR(__xludf.DUMMYFUNCTION("""COMPUTED_VALUE"""),"")</f>
        <v/>
      </c>
    </row>
    <row r="2985" spans="1:5">
      <c r="A2985" s="12"/>
      <c r="E2985" s="57" t="str">
        <f ca="1">IFERROR(__xludf.DUMMYFUNCTION("""COMPUTED_VALUE"""),"")</f>
        <v/>
      </c>
    </row>
    <row r="2986" spans="1:5">
      <c r="A2986" s="12" t="s">
        <v>12431</v>
      </c>
      <c r="E2986" s="57" t="str">
        <f ca="1">IFERROR(__xludf.DUMMYFUNCTION("""COMPUTED_VALUE"""),"")</f>
        <v/>
      </c>
    </row>
    <row r="2987" spans="1:5">
      <c r="A2987" s="59" t="s">
        <v>12432</v>
      </c>
      <c r="E2987" s="57" t="str">
        <f ca="1">IFERROR(__xludf.DUMMYFUNCTION("""COMPUTED_VALUE"""),"")</f>
        <v/>
      </c>
    </row>
    <row r="2988" spans="1:5">
      <c r="A2988" s="12"/>
      <c r="E2988" s="57" t="str">
        <f ca="1">IFERROR(__xludf.DUMMYFUNCTION("""COMPUTED_VALUE"""),"")</f>
        <v/>
      </c>
    </row>
    <row r="2989" spans="1:5">
      <c r="A2989" s="12" t="s">
        <v>12433</v>
      </c>
      <c r="E2989" s="57" t="str">
        <f ca="1">IFERROR(__xludf.DUMMYFUNCTION("""COMPUTED_VALUE"""),"")</f>
        <v/>
      </c>
    </row>
    <row r="2990" spans="1:5">
      <c r="A2990" s="59" t="s">
        <v>12434</v>
      </c>
      <c r="E2990" s="57" t="str">
        <f ca="1">IFERROR(__xludf.DUMMYFUNCTION("""COMPUTED_VALUE"""),"")</f>
        <v/>
      </c>
    </row>
    <row r="2991" spans="1:5">
      <c r="A2991" s="12"/>
      <c r="E2991" s="57" t="str">
        <f ca="1">IFERROR(__xludf.DUMMYFUNCTION("""COMPUTED_VALUE"""),"")</f>
        <v/>
      </c>
    </row>
    <row r="2992" spans="1:5">
      <c r="A2992" s="12" t="s">
        <v>12435</v>
      </c>
      <c r="E2992" s="57" t="str">
        <f ca="1">IFERROR(__xludf.DUMMYFUNCTION("""COMPUTED_VALUE"""),"")</f>
        <v/>
      </c>
    </row>
    <row r="2993" spans="1:5">
      <c r="A2993" s="59" t="s">
        <v>12436</v>
      </c>
      <c r="E2993" s="57" t="str">
        <f ca="1">IFERROR(__xludf.DUMMYFUNCTION("""COMPUTED_VALUE"""),"")</f>
        <v/>
      </c>
    </row>
    <row r="2994" spans="1:5">
      <c r="A2994" s="12"/>
      <c r="E2994" s="57" t="str">
        <f ca="1">IFERROR(__xludf.DUMMYFUNCTION("""COMPUTED_VALUE"""),"")</f>
        <v/>
      </c>
    </row>
    <row r="2995" spans="1:5">
      <c r="A2995" s="12" t="s">
        <v>12437</v>
      </c>
      <c r="E2995" s="57" t="str">
        <f ca="1">IFERROR(__xludf.DUMMYFUNCTION("""COMPUTED_VALUE"""),"")</f>
        <v/>
      </c>
    </row>
    <row r="2996" spans="1:5">
      <c r="A2996" s="59" t="s">
        <v>12438</v>
      </c>
      <c r="E2996" s="57" t="str">
        <f ca="1">IFERROR(__xludf.DUMMYFUNCTION("""COMPUTED_VALUE"""),"")</f>
        <v/>
      </c>
    </row>
    <row r="2997" spans="1:5">
      <c r="A2997" s="12"/>
      <c r="E2997" s="57" t="str">
        <f ca="1">IFERROR(__xludf.DUMMYFUNCTION("""COMPUTED_VALUE"""),"")</f>
        <v/>
      </c>
    </row>
    <row r="2998" spans="1:5">
      <c r="A2998" s="12" t="s">
        <v>12439</v>
      </c>
      <c r="E2998" s="57" t="str">
        <f ca="1">IFERROR(__xludf.DUMMYFUNCTION("""COMPUTED_VALUE"""),"")</f>
        <v/>
      </c>
    </row>
    <row r="2999" spans="1:5">
      <c r="A2999" s="59" t="s">
        <v>12440</v>
      </c>
      <c r="E2999" s="57" t="str">
        <f ca="1">IFERROR(__xludf.DUMMYFUNCTION("""COMPUTED_VALUE"""),"")</f>
        <v/>
      </c>
    </row>
    <row r="3000" spans="1:5">
      <c r="A3000" s="12"/>
      <c r="E3000" s="57" t="str">
        <f ca="1">IFERROR(__xludf.DUMMYFUNCTION("""COMPUTED_VALUE"""),"")</f>
        <v/>
      </c>
    </row>
    <row r="3001" spans="1:5">
      <c r="A3001" s="12" t="s">
        <v>12441</v>
      </c>
      <c r="E3001" s="57" t="str">
        <f ca="1">IFERROR(__xludf.DUMMYFUNCTION("""COMPUTED_VALUE"""),"")</f>
        <v/>
      </c>
    </row>
    <row r="3002" spans="1:5">
      <c r="A3002" s="59" t="s">
        <v>12442</v>
      </c>
      <c r="E3002" s="57" t="str">
        <f ca="1">IFERROR(__xludf.DUMMYFUNCTION("""COMPUTED_VALUE"""),"")</f>
        <v/>
      </c>
    </row>
    <row r="3003" spans="1:5">
      <c r="A3003" s="12"/>
      <c r="E3003" s="57" t="str">
        <f ca="1">IFERROR(__xludf.DUMMYFUNCTION("""COMPUTED_VALUE"""),"")</f>
        <v/>
      </c>
    </row>
    <row r="3004" spans="1:5">
      <c r="A3004" s="12" t="s">
        <v>12443</v>
      </c>
      <c r="E3004" s="57" t="str">
        <f ca="1">IFERROR(__xludf.DUMMYFUNCTION("""COMPUTED_VALUE"""),"")</f>
        <v/>
      </c>
    </row>
    <row r="3005" spans="1:5">
      <c r="A3005" s="59" t="s">
        <v>12444</v>
      </c>
      <c r="E3005" s="57" t="str">
        <f ca="1">IFERROR(__xludf.DUMMYFUNCTION("""COMPUTED_VALUE"""),"")</f>
        <v/>
      </c>
    </row>
    <row r="3006" spans="1:5">
      <c r="A3006" s="12"/>
      <c r="E3006" s="57" t="str">
        <f ca="1">IFERROR(__xludf.DUMMYFUNCTION("""COMPUTED_VALUE"""),"")</f>
        <v/>
      </c>
    </row>
    <row r="3007" spans="1:5">
      <c r="A3007" s="12" t="s">
        <v>12445</v>
      </c>
      <c r="E3007" s="57" t="str">
        <f ca="1">IFERROR(__xludf.DUMMYFUNCTION("""COMPUTED_VALUE"""),"")</f>
        <v/>
      </c>
    </row>
    <row r="3008" spans="1:5">
      <c r="A3008" s="59" t="s">
        <v>12446</v>
      </c>
      <c r="E3008" s="57" t="str">
        <f ca="1">IFERROR(__xludf.DUMMYFUNCTION("""COMPUTED_VALUE"""),"")</f>
        <v/>
      </c>
    </row>
    <row r="3009" spans="1:5">
      <c r="A3009" s="12"/>
      <c r="E3009" s="57" t="str">
        <f ca="1">IFERROR(__xludf.DUMMYFUNCTION("""COMPUTED_VALUE"""),"")</f>
        <v/>
      </c>
    </row>
    <row r="3010" spans="1:5">
      <c r="A3010" s="12" t="s">
        <v>12447</v>
      </c>
      <c r="E3010" s="57" t="str">
        <f ca="1">IFERROR(__xludf.DUMMYFUNCTION("""COMPUTED_VALUE"""),"")</f>
        <v/>
      </c>
    </row>
    <row r="3011" spans="1:5">
      <c r="A3011" s="59" t="s">
        <v>12448</v>
      </c>
      <c r="E3011" s="57" t="str">
        <f ca="1">IFERROR(__xludf.DUMMYFUNCTION("""COMPUTED_VALUE"""),"")</f>
        <v/>
      </c>
    </row>
    <row r="3012" spans="1:5">
      <c r="A3012" s="12"/>
      <c r="E3012" s="57" t="str">
        <f ca="1">IFERROR(__xludf.DUMMYFUNCTION("""COMPUTED_VALUE"""),"")</f>
        <v/>
      </c>
    </row>
    <row r="3013" spans="1:5">
      <c r="A3013" s="12" t="s">
        <v>12449</v>
      </c>
      <c r="E3013" s="57" t="str">
        <f ca="1">IFERROR(__xludf.DUMMYFUNCTION("""COMPUTED_VALUE"""),"")</f>
        <v/>
      </c>
    </row>
    <row r="3014" spans="1:5">
      <c r="A3014" s="59" t="s">
        <v>12450</v>
      </c>
      <c r="E3014" s="57" t="str">
        <f ca="1">IFERROR(__xludf.DUMMYFUNCTION("""COMPUTED_VALUE"""),"")</f>
        <v/>
      </c>
    </row>
    <row r="3015" spans="1:5">
      <c r="A3015" s="12"/>
      <c r="E3015" s="57" t="str">
        <f ca="1">IFERROR(__xludf.DUMMYFUNCTION("""COMPUTED_VALUE"""),"")</f>
        <v/>
      </c>
    </row>
    <row r="3016" spans="1:5">
      <c r="A3016" s="12" t="s">
        <v>12451</v>
      </c>
      <c r="E3016" s="57" t="str">
        <f ca="1">IFERROR(__xludf.DUMMYFUNCTION("""COMPUTED_VALUE"""),"")</f>
        <v/>
      </c>
    </row>
    <row r="3017" spans="1:5">
      <c r="A3017" s="59" t="s">
        <v>12452</v>
      </c>
      <c r="E3017" s="57" t="str">
        <f ca="1">IFERROR(__xludf.DUMMYFUNCTION("""COMPUTED_VALUE"""),"")</f>
        <v/>
      </c>
    </row>
    <row r="3018" spans="1:5">
      <c r="A3018" s="12"/>
      <c r="E3018" s="57" t="str">
        <f ca="1">IFERROR(__xludf.DUMMYFUNCTION("""COMPUTED_VALUE"""),"")</f>
        <v/>
      </c>
    </row>
    <row r="3019" spans="1:5">
      <c r="A3019" s="12" t="s">
        <v>12453</v>
      </c>
      <c r="E3019" s="57" t="str">
        <f ca="1">IFERROR(__xludf.DUMMYFUNCTION("""COMPUTED_VALUE"""),"")</f>
        <v/>
      </c>
    </row>
    <row r="3020" spans="1:5">
      <c r="A3020" s="59" t="s">
        <v>12454</v>
      </c>
      <c r="E3020" s="57" t="str">
        <f ca="1">IFERROR(__xludf.DUMMYFUNCTION("""COMPUTED_VALUE"""),"")</f>
        <v/>
      </c>
    </row>
    <row r="3021" spans="1:5">
      <c r="A3021" s="12"/>
      <c r="E3021" s="57" t="str">
        <f ca="1">IFERROR(__xludf.DUMMYFUNCTION("""COMPUTED_VALUE"""),"")</f>
        <v/>
      </c>
    </row>
    <row r="3022" spans="1:5">
      <c r="A3022" s="12" t="s">
        <v>12455</v>
      </c>
      <c r="E3022" s="57" t="str">
        <f ca="1">IFERROR(__xludf.DUMMYFUNCTION("""COMPUTED_VALUE"""),"")</f>
        <v/>
      </c>
    </row>
    <row r="3023" spans="1:5">
      <c r="A3023" s="59" t="s">
        <v>12456</v>
      </c>
      <c r="E3023" s="57" t="str">
        <f ca="1">IFERROR(__xludf.DUMMYFUNCTION("""COMPUTED_VALUE"""),"")</f>
        <v/>
      </c>
    </row>
    <row r="3024" spans="1:5">
      <c r="A3024" s="12"/>
      <c r="E3024" s="57" t="str">
        <f ca="1">IFERROR(__xludf.DUMMYFUNCTION("""COMPUTED_VALUE"""),"")</f>
        <v/>
      </c>
    </row>
    <row r="3025" spans="1:5">
      <c r="A3025" s="12" t="s">
        <v>12457</v>
      </c>
      <c r="E3025" s="57" t="str">
        <f ca="1">IFERROR(__xludf.DUMMYFUNCTION("""COMPUTED_VALUE"""),"")</f>
        <v/>
      </c>
    </row>
    <row r="3026" spans="1:5">
      <c r="A3026" s="59" t="s">
        <v>12458</v>
      </c>
      <c r="E3026" s="57" t="str">
        <f ca="1">IFERROR(__xludf.DUMMYFUNCTION("""COMPUTED_VALUE"""),"")</f>
        <v/>
      </c>
    </row>
    <row r="3027" spans="1:5">
      <c r="A3027" s="12"/>
      <c r="E3027" s="57" t="str">
        <f ca="1">IFERROR(__xludf.DUMMYFUNCTION("""COMPUTED_VALUE"""),"")</f>
        <v/>
      </c>
    </row>
    <row r="3028" spans="1:5">
      <c r="A3028" s="12" t="s">
        <v>12459</v>
      </c>
      <c r="E3028" s="57" t="str">
        <f ca="1">IFERROR(__xludf.DUMMYFUNCTION("""COMPUTED_VALUE"""),"")</f>
        <v/>
      </c>
    </row>
    <row r="3029" spans="1:5">
      <c r="A3029" s="59" t="s">
        <v>12460</v>
      </c>
      <c r="E3029" s="57" t="str">
        <f ca="1">IFERROR(__xludf.DUMMYFUNCTION("""COMPUTED_VALUE"""),"")</f>
        <v/>
      </c>
    </row>
    <row r="3030" spans="1:5">
      <c r="A3030" s="12"/>
      <c r="E3030" s="57" t="str">
        <f ca="1">IFERROR(__xludf.DUMMYFUNCTION("""COMPUTED_VALUE"""),"")</f>
        <v/>
      </c>
    </row>
    <row r="3031" spans="1:5">
      <c r="A3031" s="12" t="s">
        <v>12461</v>
      </c>
      <c r="E3031" s="57" t="str">
        <f ca="1">IFERROR(__xludf.DUMMYFUNCTION("""COMPUTED_VALUE"""),"")</f>
        <v/>
      </c>
    </row>
    <row r="3032" spans="1:5">
      <c r="A3032" s="59" t="s">
        <v>12462</v>
      </c>
      <c r="E3032" s="57" t="str">
        <f ca="1">IFERROR(__xludf.DUMMYFUNCTION("""COMPUTED_VALUE"""),"")</f>
        <v/>
      </c>
    </row>
    <row r="3033" spans="1:5">
      <c r="A3033" s="12"/>
      <c r="E3033" s="57" t="str">
        <f ca="1">IFERROR(__xludf.DUMMYFUNCTION("""COMPUTED_VALUE"""),"")</f>
        <v/>
      </c>
    </row>
    <row r="3034" spans="1:5">
      <c r="A3034" s="12" t="s">
        <v>12463</v>
      </c>
      <c r="E3034" s="57" t="str">
        <f ca="1">IFERROR(__xludf.DUMMYFUNCTION("""COMPUTED_VALUE"""),"")</f>
        <v/>
      </c>
    </row>
    <row r="3035" spans="1:5">
      <c r="A3035" s="59" t="s">
        <v>12464</v>
      </c>
      <c r="E3035" s="57" t="str">
        <f ca="1">IFERROR(__xludf.DUMMYFUNCTION("""COMPUTED_VALUE"""),"")</f>
        <v/>
      </c>
    </row>
    <row r="3036" spans="1:5">
      <c r="A3036" s="12"/>
      <c r="E3036" s="57" t="str">
        <f ca="1">IFERROR(__xludf.DUMMYFUNCTION("""COMPUTED_VALUE"""),"")</f>
        <v/>
      </c>
    </row>
    <row r="3037" spans="1:5">
      <c r="A3037" s="12" t="s">
        <v>12465</v>
      </c>
      <c r="E3037" s="57" t="str">
        <f ca="1">IFERROR(__xludf.DUMMYFUNCTION("""COMPUTED_VALUE"""),"")</f>
        <v/>
      </c>
    </row>
    <row r="3038" spans="1:5">
      <c r="A3038" s="59" t="s">
        <v>12466</v>
      </c>
      <c r="E3038" s="57" t="str">
        <f ca="1">IFERROR(__xludf.DUMMYFUNCTION("""COMPUTED_VALUE"""),"")</f>
        <v/>
      </c>
    </row>
    <row r="3039" spans="1:5">
      <c r="A3039" s="12"/>
      <c r="E3039" s="57" t="str">
        <f ca="1">IFERROR(__xludf.DUMMYFUNCTION("""COMPUTED_VALUE"""),"")</f>
        <v/>
      </c>
    </row>
    <row r="3040" spans="1:5">
      <c r="A3040" s="12" t="s">
        <v>12467</v>
      </c>
      <c r="E3040" s="57" t="str">
        <f ca="1">IFERROR(__xludf.DUMMYFUNCTION("""COMPUTED_VALUE"""),"")</f>
        <v/>
      </c>
    </row>
    <row r="3041" spans="1:5">
      <c r="A3041" s="59" t="s">
        <v>12468</v>
      </c>
      <c r="E3041" s="57" t="str">
        <f ca="1">IFERROR(__xludf.DUMMYFUNCTION("""COMPUTED_VALUE"""),"")</f>
        <v/>
      </c>
    </row>
    <row r="3042" spans="1:5">
      <c r="A3042" s="12"/>
      <c r="E3042" s="57" t="str">
        <f ca="1">IFERROR(__xludf.DUMMYFUNCTION("""COMPUTED_VALUE"""),"")</f>
        <v/>
      </c>
    </row>
    <row r="3043" spans="1:5">
      <c r="A3043" s="12" t="s">
        <v>12469</v>
      </c>
      <c r="E3043" s="57" t="str">
        <f ca="1">IFERROR(__xludf.DUMMYFUNCTION("""COMPUTED_VALUE"""),"")</f>
        <v/>
      </c>
    </row>
    <row r="3044" spans="1:5">
      <c r="A3044" s="59" t="s">
        <v>12470</v>
      </c>
      <c r="E3044" s="57" t="str">
        <f ca="1">IFERROR(__xludf.DUMMYFUNCTION("""COMPUTED_VALUE"""),"")</f>
        <v/>
      </c>
    </row>
    <row r="3045" spans="1:5">
      <c r="A3045" s="12"/>
      <c r="E3045" s="57" t="str">
        <f ca="1">IFERROR(__xludf.DUMMYFUNCTION("""COMPUTED_VALUE"""),"")</f>
        <v/>
      </c>
    </row>
    <row r="3046" spans="1:5">
      <c r="A3046" s="12" t="s">
        <v>12471</v>
      </c>
      <c r="E3046" s="57" t="str">
        <f ca="1">IFERROR(__xludf.DUMMYFUNCTION("""COMPUTED_VALUE"""),"")</f>
        <v/>
      </c>
    </row>
    <row r="3047" spans="1:5">
      <c r="A3047" s="59" t="s">
        <v>12472</v>
      </c>
      <c r="E3047" s="57" t="str">
        <f ca="1">IFERROR(__xludf.DUMMYFUNCTION("""COMPUTED_VALUE"""),"")</f>
        <v/>
      </c>
    </row>
    <row r="3048" spans="1:5">
      <c r="A3048" s="12"/>
      <c r="E3048" s="57" t="str">
        <f ca="1">IFERROR(__xludf.DUMMYFUNCTION("""COMPUTED_VALUE"""),"")</f>
        <v/>
      </c>
    </row>
    <row r="3049" spans="1:5">
      <c r="A3049" s="12" t="s">
        <v>12473</v>
      </c>
      <c r="E3049" s="57" t="str">
        <f ca="1">IFERROR(__xludf.DUMMYFUNCTION("""COMPUTED_VALUE"""),"")</f>
        <v/>
      </c>
    </row>
    <row r="3050" spans="1:5">
      <c r="A3050" s="59" t="s">
        <v>12474</v>
      </c>
      <c r="E3050" s="57" t="str">
        <f ca="1">IFERROR(__xludf.DUMMYFUNCTION("""COMPUTED_VALUE"""),"")</f>
        <v/>
      </c>
    </row>
    <row r="3051" spans="1:5">
      <c r="A3051" s="12"/>
      <c r="E3051" s="57" t="str">
        <f ca="1">IFERROR(__xludf.DUMMYFUNCTION("""COMPUTED_VALUE"""),"")</f>
        <v/>
      </c>
    </row>
    <row r="3052" spans="1:5">
      <c r="A3052" s="12" t="s">
        <v>12475</v>
      </c>
      <c r="E3052" s="57" t="str">
        <f ca="1">IFERROR(__xludf.DUMMYFUNCTION("""COMPUTED_VALUE"""),"")</f>
        <v/>
      </c>
    </row>
    <row r="3053" spans="1:5">
      <c r="A3053" s="59" t="s">
        <v>12476</v>
      </c>
      <c r="E3053" s="57" t="str">
        <f ca="1">IFERROR(__xludf.DUMMYFUNCTION("""COMPUTED_VALUE"""),"")</f>
        <v/>
      </c>
    </row>
    <row r="3054" spans="1:5">
      <c r="A3054" s="12"/>
      <c r="E3054" s="57" t="str">
        <f ca="1">IFERROR(__xludf.DUMMYFUNCTION("""COMPUTED_VALUE"""),"")</f>
        <v/>
      </c>
    </row>
    <row r="3055" spans="1:5">
      <c r="A3055" s="12" t="s">
        <v>12477</v>
      </c>
      <c r="E3055" s="57" t="str">
        <f ca="1">IFERROR(__xludf.DUMMYFUNCTION("""COMPUTED_VALUE"""),"")</f>
        <v/>
      </c>
    </row>
    <row r="3056" spans="1:5">
      <c r="A3056" s="59" t="s">
        <v>12478</v>
      </c>
      <c r="E3056" s="57" t="str">
        <f ca="1">IFERROR(__xludf.DUMMYFUNCTION("""COMPUTED_VALUE"""),"")</f>
        <v/>
      </c>
    </row>
    <row r="3057" spans="1:5">
      <c r="A3057" s="12"/>
      <c r="E3057" s="57" t="str">
        <f ca="1">IFERROR(__xludf.DUMMYFUNCTION("""COMPUTED_VALUE"""),"")</f>
        <v/>
      </c>
    </row>
    <row r="3058" spans="1:5">
      <c r="A3058" s="12" t="s">
        <v>12479</v>
      </c>
      <c r="E3058" s="57" t="str">
        <f ca="1">IFERROR(__xludf.DUMMYFUNCTION("""COMPUTED_VALUE"""),"")</f>
        <v/>
      </c>
    </row>
    <row r="3059" spans="1:5">
      <c r="A3059" s="59" t="s">
        <v>12480</v>
      </c>
      <c r="E3059" s="57" t="str">
        <f ca="1">IFERROR(__xludf.DUMMYFUNCTION("""COMPUTED_VALUE"""),"")</f>
        <v/>
      </c>
    </row>
    <row r="3060" spans="1:5">
      <c r="A3060" s="12"/>
      <c r="E3060" s="57" t="str">
        <f ca="1">IFERROR(__xludf.DUMMYFUNCTION("""COMPUTED_VALUE"""),"")</f>
        <v/>
      </c>
    </row>
    <row r="3061" spans="1:5">
      <c r="A3061" s="12" t="s">
        <v>12481</v>
      </c>
      <c r="E3061" s="57" t="str">
        <f ca="1">IFERROR(__xludf.DUMMYFUNCTION("""COMPUTED_VALUE"""),"")</f>
        <v/>
      </c>
    </row>
    <row r="3062" spans="1:5">
      <c r="A3062" s="59" t="s">
        <v>12482</v>
      </c>
      <c r="E3062" s="57" t="str">
        <f ca="1">IFERROR(__xludf.DUMMYFUNCTION("""COMPUTED_VALUE"""),"")</f>
        <v/>
      </c>
    </row>
    <row r="3063" spans="1:5">
      <c r="A3063" s="12"/>
      <c r="E3063" s="57" t="str">
        <f ca="1">IFERROR(__xludf.DUMMYFUNCTION("""COMPUTED_VALUE"""),"")</f>
        <v/>
      </c>
    </row>
    <row r="3064" spans="1:5">
      <c r="A3064" s="12" t="s">
        <v>12483</v>
      </c>
      <c r="E3064" s="57" t="str">
        <f ca="1">IFERROR(__xludf.DUMMYFUNCTION("""COMPUTED_VALUE"""),"")</f>
        <v/>
      </c>
    </row>
    <row r="3065" spans="1:5">
      <c r="A3065" s="59" t="s">
        <v>12484</v>
      </c>
      <c r="E3065" s="57" t="str">
        <f ca="1">IFERROR(__xludf.DUMMYFUNCTION("""COMPUTED_VALUE"""),"")</f>
        <v/>
      </c>
    </row>
    <row r="3066" spans="1:5">
      <c r="A3066" s="12"/>
      <c r="E3066" s="57" t="str">
        <f ca="1">IFERROR(__xludf.DUMMYFUNCTION("""COMPUTED_VALUE"""),"")</f>
        <v/>
      </c>
    </row>
    <row r="3067" spans="1:5">
      <c r="A3067" s="12" t="s">
        <v>12485</v>
      </c>
      <c r="E3067" s="57" t="str">
        <f ca="1">IFERROR(__xludf.DUMMYFUNCTION("""COMPUTED_VALUE"""),"")</f>
        <v/>
      </c>
    </row>
    <row r="3068" spans="1:5">
      <c r="A3068" s="59" t="s">
        <v>12486</v>
      </c>
      <c r="E3068" s="57" t="str">
        <f ca="1">IFERROR(__xludf.DUMMYFUNCTION("""COMPUTED_VALUE"""),"")</f>
        <v/>
      </c>
    </row>
    <row r="3069" spans="1:5">
      <c r="A3069" s="12"/>
      <c r="E3069" s="57" t="str">
        <f ca="1">IFERROR(__xludf.DUMMYFUNCTION("""COMPUTED_VALUE"""),"")</f>
        <v/>
      </c>
    </row>
    <row r="3070" spans="1:5">
      <c r="A3070" s="12" t="s">
        <v>12487</v>
      </c>
      <c r="E3070" s="57" t="str">
        <f ca="1">IFERROR(__xludf.DUMMYFUNCTION("""COMPUTED_VALUE"""),"")</f>
        <v/>
      </c>
    </row>
    <row r="3071" spans="1:5">
      <c r="A3071" s="59" t="s">
        <v>12488</v>
      </c>
      <c r="E3071" s="57" t="str">
        <f ca="1">IFERROR(__xludf.DUMMYFUNCTION("""COMPUTED_VALUE"""),"")</f>
        <v/>
      </c>
    </row>
    <row r="3072" spans="1:5">
      <c r="A3072" s="12"/>
      <c r="E3072" s="57" t="str">
        <f ca="1">IFERROR(__xludf.DUMMYFUNCTION("""COMPUTED_VALUE"""),"")</f>
        <v/>
      </c>
    </row>
    <row r="3073" spans="1:5">
      <c r="A3073" s="12" t="s">
        <v>12489</v>
      </c>
      <c r="E3073" s="57" t="str">
        <f ca="1">IFERROR(__xludf.DUMMYFUNCTION("""COMPUTED_VALUE"""),"")</f>
        <v/>
      </c>
    </row>
    <row r="3074" spans="1:5">
      <c r="A3074" s="59" t="s">
        <v>12490</v>
      </c>
      <c r="E3074" s="57" t="str">
        <f ca="1">IFERROR(__xludf.DUMMYFUNCTION("""COMPUTED_VALUE"""),"")</f>
        <v/>
      </c>
    </row>
    <row r="3075" spans="1:5">
      <c r="A3075" s="12"/>
      <c r="E3075" s="57" t="str">
        <f ca="1">IFERROR(__xludf.DUMMYFUNCTION("""COMPUTED_VALUE"""),"")</f>
        <v/>
      </c>
    </row>
    <row r="3076" spans="1:5">
      <c r="A3076" s="12" t="s">
        <v>12491</v>
      </c>
      <c r="E3076" s="57" t="str">
        <f ca="1">IFERROR(__xludf.DUMMYFUNCTION("""COMPUTED_VALUE"""),"")</f>
        <v/>
      </c>
    </row>
    <row r="3077" spans="1:5">
      <c r="A3077" s="59" t="s">
        <v>12492</v>
      </c>
      <c r="E3077" s="57" t="str">
        <f ca="1">IFERROR(__xludf.DUMMYFUNCTION("""COMPUTED_VALUE"""),"")</f>
        <v/>
      </c>
    </row>
    <row r="3078" spans="1:5">
      <c r="A3078" s="12"/>
      <c r="E3078" s="57" t="str">
        <f ca="1">IFERROR(__xludf.DUMMYFUNCTION("""COMPUTED_VALUE"""),"")</f>
        <v/>
      </c>
    </row>
    <row r="3079" spans="1:5">
      <c r="A3079" s="12" t="s">
        <v>12493</v>
      </c>
      <c r="E3079" s="57" t="str">
        <f ca="1">IFERROR(__xludf.DUMMYFUNCTION("""COMPUTED_VALUE"""),"")</f>
        <v/>
      </c>
    </row>
    <row r="3080" spans="1:5">
      <c r="A3080" s="59" t="s">
        <v>12494</v>
      </c>
      <c r="E3080" s="57" t="str">
        <f ca="1">IFERROR(__xludf.DUMMYFUNCTION("""COMPUTED_VALUE"""),"")</f>
        <v/>
      </c>
    </row>
    <row r="3081" spans="1:5">
      <c r="A3081" s="12"/>
      <c r="E3081" s="57" t="str">
        <f ca="1">IFERROR(__xludf.DUMMYFUNCTION("""COMPUTED_VALUE"""),"")</f>
        <v/>
      </c>
    </row>
    <row r="3082" spans="1:5">
      <c r="A3082" s="12" t="s">
        <v>12495</v>
      </c>
      <c r="E3082" s="57" t="str">
        <f ca="1">IFERROR(__xludf.DUMMYFUNCTION("""COMPUTED_VALUE"""),"")</f>
        <v/>
      </c>
    </row>
    <row r="3083" spans="1:5">
      <c r="A3083" s="59" t="s">
        <v>12496</v>
      </c>
      <c r="E3083" s="57" t="str">
        <f ca="1">IFERROR(__xludf.DUMMYFUNCTION("""COMPUTED_VALUE"""),"")</f>
        <v/>
      </c>
    </row>
    <row r="3084" spans="1:5">
      <c r="A3084" s="12"/>
      <c r="E3084" s="57" t="str">
        <f ca="1">IFERROR(__xludf.DUMMYFUNCTION("""COMPUTED_VALUE"""),"")</f>
        <v/>
      </c>
    </row>
    <row r="3085" spans="1:5">
      <c r="A3085" s="12" t="s">
        <v>12497</v>
      </c>
      <c r="E3085" s="57" t="str">
        <f ca="1">IFERROR(__xludf.DUMMYFUNCTION("""COMPUTED_VALUE"""),"")</f>
        <v/>
      </c>
    </row>
    <row r="3086" spans="1:5">
      <c r="A3086" s="59" t="s">
        <v>12498</v>
      </c>
      <c r="E3086" s="57" t="str">
        <f ca="1">IFERROR(__xludf.DUMMYFUNCTION("""COMPUTED_VALUE"""),"")</f>
        <v/>
      </c>
    </row>
    <row r="3087" spans="1:5">
      <c r="A3087" s="12"/>
      <c r="E3087" s="57" t="str">
        <f ca="1">IFERROR(__xludf.DUMMYFUNCTION("""COMPUTED_VALUE"""),"")</f>
        <v/>
      </c>
    </row>
    <row r="3088" spans="1:5">
      <c r="A3088" s="12" t="s">
        <v>12499</v>
      </c>
      <c r="E3088" s="57" t="str">
        <f ca="1">IFERROR(__xludf.DUMMYFUNCTION("""COMPUTED_VALUE"""),"")</f>
        <v/>
      </c>
    </row>
    <row r="3089" spans="1:5">
      <c r="A3089" s="59" t="s">
        <v>12500</v>
      </c>
      <c r="E3089" s="57" t="str">
        <f ca="1">IFERROR(__xludf.DUMMYFUNCTION("""COMPUTED_VALUE"""),"")</f>
        <v/>
      </c>
    </row>
    <row r="3090" spans="1:5">
      <c r="A3090" s="12"/>
      <c r="E3090" s="57" t="str">
        <f ca="1">IFERROR(__xludf.DUMMYFUNCTION("""COMPUTED_VALUE"""),"")</f>
        <v/>
      </c>
    </row>
    <row r="3091" spans="1:5">
      <c r="A3091" s="12" t="s">
        <v>12501</v>
      </c>
      <c r="E3091" s="57" t="str">
        <f ca="1">IFERROR(__xludf.DUMMYFUNCTION("""COMPUTED_VALUE"""),"")</f>
        <v/>
      </c>
    </row>
    <row r="3092" spans="1:5">
      <c r="A3092" s="59" t="s">
        <v>12502</v>
      </c>
      <c r="E3092" s="57" t="str">
        <f ca="1">IFERROR(__xludf.DUMMYFUNCTION("""COMPUTED_VALUE"""),"")</f>
        <v/>
      </c>
    </row>
    <row r="3093" spans="1:5">
      <c r="A3093" s="12"/>
      <c r="E3093" s="57" t="str">
        <f ca="1">IFERROR(__xludf.DUMMYFUNCTION("""COMPUTED_VALUE"""),"")</f>
        <v/>
      </c>
    </row>
    <row r="3094" spans="1:5">
      <c r="A3094" s="12" t="s">
        <v>12503</v>
      </c>
      <c r="E3094" s="57" t="str">
        <f ca="1">IFERROR(__xludf.DUMMYFUNCTION("""COMPUTED_VALUE"""),"")</f>
        <v/>
      </c>
    </row>
    <row r="3095" spans="1:5">
      <c r="A3095" s="59" t="s">
        <v>12504</v>
      </c>
      <c r="E3095" s="57" t="str">
        <f ca="1">IFERROR(__xludf.DUMMYFUNCTION("""COMPUTED_VALUE"""),"")</f>
        <v/>
      </c>
    </row>
    <row r="3096" spans="1:5">
      <c r="A3096" s="12"/>
      <c r="E3096" s="57" t="str">
        <f ca="1">IFERROR(__xludf.DUMMYFUNCTION("""COMPUTED_VALUE"""),"")</f>
        <v/>
      </c>
    </row>
    <row r="3097" spans="1:5">
      <c r="A3097" s="12" t="s">
        <v>12505</v>
      </c>
      <c r="E3097" s="57" t="str">
        <f ca="1">IFERROR(__xludf.DUMMYFUNCTION("""COMPUTED_VALUE"""),"")</f>
        <v/>
      </c>
    </row>
    <row r="3098" spans="1:5">
      <c r="A3098" s="59" t="s">
        <v>12506</v>
      </c>
      <c r="E3098" s="57" t="str">
        <f ca="1">IFERROR(__xludf.DUMMYFUNCTION("""COMPUTED_VALUE"""),"")</f>
        <v/>
      </c>
    </row>
    <row r="3099" spans="1:5">
      <c r="A3099" s="12"/>
      <c r="E3099" s="57" t="str">
        <f ca="1">IFERROR(__xludf.DUMMYFUNCTION("""COMPUTED_VALUE"""),"")</f>
        <v/>
      </c>
    </row>
    <row r="3100" spans="1:5">
      <c r="A3100" s="12" t="s">
        <v>12507</v>
      </c>
      <c r="E3100" s="57" t="str">
        <f ca="1">IFERROR(__xludf.DUMMYFUNCTION("""COMPUTED_VALUE"""),"")</f>
        <v/>
      </c>
    </row>
    <row r="3101" spans="1:5">
      <c r="A3101" s="59" t="s">
        <v>12508</v>
      </c>
      <c r="E3101" s="57" t="str">
        <f ca="1">IFERROR(__xludf.DUMMYFUNCTION("""COMPUTED_VALUE"""),"")</f>
        <v/>
      </c>
    </row>
    <row r="3102" spans="1:5">
      <c r="A3102" s="12"/>
      <c r="E3102" s="57" t="str">
        <f ca="1">IFERROR(__xludf.DUMMYFUNCTION("""COMPUTED_VALUE"""),"")</f>
        <v/>
      </c>
    </row>
    <row r="3103" spans="1:5">
      <c r="A3103" s="12" t="s">
        <v>12509</v>
      </c>
      <c r="E3103" s="57" t="str">
        <f ca="1">IFERROR(__xludf.DUMMYFUNCTION("""COMPUTED_VALUE"""),"")</f>
        <v/>
      </c>
    </row>
    <row r="3104" spans="1:5">
      <c r="A3104" s="59" t="s">
        <v>12510</v>
      </c>
      <c r="E3104" s="57" t="str">
        <f ca="1">IFERROR(__xludf.DUMMYFUNCTION("""COMPUTED_VALUE"""),"")</f>
        <v/>
      </c>
    </row>
    <row r="3105" spans="1:5">
      <c r="A3105" s="12"/>
      <c r="E3105" s="57" t="str">
        <f ca="1">IFERROR(__xludf.DUMMYFUNCTION("""COMPUTED_VALUE"""),"")</f>
        <v/>
      </c>
    </row>
    <row r="3106" spans="1:5">
      <c r="A3106" s="12" t="s">
        <v>12511</v>
      </c>
      <c r="E3106" s="57" t="str">
        <f ca="1">IFERROR(__xludf.DUMMYFUNCTION("""COMPUTED_VALUE"""),"")</f>
        <v/>
      </c>
    </row>
    <row r="3107" spans="1:5">
      <c r="A3107" s="59" t="s">
        <v>12512</v>
      </c>
      <c r="E3107" s="57" t="str">
        <f ca="1">IFERROR(__xludf.DUMMYFUNCTION("""COMPUTED_VALUE"""),"")</f>
        <v/>
      </c>
    </row>
    <row r="3108" spans="1:5">
      <c r="A3108" s="12"/>
      <c r="E3108" s="57" t="str">
        <f ca="1">IFERROR(__xludf.DUMMYFUNCTION("""COMPUTED_VALUE"""),"")</f>
        <v/>
      </c>
    </row>
    <row r="3109" spans="1:5">
      <c r="A3109" s="12" t="s">
        <v>12513</v>
      </c>
      <c r="E3109" s="57" t="str">
        <f ca="1">IFERROR(__xludf.DUMMYFUNCTION("""COMPUTED_VALUE"""),"")</f>
        <v/>
      </c>
    </row>
    <row r="3110" spans="1:5">
      <c r="A3110" s="59" t="s">
        <v>12514</v>
      </c>
      <c r="E3110" s="57" t="str">
        <f ca="1">IFERROR(__xludf.DUMMYFUNCTION("""COMPUTED_VALUE"""),"")</f>
        <v/>
      </c>
    </row>
    <row r="3111" spans="1:5">
      <c r="A3111" s="12"/>
      <c r="E3111" s="57" t="str">
        <f ca="1">IFERROR(__xludf.DUMMYFUNCTION("""COMPUTED_VALUE"""),"")</f>
        <v/>
      </c>
    </row>
    <row r="3112" spans="1:5">
      <c r="A3112" s="12" t="s">
        <v>12515</v>
      </c>
      <c r="E3112" s="57" t="str">
        <f ca="1">IFERROR(__xludf.DUMMYFUNCTION("""COMPUTED_VALUE"""),"")</f>
        <v/>
      </c>
    </row>
    <row r="3113" spans="1:5">
      <c r="A3113" s="59" t="s">
        <v>12516</v>
      </c>
      <c r="E3113" s="57" t="str">
        <f ca="1">IFERROR(__xludf.DUMMYFUNCTION("""COMPUTED_VALUE"""),"")</f>
        <v/>
      </c>
    </row>
    <row r="3114" spans="1:5">
      <c r="A3114" s="12"/>
      <c r="E3114" s="57" t="str">
        <f ca="1">IFERROR(__xludf.DUMMYFUNCTION("""COMPUTED_VALUE"""),"")</f>
        <v/>
      </c>
    </row>
    <row r="3115" spans="1:5">
      <c r="A3115" s="12" t="s">
        <v>12517</v>
      </c>
      <c r="E3115" s="57" t="str">
        <f ca="1">IFERROR(__xludf.DUMMYFUNCTION("""COMPUTED_VALUE"""),"")</f>
        <v/>
      </c>
    </row>
    <row r="3116" spans="1:5">
      <c r="A3116" s="59" t="s">
        <v>12518</v>
      </c>
      <c r="E3116" s="57" t="str">
        <f ca="1">IFERROR(__xludf.DUMMYFUNCTION("""COMPUTED_VALUE"""),"")</f>
        <v/>
      </c>
    </row>
    <row r="3117" spans="1:5">
      <c r="A3117" s="12"/>
      <c r="E3117" s="57" t="str">
        <f ca="1">IFERROR(__xludf.DUMMYFUNCTION("""COMPUTED_VALUE"""),"")</f>
        <v/>
      </c>
    </row>
    <row r="3118" spans="1:5">
      <c r="A3118" s="12" t="s">
        <v>12519</v>
      </c>
      <c r="E3118" s="57" t="str">
        <f ca="1">IFERROR(__xludf.DUMMYFUNCTION("""COMPUTED_VALUE"""),"")</f>
        <v/>
      </c>
    </row>
    <row r="3119" spans="1:5">
      <c r="A3119" s="59" t="s">
        <v>12520</v>
      </c>
      <c r="E3119" s="57" t="str">
        <f ca="1">IFERROR(__xludf.DUMMYFUNCTION("""COMPUTED_VALUE"""),"")</f>
        <v/>
      </c>
    </row>
    <row r="3120" spans="1:5">
      <c r="A3120" s="12"/>
      <c r="E3120" s="57" t="str">
        <f ca="1">IFERROR(__xludf.DUMMYFUNCTION("""COMPUTED_VALUE"""),"")</f>
        <v/>
      </c>
    </row>
    <row r="3121" spans="1:5">
      <c r="A3121" s="12" t="s">
        <v>12521</v>
      </c>
      <c r="E3121" s="57" t="str">
        <f ca="1">IFERROR(__xludf.DUMMYFUNCTION("""COMPUTED_VALUE"""),"")</f>
        <v/>
      </c>
    </row>
    <row r="3122" spans="1:5">
      <c r="A3122" s="59" t="s">
        <v>12522</v>
      </c>
      <c r="E3122" s="57" t="str">
        <f ca="1">IFERROR(__xludf.DUMMYFUNCTION("""COMPUTED_VALUE"""),"")</f>
        <v/>
      </c>
    </row>
    <row r="3123" spans="1:5">
      <c r="A3123" s="12"/>
      <c r="E3123" s="57" t="str">
        <f ca="1">IFERROR(__xludf.DUMMYFUNCTION("""COMPUTED_VALUE"""),"")</f>
        <v/>
      </c>
    </row>
    <row r="3124" spans="1:5">
      <c r="A3124" s="12" t="s">
        <v>12523</v>
      </c>
      <c r="E3124" s="57" t="str">
        <f ca="1">IFERROR(__xludf.DUMMYFUNCTION("""COMPUTED_VALUE"""),"")</f>
        <v/>
      </c>
    </row>
    <row r="3125" spans="1:5">
      <c r="A3125" s="59" t="s">
        <v>12524</v>
      </c>
      <c r="E3125" s="57" t="str">
        <f ca="1">IFERROR(__xludf.DUMMYFUNCTION("""COMPUTED_VALUE"""),"")</f>
        <v/>
      </c>
    </row>
    <row r="3126" spans="1:5">
      <c r="A3126" s="12"/>
      <c r="E3126" s="57" t="str">
        <f ca="1">IFERROR(__xludf.DUMMYFUNCTION("""COMPUTED_VALUE"""),"")</f>
        <v/>
      </c>
    </row>
    <row r="3127" spans="1:5">
      <c r="A3127" s="12" t="s">
        <v>12525</v>
      </c>
      <c r="E3127" s="57" t="str">
        <f ca="1">IFERROR(__xludf.DUMMYFUNCTION("""COMPUTED_VALUE"""),"")</f>
        <v/>
      </c>
    </row>
    <row r="3128" spans="1:5">
      <c r="A3128" s="59" t="s">
        <v>12526</v>
      </c>
      <c r="E3128" s="57" t="str">
        <f ca="1">IFERROR(__xludf.DUMMYFUNCTION("""COMPUTED_VALUE"""),"")</f>
        <v/>
      </c>
    </row>
    <row r="3129" spans="1:5">
      <c r="A3129" s="12"/>
      <c r="E3129" s="57" t="str">
        <f ca="1">IFERROR(__xludf.DUMMYFUNCTION("""COMPUTED_VALUE"""),"")</f>
        <v/>
      </c>
    </row>
    <row r="3130" spans="1:5">
      <c r="A3130" s="12" t="s">
        <v>12527</v>
      </c>
      <c r="E3130" s="57" t="str">
        <f ca="1">IFERROR(__xludf.DUMMYFUNCTION("""COMPUTED_VALUE"""),"")</f>
        <v/>
      </c>
    </row>
    <row r="3131" spans="1:5">
      <c r="A3131" s="59" t="s">
        <v>12528</v>
      </c>
      <c r="E3131" s="57" t="str">
        <f ca="1">IFERROR(__xludf.DUMMYFUNCTION("""COMPUTED_VALUE"""),"")</f>
        <v/>
      </c>
    </row>
    <row r="3132" spans="1:5">
      <c r="A3132" s="12"/>
      <c r="E3132" s="57" t="str">
        <f ca="1">IFERROR(__xludf.DUMMYFUNCTION("""COMPUTED_VALUE"""),"")</f>
        <v/>
      </c>
    </row>
    <row r="3133" spans="1:5">
      <c r="A3133" s="12" t="s">
        <v>12529</v>
      </c>
      <c r="E3133" s="57" t="str">
        <f ca="1">IFERROR(__xludf.DUMMYFUNCTION("""COMPUTED_VALUE"""),"")</f>
        <v/>
      </c>
    </row>
    <row r="3134" spans="1:5">
      <c r="A3134" s="59" t="s">
        <v>12530</v>
      </c>
      <c r="E3134" s="57" t="str">
        <f ca="1">IFERROR(__xludf.DUMMYFUNCTION("""COMPUTED_VALUE"""),"")</f>
        <v/>
      </c>
    </row>
    <row r="3135" spans="1:5">
      <c r="A3135" s="12"/>
      <c r="E3135" s="57" t="str">
        <f ca="1">IFERROR(__xludf.DUMMYFUNCTION("""COMPUTED_VALUE"""),"")</f>
        <v/>
      </c>
    </row>
    <row r="3136" spans="1:5">
      <c r="A3136" s="12" t="s">
        <v>12531</v>
      </c>
      <c r="E3136" s="57" t="str">
        <f ca="1">IFERROR(__xludf.DUMMYFUNCTION("""COMPUTED_VALUE"""),"")</f>
        <v/>
      </c>
    </row>
    <row r="3137" spans="1:5">
      <c r="A3137" s="59" t="s">
        <v>12532</v>
      </c>
      <c r="E3137" s="57" t="str">
        <f ca="1">IFERROR(__xludf.DUMMYFUNCTION("""COMPUTED_VALUE"""),"")</f>
        <v/>
      </c>
    </row>
    <row r="3138" spans="1:5">
      <c r="A3138" s="12"/>
      <c r="E3138" s="57" t="str">
        <f ca="1">IFERROR(__xludf.DUMMYFUNCTION("""COMPUTED_VALUE"""),"")</f>
        <v/>
      </c>
    </row>
    <row r="3139" spans="1:5">
      <c r="A3139" s="12" t="s">
        <v>12533</v>
      </c>
      <c r="E3139" s="57" t="str">
        <f ca="1">IFERROR(__xludf.DUMMYFUNCTION("""COMPUTED_VALUE"""),"")</f>
        <v/>
      </c>
    </row>
    <row r="3140" spans="1:5">
      <c r="A3140" s="59" t="s">
        <v>12534</v>
      </c>
      <c r="E3140" s="57" t="str">
        <f ca="1">IFERROR(__xludf.DUMMYFUNCTION("""COMPUTED_VALUE"""),"")</f>
        <v/>
      </c>
    </row>
    <row r="3141" spans="1:5">
      <c r="A3141" s="12"/>
      <c r="E3141" s="57" t="str">
        <f ca="1">IFERROR(__xludf.DUMMYFUNCTION("""COMPUTED_VALUE"""),"")</f>
        <v/>
      </c>
    </row>
    <row r="3142" spans="1:5">
      <c r="A3142" s="12" t="s">
        <v>12535</v>
      </c>
      <c r="E3142" s="57" t="str">
        <f ca="1">IFERROR(__xludf.DUMMYFUNCTION("""COMPUTED_VALUE"""),"")</f>
        <v/>
      </c>
    </row>
    <row r="3143" spans="1:5">
      <c r="A3143" s="59" t="s">
        <v>12536</v>
      </c>
      <c r="E3143" s="57" t="str">
        <f ca="1">IFERROR(__xludf.DUMMYFUNCTION("""COMPUTED_VALUE"""),"")</f>
        <v/>
      </c>
    </row>
    <row r="3144" spans="1:5">
      <c r="A3144" s="12"/>
      <c r="E3144" s="57" t="str">
        <f ca="1">IFERROR(__xludf.DUMMYFUNCTION("""COMPUTED_VALUE"""),"")</f>
        <v/>
      </c>
    </row>
    <row r="3145" spans="1:5">
      <c r="A3145" s="12" t="s">
        <v>12537</v>
      </c>
      <c r="E3145" s="57" t="str">
        <f ca="1">IFERROR(__xludf.DUMMYFUNCTION("""COMPUTED_VALUE"""),"")</f>
        <v/>
      </c>
    </row>
    <row r="3146" spans="1:5">
      <c r="A3146" s="59" t="s">
        <v>12538</v>
      </c>
      <c r="E3146" s="57" t="str">
        <f ca="1">IFERROR(__xludf.DUMMYFUNCTION("""COMPUTED_VALUE"""),"")</f>
        <v/>
      </c>
    </row>
    <row r="3147" spans="1:5">
      <c r="A3147" s="12"/>
      <c r="E3147" s="57" t="str">
        <f ca="1">IFERROR(__xludf.DUMMYFUNCTION("""COMPUTED_VALUE"""),"")</f>
        <v/>
      </c>
    </row>
    <row r="3148" spans="1:5">
      <c r="A3148" s="12" t="s">
        <v>12539</v>
      </c>
      <c r="E3148" s="57" t="str">
        <f ca="1">IFERROR(__xludf.DUMMYFUNCTION("""COMPUTED_VALUE"""),"")</f>
        <v/>
      </c>
    </row>
    <row r="3149" spans="1:5">
      <c r="A3149" s="59" t="s">
        <v>12540</v>
      </c>
      <c r="E3149" s="57" t="str">
        <f ca="1">IFERROR(__xludf.DUMMYFUNCTION("""COMPUTED_VALUE"""),"")</f>
        <v/>
      </c>
    </row>
    <row r="3150" spans="1:5">
      <c r="A3150" s="12"/>
      <c r="E3150" s="57" t="str">
        <f ca="1">IFERROR(__xludf.DUMMYFUNCTION("""COMPUTED_VALUE"""),"")</f>
        <v/>
      </c>
    </row>
    <row r="3151" spans="1:5">
      <c r="A3151" s="12" t="s">
        <v>12541</v>
      </c>
      <c r="E3151" s="57" t="str">
        <f ca="1">IFERROR(__xludf.DUMMYFUNCTION("""COMPUTED_VALUE"""),"")</f>
        <v/>
      </c>
    </row>
    <row r="3152" spans="1:5">
      <c r="A3152" s="59" t="s">
        <v>12542</v>
      </c>
      <c r="E3152" s="57" t="str">
        <f ca="1">IFERROR(__xludf.DUMMYFUNCTION("""COMPUTED_VALUE"""),"")</f>
        <v/>
      </c>
    </row>
    <row r="3153" spans="1:5">
      <c r="A3153" s="12"/>
      <c r="E3153" s="57" t="str">
        <f ca="1">IFERROR(__xludf.DUMMYFUNCTION("""COMPUTED_VALUE"""),"")</f>
        <v/>
      </c>
    </row>
    <row r="3154" spans="1:5">
      <c r="A3154" s="12" t="s">
        <v>12543</v>
      </c>
      <c r="E3154" s="57" t="str">
        <f ca="1">IFERROR(__xludf.DUMMYFUNCTION("""COMPUTED_VALUE"""),"")</f>
        <v/>
      </c>
    </row>
    <row r="3155" spans="1:5">
      <c r="A3155" s="59" t="s">
        <v>12544</v>
      </c>
      <c r="E3155" s="57" t="str">
        <f ca="1">IFERROR(__xludf.DUMMYFUNCTION("""COMPUTED_VALUE"""),"")</f>
        <v/>
      </c>
    </row>
    <row r="3156" spans="1:5">
      <c r="A3156" s="12"/>
      <c r="E3156" s="57" t="str">
        <f ca="1">IFERROR(__xludf.DUMMYFUNCTION("""COMPUTED_VALUE"""),"")</f>
        <v/>
      </c>
    </row>
    <row r="3157" spans="1:5">
      <c r="A3157" s="12" t="s">
        <v>12545</v>
      </c>
      <c r="E3157" s="57" t="str">
        <f ca="1">IFERROR(__xludf.DUMMYFUNCTION("""COMPUTED_VALUE"""),"")</f>
        <v/>
      </c>
    </row>
    <row r="3158" spans="1:5">
      <c r="A3158" s="59" t="s">
        <v>12546</v>
      </c>
      <c r="E3158" s="57" t="str">
        <f ca="1">IFERROR(__xludf.DUMMYFUNCTION("""COMPUTED_VALUE"""),"")</f>
        <v/>
      </c>
    </row>
    <row r="3159" spans="1:5">
      <c r="A3159" s="12"/>
      <c r="E3159" s="57" t="str">
        <f ca="1">IFERROR(__xludf.DUMMYFUNCTION("""COMPUTED_VALUE"""),"")</f>
        <v/>
      </c>
    </row>
    <row r="3160" spans="1:5">
      <c r="A3160" s="12" t="s">
        <v>12547</v>
      </c>
      <c r="E3160" s="57" t="str">
        <f ca="1">IFERROR(__xludf.DUMMYFUNCTION("""COMPUTED_VALUE"""),"")</f>
        <v/>
      </c>
    </row>
    <row r="3161" spans="1:5">
      <c r="A3161" s="59" t="s">
        <v>12548</v>
      </c>
      <c r="E3161" s="57" t="str">
        <f ca="1">IFERROR(__xludf.DUMMYFUNCTION("""COMPUTED_VALUE"""),"")</f>
        <v/>
      </c>
    </row>
    <row r="3162" spans="1:5">
      <c r="A3162" s="12"/>
      <c r="E3162" s="57" t="str">
        <f ca="1">IFERROR(__xludf.DUMMYFUNCTION("""COMPUTED_VALUE"""),"")</f>
        <v/>
      </c>
    </row>
    <row r="3163" spans="1:5">
      <c r="A3163" s="12" t="s">
        <v>12549</v>
      </c>
      <c r="E3163" s="57" t="str">
        <f ca="1">IFERROR(__xludf.DUMMYFUNCTION("""COMPUTED_VALUE"""),"")</f>
        <v/>
      </c>
    </row>
    <row r="3164" spans="1:5">
      <c r="A3164" s="59" t="s">
        <v>12550</v>
      </c>
      <c r="E3164" s="57" t="str">
        <f ca="1">IFERROR(__xludf.DUMMYFUNCTION("""COMPUTED_VALUE"""),"")</f>
        <v/>
      </c>
    </row>
    <row r="3165" spans="1:5">
      <c r="A3165" s="12"/>
      <c r="E3165" s="57" t="str">
        <f ca="1">IFERROR(__xludf.DUMMYFUNCTION("""COMPUTED_VALUE"""),"")</f>
        <v/>
      </c>
    </row>
    <row r="3166" spans="1:5">
      <c r="A3166" s="12" t="s">
        <v>12551</v>
      </c>
      <c r="E3166" s="57" t="str">
        <f ca="1">IFERROR(__xludf.DUMMYFUNCTION("""COMPUTED_VALUE"""),"")</f>
        <v/>
      </c>
    </row>
    <row r="3167" spans="1:5">
      <c r="A3167" s="59" t="s">
        <v>12552</v>
      </c>
      <c r="E3167" s="57" t="str">
        <f ca="1">IFERROR(__xludf.DUMMYFUNCTION("""COMPUTED_VALUE"""),"")</f>
        <v/>
      </c>
    </row>
    <row r="3168" spans="1:5">
      <c r="A3168" s="12"/>
      <c r="E3168" s="57" t="str">
        <f ca="1">IFERROR(__xludf.DUMMYFUNCTION("""COMPUTED_VALUE"""),"")</f>
        <v/>
      </c>
    </row>
    <row r="3169" spans="1:5">
      <c r="A3169" s="12" t="s">
        <v>12553</v>
      </c>
      <c r="E3169" s="57" t="str">
        <f ca="1">IFERROR(__xludf.DUMMYFUNCTION("""COMPUTED_VALUE"""),"")</f>
        <v/>
      </c>
    </row>
    <row r="3170" spans="1:5">
      <c r="A3170" s="59" t="s">
        <v>12554</v>
      </c>
      <c r="E3170" s="57" t="str">
        <f ca="1">IFERROR(__xludf.DUMMYFUNCTION("""COMPUTED_VALUE"""),"")</f>
        <v/>
      </c>
    </row>
    <row r="3171" spans="1:5">
      <c r="A3171" s="12"/>
      <c r="E3171" s="57" t="str">
        <f ca="1">IFERROR(__xludf.DUMMYFUNCTION("""COMPUTED_VALUE"""),"")</f>
        <v/>
      </c>
    </row>
    <row r="3172" spans="1:5">
      <c r="A3172" s="12" t="s">
        <v>12555</v>
      </c>
      <c r="E3172" s="57" t="str">
        <f ca="1">IFERROR(__xludf.DUMMYFUNCTION("""COMPUTED_VALUE"""),"")</f>
        <v/>
      </c>
    </row>
    <row r="3173" spans="1:5">
      <c r="A3173" s="59" t="s">
        <v>12556</v>
      </c>
      <c r="E3173" s="57" t="str">
        <f ca="1">IFERROR(__xludf.DUMMYFUNCTION("""COMPUTED_VALUE"""),"")</f>
        <v/>
      </c>
    </row>
    <row r="3174" spans="1:5">
      <c r="A3174" s="12"/>
      <c r="E3174" s="57" t="str">
        <f ca="1">IFERROR(__xludf.DUMMYFUNCTION("""COMPUTED_VALUE"""),"")</f>
        <v/>
      </c>
    </row>
    <row r="3175" spans="1:5">
      <c r="A3175" s="12" t="s">
        <v>12557</v>
      </c>
      <c r="E3175" s="57" t="str">
        <f ca="1">IFERROR(__xludf.DUMMYFUNCTION("""COMPUTED_VALUE"""),"")</f>
        <v/>
      </c>
    </row>
    <row r="3176" spans="1:5">
      <c r="A3176" s="59" t="s">
        <v>12558</v>
      </c>
      <c r="E3176" s="57" t="str">
        <f ca="1">IFERROR(__xludf.DUMMYFUNCTION("""COMPUTED_VALUE"""),"")</f>
        <v/>
      </c>
    </row>
    <row r="3177" spans="1:5">
      <c r="A3177" s="12"/>
      <c r="E3177" s="57" t="str">
        <f ca="1">IFERROR(__xludf.DUMMYFUNCTION("""COMPUTED_VALUE"""),"")</f>
        <v/>
      </c>
    </row>
    <row r="3178" spans="1:5">
      <c r="A3178" s="12" t="s">
        <v>12559</v>
      </c>
      <c r="E3178" s="57" t="str">
        <f ca="1">IFERROR(__xludf.DUMMYFUNCTION("""COMPUTED_VALUE"""),"")</f>
        <v/>
      </c>
    </row>
    <row r="3179" spans="1:5">
      <c r="A3179" s="59" t="s">
        <v>12560</v>
      </c>
      <c r="E3179" s="57" t="str">
        <f ca="1">IFERROR(__xludf.DUMMYFUNCTION("""COMPUTED_VALUE"""),"")</f>
        <v/>
      </c>
    </row>
    <row r="3180" spans="1:5">
      <c r="A3180" s="12"/>
      <c r="E3180" s="57" t="str">
        <f ca="1">IFERROR(__xludf.DUMMYFUNCTION("""COMPUTED_VALUE"""),"")</f>
        <v/>
      </c>
    </row>
    <row r="3181" spans="1:5">
      <c r="A3181" s="12" t="s">
        <v>12561</v>
      </c>
      <c r="E3181" s="57" t="str">
        <f ca="1">IFERROR(__xludf.DUMMYFUNCTION("""COMPUTED_VALUE"""),"")</f>
        <v/>
      </c>
    </row>
    <row r="3182" spans="1:5">
      <c r="A3182" s="59" t="s">
        <v>12562</v>
      </c>
      <c r="E3182" s="57" t="str">
        <f ca="1">IFERROR(__xludf.DUMMYFUNCTION("""COMPUTED_VALUE"""),"")</f>
        <v/>
      </c>
    </row>
    <row r="3183" spans="1:5">
      <c r="A3183" s="12"/>
      <c r="E3183" s="57" t="str">
        <f ca="1">IFERROR(__xludf.DUMMYFUNCTION("""COMPUTED_VALUE"""),"")</f>
        <v/>
      </c>
    </row>
    <row r="3184" spans="1:5">
      <c r="A3184" s="12" t="s">
        <v>12563</v>
      </c>
      <c r="E3184" s="57" t="str">
        <f ca="1">IFERROR(__xludf.DUMMYFUNCTION("""COMPUTED_VALUE"""),"")</f>
        <v/>
      </c>
    </row>
    <row r="3185" spans="1:5">
      <c r="A3185" s="59" t="s">
        <v>12564</v>
      </c>
      <c r="E3185" s="57" t="str">
        <f ca="1">IFERROR(__xludf.DUMMYFUNCTION("""COMPUTED_VALUE"""),"")</f>
        <v/>
      </c>
    </row>
    <row r="3186" spans="1:5">
      <c r="A3186" s="12"/>
      <c r="E3186" s="57" t="str">
        <f ca="1">IFERROR(__xludf.DUMMYFUNCTION("""COMPUTED_VALUE"""),"")</f>
        <v/>
      </c>
    </row>
    <row r="3187" spans="1:5">
      <c r="A3187" s="12" t="s">
        <v>12565</v>
      </c>
      <c r="E3187" s="57" t="str">
        <f ca="1">IFERROR(__xludf.DUMMYFUNCTION("""COMPUTED_VALUE"""),"")</f>
        <v/>
      </c>
    </row>
    <row r="3188" spans="1:5">
      <c r="A3188" s="59" t="s">
        <v>12566</v>
      </c>
      <c r="E3188" s="57" t="str">
        <f ca="1">IFERROR(__xludf.DUMMYFUNCTION("""COMPUTED_VALUE"""),"")</f>
        <v/>
      </c>
    </row>
    <row r="3189" spans="1:5">
      <c r="A3189" s="12"/>
      <c r="E3189" s="57" t="str">
        <f ca="1">IFERROR(__xludf.DUMMYFUNCTION("""COMPUTED_VALUE"""),"")</f>
        <v/>
      </c>
    </row>
    <row r="3190" spans="1:5">
      <c r="A3190" s="12" t="s">
        <v>12567</v>
      </c>
      <c r="E3190" s="57" t="str">
        <f ca="1">IFERROR(__xludf.DUMMYFUNCTION("""COMPUTED_VALUE"""),"")</f>
        <v/>
      </c>
    </row>
    <row r="3191" spans="1:5">
      <c r="A3191" s="59" t="s">
        <v>12568</v>
      </c>
      <c r="E3191" s="57" t="str">
        <f ca="1">IFERROR(__xludf.DUMMYFUNCTION("""COMPUTED_VALUE"""),"")</f>
        <v/>
      </c>
    </row>
    <row r="3192" spans="1:5">
      <c r="A3192" s="12"/>
      <c r="E3192" s="57" t="str">
        <f ca="1">IFERROR(__xludf.DUMMYFUNCTION("""COMPUTED_VALUE"""),"")</f>
        <v/>
      </c>
    </row>
    <row r="3193" spans="1:5">
      <c r="A3193" s="12" t="s">
        <v>12569</v>
      </c>
      <c r="E3193" s="57" t="str">
        <f ca="1">IFERROR(__xludf.DUMMYFUNCTION("""COMPUTED_VALUE"""),"")</f>
        <v/>
      </c>
    </row>
    <row r="3194" spans="1:5">
      <c r="A3194" s="59" t="s">
        <v>12570</v>
      </c>
      <c r="E3194" s="57" t="str">
        <f ca="1">IFERROR(__xludf.DUMMYFUNCTION("""COMPUTED_VALUE"""),"")</f>
        <v/>
      </c>
    </row>
    <row r="3195" spans="1:5">
      <c r="A3195" s="12"/>
      <c r="E3195" s="57" t="str">
        <f ca="1">IFERROR(__xludf.DUMMYFUNCTION("""COMPUTED_VALUE"""),"")</f>
        <v/>
      </c>
    </row>
    <row r="3196" spans="1:5">
      <c r="A3196" s="12" t="s">
        <v>12571</v>
      </c>
      <c r="E3196" s="57" t="str">
        <f ca="1">IFERROR(__xludf.DUMMYFUNCTION("""COMPUTED_VALUE"""),"")</f>
        <v/>
      </c>
    </row>
    <row r="3197" spans="1:5">
      <c r="A3197" s="59" t="s">
        <v>12572</v>
      </c>
      <c r="E3197" s="57" t="str">
        <f ca="1">IFERROR(__xludf.DUMMYFUNCTION("""COMPUTED_VALUE"""),"")</f>
        <v/>
      </c>
    </row>
    <row r="3198" spans="1:5">
      <c r="A3198" s="12"/>
      <c r="E3198" s="57" t="str">
        <f ca="1">IFERROR(__xludf.DUMMYFUNCTION("""COMPUTED_VALUE"""),"")</f>
        <v/>
      </c>
    </row>
    <row r="3199" spans="1:5">
      <c r="A3199" s="12" t="s">
        <v>12573</v>
      </c>
      <c r="E3199" s="57" t="str">
        <f ca="1">IFERROR(__xludf.DUMMYFUNCTION("""COMPUTED_VALUE"""),"")</f>
        <v/>
      </c>
    </row>
    <row r="3200" spans="1:5">
      <c r="A3200" s="59" t="s">
        <v>12574</v>
      </c>
      <c r="E3200" s="57" t="str">
        <f ca="1">IFERROR(__xludf.DUMMYFUNCTION("""COMPUTED_VALUE"""),"")</f>
        <v/>
      </c>
    </row>
    <row r="3201" spans="1:5">
      <c r="A3201" s="12"/>
      <c r="E3201" s="57" t="str">
        <f ca="1">IFERROR(__xludf.DUMMYFUNCTION("""COMPUTED_VALUE"""),"")</f>
        <v/>
      </c>
    </row>
    <row r="3202" spans="1:5">
      <c r="A3202" s="12" t="s">
        <v>12575</v>
      </c>
      <c r="E3202" s="57" t="str">
        <f ca="1">IFERROR(__xludf.DUMMYFUNCTION("""COMPUTED_VALUE"""),"")</f>
        <v/>
      </c>
    </row>
    <row r="3203" spans="1:5">
      <c r="A3203" s="59" t="s">
        <v>12576</v>
      </c>
      <c r="E3203" s="57" t="str">
        <f ca="1">IFERROR(__xludf.DUMMYFUNCTION("""COMPUTED_VALUE"""),"")</f>
        <v/>
      </c>
    </row>
    <row r="3204" spans="1:5">
      <c r="A3204" s="12"/>
      <c r="E3204" s="57" t="str">
        <f ca="1">IFERROR(__xludf.DUMMYFUNCTION("""COMPUTED_VALUE"""),"")</f>
        <v/>
      </c>
    </row>
    <row r="3205" spans="1:5">
      <c r="A3205" s="12" t="s">
        <v>12577</v>
      </c>
      <c r="E3205" s="57" t="str">
        <f ca="1">IFERROR(__xludf.DUMMYFUNCTION("""COMPUTED_VALUE"""),"")</f>
        <v/>
      </c>
    </row>
    <row r="3206" spans="1:5">
      <c r="A3206" s="59" t="s">
        <v>12578</v>
      </c>
      <c r="E3206" s="57" t="str">
        <f ca="1">IFERROR(__xludf.DUMMYFUNCTION("""COMPUTED_VALUE"""),"")</f>
        <v/>
      </c>
    </row>
    <row r="3207" spans="1:5">
      <c r="A3207" s="12"/>
      <c r="E3207" s="57" t="str">
        <f ca="1">IFERROR(__xludf.DUMMYFUNCTION("""COMPUTED_VALUE"""),"")</f>
        <v/>
      </c>
    </row>
    <row r="3208" spans="1:5">
      <c r="A3208" s="12" t="s">
        <v>12579</v>
      </c>
      <c r="E3208" s="57" t="str">
        <f ca="1">IFERROR(__xludf.DUMMYFUNCTION("""COMPUTED_VALUE"""),"")</f>
        <v/>
      </c>
    </row>
    <row r="3209" spans="1:5">
      <c r="A3209" s="59" t="s">
        <v>12580</v>
      </c>
      <c r="E3209" s="57" t="str">
        <f ca="1">IFERROR(__xludf.DUMMYFUNCTION("""COMPUTED_VALUE"""),"")</f>
        <v/>
      </c>
    </row>
    <row r="3210" spans="1:5">
      <c r="A3210" s="12"/>
      <c r="E3210" s="57" t="str">
        <f ca="1">IFERROR(__xludf.DUMMYFUNCTION("""COMPUTED_VALUE"""),"")</f>
        <v/>
      </c>
    </row>
    <row r="3211" spans="1:5">
      <c r="A3211" s="12" t="s">
        <v>12581</v>
      </c>
      <c r="E3211" s="57" t="str">
        <f ca="1">IFERROR(__xludf.DUMMYFUNCTION("""COMPUTED_VALUE"""),"")</f>
        <v/>
      </c>
    </row>
    <row r="3212" spans="1:5">
      <c r="A3212" s="59" t="s">
        <v>12582</v>
      </c>
      <c r="E3212" s="57" t="str">
        <f ca="1">IFERROR(__xludf.DUMMYFUNCTION("""COMPUTED_VALUE"""),"")</f>
        <v/>
      </c>
    </row>
    <row r="3213" spans="1:5">
      <c r="A3213" s="12"/>
      <c r="E3213" s="57" t="str">
        <f ca="1">IFERROR(__xludf.DUMMYFUNCTION("""COMPUTED_VALUE"""),"")</f>
        <v/>
      </c>
    </row>
    <row r="3214" spans="1:5">
      <c r="A3214" s="12" t="s">
        <v>12583</v>
      </c>
      <c r="E3214" s="57" t="str">
        <f ca="1">IFERROR(__xludf.DUMMYFUNCTION("""COMPUTED_VALUE"""),"")</f>
        <v/>
      </c>
    </row>
    <row r="3215" spans="1:5">
      <c r="A3215" s="59" t="s">
        <v>12584</v>
      </c>
      <c r="E3215" s="57" t="str">
        <f ca="1">IFERROR(__xludf.DUMMYFUNCTION("""COMPUTED_VALUE"""),"")</f>
        <v/>
      </c>
    </row>
    <row r="3216" spans="1:5">
      <c r="A3216" s="12"/>
      <c r="E3216" s="57" t="str">
        <f ca="1">IFERROR(__xludf.DUMMYFUNCTION("""COMPUTED_VALUE"""),"")</f>
        <v/>
      </c>
    </row>
    <row r="3217" spans="1:5">
      <c r="A3217" s="12" t="s">
        <v>12585</v>
      </c>
      <c r="E3217" s="57" t="str">
        <f ca="1">IFERROR(__xludf.DUMMYFUNCTION("""COMPUTED_VALUE"""),"")</f>
        <v/>
      </c>
    </row>
    <row r="3218" spans="1:5">
      <c r="A3218" s="59" t="s">
        <v>12586</v>
      </c>
      <c r="E3218" s="57" t="str">
        <f ca="1">IFERROR(__xludf.DUMMYFUNCTION("""COMPUTED_VALUE"""),"")</f>
        <v/>
      </c>
    </row>
    <row r="3219" spans="1:5">
      <c r="A3219" s="12"/>
      <c r="E3219" s="57" t="str">
        <f ca="1">IFERROR(__xludf.DUMMYFUNCTION("""COMPUTED_VALUE"""),"")</f>
        <v/>
      </c>
    </row>
    <row r="3220" spans="1:5">
      <c r="A3220" s="12" t="s">
        <v>12587</v>
      </c>
      <c r="E3220" s="57" t="str">
        <f ca="1">IFERROR(__xludf.DUMMYFUNCTION("""COMPUTED_VALUE"""),"")</f>
        <v/>
      </c>
    </row>
    <row r="3221" spans="1:5">
      <c r="A3221" s="59" t="s">
        <v>12588</v>
      </c>
      <c r="E3221" s="57" t="str">
        <f ca="1">IFERROR(__xludf.DUMMYFUNCTION("""COMPUTED_VALUE"""),"")</f>
        <v/>
      </c>
    </row>
    <row r="3222" spans="1:5">
      <c r="A3222" s="12"/>
      <c r="E3222" s="57" t="str">
        <f ca="1">IFERROR(__xludf.DUMMYFUNCTION("""COMPUTED_VALUE"""),"")</f>
        <v/>
      </c>
    </row>
    <row r="3223" spans="1:5">
      <c r="A3223" s="12" t="s">
        <v>12589</v>
      </c>
      <c r="E3223" s="57" t="str">
        <f ca="1">IFERROR(__xludf.DUMMYFUNCTION("""COMPUTED_VALUE"""),"")</f>
        <v/>
      </c>
    </row>
    <row r="3224" spans="1:5">
      <c r="A3224" s="59" t="s">
        <v>12590</v>
      </c>
      <c r="E3224" s="57" t="str">
        <f ca="1">IFERROR(__xludf.DUMMYFUNCTION("""COMPUTED_VALUE"""),"")</f>
        <v/>
      </c>
    </row>
    <row r="3225" spans="1:5">
      <c r="A3225" s="12"/>
      <c r="E3225" s="57" t="str">
        <f ca="1">IFERROR(__xludf.DUMMYFUNCTION("""COMPUTED_VALUE"""),"")</f>
        <v/>
      </c>
    </row>
    <row r="3226" spans="1:5">
      <c r="A3226" s="12" t="s">
        <v>12591</v>
      </c>
      <c r="E3226" s="57" t="str">
        <f ca="1">IFERROR(__xludf.DUMMYFUNCTION("""COMPUTED_VALUE"""),"")</f>
        <v/>
      </c>
    </row>
    <row r="3227" spans="1:5">
      <c r="A3227" s="59" t="s">
        <v>12592</v>
      </c>
      <c r="E3227" s="57" t="str">
        <f ca="1">IFERROR(__xludf.DUMMYFUNCTION("""COMPUTED_VALUE"""),"")</f>
        <v/>
      </c>
    </row>
    <row r="3228" spans="1:5">
      <c r="A3228" s="12"/>
      <c r="E3228" s="57" t="str">
        <f ca="1">IFERROR(__xludf.DUMMYFUNCTION("""COMPUTED_VALUE"""),"")</f>
        <v/>
      </c>
    </row>
    <row r="3229" spans="1:5">
      <c r="A3229" s="12" t="s">
        <v>12593</v>
      </c>
      <c r="E3229" s="57" t="str">
        <f ca="1">IFERROR(__xludf.DUMMYFUNCTION("""COMPUTED_VALUE"""),"")</f>
        <v/>
      </c>
    </row>
    <row r="3230" spans="1:5">
      <c r="A3230" s="59" t="s">
        <v>12594</v>
      </c>
      <c r="E3230" s="57" t="str">
        <f ca="1">IFERROR(__xludf.DUMMYFUNCTION("""COMPUTED_VALUE"""),"")</f>
        <v/>
      </c>
    </row>
    <row r="3231" spans="1:5">
      <c r="A3231" s="12"/>
      <c r="E3231" s="57" t="str">
        <f ca="1">IFERROR(__xludf.DUMMYFUNCTION("""COMPUTED_VALUE"""),"")</f>
        <v/>
      </c>
    </row>
    <row r="3232" spans="1:5">
      <c r="A3232" s="12" t="s">
        <v>12595</v>
      </c>
      <c r="E3232" s="57" t="str">
        <f ca="1">IFERROR(__xludf.DUMMYFUNCTION("""COMPUTED_VALUE"""),"")</f>
        <v/>
      </c>
    </row>
    <row r="3233" spans="1:5">
      <c r="A3233" s="59" t="s">
        <v>12596</v>
      </c>
      <c r="E3233" s="57" t="str">
        <f ca="1">IFERROR(__xludf.DUMMYFUNCTION("""COMPUTED_VALUE"""),"")</f>
        <v/>
      </c>
    </row>
    <row r="3234" spans="1:5">
      <c r="A3234" s="12"/>
      <c r="E3234" s="57" t="str">
        <f ca="1">IFERROR(__xludf.DUMMYFUNCTION("""COMPUTED_VALUE"""),"")</f>
        <v/>
      </c>
    </row>
    <row r="3235" spans="1:5">
      <c r="A3235" s="12" t="s">
        <v>12597</v>
      </c>
      <c r="E3235" s="57" t="str">
        <f ca="1">IFERROR(__xludf.DUMMYFUNCTION("""COMPUTED_VALUE"""),"")</f>
        <v/>
      </c>
    </row>
    <row r="3236" spans="1:5">
      <c r="A3236" s="59" t="s">
        <v>12598</v>
      </c>
      <c r="E3236" s="57" t="str">
        <f ca="1">IFERROR(__xludf.DUMMYFUNCTION("""COMPUTED_VALUE"""),"")</f>
        <v/>
      </c>
    </row>
    <row r="3237" spans="1:5">
      <c r="A3237" s="12"/>
      <c r="E3237" s="57" t="str">
        <f ca="1">IFERROR(__xludf.DUMMYFUNCTION("""COMPUTED_VALUE"""),"")</f>
        <v/>
      </c>
    </row>
    <row r="3238" spans="1:5">
      <c r="A3238" s="12" t="s">
        <v>12599</v>
      </c>
      <c r="E3238" s="57" t="str">
        <f ca="1">IFERROR(__xludf.DUMMYFUNCTION("""COMPUTED_VALUE"""),"")</f>
        <v/>
      </c>
    </row>
    <row r="3239" spans="1:5">
      <c r="A3239" s="59" t="s">
        <v>12600</v>
      </c>
      <c r="E3239" s="57" t="str">
        <f ca="1">IFERROR(__xludf.DUMMYFUNCTION("""COMPUTED_VALUE"""),"")</f>
        <v/>
      </c>
    </row>
    <row r="3240" spans="1:5">
      <c r="A3240" s="12"/>
      <c r="E3240" s="57" t="str">
        <f ca="1">IFERROR(__xludf.DUMMYFUNCTION("""COMPUTED_VALUE"""),"")</f>
        <v/>
      </c>
    </row>
    <row r="3241" spans="1:5">
      <c r="A3241" s="12" t="s">
        <v>12601</v>
      </c>
      <c r="E3241" s="57" t="str">
        <f ca="1">IFERROR(__xludf.DUMMYFUNCTION("""COMPUTED_VALUE"""),"")</f>
        <v/>
      </c>
    </row>
    <row r="3242" spans="1:5">
      <c r="A3242" s="59" t="s">
        <v>12602</v>
      </c>
      <c r="E3242" s="57" t="str">
        <f ca="1">IFERROR(__xludf.DUMMYFUNCTION("""COMPUTED_VALUE"""),"")</f>
        <v/>
      </c>
    </row>
    <row r="3243" spans="1:5">
      <c r="A3243" s="12"/>
      <c r="E3243" s="57" t="str">
        <f ca="1">IFERROR(__xludf.DUMMYFUNCTION("""COMPUTED_VALUE"""),"")</f>
        <v/>
      </c>
    </row>
    <row r="3244" spans="1:5">
      <c r="A3244" s="12" t="s">
        <v>12603</v>
      </c>
      <c r="E3244" s="57" t="str">
        <f ca="1">IFERROR(__xludf.DUMMYFUNCTION("""COMPUTED_VALUE"""),"")</f>
        <v/>
      </c>
    </row>
    <row r="3245" spans="1:5">
      <c r="A3245" s="59" t="s">
        <v>12604</v>
      </c>
      <c r="E3245" s="57" t="str">
        <f ca="1">IFERROR(__xludf.DUMMYFUNCTION("""COMPUTED_VALUE"""),"")</f>
        <v/>
      </c>
    </row>
    <row r="3246" spans="1:5">
      <c r="A3246" s="12"/>
      <c r="E3246" s="57" t="str">
        <f ca="1">IFERROR(__xludf.DUMMYFUNCTION("""COMPUTED_VALUE"""),"")</f>
        <v/>
      </c>
    </row>
    <row r="3247" spans="1:5">
      <c r="A3247" s="12" t="s">
        <v>12605</v>
      </c>
      <c r="E3247" s="57" t="str">
        <f ca="1">IFERROR(__xludf.DUMMYFUNCTION("""COMPUTED_VALUE"""),"")</f>
        <v/>
      </c>
    </row>
    <row r="3248" spans="1:5">
      <c r="A3248" s="59" t="s">
        <v>12606</v>
      </c>
      <c r="E3248" s="57" t="str">
        <f ca="1">IFERROR(__xludf.DUMMYFUNCTION("""COMPUTED_VALUE"""),"")</f>
        <v/>
      </c>
    </row>
    <row r="3249" spans="1:5">
      <c r="A3249" s="12"/>
      <c r="E3249" s="57" t="str">
        <f ca="1">IFERROR(__xludf.DUMMYFUNCTION("""COMPUTED_VALUE"""),"")</f>
        <v/>
      </c>
    </row>
    <row r="3250" spans="1:5">
      <c r="A3250" s="12" t="s">
        <v>12607</v>
      </c>
      <c r="E3250" s="57" t="str">
        <f ca="1">IFERROR(__xludf.DUMMYFUNCTION("""COMPUTED_VALUE"""),"")</f>
        <v/>
      </c>
    </row>
    <row r="3251" spans="1:5">
      <c r="A3251" s="59" t="s">
        <v>12608</v>
      </c>
      <c r="E3251" s="57" t="str">
        <f ca="1">IFERROR(__xludf.DUMMYFUNCTION("""COMPUTED_VALUE"""),"")</f>
        <v/>
      </c>
    </row>
    <row r="3252" spans="1:5">
      <c r="A3252" s="12"/>
      <c r="E3252" s="57" t="str">
        <f ca="1">IFERROR(__xludf.DUMMYFUNCTION("""COMPUTED_VALUE"""),"")</f>
        <v/>
      </c>
    </row>
    <row r="3253" spans="1:5">
      <c r="A3253" s="12" t="s">
        <v>12609</v>
      </c>
      <c r="E3253" s="57" t="str">
        <f ca="1">IFERROR(__xludf.DUMMYFUNCTION("""COMPUTED_VALUE"""),"")</f>
        <v/>
      </c>
    </row>
    <row r="3254" spans="1:5">
      <c r="A3254" s="59" t="s">
        <v>12610</v>
      </c>
      <c r="E3254" s="57" t="str">
        <f ca="1">IFERROR(__xludf.DUMMYFUNCTION("""COMPUTED_VALUE"""),"")</f>
        <v/>
      </c>
    </row>
    <row r="3255" spans="1:5">
      <c r="A3255" s="12"/>
      <c r="E3255" s="57" t="str">
        <f ca="1">IFERROR(__xludf.DUMMYFUNCTION("""COMPUTED_VALUE"""),"")</f>
        <v/>
      </c>
    </row>
    <row r="3256" spans="1:5">
      <c r="A3256" s="12" t="s">
        <v>12611</v>
      </c>
      <c r="E3256" s="57" t="str">
        <f ca="1">IFERROR(__xludf.DUMMYFUNCTION("""COMPUTED_VALUE"""),"")</f>
        <v/>
      </c>
    </row>
    <row r="3257" spans="1:5">
      <c r="A3257" s="59" t="s">
        <v>12612</v>
      </c>
      <c r="E3257" s="57" t="str">
        <f ca="1">IFERROR(__xludf.DUMMYFUNCTION("""COMPUTED_VALUE"""),"")</f>
        <v/>
      </c>
    </row>
    <row r="3258" spans="1:5">
      <c r="A3258" s="12"/>
      <c r="E3258" s="57" t="str">
        <f ca="1">IFERROR(__xludf.DUMMYFUNCTION("""COMPUTED_VALUE"""),"")</f>
        <v/>
      </c>
    </row>
    <row r="3259" spans="1:5">
      <c r="A3259" s="12" t="s">
        <v>12613</v>
      </c>
      <c r="E3259" s="57" t="str">
        <f ca="1">IFERROR(__xludf.DUMMYFUNCTION("""COMPUTED_VALUE"""),"")</f>
        <v/>
      </c>
    </row>
    <row r="3260" spans="1:5">
      <c r="A3260" s="59" t="s">
        <v>12614</v>
      </c>
      <c r="E3260" s="57" t="str">
        <f ca="1">IFERROR(__xludf.DUMMYFUNCTION("""COMPUTED_VALUE"""),"")</f>
        <v/>
      </c>
    </row>
    <row r="3261" spans="1:5">
      <c r="A3261" s="12"/>
      <c r="E3261" s="57" t="str">
        <f ca="1">IFERROR(__xludf.DUMMYFUNCTION("""COMPUTED_VALUE"""),"")</f>
        <v/>
      </c>
    </row>
    <row r="3262" spans="1:5">
      <c r="A3262" s="12" t="s">
        <v>12615</v>
      </c>
      <c r="E3262" s="57" t="str">
        <f ca="1">IFERROR(__xludf.DUMMYFUNCTION("""COMPUTED_VALUE"""),"")</f>
        <v/>
      </c>
    </row>
    <row r="3263" spans="1:5">
      <c r="A3263" s="59" t="s">
        <v>12616</v>
      </c>
      <c r="E3263" s="57" t="str">
        <f ca="1">IFERROR(__xludf.DUMMYFUNCTION("""COMPUTED_VALUE"""),"")</f>
        <v/>
      </c>
    </row>
    <row r="3264" spans="1:5">
      <c r="A3264" s="12"/>
      <c r="E3264" s="57" t="str">
        <f ca="1">IFERROR(__xludf.DUMMYFUNCTION("""COMPUTED_VALUE"""),"")</f>
        <v/>
      </c>
    </row>
    <row r="3265" spans="1:5">
      <c r="A3265" s="12" t="s">
        <v>12617</v>
      </c>
      <c r="E3265" s="57" t="str">
        <f ca="1">IFERROR(__xludf.DUMMYFUNCTION("""COMPUTED_VALUE"""),"")</f>
        <v/>
      </c>
    </row>
    <row r="3266" spans="1:5">
      <c r="A3266" s="59" t="s">
        <v>12618</v>
      </c>
      <c r="E3266" s="57" t="str">
        <f ca="1">IFERROR(__xludf.DUMMYFUNCTION("""COMPUTED_VALUE"""),"")</f>
        <v/>
      </c>
    </row>
    <row r="3267" spans="1:5">
      <c r="A3267" s="12"/>
      <c r="E3267" s="57" t="str">
        <f ca="1">IFERROR(__xludf.DUMMYFUNCTION("""COMPUTED_VALUE"""),"")</f>
        <v/>
      </c>
    </row>
    <row r="3268" spans="1:5">
      <c r="A3268" s="12" t="s">
        <v>12619</v>
      </c>
      <c r="E3268" s="57" t="str">
        <f ca="1">IFERROR(__xludf.DUMMYFUNCTION("""COMPUTED_VALUE"""),"")</f>
        <v/>
      </c>
    </row>
    <row r="3269" spans="1:5">
      <c r="A3269" s="59" t="s">
        <v>12620</v>
      </c>
      <c r="E3269" s="57" t="str">
        <f ca="1">IFERROR(__xludf.DUMMYFUNCTION("""COMPUTED_VALUE"""),"")</f>
        <v/>
      </c>
    </row>
    <row r="3270" spans="1:5">
      <c r="A3270" s="12"/>
      <c r="E3270" s="57" t="str">
        <f ca="1">IFERROR(__xludf.DUMMYFUNCTION("""COMPUTED_VALUE"""),"")</f>
        <v/>
      </c>
    </row>
    <row r="3271" spans="1:5">
      <c r="A3271" s="12" t="s">
        <v>12621</v>
      </c>
      <c r="E3271" s="57" t="str">
        <f ca="1">IFERROR(__xludf.DUMMYFUNCTION("""COMPUTED_VALUE"""),"")</f>
        <v/>
      </c>
    </row>
    <row r="3272" spans="1:5">
      <c r="A3272" s="59" t="s">
        <v>12622</v>
      </c>
      <c r="E3272" s="57" t="str">
        <f ca="1">IFERROR(__xludf.DUMMYFUNCTION("""COMPUTED_VALUE"""),"")</f>
        <v/>
      </c>
    </row>
    <row r="3273" spans="1:5">
      <c r="A3273" s="12"/>
      <c r="E3273" s="57" t="str">
        <f ca="1">IFERROR(__xludf.DUMMYFUNCTION("""COMPUTED_VALUE"""),"")</f>
        <v/>
      </c>
    </row>
    <row r="3274" spans="1:5">
      <c r="A3274" s="12" t="s">
        <v>12623</v>
      </c>
      <c r="E3274" s="57" t="str">
        <f ca="1">IFERROR(__xludf.DUMMYFUNCTION("""COMPUTED_VALUE"""),"")</f>
        <v/>
      </c>
    </row>
    <row r="3275" spans="1:5">
      <c r="A3275" s="59" t="s">
        <v>12624</v>
      </c>
      <c r="E3275" s="57" t="str">
        <f ca="1">IFERROR(__xludf.DUMMYFUNCTION("""COMPUTED_VALUE"""),"")</f>
        <v/>
      </c>
    </row>
    <row r="3276" spans="1:5">
      <c r="A3276" s="12"/>
      <c r="E3276" s="57" t="str">
        <f ca="1">IFERROR(__xludf.DUMMYFUNCTION("""COMPUTED_VALUE"""),"")</f>
        <v/>
      </c>
    </row>
    <row r="3277" spans="1:5">
      <c r="A3277" s="12" t="s">
        <v>12625</v>
      </c>
      <c r="E3277" s="57" t="str">
        <f ca="1">IFERROR(__xludf.DUMMYFUNCTION("""COMPUTED_VALUE"""),"")</f>
        <v/>
      </c>
    </row>
    <row r="3278" spans="1:5">
      <c r="A3278" s="59" t="s">
        <v>12626</v>
      </c>
      <c r="E3278" s="57" t="str">
        <f ca="1">IFERROR(__xludf.DUMMYFUNCTION("""COMPUTED_VALUE"""),"")</f>
        <v/>
      </c>
    </row>
    <row r="3279" spans="1:5">
      <c r="A3279" s="12"/>
      <c r="E3279" s="57" t="str">
        <f ca="1">IFERROR(__xludf.DUMMYFUNCTION("""COMPUTED_VALUE"""),"")</f>
        <v/>
      </c>
    </row>
    <row r="3280" spans="1:5">
      <c r="A3280" s="12" t="s">
        <v>12627</v>
      </c>
      <c r="E3280" s="57" t="str">
        <f ca="1">IFERROR(__xludf.DUMMYFUNCTION("""COMPUTED_VALUE"""),"")</f>
        <v/>
      </c>
    </row>
    <row r="3281" spans="1:5">
      <c r="A3281" s="59" t="s">
        <v>12628</v>
      </c>
      <c r="E3281" s="57" t="str">
        <f ca="1">IFERROR(__xludf.DUMMYFUNCTION("""COMPUTED_VALUE"""),"")</f>
        <v/>
      </c>
    </row>
    <row r="3282" spans="1:5">
      <c r="A3282" s="12"/>
      <c r="E3282" s="57" t="str">
        <f ca="1">IFERROR(__xludf.DUMMYFUNCTION("""COMPUTED_VALUE"""),"")</f>
        <v/>
      </c>
    </row>
    <row r="3283" spans="1:5">
      <c r="A3283" s="12" t="s">
        <v>12629</v>
      </c>
      <c r="E3283" s="57" t="str">
        <f ca="1">IFERROR(__xludf.DUMMYFUNCTION("""COMPUTED_VALUE"""),"")</f>
        <v/>
      </c>
    </row>
    <row r="3284" spans="1:5">
      <c r="A3284" s="59" t="s">
        <v>12630</v>
      </c>
      <c r="E3284" s="57" t="str">
        <f ca="1">IFERROR(__xludf.DUMMYFUNCTION("""COMPUTED_VALUE"""),"")</f>
        <v/>
      </c>
    </row>
    <row r="3285" spans="1:5">
      <c r="A3285" s="12"/>
      <c r="E3285" s="57" t="str">
        <f ca="1">IFERROR(__xludf.DUMMYFUNCTION("""COMPUTED_VALUE"""),"")</f>
        <v/>
      </c>
    </row>
    <row r="3286" spans="1:5">
      <c r="A3286" s="12" t="s">
        <v>12631</v>
      </c>
      <c r="E3286" s="57" t="str">
        <f ca="1">IFERROR(__xludf.DUMMYFUNCTION("""COMPUTED_VALUE"""),"")</f>
        <v/>
      </c>
    </row>
    <row r="3287" spans="1:5">
      <c r="A3287" s="59" t="s">
        <v>12632</v>
      </c>
      <c r="E3287" s="57" t="str">
        <f ca="1">IFERROR(__xludf.DUMMYFUNCTION("""COMPUTED_VALUE"""),"")</f>
        <v/>
      </c>
    </row>
    <row r="3288" spans="1:5">
      <c r="A3288" s="12"/>
      <c r="E3288" s="57" t="str">
        <f ca="1">IFERROR(__xludf.DUMMYFUNCTION("""COMPUTED_VALUE"""),"")</f>
        <v/>
      </c>
    </row>
    <row r="3289" spans="1:5">
      <c r="A3289" s="12" t="s">
        <v>12633</v>
      </c>
      <c r="E3289" s="57" t="str">
        <f ca="1">IFERROR(__xludf.DUMMYFUNCTION("""COMPUTED_VALUE"""),"")</f>
        <v/>
      </c>
    </row>
    <row r="3290" spans="1:5">
      <c r="A3290" s="59" t="s">
        <v>12634</v>
      </c>
      <c r="E3290" s="57" t="str">
        <f ca="1">IFERROR(__xludf.DUMMYFUNCTION("""COMPUTED_VALUE"""),"")</f>
        <v/>
      </c>
    </row>
    <row r="3291" spans="1:5">
      <c r="A3291" s="12"/>
      <c r="E3291" s="57" t="str">
        <f ca="1">IFERROR(__xludf.DUMMYFUNCTION("""COMPUTED_VALUE"""),"")</f>
        <v/>
      </c>
    </row>
    <row r="3292" spans="1:5">
      <c r="A3292" s="12" t="s">
        <v>12635</v>
      </c>
      <c r="E3292" s="57" t="str">
        <f ca="1">IFERROR(__xludf.DUMMYFUNCTION("""COMPUTED_VALUE"""),"")</f>
        <v/>
      </c>
    </row>
    <row r="3293" spans="1:5">
      <c r="A3293" s="59" t="s">
        <v>12636</v>
      </c>
      <c r="E3293" s="57" t="str">
        <f ca="1">IFERROR(__xludf.DUMMYFUNCTION("""COMPUTED_VALUE"""),"")</f>
        <v/>
      </c>
    </row>
    <row r="3294" spans="1:5">
      <c r="A3294" s="12"/>
      <c r="E3294" s="57" t="str">
        <f ca="1">IFERROR(__xludf.DUMMYFUNCTION("""COMPUTED_VALUE"""),"")</f>
        <v/>
      </c>
    </row>
    <row r="3295" spans="1:5">
      <c r="A3295" s="12" t="s">
        <v>12637</v>
      </c>
      <c r="E3295" s="57" t="str">
        <f ca="1">IFERROR(__xludf.DUMMYFUNCTION("""COMPUTED_VALUE"""),"")</f>
        <v/>
      </c>
    </row>
    <row r="3296" spans="1:5">
      <c r="A3296" s="59" t="s">
        <v>12638</v>
      </c>
      <c r="E3296" s="57" t="str">
        <f ca="1">IFERROR(__xludf.DUMMYFUNCTION("""COMPUTED_VALUE"""),"")</f>
        <v/>
      </c>
    </row>
    <row r="3297" spans="1:5">
      <c r="A3297" s="12"/>
      <c r="E3297" s="57" t="str">
        <f ca="1">IFERROR(__xludf.DUMMYFUNCTION("""COMPUTED_VALUE"""),"")</f>
        <v/>
      </c>
    </row>
    <row r="3298" spans="1:5">
      <c r="A3298" s="12" t="s">
        <v>12639</v>
      </c>
      <c r="E3298" s="57" t="str">
        <f ca="1">IFERROR(__xludf.DUMMYFUNCTION("""COMPUTED_VALUE"""),"")</f>
        <v/>
      </c>
    </row>
    <row r="3299" spans="1:5">
      <c r="A3299" s="59" t="s">
        <v>12640</v>
      </c>
      <c r="E3299" s="57" t="str">
        <f ca="1">IFERROR(__xludf.DUMMYFUNCTION("""COMPUTED_VALUE"""),"")</f>
        <v/>
      </c>
    </row>
    <row r="3300" spans="1:5">
      <c r="A3300" s="12"/>
      <c r="E3300" s="57" t="str">
        <f ca="1">IFERROR(__xludf.DUMMYFUNCTION("""COMPUTED_VALUE"""),"")</f>
        <v/>
      </c>
    </row>
    <row r="3301" spans="1:5">
      <c r="A3301" s="12" t="s">
        <v>12641</v>
      </c>
      <c r="E3301" s="57" t="str">
        <f ca="1">IFERROR(__xludf.DUMMYFUNCTION("""COMPUTED_VALUE"""),"")</f>
        <v/>
      </c>
    </row>
    <row r="3302" spans="1:5">
      <c r="A3302" s="59" t="s">
        <v>12642</v>
      </c>
      <c r="E3302" s="57" t="str">
        <f ca="1">IFERROR(__xludf.DUMMYFUNCTION("""COMPUTED_VALUE"""),"")</f>
        <v/>
      </c>
    </row>
    <row r="3303" spans="1:5">
      <c r="A3303" s="12"/>
      <c r="E3303" s="57" t="str">
        <f ca="1">IFERROR(__xludf.DUMMYFUNCTION("""COMPUTED_VALUE"""),"")</f>
        <v/>
      </c>
    </row>
    <row r="3304" spans="1:5">
      <c r="A3304" s="12" t="s">
        <v>12643</v>
      </c>
      <c r="E3304" s="57" t="str">
        <f ca="1">IFERROR(__xludf.DUMMYFUNCTION("""COMPUTED_VALUE"""),"")</f>
        <v/>
      </c>
    </row>
    <row r="3305" spans="1:5">
      <c r="A3305" s="59" t="s">
        <v>12644</v>
      </c>
      <c r="E3305" s="57" t="str">
        <f ca="1">IFERROR(__xludf.DUMMYFUNCTION("""COMPUTED_VALUE"""),"")</f>
        <v/>
      </c>
    </row>
    <row r="3306" spans="1:5">
      <c r="A3306" s="12"/>
      <c r="E3306" s="57" t="str">
        <f ca="1">IFERROR(__xludf.DUMMYFUNCTION("""COMPUTED_VALUE"""),"")</f>
        <v/>
      </c>
    </row>
    <row r="3307" spans="1:5">
      <c r="A3307" s="12" t="s">
        <v>12645</v>
      </c>
      <c r="E3307" s="57" t="str">
        <f ca="1">IFERROR(__xludf.DUMMYFUNCTION("""COMPUTED_VALUE"""),"")</f>
        <v/>
      </c>
    </row>
    <row r="3308" spans="1:5">
      <c r="A3308" s="59" t="s">
        <v>12646</v>
      </c>
      <c r="E3308" s="57" t="str">
        <f ca="1">IFERROR(__xludf.DUMMYFUNCTION("""COMPUTED_VALUE"""),"")</f>
        <v/>
      </c>
    </row>
    <row r="3309" spans="1:5">
      <c r="A3309" s="12"/>
      <c r="E3309" s="57" t="str">
        <f ca="1">IFERROR(__xludf.DUMMYFUNCTION("""COMPUTED_VALUE"""),"")</f>
        <v/>
      </c>
    </row>
    <row r="3310" spans="1:5">
      <c r="A3310" s="12" t="s">
        <v>12647</v>
      </c>
      <c r="E3310" s="57" t="str">
        <f ca="1">IFERROR(__xludf.DUMMYFUNCTION("""COMPUTED_VALUE"""),"")</f>
        <v/>
      </c>
    </row>
    <row r="3311" spans="1:5">
      <c r="A3311" s="59" t="s">
        <v>12648</v>
      </c>
      <c r="E3311" s="57" t="str">
        <f ca="1">IFERROR(__xludf.DUMMYFUNCTION("""COMPUTED_VALUE"""),"")</f>
        <v/>
      </c>
    </row>
    <row r="3312" spans="1:5">
      <c r="A3312" s="12"/>
      <c r="E3312" s="57" t="str">
        <f ca="1">IFERROR(__xludf.DUMMYFUNCTION("""COMPUTED_VALUE"""),"")</f>
        <v/>
      </c>
    </row>
    <row r="3313" spans="1:5">
      <c r="A3313" s="12" t="s">
        <v>12649</v>
      </c>
      <c r="E3313" s="57" t="str">
        <f ca="1">IFERROR(__xludf.DUMMYFUNCTION("""COMPUTED_VALUE"""),"")</f>
        <v/>
      </c>
    </row>
    <row r="3314" spans="1:5">
      <c r="A3314" s="59" t="s">
        <v>12650</v>
      </c>
      <c r="E3314" s="57" t="str">
        <f ca="1">IFERROR(__xludf.DUMMYFUNCTION("""COMPUTED_VALUE"""),"")</f>
        <v/>
      </c>
    </row>
    <row r="3315" spans="1:5">
      <c r="A3315" s="12"/>
      <c r="E3315" s="57" t="str">
        <f ca="1">IFERROR(__xludf.DUMMYFUNCTION("""COMPUTED_VALUE"""),"")</f>
        <v/>
      </c>
    </row>
    <row r="3316" spans="1:5">
      <c r="A3316" s="12" t="s">
        <v>12651</v>
      </c>
      <c r="E3316" s="57" t="str">
        <f ca="1">IFERROR(__xludf.DUMMYFUNCTION("""COMPUTED_VALUE"""),"")</f>
        <v/>
      </c>
    </row>
    <row r="3317" spans="1:5">
      <c r="A3317" s="59" t="s">
        <v>12652</v>
      </c>
      <c r="E3317" s="57" t="str">
        <f ca="1">IFERROR(__xludf.DUMMYFUNCTION("""COMPUTED_VALUE"""),"")</f>
        <v/>
      </c>
    </row>
    <row r="3318" spans="1:5">
      <c r="A3318" s="12"/>
      <c r="E3318" s="57" t="str">
        <f ca="1">IFERROR(__xludf.DUMMYFUNCTION("""COMPUTED_VALUE"""),"")</f>
        <v/>
      </c>
    </row>
    <row r="3319" spans="1:5">
      <c r="A3319" s="12" t="s">
        <v>12653</v>
      </c>
      <c r="E3319" s="57" t="str">
        <f ca="1">IFERROR(__xludf.DUMMYFUNCTION("""COMPUTED_VALUE"""),"")</f>
        <v/>
      </c>
    </row>
    <row r="3320" spans="1:5">
      <c r="A3320" s="59" t="s">
        <v>12654</v>
      </c>
      <c r="E3320" s="57" t="str">
        <f ca="1">IFERROR(__xludf.DUMMYFUNCTION("""COMPUTED_VALUE"""),"")</f>
        <v/>
      </c>
    </row>
    <row r="3321" spans="1:5">
      <c r="A3321" s="12"/>
      <c r="E3321" s="57" t="str">
        <f ca="1">IFERROR(__xludf.DUMMYFUNCTION("""COMPUTED_VALUE"""),"")</f>
        <v/>
      </c>
    </row>
    <row r="3322" spans="1:5">
      <c r="A3322" s="12" t="s">
        <v>12655</v>
      </c>
      <c r="E3322" s="57" t="str">
        <f ca="1">IFERROR(__xludf.DUMMYFUNCTION("""COMPUTED_VALUE"""),"")</f>
        <v/>
      </c>
    </row>
    <row r="3323" spans="1:5">
      <c r="A3323" s="59" t="s">
        <v>12656</v>
      </c>
      <c r="E3323" s="57" t="str">
        <f ca="1">IFERROR(__xludf.DUMMYFUNCTION("""COMPUTED_VALUE"""),"")</f>
        <v/>
      </c>
    </row>
    <row r="3324" spans="1:5">
      <c r="A3324" s="12"/>
      <c r="E3324" s="57" t="str">
        <f ca="1">IFERROR(__xludf.DUMMYFUNCTION("""COMPUTED_VALUE"""),"")</f>
        <v/>
      </c>
    </row>
    <row r="3325" spans="1:5">
      <c r="A3325" s="12" t="s">
        <v>12657</v>
      </c>
      <c r="E3325" s="57" t="str">
        <f ca="1">IFERROR(__xludf.DUMMYFUNCTION("""COMPUTED_VALUE"""),"")</f>
        <v/>
      </c>
    </row>
    <row r="3326" spans="1:5">
      <c r="A3326" s="59" t="s">
        <v>12658</v>
      </c>
      <c r="E3326" s="57" t="str">
        <f ca="1">IFERROR(__xludf.DUMMYFUNCTION("""COMPUTED_VALUE"""),"")</f>
        <v/>
      </c>
    </row>
    <row r="3327" spans="1:5">
      <c r="A3327" s="12"/>
      <c r="E3327" s="57" t="str">
        <f ca="1">IFERROR(__xludf.DUMMYFUNCTION("""COMPUTED_VALUE"""),"")</f>
        <v/>
      </c>
    </row>
    <row r="3328" spans="1:5">
      <c r="A3328" s="12" t="s">
        <v>12659</v>
      </c>
      <c r="E3328" s="57" t="str">
        <f ca="1">IFERROR(__xludf.DUMMYFUNCTION("""COMPUTED_VALUE"""),"")</f>
        <v/>
      </c>
    </row>
    <row r="3329" spans="1:5">
      <c r="A3329" s="59" t="s">
        <v>12660</v>
      </c>
      <c r="E3329" s="57" t="str">
        <f ca="1">IFERROR(__xludf.DUMMYFUNCTION("""COMPUTED_VALUE"""),"")</f>
        <v/>
      </c>
    </row>
    <row r="3330" spans="1:5">
      <c r="A3330" s="12"/>
      <c r="E3330" s="57" t="str">
        <f ca="1">IFERROR(__xludf.DUMMYFUNCTION("""COMPUTED_VALUE"""),"")</f>
        <v/>
      </c>
    </row>
    <row r="3331" spans="1:5">
      <c r="A3331" s="12" t="s">
        <v>12661</v>
      </c>
      <c r="E3331" s="57" t="str">
        <f ca="1">IFERROR(__xludf.DUMMYFUNCTION("""COMPUTED_VALUE"""),"")</f>
        <v/>
      </c>
    </row>
    <row r="3332" spans="1:5">
      <c r="A3332" s="59" t="s">
        <v>12662</v>
      </c>
      <c r="E3332" s="57" t="str">
        <f ca="1">IFERROR(__xludf.DUMMYFUNCTION("""COMPUTED_VALUE"""),"")</f>
        <v/>
      </c>
    </row>
    <row r="3333" spans="1:5">
      <c r="A3333" s="12"/>
      <c r="E3333" s="57" t="str">
        <f ca="1">IFERROR(__xludf.DUMMYFUNCTION("""COMPUTED_VALUE"""),"")</f>
        <v/>
      </c>
    </row>
    <row r="3334" spans="1:5">
      <c r="A3334" s="12" t="s">
        <v>12663</v>
      </c>
      <c r="E3334" s="57" t="str">
        <f ca="1">IFERROR(__xludf.DUMMYFUNCTION("""COMPUTED_VALUE"""),"")</f>
        <v/>
      </c>
    </row>
    <row r="3335" spans="1:5">
      <c r="A3335" s="59" t="s">
        <v>12664</v>
      </c>
      <c r="E3335" s="57" t="str">
        <f ca="1">IFERROR(__xludf.DUMMYFUNCTION("""COMPUTED_VALUE"""),"")</f>
        <v/>
      </c>
    </row>
    <row r="3336" spans="1:5">
      <c r="A3336" s="12"/>
      <c r="E3336" s="57" t="str">
        <f ca="1">IFERROR(__xludf.DUMMYFUNCTION("""COMPUTED_VALUE"""),"")</f>
        <v/>
      </c>
    </row>
    <row r="3337" spans="1:5">
      <c r="A3337" s="12" t="s">
        <v>12665</v>
      </c>
      <c r="E3337" s="57" t="str">
        <f ca="1">IFERROR(__xludf.DUMMYFUNCTION("""COMPUTED_VALUE"""),"")</f>
        <v/>
      </c>
    </row>
    <row r="3338" spans="1:5">
      <c r="A3338" s="59" t="s">
        <v>12666</v>
      </c>
      <c r="E3338" s="57" t="str">
        <f ca="1">IFERROR(__xludf.DUMMYFUNCTION("""COMPUTED_VALUE"""),"")</f>
        <v/>
      </c>
    </row>
    <row r="3339" spans="1:5">
      <c r="A3339" s="12"/>
      <c r="E3339" s="57" t="str">
        <f ca="1">IFERROR(__xludf.DUMMYFUNCTION("""COMPUTED_VALUE"""),"")</f>
        <v/>
      </c>
    </row>
    <row r="3340" spans="1:5">
      <c r="A3340" s="12" t="s">
        <v>12667</v>
      </c>
      <c r="E3340" s="57" t="str">
        <f ca="1">IFERROR(__xludf.DUMMYFUNCTION("""COMPUTED_VALUE"""),"")</f>
        <v/>
      </c>
    </row>
    <row r="3341" spans="1:5">
      <c r="A3341" s="59" t="s">
        <v>12668</v>
      </c>
      <c r="E3341" s="57" t="str">
        <f ca="1">IFERROR(__xludf.DUMMYFUNCTION("""COMPUTED_VALUE"""),"")</f>
        <v/>
      </c>
    </row>
    <row r="3342" spans="1:5">
      <c r="A3342" s="12"/>
      <c r="E3342" s="57" t="str">
        <f ca="1">IFERROR(__xludf.DUMMYFUNCTION("""COMPUTED_VALUE"""),"")</f>
        <v/>
      </c>
    </row>
    <row r="3343" spans="1:5">
      <c r="A3343" s="12" t="s">
        <v>12669</v>
      </c>
      <c r="E3343" s="57" t="str">
        <f ca="1">IFERROR(__xludf.DUMMYFUNCTION("""COMPUTED_VALUE"""),"")</f>
        <v/>
      </c>
    </row>
    <row r="3344" spans="1:5">
      <c r="A3344" s="59" t="s">
        <v>12670</v>
      </c>
      <c r="E3344" s="57" t="str">
        <f ca="1">IFERROR(__xludf.DUMMYFUNCTION("""COMPUTED_VALUE"""),"")</f>
        <v/>
      </c>
    </row>
    <row r="3345" spans="1:5">
      <c r="A3345" s="12"/>
      <c r="E3345" s="57" t="str">
        <f ca="1">IFERROR(__xludf.DUMMYFUNCTION("""COMPUTED_VALUE"""),"")</f>
        <v/>
      </c>
    </row>
    <row r="3346" spans="1:5">
      <c r="A3346" s="12" t="s">
        <v>12671</v>
      </c>
      <c r="E3346" s="57" t="str">
        <f ca="1">IFERROR(__xludf.DUMMYFUNCTION("""COMPUTED_VALUE"""),"")</f>
        <v/>
      </c>
    </row>
    <row r="3347" spans="1:5">
      <c r="A3347" s="59" t="s">
        <v>12672</v>
      </c>
      <c r="E3347" s="57" t="str">
        <f ca="1">IFERROR(__xludf.DUMMYFUNCTION("""COMPUTED_VALUE"""),"")</f>
        <v/>
      </c>
    </row>
    <row r="3348" spans="1:5">
      <c r="A3348" s="12"/>
      <c r="E3348" s="57" t="str">
        <f ca="1">IFERROR(__xludf.DUMMYFUNCTION("""COMPUTED_VALUE"""),"")</f>
        <v/>
      </c>
    </row>
    <row r="3349" spans="1:5">
      <c r="A3349" s="12" t="s">
        <v>12673</v>
      </c>
      <c r="E3349" s="57" t="str">
        <f ca="1">IFERROR(__xludf.DUMMYFUNCTION("""COMPUTED_VALUE"""),"")</f>
        <v/>
      </c>
    </row>
    <row r="3350" spans="1:5">
      <c r="A3350" s="59" t="s">
        <v>12674</v>
      </c>
      <c r="E3350" s="57" t="str">
        <f ca="1">IFERROR(__xludf.DUMMYFUNCTION("""COMPUTED_VALUE"""),"")</f>
        <v/>
      </c>
    </row>
    <row r="3351" spans="1:5">
      <c r="A3351" s="12"/>
      <c r="E3351" s="57" t="str">
        <f ca="1">IFERROR(__xludf.DUMMYFUNCTION("""COMPUTED_VALUE"""),"")</f>
        <v/>
      </c>
    </row>
    <row r="3352" spans="1:5">
      <c r="A3352" s="12" t="s">
        <v>12675</v>
      </c>
      <c r="E3352" s="57" t="str">
        <f ca="1">IFERROR(__xludf.DUMMYFUNCTION("""COMPUTED_VALUE"""),"")</f>
        <v/>
      </c>
    </row>
    <row r="3353" spans="1:5">
      <c r="A3353" s="59" t="s">
        <v>12676</v>
      </c>
      <c r="E3353" s="57" t="str">
        <f ca="1">IFERROR(__xludf.DUMMYFUNCTION("""COMPUTED_VALUE"""),"")</f>
        <v/>
      </c>
    </row>
    <row r="3354" spans="1:5">
      <c r="A3354" s="12"/>
      <c r="E3354" s="57" t="str">
        <f ca="1">IFERROR(__xludf.DUMMYFUNCTION("""COMPUTED_VALUE"""),"")</f>
        <v/>
      </c>
    </row>
    <row r="3355" spans="1:5">
      <c r="A3355" s="12" t="s">
        <v>12677</v>
      </c>
      <c r="E3355" s="57" t="str">
        <f ca="1">IFERROR(__xludf.DUMMYFUNCTION("""COMPUTED_VALUE"""),"")</f>
        <v/>
      </c>
    </row>
    <row r="3356" spans="1:5">
      <c r="A3356" s="59" t="s">
        <v>12678</v>
      </c>
      <c r="E3356" s="57" t="str">
        <f ca="1">IFERROR(__xludf.DUMMYFUNCTION("""COMPUTED_VALUE"""),"")</f>
        <v/>
      </c>
    </row>
    <row r="3357" spans="1:5">
      <c r="A3357" s="12"/>
      <c r="E3357" s="57" t="str">
        <f ca="1">IFERROR(__xludf.DUMMYFUNCTION("""COMPUTED_VALUE"""),"")</f>
        <v/>
      </c>
    </row>
    <row r="3358" spans="1:5">
      <c r="A3358" s="12" t="s">
        <v>12679</v>
      </c>
      <c r="E3358" s="57" t="str">
        <f ca="1">IFERROR(__xludf.DUMMYFUNCTION("""COMPUTED_VALUE"""),"")</f>
        <v/>
      </c>
    </row>
    <row r="3359" spans="1:5">
      <c r="A3359" s="59" t="s">
        <v>12680</v>
      </c>
      <c r="E3359" s="57" t="str">
        <f ca="1">IFERROR(__xludf.DUMMYFUNCTION("""COMPUTED_VALUE"""),"")</f>
        <v/>
      </c>
    </row>
    <row r="3360" spans="1:5">
      <c r="A3360" s="12"/>
      <c r="E3360" s="57" t="str">
        <f ca="1">IFERROR(__xludf.DUMMYFUNCTION("""COMPUTED_VALUE"""),"")</f>
        <v/>
      </c>
    </row>
    <row r="3361" spans="1:5">
      <c r="A3361" s="12" t="s">
        <v>12681</v>
      </c>
      <c r="E3361" s="57" t="str">
        <f ca="1">IFERROR(__xludf.DUMMYFUNCTION("""COMPUTED_VALUE"""),"")</f>
        <v/>
      </c>
    </row>
    <row r="3362" spans="1:5">
      <c r="A3362" s="59" t="s">
        <v>12682</v>
      </c>
      <c r="E3362" s="57" t="str">
        <f ca="1">IFERROR(__xludf.DUMMYFUNCTION("""COMPUTED_VALUE"""),"")</f>
        <v/>
      </c>
    </row>
    <row r="3363" spans="1:5">
      <c r="A3363" s="12"/>
      <c r="E3363" s="57" t="str">
        <f ca="1">IFERROR(__xludf.DUMMYFUNCTION("""COMPUTED_VALUE"""),"")</f>
        <v/>
      </c>
    </row>
    <row r="3364" spans="1:5">
      <c r="A3364" s="12" t="s">
        <v>12683</v>
      </c>
      <c r="E3364" s="57" t="str">
        <f ca="1">IFERROR(__xludf.DUMMYFUNCTION("""COMPUTED_VALUE"""),"")</f>
        <v/>
      </c>
    </row>
    <row r="3365" spans="1:5">
      <c r="A3365" s="59" t="s">
        <v>12684</v>
      </c>
      <c r="E3365" s="57" t="str">
        <f ca="1">IFERROR(__xludf.DUMMYFUNCTION("""COMPUTED_VALUE"""),"")</f>
        <v/>
      </c>
    </row>
    <row r="3366" spans="1:5">
      <c r="A3366" s="12"/>
      <c r="E3366" s="57" t="str">
        <f ca="1">IFERROR(__xludf.DUMMYFUNCTION("""COMPUTED_VALUE"""),"")</f>
        <v/>
      </c>
    </row>
    <row r="3367" spans="1:5">
      <c r="A3367" s="12" t="s">
        <v>12685</v>
      </c>
      <c r="E3367" s="57" t="str">
        <f ca="1">IFERROR(__xludf.DUMMYFUNCTION("""COMPUTED_VALUE"""),"")</f>
        <v/>
      </c>
    </row>
    <row r="3368" spans="1:5">
      <c r="A3368" s="59" t="s">
        <v>12686</v>
      </c>
      <c r="E3368" s="57" t="str">
        <f ca="1">IFERROR(__xludf.DUMMYFUNCTION("""COMPUTED_VALUE"""),"")</f>
        <v/>
      </c>
    </row>
    <row r="3369" spans="1:5">
      <c r="A3369" s="12"/>
      <c r="E3369" s="57" t="str">
        <f ca="1">IFERROR(__xludf.DUMMYFUNCTION("""COMPUTED_VALUE"""),"")</f>
        <v/>
      </c>
    </row>
    <row r="3370" spans="1:5">
      <c r="A3370" s="12" t="s">
        <v>12687</v>
      </c>
      <c r="E3370" s="57" t="str">
        <f ca="1">IFERROR(__xludf.DUMMYFUNCTION("""COMPUTED_VALUE"""),"")</f>
        <v/>
      </c>
    </row>
    <row r="3371" spans="1:5">
      <c r="A3371" s="59" t="s">
        <v>12688</v>
      </c>
      <c r="E3371" s="57" t="str">
        <f ca="1">IFERROR(__xludf.DUMMYFUNCTION("""COMPUTED_VALUE"""),"")</f>
        <v/>
      </c>
    </row>
    <row r="3372" spans="1:5">
      <c r="A3372" s="12"/>
      <c r="E3372" s="57" t="str">
        <f ca="1">IFERROR(__xludf.DUMMYFUNCTION("""COMPUTED_VALUE"""),"")</f>
        <v/>
      </c>
    </row>
    <row r="3373" spans="1:5">
      <c r="A3373" s="12" t="s">
        <v>12689</v>
      </c>
      <c r="E3373" s="57" t="str">
        <f ca="1">IFERROR(__xludf.DUMMYFUNCTION("""COMPUTED_VALUE"""),"")</f>
        <v/>
      </c>
    </row>
    <row r="3374" spans="1:5">
      <c r="A3374" s="59" t="s">
        <v>12690</v>
      </c>
      <c r="E3374" s="57" t="str">
        <f ca="1">IFERROR(__xludf.DUMMYFUNCTION("""COMPUTED_VALUE"""),"")</f>
        <v/>
      </c>
    </row>
    <row r="3375" spans="1:5">
      <c r="A3375" s="12"/>
      <c r="E3375" s="57" t="str">
        <f ca="1">IFERROR(__xludf.DUMMYFUNCTION("""COMPUTED_VALUE"""),"")</f>
        <v/>
      </c>
    </row>
    <row r="3376" spans="1:5">
      <c r="A3376" s="12" t="s">
        <v>12691</v>
      </c>
      <c r="E3376" s="57" t="str">
        <f ca="1">IFERROR(__xludf.DUMMYFUNCTION("""COMPUTED_VALUE"""),"")</f>
        <v/>
      </c>
    </row>
    <row r="3377" spans="1:5">
      <c r="A3377" s="59" t="s">
        <v>12692</v>
      </c>
      <c r="E3377" s="57" t="str">
        <f ca="1">IFERROR(__xludf.DUMMYFUNCTION("""COMPUTED_VALUE"""),"")</f>
        <v/>
      </c>
    </row>
    <row r="3378" spans="1:5">
      <c r="A3378" s="12"/>
      <c r="E3378" s="57" t="str">
        <f ca="1">IFERROR(__xludf.DUMMYFUNCTION("""COMPUTED_VALUE"""),"")</f>
        <v/>
      </c>
    </row>
    <row r="3379" spans="1:5">
      <c r="A3379" s="12" t="s">
        <v>12693</v>
      </c>
      <c r="E3379" s="57" t="str">
        <f ca="1">IFERROR(__xludf.DUMMYFUNCTION("""COMPUTED_VALUE"""),"")</f>
        <v/>
      </c>
    </row>
    <row r="3380" spans="1:5">
      <c r="A3380" s="59" t="s">
        <v>12694</v>
      </c>
      <c r="E3380" s="57" t="str">
        <f ca="1">IFERROR(__xludf.DUMMYFUNCTION("""COMPUTED_VALUE"""),"")</f>
        <v/>
      </c>
    </row>
    <row r="3381" spans="1:5">
      <c r="A3381" s="12"/>
      <c r="E3381" s="57" t="str">
        <f ca="1">IFERROR(__xludf.DUMMYFUNCTION("""COMPUTED_VALUE"""),"")</f>
        <v/>
      </c>
    </row>
    <row r="3382" spans="1:5">
      <c r="A3382" s="12" t="s">
        <v>12695</v>
      </c>
      <c r="E3382" s="57" t="str">
        <f ca="1">IFERROR(__xludf.DUMMYFUNCTION("""COMPUTED_VALUE"""),"")</f>
        <v/>
      </c>
    </row>
    <row r="3383" spans="1:5">
      <c r="A3383" s="59" t="s">
        <v>12696</v>
      </c>
      <c r="E3383" s="57" t="str">
        <f ca="1">IFERROR(__xludf.DUMMYFUNCTION("""COMPUTED_VALUE"""),"")</f>
        <v/>
      </c>
    </row>
    <row r="3384" spans="1:5">
      <c r="A3384" s="12"/>
      <c r="E3384" s="57" t="str">
        <f ca="1">IFERROR(__xludf.DUMMYFUNCTION("""COMPUTED_VALUE"""),"")</f>
        <v/>
      </c>
    </row>
    <row r="3385" spans="1:5">
      <c r="A3385" s="12" t="s">
        <v>12697</v>
      </c>
      <c r="E3385" s="57" t="str">
        <f ca="1">IFERROR(__xludf.DUMMYFUNCTION("""COMPUTED_VALUE"""),"")</f>
        <v/>
      </c>
    </row>
    <row r="3386" spans="1:5">
      <c r="A3386" s="59" t="s">
        <v>12698</v>
      </c>
      <c r="E3386" s="57" t="str">
        <f ca="1">IFERROR(__xludf.DUMMYFUNCTION("""COMPUTED_VALUE"""),"")</f>
        <v/>
      </c>
    </row>
    <row r="3387" spans="1:5">
      <c r="A3387" s="12"/>
      <c r="E3387" s="57" t="str">
        <f ca="1">IFERROR(__xludf.DUMMYFUNCTION("""COMPUTED_VALUE"""),"")</f>
        <v/>
      </c>
    </row>
    <row r="3388" spans="1:5">
      <c r="A3388" s="12" t="s">
        <v>12699</v>
      </c>
      <c r="E3388" s="57" t="str">
        <f ca="1">IFERROR(__xludf.DUMMYFUNCTION("""COMPUTED_VALUE"""),"")</f>
        <v/>
      </c>
    </row>
    <row r="3389" spans="1:5">
      <c r="A3389" s="59" t="s">
        <v>12700</v>
      </c>
      <c r="E3389" s="57" t="str">
        <f ca="1">IFERROR(__xludf.DUMMYFUNCTION("""COMPUTED_VALUE"""),"")</f>
        <v/>
      </c>
    </row>
    <row r="3390" spans="1:5">
      <c r="A3390" s="12"/>
      <c r="E3390" s="57" t="str">
        <f ca="1">IFERROR(__xludf.DUMMYFUNCTION("""COMPUTED_VALUE"""),"")</f>
        <v/>
      </c>
    </row>
    <row r="3391" spans="1:5">
      <c r="A3391" s="12" t="s">
        <v>12701</v>
      </c>
      <c r="E3391" s="57" t="str">
        <f ca="1">IFERROR(__xludf.DUMMYFUNCTION("""COMPUTED_VALUE"""),"")</f>
        <v/>
      </c>
    </row>
    <row r="3392" spans="1:5">
      <c r="A3392" s="59" t="s">
        <v>12702</v>
      </c>
      <c r="E3392" s="57" t="str">
        <f ca="1">IFERROR(__xludf.DUMMYFUNCTION("""COMPUTED_VALUE"""),"")</f>
        <v/>
      </c>
    </row>
    <row r="3393" spans="1:5">
      <c r="A3393" s="12"/>
      <c r="E3393" s="57" t="str">
        <f ca="1">IFERROR(__xludf.DUMMYFUNCTION("""COMPUTED_VALUE"""),"")</f>
        <v/>
      </c>
    </row>
    <row r="3394" spans="1:5">
      <c r="A3394" s="12" t="s">
        <v>12703</v>
      </c>
      <c r="E3394" s="57" t="str">
        <f ca="1">IFERROR(__xludf.DUMMYFUNCTION("""COMPUTED_VALUE"""),"")</f>
        <v/>
      </c>
    </row>
    <row r="3395" spans="1:5">
      <c r="A3395" s="59" t="s">
        <v>12704</v>
      </c>
      <c r="E3395" s="57" t="str">
        <f ca="1">IFERROR(__xludf.DUMMYFUNCTION("""COMPUTED_VALUE"""),"")</f>
        <v/>
      </c>
    </row>
    <row r="3396" spans="1:5">
      <c r="A3396" s="12"/>
      <c r="E3396" s="57" t="str">
        <f ca="1">IFERROR(__xludf.DUMMYFUNCTION("""COMPUTED_VALUE"""),"")</f>
        <v/>
      </c>
    </row>
    <row r="3397" spans="1:5">
      <c r="A3397" s="12" t="s">
        <v>12705</v>
      </c>
      <c r="E3397" s="57" t="str">
        <f ca="1">IFERROR(__xludf.DUMMYFUNCTION("""COMPUTED_VALUE"""),"")</f>
        <v/>
      </c>
    </row>
    <row r="3398" spans="1:5">
      <c r="A3398" s="59" t="s">
        <v>12706</v>
      </c>
      <c r="E3398" s="57" t="str">
        <f ca="1">IFERROR(__xludf.DUMMYFUNCTION("""COMPUTED_VALUE"""),"")</f>
        <v/>
      </c>
    </row>
    <row r="3399" spans="1:5">
      <c r="A3399" s="12"/>
      <c r="E3399" s="57" t="str">
        <f ca="1">IFERROR(__xludf.DUMMYFUNCTION("""COMPUTED_VALUE"""),"")</f>
        <v/>
      </c>
    </row>
    <row r="3400" spans="1:5">
      <c r="A3400" s="12" t="s">
        <v>12707</v>
      </c>
      <c r="E3400" s="57" t="str">
        <f ca="1">IFERROR(__xludf.DUMMYFUNCTION("""COMPUTED_VALUE"""),"")</f>
        <v/>
      </c>
    </row>
    <row r="3401" spans="1:5">
      <c r="A3401" s="59" t="s">
        <v>12708</v>
      </c>
      <c r="E3401" s="57" t="str">
        <f ca="1">IFERROR(__xludf.DUMMYFUNCTION("""COMPUTED_VALUE"""),"")</f>
        <v/>
      </c>
    </row>
    <row r="3402" spans="1:5">
      <c r="A3402" s="12"/>
      <c r="E3402" s="57" t="str">
        <f ca="1">IFERROR(__xludf.DUMMYFUNCTION("""COMPUTED_VALUE"""),"")</f>
        <v/>
      </c>
    </row>
    <row r="3403" spans="1:5">
      <c r="A3403" s="12" t="s">
        <v>12709</v>
      </c>
      <c r="E3403" s="57" t="str">
        <f ca="1">IFERROR(__xludf.DUMMYFUNCTION("""COMPUTED_VALUE"""),"")</f>
        <v/>
      </c>
    </row>
    <row r="3404" spans="1:5">
      <c r="A3404" s="59" t="s">
        <v>12710</v>
      </c>
      <c r="E3404" s="57" t="str">
        <f ca="1">IFERROR(__xludf.DUMMYFUNCTION("""COMPUTED_VALUE"""),"")</f>
        <v/>
      </c>
    </row>
    <row r="3405" spans="1:5">
      <c r="A3405" s="12"/>
      <c r="E3405" s="57" t="str">
        <f ca="1">IFERROR(__xludf.DUMMYFUNCTION("""COMPUTED_VALUE"""),"")</f>
        <v/>
      </c>
    </row>
    <row r="3406" spans="1:5">
      <c r="A3406" s="12" t="s">
        <v>12711</v>
      </c>
      <c r="E3406" s="57" t="str">
        <f ca="1">IFERROR(__xludf.DUMMYFUNCTION("""COMPUTED_VALUE"""),"")</f>
        <v/>
      </c>
    </row>
    <row r="3407" spans="1:5">
      <c r="A3407" s="59" t="s">
        <v>12712</v>
      </c>
      <c r="E3407" s="57" t="str">
        <f ca="1">IFERROR(__xludf.DUMMYFUNCTION("""COMPUTED_VALUE"""),"")</f>
        <v/>
      </c>
    </row>
    <row r="3408" spans="1:5">
      <c r="A3408" s="12"/>
      <c r="E3408" s="57" t="str">
        <f ca="1">IFERROR(__xludf.DUMMYFUNCTION("""COMPUTED_VALUE"""),"")</f>
        <v/>
      </c>
    </row>
    <row r="3409" spans="1:5">
      <c r="A3409" s="12" t="s">
        <v>12713</v>
      </c>
      <c r="E3409" s="57" t="str">
        <f ca="1">IFERROR(__xludf.DUMMYFUNCTION("""COMPUTED_VALUE"""),"")</f>
        <v/>
      </c>
    </row>
    <row r="3410" spans="1:5">
      <c r="A3410" s="59" t="s">
        <v>12714</v>
      </c>
      <c r="E3410" s="57" t="str">
        <f ca="1">IFERROR(__xludf.DUMMYFUNCTION("""COMPUTED_VALUE"""),"")</f>
        <v/>
      </c>
    </row>
    <row r="3411" spans="1:5">
      <c r="A3411" s="12"/>
      <c r="E3411" s="57" t="str">
        <f ca="1">IFERROR(__xludf.DUMMYFUNCTION("""COMPUTED_VALUE"""),"")</f>
        <v/>
      </c>
    </row>
    <row r="3412" spans="1:5">
      <c r="A3412" s="12" t="s">
        <v>12715</v>
      </c>
      <c r="E3412" s="57" t="str">
        <f ca="1">IFERROR(__xludf.DUMMYFUNCTION("""COMPUTED_VALUE"""),"")</f>
        <v/>
      </c>
    </row>
    <row r="3413" spans="1:5">
      <c r="A3413" s="59" t="s">
        <v>12716</v>
      </c>
      <c r="E3413" s="57" t="str">
        <f ca="1">IFERROR(__xludf.DUMMYFUNCTION("""COMPUTED_VALUE"""),"")</f>
        <v/>
      </c>
    </row>
    <row r="3414" spans="1:5">
      <c r="A3414" s="12"/>
      <c r="E3414" s="57" t="str">
        <f ca="1">IFERROR(__xludf.DUMMYFUNCTION("""COMPUTED_VALUE"""),"")</f>
        <v/>
      </c>
    </row>
    <row r="3415" spans="1:5">
      <c r="A3415" s="12" t="s">
        <v>12717</v>
      </c>
      <c r="E3415" s="57" t="str">
        <f ca="1">IFERROR(__xludf.DUMMYFUNCTION("""COMPUTED_VALUE"""),"")</f>
        <v/>
      </c>
    </row>
    <row r="3416" spans="1:5">
      <c r="A3416" s="59" t="s">
        <v>12718</v>
      </c>
      <c r="E3416" s="57" t="str">
        <f ca="1">IFERROR(__xludf.DUMMYFUNCTION("""COMPUTED_VALUE"""),"")</f>
        <v/>
      </c>
    </row>
    <row r="3417" spans="1:5">
      <c r="A3417" s="12"/>
      <c r="E3417" s="57" t="str">
        <f ca="1">IFERROR(__xludf.DUMMYFUNCTION("""COMPUTED_VALUE"""),"")</f>
        <v/>
      </c>
    </row>
    <row r="3418" spans="1:5">
      <c r="A3418" s="12" t="s">
        <v>12719</v>
      </c>
      <c r="E3418" s="57" t="str">
        <f ca="1">IFERROR(__xludf.DUMMYFUNCTION("""COMPUTED_VALUE"""),"")</f>
        <v/>
      </c>
    </row>
    <row r="3419" spans="1:5">
      <c r="A3419" s="59" t="s">
        <v>12720</v>
      </c>
      <c r="E3419" s="57" t="str">
        <f ca="1">IFERROR(__xludf.DUMMYFUNCTION("""COMPUTED_VALUE"""),"")</f>
        <v/>
      </c>
    </row>
    <row r="3420" spans="1:5">
      <c r="A3420" s="12"/>
      <c r="E3420" s="57" t="str">
        <f ca="1">IFERROR(__xludf.DUMMYFUNCTION("""COMPUTED_VALUE"""),"")</f>
        <v/>
      </c>
    </row>
    <row r="3421" spans="1:5">
      <c r="A3421" s="12" t="s">
        <v>12721</v>
      </c>
      <c r="E3421" s="57" t="str">
        <f ca="1">IFERROR(__xludf.DUMMYFUNCTION("""COMPUTED_VALUE"""),"")</f>
        <v/>
      </c>
    </row>
    <row r="3422" spans="1:5">
      <c r="A3422" s="59" t="s">
        <v>12722</v>
      </c>
      <c r="E3422" s="57" t="str">
        <f ca="1">IFERROR(__xludf.DUMMYFUNCTION("""COMPUTED_VALUE"""),"")</f>
        <v/>
      </c>
    </row>
    <row r="3423" spans="1:5">
      <c r="A3423" s="12"/>
      <c r="E3423" s="57" t="str">
        <f ca="1">IFERROR(__xludf.DUMMYFUNCTION("""COMPUTED_VALUE"""),"")</f>
        <v/>
      </c>
    </row>
    <row r="3424" spans="1:5">
      <c r="A3424" s="12"/>
      <c r="E3424" s="57" t="str">
        <f ca="1">IFERROR(__xludf.DUMMYFUNCTION("""COMPUTED_VALUE"""),"")</f>
        <v/>
      </c>
    </row>
    <row r="3425" spans="1:5">
      <c r="A3425" s="12"/>
      <c r="E3425" s="57" t="str">
        <f ca="1">IFERROR(__xludf.DUMMYFUNCTION("""COMPUTED_VALUE"""),"")</f>
        <v/>
      </c>
    </row>
    <row r="3426" spans="1:5">
      <c r="A3426" s="12"/>
      <c r="E3426" s="57" t="str">
        <f ca="1">IFERROR(__xludf.DUMMYFUNCTION("""COMPUTED_VALUE"""),"")</f>
        <v/>
      </c>
    </row>
    <row r="3427" spans="1:5">
      <c r="A3427" s="12"/>
      <c r="E3427" s="57" t="str">
        <f ca="1">IFERROR(__xludf.DUMMYFUNCTION("""COMPUTED_VALUE"""),"")</f>
        <v/>
      </c>
    </row>
    <row r="3428" spans="1:5">
      <c r="A3428" s="12"/>
      <c r="E3428" s="57" t="str">
        <f ca="1">IFERROR(__xludf.DUMMYFUNCTION("""COMPUTED_VALUE"""),"")</f>
        <v/>
      </c>
    </row>
    <row r="3429" spans="1:5">
      <c r="A3429" s="12"/>
      <c r="E3429" s="57" t="str">
        <f ca="1">IFERROR(__xludf.DUMMYFUNCTION("""COMPUTED_VALUE"""),"")</f>
        <v/>
      </c>
    </row>
    <row r="3430" spans="1:5">
      <c r="A3430" s="12"/>
      <c r="E3430" s="57" t="str">
        <f ca="1">IFERROR(__xludf.DUMMYFUNCTION("""COMPUTED_VALUE"""),"")</f>
        <v/>
      </c>
    </row>
    <row r="3431" spans="1:5">
      <c r="A3431" s="12"/>
      <c r="E3431" s="57" t="str">
        <f ca="1">IFERROR(__xludf.DUMMYFUNCTION("""COMPUTED_VALUE"""),"")</f>
        <v/>
      </c>
    </row>
    <row r="3432" spans="1:5">
      <c r="A3432" s="12"/>
      <c r="E3432" s="57" t="str">
        <f ca="1">IFERROR(__xludf.DUMMYFUNCTION("""COMPUTED_VALUE"""),"")</f>
        <v/>
      </c>
    </row>
    <row r="3433" spans="1:5">
      <c r="A3433" s="12"/>
      <c r="E3433" s="57" t="str">
        <f ca="1">IFERROR(__xludf.DUMMYFUNCTION("""COMPUTED_VALUE"""),"")</f>
        <v/>
      </c>
    </row>
    <row r="3434" spans="1:5">
      <c r="A3434" s="12"/>
      <c r="E3434" s="57" t="str">
        <f ca="1">IFERROR(__xludf.DUMMYFUNCTION("""COMPUTED_VALUE"""),"")</f>
        <v/>
      </c>
    </row>
    <row r="3435" spans="1:5">
      <c r="A3435" s="12"/>
      <c r="E3435" s="57" t="str">
        <f ca="1">IFERROR(__xludf.DUMMYFUNCTION("""COMPUTED_VALUE"""),"")</f>
        <v/>
      </c>
    </row>
    <row r="3436" spans="1:5">
      <c r="A3436" s="12"/>
      <c r="E3436" s="57" t="str">
        <f ca="1">IFERROR(__xludf.DUMMYFUNCTION("""COMPUTED_VALUE"""),"")</f>
        <v/>
      </c>
    </row>
    <row r="3437" spans="1:5">
      <c r="A3437" s="12"/>
      <c r="E3437" s="57" t="str">
        <f ca="1">IFERROR(__xludf.DUMMYFUNCTION("""COMPUTED_VALUE"""),"")</f>
        <v/>
      </c>
    </row>
    <row r="3438" spans="1:5">
      <c r="A3438" s="12"/>
      <c r="E3438" s="57" t="str">
        <f ca="1">IFERROR(__xludf.DUMMYFUNCTION("""COMPUTED_VALUE"""),"")</f>
        <v/>
      </c>
    </row>
    <row r="3439" spans="1:5">
      <c r="A3439" s="12"/>
      <c r="E3439" s="57" t="str">
        <f ca="1">IFERROR(__xludf.DUMMYFUNCTION("""COMPUTED_VALUE"""),"")</f>
        <v/>
      </c>
    </row>
    <row r="3440" spans="1:5">
      <c r="A3440" s="12"/>
      <c r="E3440" s="57" t="str">
        <f ca="1">IFERROR(__xludf.DUMMYFUNCTION("""COMPUTED_VALUE"""),"")</f>
        <v/>
      </c>
    </row>
    <row r="3441" spans="1:5">
      <c r="A3441" s="12"/>
      <c r="E3441" s="57" t="str">
        <f ca="1">IFERROR(__xludf.DUMMYFUNCTION("""COMPUTED_VALUE"""),"")</f>
        <v/>
      </c>
    </row>
    <row r="3442" spans="1:5">
      <c r="A3442" s="12"/>
      <c r="E3442" s="57" t="str">
        <f ca="1">IFERROR(__xludf.DUMMYFUNCTION("""COMPUTED_VALUE"""),"")</f>
        <v/>
      </c>
    </row>
    <row r="3443" spans="1:5">
      <c r="A3443" s="12"/>
      <c r="E3443" s="57" t="str">
        <f ca="1">IFERROR(__xludf.DUMMYFUNCTION("""COMPUTED_VALUE"""),"")</f>
        <v/>
      </c>
    </row>
    <row r="3444" spans="1:5">
      <c r="A3444" s="12"/>
      <c r="E3444" s="57" t="str">
        <f ca="1">IFERROR(__xludf.DUMMYFUNCTION("""COMPUTED_VALUE"""),"")</f>
        <v/>
      </c>
    </row>
    <row r="3445" spans="1:5">
      <c r="A3445" s="12"/>
      <c r="E3445" s="57" t="str">
        <f ca="1">IFERROR(__xludf.DUMMYFUNCTION("""COMPUTED_VALUE"""),"")</f>
        <v/>
      </c>
    </row>
    <row r="3446" spans="1:5">
      <c r="A3446" s="12"/>
      <c r="E3446" s="57" t="str">
        <f ca="1">IFERROR(__xludf.DUMMYFUNCTION("""COMPUTED_VALUE"""),"")</f>
        <v/>
      </c>
    </row>
    <row r="3447" spans="1:5">
      <c r="A3447" s="12"/>
      <c r="E3447" s="57" t="str">
        <f ca="1">IFERROR(__xludf.DUMMYFUNCTION("""COMPUTED_VALUE"""),"")</f>
        <v/>
      </c>
    </row>
    <row r="3448" spans="1:5">
      <c r="A3448" s="12"/>
      <c r="E3448" s="57" t="str">
        <f ca="1">IFERROR(__xludf.DUMMYFUNCTION("""COMPUTED_VALUE"""),"")</f>
        <v/>
      </c>
    </row>
    <row r="3449" spans="1:5">
      <c r="A3449" s="12"/>
      <c r="E3449" s="57" t="str">
        <f ca="1">IFERROR(__xludf.DUMMYFUNCTION("""COMPUTED_VALUE"""),"")</f>
        <v/>
      </c>
    </row>
    <row r="3450" spans="1:5">
      <c r="A3450" s="12"/>
      <c r="E3450" s="57" t="str">
        <f ca="1">IFERROR(__xludf.DUMMYFUNCTION("""COMPUTED_VALUE"""),"")</f>
        <v/>
      </c>
    </row>
    <row r="3451" spans="1:5">
      <c r="A3451" s="12"/>
      <c r="E3451" s="57" t="str">
        <f ca="1">IFERROR(__xludf.DUMMYFUNCTION("""COMPUTED_VALUE"""),"")</f>
        <v/>
      </c>
    </row>
    <row r="3452" spans="1:5">
      <c r="A3452" s="12"/>
      <c r="E3452" s="57" t="str">
        <f ca="1">IFERROR(__xludf.DUMMYFUNCTION("""COMPUTED_VALUE"""),"")</f>
        <v/>
      </c>
    </row>
    <row r="3453" spans="1:5">
      <c r="A3453" s="12"/>
      <c r="E3453" s="57" t="str">
        <f ca="1">IFERROR(__xludf.DUMMYFUNCTION("""COMPUTED_VALUE"""),"")</f>
        <v/>
      </c>
    </row>
    <row r="3454" spans="1:5">
      <c r="A3454" s="12"/>
      <c r="E3454" s="57" t="str">
        <f ca="1">IFERROR(__xludf.DUMMYFUNCTION("""COMPUTED_VALUE"""),"")</f>
        <v/>
      </c>
    </row>
    <row r="3455" spans="1:5">
      <c r="A3455" s="12"/>
      <c r="E3455" s="57" t="str">
        <f ca="1">IFERROR(__xludf.DUMMYFUNCTION("""COMPUTED_VALUE"""),"")</f>
        <v/>
      </c>
    </row>
    <row r="3456" spans="1:5">
      <c r="A3456" s="12"/>
      <c r="E3456" s="57" t="str">
        <f ca="1">IFERROR(__xludf.DUMMYFUNCTION("""COMPUTED_VALUE"""),"")</f>
        <v/>
      </c>
    </row>
    <row r="3457" spans="1:5">
      <c r="A3457" s="12"/>
      <c r="E3457" s="57" t="str">
        <f ca="1">IFERROR(__xludf.DUMMYFUNCTION("""COMPUTED_VALUE"""),"")</f>
        <v/>
      </c>
    </row>
    <row r="3458" spans="1:5">
      <c r="A3458" s="12"/>
      <c r="E3458" s="57" t="str">
        <f ca="1">IFERROR(__xludf.DUMMYFUNCTION("""COMPUTED_VALUE"""),"")</f>
        <v/>
      </c>
    </row>
    <row r="3459" spans="1:5">
      <c r="A3459" s="12"/>
      <c r="E3459" s="57" t="str">
        <f ca="1">IFERROR(__xludf.DUMMYFUNCTION("""COMPUTED_VALUE"""),"")</f>
        <v/>
      </c>
    </row>
    <row r="3460" spans="1:5">
      <c r="A3460" s="12"/>
      <c r="E3460" s="57" t="str">
        <f ca="1">IFERROR(__xludf.DUMMYFUNCTION("""COMPUTED_VALUE"""),"")</f>
        <v/>
      </c>
    </row>
    <row r="3461" spans="1:5">
      <c r="A3461" s="12"/>
      <c r="E3461" s="57" t="str">
        <f ca="1">IFERROR(__xludf.DUMMYFUNCTION("""COMPUTED_VALUE"""),"")</f>
        <v/>
      </c>
    </row>
    <row r="3462" spans="1:5">
      <c r="A3462" s="12"/>
      <c r="E3462" s="57" t="str">
        <f ca="1">IFERROR(__xludf.DUMMYFUNCTION("""COMPUTED_VALUE"""),"")</f>
        <v/>
      </c>
    </row>
    <row r="3463" spans="1:5">
      <c r="A3463" s="12"/>
      <c r="E3463" s="57" t="str">
        <f ca="1">IFERROR(__xludf.DUMMYFUNCTION("""COMPUTED_VALUE"""),"")</f>
        <v/>
      </c>
    </row>
    <row r="3464" spans="1:5">
      <c r="A3464" s="12"/>
      <c r="E3464" s="57" t="str">
        <f ca="1">IFERROR(__xludf.DUMMYFUNCTION("""COMPUTED_VALUE"""),"")</f>
        <v/>
      </c>
    </row>
    <row r="3465" spans="1:5">
      <c r="A3465" s="12"/>
      <c r="E3465" s="57" t="str">
        <f ca="1">IFERROR(__xludf.DUMMYFUNCTION("""COMPUTED_VALUE"""),"")</f>
        <v/>
      </c>
    </row>
    <row r="3466" spans="1:5">
      <c r="A3466" s="12"/>
      <c r="E3466" s="57" t="str">
        <f ca="1">IFERROR(__xludf.DUMMYFUNCTION("""COMPUTED_VALUE"""),"")</f>
        <v/>
      </c>
    </row>
    <row r="3467" spans="1:5">
      <c r="A3467" s="12"/>
      <c r="E3467" s="57" t="str">
        <f ca="1">IFERROR(__xludf.DUMMYFUNCTION("""COMPUTED_VALUE"""),"")</f>
        <v/>
      </c>
    </row>
    <row r="3468" spans="1:5">
      <c r="A3468" s="12"/>
      <c r="E3468" s="57" t="str">
        <f ca="1">IFERROR(__xludf.DUMMYFUNCTION("""COMPUTED_VALUE"""),"")</f>
        <v/>
      </c>
    </row>
    <row r="3469" spans="1:5">
      <c r="A3469" s="12"/>
      <c r="E3469" s="57" t="str">
        <f ca="1">IFERROR(__xludf.DUMMYFUNCTION("""COMPUTED_VALUE"""),"")</f>
        <v/>
      </c>
    </row>
    <row r="3470" spans="1:5">
      <c r="A3470" s="12"/>
      <c r="E3470" s="57" t="str">
        <f ca="1">IFERROR(__xludf.DUMMYFUNCTION("""COMPUTED_VALUE"""),"")</f>
        <v/>
      </c>
    </row>
    <row r="3471" spans="1:5">
      <c r="A3471" s="12"/>
      <c r="E3471" s="57" t="str">
        <f ca="1">IFERROR(__xludf.DUMMYFUNCTION("""COMPUTED_VALUE"""),"")</f>
        <v/>
      </c>
    </row>
    <row r="3472" spans="1:5">
      <c r="A3472" s="12"/>
      <c r="E3472" s="57" t="str">
        <f ca="1">IFERROR(__xludf.DUMMYFUNCTION("""COMPUTED_VALUE"""),"")</f>
        <v/>
      </c>
    </row>
    <row r="3473" spans="1:5">
      <c r="A3473" s="12"/>
      <c r="E3473" s="57" t="str">
        <f ca="1">IFERROR(__xludf.DUMMYFUNCTION("""COMPUTED_VALUE"""),"")</f>
        <v/>
      </c>
    </row>
    <row r="3474" spans="1:5">
      <c r="A3474" s="12"/>
      <c r="E3474" s="57" t="str">
        <f ca="1">IFERROR(__xludf.DUMMYFUNCTION("""COMPUTED_VALUE"""),"")</f>
        <v/>
      </c>
    </row>
    <row r="3475" spans="1:5">
      <c r="A3475" s="12"/>
      <c r="E3475" s="57" t="str">
        <f ca="1">IFERROR(__xludf.DUMMYFUNCTION("""COMPUTED_VALUE"""),"")</f>
        <v/>
      </c>
    </row>
    <row r="3476" spans="1:5">
      <c r="A3476" s="12"/>
      <c r="E3476" s="57" t="str">
        <f ca="1">IFERROR(__xludf.DUMMYFUNCTION("""COMPUTED_VALUE"""),"")</f>
        <v/>
      </c>
    </row>
    <row r="3477" spans="1:5">
      <c r="A3477" s="12"/>
      <c r="E3477" s="57" t="str">
        <f ca="1">IFERROR(__xludf.DUMMYFUNCTION("""COMPUTED_VALUE"""),"")</f>
        <v/>
      </c>
    </row>
    <row r="3478" spans="1:5">
      <c r="A3478" s="12"/>
      <c r="E3478" s="57" t="str">
        <f ca="1">IFERROR(__xludf.DUMMYFUNCTION("""COMPUTED_VALUE"""),"")</f>
        <v/>
      </c>
    </row>
    <row r="3479" spans="1:5">
      <c r="A3479" s="12"/>
      <c r="E3479" s="57" t="str">
        <f ca="1">IFERROR(__xludf.DUMMYFUNCTION("""COMPUTED_VALUE"""),"")</f>
        <v/>
      </c>
    </row>
    <row r="3480" spans="1:5">
      <c r="A3480" s="12"/>
      <c r="E3480" s="57" t="str">
        <f ca="1">IFERROR(__xludf.DUMMYFUNCTION("""COMPUTED_VALUE"""),"")</f>
        <v/>
      </c>
    </row>
    <row r="3481" spans="1:5">
      <c r="A3481" s="12"/>
      <c r="E3481" s="57" t="str">
        <f ca="1">IFERROR(__xludf.DUMMYFUNCTION("""COMPUTED_VALUE"""),"")</f>
        <v/>
      </c>
    </row>
    <row r="3482" spans="1:5">
      <c r="A3482" s="12"/>
      <c r="E3482" s="57" t="str">
        <f ca="1">IFERROR(__xludf.DUMMYFUNCTION("""COMPUTED_VALUE"""),"")</f>
        <v/>
      </c>
    </row>
    <row r="3483" spans="1:5">
      <c r="A3483" s="12"/>
      <c r="E3483" s="57" t="str">
        <f ca="1">IFERROR(__xludf.DUMMYFUNCTION("""COMPUTED_VALUE"""),"")</f>
        <v/>
      </c>
    </row>
    <row r="3484" spans="1:5">
      <c r="A3484" s="12"/>
      <c r="E3484" s="57" t="str">
        <f ca="1">IFERROR(__xludf.DUMMYFUNCTION("""COMPUTED_VALUE"""),"")</f>
        <v/>
      </c>
    </row>
    <row r="3485" spans="1:5">
      <c r="A3485" s="12"/>
      <c r="E3485" s="57" t="str">
        <f ca="1">IFERROR(__xludf.DUMMYFUNCTION("""COMPUTED_VALUE"""),"")</f>
        <v/>
      </c>
    </row>
    <row r="3486" spans="1:5">
      <c r="A3486" s="12"/>
      <c r="E3486" s="57" t="str">
        <f ca="1">IFERROR(__xludf.DUMMYFUNCTION("""COMPUTED_VALUE"""),"")</f>
        <v/>
      </c>
    </row>
    <row r="3487" spans="1:5">
      <c r="A3487" s="12"/>
      <c r="E3487" s="57" t="str">
        <f ca="1">IFERROR(__xludf.DUMMYFUNCTION("""COMPUTED_VALUE"""),"")</f>
        <v/>
      </c>
    </row>
    <row r="3488" spans="1:5">
      <c r="A3488" s="12"/>
      <c r="E3488" s="57" t="str">
        <f ca="1">IFERROR(__xludf.DUMMYFUNCTION("""COMPUTED_VALUE"""),"")</f>
        <v/>
      </c>
    </row>
    <row r="3489" spans="1:5">
      <c r="A3489" s="12"/>
      <c r="E3489" s="57" t="str">
        <f ca="1">IFERROR(__xludf.DUMMYFUNCTION("""COMPUTED_VALUE"""),"")</f>
        <v/>
      </c>
    </row>
    <row r="3490" spans="1:5">
      <c r="A3490" s="12"/>
      <c r="E3490" s="57" t="str">
        <f ca="1">IFERROR(__xludf.DUMMYFUNCTION("""COMPUTED_VALUE"""),"")</f>
        <v/>
      </c>
    </row>
    <row r="3491" spans="1:5">
      <c r="A3491" s="12"/>
      <c r="E3491" s="57" t="str">
        <f ca="1">IFERROR(__xludf.DUMMYFUNCTION("""COMPUTED_VALUE"""),"")</f>
        <v/>
      </c>
    </row>
    <row r="3492" spans="1:5">
      <c r="A3492" s="12"/>
      <c r="E3492" s="57" t="str">
        <f ca="1">IFERROR(__xludf.DUMMYFUNCTION("""COMPUTED_VALUE"""),"")</f>
        <v/>
      </c>
    </row>
    <row r="3493" spans="1:5">
      <c r="A3493" s="12"/>
      <c r="E3493" s="57" t="str">
        <f ca="1">IFERROR(__xludf.DUMMYFUNCTION("""COMPUTED_VALUE"""),"")</f>
        <v/>
      </c>
    </row>
    <row r="3494" spans="1:5">
      <c r="A3494" s="12"/>
      <c r="E3494" s="57" t="str">
        <f ca="1">IFERROR(__xludf.DUMMYFUNCTION("""COMPUTED_VALUE"""),"")</f>
        <v/>
      </c>
    </row>
    <row r="3495" spans="1:5">
      <c r="A3495" s="12"/>
      <c r="E3495" s="57" t="str">
        <f ca="1">IFERROR(__xludf.DUMMYFUNCTION("""COMPUTED_VALUE"""),"")</f>
        <v/>
      </c>
    </row>
    <row r="3496" spans="1:5">
      <c r="A3496" s="12"/>
      <c r="E3496" s="57" t="str">
        <f ca="1">IFERROR(__xludf.DUMMYFUNCTION("""COMPUTED_VALUE"""),"")</f>
        <v/>
      </c>
    </row>
    <row r="3497" spans="1:5">
      <c r="A3497" s="12"/>
      <c r="E3497" s="57" t="str">
        <f ca="1">IFERROR(__xludf.DUMMYFUNCTION("""COMPUTED_VALUE"""),"")</f>
        <v/>
      </c>
    </row>
    <row r="3498" spans="1:5">
      <c r="A3498" s="12"/>
      <c r="E3498" s="57" t="str">
        <f ca="1">IFERROR(__xludf.DUMMYFUNCTION("""COMPUTED_VALUE"""),"")</f>
        <v/>
      </c>
    </row>
    <row r="3499" spans="1:5">
      <c r="A3499" s="12"/>
      <c r="E3499" s="57" t="str">
        <f ca="1">IFERROR(__xludf.DUMMYFUNCTION("""COMPUTED_VALUE"""),"")</f>
        <v/>
      </c>
    </row>
    <row r="3500" spans="1:5">
      <c r="A3500" s="12"/>
      <c r="E3500" s="57" t="str">
        <f ca="1">IFERROR(__xludf.DUMMYFUNCTION("""COMPUTED_VALUE"""),"")</f>
        <v/>
      </c>
    </row>
    <row r="3501" spans="1:5">
      <c r="A3501" s="12"/>
      <c r="E3501" s="57" t="str">
        <f ca="1">IFERROR(__xludf.DUMMYFUNCTION("""COMPUTED_VALUE"""),"")</f>
        <v/>
      </c>
    </row>
    <row r="3502" spans="1:5">
      <c r="A3502" s="12"/>
      <c r="E3502" s="57" t="str">
        <f ca="1">IFERROR(__xludf.DUMMYFUNCTION("""COMPUTED_VALUE"""),"")</f>
        <v/>
      </c>
    </row>
    <row r="3503" spans="1:5">
      <c r="A3503" s="12"/>
      <c r="E3503" s="57" t="str">
        <f ca="1">IFERROR(__xludf.DUMMYFUNCTION("""COMPUTED_VALUE"""),"")</f>
        <v/>
      </c>
    </row>
    <row r="3504" spans="1:5">
      <c r="A3504" s="12"/>
      <c r="E3504" s="57" t="str">
        <f ca="1">IFERROR(__xludf.DUMMYFUNCTION("""COMPUTED_VALUE"""),"")</f>
        <v/>
      </c>
    </row>
    <row r="3505" spans="1:5">
      <c r="A3505" s="12"/>
      <c r="E3505" s="57" t="str">
        <f ca="1">IFERROR(__xludf.DUMMYFUNCTION("""COMPUTED_VALUE"""),"")</f>
        <v/>
      </c>
    </row>
    <row r="3506" spans="1:5">
      <c r="A3506" s="12"/>
      <c r="E3506" s="57" t="str">
        <f ca="1">IFERROR(__xludf.DUMMYFUNCTION("""COMPUTED_VALUE"""),"")</f>
        <v/>
      </c>
    </row>
    <row r="3507" spans="1:5">
      <c r="A3507" s="12"/>
      <c r="E3507" s="57" t="str">
        <f ca="1">IFERROR(__xludf.DUMMYFUNCTION("""COMPUTED_VALUE"""),"")</f>
        <v/>
      </c>
    </row>
    <row r="3508" spans="1:5">
      <c r="A3508" s="12"/>
      <c r="E3508" s="57" t="str">
        <f ca="1">IFERROR(__xludf.DUMMYFUNCTION("""COMPUTED_VALUE"""),"")</f>
        <v/>
      </c>
    </row>
    <row r="3509" spans="1:5">
      <c r="A3509" s="12"/>
      <c r="E3509" s="57" t="str">
        <f ca="1">IFERROR(__xludf.DUMMYFUNCTION("""COMPUTED_VALUE"""),"")</f>
        <v/>
      </c>
    </row>
    <row r="3510" spans="1:5">
      <c r="A3510" s="12"/>
      <c r="E3510" s="57" t="str">
        <f ca="1">IFERROR(__xludf.DUMMYFUNCTION("""COMPUTED_VALUE"""),"")</f>
        <v/>
      </c>
    </row>
    <row r="3511" spans="1:5">
      <c r="A3511" s="12"/>
      <c r="E3511" s="57" t="str">
        <f ca="1">IFERROR(__xludf.DUMMYFUNCTION("""COMPUTED_VALUE"""),"")</f>
        <v/>
      </c>
    </row>
    <row r="3512" spans="1:5">
      <c r="A3512" s="12"/>
      <c r="E3512" s="57" t="str">
        <f ca="1">IFERROR(__xludf.DUMMYFUNCTION("""COMPUTED_VALUE"""),"")</f>
        <v/>
      </c>
    </row>
    <row r="3513" spans="1:5">
      <c r="A3513" s="12"/>
      <c r="E3513" s="57" t="str">
        <f ca="1">IFERROR(__xludf.DUMMYFUNCTION("""COMPUTED_VALUE"""),"")</f>
        <v/>
      </c>
    </row>
    <row r="3514" spans="1:5">
      <c r="A3514" s="12"/>
      <c r="E3514" s="57" t="str">
        <f ca="1">IFERROR(__xludf.DUMMYFUNCTION("""COMPUTED_VALUE"""),"")</f>
        <v/>
      </c>
    </row>
    <row r="3515" spans="1:5">
      <c r="A3515" s="12"/>
      <c r="E3515" s="57" t="str">
        <f ca="1">IFERROR(__xludf.DUMMYFUNCTION("""COMPUTED_VALUE"""),"")</f>
        <v/>
      </c>
    </row>
    <row r="3516" spans="1:5">
      <c r="A3516" s="12"/>
      <c r="E3516" s="57" t="str">
        <f ca="1">IFERROR(__xludf.DUMMYFUNCTION("""COMPUTED_VALUE"""),"")</f>
        <v/>
      </c>
    </row>
    <row r="3517" spans="1:5">
      <c r="A3517" s="12"/>
      <c r="E3517" s="57" t="str">
        <f ca="1">IFERROR(__xludf.DUMMYFUNCTION("""COMPUTED_VALUE"""),"")</f>
        <v/>
      </c>
    </row>
    <row r="3518" spans="1:5">
      <c r="A3518" s="12"/>
      <c r="E3518" s="57" t="str">
        <f ca="1">IFERROR(__xludf.DUMMYFUNCTION("""COMPUTED_VALUE"""),"")</f>
        <v/>
      </c>
    </row>
    <row r="3519" spans="1:5">
      <c r="A3519" s="12"/>
      <c r="E3519" s="57" t="str">
        <f ca="1">IFERROR(__xludf.DUMMYFUNCTION("""COMPUTED_VALUE"""),"")</f>
        <v/>
      </c>
    </row>
    <row r="3520" spans="1:5">
      <c r="A3520" s="12"/>
      <c r="E3520" s="57" t="str">
        <f ca="1">IFERROR(__xludf.DUMMYFUNCTION("""COMPUTED_VALUE"""),"")</f>
        <v/>
      </c>
    </row>
    <row r="3521" spans="1:5">
      <c r="A3521" s="12"/>
      <c r="E3521" s="57" t="str">
        <f ca="1">IFERROR(__xludf.DUMMYFUNCTION("""COMPUTED_VALUE"""),"")</f>
        <v/>
      </c>
    </row>
    <row r="3522" spans="1:5">
      <c r="A3522" s="12"/>
      <c r="E3522" s="57" t="str">
        <f ca="1">IFERROR(__xludf.DUMMYFUNCTION("""COMPUTED_VALUE"""),"")</f>
        <v/>
      </c>
    </row>
    <row r="3523" spans="1:5">
      <c r="A3523" s="12"/>
      <c r="E3523" s="57" t="str">
        <f ca="1">IFERROR(__xludf.DUMMYFUNCTION("""COMPUTED_VALUE"""),"")</f>
        <v/>
      </c>
    </row>
    <row r="3524" spans="1:5">
      <c r="A3524" s="12"/>
      <c r="E3524" s="57" t="str">
        <f ca="1">IFERROR(__xludf.DUMMYFUNCTION("""COMPUTED_VALUE"""),"")</f>
        <v/>
      </c>
    </row>
    <row r="3525" spans="1:5">
      <c r="A3525" s="12"/>
      <c r="E3525" s="57" t="str">
        <f ca="1">IFERROR(__xludf.DUMMYFUNCTION("""COMPUTED_VALUE"""),"")</f>
        <v/>
      </c>
    </row>
    <row r="3526" spans="1:5">
      <c r="A3526" s="12"/>
      <c r="E3526" s="57" t="str">
        <f ca="1">IFERROR(__xludf.DUMMYFUNCTION("""COMPUTED_VALUE"""),"")</f>
        <v/>
      </c>
    </row>
    <row r="3527" spans="1:5">
      <c r="A3527" s="12"/>
      <c r="E3527" s="57" t="str">
        <f ca="1">IFERROR(__xludf.DUMMYFUNCTION("""COMPUTED_VALUE"""),"")</f>
        <v/>
      </c>
    </row>
    <row r="3528" spans="1:5">
      <c r="A3528" s="12"/>
      <c r="E3528" s="57" t="str">
        <f ca="1">IFERROR(__xludf.DUMMYFUNCTION("""COMPUTED_VALUE"""),"")</f>
        <v/>
      </c>
    </row>
    <row r="3529" spans="1:5">
      <c r="A3529" s="12"/>
      <c r="E3529" s="57" t="str">
        <f ca="1">IFERROR(__xludf.DUMMYFUNCTION("""COMPUTED_VALUE"""),"")</f>
        <v/>
      </c>
    </row>
    <row r="3530" spans="1:5">
      <c r="A3530" s="12"/>
      <c r="E3530" s="57" t="str">
        <f ca="1">IFERROR(__xludf.DUMMYFUNCTION("""COMPUTED_VALUE"""),"")</f>
        <v/>
      </c>
    </row>
    <row r="3531" spans="1:5">
      <c r="A3531" s="12"/>
      <c r="E3531" s="57" t="str">
        <f ca="1">IFERROR(__xludf.DUMMYFUNCTION("""COMPUTED_VALUE"""),"")</f>
        <v/>
      </c>
    </row>
    <row r="3532" spans="1:5">
      <c r="A3532" s="12"/>
      <c r="E3532" s="57" t="str">
        <f ca="1">IFERROR(__xludf.DUMMYFUNCTION("""COMPUTED_VALUE"""),"")</f>
        <v/>
      </c>
    </row>
    <row r="3533" spans="1:5">
      <c r="A3533" s="12"/>
      <c r="E3533" s="57" t="str">
        <f ca="1">IFERROR(__xludf.DUMMYFUNCTION("""COMPUTED_VALUE"""),"")</f>
        <v/>
      </c>
    </row>
    <row r="3534" spans="1:5">
      <c r="A3534" s="12"/>
      <c r="E3534" s="57" t="str">
        <f ca="1">IFERROR(__xludf.DUMMYFUNCTION("""COMPUTED_VALUE"""),"")</f>
        <v/>
      </c>
    </row>
    <row r="3535" spans="1:5">
      <c r="A3535" s="12"/>
      <c r="E3535" s="57" t="str">
        <f ca="1">IFERROR(__xludf.DUMMYFUNCTION("""COMPUTED_VALUE"""),"")</f>
        <v/>
      </c>
    </row>
    <row r="3536" spans="1:5">
      <c r="A3536" s="12"/>
      <c r="E3536" s="57" t="str">
        <f ca="1">IFERROR(__xludf.DUMMYFUNCTION("""COMPUTED_VALUE"""),"")</f>
        <v/>
      </c>
    </row>
    <row r="3537" spans="1:5">
      <c r="A3537" s="12"/>
      <c r="E3537" s="57" t="str">
        <f ca="1">IFERROR(__xludf.DUMMYFUNCTION("""COMPUTED_VALUE"""),"")</f>
        <v/>
      </c>
    </row>
    <row r="3538" spans="1:5">
      <c r="A3538" s="12"/>
      <c r="E3538" s="57" t="str">
        <f ca="1">IFERROR(__xludf.DUMMYFUNCTION("""COMPUTED_VALUE"""),"")</f>
        <v/>
      </c>
    </row>
    <row r="3539" spans="1:5">
      <c r="A3539" s="12"/>
      <c r="E3539" s="57" t="str">
        <f ca="1">IFERROR(__xludf.DUMMYFUNCTION("""COMPUTED_VALUE"""),"")</f>
        <v/>
      </c>
    </row>
    <row r="3540" spans="1:5">
      <c r="A3540" s="12"/>
      <c r="E3540" s="57" t="str">
        <f ca="1">IFERROR(__xludf.DUMMYFUNCTION("""COMPUTED_VALUE"""),"")</f>
        <v/>
      </c>
    </row>
    <row r="3541" spans="1:5">
      <c r="A3541" s="12"/>
      <c r="E3541" s="57" t="str">
        <f ca="1">IFERROR(__xludf.DUMMYFUNCTION("""COMPUTED_VALUE"""),"")</f>
        <v/>
      </c>
    </row>
    <row r="3542" spans="1:5">
      <c r="A3542" s="12"/>
      <c r="E3542" s="57" t="str">
        <f ca="1">IFERROR(__xludf.DUMMYFUNCTION("""COMPUTED_VALUE"""),"")</f>
        <v/>
      </c>
    </row>
    <row r="3543" spans="1:5">
      <c r="A3543" s="12"/>
      <c r="E3543" s="57" t="str">
        <f ca="1">IFERROR(__xludf.DUMMYFUNCTION("""COMPUTED_VALUE"""),"")</f>
        <v/>
      </c>
    </row>
    <row r="3544" spans="1:5">
      <c r="A3544" s="12"/>
      <c r="E3544" s="57" t="str">
        <f ca="1">IFERROR(__xludf.DUMMYFUNCTION("""COMPUTED_VALUE"""),"")</f>
        <v/>
      </c>
    </row>
    <row r="3545" spans="1:5">
      <c r="A3545" s="12"/>
      <c r="E3545" s="57" t="str">
        <f ca="1">IFERROR(__xludf.DUMMYFUNCTION("""COMPUTED_VALUE"""),"")</f>
        <v/>
      </c>
    </row>
    <row r="3546" spans="1:5">
      <c r="A3546" s="12"/>
      <c r="E3546" s="57" t="str">
        <f ca="1">IFERROR(__xludf.DUMMYFUNCTION("""COMPUTED_VALUE"""),"")</f>
        <v/>
      </c>
    </row>
    <row r="3547" spans="1:5">
      <c r="A3547" s="12"/>
      <c r="E3547" s="57" t="str">
        <f ca="1">IFERROR(__xludf.DUMMYFUNCTION("""COMPUTED_VALUE"""),"")</f>
        <v/>
      </c>
    </row>
    <row r="3548" spans="1:5">
      <c r="A3548" s="12"/>
      <c r="E3548" s="57" t="str">
        <f ca="1">IFERROR(__xludf.DUMMYFUNCTION("""COMPUTED_VALUE"""),"")</f>
        <v/>
      </c>
    </row>
    <row r="3549" spans="1:5">
      <c r="A3549" s="12"/>
      <c r="E3549" s="57" t="str">
        <f ca="1">IFERROR(__xludf.DUMMYFUNCTION("""COMPUTED_VALUE"""),"")</f>
        <v/>
      </c>
    </row>
    <row r="3550" spans="1:5">
      <c r="A3550" s="12"/>
      <c r="E3550" s="57" t="str">
        <f ca="1">IFERROR(__xludf.DUMMYFUNCTION("""COMPUTED_VALUE"""),"")</f>
        <v/>
      </c>
    </row>
    <row r="3551" spans="1:5">
      <c r="A3551" s="12"/>
      <c r="E3551" s="57" t="str">
        <f ca="1">IFERROR(__xludf.DUMMYFUNCTION("""COMPUTED_VALUE"""),"")</f>
        <v/>
      </c>
    </row>
    <row r="3552" spans="1:5">
      <c r="A3552" s="12"/>
      <c r="E3552" s="57" t="str">
        <f ca="1">IFERROR(__xludf.DUMMYFUNCTION("""COMPUTED_VALUE"""),"")</f>
        <v/>
      </c>
    </row>
    <row r="3553" spans="1:5">
      <c r="A3553" s="12"/>
      <c r="E3553" s="57" t="str">
        <f ca="1">IFERROR(__xludf.DUMMYFUNCTION("""COMPUTED_VALUE"""),"")</f>
        <v/>
      </c>
    </row>
    <row r="3554" spans="1:5">
      <c r="A3554" s="12"/>
      <c r="E3554" s="57" t="str">
        <f ca="1">IFERROR(__xludf.DUMMYFUNCTION("""COMPUTED_VALUE"""),"")</f>
        <v/>
      </c>
    </row>
    <row r="3555" spans="1:5">
      <c r="A3555" s="12"/>
      <c r="E3555" s="57" t="str">
        <f ca="1">IFERROR(__xludf.DUMMYFUNCTION("""COMPUTED_VALUE"""),"")</f>
        <v/>
      </c>
    </row>
    <row r="3556" spans="1:5">
      <c r="A3556" s="12"/>
      <c r="E3556" s="57" t="str">
        <f ca="1">IFERROR(__xludf.DUMMYFUNCTION("""COMPUTED_VALUE"""),"")</f>
        <v/>
      </c>
    </row>
    <row r="3557" spans="1:5">
      <c r="A3557" s="12"/>
      <c r="E3557" s="57" t="str">
        <f ca="1">IFERROR(__xludf.DUMMYFUNCTION("""COMPUTED_VALUE"""),"")</f>
        <v/>
      </c>
    </row>
    <row r="3558" spans="1:5">
      <c r="A3558" s="12"/>
      <c r="E3558" s="57" t="str">
        <f ca="1">IFERROR(__xludf.DUMMYFUNCTION("""COMPUTED_VALUE"""),"")</f>
        <v/>
      </c>
    </row>
    <row r="3559" spans="1:5">
      <c r="A3559" s="12"/>
      <c r="E3559" s="57" t="str">
        <f ca="1">IFERROR(__xludf.DUMMYFUNCTION("""COMPUTED_VALUE"""),"")</f>
        <v/>
      </c>
    </row>
    <row r="3560" spans="1:5">
      <c r="A3560" s="12"/>
      <c r="E3560" s="57" t="str">
        <f ca="1">IFERROR(__xludf.DUMMYFUNCTION("""COMPUTED_VALUE"""),"")</f>
        <v/>
      </c>
    </row>
    <row r="3561" spans="1:5">
      <c r="A3561" s="12"/>
      <c r="E3561" s="57" t="str">
        <f ca="1">IFERROR(__xludf.DUMMYFUNCTION("""COMPUTED_VALUE"""),"")</f>
        <v/>
      </c>
    </row>
    <row r="3562" spans="1:5">
      <c r="A3562" s="12"/>
      <c r="E3562" s="57" t="str">
        <f ca="1">IFERROR(__xludf.DUMMYFUNCTION("""COMPUTED_VALUE"""),"")</f>
        <v/>
      </c>
    </row>
    <row r="3563" spans="1:5">
      <c r="A3563" s="12"/>
      <c r="E3563" s="57" t="str">
        <f ca="1">IFERROR(__xludf.DUMMYFUNCTION("""COMPUTED_VALUE"""),"")</f>
        <v/>
      </c>
    </row>
    <row r="3564" spans="1:5">
      <c r="A3564" s="12"/>
      <c r="E3564" s="57" t="str">
        <f ca="1">IFERROR(__xludf.DUMMYFUNCTION("""COMPUTED_VALUE"""),"")</f>
        <v/>
      </c>
    </row>
    <row r="3565" spans="1:5">
      <c r="A3565" s="12"/>
      <c r="E3565" s="57" t="str">
        <f ca="1">IFERROR(__xludf.DUMMYFUNCTION("""COMPUTED_VALUE"""),"")</f>
        <v/>
      </c>
    </row>
    <row r="3566" spans="1:5">
      <c r="A3566" s="12"/>
      <c r="E3566" s="57" t="str">
        <f ca="1">IFERROR(__xludf.DUMMYFUNCTION("""COMPUTED_VALUE"""),"")</f>
        <v/>
      </c>
    </row>
    <row r="3567" spans="1:5">
      <c r="A3567" s="12"/>
      <c r="E3567" s="57" t="str">
        <f ca="1">IFERROR(__xludf.DUMMYFUNCTION("""COMPUTED_VALUE"""),"")</f>
        <v/>
      </c>
    </row>
    <row r="3568" spans="1:5">
      <c r="A3568" s="12"/>
      <c r="E3568" s="57" t="str">
        <f ca="1">IFERROR(__xludf.DUMMYFUNCTION("""COMPUTED_VALUE"""),"")</f>
        <v/>
      </c>
    </row>
    <row r="3569" spans="1:5">
      <c r="A3569" s="12"/>
      <c r="E3569" s="57" t="str">
        <f ca="1">IFERROR(__xludf.DUMMYFUNCTION("""COMPUTED_VALUE"""),"")</f>
        <v/>
      </c>
    </row>
    <row r="3570" spans="1:5">
      <c r="A3570" s="12"/>
      <c r="E3570" s="57" t="str">
        <f ca="1">IFERROR(__xludf.DUMMYFUNCTION("""COMPUTED_VALUE"""),"")</f>
        <v/>
      </c>
    </row>
    <row r="3571" spans="1:5">
      <c r="A3571" s="12"/>
      <c r="E3571" s="57" t="str">
        <f ca="1">IFERROR(__xludf.DUMMYFUNCTION("""COMPUTED_VALUE"""),"")</f>
        <v/>
      </c>
    </row>
    <row r="3572" spans="1:5">
      <c r="A3572" s="12"/>
      <c r="E3572" s="57" t="str">
        <f ca="1">IFERROR(__xludf.DUMMYFUNCTION("""COMPUTED_VALUE"""),"")</f>
        <v/>
      </c>
    </row>
    <row r="3573" spans="1:5">
      <c r="A3573" s="12"/>
      <c r="E3573" s="57" t="str">
        <f ca="1">IFERROR(__xludf.DUMMYFUNCTION("""COMPUTED_VALUE"""),"")</f>
        <v/>
      </c>
    </row>
    <row r="3574" spans="1:5">
      <c r="A3574" s="12"/>
      <c r="E3574" s="57" t="str">
        <f ca="1">IFERROR(__xludf.DUMMYFUNCTION("""COMPUTED_VALUE"""),"")</f>
        <v/>
      </c>
    </row>
    <row r="3575" spans="1:5">
      <c r="A3575" s="12"/>
      <c r="E3575" s="57" t="str">
        <f ca="1">IFERROR(__xludf.DUMMYFUNCTION("""COMPUTED_VALUE"""),"")</f>
        <v/>
      </c>
    </row>
    <row r="3576" spans="1:5">
      <c r="A3576" s="12"/>
      <c r="E3576" s="57" t="str">
        <f ca="1">IFERROR(__xludf.DUMMYFUNCTION("""COMPUTED_VALUE"""),"")</f>
        <v/>
      </c>
    </row>
    <row r="3577" spans="1:5">
      <c r="A3577" s="12"/>
      <c r="E3577" s="57" t="str">
        <f ca="1">IFERROR(__xludf.DUMMYFUNCTION("""COMPUTED_VALUE"""),"")</f>
        <v/>
      </c>
    </row>
    <row r="3578" spans="1:5">
      <c r="A3578" s="12"/>
      <c r="E3578" s="57" t="str">
        <f ca="1">IFERROR(__xludf.DUMMYFUNCTION("""COMPUTED_VALUE"""),"")</f>
        <v/>
      </c>
    </row>
    <row r="3579" spans="1:5">
      <c r="A3579" s="12"/>
      <c r="E3579" s="57" t="str">
        <f ca="1">IFERROR(__xludf.DUMMYFUNCTION("""COMPUTED_VALUE"""),"")</f>
        <v/>
      </c>
    </row>
    <row r="3580" spans="1:5">
      <c r="A3580" s="12"/>
      <c r="E3580" s="57" t="str">
        <f ca="1">IFERROR(__xludf.DUMMYFUNCTION("""COMPUTED_VALUE"""),"")</f>
        <v/>
      </c>
    </row>
    <row r="3581" spans="1:5">
      <c r="A3581" s="12"/>
      <c r="E3581" s="57" t="str">
        <f ca="1">IFERROR(__xludf.DUMMYFUNCTION("""COMPUTED_VALUE"""),"")</f>
        <v/>
      </c>
    </row>
    <row r="3582" spans="1:5">
      <c r="A3582" s="12"/>
      <c r="E3582" s="57" t="str">
        <f ca="1">IFERROR(__xludf.DUMMYFUNCTION("""COMPUTED_VALUE"""),"")</f>
        <v/>
      </c>
    </row>
    <row r="3583" spans="1:5">
      <c r="A3583" s="12"/>
      <c r="E3583" s="57" t="str">
        <f ca="1">IFERROR(__xludf.DUMMYFUNCTION("""COMPUTED_VALUE"""),"")</f>
        <v/>
      </c>
    </row>
    <row r="3584" spans="1:5">
      <c r="A3584" s="12"/>
      <c r="E3584" s="57" t="str">
        <f ca="1">IFERROR(__xludf.DUMMYFUNCTION("""COMPUTED_VALUE"""),"")</f>
        <v/>
      </c>
    </row>
    <row r="3585" spans="1:5">
      <c r="A3585" s="12"/>
      <c r="E3585" s="57" t="str">
        <f ca="1">IFERROR(__xludf.DUMMYFUNCTION("""COMPUTED_VALUE"""),"")</f>
        <v/>
      </c>
    </row>
    <row r="3586" spans="1:5">
      <c r="A3586" s="12"/>
      <c r="E3586" s="57" t="str">
        <f ca="1">IFERROR(__xludf.DUMMYFUNCTION("""COMPUTED_VALUE"""),"")</f>
        <v/>
      </c>
    </row>
    <row r="3587" spans="1:5">
      <c r="A3587" s="12"/>
      <c r="E3587" s="57" t="str">
        <f ca="1">IFERROR(__xludf.DUMMYFUNCTION("""COMPUTED_VALUE"""),"")</f>
        <v/>
      </c>
    </row>
    <row r="3588" spans="1:5">
      <c r="A3588" s="12"/>
      <c r="E3588" s="57" t="str">
        <f ca="1">IFERROR(__xludf.DUMMYFUNCTION("""COMPUTED_VALUE"""),"")</f>
        <v/>
      </c>
    </row>
    <row r="3589" spans="1:5">
      <c r="A3589" s="12"/>
      <c r="E3589" s="57" t="str">
        <f ca="1">IFERROR(__xludf.DUMMYFUNCTION("""COMPUTED_VALUE"""),"")</f>
        <v/>
      </c>
    </row>
    <row r="3590" spans="1:5">
      <c r="A3590" s="12"/>
      <c r="E3590" s="57" t="str">
        <f ca="1">IFERROR(__xludf.DUMMYFUNCTION("""COMPUTED_VALUE"""),"")</f>
        <v/>
      </c>
    </row>
    <row r="3591" spans="1:5">
      <c r="A3591" s="12"/>
      <c r="E3591" s="57" t="str">
        <f ca="1">IFERROR(__xludf.DUMMYFUNCTION("""COMPUTED_VALUE"""),"")</f>
        <v/>
      </c>
    </row>
    <row r="3592" spans="1:5">
      <c r="A3592" s="12"/>
      <c r="E3592" s="57" t="str">
        <f ca="1">IFERROR(__xludf.DUMMYFUNCTION("""COMPUTED_VALUE"""),"")</f>
        <v/>
      </c>
    </row>
    <row r="3593" spans="1:5">
      <c r="A3593" s="12"/>
      <c r="E3593" s="57" t="str">
        <f ca="1">IFERROR(__xludf.DUMMYFUNCTION("""COMPUTED_VALUE"""),"")</f>
        <v/>
      </c>
    </row>
    <row r="3594" spans="1:5">
      <c r="A3594" s="12"/>
      <c r="E3594" s="57" t="str">
        <f ca="1">IFERROR(__xludf.DUMMYFUNCTION("""COMPUTED_VALUE"""),"")</f>
        <v/>
      </c>
    </row>
    <row r="3595" spans="1:5">
      <c r="A3595" s="12"/>
      <c r="E3595" s="57" t="str">
        <f ca="1">IFERROR(__xludf.DUMMYFUNCTION("""COMPUTED_VALUE"""),"")</f>
        <v/>
      </c>
    </row>
    <row r="3596" spans="1:5">
      <c r="A3596" s="12"/>
      <c r="E3596" s="57" t="str">
        <f ca="1">IFERROR(__xludf.DUMMYFUNCTION("""COMPUTED_VALUE"""),"")</f>
        <v/>
      </c>
    </row>
    <row r="3597" spans="1:5">
      <c r="A3597" s="12"/>
      <c r="E3597" s="57" t="str">
        <f ca="1">IFERROR(__xludf.DUMMYFUNCTION("""COMPUTED_VALUE"""),"")</f>
        <v/>
      </c>
    </row>
    <row r="3598" spans="1:5">
      <c r="A3598" s="12"/>
      <c r="E3598" s="57" t="str">
        <f ca="1">IFERROR(__xludf.DUMMYFUNCTION("""COMPUTED_VALUE"""),"")</f>
        <v/>
      </c>
    </row>
    <row r="3599" spans="1:5">
      <c r="A3599" s="12"/>
      <c r="E3599" s="57" t="str">
        <f ca="1">IFERROR(__xludf.DUMMYFUNCTION("""COMPUTED_VALUE"""),"")</f>
        <v/>
      </c>
    </row>
    <row r="3600" spans="1:5">
      <c r="A3600" s="12"/>
      <c r="E3600" s="57" t="str">
        <f ca="1">IFERROR(__xludf.DUMMYFUNCTION("""COMPUTED_VALUE"""),"")</f>
        <v/>
      </c>
    </row>
    <row r="3601" spans="1:5">
      <c r="A3601" s="12"/>
      <c r="E3601" s="57" t="str">
        <f ca="1">IFERROR(__xludf.DUMMYFUNCTION("""COMPUTED_VALUE"""),"")</f>
        <v/>
      </c>
    </row>
    <row r="3602" spans="1:5">
      <c r="A3602" s="12"/>
      <c r="E3602" s="57" t="str">
        <f ca="1">IFERROR(__xludf.DUMMYFUNCTION("""COMPUTED_VALUE"""),"")</f>
        <v/>
      </c>
    </row>
    <row r="3603" spans="1:5">
      <c r="A3603" s="12"/>
      <c r="E3603" s="57" t="str">
        <f ca="1">IFERROR(__xludf.DUMMYFUNCTION("""COMPUTED_VALUE"""),"")</f>
        <v/>
      </c>
    </row>
    <row r="3604" spans="1:5">
      <c r="A3604" s="12"/>
      <c r="E3604" s="57" t="str">
        <f ca="1">IFERROR(__xludf.DUMMYFUNCTION("""COMPUTED_VALUE"""),"")</f>
        <v/>
      </c>
    </row>
    <row r="3605" spans="1:5">
      <c r="A3605" s="12"/>
      <c r="E3605" s="57" t="str">
        <f ca="1">IFERROR(__xludf.DUMMYFUNCTION("""COMPUTED_VALUE"""),"")</f>
        <v/>
      </c>
    </row>
    <row r="3606" spans="1:5">
      <c r="A3606" s="12"/>
      <c r="E3606" s="57" t="str">
        <f ca="1">IFERROR(__xludf.DUMMYFUNCTION("""COMPUTED_VALUE"""),"")</f>
        <v/>
      </c>
    </row>
    <row r="3607" spans="1:5">
      <c r="A3607" s="12"/>
      <c r="E3607" s="57" t="str">
        <f ca="1">IFERROR(__xludf.DUMMYFUNCTION("""COMPUTED_VALUE"""),"")</f>
        <v/>
      </c>
    </row>
    <row r="3608" spans="1:5">
      <c r="A3608" s="12"/>
      <c r="E3608" s="57" t="str">
        <f ca="1">IFERROR(__xludf.DUMMYFUNCTION("""COMPUTED_VALUE"""),"")</f>
        <v/>
      </c>
    </row>
    <row r="3609" spans="1:5">
      <c r="A3609" s="12"/>
      <c r="E3609" s="57" t="str">
        <f ca="1">IFERROR(__xludf.DUMMYFUNCTION("""COMPUTED_VALUE"""),"")</f>
        <v/>
      </c>
    </row>
    <row r="3610" spans="1:5">
      <c r="A3610" s="12"/>
      <c r="E3610" s="57" t="str">
        <f ca="1">IFERROR(__xludf.DUMMYFUNCTION("""COMPUTED_VALUE"""),"")</f>
        <v/>
      </c>
    </row>
    <row r="3611" spans="1:5">
      <c r="A3611" s="12"/>
      <c r="E3611" s="57" t="str">
        <f ca="1">IFERROR(__xludf.DUMMYFUNCTION("""COMPUTED_VALUE"""),"")</f>
        <v/>
      </c>
    </row>
    <row r="3612" spans="1:5">
      <c r="A3612" s="12"/>
      <c r="E3612" s="57" t="str">
        <f ca="1">IFERROR(__xludf.DUMMYFUNCTION("""COMPUTED_VALUE"""),"")</f>
        <v/>
      </c>
    </row>
    <row r="3613" spans="1:5">
      <c r="A3613" s="12"/>
      <c r="E3613" s="57" t="str">
        <f ca="1">IFERROR(__xludf.DUMMYFUNCTION("""COMPUTED_VALUE"""),"")</f>
        <v/>
      </c>
    </row>
    <row r="3614" spans="1:5">
      <c r="A3614" s="12"/>
      <c r="E3614" s="57" t="str">
        <f ca="1">IFERROR(__xludf.DUMMYFUNCTION("""COMPUTED_VALUE"""),"")</f>
        <v/>
      </c>
    </row>
    <row r="3615" spans="1:5">
      <c r="A3615" s="12"/>
      <c r="E3615" s="57" t="str">
        <f ca="1">IFERROR(__xludf.DUMMYFUNCTION("""COMPUTED_VALUE"""),"")</f>
        <v/>
      </c>
    </row>
    <row r="3616" spans="1:5">
      <c r="A3616" s="12"/>
      <c r="E3616" s="57" t="str">
        <f ca="1">IFERROR(__xludf.DUMMYFUNCTION("""COMPUTED_VALUE"""),"")</f>
        <v/>
      </c>
    </row>
    <row r="3617" spans="1:5">
      <c r="A3617" s="12"/>
      <c r="E3617" s="57" t="str">
        <f ca="1">IFERROR(__xludf.DUMMYFUNCTION("""COMPUTED_VALUE"""),"")</f>
        <v/>
      </c>
    </row>
    <row r="3618" spans="1:5">
      <c r="A3618" s="12"/>
      <c r="E3618" s="57" t="str">
        <f ca="1">IFERROR(__xludf.DUMMYFUNCTION("""COMPUTED_VALUE"""),"")</f>
        <v/>
      </c>
    </row>
    <row r="3619" spans="1:5">
      <c r="A3619" s="12"/>
      <c r="E3619" s="57" t="str">
        <f ca="1">IFERROR(__xludf.DUMMYFUNCTION("""COMPUTED_VALUE"""),"")</f>
        <v/>
      </c>
    </row>
    <row r="3620" spans="1:5">
      <c r="A3620" s="12"/>
      <c r="E3620" s="57" t="str">
        <f ca="1">IFERROR(__xludf.DUMMYFUNCTION("""COMPUTED_VALUE"""),"")</f>
        <v/>
      </c>
    </row>
    <row r="3621" spans="1:5">
      <c r="A3621" s="12"/>
      <c r="E3621" s="57" t="str">
        <f ca="1">IFERROR(__xludf.DUMMYFUNCTION("""COMPUTED_VALUE"""),"")</f>
        <v/>
      </c>
    </row>
    <row r="3622" spans="1:5">
      <c r="A3622" s="12"/>
      <c r="E3622" s="57" t="str">
        <f ca="1">IFERROR(__xludf.DUMMYFUNCTION("""COMPUTED_VALUE"""),"")</f>
        <v/>
      </c>
    </row>
    <row r="3623" spans="1:5">
      <c r="A3623" s="12"/>
      <c r="E3623" s="57" t="str">
        <f ca="1">IFERROR(__xludf.DUMMYFUNCTION("""COMPUTED_VALUE"""),"")</f>
        <v/>
      </c>
    </row>
    <row r="3624" spans="1:5">
      <c r="A3624" s="12"/>
      <c r="E3624" s="57" t="str">
        <f ca="1">IFERROR(__xludf.DUMMYFUNCTION("""COMPUTED_VALUE"""),"")</f>
        <v/>
      </c>
    </row>
    <row r="3625" spans="1:5">
      <c r="A3625" s="12"/>
      <c r="E3625" s="57" t="str">
        <f ca="1">IFERROR(__xludf.DUMMYFUNCTION("""COMPUTED_VALUE"""),"")</f>
        <v/>
      </c>
    </row>
    <row r="3626" spans="1:5">
      <c r="A3626" s="12"/>
      <c r="E3626" s="57" t="str">
        <f ca="1">IFERROR(__xludf.DUMMYFUNCTION("""COMPUTED_VALUE"""),"")</f>
        <v/>
      </c>
    </row>
    <row r="3627" spans="1:5">
      <c r="A3627" s="12"/>
      <c r="E3627" s="57" t="str">
        <f ca="1">IFERROR(__xludf.DUMMYFUNCTION("""COMPUTED_VALUE"""),"")</f>
        <v/>
      </c>
    </row>
    <row r="3628" spans="1:5">
      <c r="A3628" s="12"/>
      <c r="E3628" s="57" t="str">
        <f ca="1">IFERROR(__xludf.DUMMYFUNCTION("""COMPUTED_VALUE"""),"")</f>
        <v/>
      </c>
    </row>
    <row r="3629" spans="1:5">
      <c r="A3629" s="12"/>
      <c r="E3629" s="57" t="str">
        <f ca="1">IFERROR(__xludf.DUMMYFUNCTION("""COMPUTED_VALUE"""),"")</f>
        <v/>
      </c>
    </row>
    <row r="3630" spans="1:5">
      <c r="A3630" s="12"/>
      <c r="E3630" s="57" t="str">
        <f ca="1">IFERROR(__xludf.DUMMYFUNCTION("""COMPUTED_VALUE"""),"")</f>
        <v/>
      </c>
    </row>
    <row r="3631" spans="1:5">
      <c r="A3631" s="12"/>
      <c r="E3631" s="57" t="str">
        <f ca="1">IFERROR(__xludf.DUMMYFUNCTION("""COMPUTED_VALUE"""),"")</f>
        <v/>
      </c>
    </row>
    <row r="3632" spans="1:5">
      <c r="A3632" s="12"/>
      <c r="E3632" s="57" t="str">
        <f ca="1">IFERROR(__xludf.DUMMYFUNCTION("""COMPUTED_VALUE"""),"")</f>
        <v/>
      </c>
    </row>
    <row r="3633" spans="1:5">
      <c r="A3633" s="12"/>
      <c r="E3633" s="57" t="str">
        <f ca="1">IFERROR(__xludf.DUMMYFUNCTION("""COMPUTED_VALUE"""),"")</f>
        <v/>
      </c>
    </row>
    <row r="3634" spans="1:5">
      <c r="A3634" s="12"/>
      <c r="E3634" s="57" t="str">
        <f ca="1">IFERROR(__xludf.DUMMYFUNCTION("""COMPUTED_VALUE"""),"")</f>
        <v/>
      </c>
    </row>
    <row r="3635" spans="1:5">
      <c r="A3635" s="12"/>
      <c r="E3635" s="57" t="str">
        <f ca="1">IFERROR(__xludf.DUMMYFUNCTION("""COMPUTED_VALUE"""),"")</f>
        <v/>
      </c>
    </row>
    <row r="3636" spans="1:5">
      <c r="A3636" s="12"/>
      <c r="E3636" s="57" t="str">
        <f ca="1">IFERROR(__xludf.DUMMYFUNCTION("""COMPUTED_VALUE"""),"")</f>
        <v/>
      </c>
    </row>
    <row r="3637" spans="1:5">
      <c r="A3637" s="12"/>
      <c r="E3637" s="57" t="str">
        <f ca="1">IFERROR(__xludf.DUMMYFUNCTION("""COMPUTED_VALUE"""),"")</f>
        <v/>
      </c>
    </row>
    <row r="3638" spans="1:5">
      <c r="A3638" s="12"/>
      <c r="E3638" s="57" t="str">
        <f ca="1">IFERROR(__xludf.DUMMYFUNCTION("""COMPUTED_VALUE"""),"")</f>
        <v/>
      </c>
    </row>
    <row r="3639" spans="1:5">
      <c r="A3639" s="12"/>
      <c r="E3639" s="57" t="str">
        <f ca="1">IFERROR(__xludf.DUMMYFUNCTION("""COMPUTED_VALUE"""),"")</f>
        <v/>
      </c>
    </row>
    <row r="3640" spans="1:5">
      <c r="A3640" s="12"/>
      <c r="E3640" s="57" t="str">
        <f ca="1">IFERROR(__xludf.DUMMYFUNCTION("""COMPUTED_VALUE"""),"")</f>
        <v/>
      </c>
    </row>
    <row r="3641" spans="1:5">
      <c r="A3641" s="12"/>
      <c r="E3641" s="57" t="str">
        <f ca="1">IFERROR(__xludf.DUMMYFUNCTION("""COMPUTED_VALUE"""),"")</f>
        <v/>
      </c>
    </row>
    <row r="3642" spans="1:5">
      <c r="A3642" s="12"/>
      <c r="E3642" s="57" t="str">
        <f ca="1">IFERROR(__xludf.DUMMYFUNCTION("""COMPUTED_VALUE"""),"")</f>
        <v/>
      </c>
    </row>
    <row r="3643" spans="1:5">
      <c r="A3643" s="12"/>
      <c r="E3643" s="57" t="str">
        <f ca="1">IFERROR(__xludf.DUMMYFUNCTION("""COMPUTED_VALUE"""),"")</f>
        <v/>
      </c>
    </row>
    <row r="3644" spans="1:5">
      <c r="A3644" s="12"/>
      <c r="E3644" s="57" t="str">
        <f ca="1">IFERROR(__xludf.DUMMYFUNCTION("""COMPUTED_VALUE"""),"")</f>
        <v/>
      </c>
    </row>
    <row r="3645" spans="1:5">
      <c r="A3645" s="12"/>
      <c r="E3645" s="57" t="str">
        <f ca="1">IFERROR(__xludf.DUMMYFUNCTION("""COMPUTED_VALUE"""),"")</f>
        <v/>
      </c>
    </row>
    <row r="3646" spans="1:5">
      <c r="A3646" s="12"/>
      <c r="E3646" s="57" t="str">
        <f ca="1">IFERROR(__xludf.DUMMYFUNCTION("""COMPUTED_VALUE"""),"")</f>
        <v/>
      </c>
    </row>
    <row r="3647" spans="1:5">
      <c r="A3647" s="12"/>
      <c r="E3647" s="57" t="str">
        <f ca="1">IFERROR(__xludf.DUMMYFUNCTION("""COMPUTED_VALUE"""),"")</f>
        <v/>
      </c>
    </row>
    <row r="3648" spans="1:5">
      <c r="A3648" s="12"/>
      <c r="E3648" s="57" t="str">
        <f ca="1">IFERROR(__xludf.DUMMYFUNCTION("""COMPUTED_VALUE"""),"")</f>
        <v/>
      </c>
    </row>
    <row r="3649" spans="1:5">
      <c r="A3649" s="12"/>
      <c r="E3649" s="57" t="str">
        <f ca="1">IFERROR(__xludf.DUMMYFUNCTION("""COMPUTED_VALUE"""),"")</f>
        <v/>
      </c>
    </row>
    <row r="3650" spans="1:5">
      <c r="A3650" s="12"/>
      <c r="E3650" s="57" t="str">
        <f ca="1">IFERROR(__xludf.DUMMYFUNCTION("""COMPUTED_VALUE"""),"")</f>
        <v/>
      </c>
    </row>
    <row r="3651" spans="1:5">
      <c r="A3651" s="12"/>
      <c r="E3651" s="57" t="str">
        <f ca="1">IFERROR(__xludf.DUMMYFUNCTION("""COMPUTED_VALUE"""),"")</f>
        <v/>
      </c>
    </row>
    <row r="3652" spans="1:5">
      <c r="A3652" s="12"/>
      <c r="E3652" s="57" t="str">
        <f ca="1">IFERROR(__xludf.DUMMYFUNCTION("""COMPUTED_VALUE"""),"")</f>
        <v/>
      </c>
    </row>
    <row r="3653" spans="1:5">
      <c r="A3653" s="12"/>
      <c r="E3653" s="57" t="str">
        <f ca="1">IFERROR(__xludf.DUMMYFUNCTION("""COMPUTED_VALUE"""),"")</f>
        <v/>
      </c>
    </row>
    <row r="3654" spans="1:5">
      <c r="A3654" s="12"/>
      <c r="E3654" s="57" t="str">
        <f ca="1">IFERROR(__xludf.DUMMYFUNCTION("""COMPUTED_VALUE"""),"")</f>
        <v/>
      </c>
    </row>
    <row r="3655" spans="1:5">
      <c r="A3655" s="12"/>
      <c r="E3655" s="57" t="str">
        <f ca="1">IFERROR(__xludf.DUMMYFUNCTION("""COMPUTED_VALUE"""),"")</f>
        <v/>
      </c>
    </row>
    <row r="3656" spans="1:5">
      <c r="A3656" s="12"/>
      <c r="E3656" s="57" t="str">
        <f ca="1">IFERROR(__xludf.DUMMYFUNCTION("""COMPUTED_VALUE"""),"")</f>
        <v/>
      </c>
    </row>
    <row r="3657" spans="1:5">
      <c r="A3657" s="12"/>
      <c r="E3657" s="57" t="str">
        <f ca="1">IFERROR(__xludf.DUMMYFUNCTION("""COMPUTED_VALUE"""),"")</f>
        <v/>
      </c>
    </row>
    <row r="3658" spans="1:5">
      <c r="A3658" s="12"/>
      <c r="E3658" s="57" t="str">
        <f ca="1">IFERROR(__xludf.DUMMYFUNCTION("""COMPUTED_VALUE"""),"")</f>
        <v/>
      </c>
    </row>
    <row r="3659" spans="1:5">
      <c r="A3659" s="12"/>
      <c r="E3659" s="57" t="str">
        <f ca="1">IFERROR(__xludf.DUMMYFUNCTION("""COMPUTED_VALUE"""),"")</f>
        <v/>
      </c>
    </row>
    <row r="3660" spans="1:5">
      <c r="A3660" s="12"/>
      <c r="E3660" s="57" t="str">
        <f ca="1">IFERROR(__xludf.DUMMYFUNCTION("""COMPUTED_VALUE"""),"")</f>
        <v/>
      </c>
    </row>
    <row r="3661" spans="1:5">
      <c r="A3661" s="12"/>
      <c r="E3661" s="57" t="str">
        <f ca="1">IFERROR(__xludf.DUMMYFUNCTION("""COMPUTED_VALUE"""),"")</f>
        <v/>
      </c>
    </row>
    <row r="3662" spans="1:5">
      <c r="A3662" s="12"/>
      <c r="E3662" s="57" t="str">
        <f ca="1">IFERROR(__xludf.DUMMYFUNCTION("""COMPUTED_VALUE"""),"")</f>
        <v/>
      </c>
    </row>
    <row r="3663" spans="1:5">
      <c r="A3663" s="12"/>
      <c r="E3663" s="57" t="str">
        <f ca="1">IFERROR(__xludf.DUMMYFUNCTION("""COMPUTED_VALUE"""),"")</f>
        <v/>
      </c>
    </row>
    <row r="3664" spans="1:5">
      <c r="A3664" s="12"/>
      <c r="E3664" s="57" t="str">
        <f ca="1">IFERROR(__xludf.DUMMYFUNCTION("""COMPUTED_VALUE"""),"")</f>
        <v/>
      </c>
    </row>
    <row r="3665" spans="1:5">
      <c r="A3665" s="12"/>
      <c r="E3665" s="57" t="str">
        <f ca="1">IFERROR(__xludf.DUMMYFUNCTION("""COMPUTED_VALUE"""),"")</f>
        <v/>
      </c>
    </row>
    <row r="3666" spans="1:5">
      <c r="A3666" s="12"/>
      <c r="E3666" s="57" t="str">
        <f ca="1">IFERROR(__xludf.DUMMYFUNCTION("""COMPUTED_VALUE"""),"")</f>
        <v/>
      </c>
    </row>
    <row r="3667" spans="1:5">
      <c r="A3667" s="12"/>
      <c r="E3667" s="57" t="str">
        <f ca="1">IFERROR(__xludf.DUMMYFUNCTION("""COMPUTED_VALUE"""),"")</f>
        <v/>
      </c>
    </row>
    <row r="3668" spans="1:5">
      <c r="A3668" s="12"/>
      <c r="E3668" s="57" t="str">
        <f ca="1">IFERROR(__xludf.DUMMYFUNCTION("""COMPUTED_VALUE"""),"")</f>
        <v/>
      </c>
    </row>
    <row r="3669" spans="1:5">
      <c r="A3669" s="12"/>
      <c r="E3669" s="57" t="str">
        <f ca="1">IFERROR(__xludf.DUMMYFUNCTION("""COMPUTED_VALUE"""),"")</f>
        <v/>
      </c>
    </row>
    <row r="3670" spans="1:5">
      <c r="A3670" s="12"/>
      <c r="E3670" s="57" t="str">
        <f ca="1">IFERROR(__xludf.DUMMYFUNCTION("""COMPUTED_VALUE"""),"")</f>
        <v/>
      </c>
    </row>
    <row r="3671" spans="1:5">
      <c r="A3671" s="12"/>
      <c r="E3671" s="57" t="str">
        <f ca="1">IFERROR(__xludf.DUMMYFUNCTION("""COMPUTED_VALUE"""),"")</f>
        <v/>
      </c>
    </row>
    <row r="3672" spans="1:5">
      <c r="A3672" s="12"/>
      <c r="E3672" s="57" t="str">
        <f ca="1">IFERROR(__xludf.DUMMYFUNCTION("""COMPUTED_VALUE"""),"")</f>
        <v/>
      </c>
    </row>
    <row r="3673" spans="1:5">
      <c r="A3673" s="12"/>
      <c r="E3673" s="57" t="str">
        <f ca="1">IFERROR(__xludf.DUMMYFUNCTION("""COMPUTED_VALUE"""),"")</f>
        <v/>
      </c>
    </row>
    <row r="3674" spans="1:5">
      <c r="A3674" s="12"/>
      <c r="E3674" s="57" t="str">
        <f ca="1">IFERROR(__xludf.DUMMYFUNCTION("""COMPUTED_VALUE"""),"")</f>
        <v/>
      </c>
    </row>
    <row r="3675" spans="1:5">
      <c r="A3675" s="12"/>
      <c r="E3675" s="57" t="str">
        <f ca="1">IFERROR(__xludf.DUMMYFUNCTION("""COMPUTED_VALUE"""),"")</f>
        <v/>
      </c>
    </row>
    <row r="3676" spans="1:5">
      <c r="A3676" s="12"/>
      <c r="E3676" s="57" t="str">
        <f ca="1">IFERROR(__xludf.DUMMYFUNCTION("""COMPUTED_VALUE"""),"")</f>
        <v/>
      </c>
    </row>
    <row r="3677" spans="1:5">
      <c r="A3677" s="12"/>
      <c r="E3677" s="57" t="str">
        <f ca="1">IFERROR(__xludf.DUMMYFUNCTION("""COMPUTED_VALUE"""),"")</f>
        <v/>
      </c>
    </row>
    <row r="3678" spans="1:5">
      <c r="A3678" s="12"/>
      <c r="E3678" s="57" t="str">
        <f ca="1">IFERROR(__xludf.DUMMYFUNCTION("""COMPUTED_VALUE"""),"")</f>
        <v/>
      </c>
    </row>
    <row r="3679" spans="1:5">
      <c r="A3679" s="12"/>
      <c r="E3679" s="57" t="str">
        <f ca="1">IFERROR(__xludf.DUMMYFUNCTION("""COMPUTED_VALUE"""),"")</f>
        <v/>
      </c>
    </row>
    <row r="3680" spans="1:5">
      <c r="A3680" s="12"/>
      <c r="E3680" s="57" t="str">
        <f ca="1">IFERROR(__xludf.DUMMYFUNCTION("""COMPUTED_VALUE"""),"")</f>
        <v/>
      </c>
    </row>
    <row r="3681" spans="1:5">
      <c r="A3681" s="12"/>
      <c r="E3681" s="57" t="str">
        <f ca="1">IFERROR(__xludf.DUMMYFUNCTION("""COMPUTED_VALUE"""),"")</f>
        <v/>
      </c>
    </row>
    <row r="3682" spans="1:5">
      <c r="A3682" s="12"/>
      <c r="E3682" s="57" t="str">
        <f ca="1">IFERROR(__xludf.DUMMYFUNCTION("""COMPUTED_VALUE"""),"")</f>
        <v/>
      </c>
    </row>
    <row r="3683" spans="1:5">
      <c r="A3683" s="12"/>
      <c r="E3683" s="57" t="str">
        <f ca="1">IFERROR(__xludf.DUMMYFUNCTION("""COMPUTED_VALUE"""),"")</f>
        <v/>
      </c>
    </row>
    <row r="3684" spans="1:5">
      <c r="A3684" s="12"/>
      <c r="E3684" s="57" t="str">
        <f ca="1">IFERROR(__xludf.DUMMYFUNCTION("""COMPUTED_VALUE"""),"")</f>
        <v/>
      </c>
    </row>
    <row r="3685" spans="1:5">
      <c r="A3685" s="12"/>
      <c r="E3685" s="57" t="str">
        <f ca="1">IFERROR(__xludf.DUMMYFUNCTION("""COMPUTED_VALUE"""),"")</f>
        <v/>
      </c>
    </row>
    <row r="3686" spans="1:5">
      <c r="A3686" s="12"/>
      <c r="E3686" s="57" t="str">
        <f ca="1">IFERROR(__xludf.DUMMYFUNCTION("""COMPUTED_VALUE"""),"")</f>
        <v/>
      </c>
    </row>
    <row r="3687" spans="1:5">
      <c r="A3687" s="12"/>
      <c r="E3687" s="57" t="str">
        <f ca="1">IFERROR(__xludf.DUMMYFUNCTION("""COMPUTED_VALUE"""),"")</f>
        <v/>
      </c>
    </row>
    <row r="3688" spans="1:5">
      <c r="A3688" s="12"/>
      <c r="E3688" s="57" t="str">
        <f ca="1">IFERROR(__xludf.DUMMYFUNCTION("""COMPUTED_VALUE"""),"")</f>
        <v/>
      </c>
    </row>
    <row r="3689" spans="1:5">
      <c r="A3689" s="12"/>
      <c r="E3689" s="57" t="str">
        <f ca="1">IFERROR(__xludf.DUMMYFUNCTION("""COMPUTED_VALUE"""),"")</f>
        <v/>
      </c>
    </row>
    <row r="3690" spans="1:5">
      <c r="A3690" s="12"/>
      <c r="E3690" s="57" t="str">
        <f ca="1">IFERROR(__xludf.DUMMYFUNCTION("""COMPUTED_VALUE"""),"")</f>
        <v/>
      </c>
    </row>
    <row r="3691" spans="1:5">
      <c r="A3691" s="12"/>
      <c r="E3691" s="57" t="str">
        <f ca="1">IFERROR(__xludf.DUMMYFUNCTION("""COMPUTED_VALUE"""),"")</f>
        <v/>
      </c>
    </row>
    <row r="3692" spans="1:5">
      <c r="A3692" s="12"/>
      <c r="E3692" s="57" t="str">
        <f ca="1">IFERROR(__xludf.DUMMYFUNCTION("""COMPUTED_VALUE"""),"")</f>
        <v/>
      </c>
    </row>
    <row r="3693" spans="1:5">
      <c r="A3693" s="12"/>
      <c r="E3693" s="57" t="str">
        <f ca="1">IFERROR(__xludf.DUMMYFUNCTION("""COMPUTED_VALUE"""),"")</f>
        <v/>
      </c>
    </row>
    <row r="3694" spans="1:5">
      <c r="A3694" s="12"/>
      <c r="E3694" s="57" t="str">
        <f ca="1">IFERROR(__xludf.DUMMYFUNCTION("""COMPUTED_VALUE"""),"")</f>
        <v/>
      </c>
    </row>
    <row r="3695" spans="1:5">
      <c r="A3695" s="12"/>
      <c r="E3695" s="57" t="str">
        <f ca="1">IFERROR(__xludf.DUMMYFUNCTION("""COMPUTED_VALUE"""),"")</f>
        <v/>
      </c>
    </row>
    <row r="3696" spans="1:5">
      <c r="A3696" s="12"/>
      <c r="E3696" s="57" t="str">
        <f ca="1">IFERROR(__xludf.DUMMYFUNCTION("""COMPUTED_VALUE"""),"")</f>
        <v/>
      </c>
    </row>
    <row r="3697" spans="1:5">
      <c r="A3697" s="12"/>
      <c r="E3697" s="57" t="str">
        <f ca="1">IFERROR(__xludf.DUMMYFUNCTION("""COMPUTED_VALUE"""),"")</f>
        <v/>
      </c>
    </row>
    <row r="3698" spans="1:5">
      <c r="A3698" s="12"/>
      <c r="E3698" s="57" t="str">
        <f ca="1">IFERROR(__xludf.DUMMYFUNCTION("""COMPUTED_VALUE"""),"")</f>
        <v/>
      </c>
    </row>
    <row r="3699" spans="1:5">
      <c r="A3699" s="12"/>
      <c r="E3699" s="57" t="str">
        <f ca="1">IFERROR(__xludf.DUMMYFUNCTION("""COMPUTED_VALUE"""),"")</f>
        <v/>
      </c>
    </row>
    <row r="3700" spans="1:5">
      <c r="A3700" s="12"/>
      <c r="E3700" s="57" t="str">
        <f ca="1">IFERROR(__xludf.DUMMYFUNCTION("""COMPUTED_VALUE"""),"")</f>
        <v/>
      </c>
    </row>
    <row r="3701" spans="1:5">
      <c r="A3701" s="12"/>
      <c r="E3701" s="57" t="str">
        <f ca="1">IFERROR(__xludf.DUMMYFUNCTION("""COMPUTED_VALUE"""),"")</f>
        <v/>
      </c>
    </row>
    <row r="3702" spans="1:5">
      <c r="A3702" s="12"/>
      <c r="E3702" s="57" t="str">
        <f ca="1">IFERROR(__xludf.DUMMYFUNCTION("""COMPUTED_VALUE"""),"")</f>
        <v/>
      </c>
    </row>
    <row r="3703" spans="1:5">
      <c r="A3703" s="12"/>
      <c r="E3703" s="57" t="str">
        <f ca="1">IFERROR(__xludf.DUMMYFUNCTION("""COMPUTED_VALUE"""),"")</f>
        <v/>
      </c>
    </row>
    <row r="3704" spans="1:5">
      <c r="A3704" s="12"/>
      <c r="E3704" s="57" t="str">
        <f ca="1">IFERROR(__xludf.DUMMYFUNCTION("""COMPUTED_VALUE"""),"")</f>
        <v/>
      </c>
    </row>
    <row r="3705" spans="1:5">
      <c r="A3705" s="12"/>
      <c r="E3705" s="57" t="str">
        <f ca="1">IFERROR(__xludf.DUMMYFUNCTION("""COMPUTED_VALUE"""),"")</f>
        <v/>
      </c>
    </row>
    <row r="3706" spans="1:5">
      <c r="A3706" s="12"/>
      <c r="E3706" s="57" t="str">
        <f ca="1">IFERROR(__xludf.DUMMYFUNCTION("""COMPUTED_VALUE"""),"")</f>
        <v/>
      </c>
    </row>
    <row r="3707" spans="1:5">
      <c r="A3707" s="12"/>
      <c r="E3707" s="57" t="str">
        <f ca="1">IFERROR(__xludf.DUMMYFUNCTION("""COMPUTED_VALUE"""),"")</f>
        <v/>
      </c>
    </row>
    <row r="3708" spans="1:5">
      <c r="A3708" s="12"/>
      <c r="E3708" s="57" t="str">
        <f ca="1">IFERROR(__xludf.DUMMYFUNCTION("""COMPUTED_VALUE"""),"")</f>
        <v/>
      </c>
    </row>
    <row r="3709" spans="1:5">
      <c r="A3709" s="12"/>
      <c r="E3709" s="57" t="str">
        <f ca="1">IFERROR(__xludf.DUMMYFUNCTION("""COMPUTED_VALUE"""),"")</f>
        <v/>
      </c>
    </row>
    <row r="3710" spans="1:5">
      <c r="A3710" s="12"/>
      <c r="E3710" s="57" t="str">
        <f ca="1">IFERROR(__xludf.DUMMYFUNCTION("""COMPUTED_VALUE"""),"")</f>
        <v/>
      </c>
    </row>
    <row r="3711" spans="1:5">
      <c r="A3711" s="12"/>
      <c r="E3711" s="57" t="str">
        <f ca="1">IFERROR(__xludf.DUMMYFUNCTION("""COMPUTED_VALUE"""),"")</f>
        <v/>
      </c>
    </row>
    <row r="3712" spans="1:5">
      <c r="A3712" s="12"/>
      <c r="E3712" s="57" t="str">
        <f ca="1">IFERROR(__xludf.DUMMYFUNCTION("""COMPUTED_VALUE"""),"")</f>
        <v/>
      </c>
    </row>
    <row r="3713" spans="1:5">
      <c r="A3713" s="12"/>
      <c r="E3713" s="57" t="str">
        <f ca="1">IFERROR(__xludf.DUMMYFUNCTION("""COMPUTED_VALUE"""),"")</f>
        <v/>
      </c>
    </row>
    <row r="3714" spans="1:5">
      <c r="A3714" s="12"/>
      <c r="E3714" s="57" t="str">
        <f ca="1">IFERROR(__xludf.DUMMYFUNCTION("""COMPUTED_VALUE"""),"")</f>
        <v/>
      </c>
    </row>
    <row r="3715" spans="1:5">
      <c r="A3715" s="12"/>
      <c r="E3715" s="57" t="str">
        <f ca="1">IFERROR(__xludf.DUMMYFUNCTION("""COMPUTED_VALUE"""),"")</f>
        <v/>
      </c>
    </row>
    <row r="3716" spans="1:5">
      <c r="A3716" s="12"/>
      <c r="E3716" s="57" t="str">
        <f ca="1">IFERROR(__xludf.DUMMYFUNCTION("""COMPUTED_VALUE"""),"")</f>
        <v/>
      </c>
    </row>
    <row r="3717" spans="1:5">
      <c r="A3717" s="12"/>
      <c r="E3717" s="57" t="str">
        <f ca="1">IFERROR(__xludf.DUMMYFUNCTION("""COMPUTED_VALUE"""),"")</f>
        <v/>
      </c>
    </row>
    <row r="3718" spans="1:5">
      <c r="A3718" s="12"/>
      <c r="E3718" s="57" t="str">
        <f ca="1">IFERROR(__xludf.DUMMYFUNCTION("""COMPUTED_VALUE"""),"")</f>
        <v/>
      </c>
    </row>
    <row r="3719" spans="1:5">
      <c r="A3719" s="12"/>
      <c r="E3719" s="57" t="str">
        <f ca="1">IFERROR(__xludf.DUMMYFUNCTION("""COMPUTED_VALUE"""),"")</f>
        <v/>
      </c>
    </row>
    <row r="3720" spans="1:5">
      <c r="A3720" s="12"/>
      <c r="E3720" s="57" t="str">
        <f ca="1">IFERROR(__xludf.DUMMYFUNCTION("""COMPUTED_VALUE"""),"")</f>
        <v/>
      </c>
    </row>
    <row r="3721" spans="1:5">
      <c r="A3721" s="12"/>
      <c r="E3721" s="57" t="str">
        <f ca="1">IFERROR(__xludf.DUMMYFUNCTION("""COMPUTED_VALUE"""),"")</f>
        <v/>
      </c>
    </row>
    <row r="3722" spans="1:5">
      <c r="A3722" s="12"/>
      <c r="E3722" s="57" t="str">
        <f ca="1">IFERROR(__xludf.DUMMYFUNCTION("""COMPUTED_VALUE"""),"")</f>
        <v/>
      </c>
    </row>
    <row r="3723" spans="1:5">
      <c r="A3723" s="12"/>
      <c r="E3723" s="57" t="str">
        <f ca="1">IFERROR(__xludf.DUMMYFUNCTION("""COMPUTED_VALUE"""),"")</f>
        <v/>
      </c>
    </row>
    <row r="3724" spans="1:5">
      <c r="A3724" s="12"/>
      <c r="E3724" s="57" t="str">
        <f ca="1">IFERROR(__xludf.DUMMYFUNCTION("""COMPUTED_VALUE"""),"")</f>
        <v/>
      </c>
    </row>
    <row r="3725" spans="1:5">
      <c r="A3725" s="12"/>
      <c r="E3725" s="57" t="str">
        <f ca="1">IFERROR(__xludf.DUMMYFUNCTION("""COMPUTED_VALUE"""),"")</f>
        <v/>
      </c>
    </row>
    <row r="3726" spans="1:5">
      <c r="A3726" s="12"/>
      <c r="E3726" s="57" t="str">
        <f ca="1">IFERROR(__xludf.DUMMYFUNCTION("""COMPUTED_VALUE"""),"")</f>
        <v/>
      </c>
    </row>
    <row r="3727" spans="1:5">
      <c r="A3727" s="12"/>
      <c r="E3727" s="57" t="str">
        <f ca="1">IFERROR(__xludf.DUMMYFUNCTION("""COMPUTED_VALUE"""),"")</f>
        <v/>
      </c>
    </row>
    <row r="3728" spans="1:5">
      <c r="A3728" s="12"/>
      <c r="E3728" s="57" t="str">
        <f ca="1">IFERROR(__xludf.DUMMYFUNCTION("""COMPUTED_VALUE"""),"")</f>
        <v/>
      </c>
    </row>
    <row r="3729" spans="1:5">
      <c r="A3729" s="12"/>
      <c r="E3729" s="57" t="str">
        <f ca="1">IFERROR(__xludf.DUMMYFUNCTION("""COMPUTED_VALUE"""),"")</f>
        <v/>
      </c>
    </row>
    <row r="3730" spans="1:5">
      <c r="A3730" s="12"/>
      <c r="E3730" s="57" t="str">
        <f ca="1">IFERROR(__xludf.DUMMYFUNCTION("""COMPUTED_VALUE"""),"")</f>
        <v/>
      </c>
    </row>
    <row r="3731" spans="1:5">
      <c r="A3731" s="12"/>
      <c r="E3731" s="57" t="str">
        <f ca="1">IFERROR(__xludf.DUMMYFUNCTION("""COMPUTED_VALUE"""),"")</f>
        <v/>
      </c>
    </row>
    <row r="3732" spans="1:5">
      <c r="A3732" s="12"/>
      <c r="E3732" s="57" t="str">
        <f ca="1">IFERROR(__xludf.DUMMYFUNCTION("""COMPUTED_VALUE"""),"")</f>
        <v/>
      </c>
    </row>
    <row r="3733" spans="1:5">
      <c r="A3733" s="12"/>
      <c r="E3733" s="57" t="str">
        <f ca="1">IFERROR(__xludf.DUMMYFUNCTION("""COMPUTED_VALUE"""),"")</f>
        <v/>
      </c>
    </row>
    <row r="3734" spans="1:5">
      <c r="A3734" s="12"/>
      <c r="E3734" s="57" t="str">
        <f ca="1">IFERROR(__xludf.DUMMYFUNCTION("""COMPUTED_VALUE"""),"")</f>
        <v/>
      </c>
    </row>
    <row r="3735" spans="1:5">
      <c r="A3735" s="12"/>
      <c r="E3735" s="57" t="str">
        <f ca="1">IFERROR(__xludf.DUMMYFUNCTION("""COMPUTED_VALUE"""),"")</f>
        <v/>
      </c>
    </row>
    <row r="3736" spans="1:5">
      <c r="A3736" s="12"/>
      <c r="E3736" s="57" t="str">
        <f ca="1">IFERROR(__xludf.DUMMYFUNCTION("""COMPUTED_VALUE"""),"")</f>
        <v/>
      </c>
    </row>
    <row r="3737" spans="1:5">
      <c r="A3737" s="12"/>
      <c r="E3737" s="57" t="str">
        <f ca="1">IFERROR(__xludf.DUMMYFUNCTION("""COMPUTED_VALUE"""),"")</f>
        <v/>
      </c>
    </row>
    <row r="3738" spans="1:5">
      <c r="A3738" s="12"/>
      <c r="E3738" s="57" t="str">
        <f ca="1">IFERROR(__xludf.DUMMYFUNCTION("""COMPUTED_VALUE"""),"")</f>
        <v/>
      </c>
    </row>
    <row r="3739" spans="1:5">
      <c r="A3739" s="12"/>
      <c r="E3739" s="57" t="str">
        <f ca="1">IFERROR(__xludf.DUMMYFUNCTION("""COMPUTED_VALUE"""),"")</f>
        <v/>
      </c>
    </row>
    <row r="3740" spans="1:5">
      <c r="A3740" s="12"/>
      <c r="E3740" s="57" t="str">
        <f ca="1">IFERROR(__xludf.DUMMYFUNCTION("""COMPUTED_VALUE"""),"")</f>
        <v/>
      </c>
    </row>
    <row r="3741" spans="1:5">
      <c r="A3741" s="12"/>
      <c r="E3741" s="57" t="str">
        <f ca="1">IFERROR(__xludf.DUMMYFUNCTION("""COMPUTED_VALUE"""),"")</f>
        <v/>
      </c>
    </row>
    <row r="3742" spans="1:5">
      <c r="A3742" s="12"/>
      <c r="E3742" s="57" t="str">
        <f ca="1">IFERROR(__xludf.DUMMYFUNCTION("""COMPUTED_VALUE"""),"")</f>
        <v/>
      </c>
    </row>
    <row r="3743" spans="1:5">
      <c r="A3743" s="12"/>
      <c r="E3743" s="57" t="str">
        <f ca="1">IFERROR(__xludf.DUMMYFUNCTION("""COMPUTED_VALUE"""),"")</f>
        <v/>
      </c>
    </row>
    <row r="3744" spans="1:5">
      <c r="A3744" s="12"/>
      <c r="E3744" s="57" t="str">
        <f ca="1">IFERROR(__xludf.DUMMYFUNCTION("""COMPUTED_VALUE"""),"")</f>
        <v/>
      </c>
    </row>
    <row r="3745" spans="1:5">
      <c r="A3745" s="12"/>
      <c r="E3745" s="57" t="str">
        <f ca="1">IFERROR(__xludf.DUMMYFUNCTION("""COMPUTED_VALUE"""),"")</f>
        <v/>
      </c>
    </row>
    <row r="3746" spans="1:5">
      <c r="A3746" s="12"/>
      <c r="E3746" s="57" t="str">
        <f ca="1">IFERROR(__xludf.DUMMYFUNCTION("""COMPUTED_VALUE"""),"")</f>
        <v/>
      </c>
    </row>
    <row r="3747" spans="1:5">
      <c r="A3747" s="12"/>
      <c r="E3747" s="57" t="str">
        <f ca="1">IFERROR(__xludf.DUMMYFUNCTION("""COMPUTED_VALUE"""),"")</f>
        <v/>
      </c>
    </row>
    <row r="3748" spans="1:5">
      <c r="A3748" s="12"/>
      <c r="E3748" s="57" t="str">
        <f ca="1">IFERROR(__xludf.DUMMYFUNCTION("""COMPUTED_VALUE"""),"")</f>
        <v/>
      </c>
    </row>
    <row r="3749" spans="1:5">
      <c r="A3749" s="12"/>
      <c r="E3749" s="57" t="str">
        <f ca="1">IFERROR(__xludf.DUMMYFUNCTION("""COMPUTED_VALUE"""),"")</f>
        <v/>
      </c>
    </row>
    <row r="3750" spans="1:5">
      <c r="A3750" s="12"/>
      <c r="E3750" s="57" t="str">
        <f ca="1">IFERROR(__xludf.DUMMYFUNCTION("""COMPUTED_VALUE"""),"")</f>
        <v/>
      </c>
    </row>
    <row r="3751" spans="1:5">
      <c r="A3751" s="12"/>
      <c r="E3751" s="57" t="str">
        <f ca="1">IFERROR(__xludf.DUMMYFUNCTION("""COMPUTED_VALUE"""),"")</f>
        <v/>
      </c>
    </row>
    <row r="3752" spans="1:5">
      <c r="A3752" s="12"/>
      <c r="E3752" s="57" t="str">
        <f ca="1">IFERROR(__xludf.DUMMYFUNCTION("""COMPUTED_VALUE"""),"")</f>
        <v/>
      </c>
    </row>
    <row r="3753" spans="1:5">
      <c r="A3753" s="12"/>
      <c r="E3753" s="57" t="str">
        <f ca="1">IFERROR(__xludf.DUMMYFUNCTION("""COMPUTED_VALUE"""),"")</f>
        <v/>
      </c>
    </row>
    <row r="3754" spans="1:5">
      <c r="A3754" s="12"/>
      <c r="E3754" s="57" t="str">
        <f ca="1">IFERROR(__xludf.DUMMYFUNCTION("""COMPUTED_VALUE"""),"")</f>
        <v/>
      </c>
    </row>
    <row r="3755" spans="1:5">
      <c r="A3755" s="12"/>
      <c r="E3755" s="57" t="str">
        <f ca="1">IFERROR(__xludf.DUMMYFUNCTION("""COMPUTED_VALUE"""),"")</f>
        <v/>
      </c>
    </row>
    <row r="3756" spans="1:5">
      <c r="A3756" s="12"/>
      <c r="E3756" s="57" t="str">
        <f ca="1">IFERROR(__xludf.DUMMYFUNCTION("""COMPUTED_VALUE"""),"")</f>
        <v/>
      </c>
    </row>
    <row r="3757" spans="1:5">
      <c r="A3757" s="12"/>
      <c r="E3757" s="57" t="str">
        <f ca="1">IFERROR(__xludf.DUMMYFUNCTION("""COMPUTED_VALUE"""),"")</f>
        <v/>
      </c>
    </row>
    <row r="3758" spans="1:5">
      <c r="A3758" s="12"/>
      <c r="E3758" s="57" t="str">
        <f ca="1">IFERROR(__xludf.DUMMYFUNCTION("""COMPUTED_VALUE"""),"")</f>
        <v/>
      </c>
    </row>
    <row r="3759" spans="1:5">
      <c r="A3759" s="12"/>
      <c r="E3759" s="57" t="str">
        <f ca="1">IFERROR(__xludf.DUMMYFUNCTION("""COMPUTED_VALUE"""),"")</f>
        <v/>
      </c>
    </row>
    <row r="3760" spans="1:5">
      <c r="A3760" s="12"/>
      <c r="E3760" s="57" t="str">
        <f ca="1">IFERROR(__xludf.DUMMYFUNCTION("""COMPUTED_VALUE"""),"")</f>
        <v/>
      </c>
    </row>
    <row r="3761" spans="1:5">
      <c r="A3761" s="12"/>
      <c r="E3761" s="57" t="str">
        <f ca="1">IFERROR(__xludf.DUMMYFUNCTION("""COMPUTED_VALUE"""),"")</f>
        <v/>
      </c>
    </row>
    <row r="3762" spans="1:5">
      <c r="A3762" s="12"/>
      <c r="E3762" s="57" t="str">
        <f ca="1">IFERROR(__xludf.DUMMYFUNCTION("""COMPUTED_VALUE"""),"")</f>
        <v/>
      </c>
    </row>
    <row r="3763" spans="1:5">
      <c r="A3763" s="12"/>
      <c r="E3763" s="57" t="str">
        <f ca="1">IFERROR(__xludf.DUMMYFUNCTION("""COMPUTED_VALUE"""),"")</f>
        <v/>
      </c>
    </row>
    <row r="3764" spans="1:5">
      <c r="A3764" s="12"/>
      <c r="E3764" s="57" t="str">
        <f ca="1">IFERROR(__xludf.DUMMYFUNCTION("""COMPUTED_VALUE"""),"")</f>
        <v/>
      </c>
    </row>
    <row r="3765" spans="1:5">
      <c r="A3765" s="12"/>
      <c r="E3765" s="57" t="str">
        <f ca="1">IFERROR(__xludf.DUMMYFUNCTION("""COMPUTED_VALUE"""),"")</f>
        <v/>
      </c>
    </row>
    <row r="3766" spans="1:5">
      <c r="A3766" s="12"/>
      <c r="E3766" s="57" t="str">
        <f ca="1">IFERROR(__xludf.DUMMYFUNCTION("""COMPUTED_VALUE"""),"")</f>
        <v/>
      </c>
    </row>
    <row r="3767" spans="1:5">
      <c r="A3767" s="12"/>
      <c r="E3767" s="57" t="str">
        <f ca="1">IFERROR(__xludf.DUMMYFUNCTION("""COMPUTED_VALUE"""),"")</f>
        <v/>
      </c>
    </row>
    <row r="3768" spans="1:5">
      <c r="A3768" s="12"/>
      <c r="E3768" s="57" t="str">
        <f ca="1">IFERROR(__xludf.DUMMYFUNCTION("""COMPUTED_VALUE"""),"")</f>
        <v/>
      </c>
    </row>
    <row r="3769" spans="1:5">
      <c r="A3769" s="12"/>
      <c r="E3769" s="57" t="str">
        <f ca="1">IFERROR(__xludf.DUMMYFUNCTION("""COMPUTED_VALUE"""),"")</f>
        <v/>
      </c>
    </row>
    <row r="3770" spans="1:5">
      <c r="A3770" s="12"/>
      <c r="E3770" s="57" t="str">
        <f ca="1">IFERROR(__xludf.DUMMYFUNCTION("""COMPUTED_VALUE"""),"")</f>
        <v/>
      </c>
    </row>
    <row r="3771" spans="1:5">
      <c r="A3771" s="12"/>
      <c r="E3771" s="57" t="str">
        <f ca="1">IFERROR(__xludf.DUMMYFUNCTION("""COMPUTED_VALUE"""),"")</f>
        <v/>
      </c>
    </row>
    <row r="3772" spans="1:5">
      <c r="A3772" s="12"/>
      <c r="E3772" s="57" t="str">
        <f ca="1">IFERROR(__xludf.DUMMYFUNCTION("""COMPUTED_VALUE"""),"")</f>
        <v/>
      </c>
    </row>
    <row r="3773" spans="1:5">
      <c r="A3773" s="12"/>
      <c r="E3773" s="57" t="str">
        <f ca="1">IFERROR(__xludf.DUMMYFUNCTION("""COMPUTED_VALUE"""),"")</f>
        <v/>
      </c>
    </row>
    <row r="3774" spans="1:5">
      <c r="A3774" s="12"/>
      <c r="E3774" s="57" t="str">
        <f ca="1">IFERROR(__xludf.DUMMYFUNCTION("""COMPUTED_VALUE"""),"")</f>
        <v/>
      </c>
    </row>
    <row r="3775" spans="1:5">
      <c r="A3775" s="12"/>
      <c r="E3775" s="57" t="str">
        <f ca="1">IFERROR(__xludf.DUMMYFUNCTION("""COMPUTED_VALUE"""),"")</f>
        <v/>
      </c>
    </row>
    <row r="3776" spans="1:5">
      <c r="A3776" s="12"/>
      <c r="E3776" s="57" t="str">
        <f ca="1">IFERROR(__xludf.DUMMYFUNCTION("""COMPUTED_VALUE"""),"")</f>
        <v/>
      </c>
    </row>
    <row r="3777" spans="1:5">
      <c r="A3777" s="12"/>
      <c r="E3777" s="57" t="str">
        <f ca="1">IFERROR(__xludf.DUMMYFUNCTION("""COMPUTED_VALUE"""),"")</f>
        <v/>
      </c>
    </row>
    <row r="3778" spans="1:5">
      <c r="A3778" s="12"/>
      <c r="E3778" s="57" t="str">
        <f ca="1">IFERROR(__xludf.DUMMYFUNCTION("""COMPUTED_VALUE"""),"")</f>
        <v/>
      </c>
    </row>
    <row r="3779" spans="1:5">
      <c r="A3779" s="12"/>
      <c r="E3779" s="57" t="str">
        <f ca="1">IFERROR(__xludf.DUMMYFUNCTION("""COMPUTED_VALUE"""),"")</f>
        <v/>
      </c>
    </row>
    <row r="3780" spans="1:5">
      <c r="A3780" s="12"/>
      <c r="E3780" s="57" t="str">
        <f ca="1">IFERROR(__xludf.DUMMYFUNCTION("""COMPUTED_VALUE"""),"")</f>
        <v/>
      </c>
    </row>
    <row r="3781" spans="1:5">
      <c r="A3781" s="12"/>
      <c r="E3781" s="57" t="str">
        <f ca="1">IFERROR(__xludf.DUMMYFUNCTION("""COMPUTED_VALUE"""),"")</f>
        <v/>
      </c>
    </row>
    <row r="3782" spans="1:5">
      <c r="A3782" s="12"/>
      <c r="E3782" s="57" t="str">
        <f ca="1">IFERROR(__xludf.DUMMYFUNCTION("""COMPUTED_VALUE"""),"")</f>
        <v/>
      </c>
    </row>
    <row r="3783" spans="1:5">
      <c r="A3783" s="12"/>
      <c r="E3783" s="57" t="str">
        <f ca="1">IFERROR(__xludf.DUMMYFUNCTION("""COMPUTED_VALUE"""),"")</f>
        <v/>
      </c>
    </row>
    <row r="3784" spans="1:5">
      <c r="A3784" s="12"/>
      <c r="E3784" s="57" t="str">
        <f ca="1">IFERROR(__xludf.DUMMYFUNCTION("""COMPUTED_VALUE"""),"")</f>
        <v/>
      </c>
    </row>
    <row r="3785" spans="1:5">
      <c r="A3785" s="12"/>
      <c r="E3785" s="57" t="str">
        <f ca="1">IFERROR(__xludf.DUMMYFUNCTION("""COMPUTED_VALUE"""),"")</f>
        <v/>
      </c>
    </row>
    <row r="3786" spans="1:5">
      <c r="A3786" s="12"/>
      <c r="E3786" s="57" t="str">
        <f ca="1">IFERROR(__xludf.DUMMYFUNCTION("""COMPUTED_VALUE"""),"")</f>
        <v/>
      </c>
    </row>
    <row r="3787" spans="1:5">
      <c r="A3787" s="12"/>
      <c r="E3787" s="57" t="str">
        <f ca="1">IFERROR(__xludf.DUMMYFUNCTION("""COMPUTED_VALUE"""),"")</f>
        <v/>
      </c>
    </row>
    <row r="3788" spans="1:5">
      <c r="A3788" s="12"/>
      <c r="E3788" s="57" t="str">
        <f ca="1">IFERROR(__xludf.DUMMYFUNCTION("""COMPUTED_VALUE"""),"")</f>
        <v/>
      </c>
    </row>
    <row r="3789" spans="1:5">
      <c r="A3789" s="12"/>
      <c r="E3789" s="57" t="str">
        <f ca="1">IFERROR(__xludf.DUMMYFUNCTION("""COMPUTED_VALUE"""),"")</f>
        <v/>
      </c>
    </row>
    <row r="3790" spans="1:5">
      <c r="A3790" s="12"/>
      <c r="E3790" s="57" t="str">
        <f ca="1">IFERROR(__xludf.DUMMYFUNCTION("""COMPUTED_VALUE"""),"")</f>
        <v/>
      </c>
    </row>
    <row r="3791" spans="1:5">
      <c r="A3791" s="12"/>
      <c r="E3791" s="57" t="str">
        <f ca="1">IFERROR(__xludf.DUMMYFUNCTION("""COMPUTED_VALUE"""),"")</f>
        <v/>
      </c>
    </row>
    <row r="3792" spans="1:5">
      <c r="A3792" s="12"/>
      <c r="E3792" s="57" t="str">
        <f ca="1">IFERROR(__xludf.DUMMYFUNCTION("""COMPUTED_VALUE"""),"")</f>
        <v/>
      </c>
    </row>
    <row r="3793" spans="1:5">
      <c r="A3793" s="12"/>
      <c r="E3793" s="57" t="str">
        <f ca="1">IFERROR(__xludf.DUMMYFUNCTION("""COMPUTED_VALUE"""),"")</f>
        <v/>
      </c>
    </row>
    <row r="3794" spans="1:5">
      <c r="A3794" s="12"/>
      <c r="E3794" s="57" t="str">
        <f ca="1">IFERROR(__xludf.DUMMYFUNCTION("""COMPUTED_VALUE"""),"")</f>
        <v/>
      </c>
    </row>
    <row r="3795" spans="1:5">
      <c r="A3795" s="12"/>
      <c r="E3795" s="57" t="str">
        <f ca="1">IFERROR(__xludf.DUMMYFUNCTION("""COMPUTED_VALUE"""),"")</f>
        <v/>
      </c>
    </row>
    <row r="3796" spans="1:5">
      <c r="A3796" s="12"/>
      <c r="E3796" s="57" t="str">
        <f ca="1">IFERROR(__xludf.DUMMYFUNCTION("""COMPUTED_VALUE"""),"")</f>
        <v/>
      </c>
    </row>
    <row r="3797" spans="1:5">
      <c r="A3797" s="12"/>
      <c r="E3797" s="57" t="str">
        <f ca="1">IFERROR(__xludf.DUMMYFUNCTION("""COMPUTED_VALUE"""),"")</f>
        <v/>
      </c>
    </row>
    <row r="3798" spans="1:5">
      <c r="A3798" s="12"/>
      <c r="E3798" s="57" t="str">
        <f ca="1">IFERROR(__xludf.DUMMYFUNCTION("""COMPUTED_VALUE"""),"")</f>
        <v/>
      </c>
    </row>
    <row r="3799" spans="1:5">
      <c r="A3799" s="12"/>
      <c r="E3799" s="57" t="str">
        <f ca="1">IFERROR(__xludf.DUMMYFUNCTION("""COMPUTED_VALUE"""),"")</f>
        <v/>
      </c>
    </row>
    <row r="3800" spans="1:5">
      <c r="A3800" s="12"/>
      <c r="E3800" s="57" t="str">
        <f ca="1">IFERROR(__xludf.DUMMYFUNCTION("""COMPUTED_VALUE"""),"")</f>
        <v/>
      </c>
    </row>
    <row r="3801" spans="1:5">
      <c r="A3801" s="12"/>
      <c r="E3801" s="57" t="str">
        <f ca="1">IFERROR(__xludf.DUMMYFUNCTION("""COMPUTED_VALUE"""),"")</f>
        <v/>
      </c>
    </row>
    <row r="3802" spans="1:5">
      <c r="A3802" s="12"/>
      <c r="E3802" s="57" t="str">
        <f ca="1">IFERROR(__xludf.DUMMYFUNCTION("""COMPUTED_VALUE"""),"")</f>
        <v/>
      </c>
    </row>
    <row r="3803" spans="1:5">
      <c r="A3803" s="12"/>
      <c r="E3803" s="57" t="str">
        <f ca="1">IFERROR(__xludf.DUMMYFUNCTION("""COMPUTED_VALUE"""),"")</f>
        <v/>
      </c>
    </row>
    <row r="3804" spans="1:5">
      <c r="A3804" s="12"/>
      <c r="E3804" s="57" t="str">
        <f ca="1">IFERROR(__xludf.DUMMYFUNCTION("""COMPUTED_VALUE"""),"")</f>
        <v/>
      </c>
    </row>
    <row r="3805" spans="1:5">
      <c r="A3805" s="12"/>
      <c r="E3805" s="57" t="str">
        <f ca="1">IFERROR(__xludf.DUMMYFUNCTION("""COMPUTED_VALUE"""),"")</f>
        <v/>
      </c>
    </row>
    <row r="3806" spans="1:5">
      <c r="A3806" s="12"/>
      <c r="E3806" s="57" t="str">
        <f ca="1">IFERROR(__xludf.DUMMYFUNCTION("""COMPUTED_VALUE"""),"")</f>
        <v/>
      </c>
    </row>
    <row r="3807" spans="1:5">
      <c r="A3807" s="12"/>
      <c r="E3807" s="57" t="str">
        <f ca="1">IFERROR(__xludf.DUMMYFUNCTION("""COMPUTED_VALUE"""),"")</f>
        <v/>
      </c>
    </row>
    <row r="3808" spans="1:5">
      <c r="A3808" s="12"/>
      <c r="E3808" s="57" t="str">
        <f ca="1">IFERROR(__xludf.DUMMYFUNCTION("""COMPUTED_VALUE"""),"")</f>
        <v/>
      </c>
    </row>
    <row r="3809" spans="1:5">
      <c r="A3809" s="12"/>
      <c r="E3809" s="57" t="str">
        <f ca="1">IFERROR(__xludf.DUMMYFUNCTION("""COMPUTED_VALUE"""),"")</f>
        <v/>
      </c>
    </row>
    <row r="3810" spans="1:5">
      <c r="A3810" s="12"/>
      <c r="E3810" s="57" t="str">
        <f ca="1">IFERROR(__xludf.DUMMYFUNCTION("""COMPUTED_VALUE"""),"")</f>
        <v/>
      </c>
    </row>
    <row r="3811" spans="1:5">
      <c r="A3811" s="12"/>
      <c r="E3811" s="57" t="str">
        <f ca="1">IFERROR(__xludf.DUMMYFUNCTION("""COMPUTED_VALUE"""),"")</f>
        <v/>
      </c>
    </row>
    <row r="3812" spans="1:5">
      <c r="A3812" s="12"/>
      <c r="E3812" s="57" t="str">
        <f ca="1">IFERROR(__xludf.DUMMYFUNCTION("""COMPUTED_VALUE"""),"")</f>
        <v/>
      </c>
    </row>
    <row r="3813" spans="1:5">
      <c r="A3813" s="12"/>
      <c r="E3813" s="57" t="str">
        <f ca="1">IFERROR(__xludf.DUMMYFUNCTION("""COMPUTED_VALUE"""),"")</f>
        <v/>
      </c>
    </row>
    <row r="3814" spans="1:5">
      <c r="A3814" s="12"/>
      <c r="E3814" s="57" t="str">
        <f ca="1">IFERROR(__xludf.DUMMYFUNCTION("""COMPUTED_VALUE"""),"")</f>
        <v/>
      </c>
    </row>
    <row r="3815" spans="1:5">
      <c r="A3815" s="12"/>
      <c r="E3815" s="57" t="str">
        <f ca="1">IFERROR(__xludf.DUMMYFUNCTION("""COMPUTED_VALUE"""),"")</f>
        <v/>
      </c>
    </row>
    <row r="3816" spans="1:5">
      <c r="A3816" s="12"/>
      <c r="E3816" s="57" t="str">
        <f ca="1">IFERROR(__xludf.DUMMYFUNCTION("""COMPUTED_VALUE"""),"")</f>
        <v/>
      </c>
    </row>
    <row r="3817" spans="1:5">
      <c r="A3817" s="12"/>
      <c r="E3817" s="57" t="str">
        <f ca="1">IFERROR(__xludf.DUMMYFUNCTION("""COMPUTED_VALUE"""),"")</f>
        <v/>
      </c>
    </row>
    <row r="3818" spans="1:5">
      <c r="A3818" s="12"/>
      <c r="E3818" s="57" t="str">
        <f ca="1">IFERROR(__xludf.DUMMYFUNCTION("""COMPUTED_VALUE"""),"")</f>
        <v/>
      </c>
    </row>
    <row r="3819" spans="1:5">
      <c r="A3819" s="12"/>
      <c r="E3819" s="57" t="str">
        <f ca="1">IFERROR(__xludf.DUMMYFUNCTION("""COMPUTED_VALUE"""),"")</f>
        <v/>
      </c>
    </row>
    <row r="3820" spans="1:5">
      <c r="A3820" s="12"/>
      <c r="E3820" s="57" t="str">
        <f ca="1">IFERROR(__xludf.DUMMYFUNCTION("""COMPUTED_VALUE"""),"")</f>
        <v/>
      </c>
    </row>
    <row r="3821" spans="1:5">
      <c r="A3821" s="12"/>
      <c r="E3821" s="57" t="str">
        <f ca="1">IFERROR(__xludf.DUMMYFUNCTION("""COMPUTED_VALUE"""),"")</f>
        <v/>
      </c>
    </row>
    <row r="3822" spans="1:5">
      <c r="A3822" s="12"/>
      <c r="E3822" s="57" t="str">
        <f ca="1">IFERROR(__xludf.DUMMYFUNCTION("""COMPUTED_VALUE"""),"")</f>
        <v/>
      </c>
    </row>
    <row r="3823" spans="1:5">
      <c r="A3823" s="12"/>
      <c r="E3823" s="57" t="str">
        <f ca="1">IFERROR(__xludf.DUMMYFUNCTION("""COMPUTED_VALUE"""),"")</f>
        <v/>
      </c>
    </row>
    <row r="3824" spans="1:5">
      <c r="A3824" s="12"/>
      <c r="E3824" s="57" t="str">
        <f ca="1">IFERROR(__xludf.DUMMYFUNCTION("""COMPUTED_VALUE"""),"")</f>
        <v/>
      </c>
    </row>
    <row r="3825" spans="1:5">
      <c r="A3825" s="12"/>
      <c r="E3825" s="57" t="str">
        <f ca="1">IFERROR(__xludf.DUMMYFUNCTION("""COMPUTED_VALUE"""),"")</f>
        <v/>
      </c>
    </row>
    <row r="3826" spans="1:5">
      <c r="A3826" s="12"/>
      <c r="E3826" s="57" t="str">
        <f ca="1">IFERROR(__xludf.DUMMYFUNCTION("""COMPUTED_VALUE"""),"")</f>
        <v/>
      </c>
    </row>
    <row r="3827" spans="1:5">
      <c r="A3827" s="12"/>
      <c r="E3827" s="57" t="str">
        <f ca="1">IFERROR(__xludf.DUMMYFUNCTION("""COMPUTED_VALUE"""),"")</f>
        <v/>
      </c>
    </row>
    <row r="3828" spans="1:5">
      <c r="A3828" s="12"/>
      <c r="E3828" s="57" t="str">
        <f ca="1">IFERROR(__xludf.DUMMYFUNCTION("""COMPUTED_VALUE"""),"")</f>
        <v/>
      </c>
    </row>
    <row r="3829" spans="1:5">
      <c r="A3829" s="12"/>
      <c r="E3829" s="57" t="str">
        <f ca="1">IFERROR(__xludf.DUMMYFUNCTION("""COMPUTED_VALUE"""),"")</f>
        <v/>
      </c>
    </row>
    <row r="3830" spans="1:5">
      <c r="A3830" s="12"/>
      <c r="E3830" s="57" t="str">
        <f ca="1">IFERROR(__xludf.DUMMYFUNCTION("""COMPUTED_VALUE"""),"")</f>
        <v/>
      </c>
    </row>
    <row r="3831" spans="1:5">
      <c r="A3831" s="12"/>
      <c r="E3831" s="57" t="str">
        <f ca="1">IFERROR(__xludf.DUMMYFUNCTION("""COMPUTED_VALUE"""),"")</f>
        <v/>
      </c>
    </row>
    <row r="3832" spans="1:5">
      <c r="A3832" s="12"/>
      <c r="E3832" s="57" t="str">
        <f ca="1">IFERROR(__xludf.DUMMYFUNCTION("""COMPUTED_VALUE"""),"")</f>
        <v/>
      </c>
    </row>
    <row r="3833" spans="1:5">
      <c r="A3833" s="12"/>
      <c r="E3833" s="57" t="str">
        <f ca="1">IFERROR(__xludf.DUMMYFUNCTION("""COMPUTED_VALUE"""),"")</f>
        <v/>
      </c>
    </row>
    <row r="3834" spans="1:5">
      <c r="A3834" s="12"/>
      <c r="E3834" s="57" t="str">
        <f ca="1">IFERROR(__xludf.DUMMYFUNCTION("""COMPUTED_VALUE"""),"")</f>
        <v/>
      </c>
    </row>
    <row r="3835" spans="1:5">
      <c r="A3835" s="12"/>
      <c r="E3835" s="57" t="str">
        <f ca="1">IFERROR(__xludf.DUMMYFUNCTION("""COMPUTED_VALUE"""),"")</f>
        <v/>
      </c>
    </row>
    <row r="3836" spans="1:5">
      <c r="A3836" s="12"/>
      <c r="E3836" s="57" t="str">
        <f ca="1">IFERROR(__xludf.DUMMYFUNCTION("""COMPUTED_VALUE"""),"")</f>
        <v/>
      </c>
    </row>
    <row r="3837" spans="1:5">
      <c r="A3837" s="12"/>
      <c r="E3837" s="57" t="str">
        <f ca="1">IFERROR(__xludf.DUMMYFUNCTION("""COMPUTED_VALUE"""),"")</f>
        <v/>
      </c>
    </row>
    <row r="3838" spans="1:5">
      <c r="A3838" s="12"/>
      <c r="E3838" s="57" t="str">
        <f ca="1">IFERROR(__xludf.DUMMYFUNCTION("""COMPUTED_VALUE"""),"")</f>
        <v/>
      </c>
    </row>
    <row r="3839" spans="1:5">
      <c r="A3839" s="12"/>
      <c r="E3839" s="57" t="str">
        <f ca="1">IFERROR(__xludf.DUMMYFUNCTION("""COMPUTED_VALUE"""),"")</f>
        <v/>
      </c>
    </row>
    <row r="3840" spans="1:5">
      <c r="A3840" s="12"/>
      <c r="E3840" s="57" t="str">
        <f ca="1">IFERROR(__xludf.DUMMYFUNCTION("""COMPUTED_VALUE"""),"")</f>
        <v/>
      </c>
    </row>
    <row r="3841" spans="1:5">
      <c r="A3841" s="12"/>
      <c r="E3841" s="57" t="str">
        <f ca="1">IFERROR(__xludf.DUMMYFUNCTION("""COMPUTED_VALUE"""),"")</f>
        <v/>
      </c>
    </row>
    <row r="3842" spans="1:5">
      <c r="A3842" s="12"/>
      <c r="E3842" s="57" t="str">
        <f ca="1">IFERROR(__xludf.DUMMYFUNCTION("""COMPUTED_VALUE"""),"")</f>
        <v/>
      </c>
    </row>
    <row r="3843" spans="1:5">
      <c r="A3843" s="12"/>
      <c r="E3843" s="57" t="str">
        <f ca="1">IFERROR(__xludf.DUMMYFUNCTION("""COMPUTED_VALUE"""),"")</f>
        <v/>
      </c>
    </row>
    <row r="3844" spans="1:5">
      <c r="A3844" s="12"/>
      <c r="E3844" s="57" t="str">
        <f ca="1">IFERROR(__xludf.DUMMYFUNCTION("""COMPUTED_VALUE"""),"")</f>
        <v/>
      </c>
    </row>
    <row r="3845" spans="1:5">
      <c r="A3845" s="12"/>
      <c r="E3845" s="57" t="str">
        <f ca="1">IFERROR(__xludf.DUMMYFUNCTION("""COMPUTED_VALUE"""),"")</f>
        <v/>
      </c>
    </row>
    <row r="3846" spans="1:5">
      <c r="A3846" s="12"/>
      <c r="E3846" s="57" t="str">
        <f ca="1">IFERROR(__xludf.DUMMYFUNCTION("""COMPUTED_VALUE"""),"")</f>
        <v/>
      </c>
    </row>
    <row r="3847" spans="1:5">
      <c r="A3847" s="12"/>
      <c r="E3847" s="57" t="str">
        <f ca="1">IFERROR(__xludf.DUMMYFUNCTION("""COMPUTED_VALUE"""),"")</f>
        <v/>
      </c>
    </row>
    <row r="3848" spans="1:5">
      <c r="A3848" s="12"/>
      <c r="E3848" s="57" t="str">
        <f ca="1">IFERROR(__xludf.DUMMYFUNCTION("""COMPUTED_VALUE"""),"")</f>
        <v/>
      </c>
    </row>
    <row r="3849" spans="1:5">
      <c r="A3849" s="12"/>
      <c r="E3849" s="57" t="str">
        <f ca="1">IFERROR(__xludf.DUMMYFUNCTION("""COMPUTED_VALUE"""),"")</f>
        <v/>
      </c>
    </row>
    <row r="3850" spans="1:5">
      <c r="A3850" s="12"/>
      <c r="E3850" s="57" t="str">
        <f ca="1">IFERROR(__xludf.DUMMYFUNCTION("""COMPUTED_VALUE"""),"")</f>
        <v/>
      </c>
    </row>
    <row r="3851" spans="1:5">
      <c r="A3851" s="12"/>
      <c r="E3851" s="57" t="str">
        <f ca="1">IFERROR(__xludf.DUMMYFUNCTION("""COMPUTED_VALUE"""),"")</f>
        <v/>
      </c>
    </row>
    <row r="3852" spans="1:5">
      <c r="A3852" s="12"/>
      <c r="E3852" s="57" t="str">
        <f ca="1">IFERROR(__xludf.DUMMYFUNCTION("""COMPUTED_VALUE"""),"")</f>
        <v/>
      </c>
    </row>
    <row r="3853" spans="1:5">
      <c r="A3853" s="12"/>
      <c r="E3853" s="57" t="str">
        <f ca="1">IFERROR(__xludf.DUMMYFUNCTION("""COMPUTED_VALUE"""),"")</f>
        <v/>
      </c>
    </row>
    <row r="3854" spans="1:5">
      <c r="A3854" s="12"/>
      <c r="E3854" s="57" t="str">
        <f ca="1">IFERROR(__xludf.DUMMYFUNCTION("""COMPUTED_VALUE"""),"")</f>
        <v/>
      </c>
    </row>
    <row r="3855" spans="1:5">
      <c r="A3855" s="12"/>
      <c r="E3855" s="57" t="str">
        <f ca="1">IFERROR(__xludf.DUMMYFUNCTION("""COMPUTED_VALUE"""),"")</f>
        <v/>
      </c>
    </row>
    <row r="3856" spans="1:5">
      <c r="A3856" s="12"/>
      <c r="E3856" s="57" t="str">
        <f ca="1">IFERROR(__xludf.DUMMYFUNCTION("""COMPUTED_VALUE"""),"")</f>
        <v/>
      </c>
    </row>
    <row r="3857" spans="1:5">
      <c r="A3857" s="12"/>
      <c r="E3857" s="57" t="str">
        <f ca="1">IFERROR(__xludf.DUMMYFUNCTION("""COMPUTED_VALUE"""),"")</f>
        <v/>
      </c>
    </row>
    <row r="3858" spans="1:5">
      <c r="A3858" s="12"/>
      <c r="E3858" s="57" t="str">
        <f ca="1">IFERROR(__xludf.DUMMYFUNCTION("""COMPUTED_VALUE"""),"")</f>
        <v/>
      </c>
    </row>
    <row r="3859" spans="1:5">
      <c r="A3859" s="12"/>
      <c r="E3859" s="57" t="str">
        <f ca="1">IFERROR(__xludf.DUMMYFUNCTION("""COMPUTED_VALUE"""),"")</f>
        <v/>
      </c>
    </row>
    <row r="3860" spans="1:5">
      <c r="A3860" s="12"/>
      <c r="E3860" s="57" t="str">
        <f ca="1">IFERROR(__xludf.DUMMYFUNCTION("""COMPUTED_VALUE"""),"")</f>
        <v/>
      </c>
    </row>
    <row r="3861" spans="1:5">
      <c r="A3861" s="12"/>
      <c r="E3861" s="57" t="str">
        <f ca="1">IFERROR(__xludf.DUMMYFUNCTION("""COMPUTED_VALUE"""),"")</f>
        <v/>
      </c>
    </row>
    <row r="3862" spans="1:5">
      <c r="A3862" s="12"/>
      <c r="E3862" s="57" t="str">
        <f ca="1">IFERROR(__xludf.DUMMYFUNCTION("""COMPUTED_VALUE"""),"")</f>
        <v/>
      </c>
    </row>
    <row r="3863" spans="1:5">
      <c r="A3863" s="12"/>
      <c r="E3863" s="57" t="str">
        <f ca="1">IFERROR(__xludf.DUMMYFUNCTION("""COMPUTED_VALUE"""),"")</f>
        <v/>
      </c>
    </row>
    <row r="3864" spans="1:5">
      <c r="A3864" s="12"/>
      <c r="E3864" s="57" t="str">
        <f ca="1">IFERROR(__xludf.DUMMYFUNCTION("""COMPUTED_VALUE"""),"")</f>
        <v/>
      </c>
    </row>
    <row r="3865" spans="1:5">
      <c r="A3865" s="12"/>
      <c r="E3865" s="57" t="str">
        <f ca="1">IFERROR(__xludf.DUMMYFUNCTION("""COMPUTED_VALUE"""),"")</f>
        <v/>
      </c>
    </row>
    <row r="3866" spans="1:5">
      <c r="A3866" s="12"/>
      <c r="E3866" s="57" t="str">
        <f ca="1">IFERROR(__xludf.DUMMYFUNCTION("""COMPUTED_VALUE"""),"")</f>
        <v/>
      </c>
    </row>
    <row r="3867" spans="1:5">
      <c r="A3867" s="12"/>
      <c r="E3867" s="57" t="str">
        <f ca="1">IFERROR(__xludf.DUMMYFUNCTION("""COMPUTED_VALUE"""),"")</f>
        <v/>
      </c>
    </row>
    <row r="3868" spans="1:5">
      <c r="A3868" s="12"/>
      <c r="E3868" s="57" t="str">
        <f ca="1">IFERROR(__xludf.DUMMYFUNCTION("""COMPUTED_VALUE"""),"")</f>
        <v/>
      </c>
    </row>
    <row r="3869" spans="1:5">
      <c r="A3869" s="12"/>
      <c r="E3869" s="57" t="str">
        <f ca="1">IFERROR(__xludf.DUMMYFUNCTION("""COMPUTED_VALUE"""),"")</f>
        <v/>
      </c>
    </row>
    <row r="3870" spans="1:5">
      <c r="A3870" s="12"/>
      <c r="E3870" s="57" t="str">
        <f ca="1">IFERROR(__xludf.DUMMYFUNCTION("""COMPUTED_VALUE"""),"")</f>
        <v/>
      </c>
    </row>
    <row r="3871" spans="1:5">
      <c r="A3871" s="12"/>
      <c r="E3871" s="57" t="str">
        <f ca="1">IFERROR(__xludf.DUMMYFUNCTION("""COMPUTED_VALUE"""),"")</f>
        <v/>
      </c>
    </row>
    <row r="3872" spans="1:5">
      <c r="A3872" s="12"/>
      <c r="E3872" s="57" t="str">
        <f ca="1">IFERROR(__xludf.DUMMYFUNCTION("""COMPUTED_VALUE"""),"")</f>
        <v/>
      </c>
    </row>
    <row r="3873" spans="1:5">
      <c r="A3873" s="12"/>
      <c r="E3873" s="57" t="str">
        <f ca="1">IFERROR(__xludf.DUMMYFUNCTION("""COMPUTED_VALUE"""),"")</f>
        <v/>
      </c>
    </row>
    <row r="3874" spans="1:5">
      <c r="A3874" s="12"/>
      <c r="E3874" s="57" t="str">
        <f ca="1">IFERROR(__xludf.DUMMYFUNCTION("""COMPUTED_VALUE"""),"")</f>
        <v/>
      </c>
    </row>
    <row r="3875" spans="1:5">
      <c r="A3875" s="12"/>
      <c r="E3875" s="57" t="str">
        <f ca="1">IFERROR(__xludf.DUMMYFUNCTION("""COMPUTED_VALUE"""),"")</f>
        <v/>
      </c>
    </row>
    <row r="3876" spans="1:5">
      <c r="A3876" s="12"/>
      <c r="E3876" s="57" t="str">
        <f ca="1">IFERROR(__xludf.DUMMYFUNCTION("""COMPUTED_VALUE"""),"")</f>
        <v/>
      </c>
    </row>
    <row r="3877" spans="1:5">
      <c r="A3877" s="12"/>
      <c r="E3877" s="57" t="str">
        <f ca="1">IFERROR(__xludf.DUMMYFUNCTION("""COMPUTED_VALUE"""),"")</f>
        <v/>
      </c>
    </row>
    <row r="3878" spans="1:5">
      <c r="A3878" s="12"/>
      <c r="E3878" s="57" t="str">
        <f ca="1">IFERROR(__xludf.DUMMYFUNCTION("""COMPUTED_VALUE"""),"")</f>
        <v/>
      </c>
    </row>
    <row r="3879" spans="1:5">
      <c r="A3879" s="12"/>
      <c r="E3879" s="57" t="str">
        <f ca="1">IFERROR(__xludf.DUMMYFUNCTION("""COMPUTED_VALUE"""),"")</f>
        <v/>
      </c>
    </row>
    <row r="3880" spans="1:5">
      <c r="A3880" s="12"/>
      <c r="E3880" s="57" t="str">
        <f ca="1">IFERROR(__xludf.DUMMYFUNCTION("""COMPUTED_VALUE"""),"")</f>
        <v/>
      </c>
    </row>
    <row r="3881" spans="1:5">
      <c r="A3881" s="12"/>
      <c r="E3881" s="57" t="str">
        <f ca="1">IFERROR(__xludf.DUMMYFUNCTION("""COMPUTED_VALUE"""),"")</f>
        <v/>
      </c>
    </row>
    <row r="3882" spans="1:5">
      <c r="A3882" s="12"/>
      <c r="E3882" s="57" t="str">
        <f ca="1">IFERROR(__xludf.DUMMYFUNCTION("""COMPUTED_VALUE"""),"")</f>
        <v/>
      </c>
    </row>
    <row r="3883" spans="1:5">
      <c r="A3883" s="12"/>
      <c r="E3883" s="57" t="str">
        <f ca="1">IFERROR(__xludf.DUMMYFUNCTION("""COMPUTED_VALUE"""),"")</f>
        <v/>
      </c>
    </row>
    <row r="3884" spans="1:5">
      <c r="A3884" s="12"/>
      <c r="E3884" s="57" t="str">
        <f ca="1">IFERROR(__xludf.DUMMYFUNCTION("""COMPUTED_VALUE"""),"")</f>
        <v/>
      </c>
    </row>
    <row r="3885" spans="1:5">
      <c r="A3885" s="12"/>
      <c r="E3885" s="57" t="str">
        <f ca="1">IFERROR(__xludf.DUMMYFUNCTION("""COMPUTED_VALUE"""),"")</f>
        <v/>
      </c>
    </row>
    <row r="3886" spans="1:5">
      <c r="A3886" s="12"/>
      <c r="E3886" s="57" t="str">
        <f ca="1">IFERROR(__xludf.DUMMYFUNCTION("""COMPUTED_VALUE"""),"")</f>
        <v/>
      </c>
    </row>
    <row r="3887" spans="1:5">
      <c r="A3887" s="12"/>
      <c r="E3887" s="57" t="str">
        <f ca="1">IFERROR(__xludf.DUMMYFUNCTION("""COMPUTED_VALUE"""),"")</f>
        <v/>
      </c>
    </row>
    <row r="3888" spans="1:5">
      <c r="A3888" s="12"/>
      <c r="E3888" s="57" t="str">
        <f ca="1">IFERROR(__xludf.DUMMYFUNCTION("""COMPUTED_VALUE"""),"")</f>
        <v/>
      </c>
    </row>
    <row r="3889" spans="1:5">
      <c r="A3889" s="12"/>
      <c r="E3889" s="57" t="str">
        <f ca="1">IFERROR(__xludf.DUMMYFUNCTION("""COMPUTED_VALUE"""),"")</f>
        <v/>
      </c>
    </row>
    <row r="3890" spans="1:5">
      <c r="A3890" s="12"/>
      <c r="E3890" s="57" t="str">
        <f ca="1">IFERROR(__xludf.DUMMYFUNCTION("""COMPUTED_VALUE"""),"")</f>
        <v/>
      </c>
    </row>
    <row r="3891" spans="1:5">
      <c r="A3891" s="12"/>
      <c r="E3891" s="57" t="str">
        <f ca="1">IFERROR(__xludf.DUMMYFUNCTION("""COMPUTED_VALUE"""),"")</f>
        <v/>
      </c>
    </row>
    <row r="3892" spans="1:5">
      <c r="A3892" s="12"/>
      <c r="E3892" s="57" t="str">
        <f ca="1">IFERROR(__xludf.DUMMYFUNCTION("""COMPUTED_VALUE"""),"")</f>
        <v/>
      </c>
    </row>
    <row r="3893" spans="1:5">
      <c r="A3893" s="12"/>
      <c r="E3893" s="57" t="str">
        <f ca="1">IFERROR(__xludf.DUMMYFUNCTION("""COMPUTED_VALUE"""),"")</f>
        <v/>
      </c>
    </row>
    <row r="3894" spans="1:5">
      <c r="A3894" s="12"/>
      <c r="E3894" s="57" t="str">
        <f ca="1">IFERROR(__xludf.DUMMYFUNCTION("""COMPUTED_VALUE"""),"")</f>
        <v/>
      </c>
    </row>
    <row r="3895" spans="1:5">
      <c r="A3895" s="12"/>
      <c r="E3895" s="57" t="str">
        <f ca="1">IFERROR(__xludf.DUMMYFUNCTION("""COMPUTED_VALUE"""),"")</f>
        <v/>
      </c>
    </row>
    <row r="3896" spans="1:5">
      <c r="A3896" s="12"/>
      <c r="E3896" s="57" t="str">
        <f ca="1">IFERROR(__xludf.DUMMYFUNCTION("""COMPUTED_VALUE"""),"")</f>
        <v/>
      </c>
    </row>
    <row r="3897" spans="1:5">
      <c r="A3897" s="12"/>
      <c r="E3897" s="57" t="str">
        <f ca="1">IFERROR(__xludf.DUMMYFUNCTION("""COMPUTED_VALUE"""),"")</f>
        <v/>
      </c>
    </row>
    <row r="3898" spans="1:5">
      <c r="A3898" s="12"/>
      <c r="E3898" s="57" t="str">
        <f ca="1">IFERROR(__xludf.DUMMYFUNCTION("""COMPUTED_VALUE"""),"")</f>
        <v/>
      </c>
    </row>
    <row r="3899" spans="1:5">
      <c r="A3899" s="12"/>
      <c r="E3899" s="57" t="str">
        <f ca="1">IFERROR(__xludf.DUMMYFUNCTION("""COMPUTED_VALUE"""),"")</f>
        <v/>
      </c>
    </row>
    <row r="3900" spans="1:5">
      <c r="A3900" s="12"/>
      <c r="E3900" s="57" t="str">
        <f ca="1">IFERROR(__xludf.DUMMYFUNCTION("""COMPUTED_VALUE"""),"")</f>
        <v/>
      </c>
    </row>
    <row r="3901" spans="1:5">
      <c r="A3901" s="12"/>
      <c r="E3901" s="57" t="str">
        <f ca="1">IFERROR(__xludf.DUMMYFUNCTION("""COMPUTED_VALUE"""),"")</f>
        <v/>
      </c>
    </row>
    <row r="3902" spans="1:5">
      <c r="A3902" s="12"/>
      <c r="E3902" s="57" t="str">
        <f ca="1">IFERROR(__xludf.DUMMYFUNCTION("""COMPUTED_VALUE"""),"")</f>
        <v/>
      </c>
    </row>
    <row r="3903" spans="1:5">
      <c r="A3903" s="12"/>
      <c r="E3903" s="57" t="str">
        <f ca="1">IFERROR(__xludf.DUMMYFUNCTION("""COMPUTED_VALUE"""),"")</f>
        <v/>
      </c>
    </row>
    <row r="3904" spans="1:5">
      <c r="A3904" s="12"/>
      <c r="E3904" s="57" t="str">
        <f ca="1">IFERROR(__xludf.DUMMYFUNCTION("""COMPUTED_VALUE"""),"")</f>
        <v/>
      </c>
    </row>
    <row r="3905" spans="1:5">
      <c r="A3905" s="12"/>
      <c r="E3905" s="57" t="str">
        <f ca="1">IFERROR(__xludf.DUMMYFUNCTION("""COMPUTED_VALUE"""),"")</f>
        <v/>
      </c>
    </row>
    <row r="3906" spans="1:5">
      <c r="A3906" s="12"/>
      <c r="E3906" s="57" t="str">
        <f ca="1">IFERROR(__xludf.DUMMYFUNCTION("""COMPUTED_VALUE"""),"")</f>
        <v/>
      </c>
    </row>
    <row r="3907" spans="1:5">
      <c r="A3907" s="12"/>
      <c r="E3907" s="57" t="str">
        <f ca="1">IFERROR(__xludf.DUMMYFUNCTION("""COMPUTED_VALUE"""),"")</f>
        <v/>
      </c>
    </row>
    <row r="3908" spans="1:5">
      <c r="A3908" s="12"/>
      <c r="E3908" s="57" t="str">
        <f ca="1">IFERROR(__xludf.DUMMYFUNCTION("""COMPUTED_VALUE"""),"")</f>
        <v/>
      </c>
    </row>
    <row r="3909" spans="1:5">
      <c r="A3909" s="12"/>
      <c r="E3909" s="57" t="str">
        <f ca="1">IFERROR(__xludf.DUMMYFUNCTION("""COMPUTED_VALUE"""),"")</f>
        <v/>
      </c>
    </row>
    <row r="3910" spans="1:5">
      <c r="A3910" s="12"/>
      <c r="E3910" s="57" t="str">
        <f ca="1">IFERROR(__xludf.DUMMYFUNCTION("""COMPUTED_VALUE"""),"")</f>
        <v/>
      </c>
    </row>
    <row r="3911" spans="1:5">
      <c r="A3911" s="12"/>
      <c r="E3911" s="57" t="str">
        <f ca="1">IFERROR(__xludf.DUMMYFUNCTION("""COMPUTED_VALUE"""),"")</f>
        <v/>
      </c>
    </row>
    <row r="3912" spans="1:5">
      <c r="A3912" s="12"/>
      <c r="E3912" s="57" t="str">
        <f ca="1">IFERROR(__xludf.DUMMYFUNCTION("""COMPUTED_VALUE"""),"")</f>
        <v/>
      </c>
    </row>
    <row r="3913" spans="1:5">
      <c r="A3913" s="12"/>
      <c r="E3913" s="57" t="str">
        <f ca="1">IFERROR(__xludf.DUMMYFUNCTION("""COMPUTED_VALUE"""),"")</f>
        <v/>
      </c>
    </row>
    <row r="3914" spans="1:5">
      <c r="A3914" s="12"/>
      <c r="E3914" s="57" t="str">
        <f ca="1">IFERROR(__xludf.DUMMYFUNCTION("""COMPUTED_VALUE"""),"")</f>
        <v/>
      </c>
    </row>
    <row r="3915" spans="1:5">
      <c r="A3915" s="12"/>
      <c r="E3915" s="57" t="str">
        <f ca="1">IFERROR(__xludf.DUMMYFUNCTION("""COMPUTED_VALUE"""),"")</f>
        <v/>
      </c>
    </row>
    <row r="3916" spans="1:5">
      <c r="A3916" s="12"/>
      <c r="E3916" s="57" t="str">
        <f ca="1">IFERROR(__xludf.DUMMYFUNCTION("""COMPUTED_VALUE"""),"")</f>
        <v/>
      </c>
    </row>
    <row r="3917" spans="1:5">
      <c r="A3917" s="12"/>
      <c r="E3917" s="57" t="str">
        <f ca="1">IFERROR(__xludf.DUMMYFUNCTION("""COMPUTED_VALUE"""),"")</f>
        <v/>
      </c>
    </row>
    <row r="3918" spans="1:5">
      <c r="A3918" s="12"/>
      <c r="E3918" s="57" t="str">
        <f ca="1">IFERROR(__xludf.DUMMYFUNCTION("""COMPUTED_VALUE"""),"")</f>
        <v/>
      </c>
    </row>
    <row r="3919" spans="1:5">
      <c r="A3919" s="12"/>
      <c r="E3919" s="57" t="str">
        <f ca="1">IFERROR(__xludf.DUMMYFUNCTION("""COMPUTED_VALUE"""),"")</f>
        <v/>
      </c>
    </row>
    <row r="3920" spans="1:5">
      <c r="A3920" s="12"/>
      <c r="E3920" s="57" t="str">
        <f ca="1">IFERROR(__xludf.DUMMYFUNCTION("""COMPUTED_VALUE"""),"")</f>
        <v/>
      </c>
    </row>
    <row r="3921" spans="1:5">
      <c r="A3921" s="12"/>
      <c r="E3921" s="57" t="str">
        <f ca="1">IFERROR(__xludf.DUMMYFUNCTION("""COMPUTED_VALUE"""),"")</f>
        <v/>
      </c>
    </row>
    <row r="3922" spans="1:5">
      <c r="A3922" s="12"/>
      <c r="E3922" s="57" t="str">
        <f ca="1">IFERROR(__xludf.DUMMYFUNCTION("""COMPUTED_VALUE"""),"")</f>
        <v/>
      </c>
    </row>
    <row r="3923" spans="1:5">
      <c r="A3923" s="12"/>
      <c r="E3923" s="57" t="str">
        <f ca="1">IFERROR(__xludf.DUMMYFUNCTION("""COMPUTED_VALUE"""),"")</f>
        <v/>
      </c>
    </row>
    <row r="3924" spans="1:5">
      <c r="A3924" s="12"/>
      <c r="E3924" s="57" t="str">
        <f ca="1">IFERROR(__xludf.DUMMYFUNCTION("""COMPUTED_VALUE"""),"")</f>
        <v/>
      </c>
    </row>
    <row r="3925" spans="1:5">
      <c r="A3925" s="12"/>
      <c r="E3925" s="57" t="str">
        <f ca="1">IFERROR(__xludf.DUMMYFUNCTION("""COMPUTED_VALUE"""),"")</f>
        <v/>
      </c>
    </row>
    <row r="3926" spans="1:5">
      <c r="A3926" s="12"/>
      <c r="E3926" s="57" t="str">
        <f ca="1">IFERROR(__xludf.DUMMYFUNCTION("""COMPUTED_VALUE"""),"")</f>
        <v/>
      </c>
    </row>
    <row r="3927" spans="1:5">
      <c r="A3927" s="12"/>
      <c r="E3927" s="57" t="str">
        <f ca="1">IFERROR(__xludf.DUMMYFUNCTION("""COMPUTED_VALUE"""),"")</f>
        <v/>
      </c>
    </row>
    <row r="3928" spans="1:5">
      <c r="A3928" s="12"/>
      <c r="E3928" s="57" t="str">
        <f ca="1">IFERROR(__xludf.DUMMYFUNCTION("""COMPUTED_VALUE"""),"")</f>
        <v/>
      </c>
    </row>
    <row r="3929" spans="1:5">
      <c r="A3929" s="12"/>
      <c r="E3929" s="57" t="str">
        <f ca="1">IFERROR(__xludf.DUMMYFUNCTION("""COMPUTED_VALUE"""),"")</f>
        <v/>
      </c>
    </row>
    <row r="3930" spans="1:5">
      <c r="A3930" s="12"/>
      <c r="E3930" s="57" t="str">
        <f ca="1">IFERROR(__xludf.DUMMYFUNCTION("""COMPUTED_VALUE"""),"")</f>
        <v/>
      </c>
    </row>
    <row r="3931" spans="1:5">
      <c r="A3931" s="12"/>
      <c r="E3931" s="57" t="str">
        <f ca="1">IFERROR(__xludf.DUMMYFUNCTION("""COMPUTED_VALUE"""),"")</f>
        <v/>
      </c>
    </row>
    <row r="3932" spans="1:5">
      <c r="A3932" s="12"/>
      <c r="E3932" s="57" t="str">
        <f ca="1">IFERROR(__xludf.DUMMYFUNCTION("""COMPUTED_VALUE"""),"")</f>
        <v/>
      </c>
    </row>
    <row r="3933" spans="1:5">
      <c r="A3933" s="12"/>
      <c r="E3933" s="57" t="str">
        <f ca="1">IFERROR(__xludf.DUMMYFUNCTION("""COMPUTED_VALUE"""),"")</f>
        <v/>
      </c>
    </row>
    <row r="3934" spans="1:5">
      <c r="A3934" s="12"/>
      <c r="E3934" s="57" t="str">
        <f ca="1">IFERROR(__xludf.DUMMYFUNCTION("""COMPUTED_VALUE"""),"")</f>
        <v/>
      </c>
    </row>
    <row r="3935" spans="1:5">
      <c r="A3935" s="12"/>
      <c r="E3935" s="57" t="str">
        <f ca="1">IFERROR(__xludf.DUMMYFUNCTION("""COMPUTED_VALUE"""),"")</f>
        <v/>
      </c>
    </row>
    <row r="3936" spans="1:5">
      <c r="A3936" s="12"/>
      <c r="E3936" s="57" t="str">
        <f ca="1">IFERROR(__xludf.DUMMYFUNCTION("""COMPUTED_VALUE"""),"")</f>
        <v/>
      </c>
    </row>
    <row r="3937" spans="1:5">
      <c r="A3937" s="12"/>
      <c r="E3937" s="57" t="str">
        <f ca="1">IFERROR(__xludf.DUMMYFUNCTION("""COMPUTED_VALUE"""),"")</f>
        <v/>
      </c>
    </row>
    <row r="3938" spans="1:5">
      <c r="A3938" s="12"/>
      <c r="E3938" s="57" t="str">
        <f ca="1">IFERROR(__xludf.DUMMYFUNCTION("""COMPUTED_VALUE"""),"")</f>
        <v/>
      </c>
    </row>
    <row r="3939" spans="1:5">
      <c r="A3939" s="12"/>
      <c r="E3939" s="57" t="str">
        <f ca="1">IFERROR(__xludf.DUMMYFUNCTION("""COMPUTED_VALUE"""),"")</f>
        <v/>
      </c>
    </row>
    <row r="3940" spans="1:5">
      <c r="A3940" s="12"/>
      <c r="E3940" s="57" t="str">
        <f ca="1">IFERROR(__xludf.DUMMYFUNCTION("""COMPUTED_VALUE"""),"")</f>
        <v/>
      </c>
    </row>
    <row r="3941" spans="1:5">
      <c r="A3941" s="12"/>
      <c r="E3941" s="57" t="str">
        <f ca="1">IFERROR(__xludf.DUMMYFUNCTION("""COMPUTED_VALUE"""),"")</f>
        <v/>
      </c>
    </row>
    <row r="3942" spans="1:5">
      <c r="A3942" s="12"/>
      <c r="E3942" s="57" t="str">
        <f ca="1">IFERROR(__xludf.DUMMYFUNCTION("""COMPUTED_VALUE"""),"")</f>
        <v/>
      </c>
    </row>
    <row r="3943" spans="1:5">
      <c r="A3943" s="12"/>
      <c r="E3943" s="57" t="str">
        <f ca="1">IFERROR(__xludf.DUMMYFUNCTION("""COMPUTED_VALUE"""),"")</f>
        <v/>
      </c>
    </row>
    <row r="3944" spans="1:5">
      <c r="A3944" s="12"/>
      <c r="E3944" s="57" t="str">
        <f ca="1">IFERROR(__xludf.DUMMYFUNCTION("""COMPUTED_VALUE"""),"")</f>
        <v/>
      </c>
    </row>
    <row r="3945" spans="1:5">
      <c r="A3945" s="12"/>
      <c r="E3945" s="57" t="str">
        <f ca="1">IFERROR(__xludf.DUMMYFUNCTION("""COMPUTED_VALUE"""),"")</f>
        <v/>
      </c>
    </row>
    <row r="3946" spans="1:5">
      <c r="A3946" s="12"/>
      <c r="E3946" s="57" t="str">
        <f ca="1">IFERROR(__xludf.DUMMYFUNCTION("""COMPUTED_VALUE"""),"")</f>
        <v/>
      </c>
    </row>
    <row r="3947" spans="1:5">
      <c r="A3947" s="12"/>
      <c r="E3947" s="57" t="str">
        <f ca="1">IFERROR(__xludf.DUMMYFUNCTION("""COMPUTED_VALUE"""),"")</f>
        <v/>
      </c>
    </row>
    <row r="3948" spans="1:5">
      <c r="A3948" s="12"/>
      <c r="E3948" s="57" t="str">
        <f ca="1">IFERROR(__xludf.DUMMYFUNCTION("""COMPUTED_VALUE"""),"")</f>
        <v/>
      </c>
    </row>
    <row r="3949" spans="1:5">
      <c r="A3949" s="12"/>
      <c r="E3949" s="57" t="str">
        <f ca="1">IFERROR(__xludf.DUMMYFUNCTION("""COMPUTED_VALUE"""),"")</f>
        <v/>
      </c>
    </row>
    <row r="3950" spans="1:5">
      <c r="A3950" s="12"/>
      <c r="E3950" s="57" t="str">
        <f ca="1">IFERROR(__xludf.DUMMYFUNCTION("""COMPUTED_VALUE"""),"")</f>
        <v/>
      </c>
    </row>
    <row r="3951" spans="1:5">
      <c r="A3951" s="12"/>
      <c r="E3951" s="57" t="str">
        <f ca="1">IFERROR(__xludf.DUMMYFUNCTION("""COMPUTED_VALUE"""),"")</f>
        <v/>
      </c>
    </row>
    <row r="3952" spans="1:5">
      <c r="A3952" s="12"/>
      <c r="E3952" s="57" t="str">
        <f ca="1">IFERROR(__xludf.DUMMYFUNCTION("""COMPUTED_VALUE"""),"")</f>
        <v/>
      </c>
    </row>
    <row r="3953" spans="1:5">
      <c r="A3953" s="12"/>
      <c r="E3953" s="57" t="str">
        <f ca="1">IFERROR(__xludf.DUMMYFUNCTION("""COMPUTED_VALUE"""),"")</f>
        <v/>
      </c>
    </row>
    <row r="3954" spans="1:5">
      <c r="A3954" s="12"/>
      <c r="E3954" s="57" t="str">
        <f ca="1">IFERROR(__xludf.DUMMYFUNCTION("""COMPUTED_VALUE"""),"")</f>
        <v/>
      </c>
    </row>
    <row r="3955" spans="1:5">
      <c r="A3955" s="12"/>
      <c r="E3955" s="57" t="str">
        <f ca="1">IFERROR(__xludf.DUMMYFUNCTION("""COMPUTED_VALUE"""),"")</f>
        <v/>
      </c>
    </row>
    <row r="3956" spans="1:5">
      <c r="A3956" s="12"/>
      <c r="E3956" s="57" t="str">
        <f ca="1">IFERROR(__xludf.DUMMYFUNCTION("""COMPUTED_VALUE"""),"")</f>
        <v/>
      </c>
    </row>
    <row r="3957" spans="1:5">
      <c r="A3957" s="12"/>
      <c r="E3957" s="57" t="str">
        <f ca="1">IFERROR(__xludf.DUMMYFUNCTION("""COMPUTED_VALUE"""),"")</f>
        <v/>
      </c>
    </row>
    <row r="3958" spans="1:5">
      <c r="A3958" s="12"/>
      <c r="E3958" s="57" t="str">
        <f ca="1">IFERROR(__xludf.DUMMYFUNCTION("""COMPUTED_VALUE"""),"")</f>
        <v/>
      </c>
    </row>
    <row r="3959" spans="1:5">
      <c r="A3959" s="12"/>
      <c r="E3959" s="57" t="str">
        <f ca="1">IFERROR(__xludf.DUMMYFUNCTION("""COMPUTED_VALUE"""),"")</f>
        <v/>
      </c>
    </row>
    <row r="3960" spans="1:5">
      <c r="A3960" s="12"/>
      <c r="E3960" s="57" t="str">
        <f ca="1">IFERROR(__xludf.DUMMYFUNCTION("""COMPUTED_VALUE"""),"")</f>
        <v/>
      </c>
    </row>
    <row r="3961" spans="1:5">
      <c r="A3961" s="12"/>
      <c r="E3961" s="57" t="str">
        <f ca="1">IFERROR(__xludf.DUMMYFUNCTION("""COMPUTED_VALUE"""),"")</f>
        <v/>
      </c>
    </row>
    <row r="3962" spans="1:5">
      <c r="A3962" s="12"/>
      <c r="E3962" s="57" t="str">
        <f ca="1">IFERROR(__xludf.DUMMYFUNCTION("""COMPUTED_VALUE"""),"")</f>
        <v/>
      </c>
    </row>
    <row r="3963" spans="1:5">
      <c r="A3963" s="12"/>
      <c r="E3963" s="57" t="str">
        <f ca="1">IFERROR(__xludf.DUMMYFUNCTION("""COMPUTED_VALUE"""),"")</f>
        <v/>
      </c>
    </row>
    <row r="3964" spans="1:5">
      <c r="A3964" s="12"/>
      <c r="E3964" s="57" t="str">
        <f ca="1">IFERROR(__xludf.DUMMYFUNCTION("""COMPUTED_VALUE"""),"")</f>
        <v/>
      </c>
    </row>
    <row r="3965" spans="1:5">
      <c r="A3965" s="12"/>
      <c r="E3965" s="57" t="str">
        <f ca="1">IFERROR(__xludf.DUMMYFUNCTION("""COMPUTED_VALUE"""),"")</f>
        <v/>
      </c>
    </row>
    <row r="3966" spans="1:5">
      <c r="A3966" s="12"/>
      <c r="E3966" s="57" t="str">
        <f ca="1">IFERROR(__xludf.DUMMYFUNCTION("""COMPUTED_VALUE"""),"")</f>
        <v/>
      </c>
    </row>
    <row r="3967" spans="1:5">
      <c r="A3967" s="12"/>
      <c r="E3967" s="57" t="str">
        <f ca="1">IFERROR(__xludf.DUMMYFUNCTION("""COMPUTED_VALUE"""),"")</f>
        <v/>
      </c>
    </row>
    <row r="3968" spans="1:5">
      <c r="A3968" s="12"/>
      <c r="E3968" s="57" t="str">
        <f ca="1">IFERROR(__xludf.DUMMYFUNCTION("""COMPUTED_VALUE"""),"")</f>
        <v/>
      </c>
    </row>
    <row r="3969" spans="1:5">
      <c r="A3969" s="12"/>
      <c r="E3969" s="57" t="str">
        <f ca="1">IFERROR(__xludf.DUMMYFUNCTION("""COMPUTED_VALUE"""),"")</f>
        <v/>
      </c>
    </row>
    <row r="3970" spans="1:5">
      <c r="A3970" s="12"/>
      <c r="E3970" s="57" t="str">
        <f ca="1">IFERROR(__xludf.DUMMYFUNCTION("""COMPUTED_VALUE"""),"")</f>
        <v/>
      </c>
    </row>
    <row r="3971" spans="1:5">
      <c r="A3971" s="12"/>
      <c r="E3971" s="57" t="str">
        <f ca="1">IFERROR(__xludf.DUMMYFUNCTION("""COMPUTED_VALUE"""),"")</f>
        <v/>
      </c>
    </row>
    <row r="3972" spans="1:5">
      <c r="A3972" s="12"/>
      <c r="E3972" s="57" t="str">
        <f ca="1">IFERROR(__xludf.DUMMYFUNCTION("""COMPUTED_VALUE"""),"")</f>
        <v/>
      </c>
    </row>
    <row r="3973" spans="1:5">
      <c r="A3973" s="12"/>
      <c r="E3973" s="57" t="str">
        <f ca="1">IFERROR(__xludf.DUMMYFUNCTION("""COMPUTED_VALUE"""),"")</f>
        <v/>
      </c>
    </row>
    <row r="3974" spans="1:5">
      <c r="A3974" s="12"/>
      <c r="E3974" s="57" t="str">
        <f ca="1">IFERROR(__xludf.DUMMYFUNCTION("""COMPUTED_VALUE"""),"")</f>
        <v/>
      </c>
    </row>
    <row r="3975" spans="1:5">
      <c r="A3975" s="12"/>
      <c r="E3975" s="57" t="str">
        <f ca="1">IFERROR(__xludf.DUMMYFUNCTION("""COMPUTED_VALUE"""),"")</f>
        <v/>
      </c>
    </row>
    <row r="3976" spans="1:5">
      <c r="A3976" s="12"/>
      <c r="E3976" s="57" t="str">
        <f ca="1">IFERROR(__xludf.DUMMYFUNCTION("""COMPUTED_VALUE"""),"")</f>
        <v/>
      </c>
    </row>
    <row r="3977" spans="1:5">
      <c r="A3977" s="12"/>
      <c r="E3977" s="57" t="str">
        <f ca="1">IFERROR(__xludf.DUMMYFUNCTION("""COMPUTED_VALUE"""),"")</f>
        <v/>
      </c>
    </row>
    <row r="3978" spans="1:5">
      <c r="A3978" s="12"/>
      <c r="E3978" s="57" t="str">
        <f ca="1">IFERROR(__xludf.DUMMYFUNCTION("""COMPUTED_VALUE"""),"")</f>
        <v/>
      </c>
    </row>
    <row r="3979" spans="1:5">
      <c r="A3979" s="12"/>
      <c r="E3979" s="57" t="str">
        <f ca="1">IFERROR(__xludf.DUMMYFUNCTION("""COMPUTED_VALUE"""),"")</f>
        <v/>
      </c>
    </row>
    <row r="3980" spans="1:5">
      <c r="A3980" s="12"/>
      <c r="E3980" s="57" t="str">
        <f ca="1">IFERROR(__xludf.DUMMYFUNCTION("""COMPUTED_VALUE"""),"")</f>
        <v/>
      </c>
    </row>
    <row r="3981" spans="1:5">
      <c r="A3981" s="12"/>
      <c r="E3981" s="57" t="str">
        <f ca="1">IFERROR(__xludf.DUMMYFUNCTION("""COMPUTED_VALUE"""),"")</f>
        <v/>
      </c>
    </row>
    <row r="3982" spans="1:5">
      <c r="A3982" s="12"/>
      <c r="E3982" s="57" t="str">
        <f ca="1">IFERROR(__xludf.DUMMYFUNCTION("""COMPUTED_VALUE"""),"")</f>
        <v/>
      </c>
    </row>
    <row r="3983" spans="1:5">
      <c r="A3983" s="12"/>
      <c r="E3983" s="57" t="str">
        <f ca="1">IFERROR(__xludf.DUMMYFUNCTION("""COMPUTED_VALUE"""),"")</f>
        <v/>
      </c>
    </row>
    <row r="3984" spans="1:5">
      <c r="A3984" s="12"/>
      <c r="E3984" s="57" t="str">
        <f ca="1">IFERROR(__xludf.DUMMYFUNCTION("""COMPUTED_VALUE"""),"")</f>
        <v/>
      </c>
    </row>
    <row r="3985" spans="1:5">
      <c r="A3985" s="12"/>
      <c r="E3985" s="57" t="str">
        <f ca="1">IFERROR(__xludf.DUMMYFUNCTION("""COMPUTED_VALUE"""),"")</f>
        <v/>
      </c>
    </row>
    <row r="3986" spans="1:5">
      <c r="A3986" s="12"/>
      <c r="E3986" s="57" t="str">
        <f ca="1">IFERROR(__xludf.DUMMYFUNCTION("""COMPUTED_VALUE"""),"")</f>
        <v/>
      </c>
    </row>
    <row r="3987" spans="1:5">
      <c r="A3987" s="12"/>
      <c r="E3987" s="57" t="str">
        <f ca="1">IFERROR(__xludf.DUMMYFUNCTION("""COMPUTED_VALUE"""),"")</f>
        <v/>
      </c>
    </row>
    <row r="3988" spans="1:5">
      <c r="A3988" s="12"/>
      <c r="E3988" s="57" t="str">
        <f ca="1">IFERROR(__xludf.DUMMYFUNCTION("""COMPUTED_VALUE"""),"")</f>
        <v/>
      </c>
    </row>
    <row r="3989" spans="1:5">
      <c r="A3989" s="12"/>
      <c r="E3989" s="57" t="str">
        <f ca="1">IFERROR(__xludf.DUMMYFUNCTION("""COMPUTED_VALUE"""),"")</f>
        <v/>
      </c>
    </row>
    <row r="3990" spans="1:5">
      <c r="A3990" s="12"/>
      <c r="E3990" s="57" t="str">
        <f ca="1">IFERROR(__xludf.DUMMYFUNCTION("""COMPUTED_VALUE"""),"")</f>
        <v/>
      </c>
    </row>
    <row r="3991" spans="1:5">
      <c r="A3991" s="12"/>
      <c r="E3991" s="57" t="str">
        <f ca="1">IFERROR(__xludf.DUMMYFUNCTION("""COMPUTED_VALUE"""),"")</f>
        <v/>
      </c>
    </row>
    <row r="3992" spans="1:5">
      <c r="A3992" s="12"/>
      <c r="E3992" s="57" t="str">
        <f ca="1">IFERROR(__xludf.DUMMYFUNCTION("""COMPUTED_VALUE"""),"")</f>
        <v/>
      </c>
    </row>
    <row r="3993" spans="1:5">
      <c r="A3993" s="12"/>
      <c r="E3993" s="57" t="str">
        <f ca="1">IFERROR(__xludf.DUMMYFUNCTION("""COMPUTED_VALUE"""),"")</f>
        <v/>
      </c>
    </row>
    <row r="3994" spans="1:5">
      <c r="A3994" s="12"/>
      <c r="E3994" s="57" t="str">
        <f ca="1">IFERROR(__xludf.DUMMYFUNCTION("""COMPUTED_VALUE"""),"")</f>
        <v/>
      </c>
    </row>
    <row r="3995" spans="1:5">
      <c r="A3995" s="12"/>
      <c r="E3995" s="57" t="str">
        <f ca="1">IFERROR(__xludf.DUMMYFUNCTION("""COMPUTED_VALUE"""),"")</f>
        <v/>
      </c>
    </row>
    <row r="3996" spans="1:5">
      <c r="A3996" s="12"/>
      <c r="E3996" s="57" t="str">
        <f ca="1">IFERROR(__xludf.DUMMYFUNCTION("""COMPUTED_VALUE"""),"")</f>
        <v/>
      </c>
    </row>
    <row r="3997" spans="1:5">
      <c r="A3997" s="12"/>
      <c r="E3997" s="57" t="str">
        <f ca="1">IFERROR(__xludf.DUMMYFUNCTION("""COMPUTED_VALUE"""),"")</f>
        <v/>
      </c>
    </row>
    <row r="3998" spans="1:5">
      <c r="A3998" s="12"/>
      <c r="E3998" s="57" t="str">
        <f ca="1">IFERROR(__xludf.DUMMYFUNCTION("""COMPUTED_VALUE"""),"")</f>
        <v/>
      </c>
    </row>
    <row r="3999" spans="1:5">
      <c r="A3999" s="12"/>
      <c r="E3999" s="57" t="str">
        <f ca="1">IFERROR(__xludf.DUMMYFUNCTION("""COMPUTED_VALUE"""),"")</f>
        <v/>
      </c>
    </row>
    <row r="4000" spans="1:5">
      <c r="A4000" s="12"/>
      <c r="E4000" s="57" t="str">
        <f ca="1">IFERROR(__xludf.DUMMYFUNCTION("""COMPUTED_VALUE"""),"")</f>
        <v/>
      </c>
    </row>
    <row r="4001" spans="1:5">
      <c r="A4001" s="12"/>
      <c r="E4001" s="57" t="str">
        <f ca="1">IFERROR(__xludf.DUMMYFUNCTION("""COMPUTED_VALUE"""),"")</f>
        <v/>
      </c>
    </row>
    <row r="4002" spans="1:5">
      <c r="A4002" s="12"/>
      <c r="E4002" s="57" t="str">
        <f ca="1">IFERROR(__xludf.DUMMYFUNCTION("""COMPUTED_VALUE"""),"")</f>
        <v/>
      </c>
    </row>
    <row r="4003" spans="1:5">
      <c r="A4003" s="12"/>
      <c r="E4003" s="57" t="str">
        <f ca="1">IFERROR(__xludf.DUMMYFUNCTION("""COMPUTED_VALUE"""),"")</f>
        <v/>
      </c>
    </row>
    <row r="4004" spans="1:5">
      <c r="A4004" s="12"/>
      <c r="E4004" s="57" t="str">
        <f ca="1">IFERROR(__xludf.DUMMYFUNCTION("""COMPUTED_VALUE"""),"")</f>
        <v/>
      </c>
    </row>
    <row r="4005" spans="1:5">
      <c r="A4005" s="12"/>
      <c r="E4005" s="57" t="str">
        <f ca="1">IFERROR(__xludf.DUMMYFUNCTION("""COMPUTED_VALUE"""),"")</f>
        <v/>
      </c>
    </row>
    <row r="4006" spans="1:5">
      <c r="A4006" s="12"/>
      <c r="E4006" s="57" t="str">
        <f ca="1">IFERROR(__xludf.DUMMYFUNCTION("""COMPUTED_VALUE"""),"")</f>
        <v/>
      </c>
    </row>
    <row r="4007" spans="1:5">
      <c r="A4007" s="12"/>
      <c r="E4007" s="57" t="str">
        <f ca="1">IFERROR(__xludf.DUMMYFUNCTION("""COMPUTED_VALUE"""),"")</f>
        <v/>
      </c>
    </row>
    <row r="4008" spans="1:5">
      <c r="A4008" s="12"/>
      <c r="E4008" s="57" t="str">
        <f ca="1">IFERROR(__xludf.DUMMYFUNCTION("""COMPUTED_VALUE"""),"")</f>
        <v/>
      </c>
    </row>
    <row r="4009" spans="1:5">
      <c r="A4009" s="12"/>
      <c r="E4009" s="57" t="str">
        <f ca="1">IFERROR(__xludf.DUMMYFUNCTION("""COMPUTED_VALUE"""),"")</f>
        <v/>
      </c>
    </row>
    <row r="4010" spans="1:5">
      <c r="A4010" s="12"/>
      <c r="E4010" s="57" t="str">
        <f ca="1">IFERROR(__xludf.DUMMYFUNCTION("""COMPUTED_VALUE"""),"")</f>
        <v/>
      </c>
    </row>
    <row r="4011" spans="1:5">
      <c r="A4011" s="12"/>
      <c r="E4011" s="57" t="str">
        <f ca="1">IFERROR(__xludf.DUMMYFUNCTION("""COMPUTED_VALUE"""),"")</f>
        <v/>
      </c>
    </row>
    <row r="4012" spans="1:5">
      <c r="A4012" s="12"/>
      <c r="E4012" s="57" t="str">
        <f ca="1">IFERROR(__xludf.DUMMYFUNCTION("""COMPUTED_VALUE"""),"")</f>
        <v/>
      </c>
    </row>
    <row r="4013" spans="1:5">
      <c r="A4013" s="12"/>
      <c r="E4013" s="57" t="str">
        <f ca="1">IFERROR(__xludf.DUMMYFUNCTION("""COMPUTED_VALUE"""),"")</f>
        <v/>
      </c>
    </row>
    <row r="4014" spans="1:5">
      <c r="A4014" s="12"/>
      <c r="E4014" s="57" t="str">
        <f ca="1">IFERROR(__xludf.DUMMYFUNCTION("""COMPUTED_VALUE"""),"")</f>
        <v/>
      </c>
    </row>
    <row r="4015" spans="1:5">
      <c r="A4015" s="12"/>
      <c r="E4015" s="57" t="str">
        <f ca="1">IFERROR(__xludf.DUMMYFUNCTION("""COMPUTED_VALUE"""),"")</f>
        <v/>
      </c>
    </row>
    <row r="4016" spans="1:5">
      <c r="A4016" s="12"/>
      <c r="E4016" s="57" t="str">
        <f ca="1">IFERROR(__xludf.DUMMYFUNCTION("""COMPUTED_VALUE"""),"")</f>
        <v/>
      </c>
    </row>
    <row r="4017" spans="1:5">
      <c r="A4017" s="12"/>
      <c r="E4017" s="57" t="str">
        <f ca="1">IFERROR(__xludf.DUMMYFUNCTION("""COMPUTED_VALUE"""),"")</f>
        <v/>
      </c>
    </row>
    <row r="4018" spans="1:5">
      <c r="A4018" s="12"/>
      <c r="E4018" s="57" t="str">
        <f ca="1">IFERROR(__xludf.DUMMYFUNCTION("""COMPUTED_VALUE"""),"")</f>
        <v/>
      </c>
    </row>
    <row r="4019" spans="1:5">
      <c r="A4019" s="12"/>
      <c r="E4019" s="57" t="str">
        <f ca="1">IFERROR(__xludf.DUMMYFUNCTION("""COMPUTED_VALUE"""),"")</f>
        <v/>
      </c>
    </row>
    <row r="4020" spans="1:5">
      <c r="A4020" s="12"/>
      <c r="E4020" s="57" t="str">
        <f ca="1">IFERROR(__xludf.DUMMYFUNCTION("""COMPUTED_VALUE"""),"")</f>
        <v/>
      </c>
    </row>
    <row r="4021" spans="1:5">
      <c r="A4021" s="12"/>
      <c r="E4021" s="57" t="str">
        <f ca="1">IFERROR(__xludf.DUMMYFUNCTION("""COMPUTED_VALUE"""),"")</f>
        <v/>
      </c>
    </row>
    <row r="4022" spans="1:5">
      <c r="A4022" s="12"/>
      <c r="E4022" s="57" t="str">
        <f ca="1">IFERROR(__xludf.DUMMYFUNCTION("""COMPUTED_VALUE"""),"")</f>
        <v/>
      </c>
    </row>
    <row r="4023" spans="1:5">
      <c r="A4023" s="12"/>
      <c r="E4023" s="57" t="str">
        <f ca="1">IFERROR(__xludf.DUMMYFUNCTION("""COMPUTED_VALUE"""),"")</f>
        <v/>
      </c>
    </row>
    <row r="4024" spans="1:5">
      <c r="A4024" s="12"/>
      <c r="E4024" s="57" t="str">
        <f ca="1">IFERROR(__xludf.DUMMYFUNCTION("""COMPUTED_VALUE"""),"")</f>
        <v/>
      </c>
    </row>
    <row r="4025" spans="1:5">
      <c r="A4025" s="12"/>
      <c r="E4025" s="57" t="str">
        <f ca="1">IFERROR(__xludf.DUMMYFUNCTION("""COMPUTED_VALUE"""),"")</f>
        <v/>
      </c>
    </row>
    <row r="4026" spans="1:5">
      <c r="A4026" s="12"/>
      <c r="E4026" s="57" t="str">
        <f ca="1">IFERROR(__xludf.DUMMYFUNCTION("""COMPUTED_VALUE"""),"")</f>
        <v/>
      </c>
    </row>
    <row r="4027" spans="1:5">
      <c r="A4027" s="12"/>
      <c r="E4027" s="57" t="str">
        <f ca="1">IFERROR(__xludf.DUMMYFUNCTION("""COMPUTED_VALUE"""),"")</f>
        <v/>
      </c>
    </row>
    <row r="4028" spans="1:5">
      <c r="A4028" s="12"/>
      <c r="E4028" s="57" t="str">
        <f ca="1">IFERROR(__xludf.DUMMYFUNCTION("""COMPUTED_VALUE"""),"")</f>
        <v/>
      </c>
    </row>
    <row r="4029" spans="1:5">
      <c r="A4029" s="12"/>
      <c r="E4029" s="57" t="str">
        <f ca="1">IFERROR(__xludf.DUMMYFUNCTION("""COMPUTED_VALUE"""),"")</f>
        <v/>
      </c>
    </row>
    <row r="4030" spans="1:5">
      <c r="A4030" s="12"/>
      <c r="E4030" s="57" t="str">
        <f ca="1">IFERROR(__xludf.DUMMYFUNCTION("""COMPUTED_VALUE"""),"")</f>
        <v/>
      </c>
    </row>
    <row r="4031" spans="1:5">
      <c r="A4031" s="12"/>
      <c r="E4031" s="57" t="str">
        <f ca="1">IFERROR(__xludf.DUMMYFUNCTION("""COMPUTED_VALUE"""),"")</f>
        <v/>
      </c>
    </row>
    <row r="4032" spans="1:5">
      <c r="A4032" s="12"/>
      <c r="E4032" s="57" t="str">
        <f ca="1">IFERROR(__xludf.DUMMYFUNCTION("""COMPUTED_VALUE"""),"")</f>
        <v/>
      </c>
    </row>
    <row r="4033" spans="1:5">
      <c r="A4033" s="12"/>
      <c r="E4033" s="57" t="str">
        <f ca="1">IFERROR(__xludf.DUMMYFUNCTION("""COMPUTED_VALUE"""),"")</f>
        <v/>
      </c>
    </row>
    <row r="4034" spans="1:5">
      <c r="A4034" s="12"/>
      <c r="E4034" s="57" t="str">
        <f ca="1">IFERROR(__xludf.DUMMYFUNCTION("""COMPUTED_VALUE"""),"")</f>
        <v/>
      </c>
    </row>
    <row r="4035" spans="1:5">
      <c r="A4035" s="12"/>
      <c r="E4035" s="57" t="str">
        <f ca="1">IFERROR(__xludf.DUMMYFUNCTION("""COMPUTED_VALUE"""),"")</f>
        <v/>
      </c>
    </row>
    <row r="4036" spans="1:5">
      <c r="A4036" s="12"/>
      <c r="E4036" s="57" t="str">
        <f ca="1">IFERROR(__xludf.DUMMYFUNCTION("""COMPUTED_VALUE"""),"")</f>
        <v/>
      </c>
    </row>
    <row r="4037" spans="1:5">
      <c r="A4037" s="12"/>
      <c r="E4037" s="57" t="str">
        <f ca="1">IFERROR(__xludf.DUMMYFUNCTION("""COMPUTED_VALUE"""),"")</f>
        <v/>
      </c>
    </row>
    <row r="4038" spans="1:5">
      <c r="A4038" s="12"/>
      <c r="E4038" s="57" t="str">
        <f ca="1">IFERROR(__xludf.DUMMYFUNCTION("""COMPUTED_VALUE"""),"")</f>
        <v/>
      </c>
    </row>
    <row r="4039" spans="1:5">
      <c r="A4039" s="12"/>
      <c r="E4039" s="57" t="str">
        <f ca="1">IFERROR(__xludf.DUMMYFUNCTION("""COMPUTED_VALUE"""),"")</f>
        <v/>
      </c>
    </row>
    <row r="4040" spans="1:5">
      <c r="A4040" s="12"/>
      <c r="E4040" s="57" t="str">
        <f ca="1">IFERROR(__xludf.DUMMYFUNCTION("""COMPUTED_VALUE"""),"")</f>
        <v/>
      </c>
    </row>
    <row r="4041" spans="1:5">
      <c r="A4041" s="12"/>
      <c r="E4041" s="57" t="str">
        <f ca="1">IFERROR(__xludf.DUMMYFUNCTION("""COMPUTED_VALUE"""),"")</f>
        <v/>
      </c>
    </row>
    <row r="4042" spans="1:5">
      <c r="A4042" s="12"/>
      <c r="E4042" s="57" t="str">
        <f ca="1">IFERROR(__xludf.DUMMYFUNCTION("""COMPUTED_VALUE"""),"")</f>
        <v/>
      </c>
    </row>
    <row r="4043" spans="1:5">
      <c r="A4043" s="12"/>
      <c r="E4043" s="57" t="str">
        <f ca="1">IFERROR(__xludf.DUMMYFUNCTION("""COMPUTED_VALUE"""),"")</f>
        <v/>
      </c>
    </row>
    <row r="4044" spans="1:5">
      <c r="A4044" s="12"/>
      <c r="E4044" s="57" t="str">
        <f ca="1">IFERROR(__xludf.DUMMYFUNCTION("""COMPUTED_VALUE"""),"")</f>
        <v/>
      </c>
    </row>
    <row r="4045" spans="1:5">
      <c r="A4045" s="12"/>
      <c r="E4045" s="57" t="str">
        <f ca="1">IFERROR(__xludf.DUMMYFUNCTION("""COMPUTED_VALUE"""),"")</f>
        <v/>
      </c>
    </row>
    <row r="4046" spans="1:5">
      <c r="A4046" s="12"/>
      <c r="E4046" s="57" t="str">
        <f ca="1">IFERROR(__xludf.DUMMYFUNCTION("""COMPUTED_VALUE"""),"")</f>
        <v/>
      </c>
    </row>
    <row r="4047" spans="1:5">
      <c r="A4047" s="12"/>
      <c r="E4047" s="57" t="str">
        <f ca="1">IFERROR(__xludf.DUMMYFUNCTION("""COMPUTED_VALUE"""),"")</f>
        <v/>
      </c>
    </row>
    <row r="4048" spans="1:5">
      <c r="A4048" s="12"/>
      <c r="E4048" s="57" t="str">
        <f ca="1">IFERROR(__xludf.DUMMYFUNCTION("""COMPUTED_VALUE"""),"")</f>
        <v/>
      </c>
    </row>
    <row r="4049" spans="1:5">
      <c r="A4049" s="12"/>
      <c r="E4049" s="57" t="str">
        <f ca="1">IFERROR(__xludf.DUMMYFUNCTION("""COMPUTED_VALUE"""),"")</f>
        <v/>
      </c>
    </row>
    <row r="4050" spans="1:5">
      <c r="A4050" s="12"/>
      <c r="E4050" s="57" t="str">
        <f ca="1">IFERROR(__xludf.DUMMYFUNCTION("""COMPUTED_VALUE"""),"")</f>
        <v/>
      </c>
    </row>
    <row r="4051" spans="1:5">
      <c r="A4051" s="12"/>
      <c r="E4051" s="57" t="str">
        <f ca="1">IFERROR(__xludf.DUMMYFUNCTION("""COMPUTED_VALUE"""),"")</f>
        <v/>
      </c>
    </row>
    <row r="4052" spans="1:5">
      <c r="A4052" s="12"/>
      <c r="E4052" s="57" t="str">
        <f ca="1">IFERROR(__xludf.DUMMYFUNCTION("""COMPUTED_VALUE"""),"")</f>
        <v/>
      </c>
    </row>
    <row r="4053" spans="1:5">
      <c r="A4053" s="12"/>
      <c r="E4053" s="57" t="str">
        <f ca="1">IFERROR(__xludf.DUMMYFUNCTION("""COMPUTED_VALUE"""),"")</f>
        <v/>
      </c>
    </row>
    <row r="4054" spans="1:5">
      <c r="A4054" s="12"/>
      <c r="E4054" s="57" t="str">
        <f ca="1">IFERROR(__xludf.DUMMYFUNCTION("""COMPUTED_VALUE"""),"")</f>
        <v/>
      </c>
    </row>
    <row r="4055" spans="1:5">
      <c r="A4055" s="12"/>
      <c r="E4055" s="57" t="str">
        <f ca="1">IFERROR(__xludf.DUMMYFUNCTION("""COMPUTED_VALUE"""),"")</f>
        <v/>
      </c>
    </row>
    <row r="4056" spans="1:5">
      <c r="A4056" s="12"/>
      <c r="E4056" s="57" t="str">
        <f ca="1">IFERROR(__xludf.DUMMYFUNCTION("""COMPUTED_VALUE"""),"")</f>
        <v/>
      </c>
    </row>
    <row r="4057" spans="1:5">
      <c r="A4057" s="12"/>
      <c r="E4057" s="57" t="str">
        <f ca="1">IFERROR(__xludf.DUMMYFUNCTION("""COMPUTED_VALUE"""),"")</f>
        <v/>
      </c>
    </row>
    <row r="4058" spans="1:5">
      <c r="A4058" s="12"/>
      <c r="E4058" s="57" t="str">
        <f ca="1">IFERROR(__xludf.DUMMYFUNCTION("""COMPUTED_VALUE"""),"")</f>
        <v/>
      </c>
    </row>
    <row r="4059" spans="1:5">
      <c r="A4059" s="12"/>
      <c r="E4059" s="57" t="str">
        <f ca="1">IFERROR(__xludf.DUMMYFUNCTION("""COMPUTED_VALUE"""),"")</f>
        <v/>
      </c>
    </row>
    <row r="4060" spans="1:5">
      <c r="A4060" s="12"/>
      <c r="E4060" s="57" t="str">
        <f ca="1">IFERROR(__xludf.DUMMYFUNCTION("""COMPUTED_VALUE"""),"")</f>
        <v/>
      </c>
    </row>
    <row r="4061" spans="1:5">
      <c r="A4061" s="12"/>
      <c r="E4061" s="57" t="str">
        <f ca="1">IFERROR(__xludf.DUMMYFUNCTION("""COMPUTED_VALUE"""),"")</f>
        <v/>
      </c>
    </row>
    <row r="4062" spans="1:5">
      <c r="A4062" s="12"/>
      <c r="E4062" s="57" t="str">
        <f ca="1">IFERROR(__xludf.DUMMYFUNCTION("""COMPUTED_VALUE"""),"")</f>
        <v/>
      </c>
    </row>
    <row r="4063" spans="1:5">
      <c r="A4063" s="12"/>
      <c r="E4063" s="57" t="str">
        <f ca="1">IFERROR(__xludf.DUMMYFUNCTION("""COMPUTED_VALUE"""),"")</f>
        <v/>
      </c>
    </row>
    <row r="4064" spans="1:5">
      <c r="A4064" s="12"/>
      <c r="E4064" s="57" t="str">
        <f ca="1">IFERROR(__xludf.DUMMYFUNCTION("""COMPUTED_VALUE"""),"")</f>
        <v/>
      </c>
    </row>
    <row r="4065" spans="1:5">
      <c r="A4065" s="12"/>
      <c r="E4065" s="57" t="str">
        <f ca="1">IFERROR(__xludf.DUMMYFUNCTION("""COMPUTED_VALUE"""),"")</f>
        <v/>
      </c>
    </row>
    <row r="4066" spans="1:5">
      <c r="A4066" s="12"/>
      <c r="E4066" s="57" t="str">
        <f ca="1">IFERROR(__xludf.DUMMYFUNCTION("""COMPUTED_VALUE"""),"")</f>
        <v/>
      </c>
    </row>
    <row r="4067" spans="1:5">
      <c r="A4067" s="12"/>
      <c r="E4067" s="57" t="str">
        <f ca="1">IFERROR(__xludf.DUMMYFUNCTION("""COMPUTED_VALUE"""),"")</f>
        <v/>
      </c>
    </row>
    <row r="4068" spans="1:5">
      <c r="A4068" s="12"/>
      <c r="E4068" s="57" t="str">
        <f ca="1">IFERROR(__xludf.DUMMYFUNCTION("""COMPUTED_VALUE"""),"")</f>
        <v/>
      </c>
    </row>
    <row r="4069" spans="1:5">
      <c r="A4069" s="12"/>
      <c r="E4069" s="57" t="str">
        <f ca="1">IFERROR(__xludf.DUMMYFUNCTION("""COMPUTED_VALUE"""),"")</f>
        <v/>
      </c>
    </row>
    <row r="4070" spans="1:5">
      <c r="A4070" s="12"/>
      <c r="E4070" s="57" t="str">
        <f ca="1">IFERROR(__xludf.DUMMYFUNCTION("""COMPUTED_VALUE"""),"")</f>
        <v/>
      </c>
    </row>
    <row r="4071" spans="1:5">
      <c r="A4071" s="12"/>
      <c r="E4071" s="57" t="str">
        <f ca="1">IFERROR(__xludf.DUMMYFUNCTION("""COMPUTED_VALUE"""),"")</f>
        <v/>
      </c>
    </row>
    <row r="4072" spans="1:5">
      <c r="A4072" s="12"/>
      <c r="E4072" s="57" t="str">
        <f ca="1">IFERROR(__xludf.DUMMYFUNCTION("""COMPUTED_VALUE"""),"")</f>
        <v/>
      </c>
    </row>
    <row r="4073" spans="1:5">
      <c r="A4073" s="12"/>
      <c r="E4073" s="57" t="str">
        <f ca="1">IFERROR(__xludf.DUMMYFUNCTION("""COMPUTED_VALUE"""),"")</f>
        <v/>
      </c>
    </row>
    <row r="4074" spans="1:5">
      <c r="A4074" s="12"/>
      <c r="E4074" s="57" t="str">
        <f ca="1">IFERROR(__xludf.DUMMYFUNCTION("""COMPUTED_VALUE"""),"")</f>
        <v/>
      </c>
    </row>
    <row r="4075" spans="1:5">
      <c r="A4075" s="12"/>
      <c r="E4075" s="57" t="str">
        <f ca="1">IFERROR(__xludf.DUMMYFUNCTION("""COMPUTED_VALUE"""),"")</f>
        <v/>
      </c>
    </row>
    <row r="4076" spans="1:5">
      <c r="A4076" s="12"/>
      <c r="E4076" s="57" t="str">
        <f ca="1">IFERROR(__xludf.DUMMYFUNCTION("""COMPUTED_VALUE"""),"")</f>
        <v/>
      </c>
    </row>
    <row r="4077" spans="1:5">
      <c r="A4077" s="12"/>
      <c r="E4077" s="57" t="str">
        <f ca="1">IFERROR(__xludf.DUMMYFUNCTION("""COMPUTED_VALUE"""),"")</f>
        <v/>
      </c>
    </row>
    <row r="4078" spans="1:5">
      <c r="A4078" s="12"/>
      <c r="E4078" s="57" t="str">
        <f ca="1">IFERROR(__xludf.DUMMYFUNCTION("""COMPUTED_VALUE"""),"")</f>
        <v/>
      </c>
    </row>
    <row r="4079" spans="1:5">
      <c r="A4079" s="12"/>
      <c r="E4079" s="57" t="str">
        <f ca="1">IFERROR(__xludf.DUMMYFUNCTION("""COMPUTED_VALUE"""),"")</f>
        <v/>
      </c>
    </row>
    <row r="4080" spans="1:5">
      <c r="A4080" s="12"/>
      <c r="E4080" s="57" t="str">
        <f ca="1">IFERROR(__xludf.DUMMYFUNCTION("""COMPUTED_VALUE"""),"")</f>
        <v/>
      </c>
    </row>
    <row r="4081" spans="1:5">
      <c r="A4081" s="12"/>
      <c r="E4081" s="57" t="str">
        <f ca="1">IFERROR(__xludf.DUMMYFUNCTION("""COMPUTED_VALUE"""),"")</f>
        <v/>
      </c>
    </row>
    <row r="4082" spans="1:5">
      <c r="A4082" s="12"/>
      <c r="E4082" s="57" t="str">
        <f ca="1">IFERROR(__xludf.DUMMYFUNCTION("""COMPUTED_VALUE"""),"")</f>
        <v/>
      </c>
    </row>
    <row r="4083" spans="1:5">
      <c r="A4083" s="12"/>
      <c r="E4083" s="57" t="str">
        <f ca="1">IFERROR(__xludf.DUMMYFUNCTION("""COMPUTED_VALUE"""),"")</f>
        <v/>
      </c>
    </row>
    <row r="4084" spans="1:5">
      <c r="A4084" s="12"/>
      <c r="E4084" s="57" t="str">
        <f ca="1">IFERROR(__xludf.DUMMYFUNCTION("""COMPUTED_VALUE"""),"")</f>
        <v/>
      </c>
    </row>
    <row r="4085" spans="1:5">
      <c r="A4085" s="12"/>
      <c r="E4085" s="57" t="str">
        <f ca="1">IFERROR(__xludf.DUMMYFUNCTION("""COMPUTED_VALUE"""),"")</f>
        <v/>
      </c>
    </row>
    <row r="4086" spans="1:5">
      <c r="A4086" s="12"/>
      <c r="E4086" s="57" t="str">
        <f ca="1">IFERROR(__xludf.DUMMYFUNCTION("""COMPUTED_VALUE"""),"")</f>
        <v/>
      </c>
    </row>
    <row r="4087" spans="1:5">
      <c r="A4087" s="12"/>
      <c r="E4087" s="57" t="str">
        <f ca="1">IFERROR(__xludf.DUMMYFUNCTION("""COMPUTED_VALUE"""),"")</f>
        <v/>
      </c>
    </row>
    <row r="4088" spans="1:5">
      <c r="A4088" s="12"/>
      <c r="E4088" s="57" t="str">
        <f ca="1">IFERROR(__xludf.DUMMYFUNCTION("""COMPUTED_VALUE"""),"")</f>
        <v/>
      </c>
    </row>
    <row r="4089" spans="1:5">
      <c r="A4089" s="12"/>
      <c r="E4089" s="57" t="str">
        <f ca="1">IFERROR(__xludf.DUMMYFUNCTION("""COMPUTED_VALUE"""),"")</f>
        <v/>
      </c>
    </row>
    <row r="4090" spans="1:5">
      <c r="A4090" s="12"/>
      <c r="E4090" s="57" t="str">
        <f ca="1">IFERROR(__xludf.DUMMYFUNCTION("""COMPUTED_VALUE"""),"")</f>
        <v/>
      </c>
    </row>
    <row r="4091" spans="1:5">
      <c r="A4091" s="12"/>
      <c r="E4091" s="57" t="str">
        <f ca="1">IFERROR(__xludf.DUMMYFUNCTION("""COMPUTED_VALUE"""),"")</f>
        <v/>
      </c>
    </row>
    <row r="4092" spans="1:5">
      <c r="A4092" s="12"/>
      <c r="E4092" s="57" t="str">
        <f ca="1">IFERROR(__xludf.DUMMYFUNCTION("""COMPUTED_VALUE"""),"")</f>
        <v/>
      </c>
    </row>
    <row r="4093" spans="1:5">
      <c r="A4093" s="12"/>
      <c r="E4093" s="57" t="str">
        <f ca="1">IFERROR(__xludf.DUMMYFUNCTION("""COMPUTED_VALUE"""),"")</f>
        <v/>
      </c>
    </row>
    <row r="4094" spans="1:5">
      <c r="A4094" s="12"/>
      <c r="E4094" s="57" t="str">
        <f ca="1">IFERROR(__xludf.DUMMYFUNCTION("""COMPUTED_VALUE"""),"")</f>
        <v/>
      </c>
    </row>
    <row r="4095" spans="1:5">
      <c r="A4095" s="12"/>
      <c r="E4095" s="57" t="str">
        <f ca="1">IFERROR(__xludf.DUMMYFUNCTION("""COMPUTED_VALUE"""),"")</f>
        <v/>
      </c>
    </row>
    <row r="4096" spans="1:5">
      <c r="A4096" s="12"/>
      <c r="E4096" s="57" t="str">
        <f ca="1">IFERROR(__xludf.DUMMYFUNCTION("""COMPUTED_VALUE"""),"")</f>
        <v/>
      </c>
    </row>
    <row r="4097" spans="1:5">
      <c r="A4097" s="12"/>
      <c r="E4097" s="57" t="str">
        <f ca="1">IFERROR(__xludf.DUMMYFUNCTION("""COMPUTED_VALUE"""),"")</f>
        <v/>
      </c>
    </row>
    <row r="4098" spans="1:5">
      <c r="A4098" s="12"/>
      <c r="E4098" s="57" t="str">
        <f ca="1">IFERROR(__xludf.DUMMYFUNCTION("""COMPUTED_VALUE"""),"")</f>
        <v/>
      </c>
    </row>
    <row r="4099" spans="1:5">
      <c r="A4099" s="12"/>
      <c r="E4099" s="57" t="str">
        <f ca="1">IFERROR(__xludf.DUMMYFUNCTION("""COMPUTED_VALUE"""),"")</f>
        <v/>
      </c>
    </row>
    <row r="4100" spans="1:5">
      <c r="A4100" s="12"/>
      <c r="E4100" s="57" t="str">
        <f ca="1">IFERROR(__xludf.DUMMYFUNCTION("""COMPUTED_VALUE"""),"")</f>
        <v/>
      </c>
    </row>
    <row r="4101" spans="1:5">
      <c r="A4101" s="12"/>
      <c r="E4101" s="57" t="str">
        <f ca="1">IFERROR(__xludf.DUMMYFUNCTION("""COMPUTED_VALUE"""),"")</f>
        <v/>
      </c>
    </row>
    <row r="4102" spans="1:5">
      <c r="A4102" s="12"/>
      <c r="E4102" s="57" t="str">
        <f ca="1">IFERROR(__xludf.DUMMYFUNCTION("""COMPUTED_VALUE"""),"")</f>
        <v/>
      </c>
    </row>
    <row r="4103" spans="1:5">
      <c r="A4103" s="12"/>
      <c r="E4103" s="57" t="str">
        <f ca="1">IFERROR(__xludf.DUMMYFUNCTION("""COMPUTED_VALUE"""),"")</f>
        <v/>
      </c>
    </row>
    <row r="4104" spans="1:5">
      <c r="A4104" s="12"/>
      <c r="E4104" s="57" t="str">
        <f ca="1">IFERROR(__xludf.DUMMYFUNCTION("""COMPUTED_VALUE"""),"")</f>
        <v/>
      </c>
    </row>
    <row r="4105" spans="1:5">
      <c r="A4105" s="12"/>
      <c r="E4105" s="57" t="str">
        <f ca="1">IFERROR(__xludf.DUMMYFUNCTION("""COMPUTED_VALUE"""),"")</f>
        <v/>
      </c>
    </row>
    <row r="4106" spans="1:5">
      <c r="A4106" s="12"/>
      <c r="E4106" s="57" t="str">
        <f ca="1">IFERROR(__xludf.DUMMYFUNCTION("""COMPUTED_VALUE"""),"")</f>
        <v/>
      </c>
    </row>
    <row r="4107" spans="1:5">
      <c r="A4107" s="12"/>
      <c r="E4107" s="57" t="str">
        <f ca="1">IFERROR(__xludf.DUMMYFUNCTION("""COMPUTED_VALUE"""),"")</f>
        <v/>
      </c>
    </row>
    <row r="4108" spans="1:5">
      <c r="A4108" s="12"/>
      <c r="E4108" s="57" t="str">
        <f ca="1">IFERROR(__xludf.DUMMYFUNCTION("""COMPUTED_VALUE"""),"")</f>
        <v/>
      </c>
    </row>
    <row r="4109" spans="1:5">
      <c r="A4109" s="12"/>
      <c r="E4109" s="57" t="str">
        <f ca="1">IFERROR(__xludf.DUMMYFUNCTION("""COMPUTED_VALUE"""),"")</f>
        <v/>
      </c>
    </row>
    <row r="4110" spans="1:5">
      <c r="A4110" s="12"/>
      <c r="E4110" s="57" t="str">
        <f ca="1">IFERROR(__xludf.DUMMYFUNCTION("""COMPUTED_VALUE"""),"")</f>
        <v/>
      </c>
    </row>
    <row r="4111" spans="1:5">
      <c r="A4111" s="12"/>
      <c r="E4111" s="57" t="str">
        <f ca="1">IFERROR(__xludf.DUMMYFUNCTION("""COMPUTED_VALUE"""),"")</f>
        <v/>
      </c>
    </row>
    <row r="4112" spans="1:5">
      <c r="A4112" s="12"/>
      <c r="E4112" s="57" t="str">
        <f ca="1">IFERROR(__xludf.DUMMYFUNCTION("""COMPUTED_VALUE"""),"")</f>
        <v/>
      </c>
    </row>
    <row r="4113" spans="1:5">
      <c r="A4113" s="12"/>
      <c r="E4113" s="57" t="str">
        <f ca="1">IFERROR(__xludf.DUMMYFUNCTION("""COMPUTED_VALUE"""),"")</f>
        <v/>
      </c>
    </row>
    <row r="4114" spans="1:5">
      <c r="A4114" s="12"/>
      <c r="E4114" s="57" t="str">
        <f ca="1">IFERROR(__xludf.DUMMYFUNCTION("""COMPUTED_VALUE"""),"")</f>
        <v/>
      </c>
    </row>
    <row r="4115" spans="1:5">
      <c r="A4115" s="12"/>
      <c r="E4115" s="57" t="str">
        <f ca="1">IFERROR(__xludf.DUMMYFUNCTION("""COMPUTED_VALUE"""),"")</f>
        <v/>
      </c>
    </row>
    <row r="4116" spans="1:5">
      <c r="A4116" s="12"/>
      <c r="E4116" s="57" t="str">
        <f ca="1">IFERROR(__xludf.DUMMYFUNCTION("""COMPUTED_VALUE"""),"")</f>
        <v/>
      </c>
    </row>
    <row r="4117" spans="1:5">
      <c r="A4117" s="12"/>
      <c r="E4117" s="57" t="str">
        <f ca="1">IFERROR(__xludf.DUMMYFUNCTION("""COMPUTED_VALUE"""),"")</f>
        <v/>
      </c>
    </row>
    <row r="4118" spans="1:5">
      <c r="A4118" s="12"/>
      <c r="E4118" s="57" t="str">
        <f ca="1">IFERROR(__xludf.DUMMYFUNCTION("""COMPUTED_VALUE"""),"")</f>
        <v/>
      </c>
    </row>
    <row r="4119" spans="1:5">
      <c r="A4119" s="12"/>
      <c r="E4119" s="57" t="str">
        <f ca="1">IFERROR(__xludf.DUMMYFUNCTION("""COMPUTED_VALUE"""),"")</f>
        <v/>
      </c>
    </row>
    <row r="4120" spans="1:5">
      <c r="A4120" s="12"/>
      <c r="E4120" s="57" t="str">
        <f ca="1">IFERROR(__xludf.DUMMYFUNCTION("""COMPUTED_VALUE"""),"")</f>
        <v/>
      </c>
    </row>
    <row r="4121" spans="1:5">
      <c r="A4121" s="12"/>
      <c r="E4121" s="57" t="str">
        <f ca="1">IFERROR(__xludf.DUMMYFUNCTION("""COMPUTED_VALUE"""),"")</f>
        <v/>
      </c>
    </row>
    <row r="4122" spans="1:5">
      <c r="A4122" s="12"/>
      <c r="E4122" s="57" t="str">
        <f ca="1">IFERROR(__xludf.DUMMYFUNCTION("""COMPUTED_VALUE"""),"")</f>
        <v/>
      </c>
    </row>
    <row r="4123" spans="1:5">
      <c r="A4123" s="12"/>
      <c r="E4123" s="57" t="str">
        <f ca="1">IFERROR(__xludf.DUMMYFUNCTION("""COMPUTED_VALUE"""),"")</f>
        <v/>
      </c>
    </row>
    <row r="4124" spans="1:5">
      <c r="A4124" s="12"/>
      <c r="E4124" s="57" t="str">
        <f ca="1">IFERROR(__xludf.DUMMYFUNCTION("""COMPUTED_VALUE"""),"")</f>
        <v/>
      </c>
    </row>
    <row r="4125" spans="1:5">
      <c r="A4125" s="12"/>
      <c r="E4125" s="57" t="str">
        <f ca="1">IFERROR(__xludf.DUMMYFUNCTION("""COMPUTED_VALUE"""),"")</f>
        <v/>
      </c>
    </row>
    <row r="4126" spans="1:5">
      <c r="A4126" s="12"/>
      <c r="E4126" s="57" t="str">
        <f ca="1">IFERROR(__xludf.DUMMYFUNCTION("""COMPUTED_VALUE"""),"")</f>
        <v/>
      </c>
    </row>
    <row r="4127" spans="1:5">
      <c r="A4127" s="12"/>
      <c r="E4127" s="57" t="str">
        <f ca="1">IFERROR(__xludf.DUMMYFUNCTION("""COMPUTED_VALUE"""),"")</f>
        <v/>
      </c>
    </row>
    <row r="4128" spans="1:5">
      <c r="A4128" s="12"/>
      <c r="E4128" s="57" t="str">
        <f ca="1">IFERROR(__xludf.DUMMYFUNCTION("""COMPUTED_VALUE"""),"")</f>
        <v/>
      </c>
    </row>
    <row r="4129" spans="1:5">
      <c r="A4129" s="12"/>
      <c r="E4129" s="57" t="str">
        <f ca="1">IFERROR(__xludf.DUMMYFUNCTION("""COMPUTED_VALUE"""),"")</f>
        <v/>
      </c>
    </row>
    <row r="4130" spans="1:5">
      <c r="A4130" s="12"/>
      <c r="E4130" s="57" t="str">
        <f ca="1">IFERROR(__xludf.DUMMYFUNCTION("""COMPUTED_VALUE"""),"")</f>
        <v/>
      </c>
    </row>
    <row r="4131" spans="1:5">
      <c r="A4131" s="12"/>
      <c r="E4131" s="57" t="str">
        <f ca="1">IFERROR(__xludf.DUMMYFUNCTION("""COMPUTED_VALUE"""),"")</f>
        <v/>
      </c>
    </row>
    <row r="4132" spans="1:5">
      <c r="A4132" s="12"/>
      <c r="E4132" s="57" t="str">
        <f ca="1">IFERROR(__xludf.DUMMYFUNCTION("""COMPUTED_VALUE"""),"")</f>
        <v/>
      </c>
    </row>
    <row r="4133" spans="1:5">
      <c r="A4133" s="12"/>
      <c r="E4133" s="57" t="str">
        <f ca="1">IFERROR(__xludf.DUMMYFUNCTION("""COMPUTED_VALUE"""),"")</f>
        <v/>
      </c>
    </row>
    <row r="4134" spans="1:5">
      <c r="A4134" s="12"/>
      <c r="E4134" s="57" t="str">
        <f ca="1">IFERROR(__xludf.DUMMYFUNCTION("""COMPUTED_VALUE"""),"")</f>
        <v/>
      </c>
    </row>
    <row r="4135" spans="1:5">
      <c r="A4135" s="12"/>
      <c r="E4135" s="57" t="str">
        <f ca="1">IFERROR(__xludf.DUMMYFUNCTION("""COMPUTED_VALUE"""),"")</f>
        <v/>
      </c>
    </row>
    <row r="4136" spans="1:5">
      <c r="A4136" s="12"/>
      <c r="E4136" s="57" t="str">
        <f ca="1">IFERROR(__xludf.DUMMYFUNCTION("""COMPUTED_VALUE"""),"")</f>
        <v/>
      </c>
    </row>
    <row r="4137" spans="1:5">
      <c r="A4137" s="12"/>
      <c r="E4137" s="57" t="str">
        <f ca="1">IFERROR(__xludf.DUMMYFUNCTION("""COMPUTED_VALUE"""),"")</f>
        <v/>
      </c>
    </row>
    <row r="4138" spans="1:5">
      <c r="A4138" s="12"/>
      <c r="E4138" s="57" t="str">
        <f ca="1">IFERROR(__xludf.DUMMYFUNCTION("""COMPUTED_VALUE"""),"")</f>
        <v/>
      </c>
    </row>
    <row r="4139" spans="1:5">
      <c r="A4139" s="12"/>
      <c r="E4139" s="57" t="str">
        <f ca="1">IFERROR(__xludf.DUMMYFUNCTION("""COMPUTED_VALUE"""),"")</f>
        <v/>
      </c>
    </row>
    <row r="4140" spans="1:5">
      <c r="A4140" s="12"/>
      <c r="E4140" s="57" t="str">
        <f ca="1">IFERROR(__xludf.DUMMYFUNCTION("""COMPUTED_VALUE"""),"")</f>
        <v/>
      </c>
    </row>
    <row r="4141" spans="1:5">
      <c r="A4141" s="12"/>
      <c r="E4141" s="57" t="str">
        <f ca="1">IFERROR(__xludf.DUMMYFUNCTION("""COMPUTED_VALUE"""),"")</f>
        <v/>
      </c>
    </row>
    <row r="4142" spans="1:5">
      <c r="A4142" s="12"/>
      <c r="E4142" s="57" t="str">
        <f ca="1">IFERROR(__xludf.DUMMYFUNCTION("""COMPUTED_VALUE"""),"")</f>
        <v/>
      </c>
    </row>
    <row r="4143" spans="1:5">
      <c r="A4143" s="12"/>
      <c r="E4143" s="57" t="str">
        <f ca="1">IFERROR(__xludf.DUMMYFUNCTION("""COMPUTED_VALUE"""),"")</f>
        <v/>
      </c>
    </row>
    <row r="4144" spans="1:5">
      <c r="A4144" s="12"/>
      <c r="E4144" s="57" t="str">
        <f ca="1">IFERROR(__xludf.DUMMYFUNCTION("""COMPUTED_VALUE"""),"")</f>
        <v/>
      </c>
    </row>
    <row r="4145" spans="1:5">
      <c r="A4145" s="12"/>
      <c r="E4145" s="57" t="str">
        <f ca="1">IFERROR(__xludf.DUMMYFUNCTION("""COMPUTED_VALUE"""),"")</f>
        <v/>
      </c>
    </row>
    <row r="4146" spans="1:5">
      <c r="A4146" s="12"/>
      <c r="E4146" s="57" t="str">
        <f ca="1">IFERROR(__xludf.DUMMYFUNCTION("""COMPUTED_VALUE"""),"")</f>
        <v/>
      </c>
    </row>
    <row r="4147" spans="1:5">
      <c r="A4147" s="12"/>
      <c r="E4147" s="57" t="str">
        <f ca="1">IFERROR(__xludf.DUMMYFUNCTION("""COMPUTED_VALUE"""),"")</f>
        <v/>
      </c>
    </row>
    <row r="4148" spans="1:5">
      <c r="A4148" s="12"/>
      <c r="E4148" s="57" t="str">
        <f ca="1">IFERROR(__xludf.DUMMYFUNCTION("""COMPUTED_VALUE"""),"")</f>
        <v/>
      </c>
    </row>
    <row r="4149" spans="1:5">
      <c r="A4149" s="12"/>
      <c r="E4149" s="57" t="str">
        <f ca="1">IFERROR(__xludf.DUMMYFUNCTION("""COMPUTED_VALUE"""),"")</f>
        <v/>
      </c>
    </row>
    <row r="4150" spans="1:5">
      <c r="A4150" s="12"/>
      <c r="E4150" s="57" t="str">
        <f ca="1">IFERROR(__xludf.DUMMYFUNCTION("""COMPUTED_VALUE"""),"")</f>
        <v/>
      </c>
    </row>
    <row r="4151" spans="1:5">
      <c r="A4151" s="12"/>
      <c r="E4151" s="57" t="str">
        <f ca="1">IFERROR(__xludf.DUMMYFUNCTION("""COMPUTED_VALUE"""),"")</f>
        <v/>
      </c>
    </row>
    <row r="4152" spans="1:5">
      <c r="A4152" s="12"/>
      <c r="E4152" s="57" t="str">
        <f ca="1">IFERROR(__xludf.DUMMYFUNCTION("""COMPUTED_VALUE"""),"")</f>
        <v/>
      </c>
    </row>
    <row r="4153" spans="1:5">
      <c r="A4153" s="12"/>
      <c r="E4153" s="57" t="str">
        <f ca="1">IFERROR(__xludf.DUMMYFUNCTION("""COMPUTED_VALUE"""),"")</f>
        <v/>
      </c>
    </row>
    <row r="4154" spans="1:5">
      <c r="A4154" s="12"/>
      <c r="E4154" s="57" t="str">
        <f ca="1">IFERROR(__xludf.DUMMYFUNCTION("""COMPUTED_VALUE"""),"")</f>
        <v/>
      </c>
    </row>
    <row r="4155" spans="1:5">
      <c r="A4155" s="12"/>
      <c r="E4155" s="57" t="str">
        <f ca="1">IFERROR(__xludf.DUMMYFUNCTION("""COMPUTED_VALUE"""),"")</f>
        <v/>
      </c>
    </row>
    <row r="4156" spans="1:5">
      <c r="A4156" s="12"/>
      <c r="E4156" s="57" t="str">
        <f ca="1">IFERROR(__xludf.DUMMYFUNCTION("""COMPUTED_VALUE"""),"")</f>
        <v/>
      </c>
    </row>
    <row r="4157" spans="1:5">
      <c r="A4157" s="12"/>
      <c r="E4157" s="57" t="str">
        <f ca="1">IFERROR(__xludf.DUMMYFUNCTION("""COMPUTED_VALUE"""),"")</f>
        <v/>
      </c>
    </row>
    <row r="4158" spans="1:5">
      <c r="A4158" s="12"/>
      <c r="E4158" s="57" t="str">
        <f ca="1">IFERROR(__xludf.DUMMYFUNCTION("""COMPUTED_VALUE"""),"")</f>
        <v/>
      </c>
    </row>
    <row r="4159" spans="1:5">
      <c r="A4159" s="12"/>
      <c r="E4159" s="57" t="str">
        <f ca="1">IFERROR(__xludf.DUMMYFUNCTION("""COMPUTED_VALUE"""),"")</f>
        <v/>
      </c>
    </row>
    <row r="4160" spans="1:5">
      <c r="A4160" s="12"/>
      <c r="E4160" s="57" t="str">
        <f ca="1">IFERROR(__xludf.DUMMYFUNCTION("""COMPUTED_VALUE"""),"")</f>
        <v/>
      </c>
    </row>
    <row r="4161" spans="1:5">
      <c r="A4161" s="12"/>
      <c r="E4161" s="57" t="str">
        <f ca="1">IFERROR(__xludf.DUMMYFUNCTION("""COMPUTED_VALUE"""),"")</f>
        <v/>
      </c>
    </row>
    <row r="4162" spans="1:5">
      <c r="A4162" s="12"/>
      <c r="E4162" s="57" t="str">
        <f ca="1">IFERROR(__xludf.DUMMYFUNCTION("""COMPUTED_VALUE"""),"")</f>
        <v/>
      </c>
    </row>
    <row r="4163" spans="1:5">
      <c r="A4163" s="12"/>
      <c r="E4163" s="57" t="str">
        <f ca="1">IFERROR(__xludf.DUMMYFUNCTION("""COMPUTED_VALUE"""),"")</f>
        <v/>
      </c>
    </row>
    <row r="4164" spans="1:5">
      <c r="A4164" s="12"/>
      <c r="E4164" s="57" t="str">
        <f ca="1">IFERROR(__xludf.DUMMYFUNCTION("""COMPUTED_VALUE"""),"")</f>
        <v/>
      </c>
    </row>
    <row r="4165" spans="1:5">
      <c r="A4165" s="12"/>
      <c r="E4165" s="57" t="str">
        <f ca="1">IFERROR(__xludf.DUMMYFUNCTION("""COMPUTED_VALUE"""),"")</f>
        <v/>
      </c>
    </row>
    <row r="4166" spans="1:5">
      <c r="A4166" s="12"/>
      <c r="E4166" s="57" t="str">
        <f ca="1">IFERROR(__xludf.DUMMYFUNCTION("""COMPUTED_VALUE"""),"")</f>
        <v/>
      </c>
    </row>
    <row r="4167" spans="1:5">
      <c r="A4167" s="12"/>
      <c r="E4167" s="57" t="str">
        <f ca="1">IFERROR(__xludf.DUMMYFUNCTION("""COMPUTED_VALUE"""),"")</f>
        <v/>
      </c>
    </row>
    <row r="4168" spans="1:5">
      <c r="A4168" s="12"/>
      <c r="E4168" s="57" t="str">
        <f ca="1">IFERROR(__xludf.DUMMYFUNCTION("""COMPUTED_VALUE"""),"")</f>
        <v/>
      </c>
    </row>
    <row r="4169" spans="1:5">
      <c r="A4169" s="12"/>
      <c r="E4169" s="57" t="str">
        <f ca="1">IFERROR(__xludf.DUMMYFUNCTION("""COMPUTED_VALUE"""),"")</f>
        <v/>
      </c>
    </row>
    <row r="4170" spans="1:5">
      <c r="A4170" s="12"/>
      <c r="E4170" s="57" t="str">
        <f ca="1">IFERROR(__xludf.DUMMYFUNCTION("""COMPUTED_VALUE"""),"")</f>
        <v/>
      </c>
    </row>
    <row r="4171" spans="1:5">
      <c r="A4171" s="12"/>
      <c r="E4171" s="57" t="str">
        <f ca="1">IFERROR(__xludf.DUMMYFUNCTION("""COMPUTED_VALUE"""),"")</f>
        <v/>
      </c>
    </row>
    <row r="4172" spans="1:5">
      <c r="A4172" s="12"/>
      <c r="E4172" s="57" t="str">
        <f ca="1">IFERROR(__xludf.DUMMYFUNCTION("""COMPUTED_VALUE"""),"")</f>
        <v/>
      </c>
    </row>
    <row r="4173" spans="1:5">
      <c r="A4173" s="12"/>
      <c r="E4173" s="57" t="str">
        <f ca="1">IFERROR(__xludf.DUMMYFUNCTION("""COMPUTED_VALUE"""),"")</f>
        <v/>
      </c>
    </row>
    <row r="4174" spans="1:5">
      <c r="A4174" s="12"/>
      <c r="E4174" s="57" t="str">
        <f ca="1">IFERROR(__xludf.DUMMYFUNCTION("""COMPUTED_VALUE"""),"")</f>
        <v/>
      </c>
    </row>
    <row r="4175" spans="1:5">
      <c r="A4175" s="12"/>
      <c r="E4175" s="57" t="str">
        <f ca="1">IFERROR(__xludf.DUMMYFUNCTION("""COMPUTED_VALUE"""),"")</f>
        <v/>
      </c>
    </row>
    <row r="4176" spans="1:5">
      <c r="A4176" s="12"/>
      <c r="E4176" s="57" t="str">
        <f ca="1">IFERROR(__xludf.DUMMYFUNCTION("""COMPUTED_VALUE"""),"")</f>
        <v/>
      </c>
    </row>
    <row r="4177" spans="1:5">
      <c r="A4177" s="12"/>
      <c r="E4177" s="57" t="str">
        <f ca="1">IFERROR(__xludf.DUMMYFUNCTION("""COMPUTED_VALUE"""),"")</f>
        <v/>
      </c>
    </row>
    <row r="4178" spans="1:5">
      <c r="A4178" s="12"/>
      <c r="E4178" s="57" t="str">
        <f ca="1">IFERROR(__xludf.DUMMYFUNCTION("""COMPUTED_VALUE"""),"")</f>
        <v/>
      </c>
    </row>
    <row r="4179" spans="1:5">
      <c r="A4179" s="12"/>
      <c r="E4179" s="57" t="str">
        <f ca="1">IFERROR(__xludf.DUMMYFUNCTION("""COMPUTED_VALUE"""),"")</f>
        <v/>
      </c>
    </row>
    <row r="4180" spans="1:5">
      <c r="A4180" s="12"/>
      <c r="E4180" s="57" t="str">
        <f ca="1">IFERROR(__xludf.DUMMYFUNCTION("""COMPUTED_VALUE"""),"")</f>
        <v/>
      </c>
    </row>
    <row r="4181" spans="1:5">
      <c r="A4181" s="12"/>
      <c r="E4181" s="57" t="str">
        <f ca="1">IFERROR(__xludf.DUMMYFUNCTION("""COMPUTED_VALUE"""),"")</f>
        <v/>
      </c>
    </row>
    <row r="4182" spans="1:5">
      <c r="A4182" s="12"/>
      <c r="E4182" s="57" t="str">
        <f ca="1">IFERROR(__xludf.DUMMYFUNCTION("""COMPUTED_VALUE"""),"")</f>
        <v/>
      </c>
    </row>
    <row r="4183" spans="1:5">
      <c r="A4183" s="12"/>
      <c r="E4183" s="57" t="str">
        <f ca="1">IFERROR(__xludf.DUMMYFUNCTION("""COMPUTED_VALUE"""),"")</f>
        <v/>
      </c>
    </row>
    <row r="4184" spans="1:5">
      <c r="A4184" s="12"/>
      <c r="E4184" s="57" t="str">
        <f ca="1">IFERROR(__xludf.DUMMYFUNCTION("""COMPUTED_VALUE"""),"")</f>
        <v/>
      </c>
    </row>
    <row r="4185" spans="1:5">
      <c r="A4185" s="12"/>
      <c r="E4185" s="57" t="str">
        <f ca="1">IFERROR(__xludf.DUMMYFUNCTION("""COMPUTED_VALUE"""),"")</f>
        <v/>
      </c>
    </row>
    <row r="4186" spans="1:5">
      <c r="A4186" s="12"/>
      <c r="E4186" s="57" t="str">
        <f ca="1">IFERROR(__xludf.DUMMYFUNCTION("""COMPUTED_VALUE"""),"")</f>
        <v/>
      </c>
    </row>
    <row r="4187" spans="1:5">
      <c r="A4187" s="12"/>
      <c r="E4187" s="57" t="str">
        <f ca="1">IFERROR(__xludf.DUMMYFUNCTION("""COMPUTED_VALUE"""),"")</f>
        <v/>
      </c>
    </row>
    <row r="4188" spans="1:5">
      <c r="A4188" s="12"/>
      <c r="E4188" s="57" t="str">
        <f ca="1">IFERROR(__xludf.DUMMYFUNCTION("""COMPUTED_VALUE"""),"")</f>
        <v/>
      </c>
    </row>
    <row r="4189" spans="1:5">
      <c r="A4189" s="12"/>
      <c r="E4189" s="57" t="str">
        <f ca="1">IFERROR(__xludf.DUMMYFUNCTION("""COMPUTED_VALUE"""),"")</f>
        <v/>
      </c>
    </row>
    <row r="4190" spans="1:5">
      <c r="A4190" s="12"/>
      <c r="E4190" s="57" t="str">
        <f ca="1">IFERROR(__xludf.DUMMYFUNCTION("""COMPUTED_VALUE"""),"")</f>
        <v/>
      </c>
    </row>
    <row r="4191" spans="1:5">
      <c r="A4191" s="12"/>
      <c r="E4191" s="57" t="str">
        <f ca="1">IFERROR(__xludf.DUMMYFUNCTION("""COMPUTED_VALUE"""),"")</f>
        <v/>
      </c>
    </row>
    <row r="4192" spans="1:5">
      <c r="A4192" s="12"/>
      <c r="E4192" s="57" t="str">
        <f ca="1">IFERROR(__xludf.DUMMYFUNCTION("""COMPUTED_VALUE"""),"")</f>
        <v/>
      </c>
    </row>
    <row r="4193" spans="1:5">
      <c r="A4193" s="12"/>
      <c r="E4193" s="57" t="str">
        <f ca="1">IFERROR(__xludf.DUMMYFUNCTION("""COMPUTED_VALUE"""),"")</f>
        <v/>
      </c>
    </row>
    <row r="4194" spans="1:5">
      <c r="A4194" s="12"/>
      <c r="E4194" s="57" t="str">
        <f ca="1">IFERROR(__xludf.DUMMYFUNCTION("""COMPUTED_VALUE"""),"")</f>
        <v/>
      </c>
    </row>
    <row r="4195" spans="1:5">
      <c r="A4195" s="12"/>
      <c r="E4195" s="57" t="str">
        <f ca="1">IFERROR(__xludf.DUMMYFUNCTION("""COMPUTED_VALUE"""),"")</f>
        <v/>
      </c>
    </row>
    <row r="4196" spans="1:5">
      <c r="A4196" s="12"/>
      <c r="E4196" s="57" t="str">
        <f ca="1">IFERROR(__xludf.DUMMYFUNCTION("""COMPUTED_VALUE"""),"")</f>
        <v/>
      </c>
    </row>
    <row r="4197" spans="1:5">
      <c r="A4197" s="12"/>
      <c r="E4197" s="57" t="str">
        <f ca="1">IFERROR(__xludf.DUMMYFUNCTION("""COMPUTED_VALUE"""),"")</f>
        <v/>
      </c>
    </row>
    <row r="4198" spans="1:5">
      <c r="A4198" s="12"/>
      <c r="E4198" s="57" t="str">
        <f ca="1">IFERROR(__xludf.DUMMYFUNCTION("""COMPUTED_VALUE"""),"")</f>
        <v/>
      </c>
    </row>
    <row r="4199" spans="1:5">
      <c r="A4199" s="12"/>
      <c r="E4199" s="57" t="str">
        <f ca="1">IFERROR(__xludf.DUMMYFUNCTION("""COMPUTED_VALUE"""),"")</f>
        <v/>
      </c>
    </row>
    <row r="4200" spans="1:5">
      <c r="A4200" s="12"/>
      <c r="E4200" s="57" t="str">
        <f ca="1">IFERROR(__xludf.DUMMYFUNCTION("""COMPUTED_VALUE"""),"")</f>
        <v/>
      </c>
    </row>
    <row r="4201" spans="1:5">
      <c r="A4201" s="12"/>
      <c r="E4201" s="57" t="str">
        <f ca="1">IFERROR(__xludf.DUMMYFUNCTION("""COMPUTED_VALUE"""),"")</f>
        <v/>
      </c>
    </row>
    <row r="4202" spans="1:5">
      <c r="A4202" s="12"/>
      <c r="E4202" s="57" t="str">
        <f ca="1">IFERROR(__xludf.DUMMYFUNCTION("""COMPUTED_VALUE"""),"")</f>
        <v/>
      </c>
    </row>
    <row r="4203" spans="1:5">
      <c r="A4203" s="12"/>
      <c r="E4203" s="57" t="str">
        <f ca="1">IFERROR(__xludf.DUMMYFUNCTION("""COMPUTED_VALUE"""),"")</f>
        <v/>
      </c>
    </row>
    <row r="4204" spans="1:5">
      <c r="A4204" s="12"/>
      <c r="E4204" s="57" t="str">
        <f ca="1">IFERROR(__xludf.DUMMYFUNCTION("""COMPUTED_VALUE"""),"")</f>
        <v/>
      </c>
    </row>
    <row r="4205" spans="1:5">
      <c r="A4205" s="12"/>
      <c r="E4205" s="57" t="str">
        <f ca="1">IFERROR(__xludf.DUMMYFUNCTION("""COMPUTED_VALUE"""),"")</f>
        <v/>
      </c>
    </row>
    <row r="4206" spans="1:5">
      <c r="A4206" s="12"/>
      <c r="E4206" s="57" t="str">
        <f ca="1">IFERROR(__xludf.DUMMYFUNCTION("""COMPUTED_VALUE"""),"")</f>
        <v/>
      </c>
    </row>
    <row r="4207" spans="1:5">
      <c r="A4207" s="12"/>
      <c r="E4207" s="57" t="str">
        <f ca="1">IFERROR(__xludf.DUMMYFUNCTION("""COMPUTED_VALUE"""),"")</f>
        <v/>
      </c>
    </row>
    <row r="4208" spans="1:5">
      <c r="A4208" s="12"/>
      <c r="E4208" s="57" t="str">
        <f ca="1">IFERROR(__xludf.DUMMYFUNCTION("""COMPUTED_VALUE"""),"")</f>
        <v/>
      </c>
    </row>
    <row r="4209" spans="1:5">
      <c r="A4209" s="12"/>
      <c r="E4209" s="57" t="str">
        <f ca="1">IFERROR(__xludf.DUMMYFUNCTION("""COMPUTED_VALUE"""),"")</f>
        <v/>
      </c>
    </row>
    <row r="4210" spans="1:5">
      <c r="A4210" s="12"/>
      <c r="E4210" s="57" t="str">
        <f ca="1">IFERROR(__xludf.DUMMYFUNCTION("""COMPUTED_VALUE"""),"")</f>
        <v/>
      </c>
    </row>
    <row r="4211" spans="1:5">
      <c r="A4211" s="12"/>
      <c r="E4211" s="57" t="str">
        <f ca="1">IFERROR(__xludf.DUMMYFUNCTION("""COMPUTED_VALUE"""),"")</f>
        <v/>
      </c>
    </row>
    <row r="4212" spans="1:5">
      <c r="A4212" s="12"/>
      <c r="E4212" s="57" t="str">
        <f ca="1">IFERROR(__xludf.DUMMYFUNCTION("""COMPUTED_VALUE"""),"")</f>
        <v/>
      </c>
    </row>
    <row r="4213" spans="1:5">
      <c r="A4213" s="12"/>
      <c r="E4213" s="57" t="str">
        <f ca="1">IFERROR(__xludf.DUMMYFUNCTION("""COMPUTED_VALUE"""),"")</f>
        <v/>
      </c>
    </row>
    <row r="4214" spans="1:5">
      <c r="A4214" s="12"/>
      <c r="E4214" s="57" t="str">
        <f ca="1">IFERROR(__xludf.DUMMYFUNCTION("""COMPUTED_VALUE"""),"")</f>
        <v/>
      </c>
    </row>
    <row r="4215" spans="1:5">
      <c r="A4215" s="12"/>
      <c r="E4215" s="57" t="str">
        <f ca="1">IFERROR(__xludf.DUMMYFUNCTION("""COMPUTED_VALUE"""),"")</f>
        <v/>
      </c>
    </row>
    <row r="4216" spans="1:5">
      <c r="A4216" s="12"/>
      <c r="E4216" s="57" t="str">
        <f ca="1">IFERROR(__xludf.DUMMYFUNCTION("""COMPUTED_VALUE"""),"")</f>
        <v/>
      </c>
    </row>
    <row r="4217" spans="1:5">
      <c r="A4217" s="12"/>
      <c r="E4217" s="57" t="str">
        <f ca="1">IFERROR(__xludf.DUMMYFUNCTION("""COMPUTED_VALUE"""),"")</f>
        <v/>
      </c>
    </row>
    <row r="4218" spans="1:5">
      <c r="A4218" s="12"/>
      <c r="E4218" s="57" t="str">
        <f ca="1">IFERROR(__xludf.DUMMYFUNCTION("""COMPUTED_VALUE"""),"")</f>
        <v/>
      </c>
    </row>
    <row r="4219" spans="1:5">
      <c r="A4219" s="12"/>
      <c r="E4219" s="57" t="str">
        <f ca="1">IFERROR(__xludf.DUMMYFUNCTION("""COMPUTED_VALUE"""),"")</f>
        <v/>
      </c>
    </row>
    <row r="4220" spans="1:5">
      <c r="A4220" s="12"/>
      <c r="E4220" s="57" t="str">
        <f ca="1">IFERROR(__xludf.DUMMYFUNCTION("""COMPUTED_VALUE"""),"")</f>
        <v/>
      </c>
    </row>
    <row r="4221" spans="1:5">
      <c r="A4221" s="12"/>
      <c r="E4221" s="57" t="str">
        <f ca="1">IFERROR(__xludf.DUMMYFUNCTION("""COMPUTED_VALUE"""),"")</f>
        <v/>
      </c>
    </row>
    <row r="4222" spans="1:5">
      <c r="A4222" s="12"/>
      <c r="E4222" s="57" t="str">
        <f ca="1">IFERROR(__xludf.DUMMYFUNCTION("""COMPUTED_VALUE"""),"")</f>
        <v/>
      </c>
    </row>
    <row r="4223" spans="1:5">
      <c r="A4223" s="12"/>
      <c r="E4223" s="57" t="str">
        <f ca="1">IFERROR(__xludf.DUMMYFUNCTION("""COMPUTED_VALUE"""),"")</f>
        <v/>
      </c>
    </row>
    <row r="4224" spans="1:5">
      <c r="A4224" s="12"/>
      <c r="E4224" s="57" t="str">
        <f ca="1">IFERROR(__xludf.DUMMYFUNCTION("""COMPUTED_VALUE"""),"")</f>
        <v/>
      </c>
    </row>
    <row r="4225" spans="1:5">
      <c r="A4225" s="12"/>
      <c r="E4225" s="57" t="str">
        <f ca="1">IFERROR(__xludf.DUMMYFUNCTION("""COMPUTED_VALUE"""),"")</f>
        <v/>
      </c>
    </row>
    <row r="4226" spans="1:5">
      <c r="A4226" s="12"/>
      <c r="E4226" s="57" t="str">
        <f ca="1">IFERROR(__xludf.DUMMYFUNCTION("""COMPUTED_VALUE"""),"")</f>
        <v/>
      </c>
    </row>
    <row r="4227" spans="1:5">
      <c r="A4227" s="12"/>
      <c r="E4227" s="57" t="str">
        <f ca="1">IFERROR(__xludf.DUMMYFUNCTION("""COMPUTED_VALUE"""),"")</f>
        <v/>
      </c>
    </row>
    <row r="4228" spans="1:5">
      <c r="A4228" s="12"/>
      <c r="E4228" s="57" t="str">
        <f ca="1">IFERROR(__xludf.DUMMYFUNCTION("""COMPUTED_VALUE"""),"")</f>
        <v/>
      </c>
    </row>
    <row r="4229" spans="1:5">
      <c r="A4229" s="12"/>
      <c r="E4229" s="57" t="str">
        <f ca="1">IFERROR(__xludf.DUMMYFUNCTION("""COMPUTED_VALUE"""),"")</f>
        <v/>
      </c>
    </row>
    <row r="4230" spans="1:5">
      <c r="A4230" s="12"/>
      <c r="E4230" s="57" t="str">
        <f ca="1">IFERROR(__xludf.DUMMYFUNCTION("""COMPUTED_VALUE"""),"")</f>
        <v/>
      </c>
    </row>
    <row r="4231" spans="1:5">
      <c r="A4231" s="12"/>
      <c r="E4231" s="57" t="str">
        <f ca="1">IFERROR(__xludf.DUMMYFUNCTION("""COMPUTED_VALUE"""),"")</f>
        <v/>
      </c>
    </row>
    <row r="4232" spans="1:5">
      <c r="A4232" s="12"/>
      <c r="E4232" s="57" t="str">
        <f ca="1">IFERROR(__xludf.DUMMYFUNCTION("""COMPUTED_VALUE"""),"")</f>
        <v/>
      </c>
    </row>
    <row r="4233" spans="1:5">
      <c r="A4233" s="12"/>
      <c r="E4233" s="57" t="str">
        <f ca="1">IFERROR(__xludf.DUMMYFUNCTION("""COMPUTED_VALUE"""),"")</f>
        <v/>
      </c>
    </row>
    <row r="4234" spans="1:5">
      <c r="A4234" s="12"/>
      <c r="E4234" s="57" t="str">
        <f ca="1">IFERROR(__xludf.DUMMYFUNCTION("""COMPUTED_VALUE"""),"")</f>
        <v/>
      </c>
    </row>
    <row r="4235" spans="1:5">
      <c r="A4235" s="12"/>
      <c r="E4235" s="57" t="str">
        <f ca="1">IFERROR(__xludf.DUMMYFUNCTION("""COMPUTED_VALUE"""),"")</f>
        <v/>
      </c>
    </row>
    <row r="4236" spans="1:5">
      <c r="A4236" s="12"/>
      <c r="E4236" s="57" t="str">
        <f ca="1">IFERROR(__xludf.DUMMYFUNCTION("""COMPUTED_VALUE"""),"")</f>
        <v/>
      </c>
    </row>
    <row r="4237" spans="1:5">
      <c r="A4237" s="12"/>
      <c r="E4237" s="57" t="str">
        <f ca="1">IFERROR(__xludf.DUMMYFUNCTION("""COMPUTED_VALUE"""),"")</f>
        <v/>
      </c>
    </row>
    <row r="4238" spans="1:5">
      <c r="A4238" s="12"/>
      <c r="E4238" s="57" t="str">
        <f ca="1">IFERROR(__xludf.DUMMYFUNCTION("""COMPUTED_VALUE"""),"")</f>
        <v/>
      </c>
    </row>
    <row r="4239" spans="1:5">
      <c r="A4239" s="12"/>
      <c r="E4239" s="57" t="str">
        <f ca="1">IFERROR(__xludf.DUMMYFUNCTION("""COMPUTED_VALUE"""),"")</f>
        <v/>
      </c>
    </row>
    <row r="4240" spans="1:5">
      <c r="A4240" s="12"/>
      <c r="E4240" s="57" t="str">
        <f ca="1">IFERROR(__xludf.DUMMYFUNCTION("""COMPUTED_VALUE"""),"")</f>
        <v/>
      </c>
    </row>
    <row r="4241" spans="1:5">
      <c r="A4241" s="12"/>
      <c r="E4241" s="57" t="str">
        <f ca="1">IFERROR(__xludf.DUMMYFUNCTION("""COMPUTED_VALUE"""),"")</f>
        <v/>
      </c>
    </row>
    <row r="4242" spans="1:5">
      <c r="A4242" s="12"/>
      <c r="E4242" s="57" t="str">
        <f ca="1">IFERROR(__xludf.DUMMYFUNCTION("""COMPUTED_VALUE"""),"")</f>
        <v/>
      </c>
    </row>
    <row r="4243" spans="1:5">
      <c r="A4243" s="12"/>
      <c r="E4243" s="57" t="str">
        <f ca="1">IFERROR(__xludf.DUMMYFUNCTION("""COMPUTED_VALUE"""),"")</f>
        <v/>
      </c>
    </row>
    <row r="4244" spans="1:5">
      <c r="A4244" s="12"/>
      <c r="E4244" s="57" t="str">
        <f ca="1">IFERROR(__xludf.DUMMYFUNCTION("""COMPUTED_VALUE"""),"")</f>
        <v/>
      </c>
    </row>
    <row r="4245" spans="1:5">
      <c r="A4245" s="12"/>
      <c r="E4245" s="57" t="str">
        <f ca="1">IFERROR(__xludf.DUMMYFUNCTION("""COMPUTED_VALUE"""),"")</f>
        <v/>
      </c>
    </row>
    <row r="4246" spans="1:5">
      <c r="A4246" s="12"/>
      <c r="E4246" s="57" t="str">
        <f ca="1">IFERROR(__xludf.DUMMYFUNCTION("""COMPUTED_VALUE"""),"")</f>
        <v/>
      </c>
    </row>
    <row r="4247" spans="1:5">
      <c r="A4247" s="12"/>
      <c r="E4247" s="57" t="str">
        <f ca="1">IFERROR(__xludf.DUMMYFUNCTION("""COMPUTED_VALUE"""),"")</f>
        <v/>
      </c>
    </row>
    <row r="4248" spans="1:5">
      <c r="A4248" s="12"/>
      <c r="E4248" s="57" t="str">
        <f ca="1">IFERROR(__xludf.DUMMYFUNCTION("""COMPUTED_VALUE"""),"")</f>
        <v/>
      </c>
    </row>
    <row r="4249" spans="1:5">
      <c r="A4249" s="12"/>
      <c r="E4249" s="57" t="str">
        <f ca="1">IFERROR(__xludf.DUMMYFUNCTION("""COMPUTED_VALUE"""),"")</f>
        <v/>
      </c>
    </row>
    <row r="4250" spans="1:5">
      <c r="A4250" s="12"/>
      <c r="E4250" s="57" t="str">
        <f ca="1">IFERROR(__xludf.DUMMYFUNCTION("""COMPUTED_VALUE"""),"")</f>
        <v/>
      </c>
    </row>
    <row r="4251" spans="1:5">
      <c r="A4251" s="12"/>
      <c r="E4251" s="57" t="str">
        <f ca="1">IFERROR(__xludf.DUMMYFUNCTION("""COMPUTED_VALUE"""),"")</f>
        <v/>
      </c>
    </row>
    <row r="4252" spans="1:5">
      <c r="A4252" s="12"/>
      <c r="E4252" s="57" t="str">
        <f ca="1">IFERROR(__xludf.DUMMYFUNCTION("""COMPUTED_VALUE"""),"")</f>
        <v/>
      </c>
    </row>
    <row r="4253" spans="1:5">
      <c r="A4253" s="12"/>
      <c r="E4253" s="57" t="str">
        <f ca="1">IFERROR(__xludf.DUMMYFUNCTION("""COMPUTED_VALUE"""),"")</f>
        <v/>
      </c>
    </row>
    <row r="4254" spans="1:5">
      <c r="A4254" s="12"/>
      <c r="E4254" s="57" t="str">
        <f ca="1">IFERROR(__xludf.DUMMYFUNCTION("""COMPUTED_VALUE"""),"")</f>
        <v/>
      </c>
    </row>
    <row r="4255" spans="1:5">
      <c r="A4255" s="12"/>
      <c r="E4255" s="57" t="str">
        <f ca="1">IFERROR(__xludf.DUMMYFUNCTION("""COMPUTED_VALUE"""),"")</f>
        <v/>
      </c>
    </row>
    <row r="4256" spans="1:5">
      <c r="A4256" s="12"/>
      <c r="E4256" s="57" t="str">
        <f ca="1">IFERROR(__xludf.DUMMYFUNCTION("""COMPUTED_VALUE"""),"")</f>
        <v/>
      </c>
    </row>
    <row r="4257" spans="1:5">
      <c r="A4257" s="12"/>
      <c r="E4257" s="57" t="str">
        <f ca="1">IFERROR(__xludf.DUMMYFUNCTION("""COMPUTED_VALUE"""),"")</f>
        <v/>
      </c>
    </row>
    <row r="4258" spans="1:5">
      <c r="A4258" s="12"/>
      <c r="E4258" s="57" t="str">
        <f ca="1">IFERROR(__xludf.DUMMYFUNCTION("""COMPUTED_VALUE"""),"")</f>
        <v/>
      </c>
    </row>
    <row r="4259" spans="1:5">
      <c r="A4259" s="12"/>
      <c r="E4259" s="57" t="str">
        <f ca="1">IFERROR(__xludf.DUMMYFUNCTION("""COMPUTED_VALUE"""),"")</f>
        <v/>
      </c>
    </row>
    <row r="4260" spans="1:5">
      <c r="A4260" s="12"/>
      <c r="E4260" s="57" t="str">
        <f ca="1">IFERROR(__xludf.DUMMYFUNCTION("""COMPUTED_VALUE"""),"")</f>
        <v/>
      </c>
    </row>
    <row r="4261" spans="1:5">
      <c r="A4261" s="12"/>
      <c r="E4261" s="57" t="str">
        <f ca="1">IFERROR(__xludf.DUMMYFUNCTION("""COMPUTED_VALUE"""),"")</f>
        <v/>
      </c>
    </row>
    <row r="4262" spans="1:5">
      <c r="A4262" s="12"/>
      <c r="E4262" s="57" t="str">
        <f ca="1">IFERROR(__xludf.DUMMYFUNCTION("""COMPUTED_VALUE"""),"")</f>
        <v/>
      </c>
    </row>
    <row r="4263" spans="1:5">
      <c r="A4263" s="12"/>
      <c r="E4263" s="57" t="str">
        <f ca="1">IFERROR(__xludf.DUMMYFUNCTION("""COMPUTED_VALUE"""),"")</f>
        <v/>
      </c>
    </row>
    <row r="4264" spans="1:5">
      <c r="A4264" s="12"/>
      <c r="E4264" s="57" t="str">
        <f ca="1">IFERROR(__xludf.DUMMYFUNCTION("""COMPUTED_VALUE"""),"")</f>
        <v/>
      </c>
    </row>
    <row r="4265" spans="1:5">
      <c r="A4265" s="12"/>
      <c r="E4265" s="57" t="str">
        <f ca="1">IFERROR(__xludf.DUMMYFUNCTION("""COMPUTED_VALUE"""),"")</f>
        <v/>
      </c>
    </row>
    <row r="4266" spans="1:5">
      <c r="A4266" s="12"/>
      <c r="E4266" s="57" t="str">
        <f ca="1">IFERROR(__xludf.DUMMYFUNCTION("""COMPUTED_VALUE"""),"")</f>
        <v/>
      </c>
    </row>
    <row r="4267" spans="1:5">
      <c r="A4267" s="12"/>
      <c r="E4267" s="57" t="str">
        <f ca="1">IFERROR(__xludf.DUMMYFUNCTION("""COMPUTED_VALUE"""),"")</f>
        <v/>
      </c>
    </row>
    <row r="4268" spans="1:5">
      <c r="A4268" s="12"/>
      <c r="E4268" s="57" t="str">
        <f ca="1">IFERROR(__xludf.DUMMYFUNCTION("""COMPUTED_VALUE"""),"")</f>
        <v/>
      </c>
    </row>
    <row r="4269" spans="1:5">
      <c r="A4269" s="12"/>
      <c r="E4269" s="57" t="str">
        <f ca="1">IFERROR(__xludf.DUMMYFUNCTION("""COMPUTED_VALUE"""),"")</f>
        <v/>
      </c>
    </row>
    <row r="4270" spans="1:5">
      <c r="A4270" s="12"/>
      <c r="E4270" s="57" t="str">
        <f ca="1">IFERROR(__xludf.DUMMYFUNCTION("""COMPUTED_VALUE"""),"")</f>
        <v/>
      </c>
    </row>
    <row r="4271" spans="1:5">
      <c r="A4271" s="12"/>
      <c r="E4271" s="57" t="str">
        <f ca="1">IFERROR(__xludf.DUMMYFUNCTION("""COMPUTED_VALUE"""),"")</f>
        <v/>
      </c>
    </row>
    <row r="4272" spans="1:5">
      <c r="A4272" s="12"/>
      <c r="E4272" s="57" t="str">
        <f ca="1">IFERROR(__xludf.DUMMYFUNCTION("""COMPUTED_VALUE"""),"")</f>
        <v/>
      </c>
    </row>
    <row r="4273" spans="1:5">
      <c r="A4273" s="12"/>
      <c r="E4273" s="57" t="str">
        <f ca="1">IFERROR(__xludf.DUMMYFUNCTION("""COMPUTED_VALUE"""),"")</f>
        <v/>
      </c>
    </row>
    <row r="4274" spans="1:5">
      <c r="A4274" s="12"/>
      <c r="E4274" s="57" t="str">
        <f ca="1">IFERROR(__xludf.DUMMYFUNCTION("""COMPUTED_VALUE"""),"")</f>
        <v/>
      </c>
    </row>
    <row r="4275" spans="1:5">
      <c r="A4275" s="12"/>
      <c r="E4275" s="57" t="str">
        <f ca="1">IFERROR(__xludf.DUMMYFUNCTION("""COMPUTED_VALUE"""),"")</f>
        <v/>
      </c>
    </row>
    <row r="4276" spans="1:5">
      <c r="A4276" s="12"/>
      <c r="E4276" s="57" t="str">
        <f ca="1">IFERROR(__xludf.DUMMYFUNCTION("""COMPUTED_VALUE"""),"")</f>
        <v/>
      </c>
    </row>
    <row r="4277" spans="1:5">
      <c r="A4277" s="12"/>
      <c r="E4277" s="57" t="str">
        <f ca="1">IFERROR(__xludf.DUMMYFUNCTION("""COMPUTED_VALUE"""),"")</f>
        <v/>
      </c>
    </row>
    <row r="4278" spans="1:5">
      <c r="A4278" s="12"/>
      <c r="E4278" s="57" t="str">
        <f ca="1">IFERROR(__xludf.DUMMYFUNCTION("""COMPUTED_VALUE"""),"")</f>
        <v/>
      </c>
    </row>
    <row r="4279" spans="1:5">
      <c r="A4279" s="12"/>
      <c r="E4279" s="57" t="str">
        <f ca="1">IFERROR(__xludf.DUMMYFUNCTION("""COMPUTED_VALUE"""),"")</f>
        <v/>
      </c>
    </row>
    <row r="4280" spans="1:5">
      <c r="A4280" s="12"/>
      <c r="E4280" s="57" t="str">
        <f ca="1">IFERROR(__xludf.DUMMYFUNCTION("""COMPUTED_VALUE"""),"")</f>
        <v/>
      </c>
    </row>
    <row r="4281" spans="1:5">
      <c r="A4281" s="12"/>
      <c r="E4281" s="57" t="str">
        <f ca="1">IFERROR(__xludf.DUMMYFUNCTION("""COMPUTED_VALUE"""),"")</f>
        <v/>
      </c>
    </row>
    <row r="4282" spans="1:5">
      <c r="A4282" s="12"/>
      <c r="E4282" s="57" t="str">
        <f ca="1">IFERROR(__xludf.DUMMYFUNCTION("""COMPUTED_VALUE"""),"")</f>
        <v/>
      </c>
    </row>
    <row r="4283" spans="1:5">
      <c r="A4283" s="12"/>
      <c r="E4283" s="57" t="str">
        <f ca="1">IFERROR(__xludf.DUMMYFUNCTION("""COMPUTED_VALUE"""),"")</f>
        <v/>
      </c>
    </row>
    <row r="4284" spans="1:5">
      <c r="A4284" s="12"/>
      <c r="E4284" s="57" t="str">
        <f ca="1">IFERROR(__xludf.DUMMYFUNCTION("""COMPUTED_VALUE"""),"")</f>
        <v/>
      </c>
    </row>
    <row r="4285" spans="1:5">
      <c r="A4285" s="12"/>
      <c r="E4285" s="57" t="str">
        <f ca="1">IFERROR(__xludf.DUMMYFUNCTION("""COMPUTED_VALUE"""),"")</f>
        <v/>
      </c>
    </row>
    <row r="4286" spans="1:5">
      <c r="A4286" s="12"/>
      <c r="E4286" s="57" t="str">
        <f ca="1">IFERROR(__xludf.DUMMYFUNCTION("""COMPUTED_VALUE"""),"")</f>
        <v/>
      </c>
    </row>
    <row r="4287" spans="1:5">
      <c r="A4287" s="12"/>
      <c r="E4287" s="57" t="str">
        <f ca="1">IFERROR(__xludf.DUMMYFUNCTION("""COMPUTED_VALUE"""),"")</f>
        <v/>
      </c>
    </row>
    <row r="4288" spans="1:5">
      <c r="A4288" s="12"/>
      <c r="E4288" s="57" t="str">
        <f ca="1">IFERROR(__xludf.DUMMYFUNCTION("""COMPUTED_VALUE"""),"")</f>
        <v/>
      </c>
    </row>
    <row r="4289" spans="1:5">
      <c r="A4289" s="12"/>
      <c r="E4289" s="57" t="str">
        <f ca="1">IFERROR(__xludf.DUMMYFUNCTION("""COMPUTED_VALUE"""),"")</f>
        <v/>
      </c>
    </row>
    <row r="4290" spans="1:5">
      <c r="A4290" s="12"/>
      <c r="E4290" s="57" t="str">
        <f ca="1">IFERROR(__xludf.DUMMYFUNCTION("""COMPUTED_VALUE"""),"")</f>
        <v/>
      </c>
    </row>
    <row r="4291" spans="1:5">
      <c r="A4291" s="12"/>
      <c r="E4291" s="57" t="str">
        <f ca="1">IFERROR(__xludf.DUMMYFUNCTION("""COMPUTED_VALUE"""),"")</f>
        <v/>
      </c>
    </row>
    <row r="4292" spans="1:5">
      <c r="A4292" s="12"/>
      <c r="E4292" s="57" t="str">
        <f ca="1">IFERROR(__xludf.DUMMYFUNCTION("""COMPUTED_VALUE"""),"")</f>
        <v/>
      </c>
    </row>
    <row r="4293" spans="1:5">
      <c r="A4293" s="12"/>
      <c r="E4293" s="57" t="str">
        <f ca="1">IFERROR(__xludf.DUMMYFUNCTION("""COMPUTED_VALUE"""),"")</f>
        <v/>
      </c>
    </row>
    <row r="4294" spans="1:5">
      <c r="A4294" s="12"/>
      <c r="E4294" s="57" t="str">
        <f ca="1">IFERROR(__xludf.DUMMYFUNCTION("""COMPUTED_VALUE"""),"")</f>
        <v/>
      </c>
    </row>
    <row r="4295" spans="1:5">
      <c r="A4295" s="12"/>
      <c r="E4295" s="57" t="str">
        <f ca="1">IFERROR(__xludf.DUMMYFUNCTION("""COMPUTED_VALUE"""),"")</f>
        <v/>
      </c>
    </row>
    <row r="4296" spans="1:5">
      <c r="A4296" s="12"/>
      <c r="E4296" s="57" t="str">
        <f ca="1">IFERROR(__xludf.DUMMYFUNCTION("""COMPUTED_VALUE"""),"")</f>
        <v/>
      </c>
    </row>
    <row r="4297" spans="1:5">
      <c r="A4297" s="12"/>
      <c r="E4297" s="57" t="str">
        <f ca="1">IFERROR(__xludf.DUMMYFUNCTION("""COMPUTED_VALUE"""),"")</f>
        <v/>
      </c>
    </row>
    <row r="4298" spans="1:5">
      <c r="A4298" s="12"/>
      <c r="E4298" s="57" t="str">
        <f ca="1">IFERROR(__xludf.DUMMYFUNCTION("""COMPUTED_VALUE"""),"")</f>
        <v/>
      </c>
    </row>
    <row r="4299" spans="1:5">
      <c r="A4299" s="12"/>
      <c r="E4299" s="57" t="str">
        <f ca="1">IFERROR(__xludf.DUMMYFUNCTION("""COMPUTED_VALUE"""),"")</f>
        <v/>
      </c>
    </row>
    <row r="4300" spans="1:5">
      <c r="A4300" s="12"/>
      <c r="E4300" s="57" t="str">
        <f ca="1">IFERROR(__xludf.DUMMYFUNCTION("""COMPUTED_VALUE"""),"")</f>
        <v/>
      </c>
    </row>
    <row r="4301" spans="1:5">
      <c r="A4301" s="12"/>
      <c r="E4301" s="57" t="str">
        <f ca="1">IFERROR(__xludf.DUMMYFUNCTION("""COMPUTED_VALUE"""),"")</f>
        <v/>
      </c>
    </row>
    <row r="4302" spans="1:5">
      <c r="A4302" s="12"/>
      <c r="E4302" s="57" t="str">
        <f ca="1">IFERROR(__xludf.DUMMYFUNCTION("""COMPUTED_VALUE"""),"")</f>
        <v/>
      </c>
    </row>
    <row r="4303" spans="1:5">
      <c r="A4303" s="12"/>
      <c r="E4303" s="57" t="str">
        <f ca="1">IFERROR(__xludf.DUMMYFUNCTION("""COMPUTED_VALUE"""),"")</f>
        <v/>
      </c>
    </row>
    <row r="4304" spans="1:5">
      <c r="A4304" s="12"/>
      <c r="E4304" s="57" t="str">
        <f ca="1">IFERROR(__xludf.DUMMYFUNCTION("""COMPUTED_VALUE"""),"")</f>
        <v/>
      </c>
    </row>
    <row r="4305" spans="1:5">
      <c r="A4305" s="12"/>
      <c r="E4305" s="57" t="str">
        <f ca="1">IFERROR(__xludf.DUMMYFUNCTION("""COMPUTED_VALUE"""),"")</f>
        <v/>
      </c>
    </row>
    <row r="4306" spans="1:5">
      <c r="A4306" s="12"/>
      <c r="E4306" s="57" t="str">
        <f ca="1">IFERROR(__xludf.DUMMYFUNCTION("""COMPUTED_VALUE"""),"")</f>
        <v/>
      </c>
    </row>
    <row r="4307" spans="1:5">
      <c r="A4307" s="12"/>
      <c r="E4307" s="57" t="str">
        <f ca="1">IFERROR(__xludf.DUMMYFUNCTION("""COMPUTED_VALUE"""),"")</f>
        <v/>
      </c>
    </row>
    <row r="4308" spans="1:5">
      <c r="A4308" s="12"/>
      <c r="E4308" s="57" t="str">
        <f ca="1">IFERROR(__xludf.DUMMYFUNCTION("""COMPUTED_VALUE"""),"")</f>
        <v/>
      </c>
    </row>
    <row r="4309" spans="1:5">
      <c r="A4309" s="12"/>
      <c r="E4309" s="57" t="str">
        <f ca="1">IFERROR(__xludf.DUMMYFUNCTION("""COMPUTED_VALUE"""),"")</f>
        <v/>
      </c>
    </row>
    <row r="4310" spans="1:5">
      <c r="A4310" s="12"/>
      <c r="E4310" s="57" t="str">
        <f ca="1">IFERROR(__xludf.DUMMYFUNCTION("""COMPUTED_VALUE"""),"")</f>
        <v/>
      </c>
    </row>
    <row r="4311" spans="1:5">
      <c r="A4311" s="12"/>
      <c r="E4311" s="57" t="str">
        <f ca="1">IFERROR(__xludf.DUMMYFUNCTION("""COMPUTED_VALUE"""),"")</f>
        <v/>
      </c>
    </row>
    <row r="4312" spans="1:5">
      <c r="A4312" s="12"/>
      <c r="E4312" s="57" t="str">
        <f ca="1">IFERROR(__xludf.DUMMYFUNCTION("""COMPUTED_VALUE"""),"")</f>
        <v/>
      </c>
    </row>
    <row r="4313" spans="1:5">
      <c r="A4313" s="12"/>
      <c r="E4313" s="57" t="str">
        <f ca="1">IFERROR(__xludf.DUMMYFUNCTION("""COMPUTED_VALUE"""),"")</f>
        <v/>
      </c>
    </row>
    <row r="4314" spans="1:5">
      <c r="A4314" s="12"/>
      <c r="E4314" s="57" t="str">
        <f ca="1">IFERROR(__xludf.DUMMYFUNCTION("""COMPUTED_VALUE"""),"")</f>
        <v/>
      </c>
    </row>
    <row r="4315" spans="1:5">
      <c r="A4315" s="12"/>
      <c r="E4315" s="57" t="str">
        <f ca="1">IFERROR(__xludf.DUMMYFUNCTION("""COMPUTED_VALUE"""),"")</f>
        <v/>
      </c>
    </row>
    <row r="4316" spans="1:5">
      <c r="A4316" s="12"/>
      <c r="E4316" s="57" t="str">
        <f ca="1">IFERROR(__xludf.DUMMYFUNCTION("""COMPUTED_VALUE"""),"")</f>
        <v/>
      </c>
    </row>
    <row r="4317" spans="1:5">
      <c r="A4317" s="12"/>
      <c r="E4317" s="57" t="str">
        <f ca="1">IFERROR(__xludf.DUMMYFUNCTION("""COMPUTED_VALUE"""),"")</f>
        <v/>
      </c>
    </row>
    <row r="4318" spans="1:5">
      <c r="A4318" s="12"/>
      <c r="E4318" s="57" t="str">
        <f ca="1">IFERROR(__xludf.DUMMYFUNCTION("""COMPUTED_VALUE"""),"")</f>
        <v/>
      </c>
    </row>
    <row r="4319" spans="1:5">
      <c r="A4319" s="12"/>
      <c r="E4319" s="57" t="str">
        <f ca="1">IFERROR(__xludf.DUMMYFUNCTION("""COMPUTED_VALUE"""),"")</f>
        <v/>
      </c>
    </row>
    <row r="4320" spans="1:5">
      <c r="A4320" s="12"/>
      <c r="E4320" s="57" t="str">
        <f ca="1">IFERROR(__xludf.DUMMYFUNCTION("""COMPUTED_VALUE"""),"")</f>
        <v/>
      </c>
    </row>
    <row r="4321" spans="1:5">
      <c r="A4321" s="12"/>
      <c r="E4321" s="57" t="str">
        <f ca="1">IFERROR(__xludf.DUMMYFUNCTION("""COMPUTED_VALUE"""),"")</f>
        <v/>
      </c>
    </row>
    <row r="4322" spans="1:5">
      <c r="A4322" s="12"/>
      <c r="E4322" s="57" t="str">
        <f ca="1">IFERROR(__xludf.DUMMYFUNCTION("""COMPUTED_VALUE"""),"")</f>
        <v/>
      </c>
    </row>
    <row r="4323" spans="1:5">
      <c r="A4323" s="12"/>
      <c r="E4323" s="57" t="str">
        <f ca="1">IFERROR(__xludf.DUMMYFUNCTION("""COMPUTED_VALUE"""),"")</f>
        <v/>
      </c>
    </row>
    <row r="4324" spans="1:5">
      <c r="A4324" s="12"/>
      <c r="E4324" s="57" t="str">
        <f ca="1">IFERROR(__xludf.DUMMYFUNCTION("""COMPUTED_VALUE"""),"")</f>
        <v/>
      </c>
    </row>
    <row r="4325" spans="1:5">
      <c r="A4325" s="12"/>
      <c r="E4325" s="57" t="str">
        <f ca="1">IFERROR(__xludf.DUMMYFUNCTION("""COMPUTED_VALUE"""),"")</f>
        <v/>
      </c>
    </row>
    <row r="4326" spans="1:5">
      <c r="A4326" s="12"/>
      <c r="E4326" s="57" t="str">
        <f ca="1">IFERROR(__xludf.DUMMYFUNCTION("""COMPUTED_VALUE"""),"")</f>
        <v/>
      </c>
    </row>
    <row r="4327" spans="1:5">
      <c r="A4327" s="12"/>
      <c r="E4327" s="57" t="str">
        <f ca="1">IFERROR(__xludf.DUMMYFUNCTION("""COMPUTED_VALUE"""),"")</f>
        <v/>
      </c>
    </row>
    <row r="4328" spans="1:5">
      <c r="A4328" s="12"/>
      <c r="E4328" s="57" t="str">
        <f ca="1">IFERROR(__xludf.DUMMYFUNCTION("""COMPUTED_VALUE"""),"")</f>
        <v/>
      </c>
    </row>
    <row r="4329" spans="1:5">
      <c r="A4329" s="12"/>
      <c r="E4329" s="57" t="str">
        <f ca="1">IFERROR(__xludf.DUMMYFUNCTION("""COMPUTED_VALUE"""),"")</f>
        <v/>
      </c>
    </row>
    <row r="4330" spans="1:5">
      <c r="A4330" s="12"/>
      <c r="E4330" s="57" t="str">
        <f ca="1">IFERROR(__xludf.DUMMYFUNCTION("""COMPUTED_VALUE"""),"")</f>
        <v/>
      </c>
    </row>
    <row r="4331" spans="1:5">
      <c r="A4331" s="12"/>
      <c r="E4331" s="57" t="str">
        <f ca="1">IFERROR(__xludf.DUMMYFUNCTION("""COMPUTED_VALUE"""),"")</f>
        <v/>
      </c>
    </row>
    <row r="4332" spans="1:5">
      <c r="A4332" s="12"/>
      <c r="E4332" s="57" t="str">
        <f ca="1">IFERROR(__xludf.DUMMYFUNCTION("""COMPUTED_VALUE"""),"")</f>
        <v/>
      </c>
    </row>
    <row r="4333" spans="1:5">
      <c r="A4333" s="12"/>
      <c r="E4333" s="57" t="str">
        <f ca="1">IFERROR(__xludf.DUMMYFUNCTION("""COMPUTED_VALUE"""),"")</f>
        <v/>
      </c>
    </row>
    <row r="4334" spans="1:5">
      <c r="A4334" s="12"/>
      <c r="E4334" s="57" t="str">
        <f ca="1">IFERROR(__xludf.DUMMYFUNCTION("""COMPUTED_VALUE"""),"")</f>
        <v/>
      </c>
    </row>
    <row r="4335" spans="1:5">
      <c r="A4335" s="12"/>
      <c r="E4335" s="57" t="str">
        <f ca="1">IFERROR(__xludf.DUMMYFUNCTION("""COMPUTED_VALUE"""),"")</f>
        <v/>
      </c>
    </row>
    <row r="4336" spans="1:5">
      <c r="A4336" s="12"/>
      <c r="E4336" s="57" t="str">
        <f ca="1">IFERROR(__xludf.DUMMYFUNCTION("""COMPUTED_VALUE"""),"")</f>
        <v/>
      </c>
    </row>
    <row r="4337" spans="1:5">
      <c r="A4337" s="12"/>
      <c r="E4337" s="57" t="str">
        <f ca="1">IFERROR(__xludf.DUMMYFUNCTION("""COMPUTED_VALUE"""),"")</f>
        <v/>
      </c>
    </row>
    <row r="4338" spans="1:5">
      <c r="A4338" s="12"/>
      <c r="E4338" s="57" t="str">
        <f ca="1">IFERROR(__xludf.DUMMYFUNCTION("""COMPUTED_VALUE"""),"")</f>
        <v/>
      </c>
    </row>
    <row r="4339" spans="1:5">
      <c r="A4339" s="12"/>
      <c r="E4339" s="57" t="str">
        <f ca="1">IFERROR(__xludf.DUMMYFUNCTION("""COMPUTED_VALUE"""),"")</f>
        <v/>
      </c>
    </row>
    <row r="4340" spans="1:5">
      <c r="A4340" s="12"/>
      <c r="E4340" s="57" t="str">
        <f ca="1">IFERROR(__xludf.DUMMYFUNCTION("""COMPUTED_VALUE"""),"")</f>
        <v/>
      </c>
    </row>
    <row r="4341" spans="1:5">
      <c r="A4341" s="12"/>
      <c r="E4341" s="57" t="str">
        <f ca="1">IFERROR(__xludf.DUMMYFUNCTION("""COMPUTED_VALUE"""),"")</f>
        <v/>
      </c>
    </row>
    <row r="4342" spans="1:5">
      <c r="A4342" s="12"/>
      <c r="E4342" s="57" t="str">
        <f ca="1">IFERROR(__xludf.DUMMYFUNCTION("""COMPUTED_VALUE"""),"")</f>
        <v/>
      </c>
    </row>
    <row r="4343" spans="1:5">
      <c r="A4343" s="12"/>
      <c r="E4343" s="57" t="str">
        <f ca="1">IFERROR(__xludf.DUMMYFUNCTION("""COMPUTED_VALUE"""),"")</f>
        <v/>
      </c>
    </row>
    <row r="4344" spans="1:5">
      <c r="A4344" s="12"/>
      <c r="E4344" s="57" t="str">
        <f ca="1">IFERROR(__xludf.DUMMYFUNCTION("""COMPUTED_VALUE"""),"")</f>
        <v/>
      </c>
    </row>
    <row r="4345" spans="1:5">
      <c r="A4345" s="12"/>
      <c r="E4345" s="57" t="str">
        <f ca="1">IFERROR(__xludf.DUMMYFUNCTION("""COMPUTED_VALUE"""),"")</f>
        <v/>
      </c>
    </row>
    <row r="4346" spans="1:5">
      <c r="A4346" s="12"/>
      <c r="E4346" s="57" t="str">
        <f ca="1">IFERROR(__xludf.DUMMYFUNCTION("""COMPUTED_VALUE"""),"")</f>
        <v/>
      </c>
    </row>
    <row r="4347" spans="1:5">
      <c r="A4347" s="12"/>
      <c r="E4347" s="57" t="str">
        <f ca="1">IFERROR(__xludf.DUMMYFUNCTION("""COMPUTED_VALUE"""),"")</f>
        <v/>
      </c>
    </row>
    <row r="4348" spans="1:5">
      <c r="A4348" s="12"/>
      <c r="E4348" s="57" t="str">
        <f ca="1">IFERROR(__xludf.DUMMYFUNCTION("""COMPUTED_VALUE"""),"")</f>
        <v/>
      </c>
    </row>
    <row r="4349" spans="1:5">
      <c r="A4349" s="12"/>
      <c r="E4349" s="57" t="str">
        <f ca="1">IFERROR(__xludf.DUMMYFUNCTION("""COMPUTED_VALUE"""),"")</f>
        <v/>
      </c>
    </row>
    <row r="4350" spans="1:5">
      <c r="A4350" s="12"/>
      <c r="E4350" s="57" t="str">
        <f ca="1">IFERROR(__xludf.DUMMYFUNCTION("""COMPUTED_VALUE"""),"")</f>
        <v/>
      </c>
    </row>
    <row r="4351" spans="1:5">
      <c r="A4351" s="12"/>
      <c r="E4351" s="57" t="str">
        <f ca="1">IFERROR(__xludf.DUMMYFUNCTION("""COMPUTED_VALUE"""),"")</f>
        <v/>
      </c>
    </row>
    <row r="4352" spans="1:5">
      <c r="A4352" s="12"/>
      <c r="E4352" s="57" t="str">
        <f ca="1">IFERROR(__xludf.DUMMYFUNCTION("""COMPUTED_VALUE"""),"")</f>
        <v/>
      </c>
    </row>
    <row r="4353" spans="1:5">
      <c r="A4353" s="12"/>
      <c r="E4353" s="57" t="str">
        <f ca="1">IFERROR(__xludf.DUMMYFUNCTION("""COMPUTED_VALUE"""),"")</f>
        <v/>
      </c>
    </row>
    <row r="4354" spans="1:5">
      <c r="A4354" s="12"/>
      <c r="E4354" s="57" t="str">
        <f ca="1">IFERROR(__xludf.DUMMYFUNCTION("""COMPUTED_VALUE"""),"")</f>
        <v/>
      </c>
    </row>
    <row r="4355" spans="1:5">
      <c r="A4355" s="12"/>
      <c r="E4355" s="57" t="str">
        <f ca="1">IFERROR(__xludf.DUMMYFUNCTION("""COMPUTED_VALUE"""),"")</f>
        <v/>
      </c>
    </row>
    <row r="4356" spans="1:5">
      <c r="A4356" s="12"/>
      <c r="E4356" s="57" t="str">
        <f ca="1">IFERROR(__xludf.DUMMYFUNCTION("""COMPUTED_VALUE"""),"")</f>
        <v/>
      </c>
    </row>
    <row r="4357" spans="1:5">
      <c r="A4357" s="12"/>
      <c r="E4357" s="57" t="str">
        <f ca="1">IFERROR(__xludf.DUMMYFUNCTION("""COMPUTED_VALUE"""),"")</f>
        <v/>
      </c>
    </row>
    <row r="4358" spans="1:5">
      <c r="A4358" s="12"/>
      <c r="E4358" s="57" t="str">
        <f ca="1">IFERROR(__xludf.DUMMYFUNCTION("""COMPUTED_VALUE"""),"")</f>
        <v/>
      </c>
    </row>
    <row r="4359" spans="1:5">
      <c r="A4359" s="12"/>
      <c r="E4359" s="57" t="str">
        <f ca="1">IFERROR(__xludf.DUMMYFUNCTION("""COMPUTED_VALUE"""),"")</f>
        <v/>
      </c>
    </row>
    <row r="4360" spans="1:5">
      <c r="A4360" s="12"/>
      <c r="E4360" s="57" t="str">
        <f ca="1">IFERROR(__xludf.DUMMYFUNCTION("""COMPUTED_VALUE"""),"")</f>
        <v/>
      </c>
    </row>
    <row r="4361" spans="1:5">
      <c r="A4361" s="12"/>
      <c r="E4361" s="57" t="str">
        <f ca="1">IFERROR(__xludf.DUMMYFUNCTION("""COMPUTED_VALUE"""),"")</f>
        <v/>
      </c>
    </row>
    <row r="4362" spans="1:5">
      <c r="A4362" s="12"/>
      <c r="E4362" s="57" t="str">
        <f ca="1">IFERROR(__xludf.DUMMYFUNCTION("""COMPUTED_VALUE"""),"")</f>
        <v/>
      </c>
    </row>
    <row r="4363" spans="1:5">
      <c r="A4363" s="12"/>
      <c r="E4363" s="57" t="str">
        <f ca="1">IFERROR(__xludf.DUMMYFUNCTION("""COMPUTED_VALUE"""),"")</f>
        <v/>
      </c>
    </row>
    <row r="4364" spans="1:5">
      <c r="A4364" s="12"/>
      <c r="E4364" s="57" t="str">
        <f ca="1">IFERROR(__xludf.DUMMYFUNCTION("""COMPUTED_VALUE"""),"")</f>
        <v/>
      </c>
    </row>
    <row r="4365" spans="1:5">
      <c r="A4365" s="12"/>
      <c r="E4365" s="57" t="str">
        <f ca="1">IFERROR(__xludf.DUMMYFUNCTION("""COMPUTED_VALUE"""),"")</f>
        <v/>
      </c>
    </row>
    <row r="4366" spans="1:5">
      <c r="A4366" s="12"/>
      <c r="E4366" s="57" t="str">
        <f ca="1">IFERROR(__xludf.DUMMYFUNCTION("""COMPUTED_VALUE"""),"")</f>
        <v/>
      </c>
    </row>
    <row r="4367" spans="1:5">
      <c r="A4367" s="12"/>
      <c r="E4367" s="57" t="str">
        <f ca="1">IFERROR(__xludf.DUMMYFUNCTION("""COMPUTED_VALUE"""),"")</f>
        <v/>
      </c>
    </row>
    <row r="4368" spans="1:5">
      <c r="A4368" s="12"/>
      <c r="E4368" s="57" t="str">
        <f ca="1">IFERROR(__xludf.DUMMYFUNCTION("""COMPUTED_VALUE"""),"")</f>
        <v/>
      </c>
    </row>
    <row r="4369" spans="1:5">
      <c r="A4369" s="12"/>
      <c r="E4369" s="57" t="str">
        <f ca="1">IFERROR(__xludf.DUMMYFUNCTION("""COMPUTED_VALUE"""),"")</f>
        <v/>
      </c>
    </row>
    <row r="4370" spans="1:5">
      <c r="A4370" s="12"/>
      <c r="E4370" s="57" t="str">
        <f ca="1">IFERROR(__xludf.DUMMYFUNCTION("""COMPUTED_VALUE"""),"")</f>
        <v/>
      </c>
    </row>
    <row r="4371" spans="1:5">
      <c r="A4371" s="12"/>
      <c r="E4371" s="57" t="str">
        <f ca="1">IFERROR(__xludf.DUMMYFUNCTION("""COMPUTED_VALUE"""),"")</f>
        <v/>
      </c>
    </row>
    <row r="4372" spans="1:5">
      <c r="A4372" s="12"/>
      <c r="E4372" s="57" t="str">
        <f ca="1">IFERROR(__xludf.DUMMYFUNCTION("""COMPUTED_VALUE"""),"")</f>
        <v/>
      </c>
    </row>
    <row r="4373" spans="1:5">
      <c r="A4373" s="12"/>
      <c r="E4373" s="57" t="str">
        <f ca="1">IFERROR(__xludf.DUMMYFUNCTION("""COMPUTED_VALUE"""),"")</f>
        <v/>
      </c>
    </row>
    <row r="4374" spans="1:5">
      <c r="A4374" s="12"/>
      <c r="E4374" s="57" t="str">
        <f ca="1">IFERROR(__xludf.DUMMYFUNCTION("""COMPUTED_VALUE"""),"")</f>
        <v/>
      </c>
    </row>
    <row r="4375" spans="1:5">
      <c r="A4375" s="12"/>
      <c r="E4375" s="57" t="str">
        <f ca="1">IFERROR(__xludf.DUMMYFUNCTION("""COMPUTED_VALUE"""),"")</f>
        <v/>
      </c>
    </row>
    <row r="4376" spans="1:5">
      <c r="A4376" s="12"/>
      <c r="E4376" s="57" t="str">
        <f ca="1">IFERROR(__xludf.DUMMYFUNCTION("""COMPUTED_VALUE"""),"")</f>
        <v/>
      </c>
    </row>
    <row r="4377" spans="1:5">
      <c r="A4377" s="12"/>
      <c r="E4377" s="57" t="str">
        <f ca="1">IFERROR(__xludf.DUMMYFUNCTION("""COMPUTED_VALUE"""),"")</f>
        <v/>
      </c>
    </row>
    <row r="4378" spans="1:5">
      <c r="A4378" s="12"/>
      <c r="E4378" s="57" t="str">
        <f ca="1">IFERROR(__xludf.DUMMYFUNCTION("""COMPUTED_VALUE"""),"")</f>
        <v/>
      </c>
    </row>
    <row r="4379" spans="1:5">
      <c r="A4379" s="12"/>
      <c r="E4379" s="57" t="str">
        <f ca="1">IFERROR(__xludf.DUMMYFUNCTION("""COMPUTED_VALUE"""),"")</f>
        <v/>
      </c>
    </row>
    <row r="4380" spans="1:5">
      <c r="A4380" s="12"/>
      <c r="E4380" s="57" t="str">
        <f ca="1">IFERROR(__xludf.DUMMYFUNCTION("""COMPUTED_VALUE"""),"")</f>
        <v/>
      </c>
    </row>
    <row r="4381" spans="1:5">
      <c r="A4381" s="12"/>
      <c r="E4381" s="57" t="str">
        <f ca="1">IFERROR(__xludf.DUMMYFUNCTION("""COMPUTED_VALUE"""),"")</f>
        <v/>
      </c>
    </row>
    <row r="4382" spans="1:5">
      <c r="A4382" s="12"/>
      <c r="E4382" s="57" t="str">
        <f ca="1">IFERROR(__xludf.DUMMYFUNCTION("""COMPUTED_VALUE"""),"")</f>
        <v/>
      </c>
    </row>
    <row r="4383" spans="1:5">
      <c r="A4383" s="12"/>
      <c r="E4383" s="57" t="str">
        <f ca="1">IFERROR(__xludf.DUMMYFUNCTION("""COMPUTED_VALUE"""),"")</f>
        <v/>
      </c>
    </row>
    <row r="4384" spans="1:5">
      <c r="A4384" s="12"/>
      <c r="E4384" s="57" t="str">
        <f ca="1">IFERROR(__xludf.DUMMYFUNCTION("""COMPUTED_VALUE"""),"")</f>
        <v/>
      </c>
    </row>
    <row r="4385" spans="1:5">
      <c r="A4385" s="12"/>
      <c r="E4385" s="57" t="str">
        <f ca="1">IFERROR(__xludf.DUMMYFUNCTION("""COMPUTED_VALUE"""),"")</f>
        <v/>
      </c>
    </row>
    <row r="4386" spans="1:5">
      <c r="A4386" s="12"/>
      <c r="E4386" s="57" t="str">
        <f ca="1">IFERROR(__xludf.DUMMYFUNCTION("""COMPUTED_VALUE"""),"")</f>
        <v/>
      </c>
    </row>
    <row r="4387" spans="1:5">
      <c r="A4387" s="12"/>
      <c r="E4387" s="57" t="str">
        <f ca="1">IFERROR(__xludf.DUMMYFUNCTION("""COMPUTED_VALUE"""),"")</f>
        <v/>
      </c>
    </row>
    <row r="4388" spans="1:5">
      <c r="A4388" s="12"/>
      <c r="E4388" s="57" t="str">
        <f ca="1">IFERROR(__xludf.DUMMYFUNCTION("""COMPUTED_VALUE"""),"")</f>
        <v/>
      </c>
    </row>
    <row r="4389" spans="1:5">
      <c r="A4389" s="12"/>
      <c r="E4389" s="57" t="str">
        <f ca="1">IFERROR(__xludf.DUMMYFUNCTION("""COMPUTED_VALUE"""),"")</f>
        <v/>
      </c>
    </row>
    <row r="4390" spans="1:5">
      <c r="A4390" s="12"/>
      <c r="E4390" s="57" t="str">
        <f ca="1">IFERROR(__xludf.DUMMYFUNCTION("""COMPUTED_VALUE"""),"")</f>
        <v/>
      </c>
    </row>
    <row r="4391" spans="1:5">
      <c r="A4391" s="12"/>
      <c r="E4391" s="57" t="str">
        <f ca="1">IFERROR(__xludf.DUMMYFUNCTION("""COMPUTED_VALUE"""),"")</f>
        <v/>
      </c>
    </row>
    <row r="4392" spans="1:5">
      <c r="A4392" s="12"/>
      <c r="E4392" s="57" t="str">
        <f ca="1">IFERROR(__xludf.DUMMYFUNCTION("""COMPUTED_VALUE"""),"")</f>
        <v/>
      </c>
    </row>
    <row r="4393" spans="1:5">
      <c r="A4393" s="12"/>
      <c r="E4393" s="57" t="str">
        <f ca="1">IFERROR(__xludf.DUMMYFUNCTION("""COMPUTED_VALUE"""),"")</f>
        <v/>
      </c>
    </row>
    <row r="4394" spans="1:5">
      <c r="A4394" s="12"/>
      <c r="E4394" s="57" t="str">
        <f ca="1">IFERROR(__xludf.DUMMYFUNCTION("""COMPUTED_VALUE"""),"")</f>
        <v/>
      </c>
    </row>
    <row r="4395" spans="1:5">
      <c r="A4395" s="12"/>
      <c r="E4395" s="57" t="str">
        <f ca="1">IFERROR(__xludf.DUMMYFUNCTION("""COMPUTED_VALUE"""),"")</f>
        <v/>
      </c>
    </row>
    <row r="4396" spans="1:5">
      <c r="A4396" s="12"/>
      <c r="E4396" s="57" t="str">
        <f ca="1">IFERROR(__xludf.DUMMYFUNCTION("""COMPUTED_VALUE"""),"")</f>
        <v/>
      </c>
    </row>
    <row r="4397" spans="1:5">
      <c r="A4397" s="12"/>
      <c r="E4397" s="57" t="str">
        <f ca="1">IFERROR(__xludf.DUMMYFUNCTION("""COMPUTED_VALUE"""),"")</f>
        <v/>
      </c>
    </row>
    <row r="4398" spans="1:5">
      <c r="A4398" s="12"/>
      <c r="E4398" s="57" t="str">
        <f ca="1">IFERROR(__xludf.DUMMYFUNCTION("""COMPUTED_VALUE"""),"")</f>
        <v/>
      </c>
    </row>
    <row r="4399" spans="1:5">
      <c r="A4399" s="12"/>
      <c r="E4399" s="57" t="str">
        <f ca="1">IFERROR(__xludf.DUMMYFUNCTION("""COMPUTED_VALUE"""),"")</f>
        <v/>
      </c>
    </row>
    <row r="4400" spans="1:5">
      <c r="A4400" s="12"/>
      <c r="E4400" s="57" t="str">
        <f ca="1">IFERROR(__xludf.DUMMYFUNCTION("""COMPUTED_VALUE"""),"")</f>
        <v/>
      </c>
    </row>
    <row r="4401" spans="1:5">
      <c r="A4401" s="12"/>
      <c r="E4401" s="57" t="str">
        <f ca="1">IFERROR(__xludf.DUMMYFUNCTION("""COMPUTED_VALUE"""),"")</f>
        <v/>
      </c>
    </row>
    <row r="4402" spans="1:5">
      <c r="A4402" s="12"/>
      <c r="E4402" s="57" t="str">
        <f ca="1">IFERROR(__xludf.DUMMYFUNCTION("""COMPUTED_VALUE"""),"")</f>
        <v/>
      </c>
    </row>
    <row r="4403" spans="1:5">
      <c r="A4403" s="12"/>
      <c r="E4403" s="57" t="str">
        <f ca="1">IFERROR(__xludf.DUMMYFUNCTION("""COMPUTED_VALUE"""),"")</f>
        <v/>
      </c>
    </row>
    <row r="4404" spans="1:5">
      <c r="A4404" s="12"/>
      <c r="E4404" s="57" t="str">
        <f ca="1">IFERROR(__xludf.DUMMYFUNCTION("""COMPUTED_VALUE"""),"")</f>
        <v/>
      </c>
    </row>
    <row r="4405" spans="1:5">
      <c r="A4405" s="12"/>
      <c r="E4405" s="57" t="str">
        <f ca="1">IFERROR(__xludf.DUMMYFUNCTION("""COMPUTED_VALUE"""),"")</f>
        <v/>
      </c>
    </row>
    <row r="4406" spans="1:5">
      <c r="A4406" s="12"/>
      <c r="E4406" s="57" t="str">
        <f ca="1">IFERROR(__xludf.DUMMYFUNCTION("""COMPUTED_VALUE"""),"")</f>
        <v/>
      </c>
    </row>
    <row r="4407" spans="1:5">
      <c r="A4407" s="12"/>
      <c r="E4407" s="57" t="str">
        <f ca="1">IFERROR(__xludf.DUMMYFUNCTION("""COMPUTED_VALUE"""),"")</f>
        <v/>
      </c>
    </row>
    <row r="4408" spans="1:5">
      <c r="A4408" s="12"/>
      <c r="E4408" s="57" t="str">
        <f ca="1">IFERROR(__xludf.DUMMYFUNCTION("""COMPUTED_VALUE"""),"")</f>
        <v/>
      </c>
    </row>
    <row r="4409" spans="1:5">
      <c r="A4409" s="12"/>
      <c r="E4409" s="57" t="str">
        <f ca="1">IFERROR(__xludf.DUMMYFUNCTION("""COMPUTED_VALUE"""),"")</f>
        <v/>
      </c>
    </row>
    <row r="4410" spans="1:5">
      <c r="A4410" s="12"/>
      <c r="E4410" s="57" t="str">
        <f ca="1">IFERROR(__xludf.DUMMYFUNCTION("""COMPUTED_VALUE"""),"")</f>
        <v/>
      </c>
    </row>
    <row r="4411" spans="1:5">
      <c r="A4411" s="12"/>
      <c r="E4411" s="57" t="str">
        <f ca="1">IFERROR(__xludf.DUMMYFUNCTION("""COMPUTED_VALUE"""),"")</f>
        <v/>
      </c>
    </row>
    <row r="4412" spans="1:5">
      <c r="A4412" s="12"/>
      <c r="E4412" s="57" t="str">
        <f ca="1">IFERROR(__xludf.DUMMYFUNCTION("""COMPUTED_VALUE"""),"")</f>
        <v/>
      </c>
    </row>
    <row r="4413" spans="1:5">
      <c r="A4413" s="12"/>
      <c r="E4413" s="57" t="str">
        <f ca="1">IFERROR(__xludf.DUMMYFUNCTION("""COMPUTED_VALUE"""),"")</f>
        <v/>
      </c>
    </row>
    <row r="4414" spans="1:5">
      <c r="A4414" s="12"/>
      <c r="E4414" s="57" t="str">
        <f ca="1">IFERROR(__xludf.DUMMYFUNCTION("""COMPUTED_VALUE"""),"")</f>
        <v/>
      </c>
    </row>
    <row r="4415" spans="1:5">
      <c r="A4415" s="12"/>
      <c r="E4415" s="57" t="str">
        <f ca="1">IFERROR(__xludf.DUMMYFUNCTION("""COMPUTED_VALUE"""),"")</f>
        <v/>
      </c>
    </row>
    <row r="4416" spans="1:5">
      <c r="A4416" s="12"/>
      <c r="E4416" s="57" t="str">
        <f ca="1">IFERROR(__xludf.DUMMYFUNCTION("""COMPUTED_VALUE"""),"")</f>
        <v/>
      </c>
    </row>
    <row r="4417" spans="1:5">
      <c r="A4417" s="12"/>
      <c r="E4417" s="57" t="str">
        <f ca="1">IFERROR(__xludf.DUMMYFUNCTION("""COMPUTED_VALUE"""),"")</f>
        <v/>
      </c>
    </row>
    <row r="4418" spans="1:5">
      <c r="A4418" s="12"/>
      <c r="E4418" s="57" t="str">
        <f ca="1">IFERROR(__xludf.DUMMYFUNCTION("""COMPUTED_VALUE"""),"")</f>
        <v/>
      </c>
    </row>
    <row r="4419" spans="1:5">
      <c r="A4419" s="12"/>
      <c r="E4419" s="57" t="str">
        <f ca="1">IFERROR(__xludf.DUMMYFUNCTION("""COMPUTED_VALUE"""),"")</f>
        <v/>
      </c>
    </row>
    <row r="4420" spans="1:5">
      <c r="A4420" s="12"/>
      <c r="E4420" s="57" t="str">
        <f ca="1">IFERROR(__xludf.DUMMYFUNCTION("""COMPUTED_VALUE"""),"")</f>
        <v/>
      </c>
    </row>
    <row r="4421" spans="1:5">
      <c r="A4421" s="12"/>
      <c r="E4421" s="57" t="str">
        <f ca="1">IFERROR(__xludf.DUMMYFUNCTION("""COMPUTED_VALUE"""),"")</f>
        <v/>
      </c>
    </row>
    <row r="4422" spans="1:5">
      <c r="A4422" s="12"/>
      <c r="E4422" s="57" t="str">
        <f ca="1">IFERROR(__xludf.DUMMYFUNCTION("""COMPUTED_VALUE"""),"")</f>
        <v/>
      </c>
    </row>
    <row r="4423" spans="1:5">
      <c r="A4423" s="12"/>
      <c r="E4423" s="57" t="str">
        <f ca="1">IFERROR(__xludf.DUMMYFUNCTION("""COMPUTED_VALUE"""),"")</f>
        <v/>
      </c>
    </row>
    <row r="4424" spans="1:5">
      <c r="A4424" s="12"/>
      <c r="E4424" s="57" t="str">
        <f ca="1">IFERROR(__xludf.DUMMYFUNCTION("""COMPUTED_VALUE"""),"")</f>
        <v/>
      </c>
    </row>
    <row r="4425" spans="1:5">
      <c r="A4425" s="12"/>
      <c r="E4425" s="57" t="str">
        <f ca="1">IFERROR(__xludf.DUMMYFUNCTION("""COMPUTED_VALUE"""),"")</f>
        <v/>
      </c>
    </row>
    <row r="4426" spans="1:5">
      <c r="A4426" s="12"/>
      <c r="E4426" s="57" t="str">
        <f ca="1">IFERROR(__xludf.DUMMYFUNCTION("""COMPUTED_VALUE"""),"")</f>
        <v/>
      </c>
    </row>
    <row r="4427" spans="1:5">
      <c r="A4427" s="12"/>
      <c r="E4427" s="57" t="str">
        <f ca="1">IFERROR(__xludf.DUMMYFUNCTION("""COMPUTED_VALUE"""),"")</f>
        <v/>
      </c>
    </row>
    <row r="4428" spans="1:5">
      <c r="A4428" s="12"/>
      <c r="E4428" s="57" t="str">
        <f ca="1">IFERROR(__xludf.DUMMYFUNCTION("""COMPUTED_VALUE"""),"")</f>
        <v/>
      </c>
    </row>
    <row r="4429" spans="1:5">
      <c r="A4429" s="12"/>
      <c r="E4429" s="57" t="str">
        <f ca="1">IFERROR(__xludf.DUMMYFUNCTION("""COMPUTED_VALUE"""),"")</f>
        <v/>
      </c>
    </row>
    <row r="4430" spans="1:5">
      <c r="A4430" s="12"/>
      <c r="E4430" s="57" t="str">
        <f ca="1">IFERROR(__xludf.DUMMYFUNCTION("""COMPUTED_VALUE"""),"")</f>
        <v/>
      </c>
    </row>
    <row r="4431" spans="1:5">
      <c r="A4431" s="12"/>
      <c r="E4431" s="57" t="str">
        <f ca="1">IFERROR(__xludf.DUMMYFUNCTION("""COMPUTED_VALUE"""),"")</f>
        <v/>
      </c>
    </row>
    <row r="4432" spans="1:5">
      <c r="A4432" s="12"/>
      <c r="E4432" s="57" t="str">
        <f ca="1">IFERROR(__xludf.DUMMYFUNCTION("""COMPUTED_VALUE"""),"")</f>
        <v/>
      </c>
    </row>
    <row r="4433" spans="1:5">
      <c r="A4433" s="12"/>
      <c r="E4433" s="57" t="str">
        <f ca="1">IFERROR(__xludf.DUMMYFUNCTION("""COMPUTED_VALUE"""),"")</f>
        <v/>
      </c>
    </row>
    <row r="4434" spans="1:5">
      <c r="A4434" s="12"/>
      <c r="E4434" s="57" t="str">
        <f ca="1">IFERROR(__xludf.DUMMYFUNCTION("""COMPUTED_VALUE"""),"")</f>
        <v/>
      </c>
    </row>
    <row r="4435" spans="1:5">
      <c r="A4435" s="12"/>
      <c r="E4435" s="57" t="str">
        <f ca="1">IFERROR(__xludf.DUMMYFUNCTION("""COMPUTED_VALUE"""),"")</f>
        <v/>
      </c>
    </row>
    <row r="4436" spans="1:5">
      <c r="A4436" s="12"/>
      <c r="E4436" s="57" t="str">
        <f ca="1">IFERROR(__xludf.DUMMYFUNCTION("""COMPUTED_VALUE"""),"")</f>
        <v/>
      </c>
    </row>
    <row r="4437" spans="1:5">
      <c r="A4437" s="12"/>
      <c r="E4437" s="57" t="str">
        <f ca="1">IFERROR(__xludf.DUMMYFUNCTION("""COMPUTED_VALUE"""),"")</f>
        <v/>
      </c>
    </row>
    <row r="4438" spans="1:5">
      <c r="A4438" s="12"/>
      <c r="E4438" s="57" t="str">
        <f ca="1">IFERROR(__xludf.DUMMYFUNCTION("""COMPUTED_VALUE"""),"")</f>
        <v/>
      </c>
    </row>
    <row r="4439" spans="1:5">
      <c r="A4439" s="12"/>
      <c r="E4439" s="57" t="str">
        <f ca="1">IFERROR(__xludf.DUMMYFUNCTION("""COMPUTED_VALUE"""),"")</f>
        <v/>
      </c>
    </row>
    <row r="4440" spans="1:5">
      <c r="A4440" s="12"/>
      <c r="E4440" s="57" t="str">
        <f ca="1">IFERROR(__xludf.DUMMYFUNCTION("""COMPUTED_VALUE"""),"")</f>
        <v/>
      </c>
    </row>
    <row r="4441" spans="1:5">
      <c r="A4441" s="12"/>
      <c r="E4441" s="57" t="str">
        <f ca="1">IFERROR(__xludf.DUMMYFUNCTION("""COMPUTED_VALUE"""),"")</f>
        <v/>
      </c>
    </row>
    <row r="4442" spans="1:5">
      <c r="A4442" s="12"/>
      <c r="E4442" s="57" t="str">
        <f ca="1">IFERROR(__xludf.DUMMYFUNCTION("""COMPUTED_VALUE"""),"")</f>
        <v/>
      </c>
    </row>
    <row r="4443" spans="1:5">
      <c r="A4443" s="12"/>
      <c r="E4443" s="57" t="str">
        <f ca="1">IFERROR(__xludf.DUMMYFUNCTION("""COMPUTED_VALUE"""),"")</f>
        <v/>
      </c>
    </row>
    <row r="4444" spans="1:5">
      <c r="A4444" s="12"/>
      <c r="E4444" s="57" t="str">
        <f ca="1">IFERROR(__xludf.DUMMYFUNCTION("""COMPUTED_VALUE"""),"")</f>
        <v/>
      </c>
    </row>
    <row r="4445" spans="1:5">
      <c r="A4445" s="12"/>
      <c r="E4445" s="57" t="str">
        <f ca="1">IFERROR(__xludf.DUMMYFUNCTION("""COMPUTED_VALUE"""),"")</f>
        <v/>
      </c>
    </row>
    <row r="4446" spans="1:5">
      <c r="A4446" s="12"/>
      <c r="E4446" s="57" t="str">
        <f ca="1">IFERROR(__xludf.DUMMYFUNCTION("""COMPUTED_VALUE"""),"")</f>
        <v/>
      </c>
    </row>
    <row r="4447" spans="1:5">
      <c r="A4447" s="12"/>
      <c r="E4447" s="57" t="str">
        <f ca="1">IFERROR(__xludf.DUMMYFUNCTION("""COMPUTED_VALUE"""),"")</f>
        <v/>
      </c>
    </row>
    <row r="4448" spans="1:5">
      <c r="A4448" s="12"/>
      <c r="E4448" s="57" t="str">
        <f ca="1">IFERROR(__xludf.DUMMYFUNCTION("""COMPUTED_VALUE"""),"")</f>
        <v/>
      </c>
    </row>
    <row r="4449" spans="1:5">
      <c r="A4449" s="12"/>
      <c r="E4449" s="57" t="str">
        <f ca="1">IFERROR(__xludf.DUMMYFUNCTION("""COMPUTED_VALUE"""),"")</f>
        <v/>
      </c>
    </row>
    <row r="4450" spans="1:5">
      <c r="A4450" s="12"/>
      <c r="E4450" s="57" t="str">
        <f ca="1">IFERROR(__xludf.DUMMYFUNCTION("""COMPUTED_VALUE"""),"")</f>
        <v/>
      </c>
    </row>
    <row r="4451" spans="1:5">
      <c r="A4451" s="12"/>
      <c r="E4451" s="57" t="str">
        <f ca="1">IFERROR(__xludf.DUMMYFUNCTION("""COMPUTED_VALUE"""),"")</f>
        <v/>
      </c>
    </row>
    <row r="4452" spans="1:5">
      <c r="A4452" s="12"/>
      <c r="E4452" s="57" t="str">
        <f ca="1">IFERROR(__xludf.DUMMYFUNCTION("""COMPUTED_VALUE"""),"")</f>
        <v/>
      </c>
    </row>
    <row r="4453" spans="1:5">
      <c r="A4453" s="12"/>
      <c r="E4453" s="57" t="str">
        <f ca="1">IFERROR(__xludf.DUMMYFUNCTION("""COMPUTED_VALUE"""),"")</f>
        <v/>
      </c>
    </row>
    <row r="4454" spans="1:5">
      <c r="A4454" s="12"/>
      <c r="E4454" s="57" t="str">
        <f ca="1">IFERROR(__xludf.DUMMYFUNCTION("""COMPUTED_VALUE"""),"")</f>
        <v/>
      </c>
    </row>
    <row r="4455" spans="1:5">
      <c r="A4455" s="12"/>
      <c r="E4455" s="57" t="str">
        <f ca="1">IFERROR(__xludf.DUMMYFUNCTION("""COMPUTED_VALUE"""),"")</f>
        <v/>
      </c>
    </row>
    <row r="4456" spans="1:5">
      <c r="A4456" s="12"/>
      <c r="E4456" s="57" t="str">
        <f ca="1">IFERROR(__xludf.DUMMYFUNCTION("""COMPUTED_VALUE"""),"")</f>
        <v/>
      </c>
    </row>
    <row r="4457" spans="1:5">
      <c r="A4457" s="12"/>
      <c r="E4457" s="57" t="str">
        <f ca="1">IFERROR(__xludf.DUMMYFUNCTION("""COMPUTED_VALUE"""),"")</f>
        <v/>
      </c>
    </row>
    <row r="4458" spans="1:5">
      <c r="A4458" s="12"/>
      <c r="E4458" s="57" t="str">
        <f ca="1">IFERROR(__xludf.DUMMYFUNCTION("""COMPUTED_VALUE"""),"")</f>
        <v/>
      </c>
    </row>
    <row r="4459" spans="1:5">
      <c r="A4459" s="12"/>
      <c r="E4459" s="57" t="str">
        <f ca="1">IFERROR(__xludf.DUMMYFUNCTION("""COMPUTED_VALUE"""),"")</f>
        <v/>
      </c>
    </row>
    <row r="4460" spans="1:5">
      <c r="A4460" s="12"/>
      <c r="E4460" s="57" t="str">
        <f ca="1">IFERROR(__xludf.DUMMYFUNCTION("""COMPUTED_VALUE"""),"")</f>
        <v/>
      </c>
    </row>
    <row r="4461" spans="1:5">
      <c r="A4461" s="12"/>
      <c r="E4461" s="57" t="str">
        <f ca="1">IFERROR(__xludf.DUMMYFUNCTION("""COMPUTED_VALUE"""),"")</f>
        <v/>
      </c>
    </row>
    <row r="4462" spans="1:5">
      <c r="A4462" s="12"/>
      <c r="E4462" s="57" t="str">
        <f ca="1">IFERROR(__xludf.DUMMYFUNCTION("""COMPUTED_VALUE"""),"")</f>
        <v/>
      </c>
    </row>
    <row r="4463" spans="1:5">
      <c r="A4463" s="12"/>
      <c r="E4463" s="57" t="str">
        <f ca="1">IFERROR(__xludf.DUMMYFUNCTION("""COMPUTED_VALUE"""),"")</f>
        <v/>
      </c>
    </row>
    <row r="4464" spans="1:5">
      <c r="A4464" s="12"/>
      <c r="E4464" s="57" t="str">
        <f ca="1">IFERROR(__xludf.DUMMYFUNCTION("""COMPUTED_VALUE"""),"")</f>
        <v/>
      </c>
    </row>
    <row r="4465" spans="1:5">
      <c r="A4465" s="12"/>
      <c r="E4465" s="57" t="str">
        <f ca="1">IFERROR(__xludf.DUMMYFUNCTION("""COMPUTED_VALUE"""),"")</f>
        <v/>
      </c>
    </row>
    <row r="4466" spans="1:5">
      <c r="A4466" s="12"/>
      <c r="E4466" s="57" t="str">
        <f ca="1">IFERROR(__xludf.DUMMYFUNCTION("""COMPUTED_VALUE"""),"")</f>
        <v/>
      </c>
    </row>
    <row r="4467" spans="1:5">
      <c r="A4467" s="12"/>
      <c r="E4467" s="57" t="str">
        <f ca="1">IFERROR(__xludf.DUMMYFUNCTION("""COMPUTED_VALUE"""),"")</f>
        <v/>
      </c>
    </row>
    <row r="4468" spans="1:5">
      <c r="A4468" s="12"/>
      <c r="E4468" s="57" t="str">
        <f ca="1">IFERROR(__xludf.DUMMYFUNCTION("""COMPUTED_VALUE"""),"")</f>
        <v/>
      </c>
    </row>
    <row r="4469" spans="1:5">
      <c r="A4469" s="12"/>
      <c r="E4469" s="57" t="str">
        <f ca="1">IFERROR(__xludf.DUMMYFUNCTION("""COMPUTED_VALUE"""),"")</f>
        <v/>
      </c>
    </row>
    <row r="4470" spans="1:5">
      <c r="A4470" s="12"/>
      <c r="E4470" s="57" t="str">
        <f ca="1">IFERROR(__xludf.DUMMYFUNCTION("""COMPUTED_VALUE"""),"")</f>
        <v/>
      </c>
    </row>
    <row r="4471" spans="1:5">
      <c r="A4471" s="12"/>
      <c r="E4471" s="57" t="str">
        <f ca="1">IFERROR(__xludf.DUMMYFUNCTION("""COMPUTED_VALUE"""),"")</f>
        <v/>
      </c>
    </row>
    <row r="4472" spans="1:5">
      <c r="A4472" s="12"/>
      <c r="E4472" s="57" t="str">
        <f ca="1">IFERROR(__xludf.DUMMYFUNCTION("""COMPUTED_VALUE"""),"")</f>
        <v/>
      </c>
    </row>
    <row r="4473" spans="1:5">
      <c r="A4473" s="12"/>
      <c r="E4473" s="57" t="str">
        <f ca="1">IFERROR(__xludf.DUMMYFUNCTION("""COMPUTED_VALUE"""),"")</f>
        <v/>
      </c>
    </row>
    <row r="4474" spans="1:5">
      <c r="A4474" s="12"/>
      <c r="E4474" s="57" t="str">
        <f ca="1">IFERROR(__xludf.DUMMYFUNCTION("""COMPUTED_VALUE"""),"")</f>
        <v/>
      </c>
    </row>
    <row r="4475" spans="1:5">
      <c r="A4475" s="12"/>
      <c r="E4475" s="57" t="str">
        <f ca="1">IFERROR(__xludf.DUMMYFUNCTION("""COMPUTED_VALUE"""),"")</f>
        <v/>
      </c>
    </row>
    <row r="4476" spans="1:5">
      <c r="A4476" s="12"/>
      <c r="E4476" s="57" t="str">
        <f ca="1">IFERROR(__xludf.DUMMYFUNCTION("""COMPUTED_VALUE"""),"")</f>
        <v/>
      </c>
    </row>
    <row r="4477" spans="1:5">
      <c r="A4477" s="12"/>
      <c r="E4477" s="57" t="str">
        <f ca="1">IFERROR(__xludf.DUMMYFUNCTION("""COMPUTED_VALUE"""),"")</f>
        <v/>
      </c>
    </row>
    <row r="4478" spans="1:5">
      <c r="A4478" s="12"/>
      <c r="E4478" s="57" t="str">
        <f ca="1">IFERROR(__xludf.DUMMYFUNCTION("""COMPUTED_VALUE"""),"")</f>
        <v/>
      </c>
    </row>
    <row r="4479" spans="1:5">
      <c r="A4479" s="12"/>
      <c r="E4479" s="57" t="str">
        <f ca="1">IFERROR(__xludf.DUMMYFUNCTION("""COMPUTED_VALUE"""),"")</f>
        <v/>
      </c>
    </row>
    <row r="4480" spans="1:5">
      <c r="A4480" s="12"/>
      <c r="E4480" s="57" t="str">
        <f ca="1">IFERROR(__xludf.DUMMYFUNCTION("""COMPUTED_VALUE"""),"")</f>
        <v/>
      </c>
    </row>
    <row r="4481" spans="1:5">
      <c r="A4481" s="12"/>
      <c r="E4481" s="57" t="str">
        <f ca="1">IFERROR(__xludf.DUMMYFUNCTION("""COMPUTED_VALUE"""),"")</f>
        <v/>
      </c>
    </row>
    <row r="4482" spans="1:5">
      <c r="A4482" s="12"/>
      <c r="E4482" s="57" t="str">
        <f ca="1">IFERROR(__xludf.DUMMYFUNCTION("""COMPUTED_VALUE"""),"")</f>
        <v/>
      </c>
    </row>
    <row r="4483" spans="1:5">
      <c r="A4483" s="12"/>
      <c r="E4483" s="57" t="str">
        <f ca="1">IFERROR(__xludf.DUMMYFUNCTION("""COMPUTED_VALUE"""),"")</f>
        <v/>
      </c>
    </row>
    <row r="4484" spans="1:5">
      <c r="A4484" s="12"/>
      <c r="E4484" s="57" t="str">
        <f ca="1">IFERROR(__xludf.DUMMYFUNCTION("""COMPUTED_VALUE"""),"")</f>
        <v/>
      </c>
    </row>
    <row r="4485" spans="1:5">
      <c r="A4485" s="12"/>
      <c r="E4485" s="57" t="str">
        <f ca="1">IFERROR(__xludf.DUMMYFUNCTION("""COMPUTED_VALUE"""),"")</f>
        <v/>
      </c>
    </row>
    <row r="4486" spans="1:5">
      <c r="A4486" s="12"/>
      <c r="E4486" s="57" t="str">
        <f ca="1">IFERROR(__xludf.DUMMYFUNCTION("""COMPUTED_VALUE"""),"")</f>
        <v/>
      </c>
    </row>
    <row r="4487" spans="1:5">
      <c r="A4487" s="12"/>
      <c r="E4487" s="57" t="str">
        <f ca="1">IFERROR(__xludf.DUMMYFUNCTION("""COMPUTED_VALUE"""),"")</f>
        <v/>
      </c>
    </row>
    <row r="4488" spans="1:5">
      <c r="A4488" s="12"/>
      <c r="E4488" s="57" t="str">
        <f ca="1">IFERROR(__xludf.DUMMYFUNCTION("""COMPUTED_VALUE"""),"")</f>
        <v/>
      </c>
    </row>
    <row r="4489" spans="1:5">
      <c r="A4489" s="12"/>
      <c r="E4489" s="57" t="str">
        <f ca="1">IFERROR(__xludf.DUMMYFUNCTION("""COMPUTED_VALUE"""),"")</f>
        <v/>
      </c>
    </row>
    <row r="4490" spans="1:5">
      <c r="A4490" s="12"/>
      <c r="E4490" s="57" t="str">
        <f ca="1">IFERROR(__xludf.DUMMYFUNCTION("""COMPUTED_VALUE"""),"")</f>
        <v/>
      </c>
    </row>
    <row r="4491" spans="1:5">
      <c r="A4491" s="12"/>
      <c r="E4491" s="57" t="str">
        <f ca="1">IFERROR(__xludf.DUMMYFUNCTION("""COMPUTED_VALUE"""),"")</f>
        <v/>
      </c>
    </row>
    <row r="4492" spans="1:5">
      <c r="A4492" s="12"/>
      <c r="E4492" s="57" t="str">
        <f ca="1">IFERROR(__xludf.DUMMYFUNCTION("""COMPUTED_VALUE"""),"")</f>
        <v/>
      </c>
    </row>
    <row r="4493" spans="1:5">
      <c r="A4493" s="12"/>
      <c r="E4493" s="57" t="str">
        <f ca="1">IFERROR(__xludf.DUMMYFUNCTION("""COMPUTED_VALUE"""),"")</f>
        <v/>
      </c>
    </row>
    <row r="4494" spans="1:5">
      <c r="A4494" s="12"/>
      <c r="E4494" s="57" t="str">
        <f ca="1">IFERROR(__xludf.DUMMYFUNCTION("""COMPUTED_VALUE"""),"")</f>
        <v/>
      </c>
    </row>
    <row r="4495" spans="1:5">
      <c r="A4495" s="12"/>
      <c r="E4495" s="57" t="str">
        <f ca="1">IFERROR(__xludf.DUMMYFUNCTION("""COMPUTED_VALUE"""),"")</f>
        <v/>
      </c>
    </row>
    <row r="4496" spans="1:5">
      <c r="A4496" s="12"/>
      <c r="E4496" s="57" t="str">
        <f ca="1">IFERROR(__xludf.DUMMYFUNCTION("""COMPUTED_VALUE"""),"")</f>
        <v/>
      </c>
    </row>
    <row r="4497" spans="1:5">
      <c r="A4497" s="12"/>
      <c r="E4497" s="57" t="str">
        <f ca="1">IFERROR(__xludf.DUMMYFUNCTION("""COMPUTED_VALUE"""),"")</f>
        <v/>
      </c>
    </row>
    <row r="4498" spans="1:5">
      <c r="A4498" s="12"/>
      <c r="E4498" s="57" t="str">
        <f ca="1">IFERROR(__xludf.DUMMYFUNCTION("""COMPUTED_VALUE"""),"")</f>
        <v/>
      </c>
    </row>
    <row r="4499" spans="1:5">
      <c r="A4499" s="12"/>
      <c r="E4499" s="57" t="str">
        <f ca="1">IFERROR(__xludf.DUMMYFUNCTION("""COMPUTED_VALUE"""),"")</f>
        <v/>
      </c>
    </row>
    <row r="4500" spans="1:5">
      <c r="A4500" s="12"/>
      <c r="E4500" s="57" t="str">
        <f ca="1">IFERROR(__xludf.DUMMYFUNCTION("""COMPUTED_VALUE"""),"")</f>
        <v/>
      </c>
    </row>
    <row r="4501" spans="1:5">
      <c r="A4501" s="12"/>
      <c r="E4501" s="57" t="str">
        <f ca="1">IFERROR(__xludf.DUMMYFUNCTION("""COMPUTED_VALUE"""),"")</f>
        <v/>
      </c>
    </row>
    <row r="4502" spans="1:5">
      <c r="A4502" s="12"/>
      <c r="E4502" s="57" t="str">
        <f ca="1">IFERROR(__xludf.DUMMYFUNCTION("""COMPUTED_VALUE"""),"")</f>
        <v/>
      </c>
    </row>
    <row r="4503" spans="1:5">
      <c r="A4503" s="12"/>
      <c r="E4503" s="57" t="str">
        <f ca="1">IFERROR(__xludf.DUMMYFUNCTION("""COMPUTED_VALUE"""),"")</f>
        <v/>
      </c>
    </row>
    <row r="4504" spans="1:5">
      <c r="A4504" s="12"/>
      <c r="E4504" s="57" t="str">
        <f ca="1">IFERROR(__xludf.DUMMYFUNCTION("""COMPUTED_VALUE"""),"")</f>
        <v/>
      </c>
    </row>
    <row r="4505" spans="1:5">
      <c r="A4505" s="12"/>
      <c r="E4505" s="57" t="str">
        <f ca="1">IFERROR(__xludf.DUMMYFUNCTION("""COMPUTED_VALUE"""),"")</f>
        <v/>
      </c>
    </row>
    <row r="4506" spans="1:5">
      <c r="A4506" s="12"/>
      <c r="E4506" s="57" t="str">
        <f ca="1">IFERROR(__xludf.DUMMYFUNCTION("""COMPUTED_VALUE"""),"")</f>
        <v/>
      </c>
    </row>
    <row r="4507" spans="1:5">
      <c r="A4507" s="12"/>
      <c r="E4507" s="57" t="str">
        <f ca="1">IFERROR(__xludf.DUMMYFUNCTION("""COMPUTED_VALUE"""),"")</f>
        <v/>
      </c>
    </row>
    <row r="4508" spans="1:5">
      <c r="A4508" s="12"/>
      <c r="E4508" s="57" t="str">
        <f ca="1">IFERROR(__xludf.DUMMYFUNCTION("""COMPUTED_VALUE"""),"")</f>
        <v/>
      </c>
    </row>
    <row r="4509" spans="1:5">
      <c r="A4509" s="12"/>
      <c r="E4509" s="57" t="str">
        <f ca="1">IFERROR(__xludf.DUMMYFUNCTION("""COMPUTED_VALUE"""),"")</f>
        <v/>
      </c>
    </row>
    <row r="4510" spans="1:5">
      <c r="A4510" s="12"/>
      <c r="E4510" s="57" t="str">
        <f ca="1">IFERROR(__xludf.DUMMYFUNCTION("""COMPUTED_VALUE"""),"")</f>
        <v/>
      </c>
    </row>
    <row r="4511" spans="1:5">
      <c r="A4511" s="12"/>
      <c r="E4511" s="57" t="str">
        <f ca="1">IFERROR(__xludf.DUMMYFUNCTION("""COMPUTED_VALUE"""),"")</f>
        <v/>
      </c>
    </row>
    <row r="4512" spans="1:5">
      <c r="A4512" s="12"/>
      <c r="E4512" s="57" t="str">
        <f ca="1">IFERROR(__xludf.DUMMYFUNCTION("""COMPUTED_VALUE"""),"")</f>
        <v/>
      </c>
    </row>
    <row r="4513" spans="1:5">
      <c r="A4513" s="12"/>
      <c r="E4513" s="57" t="str">
        <f ca="1">IFERROR(__xludf.DUMMYFUNCTION("""COMPUTED_VALUE"""),"")</f>
        <v/>
      </c>
    </row>
    <row r="4514" spans="1:5">
      <c r="A4514" s="12"/>
      <c r="E4514" s="57" t="str">
        <f ca="1">IFERROR(__xludf.DUMMYFUNCTION("""COMPUTED_VALUE"""),"")</f>
        <v/>
      </c>
    </row>
    <row r="4515" spans="1:5">
      <c r="A4515" s="12"/>
      <c r="E4515" s="57" t="str">
        <f ca="1">IFERROR(__xludf.DUMMYFUNCTION("""COMPUTED_VALUE"""),"")</f>
        <v/>
      </c>
    </row>
    <row r="4516" spans="1:5">
      <c r="A4516" s="12"/>
      <c r="E4516" s="57" t="str">
        <f ca="1">IFERROR(__xludf.DUMMYFUNCTION("""COMPUTED_VALUE"""),"")</f>
        <v/>
      </c>
    </row>
    <row r="4517" spans="1:5">
      <c r="A4517" s="12"/>
      <c r="E4517" s="57" t="str">
        <f ca="1">IFERROR(__xludf.DUMMYFUNCTION("""COMPUTED_VALUE"""),"")</f>
        <v/>
      </c>
    </row>
    <row r="4518" spans="1:5">
      <c r="A4518" s="12"/>
      <c r="E4518" s="57" t="str">
        <f ca="1">IFERROR(__xludf.DUMMYFUNCTION("""COMPUTED_VALUE"""),"")</f>
        <v/>
      </c>
    </row>
    <row r="4519" spans="1:5">
      <c r="A4519" s="12"/>
      <c r="E4519" s="57" t="str">
        <f ca="1">IFERROR(__xludf.DUMMYFUNCTION("""COMPUTED_VALUE"""),"")</f>
        <v/>
      </c>
    </row>
    <row r="4520" spans="1:5">
      <c r="A4520" s="12"/>
      <c r="E4520" s="57" t="str">
        <f ca="1">IFERROR(__xludf.DUMMYFUNCTION("""COMPUTED_VALUE"""),"")</f>
        <v/>
      </c>
    </row>
    <row r="4521" spans="1:5">
      <c r="A4521" s="12"/>
      <c r="E4521" s="57" t="str">
        <f ca="1">IFERROR(__xludf.DUMMYFUNCTION("""COMPUTED_VALUE"""),"")</f>
        <v/>
      </c>
    </row>
    <row r="4522" spans="1:5">
      <c r="A4522" s="12"/>
      <c r="E4522" s="57" t="str">
        <f ca="1">IFERROR(__xludf.DUMMYFUNCTION("""COMPUTED_VALUE"""),"")</f>
        <v/>
      </c>
    </row>
    <row r="4523" spans="1:5">
      <c r="A4523" s="12"/>
      <c r="E4523" s="57" t="str">
        <f ca="1">IFERROR(__xludf.DUMMYFUNCTION("""COMPUTED_VALUE"""),"")</f>
        <v/>
      </c>
    </row>
    <row r="4524" spans="1:5">
      <c r="A4524" s="12"/>
      <c r="E4524" s="57" t="str">
        <f ca="1">IFERROR(__xludf.DUMMYFUNCTION("""COMPUTED_VALUE"""),"")</f>
        <v/>
      </c>
    </row>
    <row r="4525" spans="1:5">
      <c r="A4525" s="12"/>
      <c r="E4525" s="57" t="str">
        <f ca="1">IFERROR(__xludf.DUMMYFUNCTION("""COMPUTED_VALUE"""),"")</f>
        <v/>
      </c>
    </row>
    <row r="4526" spans="1:5">
      <c r="A4526" s="12"/>
      <c r="E4526" s="57" t="str">
        <f ca="1">IFERROR(__xludf.DUMMYFUNCTION("""COMPUTED_VALUE"""),"")</f>
        <v/>
      </c>
    </row>
    <row r="4527" spans="1:5">
      <c r="A4527" s="12"/>
      <c r="E4527" s="57" t="str">
        <f ca="1">IFERROR(__xludf.DUMMYFUNCTION("""COMPUTED_VALUE"""),"")</f>
        <v/>
      </c>
    </row>
    <row r="4528" spans="1:5">
      <c r="A4528" s="12"/>
      <c r="E4528" s="57" t="str">
        <f ca="1">IFERROR(__xludf.DUMMYFUNCTION("""COMPUTED_VALUE"""),"")</f>
        <v/>
      </c>
    </row>
    <row r="4529" spans="1:5">
      <c r="A4529" s="12"/>
      <c r="E4529" s="57" t="str">
        <f ca="1">IFERROR(__xludf.DUMMYFUNCTION("""COMPUTED_VALUE"""),"")</f>
        <v/>
      </c>
    </row>
    <row r="4530" spans="1:5">
      <c r="A4530" s="12"/>
      <c r="E4530" s="57" t="str">
        <f ca="1">IFERROR(__xludf.DUMMYFUNCTION("""COMPUTED_VALUE"""),"")</f>
        <v/>
      </c>
    </row>
    <row r="4531" spans="1:5">
      <c r="A4531" s="12"/>
      <c r="E4531" s="57" t="str">
        <f ca="1">IFERROR(__xludf.DUMMYFUNCTION("""COMPUTED_VALUE"""),"")</f>
        <v/>
      </c>
    </row>
    <row r="4532" spans="1:5">
      <c r="A4532" s="12"/>
      <c r="E4532" s="57" t="str">
        <f ca="1">IFERROR(__xludf.DUMMYFUNCTION("""COMPUTED_VALUE"""),"")</f>
        <v/>
      </c>
    </row>
    <row r="4533" spans="1:5">
      <c r="A4533" s="12"/>
      <c r="E4533" s="57" t="str">
        <f ca="1">IFERROR(__xludf.DUMMYFUNCTION("""COMPUTED_VALUE"""),"")</f>
        <v/>
      </c>
    </row>
    <row r="4534" spans="1:5">
      <c r="A4534" s="12"/>
      <c r="E4534" s="57" t="str">
        <f ca="1">IFERROR(__xludf.DUMMYFUNCTION("""COMPUTED_VALUE"""),"")</f>
        <v/>
      </c>
    </row>
    <row r="4535" spans="1:5">
      <c r="A4535" s="12"/>
      <c r="E4535" s="57" t="str">
        <f ca="1">IFERROR(__xludf.DUMMYFUNCTION("""COMPUTED_VALUE"""),"")</f>
        <v/>
      </c>
    </row>
    <row r="4536" spans="1:5">
      <c r="A4536" s="12"/>
      <c r="E4536" s="57" t="str">
        <f ca="1">IFERROR(__xludf.DUMMYFUNCTION("""COMPUTED_VALUE"""),"")</f>
        <v/>
      </c>
    </row>
    <row r="4537" spans="1:5">
      <c r="A4537" s="12"/>
      <c r="E4537" s="57" t="str">
        <f ca="1">IFERROR(__xludf.DUMMYFUNCTION("""COMPUTED_VALUE"""),"")</f>
        <v/>
      </c>
    </row>
    <row r="4538" spans="1:5">
      <c r="A4538" s="12"/>
      <c r="E4538" s="57" t="str">
        <f ca="1">IFERROR(__xludf.DUMMYFUNCTION("""COMPUTED_VALUE"""),"")</f>
        <v/>
      </c>
    </row>
    <row r="4539" spans="1:5">
      <c r="A4539" s="12"/>
      <c r="E4539" s="57" t="str">
        <f ca="1">IFERROR(__xludf.DUMMYFUNCTION("""COMPUTED_VALUE"""),"")</f>
        <v/>
      </c>
    </row>
    <row r="4540" spans="1:5">
      <c r="A4540" s="12"/>
      <c r="E4540" s="57" t="str">
        <f ca="1">IFERROR(__xludf.DUMMYFUNCTION("""COMPUTED_VALUE"""),"")</f>
        <v/>
      </c>
    </row>
    <row r="4541" spans="1:5">
      <c r="A4541" s="12"/>
      <c r="E4541" s="57" t="str">
        <f ca="1">IFERROR(__xludf.DUMMYFUNCTION("""COMPUTED_VALUE"""),"")</f>
        <v/>
      </c>
    </row>
    <row r="4542" spans="1:5">
      <c r="A4542" s="12"/>
      <c r="E4542" s="57" t="str">
        <f ca="1">IFERROR(__xludf.DUMMYFUNCTION("""COMPUTED_VALUE"""),"")</f>
        <v/>
      </c>
    </row>
    <row r="4543" spans="1:5">
      <c r="A4543" s="12"/>
      <c r="E4543" s="57" t="str">
        <f ca="1">IFERROR(__xludf.DUMMYFUNCTION("""COMPUTED_VALUE"""),"")</f>
        <v/>
      </c>
    </row>
    <row r="4544" spans="1:5">
      <c r="A4544" s="12"/>
      <c r="E4544" s="57" t="str">
        <f ca="1">IFERROR(__xludf.DUMMYFUNCTION("""COMPUTED_VALUE"""),"")</f>
        <v/>
      </c>
    </row>
    <row r="4545" spans="1:5">
      <c r="A4545" s="12"/>
      <c r="E4545" s="57" t="str">
        <f ca="1">IFERROR(__xludf.DUMMYFUNCTION("""COMPUTED_VALUE"""),"")</f>
        <v/>
      </c>
    </row>
    <row r="4546" spans="1:5">
      <c r="A4546" s="12"/>
      <c r="E4546" s="57" t="str">
        <f ca="1">IFERROR(__xludf.DUMMYFUNCTION("""COMPUTED_VALUE"""),"")</f>
        <v/>
      </c>
    </row>
    <row r="4547" spans="1:5">
      <c r="A4547" s="12"/>
      <c r="E4547" s="57" t="str">
        <f ca="1">IFERROR(__xludf.DUMMYFUNCTION("""COMPUTED_VALUE"""),"")</f>
        <v/>
      </c>
    </row>
    <row r="4548" spans="1:5">
      <c r="A4548" s="12"/>
      <c r="E4548" s="57" t="str">
        <f ca="1">IFERROR(__xludf.DUMMYFUNCTION("""COMPUTED_VALUE"""),"")</f>
        <v/>
      </c>
    </row>
    <row r="4549" spans="1:5">
      <c r="A4549" s="12"/>
      <c r="E4549" s="57" t="str">
        <f ca="1">IFERROR(__xludf.DUMMYFUNCTION("""COMPUTED_VALUE"""),"")</f>
        <v/>
      </c>
    </row>
    <row r="4550" spans="1:5">
      <c r="A4550" s="12"/>
      <c r="E4550" s="57" t="str">
        <f ca="1">IFERROR(__xludf.DUMMYFUNCTION("""COMPUTED_VALUE"""),"")</f>
        <v/>
      </c>
    </row>
    <row r="4551" spans="1:5">
      <c r="A4551" s="12"/>
      <c r="E4551" s="57" t="str">
        <f ca="1">IFERROR(__xludf.DUMMYFUNCTION("""COMPUTED_VALUE"""),"")</f>
        <v/>
      </c>
    </row>
    <row r="4552" spans="1:5">
      <c r="A4552" s="12"/>
      <c r="E4552" s="57" t="str">
        <f ca="1">IFERROR(__xludf.DUMMYFUNCTION("""COMPUTED_VALUE"""),"")</f>
        <v/>
      </c>
    </row>
    <row r="4553" spans="1:5">
      <c r="A4553" s="12"/>
      <c r="E4553" s="57" t="str">
        <f ca="1">IFERROR(__xludf.DUMMYFUNCTION("""COMPUTED_VALUE"""),"")</f>
        <v/>
      </c>
    </row>
    <row r="4554" spans="1:5">
      <c r="A4554" s="12"/>
      <c r="E4554" s="57" t="str">
        <f ca="1">IFERROR(__xludf.DUMMYFUNCTION("""COMPUTED_VALUE"""),"")</f>
        <v/>
      </c>
    </row>
    <row r="4555" spans="1:5">
      <c r="A4555" s="12"/>
      <c r="E4555" s="57" t="str">
        <f ca="1">IFERROR(__xludf.DUMMYFUNCTION("""COMPUTED_VALUE"""),"")</f>
        <v/>
      </c>
    </row>
    <row r="4556" spans="1:5">
      <c r="A4556" s="12"/>
      <c r="E4556" s="57" t="str">
        <f ca="1">IFERROR(__xludf.DUMMYFUNCTION("""COMPUTED_VALUE"""),"")</f>
        <v/>
      </c>
    </row>
    <row r="4557" spans="1:5">
      <c r="A4557" s="12"/>
      <c r="E4557" s="57" t="str">
        <f ca="1">IFERROR(__xludf.DUMMYFUNCTION("""COMPUTED_VALUE"""),"")</f>
        <v/>
      </c>
    </row>
    <row r="4558" spans="1:5">
      <c r="A4558" s="12"/>
      <c r="E4558" s="57" t="str">
        <f ca="1">IFERROR(__xludf.DUMMYFUNCTION("""COMPUTED_VALUE"""),"")</f>
        <v/>
      </c>
    </row>
    <row r="4559" spans="1:5">
      <c r="A4559" s="12"/>
      <c r="E4559" s="57" t="str">
        <f ca="1">IFERROR(__xludf.DUMMYFUNCTION("""COMPUTED_VALUE"""),"")</f>
        <v/>
      </c>
    </row>
    <row r="4560" spans="1:5">
      <c r="A4560" s="12"/>
      <c r="E4560" s="57" t="str">
        <f ca="1">IFERROR(__xludf.DUMMYFUNCTION("""COMPUTED_VALUE"""),"")</f>
        <v/>
      </c>
    </row>
    <row r="4561" spans="1:5">
      <c r="A4561" s="12"/>
      <c r="E4561" s="57" t="str">
        <f ca="1">IFERROR(__xludf.DUMMYFUNCTION("""COMPUTED_VALUE"""),"")</f>
        <v/>
      </c>
    </row>
    <row r="4562" spans="1:5">
      <c r="A4562" s="12"/>
      <c r="E4562" s="57" t="str">
        <f ca="1">IFERROR(__xludf.DUMMYFUNCTION("""COMPUTED_VALUE"""),"")</f>
        <v/>
      </c>
    </row>
    <row r="4563" spans="1:5">
      <c r="A4563" s="12"/>
      <c r="E4563" s="57" t="str">
        <f ca="1">IFERROR(__xludf.DUMMYFUNCTION("""COMPUTED_VALUE"""),"")</f>
        <v/>
      </c>
    </row>
    <row r="4564" spans="1:5">
      <c r="A4564" s="12"/>
      <c r="E4564" s="57" t="str">
        <f ca="1">IFERROR(__xludf.DUMMYFUNCTION("""COMPUTED_VALUE"""),"")</f>
        <v/>
      </c>
    </row>
    <row r="4565" spans="1:5">
      <c r="A4565" s="12"/>
      <c r="E4565" s="57" t="str">
        <f ca="1">IFERROR(__xludf.DUMMYFUNCTION("""COMPUTED_VALUE"""),"")</f>
        <v/>
      </c>
    </row>
    <row r="4566" spans="1:5">
      <c r="A4566" s="12"/>
      <c r="E4566" s="57" t="str">
        <f ca="1">IFERROR(__xludf.DUMMYFUNCTION("""COMPUTED_VALUE"""),"")</f>
        <v/>
      </c>
    </row>
    <row r="4567" spans="1:5">
      <c r="A4567" s="12"/>
      <c r="E4567" s="57" t="str">
        <f ca="1">IFERROR(__xludf.DUMMYFUNCTION("""COMPUTED_VALUE"""),"")</f>
        <v/>
      </c>
    </row>
    <row r="4568" spans="1:5">
      <c r="A4568" s="12"/>
      <c r="E4568" s="57" t="str">
        <f ca="1">IFERROR(__xludf.DUMMYFUNCTION("""COMPUTED_VALUE"""),"")</f>
        <v/>
      </c>
    </row>
    <row r="4569" spans="1:5">
      <c r="A4569" s="12"/>
      <c r="E4569" s="57" t="str">
        <f ca="1">IFERROR(__xludf.DUMMYFUNCTION("""COMPUTED_VALUE"""),"")</f>
        <v/>
      </c>
    </row>
    <row r="4570" spans="1:5">
      <c r="A4570" s="12"/>
      <c r="E4570" s="57" t="str">
        <f ca="1">IFERROR(__xludf.DUMMYFUNCTION("""COMPUTED_VALUE"""),"")</f>
        <v/>
      </c>
    </row>
    <row r="4571" spans="1:5">
      <c r="A4571" s="12"/>
      <c r="E4571" s="57" t="str">
        <f ca="1">IFERROR(__xludf.DUMMYFUNCTION("""COMPUTED_VALUE"""),"")</f>
        <v/>
      </c>
    </row>
    <row r="4572" spans="1:5">
      <c r="A4572" s="12"/>
      <c r="E4572" s="57" t="str">
        <f ca="1">IFERROR(__xludf.DUMMYFUNCTION("""COMPUTED_VALUE"""),"")</f>
        <v/>
      </c>
    </row>
    <row r="4573" spans="1:5">
      <c r="A4573" s="12"/>
      <c r="E4573" s="57" t="str">
        <f ca="1">IFERROR(__xludf.DUMMYFUNCTION("""COMPUTED_VALUE"""),"")</f>
        <v/>
      </c>
    </row>
    <row r="4574" spans="1:5">
      <c r="A4574" s="12"/>
      <c r="E4574" s="57" t="str">
        <f ca="1">IFERROR(__xludf.DUMMYFUNCTION("""COMPUTED_VALUE"""),"")</f>
        <v/>
      </c>
    </row>
    <row r="4575" spans="1:5">
      <c r="A4575" s="12"/>
      <c r="E4575" s="57" t="str">
        <f ca="1">IFERROR(__xludf.DUMMYFUNCTION("""COMPUTED_VALUE"""),"")</f>
        <v/>
      </c>
    </row>
    <row r="4576" spans="1:5">
      <c r="A4576" s="12"/>
      <c r="E4576" s="57" t="str">
        <f ca="1">IFERROR(__xludf.DUMMYFUNCTION("""COMPUTED_VALUE"""),"")</f>
        <v/>
      </c>
    </row>
    <row r="4577" spans="1:5">
      <c r="A4577" s="12"/>
      <c r="E4577" s="57" t="str">
        <f ca="1">IFERROR(__xludf.DUMMYFUNCTION("""COMPUTED_VALUE"""),"")</f>
        <v/>
      </c>
    </row>
    <row r="4578" spans="1:5">
      <c r="A4578" s="12"/>
      <c r="E4578" s="57" t="str">
        <f ca="1">IFERROR(__xludf.DUMMYFUNCTION("""COMPUTED_VALUE"""),"")</f>
        <v/>
      </c>
    </row>
    <row r="4579" spans="1:5">
      <c r="A4579" s="12"/>
      <c r="E4579" s="57" t="str">
        <f ca="1">IFERROR(__xludf.DUMMYFUNCTION("""COMPUTED_VALUE"""),"")</f>
        <v/>
      </c>
    </row>
    <row r="4580" spans="1:5">
      <c r="A4580" s="12"/>
      <c r="E4580" s="57" t="str">
        <f ca="1">IFERROR(__xludf.DUMMYFUNCTION("""COMPUTED_VALUE"""),"")</f>
        <v/>
      </c>
    </row>
    <row r="4581" spans="1:5">
      <c r="A4581" s="12"/>
      <c r="E4581" s="57" t="str">
        <f ca="1">IFERROR(__xludf.DUMMYFUNCTION("""COMPUTED_VALUE"""),"")</f>
        <v/>
      </c>
    </row>
    <row r="4582" spans="1:5">
      <c r="A4582" s="12"/>
      <c r="E4582" s="57" t="str">
        <f ca="1">IFERROR(__xludf.DUMMYFUNCTION("""COMPUTED_VALUE"""),"")</f>
        <v/>
      </c>
    </row>
    <row r="4583" spans="1:5">
      <c r="A4583" s="12"/>
      <c r="E4583" s="57" t="str">
        <f ca="1">IFERROR(__xludf.DUMMYFUNCTION("""COMPUTED_VALUE"""),"")</f>
        <v/>
      </c>
    </row>
    <row r="4584" spans="1:5">
      <c r="A4584" s="12"/>
      <c r="E4584" s="57" t="str">
        <f ca="1">IFERROR(__xludf.DUMMYFUNCTION("""COMPUTED_VALUE"""),"")</f>
        <v/>
      </c>
    </row>
    <row r="4585" spans="1:5">
      <c r="A4585" s="12"/>
      <c r="E4585" s="57" t="str">
        <f ca="1">IFERROR(__xludf.DUMMYFUNCTION("""COMPUTED_VALUE"""),"")</f>
        <v/>
      </c>
    </row>
    <row r="4586" spans="1:5">
      <c r="A4586" s="12"/>
      <c r="E4586" s="57" t="str">
        <f ca="1">IFERROR(__xludf.DUMMYFUNCTION("""COMPUTED_VALUE"""),"")</f>
        <v/>
      </c>
    </row>
    <row r="4587" spans="1:5">
      <c r="A4587" s="12"/>
      <c r="E4587" s="57" t="str">
        <f ca="1">IFERROR(__xludf.DUMMYFUNCTION("""COMPUTED_VALUE"""),"")</f>
        <v/>
      </c>
    </row>
    <row r="4588" spans="1:5">
      <c r="A4588" s="12"/>
      <c r="E4588" s="57" t="str">
        <f ca="1">IFERROR(__xludf.DUMMYFUNCTION("""COMPUTED_VALUE"""),"")</f>
        <v/>
      </c>
    </row>
    <row r="4589" spans="1:5">
      <c r="A4589" s="12"/>
      <c r="E4589" s="57" t="str">
        <f ca="1">IFERROR(__xludf.DUMMYFUNCTION("""COMPUTED_VALUE"""),"")</f>
        <v/>
      </c>
    </row>
    <row r="4590" spans="1:5">
      <c r="A4590" s="12"/>
      <c r="E4590" s="57" t="str">
        <f ca="1">IFERROR(__xludf.DUMMYFUNCTION("""COMPUTED_VALUE"""),"")</f>
        <v/>
      </c>
    </row>
    <row r="4591" spans="1:5">
      <c r="A4591" s="12"/>
      <c r="E4591" s="57" t="str">
        <f ca="1">IFERROR(__xludf.DUMMYFUNCTION("""COMPUTED_VALUE"""),"")</f>
        <v/>
      </c>
    </row>
    <row r="4592" spans="1:5">
      <c r="A4592" s="12"/>
      <c r="E4592" s="57" t="str">
        <f ca="1">IFERROR(__xludf.DUMMYFUNCTION("""COMPUTED_VALUE"""),"")</f>
        <v/>
      </c>
    </row>
    <row r="4593" spans="1:5">
      <c r="A4593" s="12"/>
      <c r="E4593" s="57" t="str">
        <f ca="1">IFERROR(__xludf.DUMMYFUNCTION("""COMPUTED_VALUE"""),"")</f>
        <v/>
      </c>
    </row>
    <row r="4594" spans="1:5">
      <c r="A4594" s="12"/>
      <c r="E4594" s="57" t="str">
        <f ca="1">IFERROR(__xludf.DUMMYFUNCTION("""COMPUTED_VALUE"""),"")</f>
        <v/>
      </c>
    </row>
    <row r="4595" spans="1:5">
      <c r="A4595" s="12"/>
      <c r="E4595" s="57" t="str">
        <f ca="1">IFERROR(__xludf.DUMMYFUNCTION("""COMPUTED_VALUE"""),"")</f>
        <v/>
      </c>
    </row>
    <row r="4596" spans="1:5">
      <c r="A4596" s="12"/>
      <c r="E4596" s="57" t="str">
        <f ca="1">IFERROR(__xludf.DUMMYFUNCTION("""COMPUTED_VALUE"""),"")</f>
        <v/>
      </c>
    </row>
    <row r="4597" spans="1:5">
      <c r="A4597" s="12"/>
      <c r="E4597" s="57" t="str">
        <f ca="1">IFERROR(__xludf.DUMMYFUNCTION("""COMPUTED_VALUE"""),"")</f>
        <v/>
      </c>
    </row>
    <row r="4598" spans="1:5">
      <c r="A4598" s="12"/>
      <c r="E4598" s="57" t="str">
        <f ca="1">IFERROR(__xludf.DUMMYFUNCTION("""COMPUTED_VALUE"""),"")</f>
        <v/>
      </c>
    </row>
    <row r="4599" spans="1:5">
      <c r="A4599" s="12"/>
      <c r="E4599" s="57" t="str">
        <f ca="1">IFERROR(__xludf.DUMMYFUNCTION("""COMPUTED_VALUE"""),"")</f>
        <v/>
      </c>
    </row>
    <row r="4600" spans="1:5">
      <c r="A4600" s="12"/>
      <c r="E4600" s="57" t="str">
        <f ca="1">IFERROR(__xludf.DUMMYFUNCTION("""COMPUTED_VALUE"""),"")</f>
        <v/>
      </c>
    </row>
    <row r="4601" spans="1:5">
      <c r="A4601" s="12"/>
      <c r="E4601" s="57" t="str">
        <f ca="1">IFERROR(__xludf.DUMMYFUNCTION("""COMPUTED_VALUE"""),"")</f>
        <v/>
      </c>
    </row>
    <row r="4602" spans="1:5">
      <c r="A4602" s="12"/>
      <c r="E4602" s="57" t="str">
        <f ca="1">IFERROR(__xludf.DUMMYFUNCTION("""COMPUTED_VALUE"""),"")</f>
        <v/>
      </c>
    </row>
    <row r="4603" spans="1:5">
      <c r="A4603" s="12"/>
      <c r="E4603" s="57" t="str">
        <f ca="1">IFERROR(__xludf.DUMMYFUNCTION("""COMPUTED_VALUE"""),"")</f>
        <v/>
      </c>
    </row>
    <row r="4604" spans="1:5">
      <c r="A4604" s="12"/>
      <c r="E4604" s="57" t="str">
        <f ca="1">IFERROR(__xludf.DUMMYFUNCTION("""COMPUTED_VALUE"""),"")</f>
        <v/>
      </c>
    </row>
    <row r="4605" spans="1:5">
      <c r="A4605" s="12"/>
      <c r="E4605" s="57" t="str">
        <f ca="1">IFERROR(__xludf.DUMMYFUNCTION("""COMPUTED_VALUE"""),"")</f>
        <v/>
      </c>
    </row>
    <row r="4606" spans="1:5">
      <c r="A4606" s="12"/>
      <c r="E4606" s="57" t="str">
        <f ca="1">IFERROR(__xludf.DUMMYFUNCTION("""COMPUTED_VALUE"""),"")</f>
        <v/>
      </c>
    </row>
    <row r="4607" spans="1:5">
      <c r="A4607" s="12"/>
      <c r="E4607" s="57" t="str">
        <f ca="1">IFERROR(__xludf.DUMMYFUNCTION("""COMPUTED_VALUE"""),"")</f>
        <v/>
      </c>
    </row>
    <row r="4608" spans="1:5">
      <c r="A4608" s="12"/>
      <c r="E4608" s="57" t="str">
        <f ca="1">IFERROR(__xludf.DUMMYFUNCTION("""COMPUTED_VALUE"""),"")</f>
        <v/>
      </c>
    </row>
    <row r="4609" spans="1:5">
      <c r="A4609" s="12"/>
      <c r="E4609" s="57" t="str">
        <f ca="1">IFERROR(__xludf.DUMMYFUNCTION("""COMPUTED_VALUE"""),"")</f>
        <v/>
      </c>
    </row>
    <row r="4610" spans="1:5">
      <c r="A4610" s="12"/>
      <c r="E4610" s="57" t="str">
        <f ca="1">IFERROR(__xludf.DUMMYFUNCTION("""COMPUTED_VALUE"""),"")</f>
        <v/>
      </c>
    </row>
    <row r="4611" spans="1:5">
      <c r="A4611" s="12"/>
      <c r="E4611" s="57" t="str">
        <f ca="1">IFERROR(__xludf.DUMMYFUNCTION("""COMPUTED_VALUE"""),"")</f>
        <v/>
      </c>
    </row>
    <row r="4612" spans="1:5">
      <c r="A4612" s="12"/>
      <c r="E4612" s="57" t="str">
        <f ca="1">IFERROR(__xludf.DUMMYFUNCTION("""COMPUTED_VALUE"""),"")</f>
        <v/>
      </c>
    </row>
    <row r="4613" spans="1:5">
      <c r="A4613" s="12"/>
      <c r="E4613" s="57" t="str">
        <f ca="1">IFERROR(__xludf.DUMMYFUNCTION("""COMPUTED_VALUE"""),"")</f>
        <v/>
      </c>
    </row>
    <row r="4614" spans="1:5">
      <c r="A4614" s="12"/>
      <c r="E4614" s="57" t="str">
        <f ca="1">IFERROR(__xludf.DUMMYFUNCTION("""COMPUTED_VALUE"""),"")</f>
        <v/>
      </c>
    </row>
    <row r="4615" spans="1:5">
      <c r="A4615" s="12"/>
      <c r="E4615" s="57" t="str">
        <f ca="1">IFERROR(__xludf.DUMMYFUNCTION("""COMPUTED_VALUE"""),"")</f>
        <v/>
      </c>
    </row>
    <row r="4616" spans="1:5">
      <c r="A4616" s="12"/>
      <c r="E4616" s="57" t="str">
        <f ca="1">IFERROR(__xludf.DUMMYFUNCTION("""COMPUTED_VALUE"""),"")</f>
        <v/>
      </c>
    </row>
    <row r="4617" spans="1:5">
      <c r="A4617" s="12"/>
      <c r="E4617" s="57" t="str">
        <f ca="1">IFERROR(__xludf.DUMMYFUNCTION("""COMPUTED_VALUE"""),"")</f>
        <v/>
      </c>
    </row>
    <row r="4618" spans="1:5">
      <c r="A4618" s="12"/>
      <c r="E4618" s="57" t="str">
        <f ca="1">IFERROR(__xludf.DUMMYFUNCTION("""COMPUTED_VALUE"""),"")</f>
        <v/>
      </c>
    </row>
    <row r="4619" spans="1:5">
      <c r="A4619" s="12"/>
      <c r="E4619" s="57" t="str">
        <f ca="1">IFERROR(__xludf.DUMMYFUNCTION("""COMPUTED_VALUE"""),"")</f>
        <v/>
      </c>
    </row>
    <row r="4620" spans="1:5">
      <c r="A4620" s="12"/>
      <c r="E4620" s="57" t="str">
        <f ca="1">IFERROR(__xludf.DUMMYFUNCTION("""COMPUTED_VALUE"""),"")</f>
        <v/>
      </c>
    </row>
    <row r="4621" spans="1:5">
      <c r="A4621" s="12"/>
      <c r="E4621" s="57" t="str">
        <f ca="1">IFERROR(__xludf.DUMMYFUNCTION("""COMPUTED_VALUE"""),"")</f>
        <v/>
      </c>
    </row>
    <row r="4622" spans="1:5">
      <c r="A4622" s="12"/>
      <c r="E4622" s="57" t="str">
        <f ca="1">IFERROR(__xludf.DUMMYFUNCTION("""COMPUTED_VALUE"""),"")</f>
        <v/>
      </c>
    </row>
    <row r="4623" spans="1:5">
      <c r="A4623" s="12"/>
      <c r="E4623" s="57" t="str">
        <f ca="1">IFERROR(__xludf.DUMMYFUNCTION("""COMPUTED_VALUE"""),"")</f>
        <v/>
      </c>
    </row>
    <row r="4624" spans="1:5">
      <c r="A4624" s="12"/>
      <c r="E4624" s="57" t="str">
        <f ca="1">IFERROR(__xludf.DUMMYFUNCTION("""COMPUTED_VALUE"""),"")</f>
        <v/>
      </c>
    </row>
    <row r="4625" spans="1:5">
      <c r="A4625" s="12"/>
      <c r="E4625" s="57" t="str">
        <f ca="1">IFERROR(__xludf.DUMMYFUNCTION("""COMPUTED_VALUE"""),"")</f>
        <v/>
      </c>
    </row>
    <row r="4626" spans="1:5">
      <c r="A4626" s="12"/>
      <c r="E4626" s="57" t="str">
        <f ca="1">IFERROR(__xludf.DUMMYFUNCTION("""COMPUTED_VALUE"""),"")</f>
        <v/>
      </c>
    </row>
    <row r="4627" spans="1:5">
      <c r="A4627" s="12"/>
      <c r="E4627" s="57" t="str">
        <f ca="1">IFERROR(__xludf.DUMMYFUNCTION("""COMPUTED_VALUE"""),"")</f>
        <v/>
      </c>
    </row>
    <row r="4628" spans="1:5">
      <c r="A4628" s="12"/>
      <c r="E4628" s="57" t="str">
        <f ca="1">IFERROR(__xludf.DUMMYFUNCTION("""COMPUTED_VALUE"""),"")</f>
        <v/>
      </c>
    </row>
    <row r="4629" spans="1:5">
      <c r="A4629" s="12"/>
      <c r="E4629" s="57" t="str">
        <f ca="1">IFERROR(__xludf.DUMMYFUNCTION("""COMPUTED_VALUE"""),"")</f>
        <v/>
      </c>
    </row>
    <row r="4630" spans="1:5">
      <c r="A4630" s="12"/>
      <c r="E4630" s="57" t="str">
        <f ca="1">IFERROR(__xludf.DUMMYFUNCTION("""COMPUTED_VALUE"""),"")</f>
        <v/>
      </c>
    </row>
    <row r="4631" spans="1:5">
      <c r="A4631" s="12"/>
      <c r="E4631" s="57" t="str">
        <f ca="1">IFERROR(__xludf.DUMMYFUNCTION("""COMPUTED_VALUE"""),"")</f>
        <v/>
      </c>
    </row>
    <row r="4632" spans="1:5">
      <c r="A4632" s="12"/>
      <c r="E4632" s="57" t="str">
        <f ca="1">IFERROR(__xludf.DUMMYFUNCTION("""COMPUTED_VALUE"""),"")</f>
        <v/>
      </c>
    </row>
    <row r="4633" spans="1:5">
      <c r="A4633" s="12"/>
      <c r="E4633" s="57" t="str">
        <f ca="1">IFERROR(__xludf.DUMMYFUNCTION("""COMPUTED_VALUE"""),"")</f>
        <v/>
      </c>
    </row>
    <row r="4634" spans="1:5">
      <c r="A4634" s="12"/>
      <c r="E4634" s="57" t="str">
        <f ca="1">IFERROR(__xludf.DUMMYFUNCTION("""COMPUTED_VALUE"""),"")</f>
        <v/>
      </c>
    </row>
    <row r="4635" spans="1:5">
      <c r="A4635" s="12"/>
      <c r="E4635" s="57" t="str">
        <f ca="1">IFERROR(__xludf.DUMMYFUNCTION("""COMPUTED_VALUE"""),"")</f>
        <v/>
      </c>
    </row>
    <row r="4636" spans="1:5">
      <c r="A4636" s="12"/>
      <c r="E4636" s="57" t="str">
        <f ca="1">IFERROR(__xludf.DUMMYFUNCTION("""COMPUTED_VALUE"""),"")</f>
        <v/>
      </c>
    </row>
    <row r="4637" spans="1:5">
      <c r="A4637" s="12"/>
      <c r="E4637" s="57" t="str">
        <f ca="1">IFERROR(__xludf.DUMMYFUNCTION("""COMPUTED_VALUE"""),"")</f>
        <v/>
      </c>
    </row>
    <row r="4638" spans="1:5">
      <c r="A4638" s="12"/>
      <c r="E4638" s="57" t="str">
        <f ca="1">IFERROR(__xludf.DUMMYFUNCTION("""COMPUTED_VALUE"""),"")</f>
        <v/>
      </c>
    </row>
    <row r="4639" spans="1:5">
      <c r="A4639" s="12"/>
      <c r="E4639" s="57" t="str">
        <f ca="1">IFERROR(__xludf.DUMMYFUNCTION("""COMPUTED_VALUE"""),"")</f>
        <v/>
      </c>
    </row>
    <row r="4640" spans="1:5">
      <c r="A4640" s="12"/>
      <c r="E4640" s="57" t="str">
        <f ca="1">IFERROR(__xludf.DUMMYFUNCTION("""COMPUTED_VALUE"""),"")</f>
        <v/>
      </c>
    </row>
    <row r="4641" spans="1:5">
      <c r="A4641" s="12"/>
      <c r="E4641" s="57" t="str">
        <f ca="1">IFERROR(__xludf.DUMMYFUNCTION("""COMPUTED_VALUE"""),"")</f>
        <v/>
      </c>
    </row>
    <row r="4642" spans="1:5">
      <c r="A4642" s="12"/>
      <c r="E4642" s="57" t="str">
        <f ca="1">IFERROR(__xludf.DUMMYFUNCTION("""COMPUTED_VALUE"""),"")</f>
        <v/>
      </c>
    </row>
    <row r="4643" spans="1:5">
      <c r="A4643" s="12"/>
      <c r="E4643" s="57" t="str">
        <f ca="1">IFERROR(__xludf.DUMMYFUNCTION("""COMPUTED_VALUE"""),"")</f>
        <v/>
      </c>
    </row>
    <row r="4644" spans="1:5">
      <c r="A4644" s="12"/>
      <c r="E4644" s="57" t="str">
        <f ca="1">IFERROR(__xludf.DUMMYFUNCTION("""COMPUTED_VALUE"""),"")</f>
        <v/>
      </c>
    </row>
    <row r="4645" spans="1:5">
      <c r="A4645" s="12"/>
      <c r="E4645" s="57" t="str">
        <f ca="1">IFERROR(__xludf.DUMMYFUNCTION("""COMPUTED_VALUE"""),"")</f>
        <v/>
      </c>
    </row>
    <row r="4646" spans="1:5">
      <c r="A4646" s="12"/>
      <c r="E4646" s="57" t="str">
        <f ca="1">IFERROR(__xludf.DUMMYFUNCTION("""COMPUTED_VALUE"""),"")</f>
        <v/>
      </c>
    </row>
    <row r="4647" spans="1:5">
      <c r="A4647" s="12"/>
      <c r="E4647" s="57" t="str">
        <f ca="1">IFERROR(__xludf.DUMMYFUNCTION("""COMPUTED_VALUE"""),"")</f>
        <v/>
      </c>
    </row>
    <row r="4648" spans="1:5">
      <c r="A4648" s="12"/>
      <c r="E4648" s="57" t="str">
        <f ca="1">IFERROR(__xludf.DUMMYFUNCTION("""COMPUTED_VALUE"""),"")</f>
        <v/>
      </c>
    </row>
    <row r="4649" spans="1:5">
      <c r="A4649" s="12"/>
      <c r="E4649" s="57" t="str">
        <f ca="1">IFERROR(__xludf.DUMMYFUNCTION("""COMPUTED_VALUE"""),"")</f>
        <v/>
      </c>
    </row>
    <row r="4650" spans="1:5">
      <c r="A4650" s="12"/>
      <c r="E4650" s="57" t="str">
        <f ca="1">IFERROR(__xludf.DUMMYFUNCTION("""COMPUTED_VALUE"""),"")</f>
        <v/>
      </c>
    </row>
    <row r="4651" spans="1:5">
      <c r="A4651" s="12"/>
      <c r="E4651" s="57" t="str">
        <f ca="1">IFERROR(__xludf.DUMMYFUNCTION("""COMPUTED_VALUE"""),"")</f>
        <v/>
      </c>
    </row>
    <row r="4652" spans="1:5">
      <c r="A4652" s="12"/>
      <c r="E4652" s="57" t="str">
        <f ca="1">IFERROR(__xludf.DUMMYFUNCTION("""COMPUTED_VALUE"""),"")</f>
        <v/>
      </c>
    </row>
    <row r="4653" spans="1:5">
      <c r="A4653" s="12"/>
      <c r="E4653" s="57" t="str">
        <f ca="1">IFERROR(__xludf.DUMMYFUNCTION("""COMPUTED_VALUE"""),"")</f>
        <v/>
      </c>
    </row>
    <row r="4654" spans="1:5">
      <c r="A4654" s="12"/>
      <c r="E4654" s="57" t="str">
        <f ca="1">IFERROR(__xludf.DUMMYFUNCTION("""COMPUTED_VALUE"""),"")</f>
        <v/>
      </c>
    </row>
    <row r="4655" spans="1:5">
      <c r="A4655" s="12"/>
      <c r="E4655" s="57" t="str">
        <f ca="1">IFERROR(__xludf.DUMMYFUNCTION("""COMPUTED_VALUE"""),"")</f>
        <v/>
      </c>
    </row>
    <row r="4656" spans="1:5">
      <c r="A4656" s="12"/>
      <c r="E4656" s="57" t="str">
        <f ca="1">IFERROR(__xludf.DUMMYFUNCTION("""COMPUTED_VALUE"""),"")</f>
        <v/>
      </c>
    </row>
    <row r="4657" spans="1:5">
      <c r="A4657" s="12"/>
      <c r="E4657" s="57" t="str">
        <f ca="1">IFERROR(__xludf.DUMMYFUNCTION("""COMPUTED_VALUE"""),"")</f>
        <v/>
      </c>
    </row>
    <row r="4658" spans="1:5">
      <c r="A4658" s="12"/>
      <c r="E4658" s="57" t="str">
        <f ca="1">IFERROR(__xludf.DUMMYFUNCTION("""COMPUTED_VALUE"""),"")</f>
        <v/>
      </c>
    </row>
    <row r="4659" spans="1:5">
      <c r="A4659" s="12"/>
      <c r="E4659" s="57" t="str">
        <f ca="1">IFERROR(__xludf.DUMMYFUNCTION("""COMPUTED_VALUE"""),"")</f>
        <v/>
      </c>
    </row>
    <row r="4660" spans="1:5">
      <c r="A4660" s="12"/>
      <c r="E4660" s="57" t="str">
        <f ca="1">IFERROR(__xludf.DUMMYFUNCTION("""COMPUTED_VALUE"""),"")</f>
        <v/>
      </c>
    </row>
    <row r="4661" spans="1:5">
      <c r="A4661" s="12"/>
      <c r="E4661" s="57" t="str">
        <f ca="1">IFERROR(__xludf.DUMMYFUNCTION("""COMPUTED_VALUE"""),"")</f>
        <v/>
      </c>
    </row>
    <row r="4662" spans="1:5">
      <c r="A4662" s="12"/>
      <c r="E4662" s="57" t="str">
        <f ca="1">IFERROR(__xludf.DUMMYFUNCTION("""COMPUTED_VALUE"""),"")</f>
        <v/>
      </c>
    </row>
    <row r="4663" spans="1:5">
      <c r="A4663" s="12"/>
      <c r="E4663" s="57" t="str">
        <f ca="1">IFERROR(__xludf.DUMMYFUNCTION("""COMPUTED_VALUE"""),"")</f>
        <v/>
      </c>
    </row>
    <row r="4664" spans="1:5">
      <c r="A4664" s="12"/>
      <c r="E4664" s="57" t="str">
        <f ca="1">IFERROR(__xludf.DUMMYFUNCTION("""COMPUTED_VALUE"""),"")</f>
        <v/>
      </c>
    </row>
    <row r="4665" spans="1:5">
      <c r="A4665" s="12"/>
      <c r="E4665" s="57" t="str">
        <f ca="1">IFERROR(__xludf.DUMMYFUNCTION("""COMPUTED_VALUE"""),"")</f>
        <v/>
      </c>
    </row>
    <row r="4666" spans="1:5">
      <c r="A4666" s="12"/>
      <c r="E4666" s="57" t="str">
        <f ca="1">IFERROR(__xludf.DUMMYFUNCTION("""COMPUTED_VALUE"""),"")</f>
        <v/>
      </c>
    </row>
    <row r="4667" spans="1:5">
      <c r="A4667" s="12"/>
      <c r="E4667" s="57" t="str">
        <f ca="1">IFERROR(__xludf.DUMMYFUNCTION("""COMPUTED_VALUE"""),"")</f>
        <v/>
      </c>
    </row>
    <row r="4668" spans="1:5">
      <c r="A4668" s="12"/>
      <c r="E4668" s="57" t="str">
        <f ca="1">IFERROR(__xludf.DUMMYFUNCTION("""COMPUTED_VALUE"""),"")</f>
        <v/>
      </c>
    </row>
    <row r="4669" spans="1:5">
      <c r="A4669" s="12"/>
      <c r="E4669" s="57" t="str">
        <f ca="1">IFERROR(__xludf.DUMMYFUNCTION("""COMPUTED_VALUE"""),"")</f>
        <v/>
      </c>
    </row>
    <row r="4670" spans="1:5">
      <c r="A4670" s="12"/>
      <c r="E4670" s="57" t="str">
        <f ca="1">IFERROR(__xludf.DUMMYFUNCTION("""COMPUTED_VALUE"""),"")</f>
        <v/>
      </c>
    </row>
    <row r="4671" spans="1:5">
      <c r="A4671" s="12"/>
      <c r="E4671" s="57" t="str">
        <f ca="1">IFERROR(__xludf.DUMMYFUNCTION("""COMPUTED_VALUE"""),"")</f>
        <v/>
      </c>
    </row>
    <row r="4672" spans="1:5">
      <c r="A4672" s="12"/>
      <c r="E4672" s="57" t="str">
        <f ca="1">IFERROR(__xludf.DUMMYFUNCTION("""COMPUTED_VALUE"""),"")</f>
        <v/>
      </c>
    </row>
    <row r="4673" spans="1:5">
      <c r="A4673" s="12"/>
      <c r="E4673" s="57" t="str">
        <f ca="1">IFERROR(__xludf.DUMMYFUNCTION("""COMPUTED_VALUE"""),"")</f>
        <v/>
      </c>
    </row>
    <row r="4674" spans="1:5">
      <c r="A4674" s="12"/>
      <c r="E4674" s="57" t="str">
        <f ca="1">IFERROR(__xludf.DUMMYFUNCTION("""COMPUTED_VALUE"""),"")</f>
        <v/>
      </c>
    </row>
    <row r="4675" spans="1:5">
      <c r="A4675" s="12"/>
      <c r="E4675" s="57" t="str">
        <f ca="1">IFERROR(__xludf.DUMMYFUNCTION("""COMPUTED_VALUE"""),"")</f>
        <v/>
      </c>
    </row>
    <row r="4676" spans="1:5">
      <c r="A4676" s="12"/>
      <c r="E4676" s="57" t="str">
        <f ca="1">IFERROR(__xludf.DUMMYFUNCTION("""COMPUTED_VALUE"""),"")</f>
        <v/>
      </c>
    </row>
    <row r="4677" spans="1:5">
      <c r="A4677" s="12"/>
      <c r="E4677" s="57" t="str">
        <f ca="1">IFERROR(__xludf.DUMMYFUNCTION("""COMPUTED_VALUE"""),"")</f>
        <v/>
      </c>
    </row>
    <row r="4678" spans="1:5">
      <c r="A4678" s="12"/>
      <c r="E4678" s="57" t="str">
        <f ca="1">IFERROR(__xludf.DUMMYFUNCTION("""COMPUTED_VALUE"""),"")</f>
        <v/>
      </c>
    </row>
    <row r="4679" spans="1:5">
      <c r="A4679" s="12"/>
      <c r="E4679" s="57" t="str">
        <f ca="1">IFERROR(__xludf.DUMMYFUNCTION("""COMPUTED_VALUE"""),"")</f>
        <v/>
      </c>
    </row>
    <row r="4680" spans="1:5">
      <c r="A4680" s="12"/>
      <c r="E4680" s="57" t="str">
        <f ca="1">IFERROR(__xludf.DUMMYFUNCTION("""COMPUTED_VALUE"""),"")</f>
        <v/>
      </c>
    </row>
    <row r="4681" spans="1:5">
      <c r="A4681" s="12"/>
      <c r="E4681" s="57" t="str">
        <f ca="1">IFERROR(__xludf.DUMMYFUNCTION("""COMPUTED_VALUE"""),"")</f>
        <v/>
      </c>
    </row>
    <row r="4682" spans="1:5">
      <c r="A4682" s="12"/>
      <c r="E4682" s="57" t="str">
        <f ca="1">IFERROR(__xludf.DUMMYFUNCTION("""COMPUTED_VALUE"""),"")</f>
        <v/>
      </c>
    </row>
    <row r="4683" spans="1:5">
      <c r="A4683" s="12"/>
      <c r="E4683" s="57" t="str">
        <f ca="1">IFERROR(__xludf.DUMMYFUNCTION("""COMPUTED_VALUE"""),"")</f>
        <v/>
      </c>
    </row>
    <row r="4684" spans="1:5">
      <c r="A4684" s="12"/>
      <c r="E4684" s="57" t="str">
        <f ca="1">IFERROR(__xludf.DUMMYFUNCTION("""COMPUTED_VALUE"""),"")</f>
        <v/>
      </c>
    </row>
    <row r="4685" spans="1:5">
      <c r="A4685" s="12"/>
      <c r="E4685" s="57" t="str">
        <f ca="1">IFERROR(__xludf.DUMMYFUNCTION("""COMPUTED_VALUE"""),"")</f>
        <v/>
      </c>
    </row>
    <row r="4686" spans="1:5">
      <c r="A4686" s="12"/>
      <c r="E4686" s="57" t="str">
        <f ca="1">IFERROR(__xludf.DUMMYFUNCTION("""COMPUTED_VALUE"""),"")</f>
        <v/>
      </c>
    </row>
    <row r="4687" spans="1:5">
      <c r="A4687" s="12"/>
      <c r="E4687" s="57" t="str">
        <f ca="1">IFERROR(__xludf.DUMMYFUNCTION("""COMPUTED_VALUE"""),"")</f>
        <v/>
      </c>
    </row>
    <row r="4688" spans="1:5">
      <c r="A4688" s="12"/>
      <c r="E4688" s="57" t="str">
        <f ca="1">IFERROR(__xludf.DUMMYFUNCTION("""COMPUTED_VALUE"""),"")</f>
        <v/>
      </c>
    </row>
    <row r="4689" spans="1:5">
      <c r="A4689" s="12"/>
      <c r="E4689" s="57" t="str">
        <f ca="1">IFERROR(__xludf.DUMMYFUNCTION("""COMPUTED_VALUE"""),"")</f>
        <v/>
      </c>
    </row>
    <row r="4690" spans="1:5">
      <c r="A4690" s="12"/>
      <c r="E4690" s="57" t="str">
        <f ca="1">IFERROR(__xludf.DUMMYFUNCTION("""COMPUTED_VALUE"""),"")</f>
        <v/>
      </c>
    </row>
    <row r="4691" spans="1:5">
      <c r="A4691" s="12"/>
      <c r="E4691" s="57" t="str">
        <f ca="1">IFERROR(__xludf.DUMMYFUNCTION("""COMPUTED_VALUE"""),"")</f>
        <v/>
      </c>
    </row>
    <row r="4692" spans="1:5">
      <c r="A4692" s="12"/>
      <c r="E4692" s="57" t="str">
        <f ca="1">IFERROR(__xludf.DUMMYFUNCTION("""COMPUTED_VALUE"""),"")</f>
        <v/>
      </c>
    </row>
    <row r="4693" spans="1:5">
      <c r="A4693" s="12"/>
      <c r="E4693" s="57" t="str">
        <f ca="1">IFERROR(__xludf.DUMMYFUNCTION("""COMPUTED_VALUE"""),"")</f>
        <v/>
      </c>
    </row>
    <row r="4694" spans="1:5">
      <c r="A4694" s="12"/>
      <c r="E4694" s="57" t="str">
        <f ca="1">IFERROR(__xludf.DUMMYFUNCTION("""COMPUTED_VALUE"""),"")</f>
        <v/>
      </c>
    </row>
    <row r="4695" spans="1:5">
      <c r="A4695" s="12"/>
      <c r="E4695" s="57" t="str">
        <f ca="1">IFERROR(__xludf.DUMMYFUNCTION("""COMPUTED_VALUE"""),"")</f>
        <v/>
      </c>
    </row>
    <row r="4696" spans="1:5">
      <c r="A4696" s="12"/>
      <c r="E4696" s="57" t="str">
        <f ca="1">IFERROR(__xludf.DUMMYFUNCTION("""COMPUTED_VALUE"""),"")</f>
        <v/>
      </c>
    </row>
    <row r="4697" spans="1:5">
      <c r="A4697" s="12"/>
      <c r="E4697" s="57" t="str">
        <f ca="1">IFERROR(__xludf.DUMMYFUNCTION("""COMPUTED_VALUE"""),"")</f>
        <v/>
      </c>
    </row>
    <row r="4698" spans="1:5">
      <c r="A4698" s="12"/>
      <c r="E4698" s="57" t="str">
        <f ca="1">IFERROR(__xludf.DUMMYFUNCTION("""COMPUTED_VALUE"""),"")</f>
        <v/>
      </c>
    </row>
    <row r="4699" spans="1:5">
      <c r="A4699" s="12"/>
      <c r="E4699" s="57" t="str">
        <f ca="1">IFERROR(__xludf.DUMMYFUNCTION("""COMPUTED_VALUE"""),"")</f>
        <v/>
      </c>
    </row>
    <row r="4700" spans="1:5">
      <c r="A4700" s="12"/>
      <c r="E4700" s="57" t="str">
        <f ca="1">IFERROR(__xludf.DUMMYFUNCTION("""COMPUTED_VALUE"""),"")</f>
        <v/>
      </c>
    </row>
    <row r="4701" spans="1:5">
      <c r="A4701" s="12"/>
      <c r="E4701" s="57" t="str">
        <f ca="1">IFERROR(__xludf.DUMMYFUNCTION("""COMPUTED_VALUE"""),"")</f>
        <v/>
      </c>
    </row>
    <row r="4702" spans="1:5">
      <c r="A4702" s="12"/>
      <c r="E4702" s="57" t="str">
        <f ca="1">IFERROR(__xludf.DUMMYFUNCTION("""COMPUTED_VALUE"""),"")</f>
        <v/>
      </c>
    </row>
    <row r="4703" spans="1:5">
      <c r="A4703" s="12"/>
      <c r="E4703" s="57" t="str">
        <f ca="1">IFERROR(__xludf.DUMMYFUNCTION("""COMPUTED_VALUE"""),"")</f>
        <v/>
      </c>
    </row>
    <row r="4704" spans="1:5">
      <c r="A4704" s="12"/>
      <c r="E4704" s="57" t="str">
        <f ca="1">IFERROR(__xludf.DUMMYFUNCTION("""COMPUTED_VALUE"""),"")</f>
        <v/>
      </c>
    </row>
    <row r="4705" spans="1:5">
      <c r="A4705" s="12"/>
      <c r="E4705" s="57" t="str">
        <f ca="1">IFERROR(__xludf.DUMMYFUNCTION("""COMPUTED_VALUE"""),"")</f>
        <v/>
      </c>
    </row>
    <row r="4706" spans="1:5">
      <c r="A4706" s="12"/>
      <c r="E4706" s="57" t="str">
        <f ca="1">IFERROR(__xludf.DUMMYFUNCTION("""COMPUTED_VALUE"""),"")</f>
        <v/>
      </c>
    </row>
    <row r="4707" spans="1:5">
      <c r="A4707" s="12"/>
      <c r="E4707" s="57" t="str">
        <f ca="1">IFERROR(__xludf.DUMMYFUNCTION("""COMPUTED_VALUE"""),"")</f>
        <v/>
      </c>
    </row>
    <row r="4708" spans="1:5">
      <c r="A4708" s="12"/>
      <c r="E4708" s="57" t="str">
        <f ca="1">IFERROR(__xludf.DUMMYFUNCTION("""COMPUTED_VALUE"""),"")</f>
        <v/>
      </c>
    </row>
    <row r="4709" spans="1:5">
      <c r="A4709" s="12"/>
      <c r="E4709" s="57" t="str">
        <f ca="1">IFERROR(__xludf.DUMMYFUNCTION("""COMPUTED_VALUE"""),"")</f>
        <v/>
      </c>
    </row>
    <row r="4710" spans="1:5">
      <c r="A4710" s="12"/>
      <c r="E4710" s="57" t="str">
        <f ca="1">IFERROR(__xludf.DUMMYFUNCTION("""COMPUTED_VALUE"""),"")</f>
        <v/>
      </c>
    </row>
    <row r="4711" spans="1:5">
      <c r="A4711" s="12"/>
      <c r="E4711" s="57" t="str">
        <f ca="1">IFERROR(__xludf.DUMMYFUNCTION("""COMPUTED_VALUE"""),"")</f>
        <v/>
      </c>
    </row>
    <row r="4712" spans="1:5">
      <c r="A4712" s="12"/>
      <c r="E4712" s="57" t="str">
        <f ca="1">IFERROR(__xludf.DUMMYFUNCTION("""COMPUTED_VALUE"""),"")</f>
        <v/>
      </c>
    </row>
    <row r="4713" spans="1:5">
      <c r="A4713" s="12"/>
      <c r="E4713" s="57" t="str">
        <f ca="1">IFERROR(__xludf.DUMMYFUNCTION("""COMPUTED_VALUE"""),"")</f>
        <v/>
      </c>
    </row>
    <row r="4714" spans="1:5">
      <c r="A4714" s="12"/>
      <c r="E4714" s="57" t="str">
        <f ca="1">IFERROR(__xludf.DUMMYFUNCTION("""COMPUTED_VALUE"""),"")</f>
        <v/>
      </c>
    </row>
    <row r="4715" spans="1:5">
      <c r="A4715" s="12"/>
      <c r="E4715" s="57" t="str">
        <f ca="1">IFERROR(__xludf.DUMMYFUNCTION("""COMPUTED_VALUE"""),"")</f>
        <v/>
      </c>
    </row>
    <row r="4716" spans="1:5">
      <c r="A4716" s="12"/>
      <c r="E4716" s="57" t="str">
        <f ca="1">IFERROR(__xludf.DUMMYFUNCTION("""COMPUTED_VALUE"""),"")</f>
        <v/>
      </c>
    </row>
    <row r="4717" spans="1:5">
      <c r="A4717" s="12"/>
      <c r="E4717" s="57" t="str">
        <f ca="1">IFERROR(__xludf.DUMMYFUNCTION("""COMPUTED_VALUE"""),"")</f>
        <v/>
      </c>
    </row>
    <row r="4718" spans="1:5">
      <c r="A4718" s="12"/>
      <c r="E4718" s="57" t="str">
        <f ca="1">IFERROR(__xludf.DUMMYFUNCTION("""COMPUTED_VALUE"""),"")</f>
        <v/>
      </c>
    </row>
    <row r="4719" spans="1:5">
      <c r="A4719" s="12"/>
      <c r="E4719" s="57" t="str">
        <f ca="1">IFERROR(__xludf.DUMMYFUNCTION("""COMPUTED_VALUE"""),"")</f>
        <v/>
      </c>
    </row>
    <row r="4720" spans="1:5">
      <c r="A4720" s="12"/>
      <c r="E4720" s="57" t="str">
        <f ca="1">IFERROR(__xludf.DUMMYFUNCTION("""COMPUTED_VALUE"""),"")</f>
        <v/>
      </c>
    </row>
    <row r="4721" spans="1:5">
      <c r="A4721" s="12"/>
      <c r="E4721" s="57" t="str">
        <f ca="1">IFERROR(__xludf.DUMMYFUNCTION("""COMPUTED_VALUE"""),"")</f>
        <v/>
      </c>
    </row>
    <row r="4722" spans="1:5">
      <c r="A4722" s="12"/>
      <c r="E4722" s="57" t="str">
        <f ca="1">IFERROR(__xludf.DUMMYFUNCTION("""COMPUTED_VALUE"""),"")</f>
        <v/>
      </c>
    </row>
    <row r="4723" spans="1:5">
      <c r="A4723" s="12"/>
      <c r="E4723" s="57" t="str">
        <f ca="1">IFERROR(__xludf.DUMMYFUNCTION("""COMPUTED_VALUE"""),"")</f>
        <v/>
      </c>
    </row>
    <row r="4724" spans="1:5">
      <c r="A4724" s="12"/>
      <c r="E4724" s="57" t="str">
        <f ca="1">IFERROR(__xludf.DUMMYFUNCTION("""COMPUTED_VALUE"""),"")</f>
        <v/>
      </c>
    </row>
    <row r="4725" spans="1:5">
      <c r="A4725" s="12"/>
      <c r="E4725" s="57" t="str">
        <f ca="1">IFERROR(__xludf.DUMMYFUNCTION("""COMPUTED_VALUE"""),"")</f>
        <v/>
      </c>
    </row>
    <row r="4726" spans="1:5">
      <c r="A4726" s="12"/>
      <c r="E4726" s="57" t="str">
        <f ca="1">IFERROR(__xludf.DUMMYFUNCTION("""COMPUTED_VALUE"""),"")</f>
        <v/>
      </c>
    </row>
    <row r="4727" spans="1:5">
      <c r="A4727" s="12"/>
      <c r="E4727" s="57" t="str">
        <f ca="1">IFERROR(__xludf.DUMMYFUNCTION("""COMPUTED_VALUE"""),"")</f>
        <v/>
      </c>
    </row>
    <row r="4728" spans="1:5">
      <c r="A4728" s="12"/>
      <c r="E4728" s="57" t="str">
        <f ca="1">IFERROR(__xludf.DUMMYFUNCTION("""COMPUTED_VALUE"""),"")</f>
        <v/>
      </c>
    </row>
    <row r="4729" spans="1:5">
      <c r="A4729" s="12"/>
      <c r="E4729" s="57" t="str">
        <f ca="1">IFERROR(__xludf.DUMMYFUNCTION("""COMPUTED_VALUE"""),"")</f>
        <v/>
      </c>
    </row>
    <row r="4730" spans="1:5">
      <c r="A4730" s="12"/>
      <c r="E4730" s="57" t="str">
        <f ca="1">IFERROR(__xludf.DUMMYFUNCTION("""COMPUTED_VALUE"""),"")</f>
        <v/>
      </c>
    </row>
    <row r="4731" spans="1:5">
      <c r="A4731" s="12"/>
      <c r="E4731" s="57" t="str">
        <f ca="1">IFERROR(__xludf.DUMMYFUNCTION("""COMPUTED_VALUE"""),"")</f>
        <v/>
      </c>
    </row>
    <row r="4732" spans="1:5">
      <c r="A4732" s="12"/>
      <c r="E4732" s="57" t="str">
        <f ca="1">IFERROR(__xludf.DUMMYFUNCTION("""COMPUTED_VALUE"""),"")</f>
        <v/>
      </c>
    </row>
    <row r="4733" spans="1:5">
      <c r="A4733" s="12"/>
      <c r="E4733" s="57" t="str">
        <f ca="1">IFERROR(__xludf.DUMMYFUNCTION("""COMPUTED_VALUE"""),"")</f>
        <v/>
      </c>
    </row>
    <row r="4734" spans="1:5">
      <c r="A4734" s="12"/>
      <c r="E4734" s="57" t="str">
        <f ca="1">IFERROR(__xludf.DUMMYFUNCTION("""COMPUTED_VALUE"""),"")</f>
        <v/>
      </c>
    </row>
    <row r="4735" spans="1:5">
      <c r="A4735" s="12"/>
      <c r="E4735" s="57" t="str">
        <f ca="1">IFERROR(__xludf.DUMMYFUNCTION("""COMPUTED_VALUE"""),"")</f>
        <v/>
      </c>
    </row>
    <row r="4736" spans="1:5">
      <c r="A4736" s="12"/>
      <c r="E4736" s="57" t="str">
        <f ca="1">IFERROR(__xludf.DUMMYFUNCTION("""COMPUTED_VALUE"""),"")</f>
        <v/>
      </c>
    </row>
    <row r="4737" spans="1:5">
      <c r="A4737" s="12"/>
      <c r="E4737" s="57" t="str">
        <f ca="1">IFERROR(__xludf.DUMMYFUNCTION("""COMPUTED_VALUE"""),"")</f>
        <v/>
      </c>
    </row>
    <row r="4738" spans="1:5">
      <c r="A4738" s="12"/>
      <c r="E4738" s="57" t="str">
        <f ca="1">IFERROR(__xludf.DUMMYFUNCTION("""COMPUTED_VALUE"""),"")</f>
        <v/>
      </c>
    </row>
    <row r="4739" spans="1:5">
      <c r="A4739" s="12"/>
      <c r="E4739" s="57" t="str">
        <f ca="1">IFERROR(__xludf.DUMMYFUNCTION("""COMPUTED_VALUE"""),"")</f>
        <v/>
      </c>
    </row>
    <row r="4740" spans="1:5">
      <c r="A4740" s="12"/>
      <c r="E4740" s="57" t="str">
        <f ca="1">IFERROR(__xludf.DUMMYFUNCTION("""COMPUTED_VALUE"""),"")</f>
        <v/>
      </c>
    </row>
    <row r="4741" spans="1:5">
      <c r="A4741" s="12"/>
      <c r="E4741" s="57" t="str">
        <f ca="1">IFERROR(__xludf.DUMMYFUNCTION("""COMPUTED_VALUE"""),"")</f>
        <v/>
      </c>
    </row>
    <row r="4742" spans="1:5">
      <c r="A4742" s="12"/>
      <c r="E4742" s="57" t="str">
        <f ca="1">IFERROR(__xludf.DUMMYFUNCTION("""COMPUTED_VALUE"""),"")</f>
        <v/>
      </c>
    </row>
    <row r="4743" spans="1:5">
      <c r="A4743" s="12"/>
      <c r="E4743" s="57" t="str">
        <f ca="1">IFERROR(__xludf.DUMMYFUNCTION("""COMPUTED_VALUE"""),"")</f>
        <v/>
      </c>
    </row>
    <row r="4744" spans="1:5">
      <c r="A4744" s="12"/>
      <c r="E4744" s="57" t="str">
        <f ca="1">IFERROR(__xludf.DUMMYFUNCTION("""COMPUTED_VALUE"""),"")</f>
        <v/>
      </c>
    </row>
    <row r="4745" spans="1:5">
      <c r="A4745" s="12"/>
      <c r="E4745" s="57" t="str">
        <f ca="1">IFERROR(__xludf.DUMMYFUNCTION("""COMPUTED_VALUE"""),"")</f>
        <v/>
      </c>
    </row>
    <row r="4746" spans="1:5">
      <c r="A4746" s="12"/>
      <c r="E4746" s="57" t="str">
        <f ca="1">IFERROR(__xludf.DUMMYFUNCTION("""COMPUTED_VALUE"""),"")</f>
        <v/>
      </c>
    </row>
    <row r="4747" spans="1:5">
      <c r="A4747" s="12"/>
      <c r="E4747" s="57" t="str">
        <f ca="1">IFERROR(__xludf.DUMMYFUNCTION("""COMPUTED_VALUE"""),"")</f>
        <v/>
      </c>
    </row>
    <row r="4748" spans="1:5">
      <c r="A4748" s="12"/>
      <c r="E4748" s="57" t="str">
        <f ca="1">IFERROR(__xludf.DUMMYFUNCTION("""COMPUTED_VALUE"""),"")</f>
        <v/>
      </c>
    </row>
    <row r="4749" spans="1:5">
      <c r="A4749" s="12"/>
      <c r="E4749" s="57" t="str">
        <f ca="1">IFERROR(__xludf.DUMMYFUNCTION("""COMPUTED_VALUE"""),"")</f>
        <v/>
      </c>
    </row>
    <row r="4750" spans="1:5">
      <c r="A4750" s="12"/>
      <c r="E4750" s="57" t="str">
        <f ca="1">IFERROR(__xludf.DUMMYFUNCTION("""COMPUTED_VALUE"""),"")</f>
        <v/>
      </c>
    </row>
    <row r="4751" spans="1:5">
      <c r="A4751" s="12"/>
      <c r="E4751" s="57" t="str">
        <f ca="1">IFERROR(__xludf.DUMMYFUNCTION("""COMPUTED_VALUE"""),"")</f>
        <v/>
      </c>
    </row>
    <row r="4752" spans="1:5">
      <c r="A4752" s="12"/>
      <c r="E4752" s="57" t="str">
        <f ca="1">IFERROR(__xludf.DUMMYFUNCTION("""COMPUTED_VALUE"""),"")</f>
        <v/>
      </c>
    </row>
    <row r="4753" spans="1:5">
      <c r="A4753" s="12"/>
      <c r="E4753" s="57" t="str">
        <f ca="1">IFERROR(__xludf.DUMMYFUNCTION("""COMPUTED_VALUE"""),"")</f>
        <v/>
      </c>
    </row>
    <row r="4754" spans="1:5">
      <c r="A4754" s="12"/>
      <c r="E4754" s="57" t="str">
        <f ca="1">IFERROR(__xludf.DUMMYFUNCTION("""COMPUTED_VALUE"""),"")</f>
        <v/>
      </c>
    </row>
    <row r="4755" spans="1:5">
      <c r="A4755" s="12"/>
      <c r="E4755" s="57" t="str">
        <f ca="1">IFERROR(__xludf.DUMMYFUNCTION("""COMPUTED_VALUE"""),"")</f>
        <v/>
      </c>
    </row>
    <row r="4756" spans="1:5">
      <c r="A4756" s="12"/>
      <c r="E4756" s="57" t="str">
        <f ca="1">IFERROR(__xludf.DUMMYFUNCTION("""COMPUTED_VALUE"""),"")</f>
        <v/>
      </c>
    </row>
    <row r="4757" spans="1:5">
      <c r="A4757" s="12"/>
      <c r="E4757" s="57" t="str">
        <f ca="1">IFERROR(__xludf.DUMMYFUNCTION("""COMPUTED_VALUE"""),"")</f>
        <v/>
      </c>
    </row>
    <row r="4758" spans="1:5">
      <c r="A4758" s="12"/>
      <c r="E4758" s="57" t="str">
        <f ca="1">IFERROR(__xludf.DUMMYFUNCTION("""COMPUTED_VALUE"""),"")</f>
        <v/>
      </c>
    </row>
    <row r="4759" spans="1:5">
      <c r="A4759" s="12"/>
      <c r="E4759" s="57" t="str">
        <f ca="1">IFERROR(__xludf.DUMMYFUNCTION("""COMPUTED_VALUE"""),"")</f>
        <v/>
      </c>
    </row>
    <row r="4760" spans="1:5">
      <c r="A4760" s="12"/>
      <c r="E4760" s="57" t="str">
        <f ca="1">IFERROR(__xludf.DUMMYFUNCTION("""COMPUTED_VALUE"""),"")</f>
        <v/>
      </c>
    </row>
    <row r="4761" spans="1:5">
      <c r="A4761" s="12"/>
      <c r="E4761" s="57" t="str">
        <f ca="1">IFERROR(__xludf.DUMMYFUNCTION("""COMPUTED_VALUE"""),"")</f>
        <v/>
      </c>
    </row>
    <row r="4762" spans="1:5">
      <c r="A4762" s="12"/>
      <c r="E4762" s="57" t="str">
        <f ca="1">IFERROR(__xludf.DUMMYFUNCTION("""COMPUTED_VALUE"""),"")</f>
        <v/>
      </c>
    </row>
    <row r="4763" spans="1:5">
      <c r="A4763" s="12"/>
      <c r="E4763" s="57" t="str">
        <f ca="1">IFERROR(__xludf.DUMMYFUNCTION("""COMPUTED_VALUE"""),"")</f>
        <v/>
      </c>
    </row>
    <row r="4764" spans="1:5">
      <c r="A4764" s="12"/>
      <c r="E4764" s="57" t="str">
        <f ca="1">IFERROR(__xludf.DUMMYFUNCTION("""COMPUTED_VALUE"""),"")</f>
        <v/>
      </c>
    </row>
    <row r="4765" spans="1:5">
      <c r="A4765" s="12"/>
      <c r="E4765" s="57" t="str">
        <f ca="1">IFERROR(__xludf.DUMMYFUNCTION("""COMPUTED_VALUE"""),"")</f>
        <v/>
      </c>
    </row>
    <row r="4766" spans="1:5">
      <c r="A4766" s="12"/>
      <c r="E4766" s="57" t="str">
        <f ca="1">IFERROR(__xludf.DUMMYFUNCTION("""COMPUTED_VALUE"""),"")</f>
        <v/>
      </c>
    </row>
    <row r="4767" spans="1:5">
      <c r="A4767" s="12"/>
      <c r="E4767" s="57" t="str">
        <f ca="1">IFERROR(__xludf.DUMMYFUNCTION("""COMPUTED_VALUE"""),"")</f>
        <v/>
      </c>
    </row>
    <row r="4768" spans="1:5">
      <c r="A4768" s="12"/>
      <c r="E4768" s="57" t="str">
        <f ca="1">IFERROR(__xludf.DUMMYFUNCTION("""COMPUTED_VALUE"""),"")</f>
        <v/>
      </c>
    </row>
    <row r="4769" spans="1:5">
      <c r="A4769" s="12"/>
      <c r="E4769" s="57" t="str">
        <f ca="1">IFERROR(__xludf.DUMMYFUNCTION("""COMPUTED_VALUE"""),"")</f>
        <v/>
      </c>
    </row>
    <row r="4770" spans="1:5">
      <c r="A4770" s="12"/>
      <c r="E4770" s="57" t="str">
        <f ca="1">IFERROR(__xludf.DUMMYFUNCTION("""COMPUTED_VALUE"""),"")</f>
        <v/>
      </c>
    </row>
    <row r="4771" spans="1:5">
      <c r="A4771" s="12"/>
      <c r="E4771" s="57" t="str">
        <f ca="1">IFERROR(__xludf.DUMMYFUNCTION("""COMPUTED_VALUE"""),"")</f>
        <v/>
      </c>
    </row>
    <row r="4772" spans="1:5">
      <c r="A4772" s="12"/>
      <c r="E4772" s="57" t="str">
        <f ca="1">IFERROR(__xludf.DUMMYFUNCTION("""COMPUTED_VALUE"""),"")</f>
        <v/>
      </c>
    </row>
    <row r="4773" spans="1:5">
      <c r="A4773" s="12"/>
      <c r="E4773" s="57" t="str">
        <f ca="1">IFERROR(__xludf.DUMMYFUNCTION("""COMPUTED_VALUE"""),"")</f>
        <v/>
      </c>
    </row>
    <row r="4774" spans="1:5">
      <c r="A4774" s="12"/>
      <c r="E4774" s="57" t="str">
        <f ca="1">IFERROR(__xludf.DUMMYFUNCTION("""COMPUTED_VALUE"""),"")</f>
        <v/>
      </c>
    </row>
    <row r="4775" spans="1:5">
      <c r="A4775" s="12"/>
      <c r="E4775" s="57" t="str">
        <f ca="1">IFERROR(__xludf.DUMMYFUNCTION("""COMPUTED_VALUE"""),"")</f>
        <v/>
      </c>
    </row>
    <row r="4776" spans="1:5">
      <c r="A4776" s="12"/>
      <c r="E4776" s="57" t="str">
        <f ca="1">IFERROR(__xludf.DUMMYFUNCTION("""COMPUTED_VALUE"""),"")</f>
        <v/>
      </c>
    </row>
    <row r="4777" spans="1:5">
      <c r="A4777" s="12"/>
      <c r="E4777" s="57" t="str">
        <f ca="1">IFERROR(__xludf.DUMMYFUNCTION("""COMPUTED_VALUE"""),"")</f>
        <v/>
      </c>
    </row>
    <row r="4778" spans="1:5">
      <c r="A4778" s="12"/>
      <c r="E4778" s="57" t="str">
        <f ca="1">IFERROR(__xludf.DUMMYFUNCTION("""COMPUTED_VALUE"""),"")</f>
        <v/>
      </c>
    </row>
    <row r="4779" spans="1:5">
      <c r="A4779" s="12"/>
      <c r="E4779" s="57" t="str">
        <f ca="1">IFERROR(__xludf.DUMMYFUNCTION("""COMPUTED_VALUE"""),"")</f>
        <v/>
      </c>
    </row>
    <row r="4780" spans="1:5">
      <c r="A4780" s="12"/>
      <c r="E4780" s="57" t="str">
        <f ca="1">IFERROR(__xludf.DUMMYFUNCTION("""COMPUTED_VALUE"""),"")</f>
        <v/>
      </c>
    </row>
    <row r="4781" spans="1:5">
      <c r="A4781" s="12"/>
      <c r="E4781" s="57" t="str">
        <f ca="1">IFERROR(__xludf.DUMMYFUNCTION("""COMPUTED_VALUE"""),"")</f>
        <v/>
      </c>
    </row>
    <row r="4782" spans="1:5">
      <c r="A4782" s="12"/>
      <c r="E4782" s="57" t="str">
        <f ca="1">IFERROR(__xludf.DUMMYFUNCTION("""COMPUTED_VALUE"""),"")</f>
        <v/>
      </c>
    </row>
    <row r="4783" spans="1:5">
      <c r="A4783" s="12"/>
      <c r="E4783" s="57" t="str">
        <f ca="1">IFERROR(__xludf.DUMMYFUNCTION("""COMPUTED_VALUE"""),"")</f>
        <v/>
      </c>
    </row>
    <row r="4784" spans="1:5">
      <c r="A4784" s="12"/>
      <c r="E4784" s="57" t="str">
        <f ca="1">IFERROR(__xludf.DUMMYFUNCTION("""COMPUTED_VALUE"""),"")</f>
        <v/>
      </c>
    </row>
    <row r="4785" spans="1:5">
      <c r="A4785" s="12"/>
      <c r="E4785" s="57" t="str">
        <f ca="1">IFERROR(__xludf.DUMMYFUNCTION("""COMPUTED_VALUE"""),"")</f>
        <v/>
      </c>
    </row>
    <row r="4786" spans="1:5">
      <c r="A4786" s="12"/>
      <c r="E4786" s="57" t="str">
        <f ca="1">IFERROR(__xludf.DUMMYFUNCTION("""COMPUTED_VALUE"""),"")</f>
        <v/>
      </c>
    </row>
    <row r="4787" spans="1:5">
      <c r="A4787" s="12"/>
      <c r="E4787" s="57" t="str">
        <f ca="1">IFERROR(__xludf.DUMMYFUNCTION("""COMPUTED_VALUE"""),"")</f>
        <v/>
      </c>
    </row>
    <row r="4788" spans="1:5">
      <c r="A4788" s="12"/>
      <c r="E4788" s="57" t="str">
        <f ca="1">IFERROR(__xludf.DUMMYFUNCTION("""COMPUTED_VALUE"""),"")</f>
        <v/>
      </c>
    </row>
    <row r="4789" spans="1:5">
      <c r="A4789" s="12"/>
      <c r="E4789" s="57" t="str">
        <f ca="1">IFERROR(__xludf.DUMMYFUNCTION("""COMPUTED_VALUE"""),"")</f>
        <v/>
      </c>
    </row>
    <row r="4790" spans="1:5">
      <c r="A4790" s="12"/>
      <c r="E4790" s="57" t="str">
        <f ca="1">IFERROR(__xludf.DUMMYFUNCTION("""COMPUTED_VALUE"""),"")</f>
        <v/>
      </c>
    </row>
    <row r="4791" spans="1:5">
      <c r="A4791" s="12"/>
      <c r="E4791" s="57" t="str">
        <f ca="1">IFERROR(__xludf.DUMMYFUNCTION("""COMPUTED_VALUE"""),"")</f>
        <v/>
      </c>
    </row>
    <row r="4792" spans="1:5">
      <c r="A4792" s="12"/>
      <c r="E4792" s="57" t="str">
        <f ca="1">IFERROR(__xludf.DUMMYFUNCTION("""COMPUTED_VALUE"""),"")</f>
        <v/>
      </c>
    </row>
    <row r="4793" spans="1:5">
      <c r="A4793" s="12"/>
      <c r="E4793" s="57" t="str">
        <f ca="1">IFERROR(__xludf.DUMMYFUNCTION("""COMPUTED_VALUE"""),"")</f>
        <v/>
      </c>
    </row>
    <row r="4794" spans="1:5">
      <c r="A4794" s="12"/>
      <c r="E4794" s="57" t="str">
        <f ca="1">IFERROR(__xludf.DUMMYFUNCTION("""COMPUTED_VALUE"""),"")</f>
        <v/>
      </c>
    </row>
    <row r="4795" spans="1:5">
      <c r="A4795" s="12"/>
      <c r="E4795" s="57" t="str">
        <f ca="1">IFERROR(__xludf.DUMMYFUNCTION("""COMPUTED_VALUE"""),"")</f>
        <v/>
      </c>
    </row>
    <row r="4796" spans="1:5">
      <c r="A4796" s="12"/>
      <c r="E4796" s="57" t="str">
        <f ca="1">IFERROR(__xludf.DUMMYFUNCTION("""COMPUTED_VALUE"""),"")</f>
        <v/>
      </c>
    </row>
    <row r="4797" spans="1:5">
      <c r="A4797" s="12"/>
      <c r="E4797" s="57" t="str">
        <f ca="1">IFERROR(__xludf.DUMMYFUNCTION("""COMPUTED_VALUE"""),"")</f>
        <v/>
      </c>
    </row>
    <row r="4798" spans="1:5">
      <c r="A4798" s="12"/>
      <c r="E4798" s="57" t="str">
        <f ca="1">IFERROR(__xludf.DUMMYFUNCTION("""COMPUTED_VALUE"""),"")</f>
        <v/>
      </c>
    </row>
    <row r="4799" spans="1:5">
      <c r="A4799" s="12"/>
      <c r="E4799" s="57" t="str">
        <f ca="1">IFERROR(__xludf.DUMMYFUNCTION("""COMPUTED_VALUE"""),"")</f>
        <v/>
      </c>
    </row>
    <row r="4800" spans="1:5">
      <c r="A4800" s="12"/>
      <c r="E4800" s="57" t="str">
        <f ca="1">IFERROR(__xludf.DUMMYFUNCTION("""COMPUTED_VALUE"""),"")</f>
        <v/>
      </c>
    </row>
    <row r="4801" spans="1:5">
      <c r="A4801" s="12"/>
      <c r="E4801" s="57" t="str">
        <f ca="1">IFERROR(__xludf.DUMMYFUNCTION("""COMPUTED_VALUE"""),"")</f>
        <v/>
      </c>
    </row>
    <row r="4802" spans="1:5">
      <c r="A4802" s="12"/>
      <c r="E4802" s="57" t="str">
        <f ca="1">IFERROR(__xludf.DUMMYFUNCTION("""COMPUTED_VALUE"""),"")</f>
        <v/>
      </c>
    </row>
    <row r="4803" spans="1:5">
      <c r="A4803" s="12"/>
      <c r="E4803" s="57" t="str">
        <f ca="1">IFERROR(__xludf.DUMMYFUNCTION("""COMPUTED_VALUE"""),"")</f>
        <v/>
      </c>
    </row>
    <row r="4804" spans="1:5">
      <c r="A4804" s="12"/>
      <c r="E4804" s="57" t="str">
        <f ca="1">IFERROR(__xludf.DUMMYFUNCTION("""COMPUTED_VALUE"""),"")</f>
        <v/>
      </c>
    </row>
    <row r="4805" spans="1:5">
      <c r="A4805" s="12"/>
      <c r="E4805" s="57" t="str">
        <f ca="1">IFERROR(__xludf.DUMMYFUNCTION("""COMPUTED_VALUE"""),"")</f>
        <v/>
      </c>
    </row>
    <row r="4806" spans="1:5">
      <c r="A4806" s="12"/>
      <c r="E4806" s="57" t="str">
        <f ca="1">IFERROR(__xludf.DUMMYFUNCTION("""COMPUTED_VALUE"""),"")</f>
        <v/>
      </c>
    </row>
    <row r="4807" spans="1:5">
      <c r="A4807" s="12"/>
      <c r="E4807" s="57" t="str">
        <f ca="1">IFERROR(__xludf.DUMMYFUNCTION("""COMPUTED_VALUE"""),"")</f>
        <v/>
      </c>
    </row>
    <row r="4808" spans="1:5">
      <c r="A4808" s="12"/>
      <c r="E4808" s="57" t="str">
        <f ca="1">IFERROR(__xludf.DUMMYFUNCTION("""COMPUTED_VALUE"""),"")</f>
        <v/>
      </c>
    </row>
    <row r="4809" spans="1:5">
      <c r="A4809" s="12"/>
      <c r="E4809" s="57" t="str">
        <f ca="1">IFERROR(__xludf.DUMMYFUNCTION("""COMPUTED_VALUE"""),"")</f>
        <v/>
      </c>
    </row>
    <row r="4810" spans="1:5">
      <c r="A4810" s="12"/>
      <c r="E4810" s="57" t="str">
        <f ca="1">IFERROR(__xludf.DUMMYFUNCTION("""COMPUTED_VALUE"""),"")</f>
        <v/>
      </c>
    </row>
    <row r="4811" spans="1:5">
      <c r="A4811" s="12"/>
      <c r="E4811" s="57" t="str">
        <f ca="1">IFERROR(__xludf.DUMMYFUNCTION("""COMPUTED_VALUE"""),"")</f>
        <v/>
      </c>
    </row>
    <row r="4812" spans="1:5">
      <c r="A4812" s="12"/>
      <c r="E4812" s="57" t="str">
        <f ca="1">IFERROR(__xludf.DUMMYFUNCTION("""COMPUTED_VALUE"""),"")</f>
        <v/>
      </c>
    </row>
    <row r="4813" spans="1:5">
      <c r="A4813" s="12"/>
      <c r="E4813" s="57" t="str">
        <f ca="1">IFERROR(__xludf.DUMMYFUNCTION("""COMPUTED_VALUE"""),"")</f>
        <v/>
      </c>
    </row>
    <row r="4814" spans="1:5">
      <c r="A4814" s="12"/>
      <c r="E4814" s="57" t="str">
        <f ca="1">IFERROR(__xludf.DUMMYFUNCTION("""COMPUTED_VALUE"""),"")</f>
        <v/>
      </c>
    </row>
    <row r="4815" spans="1:5">
      <c r="A4815" s="12"/>
      <c r="E4815" s="57" t="str">
        <f ca="1">IFERROR(__xludf.DUMMYFUNCTION("""COMPUTED_VALUE"""),"")</f>
        <v/>
      </c>
    </row>
    <row r="4816" spans="1:5">
      <c r="A4816" s="12"/>
      <c r="E4816" s="57" t="str">
        <f ca="1">IFERROR(__xludf.DUMMYFUNCTION("""COMPUTED_VALUE"""),"")</f>
        <v/>
      </c>
    </row>
    <row r="4817" spans="1:5">
      <c r="A4817" s="12"/>
      <c r="E4817" s="57" t="str">
        <f ca="1">IFERROR(__xludf.DUMMYFUNCTION("""COMPUTED_VALUE"""),"")</f>
        <v/>
      </c>
    </row>
    <row r="4818" spans="1:5">
      <c r="A4818" s="12"/>
      <c r="E4818" s="57" t="str">
        <f ca="1">IFERROR(__xludf.DUMMYFUNCTION("""COMPUTED_VALUE"""),"")</f>
        <v/>
      </c>
    </row>
    <row r="4819" spans="1:5">
      <c r="A4819" s="12"/>
      <c r="E4819" s="57" t="str">
        <f ca="1">IFERROR(__xludf.DUMMYFUNCTION("""COMPUTED_VALUE"""),"")</f>
        <v/>
      </c>
    </row>
    <row r="4820" spans="1:5">
      <c r="A4820" s="12"/>
      <c r="E4820" s="57" t="str">
        <f ca="1">IFERROR(__xludf.DUMMYFUNCTION("""COMPUTED_VALUE"""),"")</f>
        <v/>
      </c>
    </row>
    <row r="4821" spans="1:5">
      <c r="A4821" s="12"/>
      <c r="E4821" s="57" t="str">
        <f ca="1">IFERROR(__xludf.DUMMYFUNCTION("""COMPUTED_VALUE"""),"")</f>
        <v/>
      </c>
    </row>
    <row r="4822" spans="1:5">
      <c r="A4822" s="12"/>
      <c r="E4822" s="57" t="str">
        <f ca="1">IFERROR(__xludf.DUMMYFUNCTION("""COMPUTED_VALUE"""),"")</f>
        <v/>
      </c>
    </row>
    <row r="4823" spans="1:5">
      <c r="A4823" s="12"/>
      <c r="E4823" s="57" t="str">
        <f ca="1">IFERROR(__xludf.DUMMYFUNCTION("""COMPUTED_VALUE"""),"")</f>
        <v/>
      </c>
    </row>
    <row r="4824" spans="1:5">
      <c r="A4824" s="12"/>
      <c r="E4824" s="57" t="str">
        <f ca="1">IFERROR(__xludf.DUMMYFUNCTION("""COMPUTED_VALUE"""),"")</f>
        <v/>
      </c>
    </row>
    <row r="4825" spans="1:5">
      <c r="A4825" s="12"/>
      <c r="E4825" s="57" t="str">
        <f ca="1">IFERROR(__xludf.DUMMYFUNCTION("""COMPUTED_VALUE"""),"")</f>
        <v/>
      </c>
    </row>
    <row r="4826" spans="1:5">
      <c r="A4826" s="12"/>
      <c r="E4826" s="57" t="str">
        <f ca="1">IFERROR(__xludf.DUMMYFUNCTION("""COMPUTED_VALUE"""),"")</f>
        <v/>
      </c>
    </row>
    <row r="4827" spans="1:5">
      <c r="A4827" s="12"/>
      <c r="E4827" s="57" t="str">
        <f ca="1">IFERROR(__xludf.DUMMYFUNCTION("""COMPUTED_VALUE"""),"")</f>
        <v/>
      </c>
    </row>
    <row r="4828" spans="1:5">
      <c r="A4828" s="12"/>
      <c r="E4828" s="57" t="str">
        <f ca="1">IFERROR(__xludf.DUMMYFUNCTION("""COMPUTED_VALUE"""),"")</f>
        <v/>
      </c>
    </row>
    <row r="4829" spans="1:5">
      <c r="A4829" s="12"/>
      <c r="E4829" s="57" t="str">
        <f ca="1">IFERROR(__xludf.DUMMYFUNCTION("""COMPUTED_VALUE"""),"")</f>
        <v/>
      </c>
    </row>
    <row r="4830" spans="1:5">
      <c r="A4830" s="12"/>
      <c r="E4830" s="57" t="str">
        <f ca="1">IFERROR(__xludf.DUMMYFUNCTION("""COMPUTED_VALUE"""),"")</f>
        <v/>
      </c>
    </row>
    <row r="4831" spans="1:5">
      <c r="A4831" s="12"/>
      <c r="E4831" s="57" t="str">
        <f ca="1">IFERROR(__xludf.DUMMYFUNCTION("""COMPUTED_VALUE"""),"")</f>
        <v/>
      </c>
    </row>
    <row r="4832" spans="1:5">
      <c r="A4832" s="12"/>
      <c r="E4832" s="57" t="str">
        <f ca="1">IFERROR(__xludf.DUMMYFUNCTION("""COMPUTED_VALUE"""),"")</f>
        <v/>
      </c>
    </row>
    <row r="4833" spans="1:5">
      <c r="A4833" s="12"/>
      <c r="E4833" s="57" t="str">
        <f ca="1">IFERROR(__xludf.DUMMYFUNCTION("""COMPUTED_VALUE"""),"")</f>
        <v/>
      </c>
    </row>
    <row r="4834" spans="1:5">
      <c r="A4834" s="12"/>
      <c r="E4834" s="57" t="str">
        <f ca="1">IFERROR(__xludf.DUMMYFUNCTION("""COMPUTED_VALUE"""),"")</f>
        <v/>
      </c>
    </row>
    <row r="4835" spans="1:5">
      <c r="A4835" s="12"/>
      <c r="E4835" s="57" t="str">
        <f ca="1">IFERROR(__xludf.DUMMYFUNCTION("""COMPUTED_VALUE"""),"")</f>
        <v/>
      </c>
    </row>
    <row r="4836" spans="1:5">
      <c r="A4836" s="12"/>
      <c r="E4836" s="57" t="str">
        <f ca="1">IFERROR(__xludf.DUMMYFUNCTION("""COMPUTED_VALUE"""),"")</f>
        <v/>
      </c>
    </row>
    <row r="4837" spans="1:5">
      <c r="A4837" s="12"/>
      <c r="E4837" s="57" t="str">
        <f ca="1">IFERROR(__xludf.DUMMYFUNCTION("""COMPUTED_VALUE"""),"")</f>
        <v/>
      </c>
    </row>
    <row r="4838" spans="1:5">
      <c r="A4838" s="12"/>
      <c r="E4838" s="57" t="str">
        <f ca="1">IFERROR(__xludf.DUMMYFUNCTION("""COMPUTED_VALUE"""),"")</f>
        <v/>
      </c>
    </row>
    <row r="4839" spans="1:5">
      <c r="A4839" s="12"/>
      <c r="E4839" s="57" t="str">
        <f ca="1">IFERROR(__xludf.DUMMYFUNCTION("""COMPUTED_VALUE"""),"")</f>
        <v/>
      </c>
    </row>
    <row r="4840" spans="1:5">
      <c r="A4840" s="12"/>
      <c r="E4840" s="57" t="str">
        <f ca="1">IFERROR(__xludf.DUMMYFUNCTION("""COMPUTED_VALUE"""),"")</f>
        <v/>
      </c>
    </row>
    <row r="4841" spans="1:5">
      <c r="A4841" s="12"/>
      <c r="E4841" s="57" t="str">
        <f ca="1">IFERROR(__xludf.DUMMYFUNCTION("""COMPUTED_VALUE"""),"")</f>
        <v/>
      </c>
    </row>
    <row r="4842" spans="1:5">
      <c r="A4842" s="12"/>
      <c r="E4842" s="57" t="str">
        <f ca="1">IFERROR(__xludf.DUMMYFUNCTION("""COMPUTED_VALUE"""),"")</f>
        <v/>
      </c>
    </row>
    <row r="4843" spans="1:5">
      <c r="A4843" s="12"/>
      <c r="E4843" s="57" t="str">
        <f ca="1">IFERROR(__xludf.DUMMYFUNCTION("""COMPUTED_VALUE"""),"")</f>
        <v/>
      </c>
    </row>
    <row r="4844" spans="1:5">
      <c r="A4844" s="12"/>
      <c r="E4844" s="57" t="str">
        <f ca="1">IFERROR(__xludf.DUMMYFUNCTION("""COMPUTED_VALUE"""),"")</f>
        <v/>
      </c>
    </row>
    <row r="4845" spans="1:5">
      <c r="A4845" s="12"/>
      <c r="E4845" s="57" t="str">
        <f ca="1">IFERROR(__xludf.DUMMYFUNCTION("""COMPUTED_VALUE"""),"")</f>
        <v/>
      </c>
    </row>
    <row r="4846" spans="1:5">
      <c r="A4846" s="12"/>
      <c r="E4846" s="57" t="str">
        <f ca="1">IFERROR(__xludf.DUMMYFUNCTION("""COMPUTED_VALUE"""),"")</f>
        <v/>
      </c>
    </row>
    <row r="4847" spans="1:5">
      <c r="A4847" s="12"/>
      <c r="E4847" s="57" t="str">
        <f ca="1">IFERROR(__xludf.DUMMYFUNCTION("""COMPUTED_VALUE"""),"")</f>
        <v/>
      </c>
    </row>
    <row r="4848" spans="1:5">
      <c r="A4848" s="12"/>
      <c r="E4848" s="57" t="str">
        <f ca="1">IFERROR(__xludf.DUMMYFUNCTION("""COMPUTED_VALUE"""),"")</f>
        <v/>
      </c>
    </row>
    <row r="4849" spans="1:5">
      <c r="A4849" s="12"/>
      <c r="E4849" s="57" t="str">
        <f ca="1">IFERROR(__xludf.DUMMYFUNCTION("""COMPUTED_VALUE"""),"")</f>
        <v/>
      </c>
    </row>
    <row r="4850" spans="1:5">
      <c r="A4850" s="12"/>
      <c r="E4850" s="57" t="str">
        <f ca="1">IFERROR(__xludf.DUMMYFUNCTION("""COMPUTED_VALUE"""),"")</f>
        <v/>
      </c>
    </row>
    <row r="4851" spans="1:5">
      <c r="A4851" s="12"/>
      <c r="E4851" s="57" t="str">
        <f ca="1">IFERROR(__xludf.DUMMYFUNCTION("""COMPUTED_VALUE"""),"")</f>
        <v/>
      </c>
    </row>
    <row r="4852" spans="1:5">
      <c r="A4852" s="12"/>
      <c r="E4852" s="57" t="str">
        <f ca="1">IFERROR(__xludf.DUMMYFUNCTION("""COMPUTED_VALUE"""),"")</f>
        <v/>
      </c>
    </row>
    <row r="4853" spans="1:5">
      <c r="A4853" s="12"/>
      <c r="E4853" s="57" t="str">
        <f ca="1">IFERROR(__xludf.DUMMYFUNCTION("""COMPUTED_VALUE"""),"")</f>
        <v/>
      </c>
    </row>
    <row r="4854" spans="1:5">
      <c r="A4854" s="12"/>
      <c r="E4854" s="57" t="str">
        <f ca="1">IFERROR(__xludf.DUMMYFUNCTION("""COMPUTED_VALUE"""),"")</f>
        <v/>
      </c>
    </row>
    <row r="4855" spans="1:5">
      <c r="A4855" s="12"/>
      <c r="E4855" s="57" t="str">
        <f ca="1">IFERROR(__xludf.DUMMYFUNCTION("""COMPUTED_VALUE"""),"")</f>
        <v/>
      </c>
    </row>
    <row r="4856" spans="1:5">
      <c r="A4856" s="12"/>
      <c r="E4856" s="57" t="str">
        <f ca="1">IFERROR(__xludf.DUMMYFUNCTION("""COMPUTED_VALUE"""),"")</f>
        <v/>
      </c>
    </row>
    <row r="4857" spans="1:5">
      <c r="A4857" s="12"/>
      <c r="E4857" s="57" t="str">
        <f ca="1">IFERROR(__xludf.DUMMYFUNCTION("""COMPUTED_VALUE"""),"")</f>
        <v/>
      </c>
    </row>
    <row r="4858" spans="1:5">
      <c r="A4858" s="12"/>
      <c r="E4858" s="57" t="str">
        <f ca="1">IFERROR(__xludf.DUMMYFUNCTION("""COMPUTED_VALUE"""),"")</f>
        <v/>
      </c>
    </row>
    <row r="4859" spans="1:5">
      <c r="A4859" s="12"/>
      <c r="E4859" s="57" t="str">
        <f ca="1">IFERROR(__xludf.DUMMYFUNCTION("""COMPUTED_VALUE"""),"")</f>
        <v/>
      </c>
    </row>
    <row r="4860" spans="1:5">
      <c r="A4860" s="12"/>
      <c r="E4860" s="57" t="str">
        <f ca="1">IFERROR(__xludf.DUMMYFUNCTION("""COMPUTED_VALUE"""),"")</f>
        <v/>
      </c>
    </row>
    <row r="4861" spans="1:5">
      <c r="A4861" s="12"/>
      <c r="E4861" s="57" t="str">
        <f ca="1">IFERROR(__xludf.DUMMYFUNCTION("""COMPUTED_VALUE"""),"")</f>
        <v/>
      </c>
    </row>
    <row r="4862" spans="1:5">
      <c r="A4862" s="12"/>
      <c r="E4862" s="57" t="str">
        <f ca="1">IFERROR(__xludf.DUMMYFUNCTION("""COMPUTED_VALUE"""),"")</f>
        <v/>
      </c>
    </row>
    <row r="4863" spans="1:5">
      <c r="A4863" s="12"/>
      <c r="E4863" s="57" t="str">
        <f ca="1">IFERROR(__xludf.DUMMYFUNCTION("""COMPUTED_VALUE"""),"")</f>
        <v/>
      </c>
    </row>
    <row r="4864" spans="1:5">
      <c r="A4864" s="12"/>
      <c r="E4864" s="57" t="str">
        <f ca="1">IFERROR(__xludf.DUMMYFUNCTION("""COMPUTED_VALUE"""),"")</f>
        <v/>
      </c>
    </row>
    <row r="4865" spans="1:5">
      <c r="A4865" s="12"/>
      <c r="E4865" s="57" t="str">
        <f ca="1">IFERROR(__xludf.DUMMYFUNCTION("""COMPUTED_VALUE"""),"")</f>
        <v/>
      </c>
    </row>
    <row r="4866" spans="1:5">
      <c r="A4866" s="12"/>
      <c r="E4866" s="57" t="str">
        <f ca="1">IFERROR(__xludf.DUMMYFUNCTION("""COMPUTED_VALUE"""),"")</f>
        <v/>
      </c>
    </row>
    <row r="4867" spans="1:5">
      <c r="A4867" s="12"/>
      <c r="E4867" s="57" t="str">
        <f ca="1">IFERROR(__xludf.DUMMYFUNCTION("""COMPUTED_VALUE"""),"")</f>
        <v/>
      </c>
    </row>
    <row r="4868" spans="1:5">
      <c r="A4868" s="12"/>
      <c r="E4868" s="57" t="str">
        <f ca="1">IFERROR(__xludf.DUMMYFUNCTION("""COMPUTED_VALUE"""),"")</f>
        <v/>
      </c>
    </row>
    <row r="4869" spans="1:5">
      <c r="A4869" s="12"/>
      <c r="E4869" s="57" t="str">
        <f ca="1">IFERROR(__xludf.DUMMYFUNCTION("""COMPUTED_VALUE"""),"")</f>
        <v/>
      </c>
    </row>
    <row r="4870" spans="1:5">
      <c r="A4870" s="12"/>
      <c r="E4870" s="57" t="str">
        <f ca="1">IFERROR(__xludf.DUMMYFUNCTION("""COMPUTED_VALUE"""),"")</f>
        <v/>
      </c>
    </row>
    <row r="4871" spans="1:5">
      <c r="A4871" s="12"/>
      <c r="E4871" s="57" t="str">
        <f ca="1">IFERROR(__xludf.DUMMYFUNCTION("""COMPUTED_VALUE"""),"")</f>
        <v/>
      </c>
    </row>
    <row r="4872" spans="1:5">
      <c r="A4872" s="12"/>
      <c r="E4872" s="57" t="str">
        <f ca="1">IFERROR(__xludf.DUMMYFUNCTION("""COMPUTED_VALUE"""),"")</f>
        <v/>
      </c>
    </row>
    <row r="4873" spans="1:5">
      <c r="A4873" s="12"/>
      <c r="E4873" s="57" t="str">
        <f ca="1">IFERROR(__xludf.DUMMYFUNCTION("""COMPUTED_VALUE"""),"")</f>
        <v/>
      </c>
    </row>
    <row r="4874" spans="1:5">
      <c r="A4874" s="12"/>
      <c r="E4874" s="57" t="str">
        <f ca="1">IFERROR(__xludf.DUMMYFUNCTION("""COMPUTED_VALUE"""),"")</f>
        <v/>
      </c>
    </row>
    <row r="4875" spans="1:5">
      <c r="A4875" s="12"/>
      <c r="E4875" s="57" t="str">
        <f ca="1">IFERROR(__xludf.DUMMYFUNCTION("""COMPUTED_VALUE"""),"")</f>
        <v/>
      </c>
    </row>
    <row r="4876" spans="1:5">
      <c r="A4876" s="12"/>
      <c r="E4876" s="57" t="str">
        <f ca="1">IFERROR(__xludf.DUMMYFUNCTION("""COMPUTED_VALUE"""),"")</f>
        <v/>
      </c>
    </row>
    <row r="4877" spans="1:5">
      <c r="A4877" s="12"/>
      <c r="E4877" s="57" t="str">
        <f ca="1">IFERROR(__xludf.DUMMYFUNCTION("""COMPUTED_VALUE"""),"")</f>
        <v/>
      </c>
    </row>
    <row r="4878" spans="1:5">
      <c r="A4878" s="12"/>
      <c r="E4878" s="57" t="str">
        <f ca="1">IFERROR(__xludf.DUMMYFUNCTION("""COMPUTED_VALUE"""),"")</f>
        <v/>
      </c>
    </row>
    <row r="4879" spans="1:5">
      <c r="A4879" s="12"/>
      <c r="E4879" s="57" t="str">
        <f ca="1">IFERROR(__xludf.DUMMYFUNCTION("""COMPUTED_VALUE"""),"")</f>
        <v/>
      </c>
    </row>
    <row r="4880" spans="1:5">
      <c r="A4880" s="12"/>
      <c r="E4880" s="57" t="str">
        <f ca="1">IFERROR(__xludf.DUMMYFUNCTION("""COMPUTED_VALUE"""),"")</f>
        <v/>
      </c>
    </row>
    <row r="4881" spans="1:5">
      <c r="A4881" s="12"/>
      <c r="E4881" s="57" t="str">
        <f ca="1">IFERROR(__xludf.DUMMYFUNCTION("""COMPUTED_VALUE"""),"")</f>
        <v/>
      </c>
    </row>
    <row r="4882" spans="1:5">
      <c r="A4882" s="12"/>
      <c r="E4882" s="57" t="str">
        <f ca="1">IFERROR(__xludf.DUMMYFUNCTION("""COMPUTED_VALUE"""),"")</f>
        <v/>
      </c>
    </row>
    <row r="4883" spans="1:5">
      <c r="A4883" s="12"/>
      <c r="E4883" s="57" t="str">
        <f ca="1">IFERROR(__xludf.DUMMYFUNCTION("""COMPUTED_VALUE"""),"")</f>
        <v/>
      </c>
    </row>
    <row r="4884" spans="1:5">
      <c r="A4884" s="12"/>
      <c r="E4884" s="57" t="str">
        <f ca="1">IFERROR(__xludf.DUMMYFUNCTION("""COMPUTED_VALUE"""),"")</f>
        <v/>
      </c>
    </row>
    <row r="4885" spans="1:5">
      <c r="A4885" s="12"/>
      <c r="E4885" s="57" t="str">
        <f ca="1">IFERROR(__xludf.DUMMYFUNCTION("""COMPUTED_VALUE"""),"")</f>
        <v/>
      </c>
    </row>
    <row r="4886" spans="1:5">
      <c r="A4886" s="12"/>
      <c r="E4886" s="57" t="str">
        <f ca="1">IFERROR(__xludf.DUMMYFUNCTION("""COMPUTED_VALUE"""),"")</f>
        <v/>
      </c>
    </row>
    <row r="4887" spans="1:5">
      <c r="A4887" s="12"/>
      <c r="E4887" s="57" t="str">
        <f ca="1">IFERROR(__xludf.DUMMYFUNCTION("""COMPUTED_VALUE"""),"")</f>
        <v/>
      </c>
    </row>
    <row r="4888" spans="1:5">
      <c r="A4888" s="12"/>
      <c r="E4888" s="57" t="str">
        <f ca="1">IFERROR(__xludf.DUMMYFUNCTION("""COMPUTED_VALUE"""),"")</f>
        <v/>
      </c>
    </row>
    <row r="4889" spans="1:5">
      <c r="A4889" s="12"/>
      <c r="E4889" s="57" t="str">
        <f ca="1">IFERROR(__xludf.DUMMYFUNCTION("""COMPUTED_VALUE"""),"")</f>
        <v/>
      </c>
    </row>
    <row r="4890" spans="1:5">
      <c r="A4890" s="12"/>
      <c r="E4890" s="57" t="str">
        <f ca="1">IFERROR(__xludf.DUMMYFUNCTION("""COMPUTED_VALUE"""),"")</f>
        <v/>
      </c>
    </row>
    <row r="4891" spans="1:5">
      <c r="A4891" s="12"/>
      <c r="E4891" s="57" t="str">
        <f ca="1">IFERROR(__xludf.DUMMYFUNCTION("""COMPUTED_VALUE"""),"")</f>
        <v/>
      </c>
    </row>
    <row r="4892" spans="1:5">
      <c r="A4892" s="12"/>
      <c r="E4892" s="57" t="str">
        <f ca="1">IFERROR(__xludf.DUMMYFUNCTION("""COMPUTED_VALUE"""),"")</f>
        <v/>
      </c>
    </row>
    <row r="4893" spans="1:5">
      <c r="A4893" s="12"/>
      <c r="E4893" s="57" t="str">
        <f ca="1">IFERROR(__xludf.DUMMYFUNCTION("""COMPUTED_VALUE"""),"")</f>
        <v/>
      </c>
    </row>
    <row r="4894" spans="1:5">
      <c r="A4894" s="12"/>
      <c r="E4894" s="57" t="str">
        <f ca="1">IFERROR(__xludf.DUMMYFUNCTION("""COMPUTED_VALUE"""),"")</f>
        <v/>
      </c>
    </row>
    <row r="4895" spans="1:5">
      <c r="A4895" s="12"/>
      <c r="E4895" s="57" t="str">
        <f ca="1">IFERROR(__xludf.DUMMYFUNCTION("""COMPUTED_VALUE"""),"")</f>
        <v/>
      </c>
    </row>
    <row r="4896" spans="1:5">
      <c r="A4896" s="12"/>
      <c r="E4896" s="57" t="str">
        <f ca="1">IFERROR(__xludf.DUMMYFUNCTION("""COMPUTED_VALUE"""),"")</f>
        <v/>
      </c>
    </row>
    <row r="4897" spans="1:5">
      <c r="A4897" s="12"/>
      <c r="E4897" s="57" t="str">
        <f ca="1">IFERROR(__xludf.DUMMYFUNCTION("""COMPUTED_VALUE"""),"")</f>
        <v/>
      </c>
    </row>
    <row r="4898" spans="1:5">
      <c r="A4898" s="12"/>
      <c r="E4898" s="57" t="str">
        <f ca="1">IFERROR(__xludf.DUMMYFUNCTION("""COMPUTED_VALUE"""),"")</f>
        <v/>
      </c>
    </row>
    <row r="4899" spans="1:5">
      <c r="A4899" s="12"/>
      <c r="E4899" s="57" t="str">
        <f ca="1">IFERROR(__xludf.DUMMYFUNCTION("""COMPUTED_VALUE"""),"")</f>
        <v/>
      </c>
    </row>
    <row r="4900" spans="1:5">
      <c r="A4900" s="12"/>
      <c r="E4900" s="57" t="str">
        <f ca="1">IFERROR(__xludf.DUMMYFUNCTION("""COMPUTED_VALUE"""),"")</f>
        <v/>
      </c>
    </row>
    <row r="4901" spans="1:5">
      <c r="A4901" s="12"/>
      <c r="E4901" s="57" t="str">
        <f ca="1">IFERROR(__xludf.DUMMYFUNCTION("""COMPUTED_VALUE"""),"")</f>
        <v/>
      </c>
    </row>
    <row r="4902" spans="1:5">
      <c r="A4902" s="12"/>
      <c r="E4902" s="57" t="str">
        <f ca="1">IFERROR(__xludf.DUMMYFUNCTION("""COMPUTED_VALUE"""),"")</f>
        <v/>
      </c>
    </row>
    <row r="4903" spans="1:5">
      <c r="A4903" s="12"/>
      <c r="E4903" s="57" t="str">
        <f ca="1">IFERROR(__xludf.DUMMYFUNCTION("""COMPUTED_VALUE"""),"")</f>
        <v/>
      </c>
    </row>
    <row r="4904" spans="1:5">
      <c r="A4904" s="12"/>
      <c r="E4904" s="57" t="str">
        <f ca="1">IFERROR(__xludf.DUMMYFUNCTION("""COMPUTED_VALUE"""),"")</f>
        <v/>
      </c>
    </row>
    <row r="4905" spans="1:5">
      <c r="A4905" s="12"/>
      <c r="E4905" s="57" t="str">
        <f ca="1">IFERROR(__xludf.DUMMYFUNCTION("""COMPUTED_VALUE"""),"")</f>
        <v/>
      </c>
    </row>
    <row r="4906" spans="1:5">
      <c r="A4906" s="12"/>
      <c r="E4906" s="57" t="str">
        <f ca="1">IFERROR(__xludf.DUMMYFUNCTION("""COMPUTED_VALUE"""),"")</f>
        <v/>
      </c>
    </row>
    <row r="4907" spans="1:5">
      <c r="A4907" s="12"/>
      <c r="E4907" s="57" t="str">
        <f ca="1">IFERROR(__xludf.DUMMYFUNCTION("""COMPUTED_VALUE"""),"")</f>
        <v/>
      </c>
    </row>
    <row r="4908" spans="1:5">
      <c r="A4908" s="12"/>
      <c r="E4908" s="57" t="str">
        <f ca="1">IFERROR(__xludf.DUMMYFUNCTION("""COMPUTED_VALUE"""),"")</f>
        <v/>
      </c>
    </row>
    <row r="4909" spans="1:5">
      <c r="A4909" s="12"/>
      <c r="E4909" s="57" t="str">
        <f ca="1">IFERROR(__xludf.DUMMYFUNCTION("""COMPUTED_VALUE"""),"")</f>
        <v/>
      </c>
    </row>
    <row r="4910" spans="1:5">
      <c r="A4910" s="12"/>
      <c r="E4910" s="57" t="str">
        <f ca="1">IFERROR(__xludf.DUMMYFUNCTION("""COMPUTED_VALUE"""),"")</f>
        <v/>
      </c>
    </row>
    <row r="4911" spans="1:5">
      <c r="A4911" s="12"/>
      <c r="E4911" s="57" t="str">
        <f ca="1">IFERROR(__xludf.DUMMYFUNCTION("""COMPUTED_VALUE"""),"")</f>
        <v/>
      </c>
    </row>
    <row r="4912" spans="1:5">
      <c r="A4912" s="12"/>
      <c r="E4912" s="57" t="str">
        <f ca="1">IFERROR(__xludf.DUMMYFUNCTION("""COMPUTED_VALUE"""),"")</f>
        <v/>
      </c>
    </row>
    <row r="4913" spans="1:5">
      <c r="A4913" s="12"/>
      <c r="E4913" s="57" t="str">
        <f ca="1">IFERROR(__xludf.DUMMYFUNCTION("""COMPUTED_VALUE"""),"")</f>
        <v/>
      </c>
    </row>
    <row r="4914" spans="1:5">
      <c r="A4914" s="12"/>
      <c r="E4914" s="57" t="str">
        <f ca="1">IFERROR(__xludf.DUMMYFUNCTION("""COMPUTED_VALUE"""),"")</f>
        <v/>
      </c>
    </row>
    <row r="4915" spans="1:5">
      <c r="A4915" s="12"/>
      <c r="E4915" s="57" t="str">
        <f ca="1">IFERROR(__xludf.DUMMYFUNCTION("""COMPUTED_VALUE"""),"")</f>
        <v/>
      </c>
    </row>
    <row r="4916" spans="1:5">
      <c r="A4916" s="12"/>
      <c r="E4916" s="57" t="str">
        <f ca="1">IFERROR(__xludf.DUMMYFUNCTION("""COMPUTED_VALUE"""),"")</f>
        <v/>
      </c>
    </row>
    <row r="4917" spans="1:5">
      <c r="A4917" s="12"/>
      <c r="E4917" s="57" t="str">
        <f ca="1">IFERROR(__xludf.DUMMYFUNCTION("""COMPUTED_VALUE"""),"")</f>
        <v/>
      </c>
    </row>
    <row r="4918" spans="1:5">
      <c r="A4918" s="12"/>
      <c r="E4918" s="57" t="str">
        <f ca="1">IFERROR(__xludf.DUMMYFUNCTION("""COMPUTED_VALUE"""),"")</f>
        <v/>
      </c>
    </row>
    <row r="4919" spans="1:5">
      <c r="A4919" s="12"/>
      <c r="E4919" s="57" t="str">
        <f ca="1">IFERROR(__xludf.DUMMYFUNCTION("""COMPUTED_VALUE"""),"")</f>
        <v/>
      </c>
    </row>
    <row r="4920" spans="1:5">
      <c r="A4920" s="12"/>
      <c r="E4920" s="57" t="str">
        <f ca="1">IFERROR(__xludf.DUMMYFUNCTION("""COMPUTED_VALUE"""),"")</f>
        <v/>
      </c>
    </row>
    <row r="4921" spans="1:5">
      <c r="A4921" s="12"/>
      <c r="E4921" s="57" t="str">
        <f ca="1">IFERROR(__xludf.DUMMYFUNCTION("""COMPUTED_VALUE"""),"")</f>
        <v/>
      </c>
    </row>
    <row r="4922" spans="1:5">
      <c r="A4922" s="12"/>
      <c r="E4922" s="57" t="str">
        <f ca="1">IFERROR(__xludf.DUMMYFUNCTION("""COMPUTED_VALUE"""),"")</f>
        <v/>
      </c>
    </row>
    <row r="4923" spans="1:5">
      <c r="A4923" s="12"/>
      <c r="E4923" s="57" t="str">
        <f ca="1">IFERROR(__xludf.DUMMYFUNCTION("""COMPUTED_VALUE"""),"")</f>
        <v/>
      </c>
    </row>
    <row r="4924" spans="1:5">
      <c r="A4924" s="12"/>
      <c r="E4924" s="57" t="str">
        <f ca="1">IFERROR(__xludf.DUMMYFUNCTION("""COMPUTED_VALUE"""),"")</f>
        <v/>
      </c>
    </row>
    <row r="4925" spans="1:5">
      <c r="A4925" s="12"/>
      <c r="E4925" s="57" t="str">
        <f ca="1">IFERROR(__xludf.DUMMYFUNCTION("""COMPUTED_VALUE"""),"")</f>
        <v/>
      </c>
    </row>
    <row r="4926" spans="1:5">
      <c r="A4926" s="12"/>
      <c r="E4926" s="57" t="str">
        <f ca="1">IFERROR(__xludf.DUMMYFUNCTION("""COMPUTED_VALUE"""),"")</f>
        <v/>
      </c>
    </row>
    <row r="4927" spans="1:5">
      <c r="A4927" s="12"/>
      <c r="E4927" s="57" t="str">
        <f ca="1">IFERROR(__xludf.DUMMYFUNCTION("""COMPUTED_VALUE"""),"")</f>
        <v/>
      </c>
    </row>
    <row r="4928" spans="1:5">
      <c r="A4928" s="12"/>
      <c r="E4928" s="57" t="str">
        <f ca="1">IFERROR(__xludf.DUMMYFUNCTION("""COMPUTED_VALUE"""),"")</f>
        <v/>
      </c>
    </row>
    <row r="4929" spans="1:5">
      <c r="A4929" s="12"/>
      <c r="E4929" s="57" t="str">
        <f ca="1">IFERROR(__xludf.DUMMYFUNCTION("""COMPUTED_VALUE"""),"")</f>
        <v/>
      </c>
    </row>
    <row r="4930" spans="1:5">
      <c r="A4930" s="12"/>
      <c r="E4930" s="57" t="str">
        <f ca="1">IFERROR(__xludf.DUMMYFUNCTION("""COMPUTED_VALUE"""),"")</f>
        <v/>
      </c>
    </row>
    <row r="4931" spans="1:5">
      <c r="A4931" s="12"/>
      <c r="E4931" s="57" t="str">
        <f ca="1">IFERROR(__xludf.DUMMYFUNCTION("""COMPUTED_VALUE"""),"")</f>
        <v/>
      </c>
    </row>
    <row r="4932" spans="1:5">
      <c r="A4932" s="12"/>
      <c r="E4932" s="57" t="str">
        <f ca="1">IFERROR(__xludf.DUMMYFUNCTION("""COMPUTED_VALUE"""),"")</f>
        <v/>
      </c>
    </row>
    <row r="4933" spans="1:5">
      <c r="A4933" s="12"/>
      <c r="E4933" s="57" t="str">
        <f ca="1">IFERROR(__xludf.DUMMYFUNCTION("""COMPUTED_VALUE"""),"")</f>
        <v/>
      </c>
    </row>
    <row r="4934" spans="1:5">
      <c r="A4934" s="12"/>
      <c r="E4934" s="57" t="str">
        <f ca="1">IFERROR(__xludf.DUMMYFUNCTION("""COMPUTED_VALUE"""),"")</f>
        <v/>
      </c>
    </row>
    <row r="4935" spans="1:5">
      <c r="A4935" s="12"/>
      <c r="E4935" s="57" t="str">
        <f ca="1">IFERROR(__xludf.DUMMYFUNCTION("""COMPUTED_VALUE"""),"")</f>
        <v/>
      </c>
    </row>
    <row r="4936" spans="1:5">
      <c r="A4936" s="12"/>
      <c r="E4936" s="57" t="str">
        <f ca="1">IFERROR(__xludf.DUMMYFUNCTION("""COMPUTED_VALUE"""),"")</f>
        <v/>
      </c>
    </row>
    <row r="4937" spans="1:5">
      <c r="A4937" s="12"/>
      <c r="E4937" s="57" t="str">
        <f ca="1">IFERROR(__xludf.DUMMYFUNCTION("""COMPUTED_VALUE"""),"")</f>
        <v/>
      </c>
    </row>
    <row r="4938" spans="1:5">
      <c r="A4938" s="12"/>
      <c r="E4938" s="57" t="str">
        <f ca="1">IFERROR(__xludf.DUMMYFUNCTION("""COMPUTED_VALUE"""),"")</f>
        <v/>
      </c>
    </row>
    <row r="4939" spans="1:5">
      <c r="A4939" s="12"/>
      <c r="E4939" s="57" t="str">
        <f ca="1">IFERROR(__xludf.DUMMYFUNCTION("""COMPUTED_VALUE"""),"")</f>
        <v/>
      </c>
    </row>
    <row r="4940" spans="1:5">
      <c r="A4940" s="12"/>
      <c r="E4940" s="57" t="str">
        <f ca="1">IFERROR(__xludf.DUMMYFUNCTION("""COMPUTED_VALUE"""),"")</f>
        <v/>
      </c>
    </row>
    <row r="4941" spans="1:5">
      <c r="A4941" s="12"/>
      <c r="E4941" s="57" t="str">
        <f ca="1">IFERROR(__xludf.DUMMYFUNCTION("""COMPUTED_VALUE"""),"")</f>
        <v/>
      </c>
    </row>
    <row r="4942" spans="1:5">
      <c r="A4942" s="12"/>
      <c r="E4942" s="57" t="str">
        <f ca="1">IFERROR(__xludf.DUMMYFUNCTION("""COMPUTED_VALUE"""),"")</f>
        <v/>
      </c>
    </row>
    <row r="4943" spans="1:5">
      <c r="A4943" s="12"/>
      <c r="E4943" s="57" t="str">
        <f ca="1">IFERROR(__xludf.DUMMYFUNCTION("""COMPUTED_VALUE"""),"")</f>
        <v/>
      </c>
    </row>
    <row r="4944" spans="1:5">
      <c r="A4944" s="12"/>
      <c r="E4944" s="57" t="str">
        <f ca="1">IFERROR(__xludf.DUMMYFUNCTION("""COMPUTED_VALUE"""),"")</f>
        <v/>
      </c>
    </row>
    <row r="4945" spans="1:5">
      <c r="A4945" s="12"/>
      <c r="E4945" s="57" t="str">
        <f ca="1">IFERROR(__xludf.DUMMYFUNCTION("""COMPUTED_VALUE"""),"")</f>
        <v/>
      </c>
    </row>
    <row r="4946" spans="1:5">
      <c r="A4946" s="12"/>
      <c r="E4946" s="57" t="str">
        <f ca="1">IFERROR(__xludf.DUMMYFUNCTION("""COMPUTED_VALUE"""),"")</f>
        <v/>
      </c>
    </row>
    <row r="4947" spans="1:5">
      <c r="A4947" s="12"/>
      <c r="E4947" s="57" t="str">
        <f ca="1">IFERROR(__xludf.DUMMYFUNCTION("""COMPUTED_VALUE"""),"")</f>
        <v/>
      </c>
    </row>
    <row r="4948" spans="1:5">
      <c r="A4948" s="12"/>
      <c r="E4948" s="57" t="str">
        <f ca="1">IFERROR(__xludf.DUMMYFUNCTION("""COMPUTED_VALUE"""),"")</f>
        <v/>
      </c>
    </row>
    <row r="4949" spans="1:5">
      <c r="A4949" s="12"/>
      <c r="E4949" s="57" t="str">
        <f ca="1">IFERROR(__xludf.DUMMYFUNCTION("""COMPUTED_VALUE"""),"")</f>
        <v/>
      </c>
    </row>
    <row r="4950" spans="1:5">
      <c r="A4950" s="12"/>
      <c r="E4950" s="57" t="str">
        <f ca="1">IFERROR(__xludf.DUMMYFUNCTION("""COMPUTED_VALUE"""),"")</f>
        <v/>
      </c>
    </row>
    <row r="4951" spans="1:5">
      <c r="A4951" s="12"/>
      <c r="E4951" s="57" t="str">
        <f ca="1">IFERROR(__xludf.DUMMYFUNCTION("""COMPUTED_VALUE"""),"")</f>
        <v/>
      </c>
    </row>
    <row r="4952" spans="1:5">
      <c r="A4952" s="12"/>
      <c r="E4952" s="57" t="str">
        <f ca="1">IFERROR(__xludf.DUMMYFUNCTION("""COMPUTED_VALUE"""),"")</f>
        <v/>
      </c>
    </row>
    <row r="4953" spans="1:5">
      <c r="A4953" s="12"/>
      <c r="E4953" s="57" t="str">
        <f ca="1">IFERROR(__xludf.DUMMYFUNCTION("""COMPUTED_VALUE"""),"")</f>
        <v/>
      </c>
    </row>
    <row r="4954" spans="1:5">
      <c r="A4954" s="12"/>
      <c r="E4954" s="57" t="str">
        <f ca="1">IFERROR(__xludf.DUMMYFUNCTION("""COMPUTED_VALUE"""),"")</f>
        <v/>
      </c>
    </row>
    <row r="4955" spans="1:5">
      <c r="A4955" s="12"/>
      <c r="E4955" s="57" t="str">
        <f ca="1">IFERROR(__xludf.DUMMYFUNCTION("""COMPUTED_VALUE"""),"")</f>
        <v/>
      </c>
    </row>
    <row r="4956" spans="1:5">
      <c r="A4956" s="12"/>
      <c r="E4956" s="57" t="str">
        <f ca="1">IFERROR(__xludf.DUMMYFUNCTION("""COMPUTED_VALUE"""),"")</f>
        <v/>
      </c>
    </row>
    <row r="4957" spans="1:5">
      <c r="A4957" s="12"/>
      <c r="E4957" s="57" t="str">
        <f ca="1">IFERROR(__xludf.DUMMYFUNCTION("""COMPUTED_VALUE"""),"")</f>
        <v/>
      </c>
    </row>
    <row r="4958" spans="1:5">
      <c r="A4958" s="12"/>
      <c r="E4958" s="57" t="str">
        <f ca="1">IFERROR(__xludf.DUMMYFUNCTION("""COMPUTED_VALUE"""),"")</f>
        <v/>
      </c>
    </row>
    <row r="4959" spans="1:5">
      <c r="A4959" s="12"/>
      <c r="E4959" s="57" t="str">
        <f ca="1">IFERROR(__xludf.DUMMYFUNCTION("""COMPUTED_VALUE"""),"")</f>
        <v/>
      </c>
    </row>
    <row r="4960" spans="1:5">
      <c r="A4960" s="12"/>
      <c r="E4960" s="57" t="str">
        <f ca="1">IFERROR(__xludf.DUMMYFUNCTION("""COMPUTED_VALUE"""),"")</f>
        <v/>
      </c>
    </row>
    <row r="4961" spans="1:5">
      <c r="A4961" s="12"/>
      <c r="E4961" s="57" t="str">
        <f ca="1">IFERROR(__xludf.DUMMYFUNCTION("""COMPUTED_VALUE"""),"")</f>
        <v/>
      </c>
    </row>
    <row r="4962" spans="1:5">
      <c r="A4962" s="12"/>
      <c r="E4962" s="57" t="str">
        <f ca="1">IFERROR(__xludf.DUMMYFUNCTION("""COMPUTED_VALUE"""),"")</f>
        <v/>
      </c>
    </row>
    <row r="4963" spans="1:5">
      <c r="A4963" s="12"/>
      <c r="E4963" s="57" t="str">
        <f ca="1">IFERROR(__xludf.DUMMYFUNCTION("""COMPUTED_VALUE"""),"")</f>
        <v/>
      </c>
    </row>
    <row r="4964" spans="1:5">
      <c r="A4964" s="12"/>
      <c r="E4964" s="57" t="str">
        <f ca="1">IFERROR(__xludf.DUMMYFUNCTION("""COMPUTED_VALUE"""),"")</f>
        <v/>
      </c>
    </row>
    <row r="4965" spans="1:5">
      <c r="A4965" s="12"/>
      <c r="E4965" s="57" t="str">
        <f ca="1">IFERROR(__xludf.DUMMYFUNCTION("""COMPUTED_VALUE"""),"")</f>
        <v/>
      </c>
    </row>
    <row r="4966" spans="1:5">
      <c r="A4966" s="12"/>
      <c r="E4966" s="57" t="str">
        <f ca="1">IFERROR(__xludf.DUMMYFUNCTION("""COMPUTED_VALUE"""),"")</f>
        <v/>
      </c>
    </row>
    <row r="4967" spans="1:5">
      <c r="A4967" s="12"/>
      <c r="E4967" s="57" t="str">
        <f ca="1">IFERROR(__xludf.DUMMYFUNCTION("""COMPUTED_VALUE"""),"")</f>
        <v/>
      </c>
    </row>
    <row r="4968" spans="1:5">
      <c r="A4968" s="12"/>
      <c r="E4968" s="57" t="str">
        <f ca="1">IFERROR(__xludf.DUMMYFUNCTION("""COMPUTED_VALUE"""),"")</f>
        <v/>
      </c>
    </row>
    <row r="4969" spans="1:5">
      <c r="A4969" s="12"/>
      <c r="E4969" s="57" t="str">
        <f ca="1">IFERROR(__xludf.DUMMYFUNCTION("""COMPUTED_VALUE"""),"")</f>
        <v/>
      </c>
    </row>
    <row r="4970" spans="1:5">
      <c r="A4970" s="12"/>
      <c r="E4970" s="57" t="str">
        <f ca="1">IFERROR(__xludf.DUMMYFUNCTION("""COMPUTED_VALUE"""),"")</f>
        <v/>
      </c>
    </row>
    <row r="4971" spans="1:5">
      <c r="A4971" s="12"/>
      <c r="E4971" s="57" t="str">
        <f ca="1">IFERROR(__xludf.DUMMYFUNCTION("""COMPUTED_VALUE"""),"")</f>
        <v/>
      </c>
    </row>
    <row r="4972" spans="1:5">
      <c r="A4972" s="12"/>
      <c r="E4972" s="57" t="str">
        <f ca="1">IFERROR(__xludf.DUMMYFUNCTION("""COMPUTED_VALUE"""),"")</f>
        <v/>
      </c>
    </row>
    <row r="4973" spans="1:5">
      <c r="A4973" s="12"/>
      <c r="E4973" s="57" t="str">
        <f ca="1">IFERROR(__xludf.DUMMYFUNCTION("""COMPUTED_VALUE"""),"")</f>
        <v/>
      </c>
    </row>
    <row r="4974" spans="1:5">
      <c r="A4974" s="12"/>
      <c r="E4974" s="57" t="str">
        <f ca="1">IFERROR(__xludf.DUMMYFUNCTION("""COMPUTED_VALUE"""),"")</f>
        <v/>
      </c>
    </row>
    <row r="4975" spans="1:5">
      <c r="A4975" s="12"/>
      <c r="E4975" s="57" t="str">
        <f ca="1">IFERROR(__xludf.DUMMYFUNCTION("""COMPUTED_VALUE"""),"")</f>
        <v/>
      </c>
    </row>
    <row r="4976" spans="1:5">
      <c r="A4976" s="12"/>
      <c r="E4976" s="57" t="str">
        <f ca="1">IFERROR(__xludf.DUMMYFUNCTION("""COMPUTED_VALUE"""),"")</f>
        <v/>
      </c>
    </row>
    <row r="4977" spans="1:5">
      <c r="A4977" s="12"/>
      <c r="E4977" s="57" t="str">
        <f ca="1">IFERROR(__xludf.DUMMYFUNCTION("""COMPUTED_VALUE"""),"")</f>
        <v/>
      </c>
    </row>
    <row r="4978" spans="1:5">
      <c r="A4978" s="12"/>
      <c r="E4978" s="57" t="str">
        <f ca="1">IFERROR(__xludf.DUMMYFUNCTION("""COMPUTED_VALUE"""),"")</f>
        <v/>
      </c>
    </row>
    <row r="4979" spans="1:5">
      <c r="A4979" s="12"/>
      <c r="E4979" s="57" t="str">
        <f ca="1">IFERROR(__xludf.DUMMYFUNCTION("""COMPUTED_VALUE"""),"")</f>
        <v/>
      </c>
    </row>
    <row r="4980" spans="1:5">
      <c r="A4980" s="12"/>
      <c r="E4980" s="57" t="str">
        <f ca="1">IFERROR(__xludf.DUMMYFUNCTION("""COMPUTED_VALUE"""),"")</f>
        <v/>
      </c>
    </row>
    <row r="4981" spans="1:5">
      <c r="A4981" s="12"/>
      <c r="E4981" s="57" t="str">
        <f ca="1">IFERROR(__xludf.DUMMYFUNCTION("""COMPUTED_VALUE"""),"")</f>
        <v/>
      </c>
    </row>
    <row r="4982" spans="1:5">
      <c r="A4982" s="12"/>
      <c r="E4982" s="57" t="str">
        <f ca="1">IFERROR(__xludf.DUMMYFUNCTION("""COMPUTED_VALUE"""),"")</f>
        <v/>
      </c>
    </row>
    <row r="4983" spans="1:5">
      <c r="A4983" s="12"/>
      <c r="E4983" s="57" t="str">
        <f ca="1">IFERROR(__xludf.DUMMYFUNCTION("""COMPUTED_VALUE"""),"")</f>
        <v/>
      </c>
    </row>
    <row r="4984" spans="1:5">
      <c r="A4984" s="12"/>
      <c r="E4984" s="57" t="str">
        <f ca="1">IFERROR(__xludf.DUMMYFUNCTION("""COMPUTED_VALUE"""),"")</f>
        <v/>
      </c>
    </row>
    <row r="4985" spans="1:5">
      <c r="A4985" s="12"/>
      <c r="E4985" s="57" t="str">
        <f ca="1">IFERROR(__xludf.DUMMYFUNCTION("""COMPUTED_VALUE"""),"")</f>
        <v/>
      </c>
    </row>
    <row r="4986" spans="1:5">
      <c r="A4986" s="12"/>
      <c r="E4986" s="57" t="str">
        <f ca="1">IFERROR(__xludf.DUMMYFUNCTION("""COMPUTED_VALUE"""),"")</f>
        <v/>
      </c>
    </row>
    <row r="4987" spans="1:5">
      <c r="A4987" s="12"/>
      <c r="E4987" s="57" t="str">
        <f ca="1">IFERROR(__xludf.DUMMYFUNCTION("""COMPUTED_VALUE"""),"")</f>
        <v/>
      </c>
    </row>
    <row r="4988" spans="1:5">
      <c r="A4988" s="12"/>
      <c r="E4988" s="57" t="str">
        <f ca="1">IFERROR(__xludf.DUMMYFUNCTION("""COMPUTED_VALUE"""),"")</f>
        <v/>
      </c>
    </row>
    <row r="4989" spans="1:5">
      <c r="A4989" s="12"/>
      <c r="E4989" s="57" t="str">
        <f ca="1">IFERROR(__xludf.DUMMYFUNCTION("""COMPUTED_VALUE"""),"")</f>
        <v/>
      </c>
    </row>
    <row r="4990" spans="1:5">
      <c r="A4990" s="12"/>
      <c r="E4990" s="57" t="str">
        <f ca="1">IFERROR(__xludf.DUMMYFUNCTION("""COMPUTED_VALUE"""),"")</f>
        <v/>
      </c>
    </row>
    <row r="4991" spans="1:5">
      <c r="A4991" s="12"/>
      <c r="E4991" s="57" t="str">
        <f ca="1">IFERROR(__xludf.DUMMYFUNCTION("""COMPUTED_VALUE"""),"")</f>
        <v/>
      </c>
    </row>
    <row r="4992" spans="1:5">
      <c r="A4992" s="12"/>
      <c r="E4992" s="57" t="str">
        <f ca="1">IFERROR(__xludf.DUMMYFUNCTION("""COMPUTED_VALUE"""),"")</f>
        <v/>
      </c>
    </row>
    <row r="4993" spans="1:5">
      <c r="A4993" s="12"/>
      <c r="E4993" s="57" t="str">
        <f ca="1">IFERROR(__xludf.DUMMYFUNCTION("""COMPUTED_VALUE"""),"")</f>
        <v/>
      </c>
    </row>
    <row r="4994" spans="1:5">
      <c r="A4994" s="12"/>
      <c r="E4994" s="57" t="str">
        <f ca="1">IFERROR(__xludf.DUMMYFUNCTION("""COMPUTED_VALUE"""),"")</f>
        <v/>
      </c>
    </row>
    <row r="4995" spans="1:5">
      <c r="A4995" s="12"/>
      <c r="E4995" s="57" t="str">
        <f ca="1">IFERROR(__xludf.DUMMYFUNCTION("""COMPUTED_VALUE"""),"")</f>
        <v/>
      </c>
    </row>
    <row r="4996" spans="1:5">
      <c r="A4996" s="12"/>
      <c r="E4996" s="57" t="str">
        <f ca="1">IFERROR(__xludf.DUMMYFUNCTION("""COMPUTED_VALUE"""),"")</f>
        <v/>
      </c>
    </row>
    <row r="4997" spans="1:5">
      <c r="A4997" s="12"/>
      <c r="E4997" s="57" t="str">
        <f ca="1">IFERROR(__xludf.DUMMYFUNCTION("""COMPUTED_VALUE"""),"")</f>
        <v/>
      </c>
    </row>
    <row r="4998" spans="1:5">
      <c r="A4998" s="12"/>
      <c r="E4998" s="57" t="str">
        <f ca="1">IFERROR(__xludf.DUMMYFUNCTION("""COMPUTED_VALUE"""),"")</f>
        <v/>
      </c>
    </row>
    <row r="4999" spans="1:5">
      <c r="A4999" s="12"/>
      <c r="E4999" s="57" t="str">
        <f ca="1">IFERROR(__xludf.DUMMYFUNCTION("""COMPUTED_VALUE"""),"")</f>
        <v/>
      </c>
    </row>
    <row r="5000" spans="1:5">
      <c r="A5000" s="12"/>
      <c r="E5000" s="57" t="str">
        <f ca="1">IFERROR(__xludf.DUMMYFUNCTION("""COMPUTED_VALUE"""),"")</f>
        <v/>
      </c>
    </row>
    <row r="5001" spans="1:5">
      <c r="A5001" s="12"/>
      <c r="E5001" s="57" t="str">
        <f ca="1">IFERROR(__xludf.DUMMYFUNCTION("""COMPUTED_VALUE"""),"")</f>
        <v/>
      </c>
    </row>
    <row r="5002" spans="1:5">
      <c r="A5002" s="12"/>
      <c r="E5002" s="57" t="str">
        <f ca="1">IFERROR(__xludf.DUMMYFUNCTION("""COMPUTED_VALUE"""),"")</f>
        <v/>
      </c>
    </row>
    <row r="5003" spans="1:5">
      <c r="A5003" s="12"/>
      <c r="E5003" s="57" t="str">
        <f ca="1">IFERROR(__xludf.DUMMYFUNCTION("""COMPUTED_VALUE"""),"")</f>
        <v/>
      </c>
    </row>
    <row r="5004" spans="1:5">
      <c r="A5004" s="12"/>
      <c r="E5004" s="57" t="str">
        <f ca="1">IFERROR(__xludf.DUMMYFUNCTION("""COMPUTED_VALUE"""),"")</f>
        <v/>
      </c>
    </row>
    <row r="5005" spans="1:5">
      <c r="A5005" s="12"/>
      <c r="E5005" s="57" t="str">
        <f ca="1">IFERROR(__xludf.DUMMYFUNCTION("""COMPUTED_VALUE"""),"")</f>
        <v/>
      </c>
    </row>
    <row r="5006" spans="1:5">
      <c r="A5006" s="12"/>
      <c r="E5006" s="57" t="str">
        <f ca="1">IFERROR(__xludf.DUMMYFUNCTION("""COMPUTED_VALUE"""),"")</f>
        <v/>
      </c>
    </row>
    <row r="5007" spans="1:5">
      <c r="A5007" s="12"/>
      <c r="E5007" s="57" t="str">
        <f ca="1">IFERROR(__xludf.DUMMYFUNCTION("""COMPUTED_VALUE"""),"")</f>
        <v/>
      </c>
    </row>
    <row r="5008" spans="1:5">
      <c r="A5008" s="12"/>
      <c r="E5008" s="57" t="str">
        <f ca="1">IFERROR(__xludf.DUMMYFUNCTION("""COMPUTED_VALUE"""),"")</f>
        <v/>
      </c>
    </row>
    <row r="5009" spans="1:5">
      <c r="A5009" s="12"/>
      <c r="E5009" s="57" t="str">
        <f ca="1">IFERROR(__xludf.DUMMYFUNCTION("""COMPUTED_VALUE"""),"")</f>
        <v/>
      </c>
    </row>
    <row r="5010" spans="1:5">
      <c r="A5010" s="12"/>
      <c r="E5010" s="57" t="str">
        <f ca="1">IFERROR(__xludf.DUMMYFUNCTION("""COMPUTED_VALUE"""),"")</f>
        <v/>
      </c>
    </row>
    <row r="5011" spans="1:5">
      <c r="A5011" s="12"/>
      <c r="E5011" s="57" t="str">
        <f ca="1">IFERROR(__xludf.DUMMYFUNCTION("""COMPUTED_VALUE"""),"")</f>
        <v/>
      </c>
    </row>
    <row r="5012" spans="1:5">
      <c r="A5012" s="12"/>
      <c r="E5012" s="57" t="str">
        <f ca="1">IFERROR(__xludf.DUMMYFUNCTION("""COMPUTED_VALUE"""),"")</f>
        <v/>
      </c>
    </row>
    <row r="5013" spans="1:5">
      <c r="A5013" s="12"/>
      <c r="E5013" s="57" t="str">
        <f ca="1">IFERROR(__xludf.DUMMYFUNCTION("""COMPUTED_VALUE"""),"")</f>
        <v/>
      </c>
    </row>
    <row r="5014" spans="1:5">
      <c r="A5014" s="12"/>
      <c r="E5014" s="57" t="str">
        <f ca="1">IFERROR(__xludf.DUMMYFUNCTION("""COMPUTED_VALUE"""),"")</f>
        <v/>
      </c>
    </row>
    <row r="5015" spans="1:5">
      <c r="A5015" s="12"/>
      <c r="E5015" s="57" t="str">
        <f ca="1">IFERROR(__xludf.DUMMYFUNCTION("""COMPUTED_VALUE"""),"")</f>
        <v/>
      </c>
    </row>
    <row r="5016" spans="1:5">
      <c r="A5016" s="12"/>
      <c r="E5016" s="57" t="str">
        <f ca="1">IFERROR(__xludf.DUMMYFUNCTION("""COMPUTED_VALUE"""),"")</f>
        <v/>
      </c>
    </row>
    <row r="5017" spans="1:5">
      <c r="A5017" s="12"/>
      <c r="E5017" s="57" t="str">
        <f ca="1">IFERROR(__xludf.DUMMYFUNCTION("""COMPUTED_VALUE"""),"")</f>
        <v/>
      </c>
    </row>
    <row r="5018" spans="1:5">
      <c r="A5018" s="12"/>
      <c r="E5018" s="57" t="str">
        <f ca="1">IFERROR(__xludf.DUMMYFUNCTION("""COMPUTED_VALUE"""),"")</f>
        <v/>
      </c>
    </row>
    <row r="5019" spans="1:5">
      <c r="A5019" s="12"/>
      <c r="E5019" s="57" t="str">
        <f ca="1">IFERROR(__xludf.DUMMYFUNCTION("""COMPUTED_VALUE"""),"")</f>
        <v/>
      </c>
    </row>
    <row r="5020" spans="1:5">
      <c r="A5020" s="12"/>
      <c r="E5020" s="57" t="str">
        <f ca="1">IFERROR(__xludf.DUMMYFUNCTION("""COMPUTED_VALUE"""),"")</f>
        <v/>
      </c>
    </row>
    <row r="5021" spans="1:5">
      <c r="A5021" s="12"/>
      <c r="E5021" s="57" t="str">
        <f ca="1">IFERROR(__xludf.DUMMYFUNCTION("""COMPUTED_VALUE"""),"")</f>
        <v/>
      </c>
    </row>
    <row r="5022" spans="1:5">
      <c r="A5022" s="12"/>
      <c r="E5022" s="57" t="str">
        <f ca="1">IFERROR(__xludf.DUMMYFUNCTION("""COMPUTED_VALUE"""),"")</f>
        <v/>
      </c>
    </row>
    <row r="5023" spans="1:5">
      <c r="A5023" s="12"/>
      <c r="E5023" s="57" t="str">
        <f ca="1">IFERROR(__xludf.DUMMYFUNCTION("""COMPUTED_VALUE"""),"")</f>
        <v/>
      </c>
    </row>
    <row r="5024" spans="1:5">
      <c r="A5024" s="12"/>
      <c r="E5024" s="57" t="str">
        <f ca="1">IFERROR(__xludf.DUMMYFUNCTION("""COMPUTED_VALUE"""),"")</f>
        <v/>
      </c>
    </row>
    <row r="5025" spans="1:5">
      <c r="A5025" s="12"/>
      <c r="E5025" s="57" t="str">
        <f ca="1">IFERROR(__xludf.DUMMYFUNCTION("""COMPUTED_VALUE"""),"")</f>
        <v/>
      </c>
    </row>
    <row r="5026" spans="1:5">
      <c r="A5026" s="12"/>
      <c r="E5026" s="57" t="str">
        <f ca="1">IFERROR(__xludf.DUMMYFUNCTION("""COMPUTED_VALUE"""),"")</f>
        <v/>
      </c>
    </row>
    <row r="5027" spans="1:5">
      <c r="A5027" s="12"/>
      <c r="E5027" s="57" t="str">
        <f ca="1">IFERROR(__xludf.DUMMYFUNCTION("""COMPUTED_VALUE"""),"")</f>
        <v/>
      </c>
    </row>
    <row r="5028" spans="1:5">
      <c r="A5028" s="12"/>
      <c r="E5028" s="57" t="str">
        <f ca="1">IFERROR(__xludf.DUMMYFUNCTION("""COMPUTED_VALUE"""),"")</f>
        <v/>
      </c>
    </row>
    <row r="5029" spans="1:5">
      <c r="A5029" s="12"/>
      <c r="E5029" s="57" t="str">
        <f ca="1">IFERROR(__xludf.DUMMYFUNCTION("""COMPUTED_VALUE"""),"")</f>
        <v/>
      </c>
    </row>
    <row r="5030" spans="1:5">
      <c r="A5030" s="12"/>
      <c r="E5030" s="57" t="str">
        <f ca="1">IFERROR(__xludf.DUMMYFUNCTION("""COMPUTED_VALUE"""),"")</f>
        <v/>
      </c>
    </row>
    <row r="5031" spans="1:5">
      <c r="A5031" s="12"/>
      <c r="E5031" s="57" t="str">
        <f ca="1">IFERROR(__xludf.DUMMYFUNCTION("""COMPUTED_VALUE"""),"")</f>
        <v/>
      </c>
    </row>
    <row r="5032" spans="1:5">
      <c r="A5032" s="12"/>
      <c r="E5032" s="57" t="str">
        <f ca="1">IFERROR(__xludf.DUMMYFUNCTION("""COMPUTED_VALUE"""),"")</f>
        <v/>
      </c>
    </row>
    <row r="5033" spans="1:5">
      <c r="A5033" s="12"/>
      <c r="E5033" s="57" t="str">
        <f ca="1">IFERROR(__xludf.DUMMYFUNCTION("""COMPUTED_VALUE"""),"")</f>
        <v/>
      </c>
    </row>
    <row r="5034" spans="1:5">
      <c r="A5034" s="12"/>
      <c r="E5034" s="57" t="str">
        <f ca="1">IFERROR(__xludf.DUMMYFUNCTION("""COMPUTED_VALUE"""),"")</f>
        <v/>
      </c>
    </row>
    <row r="5035" spans="1:5">
      <c r="A5035" s="12"/>
      <c r="E5035" s="57" t="str">
        <f ca="1">IFERROR(__xludf.DUMMYFUNCTION("""COMPUTED_VALUE"""),"")</f>
        <v/>
      </c>
    </row>
    <row r="5036" spans="1:5">
      <c r="A5036" s="12"/>
      <c r="E5036" s="57" t="str">
        <f ca="1">IFERROR(__xludf.DUMMYFUNCTION("""COMPUTED_VALUE"""),"")</f>
        <v/>
      </c>
    </row>
    <row r="5037" spans="1:5">
      <c r="A5037" s="12"/>
      <c r="E5037" s="57" t="str">
        <f ca="1">IFERROR(__xludf.DUMMYFUNCTION("""COMPUTED_VALUE"""),"")</f>
        <v/>
      </c>
    </row>
    <row r="5038" spans="1:5">
      <c r="A5038" s="12"/>
      <c r="E5038" s="57" t="str">
        <f ca="1">IFERROR(__xludf.DUMMYFUNCTION("""COMPUTED_VALUE"""),"")</f>
        <v/>
      </c>
    </row>
    <row r="5039" spans="1:5">
      <c r="A5039" s="12"/>
      <c r="E5039" s="57" t="str">
        <f ca="1">IFERROR(__xludf.DUMMYFUNCTION("""COMPUTED_VALUE"""),"")</f>
        <v/>
      </c>
    </row>
    <row r="5040" spans="1:5">
      <c r="A5040" s="12"/>
      <c r="E5040" s="57" t="str">
        <f ca="1">IFERROR(__xludf.DUMMYFUNCTION("""COMPUTED_VALUE"""),"")</f>
        <v/>
      </c>
    </row>
    <row r="5041" spans="1:5">
      <c r="A5041" s="12"/>
      <c r="E5041" s="57" t="str">
        <f ca="1">IFERROR(__xludf.DUMMYFUNCTION("""COMPUTED_VALUE"""),"")</f>
        <v/>
      </c>
    </row>
    <row r="5042" spans="1:5">
      <c r="A5042" s="12"/>
      <c r="E5042" s="57" t="str">
        <f ca="1">IFERROR(__xludf.DUMMYFUNCTION("""COMPUTED_VALUE"""),"")</f>
        <v/>
      </c>
    </row>
    <row r="5043" spans="1:5">
      <c r="A5043" s="12"/>
      <c r="E5043" s="57" t="str">
        <f ca="1">IFERROR(__xludf.DUMMYFUNCTION("""COMPUTED_VALUE"""),"")</f>
        <v/>
      </c>
    </row>
    <row r="5044" spans="1:5">
      <c r="A5044" s="12"/>
      <c r="E5044" s="57" t="str">
        <f ca="1">IFERROR(__xludf.DUMMYFUNCTION("""COMPUTED_VALUE"""),"")</f>
        <v/>
      </c>
    </row>
    <row r="5045" spans="1:5">
      <c r="A5045" s="12"/>
      <c r="E5045" s="57" t="str">
        <f ca="1">IFERROR(__xludf.DUMMYFUNCTION("""COMPUTED_VALUE"""),"")</f>
        <v/>
      </c>
    </row>
    <row r="5046" spans="1:5">
      <c r="A5046" s="12"/>
      <c r="E5046" s="57" t="str">
        <f ca="1">IFERROR(__xludf.DUMMYFUNCTION("""COMPUTED_VALUE"""),"")</f>
        <v/>
      </c>
    </row>
    <row r="5047" spans="1:5">
      <c r="A5047" s="12"/>
      <c r="E5047" s="57" t="str">
        <f ca="1">IFERROR(__xludf.DUMMYFUNCTION("""COMPUTED_VALUE"""),"")</f>
        <v/>
      </c>
    </row>
    <row r="5048" spans="1:5">
      <c r="A5048" s="12"/>
      <c r="E5048" s="57" t="str">
        <f ca="1">IFERROR(__xludf.DUMMYFUNCTION("""COMPUTED_VALUE"""),"")</f>
        <v/>
      </c>
    </row>
    <row r="5049" spans="1:5">
      <c r="A5049" s="12"/>
      <c r="E5049" s="57" t="str">
        <f ca="1">IFERROR(__xludf.DUMMYFUNCTION("""COMPUTED_VALUE"""),"")</f>
        <v/>
      </c>
    </row>
    <row r="5050" spans="1:5">
      <c r="A5050" s="12"/>
      <c r="E5050" s="57" t="str">
        <f ca="1">IFERROR(__xludf.DUMMYFUNCTION("""COMPUTED_VALUE"""),"")</f>
        <v/>
      </c>
    </row>
    <row r="5051" spans="1:5">
      <c r="A5051" s="12"/>
      <c r="E5051" s="57" t="str">
        <f ca="1">IFERROR(__xludf.DUMMYFUNCTION("""COMPUTED_VALUE"""),"")</f>
        <v/>
      </c>
    </row>
    <row r="5052" spans="1:5">
      <c r="A5052" s="12"/>
      <c r="E5052" s="57" t="str">
        <f ca="1">IFERROR(__xludf.DUMMYFUNCTION("""COMPUTED_VALUE"""),"")</f>
        <v/>
      </c>
    </row>
    <row r="5053" spans="1:5">
      <c r="A5053" s="12"/>
      <c r="E5053" s="57" t="str">
        <f ca="1">IFERROR(__xludf.DUMMYFUNCTION("""COMPUTED_VALUE"""),"")</f>
        <v/>
      </c>
    </row>
    <row r="5054" spans="1:5">
      <c r="A5054" s="12"/>
      <c r="E5054" s="57" t="str">
        <f ca="1">IFERROR(__xludf.DUMMYFUNCTION("""COMPUTED_VALUE"""),"")</f>
        <v/>
      </c>
    </row>
    <row r="5055" spans="1:5">
      <c r="A5055" s="12"/>
      <c r="E5055" s="57" t="str">
        <f ca="1">IFERROR(__xludf.DUMMYFUNCTION("""COMPUTED_VALUE"""),"")</f>
        <v/>
      </c>
    </row>
    <row r="5056" spans="1:5">
      <c r="A5056" s="12"/>
      <c r="E5056" s="57" t="str">
        <f ca="1">IFERROR(__xludf.DUMMYFUNCTION("""COMPUTED_VALUE"""),"")</f>
        <v/>
      </c>
    </row>
    <row r="5057" spans="1:5">
      <c r="A5057" s="12"/>
      <c r="E5057" s="57" t="str">
        <f ca="1">IFERROR(__xludf.DUMMYFUNCTION("""COMPUTED_VALUE"""),"")</f>
        <v/>
      </c>
    </row>
    <row r="5058" spans="1:5">
      <c r="A5058" s="12"/>
      <c r="E5058" s="57" t="str">
        <f ca="1">IFERROR(__xludf.DUMMYFUNCTION("""COMPUTED_VALUE"""),"")</f>
        <v/>
      </c>
    </row>
    <row r="5059" spans="1:5">
      <c r="A5059" s="12"/>
      <c r="E5059" s="57" t="str">
        <f ca="1">IFERROR(__xludf.DUMMYFUNCTION("""COMPUTED_VALUE"""),"")</f>
        <v/>
      </c>
    </row>
    <row r="5060" spans="1:5">
      <c r="A5060" s="12"/>
      <c r="E5060" s="57" t="str">
        <f ca="1">IFERROR(__xludf.DUMMYFUNCTION("""COMPUTED_VALUE"""),"")</f>
        <v/>
      </c>
    </row>
    <row r="5061" spans="1:5">
      <c r="A5061" s="12"/>
      <c r="E5061" s="57" t="str">
        <f ca="1">IFERROR(__xludf.DUMMYFUNCTION("""COMPUTED_VALUE"""),"")</f>
        <v/>
      </c>
    </row>
    <row r="5062" spans="1:5">
      <c r="A5062" s="12"/>
      <c r="E5062" s="57" t="str">
        <f ca="1">IFERROR(__xludf.DUMMYFUNCTION("""COMPUTED_VALUE"""),"")</f>
        <v/>
      </c>
    </row>
    <row r="5063" spans="1:5">
      <c r="A5063" s="12"/>
      <c r="E5063" s="57" t="str">
        <f ca="1">IFERROR(__xludf.DUMMYFUNCTION("""COMPUTED_VALUE"""),"")</f>
        <v/>
      </c>
    </row>
    <row r="5064" spans="1:5">
      <c r="A5064" s="12"/>
      <c r="E5064" s="57" t="str">
        <f ca="1">IFERROR(__xludf.DUMMYFUNCTION("""COMPUTED_VALUE"""),"")</f>
        <v/>
      </c>
    </row>
    <row r="5065" spans="1:5">
      <c r="A5065" s="12"/>
      <c r="E5065" s="57" t="str">
        <f ca="1">IFERROR(__xludf.DUMMYFUNCTION("""COMPUTED_VALUE"""),"")</f>
        <v/>
      </c>
    </row>
    <row r="5066" spans="1:5">
      <c r="A5066" s="12"/>
      <c r="E5066" s="57" t="str">
        <f ca="1">IFERROR(__xludf.DUMMYFUNCTION("""COMPUTED_VALUE"""),"")</f>
        <v/>
      </c>
    </row>
    <row r="5067" spans="1:5">
      <c r="A5067" s="12"/>
      <c r="E5067" s="57" t="str">
        <f ca="1">IFERROR(__xludf.DUMMYFUNCTION("""COMPUTED_VALUE"""),"")</f>
        <v/>
      </c>
    </row>
    <row r="5068" spans="1:5">
      <c r="A5068" s="12"/>
      <c r="E5068" s="57" t="str">
        <f ca="1">IFERROR(__xludf.DUMMYFUNCTION("""COMPUTED_VALUE"""),"")</f>
        <v/>
      </c>
    </row>
    <row r="5069" spans="1:5">
      <c r="A5069" s="12"/>
      <c r="E5069" s="57" t="str">
        <f ca="1">IFERROR(__xludf.DUMMYFUNCTION("""COMPUTED_VALUE"""),"")</f>
        <v/>
      </c>
    </row>
    <row r="5070" spans="1:5">
      <c r="A5070" s="12"/>
      <c r="E5070" s="57" t="str">
        <f ca="1">IFERROR(__xludf.DUMMYFUNCTION("""COMPUTED_VALUE"""),"")</f>
        <v/>
      </c>
    </row>
    <row r="5071" spans="1:5">
      <c r="A5071" s="12"/>
      <c r="E5071" s="57" t="str">
        <f ca="1">IFERROR(__xludf.DUMMYFUNCTION("""COMPUTED_VALUE"""),"")</f>
        <v/>
      </c>
    </row>
    <row r="5072" spans="1:5">
      <c r="A5072" s="12"/>
      <c r="E5072" s="57" t="str">
        <f ca="1">IFERROR(__xludf.DUMMYFUNCTION("""COMPUTED_VALUE"""),"")</f>
        <v/>
      </c>
    </row>
    <row r="5073" spans="1:5">
      <c r="A5073" s="12"/>
      <c r="E5073" s="57" t="str">
        <f ca="1">IFERROR(__xludf.DUMMYFUNCTION("""COMPUTED_VALUE"""),"")</f>
        <v/>
      </c>
    </row>
    <row r="5074" spans="1:5">
      <c r="A5074" s="12"/>
      <c r="E5074" s="57" t="str">
        <f ca="1">IFERROR(__xludf.DUMMYFUNCTION("""COMPUTED_VALUE"""),"")</f>
        <v/>
      </c>
    </row>
    <row r="5075" spans="1:5">
      <c r="A5075" s="12"/>
      <c r="E5075" s="57" t="str">
        <f ca="1">IFERROR(__xludf.DUMMYFUNCTION("""COMPUTED_VALUE"""),"")</f>
        <v/>
      </c>
    </row>
    <row r="5076" spans="1:5">
      <c r="A5076" s="12"/>
      <c r="E5076" s="57" t="str">
        <f ca="1">IFERROR(__xludf.DUMMYFUNCTION("""COMPUTED_VALUE"""),"")</f>
        <v/>
      </c>
    </row>
    <row r="5077" spans="1:5">
      <c r="A5077" s="12"/>
      <c r="E5077" s="57" t="str">
        <f ca="1">IFERROR(__xludf.DUMMYFUNCTION("""COMPUTED_VALUE"""),"")</f>
        <v/>
      </c>
    </row>
    <row r="5078" spans="1:5">
      <c r="A5078" s="12"/>
      <c r="E5078" s="57" t="str">
        <f ca="1">IFERROR(__xludf.DUMMYFUNCTION("""COMPUTED_VALUE"""),"")</f>
        <v/>
      </c>
    </row>
    <row r="5079" spans="1:5">
      <c r="A5079" s="12"/>
      <c r="E5079" s="57" t="str">
        <f ca="1">IFERROR(__xludf.DUMMYFUNCTION("""COMPUTED_VALUE"""),"")</f>
        <v/>
      </c>
    </row>
    <row r="5080" spans="1:5">
      <c r="A5080" s="12"/>
      <c r="E5080" s="57" t="str">
        <f ca="1">IFERROR(__xludf.DUMMYFUNCTION("""COMPUTED_VALUE"""),"")</f>
        <v/>
      </c>
    </row>
    <row r="5081" spans="1:5">
      <c r="A5081" s="12"/>
      <c r="E5081" s="57" t="str">
        <f ca="1">IFERROR(__xludf.DUMMYFUNCTION("""COMPUTED_VALUE"""),"")</f>
        <v/>
      </c>
    </row>
    <row r="5082" spans="1:5">
      <c r="A5082" s="12"/>
      <c r="E5082" s="57" t="str">
        <f ca="1">IFERROR(__xludf.DUMMYFUNCTION("""COMPUTED_VALUE"""),"")</f>
        <v/>
      </c>
    </row>
    <row r="5083" spans="1:5">
      <c r="A5083" s="12"/>
      <c r="E5083" s="57" t="str">
        <f ca="1">IFERROR(__xludf.DUMMYFUNCTION("""COMPUTED_VALUE"""),"")</f>
        <v/>
      </c>
    </row>
    <row r="5084" spans="1:5">
      <c r="A5084" s="12"/>
      <c r="E5084" s="57" t="str">
        <f ca="1">IFERROR(__xludf.DUMMYFUNCTION("""COMPUTED_VALUE"""),"")</f>
        <v/>
      </c>
    </row>
    <row r="5085" spans="1:5">
      <c r="A5085" s="12"/>
      <c r="E5085" s="57" t="str">
        <f ca="1">IFERROR(__xludf.DUMMYFUNCTION("""COMPUTED_VALUE"""),"")</f>
        <v/>
      </c>
    </row>
    <row r="5086" spans="1:5">
      <c r="A5086" s="12"/>
      <c r="E5086" s="57" t="str">
        <f ca="1">IFERROR(__xludf.DUMMYFUNCTION("""COMPUTED_VALUE"""),"")</f>
        <v/>
      </c>
    </row>
    <row r="5087" spans="1:5">
      <c r="A5087" s="12"/>
      <c r="E5087" s="57" t="str">
        <f ca="1">IFERROR(__xludf.DUMMYFUNCTION("""COMPUTED_VALUE"""),"")</f>
        <v/>
      </c>
    </row>
    <row r="5088" spans="1:5">
      <c r="A5088" s="12"/>
      <c r="E5088" s="57" t="str">
        <f ca="1">IFERROR(__xludf.DUMMYFUNCTION("""COMPUTED_VALUE"""),"")</f>
        <v/>
      </c>
    </row>
    <row r="5089" spans="1:5">
      <c r="A5089" s="12"/>
      <c r="E5089" s="57" t="str">
        <f ca="1">IFERROR(__xludf.DUMMYFUNCTION("""COMPUTED_VALUE"""),"")</f>
        <v/>
      </c>
    </row>
    <row r="5090" spans="1:5">
      <c r="A5090" s="12"/>
      <c r="E5090" s="57" t="str">
        <f ca="1">IFERROR(__xludf.DUMMYFUNCTION("""COMPUTED_VALUE"""),"")</f>
        <v/>
      </c>
    </row>
    <row r="5091" spans="1:5">
      <c r="A5091" s="12"/>
      <c r="E5091" s="57" t="str">
        <f ca="1">IFERROR(__xludf.DUMMYFUNCTION("""COMPUTED_VALUE"""),"")</f>
        <v/>
      </c>
    </row>
    <row r="5092" spans="1:5">
      <c r="A5092" s="12"/>
      <c r="E5092" s="57" t="str">
        <f ca="1">IFERROR(__xludf.DUMMYFUNCTION("""COMPUTED_VALUE"""),"")</f>
        <v/>
      </c>
    </row>
    <row r="5093" spans="1:5">
      <c r="A5093" s="12"/>
      <c r="E5093" s="57" t="str">
        <f ca="1">IFERROR(__xludf.DUMMYFUNCTION("""COMPUTED_VALUE"""),"")</f>
        <v/>
      </c>
    </row>
    <row r="5094" spans="1:5">
      <c r="A5094" s="12"/>
      <c r="E5094" s="57" t="str">
        <f ca="1">IFERROR(__xludf.DUMMYFUNCTION("""COMPUTED_VALUE"""),"")</f>
        <v/>
      </c>
    </row>
    <row r="5095" spans="1:5">
      <c r="A5095" s="12"/>
      <c r="E5095" s="57" t="str">
        <f ca="1">IFERROR(__xludf.DUMMYFUNCTION("""COMPUTED_VALUE"""),"")</f>
        <v/>
      </c>
    </row>
    <row r="5096" spans="1:5">
      <c r="A5096" s="12"/>
      <c r="E5096" s="57" t="str">
        <f ca="1">IFERROR(__xludf.DUMMYFUNCTION("""COMPUTED_VALUE"""),"")</f>
        <v/>
      </c>
    </row>
    <row r="5097" spans="1:5">
      <c r="A5097" s="12"/>
      <c r="E5097" s="57" t="str">
        <f ca="1">IFERROR(__xludf.DUMMYFUNCTION("""COMPUTED_VALUE"""),"")</f>
        <v/>
      </c>
    </row>
    <row r="5098" spans="1:5">
      <c r="A5098" s="12"/>
      <c r="E5098" s="57" t="str">
        <f ca="1">IFERROR(__xludf.DUMMYFUNCTION("""COMPUTED_VALUE"""),"")</f>
        <v/>
      </c>
    </row>
    <row r="5099" spans="1:5">
      <c r="A5099" s="12"/>
      <c r="E5099" s="57" t="str">
        <f ca="1">IFERROR(__xludf.DUMMYFUNCTION("""COMPUTED_VALUE"""),"")</f>
        <v/>
      </c>
    </row>
    <row r="5100" spans="1:5">
      <c r="A5100" s="12"/>
      <c r="E5100" s="57" t="str">
        <f ca="1">IFERROR(__xludf.DUMMYFUNCTION("""COMPUTED_VALUE"""),"")</f>
        <v/>
      </c>
    </row>
    <row r="5101" spans="1:5">
      <c r="A5101" s="12"/>
      <c r="E5101" s="57" t="str">
        <f ca="1">IFERROR(__xludf.DUMMYFUNCTION("""COMPUTED_VALUE"""),"")</f>
        <v/>
      </c>
    </row>
    <row r="5102" spans="1:5">
      <c r="A5102" s="12"/>
      <c r="E5102" s="57" t="str">
        <f ca="1">IFERROR(__xludf.DUMMYFUNCTION("""COMPUTED_VALUE"""),"")</f>
        <v/>
      </c>
    </row>
    <row r="5103" spans="1:5">
      <c r="A5103" s="12"/>
      <c r="E5103" s="57" t="str">
        <f ca="1">IFERROR(__xludf.DUMMYFUNCTION("""COMPUTED_VALUE"""),"")</f>
        <v/>
      </c>
    </row>
    <row r="5104" spans="1:5">
      <c r="A5104" s="12"/>
      <c r="E5104" s="57" t="str">
        <f ca="1">IFERROR(__xludf.DUMMYFUNCTION("""COMPUTED_VALUE"""),"")</f>
        <v/>
      </c>
    </row>
    <row r="5105" spans="1:5">
      <c r="A5105" s="12"/>
      <c r="E5105" s="57" t="str">
        <f ca="1">IFERROR(__xludf.DUMMYFUNCTION("""COMPUTED_VALUE"""),"")</f>
        <v/>
      </c>
    </row>
    <row r="5106" spans="1:5">
      <c r="A5106" s="12"/>
      <c r="E5106" s="57" t="str">
        <f ca="1">IFERROR(__xludf.DUMMYFUNCTION("""COMPUTED_VALUE"""),"")</f>
        <v/>
      </c>
    </row>
    <row r="5107" spans="1:5">
      <c r="A5107" s="12"/>
      <c r="E5107" s="57" t="str">
        <f ca="1">IFERROR(__xludf.DUMMYFUNCTION("""COMPUTED_VALUE"""),"")</f>
        <v/>
      </c>
    </row>
    <row r="5108" spans="1:5">
      <c r="A5108" s="12"/>
      <c r="E5108" s="57" t="str">
        <f ca="1">IFERROR(__xludf.DUMMYFUNCTION("""COMPUTED_VALUE"""),"")</f>
        <v/>
      </c>
    </row>
    <row r="5109" spans="1:5">
      <c r="A5109" s="12"/>
      <c r="E5109" s="57" t="str">
        <f ca="1">IFERROR(__xludf.DUMMYFUNCTION("""COMPUTED_VALUE"""),"")</f>
        <v/>
      </c>
    </row>
    <row r="5110" spans="1:5">
      <c r="A5110" s="12"/>
      <c r="E5110" s="57" t="str">
        <f ca="1">IFERROR(__xludf.DUMMYFUNCTION("""COMPUTED_VALUE"""),"")</f>
        <v/>
      </c>
    </row>
    <row r="5111" spans="1:5">
      <c r="A5111" s="12"/>
      <c r="E5111" s="57" t="str">
        <f ca="1">IFERROR(__xludf.DUMMYFUNCTION("""COMPUTED_VALUE"""),"")</f>
        <v/>
      </c>
    </row>
    <row r="5112" spans="1:5">
      <c r="A5112" s="12"/>
      <c r="E5112" s="57" t="str">
        <f ca="1">IFERROR(__xludf.DUMMYFUNCTION("""COMPUTED_VALUE"""),"")</f>
        <v/>
      </c>
    </row>
    <row r="5113" spans="1:5">
      <c r="A5113" s="12"/>
      <c r="E5113" s="57" t="str">
        <f ca="1">IFERROR(__xludf.DUMMYFUNCTION("""COMPUTED_VALUE"""),"")</f>
        <v/>
      </c>
    </row>
    <row r="5114" spans="1:5">
      <c r="A5114" s="12"/>
      <c r="E5114" s="57" t="str">
        <f ca="1">IFERROR(__xludf.DUMMYFUNCTION("""COMPUTED_VALUE"""),"")</f>
        <v/>
      </c>
    </row>
    <row r="5115" spans="1:5">
      <c r="A5115" s="12"/>
      <c r="E5115" s="57" t="str">
        <f ca="1">IFERROR(__xludf.DUMMYFUNCTION("""COMPUTED_VALUE"""),"")</f>
        <v/>
      </c>
    </row>
    <row r="5116" spans="1:5">
      <c r="A5116" s="12"/>
      <c r="E5116" s="57" t="str">
        <f ca="1">IFERROR(__xludf.DUMMYFUNCTION("""COMPUTED_VALUE"""),"")</f>
        <v/>
      </c>
    </row>
    <row r="5117" spans="1:5">
      <c r="A5117" s="12"/>
      <c r="E5117" s="57" t="str">
        <f ca="1">IFERROR(__xludf.DUMMYFUNCTION("""COMPUTED_VALUE"""),"")</f>
        <v/>
      </c>
    </row>
    <row r="5118" spans="1:5">
      <c r="A5118" s="12"/>
      <c r="E5118" s="57" t="str">
        <f ca="1">IFERROR(__xludf.DUMMYFUNCTION("""COMPUTED_VALUE"""),"")</f>
        <v/>
      </c>
    </row>
    <row r="5119" spans="1:5">
      <c r="A5119" s="12"/>
      <c r="E5119" s="57" t="str">
        <f ca="1">IFERROR(__xludf.DUMMYFUNCTION("""COMPUTED_VALUE"""),"")</f>
        <v/>
      </c>
    </row>
    <row r="5120" spans="1:5">
      <c r="A5120" s="12"/>
      <c r="E5120" s="57" t="str">
        <f ca="1">IFERROR(__xludf.DUMMYFUNCTION("""COMPUTED_VALUE"""),"")</f>
        <v/>
      </c>
    </row>
    <row r="5121" spans="1:5">
      <c r="A5121" s="12"/>
      <c r="E5121" s="57" t="str">
        <f ca="1">IFERROR(__xludf.DUMMYFUNCTION("""COMPUTED_VALUE"""),"")</f>
        <v/>
      </c>
    </row>
    <row r="5122" spans="1:5">
      <c r="A5122" s="12"/>
      <c r="E5122" s="57" t="str">
        <f ca="1">IFERROR(__xludf.DUMMYFUNCTION("""COMPUTED_VALUE"""),"")</f>
        <v/>
      </c>
    </row>
    <row r="5123" spans="1:5">
      <c r="A5123" s="12"/>
      <c r="E5123" s="57" t="str">
        <f ca="1">IFERROR(__xludf.DUMMYFUNCTION("""COMPUTED_VALUE"""),"")</f>
        <v/>
      </c>
    </row>
    <row r="5124" spans="1:5">
      <c r="A5124" s="12"/>
      <c r="E5124" s="57" t="str">
        <f ca="1">IFERROR(__xludf.DUMMYFUNCTION("""COMPUTED_VALUE"""),"")</f>
        <v/>
      </c>
    </row>
    <row r="5125" spans="1:5">
      <c r="A5125" s="12"/>
      <c r="E5125" s="57" t="str">
        <f ca="1">IFERROR(__xludf.DUMMYFUNCTION("""COMPUTED_VALUE"""),"")</f>
        <v/>
      </c>
    </row>
    <row r="5126" spans="1:5">
      <c r="A5126" s="12"/>
      <c r="E5126" s="57" t="str">
        <f ca="1">IFERROR(__xludf.DUMMYFUNCTION("""COMPUTED_VALUE"""),"")</f>
        <v/>
      </c>
    </row>
    <row r="5127" spans="1:5">
      <c r="A5127" s="12"/>
      <c r="E5127" s="57" t="str">
        <f ca="1">IFERROR(__xludf.DUMMYFUNCTION("""COMPUTED_VALUE"""),"")</f>
        <v/>
      </c>
    </row>
    <row r="5128" spans="1:5">
      <c r="A5128" s="12"/>
      <c r="E5128" s="57" t="str">
        <f ca="1">IFERROR(__xludf.DUMMYFUNCTION("""COMPUTED_VALUE"""),"")</f>
        <v/>
      </c>
    </row>
    <row r="5129" spans="1:5">
      <c r="A5129" s="12"/>
      <c r="E5129" s="57" t="str">
        <f ca="1">IFERROR(__xludf.DUMMYFUNCTION("""COMPUTED_VALUE"""),"")</f>
        <v/>
      </c>
    </row>
    <row r="5130" spans="1:5">
      <c r="A5130" s="12"/>
      <c r="E5130" s="57" t="str">
        <f ca="1">IFERROR(__xludf.DUMMYFUNCTION("""COMPUTED_VALUE"""),"")</f>
        <v/>
      </c>
    </row>
    <row r="5131" spans="1:5">
      <c r="A5131" s="12"/>
      <c r="E5131" s="57" t="str">
        <f ca="1">IFERROR(__xludf.DUMMYFUNCTION("""COMPUTED_VALUE"""),"")</f>
        <v/>
      </c>
    </row>
    <row r="5132" spans="1:5">
      <c r="A5132" s="12"/>
      <c r="E5132" s="57" t="str">
        <f ca="1">IFERROR(__xludf.DUMMYFUNCTION("""COMPUTED_VALUE"""),"")</f>
        <v/>
      </c>
    </row>
    <row r="5133" spans="1:5">
      <c r="A5133" s="12"/>
      <c r="E5133" s="57" t="str">
        <f ca="1">IFERROR(__xludf.DUMMYFUNCTION("""COMPUTED_VALUE"""),"")</f>
        <v/>
      </c>
    </row>
    <row r="5134" spans="1:5">
      <c r="A5134" s="12"/>
      <c r="E5134" s="57" t="str">
        <f ca="1">IFERROR(__xludf.DUMMYFUNCTION("""COMPUTED_VALUE"""),"")</f>
        <v/>
      </c>
    </row>
    <row r="5135" spans="1:5">
      <c r="A5135" s="12"/>
      <c r="E5135" s="57" t="str">
        <f ca="1">IFERROR(__xludf.DUMMYFUNCTION("""COMPUTED_VALUE"""),"")</f>
        <v/>
      </c>
    </row>
    <row r="5136" spans="1:5">
      <c r="A5136" s="12"/>
      <c r="E5136" s="57" t="str">
        <f ca="1">IFERROR(__xludf.DUMMYFUNCTION("""COMPUTED_VALUE"""),"")</f>
        <v/>
      </c>
    </row>
    <row r="5137" spans="1:5">
      <c r="A5137" s="12"/>
      <c r="E5137" s="57" t="str">
        <f ca="1">IFERROR(__xludf.DUMMYFUNCTION("""COMPUTED_VALUE"""),"")</f>
        <v/>
      </c>
    </row>
    <row r="5138" spans="1:5">
      <c r="A5138" s="12"/>
      <c r="E5138" s="57" t="str">
        <f ca="1">IFERROR(__xludf.DUMMYFUNCTION("""COMPUTED_VALUE"""),"")</f>
        <v/>
      </c>
    </row>
    <row r="5139" spans="1:5">
      <c r="A5139" s="12"/>
      <c r="E5139" s="57" t="str">
        <f ca="1">IFERROR(__xludf.DUMMYFUNCTION("""COMPUTED_VALUE"""),"")</f>
        <v/>
      </c>
    </row>
    <row r="5140" spans="1:5">
      <c r="A5140" s="12"/>
      <c r="E5140" s="57" t="str">
        <f ca="1">IFERROR(__xludf.DUMMYFUNCTION("""COMPUTED_VALUE"""),"")</f>
        <v/>
      </c>
    </row>
    <row r="5141" spans="1:5">
      <c r="A5141" s="12"/>
      <c r="E5141" s="57" t="str">
        <f ca="1">IFERROR(__xludf.DUMMYFUNCTION("""COMPUTED_VALUE"""),"")</f>
        <v/>
      </c>
    </row>
    <row r="5142" spans="1:5">
      <c r="A5142" s="12"/>
      <c r="E5142" s="57" t="str">
        <f ca="1">IFERROR(__xludf.DUMMYFUNCTION("""COMPUTED_VALUE"""),"")</f>
        <v/>
      </c>
    </row>
    <row r="5143" spans="1:5">
      <c r="A5143" s="12"/>
      <c r="E5143" s="57" t="str">
        <f ca="1">IFERROR(__xludf.DUMMYFUNCTION("""COMPUTED_VALUE"""),"")</f>
        <v/>
      </c>
    </row>
    <row r="5144" spans="1:5">
      <c r="A5144" s="12"/>
      <c r="E5144" s="57" t="str">
        <f ca="1">IFERROR(__xludf.DUMMYFUNCTION("""COMPUTED_VALUE"""),"")</f>
        <v/>
      </c>
    </row>
    <row r="5145" spans="1:5">
      <c r="A5145" s="12"/>
      <c r="E5145" s="57" t="str">
        <f ca="1">IFERROR(__xludf.DUMMYFUNCTION("""COMPUTED_VALUE"""),"")</f>
        <v/>
      </c>
    </row>
    <row r="5146" spans="1:5">
      <c r="A5146" s="12"/>
      <c r="E5146" s="57" t="str">
        <f ca="1">IFERROR(__xludf.DUMMYFUNCTION("""COMPUTED_VALUE"""),"")</f>
        <v/>
      </c>
    </row>
    <row r="5147" spans="1:5">
      <c r="A5147" s="12"/>
      <c r="E5147" s="57" t="str">
        <f ca="1">IFERROR(__xludf.DUMMYFUNCTION("""COMPUTED_VALUE"""),"")</f>
        <v/>
      </c>
    </row>
    <row r="5148" spans="1:5">
      <c r="A5148" s="12"/>
      <c r="E5148" s="57" t="str">
        <f ca="1">IFERROR(__xludf.DUMMYFUNCTION("""COMPUTED_VALUE"""),"")</f>
        <v/>
      </c>
    </row>
    <row r="5149" spans="1:5">
      <c r="A5149" s="12"/>
      <c r="E5149" s="57" t="str">
        <f ca="1">IFERROR(__xludf.DUMMYFUNCTION("""COMPUTED_VALUE"""),"")</f>
        <v/>
      </c>
    </row>
    <row r="5150" spans="1:5">
      <c r="A5150" s="12"/>
      <c r="E5150" s="57" t="str">
        <f ca="1">IFERROR(__xludf.DUMMYFUNCTION("""COMPUTED_VALUE"""),"")</f>
        <v/>
      </c>
    </row>
    <row r="5151" spans="1:5">
      <c r="A5151" s="12"/>
      <c r="E5151" s="57" t="str">
        <f ca="1">IFERROR(__xludf.DUMMYFUNCTION("""COMPUTED_VALUE"""),"")</f>
        <v/>
      </c>
    </row>
    <row r="5152" spans="1:5">
      <c r="A5152" s="12"/>
      <c r="E5152" s="57" t="str">
        <f ca="1">IFERROR(__xludf.DUMMYFUNCTION("""COMPUTED_VALUE"""),"")</f>
        <v/>
      </c>
    </row>
    <row r="5153" spans="1:5">
      <c r="A5153" s="12"/>
      <c r="E5153" s="57" t="str">
        <f ca="1">IFERROR(__xludf.DUMMYFUNCTION("""COMPUTED_VALUE"""),"")</f>
        <v/>
      </c>
    </row>
    <row r="5154" spans="1:5">
      <c r="A5154" s="12"/>
      <c r="E5154" s="57" t="str">
        <f ca="1">IFERROR(__xludf.DUMMYFUNCTION("""COMPUTED_VALUE"""),"")</f>
        <v/>
      </c>
    </row>
    <row r="5155" spans="1:5">
      <c r="A5155" s="12"/>
      <c r="E5155" s="57" t="str">
        <f ca="1">IFERROR(__xludf.DUMMYFUNCTION("""COMPUTED_VALUE"""),"")</f>
        <v/>
      </c>
    </row>
    <row r="5156" spans="1:5">
      <c r="A5156" s="12"/>
      <c r="E5156" s="57" t="str">
        <f ca="1">IFERROR(__xludf.DUMMYFUNCTION("""COMPUTED_VALUE"""),"")</f>
        <v/>
      </c>
    </row>
    <row r="5157" spans="1:5">
      <c r="A5157" s="12"/>
      <c r="E5157" s="57" t="str">
        <f ca="1">IFERROR(__xludf.DUMMYFUNCTION("""COMPUTED_VALUE"""),"")</f>
        <v/>
      </c>
    </row>
    <row r="5158" spans="1:5">
      <c r="A5158" s="12"/>
      <c r="E5158" s="57" t="str">
        <f ca="1">IFERROR(__xludf.DUMMYFUNCTION("""COMPUTED_VALUE"""),"")</f>
        <v/>
      </c>
    </row>
    <row r="5159" spans="1:5">
      <c r="A5159" s="12"/>
      <c r="E5159" s="57" t="str">
        <f ca="1">IFERROR(__xludf.DUMMYFUNCTION("""COMPUTED_VALUE"""),"")</f>
        <v/>
      </c>
    </row>
    <row r="5160" spans="1:5">
      <c r="A5160" s="12"/>
      <c r="E5160" s="57" t="str">
        <f ca="1">IFERROR(__xludf.DUMMYFUNCTION("""COMPUTED_VALUE"""),"")</f>
        <v/>
      </c>
    </row>
    <row r="5161" spans="1:5">
      <c r="A5161" s="12"/>
      <c r="E5161" s="57" t="str">
        <f ca="1">IFERROR(__xludf.DUMMYFUNCTION("""COMPUTED_VALUE"""),"")</f>
        <v/>
      </c>
    </row>
    <row r="5162" spans="1:5">
      <c r="A5162" s="12"/>
      <c r="E5162" s="57" t="str">
        <f ca="1">IFERROR(__xludf.DUMMYFUNCTION("""COMPUTED_VALUE"""),"")</f>
        <v/>
      </c>
    </row>
    <row r="5163" spans="1:5">
      <c r="A5163" s="12"/>
      <c r="E5163" s="57" t="str">
        <f ca="1">IFERROR(__xludf.DUMMYFUNCTION("""COMPUTED_VALUE"""),"")</f>
        <v/>
      </c>
    </row>
    <row r="5164" spans="1:5">
      <c r="A5164" s="12"/>
      <c r="E5164" s="57" t="str">
        <f ca="1">IFERROR(__xludf.DUMMYFUNCTION("""COMPUTED_VALUE"""),"")</f>
        <v/>
      </c>
    </row>
    <row r="5165" spans="1:5">
      <c r="A5165" s="12"/>
      <c r="E5165" s="57" t="str">
        <f ca="1">IFERROR(__xludf.DUMMYFUNCTION("""COMPUTED_VALUE"""),"")</f>
        <v/>
      </c>
    </row>
    <row r="5166" spans="1:5">
      <c r="A5166" s="12"/>
      <c r="E5166" s="57" t="str">
        <f ca="1">IFERROR(__xludf.DUMMYFUNCTION("""COMPUTED_VALUE"""),"")</f>
        <v/>
      </c>
    </row>
    <row r="5167" spans="1:5">
      <c r="A5167" s="12"/>
      <c r="E5167" s="57" t="str">
        <f ca="1">IFERROR(__xludf.DUMMYFUNCTION("""COMPUTED_VALUE"""),"")</f>
        <v/>
      </c>
    </row>
    <row r="5168" spans="1:5">
      <c r="A5168" s="12"/>
      <c r="E5168" s="57" t="str">
        <f ca="1">IFERROR(__xludf.DUMMYFUNCTION("""COMPUTED_VALUE"""),"")</f>
        <v/>
      </c>
    </row>
    <row r="5169" spans="1:5">
      <c r="A5169" s="12"/>
      <c r="E5169" s="57" t="str">
        <f ca="1">IFERROR(__xludf.DUMMYFUNCTION("""COMPUTED_VALUE"""),"")</f>
        <v/>
      </c>
    </row>
    <row r="5170" spans="1:5">
      <c r="A5170" s="12"/>
      <c r="E5170" s="57" t="str">
        <f ca="1">IFERROR(__xludf.DUMMYFUNCTION("""COMPUTED_VALUE"""),"")</f>
        <v/>
      </c>
    </row>
    <row r="5171" spans="1:5">
      <c r="A5171" s="12"/>
      <c r="E5171" s="57" t="str">
        <f ca="1">IFERROR(__xludf.DUMMYFUNCTION("""COMPUTED_VALUE"""),"")</f>
        <v/>
      </c>
    </row>
    <row r="5172" spans="1:5">
      <c r="A5172" s="12"/>
      <c r="E5172" s="57" t="str">
        <f ca="1">IFERROR(__xludf.DUMMYFUNCTION("""COMPUTED_VALUE"""),"")</f>
        <v/>
      </c>
    </row>
    <row r="5173" spans="1:5">
      <c r="A5173" s="12"/>
      <c r="E5173" s="57" t="str">
        <f ca="1">IFERROR(__xludf.DUMMYFUNCTION("""COMPUTED_VALUE"""),"")</f>
        <v/>
      </c>
    </row>
    <row r="5174" spans="1:5">
      <c r="A5174" s="12"/>
      <c r="E5174" s="57" t="str">
        <f ca="1">IFERROR(__xludf.DUMMYFUNCTION("""COMPUTED_VALUE"""),"")</f>
        <v/>
      </c>
    </row>
    <row r="5175" spans="1:5">
      <c r="A5175" s="12"/>
      <c r="E5175" s="57" t="str">
        <f ca="1">IFERROR(__xludf.DUMMYFUNCTION("""COMPUTED_VALUE"""),"")</f>
        <v/>
      </c>
    </row>
    <row r="5176" spans="1:5">
      <c r="A5176" s="12"/>
      <c r="E5176" s="57" t="str">
        <f ca="1">IFERROR(__xludf.DUMMYFUNCTION("""COMPUTED_VALUE"""),"")</f>
        <v/>
      </c>
    </row>
    <row r="5177" spans="1:5">
      <c r="A5177" s="12"/>
      <c r="E5177" s="57" t="str">
        <f ca="1">IFERROR(__xludf.DUMMYFUNCTION("""COMPUTED_VALUE"""),"")</f>
        <v/>
      </c>
    </row>
    <row r="5178" spans="1:5">
      <c r="A5178" s="12"/>
      <c r="E5178" s="57" t="str">
        <f ca="1">IFERROR(__xludf.DUMMYFUNCTION("""COMPUTED_VALUE"""),"")</f>
        <v/>
      </c>
    </row>
    <row r="5179" spans="1:5">
      <c r="A5179" s="12"/>
      <c r="E5179" s="57" t="str">
        <f ca="1">IFERROR(__xludf.DUMMYFUNCTION("""COMPUTED_VALUE"""),"")</f>
        <v/>
      </c>
    </row>
    <row r="5180" spans="1:5">
      <c r="A5180" s="12"/>
      <c r="E5180" s="57" t="str">
        <f ca="1">IFERROR(__xludf.DUMMYFUNCTION("""COMPUTED_VALUE"""),"")</f>
        <v/>
      </c>
    </row>
    <row r="5181" spans="1:5">
      <c r="A5181" s="12"/>
      <c r="E5181" s="57" t="str">
        <f ca="1">IFERROR(__xludf.DUMMYFUNCTION("""COMPUTED_VALUE"""),"")</f>
        <v/>
      </c>
    </row>
    <row r="5182" spans="1:5">
      <c r="A5182" s="12"/>
      <c r="E5182" s="57" t="str">
        <f ca="1">IFERROR(__xludf.DUMMYFUNCTION("""COMPUTED_VALUE"""),"")</f>
        <v/>
      </c>
    </row>
    <row r="5183" spans="1:5">
      <c r="A5183" s="12"/>
      <c r="E5183" s="57" t="str">
        <f ca="1">IFERROR(__xludf.DUMMYFUNCTION("""COMPUTED_VALUE"""),"")</f>
        <v/>
      </c>
    </row>
    <row r="5184" spans="1:5">
      <c r="A5184" s="12"/>
      <c r="E5184" s="57" t="str">
        <f ca="1">IFERROR(__xludf.DUMMYFUNCTION("""COMPUTED_VALUE"""),"")</f>
        <v/>
      </c>
    </row>
    <row r="5185" spans="1:5">
      <c r="A5185" s="12"/>
      <c r="E5185" s="57" t="str">
        <f ca="1">IFERROR(__xludf.DUMMYFUNCTION("""COMPUTED_VALUE"""),"")</f>
        <v/>
      </c>
    </row>
    <row r="5186" spans="1:5">
      <c r="A5186" s="12"/>
      <c r="E5186" s="57" t="str">
        <f ca="1">IFERROR(__xludf.DUMMYFUNCTION("""COMPUTED_VALUE"""),"")</f>
        <v/>
      </c>
    </row>
    <row r="5187" spans="1:5">
      <c r="A5187" s="12"/>
      <c r="E5187" s="57" t="str">
        <f ca="1">IFERROR(__xludf.DUMMYFUNCTION("""COMPUTED_VALUE"""),"")</f>
        <v/>
      </c>
    </row>
    <row r="5188" spans="1:5">
      <c r="A5188" s="12"/>
      <c r="E5188" s="57" t="str">
        <f ca="1">IFERROR(__xludf.DUMMYFUNCTION("""COMPUTED_VALUE"""),"")</f>
        <v/>
      </c>
    </row>
    <row r="5189" spans="1:5">
      <c r="A5189" s="12"/>
      <c r="E5189" s="57" t="str">
        <f ca="1">IFERROR(__xludf.DUMMYFUNCTION("""COMPUTED_VALUE"""),"")</f>
        <v/>
      </c>
    </row>
    <row r="5190" spans="1:5">
      <c r="A5190" s="12"/>
      <c r="E5190" s="57" t="str">
        <f ca="1">IFERROR(__xludf.DUMMYFUNCTION("""COMPUTED_VALUE"""),"")</f>
        <v/>
      </c>
    </row>
    <row r="5191" spans="1:5">
      <c r="A5191" s="12"/>
      <c r="E5191" s="57" t="str">
        <f ca="1">IFERROR(__xludf.DUMMYFUNCTION("""COMPUTED_VALUE"""),"")</f>
        <v/>
      </c>
    </row>
    <row r="5192" spans="1:5">
      <c r="A5192" s="12"/>
      <c r="E5192" s="57" t="str">
        <f ca="1">IFERROR(__xludf.DUMMYFUNCTION("""COMPUTED_VALUE"""),"")</f>
        <v/>
      </c>
    </row>
    <row r="5193" spans="1:5">
      <c r="A5193" s="12"/>
      <c r="E5193" s="57" t="str">
        <f ca="1">IFERROR(__xludf.DUMMYFUNCTION("""COMPUTED_VALUE"""),"")</f>
        <v/>
      </c>
    </row>
    <row r="5194" spans="1:5">
      <c r="A5194" s="12"/>
      <c r="E5194" s="57" t="str">
        <f ca="1">IFERROR(__xludf.DUMMYFUNCTION("""COMPUTED_VALUE"""),"")</f>
        <v/>
      </c>
    </row>
    <row r="5195" spans="1:5">
      <c r="A5195" s="12"/>
      <c r="E5195" s="57" t="str">
        <f ca="1">IFERROR(__xludf.DUMMYFUNCTION("""COMPUTED_VALUE"""),"")</f>
        <v/>
      </c>
    </row>
    <row r="5196" spans="1:5">
      <c r="A5196" s="12"/>
      <c r="E5196" s="57" t="str">
        <f ca="1">IFERROR(__xludf.DUMMYFUNCTION("""COMPUTED_VALUE"""),"")</f>
        <v/>
      </c>
    </row>
    <row r="5197" spans="1:5">
      <c r="A5197" s="12"/>
      <c r="E5197" s="57" t="str">
        <f ca="1">IFERROR(__xludf.DUMMYFUNCTION("""COMPUTED_VALUE"""),"")</f>
        <v/>
      </c>
    </row>
    <row r="5198" spans="1:5">
      <c r="A5198" s="12"/>
      <c r="E5198" s="57" t="str">
        <f ca="1">IFERROR(__xludf.DUMMYFUNCTION("""COMPUTED_VALUE"""),"")</f>
        <v/>
      </c>
    </row>
    <row r="5199" spans="1:5">
      <c r="A5199" s="12"/>
      <c r="E5199" s="57" t="str">
        <f ca="1">IFERROR(__xludf.DUMMYFUNCTION("""COMPUTED_VALUE"""),"")</f>
        <v/>
      </c>
    </row>
    <row r="5200" spans="1:5">
      <c r="A5200" s="12"/>
      <c r="E5200" s="57" t="str">
        <f ca="1">IFERROR(__xludf.DUMMYFUNCTION("""COMPUTED_VALUE"""),"")</f>
        <v/>
      </c>
    </row>
    <row r="5201" spans="1:5">
      <c r="A5201" s="12"/>
      <c r="E5201" s="57" t="str">
        <f ca="1">IFERROR(__xludf.DUMMYFUNCTION("""COMPUTED_VALUE"""),"")</f>
        <v/>
      </c>
    </row>
    <row r="5202" spans="1:5">
      <c r="A5202" s="12"/>
      <c r="E5202" s="57" t="str">
        <f ca="1">IFERROR(__xludf.DUMMYFUNCTION("""COMPUTED_VALUE"""),"")</f>
        <v/>
      </c>
    </row>
    <row r="5203" spans="1:5">
      <c r="A5203" s="12"/>
      <c r="E5203" s="57" t="str">
        <f ca="1">IFERROR(__xludf.DUMMYFUNCTION("""COMPUTED_VALUE"""),"")</f>
        <v/>
      </c>
    </row>
    <row r="5204" spans="1:5">
      <c r="A5204" s="12"/>
      <c r="E5204" s="57" t="str">
        <f ca="1">IFERROR(__xludf.DUMMYFUNCTION("""COMPUTED_VALUE"""),"")</f>
        <v/>
      </c>
    </row>
    <row r="5205" spans="1:5">
      <c r="A5205" s="12"/>
      <c r="E5205" s="57" t="str">
        <f ca="1">IFERROR(__xludf.DUMMYFUNCTION("""COMPUTED_VALUE"""),"")</f>
        <v/>
      </c>
    </row>
    <row r="5206" spans="1:5">
      <c r="A5206" s="12"/>
      <c r="E5206" s="57" t="str">
        <f ca="1">IFERROR(__xludf.DUMMYFUNCTION("""COMPUTED_VALUE"""),"")</f>
        <v/>
      </c>
    </row>
    <row r="5207" spans="1:5">
      <c r="A5207" s="12"/>
      <c r="E5207" s="57" t="str">
        <f ca="1">IFERROR(__xludf.DUMMYFUNCTION("""COMPUTED_VALUE"""),"")</f>
        <v/>
      </c>
    </row>
    <row r="5208" spans="1:5">
      <c r="A5208" s="12"/>
      <c r="E5208" s="57" t="str">
        <f ca="1">IFERROR(__xludf.DUMMYFUNCTION("""COMPUTED_VALUE"""),"")</f>
        <v/>
      </c>
    </row>
    <row r="5209" spans="1:5">
      <c r="A5209" s="12"/>
      <c r="E5209" s="57" t="str">
        <f ca="1">IFERROR(__xludf.DUMMYFUNCTION("""COMPUTED_VALUE"""),"")</f>
        <v/>
      </c>
    </row>
    <row r="5210" spans="1:5">
      <c r="A5210" s="12"/>
      <c r="E5210" s="57" t="str">
        <f ca="1">IFERROR(__xludf.DUMMYFUNCTION("""COMPUTED_VALUE"""),"")</f>
        <v/>
      </c>
    </row>
    <row r="5211" spans="1:5">
      <c r="A5211" s="12"/>
      <c r="E5211" s="57" t="str">
        <f ca="1">IFERROR(__xludf.DUMMYFUNCTION("""COMPUTED_VALUE"""),"")</f>
        <v/>
      </c>
    </row>
    <row r="5212" spans="1:5">
      <c r="A5212" s="12"/>
      <c r="E5212" s="57" t="str">
        <f ca="1">IFERROR(__xludf.DUMMYFUNCTION("""COMPUTED_VALUE"""),"")</f>
        <v/>
      </c>
    </row>
    <row r="5213" spans="1:5">
      <c r="A5213" s="12"/>
      <c r="E5213" s="57" t="str">
        <f ca="1">IFERROR(__xludf.DUMMYFUNCTION("""COMPUTED_VALUE"""),"")</f>
        <v/>
      </c>
    </row>
    <row r="5214" spans="1:5">
      <c r="A5214" s="12"/>
      <c r="E5214" s="57" t="str">
        <f ca="1">IFERROR(__xludf.DUMMYFUNCTION("""COMPUTED_VALUE"""),"")</f>
        <v/>
      </c>
    </row>
    <row r="5215" spans="1:5">
      <c r="A5215" s="12"/>
      <c r="E5215" s="57" t="str">
        <f ca="1">IFERROR(__xludf.DUMMYFUNCTION("""COMPUTED_VALUE"""),"")</f>
        <v/>
      </c>
    </row>
    <row r="5216" spans="1:5">
      <c r="A5216" s="12"/>
      <c r="E5216" s="57" t="str">
        <f ca="1">IFERROR(__xludf.DUMMYFUNCTION("""COMPUTED_VALUE"""),"")</f>
        <v/>
      </c>
    </row>
    <row r="5217" spans="1:5">
      <c r="A5217" s="12"/>
      <c r="E5217" s="57" t="str">
        <f ca="1">IFERROR(__xludf.DUMMYFUNCTION("""COMPUTED_VALUE"""),"")</f>
        <v/>
      </c>
    </row>
    <row r="5218" spans="1:5">
      <c r="A5218" s="12"/>
      <c r="E5218" s="57" t="str">
        <f ca="1">IFERROR(__xludf.DUMMYFUNCTION("""COMPUTED_VALUE"""),"")</f>
        <v/>
      </c>
    </row>
    <row r="5219" spans="1:5">
      <c r="A5219" s="12"/>
      <c r="E5219" s="57" t="str">
        <f ca="1">IFERROR(__xludf.DUMMYFUNCTION("""COMPUTED_VALUE"""),"")</f>
        <v/>
      </c>
    </row>
    <row r="5220" spans="1:5">
      <c r="A5220" s="12"/>
      <c r="E5220" s="57" t="str">
        <f ca="1">IFERROR(__xludf.DUMMYFUNCTION("""COMPUTED_VALUE"""),"")</f>
        <v/>
      </c>
    </row>
    <row r="5221" spans="1:5">
      <c r="A5221" s="12"/>
      <c r="E5221" s="57" t="str">
        <f ca="1">IFERROR(__xludf.DUMMYFUNCTION("""COMPUTED_VALUE"""),"")</f>
        <v/>
      </c>
    </row>
    <row r="5222" spans="1:5">
      <c r="A5222" s="12"/>
      <c r="E5222" s="57" t="str">
        <f ca="1">IFERROR(__xludf.DUMMYFUNCTION("""COMPUTED_VALUE"""),"")</f>
        <v/>
      </c>
    </row>
    <row r="5223" spans="1:5">
      <c r="A5223" s="12"/>
      <c r="E5223" s="57" t="str">
        <f ca="1">IFERROR(__xludf.DUMMYFUNCTION("""COMPUTED_VALUE"""),"")</f>
        <v/>
      </c>
    </row>
    <row r="5224" spans="1:5">
      <c r="A5224" s="12"/>
      <c r="E5224" s="57" t="str">
        <f ca="1">IFERROR(__xludf.DUMMYFUNCTION("""COMPUTED_VALUE"""),"")</f>
        <v/>
      </c>
    </row>
    <row r="5225" spans="1:5">
      <c r="A5225" s="12"/>
      <c r="E5225" s="57" t="str">
        <f ca="1">IFERROR(__xludf.DUMMYFUNCTION("""COMPUTED_VALUE"""),"")</f>
        <v/>
      </c>
    </row>
    <row r="5226" spans="1:5">
      <c r="A5226" s="12"/>
      <c r="E5226" s="57" t="str">
        <f ca="1">IFERROR(__xludf.DUMMYFUNCTION("""COMPUTED_VALUE"""),"")</f>
        <v/>
      </c>
    </row>
    <row r="5227" spans="1:5">
      <c r="A5227" s="12"/>
      <c r="E5227" s="57" t="str">
        <f ca="1">IFERROR(__xludf.DUMMYFUNCTION("""COMPUTED_VALUE"""),"")</f>
        <v/>
      </c>
    </row>
    <row r="5228" spans="1:5">
      <c r="A5228" s="12"/>
      <c r="E5228" s="57" t="str">
        <f ca="1">IFERROR(__xludf.DUMMYFUNCTION("""COMPUTED_VALUE"""),"")</f>
        <v/>
      </c>
    </row>
    <row r="5229" spans="1:5">
      <c r="A5229" s="12"/>
      <c r="E5229" s="57" t="str">
        <f ca="1">IFERROR(__xludf.DUMMYFUNCTION("""COMPUTED_VALUE"""),"")</f>
        <v/>
      </c>
    </row>
    <row r="5230" spans="1:5">
      <c r="A5230" s="12"/>
      <c r="E5230" s="57" t="str">
        <f ca="1">IFERROR(__xludf.DUMMYFUNCTION("""COMPUTED_VALUE"""),"")</f>
        <v/>
      </c>
    </row>
    <row r="5231" spans="1:5">
      <c r="A5231" s="12"/>
      <c r="E5231" s="57" t="str">
        <f ca="1">IFERROR(__xludf.DUMMYFUNCTION("""COMPUTED_VALUE"""),"")</f>
        <v/>
      </c>
    </row>
    <row r="5232" spans="1:5">
      <c r="A5232" s="12"/>
      <c r="E5232" s="57" t="str">
        <f ca="1">IFERROR(__xludf.DUMMYFUNCTION("""COMPUTED_VALUE"""),"")</f>
        <v/>
      </c>
    </row>
    <row r="5233" spans="1:5">
      <c r="A5233" s="12"/>
      <c r="E5233" s="57" t="str">
        <f ca="1">IFERROR(__xludf.DUMMYFUNCTION("""COMPUTED_VALUE"""),"")</f>
        <v/>
      </c>
    </row>
    <row r="5234" spans="1:5">
      <c r="A5234" s="12"/>
      <c r="E5234" s="57" t="str">
        <f ca="1">IFERROR(__xludf.DUMMYFUNCTION("""COMPUTED_VALUE"""),"")</f>
        <v/>
      </c>
    </row>
    <row r="5235" spans="1:5">
      <c r="A5235" s="12"/>
      <c r="E5235" s="57" t="str">
        <f ca="1">IFERROR(__xludf.DUMMYFUNCTION("""COMPUTED_VALUE"""),"")</f>
        <v/>
      </c>
    </row>
    <row r="5236" spans="1:5">
      <c r="A5236" s="12"/>
      <c r="E5236" s="57" t="str">
        <f ca="1">IFERROR(__xludf.DUMMYFUNCTION("""COMPUTED_VALUE"""),"")</f>
        <v/>
      </c>
    </row>
    <row r="5237" spans="1:5">
      <c r="A5237" s="12"/>
      <c r="E5237" s="57" t="str">
        <f ca="1">IFERROR(__xludf.DUMMYFUNCTION("""COMPUTED_VALUE"""),"")</f>
        <v/>
      </c>
    </row>
    <row r="5238" spans="1:5">
      <c r="A5238" s="12"/>
      <c r="E5238" s="57" t="str">
        <f ca="1">IFERROR(__xludf.DUMMYFUNCTION("""COMPUTED_VALUE"""),"")</f>
        <v/>
      </c>
    </row>
    <row r="5239" spans="1:5">
      <c r="A5239" s="12"/>
      <c r="E5239" s="57" t="str">
        <f ca="1">IFERROR(__xludf.DUMMYFUNCTION("""COMPUTED_VALUE"""),"")</f>
        <v/>
      </c>
    </row>
    <row r="5240" spans="1:5">
      <c r="A5240" s="12"/>
      <c r="E5240" s="57" t="str">
        <f ca="1">IFERROR(__xludf.DUMMYFUNCTION("""COMPUTED_VALUE"""),"")</f>
        <v/>
      </c>
    </row>
    <row r="5241" spans="1:5">
      <c r="A5241" s="12"/>
      <c r="E5241" s="57" t="str">
        <f ca="1">IFERROR(__xludf.DUMMYFUNCTION("""COMPUTED_VALUE"""),"")</f>
        <v/>
      </c>
    </row>
    <row r="5242" spans="1:5">
      <c r="A5242" s="12"/>
      <c r="E5242" s="57" t="str">
        <f ca="1">IFERROR(__xludf.DUMMYFUNCTION("""COMPUTED_VALUE"""),"")</f>
        <v/>
      </c>
    </row>
    <row r="5243" spans="1:5">
      <c r="A5243" s="12"/>
      <c r="E5243" s="57" t="str">
        <f ca="1">IFERROR(__xludf.DUMMYFUNCTION("""COMPUTED_VALUE"""),"")</f>
        <v/>
      </c>
    </row>
    <row r="5244" spans="1:5">
      <c r="A5244" s="12"/>
      <c r="E5244" s="57" t="str">
        <f ca="1">IFERROR(__xludf.DUMMYFUNCTION("""COMPUTED_VALUE"""),"")</f>
        <v/>
      </c>
    </row>
    <row r="5245" spans="1:5">
      <c r="A5245" s="12"/>
      <c r="E5245" s="57" t="str">
        <f ca="1">IFERROR(__xludf.DUMMYFUNCTION("""COMPUTED_VALUE"""),"")</f>
        <v/>
      </c>
    </row>
    <row r="5246" spans="1:5">
      <c r="A5246" s="12"/>
      <c r="E5246" s="57" t="str">
        <f ca="1">IFERROR(__xludf.DUMMYFUNCTION("""COMPUTED_VALUE"""),"")</f>
        <v/>
      </c>
    </row>
    <row r="5247" spans="1:5">
      <c r="A5247" s="12"/>
      <c r="E5247" s="57" t="str">
        <f ca="1">IFERROR(__xludf.DUMMYFUNCTION("""COMPUTED_VALUE"""),"")</f>
        <v/>
      </c>
    </row>
    <row r="5248" spans="1:5">
      <c r="A5248" s="12"/>
      <c r="E5248" s="57" t="str">
        <f ca="1">IFERROR(__xludf.DUMMYFUNCTION("""COMPUTED_VALUE"""),"")</f>
        <v/>
      </c>
    </row>
    <row r="5249" spans="1:5">
      <c r="A5249" s="12"/>
      <c r="E5249" s="57" t="str">
        <f ca="1">IFERROR(__xludf.DUMMYFUNCTION("""COMPUTED_VALUE"""),"")</f>
        <v/>
      </c>
    </row>
    <row r="5250" spans="1:5">
      <c r="A5250" s="12"/>
      <c r="E5250" s="57" t="str">
        <f ca="1">IFERROR(__xludf.DUMMYFUNCTION("""COMPUTED_VALUE"""),"")</f>
        <v/>
      </c>
    </row>
    <row r="5251" spans="1:5">
      <c r="A5251" s="12"/>
      <c r="E5251" s="57" t="str">
        <f ca="1">IFERROR(__xludf.DUMMYFUNCTION("""COMPUTED_VALUE"""),"")</f>
        <v/>
      </c>
    </row>
    <row r="5252" spans="1:5">
      <c r="A5252" s="12"/>
      <c r="E5252" s="57" t="str">
        <f ca="1">IFERROR(__xludf.DUMMYFUNCTION("""COMPUTED_VALUE"""),"")</f>
        <v/>
      </c>
    </row>
    <row r="5253" spans="1:5">
      <c r="A5253" s="12"/>
      <c r="E5253" s="57" t="str">
        <f ca="1">IFERROR(__xludf.DUMMYFUNCTION("""COMPUTED_VALUE"""),"")</f>
        <v/>
      </c>
    </row>
    <row r="5254" spans="1:5">
      <c r="A5254" s="12"/>
      <c r="E5254" s="57" t="str">
        <f ca="1">IFERROR(__xludf.DUMMYFUNCTION("""COMPUTED_VALUE"""),"")</f>
        <v/>
      </c>
    </row>
    <row r="5255" spans="1:5">
      <c r="A5255" s="12"/>
      <c r="E5255" s="57" t="str">
        <f ca="1">IFERROR(__xludf.DUMMYFUNCTION("""COMPUTED_VALUE"""),"")</f>
        <v/>
      </c>
    </row>
    <row r="5256" spans="1:5">
      <c r="A5256" s="12"/>
      <c r="E5256" s="57" t="str">
        <f ca="1">IFERROR(__xludf.DUMMYFUNCTION("""COMPUTED_VALUE"""),"")</f>
        <v/>
      </c>
    </row>
    <row r="5257" spans="1:5">
      <c r="A5257" s="12"/>
      <c r="E5257" s="57" t="str">
        <f ca="1">IFERROR(__xludf.DUMMYFUNCTION("""COMPUTED_VALUE"""),"")</f>
        <v/>
      </c>
    </row>
    <row r="5258" spans="1:5">
      <c r="A5258" s="12"/>
      <c r="E5258" s="57" t="str">
        <f ca="1">IFERROR(__xludf.DUMMYFUNCTION("""COMPUTED_VALUE"""),"")</f>
        <v/>
      </c>
    </row>
    <row r="5259" spans="1:5">
      <c r="A5259" s="12"/>
      <c r="E5259" s="57" t="str">
        <f ca="1">IFERROR(__xludf.DUMMYFUNCTION("""COMPUTED_VALUE"""),"")</f>
        <v/>
      </c>
    </row>
    <row r="5260" spans="1:5">
      <c r="A5260" s="12"/>
      <c r="E5260" s="57" t="str">
        <f ca="1">IFERROR(__xludf.DUMMYFUNCTION("""COMPUTED_VALUE"""),"")</f>
        <v/>
      </c>
    </row>
    <row r="5261" spans="1:5">
      <c r="A5261" s="12"/>
      <c r="E5261" s="57" t="str">
        <f ca="1">IFERROR(__xludf.DUMMYFUNCTION("""COMPUTED_VALUE"""),"")</f>
        <v/>
      </c>
    </row>
    <row r="5262" spans="1:5">
      <c r="A5262" s="12"/>
      <c r="E5262" s="57" t="str">
        <f ca="1">IFERROR(__xludf.DUMMYFUNCTION("""COMPUTED_VALUE"""),"")</f>
        <v/>
      </c>
    </row>
    <row r="5263" spans="1:5">
      <c r="A5263" s="12"/>
      <c r="E5263" s="57" t="str">
        <f ca="1">IFERROR(__xludf.DUMMYFUNCTION("""COMPUTED_VALUE"""),"")</f>
        <v/>
      </c>
    </row>
    <row r="5264" spans="1:5">
      <c r="A5264" s="12"/>
      <c r="E5264" s="57" t="str">
        <f ca="1">IFERROR(__xludf.DUMMYFUNCTION("""COMPUTED_VALUE"""),"")</f>
        <v/>
      </c>
    </row>
    <row r="5265" spans="1:5">
      <c r="A5265" s="12"/>
      <c r="E5265" s="57" t="str">
        <f ca="1">IFERROR(__xludf.DUMMYFUNCTION("""COMPUTED_VALUE"""),"")</f>
        <v/>
      </c>
    </row>
    <row r="5266" spans="1:5">
      <c r="A5266" s="12"/>
      <c r="E5266" s="57" t="str">
        <f ca="1">IFERROR(__xludf.DUMMYFUNCTION("""COMPUTED_VALUE"""),"")</f>
        <v/>
      </c>
    </row>
    <row r="5267" spans="1:5">
      <c r="A5267" s="12"/>
      <c r="E5267" s="57" t="str">
        <f ca="1">IFERROR(__xludf.DUMMYFUNCTION("""COMPUTED_VALUE"""),"")</f>
        <v/>
      </c>
    </row>
    <row r="5268" spans="1:5">
      <c r="A5268" s="12"/>
      <c r="E5268" s="57" t="str">
        <f ca="1">IFERROR(__xludf.DUMMYFUNCTION("""COMPUTED_VALUE"""),"")</f>
        <v/>
      </c>
    </row>
    <row r="5269" spans="1:5">
      <c r="A5269" s="12"/>
      <c r="E5269" s="57" t="str">
        <f ca="1">IFERROR(__xludf.DUMMYFUNCTION("""COMPUTED_VALUE"""),"")</f>
        <v/>
      </c>
    </row>
    <row r="5270" spans="1:5">
      <c r="A5270" s="12"/>
      <c r="E5270" s="57" t="str">
        <f ca="1">IFERROR(__xludf.DUMMYFUNCTION("""COMPUTED_VALUE"""),"")</f>
        <v/>
      </c>
    </row>
    <row r="5271" spans="1:5">
      <c r="A5271" s="12"/>
      <c r="E5271" s="57" t="str">
        <f ca="1">IFERROR(__xludf.DUMMYFUNCTION("""COMPUTED_VALUE"""),"")</f>
        <v/>
      </c>
    </row>
    <row r="5272" spans="1:5">
      <c r="A5272" s="12"/>
      <c r="E5272" s="57" t="str">
        <f ca="1">IFERROR(__xludf.DUMMYFUNCTION("""COMPUTED_VALUE"""),"")</f>
        <v/>
      </c>
    </row>
    <row r="5273" spans="1:5">
      <c r="A5273" s="12"/>
      <c r="E5273" s="57" t="str">
        <f ca="1">IFERROR(__xludf.DUMMYFUNCTION("""COMPUTED_VALUE"""),"")</f>
        <v/>
      </c>
    </row>
    <row r="5274" spans="1:5">
      <c r="A5274" s="12"/>
      <c r="E5274" s="57" t="str">
        <f ca="1">IFERROR(__xludf.DUMMYFUNCTION("""COMPUTED_VALUE"""),"")</f>
        <v/>
      </c>
    </row>
    <row r="5275" spans="1:5">
      <c r="A5275" s="12"/>
      <c r="E5275" s="57" t="str">
        <f ca="1">IFERROR(__xludf.DUMMYFUNCTION("""COMPUTED_VALUE"""),"")</f>
        <v/>
      </c>
    </row>
    <row r="5276" spans="1:5">
      <c r="A5276" s="12"/>
      <c r="E5276" s="57" t="str">
        <f ca="1">IFERROR(__xludf.DUMMYFUNCTION("""COMPUTED_VALUE"""),"")</f>
        <v/>
      </c>
    </row>
    <row r="5277" spans="1:5">
      <c r="A5277" s="12"/>
      <c r="E5277" s="57" t="str">
        <f ca="1">IFERROR(__xludf.DUMMYFUNCTION("""COMPUTED_VALUE"""),"")</f>
        <v/>
      </c>
    </row>
    <row r="5278" spans="1:5">
      <c r="A5278" s="12"/>
      <c r="E5278" s="57" t="str">
        <f ca="1">IFERROR(__xludf.DUMMYFUNCTION("""COMPUTED_VALUE"""),"")</f>
        <v/>
      </c>
    </row>
    <row r="5279" spans="1:5">
      <c r="A5279" s="12"/>
      <c r="E5279" s="57" t="str">
        <f ca="1">IFERROR(__xludf.DUMMYFUNCTION("""COMPUTED_VALUE"""),"")</f>
        <v/>
      </c>
    </row>
    <row r="5280" spans="1:5">
      <c r="A5280" s="12"/>
      <c r="E5280" s="57" t="str">
        <f ca="1">IFERROR(__xludf.DUMMYFUNCTION("""COMPUTED_VALUE"""),"")</f>
        <v/>
      </c>
    </row>
    <row r="5281" spans="1:5">
      <c r="A5281" s="12"/>
      <c r="E5281" s="57" t="str">
        <f ca="1">IFERROR(__xludf.DUMMYFUNCTION("""COMPUTED_VALUE"""),"")</f>
        <v/>
      </c>
    </row>
    <row r="5282" spans="1:5">
      <c r="A5282" s="12"/>
      <c r="E5282" s="57" t="str">
        <f ca="1">IFERROR(__xludf.DUMMYFUNCTION("""COMPUTED_VALUE"""),"")</f>
        <v/>
      </c>
    </row>
    <row r="5283" spans="1:5">
      <c r="A5283" s="12"/>
      <c r="E5283" s="57" t="str">
        <f ca="1">IFERROR(__xludf.DUMMYFUNCTION("""COMPUTED_VALUE"""),"")</f>
        <v/>
      </c>
    </row>
    <row r="5284" spans="1:5">
      <c r="A5284" s="12"/>
      <c r="E5284" s="57" t="str">
        <f ca="1">IFERROR(__xludf.DUMMYFUNCTION("""COMPUTED_VALUE"""),"")</f>
        <v/>
      </c>
    </row>
    <row r="5285" spans="1:5">
      <c r="A5285" s="12"/>
      <c r="E5285" s="57" t="str">
        <f ca="1">IFERROR(__xludf.DUMMYFUNCTION("""COMPUTED_VALUE"""),"")</f>
        <v/>
      </c>
    </row>
    <row r="5286" spans="1:5">
      <c r="A5286" s="12"/>
      <c r="E5286" s="57" t="str">
        <f ca="1">IFERROR(__xludf.DUMMYFUNCTION("""COMPUTED_VALUE"""),"")</f>
        <v/>
      </c>
    </row>
    <row r="5287" spans="1:5">
      <c r="A5287" s="12"/>
      <c r="E5287" s="57" t="str">
        <f ca="1">IFERROR(__xludf.DUMMYFUNCTION("""COMPUTED_VALUE"""),"")</f>
        <v/>
      </c>
    </row>
    <row r="5288" spans="1:5">
      <c r="A5288" s="12"/>
      <c r="E5288" s="57" t="str">
        <f ca="1">IFERROR(__xludf.DUMMYFUNCTION("""COMPUTED_VALUE"""),"")</f>
        <v/>
      </c>
    </row>
    <row r="5289" spans="1:5">
      <c r="A5289" s="12"/>
      <c r="E5289" s="57" t="str">
        <f ca="1">IFERROR(__xludf.DUMMYFUNCTION("""COMPUTED_VALUE"""),"")</f>
        <v/>
      </c>
    </row>
    <row r="5290" spans="1:5">
      <c r="A5290" s="12"/>
      <c r="E5290" s="57" t="str">
        <f ca="1">IFERROR(__xludf.DUMMYFUNCTION("""COMPUTED_VALUE"""),"")</f>
        <v/>
      </c>
    </row>
    <row r="5291" spans="1:5">
      <c r="A5291" s="12"/>
      <c r="E5291" s="57" t="str">
        <f ca="1">IFERROR(__xludf.DUMMYFUNCTION("""COMPUTED_VALUE"""),"")</f>
        <v/>
      </c>
    </row>
    <row r="5292" spans="1:5">
      <c r="A5292" s="12"/>
      <c r="E5292" s="57" t="str">
        <f ca="1">IFERROR(__xludf.DUMMYFUNCTION("""COMPUTED_VALUE"""),"")</f>
        <v/>
      </c>
    </row>
    <row r="5293" spans="1:5">
      <c r="A5293" s="12"/>
      <c r="E5293" s="57" t="str">
        <f ca="1">IFERROR(__xludf.DUMMYFUNCTION("""COMPUTED_VALUE"""),"")</f>
        <v/>
      </c>
    </row>
    <row r="5294" spans="1:5">
      <c r="A5294" s="12"/>
      <c r="E5294" s="57" t="str">
        <f ca="1">IFERROR(__xludf.DUMMYFUNCTION("""COMPUTED_VALUE"""),"")</f>
        <v/>
      </c>
    </row>
    <row r="5295" spans="1:5">
      <c r="A5295" s="12"/>
      <c r="E5295" s="57" t="str">
        <f ca="1">IFERROR(__xludf.DUMMYFUNCTION("""COMPUTED_VALUE"""),"")</f>
        <v/>
      </c>
    </row>
    <row r="5296" spans="1:5">
      <c r="A5296" s="12"/>
      <c r="E5296" s="57" t="str">
        <f ca="1">IFERROR(__xludf.DUMMYFUNCTION("""COMPUTED_VALUE"""),"")</f>
        <v/>
      </c>
    </row>
    <row r="5297" spans="1:5">
      <c r="A5297" s="12"/>
      <c r="E5297" s="57" t="str">
        <f ca="1">IFERROR(__xludf.DUMMYFUNCTION("""COMPUTED_VALUE"""),"")</f>
        <v/>
      </c>
    </row>
    <row r="5298" spans="1:5">
      <c r="A5298" s="12"/>
      <c r="E5298" s="57" t="str">
        <f ca="1">IFERROR(__xludf.DUMMYFUNCTION("""COMPUTED_VALUE"""),"")</f>
        <v/>
      </c>
    </row>
    <row r="5299" spans="1:5">
      <c r="A5299" s="12"/>
      <c r="E5299" s="57" t="str">
        <f ca="1">IFERROR(__xludf.DUMMYFUNCTION("""COMPUTED_VALUE"""),"")</f>
        <v/>
      </c>
    </row>
    <row r="5300" spans="1:5">
      <c r="A5300" s="12"/>
      <c r="E5300" s="57" t="str">
        <f ca="1">IFERROR(__xludf.DUMMYFUNCTION("""COMPUTED_VALUE"""),"")</f>
        <v/>
      </c>
    </row>
    <row r="5301" spans="1:5">
      <c r="A5301" s="12"/>
      <c r="E5301" s="57" t="str">
        <f ca="1">IFERROR(__xludf.DUMMYFUNCTION("""COMPUTED_VALUE"""),"")</f>
        <v/>
      </c>
    </row>
    <row r="5302" spans="1:5">
      <c r="A5302" s="12"/>
      <c r="E5302" s="57" t="str">
        <f ca="1">IFERROR(__xludf.DUMMYFUNCTION("""COMPUTED_VALUE"""),"")</f>
        <v/>
      </c>
    </row>
    <row r="5303" spans="1:5">
      <c r="A5303" s="12"/>
      <c r="E5303" s="57" t="str">
        <f ca="1">IFERROR(__xludf.DUMMYFUNCTION("""COMPUTED_VALUE"""),"")</f>
        <v/>
      </c>
    </row>
    <row r="5304" spans="1:5">
      <c r="A5304" s="12"/>
      <c r="E5304" s="57" t="str">
        <f ca="1">IFERROR(__xludf.DUMMYFUNCTION("""COMPUTED_VALUE"""),"")</f>
        <v/>
      </c>
    </row>
    <row r="5305" spans="1:5">
      <c r="A5305" s="12"/>
      <c r="E5305" s="57" t="str">
        <f ca="1">IFERROR(__xludf.DUMMYFUNCTION("""COMPUTED_VALUE"""),"")</f>
        <v/>
      </c>
    </row>
    <row r="5306" spans="1:5">
      <c r="A5306" s="12"/>
      <c r="E5306" s="57" t="str">
        <f ca="1">IFERROR(__xludf.DUMMYFUNCTION("""COMPUTED_VALUE"""),"")</f>
        <v/>
      </c>
    </row>
    <row r="5307" spans="1:5">
      <c r="A5307" s="12"/>
      <c r="E5307" s="57" t="str">
        <f ca="1">IFERROR(__xludf.DUMMYFUNCTION("""COMPUTED_VALUE"""),"")</f>
        <v/>
      </c>
    </row>
    <row r="5308" spans="1:5">
      <c r="A5308" s="12"/>
      <c r="E5308" s="57" t="str">
        <f ca="1">IFERROR(__xludf.DUMMYFUNCTION("""COMPUTED_VALUE"""),"")</f>
        <v/>
      </c>
    </row>
    <row r="5309" spans="1:5">
      <c r="A5309" s="12"/>
      <c r="E5309" s="57" t="str">
        <f ca="1">IFERROR(__xludf.DUMMYFUNCTION("""COMPUTED_VALUE"""),"")</f>
        <v/>
      </c>
    </row>
    <row r="5310" spans="1:5">
      <c r="A5310" s="12"/>
      <c r="E5310" s="57" t="str">
        <f ca="1">IFERROR(__xludf.DUMMYFUNCTION("""COMPUTED_VALUE"""),"")</f>
        <v/>
      </c>
    </row>
    <row r="5311" spans="1:5">
      <c r="A5311" s="12"/>
      <c r="E5311" s="57" t="str">
        <f ca="1">IFERROR(__xludf.DUMMYFUNCTION("""COMPUTED_VALUE"""),"")</f>
        <v/>
      </c>
    </row>
    <row r="5312" spans="1:5">
      <c r="A5312" s="12"/>
      <c r="E5312" s="57" t="str">
        <f ca="1">IFERROR(__xludf.DUMMYFUNCTION("""COMPUTED_VALUE"""),"")</f>
        <v/>
      </c>
    </row>
    <row r="5313" spans="1:5">
      <c r="A5313" s="12"/>
      <c r="E5313" s="57" t="str">
        <f ca="1">IFERROR(__xludf.DUMMYFUNCTION("""COMPUTED_VALUE"""),"")</f>
        <v/>
      </c>
    </row>
    <row r="5314" spans="1:5">
      <c r="A5314" s="12"/>
      <c r="E5314" s="57" t="str">
        <f ca="1">IFERROR(__xludf.DUMMYFUNCTION("""COMPUTED_VALUE"""),"")</f>
        <v/>
      </c>
    </row>
    <row r="5315" spans="1:5">
      <c r="A5315" s="12"/>
      <c r="E5315" s="57" t="str">
        <f ca="1">IFERROR(__xludf.DUMMYFUNCTION("""COMPUTED_VALUE"""),"")</f>
        <v/>
      </c>
    </row>
    <row r="5316" spans="1:5">
      <c r="A5316" s="12"/>
      <c r="E5316" s="57" t="str">
        <f ca="1">IFERROR(__xludf.DUMMYFUNCTION("""COMPUTED_VALUE"""),"")</f>
        <v/>
      </c>
    </row>
    <row r="5317" spans="1:5">
      <c r="A5317" s="12"/>
      <c r="E5317" s="57" t="str">
        <f ca="1">IFERROR(__xludf.DUMMYFUNCTION("""COMPUTED_VALUE"""),"")</f>
        <v/>
      </c>
    </row>
    <row r="5318" spans="1:5">
      <c r="A5318" s="12"/>
      <c r="E5318" s="57" t="str">
        <f ca="1">IFERROR(__xludf.DUMMYFUNCTION("""COMPUTED_VALUE"""),"")</f>
        <v/>
      </c>
    </row>
    <row r="5319" spans="1:5">
      <c r="A5319" s="12"/>
      <c r="E5319" s="57" t="str">
        <f ca="1">IFERROR(__xludf.DUMMYFUNCTION("""COMPUTED_VALUE"""),"")</f>
        <v/>
      </c>
    </row>
    <row r="5320" spans="1:5">
      <c r="A5320" s="12"/>
      <c r="E5320" s="57" t="str">
        <f ca="1">IFERROR(__xludf.DUMMYFUNCTION("""COMPUTED_VALUE"""),"")</f>
        <v/>
      </c>
    </row>
    <row r="5321" spans="1:5">
      <c r="A5321" s="12"/>
      <c r="E5321" s="57" t="str">
        <f ca="1">IFERROR(__xludf.DUMMYFUNCTION("""COMPUTED_VALUE"""),"")</f>
        <v/>
      </c>
    </row>
    <row r="5322" spans="1:5">
      <c r="A5322" s="12"/>
      <c r="E5322" s="57" t="str">
        <f ca="1">IFERROR(__xludf.DUMMYFUNCTION("""COMPUTED_VALUE"""),"")</f>
        <v/>
      </c>
    </row>
    <row r="5323" spans="1:5">
      <c r="A5323" s="12"/>
      <c r="E5323" s="57" t="str">
        <f ca="1">IFERROR(__xludf.DUMMYFUNCTION("""COMPUTED_VALUE"""),"")</f>
        <v/>
      </c>
    </row>
    <row r="5324" spans="1:5">
      <c r="A5324" s="12"/>
      <c r="E5324" s="57" t="str">
        <f ca="1">IFERROR(__xludf.DUMMYFUNCTION("""COMPUTED_VALUE"""),"")</f>
        <v/>
      </c>
    </row>
    <row r="5325" spans="1:5">
      <c r="A5325" s="12"/>
      <c r="E5325" s="57" t="str">
        <f ca="1">IFERROR(__xludf.DUMMYFUNCTION("""COMPUTED_VALUE"""),"")</f>
        <v/>
      </c>
    </row>
    <row r="5326" spans="1:5">
      <c r="A5326" s="12"/>
      <c r="E5326" s="57" t="str">
        <f ca="1">IFERROR(__xludf.DUMMYFUNCTION("""COMPUTED_VALUE"""),"")</f>
        <v/>
      </c>
    </row>
    <row r="5327" spans="1:5">
      <c r="A5327" s="12"/>
      <c r="E5327" s="57" t="str">
        <f ca="1">IFERROR(__xludf.DUMMYFUNCTION("""COMPUTED_VALUE"""),"")</f>
        <v/>
      </c>
    </row>
    <row r="5328" spans="1:5">
      <c r="A5328" s="12"/>
      <c r="E5328" s="57" t="str">
        <f ca="1">IFERROR(__xludf.DUMMYFUNCTION("""COMPUTED_VALUE"""),"")</f>
        <v/>
      </c>
    </row>
    <row r="5329" spans="1:5">
      <c r="A5329" s="12"/>
      <c r="E5329" s="57" t="str">
        <f ca="1">IFERROR(__xludf.DUMMYFUNCTION("""COMPUTED_VALUE"""),"")</f>
        <v/>
      </c>
    </row>
    <row r="5330" spans="1:5">
      <c r="A5330" s="12"/>
      <c r="E5330" s="57" t="str">
        <f ca="1">IFERROR(__xludf.DUMMYFUNCTION("""COMPUTED_VALUE"""),"")</f>
        <v/>
      </c>
    </row>
    <row r="5331" spans="1:5">
      <c r="A5331" s="12"/>
      <c r="E5331" s="57" t="str">
        <f ca="1">IFERROR(__xludf.DUMMYFUNCTION("""COMPUTED_VALUE"""),"")</f>
        <v/>
      </c>
    </row>
    <row r="5332" spans="1:5">
      <c r="A5332" s="12"/>
      <c r="E5332" s="57" t="str">
        <f ca="1">IFERROR(__xludf.DUMMYFUNCTION("""COMPUTED_VALUE"""),"")</f>
        <v/>
      </c>
    </row>
    <row r="5333" spans="1:5">
      <c r="A5333" s="12"/>
      <c r="E5333" s="57" t="str">
        <f ca="1">IFERROR(__xludf.DUMMYFUNCTION("""COMPUTED_VALUE"""),"")</f>
        <v/>
      </c>
    </row>
    <row r="5334" spans="1:5">
      <c r="A5334" s="12"/>
      <c r="E5334" s="57" t="str">
        <f ca="1">IFERROR(__xludf.DUMMYFUNCTION("""COMPUTED_VALUE"""),"")</f>
        <v/>
      </c>
    </row>
    <row r="5335" spans="1:5">
      <c r="A5335" s="12"/>
      <c r="E5335" s="57" t="str">
        <f ca="1">IFERROR(__xludf.DUMMYFUNCTION("""COMPUTED_VALUE"""),"")</f>
        <v/>
      </c>
    </row>
    <row r="5336" spans="1:5">
      <c r="A5336" s="12"/>
      <c r="E5336" s="57" t="str">
        <f ca="1">IFERROR(__xludf.DUMMYFUNCTION("""COMPUTED_VALUE"""),"")</f>
        <v/>
      </c>
    </row>
    <row r="5337" spans="1:5">
      <c r="A5337" s="12"/>
      <c r="E5337" s="57" t="str">
        <f ca="1">IFERROR(__xludf.DUMMYFUNCTION("""COMPUTED_VALUE"""),"")</f>
        <v/>
      </c>
    </row>
    <row r="5338" spans="1:5">
      <c r="A5338" s="12"/>
      <c r="E5338" s="57" t="str">
        <f ca="1">IFERROR(__xludf.DUMMYFUNCTION("""COMPUTED_VALUE"""),"")</f>
        <v/>
      </c>
    </row>
    <row r="5339" spans="1:5">
      <c r="A5339" s="12"/>
      <c r="E5339" s="57" t="str">
        <f ca="1">IFERROR(__xludf.DUMMYFUNCTION("""COMPUTED_VALUE"""),"")</f>
        <v/>
      </c>
    </row>
    <row r="5340" spans="1:5">
      <c r="A5340" s="12"/>
      <c r="E5340" s="57" t="str">
        <f ca="1">IFERROR(__xludf.DUMMYFUNCTION("""COMPUTED_VALUE"""),"")</f>
        <v/>
      </c>
    </row>
    <row r="5341" spans="1:5">
      <c r="A5341" s="12"/>
      <c r="E5341" s="57" t="str">
        <f ca="1">IFERROR(__xludf.DUMMYFUNCTION("""COMPUTED_VALUE"""),"")</f>
        <v/>
      </c>
    </row>
    <row r="5342" spans="1:5">
      <c r="A5342" s="12"/>
      <c r="E5342" s="57" t="str">
        <f ca="1">IFERROR(__xludf.DUMMYFUNCTION("""COMPUTED_VALUE"""),"")</f>
        <v/>
      </c>
    </row>
    <row r="5343" spans="1:5">
      <c r="A5343" s="12"/>
      <c r="E5343" s="57" t="str">
        <f ca="1">IFERROR(__xludf.DUMMYFUNCTION("""COMPUTED_VALUE"""),"")</f>
        <v/>
      </c>
    </row>
    <row r="5344" spans="1:5">
      <c r="A5344" s="12"/>
      <c r="E5344" s="57" t="str">
        <f ca="1">IFERROR(__xludf.DUMMYFUNCTION("""COMPUTED_VALUE"""),"")</f>
        <v/>
      </c>
    </row>
    <row r="5345" spans="1:5">
      <c r="A5345" s="12"/>
      <c r="E5345" s="57" t="str">
        <f ca="1">IFERROR(__xludf.DUMMYFUNCTION("""COMPUTED_VALUE"""),"")</f>
        <v/>
      </c>
    </row>
    <row r="5346" spans="1:5">
      <c r="A5346" s="12"/>
      <c r="E5346" s="57" t="str">
        <f ca="1">IFERROR(__xludf.DUMMYFUNCTION("""COMPUTED_VALUE"""),"")</f>
        <v/>
      </c>
    </row>
    <row r="5347" spans="1:5">
      <c r="A5347" s="12"/>
      <c r="E5347" s="57" t="str">
        <f ca="1">IFERROR(__xludf.DUMMYFUNCTION("""COMPUTED_VALUE"""),"")</f>
        <v/>
      </c>
    </row>
    <row r="5348" spans="1:5">
      <c r="A5348" s="12"/>
      <c r="E5348" s="57" t="str">
        <f ca="1">IFERROR(__xludf.DUMMYFUNCTION("""COMPUTED_VALUE"""),"")</f>
        <v/>
      </c>
    </row>
    <row r="5349" spans="1:5">
      <c r="A5349" s="12"/>
      <c r="E5349" s="57" t="str">
        <f ca="1">IFERROR(__xludf.DUMMYFUNCTION("""COMPUTED_VALUE"""),"")</f>
        <v/>
      </c>
    </row>
    <row r="5350" spans="1:5">
      <c r="A5350" s="12"/>
      <c r="E5350" s="57" t="str">
        <f ca="1">IFERROR(__xludf.DUMMYFUNCTION("""COMPUTED_VALUE"""),"")</f>
        <v/>
      </c>
    </row>
    <row r="5351" spans="1:5">
      <c r="A5351" s="12"/>
      <c r="E5351" s="57" t="str">
        <f ca="1">IFERROR(__xludf.DUMMYFUNCTION("""COMPUTED_VALUE"""),"")</f>
        <v/>
      </c>
    </row>
    <row r="5352" spans="1:5">
      <c r="A5352" s="12"/>
      <c r="E5352" s="57" t="str">
        <f ca="1">IFERROR(__xludf.DUMMYFUNCTION("""COMPUTED_VALUE"""),"")</f>
        <v/>
      </c>
    </row>
    <row r="5353" spans="1:5">
      <c r="A5353" s="12"/>
      <c r="E5353" s="57" t="str">
        <f ca="1">IFERROR(__xludf.DUMMYFUNCTION("""COMPUTED_VALUE"""),"")</f>
        <v/>
      </c>
    </row>
    <row r="5354" spans="1:5">
      <c r="A5354" s="12"/>
      <c r="E5354" s="57" t="str">
        <f ca="1">IFERROR(__xludf.DUMMYFUNCTION("""COMPUTED_VALUE"""),"")</f>
        <v/>
      </c>
    </row>
    <row r="5355" spans="1:5">
      <c r="A5355" s="12"/>
      <c r="E5355" s="57" t="str">
        <f ca="1">IFERROR(__xludf.DUMMYFUNCTION("""COMPUTED_VALUE"""),"")</f>
        <v/>
      </c>
    </row>
    <row r="5356" spans="1:5">
      <c r="A5356" s="12"/>
      <c r="E5356" s="57" t="str">
        <f ca="1">IFERROR(__xludf.DUMMYFUNCTION("""COMPUTED_VALUE"""),"")</f>
        <v/>
      </c>
    </row>
    <row r="5357" spans="1:5">
      <c r="A5357" s="12"/>
      <c r="E5357" s="57" t="str">
        <f ca="1">IFERROR(__xludf.DUMMYFUNCTION("""COMPUTED_VALUE"""),"")</f>
        <v/>
      </c>
    </row>
    <row r="5358" spans="1:5">
      <c r="A5358" s="12"/>
      <c r="E5358" s="57" t="str">
        <f ca="1">IFERROR(__xludf.DUMMYFUNCTION("""COMPUTED_VALUE"""),"")</f>
        <v/>
      </c>
    </row>
    <row r="5359" spans="1:5">
      <c r="A5359" s="12"/>
      <c r="E5359" s="57" t="str">
        <f ca="1">IFERROR(__xludf.DUMMYFUNCTION("""COMPUTED_VALUE"""),"")</f>
        <v/>
      </c>
    </row>
    <row r="5360" spans="1:5">
      <c r="A5360" s="12"/>
      <c r="E5360" s="57" t="str">
        <f ca="1">IFERROR(__xludf.DUMMYFUNCTION("""COMPUTED_VALUE"""),"")</f>
        <v/>
      </c>
    </row>
    <row r="5361" spans="1:5">
      <c r="A5361" s="12"/>
      <c r="E5361" s="57" t="str">
        <f ca="1">IFERROR(__xludf.DUMMYFUNCTION("""COMPUTED_VALUE"""),"")</f>
        <v/>
      </c>
    </row>
    <row r="5362" spans="1:5">
      <c r="A5362" s="12"/>
      <c r="E5362" s="57" t="str">
        <f ca="1">IFERROR(__xludf.DUMMYFUNCTION("""COMPUTED_VALUE"""),"")</f>
        <v/>
      </c>
    </row>
    <row r="5363" spans="1:5">
      <c r="A5363" s="12"/>
      <c r="E5363" s="57" t="str">
        <f ca="1">IFERROR(__xludf.DUMMYFUNCTION("""COMPUTED_VALUE"""),"")</f>
        <v/>
      </c>
    </row>
    <row r="5364" spans="1:5">
      <c r="A5364" s="12"/>
      <c r="E5364" s="57" t="str">
        <f ca="1">IFERROR(__xludf.DUMMYFUNCTION("""COMPUTED_VALUE"""),"")</f>
        <v/>
      </c>
    </row>
    <row r="5365" spans="1:5">
      <c r="A5365" s="12"/>
      <c r="E5365" s="57" t="str">
        <f ca="1">IFERROR(__xludf.DUMMYFUNCTION("""COMPUTED_VALUE"""),"")</f>
        <v/>
      </c>
    </row>
    <row r="5366" spans="1:5">
      <c r="A5366" s="12"/>
      <c r="E5366" s="57" t="str">
        <f ca="1">IFERROR(__xludf.DUMMYFUNCTION("""COMPUTED_VALUE"""),"")</f>
        <v/>
      </c>
    </row>
    <row r="5367" spans="1:5">
      <c r="A5367" s="12"/>
      <c r="E5367" s="57" t="str">
        <f ca="1">IFERROR(__xludf.DUMMYFUNCTION("""COMPUTED_VALUE"""),"")</f>
        <v/>
      </c>
    </row>
    <row r="5368" spans="1:5">
      <c r="A5368" s="12"/>
      <c r="E5368" s="57" t="str">
        <f ca="1">IFERROR(__xludf.DUMMYFUNCTION("""COMPUTED_VALUE"""),"")</f>
        <v/>
      </c>
    </row>
    <row r="5369" spans="1:5">
      <c r="A5369" s="12"/>
      <c r="E5369" s="57" t="str">
        <f ca="1">IFERROR(__xludf.DUMMYFUNCTION("""COMPUTED_VALUE"""),"")</f>
        <v/>
      </c>
    </row>
    <row r="5370" spans="1:5">
      <c r="A5370" s="12"/>
      <c r="E5370" s="57" t="str">
        <f ca="1">IFERROR(__xludf.DUMMYFUNCTION("""COMPUTED_VALUE"""),"")</f>
        <v/>
      </c>
    </row>
    <row r="5371" spans="1:5">
      <c r="A5371" s="12"/>
      <c r="E5371" s="57" t="str">
        <f ca="1">IFERROR(__xludf.DUMMYFUNCTION("""COMPUTED_VALUE"""),"")</f>
        <v/>
      </c>
    </row>
    <row r="5372" spans="1:5">
      <c r="A5372" s="12"/>
      <c r="E5372" s="57" t="str">
        <f ca="1">IFERROR(__xludf.DUMMYFUNCTION("""COMPUTED_VALUE"""),"")</f>
        <v/>
      </c>
    </row>
    <row r="5373" spans="1:5">
      <c r="A5373" s="12"/>
      <c r="E5373" s="57" t="str">
        <f ca="1">IFERROR(__xludf.DUMMYFUNCTION("""COMPUTED_VALUE"""),"")</f>
        <v/>
      </c>
    </row>
    <row r="5374" spans="1:5">
      <c r="A5374" s="12"/>
      <c r="E5374" s="57" t="str">
        <f ca="1">IFERROR(__xludf.DUMMYFUNCTION("""COMPUTED_VALUE"""),"")</f>
        <v/>
      </c>
    </row>
    <row r="5375" spans="1:5">
      <c r="A5375" s="12"/>
      <c r="E5375" s="57" t="str">
        <f ca="1">IFERROR(__xludf.DUMMYFUNCTION("""COMPUTED_VALUE"""),"")</f>
        <v/>
      </c>
    </row>
    <row r="5376" spans="1:5">
      <c r="A5376" s="12"/>
      <c r="E5376" s="57" t="str">
        <f ca="1">IFERROR(__xludf.DUMMYFUNCTION("""COMPUTED_VALUE"""),"")</f>
        <v/>
      </c>
    </row>
    <row r="5377" spans="1:5">
      <c r="A5377" s="12"/>
      <c r="E5377" s="57" t="str">
        <f ca="1">IFERROR(__xludf.DUMMYFUNCTION("""COMPUTED_VALUE"""),"")</f>
        <v/>
      </c>
    </row>
    <row r="5378" spans="1:5">
      <c r="A5378" s="12"/>
      <c r="E5378" s="57" t="str">
        <f ca="1">IFERROR(__xludf.DUMMYFUNCTION("""COMPUTED_VALUE"""),"")</f>
        <v/>
      </c>
    </row>
    <row r="5379" spans="1:5">
      <c r="A5379" s="12"/>
      <c r="E5379" s="57" t="str">
        <f ca="1">IFERROR(__xludf.DUMMYFUNCTION("""COMPUTED_VALUE"""),"")</f>
        <v/>
      </c>
    </row>
    <row r="5380" spans="1:5">
      <c r="A5380" s="12"/>
      <c r="E5380" s="57" t="str">
        <f ca="1">IFERROR(__xludf.DUMMYFUNCTION("""COMPUTED_VALUE"""),"")</f>
        <v/>
      </c>
    </row>
    <row r="5381" spans="1:5">
      <c r="A5381" s="12"/>
      <c r="E5381" s="57" t="str">
        <f ca="1">IFERROR(__xludf.DUMMYFUNCTION("""COMPUTED_VALUE"""),"")</f>
        <v/>
      </c>
    </row>
    <row r="5382" spans="1:5">
      <c r="A5382" s="12"/>
      <c r="E5382" s="57" t="str">
        <f ca="1">IFERROR(__xludf.DUMMYFUNCTION("""COMPUTED_VALUE"""),"")</f>
        <v/>
      </c>
    </row>
    <row r="5383" spans="1:5">
      <c r="A5383" s="12"/>
      <c r="E5383" s="57" t="str">
        <f ca="1">IFERROR(__xludf.DUMMYFUNCTION("""COMPUTED_VALUE"""),"")</f>
        <v/>
      </c>
    </row>
    <row r="5384" spans="1:5">
      <c r="A5384" s="12"/>
      <c r="E5384" s="57" t="str">
        <f ca="1">IFERROR(__xludf.DUMMYFUNCTION("""COMPUTED_VALUE"""),"")</f>
        <v/>
      </c>
    </row>
    <row r="5385" spans="1:5">
      <c r="A5385" s="12"/>
      <c r="E5385" s="57" t="str">
        <f ca="1">IFERROR(__xludf.DUMMYFUNCTION("""COMPUTED_VALUE"""),"")</f>
        <v/>
      </c>
    </row>
    <row r="5386" spans="1:5">
      <c r="A5386" s="12"/>
      <c r="E5386" s="57" t="str">
        <f ca="1">IFERROR(__xludf.DUMMYFUNCTION("""COMPUTED_VALUE"""),"")</f>
        <v/>
      </c>
    </row>
    <row r="5387" spans="1:5">
      <c r="A5387" s="12"/>
      <c r="E5387" s="57" t="str">
        <f ca="1">IFERROR(__xludf.DUMMYFUNCTION("""COMPUTED_VALUE"""),"")</f>
        <v/>
      </c>
    </row>
    <row r="5388" spans="1:5">
      <c r="A5388" s="12"/>
      <c r="E5388" s="57" t="str">
        <f ca="1">IFERROR(__xludf.DUMMYFUNCTION("""COMPUTED_VALUE"""),"")</f>
        <v/>
      </c>
    </row>
    <row r="5389" spans="1:5">
      <c r="A5389" s="12"/>
      <c r="E5389" s="57" t="str">
        <f ca="1">IFERROR(__xludf.DUMMYFUNCTION("""COMPUTED_VALUE"""),"")</f>
        <v/>
      </c>
    </row>
    <row r="5390" spans="1:5">
      <c r="A5390" s="12"/>
      <c r="E5390" s="57" t="str">
        <f ca="1">IFERROR(__xludf.DUMMYFUNCTION("""COMPUTED_VALUE"""),"")</f>
        <v/>
      </c>
    </row>
    <row r="5391" spans="1:5">
      <c r="A5391" s="12"/>
      <c r="E5391" s="57" t="str">
        <f ca="1">IFERROR(__xludf.DUMMYFUNCTION("""COMPUTED_VALUE"""),"")</f>
        <v/>
      </c>
    </row>
    <row r="5392" spans="1:5">
      <c r="A5392" s="12"/>
      <c r="E5392" s="57" t="str">
        <f ca="1">IFERROR(__xludf.DUMMYFUNCTION("""COMPUTED_VALUE"""),"")</f>
        <v/>
      </c>
    </row>
    <row r="5393" spans="1:5">
      <c r="A5393" s="12"/>
      <c r="E5393" s="57" t="str">
        <f ca="1">IFERROR(__xludf.DUMMYFUNCTION("""COMPUTED_VALUE"""),"")</f>
        <v/>
      </c>
    </row>
    <row r="5394" spans="1:5">
      <c r="A5394" s="12"/>
      <c r="E5394" s="57" t="str">
        <f ca="1">IFERROR(__xludf.DUMMYFUNCTION("""COMPUTED_VALUE"""),"")</f>
        <v/>
      </c>
    </row>
    <row r="5395" spans="1:5">
      <c r="A5395" s="12"/>
      <c r="E5395" s="57" t="str">
        <f ca="1">IFERROR(__xludf.DUMMYFUNCTION("""COMPUTED_VALUE"""),"")</f>
        <v/>
      </c>
    </row>
    <row r="5396" spans="1:5">
      <c r="A5396" s="12"/>
      <c r="E5396" s="57" t="str">
        <f ca="1">IFERROR(__xludf.DUMMYFUNCTION("""COMPUTED_VALUE"""),"")</f>
        <v/>
      </c>
    </row>
    <row r="5397" spans="1:5">
      <c r="A5397" s="12"/>
      <c r="E5397" s="57" t="str">
        <f ca="1">IFERROR(__xludf.DUMMYFUNCTION("""COMPUTED_VALUE"""),"")</f>
        <v/>
      </c>
    </row>
    <row r="5398" spans="1:5">
      <c r="A5398" s="12"/>
      <c r="E5398" s="57" t="str">
        <f ca="1">IFERROR(__xludf.DUMMYFUNCTION("""COMPUTED_VALUE"""),"")</f>
        <v/>
      </c>
    </row>
    <row r="5399" spans="1:5">
      <c r="A5399" s="12"/>
      <c r="E5399" s="57" t="str">
        <f ca="1">IFERROR(__xludf.DUMMYFUNCTION("""COMPUTED_VALUE"""),"")</f>
        <v/>
      </c>
    </row>
    <row r="5400" spans="1:5">
      <c r="A5400" s="12"/>
      <c r="E5400" s="57" t="str">
        <f ca="1">IFERROR(__xludf.DUMMYFUNCTION("""COMPUTED_VALUE"""),"")</f>
        <v/>
      </c>
    </row>
    <row r="5401" spans="1:5">
      <c r="A5401" s="12"/>
      <c r="E5401" s="57" t="str">
        <f ca="1">IFERROR(__xludf.DUMMYFUNCTION("""COMPUTED_VALUE"""),"")</f>
        <v/>
      </c>
    </row>
    <row r="5402" spans="1:5">
      <c r="A5402" s="12"/>
      <c r="E5402" s="57" t="str">
        <f ca="1">IFERROR(__xludf.DUMMYFUNCTION("""COMPUTED_VALUE"""),"")</f>
        <v/>
      </c>
    </row>
    <row r="5403" spans="1:5">
      <c r="A5403" s="12"/>
      <c r="E5403" s="57" t="str">
        <f ca="1">IFERROR(__xludf.DUMMYFUNCTION("""COMPUTED_VALUE"""),"")</f>
        <v/>
      </c>
    </row>
    <row r="5404" spans="1:5">
      <c r="A5404" s="12"/>
      <c r="E5404" s="57" t="str">
        <f ca="1">IFERROR(__xludf.DUMMYFUNCTION("""COMPUTED_VALUE"""),"")</f>
        <v/>
      </c>
    </row>
    <row r="5405" spans="1:5">
      <c r="A5405" s="12"/>
      <c r="E5405" s="57" t="str">
        <f ca="1">IFERROR(__xludf.DUMMYFUNCTION("""COMPUTED_VALUE"""),"")</f>
        <v/>
      </c>
    </row>
    <row r="5406" spans="1:5">
      <c r="A5406" s="12"/>
      <c r="E5406" s="57" t="str">
        <f ca="1">IFERROR(__xludf.DUMMYFUNCTION("""COMPUTED_VALUE"""),"")</f>
        <v/>
      </c>
    </row>
    <row r="5407" spans="1:5">
      <c r="A5407" s="12"/>
      <c r="E5407" s="57" t="str">
        <f ca="1">IFERROR(__xludf.DUMMYFUNCTION("""COMPUTED_VALUE"""),"")</f>
        <v/>
      </c>
    </row>
    <row r="5408" spans="1:5">
      <c r="A5408" s="12"/>
      <c r="E5408" s="57" t="str">
        <f ca="1">IFERROR(__xludf.DUMMYFUNCTION("""COMPUTED_VALUE"""),"")</f>
        <v/>
      </c>
    </row>
    <row r="5409" spans="1:5">
      <c r="A5409" s="12"/>
      <c r="E5409" s="57" t="str">
        <f ca="1">IFERROR(__xludf.DUMMYFUNCTION("""COMPUTED_VALUE"""),"")</f>
        <v/>
      </c>
    </row>
    <row r="5410" spans="1:5">
      <c r="A5410" s="12"/>
      <c r="E5410" s="57" t="str">
        <f ca="1">IFERROR(__xludf.DUMMYFUNCTION("""COMPUTED_VALUE"""),"")</f>
        <v/>
      </c>
    </row>
    <row r="5411" spans="1:5">
      <c r="A5411" s="12"/>
      <c r="E5411" s="57" t="str">
        <f ca="1">IFERROR(__xludf.DUMMYFUNCTION("""COMPUTED_VALUE"""),"")</f>
        <v/>
      </c>
    </row>
    <row r="5412" spans="1:5">
      <c r="A5412" s="12"/>
      <c r="E5412" s="57" t="str">
        <f ca="1">IFERROR(__xludf.DUMMYFUNCTION("""COMPUTED_VALUE"""),"")</f>
        <v/>
      </c>
    </row>
    <row r="5413" spans="1:5">
      <c r="A5413" s="12"/>
      <c r="E5413" s="57" t="str">
        <f ca="1">IFERROR(__xludf.DUMMYFUNCTION("""COMPUTED_VALUE"""),"")</f>
        <v/>
      </c>
    </row>
    <row r="5414" spans="1:5">
      <c r="A5414" s="12"/>
      <c r="E5414" s="57" t="str">
        <f ca="1">IFERROR(__xludf.DUMMYFUNCTION("""COMPUTED_VALUE"""),"")</f>
        <v/>
      </c>
    </row>
    <row r="5415" spans="1:5">
      <c r="A5415" s="12"/>
      <c r="E5415" s="57" t="str">
        <f ca="1">IFERROR(__xludf.DUMMYFUNCTION("""COMPUTED_VALUE"""),"")</f>
        <v/>
      </c>
    </row>
    <row r="5416" spans="1:5">
      <c r="A5416" s="12"/>
      <c r="E5416" s="57" t="str">
        <f ca="1">IFERROR(__xludf.DUMMYFUNCTION("""COMPUTED_VALUE"""),"")</f>
        <v/>
      </c>
    </row>
    <row r="5417" spans="1:5">
      <c r="A5417" s="12"/>
      <c r="E5417" s="57" t="str">
        <f ca="1">IFERROR(__xludf.DUMMYFUNCTION("""COMPUTED_VALUE"""),"")</f>
        <v/>
      </c>
    </row>
    <row r="5418" spans="1:5">
      <c r="A5418" s="12"/>
      <c r="E5418" s="57" t="str">
        <f ca="1">IFERROR(__xludf.DUMMYFUNCTION("""COMPUTED_VALUE"""),"")</f>
        <v/>
      </c>
    </row>
    <row r="5419" spans="1:5">
      <c r="A5419" s="12"/>
      <c r="E5419" s="57" t="str">
        <f ca="1">IFERROR(__xludf.DUMMYFUNCTION("""COMPUTED_VALUE"""),"")</f>
        <v/>
      </c>
    </row>
    <row r="5420" spans="1:5">
      <c r="A5420" s="12"/>
      <c r="E5420" s="57" t="str">
        <f ca="1">IFERROR(__xludf.DUMMYFUNCTION("""COMPUTED_VALUE"""),"")</f>
        <v/>
      </c>
    </row>
    <row r="5421" spans="1:5">
      <c r="A5421" s="12"/>
      <c r="E5421" s="57" t="str">
        <f ca="1">IFERROR(__xludf.DUMMYFUNCTION("""COMPUTED_VALUE"""),"")</f>
        <v/>
      </c>
    </row>
    <row r="5422" spans="1:5">
      <c r="A5422" s="12"/>
      <c r="E5422" s="57" t="str">
        <f ca="1">IFERROR(__xludf.DUMMYFUNCTION("""COMPUTED_VALUE"""),"")</f>
        <v/>
      </c>
    </row>
    <row r="5423" spans="1:5">
      <c r="A5423" s="12"/>
      <c r="E5423" s="57" t="str">
        <f ca="1">IFERROR(__xludf.DUMMYFUNCTION("""COMPUTED_VALUE"""),"")</f>
        <v/>
      </c>
    </row>
    <row r="5424" spans="1:5">
      <c r="A5424" s="12"/>
      <c r="E5424" s="57" t="str">
        <f ca="1">IFERROR(__xludf.DUMMYFUNCTION("""COMPUTED_VALUE"""),"")</f>
        <v/>
      </c>
    </row>
    <row r="5425" spans="1:5">
      <c r="A5425" s="12"/>
      <c r="E5425" s="57" t="str">
        <f ca="1">IFERROR(__xludf.DUMMYFUNCTION("""COMPUTED_VALUE"""),"")</f>
        <v/>
      </c>
    </row>
    <row r="5426" spans="1:5">
      <c r="A5426" s="12"/>
      <c r="E5426" s="57" t="str">
        <f ca="1">IFERROR(__xludf.DUMMYFUNCTION("""COMPUTED_VALUE"""),"")</f>
        <v/>
      </c>
    </row>
    <row r="5427" spans="1:5">
      <c r="A5427" s="12"/>
      <c r="E5427" s="57" t="str">
        <f ca="1">IFERROR(__xludf.DUMMYFUNCTION("""COMPUTED_VALUE"""),"")</f>
        <v/>
      </c>
    </row>
    <row r="5428" spans="1:5">
      <c r="A5428" s="12"/>
      <c r="E5428" s="57" t="str">
        <f ca="1">IFERROR(__xludf.DUMMYFUNCTION("""COMPUTED_VALUE"""),"")</f>
        <v/>
      </c>
    </row>
    <row r="5429" spans="1:5">
      <c r="A5429" s="12"/>
      <c r="E5429" s="57" t="str">
        <f ca="1">IFERROR(__xludf.DUMMYFUNCTION("""COMPUTED_VALUE"""),"")</f>
        <v/>
      </c>
    </row>
    <row r="5430" spans="1:5">
      <c r="A5430" s="12"/>
      <c r="E5430" s="57" t="str">
        <f ca="1">IFERROR(__xludf.DUMMYFUNCTION("""COMPUTED_VALUE"""),"")</f>
        <v/>
      </c>
    </row>
    <row r="5431" spans="1:5">
      <c r="A5431" s="12"/>
      <c r="E5431" s="57" t="str">
        <f ca="1">IFERROR(__xludf.DUMMYFUNCTION("""COMPUTED_VALUE"""),"")</f>
        <v/>
      </c>
    </row>
    <row r="5432" spans="1:5">
      <c r="A5432" s="12"/>
      <c r="E5432" s="57" t="str">
        <f ca="1">IFERROR(__xludf.DUMMYFUNCTION("""COMPUTED_VALUE"""),"")</f>
        <v/>
      </c>
    </row>
    <row r="5433" spans="1:5">
      <c r="A5433" s="12"/>
      <c r="E5433" s="57" t="str">
        <f ca="1">IFERROR(__xludf.DUMMYFUNCTION("""COMPUTED_VALUE"""),"")</f>
        <v/>
      </c>
    </row>
    <row r="5434" spans="1:5">
      <c r="A5434" s="12"/>
      <c r="E5434" s="57" t="str">
        <f ca="1">IFERROR(__xludf.DUMMYFUNCTION("""COMPUTED_VALUE"""),"")</f>
        <v/>
      </c>
    </row>
    <row r="5435" spans="1:5">
      <c r="A5435" s="12"/>
      <c r="E5435" s="57" t="str">
        <f ca="1">IFERROR(__xludf.DUMMYFUNCTION("""COMPUTED_VALUE"""),"")</f>
        <v/>
      </c>
    </row>
    <row r="5436" spans="1:5">
      <c r="A5436" s="12"/>
      <c r="E5436" s="57" t="str">
        <f ca="1">IFERROR(__xludf.DUMMYFUNCTION("""COMPUTED_VALUE"""),"")</f>
        <v/>
      </c>
    </row>
    <row r="5437" spans="1:5">
      <c r="A5437" s="12"/>
      <c r="E5437" s="57" t="str">
        <f ca="1">IFERROR(__xludf.DUMMYFUNCTION("""COMPUTED_VALUE"""),"")</f>
        <v/>
      </c>
    </row>
    <row r="5438" spans="1:5">
      <c r="A5438" s="12"/>
      <c r="E5438" s="57" t="str">
        <f ca="1">IFERROR(__xludf.DUMMYFUNCTION("""COMPUTED_VALUE"""),"")</f>
        <v/>
      </c>
    </row>
    <row r="5439" spans="1:5">
      <c r="A5439" s="12"/>
      <c r="E5439" s="57" t="str">
        <f ca="1">IFERROR(__xludf.DUMMYFUNCTION("""COMPUTED_VALUE"""),"")</f>
        <v/>
      </c>
    </row>
    <row r="5440" spans="1:5">
      <c r="A5440" s="12"/>
      <c r="E5440" s="57" t="str">
        <f ca="1">IFERROR(__xludf.DUMMYFUNCTION("""COMPUTED_VALUE"""),"")</f>
        <v/>
      </c>
    </row>
    <row r="5441" spans="1:5">
      <c r="A5441" s="12"/>
      <c r="E5441" s="57" t="str">
        <f ca="1">IFERROR(__xludf.DUMMYFUNCTION("""COMPUTED_VALUE"""),"")</f>
        <v/>
      </c>
    </row>
    <row r="5442" spans="1:5">
      <c r="A5442" s="12"/>
      <c r="E5442" s="57" t="str">
        <f ca="1">IFERROR(__xludf.DUMMYFUNCTION("""COMPUTED_VALUE"""),"")</f>
        <v/>
      </c>
    </row>
    <row r="5443" spans="1:5">
      <c r="A5443" s="12"/>
      <c r="E5443" s="57" t="str">
        <f ca="1">IFERROR(__xludf.DUMMYFUNCTION("""COMPUTED_VALUE"""),"")</f>
        <v/>
      </c>
    </row>
    <row r="5444" spans="1:5">
      <c r="A5444" s="12"/>
      <c r="E5444" s="57" t="str">
        <f ca="1">IFERROR(__xludf.DUMMYFUNCTION("""COMPUTED_VALUE"""),"")</f>
        <v/>
      </c>
    </row>
    <row r="5445" spans="1:5">
      <c r="A5445" s="12"/>
      <c r="E5445" s="57" t="str">
        <f ca="1">IFERROR(__xludf.DUMMYFUNCTION("""COMPUTED_VALUE"""),"")</f>
        <v/>
      </c>
    </row>
    <row r="5446" spans="1:5">
      <c r="A5446" s="12"/>
      <c r="E5446" s="57" t="str">
        <f ca="1">IFERROR(__xludf.DUMMYFUNCTION("""COMPUTED_VALUE"""),"")</f>
        <v/>
      </c>
    </row>
    <row r="5447" spans="1:5">
      <c r="A5447" s="12"/>
      <c r="E5447" s="57" t="str">
        <f ca="1">IFERROR(__xludf.DUMMYFUNCTION("""COMPUTED_VALUE"""),"")</f>
        <v/>
      </c>
    </row>
    <row r="5448" spans="1:5">
      <c r="A5448" s="12"/>
      <c r="E5448" s="57" t="str">
        <f ca="1">IFERROR(__xludf.DUMMYFUNCTION("""COMPUTED_VALUE"""),"")</f>
        <v/>
      </c>
    </row>
    <row r="5449" spans="1:5">
      <c r="A5449" s="12"/>
      <c r="E5449" s="57" t="str">
        <f ca="1">IFERROR(__xludf.DUMMYFUNCTION("""COMPUTED_VALUE"""),"")</f>
        <v/>
      </c>
    </row>
    <row r="5450" spans="1:5">
      <c r="A5450" s="12"/>
      <c r="E5450" s="57" t="str">
        <f ca="1">IFERROR(__xludf.DUMMYFUNCTION("""COMPUTED_VALUE"""),"")</f>
        <v/>
      </c>
    </row>
    <row r="5451" spans="1:5">
      <c r="A5451" s="12"/>
      <c r="E5451" s="57" t="str">
        <f ca="1">IFERROR(__xludf.DUMMYFUNCTION("""COMPUTED_VALUE"""),"")</f>
        <v/>
      </c>
    </row>
    <row r="5452" spans="1:5">
      <c r="A5452" s="12"/>
      <c r="E5452" s="57" t="str">
        <f ca="1">IFERROR(__xludf.DUMMYFUNCTION("""COMPUTED_VALUE"""),"")</f>
        <v/>
      </c>
    </row>
    <row r="5453" spans="1:5">
      <c r="A5453" s="12"/>
      <c r="E5453" s="57" t="str">
        <f ca="1">IFERROR(__xludf.DUMMYFUNCTION("""COMPUTED_VALUE"""),"")</f>
        <v/>
      </c>
    </row>
    <row r="5454" spans="1:5">
      <c r="A5454" s="12"/>
      <c r="E5454" s="57" t="str">
        <f ca="1">IFERROR(__xludf.DUMMYFUNCTION("""COMPUTED_VALUE"""),"")</f>
        <v/>
      </c>
    </row>
    <row r="5455" spans="1:5">
      <c r="A5455" s="12"/>
      <c r="E5455" s="57" t="str">
        <f ca="1">IFERROR(__xludf.DUMMYFUNCTION("""COMPUTED_VALUE"""),"")</f>
        <v/>
      </c>
    </row>
    <row r="5456" spans="1:5">
      <c r="A5456" s="12"/>
      <c r="E5456" s="57" t="str">
        <f ca="1">IFERROR(__xludf.DUMMYFUNCTION("""COMPUTED_VALUE"""),"")</f>
        <v/>
      </c>
    </row>
    <row r="5457" spans="1:5">
      <c r="A5457" s="12"/>
      <c r="E5457" s="57" t="str">
        <f ca="1">IFERROR(__xludf.DUMMYFUNCTION("""COMPUTED_VALUE"""),"")</f>
        <v/>
      </c>
    </row>
    <row r="5458" spans="1:5">
      <c r="A5458" s="12"/>
      <c r="E5458" s="57" t="str">
        <f ca="1">IFERROR(__xludf.DUMMYFUNCTION("""COMPUTED_VALUE"""),"")</f>
        <v/>
      </c>
    </row>
    <row r="5459" spans="1:5">
      <c r="A5459" s="12"/>
      <c r="E5459" s="57" t="str">
        <f ca="1">IFERROR(__xludf.DUMMYFUNCTION("""COMPUTED_VALUE"""),"")</f>
        <v/>
      </c>
    </row>
    <row r="5460" spans="1:5">
      <c r="A5460" s="12"/>
      <c r="E5460" s="57" t="str">
        <f ca="1">IFERROR(__xludf.DUMMYFUNCTION("""COMPUTED_VALUE"""),"")</f>
        <v/>
      </c>
    </row>
    <row r="5461" spans="1:5">
      <c r="A5461" s="12"/>
      <c r="E5461" s="57" t="str">
        <f ca="1">IFERROR(__xludf.DUMMYFUNCTION("""COMPUTED_VALUE"""),"")</f>
        <v/>
      </c>
    </row>
    <row r="5462" spans="1:5">
      <c r="A5462" s="12"/>
      <c r="E5462" s="57" t="str">
        <f ca="1">IFERROR(__xludf.DUMMYFUNCTION("""COMPUTED_VALUE"""),"")</f>
        <v/>
      </c>
    </row>
    <row r="5463" spans="1:5">
      <c r="A5463" s="12"/>
      <c r="E5463" s="57" t="str">
        <f ca="1">IFERROR(__xludf.DUMMYFUNCTION("""COMPUTED_VALUE"""),"")</f>
        <v/>
      </c>
    </row>
    <row r="5464" spans="1:5">
      <c r="A5464" s="12"/>
      <c r="E5464" s="57" t="str">
        <f ca="1">IFERROR(__xludf.DUMMYFUNCTION("""COMPUTED_VALUE"""),"")</f>
        <v/>
      </c>
    </row>
    <row r="5465" spans="1:5">
      <c r="A5465" s="12"/>
      <c r="E5465" s="57" t="str">
        <f ca="1">IFERROR(__xludf.DUMMYFUNCTION("""COMPUTED_VALUE"""),"")</f>
        <v/>
      </c>
    </row>
    <row r="5466" spans="1:5">
      <c r="A5466" s="12"/>
      <c r="E5466" s="57" t="str">
        <f ca="1">IFERROR(__xludf.DUMMYFUNCTION("""COMPUTED_VALUE"""),"")</f>
        <v/>
      </c>
    </row>
    <row r="5467" spans="1:5">
      <c r="A5467" s="12"/>
      <c r="E5467" s="57" t="str">
        <f ca="1">IFERROR(__xludf.DUMMYFUNCTION("""COMPUTED_VALUE"""),"")</f>
        <v/>
      </c>
    </row>
    <row r="5468" spans="1:5">
      <c r="A5468" s="12"/>
      <c r="E5468" s="57" t="str">
        <f ca="1">IFERROR(__xludf.DUMMYFUNCTION("""COMPUTED_VALUE"""),"")</f>
        <v/>
      </c>
    </row>
    <row r="5469" spans="1:5">
      <c r="A5469" s="12"/>
      <c r="E5469" s="57" t="str">
        <f ca="1">IFERROR(__xludf.DUMMYFUNCTION("""COMPUTED_VALUE"""),"")</f>
        <v/>
      </c>
    </row>
    <row r="5470" spans="1:5">
      <c r="A5470" s="12"/>
      <c r="E5470" s="57" t="str">
        <f ca="1">IFERROR(__xludf.DUMMYFUNCTION("""COMPUTED_VALUE"""),"")</f>
        <v/>
      </c>
    </row>
    <row r="5471" spans="1:5">
      <c r="A5471" s="12"/>
      <c r="E5471" s="57" t="str">
        <f ca="1">IFERROR(__xludf.DUMMYFUNCTION("""COMPUTED_VALUE"""),"")</f>
        <v/>
      </c>
    </row>
    <row r="5472" spans="1:5">
      <c r="A5472" s="12"/>
      <c r="E5472" s="57" t="str">
        <f ca="1">IFERROR(__xludf.DUMMYFUNCTION("""COMPUTED_VALUE"""),"")</f>
        <v/>
      </c>
    </row>
    <row r="5473" spans="1:5">
      <c r="A5473" s="12"/>
      <c r="E5473" s="57" t="str">
        <f ca="1">IFERROR(__xludf.DUMMYFUNCTION("""COMPUTED_VALUE"""),"")</f>
        <v/>
      </c>
    </row>
    <row r="5474" spans="1:5">
      <c r="A5474" s="12"/>
      <c r="E5474" s="57" t="str">
        <f ca="1">IFERROR(__xludf.DUMMYFUNCTION("""COMPUTED_VALUE"""),"")</f>
        <v/>
      </c>
    </row>
    <row r="5475" spans="1:5">
      <c r="A5475" s="12"/>
      <c r="E5475" s="57" t="str">
        <f ca="1">IFERROR(__xludf.DUMMYFUNCTION("""COMPUTED_VALUE"""),"")</f>
        <v/>
      </c>
    </row>
    <row r="5476" spans="1:5">
      <c r="A5476" s="12"/>
      <c r="E5476" s="57" t="str">
        <f ca="1">IFERROR(__xludf.DUMMYFUNCTION("""COMPUTED_VALUE"""),"")</f>
        <v/>
      </c>
    </row>
    <row r="5477" spans="1:5">
      <c r="A5477" s="12"/>
      <c r="E5477" s="57" t="str">
        <f ca="1">IFERROR(__xludf.DUMMYFUNCTION("""COMPUTED_VALUE"""),"")</f>
        <v/>
      </c>
    </row>
    <row r="5478" spans="1:5">
      <c r="A5478" s="12"/>
      <c r="E5478" s="57" t="str">
        <f ca="1">IFERROR(__xludf.DUMMYFUNCTION("""COMPUTED_VALUE"""),"")</f>
        <v/>
      </c>
    </row>
    <row r="5479" spans="1:5">
      <c r="A5479" s="12"/>
      <c r="E5479" s="57" t="str">
        <f ca="1">IFERROR(__xludf.DUMMYFUNCTION("""COMPUTED_VALUE"""),"")</f>
        <v/>
      </c>
    </row>
    <row r="5480" spans="1:5">
      <c r="A5480" s="12"/>
      <c r="E5480" s="57" t="str">
        <f ca="1">IFERROR(__xludf.DUMMYFUNCTION("""COMPUTED_VALUE"""),"")</f>
        <v/>
      </c>
    </row>
    <row r="5481" spans="1:5">
      <c r="A5481" s="12"/>
      <c r="E5481" s="57" t="str">
        <f ca="1">IFERROR(__xludf.DUMMYFUNCTION("""COMPUTED_VALUE"""),"")</f>
        <v/>
      </c>
    </row>
    <row r="5482" spans="1:5">
      <c r="A5482" s="12"/>
      <c r="E5482" s="57" t="str">
        <f ca="1">IFERROR(__xludf.DUMMYFUNCTION("""COMPUTED_VALUE"""),"")</f>
        <v/>
      </c>
    </row>
    <row r="5483" spans="1:5">
      <c r="A5483" s="12"/>
      <c r="E5483" s="57" t="str">
        <f ca="1">IFERROR(__xludf.DUMMYFUNCTION("""COMPUTED_VALUE"""),"")</f>
        <v/>
      </c>
    </row>
    <row r="5484" spans="1:5">
      <c r="A5484" s="12"/>
      <c r="E5484" s="57" t="str">
        <f ca="1">IFERROR(__xludf.DUMMYFUNCTION("""COMPUTED_VALUE"""),"")</f>
        <v/>
      </c>
    </row>
    <row r="5485" spans="1:5">
      <c r="A5485" s="12"/>
      <c r="E5485" s="57" t="str">
        <f ca="1">IFERROR(__xludf.DUMMYFUNCTION("""COMPUTED_VALUE"""),"")</f>
        <v/>
      </c>
    </row>
    <row r="5486" spans="1:5">
      <c r="A5486" s="12"/>
      <c r="E5486" s="57" t="str">
        <f ca="1">IFERROR(__xludf.DUMMYFUNCTION("""COMPUTED_VALUE"""),"")</f>
        <v/>
      </c>
    </row>
    <row r="5487" spans="1:5">
      <c r="A5487" s="12"/>
      <c r="E5487" s="57" t="str">
        <f ca="1">IFERROR(__xludf.DUMMYFUNCTION("""COMPUTED_VALUE"""),"")</f>
        <v/>
      </c>
    </row>
    <row r="5488" spans="1:5">
      <c r="A5488" s="12"/>
      <c r="E5488" s="57" t="str">
        <f ca="1">IFERROR(__xludf.DUMMYFUNCTION("""COMPUTED_VALUE"""),"")</f>
        <v/>
      </c>
    </row>
    <row r="5489" spans="1:5">
      <c r="A5489" s="12"/>
      <c r="E5489" s="57" t="str">
        <f ca="1">IFERROR(__xludf.DUMMYFUNCTION("""COMPUTED_VALUE"""),"")</f>
        <v/>
      </c>
    </row>
    <row r="5490" spans="1:5">
      <c r="A5490" s="12"/>
      <c r="E5490" s="57" t="str">
        <f ca="1">IFERROR(__xludf.DUMMYFUNCTION("""COMPUTED_VALUE"""),"")</f>
        <v/>
      </c>
    </row>
    <row r="5491" spans="1:5">
      <c r="A5491" s="12"/>
      <c r="E5491" s="57" t="str">
        <f ca="1">IFERROR(__xludf.DUMMYFUNCTION("""COMPUTED_VALUE"""),"")</f>
        <v/>
      </c>
    </row>
    <row r="5492" spans="1:5">
      <c r="A5492" s="12"/>
      <c r="E5492" s="57" t="str">
        <f ca="1">IFERROR(__xludf.DUMMYFUNCTION("""COMPUTED_VALUE"""),"")</f>
        <v/>
      </c>
    </row>
    <row r="5493" spans="1:5">
      <c r="A5493" s="12"/>
      <c r="E5493" s="57" t="str">
        <f ca="1">IFERROR(__xludf.DUMMYFUNCTION("""COMPUTED_VALUE"""),"")</f>
        <v/>
      </c>
    </row>
    <row r="5494" spans="1:5">
      <c r="A5494" s="12"/>
      <c r="E5494" s="57" t="str">
        <f ca="1">IFERROR(__xludf.DUMMYFUNCTION("""COMPUTED_VALUE"""),"")</f>
        <v/>
      </c>
    </row>
    <row r="5495" spans="1:5">
      <c r="A5495" s="12"/>
      <c r="E5495" s="57" t="str">
        <f ca="1">IFERROR(__xludf.DUMMYFUNCTION("""COMPUTED_VALUE"""),"")</f>
        <v/>
      </c>
    </row>
    <row r="5496" spans="1:5">
      <c r="A5496" s="12"/>
      <c r="E5496" s="57" t="str">
        <f ca="1">IFERROR(__xludf.DUMMYFUNCTION("""COMPUTED_VALUE"""),"")</f>
        <v/>
      </c>
    </row>
    <row r="5497" spans="1:5">
      <c r="A5497" s="12"/>
      <c r="E5497" s="57" t="str">
        <f ca="1">IFERROR(__xludf.DUMMYFUNCTION("""COMPUTED_VALUE"""),"")</f>
        <v/>
      </c>
    </row>
    <row r="5498" spans="1:5">
      <c r="A5498" s="12"/>
      <c r="E5498" s="57" t="str">
        <f ca="1">IFERROR(__xludf.DUMMYFUNCTION("""COMPUTED_VALUE"""),"")</f>
        <v/>
      </c>
    </row>
    <row r="5499" spans="1:5">
      <c r="A5499" s="12"/>
      <c r="E5499" s="57" t="str">
        <f ca="1">IFERROR(__xludf.DUMMYFUNCTION("""COMPUTED_VALUE"""),"")</f>
        <v/>
      </c>
    </row>
    <row r="5500" spans="1:5">
      <c r="A5500" s="12"/>
      <c r="E5500" s="57" t="str">
        <f ca="1">IFERROR(__xludf.DUMMYFUNCTION("""COMPUTED_VALUE"""),"")</f>
        <v/>
      </c>
    </row>
    <row r="5501" spans="1:5">
      <c r="A5501" s="12"/>
      <c r="E5501" s="57" t="str">
        <f ca="1">IFERROR(__xludf.DUMMYFUNCTION("""COMPUTED_VALUE"""),"")</f>
        <v/>
      </c>
    </row>
    <row r="5502" spans="1:5">
      <c r="A5502" s="12"/>
      <c r="E5502" s="57" t="str">
        <f ca="1">IFERROR(__xludf.DUMMYFUNCTION("""COMPUTED_VALUE"""),"")</f>
        <v/>
      </c>
    </row>
    <row r="5503" spans="1:5">
      <c r="A5503" s="12"/>
      <c r="E5503" s="57" t="str">
        <f ca="1">IFERROR(__xludf.DUMMYFUNCTION("""COMPUTED_VALUE"""),"")</f>
        <v/>
      </c>
    </row>
    <row r="5504" spans="1:5">
      <c r="A5504" s="12"/>
      <c r="E5504" s="57" t="str">
        <f ca="1">IFERROR(__xludf.DUMMYFUNCTION("""COMPUTED_VALUE"""),"")</f>
        <v/>
      </c>
    </row>
    <row r="5505" spans="1:5">
      <c r="A5505" s="12"/>
      <c r="E5505" s="57" t="str">
        <f ca="1">IFERROR(__xludf.DUMMYFUNCTION("""COMPUTED_VALUE"""),"")</f>
        <v/>
      </c>
    </row>
    <row r="5506" spans="1:5">
      <c r="A5506" s="12"/>
      <c r="E5506" s="57" t="str">
        <f ca="1">IFERROR(__xludf.DUMMYFUNCTION("""COMPUTED_VALUE"""),"")</f>
        <v/>
      </c>
    </row>
    <row r="5507" spans="1:5">
      <c r="A5507" s="12"/>
      <c r="E5507" s="57" t="str">
        <f ca="1">IFERROR(__xludf.DUMMYFUNCTION("""COMPUTED_VALUE"""),"")</f>
        <v/>
      </c>
    </row>
    <row r="5508" spans="1:5">
      <c r="A5508" s="12"/>
      <c r="E5508" s="57" t="str">
        <f ca="1">IFERROR(__xludf.DUMMYFUNCTION("""COMPUTED_VALUE"""),"")</f>
        <v/>
      </c>
    </row>
    <row r="5509" spans="1:5">
      <c r="A5509" s="12"/>
      <c r="E5509" s="57" t="str">
        <f ca="1">IFERROR(__xludf.DUMMYFUNCTION("""COMPUTED_VALUE"""),"")</f>
        <v/>
      </c>
    </row>
    <row r="5510" spans="1:5">
      <c r="A5510" s="12"/>
      <c r="E5510" s="57" t="str">
        <f ca="1">IFERROR(__xludf.DUMMYFUNCTION("""COMPUTED_VALUE"""),"")</f>
        <v/>
      </c>
    </row>
    <row r="5511" spans="1:5">
      <c r="A5511" s="12"/>
      <c r="E5511" s="57" t="str">
        <f ca="1">IFERROR(__xludf.DUMMYFUNCTION("""COMPUTED_VALUE"""),"")</f>
        <v/>
      </c>
    </row>
    <row r="5512" spans="1:5">
      <c r="A5512" s="12"/>
      <c r="E5512" s="57" t="str">
        <f ca="1">IFERROR(__xludf.DUMMYFUNCTION("""COMPUTED_VALUE"""),"")</f>
        <v/>
      </c>
    </row>
    <row r="5513" spans="1:5">
      <c r="A5513" s="12"/>
      <c r="E5513" s="57" t="str">
        <f ca="1">IFERROR(__xludf.DUMMYFUNCTION("""COMPUTED_VALUE"""),"")</f>
        <v/>
      </c>
    </row>
    <row r="5514" spans="1:5">
      <c r="A5514" s="12"/>
      <c r="E5514" s="57" t="str">
        <f ca="1">IFERROR(__xludf.DUMMYFUNCTION("""COMPUTED_VALUE"""),"")</f>
        <v/>
      </c>
    </row>
    <row r="5515" spans="1:5">
      <c r="A5515" s="12"/>
      <c r="E5515" s="57" t="str">
        <f ca="1">IFERROR(__xludf.DUMMYFUNCTION("""COMPUTED_VALUE"""),"")</f>
        <v/>
      </c>
    </row>
    <row r="5516" spans="1:5">
      <c r="A5516" s="12"/>
      <c r="E5516" s="57" t="str">
        <f ca="1">IFERROR(__xludf.DUMMYFUNCTION("""COMPUTED_VALUE"""),"")</f>
        <v/>
      </c>
    </row>
    <row r="5517" spans="1:5">
      <c r="A5517" s="12"/>
      <c r="E5517" s="57" t="str">
        <f ca="1">IFERROR(__xludf.DUMMYFUNCTION("""COMPUTED_VALUE"""),"")</f>
        <v/>
      </c>
    </row>
    <row r="5518" spans="1:5">
      <c r="A5518" s="12"/>
      <c r="E5518" s="57" t="str">
        <f ca="1">IFERROR(__xludf.DUMMYFUNCTION("""COMPUTED_VALUE"""),"")</f>
        <v/>
      </c>
    </row>
    <row r="5519" spans="1:5">
      <c r="A5519" s="12"/>
      <c r="E5519" s="57" t="str">
        <f ca="1">IFERROR(__xludf.DUMMYFUNCTION("""COMPUTED_VALUE"""),"")</f>
        <v/>
      </c>
    </row>
    <row r="5520" spans="1:5">
      <c r="A5520" s="12"/>
      <c r="E5520" s="57" t="str">
        <f ca="1">IFERROR(__xludf.DUMMYFUNCTION("""COMPUTED_VALUE"""),"")</f>
        <v/>
      </c>
    </row>
    <row r="5521" spans="1:5">
      <c r="A5521" s="12"/>
      <c r="E5521" s="57" t="str">
        <f ca="1">IFERROR(__xludf.DUMMYFUNCTION("""COMPUTED_VALUE"""),"")</f>
        <v/>
      </c>
    </row>
    <row r="5522" spans="1:5">
      <c r="A5522" s="12"/>
      <c r="E5522" s="57" t="str">
        <f ca="1">IFERROR(__xludf.DUMMYFUNCTION("""COMPUTED_VALUE"""),"")</f>
        <v/>
      </c>
    </row>
    <row r="5523" spans="1:5">
      <c r="A5523" s="12"/>
      <c r="E5523" s="57" t="str">
        <f ca="1">IFERROR(__xludf.DUMMYFUNCTION("""COMPUTED_VALUE"""),"")</f>
        <v/>
      </c>
    </row>
    <row r="5524" spans="1:5">
      <c r="A5524" s="12"/>
      <c r="E5524" s="57" t="str">
        <f ca="1">IFERROR(__xludf.DUMMYFUNCTION("""COMPUTED_VALUE"""),"")</f>
        <v/>
      </c>
    </row>
    <row r="5525" spans="1:5">
      <c r="A5525" s="12"/>
      <c r="E5525" s="57" t="str">
        <f ca="1">IFERROR(__xludf.DUMMYFUNCTION("""COMPUTED_VALUE"""),"")</f>
        <v/>
      </c>
    </row>
    <row r="5526" spans="1:5">
      <c r="A5526" s="12"/>
      <c r="E5526" s="57" t="str">
        <f ca="1">IFERROR(__xludf.DUMMYFUNCTION("""COMPUTED_VALUE"""),"")</f>
        <v/>
      </c>
    </row>
    <row r="5527" spans="1:5">
      <c r="A5527" s="12"/>
      <c r="E5527" s="57" t="str">
        <f ca="1">IFERROR(__xludf.DUMMYFUNCTION("""COMPUTED_VALUE"""),"")</f>
        <v/>
      </c>
    </row>
    <row r="5528" spans="1:5">
      <c r="A5528" s="12"/>
      <c r="E5528" s="57" t="str">
        <f ca="1">IFERROR(__xludf.DUMMYFUNCTION("""COMPUTED_VALUE"""),"")</f>
        <v/>
      </c>
    </row>
    <row r="5529" spans="1:5">
      <c r="A5529" s="12"/>
      <c r="E5529" s="57" t="str">
        <f ca="1">IFERROR(__xludf.DUMMYFUNCTION("""COMPUTED_VALUE"""),"")</f>
        <v/>
      </c>
    </row>
    <row r="5530" spans="1:5">
      <c r="A5530" s="12"/>
      <c r="E5530" s="57" t="str">
        <f ca="1">IFERROR(__xludf.DUMMYFUNCTION("""COMPUTED_VALUE"""),"")</f>
        <v/>
      </c>
    </row>
    <row r="5531" spans="1:5">
      <c r="A5531" s="12"/>
      <c r="E5531" s="57" t="str">
        <f ca="1">IFERROR(__xludf.DUMMYFUNCTION("""COMPUTED_VALUE"""),"")</f>
        <v/>
      </c>
    </row>
    <row r="5532" spans="1:5">
      <c r="A5532" s="12"/>
      <c r="E5532" s="57" t="str">
        <f ca="1">IFERROR(__xludf.DUMMYFUNCTION("""COMPUTED_VALUE"""),"")</f>
        <v/>
      </c>
    </row>
    <row r="5533" spans="1:5">
      <c r="A5533" s="12"/>
      <c r="E5533" s="57" t="str">
        <f ca="1">IFERROR(__xludf.DUMMYFUNCTION("""COMPUTED_VALUE"""),"")</f>
        <v/>
      </c>
    </row>
    <row r="5534" spans="1:5">
      <c r="A5534" s="12"/>
      <c r="E5534" s="57" t="str">
        <f ca="1">IFERROR(__xludf.DUMMYFUNCTION("""COMPUTED_VALUE"""),"")</f>
        <v/>
      </c>
    </row>
    <row r="5535" spans="1:5">
      <c r="A5535" s="12"/>
      <c r="E5535" s="57" t="str">
        <f ca="1">IFERROR(__xludf.DUMMYFUNCTION("""COMPUTED_VALUE"""),"")</f>
        <v/>
      </c>
    </row>
    <row r="5536" spans="1:5">
      <c r="A5536" s="12"/>
      <c r="E5536" s="57" t="str">
        <f ca="1">IFERROR(__xludf.DUMMYFUNCTION("""COMPUTED_VALUE"""),"")</f>
        <v/>
      </c>
    </row>
    <row r="5537" spans="1:5">
      <c r="A5537" s="12"/>
      <c r="E5537" s="57" t="str">
        <f ca="1">IFERROR(__xludf.DUMMYFUNCTION("""COMPUTED_VALUE"""),"")</f>
        <v/>
      </c>
    </row>
    <row r="5538" spans="1:5">
      <c r="A5538" s="12"/>
      <c r="E5538" s="57" t="str">
        <f ca="1">IFERROR(__xludf.DUMMYFUNCTION("""COMPUTED_VALUE"""),"")</f>
        <v/>
      </c>
    </row>
    <row r="5539" spans="1:5">
      <c r="A5539" s="12"/>
      <c r="E5539" s="57" t="str">
        <f ca="1">IFERROR(__xludf.DUMMYFUNCTION("""COMPUTED_VALUE"""),"")</f>
        <v/>
      </c>
    </row>
    <row r="5540" spans="1:5">
      <c r="A5540" s="12"/>
      <c r="E5540" s="57" t="str">
        <f ca="1">IFERROR(__xludf.DUMMYFUNCTION("""COMPUTED_VALUE"""),"")</f>
        <v/>
      </c>
    </row>
    <row r="5541" spans="1:5">
      <c r="A5541" s="12"/>
      <c r="E5541" s="57" t="str">
        <f ca="1">IFERROR(__xludf.DUMMYFUNCTION("""COMPUTED_VALUE"""),"")</f>
        <v/>
      </c>
    </row>
    <row r="5542" spans="1:5">
      <c r="A5542" s="12"/>
      <c r="E5542" s="57" t="str">
        <f ca="1">IFERROR(__xludf.DUMMYFUNCTION("""COMPUTED_VALUE"""),"")</f>
        <v/>
      </c>
    </row>
    <row r="5543" spans="1:5">
      <c r="A5543" s="12"/>
      <c r="E5543" s="57" t="str">
        <f ca="1">IFERROR(__xludf.DUMMYFUNCTION("""COMPUTED_VALUE"""),"")</f>
        <v/>
      </c>
    </row>
    <row r="5544" spans="1:5">
      <c r="A5544" s="12"/>
      <c r="E5544" s="57" t="str">
        <f ca="1">IFERROR(__xludf.DUMMYFUNCTION("""COMPUTED_VALUE"""),"")</f>
        <v/>
      </c>
    </row>
    <row r="5545" spans="1:5">
      <c r="A5545" s="12"/>
      <c r="E5545" s="57" t="str">
        <f ca="1">IFERROR(__xludf.DUMMYFUNCTION("""COMPUTED_VALUE"""),"")</f>
        <v/>
      </c>
    </row>
    <row r="5546" spans="1:5">
      <c r="A5546" s="12"/>
      <c r="E5546" s="57" t="str">
        <f ca="1">IFERROR(__xludf.DUMMYFUNCTION("""COMPUTED_VALUE"""),"")</f>
        <v/>
      </c>
    </row>
    <row r="5547" spans="1:5">
      <c r="A5547" s="12"/>
      <c r="E5547" s="57" t="str">
        <f ca="1">IFERROR(__xludf.DUMMYFUNCTION("""COMPUTED_VALUE"""),"")</f>
        <v/>
      </c>
    </row>
    <row r="5548" spans="1:5">
      <c r="A5548" s="12"/>
      <c r="E5548" s="57" t="str">
        <f ca="1">IFERROR(__xludf.DUMMYFUNCTION("""COMPUTED_VALUE"""),"")</f>
        <v/>
      </c>
    </row>
    <row r="5549" spans="1:5">
      <c r="A5549" s="12"/>
      <c r="E5549" s="57" t="str">
        <f ca="1">IFERROR(__xludf.DUMMYFUNCTION("""COMPUTED_VALUE"""),"")</f>
        <v/>
      </c>
    </row>
    <row r="5550" spans="1:5">
      <c r="A5550" s="12"/>
      <c r="E5550" s="57" t="str">
        <f ca="1">IFERROR(__xludf.DUMMYFUNCTION("""COMPUTED_VALUE"""),"")</f>
        <v/>
      </c>
    </row>
    <row r="5551" spans="1:5">
      <c r="A5551" s="12"/>
      <c r="E5551" s="57" t="str">
        <f ca="1">IFERROR(__xludf.DUMMYFUNCTION("""COMPUTED_VALUE"""),"")</f>
        <v/>
      </c>
    </row>
    <row r="5552" spans="1:5">
      <c r="A5552" s="12"/>
      <c r="E5552" s="57" t="str">
        <f ca="1">IFERROR(__xludf.DUMMYFUNCTION("""COMPUTED_VALUE"""),"")</f>
        <v/>
      </c>
    </row>
    <row r="5553" spans="1:5">
      <c r="A5553" s="12"/>
      <c r="E5553" s="57" t="str">
        <f ca="1">IFERROR(__xludf.DUMMYFUNCTION("""COMPUTED_VALUE"""),"")</f>
        <v/>
      </c>
    </row>
    <row r="5554" spans="1:5">
      <c r="A5554" s="12"/>
      <c r="E5554" s="57" t="str">
        <f ca="1">IFERROR(__xludf.DUMMYFUNCTION("""COMPUTED_VALUE"""),"")</f>
        <v/>
      </c>
    </row>
    <row r="5555" spans="1:5">
      <c r="A5555" s="12"/>
      <c r="E5555" s="57" t="str">
        <f ca="1">IFERROR(__xludf.DUMMYFUNCTION("""COMPUTED_VALUE"""),"")</f>
        <v/>
      </c>
    </row>
    <row r="5556" spans="1:5">
      <c r="A5556" s="12"/>
      <c r="E5556" s="57" t="str">
        <f ca="1">IFERROR(__xludf.DUMMYFUNCTION("""COMPUTED_VALUE"""),"")</f>
        <v/>
      </c>
    </row>
    <row r="5557" spans="1:5">
      <c r="A5557" s="12"/>
      <c r="E5557" s="57" t="str">
        <f ca="1">IFERROR(__xludf.DUMMYFUNCTION("""COMPUTED_VALUE"""),"")</f>
        <v/>
      </c>
    </row>
    <row r="5558" spans="1:5">
      <c r="A5558" s="12"/>
      <c r="E5558" s="57" t="str">
        <f ca="1">IFERROR(__xludf.DUMMYFUNCTION("""COMPUTED_VALUE"""),"")</f>
        <v/>
      </c>
    </row>
    <row r="5559" spans="1:5">
      <c r="A5559" s="12"/>
      <c r="E5559" s="57" t="str">
        <f ca="1">IFERROR(__xludf.DUMMYFUNCTION("""COMPUTED_VALUE"""),"")</f>
        <v/>
      </c>
    </row>
    <row r="5560" spans="1:5">
      <c r="A5560" s="12"/>
      <c r="E5560" s="57" t="str">
        <f ca="1">IFERROR(__xludf.DUMMYFUNCTION("""COMPUTED_VALUE"""),"")</f>
        <v/>
      </c>
    </row>
    <row r="5561" spans="1:5">
      <c r="A5561" s="12"/>
      <c r="E5561" s="57" t="str">
        <f ca="1">IFERROR(__xludf.DUMMYFUNCTION("""COMPUTED_VALUE"""),"")</f>
        <v/>
      </c>
    </row>
    <row r="5562" spans="1:5">
      <c r="A5562" s="12"/>
      <c r="E5562" s="57" t="str">
        <f ca="1">IFERROR(__xludf.DUMMYFUNCTION("""COMPUTED_VALUE"""),"")</f>
        <v/>
      </c>
    </row>
    <row r="5563" spans="1:5">
      <c r="A5563" s="12"/>
      <c r="E5563" s="57" t="str">
        <f ca="1">IFERROR(__xludf.DUMMYFUNCTION("""COMPUTED_VALUE"""),"")</f>
        <v/>
      </c>
    </row>
    <row r="5564" spans="1:5">
      <c r="A5564" s="12"/>
      <c r="E5564" s="57" t="str">
        <f ca="1">IFERROR(__xludf.DUMMYFUNCTION("""COMPUTED_VALUE"""),"")</f>
        <v/>
      </c>
    </row>
    <row r="5565" spans="1:5">
      <c r="A5565" s="12"/>
      <c r="E5565" s="57" t="str">
        <f ca="1">IFERROR(__xludf.DUMMYFUNCTION("""COMPUTED_VALUE"""),"")</f>
        <v/>
      </c>
    </row>
    <row r="5566" spans="1:5">
      <c r="A5566" s="12"/>
      <c r="E5566" s="57" t="str">
        <f ca="1">IFERROR(__xludf.DUMMYFUNCTION("""COMPUTED_VALUE"""),"")</f>
        <v/>
      </c>
    </row>
    <row r="5567" spans="1:5">
      <c r="A5567" s="12"/>
      <c r="E5567" s="57" t="str">
        <f ca="1">IFERROR(__xludf.DUMMYFUNCTION("""COMPUTED_VALUE"""),"")</f>
        <v/>
      </c>
    </row>
    <row r="5568" spans="1:5">
      <c r="A5568" s="12"/>
      <c r="E5568" s="57" t="str">
        <f ca="1">IFERROR(__xludf.DUMMYFUNCTION("""COMPUTED_VALUE"""),"")</f>
        <v/>
      </c>
    </row>
    <row r="5569" spans="1:5">
      <c r="A5569" s="12"/>
      <c r="E5569" s="57" t="str">
        <f ca="1">IFERROR(__xludf.DUMMYFUNCTION("""COMPUTED_VALUE"""),"")</f>
        <v/>
      </c>
    </row>
    <row r="5570" spans="1:5">
      <c r="A5570" s="12"/>
      <c r="E5570" s="57" t="str">
        <f ca="1">IFERROR(__xludf.DUMMYFUNCTION("""COMPUTED_VALUE"""),"")</f>
        <v/>
      </c>
    </row>
    <row r="5571" spans="1:5">
      <c r="A5571" s="12"/>
      <c r="E5571" s="57" t="str">
        <f ca="1">IFERROR(__xludf.DUMMYFUNCTION("""COMPUTED_VALUE"""),"")</f>
        <v/>
      </c>
    </row>
    <row r="5572" spans="1:5">
      <c r="A5572" s="12"/>
      <c r="E5572" s="57" t="str">
        <f ca="1">IFERROR(__xludf.DUMMYFUNCTION("""COMPUTED_VALUE"""),"")</f>
        <v/>
      </c>
    </row>
    <row r="5573" spans="1:5">
      <c r="A5573" s="12"/>
      <c r="E5573" s="57" t="str">
        <f ca="1">IFERROR(__xludf.DUMMYFUNCTION("""COMPUTED_VALUE"""),"")</f>
        <v/>
      </c>
    </row>
    <row r="5574" spans="1:5">
      <c r="A5574" s="12"/>
      <c r="E5574" s="57" t="str">
        <f ca="1">IFERROR(__xludf.DUMMYFUNCTION("""COMPUTED_VALUE"""),"")</f>
        <v/>
      </c>
    </row>
    <row r="5575" spans="1:5">
      <c r="A5575" s="12"/>
      <c r="E5575" s="57" t="str">
        <f ca="1">IFERROR(__xludf.DUMMYFUNCTION("""COMPUTED_VALUE"""),"")</f>
        <v/>
      </c>
    </row>
    <row r="5576" spans="1:5">
      <c r="A5576" s="12"/>
      <c r="E5576" s="57" t="str">
        <f ca="1">IFERROR(__xludf.DUMMYFUNCTION("""COMPUTED_VALUE"""),"")</f>
        <v/>
      </c>
    </row>
    <row r="5577" spans="1:5">
      <c r="A5577" s="12"/>
      <c r="E5577" s="57" t="str">
        <f ca="1">IFERROR(__xludf.DUMMYFUNCTION("""COMPUTED_VALUE"""),"")</f>
        <v/>
      </c>
    </row>
    <row r="5578" spans="1:5">
      <c r="A5578" s="12"/>
      <c r="E5578" s="57" t="str">
        <f ca="1">IFERROR(__xludf.DUMMYFUNCTION("""COMPUTED_VALUE"""),"")</f>
        <v/>
      </c>
    </row>
    <row r="5579" spans="1:5">
      <c r="A5579" s="12"/>
      <c r="E5579" s="57" t="str">
        <f ca="1">IFERROR(__xludf.DUMMYFUNCTION("""COMPUTED_VALUE"""),"")</f>
        <v/>
      </c>
    </row>
    <row r="5580" spans="1:5">
      <c r="A5580" s="12"/>
      <c r="E5580" s="57" t="str">
        <f ca="1">IFERROR(__xludf.DUMMYFUNCTION("""COMPUTED_VALUE"""),"")</f>
        <v/>
      </c>
    </row>
    <row r="5581" spans="1:5">
      <c r="A5581" s="12"/>
      <c r="E5581" s="57" t="str">
        <f ca="1">IFERROR(__xludf.DUMMYFUNCTION("""COMPUTED_VALUE"""),"")</f>
        <v/>
      </c>
    </row>
    <row r="5582" spans="1:5">
      <c r="A5582" s="12"/>
      <c r="E5582" s="57" t="str">
        <f ca="1">IFERROR(__xludf.DUMMYFUNCTION("""COMPUTED_VALUE"""),"")</f>
        <v/>
      </c>
    </row>
    <row r="5583" spans="1:5">
      <c r="A5583" s="12"/>
      <c r="E5583" s="57" t="str">
        <f ca="1">IFERROR(__xludf.DUMMYFUNCTION("""COMPUTED_VALUE"""),"")</f>
        <v/>
      </c>
    </row>
    <row r="5584" spans="1:5">
      <c r="A5584" s="12"/>
      <c r="E5584" s="57" t="str">
        <f ca="1">IFERROR(__xludf.DUMMYFUNCTION("""COMPUTED_VALUE"""),"")</f>
        <v/>
      </c>
    </row>
    <row r="5585" spans="1:5">
      <c r="A5585" s="12"/>
      <c r="E5585" s="57" t="str">
        <f ca="1">IFERROR(__xludf.DUMMYFUNCTION("""COMPUTED_VALUE"""),"")</f>
        <v/>
      </c>
    </row>
    <row r="5586" spans="1:5">
      <c r="A5586" s="12"/>
      <c r="E5586" s="57" t="str">
        <f ca="1">IFERROR(__xludf.DUMMYFUNCTION("""COMPUTED_VALUE"""),"")</f>
        <v/>
      </c>
    </row>
    <row r="5587" spans="1:5">
      <c r="A5587" s="12"/>
      <c r="E5587" s="57" t="str">
        <f ca="1">IFERROR(__xludf.DUMMYFUNCTION("""COMPUTED_VALUE"""),"")</f>
        <v/>
      </c>
    </row>
    <row r="5588" spans="1:5">
      <c r="A5588" s="12"/>
      <c r="E5588" s="57" t="str">
        <f ca="1">IFERROR(__xludf.DUMMYFUNCTION("""COMPUTED_VALUE"""),"")</f>
        <v/>
      </c>
    </row>
    <row r="5589" spans="1:5">
      <c r="A5589" s="12"/>
      <c r="E5589" s="57" t="str">
        <f ca="1">IFERROR(__xludf.DUMMYFUNCTION("""COMPUTED_VALUE"""),"")</f>
        <v/>
      </c>
    </row>
    <row r="5590" spans="1:5">
      <c r="A5590" s="12"/>
      <c r="E5590" s="57" t="str">
        <f ca="1">IFERROR(__xludf.DUMMYFUNCTION("""COMPUTED_VALUE"""),"")</f>
        <v/>
      </c>
    </row>
    <row r="5591" spans="1:5">
      <c r="A5591" s="12"/>
      <c r="E5591" s="57" t="str">
        <f ca="1">IFERROR(__xludf.DUMMYFUNCTION("""COMPUTED_VALUE"""),"")</f>
        <v/>
      </c>
    </row>
    <row r="5592" spans="1:5">
      <c r="A5592" s="12"/>
      <c r="E5592" s="57" t="str">
        <f ca="1">IFERROR(__xludf.DUMMYFUNCTION("""COMPUTED_VALUE"""),"")</f>
        <v/>
      </c>
    </row>
    <row r="5593" spans="1:5">
      <c r="A5593" s="12"/>
      <c r="E5593" s="57" t="str">
        <f ca="1">IFERROR(__xludf.DUMMYFUNCTION("""COMPUTED_VALUE"""),"")</f>
        <v/>
      </c>
    </row>
    <row r="5594" spans="1:5">
      <c r="A5594" s="12"/>
      <c r="E5594" s="57" t="str">
        <f ca="1">IFERROR(__xludf.DUMMYFUNCTION("""COMPUTED_VALUE"""),"")</f>
        <v/>
      </c>
    </row>
    <row r="5595" spans="1:5">
      <c r="A5595" s="12"/>
      <c r="E5595" s="57" t="str">
        <f ca="1">IFERROR(__xludf.DUMMYFUNCTION("""COMPUTED_VALUE"""),"")</f>
        <v/>
      </c>
    </row>
    <row r="5596" spans="1:5">
      <c r="A5596" s="12"/>
      <c r="E5596" s="57" t="str">
        <f ca="1">IFERROR(__xludf.DUMMYFUNCTION("""COMPUTED_VALUE"""),"")</f>
        <v/>
      </c>
    </row>
    <row r="5597" spans="1:5">
      <c r="A5597" s="12"/>
      <c r="E5597" s="57" t="str">
        <f ca="1">IFERROR(__xludf.DUMMYFUNCTION("""COMPUTED_VALUE"""),"")</f>
        <v/>
      </c>
    </row>
    <row r="5598" spans="1:5">
      <c r="A5598" s="12"/>
      <c r="E5598" s="57" t="str">
        <f ca="1">IFERROR(__xludf.DUMMYFUNCTION("""COMPUTED_VALUE"""),"")</f>
        <v/>
      </c>
    </row>
    <row r="5599" spans="1:5">
      <c r="A5599" s="12"/>
      <c r="E5599" s="57" t="str">
        <f ca="1">IFERROR(__xludf.DUMMYFUNCTION("""COMPUTED_VALUE"""),"")</f>
        <v/>
      </c>
    </row>
    <row r="5600" spans="1:5">
      <c r="A5600" s="12"/>
      <c r="E5600" s="57" t="str">
        <f ca="1">IFERROR(__xludf.DUMMYFUNCTION("""COMPUTED_VALUE"""),"")</f>
        <v/>
      </c>
    </row>
    <row r="5601" spans="1:5">
      <c r="A5601" s="12"/>
      <c r="E5601" s="57" t="str">
        <f ca="1">IFERROR(__xludf.DUMMYFUNCTION("""COMPUTED_VALUE"""),"")</f>
        <v/>
      </c>
    </row>
    <row r="5602" spans="1:5">
      <c r="A5602" s="12"/>
      <c r="E5602" s="57" t="str">
        <f ca="1">IFERROR(__xludf.DUMMYFUNCTION("""COMPUTED_VALUE"""),"")</f>
        <v/>
      </c>
    </row>
    <row r="5603" spans="1:5">
      <c r="A5603" s="12"/>
      <c r="E5603" s="57" t="str">
        <f ca="1">IFERROR(__xludf.DUMMYFUNCTION("""COMPUTED_VALUE"""),"")</f>
        <v/>
      </c>
    </row>
    <row r="5604" spans="1:5">
      <c r="A5604" s="12"/>
      <c r="E5604" s="57" t="str">
        <f ca="1">IFERROR(__xludf.DUMMYFUNCTION("""COMPUTED_VALUE"""),"")</f>
        <v/>
      </c>
    </row>
    <row r="5605" spans="1:5">
      <c r="A5605" s="12"/>
      <c r="E5605" s="57" t="str">
        <f ca="1">IFERROR(__xludf.DUMMYFUNCTION("""COMPUTED_VALUE"""),"")</f>
        <v/>
      </c>
    </row>
    <row r="5606" spans="1:5">
      <c r="A5606" s="12"/>
      <c r="E5606" s="57" t="str">
        <f ca="1">IFERROR(__xludf.DUMMYFUNCTION("""COMPUTED_VALUE"""),"")</f>
        <v/>
      </c>
    </row>
    <row r="5607" spans="1:5">
      <c r="A5607" s="12"/>
      <c r="E5607" s="57" t="str">
        <f ca="1">IFERROR(__xludf.DUMMYFUNCTION("""COMPUTED_VALUE"""),"")</f>
        <v/>
      </c>
    </row>
    <row r="5608" spans="1:5">
      <c r="A5608" s="12"/>
      <c r="E5608" s="57" t="str">
        <f ca="1">IFERROR(__xludf.DUMMYFUNCTION("""COMPUTED_VALUE"""),"")</f>
        <v/>
      </c>
    </row>
    <row r="5609" spans="1:5">
      <c r="A5609" s="12"/>
      <c r="E5609" s="57" t="str">
        <f ca="1">IFERROR(__xludf.DUMMYFUNCTION("""COMPUTED_VALUE"""),"")</f>
        <v/>
      </c>
    </row>
    <row r="5610" spans="1:5">
      <c r="A5610" s="12"/>
      <c r="E5610" s="57" t="str">
        <f ca="1">IFERROR(__xludf.DUMMYFUNCTION("""COMPUTED_VALUE"""),"")</f>
        <v/>
      </c>
    </row>
    <row r="5611" spans="1:5">
      <c r="A5611" s="12"/>
      <c r="E5611" s="57" t="str">
        <f ca="1">IFERROR(__xludf.DUMMYFUNCTION("""COMPUTED_VALUE"""),"")</f>
        <v/>
      </c>
    </row>
    <row r="5612" spans="1:5">
      <c r="A5612" s="12"/>
      <c r="E5612" s="57" t="str">
        <f ca="1">IFERROR(__xludf.DUMMYFUNCTION("""COMPUTED_VALUE"""),"")</f>
        <v/>
      </c>
    </row>
    <row r="5613" spans="1:5">
      <c r="A5613" s="12"/>
      <c r="E5613" s="57" t="str">
        <f ca="1">IFERROR(__xludf.DUMMYFUNCTION("""COMPUTED_VALUE"""),"")</f>
        <v/>
      </c>
    </row>
    <row r="5614" spans="1:5">
      <c r="A5614" s="12"/>
      <c r="E5614" s="57" t="str">
        <f ca="1">IFERROR(__xludf.DUMMYFUNCTION("""COMPUTED_VALUE"""),"")</f>
        <v/>
      </c>
    </row>
    <row r="5615" spans="1:5">
      <c r="A5615" s="12"/>
      <c r="E5615" s="57" t="str">
        <f ca="1">IFERROR(__xludf.DUMMYFUNCTION("""COMPUTED_VALUE"""),"")</f>
        <v/>
      </c>
    </row>
    <row r="5616" spans="1:5">
      <c r="A5616" s="12"/>
      <c r="E5616" s="57" t="str">
        <f ca="1">IFERROR(__xludf.DUMMYFUNCTION("""COMPUTED_VALUE"""),"")</f>
        <v/>
      </c>
    </row>
    <row r="5617" spans="1:5">
      <c r="A5617" s="12"/>
      <c r="E5617" s="57" t="str">
        <f ca="1">IFERROR(__xludf.DUMMYFUNCTION("""COMPUTED_VALUE"""),"")</f>
        <v/>
      </c>
    </row>
    <row r="5618" spans="1:5">
      <c r="A5618" s="12"/>
      <c r="E5618" s="57" t="str">
        <f ca="1">IFERROR(__xludf.DUMMYFUNCTION("""COMPUTED_VALUE"""),"")</f>
        <v/>
      </c>
    </row>
    <row r="5619" spans="1:5">
      <c r="A5619" s="12"/>
      <c r="E5619" s="57" t="str">
        <f ca="1">IFERROR(__xludf.DUMMYFUNCTION("""COMPUTED_VALUE"""),"")</f>
        <v/>
      </c>
    </row>
    <row r="5620" spans="1:5">
      <c r="A5620" s="12"/>
      <c r="E5620" s="57" t="str">
        <f ca="1">IFERROR(__xludf.DUMMYFUNCTION("""COMPUTED_VALUE"""),"")</f>
        <v/>
      </c>
    </row>
    <row r="5621" spans="1:5">
      <c r="A5621" s="12"/>
      <c r="E5621" s="57" t="str">
        <f ca="1">IFERROR(__xludf.DUMMYFUNCTION("""COMPUTED_VALUE"""),"")</f>
        <v/>
      </c>
    </row>
    <row r="5622" spans="1:5">
      <c r="A5622" s="12"/>
      <c r="E5622" s="57" t="str">
        <f ca="1">IFERROR(__xludf.DUMMYFUNCTION("""COMPUTED_VALUE"""),"")</f>
        <v/>
      </c>
    </row>
    <row r="5623" spans="1:5">
      <c r="A5623" s="12"/>
      <c r="E5623" s="57" t="str">
        <f ca="1">IFERROR(__xludf.DUMMYFUNCTION("""COMPUTED_VALUE"""),"")</f>
        <v/>
      </c>
    </row>
    <row r="5624" spans="1:5">
      <c r="A5624" s="12"/>
      <c r="E5624" s="57" t="str">
        <f ca="1">IFERROR(__xludf.DUMMYFUNCTION("""COMPUTED_VALUE"""),"")</f>
        <v/>
      </c>
    </row>
    <row r="5625" spans="1:5">
      <c r="A5625" s="12"/>
      <c r="E5625" s="57" t="str">
        <f ca="1">IFERROR(__xludf.DUMMYFUNCTION("""COMPUTED_VALUE"""),"")</f>
        <v/>
      </c>
    </row>
    <row r="5626" spans="1:5">
      <c r="A5626" s="12"/>
      <c r="E5626" s="57" t="str">
        <f ca="1">IFERROR(__xludf.DUMMYFUNCTION("""COMPUTED_VALUE"""),"")</f>
        <v/>
      </c>
    </row>
    <row r="5627" spans="1:5">
      <c r="A5627" s="12"/>
      <c r="E5627" s="57" t="str">
        <f ca="1">IFERROR(__xludf.DUMMYFUNCTION("""COMPUTED_VALUE"""),"")</f>
        <v/>
      </c>
    </row>
    <row r="5628" spans="1:5">
      <c r="A5628" s="12"/>
      <c r="E5628" s="57" t="str">
        <f ca="1">IFERROR(__xludf.DUMMYFUNCTION("""COMPUTED_VALUE"""),"")</f>
        <v/>
      </c>
    </row>
    <row r="5629" spans="1:5">
      <c r="A5629" s="12"/>
      <c r="E5629" s="57" t="str">
        <f ca="1">IFERROR(__xludf.DUMMYFUNCTION("""COMPUTED_VALUE"""),"")</f>
        <v/>
      </c>
    </row>
    <row r="5630" spans="1:5">
      <c r="A5630" s="12"/>
      <c r="E5630" s="57" t="str">
        <f ca="1">IFERROR(__xludf.DUMMYFUNCTION("""COMPUTED_VALUE"""),"")</f>
        <v/>
      </c>
    </row>
    <row r="5631" spans="1:5">
      <c r="A5631" s="12"/>
      <c r="E5631" s="57" t="str">
        <f ca="1">IFERROR(__xludf.DUMMYFUNCTION("""COMPUTED_VALUE"""),"")</f>
        <v/>
      </c>
    </row>
    <row r="5632" spans="1:5">
      <c r="A5632" s="12"/>
      <c r="E5632" s="57" t="str">
        <f ca="1">IFERROR(__xludf.DUMMYFUNCTION("""COMPUTED_VALUE"""),"")</f>
        <v/>
      </c>
    </row>
    <row r="5633" spans="1:5">
      <c r="A5633" s="12"/>
      <c r="E5633" s="57" t="str">
        <f ca="1">IFERROR(__xludf.DUMMYFUNCTION("""COMPUTED_VALUE"""),"")</f>
        <v/>
      </c>
    </row>
    <row r="5634" spans="1:5">
      <c r="A5634" s="12"/>
      <c r="E5634" s="57" t="str">
        <f ca="1">IFERROR(__xludf.DUMMYFUNCTION("""COMPUTED_VALUE"""),"")</f>
        <v/>
      </c>
    </row>
    <row r="5635" spans="1:5">
      <c r="A5635" s="12"/>
      <c r="E5635" s="57" t="str">
        <f ca="1">IFERROR(__xludf.DUMMYFUNCTION("""COMPUTED_VALUE"""),"")</f>
        <v/>
      </c>
    </row>
    <row r="5636" spans="1:5">
      <c r="A5636" s="12"/>
      <c r="E5636" s="57" t="str">
        <f ca="1">IFERROR(__xludf.DUMMYFUNCTION("""COMPUTED_VALUE"""),"")</f>
        <v/>
      </c>
    </row>
    <row r="5637" spans="1:5">
      <c r="A5637" s="12"/>
      <c r="E5637" s="57" t="str">
        <f ca="1">IFERROR(__xludf.DUMMYFUNCTION("""COMPUTED_VALUE"""),"")</f>
        <v/>
      </c>
    </row>
    <row r="5638" spans="1:5">
      <c r="A5638" s="12"/>
      <c r="E5638" s="57" t="str">
        <f ca="1">IFERROR(__xludf.DUMMYFUNCTION("""COMPUTED_VALUE"""),"")</f>
        <v/>
      </c>
    </row>
    <row r="5639" spans="1:5">
      <c r="A5639" s="12"/>
      <c r="E5639" s="57" t="str">
        <f ca="1">IFERROR(__xludf.DUMMYFUNCTION("""COMPUTED_VALUE"""),"")</f>
        <v/>
      </c>
    </row>
    <row r="5640" spans="1:5">
      <c r="A5640" s="12"/>
      <c r="E5640" s="57" t="str">
        <f ca="1">IFERROR(__xludf.DUMMYFUNCTION("""COMPUTED_VALUE"""),"")</f>
        <v/>
      </c>
    </row>
    <row r="5641" spans="1:5">
      <c r="A5641" s="12"/>
      <c r="E5641" s="57" t="str">
        <f ca="1">IFERROR(__xludf.DUMMYFUNCTION("""COMPUTED_VALUE"""),"")</f>
        <v/>
      </c>
    </row>
    <row r="5642" spans="1:5">
      <c r="A5642" s="12"/>
      <c r="E5642" s="57" t="str">
        <f ca="1">IFERROR(__xludf.DUMMYFUNCTION("""COMPUTED_VALUE"""),"")</f>
        <v/>
      </c>
    </row>
    <row r="5643" spans="1:5">
      <c r="A5643" s="12"/>
      <c r="E5643" s="57" t="str">
        <f ca="1">IFERROR(__xludf.DUMMYFUNCTION("""COMPUTED_VALUE"""),"")</f>
        <v/>
      </c>
    </row>
    <row r="5644" spans="1:5">
      <c r="A5644" s="12"/>
      <c r="E5644" s="57" t="str">
        <f ca="1">IFERROR(__xludf.DUMMYFUNCTION("""COMPUTED_VALUE"""),"")</f>
        <v/>
      </c>
    </row>
    <row r="5645" spans="1:5">
      <c r="A5645" s="12"/>
      <c r="E5645" s="57" t="str">
        <f ca="1">IFERROR(__xludf.DUMMYFUNCTION("""COMPUTED_VALUE"""),"")</f>
        <v/>
      </c>
    </row>
    <row r="5646" spans="1:5">
      <c r="A5646" s="12"/>
      <c r="E5646" s="57" t="str">
        <f ca="1">IFERROR(__xludf.DUMMYFUNCTION("""COMPUTED_VALUE"""),"")</f>
        <v/>
      </c>
    </row>
    <row r="5647" spans="1:5">
      <c r="A5647" s="12"/>
      <c r="E5647" s="57" t="str">
        <f ca="1">IFERROR(__xludf.DUMMYFUNCTION("""COMPUTED_VALUE"""),"")</f>
        <v/>
      </c>
    </row>
    <row r="5648" spans="1:5">
      <c r="A5648" s="12"/>
      <c r="E5648" s="57" t="str">
        <f ca="1">IFERROR(__xludf.DUMMYFUNCTION("""COMPUTED_VALUE"""),"")</f>
        <v/>
      </c>
    </row>
    <row r="5649" spans="1:5">
      <c r="A5649" s="12"/>
      <c r="E5649" s="57" t="str">
        <f ca="1">IFERROR(__xludf.DUMMYFUNCTION("""COMPUTED_VALUE"""),"")</f>
        <v/>
      </c>
    </row>
    <row r="5650" spans="1:5">
      <c r="A5650" s="12"/>
      <c r="E5650" s="57" t="str">
        <f ca="1">IFERROR(__xludf.DUMMYFUNCTION("""COMPUTED_VALUE"""),"")</f>
        <v/>
      </c>
    </row>
    <row r="5651" spans="1:5">
      <c r="A5651" s="12"/>
      <c r="E5651" s="57" t="str">
        <f ca="1">IFERROR(__xludf.DUMMYFUNCTION("""COMPUTED_VALUE"""),"")</f>
        <v/>
      </c>
    </row>
    <row r="5652" spans="1:5">
      <c r="A5652" s="12"/>
      <c r="E5652" s="57" t="str">
        <f ca="1">IFERROR(__xludf.DUMMYFUNCTION("""COMPUTED_VALUE"""),"")</f>
        <v/>
      </c>
    </row>
    <row r="5653" spans="1:5">
      <c r="A5653" s="12"/>
      <c r="E5653" s="57" t="str">
        <f ca="1">IFERROR(__xludf.DUMMYFUNCTION("""COMPUTED_VALUE"""),"")</f>
        <v/>
      </c>
    </row>
    <row r="5654" spans="1:5">
      <c r="A5654" s="12"/>
      <c r="E5654" s="57" t="str">
        <f ca="1">IFERROR(__xludf.DUMMYFUNCTION("""COMPUTED_VALUE"""),"")</f>
        <v/>
      </c>
    </row>
    <row r="5655" spans="1:5">
      <c r="A5655" s="12"/>
      <c r="E5655" s="57" t="str">
        <f ca="1">IFERROR(__xludf.DUMMYFUNCTION("""COMPUTED_VALUE"""),"")</f>
        <v/>
      </c>
    </row>
    <row r="5656" spans="1:5">
      <c r="A5656" s="12"/>
      <c r="E5656" s="57" t="str">
        <f ca="1">IFERROR(__xludf.DUMMYFUNCTION("""COMPUTED_VALUE"""),"")</f>
        <v/>
      </c>
    </row>
    <row r="5657" spans="1:5">
      <c r="A5657" s="12"/>
      <c r="E5657" s="57" t="str">
        <f ca="1">IFERROR(__xludf.DUMMYFUNCTION("""COMPUTED_VALUE"""),"")</f>
        <v/>
      </c>
    </row>
    <row r="5658" spans="1:5">
      <c r="A5658" s="12"/>
      <c r="E5658" s="57" t="str">
        <f ca="1">IFERROR(__xludf.DUMMYFUNCTION("""COMPUTED_VALUE"""),"")</f>
        <v/>
      </c>
    </row>
    <row r="5659" spans="1:5">
      <c r="A5659" s="12"/>
      <c r="E5659" s="57" t="str">
        <f ca="1">IFERROR(__xludf.DUMMYFUNCTION("""COMPUTED_VALUE"""),"")</f>
        <v/>
      </c>
    </row>
    <row r="5660" spans="1:5">
      <c r="A5660" s="12"/>
      <c r="E5660" s="57" t="str">
        <f ca="1">IFERROR(__xludf.DUMMYFUNCTION("""COMPUTED_VALUE"""),"")</f>
        <v/>
      </c>
    </row>
    <row r="5661" spans="1:5">
      <c r="A5661" s="12"/>
      <c r="E5661" s="57" t="str">
        <f ca="1">IFERROR(__xludf.DUMMYFUNCTION("""COMPUTED_VALUE"""),"")</f>
        <v/>
      </c>
    </row>
    <row r="5662" spans="1:5">
      <c r="A5662" s="12"/>
      <c r="E5662" s="57" t="str">
        <f ca="1">IFERROR(__xludf.DUMMYFUNCTION("""COMPUTED_VALUE"""),"")</f>
        <v/>
      </c>
    </row>
    <row r="5663" spans="1:5">
      <c r="A5663" s="12"/>
      <c r="E5663" s="57" t="str">
        <f ca="1">IFERROR(__xludf.DUMMYFUNCTION("""COMPUTED_VALUE"""),"")</f>
        <v/>
      </c>
    </row>
    <row r="5664" spans="1:5">
      <c r="A5664" s="12"/>
      <c r="E5664" s="57" t="str">
        <f ca="1">IFERROR(__xludf.DUMMYFUNCTION("""COMPUTED_VALUE"""),"")</f>
        <v/>
      </c>
    </row>
    <row r="5665" spans="1:5">
      <c r="A5665" s="12"/>
      <c r="E5665" s="57" t="str">
        <f ca="1">IFERROR(__xludf.DUMMYFUNCTION("""COMPUTED_VALUE"""),"")</f>
        <v/>
      </c>
    </row>
    <row r="5666" spans="1:5">
      <c r="A5666" s="12"/>
      <c r="E5666" s="57" t="str">
        <f ca="1">IFERROR(__xludf.DUMMYFUNCTION("""COMPUTED_VALUE"""),"")</f>
        <v/>
      </c>
    </row>
    <row r="5667" spans="1:5">
      <c r="A5667" s="12"/>
      <c r="E5667" s="57" t="str">
        <f ca="1">IFERROR(__xludf.DUMMYFUNCTION("""COMPUTED_VALUE"""),"")</f>
        <v/>
      </c>
    </row>
    <row r="5668" spans="1:5">
      <c r="A5668" s="12"/>
      <c r="E5668" s="57" t="str">
        <f ca="1">IFERROR(__xludf.DUMMYFUNCTION("""COMPUTED_VALUE"""),"")</f>
        <v/>
      </c>
    </row>
    <row r="5669" spans="1:5">
      <c r="A5669" s="12"/>
      <c r="E5669" s="57" t="str">
        <f ca="1">IFERROR(__xludf.DUMMYFUNCTION("""COMPUTED_VALUE"""),"")</f>
        <v/>
      </c>
    </row>
    <row r="5670" spans="1:5">
      <c r="A5670" s="12"/>
      <c r="E5670" s="57" t="str">
        <f ca="1">IFERROR(__xludf.DUMMYFUNCTION("""COMPUTED_VALUE"""),"")</f>
        <v/>
      </c>
    </row>
    <row r="5671" spans="1:5">
      <c r="A5671" s="12"/>
      <c r="E5671" s="57" t="str">
        <f ca="1">IFERROR(__xludf.DUMMYFUNCTION("""COMPUTED_VALUE"""),"")</f>
        <v/>
      </c>
    </row>
    <row r="5672" spans="1:5">
      <c r="A5672" s="12"/>
      <c r="E5672" s="57" t="str">
        <f ca="1">IFERROR(__xludf.DUMMYFUNCTION("""COMPUTED_VALUE"""),"")</f>
        <v/>
      </c>
    </row>
    <row r="5673" spans="1:5">
      <c r="A5673" s="12"/>
      <c r="E5673" s="57" t="str">
        <f ca="1">IFERROR(__xludf.DUMMYFUNCTION("""COMPUTED_VALUE"""),"")</f>
        <v/>
      </c>
    </row>
    <row r="5674" spans="1:5">
      <c r="A5674" s="12"/>
      <c r="E5674" s="57" t="str">
        <f ca="1">IFERROR(__xludf.DUMMYFUNCTION("""COMPUTED_VALUE"""),"")</f>
        <v/>
      </c>
    </row>
    <row r="5675" spans="1:5">
      <c r="A5675" s="12"/>
      <c r="E5675" s="57" t="str">
        <f ca="1">IFERROR(__xludf.DUMMYFUNCTION("""COMPUTED_VALUE"""),"")</f>
        <v/>
      </c>
    </row>
    <row r="5676" spans="1:5">
      <c r="A5676" s="12"/>
      <c r="E5676" s="57" t="str">
        <f ca="1">IFERROR(__xludf.DUMMYFUNCTION("""COMPUTED_VALUE"""),"")</f>
        <v/>
      </c>
    </row>
    <row r="5677" spans="1:5">
      <c r="A5677" s="12"/>
      <c r="E5677" s="57" t="str">
        <f ca="1">IFERROR(__xludf.DUMMYFUNCTION("""COMPUTED_VALUE"""),"")</f>
        <v/>
      </c>
    </row>
    <row r="5678" spans="1:5">
      <c r="A5678" s="12"/>
      <c r="E5678" s="57" t="str">
        <f ca="1">IFERROR(__xludf.DUMMYFUNCTION("""COMPUTED_VALUE"""),"")</f>
        <v/>
      </c>
    </row>
    <row r="5679" spans="1:5">
      <c r="A5679" s="12"/>
      <c r="E5679" s="57" t="str">
        <f ca="1">IFERROR(__xludf.DUMMYFUNCTION("""COMPUTED_VALUE"""),"")</f>
        <v/>
      </c>
    </row>
    <row r="5680" spans="1:5">
      <c r="A5680" s="12"/>
      <c r="E5680" s="57" t="str">
        <f ca="1">IFERROR(__xludf.DUMMYFUNCTION("""COMPUTED_VALUE"""),"")</f>
        <v/>
      </c>
    </row>
    <row r="5681" spans="1:5">
      <c r="A5681" s="12"/>
      <c r="E5681" s="57" t="str">
        <f ca="1">IFERROR(__xludf.DUMMYFUNCTION("""COMPUTED_VALUE"""),"")</f>
        <v/>
      </c>
    </row>
    <row r="5682" spans="1:5">
      <c r="A5682" s="12"/>
      <c r="E5682" s="57" t="str">
        <f ca="1">IFERROR(__xludf.DUMMYFUNCTION("""COMPUTED_VALUE"""),"")</f>
        <v/>
      </c>
    </row>
    <row r="5683" spans="1:5">
      <c r="A5683" s="12"/>
      <c r="E5683" s="57" t="str">
        <f ca="1">IFERROR(__xludf.DUMMYFUNCTION("""COMPUTED_VALUE"""),"")</f>
        <v/>
      </c>
    </row>
    <row r="5684" spans="1:5">
      <c r="A5684" s="12"/>
      <c r="E5684" s="57" t="str">
        <f ca="1">IFERROR(__xludf.DUMMYFUNCTION("""COMPUTED_VALUE"""),"")</f>
        <v/>
      </c>
    </row>
    <row r="5685" spans="1:5">
      <c r="A5685" s="12"/>
      <c r="E5685" s="57" t="str">
        <f ca="1">IFERROR(__xludf.DUMMYFUNCTION("""COMPUTED_VALUE"""),"")</f>
        <v/>
      </c>
    </row>
    <row r="5686" spans="1:5">
      <c r="A5686" s="12"/>
      <c r="E5686" s="57" t="str">
        <f ca="1">IFERROR(__xludf.DUMMYFUNCTION("""COMPUTED_VALUE"""),"")</f>
        <v/>
      </c>
    </row>
    <row r="5687" spans="1:5">
      <c r="A5687" s="12"/>
      <c r="E5687" s="57" t="str">
        <f ca="1">IFERROR(__xludf.DUMMYFUNCTION("""COMPUTED_VALUE"""),"")</f>
        <v/>
      </c>
    </row>
    <row r="5688" spans="1:5">
      <c r="A5688" s="12"/>
      <c r="E5688" s="57" t="str">
        <f ca="1">IFERROR(__xludf.DUMMYFUNCTION("""COMPUTED_VALUE"""),"")</f>
        <v/>
      </c>
    </row>
    <row r="5689" spans="1:5">
      <c r="A5689" s="12"/>
      <c r="E5689" s="57" t="str">
        <f ca="1">IFERROR(__xludf.DUMMYFUNCTION("""COMPUTED_VALUE"""),"")</f>
        <v/>
      </c>
    </row>
    <row r="5690" spans="1:5">
      <c r="A5690" s="12"/>
      <c r="E5690" s="57" t="str">
        <f ca="1">IFERROR(__xludf.DUMMYFUNCTION("""COMPUTED_VALUE"""),"")</f>
        <v/>
      </c>
    </row>
    <row r="5691" spans="1:5">
      <c r="A5691" s="12"/>
      <c r="E5691" s="57" t="str">
        <f ca="1">IFERROR(__xludf.DUMMYFUNCTION("""COMPUTED_VALUE"""),"")</f>
        <v/>
      </c>
    </row>
    <row r="5692" spans="1:5">
      <c r="A5692" s="12"/>
      <c r="E5692" s="57" t="str">
        <f ca="1">IFERROR(__xludf.DUMMYFUNCTION("""COMPUTED_VALUE"""),"")</f>
        <v/>
      </c>
    </row>
    <row r="5693" spans="1:5">
      <c r="A5693" s="12"/>
      <c r="E5693" s="57" t="str">
        <f ca="1">IFERROR(__xludf.DUMMYFUNCTION("""COMPUTED_VALUE"""),"")</f>
        <v/>
      </c>
    </row>
    <row r="5694" spans="1:5">
      <c r="A5694" s="12"/>
      <c r="E5694" s="57" t="str">
        <f ca="1">IFERROR(__xludf.DUMMYFUNCTION("""COMPUTED_VALUE"""),"")</f>
        <v/>
      </c>
    </row>
    <row r="5695" spans="1:5">
      <c r="A5695" s="12"/>
      <c r="E5695" s="57" t="str">
        <f ca="1">IFERROR(__xludf.DUMMYFUNCTION("""COMPUTED_VALUE"""),"")</f>
        <v/>
      </c>
    </row>
    <row r="5696" spans="1:5">
      <c r="A5696" s="12"/>
      <c r="E5696" s="57" t="str">
        <f ca="1">IFERROR(__xludf.DUMMYFUNCTION("""COMPUTED_VALUE"""),"")</f>
        <v/>
      </c>
    </row>
    <row r="5697" spans="1:5">
      <c r="A5697" s="12"/>
      <c r="E5697" s="57" t="str">
        <f ca="1">IFERROR(__xludf.DUMMYFUNCTION("""COMPUTED_VALUE"""),"")</f>
        <v/>
      </c>
    </row>
    <row r="5698" spans="1:5">
      <c r="A5698" s="12"/>
      <c r="E5698" s="57" t="str">
        <f ca="1">IFERROR(__xludf.DUMMYFUNCTION("""COMPUTED_VALUE"""),"")</f>
        <v/>
      </c>
    </row>
    <row r="5699" spans="1:5">
      <c r="A5699" s="12"/>
      <c r="E5699" s="57" t="str">
        <f ca="1">IFERROR(__xludf.DUMMYFUNCTION("""COMPUTED_VALUE"""),"")</f>
        <v/>
      </c>
    </row>
    <row r="5700" spans="1:5">
      <c r="A5700" s="12"/>
      <c r="E5700" s="57" t="str">
        <f ca="1">IFERROR(__xludf.DUMMYFUNCTION("""COMPUTED_VALUE"""),"")</f>
        <v/>
      </c>
    </row>
    <row r="5701" spans="1:5">
      <c r="A5701" s="12"/>
      <c r="E5701" s="57" t="str">
        <f ca="1">IFERROR(__xludf.DUMMYFUNCTION("""COMPUTED_VALUE"""),"")</f>
        <v/>
      </c>
    </row>
    <row r="5702" spans="1:5">
      <c r="A5702" s="12"/>
      <c r="E5702" s="57" t="str">
        <f ca="1">IFERROR(__xludf.DUMMYFUNCTION("""COMPUTED_VALUE"""),"")</f>
        <v/>
      </c>
    </row>
    <row r="5703" spans="1:5">
      <c r="A5703" s="12"/>
      <c r="E5703" s="57" t="str">
        <f ca="1">IFERROR(__xludf.DUMMYFUNCTION("""COMPUTED_VALUE"""),"")</f>
        <v/>
      </c>
    </row>
    <row r="5704" spans="1:5">
      <c r="A5704" s="12"/>
      <c r="E5704" s="57" t="str">
        <f ca="1">IFERROR(__xludf.DUMMYFUNCTION("""COMPUTED_VALUE"""),"")</f>
        <v/>
      </c>
    </row>
    <row r="5705" spans="1:5">
      <c r="A5705" s="12"/>
      <c r="E5705" s="57" t="str">
        <f ca="1">IFERROR(__xludf.DUMMYFUNCTION("""COMPUTED_VALUE"""),"")</f>
        <v/>
      </c>
    </row>
    <row r="5706" spans="1:5">
      <c r="A5706" s="12"/>
      <c r="E5706" s="57" t="str">
        <f ca="1">IFERROR(__xludf.DUMMYFUNCTION("""COMPUTED_VALUE"""),"")</f>
        <v/>
      </c>
    </row>
    <row r="5707" spans="1:5">
      <c r="A5707" s="12"/>
      <c r="E5707" s="57" t="str">
        <f ca="1">IFERROR(__xludf.DUMMYFUNCTION("""COMPUTED_VALUE"""),"")</f>
        <v/>
      </c>
    </row>
    <row r="5708" spans="1:5">
      <c r="A5708" s="12"/>
      <c r="E5708" s="57" t="str">
        <f ca="1">IFERROR(__xludf.DUMMYFUNCTION("""COMPUTED_VALUE"""),"")</f>
        <v/>
      </c>
    </row>
    <row r="5709" spans="1:5">
      <c r="A5709" s="12"/>
      <c r="E5709" s="57" t="str">
        <f ca="1">IFERROR(__xludf.DUMMYFUNCTION("""COMPUTED_VALUE"""),"")</f>
        <v/>
      </c>
    </row>
    <row r="5710" spans="1:5">
      <c r="A5710" s="12"/>
      <c r="E5710" s="57" t="str">
        <f ca="1">IFERROR(__xludf.DUMMYFUNCTION("""COMPUTED_VALUE"""),"")</f>
        <v/>
      </c>
    </row>
    <row r="5711" spans="1:5">
      <c r="A5711" s="12"/>
      <c r="E5711" s="57" t="str">
        <f ca="1">IFERROR(__xludf.DUMMYFUNCTION("""COMPUTED_VALUE"""),"")</f>
        <v/>
      </c>
    </row>
    <row r="5712" spans="1:5">
      <c r="A5712" s="12"/>
      <c r="E5712" s="57" t="str">
        <f ca="1">IFERROR(__xludf.DUMMYFUNCTION("""COMPUTED_VALUE"""),"")</f>
        <v/>
      </c>
    </row>
    <row r="5713" spans="1:5">
      <c r="A5713" s="12"/>
      <c r="E5713" s="57" t="str">
        <f ca="1">IFERROR(__xludf.DUMMYFUNCTION("""COMPUTED_VALUE"""),"")</f>
        <v/>
      </c>
    </row>
    <row r="5714" spans="1:5">
      <c r="A5714" s="12"/>
      <c r="E5714" s="57" t="str">
        <f ca="1">IFERROR(__xludf.DUMMYFUNCTION("""COMPUTED_VALUE"""),"")</f>
        <v/>
      </c>
    </row>
    <row r="5715" spans="1:5">
      <c r="A5715" s="12"/>
      <c r="E5715" s="57" t="str">
        <f ca="1">IFERROR(__xludf.DUMMYFUNCTION("""COMPUTED_VALUE"""),"")</f>
        <v/>
      </c>
    </row>
    <row r="5716" spans="1:5">
      <c r="A5716" s="12"/>
      <c r="E5716" s="57" t="str">
        <f ca="1">IFERROR(__xludf.DUMMYFUNCTION("""COMPUTED_VALUE"""),"")</f>
        <v/>
      </c>
    </row>
    <row r="5717" spans="1:5">
      <c r="A5717" s="12"/>
      <c r="E5717" s="57" t="str">
        <f ca="1">IFERROR(__xludf.DUMMYFUNCTION("""COMPUTED_VALUE"""),"")</f>
        <v/>
      </c>
    </row>
    <row r="5718" spans="1:5">
      <c r="A5718" s="12"/>
      <c r="E5718" s="57" t="str">
        <f ca="1">IFERROR(__xludf.DUMMYFUNCTION("""COMPUTED_VALUE"""),"")</f>
        <v/>
      </c>
    </row>
    <row r="5719" spans="1:5">
      <c r="A5719" s="12"/>
      <c r="E5719" s="57" t="str">
        <f ca="1">IFERROR(__xludf.DUMMYFUNCTION("""COMPUTED_VALUE"""),"")</f>
        <v/>
      </c>
    </row>
    <row r="5720" spans="1:5">
      <c r="A5720" s="12"/>
      <c r="E5720" s="57" t="str">
        <f ca="1">IFERROR(__xludf.DUMMYFUNCTION("""COMPUTED_VALUE"""),"")</f>
        <v/>
      </c>
    </row>
    <row r="5721" spans="1:5">
      <c r="A5721" s="12"/>
      <c r="E5721" s="57" t="str">
        <f ca="1">IFERROR(__xludf.DUMMYFUNCTION("""COMPUTED_VALUE"""),"")</f>
        <v/>
      </c>
    </row>
    <row r="5722" spans="1:5">
      <c r="A5722" s="12"/>
      <c r="E5722" s="57" t="str">
        <f ca="1">IFERROR(__xludf.DUMMYFUNCTION("""COMPUTED_VALUE"""),"")</f>
        <v/>
      </c>
    </row>
    <row r="5723" spans="1:5">
      <c r="A5723" s="12"/>
      <c r="E5723" s="57" t="str">
        <f ca="1">IFERROR(__xludf.DUMMYFUNCTION("""COMPUTED_VALUE"""),"")</f>
        <v/>
      </c>
    </row>
    <row r="5724" spans="1:5">
      <c r="A5724" s="12"/>
      <c r="E5724" s="57" t="str">
        <f ca="1">IFERROR(__xludf.DUMMYFUNCTION("""COMPUTED_VALUE"""),"")</f>
        <v/>
      </c>
    </row>
    <row r="5725" spans="1:5">
      <c r="A5725" s="12"/>
      <c r="E5725" s="57" t="str">
        <f ca="1">IFERROR(__xludf.DUMMYFUNCTION("""COMPUTED_VALUE"""),"")</f>
        <v/>
      </c>
    </row>
    <row r="5726" spans="1:5">
      <c r="A5726" s="12"/>
      <c r="E5726" s="57" t="str">
        <f ca="1">IFERROR(__xludf.DUMMYFUNCTION("""COMPUTED_VALUE"""),"")</f>
        <v/>
      </c>
    </row>
    <row r="5727" spans="1:5">
      <c r="A5727" s="12"/>
      <c r="E5727" s="57" t="str">
        <f ca="1">IFERROR(__xludf.DUMMYFUNCTION("""COMPUTED_VALUE"""),"")</f>
        <v/>
      </c>
    </row>
    <row r="5728" spans="1:5">
      <c r="A5728" s="12"/>
      <c r="E5728" s="57" t="str">
        <f ca="1">IFERROR(__xludf.DUMMYFUNCTION("""COMPUTED_VALUE"""),"")</f>
        <v/>
      </c>
    </row>
    <row r="5729" spans="1:5">
      <c r="A5729" s="12"/>
      <c r="E5729" s="57" t="str">
        <f ca="1">IFERROR(__xludf.DUMMYFUNCTION("""COMPUTED_VALUE"""),"")</f>
        <v/>
      </c>
    </row>
    <row r="5730" spans="1:5">
      <c r="A5730" s="12"/>
      <c r="E5730" s="57" t="str">
        <f ca="1">IFERROR(__xludf.DUMMYFUNCTION("""COMPUTED_VALUE"""),"")</f>
        <v/>
      </c>
    </row>
    <row r="5731" spans="1:5">
      <c r="A5731" s="12"/>
      <c r="E5731" s="57" t="str">
        <f ca="1">IFERROR(__xludf.DUMMYFUNCTION("""COMPUTED_VALUE"""),"")</f>
        <v/>
      </c>
    </row>
    <row r="5732" spans="1:5">
      <c r="A5732" s="12"/>
      <c r="E5732" s="57" t="str">
        <f ca="1">IFERROR(__xludf.DUMMYFUNCTION("""COMPUTED_VALUE"""),"")</f>
        <v/>
      </c>
    </row>
    <row r="5733" spans="1:5">
      <c r="A5733" s="12"/>
      <c r="E5733" s="57" t="str">
        <f ca="1">IFERROR(__xludf.DUMMYFUNCTION("""COMPUTED_VALUE"""),"")</f>
        <v/>
      </c>
    </row>
    <row r="5734" spans="1:5">
      <c r="A5734" s="12"/>
      <c r="E5734" s="57" t="str">
        <f ca="1">IFERROR(__xludf.DUMMYFUNCTION("""COMPUTED_VALUE"""),"")</f>
        <v/>
      </c>
    </row>
    <row r="5735" spans="1:5">
      <c r="A5735" s="12"/>
      <c r="E5735" s="57" t="str">
        <f ca="1">IFERROR(__xludf.DUMMYFUNCTION("""COMPUTED_VALUE"""),"")</f>
        <v/>
      </c>
    </row>
    <row r="5736" spans="1:5">
      <c r="A5736" s="12"/>
      <c r="E5736" s="57" t="str">
        <f ca="1">IFERROR(__xludf.DUMMYFUNCTION("""COMPUTED_VALUE"""),"")</f>
        <v/>
      </c>
    </row>
    <row r="5737" spans="1:5">
      <c r="A5737" s="12"/>
      <c r="E5737" s="57" t="str">
        <f ca="1">IFERROR(__xludf.DUMMYFUNCTION("""COMPUTED_VALUE"""),"")</f>
        <v/>
      </c>
    </row>
    <row r="5738" spans="1:5">
      <c r="A5738" s="12"/>
      <c r="E5738" s="57" t="str">
        <f ca="1">IFERROR(__xludf.DUMMYFUNCTION("""COMPUTED_VALUE"""),"")</f>
        <v/>
      </c>
    </row>
    <row r="5739" spans="1:5">
      <c r="A5739" s="12"/>
      <c r="E5739" s="57" t="str">
        <f ca="1">IFERROR(__xludf.DUMMYFUNCTION("""COMPUTED_VALUE"""),"")</f>
        <v/>
      </c>
    </row>
    <row r="5740" spans="1:5">
      <c r="A5740" s="12"/>
      <c r="E5740" s="57" t="str">
        <f ca="1">IFERROR(__xludf.DUMMYFUNCTION("""COMPUTED_VALUE"""),"")</f>
        <v/>
      </c>
    </row>
    <row r="5741" spans="1:5">
      <c r="A5741" s="12"/>
      <c r="E5741" s="57" t="str">
        <f ca="1">IFERROR(__xludf.DUMMYFUNCTION("""COMPUTED_VALUE"""),"")</f>
        <v/>
      </c>
    </row>
    <row r="5742" spans="1:5">
      <c r="A5742" s="12"/>
      <c r="E5742" s="57" t="str">
        <f ca="1">IFERROR(__xludf.DUMMYFUNCTION("""COMPUTED_VALUE"""),"")</f>
        <v/>
      </c>
    </row>
    <row r="5743" spans="1:5">
      <c r="A5743" s="12"/>
      <c r="E5743" s="57" t="str">
        <f ca="1">IFERROR(__xludf.DUMMYFUNCTION("""COMPUTED_VALUE"""),"")</f>
        <v/>
      </c>
    </row>
    <row r="5744" spans="1:5">
      <c r="A5744" s="12"/>
      <c r="E5744" s="57" t="str">
        <f ca="1">IFERROR(__xludf.DUMMYFUNCTION("""COMPUTED_VALUE"""),"")</f>
        <v/>
      </c>
    </row>
    <row r="5745" spans="1:5">
      <c r="A5745" s="12"/>
      <c r="E5745" s="57" t="str">
        <f ca="1">IFERROR(__xludf.DUMMYFUNCTION("""COMPUTED_VALUE"""),"")</f>
        <v/>
      </c>
    </row>
    <row r="5746" spans="1:5">
      <c r="A5746" s="12"/>
      <c r="E5746" s="57" t="str">
        <f ca="1">IFERROR(__xludf.DUMMYFUNCTION("""COMPUTED_VALUE"""),"")</f>
        <v/>
      </c>
    </row>
    <row r="5747" spans="1:5">
      <c r="A5747" s="12"/>
      <c r="E5747" s="57" t="str">
        <f ca="1">IFERROR(__xludf.DUMMYFUNCTION("""COMPUTED_VALUE"""),"")</f>
        <v/>
      </c>
    </row>
    <row r="5748" spans="1:5">
      <c r="A5748" s="12"/>
      <c r="E5748" s="57" t="str">
        <f ca="1">IFERROR(__xludf.DUMMYFUNCTION("""COMPUTED_VALUE"""),"")</f>
        <v/>
      </c>
    </row>
    <row r="5749" spans="1:5">
      <c r="A5749" s="12"/>
      <c r="E5749" s="57" t="str">
        <f ca="1">IFERROR(__xludf.DUMMYFUNCTION("""COMPUTED_VALUE"""),"")</f>
        <v/>
      </c>
    </row>
    <row r="5750" spans="1:5">
      <c r="A5750" s="12"/>
      <c r="E5750" s="57" t="str">
        <f ca="1">IFERROR(__xludf.DUMMYFUNCTION("""COMPUTED_VALUE"""),"")</f>
        <v/>
      </c>
    </row>
    <row r="5751" spans="1:5">
      <c r="A5751" s="12"/>
      <c r="E5751" s="57" t="str">
        <f ca="1">IFERROR(__xludf.DUMMYFUNCTION("""COMPUTED_VALUE"""),"")</f>
        <v/>
      </c>
    </row>
    <row r="5752" spans="1:5">
      <c r="A5752" s="12"/>
      <c r="E5752" s="57" t="str">
        <f ca="1">IFERROR(__xludf.DUMMYFUNCTION("""COMPUTED_VALUE"""),"")</f>
        <v/>
      </c>
    </row>
    <row r="5753" spans="1:5">
      <c r="A5753" s="12"/>
      <c r="E5753" s="57" t="str">
        <f ca="1">IFERROR(__xludf.DUMMYFUNCTION("""COMPUTED_VALUE"""),"")</f>
        <v/>
      </c>
    </row>
    <row r="5754" spans="1:5">
      <c r="A5754" s="12"/>
      <c r="E5754" s="57" t="str">
        <f ca="1">IFERROR(__xludf.DUMMYFUNCTION("""COMPUTED_VALUE"""),"")</f>
        <v/>
      </c>
    </row>
    <row r="5755" spans="1:5">
      <c r="A5755" s="12"/>
      <c r="E5755" s="57" t="str">
        <f ca="1">IFERROR(__xludf.DUMMYFUNCTION("""COMPUTED_VALUE"""),"")</f>
        <v/>
      </c>
    </row>
    <row r="5756" spans="1:5">
      <c r="A5756" s="12"/>
      <c r="E5756" s="57" t="str">
        <f ca="1">IFERROR(__xludf.DUMMYFUNCTION("""COMPUTED_VALUE"""),"")</f>
        <v/>
      </c>
    </row>
    <row r="5757" spans="1:5">
      <c r="A5757" s="12"/>
      <c r="E5757" s="57" t="str">
        <f ca="1">IFERROR(__xludf.DUMMYFUNCTION("""COMPUTED_VALUE"""),"")</f>
        <v/>
      </c>
    </row>
    <row r="5758" spans="1:5">
      <c r="A5758" s="12"/>
      <c r="E5758" s="57" t="str">
        <f ca="1">IFERROR(__xludf.DUMMYFUNCTION("""COMPUTED_VALUE"""),"")</f>
        <v/>
      </c>
    </row>
    <row r="5759" spans="1:5">
      <c r="A5759" s="12"/>
      <c r="E5759" s="57" t="str">
        <f ca="1">IFERROR(__xludf.DUMMYFUNCTION("""COMPUTED_VALUE"""),"")</f>
        <v/>
      </c>
    </row>
    <row r="5760" spans="1:5">
      <c r="A5760" s="12"/>
      <c r="E5760" s="57" t="str">
        <f ca="1">IFERROR(__xludf.DUMMYFUNCTION("""COMPUTED_VALUE"""),"")</f>
        <v/>
      </c>
    </row>
    <row r="5761" spans="1:5">
      <c r="A5761" s="12"/>
      <c r="E5761" s="57" t="str">
        <f ca="1">IFERROR(__xludf.DUMMYFUNCTION("""COMPUTED_VALUE"""),"")</f>
        <v/>
      </c>
    </row>
    <row r="5762" spans="1:5">
      <c r="A5762" s="12"/>
      <c r="E5762" s="57" t="str">
        <f ca="1">IFERROR(__xludf.DUMMYFUNCTION("""COMPUTED_VALUE"""),"")</f>
        <v/>
      </c>
    </row>
    <row r="5763" spans="1:5">
      <c r="A5763" s="12"/>
      <c r="E5763" s="57" t="str">
        <f ca="1">IFERROR(__xludf.DUMMYFUNCTION("""COMPUTED_VALUE"""),"")</f>
        <v/>
      </c>
    </row>
    <row r="5764" spans="1:5">
      <c r="A5764" s="12"/>
      <c r="E5764" s="57" t="str">
        <f ca="1">IFERROR(__xludf.DUMMYFUNCTION("""COMPUTED_VALUE"""),"")</f>
        <v/>
      </c>
    </row>
    <row r="5765" spans="1:5">
      <c r="A5765" s="12"/>
      <c r="E5765" s="57" t="str">
        <f ca="1">IFERROR(__xludf.DUMMYFUNCTION("""COMPUTED_VALUE"""),"")</f>
        <v/>
      </c>
    </row>
    <row r="5766" spans="1:5">
      <c r="A5766" s="12"/>
      <c r="E5766" s="57" t="str">
        <f ca="1">IFERROR(__xludf.DUMMYFUNCTION("""COMPUTED_VALUE"""),"")</f>
        <v/>
      </c>
    </row>
    <row r="5767" spans="1:5">
      <c r="A5767" s="12"/>
      <c r="E5767" s="57" t="str">
        <f ca="1">IFERROR(__xludf.DUMMYFUNCTION("""COMPUTED_VALUE"""),"")</f>
        <v/>
      </c>
    </row>
    <row r="5768" spans="1:5">
      <c r="A5768" s="12"/>
      <c r="E5768" s="57" t="str">
        <f ca="1">IFERROR(__xludf.DUMMYFUNCTION("""COMPUTED_VALUE"""),"")</f>
        <v/>
      </c>
    </row>
    <row r="5769" spans="1:5">
      <c r="A5769" s="12"/>
      <c r="E5769" s="57" t="str">
        <f ca="1">IFERROR(__xludf.DUMMYFUNCTION("""COMPUTED_VALUE"""),"")</f>
        <v/>
      </c>
    </row>
    <row r="5770" spans="1:5">
      <c r="A5770" s="12"/>
      <c r="E5770" s="57" t="str">
        <f ca="1">IFERROR(__xludf.DUMMYFUNCTION("""COMPUTED_VALUE"""),"")</f>
        <v/>
      </c>
    </row>
    <row r="5771" spans="1:5">
      <c r="A5771" s="12"/>
      <c r="E5771" s="57" t="str">
        <f ca="1">IFERROR(__xludf.DUMMYFUNCTION("""COMPUTED_VALUE"""),"")</f>
        <v/>
      </c>
    </row>
    <row r="5772" spans="1:5">
      <c r="A5772" s="12"/>
      <c r="E5772" s="57" t="str">
        <f ca="1">IFERROR(__xludf.DUMMYFUNCTION("""COMPUTED_VALUE"""),"")</f>
        <v/>
      </c>
    </row>
    <row r="5773" spans="1:5">
      <c r="A5773" s="12"/>
      <c r="E5773" s="57" t="str">
        <f ca="1">IFERROR(__xludf.DUMMYFUNCTION("""COMPUTED_VALUE"""),"")</f>
        <v/>
      </c>
    </row>
    <row r="5774" spans="1:5">
      <c r="A5774" s="12"/>
      <c r="E5774" s="57" t="str">
        <f ca="1">IFERROR(__xludf.DUMMYFUNCTION("""COMPUTED_VALUE"""),"")</f>
        <v/>
      </c>
    </row>
    <row r="5775" spans="1:5">
      <c r="A5775" s="12"/>
      <c r="E5775" s="57" t="str">
        <f ca="1">IFERROR(__xludf.DUMMYFUNCTION("""COMPUTED_VALUE"""),"")</f>
        <v/>
      </c>
    </row>
    <row r="5776" spans="1:5">
      <c r="A5776" s="12"/>
      <c r="E5776" s="57" t="str">
        <f ca="1">IFERROR(__xludf.DUMMYFUNCTION("""COMPUTED_VALUE"""),"")</f>
        <v/>
      </c>
    </row>
    <row r="5777" spans="1:5">
      <c r="A5777" s="12"/>
      <c r="E5777" s="57" t="str">
        <f ca="1">IFERROR(__xludf.DUMMYFUNCTION("""COMPUTED_VALUE"""),"")</f>
        <v/>
      </c>
    </row>
    <row r="5778" spans="1:5">
      <c r="A5778" s="12"/>
      <c r="E5778" s="57" t="str">
        <f ca="1">IFERROR(__xludf.DUMMYFUNCTION("""COMPUTED_VALUE"""),"")</f>
        <v/>
      </c>
    </row>
    <row r="5779" spans="1:5">
      <c r="A5779" s="12"/>
      <c r="E5779" s="57" t="str">
        <f ca="1">IFERROR(__xludf.DUMMYFUNCTION("""COMPUTED_VALUE"""),"")</f>
        <v/>
      </c>
    </row>
    <row r="5780" spans="1:5">
      <c r="A5780" s="12"/>
      <c r="E5780" s="57" t="str">
        <f ca="1">IFERROR(__xludf.DUMMYFUNCTION("""COMPUTED_VALUE"""),"")</f>
        <v/>
      </c>
    </row>
    <row r="5781" spans="1:5">
      <c r="A5781" s="12"/>
      <c r="E5781" s="57" t="str">
        <f ca="1">IFERROR(__xludf.DUMMYFUNCTION("""COMPUTED_VALUE"""),"")</f>
        <v/>
      </c>
    </row>
    <row r="5782" spans="1:5">
      <c r="A5782" s="12"/>
      <c r="E5782" s="57" t="str">
        <f ca="1">IFERROR(__xludf.DUMMYFUNCTION("""COMPUTED_VALUE"""),"")</f>
        <v/>
      </c>
    </row>
    <row r="5783" spans="1:5">
      <c r="A5783" s="12"/>
      <c r="E5783" s="57" t="str">
        <f ca="1">IFERROR(__xludf.DUMMYFUNCTION("""COMPUTED_VALUE"""),"")</f>
        <v/>
      </c>
    </row>
    <row r="5784" spans="1:5">
      <c r="A5784" s="12"/>
      <c r="E5784" s="57" t="str">
        <f ca="1">IFERROR(__xludf.DUMMYFUNCTION("""COMPUTED_VALUE"""),"")</f>
        <v/>
      </c>
    </row>
    <row r="5785" spans="1:5">
      <c r="A5785" s="12"/>
      <c r="E5785" s="57" t="str">
        <f ca="1">IFERROR(__xludf.DUMMYFUNCTION("""COMPUTED_VALUE"""),"")</f>
        <v/>
      </c>
    </row>
    <row r="5786" spans="1:5">
      <c r="A5786" s="12"/>
      <c r="E5786" s="57" t="str">
        <f ca="1">IFERROR(__xludf.DUMMYFUNCTION("""COMPUTED_VALUE"""),"")</f>
        <v/>
      </c>
    </row>
    <row r="5787" spans="1:5">
      <c r="A5787" s="12"/>
      <c r="E5787" s="57" t="str">
        <f ca="1">IFERROR(__xludf.DUMMYFUNCTION("""COMPUTED_VALUE"""),"")</f>
        <v/>
      </c>
    </row>
    <row r="5788" spans="1:5">
      <c r="A5788" s="12"/>
      <c r="E5788" s="57" t="str">
        <f ca="1">IFERROR(__xludf.DUMMYFUNCTION("""COMPUTED_VALUE"""),"")</f>
        <v/>
      </c>
    </row>
    <row r="5789" spans="1:5">
      <c r="A5789" s="12"/>
      <c r="E5789" s="57" t="str">
        <f ca="1">IFERROR(__xludf.DUMMYFUNCTION("""COMPUTED_VALUE"""),"")</f>
        <v/>
      </c>
    </row>
    <row r="5790" spans="1:5">
      <c r="A5790" s="12"/>
      <c r="E5790" s="57" t="str">
        <f ca="1">IFERROR(__xludf.DUMMYFUNCTION("""COMPUTED_VALUE"""),"")</f>
        <v/>
      </c>
    </row>
    <row r="5791" spans="1:5">
      <c r="A5791" s="12"/>
      <c r="E5791" s="57" t="str">
        <f ca="1">IFERROR(__xludf.DUMMYFUNCTION("""COMPUTED_VALUE"""),"")</f>
        <v/>
      </c>
    </row>
    <row r="5792" spans="1:5">
      <c r="A5792" s="12"/>
      <c r="E5792" s="57" t="str">
        <f ca="1">IFERROR(__xludf.DUMMYFUNCTION("""COMPUTED_VALUE"""),"")</f>
        <v/>
      </c>
    </row>
    <row r="5793" spans="1:5">
      <c r="A5793" s="12"/>
      <c r="E5793" s="57" t="str">
        <f ca="1">IFERROR(__xludf.DUMMYFUNCTION("""COMPUTED_VALUE"""),"")</f>
        <v/>
      </c>
    </row>
    <row r="5794" spans="1:5">
      <c r="A5794" s="12"/>
      <c r="E5794" s="57" t="str">
        <f ca="1">IFERROR(__xludf.DUMMYFUNCTION("""COMPUTED_VALUE"""),"")</f>
        <v/>
      </c>
    </row>
    <row r="5795" spans="1:5">
      <c r="A5795" s="12"/>
      <c r="E5795" s="57" t="str">
        <f ca="1">IFERROR(__xludf.DUMMYFUNCTION("""COMPUTED_VALUE"""),"")</f>
        <v/>
      </c>
    </row>
    <row r="5796" spans="1:5">
      <c r="A5796" s="12"/>
      <c r="E5796" s="57" t="str">
        <f ca="1">IFERROR(__xludf.DUMMYFUNCTION("""COMPUTED_VALUE"""),"")</f>
        <v/>
      </c>
    </row>
    <row r="5797" spans="1:5">
      <c r="A5797" s="12"/>
      <c r="E5797" s="57" t="str">
        <f ca="1">IFERROR(__xludf.DUMMYFUNCTION("""COMPUTED_VALUE"""),"")</f>
        <v/>
      </c>
    </row>
    <row r="5798" spans="1:5">
      <c r="A5798" s="12"/>
      <c r="E5798" s="57" t="str">
        <f ca="1">IFERROR(__xludf.DUMMYFUNCTION("""COMPUTED_VALUE"""),"")</f>
        <v/>
      </c>
    </row>
    <row r="5799" spans="1:5">
      <c r="A5799" s="12"/>
      <c r="E5799" s="57" t="str">
        <f ca="1">IFERROR(__xludf.DUMMYFUNCTION("""COMPUTED_VALUE"""),"")</f>
        <v/>
      </c>
    </row>
    <row r="5800" spans="1:5">
      <c r="A5800" s="12"/>
      <c r="E5800" s="57" t="str">
        <f ca="1">IFERROR(__xludf.DUMMYFUNCTION("""COMPUTED_VALUE"""),"")</f>
        <v/>
      </c>
    </row>
    <row r="5801" spans="1:5">
      <c r="A5801" s="12"/>
      <c r="E5801" s="57" t="str">
        <f ca="1">IFERROR(__xludf.DUMMYFUNCTION("""COMPUTED_VALUE"""),"")</f>
        <v/>
      </c>
    </row>
    <row r="5802" spans="1:5">
      <c r="A5802" s="12"/>
      <c r="E5802" s="57" t="str">
        <f ca="1">IFERROR(__xludf.DUMMYFUNCTION("""COMPUTED_VALUE"""),"")</f>
        <v/>
      </c>
    </row>
    <row r="5803" spans="1:5">
      <c r="A5803" s="12"/>
      <c r="E5803" s="57" t="str">
        <f ca="1">IFERROR(__xludf.DUMMYFUNCTION("""COMPUTED_VALUE"""),"")</f>
        <v/>
      </c>
    </row>
    <row r="5804" spans="1:5">
      <c r="A5804" s="12"/>
      <c r="E5804" s="57" t="str">
        <f ca="1">IFERROR(__xludf.DUMMYFUNCTION("""COMPUTED_VALUE"""),"")</f>
        <v/>
      </c>
    </row>
    <row r="5805" spans="1:5">
      <c r="A5805" s="12"/>
      <c r="E5805" s="57" t="str">
        <f ca="1">IFERROR(__xludf.DUMMYFUNCTION("""COMPUTED_VALUE"""),"")</f>
        <v/>
      </c>
    </row>
    <row r="5806" spans="1:5">
      <c r="A5806" s="12"/>
      <c r="E5806" s="57" t="str">
        <f ca="1">IFERROR(__xludf.DUMMYFUNCTION("""COMPUTED_VALUE"""),"")</f>
        <v/>
      </c>
    </row>
    <row r="5807" spans="1:5">
      <c r="A5807" s="12"/>
      <c r="E5807" s="57" t="str">
        <f ca="1">IFERROR(__xludf.DUMMYFUNCTION("""COMPUTED_VALUE"""),"")</f>
        <v/>
      </c>
    </row>
    <row r="5808" spans="1:5">
      <c r="A5808" s="12"/>
      <c r="E5808" s="57" t="str">
        <f ca="1">IFERROR(__xludf.DUMMYFUNCTION("""COMPUTED_VALUE"""),"")</f>
        <v/>
      </c>
    </row>
    <row r="5809" spans="1:5">
      <c r="A5809" s="12"/>
      <c r="E5809" s="57" t="str">
        <f ca="1">IFERROR(__xludf.DUMMYFUNCTION("""COMPUTED_VALUE"""),"")</f>
        <v/>
      </c>
    </row>
    <row r="5810" spans="1:5">
      <c r="A5810" s="12"/>
      <c r="E5810" s="57" t="str">
        <f ca="1">IFERROR(__xludf.DUMMYFUNCTION("""COMPUTED_VALUE"""),"")</f>
        <v/>
      </c>
    </row>
    <row r="5811" spans="1:5">
      <c r="A5811" s="12"/>
      <c r="E5811" s="57" t="str">
        <f ca="1">IFERROR(__xludf.DUMMYFUNCTION("""COMPUTED_VALUE"""),"")</f>
        <v/>
      </c>
    </row>
    <row r="5812" spans="1:5">
      <c r="A5812" s="12"/>
      <c r="E5812" s="57" t="str">
        <f ca="1">IFERROR(__xludf.DUMMYFUNCTION("""COMPUTED_VALUE"""),"")</f>
        <v/>
      </c>
    </row>
    <row r="5813" spans="1:5">
      <c r="A5813" s="12"/>
      <c r="E5813" s="57" t="str">
        <f ca="1">IFERROR(__xludf.DUMMYFUNCTION("""COMPUTED_VALUE"""),"")</f>
        <v/>
      </c>
    </row>
    <row r="5814" spans="1:5">
      <c r="A5814" s="12"/>
      <c r="E5814" s="57" t="str">
        <f ca="1">IFERROR(__xludf.DUMMYFUNCTION("""COMPUTED_VALUE"""),"")</f>
        <v/>
      </c>
    </row>
    <row r="5815" spans="1:5">
      <c r="A5815" s="12"/>
      <c r="E5815" s="57" t="str">
        <f ca="1">IFERROR(__xludf.DUMMYFUNCTION("""COMPUTED_VALUE"""),"")</f>
        <v/>
      </c>
    </row>
    <row r="5816" spans="1:5">
      <c r="A5816" s="12"/>
      <c r="E5816" s="57" t="str">
        <f ca="1">IFERROR(__xludf.DUMMYFUNCTION("""COMPUTED_VALUE"""),"")</f>
        <v/>
      </c>
    </row>
    <row r="5817" spans="1:5">
      <c r="A5817" s="12"/>
      <c r="E5817" s="57" t="str">
        <f ca="1">IFERROR(__xludf.DUMMYFUNCTION("""COMPUTED_VALUE"""),"")</f>
        <v/>
      </c>
    </row>
    <row r="5818" spans="1:5">
      <c r="A5818" s="12"/>
      <c r="E5818" s="57" t="str">
        <f ca="1">IFERROR(__xludf.DUMMYFUNCTION("""COMPUTED_VALUE"""),"")</f>
        <v/>
      </c>
    </row>
    <row r="5819" spans="1:5">
      <c r="A5819" s="12"/>
      <c r="E5819" s="57" t="str">
        <f ca="1">IFERROR(__xludf.DUMMYFUNCTION("""COMPUTED_VALUE"""),"")</f>
        <v/>
      </c>
    </row>
    <row r="5820" spans="1:5">
      <c r="A5820" s="12"/>
      <c r="E5820" s="57" t="str">
        <f ca="1">IFERROR(__xludf.DUMMYFUNCTION("""COMPUTED_VALUE"""),"")</f>
        <v/>
      </c>
    </row>
    <row r="5821" spans="1:5">
      <c r="A5821" s="12"/>
      <c r="E5821" s="57" t="str">
        <f ca="1">IFERROR(__xludf.DUMMYFUNCTION("""COMPUTED_VALUE"""),"")</f>
        <v/>
      </c>
    </row>
    <row r="5822" spans="1:5">
      <c r="A5822" s="12"/>
      <c r="E5822" s="57" t="str">
        <f ca="1">IFERROR(__xludf.DUMMYFUNCTION("""COMPUTED_VALUE"""),"")</f>
        <v/>
      </c>
    </row>
    <row r="5823" spans="1:5">
      <c r="A5823" s="12"/>
      <c r="E5823" s="57" t="str">
        <f ca="1">IFERROR(__xludf.DUMMYFUNCTION("""COMPUTED_VALUE"""),"")</f>
        <v/>
      </c>
    </row>
    <row r="5824" spans="1:5">
      <c r="A5824" s="12"/>
      <c r="E5824" s="57" t="str">
        <f ca="1">IFERROR(__xludf.DUMMYFUNCTION("""COMPUTED_VALUE"""),"")</f>
        <v/>
      </c>
    </row>
    <row r="5825" spans="1:5">
      <c r="A5825" s="12"/>
      <c r="E5825" s="57" t="str">
        <f ca="1">IFERROR(__xludf.DUMMYFUNCTION("""COMPUTED_VALUE"""),"")</f>
        <v/>
      </c>
    </row>
    <row r="5826" spans="1:5">
      <c r="A5826" s="12"/>
      <c r="E5826" s="57" t="str">
        <f ca="1">IFERROR(__xludf.DUMMYFUNCTION("""COMPUTED_VALUE"""),"")</f>
        <v/>
      </c>
    </row>
    <row r="5827" spans="1:5">
      <c r="A5827" s="12"/>
      <c r="E5827" s="57" t="str">
        <f ca="1">IFERROR(__xludf.DUMMYFUNCTION("""COMPUTED_VALUE"""),"")</f>
        <v/>
      </c>
    </row>
    <row r="5828" spans="1:5">
      <c r="A5828" s="12"/>
      <c r="E5828" s="57" t="str">
        <f ca="1">IFERROR(__xludf.DUMMYFUNCTION("""COMPUTED_VALUE"""),"")</f>
        <v/>
      </c>
    </row>
    <row r="5829" spans="1:5">
      <c r="A5829" s="12"/>
      <c r="E5829" s="57" t="str">
        <f ca="1">IFERROR(__xludf.DUMMYFUNCTION("""COMPUTED_VALUE"""),"")</f>
        <v/>
      </c>
    </row>
    <row r="5830" spans="1:5">
      <c r="A5830" s="12"/>
      <c r="E5830" s="57" t="str">
        <f ca="1">IFERROR(__xludf.DUMMYFUNCTION("""COMPUTED_VALUE"""),"")</f>
        <v/>
      </c>
    </row>
    <row r="5831" spans="1:5">
      <c r="A5831" s="12"/>
      <c r="E5831" s="57" t="str">
        <f ca="1">IFERROR(__xludf.DUMMYFUNCTION("""COMPUTED_VALUE"""),"")</f>
        <v/>
      </c>
    </row>
    <row r="5832" spans="1:5">
      <c r="A5832" s="12"/>
      <c r="E5832" s="57" t="str">
        <f ca="1">IFERROR(__xludf.DUMMYFUNCTION("""COMPUTED_VALUE"""),"")</f>
        <v/>
      </c>
    </row>
    <row r="5833" spans="1:5">
      <c r="A5833" s="12"/>
      <c r="E5833" s="57" t="str">
        <f ca="1">IFERROR(__xludf.DUMMYFUNCTION("""COMPUTED_VALUE"""),"")</f>
        <v/>
      </c>
    </row>
    <row r="5834" spans="1:5">
      <c r="A5834" s="12"/>
      <c r="E5834" s="57" t="str">
        <f ca="1">IFERROR(__xludf.DUMMYFUNCTION("""COMPUTED_VALUE"""),"")</f>
        <v/>
      </c>
    </row>
    <row r="5835" spans="1:5">
      <c r="A5835" s="12"/>
      <c r="E5835" s="57" t="str">
        <f ca="1">IFERROR(__xludf.DUMMYFUNCTION("""COMPUTED_VALUE"""),"")</f>
        <v/>
      </c>
    </row>
    <row r="5836" spans="1:5">
      <c r="A5836" s="12"/>
      <c r="E5836" s="57" t="str">
        <f ca="1">IFERROR(__xludf.DUMMYFUNCTION("""COMPUTED_VALUE"""),"")</f>
        <v/>
      </c>
    </row>
    <row r="5837" spans="1:5">
      <c r="A5837" s="12"/>
      <c r="E5837" s="57" t="str">
        <f ca="1">IFERROR(__xludf.DUMMYFUNCTION("""COMPUTED_VALUE"""),"")</f>
        <v/>
      </c>
    </row>
    <row r="5838" spans="1:5">
      <c r="A5838" s="12"/>
      <c r="E5838" s="57" t="str">
        <f ca="1">IFERROR(__xludf.DUMMYFUNCTION("""COMPUTED_VALUE"""),"")</f>
        <v/>
      </c>
    </row>
    <row r="5839" spans="1:5">
      <c r="A5839" s="12"/>
      <c r="E5839" s="57" t="str">
        <f ca="1">IFERROR(__xludf.DUMMYFUNCTION("""COMPUTED_VALUE"""),"")</f>
        <v/>
      </c>
    </row>
    <row r="5840" spans="1:5">
      <c r="A5840" s="12"/>
      <c r="E5840" s="57" t="str">
        <f ca="1">IFERROR(__xludf.DUMMYFUNCTION("""COMPUTED_VALUE"""),"")</f>
        <v/>
      </c>
    </row>
    <row r="5841" spans="1:5">
      <c r="A5841" s="12"/>
      <c r="E5841" s="57" t="str">
        <f ca="1">IFERROR(__xludf.DUMMYFUNCTION("""COMPUTED_VALUE"""),"")</f>
        <v/>
      </c>
    </row>
    <row r="5842" spans="1:5">
      <c r="A5842" s="12"/>
      <c r="E5842" s="57" t="str">
        <f ca="1">IFERROR(__xludf.DUMMYFUNCTION("""COMPUTED_VALUE"""),"")</f>
        <v/>
      </c>
    </row>
    <row r="5843" spans="1:5">
      <c r="A5843" s="12"/>
      <c r="E5843" s="57" t="str">
        <f ca="1">IFERROR(__xludf.DUMMYFUNCTION("""COMPUTED_VALUE"""),"")</f>
        <v/>
      </c>
    </row>
    <row r="5844" spans="1:5">
      <c r="A5844" s="12"/>
      <c r="E5844" s="57" t="str">
        <f ca="1">IFERROR(__xludf.DUMMYFUNCTION("""COMPUTED_VALUE"""),"")</f>
        <v/>
      </c>
    </row>
    <row r="5845" spans="1:5">
      <c r="A5845" s="12"/>
      <c r="E5845" s="57" t="str">
        <f ca="1">IFERROR(__xludf.DUMMYFUNCTION("""COMPUTED_VALUE"""),"")</f>
        <v/>
      </c>
    </row>
    <row r="5846" spans="1:5">
      <c r="A5846" s="12"/>
      <c r="E5846" s="57" t="str">
        <f ca="1">IFERROR(__xludf.DUMMYFUNCTION("""COMPUTED_VALUE"""),"")</f>
        <v/>
      </c>
    </row>
    <row r="5847" spans="1:5">
      <c r="A5847" s="12"/>
      <c r="E5847" s="57" t="str">
        <f ca="1">IFERROR(__xludf.DUMMYFUNCTION("""COMPUTED_VALUE"""),"")</f>
        <v/>
      </c>
    </row>
    <row r="5848" spans="1:5">
      <c r="A5848" s="12"/>
      <c r="E5848" s="57" t="str">
        <f ca="1">IFERROR(__xludf.DUMMYFUNCTION("""COMPUTED_VALUE"""),"")</f>
        <v/>
      </c>
    </row>
    <row r="5849" spans="1:5">
      <c r="A5849" s="12"/>
      <c r="E5849" s="57" t="str">
        <f ca="1">IFERROR(__xludf.DUMMYFUNCTION("""COMPUTED_VALUE"""),"")</f>
        <v/>
      </c>
    </row>
    <row r="5850" spans="1:5">
      <c r="A5850" s="12"/>
      <c r="E5850" s="57" t="str">
        <f ca="1">IFERROR(__xludf.DUMMYFUNCTION("""COMPUTED_VALUE"""),"")</f>
        <v/>
      </c>
    </row>
    <row r="5851" spans="1:5">
      <c r="A5851" s="12"/>
      <c r="E5851" s="57" t="str">
        <f ca="1">IFERROR(__xludf.DUMMYFUNCTION("""COMPUTED_VALUE"""),"")</f>
        <v/>
      </c>
    </row>
    <row r="5852" spans="1:5">
      <c r="A5852" s="12"/>
      <c r="E5852" s="57" t="str">
        <f ca="1">IFERROR(__xludf.DUMMYFUNCTION("""COMPUTED_VALUE"""),"")</f>
        <v/>
      </c>
    </row>
    <row r="5853" spans="1:5">
      <c r="A5853" s="12"/>
      <c r="E5853" s="57" t="str">
        <f ca="1">IFERROR(__xludf.DUMMYFUNCTION("""COMPUTED_VALUE"""),"")</f>
        <v/>
      </c>
    </row>
    <row r="5854" spans="1:5">
      <c r="A5854" s="12"/>
      <c r="E5854" s="57" t="str">
        <f ca="1">IFERROR(__xludf.DUMMYFUNCTION("""COMPUTED_VALUE"""),"")</f>
        <v/>
      </c>
    </row>
    <row r="5855" spans="1:5">
      <c r="A5855" s="12"/>
      <c r="E5855" s="57" t="str">
        <f ca="1">IFERROR(__xludf.DUMMYFUNCTION("""COMPUTED_VALUE"""),"")</f>
        <v/>
      </c>
    </row>
    <row r="5856" spans="1:5">
      <c r="A5856" s="12"/>
      <c r="E5856" s="57" t="str">
        <f ca="1">IFERROR(__xludf.DUMMYFUNCTION("""COMPUTED_VALUE"""),"")</f>
        <v/>
      </c>
    </row>
    <row r="5857" spans="1:5">
      <c r="A5857" s="12"/>
      <c r="E5857" s="57" t="str">
        <f ca="1">IFERROR(__xludf.DUMMYFUNCTION("""COMPUTED_VALUE"""),"")</f>
        <v/>
      </c>
    </row>
    <row r="5858" spans="1:5">
      <c r="A5858" s="12"/>
      <c r="E5858" s="57" t="str">
        <f ca="1">IFERROR(__xludf.DUMMYFUNCTION("""COMPUTED_VALUE"""),"")</f>
        <v/>
      </c>
    </row>
    <row r="5859" spans="1:5">
      <c r="A5859" s="12"/>
      <c r="E5859" s="57" t="str">
        <f ca="1">IFERROR(__xludf.DUMMYFUNCTION("""COMPUTED_VALUE"""),"")</f>
        <v/>
      </c>
    </row>
    <row r="5860" spans="1:5">
      <c r="A5860" s="12"/>
      <c r="E5860" s="57" t="str">
        <f ca="1">IFERROR(__xludf.DUMMYFUNCTION("""COMPUTED_VALUE"""),"")</f>
        <v/>
      </c>
    </row>
    <row r="5861" spans="1:5">
      <c r="A5861" s="12"/>
      <c r="E5861" s="57" t="str">
        <f ca="1">IFERROR(__xludf.DUMMYFUNCTION("""COMPUTED_VALUE"""),"")</f>
        <v/>
      </c>
    </row>
    <row r="5862" spans="1:5">
      <c r="A5862" s="12"/>
      <c r="E5862" s="57" t="str">
        <f ca="1">IFERROR(__xludf.DUMMYFUNCTION("""COMPUTED_VALUE"""),"")</f>
        <v/>
      </c>
    </row>
    <row r="5863" spans="1:5">
      <c r="A5863" s="12"/>
      <c r="E5863" s="57" t="str">
        <f ca="1">IFERROR(__xludf.DUMMYFUNCTION("""COMPUTED_VALUE"""),"")</f>
        <v/>
      </c>
    </row>
    <row r="5864" spans="1:5">
      <c r="A5864" s="12"/>
      <c r="E5864" s="57" t="str">
        <f ca="1">IFERROR(__xludf.DUMMYFUNCTION("""COMPUTED_VALUE"""),"")</f>
        <v/>
      </c>
    </row>
    <row r="5865" spans="1:5">
      <c r="A5865" s="12"/>
      <c r="E5865" s="57" t="str">
        <f ca="1">IFERROR(__xludf.DUMMYFUNCTION("""COMPUTED_VALUE"""),"")</f>
        <v/>
      </c>
    </row>
    <row r="5866" spans="1:5">
      <c r="A5866" s="12"/>
      <c r="E5866" s="57" t="str">
        <f ca="1">IFERROR(__xludf.DUMMYFUNCTION("""COMPUTED_VALUE"""),"")</f>
        <v/>
      </c>
    </row>
    <row r="5867" spans="1:5">
      <c r="A5867" s="12"/>
      <c r="E5867" s="57" t="str">
        <f ca="1">IFERROR(__xludf.DUMMYFUNCTION("""COMPUTED_VALUE"""),"")</f>
        <v/>
      </c>
    </row>
    <row r="5868" spans="1:5">
      <c r="A5868" s="12"/>
      <c r="E5868" s="57" t="str">
        <f ca="1">IFERROR(__xludf.DUMMYFUNCTION("""COMPUTED_VALUE"""),"")</f>
        <v/>
      </c>
    </row>
    <row r="5869" spans="1:5">
      <c r="A5869" s="12"/>
      <c r="E5869" s="57" t="str">
        <f ca="1">IFERROR(__xludf.DUMMYFUNCTION("""COMPUTED_VALUE"""),"")</f>
        <v/>
      </c>
    </row>
    <row r="5870" spans="1:5">
      <c r="A5870" s="12"/>
      <c r="E5870" s="57" t="str">
        <f ca="1">IFERROR(__xludf.DUMMYFUNCTION("""COMPUTED_VALUE"""),"")</f>
        <v/>
      </c>
    </row>
    <row r="5871" spans="1:5">
      <c r="A5871" s="12"/>
      <c r="E5871" s="57" t="str">
        <f ca="1">IFERROR(__xludf.DUMMYFUNCTION("""COMPUTED_VALUE"""),"")</f>
        <v/>
      </c>
    </row>
    <row r="5872" spans="1:5">
      <c r="A5872" s="12"/>
      <c r="E5872" s="57" t="str">
        <f ca="1">IFERROR(__xludf.DUMMYFUNCTION("""COMPUTED_VALUE"""),"")</f>
        <v/>
      </c>
    </row>
    <row r="5873" spans="1:5">
      <c r="A5873" s="12"/>
      <c r="E5873" s="57" t="str">
        <f ca="1">IFERROR(__xludf.DUMMYFUNCTION("""COMPUTED_VALUE"""),"")</f>
        <v/>
      </c>
    </row>
    <row r="5874" spans="1:5">
      <c r="A5874" s="12"/>
      <c r="E5874" s="57" t="str">
        <f ca="1">IFERROR(__xludf.DUMMYFUNCTION("""COMPUTED_VALUE"""),"")</f>
        <v/>
      </c>
    </row>
    <row r="5875" spans="1:5">
      <c r="A5875" s="12"/>
      <c r="E5875" s="57" t="str">
        <f ca="1">IFERROR(__xludf.DUMMYFUNCTION("""COMPUTED_VALUE"""),"")</f>
        <v/>
      </c>
    </row>
    <row r="5876" spans="1:5">
      <c r="A5876" s="12"/>
      <c r="E5876" s="57" t="str">
        <f ca="1">IFERROR(__xludf.DUMMYFUNCTION("""COMPUTED_VALUE"""),"")</f>
        <v/>
      </c>
    </row>
    <row r="5877" spans="1:5">
      <c r="A5877" s="12"/>
      <c r="E5877" s="57" t="str">
        <f ca="1">IFERROR(__xludf.DUMMYFUNCTION("""COMPUTED_VALUE"""),"")</f>
        <v/>
      </c>
    </row>
    <row r="5878" spans="1:5">
      <c r="A5878" s="12"/>
      <c r="E5878" s="57" t="str">
        <f ca="1">IFERROR(__xludf.DUMMYFUNCTION("""COMPUTED_VALUE"""),"")</f>
        <v/>
      </c>
    </row>
    <row r="5879" spans="1:5">
      <c r="A5879" s="12"/>
      <c r="E5879" s="57" t="str">
        <f ca="1">IFERROR(__xludf.DUMMYFUNCTION("""COMPUTED_VALUE"""),"")</f>
        <v/>
      </c>
    </row>
    <row r="5880" spans="1:5">
      <c r="A5880" s="12"/>
      <c r="E5880" s="57" t="str">
        <f ca="1">IFERROR(__xludf.DUMMYFUNCTION("""COMPUTED_VALUE"""),"")</f>
        <v/>
      </c>
    </row>
    <row r="5881" spans="1:5">
      <c r="A5881" s="12"/>
      <c r="E5881" s="57" t="str">
        <f ca="1">IFERROR(__xludf.DUMMYFUNCTION("""COMPUTED_VALUE"""),"")</f>
        <v/>
      </c>
    </row>
    <row r="5882" spans="1:5">
      <c r="A5882" s="12"/>
      <c r="E5882" s="57" t="str">
        <f ca="1">IFERROR(__xludf.DUMMYFUNCTION("""COMPUTED_VALUE"""),"")</f>
        <v/>
      </c>
    </row>
    <row r="5883" spans="1:5">
      <c r="A5883" s="12"/>
      <c r="E5883" s="57" t="str">
        <f ca="1">IFERROR(__xludf.DUMMYFUNCTION("""COMPUTED_VALUE"""),"")</f>
        <v/>
      </c>
    </row>
    <row r="5884" spans="1:5">
      <c r="A5884" s="12"/>
      <c r="E5884" s="57" t="str">
        <f ca="1">IFERROR(__xludf.DUMMYFUNCTION("""COMPUTED_VALUE"""),"")</f>
        <v/>
      </c>
    </row>
    <row r="5885" spans="1:5">
      <c r="A5885" s="12"/>
      <c r="E5885" s="57" t="str">
        <f ca="1">IFERROR(__xludf.DUMMYFUNCTION("""COMPUTED_VALUE"""),"")</f>
        <v/>
      </c>
    </row>
    <row r="5886" spans="1:5">
      <c r="A5886" s="12"/>
      <c r="E5886" s="57" t="str">
        <f ca="1">IFERROR(__xludf.DUMMYFUNCTION("""COMPUTED_VALUE"""),"")</f>
        <v/>
      </c>
    </row>
    <row r="5887" spans="1:5">
      <c r="A5887" s="12"/>
      <c r="E5887" s="57" t="str">
        <f ca="1">IFERROR(__xludf.DUMMYFUNCTION("""COMPUTED_VALUE"""),"")</f>
        <v/>
      </c>
    </row>
    <row r="5888" spans="1:5">
      <c r="A5888" s="12"/>
      <c r="E5888" s="57" t="str">
        <f ca="1">IFERROR(__xludf.DUMMYFUNCTION("""COMPUTED_VALUE"""),"")</f>
        <v/>
      </c>
    </row>
    <row r="5889" spans="1:5">
      <c r="A5889" s="12"/>
      <c r="E5889" s="57" t="str">
        <f ca="1">IFERROR(__xludf.DUMMYFUNCTION("""COMPUTED_VALUE"""),"")</f>
        <v/>
      </c>
    </row>
    <row r="5890" spans="1:5">
      <c r="A5890" s="12"/>
      <c r="E5890" s="57" t="str">
        <f ca="1">IFERROR(__xludf.DUMMYFUNCTION("""COMPUTED_VALUE"""),"")</f>
        <v/>
      </c>
    </row>
    <row r="5891" spans="1:5">
      <c r="A5891" s="12"/>
      <c r="E5891" s="57" t="str">
        <f ca="1">IFERROR(__xludf.DUMMYFUNCTION("""COMPUTED_VALUE"""),"")</f>
        <v/>
      </c>
    </row>
    <row r="5892" spans="1:5">
      <c r="A5892" s="12"/>
      <c r="E5892" s="57" t="str">
        <f ca="1">IFERROR(__xludf.DUMMYFUNCTION("""COMPUTED_VALUE"""),"")</f>
        <v/>
      </c>
    </row>
    <row r="5893" spans="1:5">
      <c r="A5893" s="12"/>
      <c r="E5893" s="57" t="str">
        <f ca="1">IFERROR(__xludf.DUMMYFUNCTION("""COMPUTED_VALUE"""),"")</f>
        <v/>
      </c>
    </row>
    <row r="5894" spans="1:5">
      <c r="A5894" s="12"/>
      <c r="E5894" s="57" t="str">
        <f ca="1">IFERROR(__xludf.DUMMYFUNCTION("""COMPUTED_VALUE"""),"")</f>
        <v/>
      </c>
    </row>
    <row r="5895" spans="1:5">
      <c r="A5895" s="12"/>
      <c r="E5895" s="57" t="str">
        <f ca="1">IFERROR(__xludf.DUMMYFUNCTION("""COMPUTED_VALUE"""),"")</f>
        <v/>
      </c>
    </row>
    <row r="5896" spans="1:5">
      <c r="A5896" s="12"/>
      <c r="E5896" s="57" t="str">
        <f ca="1">IFERROR(__xludf.DUMMYFUNCTION("""COMPUTED_VALUE"""),"")</f>
        <v/>
      </c>
    </row>
    <row r="5897" spans="1:5">
      <c r="A5897" s="12"/>
      <c r="E5897" s="57" t="str">
        <f ca="1">IFERROR(__xludf.DUMMYFUNCTION("""COMPUTED_VALUE"""),"")</f>
        <v/>
      </c>
    </row>
    <row r="5898" spans="1:5">
      <c r="A5898" s="12"/>
      <c r="E5898" s="57" t="str">
        <f ca="1">IFERROR(__xludf.DUMMYFUNCTION("""COMPUTED_VALUE"""),"")</f>
        <v/>
      </c>
    </row>
    <row r="5899" spans="1:5">
      <c r="A5899" s="12"/>
      <c r="E5899" s="57" t="str">
        <f ca="1">IFERROR(__xludf.DUMMYFUNCTION("""COMPUTED_VALUE"""),"")</f>
        <v/>
      </c>
    </row>
    <row r="5900" spans="1:5">
      <c r="A5900" s="12"/>
      <c r="E5900" s="57" t="str">
        <f ca="1">IFERROR(__xludf.DUMMYFUNCTION("""COMPUTED_VALUE"""),"")</f>
        <v/>
      </c>
    </row>
    <row r="5901" spans="1:5">
      <c r="A5901" s="12"/>
      <c r="E5901" s="57" t="str">
        <f ca="1">IFERROR(__xludf.DUMMYFUNCTION("""COMPUTED_VALUE"""),"")</f>
        <v/>
      </c>
    </row>
    <row r="5902" spans="1:5">
      <c r="A5902" s="12"/>
      <c r="E5902" s="57" t="str">
        <f ca="1">IFERROR(__xludf.DUMMYFUNCTION("""COMPUTED_VALUE"""),"")</f>
        <v/>
      </c>
    </row>
    <row r="5903" spans="1:5">
      <c r="A5903" s="12"/>
      <c r="E5903" s="57" t="str">
        <f ca="1">IFERROR(__xludf.DUMMYFUNCTION("""COMPUTED_VALUE"""),"")</f>
        <v/>
      </c>
    </row>
    <row r="5904" spans="1:5">
      <c r="A5904" s="12"/>
      <c r="E5904" s="57" t="str">
        <f ca="1">IFERROR(__xludf.DUMMYFUNCTION("""COMPUTED_VALUE"""),"")</f>
        <v/>
      </c>
    </row>
    <row r="5905" spans="1:5">
      <c r="A5905" s="12"/>
      <c r="E5905" s="57" t="str">
        <f ca="1">IFERROR(__xludf.DUMMYFUNCTION("""COMPUTED_VALUE"""),"")</f>
        <v/>
      </c>
    </row>
    <row r="5906" spans="1:5">
      <c r="A5906" s="12"/>
      <c r="E5906" s="57" t="str">
        <f ca="1">IFERROR(__xludf.DUMMYFUNCTION("""COMPUTED_VALUE"""),"")</f>
        <v/>
      </c>
    </row>
    <row r="5907" spans="1:5">
      <c r="A5907" s="12"/>
      <c r="E5907" s="57" t="str">
        <f ca="1">IFERROR(__xludf.DUMMYFUNCTION("""COMPUTED_VALUE"""),"")</f>
        <v/>
      </c>
    </row>
    <row r="5908" spans="1:5">
      <c r="A5908" s="12"/>
      <c r="E5908" s="57" t="str">
        <f ca="1">IFERROR(__xludf.DUMMYFUNCTION("""COMPUTED_VALUE"""),"")</f>
        <v/>
      </c>
    </row>
    <row r="5909" spans="1:5">
      <c r="A5909" s="12"/>
      <c r="E5909" s="57" t="str">
        <f ca="1">IFERROR(__xludf.DUMMYFUNCTION("""COMPUTED_VALUE"""),"")</f>
        <v/>
      </c>
    </row>
    <row r="5910" spans="1:5">
      <c r="A5910" s="12"/>
      <c r="E5910" s="57" t="str">
        <f ca="1">IFERROR(__xludf.DUMMYFUNCTION("""COMPUTED_VALUE"""),"")</f>
        <v/>
      </c>
    </row>
    <row r="5911" spans="1:5">
      <c r="A5911" s="12"/>
      <c r="E5911" s="57" t="str">
        <f ca="1">IFERROR(__xludf.DUMMYFUNCTION("""COMPUTED_VALUE"""),"")</f>
        <v/>
      </c>
    </row>
    <row r="5912" spans="1:5">
      <c r="A5912" s="12"/>
      <c r="E5912" s="57" t="str">
        <f ca="1">IFERROR(__xludf.DUMMYFUNCTION("""COMPUTED_VALUE"""),"")</f>
        <v/>
      </c>
    </row>
    <row r="5913" spans="1:5">
      <c r="A5913" s="12"/>
      <c r="E5913" s="57" t="str">
        <f ca="1">IFERROR(__xludf.DUMMYFUNCTION("""COMPUTED_VALUE"""),"")</f>
        <v/>
      </c>
    </row>
    <row r="5914" spans="1:5">
      <c r="A5914" s="12"/>
      <c r="E5914" s="57" t="str">
        <f ca="1">IFERROR(__xludf.DUMMYFUNCTION("""COMPUTED_VALUE"""),"")</f>
        <v/>
      </c>
    </row>
    <row r="5915" spans="1:5">
      <c r="A5915" s="12"/>
      <c r="E5915" s="57" t="str">
        <f ca="1">IFERROR(__xludf.DUMMYFUNCTION("""COMPUTED_VALUE"""),"")</f>
        <v/>
      </c>
    </row>
    <row r="5916" spans="1:5">
      <c r="A5916" s="12"/>
      <c r="E5916" s="57" t="str">
        <f ca="1">IFERROR(__xludf.DUMMYFUNCTION("""COMPUTED_VALUE"""),"")</f>
        <v/>
      </c>
    </row>
    <row r="5917" spans="1:5">
      <c r="A5917" s="12"/>
      <c r="E5917" s="57" t="str">
        <f ca="1">IFERROR(__xludf.DUMMYFUNCTION("""COMPUTED_VALUE"""),"")</f>
        <v/>
      </c>
    </row>
    <row r="5918" spans="1:5">
      <c r="A5918" s="12"/>
      <c r="E5918" s="57" t="str">
        <f ca="1">IFERROR(__xludf.DUMMYFUNCTION("""COMPUTED_VALUE"""),"")</f>
        <v/>
      </c>
    </row>
    <row r="5919" spans="1:5">
      <c r="A5919" s="12"/>
      <c r="E5919" s="57" t="str">
        <f ca="1">IFERROR(__xludf.DUMMYFUNCTION("""COMPUTED_VALUE"""),"")</f>
        <v/>
      </c>
    </row>
    <row r="5920" spans="1:5">
      <c r="A5920" s="12"/>
      <c r="E5920" s="57" t="str">
        <f ca="1">IFERROR(__xludf.DUMMYFUNCTION("""COMPUTED_VALUE"""),"")</f>
        <v/>
      </c>
    </row>
    <row r="5921" spans="1:5">
      <c r="A5921" s="12"/>
      <c r="E5921" s="57" t="str">
        <f ca="1">IFERROR(__xludf.DUMMYFUNCTION("""COMPUTED_VALUE"""),"")</f>
        <v/>
      </c>
    </row>
    <row r="5922" spans="1:5">
      <c r="A5922" s="12"/>
      <c r="E5922" s="57" t="str">
        <f ca="1">IFERROR(__xludf.DUMMYFUNCTION("""COMPUTED_VALUE"""),"")</f>
        <v/>
      </c>
    </row>
    <row r="5923" spans="1:5">
      <c r="A5923" s="12"/>
      <c r="E5923" s="57" t="str">
        <f ca="1">IFERROR(__xludf.DUMMYFUNCTION("""COMPUTED_VALUE"""),"")</f>
        <v/>
      </c>
    </row>
    <row r="5924" spans="1:5">
      <c r="A5924" s="12"/>
      <c r="E5924" s="57" t="str">
        <f ca="1">IFERROR(__xludf.DUMMYFUNCTION("""COMPUTED_VALUE"""),"")</f>
        <v/>
      </c>
    </row>
    <row r="5925" spans="1:5">
      <c r="A5925" s="12"/>
      <c r="E5925" s="57" t="str">
        <f ca="1">IFERROR(__xludf.DUMMYFUNCTION("""COMPUTED_VALUE"""),"")</f>
        <v/>
      </c>
    </row>
    <row r="5926" spans="1:5">
      <c r="A5926" s="12"/>
      <c r="E5926" s="57" t="str">
        <f ca="1">IFERROR(__xludf.DUMMYFUNCTION("""COMPUTED_VALUE"""),"")</f>
        <v/>
      </c>
    </row>
    <row r="5927" spans="1:5">
      <c r="A5927" s="12"/>
      <c r="E5927" s="57" t="str">
        <f ca="1">IFERROR(__xludf.DUMMYFUNCTION("""COMPUTED_VALUE"""),"")</f>
        <v/>
      </c>
    </row>
    <row r="5928" spans="1:5">
      <c r="A5928" s="12"/>
      <c r="E5928" s="57" t="str">
        <f ca="1">IFERROR(__xludf.DUMMYFUNCTION("""COMPUTED_VALUE"""),"")</f>
        <v/>
      </c>
    </row>
    <row r="5929" spans="1:5">
      <c r="A5929" s="12"/>
      <c r="E5929" s="57" t="str">
        <f ca="1">IFERROR(__xludf.DUMMYFUNCTION("""COMPUTED_VALUE"""),"")</f>
        <v/>
      </c>
    </row>
    <row r="5930" spans="1:5">
      <c r="A5930" s="12"/>
      <c r="E5930" s="57" t="str">
        <f ca="1">IFERROR(__xludf.DUMMYFUNCTION("""COMPUTED_VALUE"""),"")</f>
        <v/>
      </c>
    </row>
    <row r="5931" spans="1:5">
      <c r="A5931" s="12"/>
      <c r="E5931" s="57" t="str">
        <f ca="1">IFERROR(__xludf.DUMMYFUNCTION("""COMPUTED_VALUE"""),"")</f>
        <v/>
      </c>
    </row>
    <row r="5932" spans="1:5">
      <c r="A5932" s="12"/>
      <c r="E5932" s="57" t="str">
        <f ca="1">IFERROR(__xludf.DUMMYFUNCTION("""COMPUTED_VALUE"""),"")</f>
        <v/>
      </c>
    </row>
    <row r="5933" spans="1:5">
      <c r="A5933" s="12"/>
      <c r="E5933" s="57" t="str">
        <f ca="1">IFERROR(__xludf.DUMMYFUNCTION("""COMPUTED_VALUE"""),"")</f>
        <v/>
      </c>
    </row>
    <row r="5934" spans="1:5">
      <c r="A5934" s="12"/>
      <c r="E5934" s="57" t="str">
        <f ca="1">IFERROR(__xludf.DUMMYFUNCTION("""COMPUTED_VALUE"""),"")</f>
        <v/>
      </c>
    </row>
    <row r="5935" spans="1:5">
      <c r="A5935" s="12"/>
      <c r="E5935" s="57" t="str">
        <f ca="1">IFERROR(__xludf.DUMMYFUNCTION("""COMPUTED_VALUE"""),"")</f>
        <v/>
      </c>
    </row>
    <row r="5936" spans="1:5">
      <c r="A5936" s="12"/>
      <c r="E5936" s="57" t="str">
        <f ca="1">IFERROR(__xludf.DUMMYFUNCTION("""COMPUTED_VALUE"""),"")</f>
        <v/>
      </c>
    </row>
    <row r="5937" spans="1:5">
      <c r="A5937" s="12"/>
      <c r="E5937" s="57" t="str">
        <f ca="1">IFERROR(__xludf.DUMMYFUNCTION("""COMPUTED_VALUE"""),"")</f>
        <v/>
      </c>
    </row>
    <row r="5938" spans="1:5">
      <c r="A5938" s="12"/>
      <c r="E5938" s="57" t="str">
        <f ca="1">IFERROR(__xludf.DUMMYFUNCTION("""COMPUTED_VALUE"""),"")</f>
        <v/>
      </c>
    </row>
    <row r="5939" spans="1:5">
      <c r="A5939" s="12"/>
      <c r="E5939" s="57" t="str">
        <f ca="1">IFERROR(__xludf.DUMMYFUNCTION("""COMPUTED_VALUE"""),"")</f>
        <v/>
      </c>
    </row>
    <row r="5940" spans="1:5">
      <c r="A5940" s="12"/>
      <c r="E5940" s="57" t="str">
        <f ca="1">IFERROR(__xludf.DUMMYFUNCTION("""COMPUTED_VALUE"""),"")</f>
        <v/>
      </c>
    </row>
    <row r="5941" spans="1:5">
      <c r="A5941" s="12"/>
      <c r="E5941" s="57" t="str">
        <f ca="1">IFERROR(__xludf.DUMMYFUNCTION("""COMPUTED_VALUE"""),"")</f>
        <v/>
      </c>
    </row>
    <row r="5942" spans="1:5">
      <c r="A5942" s="12"/>
      <c r="E5942" s="57" t="str">
        <f ca="1">IFERROR(__xludf.DUMMYFUNCTION("""COMPUTED_VALUE"""),"")</f>
        <v/>
      </c>
    </row>
    <row r="5943" spans="1:5">
      <c r="A5943" s="12"/>
      <c r="E5943" s="57" t="str">
        <f ca="1">IFERROR(__xludf.DUMMYFUNCTION("""COMPUTED_VALUE"""),"")</f>
        <v/>
      </c>
    </row>
    <row r="5944" spans="1:5">
      <c r="A5944" s="12"/>
      <c r="E5944" s="57" t="str">
        <f ca="1">IFERROR(__xludf.DUMMYFUNCTION("""COMPUTED_VALUE"""),"")</f>
        <v/>
      </c>
    </row>
    <row r="5945" spans="1:5">
      <c r="A5945" s="12"/>
      <c r="E5945" s="57" t="str">
        <f ca="1">IFERROR(__xludf.DUMMYFUNCTION("""COMPUTED_VALUE"""),"")</f>
        <v/>
      </c>
    </row>
    <row r="5946" spans="1:5">
      <c r="A5946" s="12"/>
      <c r="E5946" s="57" t="str">
        <f ca="1">IFERROR(__xludf.DUMMYFUNCTION("""COMPUTED_VALUE"""),"")</f>
        <v/>
      </c>
    </row>
    <row r="5947" spans="1:5">
      <c r="A5947" s="12"/>
      <c r="E5947" s="57" t="str">
        <f ca="1">IFERROR(__xludf.DUMMYFUNCTION("""COMPUTED_VALUE"""),"")</f>
        <v/>
      </c>
    </row>
    <row r="5948" spans="1:5">
      <c r="A5948" s="12"/>
      <c r="E5948" s="57" t="str">
        <f ca="1">IFERROR(__xludf.DUMMYFUNCTION("""COMPUTED_VALUE"""),"")</f>
        <v/>
      </c>
    </row>
    <row r="5949" spans="1:5">
      <c r="A5949" s="12"/>
      <c r="E5949" s="57" t="str">
        <f ca="1">IFERROR(__xludf.DUMMYFUNCTION("""COMPUTED_VALUE"""),"")</f>
        <v/>
      </c>
    </row>
    <row r="5950" spans="1:5">
      <c r="A5950" s="12"/>
      <c r="E5950" s="57" t="str">
        <f ca="1">IFERROR(__xludf.DUMMYFUNCTION("""COMPUTED_VALUE"""),"")</f>
        <v/>
      </c>
    </row>
    <row r="5951" spans="1:5">
      <c r="A5951" s="12"/>
      <c r="E5951" s="57" t="str">
        <f ca="1">IFERROR(__xludf.DUMMYFUNCTION("""COMPUTED_VALUE"""),"")</f>
        <v/>
      </c>
    </row>
    <row r="5952" spans="1:5">
      <c r="A5952" s="12"/>
      <c r="E5952" s="57" t="str">
        <f ca="1">IFERROR(__xludf.DUMMYFUNCTION("""COMPUTED_VALUE"""),"")</f>
        <v/>
      </c>
    </row>
    <row r="5953" spans="1:5">
      <c r="A5953" s="12"/>
      <c r="E5953" s="57" t="str">
        <f ca="1">IFERROR(__xludf.DUMMYFUNCTION("""COMPUTED_VALUE"""),"")</f>
        <v/>
      </c>
    </row>
    <row r="5954" spans="1:5">
      <c r="A5954" s="12"/>
      <c r="E5954" s="57" t="str">
        <f ca="1">IFERROR(__xludf.DUMMYFUNCTION("""COMPUTED_VALUE"""),"")</f>
        <v/>
      </c>
    </row>
    <row r="5955" spans="1:5">
      <c r="A5955" s="12"/>
      <c r="E5955" s="57" t="str">
        <f ca="1">IFERROR(__xludf.DUMMYFUNCTION("""COMPUTED_VALUE"""),"")</f>
        <v/>
      </c>
    </row>
    <row r="5956" spans="1:5">
      <c r="A5956" s="12"/>
      <c r="E5956" s="57" t="str">
        <f ca="1">IFERROR(__xludf.DUMMYFUNCTION("""COMPUTED_VALUE"""),"")</f>
        <v/>
      </c>
    </row>
    <row r="5957" spans="1:5">
      <c r="A5957" s="12"/>
      <c r="E5957" s="57" t="str">
        <f ca="1">IFERROR(__xludf.DUMMYFUNCTION("""COMPUTED_VALUE"""),"")</f>
        <v/>
      </c>
    </row>
    <row r="5958" spans="1:5">
      <c r="A5958" s="12"/>
      <c r="E5958" s="57" t="str">
        <f ca="1">IFERROR(__xludf.DUMMYFUNCTION("""COMPUTED_VALUE"""),"")</f>
        <v/>
      </c>
    </row>
    <row r="5959" spans="1:5">
      <c r="A5959" s="12"/>
      <c r="E5959" s="57" t="str">
        <f ca="1">IFERROR(__xludf.DUMMYFUNCTION("""COMPUTED_VALUE"""),"")</f>
        <v/>
      </c>
    </row>
    <row r="5960" spans="1:5">
      <c r="A5960" s="12"/>
      <c r="E5960" s="57" t="str">
        <f ca="1">IFERROR(__xludf.DUMMYFUNCTION("""COMPUTED_VALUE"""),"")</f>
        <v/>
      </c>
    </row>
    <row r="5961" spans="1:5">
      <c r="A5961" s="12"/>
      <c r="E5961" s="57" t="str">
        <f ca="1">IFERROR(__xludf.DUMMYFUNCTION("""COMPUTED_VALUE"""),"")</f>
        <v/>
      </c>
    </row>
    <row r="5962" spans="1:5">
      <c r="A5962" s="12"/>
      <c r="E5962" s="57" t="str">
        <f ca="1">IFERROR(__xludf.DUMMYFUNCTION("""COMPUTED_VALUE"""),"")</f>
        <v/>
      </c>
    </row>
    <row r="5963" spans="1:5">
      <c r="A5963" s="12"/>
      <c r="E5963" s="57" t="str">
        <f ca="1">IFERROR(__xludf.DUMMYFUNCTION("""COMPUTED_VALUE"""),"")</f>
        <v/>
      </c>
    </row>
    <row r="5964" spans="1:5">
      <c r="A5964" s="12"/>
      <c r="E5964" s="57" t="str">
        <f ca="1">IFERROR(__xludf.DUMMYFUNCTION("""COMPUTED_VALUE"""),"")</f>
        <v/>
      </c>
    </row>
    <row r="5965" spans="1:5">
      <c r="A5965" s="12"/>
      <c r="E5965" s="57" t="str">
        <f ca="1">IFERROR(__xludf.DUMMYFUNCTION("""COMPUTED_VALUE"""),"")</f>
        <v/>
      </c>
    </row>
    <row r="5966" spans="1:5">
      <c r="A5966" s="12"/>
      <c r="E5966" s="57" t="str">
        <f ca="1">IFERROR(__xludf.DUMMYFUNCTION("""COMPUTED_VALUE"""),"")</f>
        <v/>
      </c>
    </row>
    <row r="5967" spans="1:5">
      <c r="A5967" s="12"/>
      <c r="E5967" s="57" t="str">
        <f ca="1">IFERROR(__xludf.DUMMYFUNCTION("""COMPUTED_VALUE"""),"")</f>
        <v/>
      </c>
    </row>
    <row r="5968" spans="1:5">
      <c r="A5968" s="12"/>
      <c r="E5968" s="57" t="str">
        <f ca="1">IFERROR(__xludf.DUMMYFUNCTION("""COMPUTED_VALUE"""),"")</f>
        <v/>
      </c>
    </row>
    <row r="5969" spans="1:5">
      <c r="A5969" s="12"/>
      <c r="E5969" s="57" t="str">
        <f ca="1">IFERROR(__xludf.DUMMYFUNCTION("""COMPUTED_VALUE"""),"")</f>
        <v/>
      </c>
    </row>
    <row r="5970" spans="1:5">
      <c r="A5970" s="12"/>
      <c r="E5970" s="57" t="str">
        <f ca="1">IFERROR(__xludf.DUMMYFUNCTION("""COMPUTED_VALUE"""),"")</f>
        <v/>
      </c>
    </row>
    <row r="5971" spans="1:5">
      <c r="A5971" s="12"/>
      <c r="E5971" s="57" t="str">
        <f ca="1">IFERROR(__xludf.DUMMYFUNCTION("""COMPUTED_VALUE"""),"")</f>
        <v/>
      </c>
    </row>
    <row r="5972" spans="1:5">
      <c r="A5972" s="12"/>
      <c r="E5972" s="57" t="str">
        <f ca="1">IFERROR(__xludf.DUMMYFUNCTION("""COMPUTED_VALUE"""),"")</f>
        <v/>
      </c>
    </row>
    <row r="5973" spans="1:5">
      <c r="A5973" s="12"/>
      <c r="E5973" s="57" t="str">
        <f ca="1">IFERROR(__xludf.DUMMYFUNCTION("""COMPUTED_VALUE"""),"")</f>
        <v/>
      </c>
    </row>
    <row r="5974" spans="1:5">
      <c r="A5974" s="12"/>
      <c r="E5974" s="57" t="str">
        <f ca="1">IFERROR(__xludf.DUMMYFUNCTION("""COMPUTED_VALUE"""),"")</f>
        <v/>
      </c>
    </row>
    <row r="5975" spans="1:5">
      <c r="A5975" s="12"/>
      <c r="E5975" s="57" t="str">
        <f ca="1">IFERROR(__xludf.DUMMYFUNCTION("""COMPUTED_VALUE"""),"")</f>
        <v/>
      </c>
    </row>
    <row r="5976" spans="1:5">
      <c r="A5976" s="12"/>
      <c r="E5976" s="57" t="str">
        <f ca="1">IFERROR(__xludf.DUMMYFUNCTION("""COMPUTED_VALUE"""),"")</f>
        <v/>
      </c>
    </row>
    <row r="5977" spans="1:5">
      <c r="A5977" s="12"/>
      <c r="E5977" s="57" t="str">
        <f ca="1">IFERROR(__xludf.DUMMYFUNCTION("""COMPUTED_VALUE"""),"")</f>
        <v/>
      </c>
    </row>
    <row r="5978" spans="1:5">
      <c r="A5978" s="12"/>
      <c r="E5978" s="57" t="str">
        <f ca="1">IFERROR(__xludf.DUMMYFUNCTION("""COMPUTED_VALUE"""),"")</f>
        <v/>
      </c>
    </row>
    <row r="5979" spans="1:5">
      <c r="A5979" s="12"/>
      <c r="E5979" s="57" t="str">
        <f ca="1">IFERROR(__xludf.DUMMYFUNCTION("""COMPUTED_VALUE"""),"")</f>
        <v/>
      </c>
    </row>
    <row r="5980" spans="1:5">
      <c r="A5980" s="12"/>
      <c r="E5980" s="57" t="str">
        <f ca="1">IFERROR(__xludf.DUMMYFUNCTION("""COMPUTED_VALUE"""),"")</f>
        <v/>
      </c>
    </row>
    <row r="5981" spans="1:5">
      <c r="A5981" s="12"/>
      <c r="E5981" s="57" t="str">
        <f ca="1">IFERROR(__xludf.DUMMYFUNCTION("""COMPUTED_VALUE"""),"")</f>
        <v/>
      </c>
    </row>
    <row r="5982" spans="1:5">
      <c r="A5982" s="12"/>
      <c r="E5982" s="57" t="str">
        <f ca="1">IFERROR(__xludf.DUMMYFUNCTION("""COMPUTED_VALUE"""),"")</f>
        <v/>
      </c>
    </row>
    <row r="5983" spans="1:5">
      <c r="A5983" s="12"/>
      <c r="E5983" s="57" t="str">
        <f ca="1">IFERROR(__xludf.DUMMYFUNCTION("""COMPUTED_VALUE"""),"")</f>
        <v/>
      </c>
    </row>
    <row r="5984" spans="1:5">
      <c r="A5984" s="12"/>
      <c r="E5984" s="57" t="str">
        <f ca="1">IFERROR(__xludf.DUMMYFUNCTION("""COMPUTED_VALUE"""),"")</f>
        <v/>
      </c>
    </row>
    <row r="5985" spans="1:5">
      <c r="A5985" s="12"/>
      <c r="E5985" s="57" t="str">
        <f ca="1">IFERROR(__xludf.DUMMYFUNCTION("""COMPUTED_VALUE"""),"")</f>
        <v/>
      </c>
    </row>
    <row r="5986" spans="1:5">
      <c r="A5986" s="12"/>
      <c r="E5986" s="57" t="str">
        <f ca="1">IFERROR(__xludf.DUMMYFUNCTION("""COMPUTED_VALUE"""),"")</f>
        <v/>
      </c>
    </row>
    <row r="5987" spans="1:5">
      <c r="A5987" s="12"/>
      <c r="E5987" s="57" t="str">
        <f ca="1">IFERROR(__xludf.DUMMYFUNCTION("""COMPUTED_VALUE"""),"")</f>
        <v/>
      </c>
    </row>
    <row r="5988" spans="1:5">
      <c r="A5988" s="12"/>
      <c r="E5988" s="57" t="str">
        <f ca="1">IFERROR(__xludf.DUMMYFUNCTION("""COMPUTED_VALUE"""),"")</f>
        <v/>
      </c>
    </row>
    <row r="5989" spans="1:5">
      <c r="A5989" s="12"/>
      <c r="E5989" s="57" t="str">
        <f ca="1">IFERROR(__xludf.DUMMYFUNCTION("""COMPUTED_VALUE"""),"")</f>
        <v/>
      </c>
    </row>
    <row r="5990" spans="1:5">
      <c r="A5990" s="12"/>
      <c r="E5990" s="57" t="str">
        <f ca="1">IFERROR(__xludf.DUMMYFUNCTION("""COMPUTED_VALUE"""),"")</f>
        <v/>
      </c>
    </row>
    <row r="5991" spans="1:5">
      <c r="A5991" s="12"/>
      <c r="E5991" s="57" t="str">
        <f ca="1">IFERROR(__xludf.DUMMYFUNCTION("""COMPUTED_VALUE"""),"")</f>
        <v/>
      </c>
    </row>
    <row r="5992" spans="1:5">
      <c r="A5992" s="12"/>
      <c r="E5992" s="57" t="str">
        <f ca="1">IFERROR(__xludf.DUMMYFUNCTION("""COMPUTED_VALUE"""),"")</f>
        <v/>
      </c>
    </row>
    <row r="5993" spans="1:5">
      <c r="A5993" s="12"/>
      <c r="E5993" s="57" t="str">
        <f ca="1">IFERROR(__xludf.DUMMYFUNCTION("""COMPUTED_VALUE"""),"")</f>
        <v/>
      </c>
    </row>
    <row r="5994" spans="1:5">
      <c r="A5994" s="12"/>
      <c r="E5994" s="57" t="str">
        <f ca="1">IFERROR(__xludf.DUMMYFUNCTION("""COMPUTED_VALUE"""),"")</f>
        <v/>
      </c>
    </row>
    <row r="5995" spans="1:5">
      <c r="A5995" s="12"/>
      <c r="E5995" s="57" t="str">
        <f ca="1">IFERROR(__xludf.DUMMYFUNCTION("""COMPUTED_VALUE"""),"")</f>
        <v/>
      </c>
    </row>
    <row r="5996" spans="1:5">
      <c r="A5996" s="12"/>
      <c r="E5996" s="57" t="str">
        <f ca="1">IFERROR(__xludf.DUMMYFUNCTION("""COMPUTED_VALUE"""),"")</f>
        <v/>
      </c>
    </row>
    <row r="5997" spans="1:5">
      <c r="A5997" s="12"/>
      <c r="E5997" s="57" t="str">
        <f ca="1">IFERROR(__xludf.DUMMYFUNCTION("""COMPUTED_VALUE"""),"")</f>
        <v/>
      </c>
    </row>
    <row r="5998" spans="1:5">
      <c r="A5998" s="12"/>
      <c r="E5998" s="57" t="str">
        <f ca="1">IFERROR(__xludf.DUMMYFUNCTION("""COMPUTED_VALUE"""),"")</f>
        <v/>
      </c>
    </row>
    <row r="5999" spans="1:5">
      <c r="A5999" s="12"/>
      <c r="E5999" s="57" t="str">
        <f ca="1">IFERROR(__xludf.DUMMYFUNCTION("""COMPUTED_VALUE"""),"")</f>
        <v/>
      </c>
    </row>
    <row r="6000" spans="1:5">
      <c r="A6000" s="12"/>
      <c r="E6000" s="57" t="str">
        <f ca="1">IFERROR(__xludf.DUMMYFUNCTION("""COMPUTED_VALUE"""),"")</f>
        <v/>
      </c>
    </row>
    <row r="6001" spans="1:5">
      <c r="A6001" s="12"/>
      <c r="E6001" s="57" t="str">
        <f ca="1">IFERROR(__xludf.DUMMYFUNCTION("""COMPUTED_VALUE"""),"")</f>
        <v/>
      </c>
    </row>
    <row r="6002" spans="1:5">
      <c r="A6002" s="12"/>
      <c r="E6002" s="57" t="str">
        <f ca="1">IFERROR(__xludf.DUMMYFUNCTION("""COMPUTED_VALUE"""),"")</f>
        <v/>
      </c>
    </row>
    <row r="6003" spans="1:5">
      <c r="A6003" s="12"/>
      <c r="E6003" s="57" t="str">
        <f ca="1">IFERROR(__xludf.DUMMYFUNCTION("""COMPUTED_VALUE"""),"")</f>
        <v/>
      </c>
    </row>
    <row r="6004" spans="1:5">
      <c r="A6004" s="12"/>
      <c r="E6004" s="57" t="str">
        <f ca="1">IFERROR(__xludf.DUMMYFUNCTION("""COMPUTED_VALUE"""),"")</f>
        <v/>
      </c>
    </row>
    <row r="6005" spans="1:5">
      <c r="A6005" s="12"/>
      <c r="E6005" s="57" t="str">
        <f ca="1">IFERROR(__xludf.DUMMYFUNCTION("""COMPUTED_VALUE"""),"")</f>
        <v/>
      </c>
    </row>
    <row r="6006" spans="1:5">
      <c r="A6006" s="12"/>
      <c r="E6006" s="57" t="str">
        <f ca="1">IFERROR(__xludf.DUMMYFUNCTION("""COMPUTED_VALUE"""),"")</f>
        <v/>
      </c>
    </row>
    <row r="6007" spans="1:5">
      <c r="A6007" s="12"/>
      <c r="E6007" s="57" t="str">
        <f ca="1">IFERROR(__xludf.DUMMYFUNCTION("""COMPUTED_VALUE"""),"")</f>
        <v/>
      </c>
    </row>
    <row r="6008" spans="1:5">
      <c r="A6008" s="12"/>
      <c r="E6008" s="57" t="str">
        <f ca="1">IFERROR(__xludf.DUMMYFUNCTION("""COMPUTED_VALUE"""),"")</f>
        <v/>
      </c>
    </row>
    <row r="6009" spans="1:5">
      <c r="A6009" s="12"/>
      <c r="E6009" s="57" t="str">
        <f ca="1">IFERROR(__xludf.DUMMYFUNCTION("""COMPUTED_VALUE"""),"")</f>
        <v/>
      </c>
    </row>
    <row r="6010" spans="1:5">
      <c r="A6010" s="12"/>
      <c r="E6010" s="57" t="str">
        <f ca="1">IFERROR(__xludf.DUMMYFUNCTION("""COMPUTED_VALUE"""),"")</f>
        <v/>
      </c>
    </row>
    <row r="6011" spans="1:5">
      <c r="A6011" s="12"/>
      <c r="E6011" s="57" t="str">
        <f ca="1">IFERROR(__xludf.DUMMYFUNCTION("""COMPUTED_VALUE"""),"")</f>
        <v/>
      </c>
    </row>
    <row r="6012" spans="1:5">
      <c r="A6012" s="12"/>
      <c r="E6012" s="57" t="str">
        <f ca="1">IFERROR(__xludf.DUMMYFUNCTION("""COMPUTED_VALUE"""),"")</f>
        <v/>
      </c>
    </row>
    <row r="6013" spans="1:5">
      <c r="A6013" s="12"/>
      <c r="E6013" s="57" t="str">
        <f ca="1">IFERROR(__xludf.DUMMYFUNCTION("""COMPUTED_VALUE"""),"")</f>
        <v/>
      </c>
    </row>
    <row r="6014" spans="1:5">
      <c r="A6014" s="12"/>
      <c r="E6014" s="57" t="str">
        <f ca="1">IFERROR(__xludf.DUMMYFUNCTION("""COMPUTED_VALUE"""),"")</f>
        <v/>
      </c>
    </row>
    <row r="6015" spans="1:5">
      <c r="A6015" s="12"/>
      <c r="E6015" s="57" t="str">
        <f ca="1">IFERROR(__xludf.DUMMYFUNCTION("""COMPUTED_VALUE"""),"")</f>
        <v/>
      </c>
    </row>
    <row r="6016" spans="1:5">
      <c r="A6016" s="12"/>
      <c r="E6016" s="57" t="str">
        <f ca="1">IFERROR(__xludf.DUMMYFUNCTION("""COMPUTED_VALUE"""),"")</f>
        <v/>
      </c>
    </row>
    <row r="6017" spans="1:5">
      <c r="A6017" s="12"/>
      <c r="E6017" s="57" t="str">
        <f ca="1">IFERROR(__xludf.DUMMYFUNCTION("""COMPUTED_VALUE"""),"")</f>
        <v/>
      </c>
    </row>
    <row r="6018" spans="1:5">
      <c r="A6018" s="12"/>
      <c r="E6018" s="57" t="str">
        <f ca="1">IFERROR(__xludf.DUMMYFUNCTION("""COMPUTED_VALUE"""),"")</f>
        <v/>
      </c>
    </row>
    <row r="6019" spans="1:5">
      <c r="A6019" s="12"/>
      <c r="E6019" s="57" t="str">
        <f ca="1">IFERROR(__xludf.DUMMYFUNCTION("""COMPUTED_VALUE"""),"")</f>
        <v/>
      </c>
    </row>
    <row r="6020" spans="1:5">
      <c r="A6020" s="12"/>
      <c r="E6020" s="57" t="str">
        <f ca="1">IFERROR(__xludf.DUMMYFUNCTION("""COMPUTED_VALUE"""),"")</f>
        <v/>
      </c>
    </row>
    <row r="6021" spans="1:5">
      <c r="A6021" s="12"/>
      <c r="E6021" s="57" t="str">
        <f ca="1">IFERROR(__xludf.DUMMYFUNCTION("""COMPUTED_VALUE"""),"")</f>
        <v/>
      </c>
    </row>
    <row r="6022" spans="1:5">
      <c r="A6022" s="12"/>
      <c r="E6022" s="57" t="str">
        <f ca="1">IFERROR(__xludf.DUMMYFUNCTION("""COMPUTED_VALUE"""),"")</f>
        <v/>
      </c>
    </row>
    <row r="6023" spans="1:5">
      <c r="A6023" s="12"/>
      <c r="E6023" s="57" t="str">
        <f ca="1">IFERROR(__xludf.DUMMYFUNCTION("""COMPUTED_VALUE"""),"")</f>
        <v/>
      </c>
    </row>
    <row r="6024" spans="1:5">
      <c r="A6024" s="12"/>
      <c r="E6024" s="57" t="str">
        <f ca="1">IFERROR(__xludf.DUMMYFUNCTION("""COMPUTED_VALUE"""),"")</f>
        <v/>
      </c>
    </row>
    <row r="6025" spans="1:5">
      <c r="A6025" s="12"/>
      <c r="E6025" s="57" t="str">
        <f ca="1">IFERROR(__xludf.DUMMYFUNCTION("""COMPUTED_VALUE"""),"")</f>
        <v/>
      </c>
    </row>
    <row r="6026" spans="1:5">
      <c r="A6026" s="12"/>
      <c r="E6026" s="57" t="str">
        <f ca="1">IFERROR(__xludf.DUMMYFUNCTION("""COMPUTED_VALUE"""),"")</f>
        <v/>
      </c>
    </row>
    <row r="6027" spans="1:5">
      <c r="A6027" s="12"/>
      <c r="E6027" s="57" t="str">
        <f ca="1">IFERROR(__xludf.DUMMYFUNCTION("""COMPUTED_VALUE"""),"")</f>
        <v/>
      </c>
    </row>
    <row r="6028" spans="1:5">
      <c r="A6028" s="12"/>
      <c r="E6028" s="57" t="str">
        <f ca="1">IFERROR(__xludf.DUMMYFUNCTION("""COMPUTED_VALUE"""),"")</f>
        <v/>
      </c>
    </row>
    <row r="6029" spans="1:5">
      <c r="A6029" s="12"/>
      <c r="E6029" s="57" t="str">
        <f ca="1">IFERROR(__xludf.DUMMYFUNCTION("""COMPUTED_VALUE"""),"")</f>
        <v/>
      </c>
    </row>
    <row r="6030" spans="1:5">
      <c r="A6030" s="12"/>
      <c r="E6030" s="57" t="str">
        <f ca="1">IFERROR(__xludf.DUMMYFUNCTION("""COMPUTED_VALUE"""),"")</f>
        <v/>
      </c>
    </row>
    <row r="6031" spans="1:5">
      <c r="A6031" s="12"/>
      <c r="E6031" s="57" t="str">
        <f ca="1">IFERROR(__xludf.DUMMYFUNCTION("""COMPUTED_VALUE"""),"")</f>
        <v/>
      </c>
    </row>
    <row r="6032" spans="1:5">
      <c r="A6032" s="12"/>
      <c r="E6032" s="57" t="str">
        <f ca="1">IFERROR(__xludf.DUMMYFUNCTION("""COMPUTED_VALUE"""),"")</f>
        <v/>
      </c>
    </row>
    <row r="6033" spans="1:5">
      <c r="A6033" s="12"/>
      <c r="E6033" s="57" t="str">
        <f ca="1">IFERROR(__xludf.DUMMYFUNCTION("""COMPUTED_VALUE"""),"")</f>
        <v/>
      </c>
    </row>
    <row r="6034" spans="1:5">
      <c r="A6034" s="12"/>
      <c r="E6034" s="57" t="str">
        <f ca="1">IFERROR(__xludf.DUMMYFUNCTION("""COMPUTED_VALUE"""),"")</f>
        <v/>
      </c>
    </row>
    <row r="6035" spans="1:5">
      <c r="A6035" s="12"/>
      <c r="E6035" s="57" t="str">
        <f ca="1">IFERROR(__xludf.DUMMYFUNCTION("""COMPUTED_VALUE"""),"")</f>
        <v/>
      </c>
    </row>
    <row r="6036" spans="1:5">
      <c r="A6036" s="12"/>
      <c r="E6036" s="57" t="str">
        <f ca="1">IFERROR(__xludf.DUMMYFUNCTION("""COMPUTED_VALUE"""),"")</f>
        <v/>
      </c>
    </row>
    <row r="6037" spans="1:5">
      <c r="A6037" s="12"/>
      <c r="E6037" s="57" t="str">
        <f ca="1">IFERROR(__xludf.DUMMYFUNCTION("""COMPUTED_VALUE"""),"")</f>
        <v/>
      </c>
    </row>
    <row r="6038" spans="1:5">
      <c r="A6038" s="12"/>
      <c r="E6038" s="57" t="str">
        <f ca="1">IFERROR(__xludf.DUMMYFUNCTION("""COMPUTED_VALUE"""),"")</f>
        <v/>
      </c>
    </row>
    <row r="6039" spans="1:5">
      <c r="A6039" s="12"/>
      <c r="E6039" s="57" t="str">
        <f ca="1">IFERROR(__xludf.DUMMYFUNCTION("""COMPUTED_VALUE"""),"")</f>
        <v/>
      </c>
    </row>
    <row r="6040" spans="1:5">
      <c r="A6040" s="12"/>
      <c r="E6040" s="57" t="str">
        <f ca="1">IFERROR(__xludf.DUMMYFUNCTION("""COMPUTED_VALUE"""),"")</f>
        <v/>
      </c>
    </row>
    <row r="6041" spans="1:5">
      <c r="A6041" s="12"/>
      <c r="E6041" s="57" t="str">
        <f ca="1">IFERROR(__xludf.DUMMYFUNCTION("""COMPUTED_VALUE"""),"")</f>
        <v/>
      </c>
    </row>
    <row r="6042" spans="1:5">
      <c r="A6042" s="12"/>
      <c r="E6042" s="57" t="str">
        <f ca="1">IFERROR(__xludf.DUMMYFUNCTION("""COMPUTED_VALUE"""),"")</f>
        <v/>
      </c>
    </row>
    <row r="6043" spans="1:5">
      <c r="A6043" s="12"/>
      <c r="E6043" s="57" t="str">
        <f ca="1">IFERROR(__xludf.DUMMYFUNCTION("""COMPUTED_VALUE"""),"")</f>
        <v/>
      </c>
    </row>
    <row r="6044" spans="1:5">
      <c r="A6044" s="12"/>
      <c r="E6044" s="57" t="str">
        <f ca="1">IFERROR(__xludf.DUMMYFUNCTION("""COMPUTED_VALUE"""),"")</f>
        <v/>
      </c>
    </row>
    <row r="6045" spans="1:5">
      <c r="A6045" s="12"/>
      <c r="E6045" s="57" t="str">
        <f ca="1">IFERROR(__xludf.DUMMYFUNCTION("""COMPUTED_VALUE"""),"")</f>
        <v/>
      </c>
    </row>
    <row r="6046" spans="1:5">
      <c r="A6046" s="12"/>
      <c r="E6046" s="57" t="str">
        <f ca="1">IFERROR(__xludf.DUMMYFUNCTION("""COMPUTED_VALUE"""),"")</f>
        <v/>
      </c>
    </row>
    <row r="6047" spans="1:5">
      <c r="A6047" s="12"/>
      <c r="E6047" s="57" t="str">
        <f ca="1">IFERROR(__xludf.DUMMYFUNCTION("""COMPUTED_VALUE"""),"")</f>
        <v/>
      </c>
    </row>
    <row r="6048" spans="1:5">
      <c r="A6048" s="12"/>
      <c r="E6048" s="57" t="str">
        <f ca="1">IFERROR(__xludf.DUMMYFUNCTION("""COMPUTED_VALUE"""),"")</f>
        <v/>
      </c>
    </row>
    <row r="6049" spans="1:5">
      <c r="A6049" s="12"/>
      <c r="E6049" s="57" t="str">
        <f ca="1">IFERROR(__xludf.DUMMYFUNCTION("""COMPUTED_VALUE"""),"")</f>
        <v/>
      </c>
    </row>
    <row r="6050" spans="1:5">
      <c r="A6050" s="12"/>
      <c r="E6050" s="57" t="str">
        <f ca="1">IFERROR(__xludf.DUMMYFUNCTION("""COMPUTED_VALUE"""),"")</f>
        <v/>
      </c>
    </row>
    <row r="6051" spans="1:5">
      <c r="A6051" s="12"/>
      <c r="E6051" s="57" t="str">
        <f ca="1">IFERROR(__xludf.DUMMYFUNCTION("""COMPUTED_VALUE"""),"")</f>
        <v/>
      </c>
    </row>
    <row r="6052" spans="1:5">
      <c r="A6052" s="12"/>
      <c r="E6052" s="57" t="str">
        <f ca="1">IFERROR(__xludf.DUMMYFUNCTION("""COMPUTED_VALUE"""),"")</f>
        <v/>
      </c>
    </row>
    <row r="6053" spans="1:5">
      <c r="A6053" s="12"/>
      <c r="E6053" s="57" t="str">
        <f ca="1">IFERROR(__xludf.DUMMYFUNCTION("""COMPUTED_VALUE"""),"")</f>
        <v/>
      </c>
    </row>
    <row r="6054" spans="1:5">
      <c r="A6054" s="12"/>
      <c r="E6054" s="57" t="str">
        <f ca="1">IFERROR(__xludf.DUMMYFUNCTION("""COMPUTED_VALUE"""),"")</f>
        <v/>
      </c>
    </row>
    <row r="6055" spans="1:5">
      <c r="A6055" s="12"/>
      <c r="E6055" s="57" t="str">
        <f ca="1">IFERROR(__xludf.DUMMYFUNCTION("""COMPUTED_VALUE"""),"")</f>
        <v/>
      </c>
    </row>
    <row r="6056" spans="1:5">
      <c r="A6056" s="12"/>
      <c r="E6056" s="57" t="str">
        <f ca="1">IFERROR(__xludf.DUMMYFUNCTION("""COMPUTED_VALUE"""),"")</f>
        <v/>
      </c>
    </row>
    <row r="6057" spans="1:5">
      <c r="A6057" s="12"/>
      <c r="E6057" s="57" t="str">
        <f ca="1">IFERROR(__xludf.DUMMYFUNCTION("""COMPUTED_VALUE"""),"")</f>
        <v/>
      </c>
    </row>
    <row r="6058" spans="1:5">
      <c r="A6058" s="12"/>
      <c r="E6058" s="57" t="str">
        <f ca="1">IFERROR(__xludf.DUMMYFUNCTION("""COMPUTED_VALUE"""),"")</f>
        <v/>
      </c>
    </row>
    <row r="6059" spans="1:5">
      <c r="A6059" s="12"/>
      <c r="E6059" s="57" t="str">
        <f ca="1">IFERROR(__xludf.DUMMYFUNCTION("""COMPUTED_VALUE"""),"")</f>
        <v/>
      </c>
    </row>
    <row r="6060" spans="1:5">
      <c r="A6060" s="12"/>
      <c r="E6060" s="57" t="str">
        <f ca="1">IFERROR(__xludf.DUMMYFUNCTION("""COMPUTED_VALUE"""),"")</f>
        <v/>
      </c>
    </row>
    <row r="6061" spans="1:5">
      <c r="A6061" s="12"/>
      <c r="E6061" s="57" t="str">
        <f ca="1">IFERROR(__xludf.DUMMYFUNCTION("""COMPUTED_VALUE"""),"")</f>
        <v/>
      </c>
    </row>
    <row r="6062" spans="1:5">
      <c r="A6062" s="12"/>
      <c r="E6062" s="57" t="str">
        <f ca="1">IFERROR(__xludf.DUMMYFUNCTION("""COMPUTED_VALUE"""),"")</f>
        <v/>
      </c>
    </row>
    <row r="6063" spans="1:5">
      <c r="A6063" s="12"/>
      <c r="E6063" s="57" t="str">
        <f ca="1">IFERROR(__xludf.DUMMYFUNCTION("""COMPUTED_VALUE"""),"")</f>
        <v/>
      </c>
    </row>
    <row r="6064" spans="1:5">
      <c r="A6064" s="12"/>
      <c r="E6064" s="57" t="str">
        <f ca="1">IFERROR(__xludf.DUMMYFUNCTION("""COMPUTED_VALUE"""),"")</f>
        <v/>
      </c>
    </row>
    <row r="6065" spans="1:5">
      <c r="A6065" s="12"/>
      <c r="E6065" s="57" t="str">
        <f ca="1">IFERROR(__xludf.DUMMYFUNCTION("""COMPUTED_VALUE"""),"")</f>
        <v/>
      </c>
    </row>
    <row r="6066" spans="1:5">
      <c r="A6066" s="12"/>
      <c r="E6066" s="57" t="str">
        <f ca="1">IFERROR(__xludf.DUMMYFUNCTION("""COMPUTED_VALUE"""),"")</f>
        <v/>
      </c>
    </row>
    <row r="6067" spans="1:5">
      <c r="A6067" s="12"/>
      <c r="E6067" s="57" t="str">
        <f ca="1">IFERROR(__xludf.DUMMYFUNCTION("""COMPUTED_VALUE"""),"")</f>
        <v/>
      </c>
    </row>
    <row r="6068" spans="1:5">
      <c r="A6068" s="12"/>
      <c r="E6068" s="57" t="str">
        <f ca="1">IFERROR(__xludf.DUMMYFUNCTION("""COMPUTED_VALUE"""),"")</f>
        <v/>
      </c>
    </row>
    <row r="6069" spans="1:5">
      <c r="A6069" s="12"/>
      <c r="E6069" s="57" t="str">
        <f ca="1">IFERROR(__xludf.DUMMYFUNCTION("""COMPUTED_VALUE"""),"")</f>
        <v/>
      </c>
    </row>
    <row r="6070" spans="1:5">
      <c r="A6070" s="12"/>
      <c r="E6070" s="57" t="str">
        <f ca="1">IFERROR(__xludf.DUMMYFUNCTION("""COMPUTED_VALUE"""),"")</f>
        <v/>
      </c>
    </row>
    <row r="6071" spans="1:5">
      <c r="A6071" s="12"/>
      <c r="E6071" s="57" t="str">
        <f ca="1">IFERROR(__xludf.DUMMYFUNCTION("""COMPUTED_VALUE"""),"")</f>
        <v/>
      </c>
    </row>
    <row r="6072" spans="1:5">
      <c r="A6072" s="12"/>
      <c r="E6072" s="57" t="str">
        <f ca="1">IFERROR(__xludf.DUMMYFUNCTION("""COMPUTED_VALUE"""),"")</f>
        <v/>
      </c>
    </row>
    <row r="6073" spans="1:5">
      <c r="A6073" s="12"/>
      <c r="E6073" s="57" t="str">
        <f ca="1">IFERROR(__xludf.DUMMYFUNCTION("""COMPUTED_VALUE"""),"")</f>
        <v/>
      </c>
    </row>
    <row r="6074" spans="1:5">
      <c r="A6074" s="12"/>
      <c r="E6074" s="57" t="str">
        <f ca="1">IFERROR(__xludf.DUMMYFUNCTION("""COMPUTED_VALUE"""),"")</f>
        <v/>
      </c>
    </row>
    <row r="6075" spans="1:5">
      <c r="A6075" s="12"/>
      <c r="E6075" s="57" t="str">
        <f ca="1">IFERROR(__xludf.DUMMYFUNCTION("""COMPUTED_VALUE"""),"")</f>
        <v/>
      </c>
    </row>
    <row r="6076" spans="1:5">
      <c r="A6076" s="12"/>
      <c r="E6076" s="57" t="str">
        <f ca="1">IFERROR(__xludf.DUMMYFUNCTION("""COMPUTED_VALUE"""),"")</f>
        <v/>
      </c>
    </row>
    <row r="6077" spans="1:5">
      <c r="A6077" s="12"/>
      <c r="E6077" s="57" t="str">
        <f ca="1">IFERROR(__xludf.DUMMYFUNCTION("""COMPUTED_VALUE"""),"")</f>
        <v/>
      </c>
    </row>
    <row r="6078" spans="1:5">
      <c r="A6078" s="12"/>
      <c r="E6078" s="57" t="str">
        <f ca="1">IFERROR(__xludf.DUMMYFUNCTION("""COMPUTED_VALUE"""),"")</f>
        <v/>
      </c>
    </row>
    <row r="6079" spans="1:5">
      <c r="A6079" s="12"/>
      <c r="E6079" s="57" t="str">
        <f ca="1">IFERROR(__xludf.DUMMYFUNCTION("""COMPUTED_VALUE"""),"")</f>
        <v/>
      </c>
    </row>
    <row r="6080" spans="1:5">
      <c r="A6080" s="12"/>
      <c r="E6080" s="57" t="str">
        <f ca="1">IFERROR(__xludf.DUMMYFUNCTION("""COMPUTED_VALUE"""),"")</f>
        <v/>
      </c>
    </row>
    <row r="6081" spans="1:5">
      <c r="A6081" s="12"/>
      <c r="E6081" s="57" t="str">
        <f ca="1">IFERROR(__xludf.DUMMYFUNCTION("""COMPUTED_VALUE"""),"")</f>
        <v/>
      </c>
    </row>
    <row r="6082" spans="1:5">
      <c r="A6082" s="12"/>
      <c r="E6082" s="57" t="str">
        <f ca="1">IFERROR(__xludf.DUMMYFUNCTION("""COMPUTED_VALUE"""),"")</f>
        <v/>
      </c>
    </row>
    <row r="6083" spans="1:5">
      <c r="A6083" s="12"/>
      <c r="E6083" s="57" t="str">
        <f ca="1">IFERROR(__xludf.DUMMYFUNCTION("""COMPUTED_VALUE"""),"")</f>
        <v/>
      </c>
    </row>
    <row r="6084" spans="1:5">
      <c r="A6084" s="12"/>
      <c r="E6084" s="57" t="str">
        <f ca="1">IFERROR(__xludf.DUMMYFUNCTION("""COMPUTED_VALUE"""),"")</f>
        <v/>
      </c>
    </row>
    <row r="6085" spans="1:5">
      <c r="A6085" s="12"/>
      <c r="E6085" s="57" t="str">
        <f ca="1">IFERROR(__xludf.DUMMYFUNCTION("""COMPUTED_VALUE"""),"")</f>
        <v/>
      </c>
    </row>
    <row r="6086" spans="1:5">
      <c r="A6086" s="12"/>
      <c r="E6086" s="57" t="str">
        <f ca="1">IFERROR(__xludf.DUMMYFUNCTION("""COMPUTED_VALUE"""),"")</f>
        <v/>
      </c>
    </row>
    <row r="6087" spans="1:5">
      <c r="A6087" s="12"/>
      <c r="E6087" s="57" t="str">
        <f ca="1">IFERROR(__xludf.DUMMYFUNCTION("""COMPUTED_VALUE"""),"")</f>
        <v/>
      </c>
    </row>
    <row r="6088" spans="1:5">
      <c r="A6088" s="12"/>
      <c r="E6088" s="57" t="str">
        <f ca="1">IFERROR(__xludf.DUMMYFUNCTION("""COMPUTED_VALUE"""),"")</f>
        <v/>
      </c>
    </row>
    <row r="6089" spans="1:5">
      <c r="A6089" s="12"/>
      <c r="E6089" s="57" t="str">
        <f ca="1">IFERROR(__xludf.DUMMYFUNCTION("""COMPUTED_VALUE"""),"")</f>
        <v/>
      </c>
    </row>
    <row r="6090" spans="1:5">
      <c r="A6090" s="12"/>
      <c r="E6090" s="57" t="str">
        <f ca="1">IFERROR(__xludf.DUMMYFUNCTION("""COMPUTED_VALUE"""),"")</f>
        <v/>
      </c>
    </row>
    <row r="6091" spans="1:5">
      <c r="A6091" s="12"/>
      <c r="E6091" s="57" t="str">
        <f ca="1">IFERROR(__xludf.DUMMYFUNCTION("""COMPUTED_VALUE"""),"")</f>
        <v/>
      </c>
    </row>
    <row r="6092" spans="1:5">
      <c r="A6092" s="12"/>
      <c r="E6092" s="57" t="str">
        <f ca="1">IFERROR(__xludf.DUMMYFUNCTION("""COMPUTED_VALUE"""),"")</f>
        <v/>
      </c>
    </row>
    <row r="6093" spans="1:5">
      <c r="A6093" s="12"/>
      <c r="E6093" s="57" t="str">
        <f ca="1">IFERROR(__xludf.DUMMYFUNCTION("""COMPUTED_VALUE"""),"")</f>
        <v/>
      </c>
    </row>
    <row r="6094" spans="1:5">
      <c r="A6094" s="12"/>
      <c r="E6094" s="57" t="str">
        <f ca="1">IFERROR(__xludf.DUMMYFUNCTION("""COMPUTED_VALUE"""),"")</f>
        <v/>
      </c>
    </row>
    <row r="6095" spans="1:5">
      <c r="A6095" s="12"/>
      <c r="E6095" s="57" t="str">
        <f ca="1">IFERROR(__xludf.DUMMYFUNCTION("""COMPUTED_VALUE"""),"")</f>
        <v/>
      </c>
    </row>
    <row r="6096" spans="1:5">
      <c r="A6096" s="12"/>
      <c r="E6096" s="57" t="str">
        <f ca="1">IFERROR(__xludf.DUMMYFUNCTION("""COMPUTED_VALUE"""),"")</f>
        <v/>
      </c>
    </row>
    <row r="6097" spans="1:5">
      <c r="A6097" s="12"/>
      <c r="E6097" s="57" t="str">
        <f ca="1">IFERROR(__xludf.DUMMYFUNCTION("""COMPUTED_VALUE"""),"")</f>
        <v/>
      </c>
    </row>
    <row r="6098" spans="1:5">
      <c r="A6098" s="12"/>
      <c r="E6098" s="57" t="str">
        <f ca="1">IFERROR(__xludf.DUMMYFUNCTION("""COMPUTED_VALUE"""),"")</f>
        <v/>
      </c>
    </row>
    <row r="6099" spans="1:5">
      <c r="A6099" s="12"/>
      <c r="E6099" s="57" t="str">
        <f ca="1">IFERROR(__xludf.DUMMYFUNCTION("""COMPUTED_VALUE"""),"")</f>
        <v/>
      </c>
    </row>
    <row r="6100" spans="1:5">
      <c r="A6100" s="12"/>
      <c r="E6100" s="57" t="str">
        <f ca="1">IFERROR(__xludf.DUMMYFUNCTION("""COMPUTED_VALUE"""),"")</f>
        <v/>
      </c>
    </row>
    <row r="6101" spans="1:5">
      <c r="A6101" s="12"/>
      <c r="E6101" s="57" t="str">
        <f ca="1">IFERROR(__xludf.DUMMYFUNCTION("""COMPUTED_VALUE"""),"")</f>
        <v/>
      </c>
    </row>
    <row r="6102" spans="1:5">
      <c r="A6102" s="12"/>
      <c r="E6102" s="57" t="str">
        <f ca="1">IFERROR(__xludf.DUMMYFUNCTION("""COMPUTED_VALUE"""),"")</f>
        <v/>
      </c>
    </row>
    <row r="6103" spans="1:5">
      <c r="A6103" s="12"/>
      <c r="E6103" s="57" t="str">
        <f ca="1">IFERROR(__xludf.DUMMYFUNCTION("""COMPUTED_VALUE"""),"")</f>
        <v/>
      </c>
    </row>
    <row r="6104" spans="1:5">
      <c r="A6104" s="12"/>
      <c r="E6104" s="57" t="str">
        <f ca="1">IFERROR(__xludf.DUMMYFUNCTION("""COMPUTED_VALUE"""),"")</f>
        <v/>
      </c>
    </row>
    <row r="6105" spans="1:5">
      <c r="A6105" s="12"/>
      <c r="E6105" s="57" t="str">
        <f ca="1">IFERROR(__xludf.DUMMYFUNCTION("""COMPUTED_VALUE"""),"")</f>
        <v/>
      </c>
    </row>
    <row r="6106" spans="1:5">
      <c r="A6106" s="12"/>
      <c r="E6106" s="57" t="str">
        <f ca="1">IFERROR(__xludf.DUMMYFUNCTION("""COMPUTED_VALUE"""),"")</f>
        <v/>
      </c>
    </row>
    <row r="6107" spans="1:5">
      <c r="A6107" s="12"/>
      <c r="E6107" s="57" t="str">
        <f ca="1">IFERROR(__xludf.DUMMYFUNCTION("""COMPUTED_VALUE"""),"")</f>
        <v/>
      </c>
    </row>
    <row r="6108" spans="1:5">
      <c r="A6108" s="12"/>
      <c r="E6108" s="57" t="str">
        <f ca="1">IFERROR(__xludf.DUMMYFUNCTION("""COMPUTED_VALUE"""),"")</f>
        <v/>
      </c>
    </row>
    <row r="6109" spans="1:5">
      <c r="A6109" s="12"/>
      <c r="E6109" s="57" t="str">
        <f ca="1">IFERROR(__xludf.DUMMYFUNCTION("""COMPUTED_VALUE"""),"")</f>
        <v/>
      </c>
    </row>
    <row r="6110" spans="1:5">
      <c r="A6110" s="12"/>
      <c r="E6110" s="57" t="str">
        <f ca="1">IFERROR(__xludf.DUMMYFUNCTION("""COMPUTED_VALUE"""),"")</f>
        <v/>
      </c>
    </row>
    <row r="6111" spans="1:5">
      <c r="A6111" s="12"/>
      <c r="E6111" s="57" t="str">
        <f ca="1">IFERROR(__xludf.DUMMYFUNCTION("""COMPUTED_VALUE"""),"")</f>
        <v/>
      </c>
    </row>
    <row r="6112" spans="1:5">
      <c r="A6112" s="12"/>
      <c r="E6112" s="57" t="str">
        <f ca="1">IFERROR(__xludf.DUMMYFUNCTION("""COMPUTED_VALUE"""),"")</f>
        <v/>
      </c>
    </row>
    <row r="6113" spans="1:5">
      <c r="A6113" s="12"/>
      <c r="E6113" s="57" t="str">
        <f ca="1">IFERROR(__xludf.DUMMYFUNCTION("""COMPUTED_VALUE"""),"")</f>
        <v/>
      </c>
    </row>
    <row r="6114" spans="1:5">
      <c r="A6114" s="12"/>
      <c r="E6114" s="57" t="str">
        <f ca="1">IFERROR(__xludf.DUMMYFUNCTION("""COMPUTED_VALUE"""),"")</f>
        <v/>
      </c>
    </row>
    <row r="6115" spans="1:5">
      <c r="A6115" s="12"/>
      <c r="E6115" s="57" t="str">
        <f ca="1">IFERROR(__xludf.DUMMYFUNCTION("""COMPUTED_VALUE"""),"")</f>
        <v/>
      </c>
    </row>
    <row r="6116" spans="1:5">
      <c r="A6116" s="12"/>
      <c r="E6116" s="57" t="str">
        <f ca="1">IFERROR(__xludf.DUMMYFUNCTION("""COMPUTED_VALUE"""),"")</f>
        <v/>
      </c>
    </row>
    <row r="6117" spans="1:5">
      <c r="A6117" s="12"/>
      <c r="E6117" s="57" t="str">
        <f ca="1">IFERROR(__xludf.DUMMYFUNCTION("""COMPUTED_VALUE"""),"")</f>
        <v/>
      </c>
    </row>
    <row r="6118" spans="1:5">
      <c r="A6118" s="12"/>
      <c r="E6118" s="57" t="str">
        <f ca="1">IFERROR(__xludf.DUMMYFUNCTION("""COMPUTED_VALUE"""),"")</f>
        <v/>
      </c>
    </row>
    <row r="6119" spans="1:5">
      <c r="A6119" s="12"/>
      <c r="E6119" s="57" t="str">
        <f ca="1">IFERROR(__xludf.DUMMYFUNCTION("""COMPUTED_VALUE"""),"")</f>
        <v/>
      </c>
    </row>
    <row r="6120" spans="1:5">
      <c r="A6120" s="12"/>
      <c r="E6120" s="57" t="str">
        <f ca="1">IFERROR(__xludf.DUMMYFUNCTION("""COMPUTED_VALUE"""),"")</f>
        <v/>
      </c>
    </row>
    <row r="6121" spans="1:5">
      <c r="A6121" s="12"/>
      <c r="E6121" s="57" t="str">
        <f ca="1">IFERROR(__xludf.DUMMYFUNCTION("""COMPUTED_VALUE"""),"")</f>
        <v/>
      </c>
    </row>
    <row r="6122" spans="1:5">
      <c r="A6122" s="12"/>
      <c r="E6122" s="57" t="str">
        <f ca="1">IFERROR(__xludf.DUMMYFUNCTION("""COMPUTED_VALUE"""),"")</f>
        <v/>
      </c>
    </row>
    <row r="6123" spans="1:5">
      <c r="A6123" s="12"/>
      <c r="E6123" s="57" t="str">
        <f ca="1">IFERROR(__xludf.DUMMYFUNCTION("""COMPUTED_VALUE"""),"")</f>
        <v/>
      </c>
    </row>
    <row r="6124" spans="1:5">
      <c r="A6124" s="12"/>
      <c r="E6124" s="57" t="str">
        <f ca="1">IFERROR(__xludf.DUMMYFUNCTION("""COMPUTED_VALUE"""),"")</f>
        <v/>
      </c>
    </row>
    <row r="6125" spans="1:5">
      <c r="A6125" s="12"/>
      <c r="E6125" s="57" t="str">
        <f ca="1">IFERROR(__xludf.DUMMYFUNCTION("""COMPUTED_VALUE"""),"")</f>
        <v/>
      </c>
    </row>
    <row r="6126" spans="1:5">
      <c r="A6126" s="12"/>
      <c r="E6126" s="57" t="str">
        <f ca="1">IFERROR(__xludf.DUMMYFUNCTION("""COMPUTED_VALUE"""),"")</f>
        <v/>
      </c>
    </row>
    <row r="6127" spans="1:5">
      <c r="A6127" s="12"/>
      <c r="E6127" s="57" t="str">
        <f ca="1">IFERROR(__xludf.DUMMYFUNCTION("""COMPUTED_VALUE"""),"")</f>
        <v/>
      </c>
    </row>
    <row r="6128" spans="1:5">
      <c r="A6128" s="12"/>
      <c r="E6128" s="57" t="str">
        <f ca="1">IFERROR(__xludf.DUMMYFUNCTION("""COMPUTED_VALUE"""),"")</f>
        <v/>
      </c>
    </row>
    <row r="6129" spans="1:5">
      <c r="A6129" s="12"/>
      <c r="E6129" s="57" t="str">
        <f ca="1">IFERROR(__xludf.DUMMYFUNCTION("""COMPUTED_VALUE"""),"")</f>
        <v/>
      </c>
    </row>
    <row r="6130" spans="1:5">
      <c r="A6130" s="12"/>
      <c r="E6130" s="57" t="str">
        <f ca="1">IFERROR(__xludf.DUMMYFUNCTION("""COMPUTED_VALUE"""),"")</f>
        <v/>
      </c>
    </row>
    <row r="6131" spans="1:5">
      <c r="A6131" s="12"/>
      <c r="E6131" s="57" t="str">
        <f ca="1">IFERROR(__xludf.DUMMYFUNCTION("""COMPUTED_VALUE"""),"")</f>
        <v/>
      </c>
    </row>
    <row r="6132" spans="1:5">
      <c r="A6132" s="12"/>
      <c r="E6132" s="57" t="str">
        <f ca="1">IFERROR(__xludf.DUMMYFUNCTION("""COMPUTED_VALUE"""),"")</f>
        <v/>
      </c>
    </row>
    <row r="6133" spans="1:5">
      <c r="A6133" s="12"/>
      <c r="E6133" s="57" t="str">
        <f ca="1">IFERROR(__xludf.DUMMYFUNCTION("""COMPUTED_VALUE"""),"")</f>
        <v/>
      </c>
    </row>
    <row r="6134" spans="1:5">
      <c r="A6134" s="12"/>
      <c r="E6134" s="57" t="str">
        <f ca="1">IFERROR(__xludf.DUMMYFUNCTION("""COMPUTED_VALUE"""),"")</f>
        <v/>
      </c>
    </row>
    <row r="6135" spans="1:5">
      <c r="A6135" s="12"/>
      <c r="E6135" s="57" t="str">
        <f ca="1">IFERROR(__xludf.DUMMYFUNCTION("""COMPUTED_VALUE"""),"")</f>
        <v/>
      </c>
    </row>
    <row r="6136" spans="1:5">
      <c r="A6136" s="12"/>
      <c r="E6136" s="57" t="str">
        <f ca="1">IFERROR(__xludf.DUMMYFUNCTION("""COMPUTED_VALUE"""),"")</f>
        <v/>
      </c>
    </row>
    <row r="6137" spans="1:5">
      <c r="A6137" s="12"/>
      <c r="E6137" s="57" t="str">
        <f ca="1">IFERROR(__xludf.DUMMYFUNCTION("""COMPUTED_VALUE"""),"")</f>
        <v/>
      </c>
    </row>
    <row r="6138" spans="1:5">
      <c r="A6138" s="12"/>
      <c r="E6138" s="57" t="str">
        <f ca="1">IFERROR(__xludf.DUMMYFUNCTION("""COMPUTED_VALUE"""),"")</f>
        <v/>
      </c>
    </row>
    <row r="6139" spans="1:5">
      <c r="A6139" s="12"/>
      <c r="E6139" s="57" t="str">
        <f ca="1">IFERROR(__xludf.DUMMYFUNCTION("""COMPUTED_VALUE"""),"")</f>
        <v/>
      </c>
    </row>
    <row r="6140" spans="1:5">
      <c r="A6140" s="12"/>
      <c r="E6140" s="57" t="str">
        <f ca="1">IFERROR(__xludf.DUMMYFUNCTION("""COMPUTED_VALUE"""),"")</f>
        <v/>
      </c>
    </row>
    <row r="6141" spans="1:5">
      <c r="A6141" s="12"/>
      <c r="E6141" s="57" t="str">
        <f ca="1">IFERROR(__xludf.DUMMYFUNCTION("""COMPUTED_VALUE"""),"")</f>
        <v/>
      </c>
    </row>
    <row r="6142" spans="1:5">
      <c r="A6142" s="12"/>
      <c r="E6142" s="57" t="str">
        <f ca="1">IFERROR(__xludf.DUMMYFUNCTION("""COMPUTED_VALUE"""),"")</f>
        <v/>
      </c>
    </row>
    <row r="6143" spans="1:5">
      <c r="A6143" s="12"/>
      <c r="E6143" s="57" t="str">
        <f ca="1">IFERROR(__xludf.DUMMYFUNCTION("""COMPUTED_VALUE"""),"")</f>
        <v/>
      </c>
    </row>
    <row r="6144" spans="1:5">
      <c r="A6144" s="12"/>
      <c r="E6144" s="57" t="str">
        <f ca="1">IFERROR(__xludf.DUMMYFUNCTION("""COMPUTED_VALUE"""),"")</f>
        <v/>
      </c>
    </row>
    <row r="6145" spans="1:5">
      <c r="A6145" s="12"/>
      <c r="E6145" s="57" t="str">
        <f ca="1">IFERROR(__xludf.DUMMYFUNCTION("""COMPUTED_VALUE"""),"")</f>
        <v/>
      </c>
    </row>
    <row r="6146" spans="1:5">
      <c r="A6146" s="12"/>
      <c r="E6146" s="57" t="str">
        <f ca="1">IFERROR(__xludf.DUMMYFUNCTION("""COMPUTED_VALUE"""),"")</f>
        <v/>
      </c>
    </row>
    <row r="6147" spans="1:5">
      <c r="A6147" s="12"/>
      <c r="E6147" s="57" t="str">
        <f ca="1">IFERROR(__xludf.DUMMYFUNCTION("""COMPUTED_VALUE"""),"")</f>
        <v/>
      </c>
    </row>
    <row r="6148" spans="1:5">
      <c r="A6148" s="12"/>
      <c r="E6148" s="57" t="str">
        <f ca="1">IFERROR(__xludf.DUMMYFUNCTION("""COMPUTED_VALUE"""),"")</f>
        <v/>
      </c>
    </row>
    <row r="6149" spans="1:5">
      <c r="A6149" s="12"/>
      <c r="E6149" s="57" t="str">
        <f ca="1">IFERROR(__xludf.DUMMYFUNCTION("""COMPUTED_VALUE"""),"")</f>
        <v/>
      </c>
    </row>
    <row r="6150" spans="1:5">
      <c r="A6150" s="12"/>
      <c r="E6150" s="57" t="str">
        <f ca="1">IFERROR(__xludf.DUMMYFUNCTION("""COMPUTED_VALUE"""),"")</f>
        <v/>
      </c>
    </row>
    <row r="6151" spans="1:5">
      <c r="A6151" s="12"/>
      <c r="E6151" s="57" t="str">
        <f ca="1">IFERROR(__xludf.DUMMYFUNCTION("""COMPUTED_VALUE"""),"")</f>
        <v/>
      </c>
    </row>
    <row r="6152" spans="1:5">
      <c r="A6152" s="12"/>
      <c r="E6152" s="57" t="str">
        <f ca="1">IFERROR(__xludf.DUMMYFUNCTION("""COMPUTED_VALUE"""),"")</f>
        <v/>
      </c>
    </row>
    <row r="6153" spans="1:5">
      <c r="A6153" s="12"/>
      <c r="E6153" s="57" t="str">
        <f ca="1">IFERROR(__xludf.DUMMYFUNCTION("""COMPUTED_VALUE"""),"")</f>
        <v/>
      </c>
    </row>
    <row r="6154" spans="1:5">
      <c r="A6154" s="12"/>
      <c r="E6154" s="57" t="str">
        <f ca="1">IFERROR(__xludf.DUMMYFUNCTION("""COMPUTED_VALUE"""),"")</f>
        <v/>
      </c>
    </row>
    <row r="6155" spans="1:5">
      <c r="A6155" s="12"/>
      <c r="E6155" s="57" t="str">
        <f ca="1">IFERROR(__xludf.DUMMYFUNCTION("""COMPUTED_VALUE"""),"")</f>
        <v/>
      </c>
    </row>
    <row r="6156" spans="1:5">
      <c r="A6156" s="12"/>
      <c r="E6156" s="57" t="str">
        <f ca="1">IFERROR(__xludf.DUMMYFUNCTION("""COMPUTED_VALUE"""),"")</f>
        <v/>
      </c>
    </row>
    <row r="6157" spans="1:5">
      <c r="A6157" s="12"/>
      <c r="E6157" s="57" t="str">
        <f ca="1">IFERROR(__xludf.DUMMYFUNCTION("""COMPUTED_VALUE"""),"")</f>
        <v/>
      </c>
    </row>
    <row r="6158" spans="1:5">
      <c r="A6158" s="12"/>
      <c r="E6158" s="57" t="str">
        <f ca="1">IFERROR(__xludf.DUMMYFUNCTION("""COMPUTED_VALUE"""),"")</f>
        <v/>
      </c>
    </row>
    <row r="6159" spans="1:5">
      <c r="A6159" s="12"/>
      <c r="E6159" s="57" t="str">
        <f ca="1">IFERROR(__xludf.DUMMYFUNCTION("""COMPUTED_VALUE"""),"")</f>
        <v/>
      </c>
    </row>
    <row r="6160" spans="1:5">
      <c r="A6160" s="12"/>
      <c r="E6160" s="57" t="str">
        <f ca="1">IFERROR(__xludf.DUMMYFUNCTION("""COMPUTED_VALUE"""),"")</f>
        <v/>
      </c>
    </row>
    <row r="6161" spans="1:5">
      <c r="A6161" s="12"/>
      <c r="E6161" s="57" t="str">
        <f ca="1">IFERROR(__xludf.DUMMYFUNCTION("""COMPUTED_VALUE"""),"")</f>
        <v/>
      </c>
    </row>
    <row r="6162" spans="1:5">
      <c r="A6162" s="12"/>
      <c r="E6162" s="57" t="str">
        <f ca="1">IFERROR(__xludf.DUMMYFUNCTION("""COMPUTED_VALUE"""),"")</f>
        <v/>
      </c>
    </row>
    <row r="6163" spans="1:5">
      <c r="A6163" s="12"/>
      <c r="E6163" s="57" t="str">
        <f ca="1">IFERROR(__xludf.DUMMYFUNCTION("""COMPUTED_VALUE"""),"")</f>
        <v/>
      </c>
    </row>
    <row r="6164" spans="1:5">
      <c r="A6164" s="12"/>
      <c r="E6164" s="57" t="str">
        <f ca="1">IFERROR(__xludf.DUMMYFUNCTION("""COMPUTED_VALUE"""),"")</f>
        <v/>
      </c>
    </row>
    <row r="6165" spans="1:5">
      <c r="A6165" s="12"/>
      <c r="E6165" s="57" t="str">
        <f ca="1">IFERROR(__xludf.DUMMYFUNCTION("""COMPUTED_VALUE"""),"")</f>
        <v/>
      </c>
    </row>
    <row r="6166" spans="1:5">
      <c r="A6166" s="12"/>
      <c r="E6166" s="57" t="str">
        <f ca="1">IFERROR(__xludf.DUMMYFUNCTION("""COMPUTED_VALUE"""),"")</f>
        <v/>
      </c>
    </row>
    <row r="6167" spans="1:5">
      <c r="A6167" s="12"/>
      <c r="E6167" s="57" t="str">
        <f ca="1">IFERROR(__xludf.DUMMYFUNCTION("""COMPUTED_VALUE"""),"")</f>
        <v/>
      </c>
    </row>
    <row r="6168" spans="1:5">
      <c r="A6168" s="12"/>
      <c r="E6168" s="57" t="str">
        <f ca="1">IFERROR(__xludf.DUMMYFUNCTION("""COMPUTED_VALUE"""),"")</f>
        <v/>
      </c>
    </row>
    <row r="6169" spans="1:5">
      <c r="A6169" s="12"/>
      <c r="E6169" s="57" t="str">
        <f ca="1">IFERROR(__xludf.DUMMYFUNCTION("""COMPUTED_VALUE"""),"")</f>
        <v/>
      </c>
    </row>
    <row r="6170" spans="1:5">
      <c r="A6170" s="12"/>
      <c r="E6170" s="57" t="str">
        <f ca="1">IFERROR(__xludf.DUMMYFUNCTION("""COMPUTED_VALUE"""),"")</f>
        <v/>
      </c>
    </row>
    <row r="6171" spans="1:5">
      <c r="A6171" s="12"/>
      <c r="E6171" s="57" t="str">
        <f ca="1">IFERROR(__xludf.DUMMYFUNCTION("""COMPUTED_VALUE"""),"")</f>
        <v/>
      </c>
    </row>
    <row r="6172" spans="1:5">
      <c r="A6172" s="12"/>
      <c r="E6172" s="57" t="str">
        <f ca="1">IFERROR(__xludf.DUMMYFUNCTION("""COMPUTED_VALUE"""),"")</f>
        <v/>
      </c>
    </row>
    <row r="6173" spans="1:5">
      <c r="A6173" s="12"/>
      <c r="E6173" s="57" t="str">
        <f ca="1">IFERROR(__xludf.DUMMYFUNCTION("""COMPUTED_VALUE"""),"")</f>
        <v/>
      </c>
    </row>
    <row r="6174" spans="1:5">
      <c r="A6174" s="12"/>
      <c r="E6174" s="57" t="str">
        <f ca="1">IFERROR(__xludf.DUMMYFUNCTION("""COMPUTED_VALUE"""),"")</f>
        <v/>
      </c>
    </row>
    <row r="6175" spans="1:5">
      <c r="A6175" s="12"/>
      <c r="E6175" s="57" t="str">
        <f ca="1">IFERROR(__xludf.DUMMYFUNCTION("""COMPUTED_VALUE"""),"")</f>
        <v/>
      </c>
    </row>
    <row r="6176" spans="1:5">
      <c r="A6176" s="12"/>
      <c r="E6176" s="57" t="str">
        <f ca="1">IFERROR(__xludf.DUMMYFUNCTION("""COMPUTED_VALUE"""),"")</f>
        <v/>
      </c>
    </row>
    <row r="6177" spans="1:5">
      <c r="A6177" s="12"/>
      <c r="E6177" s="57" t="str">
        <f ca="1">IFERROR(__xludf.DUMMYFUNCTION("""COMPUTED_VALUE"""),"")</f>
        <v/>
      </c>
    </row>
    <row r="6178" spans="1:5">
      <c r="A6178" s="12"/>
      <c r="E6178" s="57" t="str">
        <f ca="1">IFERROR(__xludf.DUMMYFUNCTION("""COMPUTED_VALUE"""),"")</f>
        <v/>
      </c>
    </row>
    <row r="6179" spans="1:5">
      <c r="A6179" s="12"/>
      <c r="E6179" s="57" t="str">
        <f ca="1">IFERROR(__xludf.DUMMYFUNCTION("""COMPUTED_VALUE"""),"")</f>
        <v/>
      </c>
    </row>
    <row r="6180" spans="1:5">
      <c r="A6180" s="12"/>
      <c r="E6180" s="57" t="str">
        <f ca="1">IFERROR(__xludf.DUMMYFUNCTION("""COMPUTED_VALUE"""),"")</f>
        <v/>
      </c>
    </row>
    <row r="6181" spans="1:5">
      <c r="A6181" s="12"/>
      <c r="E6181" s="57" t="str">
        <f ca="1">IFERROR(__xludf.DUMMYFUNCTION("""COMPUTED_VALUE"""),"")</f>
        <v/>
      </c>
    </row>
    <row r="6182" spans="1:5">
      <c r="A6182" s="12"/>
      <c r="E6182" s="57" t="str">
        <f ca="1">IFERROR(__xludf.DUMMYFUNCTION("""COMPUTED_VALUE"""),"")</f>
        <v/>
      </c>
    </row>
    <row r="6183" spans="1:5">
      <c r="A6183" s="12"/>
      <c r="E6183" s="57" t="str">
        <f ca="1">IFERROR(__xludf.DUMMYFUNCTION("""COMPUTED_VALUE"""),"")</f>
        <v/>
      </c>
    </row>
    <row r="6184" spans="1:5">
      <c r="A6184" s="12"/>
      <c r="E6184" s="57" t="str">
        <f ca="1">IFERROR(__xludf.DUMMYFUNCTION("""COMPUTED_VALUE"""),"")</f>
        <v/>
      </c>
    </row>
    <row r="6185" spans="1:5">
      <c r="A6185" s="12"/>
      <c r="E6185" s="57" t="str">
        <f ca="1">IFERROR(__xludf.DUMMYFUNCTION("""COMPUTED_VALUE"""),"")</f>
        <v/>
      </c>
    </row>
    <row r="6186" spans="1:5">
      <c r="A6186" s="12"/>
      <c r="E6186" s="57" t="str">
        <f ca="1">IFERROR(__xludf.DUMMYFUNCTION("""COMPUTED_VALUE"""),"")</f>
        <v/>
      </c>
    </row>
    <row r="6187" spans="1:5">
      <c r="A6187" s="12"/>
      <c r="E6187" s="57" t="str">
        <f ca="1">IFERROR(__xludf.DUMMYFUNCTION("""COMPUTED_VALUE"""),"")</f>
        <v/>
      </c>
    </row>
    <row r="6188" spans="1:5">
      <c r="A6188" s="12"/>
      <c r="E6188" s="57" t="str">
        <f ca="1">IFERROR(__xludf.DUMMYFUNCTION("""COMPUTED_VALUE"""),"")</f>
        <v/>
      </c>
    </row>
    <row r="6189" spans="1:5">
      <c r="A6189" s="12"/>
      <c r="E6189" s="57" t="str">
        <f ca="1">IFERROR(__xludf.DUMMYFUNCTION("""COMPUTED_VALUE"""),"")</f>
        <v/>
      </c>
    </row>
    <row r="6190" spans="1:5">
      <c r="A6190" s="12"/>
      <c r="E6190" s="57" t="str">
        <f ca="1">IFERROR(__xludf.DUMMYFUNCTION("""COMPUTED_VALUE"""),"")</f>
        <v/>
      </c>
    </row>
    <row r="6191" spans="1:5">
      <c r="A6191" s="12"/>
      <c r="E6191" s="57" t="str">
        <f ca="1">IFERROR(__xludf.DUMMYFUNCTION("""COMPUTED_VALUE"""),"")</f>
        <v/>
      </c>
    </row>
    <row r="6192" spans="1:5">
      <c r="A6192" s="12"/>
      <c r="E6192" s="57" t="str">
        <f ca="1">IFERROR(__xludf.DUMMYFUNCTION("""COMPUTED_VALUE"""),"")</f>
        <v/>
      </c>
    </row>
    <row r="6193" spans="1:5">
      <c r="A6193" s="12"/>
      <c r="E6193" s="57" t="str">
        <f ca="1">IFERROR(__xludf.DUMMYFUNCTION("""COMPUTED_VALUE"""),"")</f>
        <v/>
      </c>
    </row>
    <row r="6194" spans="1:5">
      <c r="A6194" s="12"/>
      <c r="E6194" s="57" t="str">
        <f ca="1">IFERROR(__xludf.DUMMYFUNCTION("""COMPUTED_VALUE"""),"")</f>
        <v/>
      </c>
    </row>
    <row r="6195" spans="1:5">
      <c r="A6195" s="12"/>
      <c r="E6195" s="57" t="str">
        <f ca="1">IFERROR(__xludf.DUMMYFUNCTION("""COMPUTED_VALUE"""),"")</f>
        <v/>
      </c>
    </row>
    <row r="6196" spans="1:5">
      <c r="A6196" s="12"/>
      <c r="E6196" s="57" t="str">
        <f ca="1">IFERROR(__xludf.DUMMYFUNCTION("""COMPUTED_VALUE"""),"")</f>
        <v/>
      </c>
    </row>
    <row r="6197" spans="1:5">
      <c r="A6197" s="12"/>
      <c r="E6197" s="57" t="str">
        <f ca="1">IFERROR(__xludf.DUMMYFUNCTION("""COMPUTED_VALUE"""),"")</f>
        <v/>
      </c>
    </row>
    <row r="6198" spans="1:5">
      <c r="A6198" s="12"/>
      <c r="E6198" s="57" t="str">
        <f ca="1">IFERROR(__xludf.DUMMYFUNCTION("""COMPUTED_VALUE"""),"")</f>
        <v/>
      </c>
    </row>
    <row r="6199" spans="1:5">
      <c r="A6199" s="12"/>
      <c r="E6199" s="57" t="str">
        <f ca="1">IFERROR(__xludf.DUMMYFUNCTION("""COMPUTED_VALUE"""),"")</f>
        <v/>
      </c>
    </row>
    <row r="6200" spans="1:5">
      <c r="A6200" s="12"/>
      <c r="E6200" s="57" t="str">
        <f ca="1">IFERROR(__xludf.DUMMYFUNCTION("""COMPUTED_VALUE"""),"")</f>
        <v/>
      </c>
    </row>
    <row r="6201" spans="1:5">
      <c r="A6201" s="12"/>
      <c r="E6201" s="57" t="str">
        <f ca="1">IFERROR(__xludf.DUMMYFUNCTION("""COMPUTED_VALUE"""),"")</f>
        <v/>
      </c>
    </row>
    <row r="6202" spans="1:5">
      <c r="A6202" s="12"/>
      <c r="E6202" s="57" t="str">
        <f ca="1">IFERROR(__xludf.DUMMYFUNCTION("""COMPUTED_VALUE"""),"")</f>
        <v/>
      </c>
    </row>
    <row r="6203" spans="1:5">
      <c r="A6203" s="12"/>
      <c r="E6203" s="57" t="str">
        <f ca="1">IFERROR(__xludf.DUMMYFUNCTION("""COMPUTED_VALUE"""),"")</f>
        <v/>
      </c>
    </row>
    <row r="6204" spans="1:5">
      <c r="A6204" s="12"/>
      <c r="E6204" s="57" t="str">
        <f ca="1">IFERROR(__xludf.DUMMYFUNCTION("""COMPUTED_VALUE"""),"")</f>
        <v/>
      </c>
    </row>
    <row r="6205" spans="1:5">
      <c r="A6205" s="12"/>
      <c r="E6205" s="57" t="str">
        <f ca="1">IFERROR(__xludf.DUMMYFUNCTION("""COMPUTED_VALUE"""),"")</f>
        <v/>
      </c>
    </row>
    <row r="6206" spans="1:5">
      <c r="A6206" s="12"/>
      <c r="E6206" s="57" t="str">
        <f ca="1">IFERROR(__xludf.DUMMYFUNCTION("""COMPUTED_VALUE"""),"")</f>
        <v/>
      </c>
    </row>
    <row r="6207" spans="1:5">
      <c r="A6207" s="12"/>
      <c r="E6207" s="57" t="str">
        <f ca="1">IFERROR(__xludf.DUMMYFUNCTION("""COMPUTED_VALUE"""),"")</f>
        <v/>
      </c>
    </row>
    <row r="6208" spans="1:5">
      <c r="A6208" s="12"/>
      <c r="E6208" s="57" t="str">
        <f ca="1">IFERROR(__xludf.DUMMYFUNCTION("""COMPUTED_VALUE"""),"")</f>
        <v/>
      </c>
    </row>
    <row r="6209" spans="1:5">
      <c r="A6209" s="12"/>
      <c r="E6209" s="57" t="str">
        <f ca="1">IFERROR(__xludf.DUMMYFUNCTION("""COMPUTED_VALUE"""),"")</f>
        <v/>
      </c>
    </row>
    <row r="6210" spans="1:5">
      <c r="A6210" s="12"/>
      <c r="E6210" s="57" t="str">
        <f ca="1">IFERROR(__xludf.DUMMYFUNCTION("""COMPUTED_VALUE"""),"")</f>
        <v/>
      </c>
    </row>
    <row r="6211" spans="1:5">
      <c r="A6211" s="12"/>
      <c r="E6211" s="57" t="str">
        <f ca="1">IFERROR(__xludf.DUMMYFUNCTION("""COMPUTED_VALUE"""),"")</f>
        <v/>
      </c>
    </row>
    <row r="6212" spans="1:5">
      <c r="A6212" s="12"/>
      <c r="E6212" s="57" t="str">
        <f ca="1">IFERROR(__xludf.DUMMYFUNCTION("""COMPUTED_VALUE"""),"")</f>
        <v/>
      </c>
    </row>
    <row r="6213" spans="1:5">
      <c r="A6213" s="12"/>
      <c r="E6213" s="57" t="str">
        <f ca="1">IFERROR(__xludf.DUMMYFUNCTION("""COMPUTED_VALUE"""),"")</f>
        <v/>
      </c>
    </row>
    <row r="6214" spans="1:5">
      <c r="A6214" s="12"/>
      <c r="E6214" s="57" t="str">
        <f ca="1">IFERROR(__xludf.DUMMYFUNCTION("""COMPUTED_VALUE"""),"")</f>
        <v/>
      </c>
    </row>
    <row r="6215" spans="1:5">
      <c r="A6215" s="12"/>
      <c r="E6215" s="57" t="str">
        <f ca="1">IFERROR(__xludf.DUMMYFUNCTION("""COMPUTED_VALUE"""),"")</f>
        <v/>
      </c>
    </row>
    <row r="6216" spans="1:5">
      <c r="A6216" s="12"/>
      <c r="E6216" s="57" t="str">
        <f ca="1">IFERROR(__xludf.DUMMYFUNCTION("""COMPUTED_VALUE"""),"")</f>
        <v/>
      </c>
    </row>
    <row r="6217" spans="1:5">
      <c r="A6217" s="12"/>
      <c r="E6217" s="57" t="str">
        <f ca="1">IFERROR(__xludf.DUMMYFUNCTION("""COMPUTED_VALUE"""),"")</f>
        <v/>
      </c>
    </row>
    <row r="6218" spans="1:5">
      <c r="A6218" s="12"/>
      <c r="E6218" s="57" t="str">
        <f ca="1">IFERROR(__xludf.DUMMYFUNCTION("""COMPUTED_VALUE"""),"")</f>
        <v/>
      </c>
    </row>
    <row r="6219" spans="1:5">
      <c r="A6219" s="12"/>
      <c r="E6219" s="57" t="str">
        <f ca="1">IFERROR(__xludf.DUMMYFUNCTION("""COMPUTED_VALUE"""),"")</f>
        <v/>
      </c>
    </row>
    <row r="6220" spans="1:5">
      <c r="A6220" s="12"/>
      <c r="E6220" s="57" t="str">
        <f ca="1">IFERROR(__xludf.DUMMYFUNCTION("""COMPUTED_VALUE"""),"")</f>
        <v/>
      </c>
    </row>
    <row r="6221" spans="1:5">
      <c r="A6221" s="12"/>
      <c r="E6221" s="57" t="str">
        <f ca="1">IFERROR(__xludf.DUMMYFUNCTION("""COMPUTED_VALUE"""),"")</f>
        <v/>
      </c>
    </row>
    <row r="6222" spans="1:5">
      <c r="A6222" s="12"/>
      <c r="E6222" s="57" t="str">
        <f ca="1">IFERROR(__xludf.DUMMYFUNCTION("""COMPUTED_VALUE"""),"")</f>
        <v/>
      </c>
    </row>
    <row r="6223" spans="1:5">
      <c r="A6223" s="12"/>
      <c r="E6223" s="57" t="str">
        <f ca="1">IFERROR(__xludf.DUMMYFUNCTION("""COMPUTED_VALUE"""),"")</f>
        <v/>
      </c>
    </row>
    <row r="6224" spans="1:5">
      <c r="A6224" s="12"/>
      <c r="E6224" s="57" t="str">
        <f ca="1">IFERROR(__xludf.DUMMYFUNCTION("""COMPUTED_VALUE"""),"")</f>
        <v/>
      </c>
    </row>
    <row r="6225" spans="1:5">
      <c r="A6225" s="12"/>
      <c r="E6225" s="57" t="str">
        <f ca="1">IFERROR(__xludf.DUMMYFUNCTION("""COMPUTED_VALUE"""),"")</f>
        <v/>
      </c>
    </row>
    <row r="6226" spans="1:5">
      <c r="A6226" s="12"/>
      <c r="E6226" s="57" t="str">
        <f ca="1">IFERROR(__xludf.DUMMYFUNCTION("""COMPUTED_VALUE"""),"")</f>
        <v/>
      </c>
    </row>
    <row r="6227" spans="1:5">
      <c r="A6227" s="12"/>
      <c r="E6227" s="57" t="str">
        <f ca="1">IFERROR(__xludf.DUMMYFUNCTION("""COMPUTED_VALUE"""),"")</f>
        <v/>
      </c>
    </row>
    <row r="6228" spans="1:5">
      <c r="A6228" s="12"/>
      <c r="E6228" s="57" t="str">
        <f ca="1">IFERROR(__xludf.DUMMYFUNCTION("""COMPUTED_VALUE"""),"")</f>
        <v/>
      </c>
    </row>
    <row r="6229" spans="1:5">
      <c r="A6229" s="12"/>
      <c r="E6229" s="57" t="str">
        <f ca="1">IFERROR(__xludf.DUMMYFUNCTION("""COMPUTED_VALUE"""),"")</f>
        <v/>
      </c>
    </row>
    <row r="6230" spans="1:5">
      <c r="A6230" s="12"/>
      <c r="E6230" s="57" t="str">
        <f ca="1">IFERROR(__xludf.DUMMYFUNCTION("""COMPUTED_VALUE"""),"")</f>
        <v/>
      </c>
    </row>
    <row r="6231" spans="1:5">
      <c r="A6231" s="12"/>
      <c r="E6231" s="57" t="str">
        <f ca="1">IFERROR(__xludf.DUMMYFUNCTION("""COMPUTED_VALUE"""),"")</f>
        <v/>
      </c>
    </row>
    <row r="6232" spans="1:5">
      <c r="A6232" s="12"/>
      <c r="E6232" s="57" t="str">
        <f ca="1">IFERROR(__xludf.DUMMYFUNCTION("""COMPUTED_VALUE"""),"")</f>
        <v/>
      </c>
    </row>
    <row r="6233" spans="1:5">
      <c r="A6233" s="12"/>
      <c r="E6233" s="57" t="str">
        <f ca="1">IFERROR(__xludf.DUMMYFUNCTION("""COMPUTED_VALUE"""),"")</f>
        <v/>
      </c>
    </row>
    <row r="6234" spans="1:5">
      <c r="A6234" s="12"/>
      <c r="E6234" s="57" t="str">
        <f ca="1">IFERROR(__xludf.DUMMYFUNCTION("""COMPUTED_VALUE"""),"")</f>
        <v/>
      </c>
    </row>
    <row r="6235" spans="1:5">
      <c r="A6235" s="12"/>
      <c r="E6235" s="57" t="str">
        <f ca="1">IFERROR(__xludf.DUMMYFUNCTION("""COMPUTED_VALUE"""),"")</f>
        <v/>
      </c>
    </row>
    <row r="6236" spans="1:5">
      <c r="A6236" s="12"/>
      <c r="E6236" s="57" t="str">
        <f ca="1">IFERROR(__xludf.DUMMYFUNCTION("""COMPUTED_VALUE"""),"")</f>
        <v/>
      </c>
    </row>
    <row r="6237" spans="1:5">
      <c r="A6237" s="12"/>
      <c r="E6237" s="57" t="str">
        <f ca="1">IFERROR(__xludf.DUMMYFUNCTION("""COMPUTED_VALUE"""),"")</f>
        <v/>
      </c>
    </row>
    <row r="6238" spans="1:5">
      <c r="A6238" s="12"/>
      <c r="E6238" s="57" t="str">
        <f ca="1">IFERROR(__xludf.DUMMYFUNCTION("""COMPUTED_VALUE"""),"")</f>
        <v/>
      </c>
    </row>
    <row r="6239" spans="1:5">
      <c r="A6239" s="12"/>
      <c r="E6239" s="57" t="str">
        <f ca="1">IFERROR(__xludf.DUMMYFUNCTION("""COMPUTED_VALUE"""),"")</f>
        <v/>
      </c>
    </row>
    <row r="6240" spans="1:5">
      <c r="A6240" s="12"/>
      <c r="E6240" s="57" t="str">
        <f ca="1">IFERROR(__xludf.DUMMYFUNCTION("""COMPUTED_VALUE"""),"")</f>
        <v/>
      </c>
    </row>
    <row r="6241" spans="1:5">
      <c r="A6241" s="12"/>
      <c r="E6241" s="57" t="str">
        <f ca="1">IFERROR(__xludf.DUMMYFUNCTION("""COMPUTED_VALUE"""),"")</f>
        <v/>
      </c>
    </row>
    <row r="6242" spans="1:5">
      <c r="A6242" s="12"/>
      <c r="E6242" s="57" t="str">
        <f ca="1">IFERROR(__xludf.DUMMYFUNCTION("""COMPUTED_VALUE"""),"")</f>
        <v/>
      </c>
    </row>
    <row r="6243" spans="1:5">
      <c r="A6243" s="12"/>
      <c r="E6243" s="57" t="str">
        <f ca="1">IFERROR(__xludf.DUMMYFUNCTION("""COMPUTED_VALUE"""),"")</f>
        <v/>
      </c>
    </row>
    <row r="6244" spans="1:5">
      <c r="A6244" s="12"/>
      <c r="E6244" s="57" t="str">
        <f ca="1">IFERROR(__xludf.DUMMYFUNCTION("""COMPUTED_VALUE"""),"")</f>
        <v/>
      </c>
    </row>
    <row r="6245" spans="1:5">
      <c r="A6245" s="12"/>
      <c r="E6245" s="57" t="str">
        <f ca="1">IFERROR(__xludf.DUMMYFUNCTION("""COMPUTED_VALUE"""),"")</f>
        <v/>
      </c>
    </row>
    <row r="6246" spans="1:5">
      <c r="A6246" s="12"/>
      <c r="E6246" s="57" t="str">
        <f ca="1">IFERROR(__xludf.DUMMYFUNCTION("""COMPUTED_VALUE"""),"")</f>
        <v/>
      </c>
    </row>
    <row r="6247" spans="1:5">
      <c r="A6247" s="12"/>
      <c r="E6247" s="57" t="str">
        <f ca="1">IFERROR(__xludf.DUMMYFUNCTION("""COMPUTED_VALUE"""),"")</f>
        <v/>
      </c>
    </row>
    <row r="6248" spans="1:5">
      <c r="A6248" s="12"/>
      <c r="E6248" s="57" t="str">
        <f ca="1">IFERROR(__xludf.DUMMYFUNCTION("""COMPUTED_VALUE"""),"")</f>
        <v/>
      </c>
    </row>
    <row r="6249" spans="1:5">
      <c r="A6249" s="12"/>
      <c r="E6249" s="57" t="str">
        <f ca="1">IFERROR(__xludf.DUMMYFUNCTION("""COMPUTED_VALUE"""),"")</f>
        <v/>
      </c>
    </row>
    <row r="6250" spans="1:5">
      <c r="A6250" s="12"/>
      <c r="E6250" s="57" t="str">
        <f ca="1">IFERROR(__xludf.DUMMYFUNCTION("""COMPUTED_VALUE"""),"")</f>
        <v/>
      </c>
    </row>
    <row r="6251" spans="1:5">
      <c r="A6251" s="12"/>
      <c r="E6251" s="57" t="str">
        <f ca="1">IFERROR(__xludf.DUMMYFUNCTION("""COMPUTED_VALUE"""),"")</f>
        <v/>
      </c>
    </row>
    <row r="6252" spans="1:5">
      <c r="A6252" s="12"/>
      <c r="E6252" s="57" t="str">
        <f ca="1">IFERROR(__xludf.DUMMYFUNCTION("""COMPUTED_VALUE"""),"")</f>
        <v/>
      </c>
    </row>
    <row r="6253" spans="1:5">
      <c r="A6253" s="12"/>
      <c r="E6253" s="57" t="str">
        <f ca="1">IFERROR(__xludf.DUMMYFUNCTION("""COMPUTED_VALUE"""),"")</f>
        <v/>
      </c>
    </row>
    <row r="6254" spans="1:5">
      <c r="A6254" s="12"/>
      <c r="E6254" s="57" t="str">
        <f ca="1">IFERROR(__xludf.DUMMYFUNCTION("""COMPUTED_VALUE"""),"")</f>
        <v/>
      </c>
    </row>
    <row r="6255" spans="1:5">
      <c r="A6255" s="12"/>
      <c r="E6255" s="57" t="str">
        <f ca="1">IFERROR(__xludf.DUMMYFUNCTION("""COMPUTED_VALUE"""),"")</f>
        <v/>
      </c>
    </row>
    <row r="6256" spans="1:5">
      <c r="A6256" s="12"/>
      <c r="E6256" s="57" t="str">
        <f ca="1">IFERROR(__xludf.DUMMYFUNCTION("""COMPUTED_VALUE"""),"")</f>
        <v/>
      </c>
    </row>
    <row r="6257" spans="1:5">
      <c r="A6257" s="12"/>
      <c r="E6257" s="57" t="str">
        <f ca="1">IFERROR(__xludf.DUMMYFUNCTION("""COMPUTED_VALUE"""),"")</f>
        <v/>
      </c>
    </row>
    <row r="6258" spans="1:5">
      <c r="A6258" s="12"/>
      <c r="E6258" s="57" t="str">
        <f ca="1">IFERROR(__xludf.DUMMYFUNCTION("""COMPUTED_VALUE"""),"")</f>
        <v/>
      </c>
    </row>
    <row r="6259" spans="1:5">
      <c r="A6259" s="12"/>
      <c r="E6259" s="57" t="str">
        <f ca="1">IFERROR(__xludf.DUMMYFUNCTION("""COMPUTED_VALUE"""),"")</f>
        <v/>
      </c>
    </row>
    <row r="6260" spans="1:5">
      <c r="A6260" s="12"/>
      <c r="E6260" s="57" t="str">
        <f ca="1">IFERROR(__xludf.DUMMYFUNCTION("""COMPUTED_VALUE"""),"")</f>
        <v/>
      </c>
    </row>
    <row r="6261" spans="1:5">
      <c r="A6261" s="12"/>
      <c r="E6261" s="57" t="str">
        <f ca="1">IFERROR(__xludf.DUMMYFUNCTION("""COMPUTED_VALUE"""),"")</f>
        <v/>
      </c>
    </row>
    <row r="6262" spans="1:5">
      <c r="A6262" s="12"/>
      <c r="E6262" s="57" t="str">
        <f ca="1">IFERROR(__xludf.DUMMYFUNCTION("""COMPUTED_VALUE"""),"")</f>
        <v/>
      </c>
    </row>
    <row r="6263" spans="1:5">
      <c r="A6263" s="12"/>
      <c r="E6263" s="57" t="str">
        <f ca="1">IFERROR(__xludf.DUMMYFUNCTION("""COMPUTED_VALUE"""),"")</f>
        <v/>
      </c>
    </row>
    <row r="6264" spans="1:5">
      <c r="A6264" s="12"/>
      <c r="E6264" s="57" t="str">
        <f ca="1">IFERROR(__xludf.DUMMYFUNCTION("""COMPUTED_VALUE"""),"")</f>
        <v/>
      </c>
    </row>
    <row r="6265" spans="1:5">
      <c r="A6265" s="12"/>
      <c r="E6265" s="57" t="str">
        <f ca="1">IFERROR(__xludf.DUMMYFUNCTION("""COMPUTED_VALUE"""),"")</f>
        <v/>
      </c>
    </row>
    <row r="6266" spans="1:5">
      <c r="A6266" s="12"/>
      <c r="E6266" s="57" t="str">
        <f ca="1">IFERROR(__xludf.DUMMYFUNCTION("""COMPUTED_VALUE"""),"")</f>
        <v/>
      </c>
    </row>
    <row r="6267" spans="1:5">
      <c r="A6267" s="12"/>
      <c r="E6267" s="57" t="str">
        <f ca="1">IFERROR(__xludf.DUMMYFUNCTION("""COMPUTED_VALUE"""),"")</f>
        <v/>
      </c>
    </row>
    <row r="6268" spans="1:5">
      <c r="A6268" s="12"/>
      <c r="E6268" s="57" t="str">
        <f ca="1">IFERROR(__xludf.DUMMYFUNCTION("""COMPUTED_VALUE"""),"")</f>
        <v/>
      </c>
    </row>
    <row r="6269" spans="1:5">
      <c r="A6269" s="12"/>
      <c r="E6269" s="57" t="str">
        <f ca="1">IFERROR(__xludf.DUMMYFUNCTION("""COMPUTED_VALUE"""),"")</f>
        <v/>
      </c>
    </row>
    <row r="6270" spans="1:5">
      <c r="A6270" s="12"/>
      <c r="E6270" s="57" t="str">
        <f ca="1">IFERROR(__xludf.DUMMYFUNCTION("""COMPUTED_VALUE"""),"")</f>
        <v/>
      </c>
    </row>
    <row r="6271" spans="1:5">
      <c r="A6271" s="12"/>
      <c r="E6271" s="57" t="str">
        <f ca="1">IFERROR(__xludf.DUMMYFUNCTION("""COMPUTED_VALUE"""),"")</f>
        <v/>
      </c>
    </row>
    <row r="6272" spans="1:5">
      <c r="A6272" s="12"/>
      <c r="E6272" s="57" t="str">
        <f ca="1">IFERROR(__xludf.DUMMYFUNCTION("""COMPUTED_VALUE"""),"")</f>
        <v/>
      </c>
    </row>
    <row r="6273" spans="1:5">
      <c r="A6273" s="12"/>
      <c r="E6273" s="57" t="str">
        <f ca="1">IFERROR(__xludf.DUMMYFUNCTION("""COMPUTED_VALUE"""),"")</f>
        <v/>
      </c>
    </row>
    <row r="6274" spans="1:5">
      <c r="A6274" s="12"/>
      <c r="E6274" s="57" t="str">
        <f ca="1">IFERROR(__xludf.DUMMYFUNCTION("""COMPUTED_VALUE"""),"")</f>
        <v/>
      </c>
    </row>
    <row r="6275" spans="1:5">
      <c r="A6275" s="12"/>
      <c r="E6275" s="57" t="str">
        <f ca="1">IFERROR(__xludf.DUMMYFUNCTION("""COMPUTED_VALUE"""),"")</f>
        <v/>
      </c>
    </row>
    <row r="6276" spans="1:5">
      <c r="A6276" s="12"/>
      <c r="E6276" s="57" t="str">
        <f ca="1">IFERROR(__xludf.DUMMYFUNCTION("""COMPUTED_VALUE"""),"")</f>
        <v/>
      </c>
    </row>
    <row r="6277" spans="1:5">
      <c r="A6277" s="12"/>
      <c r="E6277" s="57" t="str">
        <f ca="1">IFERROR(__xludf.DUMMYFUNCTION("""COMPUTED_VALUE"""),"")</f>
        <v/>
      </c>
    </row>
    <row r="6278" spans="1:5">
      <c r="A6278" s="12"/>
      <c r="E6278" s="57" t="str">
        <f ca="1">IFERROR(__xludf.DUMMYFUNCTION("""COMPUTED_VALUE"""),"")</f>
        <v/>
      </c>
    </row>
    <row r="6279" spans="1:5">
      <c r="A6279" s="12"/>
      <c r="E6279" s="57" t="str">
        <f ca="1">IFERROR(__xludf.DUMMYFUNCTION("""COMPUTED_VALUE"""),"")</f>
        <v/>
      </c>
    </row>
    <row r="6280" spans="1:5">
      <c r="A6280" s="12"/>
      <c r="E6280" s="57" t="str">
        <f ca="1">IFERROR(__xludf.DUMMYFUNCTION("""COMPUTED_VALUE"""),"")</f>
        <v/>
      </c>
    </row>
    <row r="6281" spans="1:5">
      <c r="A6281" s="12"/>
      <c r="E6281" s="57" t="str">
        <f ca="1">IFERROR(__xludf.DUMMYFUNCTION("""COMPUTED_VALUE"""),"")</f>
        <v/>
      </c>
    </row>
    <row r="6282" spans="1:5">
      <c r="A6282" s="12"/>
      <c r="E6282" s="57" t="str">
        <f ca="1">IFERROR(__xludf.DUMMYFUNCTION("""COMPUTED_VALUE"""),"")</f>
        <v/>
      </c>
    </row>
    <row r="6283" spans="1:5">
      <c r="A6283" s="12"/>
      <c r="E6283" s="57" t="str">
        <f ca="1">IFERROR(__xludf.DUMMYFUNCTION("""COMPUTED_VALUE"""),"")</f>
        <v/>
      </c>
    </row>
    <row r="6284" spans="1:5">
      <c r="A6284" s="12"/>
      <c r="E6284" s="57" t="str">
        <f ca="1">IFERROR(__xludf.DUMMYFUNCTION("""COMPUTED_VALUE"""),"")</f>
        <v/>
      </c>
    </row>
    <row r="6285" spans="1:5">
      <c r="A6285" s="12"/>
      <c r="E6285" s="57" t="str">
        <f ca="1">IFERROR(__xludf.DUMMYFUNCTION("""COMPUTED_VALUE"""),"")</f>
        <v/>
      </c>
    </row>
    <row r="6286" spans="1:5">
      <c r="A6286" s="12"/>
      <c r="E6286" s="57" t="str">
        <f ca="1">IFERROR(__xludf.DUMMYFUNCTION("""COMPUTED_VALUE"""),"")</f>
        <v/>
      </c>
    </row>
    <row r="6287" spans="1:5">
      <c r="A6287" s="12"/>
      <c r="E6287" s="57" t="str">
        <f ca="1">IFERROR(__xludf.DUMMYFUNCTION("""COMPUTED_VALUE"""),"")</f>
        <v/>
      </c>
    </row>
    <row r="6288" spans="1:5">
      <c r="A6288" s="12"/>
      <c r="E6288" s="57" t="str">
        <f ca="1">IFERROR(__xludf.DUMMYFUNCTION("""COMPUTED_VALUE"""),"")</f>
        <v/>
      </c>
    </row>
    <row r="6289" spans="1:5">
      <c r="A6289" s="12"/>
      <c r="E6289" s="57" t="str">
        <f ca="1">IFERROR(__xludf.DUMMYFUNCTION("""COMPUTED_VALUE"""),"")</f>
        <v/>
      </c>
    </row>
    <row r="6290" spans="1:5">
      <c r="A6290" s="12"/>
      <c r="E6290" s="57" t="str">
        <f ca="1">IFERROR(__xludf.DUMMYFUNCTION("""COMPUTED_VALUE"""),"")</f>
        <v/>
      </c>
    </row>
    <row r="6291" spans="1:5">
      <c r="A6291" s="12"/>
      <c r="E6291" s="57" t="str">
        <f ca="1">IFERROR(__xludf.DUMMYFUNCTION("""COMPUTED_VALUE"""),"")</f>
        <v/>
      </c>
    </row>
    <row r="6292" spans="1:5">
      <c r="A6292" s="12"/>
      <c r="E6292" s="57" t="str">
        <f ca="1">IFERROR(__xludf.DUMMYFUNCTION("""COMPUTED_VALUE"""),"")</f>
        <v/>
      </c>
    </row>
    <row r="6293" spans="1:5">
      <c r="A6293" s="12"/>
      <c r="E6293" s="57" t="str">
        <f ca="1">IFERROR(__xludf.DUMMYFUNCTION("""COMPUTED_VALUE"""),"")</f>
        <v/>
      </c>
    </row>
    <row r="6294" spans="1:5">
      <c r="A6294" s="12"/>
      <c r="E6294" s="57" t="str">
        <f ca="1">IFERROR(__xludf.DUMMYFUNCTION("""COMPUTED_VALUE"""),"")</f>
        <v/>
      </c>
    </row>
    <row r="6295" spans="1:5">
      <c r="A6295" s="12"/>
      <c r="E6295" s="57" t="str">
        <f ca="1">IFERROR(__xludf.DUMMYFUNCTION("""COMPUTED_VALUE"""),"")</f>
        <v/>
      </c>
    </row>
    <row r="6296" spans="1:5">
      <c r="A6296" s="12"/>
      <c r="E6296" s="57" t="str">
        <f ca="1">IFERROR(__xludf.DUMMYFUNCTION("""COMPUTED_VALUE"""),"")</f>
        <v/>
      </c>
    </row>
    <row r="6297" spans="1:5">
      <c r="A6297" s="12"/>
      <c r="E6297" s="57" t="str">
        <f ca="1">IFERROR(__xludf.DUMMYFUNCTION("""COMPUTED_VALUE"""),"")</f>
        <v/>
      </c>
    </row>
    <row r="6298" spans="1:5">
      <c r="A6298" s="12"/>
      <c r="E6298" s="57" t="str">
        <f ca="1">IFERROR(__xludf.DUMMYFUNCTION("""COMPUTED_VALUE"""),"")</f>
        <v/>
      </c>
    </row>
    <row r="6299" spans="1:5">
      <c r="A6299" s="12"/>
      <c r="E6299" s="57" t="str">
        <f ca="1">IFERROR(__xludf.DUMMYFUNCTION("""COMPUTED_VALUE"""),"")</f>
        <v/>
      </c>
    </row>
    <row r="6300" spans="1:5">
      <c r="A6300" s="12"/>
      <c r="E6300" s="57" t="str">
        <f ca="1">IFERROR(__xludf.DUMMYFUNCTION("""COMPUTED_VALUE"""),"")</f>
        <v/>
      </c>
    </row>
    <row r="6301" spans="1:5">
      <c r="A6301" s="12"/>
      <c r="E6301" s="57" t="str">
        <f ca="1">IFERROR(__xludf.DUMMYFUNCTION("""COMPUTED_VALUE"""),"")</f>
        <v/>
      </c>
    </row>
    <row r="6302" spans="1:5">
      <c r="A6302" s="12"/>
      <c r="E6302" s="57" t="str">
        <f ca="1">IFERROR(__xludf.DUMMYFUNCTION("""COMPUTED_VALUE"""),"")</f>
        <v/>
      </c>
    </row>
    <row r="6303" spans="1:5">
      <c r="A6303" s="12"/>
      <c r="E6303" s="57" t="str">
        <f ca="1">IFERROR(__xludf.DUMMYFUNCTION("""COMPUTED_VALUE"""),"")</f>
        <v/>
      </c>
    </row>
    <row r="6304" spans="1:5">
      <c r="A6304" s="12"/>
      <c r="E6304" s="57" t="str">
        <f ca="1">IFERROR(__xludf.DUMMYFUNCTION("""COMPUTED_VALUE"""),"")</f>
        <v/>
      </c>
    </row>
    <row r="6305" spans="1:5">
      <c r="A6305" s="12"/>
      <c r="E6305" s="57" t="str">
        <f ca="1">IFERROR(__xludf.DUMMYFUNCTION("""COMPUTED_VALUE"""),"")</f>
        <v/>
      </c>
    </row>
    <row r="6306" spans="1:5">
      <c r="A6306" s="12"/>
      <c r="E6306" s="57" t="str">
        <f ca="1">IFERROR(__xludf.DUMMYFUNCTION("""COMPUTED_VALUE"""),"")</f>
        <v/>
      </c>
    </row>
    <row r="6307" spans="1:5">
      <c r="A6307" s="12"/>
      <c r="E6307" s="57" t="str">
        <f ca="1">IFERROR(__xludf.DUMMYFUNCTION("""COMPUTED_VALUE"""),"")</f>
        <v/>
      </c>
    </row>
    <row r="6308" spans="1:5">
      <c r="A6308" s="12"/>
      <c r="E6308" s="57" t="str">
        <f ca="1">IFERROR(__xludf.DUMMYFUNCTION("""COMPUTED_VALUE"""),"")</f>
        <v/>
      </c>
    </row>
    <row r="6309" spans="1:5">
      <c r="A6309" s="12"/>
      <c r="E6309" s="57" t="str">
        <f ca="1">IFERROR(__xludf.DUMMYFUNCTION("""COMPUTED_VALUE"""),"")</f>
        <v/>
      </c>
    </row>
    <row r="6310" spans="1:5">
      <c r="A6310" s="12"/>
      <c r="E6310" s="57" t="str">
        <f ca="1">IFERROR(__xludf.DUMMYFUNCTION("""COMPUTED_VALUE"""),"")</f>
        <v/>
      </c>
    </row>
    <row r="6311" spans="1:5">
      <c r="A6311" s="12"/>
      <c r="E6311" s="57" t="str">
        <f ca="1">IFERROR(__xludf.DUMMYFUNCTION("""COMPUTED_VALUE"""),"")</f>
        <v/>
      </c>
    </row>
    <row r="6312" spans="1:5">
      <c r="A6312" s="12"/>
      <c r="E6312" s="57" t="str">
        <f ca="1">IFERROR(__xludf.DUMMYFUNCTION("""COMPUTED_VALUE"""),"")</f>
        <v/>
      </c>
    </row>
    <row r="6313" spans="1:5">
      <c r="A6313" s="12"/>
      <c r="E6313" s="57" t="str">
        <f ca="1">IFERROR(__xludf.DUMMYFUNCTION("""COMPUTED_VALUE"""),"")</f>
        <v/>
      </c>
    </row>
    <row r="6314" spans="1:5">
      <c r="A6314" s="12"/>
      <c r="E6314" s="57" t="str">
        <f ca="1">IFERROR(__xludf.DUMMYFUNCTION("""COMPUTED_VALUE"""),"")</f>
        <v/>
      </c>
    </row>
    <row r="6315" spans="1:5">
      <c r="A6315" s="12"/>
      <c r="E6315" s="57" t="str">
        <f ca="1">IFERROR(__xludf.DUMMYFUNCTION("""COMPUTED_VALUE"""),"")</f>
        <v/>
      </c>
    </row>
    <row r="6316" spans="1:5">
      <c r="A6316" s="12"/>
      <c r="E6316" s="57" t="str">
        <f ca="1">IFERROR(__xludf.DUMMYFUNCTION("""COMPUTED_VALUE"""),"")</f>
        <v/>
      </c>
    </row>
    <row r="6317" spans="1:5">
      <c r="A6317" s="12"/>
      <c r="E6317" s="57" t="str">
        <f ca="1">IFERROR(__xludf.DUMMYFUNCTION("""COMPUTED_VALUE"""),"")</f>
        <v/>
      </c>
    </row>
    <row r="6318" spans="1:5">
      <c r="A6318" s="12"/>
      <c r="E6318" s="57" t="str">
        <f ca="1">IFERROR(__xludf.DUMMYFUNCTION("""COMPUTED_VALUE"""),"")</f>
        <v/>
      </c>
    </row>
    <row r="6319" spans="1:5">
      <c r="A6319" s="12"/>
      <c r="E6319" s="57" t="str">
        <f ca="1">IFERROR(__xludf.DUMMYFUNCTION("""COMPUTED_VALUE"""),"")</f>
        <v/>
      </c>
    </row>
    <row r="6320" spans="1:5">
      <c r="A6320" s="12"/>
      <c r="E6320" s="57" t="str">
        <f ca="1">IFERROR(__xludf.DUMMYFUNCTION("""COMPUTED_VALUE"""),"")</f>
        <v/>
      </c>
    </row>
    <row r="6321" spans="1:5">
      <c r="A6321" s="12"/>
      <c r="E6321" s="57" t="str">
        <f ca="1">IFERROR(__xludf.DUMMYFUNCTION("""COMPUTED_VALUE"""),"")</f>
        <v/>
      </c>
    </row>
    <row r="6322" spans="1:5">
      <c r="A6322" s="12"/>
      <c r="E6322" s="57" t="str">
        <f ca="1">IFERROR(__xludf.DUMMYFUNCTION("""COMPUTED_VALUE"""),"")</f>
        <v/>
      </c>
    </row>
    <row r="6323" spans="1:5">
      <c r="A6323" s="12"/>
      <c r="E6323" s="57" t="str">
        <f ca="1">IFERROR(__xludf.DUMMYFUNCTION("""COMPUTED_VALUE"""),"")</f>
        <v/>
      </c>
    </row>
    <row r="6324" spans="1:5">
      <c r="A6324" s="12"/>
      <c r="E6324" s="57" t="str">
        <f ca="1">IFERROR(__xludf.DUMMYFUNCTION("""COMPUTED_VALUE"""),"")</f>
        <v/>
      </c>
    </row>
    <row r="6325" spans="1:5">
      <c r="A6325" s="12"/>
      <c r="E6325" s="57" t="str">
        <f ca="1">IFERROR(__xludf.DUMMYFUNCTION("""COMPUTED_VALUE"""),"")</f>
        <v/>
      </c>
    </row>
    <row r="6326" spans="1:5">
      <c r="A6326" s="12"/>
      <c r="E6326" s="57" t="str">
        <f ca="1">IFERROR(__xludf.DUMMYFUNCTION("""COMPUTED_VALUE"""),"")</f>
        <v/>
      </c>
    </row>
    <row r="6327" spans="1:5">
      <c r="A6327" s="12"/>
      <c r="E6327" s="57" t="str">
        <f ca="1">IFERROR(__xludf.DUMMYFUNCTION("""COMPUTED_VALUE"""),"")</f>
        <v/>
      </c>
    </row>
    <row r="6328" spans="1:5">
      <c r="A6328" s="12"/>
      <c r="E6328" s="57" t="str">
        <f ca="1">IFERROR(__xludf.DUMMYFUNCTION("""COMPUTED_VALUE"""),"")</f>
        <v/>
      </c>
    </row>
    <row r="6329" spans="1:5">
      <c r="A6329" s="12"/>
      <c r="E6329" s="57" t="str">
        <f ca="1">IFERROR(__xludf.DUMMYFUNCTION("""COMPUTED_VALUE"""),"")</f>
        <v/>
      </c>
    </row>
    <row r="6330" spans="1:5">
      <c r="A6330" s="12"/>
      <c r="E6330" s="57" t="str">
        <f ca="1">IFERROR(__xludf.DUMMYFUNCTION("""COMPUTED_VALUE"""),"")</f>
        <v/>
      </c>
    </row>
    <row r="6331" spans="1:5">
      <c r="A6331" s="12"/>
      <c r="E6331" s="57" t="str">
        <f ca="1">IFERROR(__xludf.DUMMYFUNCTION("""COMPUTED_VALUE"""),"")</f>
        <v/>
      </c>
    </row>
    <row r="6332" spans="1:5">
      <c r="A6332" s="12"/>
      <c r="E6332" s="57" t="str">
        <f ca="1">IFERROR(__xludf.DUMMYFUNCTION("""COMPUTED_VALUE"""),"")</f>
        <v/>
      </c>
    </row>
    <row r="6333" spans="1:5">
      <c r="A6333" s="12"/>
      <c r="E6333" s="57" t="str">
        <f ca="1">IFERROR(__xludf.DUMMYFUNCTION("""COMPUTED_VALUE"""),"")</f>
        <v/>
      </c>
    </row>
    <row r="6334" spans="1:5">
      <c r="A6334" s="12"/>
      <c r="E6334" s="57" t="str">
        <f ca="1">IFERROR(__xludf.DUMMYFUNCTION("""COMPUTED_VALUE"""),"")</f>
        <v/>
      </c>
    </row>
    <row r="6335" spans="1:5">
      <c r="A6335" s="12"/>
      <c r="E6335" s="57" t="str">
        <f ca="1">IFERROR(__xludf.DUMMYFUNCTION("""COMPUTED_VALUE"""),"")</f>
        <v/>
      </c>
    </row>
    <row r="6336" spans="1:5">
      <c r="A6336" s="12"/>
      <c r="E6336" s="57" t="str">
        <f ca="1">IFERROR(__xludf.DUMMYFUNCTION("""COMPUTED_VALUE"""),"")</f>
        <v/>
      </c>
    </row>
    <row r="6337" spans="1:5">
      <c r="A6337" s="12"/>
      <c r="E6337" s="57" t="str">
        <f ca="1">IFERROR(__xludf.DUMMYFUNCTION("""COMPUTED_VALUE"""),"")</f>
        <v/>
      </c>
    </row>
    <row r="6338" spans="1:5">
      <c r="A6338" s="12"/>
      <c r="E6338" s="57" t="str">
        <f ca="1">IFERROR(__xludf.DUMMYFUNCTION("""COMPUTED_VALUE"""),"")</f>
        <v/>
      </c>
    </row>
    <row r="6339" spans="1:5">
      <c r="A6339" s="12"/>
      <c r="E6339" s="57" t="str">
        <f ca="1">IFERROR(__xludf.DUMMYFUNCTION("""COMPUTED_VALUE"""),"")</f>
        <v/>
      </c>
    </row>
    <row r="6340" spans="1:5">
      <c r="A6340" s="12"/>
      <c r="E6340" s="57" t="str">
        <f ca="1">IFERROR(__xludf.DUMMYFUNCTION("""COMPUTED_VALUE"""),"")</f>
        <v/>
      </c>
    </row>
    <row r="6341" spans="1:5">
      <c r="A6341" s="12"/>
      <c r="E6341" s="57" t="str">
        <f ca="1">IFERROR(__xludf.DUMMYFUNCTION("""COMPUTED_VALUE"""),"")</f>
        <v/>
      </c>
    </row>
    <row r="6342" spans="1:5">
      <c r="A6342" s="12"/>
      <c r="E6342" s="57" t="str">
        <f ca="1">IFERROR(__xludf.DUMMYFUNCTION("""COMPUTED_VALUE"""),"")</f>
        <v/>
      </c>
    </row>
    <row r="6343" spans="1:5">
      <c r="A6343" s="12"/>
      <c r="E6343" s="57" t="str">
        <f ca="1">IFERROR(__xludf.DUMMYFUNCTION("""COMPUTED_VALUE"""),"")</f>
        <v/>
      </c>
    </row>
    <row r="6344" spans="1:5">
      <c r="A6344" s="12"/>
      <c r="E6344" s="57" t="str">
        <f ca="1">IFERROR(__xludf.DUMMYFUNCTION("""COMPUTED_VALUE"""),"")</f>
        <v/>
      </c>
    </row>
    <row r="6345" spans="1:5">
      <c r="A6345" s="12"/>
      <c r="E6345" s="57" t="str">
        <f ca="1">IFERROR(__xludf.DUMMYFUNCTION("""COMPUTED_VALUE"""),"")</f>
        <v/>
      </c>
    </row>
    <row r="6346" spans="1:5">
      <c r="A6346" s="12"/>
      <c r="E6346" s="57" t="str">
        <f ca="1">IFERROR(__xludf.DUMMYFUNCTION("""COMPUTED_VALUE"""),"")</f>
        <v/>
      </c>
    </row>
    <row r="6347" spans="1:5">
      <c r="A6347" s="12"/>
      <c r="E6347" s="57" t="str">
        <f ca="1">IFERROR(__xludf.DUMMYFUNCTION("""COMPUTED_VALUE"""),"")</f>
        <v/>
      </c>
    </row>
    <row r="6348" spans="1:5">
      <c r="A6348" s="12"/>
      <c r="E6348" s="57" t="str">
        <f ca="1">IFERROR(__xludf.DUMMYFUNCTION("""COMPUTED_VALUE"""),"")</f>
        <v/>
      </c>
    </row>
    <row r="6349" spans="1:5">
      <c r="A6349" s="12"/>
      <c r="E6349" s="57" t="str">
        <f ca="1">IFERROR(__xludf.DUMMYFUNCTION("""COMPUTED_VALUE"""),"")</f>
        <v/>
      </c>
    </row>
    <row r="6350" spans="1:5">
      <c r="A6350" s="12"/>
      <c r="E6350" s="57" t="str">
        <f ca="1">IFERROR(__xludf.DUMMYFUNCTION("""COMPUTED_VALUE"""),"")</f>
        <v/>
      </c>
    </row>
    <row r="6351" spans="1:5">
      <c r="A6351" s="12"/>
      <c r="E6351" s="57" t="str">
        <f ca="1">IFERROR(__xludf.DUMMYFUNCTION("""COMPUTED_VALUE"""),"")</f>
        <v/>
      </c>
    </row>
    <row r="6352" spans="1:5">
      <c r="A6352" s="12"/>
      <c r="E6352" s="57" t="str">
        <f ca="1">IFERROR(__xludf.DUMMYFUNCTION("""COMPUTED_VALUE"""),"")</f>
        <v/>
      </c>
    </row>
    <row r="6353" spans="1:5">
      <c r="A6353" s="12"/>
      <c r="E6353" s="57" t="str">
        <f ca="1">IFERROR(__xludf.DUMMYFUNCTION("""COMPUTED_VALUE"""),"")</f>
        <v/>
      </c>
    </row>
    <row r="6354" spans="1:5">
      <c r="A6354" s="12"/>
      <c r="E6354" s="57" t="str">
        <f ca="1">IFERROR(__xludf.DUMMYFUNCTION("""COMPUTED_VALUE"""),"")</f>
        <v/>
      </c>
    </row>
    <row r="6355" spans="1:5">
      <c r="A6355" s="12"/>
      <c r="E6355" s="57" t="str">
        <f ca="1">IFERROR(__xludf.DUMMYFUNCTION("""COMPUTED_VALUE"""),"")</f>
        <v/>
      </c>
    </row>
    <row r="6356" spans="1:5">
      <c r="A6356" s="12"/>
      <c r="E6356" s="57" t="str">
        <f ca="1">IFERROR(__xludf.DUMMYFUNCTION("""COMPUTED_VALUE"""),"")</f>
        <v/>
      </c>
    </row>
    <row r="6357" spans="1:5">
      <c r="A6357" s="12"/>
      <c r="E6357" s="57" t="str">
        <f ca="1">IFERROR(__xludf.DUMMYFUNCTION("""COMPUTED_VALUE"""),"")</f>
        <v/>
      </c>
    </row>
    <row r="6358" spans="1:5">
      <c r="A6358" s="12"/>
      <c r="E6358" s="57" t="str">
        <f ca="1">IFERROR(__xludf.DUMMYFUNCTION("""COMPUTED_VALUE"""),"")</f>
        <v/>
      </c>
    </row>
    <row r="6359" spans="1:5">
      <c r="A6359" s="12"/>
      <c r="E6359" s="57" t="str">
        <f ca="1">IFERROR(__xludf.DUMMYFUNCTION("""COMPUTED_VALUE"""),"")</f>
        <v/>
      </c>
    </row>
    <row r="6360" spans="1:5">
      <c r="A6360" s="12"/>
      <c r="E6360" s="57" t="str">
        <f ca="1">IFERROR(__xludf.DUMMYFUNCTION("""COMPUTED_VALUE"""),"")</f>
        <v/>
      </c>
    </row>
    <row r="6361" spans="1:5">
      <c r="A6361" s="12"/>
      <c r="E6361" s="57" t="str">
        <f ca="1">IFERROR(__xludf.DUMMYFUNCTION("""COMPUTED_VALUE"""),"")</f>
        <v/>
      </c>
    </row>
    <row r="6362" spans="1:5">
      <c r="A6362" s="12"/>
      <c r="E6362" s="57" t="str">
        <f ca="1">IFERROR(__xludf.DUMMYFUNCTION("""COMPUTED_VALUE"""),"")</f>
        <v/>
      </c>
    </row>
    <row r="6363" spans="1:5">
      <c r="A6363" s="12"/>
      <c r="E6363" s="57" t="str">
        <f ca="1">IFERROR(__xludf.DUMMYFUNCTION("""COMPUTED_VALUE"""),"")</f>
        <v/>
      </c>
    </row>
    <row r="6364" spans="1:5">
      <c r="A6364" s="12"/>
      <c r="E6364" s="57" t="str">
        <f ca="1">IFERROR(__xludf.DUMMYFUNCTION("""COMPUTED_VALUE"""),"")</f>
        <v/>
      </c>
    </row>
    <row r="6365" spans="1:5">
      <c r="A6365" s="12"/>
      <c r="E6365" s="57" t="str">
        <f ca="1">IFERROR(__xludf.DUMMYFUNCTION("""COMPUTED_VALUE"""),"")</f>
        <v/>
      </c>
    </row>
    <row r="6366" spans="1:5">
      <c r="A6366" s="12"/>
      <c r="E6366" s="57" t="str">
        <f ca="1">IFERROR(__xludf.DUMMYFUNCTION("""COMPUTED_VALUE"""),"")</f>
        <v/>
      </c>
    </row>
    <row r="6367" spans="1:5">
      <c r="A6367" s="12"/>
      <c r="E6367" s="57" t="str">
        <f ca="1">IFERROR(__xludf.DUMMYFUNCTION("""COMPUTED_VALUE"""),"")</f>
        <v/>
      </c>
    </row>
    <row r="6368" spans="1:5">
      <c r="A6368" s="12"/>
      <c r="E6368" s="57" t="str">
        <f ca="1">IFERROR(__xludf.DUMMYFUNCTION("""COMPUTED_VALUE"""),"")</f>
        <v/>
      </c>
    </row>
    <row r="6369" spans="1:5">
      <c r="A6369" s="12"/>
      <c r="E6369" s="57" t="str">
        <f ca="1">IFERROR(__xludf.DUMMYFUNCTION("""COMPUTED_VALUE"""),"")</f>
        <v/>
      </c>
    </row>
    <row r="6370" spans="1:5">
      <c r="A6370" s="12"/>
      <c r="E6370" s="57" t="str">
        <f ca="1">IFERROR(__xludf.DUMMYFUNCTION("""COMPUTED_VALUE"""),"")</f>
        <v/>
      </c>
    </row>
    <row r="6371" spans="1:5">
      <c r="A6371" s="12"/>
      <c r="E6371" s="57" t="str">
        <f ca="1">IFERROR(__xludf.DUMMYFUNCTION("""COMPUTED_VALUE"""),"")</f>
        <v/>
      </c>
    </row>
    <row r="6372" spans="1:5">
      <c r="A6372" s="12"/>
      <c r="E6372" s="57" t="str">
        <f ca="1">IFERROR(__xludf.DUMMYFUNCTION("""COMPUTED_VALUE"""),"")</f>
        <v/>
      </c>
    </row>
    <row r="6373" spans="1:5">
      <c r="A6373" s="12"/>
      <c r="E6373" s="57" t="str">
        <f ca="1">IFERROR(__xludf.DUMMYFUNCTION("""COMPUTED_VALUE"""),"")</f>
        <v/>
      </c>
    </row>
    <row r="6374" spans="1:5">
      <c r="A6374" s="12"/>
      <c r="E6374" s="57" t="str">
        <f ca="1">IFERROR(__xludf.DUMMYFUNCTION("""COMPUTED_VALUE"""),"")</f>
        <v/>
      </c>
    </row>
    <row r="6375" spans="1:5">
      <c r="A6375" s="12"/>
      <c r="E6375" s="57" t="str">
        <f ca="1">IFERROR(__xludf.DUMMYFUNCTION("""COMPUTED_VALUE"""),"")</f>
        <v/>
      </c>
    </row>
    <row r="6376" spans="1:5">
      <c r="A6376" s="12"/>
      <c r="E6376" s="57" t="str">
        <f ca="1">IFERROR(__xludf.DUMMYFUNCTION("""COMPUTED_VALUE"""),"")</f>
        <v/>
      </c>
    </row>
    <row r="6377" spans="1:5">
      <c r="A6377" s="12"/>
      <c r="E6377" s="57" t="str">
        <f ca="1">IFERROR(__xludf.DUMMYFUNCTION("""COMPUTED_VALUE"""),"")</f>
        <v/>
      </c>
    </row>
    <row r="6378" spans="1:5">
      <c r="A6378" s="12"/>
      <c r="E6378" s="57" t="str">
        <f ca="1">IFERROR(__xludf.DUMMYFUNCTION("""COMPUTED_VALUE"""),"")</f>
        <v/>
      </c>
    </row>
    <row r="6379" spans="1:5">
      <c r="A6379" s="12"/>
      <c r="E6379" s="57" t="str">
        <f ca="1">IFERROR(__xludf.DUMMYFUNCTION("""COMPUTED_VALUE"""),"")</f>
        <v/>
      </c>
    </row>
    <row r="6380" spans="1:5">
      <c r="A6380" s="12"/>
      <c r="E6380" s="57" t="str">
        <f ca="1">IFERROR(__xludf.DUMMYFUNCTION("""COMPUTED_VALUE"""),"")</f>
        <v/>
      </c>
    </row>
    <row r="6381" spans="1:5">
      <c r="A6381" s="12"/>
      <c r="E6381" s="57" t="str">
        <f ca="1">IFERROR(__xludf.DUMMYFUNCTION("""COMPUTED_VALUE"""),"")</f>
        <v/>
      </c>
    </row>
    <row r="6382" spans="1:5">
      <c r="A6382" s="12"/>
      <c r="E6382" s="57" t="str">
        <f ca="1">IFERROR(__xludf.DUMMYFUNCTION("""COMPUTED_VALUE"""),"")</f>
        <v/>
      </c>
    </row>
    <row r="6383" spans="1:5">
      <c r="A6383" s="12"/>
      <c r="E6383" s="57" t="str">
        <f ca="1">IFERROR(__xludf.DUMMYFUNCTION("""COMPUTED_VALUE"""),"")</f>
        <v/>
      </c>
    </row>
    <row r="6384" spans="1:5">
      <c r="A6384" s="12"/>
      <c r="E6384" s="57" t="str">
        <f ca="1">IFERROR(__xludf.DUMMYFUNCTION("""COMPUTED_VALUE"""),"")</f>
        <v/>
      </c>
    </row>
    <row r="6385" spans="1:5">
      <c r="A6385" s="12"/>
      <c r="E6385" s="57" t="str">
        <f ca="1">IFERROR(__xludf.DUMMYFUNCTION("""COMPUTED_VALUE"""),"")</f>
        <v/>
      </c>
    </row>
    <row r="6386" spans="1:5">
      <c r="A6386" s="12"/>
      <c r="E6386" s="57" t="str">
        <f ca="1">IFERROR(__xludf.DUMMYFUNCTION("""COMPUTED_VALUE"""),"")</f>
        <v/>
      </c>
    </row>
    <row r="6387" spans="1:5">
      <c r="A6387" s="12"/>
      <c r="E6387" s="57" t="str">
        <f ca="1">IFERROR(__xludf.DUMMYFUNCTION("""COMPUTED_VALUE"""),"")</f>
        <v/>
      </c>
    </row>
    <row r="6388" spans="1:5">
      <c r="A6388" s="12"/>
      <c r="E6388" s="57" t="str">
        <f ca="1">IFERROR(__xludf.DUMMYFUNCTION("""COMPUTED_VALUE"""),"")</f>
        <v/>
      </c>
    </row>
    <row r="6389" spans="1:5">
      <c r="A6389" s="12"/>
      <c r="E6389" s="57" t="str">
        <f ca="1">IFERROR(__xludf.DUMMYFUNCTION("""COMPUTED_VALUE"""),"")</f>
        <v/>
      </c>
    </row>
    <row r="6390" spans="1:5">
      <c r="A6390" s="12"/>
      <c r="E6390" s="57" t="str">
        <f ca="1">IFERROR(__xludf.DUMMYFUNCTION("""COMPUTED_VALUE"""),"")</f>
        <v/>
      </c>
    </row>
    <row r="6391" spans="1:5">
      <c r="A6391" s="12"/>
      <c r="E6391" s="57" t="str">
        <f ca="1">IFERROR(__xludf.DUMMYFUNCTION("""COMPUTED_VALUE"""),"")</f>
        <v/>
      </c>
    </row>
    <row r="6392" spans="1:5">
      <c r="A6392" s="12"/>
      <c r="E6392" s="57" t="str">
        <f ca="1">IFERROR(__xludf.DUMMYFUNCTION("""COMPUTED_VALUE"""),"")</f>
        <v/>
      </c>
    </row>
    <row r="6393" spans="1:5">
      <c r="A6393" s="12"/>
      <c r="E6393" s="57" t="str">
        <f ca="1">IFERROR(__xludf.DUMMYFUNCTION("""COMPUTED_VALUE"""),"")</f>
        <v/>
      </c>
    </row>
    <row r="6394" spans="1:5">
      <c r="A6394" s="12"/>
      <c r="E6394" s="57" t="str">
        <f ca="1">IFERROR(__xludf.DUMMYFUNCTION("""COMPUTED_VALUE"""),"")</f>
        <v/>
      </c>
    </row>
    <row r="6395" spans="1:5">
      <c r="A6395" s="12"/>
      <c r="E6395" s="57" t="str">
        <f ca="1">IFERROR(__xludf.DUMMYFUNCTION("""COMPUTED_VALUE"""),"")</f>
        <v/>
      </c>
    </row>
    <row r="6396" spans="1:5">
      <c r="A6396" s="12"/>
      <c r="E6396" s="57" t="str">
        <f ca="1">IFERROR(__xludf.DUMMYFUNCTION("""COMPUTED_VALUE"""),"")</f>
        <v/>
      </c>
    </row>
    <row r="6397" spans="1:5">
      <c r="A6397" s="12"/>
      <c r="E6397" s="57" t="str">
        <f ca="1">IFERROR(__xludf.DUMMYFUNCTION("""COMPUTED_VALUE"""),"")</f>
        <v/>
      </c>
    </row>
    <row r="6398" spans="1:5">
      <c r="A6398" s="12"/>
      <c r="E6398" s="57" t="str">
        <f ca="1">IFERROR(__xludf.DUMMYFUNCTION("""COMPUTED_VALUE"""),"")</f>
        <v/>
      </c>
    </row>
    <row r="6399" spans="1:5">
      <c r="A6399" s="12"/>
      <c r="E6399" s="57" t="str">
        <f ca="1">IFERROR(__xludf.DUMMYFUNCTION("""COMPUTED_VALUE"""),"")</f>
        <v/>
      </c>
    </row>
    <row r="6400" spans="1:5">
      <c r="A6400" s="12"/>
      <c r="E6400" s="57" t="str">
        <f ca="1">IFERROR(__xludf.DUMMYFUNCTION("""COMPUTED_VALUE"""),"")</f>
        <v/>
      </c>
    </row>
    <row r="6401" spans="1:5">
      <c r="A6401" s="12"/>
      <c r="E6401" s="57" t="str">
        <f ca="1">IFERROR(__xludf.DUMMYFUNCTION("""COMPUTED_VALUE"""),"")</f>
        <v/>
      </c>
    </row>
    <row r="6402" spans="1:5">
      <c r="A6402" s="12"/>
      <c r="E6402" s="57" t="str">
        <f ca="1">IFERROR(__xludf.DUMMYFUNCTION("""COMPUTED_VALUE"""),"")</f>
        <v/>
      </c>
    </row>
    <row r="6403" spans="1:5">
      <c r="A6403" s="12"/>
      <c r="E6403" s="57" t="str">
        <f ca="1">IFERROR(__xludf.DUMMYFUNCTION("""COMPUTED_VALUE"""),"")</f>
        <v/>
      </c>
    </row>
    <row r="6404" spans="1:5">
      <c r="A6404" s="12"/>
      <c r="E6404" s="57" t="str">
        <f ca="1">IFERROR(__xludf.DUMMYFUNCTION("""COMPUTED_VALUE"""),"")</f>
        <v/>
      </c>
    </row>
    <row r="6405" spans="1:5">
      <c r="A6405" s="12"/>
      <c r="E6405" s="57" t="str">
        <f ca="1">IFERROR(__xludf.DUMMYFUNCTION("""COMPUTED_VALUE"""),"")</f>
        <v/>
      </c>
    </row>
    <row r="6406" spans="1:5">
      <c r="A6406" s="12"/>
      <c r="E6406" s="57" t="str">
        <f ca="1">IFERROR(__xludf.DUMMYFUNCTION("""COMPUTED_VALUE"""),"")</f>
        <v/>
      </c>
    </row>
    <row r="6407" spans="1:5">
      <c r="A6407" s="12"/>
      <c r="E6407" s="57" t="str">
        <f ca="1">IFERROR(__xludf.DUMMYFUNCTION("""COMPUTED_VALUE"""),"")</f>
        <v/>
      </c>
    </row>
    <row r="6408" spans="1:5">
      <c r="A6408" s="12"/>
      <c r="E6408" s="57" t="str">
        <f ca="1">IFERROR(__xludf.DUMMYFUNCTION("""COMPUTED_VALUE"""),"")</f>
        <v/>
      </c>
    </row>
    <row r="6409" spans="1:5">
      <c r="A6409" s="12"/>
      <c r="E6409" s="57" t="str">
        <f ca="1">IFERROR(__xludf.DUMMYFUNCTION("""COMPUTED_VALUE"""),"")</f>
        <v/>
      </c>
    </row>
    <row r="6410" spans="1:5">
      <c r="A6410" s="12"/>
      <c r="E6410" s="57" t="str">
        <f ca="1">IFERROR(__xludf.DUMMYFUNCTION("""COMPUTED_VALUE"""),"")</f>
        <v/>
      </c>
    </row>
    <row r="6411" spans="1:5">
      <c r="A6411" s="12"/>
      <c r="E6411" s="57" t="str">
        <f ca="1">IFERROR(__xludf.DUMMYFUNCTION("""COMPUTED_VALUE"""),"")</f>
        <v/>
      </c>
    </row>
    <row r="6412" spans="1:5">
      <c r="A6412" s="12"/>
      <c r="E6412" s="57" t="str">
        <f ca="1">IFERROR(__xludf.DUMMYFUNCTION("""COMPUTED_VALUE"""),"")</f>
        <v/>
      </c>
    </row>
    <row r="6413" spans="1:5">
      <c r="A6413" s="12"/>
      <c r="E6413" s="57" t="str">
        <f ca="1">IFERROR(__xludf.DUMMYFUNCTION("""COMPUTED_VALUE"""),"")</f>
        <v/>
      </c>
    </row>
    <row r="6414" spans="1:5">
      <c r="A6414" s="12"/>
      <c r="E6414" s="57" t="str">
        <f ca="1">IFERROR(__xludf.DUMMYFUNCTION("""COMPUTED_VALUE"""),"")</f>
        <v/>
      </c>
    </row>
    <row r="6415" spans="1:5">
      <c r="A6415" s="12"/>
      <c r="E6415" s="57" t="str">
        <f ca="1">IFERROR(__xludf.DUMMYFUNCTION("""COMPUTED_VALUE"""),"")</f>
        <v/>
      </c>
    </row>
    <row r="6416" spans="1:5">
      <c r="A6416" s="12"/>
      <c r="E6416" s="57" t="str">
        <f ca="1">IFERROR(__xludf.DUMMYFUNCTION("""COMPUTED_VALUE"""),"")</f>
        <v/>
      </c>
    </row>
    <row r="6417" spans="1:5">
      <c r="A6417" s="12"/>
      <c r="E6417" s="57" t="str">
        <f ca="1">IFERROR(__xludf.DUMMYFUNCTION("""COMPUTED_VALUE"""),"")</f>
        <v/>
      </c>
    </row>
    <row r="6418" spans="1:5">
      <c r="A6418" s="12"/>
      <c r="E6418" s="57" t="str">
        <f ca="1">IFERROR(__xludf.DUMMYFUNCTION("""COMPUTED_VALUE"""),"")</f>
        <v/>
      </c>
    </row>
    <row r="6419" spans="1:5">
      <c r="A6419" s="12"/>
      <c r="E6419" s="57" t="str">
        <f ca="1">IFERROR(__xludf.DUMMYFUNCTION("""COMPUTED_VALUE"""),"")</f>
        <v/>
      </c>
    </row>
    <row r="6420" spans="1:5">
      <c r="A6420" s="12"/>
      <c r="E6420" s="57" t="str">
        <f ca="1">IFERROR(__xludf.DUMMYFUNCTION("""COMPUTED_VALUE"""),"")</f>
        <v/>
      </c>
    </row>
    <row r="6421" spans="1:5">
      <c r="A6421" s="12"/>
      <c r="E6421" s="57" t="str">
        <f ca="1">IFERROR(__xludf.DUMMYFUNCTION("""COMPUTED_VALUE"""),"")</f>
        <v/>
      </c>
    </row>
    <row r="6422" spans="1:5">
      <c r="A6422" s="12"/>
      <c r="E6422" s="57" t="str">
        <f ca="1">IFERROR(__xludf.DUMMYFUNCTION("""COMPUTED_VALUE"""),"")</f>
        <v/>
      </c>
    </row>
    <row r="6423" spans="1:5">
      <c r="A6423" s="12"/>
      <c r="E6423" s="57" t="str">
        <f ca="1">IFERROR(__xludf.DUMMYFUNCTION("""COMPUTED_VALUE"""),"")</f>
        <v/>
      </c>
    </row>
    <row r="6424" spans="1:5">
      <c r="A6424" s="12"/>
      <c r="E6424" s="57" t="str">
        <f ca="1">IFERROR(__xludf.DUMMYFUNCTION("""COMPUTED_VALUE"""),"")</f>
        <v/>
      </c>
    </row>
    <row r="6425" spans="1:5">
      <c r="A6425" s="12"/>
      <c r="E6425" s="57" t="str">
        <f ca="1">IFERROR(__xludf.DUMMYFUNCTION("""COMPUTED_VALUE"""),"")</f>
        <v/>
      </c>
    </row>
    <row r="6426" spans="1:5">
      <c r="A6426" s="12"/>
      <c r="E6426" s="57" t="str">
        <f ca="1">IFERROR(__xludf.DUMMYFUNCTION("""COMPUTED_VALUE"""),"")</f>
        <v/>
      </c>
    </row>
    <row r="6427" spans="1:5">
      <c r="A6427" s="12"/>
      <c r="E6427" s="57" t="str">
        <f ca="1">IFERROR(__xludf.DUMMYFUNCTION("""COMPUTED_VALUE"""),"")</f>
        <v/>
      </c>
    </row>
    <row r="6428" spans="1:5">
      <c r="A6428" s="12"/>
      <c r="E6428" s="57" t="str">
        <f ca="1">IFERROR(__xludf.DUMMYFUNCTION("""COMPUTED_VALUE"""),"")</f>
        <v/>
      </c>
    </row>
    <row r="6429" spans="1:5">
      <c r="A6429" s="12"/>
      <c r="E6429" s="57" t="str">
        <f ca="1">IFERROR(__xludf.DUMMYFUNCTION("""COMPUTED_VALUE"""),"")</f>
        <v/>
      </c>
    </row>
    <row r="6430" spans="1:5">
      <c r="A6430" s="12"/>
      <c r="E6430" s="57" t="str">
        <f ca="1">IFERROR(__xludf.DUMMYFUNCTION("""COMPUTED_VALUE"""),"")</f>
        <v/>
      </c>
    </row>
    <row r="6431" spans="1:5">
      <c r="A6431" s="12"/>
      <c r="E6431" s="57" t="str">
        <f ca="1">IFERROR(__xludf.DUMMYFUNCTION("""COMPUTED_VALUE"""),"")</f>
        <v/>
      </c>
    </row>
    <row r="6432" spans="1:5">
      <c r="A6432" s="12"/>
      <c r="E6432" s="57" t="str">
        <f ca="1">IFERROR(__xludf.DUMMYFUNCTION("""COMPUTED_VALUE"""),"")</f>
        <v/>
      </c>
    </row>
    <row r="6433" spans="1:5">
      <c r="A6433" s="12"/>
      <c r="E6433" s="57" t="str">
        <f ca="1">IFERROR(__xludf.DUMMYFUNCTION("""COMPUTED_VALUE"""),"")</f>
        <v/>
      </c>
    </row>
    <row r="6434" spans="1:5">
      <c r="A6434" s="12"/>
      <c r="E6434" s="57" t="str">
        <f ca="1">IFERROR(__xludf.DUMMYFUNCTION("""COMPUTED_VALUE"""),"")</f>
        <v/>
      </c>
    </row>
    <row r="6435" spans="1:5">
      <c r="A6435" s="12"/>
      <c r="E6435" s="57" t="str">
        <f ca="1">IFERROR(__xludf.DUMMYFUNCTION("""COMPUTED_VALUE"""),"")</f>
        <v/>
      </c>
    </row>
    <row r="6436" spans="1:5">
      <c r="A6436" s="12"/>
      <c r="E6436" s="57" t="str">
        <f ca="1">IFERROR(__xludf.DUMMYFUNCTION("""COMPUTED_VALUE"""),"")</f>
        <v/>
      </c>
    </row>
    <row r="6437" spans="1:5">
      <c r="A6437" s="12"/>
      <c r="E6437" s="57" t="str">
        <f ca="1">IFERROR(__xludf.DUMMYFUNCTION("""COMPUTED_VALUE"""),"")</f>
        <v/>
      </c>
    </row>
    <row r="6438" spans="1:5">
      <c r="A6438" s="12"/>
      <c r="E6438" s="57" t="str">
        <f ca="1">IFERROR(__xludf.DUMMYFUNCTION("""COMPUTED_VALUE"""),"")</f>
        <v/>
      </c>
    </row>
    <row r="6439" spans="1:5">
      <c r="A6439" s="12"/>
      <c r="E6439" s="57" t="str">
        <f ca="1">IFERROR(__xludf.DUMMYFUNCTION("""COMPUTED_VALUE"""),"")</f>
        <v/>
      </c>
    </row>
    <row r="6440" spans="1:5">
      <c r="A6440" s="12"/>
      <c r="E6440" s="57" t="str">
        <f ca="1">IFERROR(__xludf.DUMMYFUNCTION("""COMPUTED_VALUE"""),"")</f>
        <v/>
      </c>
    </row>
    <row r="6441" spans="1:5">
      <c r="A6441" s="12"/>
      <c r="E6441" s="57" t="str">
        <f ca="1">IFERROR(__xludf.DUMMYFUNCTION("""COMPUTED_VALUE"""),"")</f>
        <v/>
      </c>
    </row>
    <row r="6442" spans="1:5">
      <c r="A6442" s="12"/>
      <c r="E6442" s="57" t="str">
        <f ca="1">IFERROR(__xludf.DUMMYFUNCTION("""COMPUTED_VALUE"""),"")</f>
        <v/>
      </c>
    </row>
    <row r="6443" spans="1:5">
      <c r="A6443" s="12"/>
      <c r="E6443" s="57" t="str">
        <f ca="1">IFERROR(__xludf.DUMMYFUNCTION("""COMPUTED_VALUE"""),"")</f>
        <v/>
      </c>
    </row>
    <row r="6444" spans="1:5">
      <c r="A6444" s="12"/>
      <c r="E6444" s="57" t="str">
        <f ca="1">IFERROR(__xludf.DUMMYFUNCTION("""COMPUTED_VALUE"""),"")</f>
        <v/>
      </c>
    </row>
    <row r="6445" spans="1:5">
      <c r="A6445" s="12"/>
      <c r="E6445" s="57" t="str">
        <f ca="1">IFERROR(__xludf.DUMMYFUNCTION("""COMPUTED_VALUE"""),"")</f>
        <v/>
      </c>
    </row>
    <row r="6446" spans="1:5">
      <c r="A6446" s="12"/>
      <c r="E6446" s="57" t="str">
        <f ca="1">IFERROR(__xludf.DUMMYFUNCTION("""COMPUTED_VALUE"""),"")</f>
        <v/>
      </c>
    </row>
    <row r="6447" spans="1:5">
      <c r="A6447" s="12"/>
      <c r="E6447" s="57" t="str">
        <f ca="1">IFERROR(__xludf.DUMMYFUNCTION("""COMPUTED_VALUE"""),"")</f>
        <v/>
      </c>
    </row>
    <row r="6448" spans="1:5">
      <c r="A6448" s="12"/>
      <c r="E6448" s="57" t="str">
        <f ca="1">IFERROR(__xludf.DUMMYFUNCTION("""COMPUTED_VALUE"""),"")</f>
        <v/>
      </c>
    </row>
    <row r="6449" spans="1:5">
      <c r="A6449" s="12"/>
      <c r="E6449" s="57" t="str">
        <f ca="1">IFERROR(__xludf.DUMMYFUNCTION("""COMPUTED_VALUE"""),"")</f>
        <v/>
      </c>
    </row>
    <row r="6450" spans="1:5">
      <c r="A6450" s="12"/>
      <c r="E6450" s="57" t="str">
        <f ca="1">IFERROR(__xludf.DUMMYFUNCTION("""COMPUTED_VALUE"""),"")</f>
        <v/>
      </c>
    </row>
    <row r="6451" spans="1:5">
      <c r="A6451" s="12"/>
      <c r="E6451" s="57" t="str">
        <f ca="1">IFERROR(__xludf.DUMMYFUNCTION("""COMPUTED_VALUE"""),"")</f>
        <v/>
      </c>
    </row>
    <row r="6452" spans="1:5">
      <c r="A6452" s="12"/>
      <c r="E6452" s="57" t="str">
        <f ca="1">IFERROR(__xludf.DUMMYFUNCTION("""COMPUTED_VALUE"""),"")</f>
        <v/>
      </c>
    </row>
    <row r="6453" spans="1:5">
      <c r="A6453" s="12"/>
      <c r="E6453" s="57" t="str">
        <f ca="1">IFERROR(__xludf.DUMMYFUNCTION("""COMPUTED_VALUE"""),"")</f>
        <v/>
      </c>
    </row>
    <row r="6454" spans="1:5">
      <c r="A6454" s="12"/>
      <c r="E6454" s="57" t="str">
        <f ca="1">IFERROR(__xludf.DUMMYFUNCTION("""COMPUTED_VALUE"""),"")</f>
        <v/>
      </c>
    </row>
    <row r="6455" spans="1:5">
      <c r="A6455" s="12"/>
      <c r="E6455" s="57" t="str">
        <f ca="1">IFERROR(__xludf.DUMMYFUNCTION("""COMPUTED_VALUE"""),"")</f>
        <v/>
      </c>
    </row>
    <row r="6456" spans="1:5">
      <c r="A6456" s="12"/>
      <c r="E6456" s="57" t="str">
        <f ca="1">IFERROR(__xludf.DUMMYFUNCTION("""COMPUTED_VALUE"""),"")</f>
        <v/>
      </c>
    </row>
    <row r="6457" spans="1:5">
      <c r="A6457" s="12"/>
      <c r="E6457" s="57" t="str">
        <f ca="1">IFERROR(__xludf.DUMMYFUNCTION("""COMPUTED_VALUE"""),"")</f>
        <v/>
      </c>
    </row>
    <row r="6458" spans="1:5">
      <c r="A6458" s="12"/>
      <c r="E6458" s="57" t="str">
        <f ca="1">IFERROR(__xludf.DUMMYFUNCTION("""COMPUTED_VALUE"""),"")</f>
        <v/>
      </c>
    </row>
    <row r="6459" spans="1:5">
      <c r="A6459" s="12"/>
      <c r="E6459" s="57" t="str">
        <f ca="1">IFERROR(__xludf.DUMMYFUNCTION("""COMPUTED_VALUE"""),"")</f>
        <v/>
      </c>
    </row>
    <row r="6460" spans="1:5">
      <c r="A6460" s="12"/>
      <c r="E6460" s="57" t="str">
        <f ca="1">IFERROR(__xludf.DUMMYFUNCTION("""COMPUTED_VALUE"""),"")</f>
        <v/>
      </c>
    </row>
    <row r="6461" spans="1:5">
      <c r="A6461" s="12"/>
      <c r="E6461" s="57" t="str">
        <f ca="1">IFERROR(__xludf.DUMMYFUNCTION("""COMPUTED_VALUE"""),"")</f>
        <v/>
      </c>
    </row>
    <row r="6462" spans="1:5">
      <c r="A6462" s="12"/>
      <c r="E6462" s="57" t="str">
        <f ca="1">IFERROR(__xludf.DUMMYFUNCTION("""COMPUTED_VALUE"""),"")</f>
        <v/>
      </c>
    </row>
    <row r="6463" spans="1:5">
      <c r="A6463" s="12"/>
      <c r="E6463" s="57" t="str">
        <f ca="1">IFERROR(__xludf.DUMMYFUNCTION("""COMPUTED_VALUE"""),"")</f>
        <v/>
      </c>
    </row>
    <row r="6464" spans="1:5">
      <c r="A6464" s="12"/>
      <c r="E6464" s="57" t="str">
        <f ca="1">IFERROR(__xludf.DUMMYFUNCTION("""COMPUTED_VALUE"""),"")</f>
        <v/>
      </c>
    </row>
    <row r="6465" spans="1:5">
      <c r="A6465" s="12"/>
      <c r="E6465" s="57" t="str">
        <f ca="1">IFERROR(__xludf.DUMMYFUNCTION("""COMPUTED_VALUE"""),"")</f>
        <v/>
      </c>
    </row>
    <row r="6466" spans="1:5">
      <c r="A6466" s="12"/>
      <c r="E6466" s="57" t="str">
        <f ca="1">IFERROR(__xludf.DUMMYFUNCTION("""COMPUTED_VALUE"""),"")</f>
        <v/>
      </c>
    </row>
    <row r="6467" spans="1:5">
      <c r="A6467" s="12"/>
      <c r="E6467" s="57" t="str">
        <f ca="1">IFERROR(__xludf.DUMMYFUNCTION("""COMPUTED_VALUE"""),"")</f>
        <v/>
      </c>
    </row>
    <row r="6468" spans="1:5">
      <c r="A6468" s="12"/>
      <c r="E6468" s="57" t="str">
        <f ca="1">IFERROR(__xludf.DUMMYFUNCTION("""COMPUTED_VALUE"""),"")</f>
        <v/>
      </c>
    </row>
    <row r="6469" spans="1:5">
      <c r="A6469" s="12"/>
      <c r="E6469" s="57" t="str">
        <f ca="1">IFERROR(__xludf.DUMMYFUNCTION("""COMPUTED_VALUE"""),"")</f>
        <v/>
      </c>
    </row>
    <row r="6470" spans="1:5">
      <c r="A6470" s="12"/>
      <c r="E6470" s="57" t="str">
        <f ca="1">IFERROR(__xludf.DUMMYFUNCTION("""COMPUTED_VALUE"""),"")</f>
        <v/>
      </c>
    </row>
    <row r="6471" spans="1:5">
      <c r="A6471" s="12"/>
      <c r="E6471" s="57" t="str">
        <f ca="1">IFERROR(__xludf.DUMMYFUNCTION("""COMPUTED_VALUE"""),"")</f>
        <v/>
      </c>
    </row>
    <row r="6472" spans="1:5">
      <c r="A6472" s="12"/>
      <c r="E6472" s="57" t="str">
        <f ca="1">IFERROR(__xludf.DUMMYFUNCTION("""COMPUTED_VALUE"""),"")</f>
        <v/>
      </c>
    </row>
    <row r="6473" spans="1:5">
      <c r="A6473" s="12"/>
      <c r="E6473" s="57" t="str">
        <f ca="1">IFERROR(__xludf.DUMMYFUNCTION("""COMPUTED_VALUE"""),"")</f>
        <v/>
      </c>
    </row>
    <row r="6474" spans="1:5">
      <c r="A6474" s="12"/>
      <c r="E6474" s="57" t="str">
        <f ca="1">IFERROR(__xludf.DUMMYFUNCTION("""COMPUTED_VALUE"""),"")</f>
        <v/>
      </c>
    </row>
    <row r="6475" spans="1:5">
      <c r="A6475" s="12"/>
      <c r="E6475" s="57" t="str">
        <f ca="1">IFERROR(__xludf.DUMMYFUNCTION("""COMPUTED_VALUE"""),"")</f>
        <v/>
      </c>
    </row>
    <row r="6476" spans="1:5">
      <c r="A6476" s="12"/>
      <c r="E6476" s="57" t="str">
        <f ca="1">IFERROR(__xludf.DUMMYFUNCTION("""COMPUTED_VALUE"""),"")</f>
        <v/>
      </c>
    </row>
    <row r="6477" spans="1:5">
      <c r="A6477" s="12"/>
      <c r="E6477" s="57" t="str">
        <f ca="1">IFERROR(__xludf.DUMMYFUNCTION("""COMPUTED_VALUE"""),"")</f>
        <v/>
      </c>
    </row>
    <row r="6478" spans="1:5">
      <c r="A6478" s="12"/>
      <c r="E6478" s="57" t="str">
        <f ca="1">IFERROR(__xludf.DUMMYFUNCTION("""COMPUTED_VALUE"""),"")</f>
        <v/>
      </c>
    </row>
    <row r="6479" spans="1:5">
      <c r="A6479" s="12"/>
      <c r="E6479" s="57" t="str">
        <f ca="1">IFERROR(__xludf.DUMMYFUNCTION("""COMPUTED_VALUE"""),"")</f>
        <v/>
      </c>
    </row>
    <row r="6480" spans="1:5">
      <c r="A6480" s="12"/>
      <c r="E6480" s="57" t="str">
        <f ca="1">IFERROR(__xludf.DUMMYFUNCTION("""COMPUTED_VALUE"""),"")</f>
        <v/>
      </c>
    </row>
    <row r="6481" spans="1:5">
      <c r="A6481" s="12"/>
      <c r="E6481" s="57" t="str">
        <f ca="1">IFERROR(__xludf.DUMMYFUNCTION("""COMPUTED_VALUE"""),"")</f>
        <v/>
      </c>
    </row>
    <row r="6482" spans="1:5">
      <c r="A6482" s="12"/>
      <c r="E6482" s="57" t="str">
        <f ca="1">IFERROR(__xludf.DUMMYFUNCTION("""COMPUTED_VALUE"""),"")</f>
        <v/>
      </c>
    </row>
    <row r="6483" spans="1:5">
      <c r="A6483" s="12"/>
      <c r="E6483" s="57" t="str">
        <f ca="1">IFERROR(__xludf.DUMMYFUNCTION("""COMPUTED_VALUE"""),"")</f>
        <v/>
      </c>
    </row>
    <row r="6484" spans="1:5">
      <c r="A6484" s="12"/>
      <c r="E6484" s="57" t="str">
        <f ca="1">IFERROR(__xludf.DUMMYFUNCTION("""COMPUTED_VALUE"""),"")</f>
        <v/>
      </c>
    </row>
    <row r="6485" spans="1:5">
      <c r="A6485" s="12"/>
      <c r="E6485" s="57" t="str">
        <f ca="1">IFERROR(__xludf.DUMMYFUNCTION("""COMPUTED_VALUE"""),"")</f>
        <v/>
      </c>
    </row>
    <row r="6486" spans="1:5">
      <c r="A6486" s="12"/>
      <c r="E6486" s="57" t="str">
        <f ca="1">IFERROR(__xludf.DUMMYFUNCTION("""COMPUTED_VALUE"""),"")</f>
        <v/>
      </c>
    </row>
    <row r="6487" spans="1:5">
      <c r="A6487" s="12"/>
      <c r="E6487" s="57" t="str">
        <f ca="1">IFERROR(__xludf.DUMMYFUNCTION("""COMPUTED_VALUE"""),"")</f>
        <v/>
      </c>
    </row>
    <row r="6488" spans="1:5">
      <c r="A6488" s="12"/>
      <c r="E6488" s="57" t="str">
        <f ca="1">IFERROR(__xludf.DUMMYFUNCTION("""COMPUTED_VALUE"""),"")</f>
        <v/>
      </c>
    </row>
    <row r="6489" spans="1:5">
      <c r="A6489" s="12"/>
      <c r="E6489" s="57" t="str">
        <f ca="1">IFERROR(__xludf.DUMMYFUNCTION("""COMPUTED_VALUE"""),"")</f>
        <v/>
      </c>
    </row>
    <row r="6490" spans="1:5">
      <c r="A6490" s="12"/>
      <c r="E6490" s="57" t="str">
        <f ca="1">IFERROR(__xludf.DUMMYFUNCTION("""COMPUTED_VALUE"""),"")</f>
        <v/>
      </c>
    </row>
    <row r="6491" spans="1:5">
      <c r="A6491" s="12"/>
      <c r="E6491" s="57" t="str">
        <f ca="1">IFERROR(__xludf.DUMMYFUNCTION("""COMPUTED_VALUE"""),"")</f>
        <v/>
      </c>
    </row>
    <row r="6492" spans="1:5">
      <c r="A6492" s="12"/>
      <c r="E6492" s="57" t="str">
        <f ca="1">IFERROR(__xludf.DUMMYFUNCTION("""COMPUTED_VALUE"""),"")</f>
        <v/>
      </c>
    </row>
    <row r="6493" spans="1:5">
      <c r="A6493" s="12"/>
      <c r="E6493" s="57" t="str">
        <f ca="1">IFERROR(__xludf.DUMMYFUNCTION("""COMPUTED_VALUE"""),"")</f>
        <v/>
      </c>
    </row>
    <row r="6494" spans="1:5">
      <c r="A6494" s="12"/>
      <c r="E6494" s="57" t="str">
        <f ca="1">IFERROR(__xludf.DUMMYFUNCTION("""COMPUTED_VALUE"""),"")</f>
        <v/>
      </c>
    </row>
    <row r="6495" spans="1:5">
      <c r="A6495" s="12"/>
      <c r="E6495" s="57" t="str">
        <f ca="1">IFERROR(__xludf.DUMMYFUNCTION("""COMPUTED_VALUE"""),"")</f>
        <v/>
      </c>
    </row>
    <row r="6496" spans="1:5">
      <c r="A6496" s="12"/>
      <c r="E6496" s="57" t="str">
        <f ca="1">IFERROR(__xludf.DUMMYFUNCTION("""COMPUTED_VALUE"""),"")</f>
        <v/>
      </c>
    </row>
    <row r="6497" spans="1:5">
      <c r="A6497" s="12"/>
      <c r="E6497" s="57" t="str">
        <f ca="1">IFERROR(__xludf.DUMMYFUNCTION("""COMPUTED_VALUE"""),"")</f>
        <v/>
      </c>
    </row>
    <row r="6498" spans="1:5">
      <c r="A6498" s="12"/>
      <c r="E6498" s="57" t="str">
        <f ca="1">IFERROR(__xludf.DUMMYFUNCTION("""COMPUTED_VALUE"""),"")</f>
        <v/>
      </c>
    </row>
    <row r="6499" spans="1:5">
      <c r="A6499" s="12"/>
      <c r="E6499" s="57" t="str">
        <f ca="1">IFERROR(__xludf.DUMMYFUNCTION("""COMPUTED_VALUE"""),"")</f>
        <v/>
      </c>
    </row>
    <row r="6500" spans="1:5">
      <c r="A6500" s="12"/>
      <c r="E6500" s="57" t="str">
        <f ca="1">IFERROR(__xludf.DUMMYFUNCTION("""COMPUTED_VALUE"""),"")</f>
        <v/>
      </c>
    </row>
    <row r="6501" spans="1:5">
      <c r="A6501" s="12"/>
      <c r="E6501" s="57" t="str">
        <f ca="1">IFERROR(__xludf.DUMMYFUNCTION("""COMPUTED_VALUE"""),"")</f>
        <v/>
      </c>
    </row>
    <row r="6502" spans="1:5">
      <c r="A6502" s="12"/>
      <c r="E6502" s="57" t="str">
        <f ca="1">IFERROR(__xludf.DUMMYFUNCTION("""COMPUTED_VALUE"""),"")</f>
        <v/>
      </c>
    </row>
    <row r="6503" spans="1:5">
      <c r="A6503" s="12"/>
      <c r="E6503" s="57" t="str">
        <f ca="1">IFERROR(__xludf.DUMMYFUNCTION("""COMPUTED_VALUE"""),"")</f>
        <v/>
      </c>
    </row>
    <row r="6504" spans="1:5">
      <c r="A6504" s="12"/>
      <c r="E6504" s="57" t="str">
        <f ca="1">IFERROR(__xludf.DUMMYFUNCTION("""COMPUTED_VALUE"""),"")</f>
        <v/>
      </c>
    </row>
    <row r="6505" spans="1:5">
      <c r="A6505" s="12"/>
      <c r="E6505" s="57" t="str">
        <f ca="1">IFERROR(__xludf.DUMMYFUNCTION("""COMPUTED_VALUE"""),"")</f>
        <v/>
      </c>
    </row>
    <row r="6506" spans="1:5">
      <c r="A6506" s="12"/>
      <c r="E6506" s="57" t="str">
        <f ca="1">IFERROR(__xludf.DUMMYFUNCTION("""COMPUTED_VALUE"""),"")</f>
        <v/>
      </c>
    </row>
    <row r="6507" spans="1:5">
      <c r="A6507" s="12"/>
      <c r="E6507" s="57" t="str">
        <f ca="1">IFERROR(__xludf.DUMMYFUNCTION("""COMPUTED_VALUE"""),"")</f>
        <v/>
      </c>
    </row>
    <row r="6508" spans="1:5">
      <c r="A6508" s="12"/>
      <c r="E6508" s="57" t="str">
        <f ca="1">IFERROR(__xludf.DUMMYFUNCTION("""COMPUTED_VALUE"""),"")</f>
        <v/>
      </c>
    </row>
    <row r="6509" spans="1:5">
      <c r="A6509" s="12"/>
      <c r="E6509" s="57" t="str">
        <f ca="1">IFERROR(__xludf.DUMMYFUNCTION("""COMPUTED_VALUE"""),"")</f>
        <v/>
      </c>
    </row>
    <row r="6510" spans="1:5">
      <c r="A6510" s="12"/>
      <c r="E6510" s="57" t="str">
        <f ca="1">IFERROR(__xludf.DUMMYFUNCTION("""COMPUTED_VALUE"""),"")</f>
        <v/>
      </c>
    </row>
    <row r="6511" spans="1:5">
      <c r="A6511" s="12"/>
      <c r="E6511" s="57" t="str">
        <f ca="1">IFERROR(__xludf.DUMMYFUNCTION("""COMPUTED_VALUE"""),"")</f>
        <v/>
      </c>
    </row>
    <row r="6512" spans="1:5">
      <c r="A6512" s="12"/>
      <c r="E6512" s="57" t="str">
        <f ca="1">IFERROR(__xludf.DUMMYFUNCTION("""COMPUTED_VALUE"""),"")</f>
        <v/>
      </c>
    </row>
    <row r="6513" spans="1:5">
      <c r="A6513" s="12"/>
      <c r="E6513" s="57" t="str">
        <f ca="1">IFERROR(__xludf.DUMMYFUNCTION("""COMPUTED_VALUE"""),"")</f>
        <v/>
      </c>
    </row>
    <row r="6514" spans="1:5">
      <c r="A6514" s="12"/>
      <c r="E6514" s="57" t="str">
        <f ca="1">IFERROR(__xludf.DUMMYFUNCTION("""COMPUTED_VALUE"""),"")</f>
        <v/>
      </c>
    </row>
    <row r="6515" spans="1:5">
      <c r="A6515" s="12"/>
      <c r="E6515" s="57" t="str">
        <f ca="1">IFERROR(__xludf.DUMMYFUNCTION("""COMPUTED_VALUE"""),"")</f>
        <v/>
      </c>
    </row>
    <row r="6516" spans="1:5">
      <c r="A6516" s="12"/>
      <c r="E6516" s="57" t="str">
        <f ca="1">IFERROR(__xludf.DUMMYFUNCTION("""COMPUTED_VALUE"""),"")</f>
        <v/>
      </c>
    </row>
    <row r="6517" spans="1:5">
      <c r="A6517" s="12"/>
      <c r="E6517" s="57" t="str">
        <f ca="1">IFERROR(__xludf.DUMMYFUNCTION("""COMPUTED_VALUE"""),"")</f>
        <v/>
      </c>
    </row>
    <row r="6518" spans="1:5">
      <c r="A6518" s="12"/>
      <c r="E6518" s="57" t="str">
        <f ca="1">IFERROR(__xludf.DUMMYFUNCTION("""COMPUTED_VALUE"""),"")</f>
        <v/>
      </c>
    </row>
    <row r="6519" spans="1:5">
      <c r="A6519" s="12"/>
      <c r="E6519" s="57" t="str">
        <f ca="1">IFERROR(__xludf.DUMMYFUNCTION("""COMPUTED_VALUE"""),"")</f>
        <v/>
      </c>
    </row>
    <row r="6520" spans="1:5">
      <c r="A6520" s="12"/>
      <c r="E6520" s="57" t="str">
        <f ca="1">IFERROR(__xludf.DUMMYFUNCTION("""COMPUTED_VALUE"""),"")</f>
        <v/>
      </c>
    </row>
    <row r="6521" spans="1:5">
      <c r="A6521" s="12"/>
      <c r="E6521" s="57" t="str">
        <f ca="1">IFERROR(__xludf.DUMMYFUNCTION("""COMPUTED_VALUE"""),"")</f>
        <v/>
      </c>
    </row>
    <row r="6522" spans="1:5">
      <c r="A6522" s="12"/>
      <c r="E6522" s="57" t="str">
        <f ca="1">IFERROR(__xludf.DUMMYFUNCTION("""COMPUTED_VALUE"""),"")</f>
        <v/>
      </c>
    </row>
    <row r="6523" spans="1:5">
      <c r="A6523" s="12"/>
      <c r="E6523" s="57" t="str">
        <f ca="1">IFERROR(__xludf.DUMMYFUNCTION("""COMPUTED_VALUE"""),"")</f>
        <v/>
      </c>
    </row>
    <row r="6524" spans="1:5">
      <c r="A6524" s="12"/>
      <c r="E6524" s="57" t="str">
        <f ca="1">IFERROR(__xludf.DUMMYFUNCTION("""COMPUTED_VALUE"""),"")</f>
        <v/>
      </c>
    </row>
    <row r="6525" spans="1:5">
      <c r="A6525" s="12"/>
      <c r="E6525" s="57" t="str">
        <f ca="1">IFERROR(__xludf.DUMMYFUNCTION("""COMPUTED_VALUE"""),"")</f>
        <v/>
      </c>
    </row>
    <row r="6526" spans="1:5">
      <c r="A6526" s="12"/>
      <c r="E6526" s="57" t="str">
        <f ca="1">IFERROR(__xludf.DUMMYFUNCTION("""COMPUTED_VALUE"""),"")</f>
        <v/>
      </c>
    </row>
    <row r="6527" spans="1:5">
      <c r="A6527" s="12"/>
      <c r="E6527" s="57" t="str">
        <f ca="1">IFERROR(__xludf.DUMMYFUNCTION("""COMPUTED_VALUE"""),"")</f>
        <v/>
      </c>
    </row>
    <row r="6528" spans="1:5">
      <c r="A6528" s="12"/>
      <c r="E6528" s="57" t="str">
        <f ca="1">IFERROR(__xludf.DUMMYFUNCTION("""COMPUTED_VALUE"""),"")</f>
        <v/>
      </c>
    </row>
    <row r="6529" spans="1:5">
      <c r="A6529" s="12"/>
      <c r="E6529" s="57" t="str">
        <f ca="1">IFERROR(__xludf.DUMMYFUNCTION("""COMPUTED_VALUE"""),"")</f>
        <v/>
      </c>
    </row>
    <row r="6530" spans="1:5">
      <c r="A6530" s="12"/>
      <c r="E6530" s="57" t="str">
        <f ca="1">IFERROR(__xludf.DUMMYFUNCTION("""COMPUTED_VALUE"""),"")</f>
        <v/>
      </c>
    </row>
    <row r="6531" spans="1:5">
      <c r="A6531" s="12"/>
      <c r="E6531" s="57" t="str">
        <f ca="1">IFERROR(__xludf.DUMMYFUNCTION("""COMPUTED_VALUE"""),"")</f>
        <v/>
      </c>
    </row>
    <row r="6532" spans="1:5">
      <c r="A6532" s="12"/>
      <c r="E6532" s="57" t="str">
        <f ca="1">IFERROR(__xludf.DUMMYFUNCTION("""COMPUTED_VALUE"""),"")</f>
        <v/>
      </c>
    </row>
    <row r="6533" spans="1:5">
      <c r="A6533" s="12"/>
      <c r="E6533" s="57" t="str">
        <f ca="1">IFERROR(__xludf.DUMMYFUNCTION("""COMPUTED_VALUE"""),"")</f>
        <v/>
      </c>
    </row>
    <row r="6534" spans="1:5">
      <c r="A6534" s="12"/>
      <c r="E6534" s="57" t="str">
        <f ca="1">IFERROR(__xludf.DUMMYFUNCTION("""COMPUTED_VALUE"""),"")</f>
        <v/>
      </c>
    </row>
    <row r="6535" spans="1:5">
      <c r="A6535" s="12"/>
      <c r="E6535" s="57" t="str">
        <f ca="1">IFERROR(__xludf.DUMMYFUNCTION("""COMPUTED_VALUE"""),"")</f>
        <v/>
      </c>
    </row>
    <row r="6536" spans="1:5">
      <c r="A6536" s="12"/>
      <c r="E6536" s="57" t="str">
        <f ca="1">IFERROR(__xludf.DUMMYFUNCTION("""COMPUTED_VALUE"""),"")</f>
        <v/>
      </c>
    </row>
    <row r="6537" spans="1:5">
      <c r="A6537" s="12"/>
      <c r="E6537" s="57" t="str">
        <f ca="1">IFERROR(__xludf.DUMMYFUNCTION("""COMPUTED_VALUE"""),"")</f>
        <v/>
      </c>
    </row>
    <row r="6538" spans="1:5">
      <c r="A6538" s="12"/>
      <c r="E6538" s="57" t="str">
        <f ca="1">IFERROR(__xludf.DUMMYFUNCTION("""COMPUTED_VALUE"""),"")</f>
        <v/>
      </c>
    </row>
    <row r="6539" spans="1:5">
      <c r="A6539" s="12"/>
      <c r="E6539" s="57" t="str">
        <f ca="1">IFERROR(__xludf.DUMMYFUNCTION("""COMPUTED_VALUE"""),"")</f>
        <v/>
      </c>
    </row>
    <row r="6540" spans="1:5">
      <c r="A6540" s="12"/>
      <c r="E6540" s="57" t="str">
        <f ca="1">IFERROR(__xludf.DUMMYFUNCTION("""COMPUTED_VALUE"""),"")</f>
        <v/>
      </c>
    </row>
    <row r="6541" spans="1:5">
      <c r="A6541" s="12"/>
      <c r="E6541" s="57" t="str">
        <f ca="1">IFERROR(__xludf.DUMMYFUNCTION("""COMPUTED_VALUE"""),"")</f>
        <v/>
      </c>
    </row>
    <row r="6542" spans="1:5">
      <c r="A6542" s="12"/>
      <c r="E6542" s="57" t="str">
        <f ca="1">IFERROR(__xludf.DUMMYFUNCTION("""COMPUTED_VALUE"""),"")</f>
        <v/>
      </c>
    </row>
    <row r="6543" spans="1:5">
      <c r="A6543" s="12"/>
      <c r="E6543" s="57" t="str">
        <f ca="1">IFERROR(__xludf.DUMMYFUNCTION("""COMPUTED_VALUE"""),"")</f>
        <v/>
      </c>
    </row>
    <row r="6544" spans="1:5">
      <c r="A6544" s="12"/>
      <c r="E6544" s="57" t="str">
        <f ca="1">IFERROR(__xludf.DUMMYFUNCTION("""COMPUTED_VALUE"""),"")</f>
        <v/>
      </c>
    </row>
    <row r="6545" spans="1:5">
      <c r="A6545" s="12"/>
      <c r="E6545" s="57" t="str">
        <f ca="1">IFERROR(__xludf.DUMMYFUNCTION("""COMPUTED_VALUE"""),"")</f>
        <v/>
      </c>
    </row>
    <row r="6546" spans="1:5">
      <c r="A6546" s="12"/>
      <c r="E6546" s="57" t="str">
        <f ca="1">IFERROR(__xludf.DUMMYFUNCTION("""COMPUTED_VALUE"""),"")</f>
        <v/>
      </c>
    </row>
    <row r="6547" spans="1:5">
      <c r="A6547" s="12"/>
      <c r="E6547" s="57" t="str">
        <f ca="1">IFERROR(__xludf.DUMMYFUNCTION("""COMPUTED_VALUE"""),"")</f>
        <v/>
      </c>
    </row>
    <row r="6548" spans="1:5">
      <c r="A6548" s="12"/>
      <c r="E6548" s="57" t="str">
        <f ca="1">IFERROR(__xludf.DUMMYFUNCTION("""COMPUTED_VALUE"""),"")</f>
        <v/>
      </c>
    </row>
    <row r="6549" spans="1:5">
      <c r="A6549" s="12"/>
      <c r="E6549" s="57" t="str">
        <f ca="1">IFERROR(__xludf.DUMMYFUNCTION("""COMPUTED_VALUE"""),"")</f>
        <v/>
      </c>
    </row>
    <row r="6550" spans="1:5">
      <c r="A6550" s="12"/>
      <c r="E6550" s="57" t="str">
        <f ca="1">IFERROR(__xludf.DUMMYFUNCTION("""COMPUTED_VALUE"""),"")</f>
        <v/>
      </c>
    </row>
    <row r="6551" spans="1:5">
      <c r="A6551" s="12"/>
      <c r="E6551" s="57" t="str">
        <f ca="1">IFERROR(__xludf.DUMMYFUNCTION("""COMPUTED_VALUE"""),"")</f>
        <v/>
      </c>
    </row>
    <row r="6552" spans="1:5">
      <c r="A6552" s="12"/>
      <c r="E6552" s="57" t="str">
        <f ca="1">IFERROR(__xludf.DUMMYFUNCTION("""COMPUTED_VALUE"""),"")</f>
        <v/>
      </c>
    </row>
    <row r="6553" spans="1:5">
      <c r="A6553" s="12"/>
      <c r="E6553" s="57" t="str">
        <f ca="1">IFERROR(__xludf.DUMMYFUNCTION("""COMPUTED_VALUE"""),"")</f>
        <v/>
      </c>
    </row>
    <row r="6554" spans="1:5">
      <c r="A6554" s="12"/>
      <c r="E6554" s="57" t="str">
        <f ca="1">IFERROR(__xludf.DUMMYFUNCTION("""COMPUTED_VALUE"""),"")</f>
        <v/>
      </c>
    </row>
    <row r="6555" spans="1:5">
      <c r="A6555" s="12"/>
      <c r="E6555" s="57" t="str">
        <f ca="1">IFERROR(__xludf.DUMMYFUNCTION("""COMPUTED_VALUE"""),"")</f>
        <v/>
      </c>
    </row>
    <row r="6556" spans="1:5">
      <c r="A6556" s="12"/>
      <c r="E6556" s="57" t="str">
        <f ca="1">IFERROR(__xludf.DUMMYFUNCTION("""COMPUTED_VALUE"""),"")</f>
        <v/>
      </c>
    </row>
    <row r="6557" spans="1:5">
      <c r="A6557" s="12"/>
      <c r="E6557" s="57" t="str">
        <f ca="1">IFERROR(__xludf.DUMMYFUNCTION("""COMPUTED_VALUE"""),"")</f>
        <v/>
      </c>
    </row>
    <row r="6558" spans="1:5">
      <c r="A6558" s="12"/>
      <c r="E6558" s="57" t="str">
        <f ca="1">IFERROR(__xludf.DUMMYFUNCTION("""COMPUTED_VALUE"""),"")</f>
        <v/>
      </c>
    </row>
    <row r="6559" spans="1:5">
      <c r="A6559" s="12"/>
      <c r="E6559" s="57" t="str">
        <f ca="1">IFERROR(__xludf.DUMMYFUNCTION("""COMPUTED_VALUE"""),"")</f>
        <v/>
      </c>
    </row>
    <row r="6560" spans="1:5">
      <c r="A6560" s="12"/>
      <c r="E6560" s="57" t="str">
        <f ca="1">IFERROR(__xludf.DUMMYFUNCTION("""COMPUTED_VALUE"""),"")</f>
        <v/>
      </c>
    </row>
    <row r="6561" spans="1:5">
      <c r="A6561" s="12"/>
      <c r="E6561" s="57" t="str">
        <f ca="1">IFERROR(__xludf.DUMMYFUNCTION("""COMPUTED_VALUE"""),"")</f>
        <v/>
      </c>
    </row>
    <row r="6562" spans="1:5">
      <c r="A6562" s="12"/>
      <c r="E6562" s="57" t="str">
        <f ca="1">IFERROR(__xludf.DUMMYFUNCTION("""COMPUTED_VALUE"""),"")</f>
        <v/>
      </c>
    </row>
    <row r="6563" spans="1:5">
      <c r="A6563" s="12"/>
      <c r="E6563" s="57" t="str">
        <f ca="1">IFERROR(__xludf.DUMMYFUNCTION("""COMPUTED_VALUE"""),"")</f>
        <v/>
      </c>
    </row>
    <row r="6564" spans="1:5">
      <c r="A6564" s="12"/>
      <c r="E6564" s="57" t="str">
        <f ca="1">IFERROR(__xludf.DUMMYFUNCTION("""COMPUTED_VALUE"""),"")</f>
        <v/>
      </c>
    </row>
    <row r="6565" spans="1:5">
      <c r="A6565" s="12"/>
      <c r="E6565" s="57" t="str">
        <f ca="1">IFERROR(__xludf.DUMMYFUNCTION("""COMPUTED_VALUE"""),"")</f>
        <v/>
      </c>
    </row>
    <row r="6566" spans="1:5">
      <c r="A6566" s="12"/>
      <c r="E6566" s="57" t="str">
        <f ca="1">IFERROR(__xludf.DUMMYFUNCTION("""COMPUTED_VALUE"""),"")</f>
        <v/>
      </c>
    </row>
    <row r="6567" spans="1:5">
      <c r="A6567" s="12"/>
      <c r="E6567" s="57" t="str">
        <f ca="1">IFERROR(__xludf.DUMMYFUNCTION("""COMPUTED_VALUE"""),"")</f>
        <v/>
      </c>
    </row>
    <row r="6568" spans="1:5">
      <c r="A6568" s="12"/>
      <c r="E6568" s="57" t="str">
        <f ca="1">IFERROR(__xludf.DUMMYFUNCTION("""COMPUTED_VALUE"""),"")</f>
        <v/>
      </c>
    </row>
    <row r="6569" spans="1:5">
      <c r="A6569" s="12"/>
      <c r="E6569" s="57" t="str">
        <f ca="1">IFERROR(__xludf.DUMMYFUNCTION("""COMPUTED_VALUE"""),"")</f>
        <v/>
      </c>
    </row>
    <row r="6570" spans="1:5">
      <c r="A6570" s="12"/>
      <c r="E6570" s="57" t="str">
        <f ca="1">IFERROR(__xludf.DUMMYFUNCTION("""COMPUTED_VALUE"""),"")</f>
        <v/>
      </c>
    </row>
    <row r="6571" spans="1:5">
      <c r="A6571" s="12"/>
      <c r="E6571" s="57" t="str">
        <f ca="1">IFERROR(__xludf.DUMMYFUNCTION("""COMPUTED_VALUE"""),"")</f>
        <v/>
      </c>
    </row>
    <row r="6572" spans="1:5">
      <c r="A6572" s="12"/>
      <c r="E6572" s="57" t="str">
        <f ca="1">IFERROR(__xludf.DUMMYFUNCTION("""COMPUTED_VALUE"""),"")</f>
        <v/>
      </c>
    </row>
    <row r="6573" spans="1:5">
      <c r="A6573" s="12"/>
      <c r="E6573" s="57" t="str">
        <f ca="1">IFERROR(__xludf.DUMMYFUNCTION("""COMPUTED_VALUE"""),"")</f>
        <v/>
      </c>
    </row>
    <row r="6574" spans="1:5">
      <c r="A6574" s="12"/>
      <c r="E6574" s="57" t="str">
        <f ca="1">IFERROR(__xludf.DUMMYFUNCTION("""COMPUTED_VALUE"""),"")</f>
        <v/>
      </c>
    </row>
    <row r="6575" spans="1:5">
      <c r="A6575" s="12"/>
      <c r="E6575" s="57" t="str">
        <f ca="1">IFERROR(__xludf.DUMMYFUNCTION("""COMPUTED_VALUE"""),"")</f>
        <v/>
      </c>
    </row>
    <row r="6576" spans="1:5">
      <c r="A6576" s="12"/>
      <c r="E6576" s="57" t="str">
        <f ca="1">IFERROR(__xludf.DUMMYFUNCTION("""COMPUTED_VALUE"""),"")</f>
        <v/>
      </c>
    </row>
    <row r="6577" spans="1:5">
      <c r="A6577" s="12"/>
      <c r="E6577" s="57" t="str">
        <f ca="1">IFERROR(__xludf.DUMMYFUNCTION("""COMPUTED_VALUE"""),"")</f>
        <v/>
      </c>
    </row>
    <row r="6578" spans="1:5">
      <c r="A6578" s="12"/>
      <c r="E6578" s="57" t="str">
        <f ca="1">IFERROR(__xludf.DUMMYFUNCTION("""COMPUTED_VALUE"""),"")</f>
        <v/>
      </c>
    </row>
    <row r="6579" spans="1:5">
      <c r="A6579" s="12"/>
      <c r="E6579" s="57" t="str">
        <f ca="1">IFERROR(__xludf.DUMMYFUNCTION("""COMPUTED_VALUE"""),"")</f>
        <v/>
      </c>
    </row>
    <row r="6580" spans="1:5">
      <c r="A6580" s="12"/>
      <c r="E6580" s="57" t="str">
        <f ca="1">IFERROR(__xludf.DUMMYFUNCTION("""COMPUTED_VALUE"""),"")</f>
        <v/>
      </c>
    </row>
    <row r="6581" spans="1:5">
      <c r="A6581" s="12"/>
      <c r="E6581" s="57" t="str">
        <f ca="1">IFERROR(__xludf.DUMMYFUNCTION("""COMPUTED_VALUE"""),"")</f>
        <v/>
      </c>
    </row>
    <row r="6582" spans="1:5">
      <c r="A6582" s="12"/>
      <c r="E6582" s="57" t="str">
        <f ca="1">IFERROR(__xludf.DUMMYFUNCTION("""COMPUTED_VALUE"""),"")</f>
        <v/>
      </c>
    </row>
    <row r="6583" spans="1:5">
      <c r="A6583" s="12"/>
      <c r="E6583" s="57" t="str">
        <f ca="1">IFERROR(__xludf.DUMMYFUNCTION("""COMPUTED_VALUE"""),"")</f>
        <v/>
      </c>
    </row>
    <row r="6584" spans="1:5">
      <c r="A6584" s="12"/>
      <c r="E6584" s="57" t="str">
        <f ca="1">IFERROR(__xludf.DUMMYFUNCTION("""COMPUTED_VALUE"""),"")</f>
        <v/>
      </c>
    </row>
    <row r="6585" spans="1:5">
      <c r="A6585" s="12"/>
      <c r="E6585" s="57" t="str">
        <f ca="1">IFERROR(__xludf.DUMMYFUNCTION("""COMPUTED_VALUE"""),"")</f>
        <v/>
      </c>
    </row>
    <row r="6586" spans="1:5">
      <c r="A6586" s="12"/>
      <c r="E6586" s="57" t="str">
        <f ca="1">IFERROR(__xludf.DUMMYFUNCTION("""COMPUTED_VALUE"""),"")</f>
        <v/>
      </c>
    </row>
    <row r="6587" spans="1:5">
      <c r="A6587" s="12"/>
      <c r="E6587" s="57" t="str">
        <f ca="1">IFERROR(__xludf.DUMMYFUNCTION("""COMPUTED_VALUE"""),"")</f>
        <v/>
      </c>
    </row>
    <row r="6588" spans="1:5">
      <c r="A6588" s="12"/>
      <c r="E6588" s="57" t="str">
        <f ca="1">IFERROR(__xludf.DUMMYFUNCTION("""COMPUTED_VALUE"""),"")</f>
        <v/>
      </c>
    </row>
    <row r="6589" spans="1:5">
      <c r="A6589" s="12"/>
      <c r="E6589" s="57" t="str">
        <f ca="1">IFERROR(__xludf.DUMMYFUNCTION("""COMPUTED_VALUE"""),"")</f>
        <v/>
      </c>
    </row>
    <row r="6590" spans="1:5">
      <c r="A6590" s="12"/>
      <c r="E6590" s="57" t="str">
        <f ca="1">IFERROR(__xludf.DUMMYFUNCTION("""COMPUTED_VALUE"""),"")</f>
        <v/>
      </c>
    </row>
    <row r="6591" spans="1:5">
      <c r="A6591" s="12"/>
      <c r="E6591" s="57" t="str">
        <f ca="1">IFERROR(__xludf.DUMMYFUNCTION("""COMPUTED_VALUE"""),"")</f>
        <v/>
      </c>
    </row>
    <row r="6592" spans="1:5">
      <c r="A6592" s="12"/>
      <c r="E6592" s="57" t="str">
        <f ca="1">IFERROR(__xludf.DUMMYFUNCTION("""COMPUTED_VALUE"""),"")</f>
        <v/>
      </c>
    </row>
    <row r="6593" spans="1:5">
      <c r="A6593" s="12"/>
      <c r="E6593" s="57" t="str">
        <f ca="1">IFERROR(__xludf.DUMMYFUNCTION("""COMPUTED_VALUE"""),"")</f>
        <v/>
      </c>
    </row>
    <row r="6594" spans="1:5">
      <c r="A6594" s="12"/>
      <c r="E6594" s="57" t="str">
        <f ca="1">IFERROR(__xludf.DUMMYFUNCTION("""COMPUTED_VALUE"""),"")</f>
        <v/>
      </c>
    </row>
    <row r="6595" spans="1:5">
      <c r="A6595" s="12"/>
      <c r="E6595" s="57" t="str">
        <f ca="1">IFERROR(__xludf.DUMMYFUNCTION("""COMPUTED_VALUE"""),"")</f>
        <v/>
      </c>
    </row>
    <row r="6596" spans="1:5">
      <c r="A6596" s="12"/>
      <c r="E6596" s="57" t="str">
        <f ca="1">IFERROR(__xludf.DUMMYFUNCTION("""COMPUTED_VALUE"""),"")</f>
        <v/>
      </c>
    </row>
    <row r="6597" spans="1:5">
      <c r="A6597" s="12"/>
      <c r="E6597" s="57" t="str">
        <f ca="1">IFERROR(__xludf.DUMMYFUNCTION("""COMPUTED_VALUE"""),"")</f>
        <v/>
      </c>
    </row>
    <row r="6598" spans="1:5">
      <c r="A6598" s="12"/>
      <c r="E6598" s="57" t="str">
        <f ca="1">IFERROR(__xludf.DUMMYFUNCTION("""COMPUTED_VALUE"""),"")</f>
        <v/>
      </c>
    </row>
    <row r="6599" spans="1:5">
      <c r="A6599" s="12"/>
      <c r="E6599" s="57" t="str">
        <f ca="1">IFERROR(__xludf.DUMMYFUNCTION("""COMPUTED_VALUE"""),"")</f>
        <v/>
      </c>
    </row>
    <row r="6600" spans="1:5">
      <c r="A6600" s="12"/>
      <c r="E6600" s="57" t="str">
        <f ca="1">IFERROR(__xludf.DUMMYFUNCTION("""COMPUTED_VALUE"""),"")</f>
        <v/>
      </c>
    </row>
    <row r="6601" spans="1:5">
      <c r="A6601" s="12"/>
      <c r="E6601" s="57" t="str">
        <f ca="1">IFERROR(__xludf.DUMMYFUNCTION("""COMPUTED_VALUE"""),"")</f>
        <v/>
      </c>
    </row>
    <row r="6602" spans="1:5">
      <c r="A6602" s="12"/>
      <c r="E6602" s="57" t="str">
        <f ca="1">IFERROR(__xludf.DUMMYFUNCTION("""COMPUTED_VALUE"""),"")</f>
        <v/>
      </c>
    </row>
    <row r="6603" spans="1:5">
      <c r="A6603" s="12"/>
      <c r="E6603" s="57" t="str">
        <f ca="1">IFERROR(__xludf.DUMMYFUNCTION("""COMPUTED_VALUE"""),"")</f>
        <v/>
      </c>
    </row>
    <row r="6604" spans="1:5">
      <c r="A6604" s="12"/>
      <c r="E6604" s="57" t="str">
        <f ca="1">IFERROR(__xludf.DUMMYFUNCTION("""COMPUTED_VALUE"""),"")</f>
        <v/>
      </c>
    </row>
    <row r="6605" spans="1:5">
      <c r="A6605" s="12"/>
      <c r="E6605" s="57" t="str">
        <f ca="1">IFERROR(__xludf.DUMMYFUNCTION("""COMPUTED_VALUE"""),"")</f>
        <v/>
      </c>
    </row>
    <row r="6606" spans="1:5">
      <c r="A6606" s="12"/>
      <c r="E6606" s="57" t="str">
        <f ca="1">IFERROR(__xludf.DUMMYFUNCTION("""COMPUTED_VALUE"""),"")</f>
        <v/>
      </c>
    </row>
    <row r="6607" spans="1:5">
      <c r="A6607" s="12"/>
      <c r="E6607" s="57" t="str">
        <f ca="1">IFERROR(__xludf.DUMMYFUNCTION("""COMPUTED_VALUE"""),"")</f>
        <v/>
      </c>
    </row>
    <row r="6608" spans="1:5">
      <c r="A6608" s="12"/>
      <c r="E6608" s="57" t="str">
        <f ca="1">IFERROR(__xludf.DUMMYFUNCTION("""COMPUTED_VALUE"""),"")</f>
        <v/>
      </c>
    </row>
    <row r="6609" spans="1:5">
      <c r="A6609" s="12"/>
      <c r="E6609" s="57" t="str">
        <f ca="1">IFERROR(__xludf.DUMMYFUNCTION("""COMPUTED_VALUE"""),"")</f>
        <v/>
      </c>
    </row>
    <row r="6610" spans="1:5">
      <c r="A6610" s="12"/>
      <c r="E6610" s="57" t="str">
        <f ca="1">IFERROR(__xludf.DUMMYFUNCTION("""COMPUTED_VALUE"""),"")</f>
        <v/>
      </c>
    </row>
    <row r="6611" spans="1:5">
      <c r="A6611" s="12"/>
      <c r="E6611" s="57" t="str">
        <f ca="1">IFERROR(__xludf.DUMMYFUNCTION("""COMPUTED_VALUE"""),"")</f>
        <v/>
      </c>
    </row>
    <row r="6612" spans="1:5">
      <c r="A6612" s="12"/>
      <c r="E6612" s="57" t="str">
        <f ca="1">IFERROR(__xludf.DUMMYFUNCTION("""COMPUTED_VALUE"""),"")</f>
        <v/>
      </c>
    </row>
    <row r="6613" spans="1:5">
      <c r="A6613" s="12"/>
      <c r="E6613" s="57" t="str">
        <f ca="1">IFERROR(__xludf.DUMMYFUNCTION("""COMPUTED_VALUE"""),"")</f>
        <v/>
      </c>
    </row>
    <row r="6614" spans="1:5">
      <c r="A6614" s="12"/>
      <c r="E6614" s="57" t="str">
        <f ca="1">IFERROR(__xludf.DUMMYFUNCTION("""COMPUTED_VALUE"""),"")</f>
        <v/>
      </c>
    </row>
    <row r="6615" spans="1:5">
      <c r="A6615" s="12"/>
      <c r="E6615" s="57" t="str">
        <f ca="1">IFERROR(__xludf.DUMMYFUNCTION("""COMPUTED_VALUE"""),"")</f>
        <v/>
      </c>
    </row>
    <row r="6616" spans="1:5">
      <c r="A6616" s="12"/>
      <c r="E6616" s="57" t="str">
        <f ca="1">IFERROR(__xludf.DUMMYFUNCTION("""COMPUTED_VALUE"""),"")</f>
        <v/>
      </c>
    </row>
    <row r="6617" spans="1:5">
      <c r="A6617" s="12"/>
      <c r="E6617" s="57" t="str">
        <f ca="1">IFERROR(__xludf.DUMMYFUNCTION("""COMPUTED_VALUE"""),"")</f>
        <v/>
      </c>
    </row>
    <row r="6618" spans="1:5">
      <c r="A6618" s="12"/>
      <c r="E6618" s="57" t="str">
        <f ca="1">IFERROR(__xludf.DUMMYFUNCTION("""COMPUTED_VALUE"""),"")</f>
        <v/>
      </c>
    </row>
    <row r="6619" spans="1:5">
      <c r="A6619" s="12"/>
      <c r="E6619" s="57" t="str">
        <f ca="1">IFERROR(__xludf.DUMMYFUNCTION("""COMPUTED_VALUE"""),"")</f>
        <v/>
      </c>
    </row>
    <row r="6620" spans="1:5">
      <c r="A6620" s="12"/>
      <c r="E6620" s="57" t="str">
        <f ca="1">IFERROR(__xludf.DUMMYFUNCTION("""COMPUTED_VALUE"""),"")</f>
        <v/>
      </c>
    </row>
    <row r="6621" spans="1:5">
      <c r="A6621" s="12"/>
      <c r="E6621" s="57" t="str">
        <f ca="1">IFERROR(__xludf.DUMMYFUNCTION("""COMPUTED_VALUE"""),"")</f>
        <v/>
      </c>
    </row>
    <row r="6622" spans="1:5">
      <c r="A6622" s="12"/>
      <c r="E6622" s="57" t="str">
        <f ca="1">IFERROR(__xludf.DUMMYFUNCTION("""COMPUTED_VALUE"""),"")</f>
        <v/>
      </c>
    </row>
    <row r="6623" spans="1:5">
      <c r="A6623" s="12"/>
      <c r="E6623" s="57" t="str">
        <f ca="1">IFERROR(__xludf.DUMMYFUNCTION("""COMPUTED_VALUE"""),"")</f>
        <v/>
      </c>
    </row>
    <row r="6624" spans="1:5">
      <c r="A6624" s="12"/>
      <c r="E6624" s="57" t="str">
        <f ca="1">IFERROR(__xludf.DUMMYFUNCTION("""COMPUTED_VALUE"""),"")</f>
        <v/>
      </c>
    </row>
    <row r="6625" spans="1:5">
      <c r="A6625" s="12"/>
      <c r="E6625" s="57" t="str">
        <f ca="1">IFERROR(__xludf.DUMMYFUNCTION("""COMPUTED_VALUE"""),"")</f>
        <v/>
      </c>
    </row>
    <row r="6626" spans="1:5">
      <c r="A6626" s="12"/>
      <c r="E6626" s="57" t="str">
        <f ca="1">IFERROR(__xludf.DUMMYFUNCTION("""COMPUTED_VALUE"""),"")</f>
        <v/>
      </c>
    </row>
    <row r="6627" spans="1:5">
      <c r="A6627" s="12"/>
      <c r="E6627" s="57" t="str">
        <f ca="1">IFERROR(__xludf.DUMMYFUNCTION("""COMPUTED_VALUE"""),"")</f>
        <v/>
      </c>
    </row>
    <row r="6628" spans="1:5">
      <c r="A6628" s="12"/>
      <c r="E6628" s="57" t="str">
        <f ca="1">IFERROR(__xludf.DUMMYFUNCTION("""COMPUTED_VALUE"""),"")</f>
        <v/>
      </c>
    </row>
    <row r="6629" spans="1:5">
      <c r="A6629" s="12"/>
      <c r="E6629" s="57" t="str">
        <f ca="1">IFERROR(__xludf.DUMMYFUNCTION("""COMPUTED_VALUE"""),"")</f>
        <v/>
      </c>
    </row>
    <row r="6630" spans="1:5">
      <c r="A6630" s="12"/>
      <c r="E6630" s="57" t="str">
        <f ca="1">IFERROR(__xludf.DUMMYFUNCTION("""COMPUTED_VALUE"""),"")</f>
        <v/>
      </c>
    </row>
    <row r="6631" spans="1:5">
      <c r="A6631" s="12"/>
      <c r="E6631" s="57" t="str">
        <f ca="1">IFERROR(__xludf.DUMMYFUNCTION("""COMPUTED_VALUE"""),"")</f>
        <v/>
      </c>
    </row>
    <row r="6632" spans="1:5">
      <c r="A6632" s="12"/>
      <c r="E6632" s="57" t="str">
        <f ca="1">IFERROR(__xludf.DUMMYFUNCTION("""COMPUTED_VALUE"""),"")</f>
        <v/>
      </c>
    </row>
    <row r="6633" spans="1:5">
      <c r="A6633" s="12"/>
      <c r="E6633" s="57" t="str">
        <f ca="1">IFERROR(__xludf.DUMMYFUNCTION("""COMPUTED_VALUE"""),"")</f>
        <v/>
      </c>
    </row>
    <row r="6634" spans="1:5">
      <c r="A6634" s="12"/>
      <c r="E6634" s="57" t="str">
        <f ca="1">IFERROR(__xludf.DUMMYFUNCTION("""COMPUTED_VALUE"""),"")</f>
        <v/>
      </c>
    </row>
    <row r="6635" spans="1:5">
      <c r="A6635" s="12"/>
      <c r="E6635" s="57" t="str">
        <f ca="1">IFERROR(__xludf.DUMMYFUNCTION("""COMPUTED_VALUE"""),"")</f>
        <v/>
      </c>
    </row>
    <row r="6636" spans="1:5">
      <c r="A6636" s="12"/>
      <c r="E6636" s="57" t="str">
        <f ca="1">IFERROR(__xludf.DUMMYFUNCTION("""COMPUTED_VALUE"""),"")</f>
        <v/>
      </c>
    </row>
    <row r="6637" spans="1:5">
      <c r="A6637" s="12"/>
      <c r="E6637" s="57" t="str">
        <f ca="1">IFERROR(__xludf.DUMMYFUNCTION("""COMPUTED_VALUE"""),"")</f>
        <v/>
      </c>
    </row>
    <row r="6638" spans="1:5">
      <c r="A6638" s="12"/>
      <c r="E6638" s="57" t="str">
        <f ca="1">IFERROR(__xludf.DUMMYFUNCTION("""COMPUTED_VALUE"""),"")</f>
        <v/>
      </c>
    </row>
    <row r="6639" spans="1:5">
      <c r="A6639" s="12"/>
      <c r="E6639" s="57" t="str">
        <f ca="1">IFERROR(__xludf.DUMMYFUNCTION("""COMPUTED_VALUE"""),"")</f>
        <v/>
      </c>
    </row>
    <row r="6640" spans="1:5">
      <c r="A6640" s="12"/>
      <c r="E6640" s="57" t="str">
        <f ca="1">IFERROR(__xludf.DUMMYFUNCTION("""COMPUTED_VALUE"""),"")</f>
        <v/>
      </c>
    </row>
    <row r="6641" spans="1:5">
      <c r="A6641" s="12"/>
      <c r="E6641" s="57" t="str">
        <f ca="1">IFERROR(__xludf.DUMMYFUNCTION("""COMPUTED_VALUE"""),"")</f>
        <v/>
      </c>
    </row>
    <row r="6642" spans="1:5">
      <c r="A6642" s="12"/>
      <c r="E6642" s="57" t="str">
        <f ca="1">IFERROR(__xludf.DUMMYFUNCTION("""COMPUTED_VALUE"""),"")</f>
        <v/>
      </c>
    </row>
    <row r="6643" spans="1:5">
      <c r="A6643" s="12"/>
      <c r="E6643" s="57" t="str">
        <f ca="1">IFERROR(__xludf.DUMMYFUNCTION("""COMPUTED_VALUE"""),"")</f>
        <v/>
      </c>
    </row>
    <row r="6644" spans="1:5">
      <c r="A6644" s="12"/>
      <c r="E6644" s="57" t="str">
        <f ca="1">IFERROR(__xludf.DUMMYFUNCTION("""COMPUTED_VALUE"""),"")</f>
        <v/>
      </c>
    </row>
    <row r="6645" spans="1:5">
      <c r="A6645" s="12"/>
      <c r="E6645" s="57" t="str">
        <f ca="1">IFERROR(__xludf.DUMMYFUNCTION("""COMPUTED_VALUE"""),"")</f>
        <v/>
      </c>
    </row>
    <row r="6646" spans="1:5">
      <c r="A6646" s="12"/>
      <c r="E6646" s="57" t="str">
        <f ca="1">IFERROR(__xludf.DUMMYFUNCTION("""COMPUTED_VALUE"""),"")</f>
        <v/>
      </c>
    </row>
    <row r="6647" spans="1:5">
      <c r="A6647" s="12"/>
      <c r="E6647" s="57" t="str">
        <f ca="1">IFERROR(__xludf.DUMMYFUNCTION("""COMPUTED_VALUE"""),"")</f>
        <v/>
      </c>
    </row>
    <row r="6648" spans="1:5">
      <c r="A6648" s="12"/>
      <c r="E6648" s="57" t="str">
        <f ca="1">IFERROR(__xludf.DUMMYFUNCTION("""COMPUTED_VALUE"""),"")</f>
        <v/>
      </c>
    </row>
    <row r="6649" spans="1:5">
      <c r="A6649" s="12"/>
      <c r="E6649" s="57" t="str">
        <f ca="1">IFERROR(__xludf.DUMMYFUNCTION("""COMPUTED_VALUE"""),"")</f>
        <v/>
      </c>
    </row>
    <row r="6650" spans="1:5">
      <c r="A6650" s="12"/>
      <c r="E6650" s="57" t="str">
        <f ca="1">IFERROR(__xludf.DUMMYFUNCTION("""COMPUTED_VALUE"""),"")</f>
        <v/>
      </c>
    </row>
    <row r="6651" spans="1:5">
      <c r="A6651" s="12"/>
      <c r="E6651" s="57" t="str">
        <f ca="1">IFERROR(__xludf.DUMMYFUNCTION("""COMPUTED_VALUE"""),"")</f>
        <v/>
      </c>
    </row>
    <row r="6652" spans="1:5">
      <c r="A6652" s="12"/>
      <c r="E6652" s="57" t="str">
        <f ca="1">IFERROR(__xludf.DUMMYFUNCTION("""COMPUTED_VALUE"""),"")</f>
        <v/>
      </c>
    </row>
    <row r="6653" spans="1:5">
      <c r="A6653" s="12"/>
      <c r="E6653" s="57" t="str">
        <f ca="1">IFERROR(__xludf.DUMMYFUNCTION("""COMPUTED_VALUE"""),"")</f>
        <v/>
      </c>
    </row>
    <row r="6654" spans="1:5">
      <c r="A6654" s="12"/>
      <c r="E6654" s="57" t="str">
        <f ca="1">IFERROR(__xludf.DUMMYFUNCTION("""COMPUTED_VALUE"""),"")</f>
        <v/>
      </c>
    </row>
    <row r="6655" spans="1:5">
      <c r="A6655" s="12"/>
      <c r="E6655" s="57" t="str">
        <f ca="1">IFERROR(__xludf.DUMMYFUNCTION("""COMPUTED_VALUE"""),"")</f>
        <v/>
      </c>
    </row>
    <row r="6656" spans="1:5">
      <c r="A6656" s="12"/>
      <c r="E6656" s="57" t="str">
        <f ca="1">IFERROR(__xludf.DUMMYFUNCTION("""COMPUTED_VALUE"""),"")</f>
        <v/>
      </c>
    </row>
    <row r="6657" spans="1:5">
      <c r="A6657" s="12"/>
      <c r="E6657" s="57" t="str">
        <f ca="1">IFERROR(__xludf.DUMMYFUNCTION("""COMPUTED_VALUE"""),"")</f>
        <v/>
      </c>
    </row>
    <row r="6658" spans="1:5">
      <c r="A6658" s="12"/>
      <c r="E6658" s="57" t="str">
        <f ca="1">IFERROR(__xludf.DUMMYFUNCTION("""COMPUTED_VALUE"""),"")</f>
        <v/>
      </c>
    </row>
    <row r="6659" spans="1:5">
      <c r="A6659" s="12"/>
      <c r="E6659" s="57" t="str">
        <f ca="1">IFERROR(__xludf.DUMMYFUNCTION("""COMPUTED_VALUE"""),"")</f>
        <v/>
      </c>
    </row>
    <row r="6660" spans="1:5">
      <c r="A6660" s="12"/>
      <c r="E6660" s="57" t="str">
        <f ca="1">IFERROR(__xludf.DUMMYFUNCTION("""COMPUTED_VALUE"""),"")</f>
        <v/>
      </c>
    </row>
    <row r="6661" spans="1:5">
      <c r="A6661" s="12"/>
      <c r="E6661" s="57" t="str">
        <f ca="1">IFERROR(__xludf.DUMMYFUNCTION("""COMPUTED_VALUE"""),"")</f>
        <v/>
      </c>
    </row>
    <row r="6662" spans="1:5">
      <c r="A6662" s="12"/>
      <c r="E6662" s="57" t="str">
        <f ca="1">IFERROR(__xludf.DUMMYFUNCTION("""COMPUTED_VALUE"""),"")</f>
        <v/>
      </c>
    </row>
    <row r="6663" spans="1:5">
      <c r="A6663" s="12"/>
      <c r="E6663" s="57" t="str">
        <f ca="1">IFERROR(__xludf.DUMMYFUNCTION("""COMPUTED_VALUE"""),"")</f>
        <v/>
      </c>
    </row>
    <row r="6664" spans="1:5">
      <c r="A6664" s="12"/>
      <c r="E6664" s="57" t="str">
        <f ca="1">IFERROR(__xludf.DUMMYFUNCTION("""COMPUTED_VALUE"""),"")</f>
        <v/>
      </c>
    </row>
    <row r="6665" spans="1:5">
      <c r="A6665" s="12"/>
      <c r="E6665" s="57" t="str">
        <f ca="1">IFERROR(__xludf.DUMMYFUNCTION("""COMPUTED_VALUE"""),"")</f>
        <v/>
      </c>
    </row>
    <row r="6666" spans="1:5">
      <c r="A6666" s="12"/>
      <c r="E6666" s="57" t="str">
        <f ca="1">IFERROR(__xludf.DUMMYFUNCTION("""COMPUTED_VALUE"""),"")</f>
        <v/>
      </c>
    </row>
    <row r="6667" spans="1:5">
      <c r="A6667" s="12"/>
      <c r="E6667" s="57" t="str">
        <f ca="1">IFERROR(__xludf.DUMMYFUNCTION("""COMPUTED_VALUE"""),"")</f>
        <v/>
      </c>
    </row>
    <row r="6668" spans="1:5">
      <c r="A6668" s="12"/>
      <c r="E6668" s="57" t="str">
        <f ca="1">IFERROR(__xludf.DUMMYFUNCTION("""COMPUTED_VALUE"""),"")</f>
        <v/>
      </c>
    </row>
    <row r="6669" spans="1:5">
      <c r="A6669" s="12"/>
      <c r="E6669" s="57" t="str">
        <f ca="1">IFERROR(__xludf.DUMMYFUNCTION("""COMPUTED_VALUE"""),"")</f>
        <v/>
      </c>
    </row>
    <row r="6670" spans="1:5">
      <c r="A6670" s="12"/>
      <c r="E6670" s="57" t="str">
        <f ca="1">IFERROR(__xludf.DUMMYFUNCTION("""COMPUTED_VALUE"""),"")</f>
        <v/>
      </c>
    </row>
    <row r="6671" spans="1:5">
      <c r="A6671" s="12"/>
      <c r="E6671" s="57" t="str">
        <f ca="1">IFERROR(__xludf.DUMMYFUNCTION("""COMPUTED_VALUE"""),"")</f>
        <v/>
      </c>
    </row>
    <row r="6672" spans="1:5">
      <c r="A6672" s="12"/>
      <c r="E6672" s="57" t="str">
        <f ca="1">IFERROR(__xludf.DUMMYFUNCTION("""COMPUTED_VALUE"""),"")</f>
        <v/>
      </c>
    </row>
    <row r="6673" spans="1:5">
      <c r="A6673" s="12"/>
      <c r="E6673" s="57" t="str">
        <f ca="1">IFERROR(__xludf.DUMMYFUNCTION("""COMPUTED_VALUE"""),"")</f>
        <v/>
      </c>
    </row>
    <row r="6674" spans="1:5">
      <c r="A6674" s="12"/>
      <c r="E6674" s="57" t="str">
        <f ca="1">IFERROR(__xludf.DUMMYFUNCTION("""COMPUTED_VALUE"""),"")</f>
        <v/>
      </c>
    </row>
    <row r="6675" spans="1:5">
      <c r="A6675" s="12"/>
      <c r="E6675" s="57" t="str">
        <f ca="1">IFERROR(__xludf.DUMMYFUNCTION("""COMPUTED_VALUE"""),"")</f>
        <v/>
      </c>
    </row>
    <row r="6676" spans="1:5">
      <c r="A6676" s="12"/>
      <c r="E6676" s="57" t="str">
        <f ca="1">IFERROR(__xludf.DUMMYFUNCTION("""COMPUTED_VALUE"""),"")</f>
        <v/>
      </c>
    </row>
    <row r="6677" spans="1:5">
      <c r="A6677" s="12"/>
      <c r="E6677" s="57" t="str">
        <f ca="1">IFERROR(__xludf.DUMMYFUNCTION("""COMPUTED_VALUE"""),"")</f>
        <v/>
      </c>
    </row>
    <row r="6678" spans="1:5">
      <c r="A6678" s="12"/>
      <c r="E6678" s="57" t="str">
        <f ca="1">IFERROR(__xludf.DUMMYFUNCTION("""COMPUTED_VALUE"""),"")</f>
        <v/>
      </c>
    </row>
    <row r="6679" spans="1:5">
      <c r="A6679" s="12"/>
      <c r="E6679" s="57" t="str">
        <f ca="1">IFERROR(__xludf.DUMMYFUNCTION("""COMPUTED_VALUE"""),"")</f>
        <v/>
      </c>
    </row>
    <row r="6680" spans="1:5">
      <c r="A6680" s="12"/>
      <c r="E6680" s="57" t="str">
        <f ca="1">IFERROR(__xludf.DUMMYFUNCTION("""COMPUTED_VALUE"""),"")</f>
        <v/>
      </c>
    </row>
    <row r="6681" spans="1:5">
      <c r="A6681" s="12"/>
      <c r="E6681" s="57" t="str">
        <f ca="1">IFERROR(__xludf.DUMMYFUNCTION("""COMPUTED_VALUE"""),"")</f>
        <v/>
      </c>
    </row>
    <row r="6682" spans="1:5">
      <c r="A6682" s="12"/>
      <c r="E6682" s="57" t="str">
        <f ca="1">IFERROR(__xludf.DUMMYFUNCTION("""COMPUTED_VALUE"""),"")</f>
        <v/>
      </c>
    </row>
    <row r="6683" spans="1:5">
      <c r="A6683" s="12"/>
      <c r="E6683" s="57" t="str">
        <f ca="1">IFERROR(__xludf.DUMMYFUNCTION("""COMPUTED_VALUE"""),"")</f>
        <v/>
      </c>
    </row>
    <row r="6684" spans="1:5">
      <c r="A6684" s="12"/>
      <c r="E6684" s="57" t="str">
        <f ca="1">IFERROR(__xludf.DUMMYFUNCTION("""COMPUTED_VALUE"""),"")</f>
        <v/>
      </c>
    </row>
    <row r="6685" spans="1:5">
      <c r="A6685" s="12"/>
      <c r="E6685" s="57" t="str">
        <f ca="1">IFERROR(__xludf.DUMMYFUNCTION("""COMPUTED_VALUE"""),"")</f>
        <v/>
      </c>
    </row>
    <row r="6686" spans="1:5">
      <c r="A6686" s="12"/>
      <c r="E6686" s="57" t="str">
        <f ca="1">IFERROR(__xludf.DUMMYFUNCTION("""COMPUTED_VALUE"""),"")</f>
        <v/>
      </c>
    </row>
    <row r="6687" spans="1:5">
      <c r="A6687" s="12"/>
      <c r="E6687" s="57" t="str">
        <f ca="1">IFERROR(__xludf.DUMMYFUNCTION("""COMPUTED_VALUE"""),"")</f>
        <v/>
      </c>
    </row>
    <row r="6688" spans="1:5">
      <c r="A6688" s="12"/>
      <c r="E6688" s="57" t="str">
        <f ca="1">IFERROR(__xludf.DUMMYFUNCTION("""COMPUTED_VALUE"""),"")</f>
        <v/>
      </c>
    </row>
    <row r="6689" spans="1:5">
      <c r="A6689" s="12"/>
      <c r="E6689" s="57" t="str">
        <f ca="1">IFERROR(__xludf.DUMMYFUNCTION("""COMPUTED_VALUE"""),"")</f>
        <v/>
      </c>
    </row>
    <row r="6690" spans="1:5">
      <c r="A6690" s="12"/>
      <c r="E6690" s="57" t="str">
        <f ca="1">IFERROR(__xludf.DUMMYFUNCTION("""COMPUTED_VALUE"""),"")</f>
        <v/>
      </c>
    </row>
    <row r="6691" spans="1:5">
      <c r="A6691" s="12"/>
      <c r="E6691" s="57" t="str">
        <f ca="1">IFERROR(__xludf.DUMMYFUNCTION("""COMPUTED_VALUE"""),"")</f>
        <v/>
      </c>
    </row>
    <row r="6692" spans="1:5">
      <c r="A6692" s="12"/>
      <c r="E6692" s="57" t="str">
        <f ca="1">IFERROR(__xludf.DUMMYFUNCTION("""COMPUTED_VALUE"""),"")</f>
        <v/>
      </c>
    </row>
    <row r="6693" spans="1:5">
      <c r="A6693" s="12"/>
      <c r="E6693" s="57" t="str">
        <f ca="1">IFERROR(__xludf.DUMMYFUNCTION("""COMPUTED_VALUE"""),"")</f>
        <v/>
      </c>
    </row>
    <row r="6694" spans="1:5">
      <c r="A6694" s="12"/>
      <c r="E6694" s="57" t="str">
        <f ca="1">IFERROR(__xludf.DUMMYFUNCTION("""COMPUTED_VALUE"""),"")</f>
        <v/>
      </c>
    </row>
    <row r="6695" spans="1:5">
      <c r="A6695" s="12"/>
      <c r="E6695" s="57" t="str">
        <f ca="1">IFERROR(__xludf.DUMMYFUNCTION("""COMPUTED_VALUE"""),"")</f>
        <v/>
      </c>
    </row>
    <row r="6696" spans="1:5">
      <c r="A6696" s="12"/>
      <c r="E6696" s="57" t="str">
        <f ca="1">IFERROR(__xludf.DUMMYFUNCTION("""COMPUTED_VALUE"""),"")</f>
        <v/>
      </c>
    </row>
    <row r="6697" spans="1:5">
      <c r="A6697" s="12"/>
      <c r="E6697" s="57" t="str">
        <f ca="1">IFERROR(__xludf.DUMMYFUNCTION("""COMPUTED_VALUE"""),"")</f>
        <v/>
      </c>
    </row>
    <row r="6698" spans="1:5">
      <c r="A6698" s="12"/>
      <c r="E6698" s="57" t="str">
        <f ca="1">IFERROR(__xludf.DUMMYFUNCTION("""COMPUTED_VALUE"""),"")</f>
        <v/>
      </c>
    </row>
    <row r="6699" spans="1:5">
      <c r="A6699" s="12"/>
      <c r="E6699" s="57" t="str">
        <f ca="1">IFERROR(__xludf.DUMMYFUNCTION("""COMPUTED_VALUE"""),"")</f>
        <v/>
      </c>
    </row>
    <row r="6700" spans="1:5">
      <c r="A6700" s="12"/>
      <c r="E6700" s="57" t="str">
        <f ca="1">IFERROR(__xludf.DUMMYFUNCTION("""COMPUTED_VALUE"""),"")</f>
        <v/>
      </c>
    </row>
    <row r="6701" spans="1:5">
      <c r="A6701" s="12"/>
      <c r="E6701" s="57" t="str">
        <f ca="1">IFERROR(__xludf.DUMMYFUNCTION("""COMPUTED_VALUE"""),"")</f>
        <v/>
      </c>
    </row>
    <row r="6702" spans="1:5">
      <c r="A6702" s="12"/>
      <c r="E6702" s="57" t="str">
        <f ca="1">IFERROR(__xludf.DUMMYFUNCTION("""COMPUTED_VALUE"""),"")</f>
        <v/>
      </c>
    </row>
    <row r="6703" spans="1:5">
      <c r="A6703" s="12"/>
      <c r="E6703" s="57" t="str">
        <f ca="1">IFERROR(__xludf.DUMMYFUNCTION("""COMPUTED_VALUE"""),"")</f>
        <v/>
      </c>
    </row>
    <row r="6704" spans="1:5">
      <c r="A6704" s="12"/>
      <c r="E6704" s="57" t="str">
        <f ca="1">IFERROR(__xludf.DUMMYFUNCTION("""COMPUTED_VALUE"""),"")</f>
        <v/>
      </c>
    </row>
    <row r="6705" spans="1:5">
      <c r="A6705" s="12"/>
      <c r="E6705" s="57" t="str">
        <f ca="1">IFERROR(__xludf.DUMMYFUNCTION("""COMPUTED_VALUE"""),"")</f>
        <v/>
      </c>
    </row>
    <row r="6706" spans="1:5">
      <c r="A6706" s="12"/>
      <c r="E6706" s="57" t="str">
        <f ca="1">IFERROR(__xludf.DUMMYFUNCTION("""COMPUTED_VALUE"""),"")</f>
        <v/>
      </c>
    </row>
    <row r="6707" spans="1:5">
      <c r="A6707" s="12"/>
      <c r="E6707" s="57" t="str">
        <f ca="1">IFERROR(__xludf.DUMMYFUNCTION("""COMPUTED_VALUE"""),"")</f>
        <v/>
      </c>
    </row>
    <row r="6708" spans="1:5">
      <c r="A6708" s="12"/>
      <c r="E6708" s="57" t="str">
        <f ca="1">IFERROR(__xludf.DUMMYFUNCTION("""COMPUTED_VALUE"""),"")</f>
        <v/>
      </c>
    </row>
    <row r="6709" spans="1:5">
      <c r="A6709" s="12"/>
      <c r="E6709" s="57" t="str">
        <f ca="1">IFERROR(__xludf.DUMMYFUNCTION("""COMPUTED_VALUE"""),"")</f>
        <v/>
      </c>
    </row>
    <row r="6710" spans="1:5">
      <c r="A6710" s="12"/>
      <c r="E6710" s="57" t="str">
        <f ca="1">IFERROR(__xludf.DUMMYFUNCTION("""COMPUTED_VALUE"""),"")</f>
        <v/>
      </c>
    </row>
    <row r="6711" spans="1:5">
      <c r="A6711" s="12"/>
      <c r="E6711" s="57" t="str">
        <f ca="1">IFERROR(__xludf.DUMMYFUNCTION("""COMPUTED_VALUE"""),"")</f>
        <v/>
      </c>
    </row>
    <row r="6712" spans="1:5">
      <c r="A6712" s="12"/>
      <c r="E6712" s="57" t="str">
        <f ca="1">IFERROR(__xludf.DUMMYFUNCTION("""COMPUTED_VALUE"""),"")</f>
        <v/>
      </c>
    </row>
    <row r="6713" spans="1:5">
      <c r="A6713" s="12"/>
      <c r="E6713" s="57" t="str">
        <f ca="1">IFERROR(__xludf.DUMMYFUNCTION("""COMPUTED_VALUE"""),"")</f>
        <v/>
      </c>
    </row>
    <row r="6714" spans="1:5">
      <c r="A6714" s="12"/>
      <c r="E6714" s="57" t="str">
        <f ca="1">IFERROR(__xludf.DUMMYFUNCTION("""COMPUTED_VALUE"""),"")</f>
        <v/>
      </c>
    </row>
    <row r="6715" spans="1:5">
      <c r="A6715" s="12"/>
      <c r="E6715" s="57" t="str">
        <f ca="1">IFERROR(__xludf.DUMMYFUNCTION("""COMPUTED_VALUE"""),"")</f>
        <v/>
      </c>
    </row>
    <row r="6716" spans="1:5">
      <c r="A6716" s="12"/>
      <c r="E6716" s="57" t="str">
        <f ca="1">IFERROR(__xludf.DUMMYFUNCTION("""COMPUTED_VALUE"""),"")</f>
        <v/>
      </c>
    </row>
    <row r="6717" spans="1:5">
      <c r="A6717" s="12"/>
      <c r="E6717" s="57" t="str">
        <f ca="1">IFERROR(__xludf.DUMMYFUNCTION("""COMPUTED_VALUE"""),"")</f>
        <v/>
      </c>
    </row>
    <row r="6718" spans="1:5">
      <c r="A6718" s="12"/>
      <c r="E6718" s="57" t="str">
        <f ca="1">IFERROR(__xludf.DUMMYFUNCTION("""COMPUTED_VALUE"""),"")</f>
        <v/>
      </c>
    </row>
    <row r="6719" spans="1:5">
      <c r="A6719" s="12"/>
      <c r="E6719" s="57" t="str">
        <f ca="1">IFERROR(__xludf.DUMMYFUNCTION("""COMPUTED_VALUE"""),"")</f>
        <v/>
      </c>
    </row>
    <row r="6720" spans="1:5">
      <c r="A6720" s="12"/>
      <c r="E6720" s="57" t="str">
        <f ca="1">IFERROR(__xludf.DUMMYFUNCTION("""COMPUTED_VALUE"""),"")</f>
        <v/>
      </c>
    </row>
    <row r="6721" spans="1:5">
      <c r="A6721" s="12"/>
      <c r="E6721" s="57" t="str">
        <f ca="1">IFERROR(__xludf.DUMMYFUNCTION("""COMPUTED_VALUE"""),"")</f>
        <v/>
      </c>
    </row>
    <row r="6722" spans="1:5">
      <c r="A6722" s="12"/>
      <c r="E6722" s="57" t="str">
        <f ca="1">IFERROR(__xludf.DUMMYFUNCTION("""COMPUTED_VALUE"""),"")</f>
        <v/>
      </c>
    </row>
    <row r="6723" spans="1:5">
      <c r="A6723" s="12"/>
      <c r="E6723" s="57" t="str">
        <f ca="1">IFERROR(__xludf.DUMMYFUNCTION("""COMPUTED_VALUE"""),"")</f>
        <v/>
      </c>
    </row>
    <row r="6724" spans="1:5">
      <c r="A6724" s="12"/>
      <c r="E6724" s="57" t="str">
        <f ca="1">IFERROR(__xludf.DUMMYFUNCTION("""COMPUTED_VALUE"""),"")</f>
        <v/>
      </c>
    </row>
    <row r="6725" spans="1:5">
      <c r="A6725" s="12"/>
      <c r="E6725" s="57" t="str">
        <f ca="1">IFERROR(__xludf.DUMMYFUNCTION("""COMPUTED_VALUE"""),"")</f>
        <v/>
      </c>
    </row>
    <row r="6726" spans="1:5">
      <c r="A6726" s="12"/>
      <c r="E6726" s="57" t="str">
        <f ca="1">IFERROR(__xludf.DUMMYFUNCTION("""COMPUTED_VALUE"""),"")</f>
        <v/>
      </c>
    </row>
    <row r="6727" spans="1:5">
      <c r="A6727" s="12"/>
      <c r="E6727" s="57" t="str">
        <f ca="1">IFERROR(__xludf.DUMMYFUNCTION("""COMPUTED_VALUE"""),"")</f>
        <v/>
      </c>
    </row>
    <row r="6728" spans="1:5">
      <c r="A6728" s="12"/>
      <c r="E6728" s="57" t="str">
        <f ca="1">IFERROR(__xludf.DUMMYFUNCTION("""COMPUTED_VALUE"""),"")</f>
        <v/>
      </c>
    </row>
    <row r="6729" spans="1:5">
      <c r="A6729" s="12"/>
      <c r="E6729" s="57" t="str">
        <f ca="1">IFERROR(__xludf.DUMMYFUNCTION("""COMPUTED_VALUE"""),"")</f>
        <v/>
      </c>
    </row>
    <row r="6730" spans="1:5">
      <c r="A6730" s="12"/>
      <c r="E6730" s="57" t="str">
        <f ca="1">IFERROR(__xludf.DUMMYFUNCTION("""COMPUTED_VALUE"""),"")</f>
        <v/>
      </c>
    </row>
    <row r="6731" spans="1:5">
      <c r="A6731" s="12"/>
      <c r="E6731" s="57" t="str">
        <f ca="1">IFERROR(__xludf.DUMMYFUNCTION("""COMPUTED_VALUE"""),"")</f>
        <v/>
      </c>
    </row>
    <row r="6732" spans="1:5">
      <c r="A6732" s="12"/>
      <c r="E6732" s="57" t="str">
        <f ca="1">IFERROR(__xludf.DUMMYFUNCTION("""COMPUTED_VALUE"""),"")</f>
        <v/>
      </c>
    </row>
    <row r="6733" spans="1:5">
      <c r="A6733" s="12"/>
      <c r="E6733" s="57" t="str">
        <f ca="1">IFERROR(__xludf.DUMMYFUNCTION("""COMPUTED_VALUE"""),"")</f>
        <v/>
      </c>
    </row>
    <row r="6734" spans="1:5">
      <c r="A6734" s="12"/>
      <c r="E6734" s="57" t="str">
        <f ca="1">IFERROR(__xludf.DUMMYFUNCTION("""COMPUTED_VALUE"""),"")</f>
        <v/>
      </c>
    </row>
    <row r="6735" spans="1:5">
      <c r="A6735" s="12"/>
      <c r="E6735" s="57" t="str">
        <f ca="1">IFERROR(__xludf.DUMMYFUNCTION("""COMPUTED_VALUE"""),"")</f>
        <v/>
      </c>
    </row>
    <row r="6736" spans="1:5">
      <c r="A6736" s="12"/>
      <c r="E6736" s="57" t="str">
        <f ca="1">IFERROR(__xludf.DUMMYFUNCTION("""COMPUTED_VALUE"""),"")</f>
        <v/>
      </c>
    </row>
    <row r="6737" spans="1:5">
      <c r="A6737" s="12"/>
      <c r="E6737" s="57" t="str">
        <f ca="1">IFERROR(__xludf.DUMMYFUNCTION("""COMPUTED_VALUE"""),"")</f>
        <v/>
      </c>
    </row>
    <row r="6738" spans="1:5">
      <c r="A6738" s="12"/>
      <c r="E6738" s="57" t="str">
        <f ca="1">IFERROR(__xludf.DUMMYFUNCTION("""COMPUTED_VALUE"""),"")</f>
        <v/>
      </c>
    </row>
    <row r="6739" spans="1:5">
      <c r="A6739" s="12"/>
      <c r="E6739" s="57" t="str">
        <f ca="1">IFERROR(__xludf.DUMMYFUNCTION("""COMPUTED_VALUE"""),"")</f>
        <v/>
      </c>
    </row>
    <row r="6740" spans="1:5">
      <c r="A6740" s="12"/>
      <c r="E6740" s="57" t="str">
        <f ca="1">IFERROR(__xludf.DUMMYFUNCTION("""COMPUTED_VALUE"""),"")</f>
        <v/>
      </c>
    </row>
    <row r="6741" spans="1:5">
      <c r="A6741" s="12"/>
      <c r="E6741" s="57" t="str">
        <f ca="1">IFERROR(__xludf.DUMMYFUNCTION("""COMPUTED_VALUE"""),"")</f>
        <v/>
      </c>
    </row>
    <row r="6742" spans="1:5">
      <c r="A6742" s="12"/>
      <c r="E6742" s="57" t="str">
        <f ca="1">IFERROR(__xludf.DUMMYFUNCTION("""COMPUTED_VALUE"""),"")</f>
        <v/>
      </c>
    </row>
    <row r="6743" spans="1:5">
      <c r="A6743" s="12"/>
      <c r="E6743" s="57" t="str">
        <f ca="1">IFERROR(__xludf.DUMMYFUNCTION("""COMPUTED_VALUE"""),"")</f>
        <v/>
      </c>
    </row>
    <row r="6744" spans="1:5">
      <c r="A6744" s="12"/>
      <c r="E6744" s="57" t="str">
        <f ca="1">IFERROR(__xludf.DUMMYFUNCTION("""COMPUTED_VALUE"""),"")</f>
        <v/>
      </c>
    </row>
    <row r="6745" spans="1:5">
      <c r="A6745" s="12"/>
      <c r="E6745" s="57" t="str">
        <f ca="1">IFERROR(__xludf.DUMMYFUNCTION("""COMPUTED_VALUE"""),"")</f>
        <v/>
      </c>
    </row>
    <row r="6746" spans="1:5">
      <c r="A6746" s="12"/>
      <c r="E6746" s="57" t="str">
        <f ca="1">IFERROR(__xludf.DUMMYFUNCTION("""COMPUTED_VALUE"""),"")</f>
        <v/>
      </c>
    </row>
    <row r="6747" spans="1:5">
      <c r="A6747" s="12"/>
      <c r="E6747" s="57" t="str">
        <f ca="1">IFERROR(__xludf.DUMMYFUNCTION("""COMPUTED_VALUE"""),"")</f>
        <v/>
      </c>
    </row>
    <row r="6748" spans="1:5">
      <c r="A6748" s="12"/>
      <c r="E6748" s="57" t="str">
        <f ca="1">IFERROR(__xludf.DUMMYFUNCTION("""COMPUTED_VALUE"""),"")</f>
        <v/>
      </c>
    </row>
    <row r="6749" spans="1:5">
      <c r="A6749" s="12"/>
      <c r="E6749" s="57" t="str">
        <f ca="1">IFERROR(__xludf.DUMMYFUNCTION("""COMPUTED_VALUE"""),"")</f>
        <v/>
      </c>
    </row>
    <row r="6750" spans="1:5">
      <c r="A6750" s="12"/>
      <c r="E6750" s="57" t="str">
        <f ca="1">IFERROR(__xludf.DUMMYFUNCTION("""COMPUTED_VALUE"""),"")</f>
        <v/>
      </c>
    </row>
    <row r="6751" spans="1:5">
      <c r="A6751" s="12"/>
      <c r="E6751" s="57" t="str">
        <f ca="1">IFERROR(__xludf.DUMMYFUNCTION("""COMPUTED_VALUE"""),"")</f>
        <v/>
      </c>
    </row>
    <row r="6752" spans="1:5">
      <c r="A6752" s="12"/>
      <c r="E6752" s="57" t="str">
        <f ca="1">IFERROR(__xludf.DUMMYFUNCTION("""COMPUTED_VALUE"""),"")</f>
        <v/>
      </c>
    </row>
    <row r="6753" spans="1:5">
      <c r="A6753" s="12"/>
      <c r="E6753" s="57" t="str">
        <f ca="1">IFERROR(__xludf.DUMMYFUNCTION("""COMPUTED_VALUE"""),"")</f>
        <v/>
      </c>
    </row>
    <row r="6754" spans="1:5">
      <c r="A6754" s="12"/>
      <c r="E6754" s="57" t="str">
        <f ca="1">IFERROR(__xludf.DUMMYFUNCTION("""COMPUTED_VALUE"""),"")</f>
        <v/>
      </c>
    </row>
    <row r="6755" spans="1:5">
      <c r="A6755" s="12"/>
      <c r="E6755" s="57" t="str">
        <f ca="1">IFERROR(__xludf.DUMMYFUNCTION("""COMPUTED_VALUE"""),"")</f>
        <v/>
      </c>
    </row>
    <row r="6756" spans="1:5">
      <c r="A6756" s="12"/>
      <c r="E6756" s="57" t="str">
        <f ca="1">IFERROR(__xludf.DUMMYFUNCTION("""COMPUTED_VALUE"""),"")</f>
        <v/>
      </c>
    </row>
    <row r="6757" spans="1:5">
      <c r="A6757" s="12"/>
      <c r="E6757" s="57" t="str">
        <f ca="1">IFERROR(__xludf.DUMMYFUNCTION("""COMPUTED_VALUE"""),"")</f>
        <v/>
      </c>
    </row>
    <row r="6758" spans="1:5">
      <c r="A6758" s="12"/>
      <c r="E6758" s="57" t="str">
        <f ca="1">IFERROR(__xludf.DUMMYFUNCTION("""COMPUTED_VALUE"""),"")</f>
        <v/>
      </c>
    </row>
    <row r="6759" spans="1:5">
      <c r="A6759" s="12"/>
      <c r="E6759" s="57" t="str">
        <f ca="1">IFERROR(__xludf.DUMMYFUNCTION("""COMPUTED_VALUE"""),"")</f>
        <v/>
      </c>
    </row>
    <row r="6760" spans="1:5">
      <c r="A6760" s="12"/>
      <c r="E6760" s="57" t="str">
        <f ca="1">IFERROR(__xludf.DUMMYFUNCTION("""COMPUTED_VALUE"""),"")</f>
        <v/>
      </c>
    </row>
    <row r="6761" spans="1:5">
      <c r="A6761" s="12"/>
      <c r="E6761" s="57" t="str">
        <f ca="1">IFERROR(__xludf.DUMMYFUNCTION("""COMPUTED_VALUE"""),"")</f>
        <v/>
      </c>
    </row>
    <row r="6762" spans="1:5">
      <c r="A6762" s="12"/>
      <c r="E6762" s="57" t="str">
        <f ca="1">IFERROR(__xludf.DUMMYFUNCTION("""COMPUTED_VALUE"""),"")</f>
        <v/>
      </c>
    </row>
    <row r="6763" spans="1:5">
      <c r="A6763" s="12"/>
      <c r="E6763" s="57" t="str">
        <f ca="1">IFERROR(__xludf.DUMMYFUNCTION("""COMPUTED_VALUE"""),"")</f>
        <v/>
      </c>
    </row>
    <row r="6764" spans="1:5">
      <c r="A6764" s="12"/>
      <c r="E6764" s="57" t="str">
        <f ca="1">IFERROR(__xludf.DUMMYFUNCTION("""COMPUTED_VALUE"""),"")</f>
        <v/>
      </c>
    </row>
    <row r="6765" spans="1:5">
      <c r="A6765" s="12"/>
      <c r="E6765" s="57" t="str">
        <f ca="1">IFERROR(__xludf.DUMMYFUNCTION("""COMPUTED_VALUE"""),"")</f>
        <v/>
      </c>
    </row>
    <row r="6766" spans="1:5">
      <c r="A6766" s="12"/>
      <c r="E6766" s="57" t="str">
        <f ca="1">IFERROR(__xludf.DUMMYFUNCTION("""COMPUTED_VALUE"""),"")</f>
        <v/>
      </c>
    </row>
    <row r="6767" spans="1:5">
      <c r="A6767" s="12"/>
      <c r="E6767" s="57" t="str">
        <f ca="1">IFERROR(__xludf.DUMMYFUNCTION("""COMPUTED_VALUE"""),"")</f>
        <v/>
      </c>
    </row>
    <row r="6768" spans="1:5">
      <c r="A6768" s="12"/>
      <c r="E6768" s="57" t="str">
        <f ca="1">IFERROR(__xludf.DUMMYFUNCTION("""COMPUTED_VALUE"""),"")</f>
        <v/>
      </c>
    </row>
    <row r="6769" spans="1:5">
      <c r="A6769" s="12"/>
      <c r="E6769" s="57" t="str">
        <f ca="1">IFERROR(__xludf.DUMMYFUNCTION("""COMPUTED_VALUE"""),"")</f>
        <v/>
      </c>
    </row>
    <row r="6770" spans="1:5">
      <c r="A6770" s="12"/>
      <c r="E6770" s="57" t="str">
        <f ca="1">IFERROR(__xludf.DUMMYFUNCTION("""COMPUTED_VALUE"""),"")</f>
        <v/>
      </c>
    </row>
    <row r="6771" spans="1:5">
      <c r="A6771" s="12"/>
      <c r="E6771" s="57" t="str">
        <f ca="1">IFERROR(__xludf.DUMMYFUNCTION("""COMPUTED_VALUE"""),"")</f>
        <v/>
      </c>
    </row>
    <row r="6772" spans="1:5">
      <c r="A6772" s="12"/>
      <c r="E6772" s="57" t="str">
        <f ca="1">IFERROR(__xludf.DUMMYFUNCTION("""COMPUTED_VALUE"""),"")</f>
        <v/>
      </c>
    </row>
    <row r="6773" spans="1:5">
      <c r="A6773" s="12"/>
      <c r="E6773" s="57" t="str">
        <f ca="1">IFERROR(__xludf.DUMMYFUNCTION("""COMPUTED_VALUE"""),"")</f>
        <v/>
      </c>
    </row>
    <row r="6774" spans="1:5">
      <c r="A6774" s="12"/>
      <c r="E6774" s="57" t="str">
        <f ca="1">IFERROR(__xludf.DUMMYFUNCTION("""COMPUTED_VALUE"""),"")</f>
        <v/>
      </c>
    </row>
    <row r="6775" spans="1:5">
      <c r="A6775" s="12"/>
      <c r="E6775" s="57" t="str">
        <f ca="1">IFERROR(__xludf.DUMMYFUNCTION("""COMPUTED_VALUE"""),"")</f>
        <v/>
      </c>
    </row>
    <row r="6776" spans="1:5">
      <c r="A6776" s="12"/>
      <c r="E6776" s="57" t="str">
        <f ca="1">IFERROR(__xludf.DUMMYFUNCTION("""COMPUTED_VALUE"""),"")</f>
        <v/>
      </c>
    </row>
    <row r="6777" spans="1:5">
      <c r="A6777" s="12"/>
      <c r="E6777" s="57" t="str">
        <f ca="1">IFERROR(__xludf.DUMMYFUNCTION("""COMPUTED_VALUE"""),"")</f>
        <v/>
      </c>
    </row>
    <row r="6778" spans="1:5">
      <c r="A6778" s="12"/>
      <c r="E6778" s="57" t="str">
        <f ca="1">IFERROR(__xludf.DUMMYFUNCTION("""COMPUTED_VALUE"""),"")</f>
        <v/>
      </c>
    </row>
    <row r="6779" spans="1:5">
      <c r="A6779" s="12"/>
      <c r="E6779" s="57" t="str">
        <f ca="1">IFERROR(__xludf.DUMMYFUNCTION("""COMPUTED_VALUE"""),"")</f>
        <v/>
      </c>
    </row>
    <row r="6780" spans="1:5">
      <c r="A6780" s="12"/>
      <c r="E6780" s="57" t="str">
        <f ca="1">IFERROR(__xludf.DUMMYFUNCTION("""COMPUTED_VALUE"""),"")</f>
        <v/>
      </c>
    </row>
    <row r="6781" spans="1:5">
      <c r="A6781" s="12"/>
      <c r="E6781" s="57" t="str">
        <f ca="1">IFERROR(__xludf.DUMMYFUNCTION("""COMPUTED_VALUE"""),"")</f>
        <v/>
      </c>
    </row>
    <row r="6782" spans="1:5">
      <c r="A6782" s="12"/>
      <c r="E6782" s="57" t="str">
        <f ca="1">IFERROR(__xludf.DUMMYFUNCTION("""COMPUTED_VALUE"""),"")</f>
        <v/>
      </c>
    </row>
    <row r="6783" spans="1:5">
      <c r="A6783" s="12"/>
      <c r="E6783" s="57" t="str">
        <f ca="1">IFERROR(__xludf.DUMMYFUNCTION("""COMPUTED_VALUE"""),"")</f>
        <v/>
      </c>
    </row>
    <row r="6784" spans="1:5">
      <c r="A6784" s="12"/>
      <c r="E6784" s="57" t="str">
        <f ca="1">IFERROR(__xludf.DUMMYFUNCTION("""COMPUTED_VALUE"""),"")</f>
        <v/>
      </c>
    </row>
    <row r="6785" spans="1:5">
      <c r="A6785" s="12"/>
      <c r="E6785" s="57" t="str">
        <f ca="1">IFERROR(__xludf.DUMMYFUNCTION("""COMPUTED_VALUE"""),"")</f>
        <v/>
      </c>
    </row>
    <row r="6786" spans="1:5">
      <c r="A6786" s="12"/>
      <c r="E6786" s="57" t="str">
        <f ca="1">IFERROR(__xludf.DUMMYFUNCTION("""COMPUTED_VALUE"""),"")</f>
        <v/>
      </c>
    </row>
    <row r="6787" spans="1:5">
      <c r="A6787" s="12"/>
      <c r="E6787" s="57" t="str">
        <f ca="1">IFERROR(__xludf.DUMMYFUNCTION("""COMPUTED_VALUE"""),"")</f>
        <v/>
      </c>
    </row>
    <row r="6788" spans="1:5">
      <c r="A6788" s="12"/>
      <c r="E6788" s="57" t="str">
        <f ca="1">IFERROR(__xludf.DUMMYFUNCTION("""COMPUTED_VALUE"""),"")</f>
        <v/>
      </c>
    </row>
    <row r="6789" spans="1:5">
      <c r="A6789" s="12"/>
      <c r="E6789" s="57" t="str">
        <f ca="1">IFERROR(__xludf.DUMMYFUNCTION("""COMPUTED_VALUE"""),"")</f>
        <v/>
      </c>
    </row>
    <row r="6790" spans="1:5">
      <c r="A6790" s="12"/>
      <c r="E6790" s="57" t="str">
        <f ca="1">IFERROR(__xludf.DUMMYFUNCTION("""COMPUTED_VALUE"""),"")</f>
        <v/>
      </c>
    </row>
    <row r="6791" spans="1:5">
      <c r="A6791" s="12"/>
      <c r="E6791" s="57" t="str">
        <f ca="1">IFERROR(__xludf.DUMMYFUNCTION("""COMPUTED_VALUE"""),"")</f>
        <v/>
      </c>
    </row>
    <row r="6792" spans="1:5">
      <c r="A6792" s="12"/>
      <c r="E6792" s="57" t="str">
        <f ca="1">IFERROR(__xludf.DUMMYFUNCTION("""COMPUTED_VALUE"""),"")</f>
        <v/>
      </c>
    </row>
    <row r="6793" spans="1:5">
      <c r="A6793" s="12"/>
      <c r="E6793" s="57" t="str">
        <f ca="1">IFERROR(__xludf.DUMMYFUNCTION("""COMPUTED_VALUE"""),"")</f>
        <v/>
      </c>
    </row>
    <row r="6794" spans="1:5">
      <c r="A6794" s="12"/>
      <c r="E6794" s="57" t="str">
        <f ca="1">IFERROR(__xludf.DUMMYFUNCTION("""COMPUTED_VALUE"""),"")</f>
        <v/>
      </c>
    </row>
    <row r="6795" spans="1:5">
      <c r="A6795" s="12"/>
      <c r="E6795" s="57" t="str">
        <f ca="1">IFERROR(__xludf.DUMMYFUNCTION("""COMPUTED_VALUE"""),"")</f>
        <v/>
      </c>
    </row>
    <row r="6796" spans="1:5">
      <c r="A6796" s="12"/>
      <c r="E6796" s="57" t="str">
        <f ca="1">IFERROR(__xludf.DUMMYFUNCTION("""COMPUTED_VALUE"""),"")</f>
        <v/>
      </c>
    </row>
    <row r="6797" spans="1:5">
      <c r="A6797" s="12"/>
      <c r="E6797" s="57" t="str">
        <f ca="1">IFERROR(__xludf.DUMMYFUNCTION("""COMPUTED_VALUE"""),"")</f>
        <v/>
      </c>
    </row>
    <row r="6798" spans="1:5">
      <c r="A6798" s="12"/>
      <c r="E6798" s="57" t="str">
        <f ca="1">IFERROR(__xludf.DUMMYFUNCTION("""COMPUTED_VALUE"""),"")</f>
        <v/>
      </c>
    </row>
    <row r="6799" spans="1:5">
      <c r="A6799" s="12"/>
      <c r="E6799" s="57" t="str">
        <f ca="1">IFERROR(__xludf.DUMMYFUNCTION("""COMPUTED_VALUE"""),"")</f>
        <v/>
      </c>
    </row>
    <row r="6800" spans="1:5">
      <c r="A6800" s="12"/>
      <c r="E6800" s="57" t="str">
        <f ca="1">IFERROR(__xludf.DUMMYFUNCTION("""COMPUTED_VALUE"""),"")</f>
        <v/>
      </c>
    </row>
    <row r="6801" spans="1:5">
      <c r="A6801" s="12"/>
      <c r="E6801" s="57" t="str">
        <f ca="1">IFERROR(__xludf.DUMMYFUNCTION("""COMPUTED_VALUE"""),"")</f>
        <v/>
      </c>
    </row>
    <row r="6802" spans="1:5">
      <c r="A6802" s="12"/>
      <c r="E6802" s="57" t="str">
        <f ca="1">IFERROR(__xludf.DUMMYFUNCTION("""COMPUTED_VALUE"""),"")</f>
        <v/>
      </c>
    </row>
    <row r="6803" spans="1:5">
      <c r="A6803" s="12"/>
      <c r="E6803" s="57" t="str">
        <f ca="1">IFERROR(__xludf.DUMMYFUNCTION("""COMPUTED_VALUE"""),"")</f>
        <v/>
      </c>
    </row>
    <row r="6804" spans="1:5">
      <c r="A6804" s="12"/>
      <c r="E6804" s="57" t="str">
        <f ca="1">IFERROR(__xludf.DUMMYFUNCTION("""COMPUTED_VALUE"""),"")</f>
        <v/>
      </c>
    </row>
    <row r="6805" spans="1:5">
      <c r="A6805" s="12"/>
      <c r="E6805" s="57" t="str">
        <f ca="1">IFERROR(__xludf.DUMMYFUNCTION("""COMPUTED_VALUE"""),"")</f>
        <v/>
      </c>
    </row>
    <row r="6806" spans="1:5">
      <c r="A6806" s="12"/>
      <c r="E6806" s="57" t="str">
        <f ca="1">IFERROR(__xludf.DUMMYFUNCTION("""COMPUTED_VALUE"""),"")</f>
        <v/>
      </c>
    </row>
    <row r="6807" spans="1:5">
      <c r="A6807" s="12"/>
      <c r="E6807" s="57" t="str">
        <f ca="1">IFERROR(__xludf.DUMMYFUNCTION("""COMPUTED_VALUE"""),"")</f>
        <v/>
      </c>
    </row>
    <row r="6808" spans="1:5">
      <c r="A6808" s="12"/>
      <c r="E6808" s="57" t="str">
        <f ca="1">IFERROR(__xludf.DUMMYFUNCTION("""COMPUTED_VALUE"""),"")</f>
        <v/>
      </c>
    </row>
    <row r="6809" spans="1:5">
      <c r="A6809" s="12"/>
      <c r="E6809" s="57" t="str">
        <f ca="1">IFERROR(__xludf.DUMMYFUNCTION("""COMPUTED_VALUE"""),"")</f>
        <v/>
      </c>
    </row>
    <row r="6810" spans="1:5">
      <c r="A6810" s="12"/>
      <c r="E6810" s="57" t="str">
        <f ca="1">IFERROR(__xludf.DUMMYFUNCTION("""COMPUTED_VALUE"""),"")</f>
        <v/>
      </c>
    </row>
    <row r="6811" spans="1:5">
      <c r="A6811" s="12"/>
      <c r="E6811" s="57" t="str">
        <f ca="1">IFERROR(__xludf.DUMMYFUNCTION("""COMPUTED_VALUE"""),"")</f>
        <v/>
      </c>
    </row>
    <row r="6812" spans="1:5">
      <c r="A6812" s="12"/>
      <c r="E6812" s="57" t="str">
        <f ca="1">IFERROR(__xludf.DUMMYFUNCTION("""COMPUTED_VALUE"""),"")</f>
        <v/>
      </c>
    </row>
    <row r="6813" spans="1:5">
      <c r="A6813" s="12"/>
      <c r="E6813" s="57" t="str">
        <f ca="1">IFERROR(__xludf.DUMMYFUNCTION("""COMPUTED_VALUE"""),"")</f>
        <v/>
      </c>
    </row>
    <row r="6814" spans="1:5">
      <c r="A6814" s="12"/>
      <c r="E6814" s="57" t="str">
        <f ca="1">IFERROR(__xludf.DUMMYFUNCTION("""COMPUTED_VALUE"""),"")</f>
        <v/>
      </c>
    </row>
    <row r="6815" spans="1:5">
      <c r="A6815" s="12"/>
      <c r="E6815" s="57" t="str">
        <f ca="1">IFERROR(__xludf.DUMMYFUNCTION("""COMPUTED_VALUE"""),"")</f>
        <v/>
      </c>
    </row>
    <row r="6816" spans="1:5">
      <c r="A6816" s="12"/>
      <c r="E6816" s="57" t="str">
        <f ca="1">IFERROR(__xludf.DUMMYFUNCTION("""COMPUTED_VALUE"""),"")</f>
        <v/>
      </c>
    </row>
    <row r="6817" spans="1:5">
      <c r="A6817" s="12"/>
      <c r="E6817" s="57" t="str">
        <f ca="1">IFERROR(__xludf.DUMMYFUNCTION("""COMPUTED_VALUE"""),"")</f>
        <v/>
      </c>
    </row>
    <row r="6818" spans="1:5">
      <c r="A6818" s="12"/>
      <c r="E6818" s="57" t="str">
        <f ca="1">IFERROR(__xludf.DUMMYFUNCTION("""COMPUTED_VALUE"""),"")</f>
        <v/>
      </c>
    </row>
    <row r="6819" spans="1:5">
      <c r="A6819" s="12"/>
      <c r="E6819" s="57" t="str">
        <f ca="1">IFERROR(__xludf.DUMMYFUNCTION("""COMPUTED_VALUE"""),"")</f>
        <v/>
      </c>
    </row>
    <row r="6820" spans="1:5">
      <c r="A6820" s="12"/>
      <c r="E6820" s="57" t="str">
        <f ca="1">IFERROR(__xludf.DUMMYFUNCTION("""COMPUTED_VALUE"""),"")</f>
        <v/>
      </c>
    </row>
    <row r="6821" spans="1:5">
      <c r="A6821" s="12"/>
      <c r="E6821" s="57" t="str">
        <f ca="1">IFERROR(__xludf.DUMMYFUNCTION("""COMPUTED_VALUE"""),"")</f>
        <v/>
      </c>
    </row>
    <row r="6822" spans="1:5">
      <c r="A6822" s="12"/>
      <c r="E6822" s="57" t="str">
        <f ca="1">IFERROR(__xludf.DUMMYFUNCTION("""COMPUTED_VALUE"""),"")</f>
        <v/>
      </c>
    </row>
    <row r="6823" spans="1:5">
      <c r="A6823" s="12"/>
      <c r="E6823" s="57" t="str">
        <f ca="1">IFERROR(__xludf.DUMMYFUNCTION("""COMPUTED_VALUE"""),"")</f>
        <v/>
      </c>
    </row>
    <row r="6824" spans="1:5">
      <c r="A6824" s="12"/>
      <c r="E6824" s="57" t="str">
        <f ca="1">IFERROR(__xludf.DUMMYFUNCTION("""COMPUTED_VALUE"""),"")</f>
        <v/>
      </c>
    </row>
    <row r="6825" spans="1:5">
      <c r="A6825" s="12"/>
      <c r="E6825" s="57" t="str">
        <f ca="1">IFERROR(__xludf.DUMMYFUNCTION("""COMPUTED_VALUE"""),"")</f>
        <v/>
      </c>
    </row>
    <row r="6826" spans="1:5">
      <c r="A6826" s="12"/>
      <c r="E6826" s="57" t="str">
        <f ca="1">IFERROR(__xludf.DUMMYFUNCTION("""COMPUTED_VALUE"""),"")</f>
        <v/>
      </c>
    </row>
    <row r="6827" spans="1:5">
      <c r="A6827" s="12"/>
      <c r="E6827" s="57" t="str">
        <f ca="1">IFERROR(__xludf.DUMMYFUNCTION("""COMPUTED_VALUE"""),"")</f>
        <v/>
      </c>
    </row>
    <row r="6828" spans="1:5">
      <c r="A6828" s="12"/>
      <c r="E6828" s="57" t="str">
        <f ca="1">IFERROR(__xludf.DUMMYFUNCTION("""COMPUTED_VALUE"""),"")</f>
        <v/>
      </c>
    </row>
    <row r="6829" spans="1:5">
      <c r="A6829" s="12"/>
      <c r="E6829" s="57" t="str">
        <f ca="1">IFERROR(__xludf.DUMMYFUNCTION("""COMPUTED_VALUE"""),"")</f>
        <v/>
      </c>
    </row>
    <row r="6830" spans="1:5">
      <c r="A6830" s="12"/>
      <c r="E6830" s="57" t="str">
        <f ca="1">IFERROR(__xludf.DUMMYFUNCTION("""COMPUTED_VALUE"""),"")</f>
        <v/>
      </c>
    </row>
    <row r="6831" spans="1:5">
      <c r="A6831" s="12"/>
      <c r="E6831" s="57" t="str">
        <f ca="1">IFERROR(__xludf.DUMMYFUNCTION("""COMPUTED_VALUE"""),"")</f>
        <v/>
      </c>
    </row>
    <row r="6832" spans="1:5">
      <c r="A6832" s="12"/>
      <c r="E6832" s="57" t="str">
        <f ca="1">IFERROR(__xludf.DUMMYFUNCTION("""COMPUTED_VALUE"""),"")</f>
        <v/>
      </c>
    </row>
    <row r="6833" spans="1:5">
      <c r="A6833" s="12"/>
      <c r="E6833" s="57" t="str">
        <f ca="1">IFERROR(__xludf.DUMMYFUNCTION("""COMPUTED_VALUE"""),"")</f>
        <v/>
      </c>
    </row>
    <row r="6834" spans="1:5">
      <c r="A6834" s="12"/>
      <c r="E6834" s="57" t="str">
        <f ca="1">IFERROR(__xludf.DUMMYFUNCTION("""COMPUTED_VALUE"""),"")</f>
        <v/>
      </c>
    </row>
    <row r="6835" spans="1:5">
      <c r="A6835" s="12"/>
      <c r="E6835" s="57" t="str">
        <f ca="1">IFERROR(__xludf.DUMMYFUNCTION("""COMPUTED_VALUE"""),"")</f>
        <v/>
      </c>
    </row>
    <row r="6836" spans="1:5">
      <c r="A6836" s="12"/>
      <c r="E6836" s="57" t="str">
        <f ca="1">IFERROR(__xludf.DUMMYFUNCTION("""COMPUTED_VALUE"""),"")</f>
        <v/>
      </c>
    </row>
    <row r="6837" spans="1:5">
      <c r="A6837" s="12"/>
      <c r="E6837" s="57" t="str">
        <f ca="1">IFERROR(__xludf.DUMMYFUNCTION("""COMPUTED_VALUE"""),"")</f>
        <v/>
      </c>
    </row>
    <row r="6838" spans="1:5">
      <c r="A6838" s="12"/>
      <c r="E6838" s="57" t="str">
        <f ca="1">IFERROR(__xludf.DUMMYFUNCTION("""COMPUTED_VALUE"""),"")</f>
        <v/>
      </c>
    </row>
    <row r="6839" spans="1:5">
      <c r="A6839" s="12"/>
      <c r="E6839" s="57" t="str">
        <f ca="1">IFERROR(__xludf.DUMMYFUNCTION("""COMPUTED_VALUE"""),"")</f>
        <v/>
      </c>
    </row>
    <row r="6840" spans="1:5">
      <c r="A6840" s="12"/>
      <c r="E6840" s="57" t="str">
        <f ca="1">IFERROR(__xludf.DUMMYFUNCTION("""COMPUTED_VALUE"""),"")</f>
        <v/>
      </c>
    </row>
    <row r="6841" spans="1:5">
      <c r="A6841" s="12"/>
      <c r="E6841" s="57" t="str">
        <f ca="1">IFERROR(__xludf.DUMMYFUNCTION("""COMPUTED_VALUE"""),"")</f>
        <v/>
      </c>
    </row>
    <row r="6842" spans="1:5">
      <c r="A6842" s="12"/>
      <c r="E6842" s="57" t="str">
        <f ca="1">IFERROR(__xludf.DUMMYFUNCTION("""COMPUTED_VALUE"""),"")</f>
        <v/>
      </c>
    </row>
    <row r="6843" spans="1:5">
      <c r="A6843" s="12"/>
      <c r="E6843" s="57" t="str">
        <f ca="1">IFERROR(__xludf.DUMMYFUNCTION("""COMPUTED_VALUE"""),"")</f>
        <v/>
      </c>
    </row>
    <row r="6844" spans="1:5">
      <c r="A6844" s="12"/>
      <c r="E6844" s="57" t="str">
        <f ca="1">IFERROR(__xludf.DUMMYFUNCTION("""COMPUTED_VALUE"""),"")</f>
        <v/>
      </c>
    </row>
    <row r="6845" spans="1:5">
      <c r="A6845" s="12"/>
      <c r="E6845" s="57" t="str">
        <f ca="1">IFERROR(__xludf.DUMMYFUNCTION("""COMPUTED_VALUE"""),"")</f>
        <v/>
      </c>
    </row>
    <row r="6846" spans="1:5">
      <c r="A6846" s="12"/>
      <c r="E6846" s="57" t="str">
        <f ca="1">IFERROR(__xludf.DUMMYFUNCTION("""COMPUTED_VALUE"""),"")</f>
        <v/>
      </c>
    </row>
    <row r="6847" spans="1:5">
      <c r="A6847" s="12"/>
      <c r="E6847" s="57" t="str">
        <f ca="1">IFERROR(__xludf.DUMMYFUNCTION("""COMPUTED_VALUE"""),"")</f>
        <v/>
      </c>
    </row>
    <row r="6848" spans="1:5">
      <c r="A6848" s="12"/>
      <c r="E6848" s="57" t="str">
        <f ca="1">IFERROR(__xludf.DUMMYFUNCTION("""COMPUTED_VALUE"""),"")</f>
        <v/>
      </c>
    </row>
    <row r="6849" spans="1:5">
      <c r="A6849" s="12"/>
      <c r="E6849" s="57" t="str">
        <f ca="1">IFERROR(__xludf.DUMMYFUNCTION("""COMPUTED_VALUE"""),"")</f>
        <v/>
      </c>
    </row>
    <row r="6850" spans="1:5">
      <c r="A6850" s="12"/>
      <c r="E6850" s="57" t="str">
        <f ca="1">IFERROR(__xludf.DUMMYFUNCTION("""COMPUTED_VALUE"""),"")</f>
        <v/>
      </c>
    </row>
    <row r="6851" spans="1:5">
      <c r="A6851" s="12"/>
      <c r="E6851" s="57" t="str">
        <f ca="1">IFERROR(__xludf.DUMMYFUNCTION("""COMPUTED_VALUE"""),"")</f>
        <v/>
      </c>
    </row>
    <row r="6852" spans="1:5">
      <c r="A6852" s="12"/>
      <c r="E6852" s="57" t="str">
        <f ca="1">IFERROR(__xludf.DUMMYFUNCTION("""COMPUTED_VALUE"""),"")</f>
        <v/>
      </c>
    </row>
    <row r="6853" spans="1:5">
      <c r="A6853" s="12"/>
      <c r="E6853" s="57" t="str">
        <f ca="1">IFERROR(__xludf.DUMMYFUNCTION("""COMPUTED_VALUE"""),"")</f>
        <v/>
      </c>
    </row>
    <row r="6854" spans="1:5">
      <c r="A6854" s="12"/>
      <c r="E6854" s="57" t="str">
        <f ca="1">IFERROR(__xludf.DUMMYFUNCTION("""COMPUTED_VALUE"""),"")</f>
        <v/>
      </c>
    </row>
    <row r="6855" spans="1:5">
      <c r="A6855" s="12"/>
      <c r="E6855" s="57" t="str">
        <f ca="1">IFERROR(__xludf.DUMMYFUNCTION("""COMPUTED_VALUE"""),"")</f>
        <v/>
      </c>
    </row>
    <row r="6856" spans="1:5">
      <c r="A6856" s="12"/>
      <c r="E6856" s="57" t="str">
        <f ca="1">IFERROR(__xludf.DUMMYFUNCTION("""COMPUTED_VALUE"""),"")</f>
        <v/>
      </c>
    </row>
    <row r="6857" spans="1:5">
      <c r="A6857" s="12"/>
      <c r="E6857" s="57" t="str">
        <f ca="1">IFERROR(__xludf.DUMMYFUNCTION("""COMPUTED_VALUE"""),"")</f>
        <v/>
      </c>
    </row>
    <row r="6858" spans="1:5">
      <c r="A6858" s="12"/>
      <c r="E6858" s="57" t="str">
        <f ca="1">IFERROR(__xludf.DUMMYFUNCTION("""COMPUTED_VALUE"""),"")</f>
        <v/>
      </c>
    </row>
    <row r="6859" spans="1:5">
      <c r="A6859" s="12"/>
      <c r="E6859" s="57" t="str">
        <f ca="1">IFERROR(__xludf.DUMMYFUNCTION("""COMPUTED_VALUE"""),"")</f>
        <v/>
      </c>
    </row>
    <row r="6860" spans="1:5">
      <c r="A6860" s="12"/>
      <c r="E6860" s="57" t="str">
        <f ca="1">IFERROR(__xludf.DUMMYFUNCTION("""COMPUTED_VALUE"""),"")</f>
        <v/>
      </c>
    </row>
    <row r="6861" spans="1:5">
      <c r="A6861" s="12"/>
      <c r="E6861" s="57" t="str">
        <f ca="1">IFERROR(__xludf.DUMMYFUNCTION("""COMPUTED_VALUE"""),"")</f>
        <v/>
      </c>
    </row>
    <row r="6862" spans="1:5">
      <c r="A6862" s="12"/>
      <c r="E6862" s="57" t="str">
        <f ca="1">IFERROR(__xludf.DUMMYFUNCTION("""COMPUTED_VALUE"""),"")</f>
        <v/>
      </c>
    </row>
    <row r="6863" spans="1:5">
      <c r="A6863" s="12"/>
      <c r="E6863" s="57" t="str">
        <f ca="1">IFERROR(__xludf.DUMMYFUNCTION("""COMPUTED_VALUE"""),"")</f>
        <v/>
      </c>
    </row>
    <row r="6864" spans="1:5">
      <c r="A6864" s="12"/>
      <c r="E6864" s="57" t="str">
        <f ca="1">IFERROR(__xludf.DUMMYFUNCTION("""COMPUTED_VALUE"""),"")</f>
        <v/>
      </c>
    </row>
    <row r="6865" spans="1:5">
      <c r="A6865" s="12"/>
      <c r="E6865" s="57" t="str">
        <f ca="1">IFERROR(__xludf.DUMMYFUNCTION("""COMPUTED_VALUE"""),"")</f>
        <v/>
      </c>
    </row>
    <row r="6866" spans="1:5">
      <c r="A6866" s="12"/>
      <c r="E6866" s="57" t="str">
        <f ca="1">IFERROR(__xludf.DUMMYFUNCTION("""COMPUTED_VALUE"""),"")</f>
        <v/>
      </c>
    </row>
    <row r="6867" spans="1:5">
      <c r="A6867" s="12"/>
      <c r="E6867" s="57" t="str">
        <f ca="1">IFERROR(__xludf.DUMMYFUNCTION("""COMPUTED_VALUE"""),"")</f>
        <v/>
      </c>
    </row>
    <row r="6868" spans="1:5">
      <c r="A6868" s="12"/>
      <c r="E6868" s="57" t="str">
        <f ca="1">IFERROR(__xludf.DUMMYFUNCTION("""COMPUTED_VALUE"""),"")</f>
        <v/>
      </c>
    </row>
    <row r="6869" spans="1:5">
      <c r="A6869" s="12"/>
      <c r="E6869" s="57" t="str">
        <f ca="1">IFERROR(__xludf.DUMMYFUNCTION("""COMPUTED_VALUE"""),"")</f>
        <v/>
      </c>
    </row>
    <row r="6870" spans="1:5">
      <c r="A6870" s="12"/>
      <c r="E6870" s="57" t="str">
        <f ca="1">IFERROR(__xludf.DUMMYFUNCTION("""COMPUTED_VALUE"""),"")</f>
        <v/>
      </c>
    </row>
    <row r="6871" spans="1:5">
      <c r="A6871" s="12"/>
      <c r="E6871" s="57" t="str">
        <f ca="1">IFERROR(__xludf.DUMMYFUNCTION("""COMPUTED_VALUE"""),"")</f>
        <v/>
      </c>
    </row>
    <row r="6872" spans="1:5">
      <c r="A6872" s="12"/>
      <c r="E6872" s="57" t="str">
        <f ca="1">IFERROR(__xludf.DUMMYFUNCTION("""COMPUTED_VALUE"""),"")</f>
        <v/>
      </c>
    </row>
    <row r="6873" spans="1:5">
      <c r="A6873" s="12"/>
      <c r="E6873" s="57" t="str">
        <f ca="1">IFERROR(__xludf.DUMMYFUNCTION("""COMPUTED_VALUE"""),"")</f>
        <v/>
      </c>
    </row>
    <row r="6874" spans="1:5">
      <c r="A6874" s="12"/>
      <c r="E6874" s="57" t="str">
        <f ca="1">IFERROR(__xludf.DUMMYFUNCTION("""COMPUTED_VALUE"""),"")</f>
        <v/>
      </c>
    </row>
    <row r="6875" spans="1:5">
      <c r="A6875" s="12"/>
      <c r="E6875" s="57" t="str">
        <f ca="1">IFERROR(__xludf.DUMMYFUNCTION("""COMPUTED_VALUE"""),"")</f>
        <v/>
      </c>
    </row>
    <row r="6876" spans="1:5">
      <c r="A6876" s="12"/>
      <c r="E6876" s="57" t="str">
        <f ca="1">IFERROR(__xludf.DUMMYFUNCTION("""COMPUTED_VALUE"""),"")</f>
        <v/>
      </c>
    </row>
    <row r="6877" spans="1:5">
      <c r="A6877" s="12"/>
      <c r="E6877" s="57" t="str">
        <f ca="1">IFERROR(__xludf.DUMMYFUNCTION("""COMPUTED_VALUE"""),"")</f>
        <v/>
      </c>
    </row>
    <row r="6878" spans="1:5">
      <c r="A6878" s="12"/>
      <c r="E6878" s="57" t="str">
        <f ca="1">IFERROR(__xludf.DUMMYFUNCTION("""COMPUTED_VALUE"""),"")</f>
        <v/>
      </c>
    </row>
    <row r="6879" spans="1:5">
      <c r="A6879" s="12"/>
      <c r="E6879" s="57" t="str">
        <f ca="1">IFERROR(__xludf.DUMMYFUNCTION("""COMPUTED_VALUE"""),"")</f>
        <v/>
      </c>
    </row>
    <row r="6880" spans="1:5">
      <c r="A6880" s="12"/>
      <c r="E6880" s="57" t="str">
        <f ca="1">IFERROR(__xludf.DUMMYFUNCTION("""COMPUTED_VALUE"""),"")</f>
        <v/>
      </c>
    </row>
    <row r="6881" spans="1:5">
      <c r="A6881" s="12"/>
      <c r="E6881" s="57" t="str">
        <f ca="1">IFERROR(__xludf.DUMMYFUNCTION("""COMPUTED_VALUE"""),"")</f>
        <v/>
      </c>
    </row>
    <row r="6882" spans="1:5">
      <c r="A6882" s="12"/>
      <c r="E6882" s="57" t="str">
        <f ca="1">IFERROR(__xludf.DUMMYFUNCTION("""COMPUTED_VALUE"""),"")</f>
        <v/>
      </c>
    </row>
    <row r="6883" spans="1:5">
      <c r="A6883" s="12"/>
      <c r="E6883" s="57" t="str">
        <f ca="1">IFERROR(__xludf.DUMMYFUNCTION("""COMPUTED_VALUE"""),"")</f>
        <v/>
      </c>
    </row>
    <row r="6884" spans="1:5">
      <c r="A6884" s="12"/>
      <c r="E6884" s="57" t="str">
        <f ca="1">IFERROR(__xludf.DUMMYFUNCTION("""COMPUTED_VALUE"""),"")</f>
        <v/>
      </c>
    </row>
    <row r="6885" spans="1:5">
      <c r="A6885" s="12"/>
      <c r="E6885" s="57" t="str">
        <f ca="1">IFERROR(__xludf.DUMMYFUNCTION("""COMPUTED_VALUE"""),"")</f>
        <v/>
      </c>
    </row>
    <row r="6886" spans="1:5">
      <c r="A6886" s="12"/>
      <c r="E6886" s="57" t="str">
        <f ca="1">IFERROR(__xludf.DUMMYFUNCTION("""COMPUTED_VALUE"""),"")</f>
        <v/>
      </c>
    </row>
    <row r="6887" spans="1:5">
      <c r="A6887" s="12"/>
      <c r="E6887" s="57" t="str">
        <f ca="1">IFERROR(__xludf.DUMMYFUNCTION("""COMPUTED_VALUE"""),"")</f>
        <v/>
      </c>
    </row>
    <row r="6888" spans="1:5">
      <c r="A6888" s="12"/>
      <c r="E6888" s="57" t="str">
        <f ca="1">IFERROR(__xludf.DUMMYFUNCTION("""COMPUTED_VALUE"""),"")</f>
        <v/>
      </c>
    </row>
    <row r="6889" spans="1:5">
      <c r="A6889" s="12"/>
      <c r="E6889" s="57" t="str">
        <f ca="1">IFERROR(__xludf.DUMMYFUNCTION("""COMPUTED_VALUE"""),"")</f>
        <v/>
      </c>
    </row>
    <row r="6890" spans="1:5">
      <c r="A6890" s="12"/>
      <c r="E6890" s="57" t="str">
        <f ca="1">IFERROR(__xludf.DUMMYFUNCTION("""COMPUTED_VALUE"""),"")</f>
        <v/>
      </c>
    </row>
    <row r="6891" spans="1:5">
      <c r="A6891" s="12"/>
      <c r="E6891" s="57" t="str">
        <f ca="1">IFERROR(__xludf.DUMMYFUNCTION("""COMPUTED_VALUE"""),"")</f>
        <v/>
      </c>
    </row>
    <row r="6892" spans="1:5">
      <c r="A6892" s="12"/>
      <c r="E6892" s="57" t="str">
        <f ca="1">IFERROR(__xludf.DUMMYFUNCTION("""COMPUTED_VALUE"""),"")</f>
        <v/>
      </c>
    </row>
    <row r="6893" spans="1:5">
      <c r="A6893" s="12"/>
      <c r="E6893" s="57" t="str">
        <f ca="1">IFERROR(__xludf.DUMMYFUNCTION("""COMPUTED_VALUE"""),"")</f>
        <v/>
      </c>
    </row>
    <row r="6894" spans="1:5">
      <c r="A6894" s="12"/>
      <c r="E6894" s="57" t="str">
        <f ca="1">IFERROR(__xludf.DUMMYFUNCTION("""COMPUTED_VALUE"""),"")</f>
        <v/>
      </c>
    </row>
    <row r="6895" spans="1:5">
      <c r="A6895" s="12"/>
      <c r="E6895" s="57" t="str">
        <f ca="1">IFERROR(__xludf.DUMMYFUNCTION("""COMPUTED_VALUE"""),"")</f>
        <v/>
      </c>
    </row>
    <row r="6896" spans="1:5">
      <c r="A6896" s="12"/>
      <c r="E6896" s="57" t="str">
        <f ca="1">IFERROR(__xludf.DUMMYFUNCTION("""COMPUTED_VALUE"""),"")</f>
        <v/>
      </c>
    </row>
    <row r="6897" spans="1:5">
      <c r="A6897" s="12"/>
      <c r="E6897" s="57" t="str">
        <f ca="1">IFERROR(__xludf.DUMMYFUNCTION("""COMPUTED_VALUE"""),"")</f>
        <v/>
      </c>
    </row>
    <row r="6898" spans="1:5">
      <c r="A6898" s="12"/>
      <c r="E6898" s="57" t="str">
        <f ca="1">IFERROR(__xludf.DUMMYFUNCTION("""COMPUTED_VALUE"""),"")</f>
        <v/>
      </c>
    </row>
    <row r="6899" spans="1:5">
      <c r="A6899" s="12"/>
      <c r="E6899" s="57" t="str">
        <f ca="1">IFERROR(__xludf.DUMMYFUNCTION("""COMPUTED_VALUE"""),"")</f>
        <v/>
      </c>
    </row>
    <row r="6900" spans="1:5">
      <c r="A6900" s="12"/>
      <c r="E6900" s="57" t="str">
        <f ca="1">IFERROR(__xludf.DUMMYFUNCTION("""COMPUTED_VALUE"""),"")</f>
        <v/>
      </c>
    </row>
    <row r="6901" spans="1:5">
      <c r="A6901" s="12"/>
      <c r="E6901" s="57" t="str">
        <f ca="1">IFERROR(__xludf.DUMMYFUNCTION("""COMPUTED_VALUE"""),"")</f>
        <v/>
      </c>
    </row>
    <row r="6902" spans="1:5">
      <c r="A6902" s="12"/>
      <c r="E6902" s="57" t="str">
        <f ca="1">IFERROR(__xludf.DUMMYFUNCTION("""COMPUTED_VALUE"""),"")</f>
        <v/>
      </c>
    </row>
    <row r="6903" spans="1:5">
      <c r="A6903" s="12"/>
      <c r="E6903" s="57" t="str">
        <f ca="1">IFERROR(__xludf.DUMMYFUNCTION("""COMPUTED_VALUE"""),"")</f>
        <v/>
      </c>
    </row>
    <row r="6904" spans="1:5">
      <c r="A6904" s="12"/>
      <c r="E6904" s="57" t="str">
        <f ca="1">IFERROR(__xludf.DUMMYFUNCTION("""COMPUTED_VALUE"""),"")</f>
        <v/>
      </c>
    </row>
    <row r="6905" spans="1:5">
      <c r="A6905" s="12"/>
      <c r="E6905" s="57" t="str">
        <f ca="1">IFERROR(__xludf.DUMMYFUNCTION("""COMPUTED_VALUE"""),"")</f>
        <v/>
      </c>
    </row>
    <row r="6906" spans="1:5">
      <c r="A6906" s="12"/>
      <c r="E6906" s="57" t="str">
        <f ca="1">IFERROR(__xludf.DUMMYFUNCTION("""COMPUTED_VALUE"""),"")</f>
        <v/>
      </c>
    </row>
    <row r="6907" spans="1:5">
      <c r="A6907" s="12"/>
      <c r="E6907" s="57" t="str">
        <f ca="1">IFERROR(__xludf.DUMMYFUNCTION("""COMPUTED_VALUE"""),"")</f>
        <v/>
      </c>
    </row>
    <row r="6908" spans="1:5">
      <c r="A6908" s="12"/>
      <c r="E6908" s="57" t="str">
        <f ca="1">IFERROR(__xludf.DUMMYFUNCTION("""COMPUTED_VALUE"""),"")</f>
        <v/>
      </c>
    </row>
    <row r="6909" spans="1:5">
      <c r="A6909" s="12"/>
      <c r="E6909" s="57" t="str">
        <f ca="1">IFERROR(__xludf.DUMMYFUNCTION("""COMPUTED_VALUE"""),"")</f>
        <v/>
      </c>
    </row>
    <row r="6910" spans="1:5">
      <c r="A6910" s="12"/>
      <c r="E6910" s="57" t="str">
        <f ca="1">IFERROR(__xludf.DUMMYFUNCTION("""COMPUTED_VALUE"""),"")</f>
        <v/>
      </c>
    </row>
    <row r="6911" spans="1:5">
      <c r="A6911" s="12"/>
      <c r="E6911" s="57" t="str">
        <f ca="1">IFERROR(__xludf.DUMMYFUNCTION("""COMPUTED_VALUE"""),"")</f>
        <v/>
      </c>
    </row>
    <row r="6912" spans="1:5">
      <c r="A6912" s="12"/>
      <c r="E6912" s="57" t="str">
        <f ca="1">IFERROR(__xludf.DUMMYFUNCTION("""COMPUTED_VALUE"""),"")</f>
        <v/>
      </c>
    </row>
    <row r="6913" spans="1:5">
      <c r="A6913" s="12"/>
      <c r="E6913" s="57" t="str">
        <f ca="1">IFERROR(__xludf.DUMMYFUNCTION("""COMPUTED_VALUE"""),"")</f>
        <v/>
      </c>
    </row>
    <row r="6914" spans="1:5">
      <c r="A6914" s="12"/>
      <c r="E6914" s="57" t="str">
        <f ca="1">IFERROR(__xludf.DUMMYFUNCTION("""COMPUTED_VALUE"""),"")</f>
        <v/>
      </c>
    </row>
    <row r="6915" spans="1:5">
      <c r="A6915" s="12"/>
      <c r="E6915" s="57" t="str">
        <f ca="1">IFERROR(__xludf.DUMMYFUNCTION("""COMPUTED_VALUE"""),"")</f>
        <v/>
      </c>
    </row>
    <row r="6916" spans="1:5">
      <c r="A6916" s="12"/>
      <c r="E6916" s="57" t="str">
        <f ca="1">IFERROR(__xludf.DUMMYFUNCTION("""COMPUTED_VALUE"""),"")</f>
        <v/>
      </c>
    </row>
    <row r="6917" spans="1:5">
      <c r="A6917" s="12"/>
      <c r="E6917" s="57" t="str">
        <f ca="1">IFERROR(__xludf.DUMMYFUNCTION("""COMPUTED_VALUE"""),"")</f>
        <v/>
      </c>
    </row>
    <row r="6918" spans="1:5">
      <c r="A6918" s="12"/>
      <c r="E6918" s="57" t="str">
        <f ca="1">IFERROR(__xludf.DUMMYFUNCTION("""COMPUTED_VALUE"""),"")</f>
        <v/>
      </c>
    </row>
    <row r="6919" spans="1:5">
      <c r="A6919" s="12"/>
      <c r="E6919" s="57" t="str">
        <f ca="1">IFERROR(__xludf.DUMMYFUNCTION("""COMPUTED_VALUE"""),"")</f>
        <v/>
      </c>
    </row>
    <row r="6920" spans="1:5">
      <c r="A6920" s="12"/>
      <c r="E6920" s="57" t="str">
        <f ca="1">IFERROR(__xludf.DUMMYFUNCTION("""COMPUTED_VALUE"""),"")</f>
        <v/>
      </c>
    </row>
    <row r="6921" spans="1:5">
      <c r="A6921" s="12"/>
      <c r="E6921" s="57" t="str">
        <f ca="1">IFERROR(__xludf.DUMMYFUNCTION("""COMPUTED_VALUE"""),"")</f>
        <v/>
      </c>
    </row>
    <row r="6922" spans="1:5">
      <c r="A6922" s="12"/>
      <c r="E6922" s="57" t="str">
        <f ca="1">IFERROR(__xludf.DUMMYFUNCTION("""COMPUTED_VALUE"""),"")</f>
        <v/>
      </c>
    </row>
    <row r="6923" spans="1:5">
      <c r="A6923" s="12"/>
      <c r="E6923" s="57" t="str">
        <f ca="1">IFERROR(__xludf.DUMMYFUNCTION("""COMPUTED_VALUE"""),"")</f>
        <v/>
      </c>
    </row>
    <row r="6924" spans="1:5">
      <c r="A6924" s="12"/>
      <c r="E6924" s="57" t="str">
        <f ca="1">IFERROR(__xludf.DUMMYFUNCTION("""COMPUTED_VALUE"""),"")</f>
        <v/>
      </c>
    </row>
    <row r="6925" spans="1:5">
      <c r="A6925" s="12"/>
      <c r="E6925" s="57" t="str">
        <f ca="1">IFERROR(__xludf.DUMMYFUNCTION("""COMPUTED_VALUE"""),"")</f>
        <v/>
      </c>
    </row>
    <row r="6926" spans="1:5">
      <c r="A6926" s="12"/>
      <c r="E6926" s="57" t="str">
        <f ca="1">IFERROR(__xludf.DUMMYFUNCTION("""COMPUTED_VALUE"""),"")</f>
        <v/>
      </c>
    </row>
    <row r="6927" spans="1:5">
      <c r="A6927" s="12"/>
      <c r="E6927" s="57" t="str">
        <f ca="1">IFERROR(__xludf.DUMMYFUNCTION("""COMPUTED_VALUE"""),"")</f>
        <v/>
      </c>
    </row>
    <row r="6928" spans="1:5">
      <c r="A6928" s="12"/>
      <c r="E6928" s="57" t="str">
        <f ca="1">IFERROR(__xludf.DUMMYFUNCTION("""COMPUTED_VALUE"""),"")</f>
        <v/>
      </c>
    </row>
    <row r="6929" spans="1:5">
      <c r="A6929" s="12"/>
      <c r="E6929" s="57" t="str">
        <f ca="1">IFERROR(__xludf.DUMMYFUNCTION("""COMPUTED_VALUE"""),"")</f>
        <v/>
      </c>
    </row>
    <row r="6930" spans="1:5">
      <c r="A6930" s="12"/>
      <c r="E6930" s="57" t="str">
        <f ca="1">IFERROR(__xludf.DUMMYFUNCTION("""COMPUTED_VALUE"""),"")</f>
        <v/>
      </c>
    </row>
    <row r="6931" spans="1:5">
      <c r="A6931" s="12"/>
      <c r="E6931" s="57" t="str">
        <f ca="1">IFERROR(__xludf.DUMMYFUNCTION("""COMPUTED_VALUE"""),"")</f>
        <v/>
      </c>
    </row>
    <row r="6932" spans="1:5">
      <c r="A6932" s="12"/>
      <c r="E6932" s="57" t="str">
        <f ca="1">IFERROR(__xludf.DUMMYFUNCTION("""COMPUTED_VALUE"""),"")</f>
        <v/>
      </c>
    </row>
    <row r="6933" spans="1:5">
      <c r="A6933" s="12"/>
      <c r="E6933" s="57" t="str">
        <f ca="1">IFERROR(__xludf.DUMMYFUNCTION("""COMPUTED_VALUE"""),"")</f>
        <v/>
      </c>
    </row>
    <row r="6934" spans="1:5">
      <c r="A6934" s="12"/>
      <c r="E6934" s="57" t="str">
        <f ca="1">IFERROR(__xludf.DUMMYFUNCTION("""COMPUTED_VALUE"""),"")</f>
        <v/>
      </c>
    </row>
    <row r="6935" spans="1:5">
      <c r="A6935" s="12"/>
      <c r="E6935" s="57" t="str">
        <f ca="1">IFERROR(__xludf.DUMMYFUNCTION("""COMPUTED_VALUE"""),"")</f>
        <v/>
      </c>
    </row>
    <row r="6936" spans="1:5">
      <c r="A6936" s="12"/>
      <c r="E6936" s="57" t="str">
        <f ca="1">IFERROR(__xludf.DUMMYFUNCTION("""COMPUTED_VALUE"""),"")</f>
        <v/>
      </c>
    </row>
    <row r="6937" spans="1:5">
      <c r="A6937" s="12"/>
      <c r="E6937" s="57" t="str">
        <f ca="1">IFERROR(__xludf.DUMMYFUNCTION("""COMPUTED_VALUE"""),"")</f>
        <v/>
      </c>
    </row>
    <row r="6938" spans="1:5">
      <c r="A6938" s="12"/>
      <c r="E6938" s="57" t="str">
        <f ca="1">IFERROR(__xludf.DUMMYFUNCTION("""COMPUTED_VALUE"""),"")</f>
        <v/>
      </c>
    </row>
    <row r="6939" spans="1:5">
      <c r="A6939" s="12"/>
      <c r="E6939" s="57" t="str">
        <f ca="1">IFERROR(__xludf.DUMMYFUNCTION("""COMPUTED_VALUE"""),"")</f>
        <v/>
      </c>
    </row>
    <row r="6940" spans="1:5">
      <c r="A6940" s="12"/>
      <c r="E6940" s="57" t="str">
        <f ca="1">IFERROR(__xludf.DUMMYFUNCTION("""COMPUTED_VALUE"""),"")</f>
        <v/>
      </c>
    </row>
    <row r="6941" spans="1:5">
      <c r="A6941" s="12"/>
      <c r="E6941" s="57" t="str">
        <f ca="1">IFERROR(__xludf.DUMMYFUNCTION("""COMPUTED_VALUE"""),"")</f>
        <v/>
      </c>
    </row>
    <row r="6942" spans="1:5">
      <c r="A6942" s="12"/>
      <c r="E6942" s="57" t="str">
        <f ca="1">IFERROR(__xludf.DUMMYFUNCTION("""COMPUTED_VALUE"""),"")</f>
        <v/>
      </c>
    </row>
    <row r="6943" spans="1:5">
      <c r="A6943" s="12"/>
      <c r="E6943" s="57" t="str">
        <f ca="1">IFERROR(__xludf.DUMMYFUNCTION("""COMPUTED_VALUE"""),"")</f>
        <v/>
      </c>
    </row>
    <row r="6944" spans="1:5">
      <c r="A6944" s="12"/>
      <c r="E6944" s="57" t="str">
        <f ca="1">IFERROR(__xludf.DUMMYFUNCTION("""COMPUTED_VALUE"""),"")</f>
        <v/>
      </c>
    </row>
    <row r="6945" spans="1:5">
      <c r="A6945" s="12"/>
      <c r="E6945" s="57" t="str">
        <f ca="1">IFERROR(__xludf.DUMMYFUNCTION("""COMPUTED_VALUE"""),"")</f>
        <v/>
      </c>
    </row>
    <row r="6946" spans="1:5">
      <c r="A6946" s="12"/>
      <c r="E6946" s="57" t="str">
        <f ca="1">IFERROR(__xludf.DUMMYFUNCTION("""COMPUTED_VALUE"""),"")</f>
        <v/>
      </c>
    </row>
    <row r="6947" spans="1:5">
      <c r="A6947" s="12"/>
      <c r="E6947" s="57" t="str">
        <f ca="1">IFERROR(__xludf.DUMMYFUNCTION("""COMPUTED_VALUE"""),"")</f>
        <v/>
      </c>
    </row>
    <row r="6948" spans="1:5">
      <c r="A6948" s="12"/>
      <c r="E6948" s="57" t="str">
        <f ca="1">IFERROR(__xludf.DUMMYFUNCTION("""COMPUTED_VALUE"""),"")</f>
        <v/>
      </c>
    </row>
    <row r="6949" spans="1:5">
      <c r="A6949" s="12"/>
      <c r="E6949" s="57" t="str">
        <f ca="1">IFERROR(__xludf.DUMMYFUNCTION("""COMPUTED_VALUE"""),"")</f>
        <v/>
      </c>
    </row>
    <row r="6950" spans="1:5">
      <c r="A6950" s="12"/>
      <c r="E6950" s="57" t="str">
        <f ca="1">IFERROR(__xludf.DUMMYFUNCTION("""COMPUTED_VALUE"""),"")</f>
        <v/>
      </c>
    </row>
    <row r="6951" spans="1:5">
      <c r="A6951" s="12"/>
      <c r="E6951" s="57" t="str">
        <f ca="1">IFERROR(__xludf.DUMMYFUNCTION("""COMPUTED_VALUE"""),"")</f>
        <v/>
      </c>
    </row>
    <row r="6952" spans="1:5">
      <c r="A6952" s="12"/>
      <c r="E6952" s="57" t="str">
        <f ca="1">IFERROR(__xludf.DUMMYFUNCTION("""COMPUTED_VALUE"""),"")</f>
        <v/>
      </c>
    </row>
    <row r="6953" spans="1:5">
      <c r="A6953" s="12"/>
      <c r="E6953" s="57" t="str">
        <f ca="1">IFERROR(__xludf.DUMMYFUNCTION("""COMPUTED_VALUE"""),"")</f>
        <v/>
      </c>
    </row>
    <row r="6954" spans="1:5">
      <c r="A6954" s="12"/>
      <c r="E6954" s="57" t="str">
        <f ca="1">IFERROR(__xludf.DUMMYFUNCTION("""COMPUTED_VALUE"""),"")</f>
        <v/>
      </c>
    </row>
    <row r="6955" spans="1:5">
      <c r="A6955" s="12"/>
      <c r="E6955" s="57" t="str">
        <f ca="1">IFERROR(__xludf.DUMMYFUNCTION("""COMPUTED_VALUE"""),"")</f>
        <v/>
      </c>
    </row>
    <row r="6956" spans="1:5">
      <c r="A6956" s="12"/>
      <c r="E6956" s="57" t="str">
        <f ca="1">IFERROR(__xludf.DUMMYFUNCTION("""COMPUTED_VALUE"""),"")</f>
        <v/>
      </c>
    </row>
    <row r="6957" spans="1:5">
      <c r="A6957" s="12"/>
      <c r="E6957" s="57" t="str">
        <f ca="1">IFERROR(__xludf.DUMMYFUNCTION("""COMPUTED_VALUE"""),"")</f>
        <v/>
      </c>
    </row>
    <row r="6958" spans="1:5">
      <c r="A6958" s="12"/>
      <c r="E6958" s="57" t="str">
        <f ca="1">IFERROR(__xludf.DUMMYFUNCTION("""COMPUTED_VALUE"""),"")</f>
        <v/>
      </c>
    </row>
    <row r="6959" spans="1:5">
      <c r="A6959" s="12"/>
      <c r="E6959" s="57" t="str">
        <f ca="1">IFERROR(__xludf.DUMMYFUNCTION("""COMPUTED_VALUE"""),"")</f>
        <v/>
      </c>
    </row>
    <row r="6960" spans="1:5">
      <c r="A6960" s="12"/>
      <c r="E6960" s="57" t="str">
        <f ca="1">IFERROR(__xludf.DUMMYFUNCTION("""COMPUTED_VALUE"""),"")</f>
        <v/>
      </c>
    </row>
    <row r="6961" spans="1:5">
      <c r="A6961" s="12"/>
      <c r="E6961" s="57" t="str">
        <f ca="1">IFERROR(__xludf.DUMMYFUNCTION("""COMPUTED_VALUE"""),"")</f>
        <v/>
      </c>
    </row>
    <row r="6962" spans="1:5">
      <c r="A6962" s="12"/>
      <c r="E6962" s="57" t="str">
        <f ca="1">IFERROR(__xludf.DUMMYFUNCTION("""COMPUTED_VALUE"""),"")</f>
        <v/>
      </c>
    </row>
    <row r="6963" spans="1:5">
      <c r="A6963" s="12"/>
      <c r="E6963" s="57" t="str">
        <f ca="1">IFERROR(__xludf.DUMMYFUNCTION("""COMPUTED_VALUE"""),"")</f>
        <v/>
      </c>
    </row>
    <row r="6964" spans="1:5">
      <c r="A6964" s="12"/>
      <c r="E6964" s="57" t="str">
        <f ca="1">IFERROR(__xludf.DUMMYFUNCTION("""COMPUTED_VALUE"""),"")</f>
        <v/>
      </c>
    </row>
    <row r="6965" spans="1:5">
      <c r="A6965" s="12"/>
      <c r="E6965" s="57" t="str">
        <f ca="1">IFERROR(__xludf.DUMMYFUNCTION("""COMPUTED_VALUE"""),"")</f>
        <v/>
      </c>
    </row>
    <row r="6966" spans="1:5">
      <c r="A6966" s="12"/>
      <c r="E6966" s="57" t="str">
        <f ca="1">IFERROR(__xludf.DUMMYFUNCTION("""COMPUTED_VALUE"""),"")</f>
        <v/>
      </c>
    </row>
    <row r="6967" spans="1:5">
      <c r="A6967" s="12"/>
      <c r="E6967" s="57" t="str">
        <f ca="1">IFERROR(__xludf.DUMMYFUNCTION("""COMPUTED_VALUE"""),"")</f>
        <v/>
      </c>
    </row>
    <row r="6968" spans="1:5">
      <c r="A6968" s="12"/>
      <c r="E6968" s="57" t="str">
        <f ca="1">IFERROR(__xludf.DUMMYFUNCTION("""COMPUTED_VALUE"""),"")</f>
        <v/>
      </c>
    </row>
    <row r="6969" spans="1:5">
      <c r="A6969" s="12"/>
      <c r="E6969" s="57" t="str">
        <f ca="1">IFERROR(__xludf.DUMMYFUNCTION("""COMPUTED_VALUE"""),"")</f>
        <v/>
      </c>
    </row>
    <row r="6970" spans="1:5">
      <c r="A6970" s="12"/>
      <c r="E6970" s="57" t="str">
        <f ca="1">IFERROR(__xludf.DUMMYFUNCTION("""COMPUTED_VALUE"""),"")</f>
        <v/>
      </c>
    </row>
    <row r="6971" spans="1:5">
      <c r="A6971" s="12"/>
      <c r="E6971" s="57" t="str">
        <f ca="1">IFERROR(__xludf.DUMMYFUNCTION("""COMPUTED_VALUE"""),"")</f>
        <v/>
      </c>
    </row>
    <row r="6972" spans="1:5">
      <c r="A6972" s="12"/>
      <c r="E6972" s="57" t="str">
        <f ca="1">IFERROR(__xludf.DUMMYFUNCTION("""COMPUTED_VALUE"""),"")</f>
        <v/>
      </c>
    </row>
    <row r="6973" spans="1:5">
      <c r="A6973" s="12"/>
      <c r="E6973" s="57" t="str">
        <f ca="1">IFERROR(__xludf.DUMMYFUNCTION("""COMPUTED_VALUE"""),"")</f>
        <v/>
      </c>
    </row>
    <row r="6974" spans="1:5">
      <c r="A6974" s="12"/>
      <c r="E6974" s="57" t="str">
        <f ca="1">IFERROR(__xludf.DUMMYFUNCTION("""COMPUTED_VALUE"""),"")</f>
        <v/>
      </c>
    </row>
    <row r="6975" spans="1:5">
      <c r="A6975" s="12"/>
      <c r="E6975" s="57" t="str">
        <f ca="1">IFERROR(__xludf.DUMMYFUNCTION("""COMPUTED_VALUE"""),"")</f>
        <v/>
      </c>
    </row>
    <row r="6976" spans="1:5">
      <c r="A6976" s="12"/>
      <c r="E6976" s="57" t="str">
        <f ca="1">IFERROR(__xludf.DUMMYFUNCTION("""COMPUTED_VALUE"""),"")</f>
        <v/>
      </c>
    </row>
    <row r="6977" spans="1:5">
      <c r="A6977" s="12"/>
      <c r="E6977" s="57" t="str">
        <f ca="1">IFERROR(__xludf.DUMMYFUNCTION("""COMPUTED_VALUE"""),"")</f>
        <v/>
      </c>
    </row>
    <row r="6978" spans="1:5">
      <c r="A6978" s="12"/>
      <c r="E6978" s="57" t="str">
        <f ca="1">IFERROR(__xludf.DUMMYFUNCTION("""COMPUTED_VALUE"""),"")</f>
        <v/>
      </c>
    </row>
    <row r="6979" spans="1:5">
      <c r="A6979" s="12"/>
      <c r="E6979" s="57" t="str">
        <f ca="1">IFERROR(__xludf.DUMMYFUNCTION("""COMPUTED_VALUE"""),"")</f>
        <v/>
      </c>
    </row>
    <row r="6980" spans="1:5">
      <c r="A6980" s="12"/>
      <c r="E6980" s="57" t="str">
        <f ca="1">IFERROR(__xludf.DUMMYFUNCTION("""COMPUTED_VALUE"""),"")</f>
        <v/>
      </c>
    </row>
    <row r="6981" spans="1:5">
      <c r="A6981" s="12"/>
      <c r="E6981" s="57" t="str">
        <f ca="1">IFERROR(__xludf.DUMMYFUNCTION("""COMPUTED_VALUE"""),"")</f>
        <v/>
      </c>
    </row>
    <row r="6982" spans="1:5">
      <c r="A6982" s="12"/>
      <c r="E6982" s="57" t="str">
        <f ca="1">IFERROR(__xludf.DUMMYFUNCTION("""COMPUTED_VALUE"""),"")</f>
        <v/>
      </c>
    </row>
    <row r="6983" spans="1:5">
      <c r="A6983" s="12"/>
      <c r="E6983" s="57" t="str">
        <f ca="1">IFERROR(__xludf.DUMMYFUNCTION("""COMPUTED_VALUE"""),"")</f>
        <v/>
      </c>
    </row>
    <row r="6984" spans="1:5">
      <c r="A6984" s="12"/>
      <c r="E6984" s="57" t="str">
        <f ca="1">IFERROR(__xludf.DUMMYFUNCTION("""COMPUTED_VALUE"""),"")</f>
        <v/>
      </c>
    </row>
    <row r="6985" spans="1:5">
      <c r="A6985" s="12"/>
      <c r="E6985" s="57" t="str">
        <f ca="1">IFERROR(__xludf.DUMMYFUNCTION("""COMPUTED_VALUE"""),"")</f>
        <v/>
      </c>
    </row>
    <row r="6986" spans="1:5">
      <c r="A6986" s="12"/>
      <c r="E6986" s="57" t="str">
        <f ca="1">IFERROR(__xludf.DUMMYFUNCTION("""COMPUTED_VALUE"""),"")</f>
        <v/>
      </c>
    </row>
    <row r="6987" spans="1:5">
      <c r="A6987" s="12"/>
      <c r="E6987" s="57" t="str">
        <f ca="1">IFERROR(__xludf.DUMMYFUNCTION("""COMPUTED_VALUE"""),"")</f>
        <v/>
      </c>
    </row>
    <row r="6988" spans="1:5">
      <c r="A6988" s="12"/>
      <c r="E6988" s="57" t="str">
        <f ca="1">IFERROR(__xludf.DUMMYFUNCTION("""COMPUTED_VALUE"""),"")</f>
        <v/>
      </c>
    </row>
    <row r="6989" spans="1:5">
      <c r="A6989" s="12"/>
      <c r="E6989" s="57" t="str">
        <f ca="1">IFERROR(__xludf.DUMMYFUNCTION("""COMPUTED_VALUE"""),"")</f>
        <v/>
      </c>
    </row>
    <row r="6990" spans="1:5">
      <c r="A6990" s="12"/>
      <c r="E6990" s="57" t="str">
        <f ca="1">IFERROR(__xludf.DUMMYFUNCTION("""COMPUTED_VALUE"""),"")</f>
        <v/>
      </c>
    </row>
    <row r="6991" spans="1:5">
      <c r="A6991" s="12"/>
      <c r="E6991" s="57" t="str">
        <f ca="1">IFERROR(__xludf.DUMMYFUNCTION("""COMPUTED_VALUE"""),"")</f>
        <v/>
      </c>
    </row>
    <row r="6992" spans="1:5">
      <c r="A6992" s="12"/>
      <c r="E6992" s="57" t="str">
        <f ca="1">IFERROR(__xludf.DUMMYFUNCTION("""COMPUTED_VALUE"""),"")</f>
        <v/>
      </c>
    </row>
    <row r="6993" spans="1:5">
      <c r="A6993" s="12"/>
      <c r="E6993" s="57" t="str">
        <f ca="1">IFERROR(__xludf.DUMMYFUNCTION("""COMPUTED_VALUE"""),"")</f>
        <v/>
      </c>
    </row>
    <row r="6994" spans="1:5">
      <c r="A6994" s="12"/>
      <c r="E6994" s="57" t="str">
        <f ca="1">IFERROR(__xludf.DUMMYFUNCTION("""COMPUTED_VALUE"""),"")</f>
        <v/>
      </c>
    </row>
    <row r="6995" spans="1:5">
      <c r="A6995" s="12"/>
      <c r="E6995" s="57" t="str">
        <f ca="1">IFERROR(__xludf.DUMMYFUNCTION("""COMPUTED_VALUE"""),"")</f>
        <v/>
      </c>
    </row>
    <row r="6996" spans="1:5">
      <c r="A6996" s="12"/>
      <c r="E6996" s="57" t="str">
        <f ca="1">IFERROR(__xludf.DUMMYFUNCTION("""COMPUTED_VALUE"""),"")</f>
        <v/>
      </c>
    </row>
    <row r="6997" spans="1:5">
      <c r="A6997" s="12"/>
      <c r="E6997" s="57" t="str">
        <f ca="1">IFERROR(__xludf.DUMMYFUNCTION("""COMPUTED_VALUE"""),"")</f>
        <v/>
      </c>
    </row>
    <row r="6998" spans="1:5">
      <c r="A6998" s="12"/>
      <c r="E6998" s="57" t="str">
        <f ca="1">IFERROR(__xludf.DUMMYFUNCTION("""COMPUTED_VALUE"""),"")</f>
        <v/>
      </c>
    </row>
    <row r="6999" spans="1:5">
      <c r="A6999" s="12"/>
      <c r="E6999" s="57" t="str">
        <f ca="1">IFERROR(__xludf.DUMMYFUNCTION("""COMPUTED_VALUE"""),"")</f>
        <v/>
      </c>
    </row>
    <row r="7000" spans="1:5">
      <c r="A7000" s="12"/>
      <c r="E7000" s="57" t="str">
        <f ca="1">IFERROR(__xludf.DUMMYFUNCTION("""COMPUTED_VALUE"""),"")</f>
        <v/>
      </c>
    </row>
    <row r="7001" spans="1:5">
      <c r="A7001" s="12"/>
      <c r="E7001" s="57" t="str">
        <f ca="1">IFERROR(__xludf.DUMMYFUNCTION("""COMPUTED_VALUE"""),"")</f>
        <v/>
      </c>
    </row>
    <row r="7002" spans="1:5">
      <c r="A7002" s="12"/>
      <c r="E7002" s="57" t="str">
        <f ca="1">IFERROR(__xludf.DUMMYFUNCTION("""COMPUTED_VALUE"""),"")</f>
        <v/>
      </c>
    </row>
    <row r="7003" spans="1:5">
      <c r="A7003" s="12"/>
      <c r="E7003" s="57" t="str">
        <f ca="1">IFERROR(__xludf.DUMMYFUNCTION("""COMPUTED_VALUE"""),"")</f>
        <v/>
      </c>
    </row>
    <row r="7004" spans="1:5">
      <c r="A7004" s="12"/>
      <c r="E7004" s="57" t="str">
        <f ca="1">IFERROR(__xludf.DUMMYFUNCTION("""COMPUTED_VALUE"""),"")</f>
        <v/>
      </c>
    </row>
    <row r="7005" spans="1:5">
      <c r="A7005" s="12"/>
      <c r="E7005" s="57" t="str">
        <f ca="1">IFERROR(__xludf.DUMMYFUNCTION("""COMPUTED_VALUE"""),"")</f>
        <v/>
      </c>
    </row>
    <row r="7006" spans="1:5">
      <c r="A7006" s="12"/>
      <c r="E7006" s="57" t="str">
        <f ca="1">IFERROR(__xludf.DUMMYFUNCTION("""COMPUTED_VALUE"""),"")</f>
        <v/>
      </c>
    </row>
    <row r="7007" spans="1:5">
      <c r="A7007" s="12"/>
      <c r="E7007" s="57" t="str">
        <f ca="1">IFERROR(__xludf.DUMMYFUNCTION("""COMPUTED_VALUE"""),"")</f>
        <v/>
      </c>
    </row>
    <row r="7008" spans="1:5">
      <c r="A7008" s="12"/>
      <c r="E7008" s="57" t="str">
        <f ca="1">IFERROR(__xludf.DUMMYFUNCTION("""COMPUTED_VALUE"""),"")</f>
        <v/>
      </c>
    </row>
    <row r="7009" spans="1:5">
      <c r="A7009" s="12"/>
      <c r="E7009" s="57" t="str">
        <f ca="1">IFERROR(__xludf.DUMMYFUNCTION("""COMPUTED_VALUE"""),"")</f>
        <v/>
      </c>
    </row>
    <row r="7010" spans="1:5">
      <c r="A7010" s="12"/>
      <c r="E7010" s="57" t="str">
        <f ca="1">IFERROR(__xludf.DUMMYFUNCTION("""COMPUTED_VALUE"""),"")</f>
        <v/>
      </c>
    </row>
    <row r="7011" spans="1:5">
      <c r="A7011" s="12"/>
      <c r="E7011" s="57" t="str">
        <f ca="1">IFERROR(__xludf.DUMMYFUNCTION("""COMPUTED_VALUE"""),"")</f>
        <v/>
      </c>
    </row>
    <row r="7012" spans="1:5">
      <c r="A7012" s="12"/>
      <c r="E7012" s="57" t="str">
        <f ca="1">IFERROR(__xludf.DUMMYFUNCTION("""COMPUTED_VALUE"""),"")</f>
        <v/>
      </c>
    </row>
    <row r="7013" spans="1:5">
      <c r="A7013" s="12"/>
      <c r="E7013" s="57" t="str">
        <f ca="1">IFERROR(__xludf.DUMMYFUNCTION("""COMPUTED_VALUE"""),"")</f>
        <v/>
      </c>
    </row>
    <row r="7014" spans="1:5">
      <c r="A7014" s="12"/>
      <c r="E7014" s="57" t="str">
        <f ca="1">IFERROR(__xludf.DUMMYFUNCTION("""COMPUTED_VALUE"""),"")</f>
        <v/>
      </c>
    </row>
    <row r="7015" spans="1:5">
      <c r="A7015" s="12"/>
      <c r="E7015" s="57" t="str">
        <f ca="1">IFERROR(__xludf.DUMMYFUNCTION("""COMPUTED_VALUE"""),"")</f>
        <v/>
      </c>
    </row>
    <row r="7016" spans="1:5">
      <c r="A7016" s="12"/>
      <c r="E7016" s="57" t="str">
        <f ca="1">IFERROR(__xludf.DUMMYFUNCTION("""COMPUTED_VALUE"""),"")</f>
        <v/>
      </c>
    </row>
    <row r="7017" spans="1:5">
      <c r="A7017" s="12"/>
      <c r="E7017" s="57" t="str">
        <f ca="1">IFERROR(__xludf.DUMMYFUNCTION("""COMPUTED_VALUE"""),"")</f>
        <v/>
      </c>
    </row>
    <row r="7018" spans="1:5">
      <c r="A7018" s="12"/>
      <c r="E7018" s="57" t="str">
        <f ca="1">IFERROR(__xludf.DUMMYFUNCTION("""COMPUTED_VALUE"""),"")</f>
        <v/>
      </c>
    </row>
    <row r="7019" spans="1:5">
      <c r="A7019" s="12"/>
      <c r="E7019" s="57" t="str">
        <f ca="1">IFERROR(__xludf.DUMMYFUNCTION("""COMPUTED_VALUE"""),"")</f>
        <v/>
      </c>
    </row>
    <row r="7020" spans="1:5">
      <c r="A7020" s="12"/>
      <c r="E7020" s="57" t="str">
        <f ca="1">IFERROR(__xludf.DUMMYFUNCTION("""COMPUTED_VALUE"""),"")</f>
        <v/>
      </c>
    </row>
    <row r="7021" spans="1:5">
      <c r="A7021" s="12"/>
      <c r="E7021" s="57" t="str">
        <f ca="1">IFERROR(__xludf.DUMMYFUNCTION("""COMPUTED_VALUE"""),"")</f>
        <v/>
      </c>
    </row>
    <row r="7022" spans="1:5">
      <c r="A7022" s="12"/>
      <c r="E7022" s="57" t="str">
        <f ca="1">IFERROR(__xludf.DUMMYFUNCTION("""COMPUTED_VALUE"""),"")</f>
        <v/>
      </c>
    </row>
    <row r="7023" spans="1:5">
      <c r="A7023" s="12"/>
      <c r="E7023" s="57" t="str">
        <f ca="1">IFERROR(__xludf.DUMMYFUNCTION("""COMPUTED_VALUE"""),"")</f>
        <v/>
      </c>
    </row>
    <row r="7024" spans="1:5">
      <c r="A7024" s="12"/>
      <c r="E7024" s="57" t="str">
        <f ca="1">IFERROR(__xludf.DUMMYFUNCTION("""COMPUTED_VALUE"""),"")</f>
        <v/>
      </c>
    </row>
    <row r="7025" spans="1:5">
      <c r="A7025" s="12"/>
      <c r="E7025" s="57" t="str">
        <f ca="1">IFERROR(__xludf.DUMMYFUNCTION("""COMPUTED_VALUE"""),"")</f>
        <v/>
      </c>
    </row>
    <row r="7026" spans="1:5">
      <c r="A7026" s="12"/>
      <c r="E7026" s="57" t="str">
        <f ca="1">IFERROR(__xludf.DUMMYFUNCTION("""COMPUTED_VALUE"""),"")</f>
        <v/>
      </c>
    </row>
    <row r="7027" spans="1:5">
      <c r="A7027" s="12"/>
      <c r="E7027" s="57" t="str">
        <f ca="1">IFERROR(__xludf.DUMMYFUNCTION("""COMPUTED_VALUE"""),"")</f>
        <v/>
      </c>
    </row>
    <row r="7028" spans="1:5">
      <c r="A7028" s="12"/>
      <c r="E7028" s="57" t="str">
        <f ca="1">IFERROR(__xludf.DUMMYFUNCTION("""COMPUTED_VALUE"""),"")</f>
        <v/>
      </c>
    </row>
    <row r="7029" spans="1:5">
      <c r="A7029" s="12"/>
      <c r="E7029" s="57" t="str">
        <f ca="1">IFERROR(__xludf.DUMMYFUNCTION("""COMPUTED_VALUE"""),"")</f>
        <v/>
      </c>
    </row>
    <row r="7030" spans="1:5">
      <c r="A7030" s="12"/>
      <c r="E7030" s="57" t="str">
        <f ca="1">IFERROR(__xludf.DUMMYFUNCTION("""COMPUTED_VALUE"""),"")</f>
        <v/>
      </c>
    </row>
    <row r="7031" spans="1:5">
      <c r="A7031" s="12"/>
      <c r="E7031" s="57" t="str">
        <f ca="1">IFERROR(__xludf.DUMMYFUNCTION("""COMPUTED_VALUE"""),"")</f>
        <v/>
      </c>
    </row>
    <row r="7032" spans="1:5">
      <c r="A7032" s="12"/>
      <c r="E7032" s="57" t="str">
        <f ca="1">IFERROR(__xludf.DUMMYFUNCTION("""COMPUTED_VALUE"""),"")</f>
        <v/>
      </c>
    </row>
    <row r="7033" spans="1:5">
      <c r="A7033" s="12"/>
      <c r="E7033" s="57" t="str">
        <f ca="1">IFERROR(__xludf.DUMMYFUNCTION("""COMPUTED_VALUE"""),"")</f>
        <v/>
      </c>
    </row>
    <row r="7034" spans="1:5">
      <c r="A7034" s="12"/>
      <c r="E7034" s="57" t="str">
        <f ca="1">IFERROR(__xludf.DUMMYFUNCTION("""COMPUTED_VALUE"""),"")</f>
        <v/>
      </c>
    </row>
    <row r="7035" spans="1:5">
      <c r="A7035" s="12"/>
      <c r="E7035" s="57" t="str">
        <f ca="1">IFERROR(__xludf.DUMMYFUNCTION("""COMPUTED_VALUE"""),"")</f>
        <v/>
      </c>
    </row>
    <row r="7036" spans="1:5">
      <c r="A7036" s="12"/>
      <c r="E7036" s="57" t="str">
        <f ca="1">IFERROR(__xludf.DUMMYFUNCTION("""COMPUTED_VALUE"""),"")</f>
        <v/>
      </c>
    </row>
    <row r="7037" spans="1:5">
      <c r="A7037" s="12"/>
      <c r="E7037" s="57" t="str">
        <f ca="1">IFERROR(__xludf.DUMMYFUNCTION("""COMPUTED_VALUE"""),"")</f>
        <v/>
      </c>
    </row>
    <row r="7038" spans="1:5">
      <c r="A7038" s="12"/>
      <c r="E7038" s="57" t="str">
        <f ca="1">IFERROR(__xludf.DUMMYFUNCTION("""COMPUTED_VALUE"""),"")</f>
        <v/>
      </c>
    </row>
    <row r="7039" spans="1:5">
      <c r="A7039" s="12"/>
      <c r="E7039" s="57" t="str">
        <f ca="1">IFERROR(__xludf.DUMMYFUNCTION("""COMPUTED_VALUE"""),"")</f>
        <v/>
      </c>
    </row>
    <row r="7040" spans="1:5">
      <c r="A7040" s="12"/>
      <c r="E7040" s="57" t="str">
        <f ca="1">IFERROR(__xludf.DUMMYFUNCTION("""COMPUTED_VALUE"""),"")</f>
        <v/>
      </c>
    </row>
    <row r="7041" spans="1:5">
      <c r="A7041" s="12"/>
      <c r="E7041" s="57" t="str">
        <f ca="1">IFERROR(__xludf.DUMMYFUNCTION("""COMPUTED_VALUE"""),"")</f>
        <v/>
      </c>
    </row>
    <row r="7042" spans="1:5">
      <c r="A7042" s="12"/>
      <c r="E7042" s="57" t="str">
        <f ca="1">IFERROR(__xludf.DUMMYFUNCTION("""COMPUTED_VALUE"""),"")</f>
        <v/>
      </c>
    </row>
    <row r="7043" spans="1:5">
      <c r="A7043" s="12"/>
      <c r="E7043" s="57" t="str">
        <f ca="1">IFERROR(__xludf.DUMMYFUNCTION("""COMPUTED_VALUE"""),"")</f>
        <v/>
      </c>
    </row>
    <row r="7044" spans="1:5">
      <c r="A7044" s="12"/>
      <c r="E7044" s="57" t="str">
        <f ca="1">IFERROR(__xludf.DUMMYFUNCTION("""COMPUTED_VALUE"""),"")</f>
        <v/>
      </c>
    </row>
    <row r="7045" spans="1:5">
      <c r="A7045" s="12"/>
      <c r="E7045" s="57" t="str">
        <f ca="1">IFERROR(__xludf.DUMMYFUNCTION("""COMPUTED_VALUE"""),"")</f>
        <v/>
      </c>
    </row>
    <row r="7046" spans="1:5">
      <c r="A7046" s="12"/>
      <c r="E7046" s="57" t="str">
        <f ca="1">IFERROR(__xludf.DUMMYFUNCTION("""COMPUTED_VALUE"""),"")</f>
        <v/>
      </c>
    </row>
    <row r="7047" spans="1:5">
      <c r="A7047" s="12"/>
      <c r="E7047" s="57" t="str">
        <f ca="1">IFERROR(__xludf.DUMMYFUNCTION("""COMPUTED_VALUE"""),"")</f>
        <v/>
      </c>
    </row>
    <row r="7048" spans="1:5">
      <c r="A7048" s="12"/>
      <c r="E7048" s="57" t="str">
        <f ca="1">IFERROR(__xludf.DUMMYFUNCTION("""COMPUTED_VALUE"""),"")</f>
        <v/>
      </c>
    </row>
    <row r="7049" spans="1:5">
      <c r="A7049" s="12"/>
      <c r="E7049" s="57" t="str">
        <f ca="1">IFERROR(__xludf.DUMMYFUNCTION("""COMPUTED_VALUE"""),"")</f>
        <v/>
      </c>
    </row>
    <row r="7050" spans="1:5">
      <c r="A7050" s="12"/>
      <c r="E7050" s="57" t="str">
        <f ca="1">IFERROR(__xludf.DUMMYFUNCTION("""COMPUTED_VALUE"""),"")</f>
        <v/>
      </c>
    </row>
    <row r="7051" spans="1:5">
      <c r="A7051" s="12"/>
      <c r="E7051" s="57" t="str">
        <f ca="1">IFERROR(__xludf.DUMMYFUNCTION("""COMPUTED_VALUE"""),"")</f>
        <v/>
      </c>
    </row>
    <row r="7052" spans="1:5">
      <c r="A7052" s="12"/>
      <c r="E7052" s="57" t="str">
        <f ca="1">IFERROR(__xludf.DUMMYFUNCTION("""COMPUTED_VALUE"""),"")</f>
        <v/>
      </c>
    </row>
    <row r="7053" spans="1:5">
      <c r="A7053" s="12"/>
      <c r="E7053" s="57" t="str">
        <f ca="1">IFERROR(__xludf.DUMMYFUNCTION("""COMPUTED_VALUE"""),"")</f>
        <v/>
      </c>
    </row>
    <row r="7054" spans="1:5">
      <c r="A7054" s="12"/>
      <c r="E7054" s="57" t="str">
        <f ca="1">IFERROR(__xludf.DUMMYFUNCTION("""COMPUTED_VALUE"""),"")</f>
        <v/>
      </c>
    </row>
    <row r="7055" spans="1:5">
      <c r="A7055" s="12"/>
      <c r="E7055" s="57" t="str">
        <f ca="1">IFERROR(__xludf.DUMMYFUNCTION("""COMPUTED_VALUE"""),"")</f>
        <v/>
      </c>
    </row>
    <row r="7056" spans="1:5">
      <c r="A7056" s="12"/>
      <c r="E7056" s="57" t="str">
        <f ca="1">IFERROR(__xludf.DUMMYFUNCTION("""COMPUTED_VALUE"""),"")</f>
        <v/>
      </c>
    </row>
    <row r="7057" spans="1:5">
      <c r="A7057" s="12"/>
      <c r="E7057" s="57" t="str">
        <f ca="1">IFERROR(__xludf.DUMMYFUNCTION("""COMPUTED_VALUE"""),"")</f>
        <v/>
      </c>
    </row>
    <row r="7058" spans="1:5">
      <c r="A7058" s="12"/>
      <c r="E7058" s="57" t="str">
        <f ca="1">IFERROR(__xludf.DUMMYFUNCTION("""COMPUTED_VALUE"""),"")</f>
        <v/>
      </c>
    </row>
    <row r="7059" spans="1:5">
      <c r="A7059" s="12"/>
      <c r="E7059" s="57" t="str">
        <f ca="1">IFERROR(__xludf.DUMMYFUNCTION("""COMPUTED_VALUE"""),"")</f>
        <v/>
      </c>
    </row>
    <row r="7060" spans="1:5">
      <c r="A7060" s="12"/>
      <c r="E7060" s="57" t="str">
        <f ca="1">IFERROR(__xludf.DUMMYFUNCTION("""COMPUTED_VALUE"""),"")</f>
        <v/>
      </c>
    </row>
    <row r="7061" spans="1:5">
      <c r="A7061" s="12"/>
      <c r="E7061" s="57" t="str">
        <f ca="1">IFERROR(__xludf.DUMMYFUNCTION("""COMPUTED_VALUE"""),"")</f>
        <v/>
      </c>
    </row>
    <row r="7062" spans="1:5">
      <c r="A7062" s="12"/>
      <c r="E7062" s="57" t="str">
        <f ca="1">IFERROR(__xludf.DUMMYFUNCTION("""COMPUTED_VALUE"""),"")</f>
        <v/>
      </c>
    </row>
    <row r="7063" spans="1:5">
      <c r="A7063" s="12"/>
      <c r="E7063" s="57" t="str">
        <f ca="1">IFERROR(__xludf.DUMMYFUNCTION("""COMPUTED_VALUE"""),"")</f>
        <v/>
      </c>
    </row>
    <row r="7064" spans="1:5">
      <c r="A7064" s="12"/>
      <c r="E7064" s="57" t="str">
        <f ca="1">IFERROR(__xludf.DUMMYFUNCTION("""COMPUTED_VALUE"""),"")</f>
        <v/>
      </c>
    </row>
    <row r="7065" spans="1:5">
      <c r="A7065" s="12"/>
      <c r="E7065" s="57" t="str">
        <f ca="1">IFERROR(__xludf.DUMMYFUNCTION("""COMPUTED_VALUE"""),"")</f>
        <v/>
      </c>
    </row>
    <row r="7066" spans="1:5">
      <c r="A7066" s="12"/>
      <c r="E7066" s="57" t="str">
        <f ca="1">IFERROR(__xludf.DUMMYFUNCTION("""COMPUTED_VALUE"""),"")</f>
        <v/>
      </c>
    </row>
    <row r="7067" spans="1:5">
      <c r="A7067" s="12"/>
      <c r="E7067" s="57" t="str">
        <f ca="1">IFERROR(__xludf.DUMMYFUNCTION("""COMPUTED_VALUE"""),"")</f>
        <v/>
      </c>
    </row>
    <row r="7068" spans="1:5">
      <c r="A7068" s="12"/>
      <c r="E7068" s="57" t="str">
        <f ca="1">IFERROR(__xludf.DUMMYFUNCTION("""COMPUTED_VALUE"""),"")</f>
        <v/>
      </c>
    </row>
    <row r="7069" spans="1:5">
      <c r="A7069" s="12"/>
      <c r="E7069" s="57" t="str">
        <f ca="1">IFERROR(__xludf.DUMMYFUNCTION("""COMPUTED_VALUE"""),"")</f>
        <v/>
      </c>
    </row>
    <row r="7070" spans="1:5">
      <c r="A7070" s="12"/>
      <c r="E7070" s="57" t="str">
        <f ca="1">IFERROR(__xludf.DUMMYFUNCTION("""COMPUTED_VALUE"""),"")</f>
        <v/>
      </c>
    </row>
    <row r="7071" spans="1:5">
      <c r="A7071" s="12"/>
      <c r="E7071" s="57" t="str">
        <f ca="1">IFERROR(__xludf.DUMMYFUNCTION("""COMPUTED_VALUE"""),"")</f>
        <v/>
      </c>
    </row>
    <row r="7072" spans="1:5">
      <c r="A7072" s="12"/>
      <c r="E7072" s="57" t="str">
        <f ca="1">IFERROR(__xludf.DUMMYFUNCTION("""COMPUTED_VALUE"""),"")</f>
        <v/>
      </c>
    </row>
    <row r="7073" spans="1:5">
      <c r="A7073" s="12"/>
      <c r="E7073" s="57" t="str">
        <f ca="1">IFERROR(__xludf.DUMMYFUNCTION("""COMPUTED_VALUE"""),"")</f>
        <v/>
      </c>
    </row>
    <row r="7074" spans="1:5">
      <c r="A7074" s="12"/>
      <c r="E7074" s="57" t="str">
        <f ca="1">IFERROR(__xludf.DUMMYFUNCTION("""COMPUTED_VALUE"""),"")</f>
        <v/>
      </c>
    </row>
    <row r="7075" spans="1:5">
      <c r="A7075" s="12"/>
      <c r="E7075" s="57" t="str">
        <f ca="1">IFERROR(__xludf.DUMMYFUNCTION("""COMPUTED_VALUE"""),"")</f>
        <v/>
      </c>
    </row>
    <row r="7076" spans="1:5">
      <c r="A7076" s="12"/>
      <c r="E7076" s="57" t="str">
        <f ca="1">IFERROR(__xludf.DUMMYFUNCTION("""COMPUTED_VALUE"""),"")</f>
        <v/>
      </c>
    </row>
    <row r="7077" spans="1:5">
      <c r="A7077" s="12"/>
      <c r="E7077" s="57" t="str">
        <f ca="1">IFERROR(__xludf.DUMMYFUNCTION("""COMPUTED_VALUE"""),"")</f>
        <v/>
      </c>
    </row>
    <row r="7078" spans="1:5">
      <c r="A7078" s="12"/>
      <c r="E7078" s="57" t="str">
        <f ca="1">IFERROR(__xludf.DUMMYFUNCTION("""COMPUTED_VALUE"""),"")</f>
        <v/>
      </c>
    </row>
    <row r="7079" spans="1:5">
      <c r="A7079" s="12"/>
      <c r="E7079" s="57" t="str">
        <f ca="1">IFERROR(__xludf.DUMMYFUNCTION("""COMPUTED_VALUE"""),"")</f>
        <v/>
      </c>
    </row>
    <row r="7080" spans="1:5">
      <c r="A7080" s="12"/>
      <c r="E7080" s="57" t="str">
        <f ca="1">IFERROR(__xludf.DUMMYFUNCTION("""COMPUTED_VALUE"""),"")</f>
        <v/>
      </c>
    </row>
    <row r="7081" spans="1:5">
      <c r="A7081" s="12"/>
      <c r="E7081" s="57" t="str">
        <f ca="1">IFERROR(__xludf.DUMMYFUNCTION("""COMPUTED_VALUE"""),"")</f>
        <v/>
      </c>
    </row>
    <row r="7082" spans="1:5">
      <c r="A7082" s="12"/>
      <c r="E7082" s="57" t="str">
        <f ca="1">IFERROR(__xludf.DUMMYFUNCTION("""COMPUTED_VALUE"""),"")</f>
        <v/>
      </c>
    </row>
    <row r="7083" spans="1:5">
      <c r="A7083" s="12"/>
      <c r="E7083" s="57" t="str">
        <f ca="1">IFERROR(__xludf.DUMMYFUNCTION("""COMPUTED_VALUE"""),"")</f>
        <v/>
      </c>
    </row>
    <row r="7084" spans="1:5">
      <c r="A7084" s="12"/>
      <c r="E7084" s="57" t="str">
        <f ca="1">IFERROR(__xludf.DUMMYFUNCTION("""COMPUTED_VALUE"""),"")</f>
        <v/>
      </c>
    </row>
    <row r="7085" spans="1:5">
      <c r="A7085" s="12"/>
      <c r="E7085" s="57" t="str">
        <f ca="1">IFERROR(__xludf.DUMMYFUNCTION("""COMPUTED_VALUE"""),"")</f>
        <v/>
      </c>
    </row>
    <row r="7086" spans="1:5">
      <c r="A7086" s="12"/>
      <c r="E7086" s="57" t="str">
        <f ca="1">IFERROR(__xludf.DUMMYFUNCTION("""COMPUTED_VALUE"""),"")</f>
        <v/>
      </c>
    </row>
    <row r="7087" spans="1:5">
      <c r="A7087" s="12"/>
      <c r="E7087" s="57" t="str">
        <f ca="1">IFERROR(__xludf.DUMMYFUNCTION("""COMPUTED_VALUE"""),"")</f>
        <v/>
      </c>
    </row>
    <row r="7088" spans="1:5">
      <c r="A7088" s="12"/>
      <c r="E7088" s="57" t="str">
        <f ca="1">IFERROR(__xludf.DUMMYFUNCTION("""COMPUTED_VALUE"""),"")</f>
        <v/>
      </c>
    </row>
    <row r="7089" spans="1:5">
      <c r="A7089" s="12"/>
      <c r="E7089" s="57" t="str">
        <f ca="1">IFERROR(__xludf.DUMMYFUNCTION("""COMPUTED_VALUE"""),"")</f>
        <v/>
      </c>
    </row>
    <row r="7090" spans="1:5">
      <c r="A7090" s="12"/>
      <c r="E7090" s="57" t="str">
        <f ca="1">IFERROR(__xludf.DUMMYFUNCTION("""COMPUTED_VALUE"""),"")</f>
        <v/>
      </c>
    </row>
    <row r="7091" spans="1:5">
      <c r="A7091" s="12"/>
      <c r="E7091" s="57" t="str">
        <f ca="1">IFERROR(__xludf.DUMMYFUNCTION("""COMPUTED_VALUE"""),"")</f>
        <v/>
      </c>
    </row>
    <row r="7092" spans="1:5">
      <c r="A7092" s="12"/>
      <c r="E7092" s="57" t="str">
        <f ca="1">IFERROR(__xludf.DUMMYFUNCTION("""COMPUTED_VALUE"""),"")</f>
        <v/>
      </c>
    </row>
    <row r="7093" spans="1:5">
      <c r="A7093" s="12"/>
      <c r="E7093" s="57" t="str">
        <f ca="1">IFERROR(__xludf.DUMMYFUNCTION("""COMPUTED_VALUE"""),"")</f>
        <v/>
      </c>
    </row>
    <row r="7094" spans="1:5">
      <c r="A7094" s="12"/>
      <c r="E7094" s="57" t="str">
        <f ca="1">IFERROR(__xludf.DUMMYFUNCTION("""COMPUTED_VALUE"""),"")</f>
        <v/>
      </c>
    </row>
    <row r="7095" spans="1:5">
      <c r="A7095" s="12"/>
      <c r="E7095" s="57" t="str">
        <f ca="1">IFERROR(__xludf.DUMMYFUNCTION("""COMPUTED_VALUE"""),"")</f>
        <v/>
      </c>
    </row>
    <row r="7096" spans="1:5">
      <c r="A7096" s="12"/>
      <c r="E7096" s="57" t="str">
        <f ca="1">IFERROR(__xludf.DUMMYFUNCTION("""COMPUTED_VALUE"""),"")</f>
        <v/>
      </c>
    </row>
    <row r="7097" spans="1:5">
      <c r="A7097" s="12"/>
      <c r="E7097" s="57" t="str">
        <f ca="1">IFERROR(__xludf.DUMMYFUNCTION("""COMPUTED_VALUE"""),"")</f>
        <v/>
      </c>
    </row>
    <row r="7098" spans="1:5">
      <c r="A7098" s="12"/>
      <c r="E7098" s="57" t="str">
        <f ca="1">IFERROR(__xludf.DUMMYFUNCTION("""COMPUTED_VALUE"""),"")</f>
        <v/>
      </c>
    </row>
    <row r="7099" spans="1:5">
      <c r="A7099" s="12"/>
      <c r="E7099" s="57" t="str">
        <f ca="1">IFERROR(__xludf.DUMMYFUNCTION("""COMPUTED_VALUE"""),"")</f>
        <v/>
      </c>
    </row>
    <row r="7100" spans="1:5">
      <c r="A7100" s="12"/>
      <c r="E7100" s="57" t="str">
        <f ca="1">IFERROR(__xludf.DUMMYFUNCTION("""COMPUTED_VALUE"""),"")</f>
        <v/>
      </c>
    </row>
    <row r="7101" spans="1:5">
      <c r="A7101" s="12"/>
      <c r="E7101" s="57" t="str">
        <f ca="1">IFERROR(__xludf.DUMMYFUNCTION("""COMPUTED_VALUE"""),"")</f>
        <v/>
      </c>
    </row>
    <row r="7102" spans="1:5">
      <c r="A7102" s="12"/>
      <c r="E7102" s="57" t="str">
        <f ca="1">IFERROR(__xludf.DUMMYFUNCTION("""COMPUTED_VALUE"""),"")</f>
        <v/>
      </c>
    </row>
    <row r="7103" spans="1:5">
      <c r="A7103" s="12"/>
      <c r="E7103" s="57" t="str">
        <f ca="1">IFERROR(__xludf.DUMMYFUNCTION("""COMPUTED_VALUE"""),"")</f>
        <v/>
      </c>
    </row>
    <row r="7104" spans="1:5">
      <c r="A7104" s="12"/>
      <c r="E7104" s="57" t="str">
        <f ca="1">IFERROR(__xludf.DUMMYFUNCTION("""COMPUTED_VALUE"""),"")</f>
        <v/>
      </c>
    </row>
    <row r="7105" spans="1:5">
      <c r="A7105" s="12"/>
      <c r="E7105" s="57" t="str">
        <f ca="1">IFERROR(__xludf.DUMMYFUNCTION("""COMPUTED_VALUE"""),"")</f>
        <v/>
      </c>
    </row>
    <row r="7106" spans="1:5">
      <c r="A7106" s="12"/>
      <c r="E7106" s="57" t="str">
        <f ca="1">IFERROR(__xludf.DUMMYFUNCTION("""COMPUTED_VALUE"""),"")</f>
        <v/>
      </c>
    </row>
    <row r="7107" spans="1:5">
      <c r="A7107" s="12"/>
      <c r="E7107" s="57" t="str">
        <f ca="1">IFERROR(__xludf.DUMMYFUNCTION("""COMPUTED_VALUE"""),"")</f>
        <v/>
      </c>
    </row>
    <row r="7108" spans="1:5">
      <c r="A7108" s="12"/>
      <c r="E7108" s="57" t="str">
        <f ca="1">IFERROR(__xludf.DUMMYFUNCTION("""COMPUTED_VALUE"""),"")</f>
        <v/>
      </c>
    </row>
    <row r="7109" spans="1:5">
      <c r="A7109" s="12"/>
      <c r="E7109" s="57" t="str">
        <f ca="1">IFERROR(__xludf.DUMMYFUNCTION("""COMPUTED_VALUE"""),"")</f>
        <v/>
      </c>
    </row>
    <row r="7110" spans="1:5">
      <c r="A7110" s="12"/>
      <c r="E7110" s="57" t="str">
        <f ca="1">IFERROR(__xludf.DUMMYFUNCTION("""COMPUTED_VALUE"""),"")</f>
        <v/>
      </c>
    </row>
    <row r="7111" spans="1:5">
      <c r="A7111" s="12"/>
      <c r="E7111" s="57" t="str">
        <f ca="1">IFERROR(__xludf.DUMMYFUNCTION("""COMPUTED_VALUE"""),"")</f>
        <v/>
      </c>
    </row>
    <row r="7112" spans="1:5">
      <c r="A7112" s="12"/>
      <c r="E7112" s="57" t="str">
        <f ca="1">IFERROR(__xludf.DUMMYFUNCTION("""COMPUTED_VALUE"""),"")</f>
        <v/>
      </c>
    </row>
    <row r="7113" spans="1:5">
      <c r="A7113" s="12"/>
      <c r="E7113" s="57" t="str">
        <f ca="1">IFERROR(__xludf.DUMMYFUNCTION("""COMPUTED_VALUE"""),"")</f>
        <v/>
      </c>
    </row>
    <row r="7114" spans="1:5">
      <c r="A7114" s="12"/>
      <c r="E7114" s="57" t="str">
        <f ca="1">IFERROR(__xludf.DUMMYFUNCTION("""COMPUTED_VALUE"""),"")</f>
        <v/>
      </c>
    </row>
    <row r="7115" spans="1:5">
      <c r="A7115" s="12"/>
      <c r="E7115" s="57" t="str">
        <f ca="1">IFERROR(__xludf.DUMMYFUNCTION("""COMPUTED_VALUE"""),"")</f>
        <v/>
      </c>
    </row>
    <row r="7116" spans="1:5">
      <c r="A7116" s="12"/>
      <c r="E7116" s="57" t="str">
        <f ca="1">IFERROR(__xludf.DUMMYFUNCTION("""COMPUTED_VALUE"""),"")</f>
        <v/>
      </c>
    </row>
    <row r="7117" spans="1:5">
      <c r="A7117" s="12"/>
      <c r="E7117" s="57" t="str">
        <f ca="1">IFERROR(__xludf.DUMMYFUNCTION("""COMPUTED_VALUE"""),"")</f>
        <v/>
      </c>
    </row>
    <row r="7118" spans="1:5">
      <c r="A7118" s="12"/>
      <c r="E7118" s="57" t="str">
        <f ca="1">IFERROR(__xludf.DUMMYFUNCTION("""COMPUTED_VALUE"""),"")</f>
        <v/>
      </c>
    </row>
    <row r="7119" spans="1:5">
      <c r="A7119" s="12"/>
      <c r="E7119" s="57" t="str">
        <f ca="1">IFERROR(__xludf.DUMMYFUNCTION("""COMPUTED_VALUE"""),"")</f>
        <v/>
      </c>
    </row>
    <row r="7120" spans="1:5">
      <c r="A7120" s="12"/>
      <c r="E7120" s="57" t="str">
        <f ca="1">IFERROR(__xludf.DUMMYFUNCTION("""COMPUTED_VALUE"""),"")</f>
        <v/>
      </c>
    </row>
    <row r="7121" spans="1:5">
      <c r="A7121" s="12"/>
      <c r="E7121" s="57" t="str">
        <f ca="1">IFERROR(__xludf.DUMMYFUNCTION("""COMPUTED_VALUE"""),"")</f>
        <v/>
      </c>
    </row>
    <row r="7122" spans="1:5">
      <c r="A7122" s="12"/>
      <c r="E7122" s="57" t="str">
        <f ca="1">IFERROR(__xludf.DUMMYFUNCTION("""COMPUTED_VALUE"""),"")</f>
        <v/>
      </c>
    </row>
    <row r="7123" spans="1:5">
      <c r="A7123" s="12"/>
      <c r="E7123" s="57" t="str">
        <f ca="1">IFERROR(__xludf.DUMMYFUNCTION("""COMPUTED_VALUE"""),"")</f>
        <v/>
      </c>
    </row>
    <row r="7124" spans="1:5">
      <c r="A7124" s="12"/>
      <c r="E7124" s="57" t="str">
        <f ca="1">IFERROR(__xludf.DUMMYFUNCTION("""COMPUTED_VALUE"""),"")</f>
        <v/>
      </c>
    </row>
    <row r="7125" spans="1:5">
      <c r="A7125" s="12"/>
      <c r="E7125" s="57" t="str">
        <f ca="1">IFERROR(__xludf.DUMMYFUNCTION("""COMPUTED_VALUE"""),"")</f>
        <v/>
      </c>
    </row>
    <row r="7126" spans="1:5">
      <c r="A7126" s="12"/>
      <c r="E7126" s="57" t="str">
        <f ca="1">IFERROR(__xludf.DUMMYFUNCTION("""COMPUTED_VALUE"""),"")</f>
        <v/>
      </c>
    </row>
    <row r="7127" spans="1:5">
      <c r="A7127" s="12"/>
      <c r="E7127" s="57" t="str">
        <f ca="1">IFERROR(__xludf.DUMMYFUNCTION("""COMPUTED_VALUE"""),"")</f>
        <v/>
      </c>
    </row>
    <row r="7128" spans="1:5">
      <c r="A7128" s="12"/>
      <c r="E7128" s="57" t="str">
        <f ca="1">IFERROR(__xludf.DUMMYFUNCTION("""COMPUTED_VALUE"""),"")</f>
        <v/>
      </c>
    </row>
    <row r="7129" spans="1:5">
      <c r="A7129" s="12"/>
      <c r="E7129" s="57" t="str">
        <f ca="1">IFERROR(__xludf.DUMMYFUNCTION("""COMPUTED_VALUE"""),"")</f>
        <v/>
      </c>
    </row>
    <row r="7130" spans="1:5">
      <c r="A7130" s="12"/>
      <c r="E7130" s="57" t="str">
        <f ca="1">IFERROR(__xludf.DUMMYFUNCTION("""COMPUTED_VALUE"""),"")</f>
        <v/>
      </c>
    </row>
    <row r="7131" spans="1:5">
      <c r="A7131" s="12"/>
      <c r="E7131" s="57" t="str">
        <f ca="1">IFERROR(__xludf.DUMMYFUNCTION("""COMPUTED_VALUE"""),"")</f>
        <v/>
      </c>
    </row>
    <row r="7132" spans="1:5">
      <c r="A7132" s="12"/>
      <c r="E7132" s="57" t="str">
        <f ca="1">IFERROR(__xludf.DUMMYFUNCTION("""COMPUTED_VALUE"""),"")</f>
        <v/>
      </c>
    </row>
    <row r="7133" spans="1:5">
      <c r="A7133" s="12"/>
      <c r="E7133" s="57" t="str">
        <f ca="1">IFERROR(__xludf.DUMMYFUNCTION("""COMPUTED_VALUE"""),"")</f>
        <v/>
      </c>
    </row>
    <row r="7134" spans="1:5">
      <c r="A7134" s="12"/>
      <c r="E7134" s="57" t="str">
        <f ca="1">IFERROR(__xludf.DUMMYFUNCTION("""COMPUTED_VALUE"""),"")</f>
        <v/>
      </c>
    </row>
    <row r="7135" spans="1:5">
      <c r="A7135" s="12"/>
      <c r="E7135" s="57" t="str">
        <f ca="1">IFERROR(__xludf.DUMMYFUNCTION("""COMPUTED_VALUE"""),"")</f>
        <v/>
      </c>
    </row>
    <row r="7136" spans="1:5">
      <c r="A7136" s="12"/>
      <c r="E7136" s="57" t="str">
        <f ca="1">IFERROR(__xludf.DUMMYFUNCTION("""COMPUTED_VALUE"""),"")</f>
        <v/>
      </c>
    </row>
    <row r="7137" spans="1:5">
      <c r="A7137" s="12"/>
      <c r="E7137" s="57" t="str">
        <f ca="1">IFERROR(__xludf.DUMMYFUNCTION("""COMPUTED_VALUE"""),"")</f>
        <v/>
      </c>
    </row>
    <row r="7138" spans="1:5">
      <c r="A7138" s="12"/>
      <c r="E7138" s="57" t="str">
        <f ca="1">IFERROR(__xludf.DUMMYFUNCTION("""COMPUTED_VALUE"""),"")</f>
        <v/>
      </c>
    </row>
    <row r="7139" spans="1:5">
      <c r="A7139" s="12"/>
      <c r="E7139" s="57" t="str">
        <f ca="1">IFERROR(__xludf.DUMMYFUNCTION("""COMPUTED_VALUE"""),"")</f>
        <v/>
      </c>
    </row>
    <row r="7140" spans="1:5">
      <c r="A7140" s="12"/>
      <c r="E7140" s="57" t="str">
        <f ca="1">IFERROR(__xludf.DUMMYFUNCTION("""COMPUTED_VALUE"""),"")</f>
        <v/>
      </c>
    </row>
    <row r="7141" spans="1:5">
      <c r="A7141" s="12"/>
      <c r="E7141" s="57" t="str">
        <f ca="1">IFERROR(__xludf.DUMMYFUNCTION("""COMPUTED_VALUE"""),"")</f>
        <v/>
      </c>
    </row>
    <row r="7142" spans="1:5">
      <c r="A7142" s="12"/>
      <c r="E7142" s="57" t="str">
        <f ca="1">IFERROR(__xludf.DUMMYFUNCTION("""COMPUTED_VALUE"""),"")</f>
        <v/>
      </c>
    </row>
    <row r="7143" spans="1:5">
      <c r="A7143" s="12"/>
      <c r="E7143" s="57" t="str">
        <f ca="1">IFERROR(__xludf.DUMMYFUNCTION("""COMPUTED_VALUE"""),"")</f>
        <v/>
      </c>
    </row>
    <row r="7144" spans="1:5">
      <c r="A7144" s="12"/>
      <c r="E7144" s="57" t="str">
        <f ca="1">IFERROR(__xludf.DUMMYFUNCTION("""COMPUTED_VALUE"""),"")</f>
        <v/>
      </c>
    </row>
    <row r="7145" spans="1:5">
      <c r="A7145" s="12"/>
      <c r="E7145" s="57" t="str">
        <f ca="1">IFERROR(__xludf.DUMMYFUNCTION("""COMPUTED_VALUE"""),"")</f>
        <v/>
      </c>
    </row>
    <row r="7146" spans="1:5">
      <c r="A7146" s="12"/>
      <c r="E7146" s="57" t="str">
        <f ca="1">IFERROR(__xludf.DUMMYFUNCTION("""COMPUTED_VALUE"""),"")</f>
        <v/>
      </c>
    </row>
    <row r="7147" spans="1:5">
      <c r="A7147" s="12"/>
      <c r="E7147" s="57" t="str">
        <f ca="1">IFERROR(__xludf.DUMMYFUNCTION("""COMPUTED_VALUE"""),"")</f>
        <v/>
      </c>
    </row>
    <row r="7148" spans="1:5">
      <c r="A7148" s="12"/>
      <c r="E7148" s="57" t="str">
        <f ca="1">IFERROR(__xludf.DUMMYFUNCTION("""COMPUTED_VALUE"""),"")</f>
        <v/>
      </c>
    </row>
    <row r="7149" spans="1:5">
      <c r="A7149" s="12"/>
      <c r="E7149" s="57" t="str">
        <f ca="1">IFERROR(__xludf.DUMMYFUNCTION("""COMPUTED_VALUE"""),"")</f>
        <v/>
      </c>
    </row>
    <row r="7150" spans="1:5">
      <c r="A7150" s="12"/>
      <c r="E7150" s="57" t="str">
        <f ca="1">IFERROR(__xludf.DUMMYFUNCTION("""COMPUTED_VALUE"""),"")</f>
        <v/>
      </c>
    </row>
    <row r="7151" spans="1:5">
      <c r="A7151" s="12"/>
      <c r="E7151" s="57" t="str">
        <f ca="1">IFERROR(__xludf.DUMMYFUNCTION("""COMPUTED_VALUE"""),"")</f>
        <v/>
      </c>
    </row>
    <row r="7152" spans="1:5">
      <c r="A7152" s="12"/>
      <c r="E7152" s="57" t="str">
        <f ca="1">IFERROR(__xludf.DUMMYFUNCTION("""COMPUTED_VALUE"""),"")</f>
        <v/>
      </c>
    </row>
    <row r="7153" spans="1:5">
      <c r="A7153" s="12"/>
      <c r="E7153" s="57" t="str">
        <f ca="1">IFERROR(__xludf.DUMMYFUNCTION("""COMPUTED_VALUE"""),"")</f>
        <v/>
      </c>
    </row>
    <row r="7154" spans="1:5">
      <c r="A7154" s="12"/>
      <c r="E7154" s="57" t="str">
        <f ca="1">IFERROR(__xludf.DUMMYFUNCTION("""COMPUTED_VALUE"""),"")</f>
        <v/>
      </c>
    </row>
    <row r="7155" spans="1:5">
      <c r="A7155" s="12"/>
      <c r="E7155" s="57" t="str">
        <f ca="1">IFERROR(__xludf.DUMMYFUNCTION("""COMPUTED_VALUE"""),"")</f>
        <v/>
      </c>
    </row>
    <row r="7156" spans="1:5">
      <c r="A7156" s="12"/>
      <c r="E7156" s="57" t="str">
        <f ca="1">IFERROR(__xludf.DUMMYFUNCTION("""COMPUTED_VALUE"""),"")</f>
        <v/>
      </c>
    </row>
    <row r="7157" spans="1:5">
      <c r="A7157" s="12"/>
      <c r="E7157" s="57" t="str">
        <f ca="1">IFERROR(__xludf.DUMMYFUNCTION("""COMPUTED_VALUE"""),"")</f>
        <v/>
      </c>
    </row>
    <row r="7158" spans="1:5">
      <c r="A7158" s="12"/>
      <c r="E7158" s="57" t="str">
        <f ca="1">IFERROR(__xludf.DUMMYFUNCTION("""COMPUTED_VALUE"""),"")</f>
        <v/>
      </c>
    </row>
    <row r="7159" spans="1:5">
      <c r="A7159" s="12"/>
      <c r="E7159" s="57" t="str">
        <f ca="1">IFERROR(__xludf.DUMMYFUNCTION("""COMPUTED_VALUE"""),"")</f>
        <v/>
      </c>
    </row>
    <row r="7160" spans="1:5">
      <c r="A7160" s="12"/>
      <c r="E7160" s="57" t="str">
        <f ca="1">IFERROR(__xludf.DUMMYFUNCTION("""COMPUTED_VALUE"""),"")</f>
        <v/>
      </c>
    </row>
    <row r="7161" spans="1:5">
      <c r="A7161" s="12"/>
      <c r="E7161" s="57" t="str">
        <f ca="1">IFERROR(__xludf.DUMMYFUNCTION("""COMPUTED_VALUE"""),"")</f>
        <v/>
      </c>
    </row>
    <row r="7162" spans="1:5">
      <c r="A7162" s="12"/>
      <c r="E7162" s="57" t="str">
        <f ca="1">IFERROR(__xludf.DUMMYFUNCTION("""COMPUTED_VALUE"""),"")</f>
        <v/>
      </c>
    </row>
    <row r="7163" spans="1:5">
      <c r="A7163" s="12"/>
      <c r="E7163" s="57" t="str">
        <f ca="1">IFERROR(__xludf.DUMMYFUNCTION("""COMPUTED_VALUE"""),"")</f>
        <v/>
      </c>
    </row>
    <row r="7164" spans="1:5">
      <c r="A7164" s="12"/>
      <c r="E7164" s="57" t="str">
        <f ca="1">IFERROR(__xludf.DUMMYFUNCTION("""COMPUTED_VALUE"""),"")</f>
        <v/>
      </c>
    </row>
    <row r="7165" spans="1:5">
      <c r="A7165" s="12"/>
      <c r="E7165" s="57" t="str">
        <f ca="1">IFERROR(__xludf.DUMMYFUNCTION("""COMPUTED_VALUE"""),"")</f>
        <v/>
      </c>
    </row>
    <row r="7166" spans="1:5">
      <c r="A7166" s="12"/>
      <c r="E7166" s="57" t="str">
        <f ca="1">IFERROR(__xludf.DUMMYFUNCTION("""COMPUTED_VALUE"""),"")</f>
        <v/>
      </c>
    </row>
    <row r="7167" spans="1:5">
      <c r="A7167" s="12"/>
      <c r="E7167" s="57" t="str">
        <f ca="1">IFERROR(__xludf.DUMMYFUNCTION("""COMPUTED_VALUE"""),"")</f>
        <v/>
      </c>
    </row>
    <row r="7168" spans="1:5">
      <c r="A7168" s="12"/>
      <c r="E7168" s="57" t="str">
        <f ca="1">IFERROR(__xludf.DUMMYFUNCTION("""COMPUTED_VALUE"""),"")</f>
        <v/>
      </c>
    </row>
    <row r="7169" spans="1:5">
      <c r="A7169" s="12"/>
      <c r="E7169" s="57" t="str">
        <f ca="1">IFERROR(__xludf.DUMMYFUNCTION("""COMPUTED_VALUE"""),"")</f>
        <v/>
      </c>
    </row>
    <row r="7170" spans="1:5">
      <c r="A7170" s="12"/>
      <c r="E7170" s="57" t="str">
        <f ca="1">IFERROR(__xludf.DUMMYFUNCTION("""COMPUTED_VALUE"""),"")</f>
        <v/>
      </c>
    </row>
    <row r="7171" spans="1:5">
      <c r="A7171" s="12"/>
      <c r="E7171" s="57" t="str">
        <f ca="1">IFERROR(__xludf.DUMMYFUNCTION("""COMPUTED_VALUE"""),"")</f>
        <v/>
      </c>
    </row>
    <row r="7172" spans="1:5">
      <c r="A7172" s="12"/>
      <c r="E7172" s="57" t="str">
        <f ca="1">IFERROR(__xludf.DUMMYFUNCTION("""COMPUTED_VALUE"""),"")</f>
        <v/>
      </c>
    </row>
    <row r="7173" spans="1:5">
      <c r="A7173" s="12"/>
      <c r="E7173" s="57" t="str">
        <f ca="1">IFERROR(__xludf.DUMMYFUNCTION("""COMPUTED_VALUE"""),"")</f>
        <v/>
      </c>
    </row>
    <row r="7174" spans="1:5">
      <c r="A7174" s="12"/>
      <c r="E7174" s="57" t="str">
        <f ca="1">IFERROR(__xludf.DUMMYFUNCTION("""COMPUTED_VALUE"""),"")</f>
        <v/>
      </c>
    </row>
    <row r="7175" spans="1:5">
      <c r="A7175" s="12"/>
      <c r="E7175" s="57" t="str">
        <f ca="1">IFERROR(__xludf.DUMMYFUNCTION("""COMPUTED_VALUE"""),"")</f>
        <v/>
      </c>
    </row>
    <row r="7176" spans="1:5">
      <c r="A7176" s="12"/>
      <c r="E7176" s="57" t="str">
        <f ca="1">IFERROR(__xludf.DUMMYFUNCTION("""COMPUTED_VALUE"""),"")</f>
        <v/>
      </c>
    </row>
    <row r="7177" spans="1:5">
      <c r="A7177" s="12"/>
      <c r="E7177" s="57" t="str">
        <f ca="1">IFERROR(__xludf.DUMMYFUNCTION("""COMPUTED_VALUE"""),"")</f>
        <v/>
      </c>
    </row>
    <row r="7178" spans="1:5">
      <c r="A7178" s="12"/>
      <c r="E7178" s="57" t="str">
        <f ca="1">IFERROR(__xludf.DUMMYFUNCTION("""COMPUTED_VALUE"""),"")</f>
        <v/>
      </c>
    </row>
    <row r="7179" spans="1:5">
      <c r="A7179" s="12"/>
      <c r="E7179" s="57" t="str">
        <f ca="1">IFERROR(__xludf.DUMMYFUNCTION("""COMPUTED_VALUE"""),"")</f>
        <v/>
      </c>
    </row>
    <row r="7180" spans="1:5">
      <c r="A7180" s="12"/>
      <c r="E7180" s="57" t="str">
        <f ca="1">IFERROR(__xludf.DUMMYFUNCTION("""COMPUTED_VALUE"""),"")</f>
        <v/>
      </c>
    </row>
    <row r="7181" spans="1:5">
      <c r="A7181" s="12"/>
      <c r="E7181" s="57" t="str">
        <f ca="1">IFERROR(__xludf.DUMMYFUNCTION("""COMPUTED_VALUE"""),"")</f>
        <v/>
      </c>
    </row>
    <row r="7182" spans="1:5">
      <c r="A7182" s="12"/>
      <c r="E7182" s="57" t="str">
        <f ca="1">IFERROR(__xludf.DUMMYFUNCTION("""COMPUTED_VALUE"""),"")</f>
        <v/>
      </c>
    </row>
    <row r="7183" spans="1:5">
      <c r="A7183" s="12"/>
      <c r="E7183" s="57" t="str">
        <f ca="1">IFERROR(__xludf.DUMMYFUNCTION("""COMPUTED_VALUE"""),"")</f>
        <v/>
      </c>
    </row>
    <row r="7184" spans="1:5">
      <c r="A7184" s="12"/>
      <c r="E7184" s="57" t="str">
        <f ca="1">IFERROR(__xludf.DUMMYFUNCTION("""COMPUTED_VALUE"""),"")</f>
        <v/>
      </c>
    </row>
    <row r="7185" spans="1:5">
      <c r="A7185" s="12"/>
      <c r="E7185" s="57" t="str">
        <f ca="1">IFERROR(__xludf.DUMMYFUNCTION("""COMPUTED_VALUE"""),"")</f>
        <v/>
      </c>
    </row>
    <row r="7186" spans="1:5">
      <c r="A7186" s="12"/>
      <c r="E7186" s="57" t="str">
        <f ca="1">IFERROR(__xludf.DUMMYFUNCTION("""COMPUTED_VALUE"""),"")</f>
        <v/>
      </c>
    </row>
    <row r="7187" spans="1:5">
      <c r="A7187" s="12"/>
      <c r="E7187" s="57" t="str">
        <f ca="1">IFERROR(__xludf.DUMMYFUNCTION("""COMPUTED_VALUE"""),"")</f>
        <v/>
      </c>
    </row>
    <row r="7188" spans="1:5">
      <c r="A7188" s="12"/>
      <c r="E7188" s="57" t="str">
        <f ca="1">IFERROR(__xludf.DUMMYFUNCTION("""COMPUTED_VALUE"""),"")</f>
        <v/>
      </c>
    </row>
    <row r="7189" spans="1:5">
      <c r="A7189" s="12"/>
      <c r="E7189" s="57" t="str">
        <f ca="1">IFERROR(__xludf.DUMMYFUNCTION("""COMPUTED_VALUE"""),"")</f>
        <v/>
      </c>
    </row>
    <row r="7190" spans="1:5">
      <c r="A7190" s="12"/>
      <c r="E7190" s="57" t="str">
        <f ca="1">IFERROR(__xludf.DUMMYFUNCTION("""COMPUTED_VALUE"""),"")</f>
        <v/>
      </c>
    </row>
    <row r="7191" spans="1:5">
      <c r="A7191" s="12"/>
      <c r="E7191" s="57" t="str">
        <f ca="1">IFERROR(__xludf.DUMMYFUNCTION("""COMPUTED_VALUE"""),"")</f>
        <v/>
      </c>
    </row>
    <row r="7192" spans="1:5">
      <c r="A7192" s="12"/>
      <c r="E7192" s="57" t="str">
        <f ca="1">IFERROR(__xludf.DUMMYFUNCTION("""COMPUTED_VALUE"""),"")</f>
        <v/>
      </c>
    </row>
    <row r="7193" spans="1:5">
      <c r="A7193" s="12"/>
      <c r="E7193" s="57" t="str">
        <f ca="1">IFERROR(__xludf.DUMMYFUNCTION("""COMPUTED_VALUE"""),"")</f>
        <v/>
      </c>
    </row>
    <row r="7194" spans="1:5">
      <c r="A7194" s="12"/>
      <c r="E7194" s="57" t="str">
        <f ca="1">IFERROR(__xludf.DUMMYFUNCTION("""COMPUTED_VALUE"""),"")</f>
        <v/>
      </c>
    </row>
    <row r="7195" spans="1:5">
      <c r="A7195" s="12"/>
      <c r="E7195" s="57" t="str">
        <f ca="1">IFERROR(__xludf.DUMMYFUNCTION("""COMPUTED_VALUE"""),"")</f>
        <v/>
      </c>
    </row>
    <row r="7196" spans="1:5">
      <c r="A7196" s="12"/>
      <c r="E7196" s="57" t="str">
        <f ca="1">IFERROR(__xludf.DUMMYFUNCTION("""COMPUTED_VALUE"""),"")</f>
        <v/>
      </c>
    </row>
    <row r="7197" spans="1:5">
      <c r="A7197" s="12"/>
      <c r="E7197" s="57" t="str">
        <f ca="1">IFERROR(__xludf.DUMMYFUNCTION("""COMPUTED_VALUE"""),"")</f>
        <v/>
      </c>
    </row>
    <row r="7198" spans="1:5">
      <c r="A7198" s="12"/>
      <c r="E7198" s="57" t="str">
        <f ca="1">IFERROR(__xludf.DUMMYFUNCTION("""COMPUTED_VALUE"""),"")</f>
        <v/>
      </c>
    </row>
    <row r="7199" spans="1:5">
      <c r="A7199" s="12"/>
      <c r="E7199" s="57" t="str">
        <f ca="1">IFERROR(__xludf.DUMMYFUNCTION("""COMPUTED_VALUE"""),"")</f>
        <v/>
      </c>
    </row>
    <row r="7200" spans="1:5">
      <c r="A7200" s="12"/>
      <c r="E7200" s="57" t="str">
        <f ca="1">IFERROR(__xludf.DUMMYFUNCTION("""COMPUTED_VALUE"""),"")</f>
        <v/>
      </c>
    </row>
    <row r="7201" spans="1:5">
      <c r="A7201" s="12"/>
      <c r="E7201" s="57" t="str">
        <f ca="1">IFERROR(__xludf.DUMMYFUNCTION("""COMPUTED_VALUE"""),"")</f>
        <v/>
      </c>
    </row>
    <row r="7202" spans="1:5">
      <c r="A7202" s="12"/>
      <c r="E7202" s="57" t="str">
        <f ca="1">IFERROR(__xludf.DUMMYFUNCTION("""COMPUTED_VALUE"""),"")</f>
        <v/>
      </c>
    </row>
    <row r="7203" spans="1:5">
      <c r="A7203" s="12"/>
      <c r="E7203" s="57" t="str">
        <f ca="1">IFERROR(__xludf.DUMMYFUNCTION("""COMPUTED_VALUE"""),"")</f>
        <v/>
      </c>
    </row>
    <row r="7204" spans="1:5">
      <c r="A7204" s="12"/>
      <c r="E7204" s="57" t="str">
        <f ca="1">IFERROR(__xludf.DUMMYFUNCTION("""COMPUTED_VALUE"""),"")</f>
        <v/>
      </c>
    </row>
    <row r="7205" spans="1:5">
      <c r="A7205" s="12"/>
      <c r="E7205" s="57" t="str">
        <f ca="1">IFERROR(__xludf.DUMMYFUNCTION("""COMPUTED_VALUE"""),"")</f>
        <v/>
      </c>
    </row>
    <row r="7206" spans="1:5">
      <c r="A7206" s="12"/>
      <c r="E7206" s="57" t="str">
        <f ca="1">IFERROR(__xludf.DUMMYFUNCTION("""COMPUTED_VALUE"""),"")</f>
        <v/>
      </c>
    </row>
    <row r="7207" spans="1:5">
      <c r="A7207" s="12"/>
      <c r="E7207" s="57" t="str">
        <f ca="1">IFERROR(__xludf.DUMMYFUNCTION("""COMPUTED_VALUE"""),"")</f>
        <v/>
      </c>
    </row>
    <row r="7208" spans="1:5">
      <c r="A7208" s="12"/>
      <c r="E7208" s="57" t="str">
        <f ca="1">IFERROR(__xludf.DUMMYFUNCTION("""COMPUTED_VALUE"""),"")</f>
        <v/>
      </c>
    </row>
    <row r="7209" spans="1:5">
      <c r="A7209" s="12"/>
      <c r="E7209" s="57" t="str">
        <f ca="1">IFERROR(__xludf.DUMMYFUNCTION("""COMPUTED_VALUE"""),"")</f>
        <v/>
      </c>
    </row>
    <row r="7210" spans="1:5">
      <c r="A7210" s="12"/>
      <c r="E7210" s="57" t="str">
        <f ca="1">IFERROR(__xludf.DUMMYFUNCTION("""COMPUTED_VALUE"""),"")</f>
        <v/>
      </c>
    </row>
    <row r="7211" spans="1:5">
      <c r="A7211" s="12"/>
      <c r="E7211" s="57" t="str">
        <f ca="1">IFERROR(__xludf.DUMMYFUNCTION("""COMPUTED_VALUE"""),"")</f>
        <v/>
      </c>
    </row>
    <row r="7212" spans="1:5">
      <c r="A7212" s="12"/>
      <c r="E7212" s="57" t="str">
        <f ca="1">IFERROR(__xludf.DUMMYFUNCTION("""COMPUTED_VALUE"""),"")</f>
        <v/>
      </c>
    </row>
    <row r="7213" spans="1:5">
      <c r="A7213" s="12"/>
      <c r="E7213" s="57" t="str">
        <f ca="1">IFERROR(__xludf.DUMMYFUNCTION("""COMPUTED_VALUE"""),"")</f>
        <v/>
      </c>
    </row>
    <row r="7214" spans="1:5">
      <c r="A7214" s="12"/>
      <c r="E7214" s="57" t="str">
        <f ca="1">IFERROR(__xludf.DUMMYFUNCTION("""COMPUTED_VALUE"""),"")</f>
        <v/>
      </c>
    </row>
    <row r="7215" spans="1:5">
      <c r="A7215" s="12"/>
      <c r="E7215" s="57" t="str">
        <f ca="1">IFERROR(__xludf.DUMMYFUNCTION("""COMPUTED_VALUE"""),"")</f>
        <v/>
      </c>
    </row>
    <row r="7216" spans="1:5">
      <c r="A7216" s="12"/>
      <c r="E7216" s="57" t="str">
        <f ca="1">IFERROR(__xludf.DUMMYFUNCTION("""COMPUTED_VALUE"""),"")</f>
        <v/>
      </c>
    </row>
    <row r="7217" spans="1:5">
      <c r="A7217" s="12"/>
      <c r="E7217" s="57" t="str">
        <f ca="1">IFERROR(__xludf.DUMMYFUNCTION("""COMPUTED_VALUE"""),"")</f>
        <v/>
      </c>
    </row>
    <row r="7218" spans="1:5">
      <c r="A7218" s="12"/>
      <c r="E7218" s="57" t="str">
        <f ca="1">IFERROR(__xludf.DUMMYFUNCTION("""COMPUTED_VALUE"""),"")</f>
        <v/>
      </c>
    </row>
    <row r="7219" spans="1:5">
      <c r="A7219" s="12"/>
      <c r="E7219" s="57" t="str">
        <f ca="1">IFERROR(__xludf.DUMMYFUNCTION("""COMPUTED_VALUE"""),"")</f>
        <v/>
      </c>
    </row>
    <row r="7220" spans="1:5">
      <c r="A7220" s="12"/>
      <c r="E7220" s="57" t="str">
        <f ca="1">IFERROR(__xludf.DUMMYFUNCTION("""COMPUTED_VALUE"""),"")</f>
        <v/>
      </c>
    </row>
    <row r="7221" spans="1:5">
      <c r="A7221" s="12"/>
      <c r="E7221" s="57" t="str">
        <f ca="1">IFERROR(__xludf.DUMMYFUNCTION("""COMPUTED_VALUE"""),"")</f>
        <v/>
      </c>
    </row>
    <row r="7222" spans="1:5">
      <c r="A7222" s="12"/>
      <c r="E7222" s="57" t="str">
        <f ca="1">IFERROR(__xludf.DUMMYFUNCTION("""COMPUTED_VALUE"""),"")</f>
        <v/>
      </c>
    </row>
    <row r="7223" spans="1:5">
      <c r="A7223" s="12"/>
      <c r="E7223" s="57" t="str">
        <f ca="1">IFERROR(__xludf.DUMMYFUNCTION("""COMPUTED_VALUE"""),"")</f>
        <v/>
      </c>
    </row>
    <row r="7224" spans="1:5">
      <c r="A7224" s="12"/>
      <c r="E7224" s="57" t="str">
        <f ca="1">IFERROR(__xludf.DUMMYFUNCTION("""COMPUTED_VALUE"""),"")</f>
        <v/>
      </c>
    </row>
    <row r="7225" spans="1:5">
      <c r="A7225" s="12"/>
      <c r="E7225" s="57" t="str">
        <f ca="1">IFERROR(__xludf.DUMMYFUNCTION("""COMPUTED_VALUE"""),"")</f>
        <v/>
      </c>
    </row>
    <row r="7226" spans="1:5">
      <c r="A7226" s="12"/>
      <c r="E7226" s="57" t="str">
        <f ca="1">IFERROR(__xludf.DUMMYFUNCTION("""COMPUTED_VALUE"""),"")</f>
        <v/>
      </c>
    </row>
    <row r="7227" spans="1:5">
      <c r="A7227" s="12"/>
      <c r="E7227" s="57" t="str">
        <f ca="1">IFERROR(__xludf.DUMMYFUNCTION("""COMPUTED_VALUE"""),"")</f>
        <v/>
      </c>
    </row>
    <row r="7228" spans="1:5">
      <c r="A7228" s="12"/>
      <c r="E7228" s="57" t="str">
        <f ca="1">IFERROR(__xludf.DUMMYFUNCTION("""COMPUTED_VALUE"""),"")</f>
        <v/>
      </c>
    </row>
    <row r="7229" spans="1:5">
      <c r="A7229" s="12"/>
      <c r="E7229" s="57" t="str">
        <f ca="1">IFERROR(__xludf.DUMMYFUNCTION("""COMPUTED_VALUE"""),"")</f>
        <v/>
      </c>
    </row>
    <row r="7230" spans="1:5">
      <c r="A7230" s="12"/>
      <c r="E7230" s="57" t="str">
        <f ca="1">IFERROR(__xludf.DUMMYFUNCTION("""COMPUTED_VALUE"""),"")</f>
        <v/>
      </c>
    </row>
    <row r="7231" spans="1:5">
      <c r="A7231" s="12"/>
      <c r="E7231" s="57" t="str">
        <f ca="1">IFERROR(__xludf.DUMMYFUNCTION("""COMPUTED_VALUE"""),"")</f>
        <v/>
      </c>
    </row>
    <row r="7232" spans="1:5">
      <c r="A7232" s="12"/>
      <c r="E7232" s="57" t="str">
        <f ca="1">IFERROR(__xludf.DUMMYFUNCTION("""COMPUTED_VALUE"""),"")</f>
        <v/>
      </c>
    </row>
    <row r="7233" spans="1:5">
      <c r="A7233" s="12"/>
      <c r="E7233" s="57" t="str">
        <f ca="1">IFERROR(__xludf.DUMMYFUNCTION("""COMPUTED_VALUE"""),"")</f>
        <v/>
      </c>
    </row>
    <row r="7234" spans="1:5">
      <c r="A7234" s="12"/>
      <c r="E7234" s="57" t="str">
        <f ca="1">IFERROR(__xludf.DUMMYFUNCTION("""COMPUTED_VALUE"""),"")</f>
        <v/>
      </c>
    </row>
    <row r="7235" spans="1:5">
      <c r="A7235" s="12"/>
      <c r="E7235" s="57" t="str">
        <f ca="1">IFERROR(__xludf.DUMMYFUNCTION("""COMPUTED_VALUE"""),"")</f>
        <v/>
      </c>
    </row>
    <row r="7236" spans="1:5">
      <c r="A7236" s="12"/>
      <c r="E7236" s="57" t="str">
        <f ca="1">IFERROR(__xludf.DUMMYFUNCTION("""COMPUTED_VALUE"""),"")</f>
        <v/>
      </c>
    </row>
    <row r="7237" spans="1:5">
      <c r="A7237" s="12"/>
      <c r="E7237" s="57" t="str">
        <f ca="1">IFERROR(__xludf.DUMMYFUNCTION("""COMPUTED_VALUE"""),"")</f>
        <v/>
      </c>
    </row>
    <row r="7238" spans="1:5">
      <c r="A7238" s="12"/>
      <c r="E7238" s="57" t="str">
        <f ca="1">IFERROR(__xludf.DUMMYFUNCTION("""COMPUTED_VALUE"""),"")</f>
        <v/>
      </c>
    </row>
    <row r="7239" spans="1:5">
      <c r="A7239" s="12"/>
      <c r="E7239" s="57" t="str">
        <f ca="1">IFERROR(__xludf.DUMMYFUNCTION("""COMPUTED_VALUE"""),"")</f>
        <v/>
      </c>
    </row>
    <row r="7240" spans="1:5">
      <c r="A7240" s="12"/>
      <c r="E7240" s="57" t="str">
        <f ca="1">IFERROR(__xludf.DUMMYFUNCTION("""COMPUTED_VALUE"""),"")</f>
        <v/>
      </c>
    </row>
    <row r="7241" spans="1:5">
      <c r="A7241" s="12"/>
      <c r="E7241" s="57" t="str">
        <f ca="1">IFERROR(__xludf.DUMMYFUNCTION("""COMPUTED_VALUE"""),"")</f>
        <v/>
      </c>
    </row>
    <row r="7242" spans="1:5">
      <c r="A7242" s="12"/>
      <c r="E7242" s="57" t="str">
        <f ca="1">IFERROR(__xludf.DUMMYFUNCTION("""COMPUTED_VALUE"""),"")</f>
        <v/>
      </c>
    </row>
    <row r="7243" spans="1:5">
      <c r="A7243" s="12"/>
      <c r="E7243" s="57" t="str">
        <f ca="1">IFERROR(__xludf.DUMMYFUNCTION("""COMPUTED_VALUE"""),"")</f>
        <v/>
      </c>
    </row>
    <row r="7244" spans="1:5">
      <c r="A7244" s="12"/>
      <c r="E7244" s="57" t="str">
        <f ca="1">IFERROR(__xludf.DUMMYFUNCTION("""COMPUTED_VALUE"""),"")</f>
        <v/>
      </c>
    </row>
    <row r="7245" spans="1:5">
      <c r="A7245" s="12"/>
      <c r="E7245" s="57" t="str">
        <f ca="1">IFERROR(__xludf.DUMMYFUNCTION("""COMPUTED_VALUE"""),"")</f>
        <v/>
      </c>
    </row>
    <row r="7246" spans="1:5">
      <c r="A7246" s="12"/>
      <c r="E7246" s="57" t="str">
        <f ca="1">IFERROR(__xludf.DUMMYFUNCTION("""COMPUTED_VALUE"""),"")</f>
        <v/>
      </c>
    </row>
    <row r="7247" spans="1:5">
      <c r="A7247" s="12"/>
      <c r="E7247" s="57" t="str">
        <f ca="1">IFERROR(__xludf.DUMMYFUNCTION("""COMPUTED_VALUE"""),"")</f>
        <v/>
      </c>
    </row>
    <row r="7248" spans="1:5">
      <c r="A7248" s="12"/>
      <c r="E7248" s="57" t="str">
        <f ca="1">IFERROR(__xludf.DUMMYFUNCTION("""COMPUTED_VALUE"""),"")</f>
        <v/>
      </c>
    </row>
    <row r="7249" spans="1:5">
      <c r="A7249" s="12"/>
      <c r="E7249" s="57" t="str">
        <f ca="1">IFERROR(__xludf.DUMMYFUNCTION("""COMPUTED_VALUE"""),"")</f>
        <v/>
      </c>
    </row>
    <row r="7250" spans="1:5">
      <c r="A7250" s="12"/>
      <c r="E7250" s="57" t="str">
        <f ca="1">IFERROR(__xludf.DUMMYFUNCTION("""COMPUTED_VALUE"""),"")</f>
        <v/>
      </c>
    </row>
    <row r="7251" spans="1:5">
      <c r="A7251" s="12"/>
      <c r="E7251" s="57" t="str">
        <f ca="1">IFERROR(__xludf.DUMMYFUNCTION("""COMPUTED_VALUE"""),"")</f>
        <v/>
      </c>
    </row>
    <row r="7252" spans="1:5">
      <c r="A7252" s="12"/>
      <c r="E7252" s="57" t="str">
        <f ca="1">IFERROR(__xludf.DUMMYFUNCTION("""COMPUTED_VALUE"""),"")</f>
        <v/>
      </c>
    </row>
    <row r="7253" spans="1:5">
      <c r="A7253" s="12"/>
      <c r="E7253" s="57" t="str">
        <f ca="1">IFERROR(__xludf.DUMMYFUNCTION("""COMPUTED_VALUE"""),"")</f>
        <v/>
      </c>
    </row>
    <row r="7254" spans="1:5">
      <c r="A7254" s="12"/>
      <c r="E7254" s="57" t="str">
        <f ca="1">IFERROR(__xludf.DUMMYFUNCTION("""COMPUTED_VALUE"""),"")</f>
        <v/>
      </c>
    </row>
    <row r="7255" spans="1:5">
      <c r="A7255" s="12"/>
      <c r="E7255" s="57" t="str">
        <f ca="1">IFERROR(__xludf.DUMMYFUNCTION("""COMPUTED_VALUE"""),"")</f>
        <v/>
      </c>
    </row>
    <row r="7256" spans="1:5">
      <c r="A7256" s="12"/>
      <c r="E7256" s="57" t="str">
        <f ca="1">IFERROR(__xludf.DUMMYFUNCTION("""COMPUTED_VALUE"""),"")</f>
        <v/>
      </c>
    </row>
    <row r="7257" spans="1:5">
      <c r="A7257" s="12"/>
      <c r="E7257" s="57" t="str">
        <f ca="1">IFERROR(__xludf.DUMMYFUNCTION("""COMPUTED_VALUE"""),"")</f>
        <v/>
      </c>
    </row>
    <row r="7258" spans="1:5">
      <c r="A7258" s="12"/>
      <c r="E7258" s="57" t="str">
        <f ca="1">IFERROR(__xludf.DUMMYFUNCTION("""COMPUTED_VALUE"""),"")</f>
        <v/>
      </c>
    </row>
    <row r="7259" spans="1:5">
      <c r="A7259" s="12"/>
      <c r="E7259" s="57" t="str">
        <f ca="1">IFERROR(__xludf.DUMMYFUNCTION("""COMPUTED_VALUE"""),"")</f>
        <v/>
      </c>
    </row>
    <row r="7260" spans="1:5">
      <c r="A7260" s="12"/>
      <c r="E7260" s="57" t="str">
        <f ca="1">IFERROR(__xludf.DUMMYFUNCTION("""COMPUTED_VALUE"""),"")</f>
        <v/>
      </c>
    </row>
    <row r="7261" spans="1:5">
      <c r="A7261" s="12"/>
      <c r="E7261" s="57" t="str">
        <f ca="1">IFERROR(__xludf.DUMMYFUNCTION("""COMPUTED_VALUE"""),"")</f>
        <v/>
      </c>
    </row>
    <row r="7262" spans="1:5">
      <c r="A7262" s="12"/>
      <c r="E7262" s="57" t="str">
        <f ca="1">IFERROR(__xludf.DUMMYFUNCTION("""COMPUTED_VALUE"""),"")</f>
        <v/>
      </c>
    </row>
    <row r="7263" spans="1:5">
      <c r="A7263" s="12"/>
      <c r="E7263" s="57" t="str">
        <f ca="1">IFERROR(__xludf.DUMMYFUNCTION("""COMPUTED_VALUE"""),"")</f>
        <v/>
      </c>
    </row>
    <row r="7264" spans="1:5">
      <c r="A7264" s="12"/>
      <c r="E7264" s="57" t="str">
        <f ca="1">IFERROR(__xludf.DUMMYFUNCTION("""COMPUTED_VALUE"""),"")</f>
        <v/>
      </c>
    </row>
    <row r="7265" spans="1:5">
      <c r="A7265" s="12"/>
      <c r="E7265" s="57" t="str">
        <f ca="1">IFERROR(__xludf.DUMMYFUNCTION("""COMPUTED_VALUE"""),"")</f>
        <v/>
      </c>
    </row>
    <row r="7266" spans="1:5">
      <c r="A7266" s="12"/>
      <c r="E7266" s="57" t="str">
        <f ca="1">IFERROR(__xludf.DUMMYFUNCTION("""COMPUTED_VALUE"""),"")</f>
        <v/>
      </c>
    </row>
    <row r="7267" spans="1:5">
      <c r="A7267" s="12"/>
      <c r="E7267" s="57" t="str">
        <f ca="1">IFERROR(__xludf.DUMMYFUNCTION("""COMPUTED_VALUE"""),"")</f>
        <v/>
      </c>
    </row>
    <row r="7268" spans="1:5">
      <c r="A7268" s="12"/>
      <c r="E7268" s="57" t="str">
        <f ca="1">IFERROR(__xludf.DUMMYFUNCTION("""COMPUTED_VALUE"""),"")</f>
        <v/>
      </c>
    </row>
    <row r="7269" spans="1:5">
      <c r="A7269" s="12"/>
      <c r="E7269" s="57" t="str">
        <f ca="1">IFERROR(__xludf.DUMMYFUNCTION("""COMPUTED_VALUE"""),"")</f>
        <v/>
      </c>
    </row>
    <row r="7270" spans="1:5">
      <c r="A7270" s="12"/>
      <c r="E7270" s="57" t="str">
        <f ca="1">IFERROR(__xludf.DUMMYFUNCTION("""COMPUTED_VALUE"""),"")</f>
        <v/>
      </c>
    </row>
    <row r="7271" spans="1:5">
      <c r="A7271" s="12"/>
      <c r="E7271" s="57" t="str">
        <f ca="1">IFERROR(__xludf.DUMMYFUNCTION("""COMPUTED_VALUE"""),"")</f>
        <v/>
      </c>
    </row>
    <row r="7272" spans="1:5">
      <c r="A7272" s="12"/>
      <c r="E7272" s="57" t="str">
        <f ca="1">IFERROR(__xludf.DUMMYFUNCTION("""COMPUTED_VALUE"""),"")</f>
        <v/>
      </c>
    </row>
    <row r="7273" spans="1:5">
      <c r="A7273" s="12"/>
      <c r="E7273" s="57" t="str">
        <f ca="1">IFERROR(__xludf.DUMMYFUNCTION("""COMPUTED_VALUE"""),"")</f>
        <v/>
      </c>
    </row>
    <row r="7274" spans="1:5">
      <c r="A7274" s="12"/>
      <c r="E7274" s="57" t="str">
        <f ca="1">IFERROR(__xludf.DUMMYFUNCTION("""COMPUTED_VALUE"""),"")</f>
        <v/>
      </c>
    </row>
    <row r="7275" spans="1:5">
      <c r="A7275" s="12"/>
      <c r="E7275" s="57" t="str">
        <f ca="1">IFERROR(__xludf.DUMMYFUNCTION("""COMPUTED_VALUE"""),"")</f>
        <v/>
      </c>
    </row>
    <row r="7276" spans="1:5">
      <c r="A7276" s="12"/>
      <c r="E7276" s="57" t="str">
        <f ca="1">IFERROR(__xludf.DUMMYFUNCTION("""COMPUTED_VALUE"""),"")</f>
        <v/>
      </c>
    </row>
    <row r="7277" spans="1:5">
      <c r="A7277" s="12"/>
      <c r="E7277" s="57" t="str">
        <f ca="1">IFERROR(__xludf.DUMMYFUNCTION("""COMPUTED_VALUE"""),"")</f>
        <v/>
      </c>
    </row>
    <row r="7278" spans="1:5">
      <c r="A7278" s="12"/>
      <c r="E7278" s="57" t="str">
        <f ca="1">IFERROR(__xludf.DUMMYFUNCTION("""COMPUTED_VALUE"""),"")</f>
        <v/>
      </c>
    </row>
    <row r="7279" spans="1:5">
      <c r="A7279" s="12"/>
      <c r="E7279" s="57" t="str">
        <f ca="1">IFERROR(__xludf.DUMMYFUNCTION("""COMPUTED_VALUE"""),"")</f>
        <v/>
      </c>
    </row>
    <row r="7280" spans="1:5">
      <c r="A7280" s="12"/>
      <c r="E7280" s="57" t="str">
        <f ca="1">IFERROR(__xludf.DUMMYFUNCTION("""COMPUTED_VALUE"""),"")</f>
        <v/>
      </c>
    </row>
    <row r="7281" spans="1:5">
      <c r="A7281" s="12"/>
      <c r="E7281" s="57" t="str">
        <f ca="1">IFERROR(__xludf.DUMMYFUNCTION("""COMPUTED_VALUE"""),"")</f>
        <v/>
      </c>
    </row>
    <row r="7282" spans="1:5">
      <c r="A7282" s="12"/>
      <c r="E7282" s="57" t="str">
        <f ca="1">IFERROR(__xludf.DUMMYFUNCTION("""COMPUTED_VALUE"""),"")</f>
        <v/>
      </c>
    </row>
    <row r="7283" spans="1:5">
      <c r="A7283" s="12"/>
      <c r="E7283" s="57" t="str">
        <f ca="1">IFERROR(__xludf.DUMMYFUNCTION("""COMPUTED_VALUE"""),"")</f>
        <v/>
      </c>
    </row>
    <row r="7284" spans="1:5">
      <c r="A7284" s="12"/>
      <c r="E7284" s="57" t="str">
        <f ca="1">IFERROR(__xludf.DUMMYFUNCTION("""COMPUTED_VALUE"""),"")</f>
        <v/>
      </c>
    </row>
    <row r="7285" spans="1:5">
      <c r="A7285" s="12"/>
      <c r="E7285" s="57" t="str">
        <f ca="1">IFERROR(__xludf.DUMMYFUNCTION("""COMPUTED_VALUE"""),"")</f>
        <v/>
      </c>
    </row>
    <row r="7286" spans="1:5">
      <c r="A7286" s="12"/>
      <c r="E7286" s="57" t="str">
        <f ca="1">IFERROR(__xludf.DUMMYFUNCTION("""COMPUTED_VALUE"""),"")</f>
        <v/>
      </c>
    </row>
    <row r="7287" spans="1:5">
      <c r="A7287" s="12"/>
      <c r="E7287" s="57" t="str">
        <f ca="1">IFERROR(__xludf.DUMMYFUNCTION("""COMPUTED_VALUE"""),"")</f>
        <v/>
      </c>
    </row>
    <row r="7288" spans="1:5">
      <c r="A7288" s="12"/>
      <c r="E7288" s="57" t="str">
        <f ca="1">IFERROR(__xludf.DUMMYFUNCTION("""COMPUTED_VALUE"""),"")</f>
        <v/>
      </c>
    </row>
    <row r="7289" spans="1:5">
      <c r="A7289" s="12"/>
      <c r="E7289" s="57" t="str">
        <f ca="1">IFERROR(__xludf.DUMMYFUNCTION("""COMPUTED_VALUE"""),"")</f>
        <v/>
      </c>
    </row>
    <row r="7290" spans="1:5">
      <c r="A7290" s="12"/>
      <c r="E7290" s="57" t="str">
        <f ca="1">IFERROR(__xludf.DUMMYFUNCTION("""COMPUTED_VALUE"""),"")</f>
        <v/>
      </c>
    </row>
    <row r="7291" spans="1:5">
      <c r="A7291" s="12"/>
      <c r="E7291" s="57" t="str">
        <f ca="1">IFERROR(__xludf.DUMMYFUNCTION("""COMPUTED_VALUE"""),"")</f>
        <v/>
      </c>
    </row>
    <row r="7292" spans="1:5">
      <c r="A7292" s="12"/>
      <c r="E7292" s="57" t="str">
        <f ca="1">IFERROR(__xludf.DUMMYFUNCTION("""COMPUTED_VALUE"""),"")</f>
        <v/>
      </c>
    </row>
    <row r="7293" spans="1:5">
      <c r="A7293" s="12"/>
      <c r="E7293" s="57" t="str">
        <f ca="1">IFERROR(__xludf.DUMMYFUNCTION("""COMPUTED_VALUE"""),"")</f>
        <v/>
      </c>
    </row>
    <row r="7294" spans="1:5">
      <c r="A7294" s="12"/>
      <c r="E7294" s="57" t="str">
        <f ca="1">IFERROR(__xludf.DUMMYFUNCTION("""COMPUTED_VALUE"""),"")</f>
        <v/>
      </c>
    </row>
    <row r="7295" spans="1:5">
      <c r="A7295" s="12"/>
      <c r="E7295" s="57" t="str">
        <f ca="1">IFERROR(__xludf.DUMMYFUNCTION("""COMPUTED_VALUE"""),"")</f>
        <v/>
      </c>
    </row>
    <row r="7296" spans="1:5">
      <c r="A7296" s="12"/>
      <c r="E7296" s="57" t="str">
        <f ca="1">IFERROR(__xludf.DUMMYFUNCTION("""COMPUTED_VALUE"""),"")</f>
        <v/>
      </c>
    </row>
    <row r="7297" spans="1:5">
      <c r="A7297" s="12"/>
      <c r="E7297" s="57" t="str">
        <f ca="1">IFERROR(__xludf.DUMMYFUNCTION("""COMPUTED_VALUE"""),"")</f>
        <v/>
      </c>
    </row>
    <row r="7298" spans="1:5">
      <c r="A7298" s="12"/>
      <c r="E7298" s="57" t="str">
        <f ca="1">IFERROR(__xludf.DUMMYFUNCTION("""COMPUTED_VALUE"""),"")</f>
        <v/>
      </c>
    </row>
    <row r="7299" spans="1:5">
      <c r="A7299" s="12"/>
      <c r="E7299" s="57" t="str">
        <f ca="1">IFERROR(__xludf.DUMMYFUNCTION("""COMPUTED_VALUE"""),"")</f>
        <v/>
      </c>
    </row>
    <row r="7300" spans="1:5">
      <c r="A7300" s="12"/>
      <c r="E7300" s="57" t="str">
        <f ca="1">IFERROR(__xludf.DUMMYFUNCTION("""COMPUTED_VALUE"""),"")</f>
        <v/>
      </c>
    </row>
    <row r="7301" spans="1:5">
      <c r="A7301" s="12"/>
      <c r="E7301" s="57" t="str">
        <f ca="1">IFERROR(__xludf.DUMMYFUNCTION("""COMPUTED_VALUE"""),"")</f>
        <v/>
      </c>
    </row>
    <row r="7302" spans="1:5">
      <c r="A7302" s="12"/>
      <c r="E7302" s="57" t="str">
        <f ca="1">IFERROR(__xludf.DUMMYFUNCTION("""COMPUTED_VALUE"""),"")</f>
        <v/>
      </c>
    </row>
    <row r="7303" spans="1:5">
      <c r="A7303" s="12"/>
      <c r="E7303" s="57" t="str">
        <f ca="1">IFERROR(__xludf.DUMMYFUNCTION("""COMPUTED_VALUE"""),"")</f>
        <v/>
      </c>
    </row>
    <row r="7304" spans="1:5">
      <c r="A7304" s="12"/>
      <c r="E7304" s="57" t="str">
        <f ca="1">IFERROR(__xludf.DUMMYFUNCTION("""COMPUTED_VALUE"""),"")</f>
        <v/>
      </c>
    </row>
    <row r="7305" spans="1:5">
      <c r="A7305" s="12"/>
      <c r="E7305" s="57" t="str">
        <f ca="1">IFERROR(__xludf.DUMMYFUNCTION("""COMPUTED_VALUE"""),"")</f>
        <v/>
      </c>
    </row>
    <row r="7306" spans="1:5">
      <c r="A7306" s="12"/>
      <c r="E7306" s="57" t="str">
        <f ca="1">IFERROR(__xludf.DUMMYFUNCTION("""COMPUTED_VALUE"""),"")</f>
        <v/>
      </c>
    </row>
    <row r="7307" spans="1:5">
      <c r="A7307" s="12"/>
      <c r="E7307" s="57" t="str">
        <f ca="1">IFERROR(__xludf.DUMMYFUNCTION("""COMPUTED_VALUE"""),"")</f>
        <v/>
      </c>
    </row>
    <row r="7308" spans="1:5">
      <c r="A7308" s="12"/>
      <c r="E7308" s="57" t="str">
        <f ca="1">IFERROR(__xludf.DUMMYFUNCTION("""COMPUTED_VALUE"""),"")</f>
        <v/>
      </c>
    </row>
    <row r="7309" spans="1:5">
      <c r="A7309" s="12"/>
      <c r="E7309" s="57" t="str">
        <f ca="1">IFERROR(__xludf.DUMMYFUNCTION("""COMPUTED_VALUE"""),"")</f>
        <v/>
      </c>
    </row>
    <row r="7310" spans="1:5">
      <c r="A7310" s="12"/>
      <c r="E7310" s="57" t="str">
        <f ca="1">IFERROR(__xludf.DUMMYFUNCTION("""COMPUTED_VALUE"""),"")</f>
        <v/>
      </c>
    </row>
    <row r="7311" spans="1:5">
      <c r="A7311" s="12"/>
      <c r="E7311" s="57" t="str">
        <f ca="1">IFERROR(__xludf.DUMMYFUNCTION("""COMPUTED_VALUE"""),"")</f>
        <v/>
      </c>
    </row>
    <row r="7312" spans="1:5">
      <c r="A7312" s="12"/>
      <c r="E7312" s="57" t="str">
        <f ca="1">IFERROR(__xludf.DUMMYFUNCTION("""COMPUTED_VALUE"""),"")</f>
        <v/>
      </c>
    </row>
    <row r="7313" spans="1:5">
      <c r="A7313" s="12"/>
      <c r="E7313" s="57" t="str">
        <f ca="1">IFERROR(__xludf.DUMMYFUNCTION("""COMPUTED_VALUE"""),"")</f>
        <v/>
      </c>
    </row>
    <row r="7314" spans="1:5">
      <c r="A7314" s="12"/>
      <c r="E7314" s="57" t="str">
        <f ca="1">IFERROR(__xludf.DUMMYFUNCTION("""COMPUTED_VALUE"""),"")</f>
        <v/>
      </c>
    </row>
    <row r="7315" spans="1:5">
      <c r="A7315" s="12"/>
      <c r="E7315" s="57" t="str">
        <f ca="1">IFERROR(__xludf.DUMMYFUNCTION("""COMPUTED_VALUE"""),"")</f>
        <v/>
      </c>
    </row>
    <row r="7316" spans="1:5">
      <c r="A7316" s="12"/>
      <c r="E7316" s="57" t="str">
        <f ca="1">IFERROR(__xludf.DUMMYFUNCTION("""COMPUTED_VALUE"""),"")</f>
        <v/>
      </c>
    </row>
    <row r="7317" spans="1:5">
      <c r="A7317" s="12"/>
      <c r="E7317" s="57" t="str">
        <f ca="1">IFERROR(__xludf.DUMMYFUNCTION("""COMPUTED_VALUE"""),"")</f>
        <v/>
      </c>
    </row>
    <row r="7318" spans="1:5">
      <c r="A7318" s="12"/>
      <c r="E7318" s="57" t="str">
        <f ca="1">IFERROR(__xludf.DUMMYFUNCTION("""COMPUTED_VALUE"""),"")</f>
        <v/>
      </c>
    </row>
    <row r="7319" spans="1:5">
      <c r="A7319" s="12"/>
      <c r="E7319" s="57" t="str">
        <f ca="1">IFERROR(__xludf.DUMMYFUNCTION("""COMPUTED_VALUE"""),"")</f>
        <v/>
      </c>
    </row>
    <row r="7320" spans="1:5">
      <c r="A7320" s="12"/>
      <c r="E7320" s="57" t="str">
        <f ca="1">IFERROR(__xludf.DUMMYFUNCTION("""COMPUTED_VALUE"""),"")</f>
        <v/>
      </c>
    </row>
    <row r="7321" spans="1:5">
      <c r="A7321" s="12"/>
      <c r="E7321" s="57" t="str">
        <f ca="1">IFERROR(__xludf.DUMMYFUNCTION("""COMPUTED_VALUE"""),"")</f>
        <v/>
      </c>
    </row>
    <row r="7322" spans="1:5">
      <c r="A7322" s="12"/>
      <c r="E7322" s="57" t="str">
        <f ca="1">IFERROR(__xludf.DUMMYFUNCTION("""COMPUTED_VALUE"""),"")</f>
        <v/>
      </c>
    </row>
    <row r="7323" spans="1:5">
      <c r="A7323" s="12"/>
      <c r="E7323" s="57" t="str">
        <f ca="1">IFERROR(__xludf.DUMMYFUNCTION("""COMPUTED_VALUE"""),"")</f>
        <v/>
      </c>
    </row>
    <row r="7324" spans="1:5">
      <c r="A7324" s="12"/>
      <c r="E7324" s="57" t="str">
        <f ca="1">IFERROR(__xludf.DUMMYFUNCTION("""COMPUTED_VALUE"""),"")</f>
        <v/>
      </c>
    </row>
    <row r="7325" spans="1:5">
      <c r="A7325" s="12"/>
      <c r="E7325" s="57" t="str">
        <f ca="1">IFERROR(__xludf.DUMMYFUNCTION("""COMPUTED_VALUE"""),"")</f>
        <v/>
      </c>
    </row>
    <row r="7326" spans="1:5">
      <c r="A7326" s="12"/>
      <c r="E7326" s="57" t="str">
        <f ca="1">IFERROR(__xludf.DUMMYFUNCTION("""COMPUTED_VALUE"""),"")</f>
        <v/>
      </c>
    </row>
    <row r="7327" spans="1:5">
      <c r="A7327" s="12"/>
      <c r="E7327" s="57" t="str">
        <f ca="1">IFERROR(__xludf.DUMMYFUNCTION("""COMPUTED_VALUE"""),"")</f>
        <v/>
      </c>
    </row>
    <row r="7328" spans="1:5">
      <c r="A7328" s="12"/>
      <c r="E7328" s="57" t="str">
        <f ca="1">IFERROR(__xludf.DUMMYFUNCTION("""COMPUTED_VALUE"""),"")</f>
        <v/>
      </c>
    </row>
    <row r="7329" spans="1:5">
      <c r="A7329" s="12"/>
      <c r="E7329" s="57" t="str">
        <f ca="1">IFERROR(__xludf.DUMMYFUNCTION("""COMPUTED_VALUE"""),"")</f>
        <v/>
      </c>
    </row>
    <row r="7330" spans="1:5">
      <c r="A7330" s="12"/>
      <c r="E7330" s="57" t="str">
        <f ca="1">IFERROR(__xludf.DUMMYFUNCTION("""COMPUTED_VALUE"""),"")</f>
        <v/>
      </c>
    </row>
    <row r="7331" spans="1:5">
      <c r="A7331" s="12"/>
      <c r="E7331" s="57" t="str">
        <f ca="1">IFERROR(__xludf.DUMMYFUNCTION("""COMPUTED_VALUE"""),"")</f>
        <v/>
      </c>
    </row>
    <row r="7332" spans="1:5">
      <c r="A7332" s="12"/>
      <c r="E7332" s="57" t="str">
        <f ca="1">IFERROR(__xludf.DUMMYFUNCTION("""COMPUTED_VALUE"""),"")</f>
        <v/>
      </c>
    </row>
    <row r="7333" spans="1:5">
      <c r="A7333" s="12"/>
      <c r="E7333" s="57" t="str">
        <f ca="1">IFERROR(__xludf.DUMMYFUNCTION("""COMPUTED_VALUE"""),"")</f>
        <v/>
      </c>
    </row>
    <row r="7334" spans="1:5">
      <c r="A7334" s="12"/>
      <c r="E7334" s="57" t="str">
        <f ca="1">IFERROR(__xludf.DUMMYFUNCTION("""COMPUTED_VALUE"""),"")</f>
        <v/>
      </c>
    </row>
    <row r="7335" spans="1:5">
      <c r="A7335" s="12"/>
      <c r="E7335" s="57" t="str">
        <f ca="1">IFERROR(__xludf.DUMMYFUNCTION("""COMPUTED_VALUE"""),"")</f>
        <v/>
      </c>
    </row>
    <row r="7336" spans="1:5">
      <c r="A7336" s="12"/>
      <c r="E7336" s="57" t="str">
        <f ca="1">IFERROR(__xludf.DUMMYFUNCTION("""COMPUTED_VALUE"""),"")</f>
        <v/>
      </c>
    </row>
    <row r="7337" spans="1:5">
      <c r="A7337" s="12"/>
      <c r="E7337" s="57" t="str">
        <f ca="1">IFERROR(__xludf.DUMMYFUNCTION("""COMPUTED_VALUE"""),"")</f>
        <v/>
      </c>
    </row>
    <row r="7338" spans="1:5">
      <c r="A7338" s="12"/>
      <c r="E7338" s="57" t="str">
        <f ca="1">IFERROR(__xludf.DUMMYFUNCTION("""COMPUTED_VALUE"""),"")</f>
        <v/>
      </c>
    </row>
    <row r="7339" spans="1:5">
      <c r="A7339" s="12"/>
      <c r="E7339" s="57" t="str">
        <f ca="1">IFERROR(__xludf.DUMMYFUNCTION("""COMPUTED_VALUE"""),"")</f>
        <v/>
      </c>
    </row>
    <row r="7340" spans="1:5">
      <c r="A7340" s="12"/>
      <c r="E7340" s="57" t="str">
        <f ca="1">IFERROR(__xludf.DUMMYFUNCTION("""COMPUTED_VALUE"""),"")</f>
        <v/>
      </c>
    </row>
    <row r="7341" spans="1:5">
      <c r="A7341" s="12"/>
      <c r="E7341" s="57" t="str">
        <f ca="1">IFERROR(__xludf.DUMMYFUNCTION("""COMPUTED_VALUE"""),"")</f>
        <v/>
      </c>
    </row>
    <row r="7342" spans="1:5">
      <c r="A7342" s="12"/>
      <c r="E7342" s="57" t="str">
        <f ca="1">IFERROR(__xludf.DUMMYFUNCTION("""COMPUTED_VALUE"""),"")</f>
        <v/>
      </c>
    </row>
    <row r="7343" spans="1:5">
      <c r="A7343" s="12"/>
      <c r="E7343" s="57" t="str">
        <f ca="1">IFERROR(__xludf.DUMMYFUNCTION("""COMPUTED_VALUE"""),"")</f>
        <v/>
      </c>
    </row>
    <row r="7344" spans="1:5">
      <c r="A7344" s="12"/>
      <c r="E7344" s="57" t="str">
        <f ca="1">IFERROR(__xludf.DUMMYFUNCTION("""COMPUTED_VALUE"""),"")</f>
        <v/>
      </c>
    </row>
    <row r="7345" spans="1:5">
      <c r="A7345" s="12"/>
      <c r="E7345" s="57" t="str">
        <f ca="1">IFERROR(__xludf.DUMMYFUNCTION("""COMPUTED_VALUE"""),"")</f>
        <v/>
      </c>
    </row>
    <row r="7346" spans="1:5">
      <c r="A7346" s="12"/>
      <c r="E7346" s="57" t="str">
        <f ca="1">IFERROR(__xludf.DUMMYFUNCTION("""COMPUTED_VALUE"""),"")</f>
        <v/>
      </c>
    </row>
    <row r="7347" spans="1:5">
      <c r="A7347" s="12"/>
      <c r="E7347" s="57" t="str">
        <f ca="1">IFERROR(__xludf.DUMMYFUNCTION("""COMPUTED_VALUE"""),"")</f>
        <v/>
      </c>
    </row>
    <row r="7348" spans="1:5">
      <c r="A7348" s="12"/>
      <c r="E7348" s="57" t="str">
        <f ca="1">IFERROR(__xludf.DUMMYFUNCTION("""COMPUTED_VALUE"""),"")</f>
        <v/>
      </c>
    </row>
    <row r="7349" spans="1:5">
      <c r="A7349" s="12"/>
      <c r="E7349" s="57" t="str">
        <f ca="1">IFERROR(__xludf.DUMMYFUNCTION("""COMPUTED_VALUE"""),"")</f>
        <v/>
      </c>
    </row>
    <row r="7350" spans="1:5">
      <c r="A7350" s="12"/>
      <c r="E7350" s="57" t="str">
        <f ca="1">IFERROR(__xludf.DUMMYFUNCTION("""COMPUTED_VALUE"""),"")</f>
        <v/>
      </c>
    </row>
    <row r="7351" spans="1:5">
      <c r="A7351" s="12"/>
      <c r="E7351" s="57" t="str">
        <f ca="1">IFERROR(__xludf.DUMMYFUNCTION("""COMPUTED_VALUE"""),"")</f>
        <v/>
      </c>
    </row>
    <row r="7352" spans="1:5">
      <c r="A7352" s="12"/>
      <c r="E7352" s="57" t="str">
        <f ca="1">IFERROR(__xludf.DUMMYFUNCTION("""COMPUTED_VALUE"""),"")</f>
        <v/>
      </c>
    </row>
    <row r="7353" spans="1:5">
      <c r="A7353" s="12"/>
      <c r="E7353" s="57" t="str">
        <f ca="1">IFERROR(__xludf.DUMMYFUNCTION("""COMPUTED_VALUE"""),"")</f>
        <v/>
      </c>
    </row>
    <row r="7354" spans="1:5">
      <c r="A7354" s="12"/>
      <c r="E7354" s="57" t="str">
        <f ca="1">IFERROR(__xludf.DUMMYFUNCTION("""COMPUTED_VALUE"""),"")</f>
        <v/>
      </c>
    </row>
    <row r="7355" spans="1:5">
      <c r="A7355" s="12"/>
      <c r="E7355" s="57" t="str">
        <f ca="1">IFERROR(__xludf.DUMMYFUNCTION("""COMPUTED_VALUE"""),"")</f>
        <v/>
      </c>
    </row>
    <row r="7356" spans="1:5">
      <c r="A7356" s="12"/>
      <c r="E7356" s="57" t="str">
        <f ca="1">IFERROR(__xludf.DUMMYFUNCTION("""COMPUTED_VALUE"""),"")</f>
        <v/>
      </c>
    </row>
    <row r="7357" spans="1:5">
      <c r="A7357" s="12"/>
      <c r="E7357" s="57" t="str">
        <f ca="1">IFERROR(__xludf.DUMMYFUNCTION("""COMPUTED_VALUE"""),"")</f>
        <v/>
      </c>
    </row>
    <row r="7358" spans="1:5">
      <c r="A7358" s="12"/>
      <c r="E7358" s="57" t="str">
        <f ca="1">IFERROR(__xludf.DUMMYFUNCTION("""COMPUTED_VALUE"""),"")</f>
        <v/>
      </c>
    </row>
    <row r="7359" spans="1:5">
      <c r="A7359" s="12"/>
      <c r="E7359" s="57" t="str">
        <f ca="1">IFERROR(__xludf.DUMMYFUNCTION("""COMPUTED_VALUE"""),"")</f>
        <v/>
      </c>
    </row>
    <row r="7360" spans="1:5">
      <c r="A7360" s="12"/>
      <c r="E7360" s="57" t="str">
        <f ca="1">IFERROR(__xludf.DUMMYFUNCTION("""COMPUTED_VALUE"""),"")</f>
        <v/>
      </c>
    </row>
    <row r="7361" spans="1:5">
      <c r="A7361" s="12"/>
      <c r="E7361" s="57" t="str">
        <f ca="1">IFERROR(__xludf.DUMMYFUNCTION("""COMPUTED_VALUE"""),"")</f>
        <v/>
      </c>
    </row>
    <row r="7362" spans="1:5">
      <c r="A7362" s="12"/>
      <c r="E7362" s="57" t="str">
        <f ca="1">IFERROR(__xludf.DUMMYFUNCTION("""COMPUTED_VALUE"""),"")</f>
        <v/>
      </c>
    </row>
    <row r="7363" spans="1:5">
      <c r="A7363" s="12"/>
      <c r="E7363" s="57" t="str">
        <f ca="1">IFERROR(__xludf.DUMMYFUNCTION("""COMPUTED_VALUE"""),"")</f>
        <v/>
      </c>
    </row>
    <row r="7364" spans="1:5">
      <c r="A7364" s="12"/>
      <c r="E7364" s="57" t="str">
        <f ca="1">IFERROR(__xludf.DUMMYFUNCTION("""COMPUTED_VALUE"""),"")</f>
        <v/>
      </c>
    </row>
    <row r="7365" spans="1:5">
      <c r="A7365" s="12"/>
      <c r="E7365" s="57" t="str">
        <f ca="1">IFERROR(__xludf.DUMMYFUNCTION("""COMPUTED_VALUE"""),"")</f>
        <v/>
      </c>
    </row>
    <row r="7366" spans="1:5">
      <c r="A7366" s="12"/>
      <c r="E7366" s="57" t="str">
        <f ca="1">IFERROR(__xludf.DUMMYFUNCTION("""COMPUTED_VALUE"""),"")</f>
        <v/>
      </c>
    </row>
    <row r="7367" spans="1:5">
      <c r="A7367" s="12"/>
      <c r="E7367" s="57" t="str">
        <f ca="1">IFERROR(__xludf.DUMMYFUNCTION("""COMPUTED_VALUE"""),"")</f>
        <v/>
      </c>
    </row>
    <row r="7368" spans="1:5">
      <c r="A7368" s="12"/>
      <c r="E7368" s="57" t="str">
        <f ca="1">IFERROR(__xludf.DUMMYFUNCTION("""COMPUTED_VALUE"""),"")</f>
        <v/>
      </c>
    </row>
    <row r="7369" spans="1:5">
      <c r="A7369" s="12"/>
      <c r="E7369" s="57" t="str">
        <f ca="1">IFERROR(__xludf.DUMMYFUNCTION("""COMPUTED_VALUE"""),"")</f>
        <v/>
      </c>
    </row>
    <row r="7370" spans="1:5">
      <c r="A7370" s="12"/>
      <c r="E7370" s="57" t="str">
        <f ca="1">IFERROR(__xludf.DUMMYFUNCTION("""COMPUTED_VALUE"""),"")</f>
        <v/>
      </c>
    </row>
    <row r="7371" spans="1:5">
      <c r="A7371" s="12"/>
      <c r="E7371" s="57" t="str">
        <f ca="1">IFERROR(__xludf.DUMMYFUNCTION("""COMPUTED_VALUE"""),"")</f>
        <v/>
      </c>
    </row>
    <row r="7372" spans="1:5">
      <c r="A7372" s="12"/>
      <c r="E7372" s="57" t="str">
        <f ca="1">IFERROR(__xludf.DUMMYFUNCTION("""COMPUTED_VALUE"""),"")</f>
        <v/>
      </c>
    </row>
    <row r="7373" spans="1:5">
      <c r="A7373" s="12"/>
      <c r="E7373" s="57" t="str">
        <f ca="1">IFERROR(__xludf.DUMMYFUNCTION("""COMPUTED_VALUE"""),"")</f>
        <v/>
      </c>
    </row>
    <row r="7374" spans="1:5">
      <c r="A7374" s="12"/>
      <c r="E7374" s="57" t="str">
        <f ca="1">IFERROR(__xludf.DUMMYFUNCTION("""COMPUTED_VALUE"""),"")</f>
        <v/>
      </c>
    </row>
    <row r="7375" spans="1:5">
      <c r="A7375" s="12"/>
      <c r="E7375" s="57" t="str">
        <f ca="1">IFERROR(__xludf.DUMMYFUNCTION("""COMPUTED_VALUE"""),"")</f>
        <v/>
      </c>
    </row>
    <row r="7376" spans="1:5">
      <c r="A7376" s="12"/>
      <c r="E7376" s="57" t="str">
        <f ca="1">IFERROR(__xludf.DUMMYFUNCTION("""COMPUTED_VALUE"""),"")</f>
        <v/>
      </c>
    </row>
    <row r="7377" spans="1:5">
      <c r="A7377" s="12"/>
      <c r="E7377" s="57" t="str">
        <f ca="1">IFERROR(__xludf.DUMMYFUNCTION("""COMPUTED_VALUE"""),"")</f>
        <v/>
      </c>
    </row>
    <row r="7378" spans="1:5">
      <c r="A7378" s="12"/>
      <c r="E7378" s="57" t="str">
        <f ca="1">IFERROR(__xludf.DUMMYFUNCTION("""COMPUTED_VALUE"""),"")</f>
        <v/>
      </c>
    </row>
    <row r="7379" spans="1:5">
      <c r="A7379" s="12"/>
      <c r="E7379" s="57" t="str">
        <f ca="1">IFERROR(__xludf.DUMMYFUNCTION("""COMPUTED_VALUE"""),"")</f>
        <v/>
      </c>
    </row>
    <row r="7380" spans="1:5">
      <c r="A7380" s="12"/>
      <c r="E7380" s="57" t="str">
        <f ca="1">IFERROR(__xludf.DUMMYFUNCTION("""COMPUTED_VALUE"""),"")</f>
        <v/>
      </c>
    </row>
    <row r="7381" spans="1:5">
      <c r="A7381" s="12"/>
      <c r="E7381" s="57" t="str">
        <f ca="1">IFERROR(__xludf.DUMMYFUNCTION("""COMPUTED_VALUE"""),"")</f>
        <v/>
      </c>
    </row>
    <row r="7382" spans="1:5">
      <c r="A7382" s="12"/>
      <c r="E7382" s="57" t="str">
        <f ca="1">IFERROR(__xludf.DUMMYFUNCTION("""COMPUTED_VALUE"""),"")</f>
        <v/>
      </c>
    </row>
    <row r="7383" spans="1:5">
      <c r="A7383" s="12"/>
      <c r="E7383" s="57" t="str">
        <f ca="1">IFERROR(__xludf.DUMMYFUNCTION("""COMPUTED_VALUE"""),"")</f>
        <v/>
      </c>
    </row>
    <row r="7384" spans="1:5">
      <c r="A7384" s="12"/>
      <c r="E7384" s="57" t="str">
        <f ca="1">IFERROR(__xludf.DUMMYFUNCTION("""COMPUTED_VALUE"""),"")</f>
        <v/>
      </c>
    </row>
    <row r="7385" spans="1:5">
      <c r="A7385" s="12"/>
      <c r="E7385" s="57" t="str">
        <f ca="1">IFERROR(__xludf.DUMMYFUNCTION("""COMPUTED_VALUE"""),"")</f>
        <v/>
      </c>
    </row>
    <row r="7386" spans="1:5">
      <c r="A7386" s="12"/>
      <c r="E7386" s="57" t="str">
        <f ca="1">IFERROR(__xludf.DUMMYFUNCTION("""COMPUTED_VALUE"""),"")</f>
        <v/>
      </c>
    </row>
    <row r="7387" spans="1:5">
      <c r="A7387" s="12"/>
      <c r="E7387" s="57" t="str">
        <f ca="1">IFERROR(__xludf.DUMMYFUNCTION("""COMPUTED_VALUE"""),"")</f>
        <v/>
      </c>
    </row>
    <row r="7388" spans="1:5">
      <c r="A7388" s="12"/>
      <c r="E7388" s="57" t="str">
        <f ca="1">IFERROR(__xludf.DUMMYFUNCTION("""COMPUTED_VALUE"""),"")</f>
        <v/>
      </c>
    </row>
    <row r="7389" spans="1:5">
      <c r="A7389" s="12"/>
      <c r="E7389" s="57" t="str">
        <f ca="1">IFERROR(__xludf.DUMMYFUNCTION("""COMPUTED_VALUE"""),"")</f>
        <v/>
      </c>
    </row>
    <row r="7390" spans="1:5">
      <c r="A7390" s="12"/>
      <c r="E7390" s="57" t="str">
        <f ca="1">IFERROR(__xludf.DUMMYFUNCTION("""COMPUTED_VALUE"""),"")</f>
        <v/>
      </c>
    </row>
    <row r="7391" spans="1:5">
      <c r="A7391" s="12"/>
      <c r="E7391" s="57" t="str">
        <f ca="1">IFERROR(__xludf.DUMMYFUNCTION("""COMPUTED_VALUE"""),"")</f>
        <v/>
      </c>
    </row>
    <row r="7392" spans="1:5">
      <c r="A7392" s="12"/>
      <c r="E7392" s="57" t="str">
        <f ca="1">IFERROR(__xludf.DUMMYFUNCTION("""COMPUTED_VALUE"""),"")</f>
        <v/>
      </c>
    </row>
    <row r="7393" spans="1:5">
      <c r="A7393" s="12"/>
      <c r="E7393" s="57" t="str">
        <f ca="1">IFERROR(__xludf.DUMMYFUNCTION("""COMPUTED_VALUE"""),"")</f>
        <v/>
      </c>
    </row>
    <row r="7394" spans="1:5">
      <c r="A7394" s="12"/>
      <c r="E7394" s="57" t="str">
        <f ca="1">IFERROR(__xludf.DUMMYFUNCTION("""COMPUTED_VALUE"""),"")</f>
        <v/>
      </c>
    </row>
    <row r="7395" spans="1:5">
      <c r="A7395" s="12"/>
      <c r="E7395" s="57" t="str">
        <f ca="1">IFERROR(__xludf.DUMMYFUNCTION("""COMPUTED_VALUE"""),"")</f>
        <v/>
      </c>
    </row>
    <row r="7396" spans="1:5">
      <c r="A7396" s="12"/>
      <c r="E7396" s="57" t="str">
        <f ca="1">IFERROR(__xludf.DUMMYFUNCTION("""COMPUTED_VALUE"""),"")</f>
        <v/>
      </c>
    </row>
    <row r="7397" spans="1:5">
      <c r="A7397" s="12"/>
      <c r="E7397" s="57" t="str">
        <f ca="1">IFERROR(__xludf.DUMMYFUNCTION("""COMPUTED_VALUE"""),"")</f>
        <v/>
      </c>
    </row>
    <row r="7398" spans="1:5">
      <c r="A7398" s="12"/>
      <c r="E7398" s="57" t="str">
        <f ca="1">IFERROR(__xludf.DUMMYFUNCTION("""COMPUTED_VALUE"""),"")</f>
        <v/>
      </c>
    </row>
    <row r="7399" spans="1:5">
      <c r="A7399" s="12"/>
      <c r="E7399" s="57" t="str">
        <f ca="1">IFERROR(__xludf.DUMMYFUNCTION("""COMPUTED_VALUE"""),"")</f>
        <v/>
      </c>
    </row>
    <row r="7400" spans="1:5">
      <c r="A7400" s="12"/>
      <c r="E7400" s="57" t="str">
        <f ca="1">IFERROR(__xludf.DUMMYFUNCTION("""COMPUTED_VALUE"""),"")</f>
        <v/>
      </c>
    </row>
    <row r="7401" spans="1:5">
      <c r="A7401" s="12"/>
      <c r="E7401" s="57" t="str">
        <f ca="1">IFERROR(__xludf.DUMMYFUNCTION("""COMPUTED_VALUE"""),"")</f>
        <v/>
      </c>
    </row>
    <row r="7402" spans="1:5">
      <c r="A7402" s="12"/>
      <c r="E7402" s="57" t="str">
        <f ca="1">IFERROR(__xludf.DUMMYFUNCTION("""COMPUTED_VALUE"""),"")</f>
        <v/>
      </c>
    </row>
    <row r="7403" spans="1:5">
      <c r="A7403" s="12"/>
      <c r="E7403" s="57" t="str">
        <f ca="1">IFERROR(__xludf.DUMMYFUNCTION("""COMPUTED_VALUE"""),"")</f>
        <v/>
      </c>
    </row>
    <row r="7404" spans="1:5">
      <c r="A7404" s="12"/>
      <c r="E7404" s="57" t="str">
        <f ca="1">IFERROR(__xludf.DUMMYFUNCTION("""COMPUTED_VALUE"""),"")</f>
        <v/>
      </c>
    </row>
    <row r="7405" spans="1:5">
      <c r="A7405" s="12"/>
      <c r="E7405" s="57" t="str">
        <f ca="1">IFERROR(__xludf.DUMMYFUNCTION("""COMPUTED_VALUE"""),"")</f>
        <v/>
      </c>
    </row>
    <row r="7406" spans="1:5">
      <c r="A7406" s="12"/>
      <c r="E7406" s="57" t="str">
        <f ca="1">IFERROR(__xludf.DUMMYFUNCTION("""COMPUTED_VALUE"""),"")</f>
        <v/>
      </c>
    </row>
    <row r="7407" spans="1:5">
      <c r="A7407" s="12"/>
      <c r="E7407" s="57" t="str">
        <f ca="1">IFERROR(__xludf.DUMMYFUNCTION("""COMPUTED_VALUE"""),"")</f>
        <v/>
      </c>
    </row>
    <row r="7408" spans="1:5">
      <c r="A7408" s="12"/>
      <c r="E7408" s="57" t="str">
        <f ca="1">IFERROR(__xludf.DUMMYFUNCTION("""COMPUTED_VALUE"""),"")</f>
        <v/>
      </c>
    </row>
    <row r="7409" spans="1:5">
      <c r="A7409" s="12"/>
      <c r="E7409" s="57" t="str">
        <f ca="1">IFERROR(__xludf.DUMMYFUNCTION("""COMPUTED_VALUE"""),"")</f>
        <v/>
      </c>
    </row>
    <row r="7410" spans="1:5">
      <c r="A7410" s="12"/>
      <c r="E7410" s="57" t="str">
        <f ca="1">IFERROR(__xludf.DUMMYFUNCTION("""COMPUTED_VALUE"""),"")</f>
        <v/>
      </c>
    </row>
    <row r="7411" spans="1:5">
      <c r="A7411" s="12"/>
      <c r="E7411" s="57" t="str">
        <f ca="1">IFERROR(__xludf.DUMMYFUNCTION("""COMPUTED_VALUE"""),"")</f>
        <v/>
      </c>
    </row>
    <row r="7412" spans="1:5">
      <c r="A7412" s="12"/>
      <c r="E7412" s="57" t="str">
        <f ca="1">IFERROR(__xludf.DUMMYFUNCTION("""COMPUTED_VALUE"""),"")</f>
        <v/>
      </c>
    </row>
    <row r="7413" spans="1:5">
      <c r="A7413" s="12"/>
      <c r="E7413" s="57" t="str">
        <f ca="1">IFERROR(__xludf.DUMMYFUNCTION("""COMPUTED_VALUE"""),"")</f>
        <v/>
      </c>
    </row>
    <row r="7414" spans="1:5">
      <c r="A7414" s="12"/>
      <c r="E7414" s="57" t="str">
        <f ca="1">IFERROR(__xludf.DUMMYFUNCTION("""COMPUTED_VALUE"""),"")</f>
        <v/>
      </c>
    </row>
    <row r="7415" spans="1:5">
      <c r="A7415" s="12"/>
      <c r="E7415" s="57" t="str">
        <f ca="1">IFERROR(__xludf.DUMMYFUNCTION("""COMPUTED_VALUE"""),"")</f>
        <v/>
      </c>
    </row>
    <row r="7416" spans="1:5">
      <c r="A7416" s="12"/>
      <c r="E7416" s="57" t="str">
        <f ca="1">IFERROR(__xludf.DUMMYFUNCTION("""COMPUTED_VALUE"""),"")</f>
        <v/>
      </c>
    </row>
    <row r="7417" spans="1:5">
      <c r="A7417" s="12"/>
      <c r="E7417" s="57" t="str">
        <f ca="1">IFERROR(__xludf.DUMMYFUNCTION("""COMPUTED_VALUE"""),"")</f>
        <v/>
      </c>
    </row>
    <row r="7418" spans="1:5">
      <c r="A7418" s="12"/>
      <c r="E7418" s="57" t="str">
        <f ca="1">IFERROR(__xludf.DUMMYFUNCTION("""COMPUTED_VALUE"""),"")</f>
        <v/>
      </c>
    </row>
    <row r="7419" spans="1:5">
      <c r="A7419" s="12"/>
      <c r="E7419" s="57" t="str">
        <f ca="1">IFERROR(__xludf.DUMMYFUNCTION("""COMPUTED_VALUE"""),"")</f>
        <v/>
      </c>
    </row>
    <row r="7420" spans="1:5">
      <c r="A7420" s="12"/>
      <c r="E7420" s="57" t="str">
        <f ca="1">IFERROR(__xludf.DUMMYFUNCTION("""COMPUTED_VALUE"""),"")</f>
        <v/>
      </c>
    </row>
    <row r="7421" spans="1:5">
      <c r="A7421" s="12"/>
      <c r="E7421" s="57" t="str">
        <f ca="1">IFERROR(__xludf.DUMMYFUNCTION("""COMPUTED_VALUE"""),"")</f>
        <v/>
      </c>
    </row>
    <row r="7422" spans="1:5">
      <c r="A7422" s="12"/>
      <c r="E7422" s="57" t="str">
        <f ca="1">IFERROR(__xludf.DUMMYFUNCTION("""COMPUTED_VALUE"""),"")</f>
        <v/>
      </c>
    </row>
    <row r="7423" spans="1:5">
      <c r="A7423" s="12"/>
      <c r="E7423" s="57" t="str">
        <f ca="1">IFERROR(__xludf.DUMMYFUNCTION("""COMPUTED_VALUE"""),"")</f>
        <v/>
      </c>
    </row>
    <row r="7424" spans="1:5">
      <c r="A7424" s="12"/>
      <c r="E7424" s="57" t="str">
        <f ca="1">IFERROR(__xludf.DUMMYFUNCTION("""COMPUTED_VALUE"""),"")</f>
        <v/>
      </c>
    </row>
    <row r="7425" spans="1:5">
      <c r="A7425" s="12"/>
      <c r="E7425" s="57" t="str">
        <f ca="1">IFERROR(__xludf.DUMMYFUNCTION("""COMPUTED_VALUE"""),"")</f>
        <v/>
      </c>
    </row>
    <row r="7426" spans="1:5">
      <c r="A7426" s="12"/>
      <c r="E7426" s="57" t="str">
        <f ca="1">IFERROR(__xludf.DUMMYFUNCTION("""COMPUTED_VALUE"""),"")</f>
        <v/>
      </c>
    </row>
    <row r="7427" spans="1:5">
      <c r="A7427" s="12"/>
      <c r="E7427" s="57" t="str">
        <f ca="1">IFERROR(__xludf.DUMMYFUNCTION("""COMPUTED_VALUE"""),"")</f>
        <v/>
      </c>
    </row>
    <row r="7428" spans="1:5">
      <c r="A7428" s="12"/>
      <c r="E7428" s="57" t="str">
        <f ca="1">IFERROR(__xludf.DUMMYFUNCTION("""COMPUTED_VALUE"""),"")</f>
        <v/>
      </c>
    </row>
    <row r="7429" spans="1:5">
      <c r="A7429" s="12"/>
      <c r="E7429" s="57" t="str">
        <f ca="1">IFERROR(__xludf.DUMMYFUNCTION("""COMPUTED_VALUE"""),"")</f>
        <v/>
      </c>
    </row>
    <row r="7430" spans="1:5">
      <c r="A7430" s="12"/>
      <c r="E7430" s="57" t="str">
        <f ca="1">IFERROR(__xludf.DUMMYFUNCTION("""COMPUTED_VALUE"""),"")</f>
        <v/>
      </c>
    </row>
    <row r="7431" spans="1:5">
      <c r="A7431" s="12"/>
      <c r="E7431" s="57" t="str">
        <f ca="1">IFERROR(__xludf.DUMMYFUNCTION("""COMPUTED_VALUE"""),"")</f>
        <v/>
      </c>
    </row>
    <row r="7432" spans="1:5">
      <c r="A7432" s="12"/>
      <c r="E7432" s="57" t="str">
        <f ca="1">IFERROR(__xludf.DUMMYFUNCTION("""COMPUTED_VALUE"""),"")</f>
        <v/>
      </c>
    </row>
    <row r="7433" spans="1:5">
      <c r="A7433" s="12"/>
      <c r="E7433" s="57" t="str">
        <f ca="1">IFERROR(__xludf.DUMMYFUNCTION("""COMPUTED_VALUE"""),"")</f>
        <v/>
      </c>
    </row>
    <row r="7434" spans="1:5">
      <c r="A7434" s="12"/>
      <c r="E7434" s="57" t="str">
        <f ca="1">IFERROR(__xludf.DUMMYFUNCTION("""COMPUTED_VALUE"""),"")</f>
        <v/>
      </c>
    </row>
    <row r="7435" spans="1:5">
      <c r="A7435" s="12"/>
      <c r="E7435" s="57" t="str">
        <f ca="1">IFERROR(__xludf.DUMMYFUNCTION("""COMPUTED_VALUE"""),"")</f>
        <v/>
      </c>
    </row>
    <row r="7436" spans="1:5">
      <c r="A7436" s="12"/>
      <c r="E7436" s="57" t="str">
        <f ca="1">IFERROR(__xludf.DUMMYFUNCTION("""COMPUTED_VALUE"""),"")</f>
        <v/>
      </c>
    </row>
    <row r="7437" spans="1:5">
      <c r="A7437" s="12"/>
      <c r="E7437" s="57" t="str">
        <f ca="1">IFERROR(__xludf.DUMMYFUNCTION("""COMPUTED_VALUE"""),"")</f>
        <v/>
      </c>
    </row>
    <row r="7438" spans="1:5">
      <c r="A7438" s="12"/>
      <c r="E7438" s="57" t="str">
        <f ca="1">IFERROR(__xludf.DUMMYFUNCTION("""COMPUTED_VALUE"""),"")</f>
        <v/>
      </c>
    </row>
    <row r="7439" spans="1:5">
      <c r="A7439" s="12"/>
      <c r="E7439" s="57" t="str">
        <f ca="1">IFERROR(__xludf.DUMMYFUNCTION("""COMPUTED_VALUE"""),"")</f>
        <v/>
      </c>
    </row>
    <row r="7440" spans="1:5">
      <c r="A7440" s="12"/>
      <c r="E7440" s="57" t="str">
        <f ca="1">IFERROR(__xludf.DUMMYFUNCTION("""COMPUTED_VALUE"""),"")</f>
        <v/>
      </c>
    </row>
    <row r="7441" spans="1:5">
      <c r="A7441" s="12"/>
      <c r="E7441" s="57" t="str">
        <f ca="1">IFERROR(__xludf.DUMMYFUNCTION("""COMPUTED_VALUE"""),"")</f>
        <v/>
      </c>
    </row>
    <row r="7442" spans="1:5">
      <c r="A7442" s="12"/>
      <c r="E7442" s="57" t="str">
        <f ca="1">IFERROR(__xludf.DUMMYFUNCTION("""COMPUTED_VALUE"""),"")</f>
        <v/>
      </c>
    </row>
    <row r="7443" spans="1:5">
      <c r="A7443" s="12"/>
      <c r="E7443" s="57" t="str">
        <f ca="1">IFERROR(__xludf.DUMMYFUNCTION("""COMPUTED_VALUE"""),"")</f>
        <v/>
      </c>
    </row>
    <row r="7444" spans="1:5">
      <c r="A7444" s="12"/>
      <c r="E7444" s="57" t="str">
        <f ca="1">IFERROR(__xludf.DUMMYFUNCTION("""COMPUTED_VALUE"""),"")</f>
        <v/>
      </c>
    </row>
    <row r="7445" spans="1:5">
      <c r="A7445" s="12"/>
      <c r="E7445" s="57" t="str">
        <f ca="1">IFERROR(__xludf.DUMMYFUNCTION("""COMPUTED_VALUE"""),"")</f>
        <v/>
      </c>
    </row>
    <row r="7446" spans="1:5">
      <c r="A7446" s="12"/>
      <c r="E7446" s="57" t="str">
        <f ca="1">IFERROR(__xludf.DUMMYFUNCTION("""COMPUTED_VALUE"""),"")</f>
        <v/>
      </c>
    </row>
    <row r="7447" spans="1:5">
      <c r="A7447" s="12"/>
      <c r="E7447" s="57" t="str">
        <f ca="1">IFERROR(__xludf.DUMMYFUNCTION("""COMPUTED_VALUE"""),"")</f>
        <v/>
      </c>
    </row>
    <row r="7448" spans="1:5">
      <c r="A7448" s="12"/>
      <c r="E7448" s="57" t="str">
        <f ca="1">IFERROR(__xludf.DUMMYFUNCTION("""COMPUTED_VALUE"""),"")</f>
        <v/>
      </c>
    </row>
    <row r="7449" spans="1:5">
      <c r="A7449" s="12"/>
      <c r="E7449" s="57" t="str">
        <f ca="1">IFERROR(__xludf.DUMMYFUNCTION("""COMPUTED_VALUE"""),"")</f>
        <v/>
      </c>
    </row>
    <row r="7450" spans="1:5">
      <c r="A7450" s="12"/>
      <c r="E7450" s="57" t="str">
        <f ca="1">IFERROR(__xludf.DUMMYFUNCTION("""COMPUTED_VALUE"""),"")</f>
        <v/>
      </c>
    </row>
    <row r="7451" spans="1:5">
      <c r="A7451" s="12"/>
      <c r="E7451" s="57" t="str">
        <f ca="1">IFERROR(__xludf.DUMMYFUNCTION("""COMPUTED_VALUE"""),"")</f>
        <v/>
      </c>
    </row>
    <row r="7452" spans="1:5">
      <c r="A7452" s="12"/>
      <c r="E7452" s="57" t="str">
        <f ca="1">IFERROR(__xludf.DUMMYFUNCTION("""COMPUTED_VALUE"""),"")</f>
        <v/>
      </c>
    </row>
    <row r="7453" spans="1:5">
      <c r="A7453" s="12"/>
      <c r="E7453" s="57" t="str">
        <f ca="1">IFERROR(__xludf.DUMMYFUNCTION("""COMPUTED_VALUE"""),"")</f>
        <v/>
      </c>
    </row>
    <row r="7454" spans="1:5">
      <c r="A7454" s="12"/>
      <c r="E7454" s="57" t="str">
        <f ca="1">IFERROR(__xludf.DUMMYFUNCTION("""COMPUTED_VALUE"""),"")</f>
        <v/>
      </c>
    </row>
    <row r="7455" spans="1:5">
      <c r="A7455" s="12"/>
      <c r="E7455" s="57" t="str">
        <f ca="1">IFERROR(__xludf.DUMMYFUNCTION("""COMPUTED_VALUE"""),"")</f>
        <v/>
      </c>
    </row>
    <row r="7456" spans="1:5">
      <c r="A7456" s="12"/>
      <c r="E7456" s="57" t="str">
        <f ca="1">IFERROR(__xludf.DUMMYFUNCTION("""COMPUTED_VALUE"""),"")</f>
        <v/>
      </c>
    </row>
    <row r="7457" spans="1:5">
      <c r="A7457" s="12"/>
      <c r="E7457" s="57" t="str">
        <f ca="1">IFERROR(__xludf.DUMMYFUNCTION("""COMPUTED_VALUE"""),"")</f>
        <v/>
      </c>
    </row>
    <row r="7458" spans="1:5">
      <c r="A7458" s="12"/>
      <c r="E7458" s="57" t="str">
        <f ca="1">IFERROR(__xludf.DUMMYFUNCTION("""COMPUTED_VALUE"""),"")</f>
        <v/>
      </c>
    </row>
    <row r="7459" spans="1:5">
      <c r="A7459" s="12"/>
      <c r="E7459" s="57" t="str">
        <f ca="1">IFERROR(__xludf.DUMMYFUNCTION("""COMPUTED_VALUE"""),"")</f>
        <v/>
      </c>
    </row>
    <row r="7460" spans="1:5">
      <c r="A7460" s="12"/>
      <c r="E7460" s="57" t="str">
        <f ca="1">IFERROR(__xludf.DUMMYFUNCTION("""COMPUTED_VALUE"""),"")</f>
        <v/>
      </c>
    </row>
    <row r="7461" spans="1:5">
      <c r="A7461" s="12"/>
      <c r="E7461" s="57" t="str">
        <f ca="1">IFERROR(__xludf.DUMMYFUNCTION("""COMPUTED_VALUE"""),"")</f>
        <v/>
      </c>
    </row>
    <row r="7462" spans="1:5">
      <c r="A7462" s="12"/>
      <c r="E7462" s="57" t="str">
        <f ca="1">IFERROR(__xludf.DUMMYFUNCTION("""COMPUTED_VALUE"""),"")</f>
        <v/>
      </c>
    </row>
    <row r="7463" spans="1:5">
      <c r="A7463" s="12"/>
      <c r="E7463" s="57" t="str">
        <f ca="1">IFERROR(__xludf.DUMMYFUNCTION("""COMPUTED_VALUE"""),"")</f>
        <v/>
      </c>
    </row>
    <row r="7464" spans="1:5">
      <c r="A7464" s="12"/>
      <c r="E7464" s="57" t="str">
        <f ca="1">IFERROR(__xludf.DUMMYFUNCTION("""COMPUTED_VALUE"""),"")</f>
        <v/>
      </c>
    </row>
    <row r="7465" spans="1:5">
      <c r="A7465" s="12"/>
      <c r="E7465" s="57" t="str">
        <f ca="1">IFERROR(__xludf.DUMMYFUNCTION("""COMPUTED_VALUE"""),"")</f>
        <v/>
      </c>
    </row>
    <row r="7466" spans="1:5">
      <c r="A7466" s="12"/>
      <c r="E7466" s="57" t="str">
        <f ca="1">IFERROR(__xludf.DUMMYFUNCTION("""COMPUTED_VALUE"""),"")</f>
        <v/>
      </c>
    </row>
    <row r="7467" spans="1:5">
      <c r="A7467" s="12"/>
      <c r="E7467" s="57" t="str">
        <f ca="1">IFERROR(__xludf.DUMMYFUNCTION("""COMPUTED_VALUE"""),"")</f>
        <v/>
      </c>
    </row>
    <row r="7468" spans="1:5">
      <c r="A7468" s="12"/>
      <c r="E7468" s="57" t="str">
        <f ca="1">IFERROR(__xludf.DUMMYFUNCTION("""COMPUTED_VALUE"""),"")</f>
        <v/>
      </c>
    </row>
    <row r="7469" spans="1:5">
      <c r="A7469" s="12"/>
      <c r="E7469" s="57" t="str">
        <f ca="1">IFERROR(__xludf.DUMMYFUNCTION("""COMPUTED_VALUE"""),"")</f>
        <v/>
      </c>
    </row>
    <row r="7470" spans="1:5">
      <c r="A7470" s="12"/>
      <c r="E7470" s="57" t="str">
        <f ca="1">IFERROR(__xludf.DUMMYFUNCTION("""COMPUTED_VALUE"""),"")</f>
        <v/>
      </c>
    </row>
    <row r="7471" spans="1:5">
      <c r="A7471" s="12"/>
      <c r="E7471" s="57" t="str">
        <f ca="1">IFERROR(__xludf.DUMMYFUNCTION("""COMPUTED_VALUE"""),"")</f>
        <v/>
      </c>
    </row>
    <row r="7472" spans="1:5">
      <c r="A7472" s="12"/>
      <c r="E7472" s="57" t="str">
        <f ca="1">IFERROR(__xludf.DUMMYFUNCTION("""COMPUTED_VALUE"""),"")</f>
        <v/>
      </c>
    </row>
    <row r="7473" spans="1:5">
      <c r="A7473" s="12"/>
      <c r="E7473" s="57" t="str">
        <f ca="1">IFERROR(__xludf.DUMMYFUNCTION("""COMPUTED_VALUE"""),"")</f>
        <v/>
      </c>
    </row>
    <row r="7474" spans="1:5">
      <c r="A7474" s="12"/>
      <c r="E7474" s="57" t="str">
        <f ca="1">IFERROR(__xludf.DUMMYFUNCTION("""COMPUTED_VALUE"""),"")</f>
        <v/>
      </c>
    </row>
    <row r="7475" spans="1:5">
      <c r="A7475" s="12"/>
      <c r="E7475" s="57" t="str">
        <f ca="1">IFERROR(__xludf.DUMMYFUNCTION("""COMPUTED_VALUE"""),"")</f>
        <v/>
      </c>
    </row>
    <row r="7476" spans="1:5">
      <c r="A7476" s="12"/>
      <c r="E7476" s="57" t="str">
        <f ca="1">IFERROR(__xludf.DUMMYFUNCTION("""COMPUTED_VALUE"""),"")</f>
        <v/>
      </c>
    </row>
    <row r="7477" spans="1:5">
      <c r="A7477" s="12"/>
      <c r="E7477" s="57" t="str">
        <f ca="1">IFERROR(__xludf.DUMMYFUNCTION("""COMPUTED_VALUE"""),"")</f>
        <v/>
      </c>
    </row>
    <row r="7478" spans="1:5">
      <c r="A7478" s="12"/>
      <c r="E7478" s="57" t="str">
        <f ca="1">IFERROR(__xludf.DUMMYFUNCTION("""COMPUTED_VALUE"""),"")</f>
        <v/>
      </c>
    </row>
    <row r="7479" spans="1:5">
      <c r="A7479" s="12"/>
      <c r="E7479" s="57" t="str">
        <f ca="1">IFERROR(__xludf.DUMMYFUNCTION("""COMPUTED_VALUE"""),"")</f>
        <v/>
      </c>
    </row>
    <row r="7480" spans="1:5">
      <c r="A7480" s="12"/>
      <c r="E7480" s="57" t="str">
        <f ca="1">IFERROR(__xludf.DUMMYFUNCTION("""COMPUTED_VALUE"""),"")</f>
        <v/>
      </c>
    </row>
    <row r="7481" spans="1:5">
      <c r="A7481" s="12"/>
      <c r="E7481" s="57" t="str">
        <f ca="1">IFERROR(__xludf.DUMMYFUNCTION("""COMPUTED_VALUE"""),"")</f>
        <v/>
      </c>
    </row>
    <row r="7482" spans="1:5">
      <c r="A7482" s="12"/>
      <c r="E7482" s="57" t="str">
        <f ca="1">IFERROR(__xludf.DUMMYFUNCTION("""COMPUTED_VALUE"""),"")</f>
        <v/>
      </c>
    </row>
    <row r="7483" spans="1:5">
      <c r="A7483" s="12"/>
      <c r="E7483" s="57" t="str">
        <f ca="1">IFERROR(__xludf.DUMMYFUNCTION("""COMPUTED_VALUE"""),"")</f>
        <v/>
      </c>
    </row>
    <row r="7484" spans="1:5">
      <c r="A7484" s="12"/>
      <c r="E7484" s="57" t="str">
        <f ca="1">IFERROR(__xludf.DUMMYFUNCTION("""COMPUTED_VALUE"""),"")</f>
        <v/>
      </c>
    </row>
    <row r="7485" spans="1:5">
      <c r="A7485" s="12"/>
      <c r="E7485" s="57" t="str">
        <f ca="1">IFERROR(__xludf.DUMMYFUNCTION("""COMPUTED_VALUE"""),"")</f>
        <v/>
      </c>
    </row>
    <row r="7486" spans="1:5">
      <c r="A7486" s="12"/>
      <c r="E7486" s="57" t="str">
        <f ca="1">IFERROR(__xludf.DUMMYFUNCTION("""COMPUTED_VALUE"""),"")</f>
        <v/>
      </c>
    </row>
    <row r="7487" spans="1:5">
      <c r="A7487" s="12"/>
      <c r="E7487" s="57" t="str">
        <f ca="1">IFERROR(__xludf.DUMMYFUNCTION("""COMPUTED_VALUE"""),"")</f>
        <v/>
      </c>
    </row>
    <row r="7488" spans="1:5">
      <c r="A7488" s="12"/>
      <c r="E7488" s="57" t="str">
        <f ca="1">IFERROR(__xludf.DUMMYFUNCTION("""COMPUTED_VALUE"""),"")</f>
        <v/>
      </c>
    </row>
    <row r="7489" spans="1:5">
      <c r="A7489" s="12"/>
      <c r="E7489" s="57" t="str">
        <f ca="1">IFERROR(__xludf.DUMMYFUNCTION("""COMPUTED_VALUE"""),"")</f>
        <v/>
      </c>
    </row>
    <row r="7490" spans="1:5">
      <c r="A7490" s="12"/>
      <c r="E7490" s="57" t="str">
        <f ca="1">IFERROR(__xludf.DUMMYFUNCTION("""COMPUTED_VALUE"""),"")</f>
        <v/>
      </c>
    </row>
    <row r="7491" spans="1:5">
      <c r="A7491" s="12"/>
      <c r="E7491" s="57" t="str">
        <f ca="1">IFERROR(__xludf.DUMMYFUNCTION("""COMPUTED_VALUE"""),"")</f>
        <v/>
      </c>
    </row>
    <row r="7492" spans="1:5">
      <c r="A7492" s="12"/>
      <c r="E7492" s="57" t="str">
        <f ca="1">IFERROR(__xludf.DUMMYFUNCTION("""COMPUTED_VALUE"""),"")</f>
        <v/>
      </c>
    </row>
    <row r="7493" spans="1:5">
      <c r="A7493" s="12"/>
      <c r="E7493" s="57" t="str">
        <f ca="1">IFERROR(__xludf.DUMMYFUNCTION("""COMPUTED_VALUE"""),"")</f>
        <v/>
      </c>
    </row>
    <row r="7494" spans="1:5">
      <c r="A7494" s="12"/>
      <c r="E7494" s="57" t="str">
        <f ca="1">IFERROR(__xludf.DUMMYFUNCTION("""COMPUTED_VALUE"""),"")</f>
        <v/>
      </c>
    </row>
    <row r="7495" spans="1:5">
      <c r="A7495" s="12"/>
      <c r="E7495" s="57" t="str">
        <f ca="1">IFERROR(__xludf.DUMMYFUNCTION("""COMPUTED_VALUE"""),"")</f>
        <v/>
      </c>
    </row>
    <row r="7496" spans="1:5">
      <c r="A7496" s="12"/>
      <c r="E7496" s="57" t="str">
        <f ca="1">IFERROR(__xludf.DUMMYFUNCTION("""COMPUTED_VALUE"""),"")</f>
        <v/>
      </c>
    </row>
    <row r="7497" spans="1:5">
      <c r="A7497" s="12"/>
      <c r="E7497" s="57" t="str">
        <f ca="1">IFERROR(__xludf.DUMMYFUNCTION("""COMPUTED_VALUE"""),"")</f>
        <v/>
      </c>
    </row>
    <row r="7498" spans="1:5">
      <c r="A7498" s="12"/>
      <c r="E7498" s="57" t="str">
        <f ca="1">IFERROR(__xludf.DUMMYFUNCTION("""COMPUTED_VALUE"""),"")</f>
        <v/>
      </c>
    </row>
    <row r="7499" spans="1:5">
      <c r="A7499" s="12"/>
      <c r="E7499" s="57" t="str">
        <f ca="1">IFERROR(__xludf.DUMMYFUNCTION("""COMPUTED_VALUE"""),"")</f>
        <v/>
      </c>
    </row>
    <row r="7500" spans="1:5">
      <c r="A7500" s="12"/>
      <c r="E7500" s="57" t="str">
        <f ca="1">IFERROR(__xludf.DUMMYFUNCTION("""COMPUTED_VALUE"""),"")</f>
        <v/>
      </c>
    </row>
    <row r="7501" spans="1:5">
      <c r="A7501" s="12"/>
      <c r="E7501" s="57" t="str">
        <f ca="1">IFERROR(__xludf.DUMMYFUNCTION("""COMPUTED_VALUE"""),"")</f>
        <v/>
      </c>
    </row>
    <row r="7502" spans="1:5">
      <c r="A7502" s="12"/>
      <c r="E7502" s="57" t="str">
        <f ca="1">IFERROR(__xludf.DUMMYFUNCTION("""COMPUTED_VALUE"""),"")</f>
        <v/>
      </c>
    </row>
    <row r="7503" spans="1:5">
      <c r="A7503" s="12"/>
      <c r="E7503" s="57" t="str">
        <f ca="1">IFERROR(__xludf.DUMMYFUNCTION("""COMPUTED_VALUE"""),"")</f>
        <v/>
      </c>
    </row>
    <row r="7504" spans="1:5">
      <c r="A7504" s="12"/>
      <c r="E7504" s="57" t="str">
        <f ca="1">IFERROR(__xludf.DUMMYFUNCTION("""COMPUTED_VALUE"""),"")</f>
        <v/>
      </c>
    </row>
    <row r="7505" spans="1:5">
      <c r="A7505" s="12"/>
      <c r="E7505" s="57" t="str">
        <f ca="1">IFERROR(__xludf.DUMMYFUNCTION("""COMPUTED_VALUE"""),"")</f>
        <v/>
      </c>
    </row>
    <row r="7506" spans="1:5">
      <c r="A7506" s="12"/>
      <c r="E7506" s="57" t="str">
        <f ca="1">IFERROR(__xludf.DUMMYFUNCTION("""COMPUTED_VALUE"""),"")</f>
        <v/>
      </c>
    </row>
    <row r="7507" spans="1:5">
      <c r="A7507" s="12"/>
      <c r="E7507" s="57" t="str">
        <f ca="1">IFERROR(__xludf.DUMMYFUNCTION("""COMPUTED_VALUE"""),"")</f>
        <v/>
      </c>
    </row>
    <row r="7508" spans="1:5">
      <c r="A7508" s="12"/>
      <c r="E7508" s="57" t="str">
        <f ca="1">IFERROR(__xludf.DUMMYFUNCTION("""COMPUTED_VALUE"""),"")</f>
        <v/>
      </c>
    </row>
    <row r="7509" spans="1:5">
      <c r="A7509" s="12"/>
      <c r="E7509" s="57" t="str">
        <f ca="1">IFERROR(__xludf.DUMMYFUNCTION("""COMPUTED_VALUE"""),"")</f>
        <v/>
      </c>
    </row>
    <row r="7510" spans="1:5">
      <c r="A7510" s="12"/>
      <c r="E7510" s="57" t="str">
        <f ca="1">IFERROR(__xludf.DUMMYFUNCTION("""COMPUTED_VALUE"""),"")</f>
        <v/>
      </c>
    </row>
    <row r="7511" spans="1:5">
      <c r="A7511" s="12"/>
      <c r="E7511" s="57" t="str">
        <f ca="1">IFERROR(__xludf.DUMMYFUNCTION("""COMPUTED_VALUE"""),"")</f>
        <v/>
      </c>
    </row>
    <row r="7512" spans="1:5">
      <c r="A7512" s="12"/>
      <c r="E7512" s="57" t="str">
        <f ca="1">IFERROR(__xludf.DUMMYFUNCTION("""COMPUTED_VALUE"""),"")</f>
        <v/>
      </c>
    </row>
    <row r="7513" spans="1:5">
      <c r="A7513" s="12"/>
      <c r="E7513" s="57" t="str">
        <f ca="1">IFERROR(__xludf.DUMMYFUNCTION("""COMPUTED_VALUE"""),"")</f>
        <v/>
      </c>
    </row>
    <row r="7514" spans="1:5">
      <c r="A7514" s="12"/>
      <c r="E7514" s="57" t="str">
        <f ca="1">IFERROR(__xludf.DUMMYFUNCTION("""COMPUTED_VALUE"""),"")</f>
        <v/>
      </c>
    </row>
    <row r="7515" spans="1:5">
      <c r="A7515" s="12"/>
      <c r="E7515" s="57" t="str">
        <f ca="1">IFERROR(__xludf.DUMMYFUNCTION("""COMPUTED_VALUE"""),"")</f>
        <v/>
      </c>
    </row>
    <row r="7516" spans="1:5">
      <c r="A7516" s="12"/>
      <c r="E7516" s="57" t="str">
        <f ca="1">IFERROR(__xludf.DUMMYFUNCTION("""COMPUTED_VALUE"""),"")</f>
        <v/>
      </c>
    </row>
    <row r="7517" spans="1:5">
      <c r="A7517" s="12"/>
      <c r="E7517" s="57" t="str">
        <f ca="1">IFERROR(__xludf.DUMMYFUNCTION("""COMPUTED_VALUE"""),"")</f>
        <v/>
      </c>
    </row>
    <row r="7518" spans="1:5">
      <c r="A7518" s="12"/>
      <c r="E7518" s="57" t="str">
        <f ca="1">IFERROR(__xludf.DUMMYFUNCTION("""COMPUTED_VALUE"""),"")</f>
        <v/>
      </c>
    </row>
    <row r="7519" spans="1:5">
      <c r="A7519" s="12"/>
      <c r="E7519" s="57" t="str">
        <f ca="1">IFERROR(__xludf.DUMMYFUNCTION("""COMPUTED_VALUE"""),"")</f>
        <v/>
      </c>
    </row>
    <row r="7520" spans="1:5">
      <c r="A7520" s="12"/>
      <c r="E7520" s="57" t="str">
        <f ca="1">IFERROR(__xludf.DUMMYFUNCTION("""COMPUTED_VALUE"""),"")</f>
        <v/>
      </c>
    </row>
    <row r="7521" spans="1:5">
      <c r="A7521" s="12"/>
      <c r="E7521" s="57" t="str">
        <f ca="1">IFERROR(__xludf.DUMMYFUNCTION("""COMPUTED_VALUE"""),"")</f>
        <v/>
      </c>
    </row>
    <row r="7522" spans="1:5">
      <c r="A7522" s="12"/>
      <c r="E7522" s="57" t="str">
        <f ca="1">IFERROR(__xludf.DUMMYFUNCTION("""COMPUTED_VALUE"""),"")</f>
        <v/>
      </c>
    </row>
    <row r="7523" spans="1:5">
      <c r="A7523" s="12"/>
      <c r="E7523" s="57" t="str">
        <f ca="1">IFERROR(__xludf.DUMMYFUNCTION("""COMPUTED_VALUE"""),"")</f>
        <v/>
      </c>
    </row>
    <row r="7524" spans="1:5">
      <c r="A7524" s="12"/>
      <c r="E7524" s="57" t="str">
        <f ca="1">IFERROR(__xludf.DUMMYFUNCTION("""COMPUTED_VALUE"""),"")</f>
        <v/>
      </c>
    </row>
    <row r="7525" spans="1:5">
      <c r="A7525" s="12"/>
      <c r="E7525" s="57" t="str">
        <f ca="1">IFERROR(__xludf.DUMMYFUNCTION("""COMPUTED_VALUE"""),"")</f>
        <v/>
      </c>
    </row>
    <row r="7526" spans="1:5">
      <c r="A7526" s="12"/>
      <c r="E7526" s="57" t="str">
        <f ca="1">IFERROR(__xludf.DUMMYFUNCTION("""COMPUTED_VALUE"""),"")</f>
        <v/>
      </c>
    </row>
    <row r="7527" spans="1:5">
      <c r="A7527" s="12"/>
      <c r="E7527" s="57" t="str">
        <f ca="1">IFERROR(__xludf.DUMMYFUNCTION("""COMPUTED_VALUE"""),"")</f>
        <v/>
      </c>
    </row>
    <row r="7528" spans="1:5">
      <c r="A7528" s="12"/>
      <c r="E7528" s="57" t="str">
        <f ca="1">IFERROR(__xludf.DUMMYFUNCTION("""COMPUTED_VALUE"""),"")</f>
        <v/>
      </c>
    </row>
    <row r="7529" spans="1:5">
      <c r="A7529" s="12"/>
      <c r="E7529" s="57" t="str">
        <f ca="1">IFERROR(__xludf.DUMMYFUNCTION("""COMPUTED_VALUE"""),"")</f>
        <v/>
      </c>
    </row>
    <row r="7530" spans="1:5">
      <c r="A7530" s="12"/>
      <c r="E7530" s="57" t="str">
        <f ca="1">IFERROR(__xludf.DUMMYFUNCTION("""COMPUTED_VALUE"""),"")</f>
        <v/>
      </c>
    </row>
    <row r="7531" spans="1:5">
      <c r="A7531" s="12"/>
      <c r="E7531" s="57" t="str">
        <f ca="1">IFERROR(__xludf.DUMMYFUNCTION("""COMPUTED_VALUE"""),"")</f>
        <v/>
      </c>
    </row>
    <row r="7532" spans="1:5">
      <c r="A7532" s="12"/>
      <c r="E7532" s="57" t="str">
        <f ca="1">IFERROR(__xludf.DUMMYFUNCTION("""COMPUTED_VALUE"""),"")</f>
        <v/>
      </c>
    </row>
    <row r="7533" spans="1:5">
      <c r="A7533" s="12"/>
      <c r="E7533" s="57" t="str">
        <f ca="1">IFERROR(__xludf.DUMMYFUNCTION("""COMPUTED_VALUE"""),"")</f>
        <v/>
      </c>
    </row>
    <row r="7534" spans="1:5">
      <c r="A7534" s="12"/>
      <c r="E7534" s="57" t="str">
        <f ca="1">IFERROR(__xludf.DUMMYFUNCTION("""COMPUTED_VALUE"""),"")</f>
        <v/>
      </c>
    </row>
    <row r="7535" spans="1:5">
      <c r="A7535" s="12"/>
      <c r="E7535" s="57" t="str">
        <f ca="1">IFERROR(__xludf.DUMMYFUNCTION("""COMPUTED_VALUE"""),"")</f>
        <v/>
      </c>
    </row>
    <row r="7536" spans="1:5">
      <c r="A7536" s="12"/>
      <c r="E7536" s="57" t="str">
        <f ca="1">IFERROR(__xludf.DUMMYFUNCTION("""COMPUTED_VALUE"""),"")</f>
        <v/>
      </c>
    </row>
    <row r="7537" spans="1:5">
      <c r="A7537" s="12"/>
      <c r="E7537" s="57" t="str">
        <f ca="1">IFERROR(__xludf.DUMMYFUNCTION("""COMPUTED_VALUE"""),"")</f>
        <v/>
      </c>
    </row>
    <row r="7538" spans="1:5">
      <c r="A7538" s="12"/>
      <c r="E7538" s="57" t="str">
        <f ca="1">IFERROR(__xludf.DUMMYFUNCTION("""COMPUTED_VALUE"""),"")</f>
        <v/>
      </c>
    </row>
    <row r="7539" spans="1:5">
      <c r="A7539" s="12"/>
      <c r="E7539" s="57" t="str">
        <f ca="1">IFERROR(__xludf.DUMMYFUNCTION("""COMPUTED_VALUE"""),"")</f>
        <v/>
      </c>
    </row>
    <row r="7540" spans="1:5">
      <c r="A7540" s="12"/>
      <c r="E7540" s="57" t="str">
        <f ca="1">IFERROR(__xludf.DUMMYFUNCTION("""COMPUTED_VALUE"""),"")</f>
        <v/>
      </c>
    </row>
    <row r="7541" spans="1:5">
      <c r="A7541" s="12"/>
      <c r="E7541" s="57" t="str">
        <f ca="1">IFERROR(__xludf.DUMMYFUNCTION("""COMPUTED_VALUE"""),"")</f>
        <v/>
      </c>
    </row>
    <row r="7542" spans="1:5">
      <c r="A7542" s="12"/>
      <c r="E7542" s="57" t="str">
        <f ca="1">IFERROR(__xludf.DUMMYFUNCTION("""COMPUTED_VALUE"""),"")</f>
        <v/>
      </c>
    </row>
    <row r="7543" spans="1:5">
      <c r="A7543" s="12"/>
      <c r="E7543" s="57" t="str">
        <f ca="1">IFERROR(__xludf.DUMMYFUNCTION("""COMPUTED_VALUE"""),"")</f>
        <v/>
      </c>
    </row>
    <row r="7544" spans="1:5">
      <c r="A7544" s="12"/>
      <c r="E7544" s="57" t="str">
        <f ca="1">IFERROR(__xludf.DUMMYFUNCTION("""COMPUTED_VALUE"""),"")</f>
        <v/>
      </c>
    </row>
    <row r="7545" spans="1:5">
      <c r="A7545" s="12"/>
      <c r="E7545" s="57" t="str">
        <f ca="1">IFERROR(__xludf.DUMMYFUNCTION("""COMPUTED_VALUE"""),"")</f>
        <v/>
      </c>
    </row>
    <row r="7546" spans="1:5">
      <c r="A7546" s="12"/>
      <c r="E7546" s="57" t="str">
        <f ca="1">IFERROR(__xludf.DUMMYFUNCTION("""COMPUTED_VALUE"""),"")</f>
        <v/>
      </c>
    </row>
    <row r="7547" spans="1:5">
      <c r="A7547" s="12"/>
      <c r="E7547" s="57" t="str">
        <f ca="1">IFERROR(__xludf.DUMMYFUNCTION("""COMPUTED_VALUE"""),"")</f>
        <v/>
      </c>
    </row>
    <row r="7548" spans="1:5">
      <c r="A7548" s="12"/>
      <c r="E7548" s="57" t="str">
        <f ca="1">IFERROR(__xludf.DUMMYFUNCTION("""COMPUTED_VALUE"""),"")</f>
        <v/>
      </c>
    </row>
    <row r="7549" spans="1:5">
      <c r="A7549" s="12"/>
      <c r="E7549" s="57" t="str">
        <f ca="1">IFERROR(__xludf.DUMMYFUNCTION("""COMPUTED_VALUE"""),"")</f>
        <v/>
      </c>
    </row>
    <row r="7550" spans="1:5">
      <c r="A7550" s="12"/>
      <c r="E7550" s="57" t="str">
        <f ca="1">IFERROR(__xludf.DUMMYFUNCTION("""COMPUTED_VALUE"""),"")</f>
        <v/>
      </c>
    </row>
    <row r="7551" spans="1:5">
      <c r="A7551" s="12"/>
      <c r="E7551" s="57" t="str">
        <f ca="1">IFERROR(__xludf.DUMMYFUNCTION("""COMPUTED_VALUE"""),"")</f>
        <v/>
      </c>
    </row>
    <row r="7552" spans="1:5">
      <c r="A7552" s="12"/>
      <c r="E7552" s="57" t="str">
        <f ca="1">IFERROR(__xludf.DUMMYFUNCTION("""COMPUTED_VALUE"""),"")</f>
        <v/>
      </c>
    </row>
    <row r="7553" spans="1:5">
      <c r="A7553" s="12"/>
      <c r="E7553" s="57" t="str">
        <f ca="1">IFERROR(__xludf.DUMMYFUNCTION("""COMPUTED_VALUE"""),"")</f>
        <v/>
      </c>
    </row>
    <row r="7554" spans="1:5">
      <c r="A7554" s="12"/>
      <c r="E7554" s="57" t="str">
        <f ca="1">IFERROR(__xludf.DUMMYFUNCTION("""COMPUTED_VALUE"""),"")</f>
        <v/>
      </c>
    </row>
    <row r="7555" spans="1:5">
      <c r="A7555" s="12"/>
      <c r="E7555" s="57" t="str">
        <f ca="1">IFERROR(__xludf.DUMMYFUNCTION("""COMPUTED_VALUE"""),"")</f>
        <v/>
      </c>
    </row>
    <row r="7556" spans="1:5">
      <c r="A7556" s="12"/>
      <c r="E7556" s="57" t="str">
        <f ca="1">IFERROR(__xludf.DUMMYFUNCTION("""COMPUTED_VALUE"""),"")</f>
        <v/>
      </c>
    </row>
    <row r="7557" spans="1:5">
      <c r="A7557" s="12"/>
      <c r="E7557" s="57" t="str">
        <f ca="1">IFERROR(__xludf.DUMMYFUNCTION("""COMPUTED_VALUE"""),"")</f>
        <v/>
      </c>
    </row>
    <row r="7558" spans="1:5">
      <c r="A7558" s="12"/>
      <c r="E7558" s="57" t="str">
        <f ca="1">IFERROR(__xludf.DUMMYFUNCTION("""COMPUTED_VALUE"""),"")</f>
        <v/>
      </c>
    </row>
    <row r="7559" spans="1:5">
      <c r="A7559" s="12"/>
      <c r="E7559" s="57" t="str">
        <f ca="1">IFERROR(__xludf.DUMMYFUNCTION("""COMPUTED_VALUE"""),"")</f>
        <v/>
      </c>
    </row>
    <row r="7560" spans="1:5">
      <c r="A7560" s="12"/>
      <c r="E7560" s="57" t="str">
        <f ca="1">IFERROR(__xludf.DUMMYFUNCTION("""COMPUTED_VALUE"""),"")</f>
        <v/>
      </c>
    </row>
    <row r="7561" spans="1:5">
      <c r="A7561" s="12"/>
      <c r="E7561" s="57" t="str">
        <f ca="1">IFERROR(__xludf.DUMMYFUNCTION("""COMPUTED_VALUE"""),"")</f>
        <v/>
      </c>
    </row>
    <row r="7562" spans="1:5">
      <c r="A7562" s="12"/>
      <c r="E7562" s="57" t="str">
        <f ca="1">IFERROR(__xludf.DUMMYFUNCTION("""COMPUTED_VALUE"""),"")</f>
        <v/>
      </c>
    </row>
    <row r="7563" spans="1:5">
      <c r="A7563" s="12"/>
      <c r="E7563" s="57" t="str">
        <f ca="1">IFERROR(__xludf.DUMMYFUNCTION("""COMPUTED_VALUE"""),"")</f>
        <v/>
      </c>
    </row>
    <row r="7564" spans="1:5">
      <c r="A7564" s="12"/>
      <c r="E7564" s="57" t="str">
        <f ca="1">IFERROR(__xludf.DUMMYFUNCTION("""COMPUTED_VALUE"""),"")</f>
        <v/>
      </c>
    </row>
    <row r="7565" spans="1:5">
      <c r="A7565" s="12"/>
      <c r="E7565" s="57" t="str">
        <f ca="1">IFERROR(__xludf.DUMMYFUNCTION("""COMPUTED_VALUE"""),"")</f>
        <v/>
      </c>
    </row>
    <row r="7566" spans="1:5">
      <c r="A7566" s="12"/>
      <c r="E7566" s="57" t="str">
        <f ca="1">IFERROR(__xludf.DUMMYFUNCTION("""COMPUTED_VALUE"""),"")</f>
        <v/>
      </c>
    </row>
    <row r="7567" spans="1:5">
      <c r="A7567" s="12"/>
      <c r="E7567" s="57" t="str">
        <f ca="1">IFERROR(__xludf.DUMMYFUNCTION("""COMPUTED_VALUE"""),"")</f>
        <v/>
      </c>
    </row>
    <row r="7568" spans="1:5">
      <c r="A7568" s="12"/>
      <c r="E7568" s="57" t="str">
        <f ca="1">IFERROR(__xludf.DUMMYFUNCTION("""COMPUTED_VALUE"""),"")</f>
        <v/>
      </c>
    </row>
    <row r="7569" spans="1:5">
      <c r="A7569" s="12"/>
      <c r="E7569" s="57" t="str">
        <f ca="1">IFERROR(__xludf.DUMMYFUNCTION("""COMPUTED_VALUE"""),"")</f>
        <v/>
      </c>
    </row>
    <row r="7570" spans="1:5">
      <c r="A7570" s="12"/>
      <c r="E7570" s="57" t="str">
        <f ca="1">IFERROR(__xludf.DUMMYFUNCTION("""COMPUTED_VALUE"""),"")</f>
        <v/>
      </c>
    </row>
    <row r="7571" spans="1:5">
      <c r="A7571" s="12"/>
      <c r="E7571" s="57" t="str">
        <f ca="1">IFERROR(__xludf.DUMMYFUNCTION("""COMPUTED_VALUE"""),"")</f>
        <v/>
      </c>
    </row>
    <row r="7572" spans="1:5">
      <c r="A7572" s="12"/>
      <c r="E7572" s="57" t="str">
        <f ca="1">IFERROR(__xludf.DUMMYFUNCTION("""COMPUTED_VALUE"""),"")</f>
        <v/>
      </c>
    </row>
    <row r="7573" spans="1:5">
      <c r="A7573" s="12"/>
      <c r="E7573" s="57" t="str">
        <f ca="1">IFERROR(__xludf.DUMMYFUNCTION("""COMPUTED_VALUE"""),"")</f>
        <v/>
      </c>
    </row>
    <row r="7574" spans="1:5">
      <c r="A7574" s="12"/>
      <c r="E7574" s="57" t="str">
        <f ca="1">IFERROR(__xludf.DUMMYFUNCTION("""COMPUTED_VALUE"""),"")</f>
        <v/>
      </c>
    </row>
    <row r="7575" spans="1:5">
      <c r="A7575" s="12"/>
      <c r="E7575" s="57" t="str">
        <f ca="1">IFERROR(__xludf.DUMMYFUNCTION("""COMPUTED_VALUE"""),"")</f>
        <v/>
      </c>
    </row>
    <row r="7576" spans="1:5">
      <c r="A7576" s="12"/>
      <c r="E7576" s="57" t="str">
        <f ca="1">IFERROR(__xludf.DUMMYFUNCTION("""COMPUTED_VALUE"""),"")</f>
        <v/>
      </c>
    </row>
    <row r="7577" spans="1:5">
      <c r="A7577" s="12"/>
      <c r="E7577" s="57" t="str">
        <f ca="1">IFERROR(__xludf.DUMMYFUNCTION("""COMPUTED_VALUE"""),"")</f>
        <v/>
      </c>
    </row>
    <row r="7578" spans="1:5">
      <c r="A7578" s="12"/>
      <c r="E7578" s="57" t="str">
        <f ca="1">IFERROR(__xludf.DUMMYFUNCTION("""COMPUTED_VALUE"""),"")</f>
        <v/>
      </c>
    </row>
    <row r="7579" spans="1:5">
      <c r="A7579" s="12"/>
      <c r="E7579" s="57" t="str">
        <f ca="1">IFERROR(__xludf.DUMMYFUNCTION("""COMPUTED_VALUE"""),"")</f>
        <v/>
      </c>
    </row>
    <row r="7580" spans="1:5">
      <c r="A7580" s="12"/>
      <c r="E7580" s="57" t="str">
        <f ca="1">IFERROR(__xludf.DUMMYFUNCTION("""COMPUTED_VALUE"""),"")</f>
        <v/>
      </c>
    </row>
    <row r="7581" spans="1:5">
      <c r="A7581" s="12"/>
      <c r="E7581" s="57" t="str">
        <f ca="1">IFERROR(__xludf.DUMMYFUNCTION("""COMPUTED_VALUE"""),"")</f>
        <v/>
      </c>
    </row>
    <row r="7582" spans="1:5">
      <c r="A7582" s="12"/>
      <c r="E7582" s="57" t="str">
        <f ca="1">IFERROR(__xludf.DUMMYFUNCTION("""COMPUTED_VALUE"""),"")</f>
        <v/>
      </c>
    </row>
    <row r="7583" spans="1:5">
      <c r="A7583" s="12"/>
      <c r="E7583" s="57" t="str">
        <f ca="1">IFERROR(__xludf.DUMMYFUNCTION("""COMPUTED_VALUE"""),"")</f>
        <v/>
      </c>
    </row>
    <row r="7584" spans="1:5">
      <c r="A7584" s="12"/>
      <c r="E7584" s="57" t="str">
        <f ca="1">IFERROR(__xludf.DUMMYFUNCTION("""COMPUTED_VALUE"""),"")</f>
        <v/>
      </c>
    </row>
    <row r="7585" spans="1:5">
      <c r="A7585" s="12"/>
      <c r="E7585" s="57" t="str">
        <f ca="1">IFERROR(__xludf.DUMMYFUNCTION("""COMPUTED_VALUE"""),"")</f>
        <v/>
      </c>
    </row>
    <row r="7586" spans="1:5">
      <c r="A7586" s="12"/>
      <c r="E7586" s="57" t="str">
        <f ca="1">IFERROR(__xludf.DUMMYFUNCTION("""COMPUTED_VALUE"""),"")</f>
        <v/>
      </c>
    </row>
    <row r="7587" spans="1:5">
      <c r="A7587" s="12"/>
      <c r="E7587" s="57" t="str">
        <f ca="1">IFERROR(__xludf.DUMMYFUNCTION("""COMPUTED_VALUE"""),"")</f>
        <v/>
      </c>
    </row>
    <row r="7588" spans="1:5">
      <c r="A7588" s="12"/>
      <c r="E7588" s="57" t="str">
        <f ca="1">IFERROR(__xludf.DUMMYFUNCTION("""COMPUTED_VALUE"""),"")</f>
        <v/>
      </c>
    </row>
    <row r="7589" spans="1:5">
      <c r="A7589" s="12"/>
      <c r="E7589" s="57" t="str">
        <f ca="1">IFERROR(__xludf.DUMMYFUNCTION("""COMPUTED_VALUE"""),"")</f>
        <v/>
      </c>
    </row>
    <row r="7590" spans="1:5">
      <c r="A7590" s="12"/>
      <c r="E7590" s="57" t="str">
        <f ca="1">IFERROR(__xludf.DUMMYFUNCTION("""COMPUTED_VALUE"""),"")</f>
        <v/>
      </c>
    </row>
    <row r="7591" spans="1:5">
      <c r="A7591" s="12"/>
      <c r="E7591" s="57" t="str">
        <f ca="1">IFERROR(__xludf.DUMMYFUNCTION("""COMPUTED_VALUE"""),"")</f>
        <v/>
      </c>
    </row>
    <row r="7592" spans="1:5">
      <c r="A7592" s="12"/>
      <c r="E7592" s="57" t="str">
        <f ca="1">IFERROR(__xludf.DUMMYFUNCTION("""COMPUTED_VALUE"""),"")</f>
        <v/>
      </c>
    </row>
    <row r="7593" spans="1:5">
      <c r="A7593" s="12"/>
      <c r="E7593" s="57" t="str">
        <f ca="1">IFERROR(__xludf.DUMMYFUNCTION("""COMPUTED_VALUE"""),"")</f>
        <v/>
      </c>
    </row>
    <row r="7594" spans="1:5">
      <c r="A7594" s="12"/>
      <c r="E7594" s="57" t="str">
        <f ca="1">IFERROR(__xludf.DUMMYFUNCTION("""COMPUTED_VALUE"""),"")</f>
        <v/>
      </c>
    </row>
    <row r="7595" spans="1:5">
      <c r="A7595" s="12"/>
      <c r="E7595" s="57" t="str">
        <f ca="1">IFERROR(__xludf.DUMMYFUNCTION("""COMPUTED_VALUE"""),"")</f>
        <v/>
      </c>
    </row>
    <row r="7596" spans="1:5">
      <c r="A7596" s="12"/>
      <c r="E7596" s="57" t="str">
        <f ca="1">IFERROR(__xludf.DUMMYFUNCTION("""COMPUTED_VALUE"""),"")</f>
        <v/>
      </c>
    </row>
    <row r="7597" spans="1:5">
      <c r="A7597" s="12"/>
      <c r="E7597" s="57" t="str">
        <f ca="1">IFERROR(__xludf.DUMMYFUNCTION("""COMPUTED_VALUE"""),"")</f>
        <v/>
      </c>
    </row>
    <row r="7598" spans="1:5">
      <c r="A7598" s="12"/>
      <c r="E7598" s="57" t="str">
        <f ca="1">IFERROR(__xludf.DUMMYFUNCTION("""COMPUTED_VALUE"""),"")</f>
        <v/>
      </c>
    </row>
    <row r="7599" spans="1:5">
      <c r="A7599" s="12"/>
      <c r="E7599" s="57" t="str">
        <f ca="1">IFERROR(__xludf.DUMMYFUNCTION("""COMPUTED_VALUE"""),"")</f>
        <v/>
      </c>
    </row>
    <row r="7600" spans="1:5">
      <c r="A7600" s="12"/>
      <c r="E7600" s="57" t="str">
        <f ca="1">IFERROR(__xludf.DUMMYFUNCTION("""COMPUTED_VALUE"""),"")</f>
        <v/>
      </c>
    </row>
    <row r="7601" spans="1:5">
      <c r="A7601" s="12"/>
      <c r="E7601" s="57" t="str">
        <f ca="1">IFERROR(__xludf.DUMMYFUNCTION("""COMPUTED_VALUE"""),"")</f>
        <v/>
      </c>
    </row>
    <row r="7602" spans="1:5">
      <c r="A7602" s="12"/>
      <c r="E7602" s="57" t="str">
        <f ca="1">IFERROR(__xludf.DUMMYFUNCTION("""COMPUTED_VALUE"""),"")</f>
        <v/>
      </c>
    </row>
    <row r="7603" spans="1:5">
      <c r="A7603" s="12"/>
      <c r="E7603" s="57" t="str">
        <f ca="1">IFERROR(__xludf.DUMMYFUNCTION("""COMPUTED_VALUE"""),"")</f>
        <v/>
      </c>
    </row>
    <row r="7604" spans="1:5">
      <c r="A7604" s="12"/>
      <c r="E7604" s="57" t="str">
        <f ca="1">IFERROR(__xludf.DUMMYFUNCTION("""COMPUTED_VALUE"""),"")</f>
        <v/>
      </c>
    </row>
    <row r="7605" spans="1:5">
      <c r="A7605" s="12"/>
      <c r="E7605" s="57" t="str">
        <f ca="1">IFERROR(__xludf.DUMMYFUNCTION("""COMPUTED_VALUE"""),"")</f>
        <v/>
      </c>
    </row>
    <row r="7606" spans="1:5">
      <c r="A7606" s="12"/>
      <c r="E7606" s="57" t="str">
        <f ca="1">IFERROR(__xludf.DUMMYFUNCTION("""COMPUTED_VALUE"""),"")</f>
        <v/>
      </c>
    </row>
    <row r="7607" spans="1:5">
      <c r="A7607" s="12"/>
      <c r="E7607" s="57" t="str">
        <f ca="1">IFERROR(__xludf.DUMMYFUNCTION("""COMPUTED_VALUE"""),"")</f>
        <v/>
      </c>
    </row>
    <row r="7608" spans="1:5">
      <c r="A7608" s="12"/>
      <c r="E7608" s="57" t="str">
        <f ca="1">IFERROR(__xludf.DUMMYFUNCTION("""COMPUTED_VALUE"""),"")</f>
        <v/>
      </c>
    </row>
    <row r="7609" spans="1:5">
      <c r="A7609" s="12"/>
      <c r="E7609" s="57" t="str">
        <f ca="1">IFERROR(__xludf.DUMMYFUNCTION("""COMPUTED_VALUE"""),"")</f>
        <v/>
      </c>
    </row>
    <row r="7610" spans="1:5">
      <c r="A7610" s="12"/>
      <c r="E7610" s="57" t="str">
        <f ca="1">IFERROR(__xludf.DUMMYFUNCTION("""COMPUTED_VALUE"""),"")</f>
        <v/>
      </c>
    </row>
    <row r="7611" spans="1:5">
      <c r="A7611" s="12"/>
      <c r="E7611" s="57" t="str">
        <f ca="1">IFERROR(__xludf.DUMMYFUNCTION("""COMPUTED_VALUE"""),"")</f>
        <v/>
      </c>
    </row>
    <row r="7612" spans="1:5">
      <c r="A7612" s="12"/>
      <c r="E7612" s="57" t="str">
        <f ca="1">IFERROR(__xludf.DUMMYFUNCTION("""COMPUTED_VALUE"""),"")</f>
        <v/>
      </c>
    </row>
    <row r="7613" spans="1:5">
      <c r="A7613" s="12"/>
      <c r="E7613" s="57" t="str">
        <f ca="1">IFERROR(__xludf.DUMMYFUNCTION("""COMPUTED_VALUE"""),"")</f>
        <v/>
      </c>
    </row>
    <row r="7614" spans="1:5">
      <c r="A7614" s="12"/>
      <c r="E7614" s="57" t="str">
        <f ca="1">IFERROR(__xludf.DUMMYFUNCTION("""COMPUTED_VALUE"""),"")</f>
        <v/>
      </c>
    </row>
    <row r="7615" spans="1:5">
      <c r="A7615" s="12"/>
      <c r="E7615" s="57" t="str">
        <f ca="1">IFERROR(__xludf.DUMMYFUNCTION("""COMPUTED_VALUE"""),"")</f>
        <v/>
      </c>
    </row>
    <row r="7616" spans="1:5">
      <c r="A7616" s="12"/>
      <c r="E7616" s="57" t="str">
        <f ca="1">IFERROR(__xludf.DUMMYFUNCTION("""COMPUTED_VALUE"""),"")</f>
        <v/>
      </c>
    </row>
    <row r="7617" spans="1:5">
      <c r="A7617" s="12"/>
      <c r="E7617" s="57" t="str">
        <f ca="1">IFERROR(__xludf.DUMMYFUNCTION("""COMPUTED_VALUE"""),"")</f>
        <v/>
      </c>
    </row>
    <row r="7618" spans="1:5">
      <c r="A7618" s="12"/>
      <c r="E7618" s="57" t="str">
        <f ca="1">IFERROR(__xludf.DUMMYFUNCTION("""COMPUTED_VALUE"""),"")</f>
        <v/>
      </c>
    </row>
    <row r="7619" spans="1:5">
      <c r="A7619" s="12"/>
      <c r="E7619" s="57" t="str">
        <f ca="1">IFERROR(__xludf.DUMMYFUNCTION("""COMPUTED_VALUE"""),"")</f>
        <v/>
      </c>
    </row>
    <row r="7620" spans="1:5">
      <c r="A7620" s="12"/>
      <c r="E7620" s="57" t="str">
        <f ca="1">IFERROR(__xludf.DUMMYFUNCTION("""COMPUTED_VALUE"""),"")</f>
        <v/>
      </c>
    </row>
    <row r="7621" spans="1:5">
      <c r="A7621" s="12"/>
      <c r="E7621" s="57" t="str">
        <f ca="1">IFERROR(__xludf.DUMMYFUNCTION("""COMPUTED_VALUE"""),"")</f>
        <v/>
      </c>
    </row>
    <row r="7622" spans="1:5">
      <c r="A7622" s="12"/>
      <c r="E7622" s="57" t="str">
        <f ca="1">IFERROR(__xludf.DUMMYFUNCTION("""COMPUTED_VALUE"""),"")</f>
        <v/>
      </c>
    </row>
    <row r="7623" spans="1:5">
      <c r="A7623" s="12"/>
      <c r="E7623" s="57" t="str">
        <f ca="1">IFERROR(__xludf.DUMMYFUNCTION("""COMPUTED_VALUE"""),"")</f>
        <v/>
      </c>
    </row>
    <row r="7624" spans="1:5">
      <c r="A7624" s="12"/>
      <c r="E7624" s="57" t="str">
        <f ca="1">IFERROR(__xludf.DUMMYFUNCTION("""COMPUTED_VALUE"""),"")</f>
        <v/>
      </c>
    </row>
    <row r="7625" spans="1:5">
      <c r="A7625" s="12"/>
      <c r="E7625" s="57" t="str">
        <f ca="1">IFERROR(__xludf.DUMMYFUNCTION("""COMPUTED_VALUE"""),"")</f>
        <v/>
      </c>
    </row>
    <row r="7626" spans="1:5">
      <c r="A7626" s="12"/>
      <c r="E7626" s="57" t="str">
        <f ca="1">IFERROR(__xludf.DUMMYFUNCTION("""COMPUTED_VALUE"""),"")</f>
        <v/>
      </c>
    </row>
    <row r="7627" spans="1:5">
      <c r="A7627" s="12"/>
      <c r="E7627" s="57" t="str">
        <f ca="1">IFERROR(__xludf.DUMMYFUNCTION("""COMPUTED_VALUE"""),"")</f>
        <v/>
      </c>
    </row>
    <row r="7628" spans="1:5">
      <c r="A7628" s="12"/>
      <c r="E7628" s="57" t="str">
        <f ca="1">IFERROR(__xludf.DUMMYFUNCTION("""COMPUTED_VALUE"""),"")</f>
        <v/>
      </c>
    </row>
    <row r="7629" spans="1:5">
      <c r="A7629" s="12"/>
      <c r="E7629" s="57" t="str">
        <f ca="1">IFERROR(__xludf.DUMMYFUNCTION("""COMPUTED_VALUE"""),"")</f>
        <v/>
      </c>
    </row>
    <row r="7630" spans="1:5">
      <c r="A7630" s="12"/>
      <c r="E7630" s="57" t="str">
        <f ca="1">IFERROR(__xludf.DUMMYFUNCTION("""COMPUTED_VALUE"""),"")</f>
        <v/>
      </c>
    </row>
    <row r="7631" spans="1:5">
      <c r="A7631" s="12"/>
      <c r="E7631" s="57" t="str">
        <f ca="1">IFERROR(__xludf.DUMMYFUNCTION("""COMPUTED_VALUE"""),"")</f>
        <v/>
      </c>
    </row>
    <row r="7632" spans="1:5">
      <c r="A7632" s="12"/>
      <c r="E7632" s="57" t="str">
        <f ca="1">IFERROR(__xludf.DUMMYFUNCTION("""COMPUTED_VALUE"""),"")</f>
        <v/>
      </c>
    </row>
    <row r="7633" spans="1:5">
      <c r="A7633" s="12"/>
      <c r="E7633" s="57" t="str">
        <f ca="1">IFERROR(__xludf.DUMMYFUNCTION("""COMPUTED_VALUE"""),"")</f>
        <v/>
      </c>
    </row>
    <row r="7634" spans="1:5">
      <c r="A7634" s="12"/>
      <c r="E7634" s="57" t="str">
        <f ca="1">IFERROR(__xludf.DUMMYFUNCTION("""COMPUTED_VALUE"""),"")</f>
        <v/>
      </c>
    </row>
    <row r="7635" spans="1:5">
      <c r="A7635" s="12"/>
      <c r="E7635" s="57" t="str">
        <f ca="1">IFERROR(__xludf.DUMMYFUNCTION("""COMPUTED_VALUE"""),"")</f>
        <v/>
      </c>
    </row>
    <row r="7636" spans="1:5">
      <c r="A7636" s="12"/>
      <c r="E7636" s="57" t="str">
        <f ca="1">IFERROR(__xludf.DUMMYFUNCTION("""COMPUTED_VALUE"""),"")</f>
        <v/>
      </c>
    </row>
    <row r="7637" spans="1:5">
      <c r="A7637" s="12"/>
      <c r="E7637" s="57" t="str">
        <f ca="1">IFERROR(__xludf.DUMMYFUNCTION("""COMPUTED_VALUE"""),"")</f>
        <v/>
      </c>
    </row>
    <row r="7638" spans="1:5">
      <c r="A7638" s="12"/>
      <c r="E7638" s="57" t="str">
        <f ca="1">IFERROR(__xludf.DUMMYFUNCTION("""COMPUTED_VALUE"""),"")</f>
        <v/>
      </c>
    </row>
    <row r="7639" spans="1:5">
      <c r="A7639" s="12"/>
      <c r="E7639" s="57" t="str">
        <f ca="1">IFERROR(__xludf.DUMMYFUNCTION("""COMPUTED_VALUE"""),"")</f>
        <v/>
      </c>
    </row>
    <row r="7640" spans="1:5">
      <c r="A7640" s="12"/>
      <c r="E7640" s="57" t="str">
        <f ca="1">IFERROR(__xludf.DUMMYFUNCTION("""COMPUTED_VALUE"""),"")</f>
        <v/>
      </c>
    </row>
    <row r="7641" spans="1:5">
      <c r="A7641" s="12"/>
      <c r="E7641" s="57" t="str">
        <f ca="1">IFERROR(__xludf.DUMMYFUNCTION("""COMPUTED_VALUE"""),"")</f>
        <v/>
      </c>
    </row>
    <row r="7642" spans="1:5">
      <c r="A7642" s="12"/>
      <c r="E7642" s="57" t="str">
        <f ca="1">IFERROR(__xludf.DUMMYFUNCTION("""COMPUTED_VALUE"""),"")</f>
        <v/>
      </c>
    </row>
    <row r="7643" spans="1:5">
      <c r="A7643" s="12"/>
      <c r="E7643" s="57" t="str">
        <f ca="1">IFERROR(__xludf.DUMMYFUNCTION("""COMPUTED_VALUE"""),"")</f>
        <v/>
      </c>
    </row>
    <row r="7644" spans="1:5">
      <c r="A7644" s="12"/>
      <c r="E7644" s="57" t="str">
        <f ca="1">IFERROR(__xludf.DUMMYFUNCTION("""COMPUTED_VALUE"""),"")</f>
        <v/>
      </c>
    </row>
    <row r="7645" spans="1:5">
      <c r="A7645" s="12"/>
      <c r="E7645" s="57" t="str">
        <f ca="1">IFERROR(__xludf.DUMMYFUNCTION("""COMPUTED_VALUE"""),"")</f>
        <v/>
      </c>
    </row>
    <row r="7646" spans="1:5">
      <c r="A7646" s="12"/>
      <c r="E7646" s="57" t="str">
        <f ca="1">IFERROR(__xludf.DUMMYFUNCTION("""COMPUTED_VALUE"""),"")</f>
        <v/>
      </c>
    </row>
    <row r="7647" spans="1:5">
      <c r="A7647" s="12"/>
      <c r="E7647" s="57" t="str">
        <f ca="1">IFERROR(__xludf.DUMMYFUNCTION("""COMPUTED_VALUE"""),"")</f>
        <v/>
      </c>
    </row>
    <row r="7648" spans="1:5">
      <c r="A7648" s="12"/>
      <c r="E7648" s="57" t="str">
        <f ca="1">IFERROR(__xludf.DUMMYFUNCTION("""COMPUTED_VALUE"""),"")</f>
        <v/>
      </c>
    </row>
    <row r="7649" spans="1:5">
      <c r="A7649" s="12"/>
      <c r="E7649" s="57" t="str">
        <f ca="1">IFERROR(__xludf.DUMMYFUNCTION("""COMPUTED_VALUE"""),"")</f>
        <v/>
      </c>
    </row>
    <row r="7650" spans="1:5">
      <c r="A7650" s="12"/>
      <c r="E7650" s="57" t="str">
        <f ca="1">IFERROR(__xludf.DUMMYFUNCTION("""COMPUTED_VALUE"""),"")</f>
        <v/>
      </c>
    </row>
    <row r="7651" spans="1:5">
      <c r="A7651" s="12"/>
      <c r="E7651" s="57" t="str">
        <f ca="1">IFERROR(__xludf.DUMMYFUNCTION("""COMPUTED_VALUE"""),"")</f>
        <v/>
      </c>
    </row>
    <row r="7652" spans="1:5">
      <c r="A7652" s="12"/>
      <c r="E7652" s="57" t="str">
        <f ca="1">IFERROR(__xludf.DUMMYFUNCTION("""COMPUTED_VALUE"""),"")</f>
        <v/>
      </c>
    </row>
    <row r="7653" spans="1:5">
      <c r="A7653" s="12"/>
      <c r="E7653" s="57" t="str">
        <f ca="1">IFERROR(__xludf.DUMMYFUNCTION("""COMPUTED_VALUE"""),"")</f>
        <v/>
      </c>
    </row>
    <row r="7654" spans="1:5">
      <c r="A7654" s="12"/>
      <c r="E7654" s="57" t="str">
        <f ca="1">IFERROR(__xludf.DUMMYFUNCTION("""COMPUTED_VALUE"""),"")</f>
        <v/>
      </c>
    </row>
    <row r="7655" spans="1:5">
      <c r="A7655" s="12"/>
      <c r="E7655" s="57" t="str">
        <f ca="1">IFERROR(__xludf.DUMMYFUNCTION("""COMPUTED_VALUE"""),"")</f>
        <v/>
      </c>
    </row>
    <row r="7656" spans="1:5">
      <c r="A7656" s="12"/>
      <c r="E7656" s="57" t="str">
        <f ca="1">IFERROR(__xludf.DUMMYFUNCTION("""COMPUTED_VALUE"""),"")</f>
        <v/>
      </c>
    </row>
    <row r="7657" spans="1:5">
      <c r="A7657" s="12"/>
      <c r="E7657" s="57" t="str">
        <f ca="1">IFERROR(__xludf.DUMMYFUNCTION("""COMPUTED_VALUE"""),"")</f>
        <v/>
      </c>
    </row>
    <row r="7658" spans="1:5">
      <c r="A7658" s="12"/>
      <c r="E7658" s="57" t="str">
        <f ca="1">IFERROR(__xludf.DUMMYFUNCTION("""COMPUTED_VALUE"""),"")</f>
        <v/>
      </c>
    </row>
    <row r="7659" spans="1:5">
      <c r="A7659" s="12"/>
      <c r="E7659" s="57" t="str">
        <f ca="1">IFERROR(__xludf.DUMMYFUNCTION("""COMPUTED_VALUE"""),"")</f>
        <v/>
      </c>
    </row>
    <row r="7660" spans="1:5">
      <c r="A7660" s="12"/>
      <c r="E7660" s="57" t="str">
        <f ca="1">IFERROR(__xludf.DUMMYFUNCTION("""COMPUTED_VALUE"""),"")</f>
        <v/>
      </c>
    </row>
    <row r="7661" spans="1:5">
      <c r="A7661" s="12"/>
      <c r="E7661" s="57" t="str">
        <f ca="1">IFERROR(__xludf.DUMMYFUNCTION("""COMPUTED_VALUE"""),"")</f>
        <v/>
      </c>
    </row>
    <row r="7662" spans="1:5">
      <c r="A7662" s="12"/>
      <c r="E7662" s="57" t="str">
        <f ca="1">IFERROR(__xludf.DUMMYFUNCTION("""COMPUTED_VALUE"""),"")</f>
        <v/>
      </c>
    </row>
    <row r="7663" spans="1:5">
      <c r="A7663" s="12"/>
      <c r="E7663" s="57" t="str">
        <f ca="1">IFERROR(__xludf.DUMMYFUNCTION("""COMPUTED_VALUE"""),"")</f>
        <v/>
      </c>
    </row>
    <row r="7664" spans="1:5">
      <c r="A7664" s="12"/>
      <c r="E7664" s="57" t="str">
        <f ca="1">IFERROR(__xludf.DUMMYFUNCTION("""COMPUTED_VALUE"""),"")</f>
        <v/>
      </c>
    </row>
    <row r="7665" spans="1:5">
      <c r="A7665" s="12"/>
      <c r="E7665" s="57" t="str">
        <f ca="1">IFERROR(__xludf.DUMMYFUNCTION("""COMPUTED_VALUE"""),"")</f>
        <v/>
      </c>
    </row>
    <row r="7666" spans="1:5">
      <c r="A7666" s="12"/>
      <c r="E7666" s="57" t="str">
        <f ca="1">IFERROR(__xludf.DUMMYFUNCTION("""COMPUTED_VALUE"""),"")</f>
        <v/>
      </c>
    </row>
    <row r="7667" spans="1:5">
      <c r="A7667" s="12"/>
      <c r="E7667" s="57" t="str">
        <f ca="1">IFERROR(__xludf.DUMMYFUNCTION("""COMPUTED_VALUE"""),"")</f>
        <v/>
      </c>
    </row>
    <row r="7668" spans="1:5">
      <c r="A7668" s="12"/>
      <c r="E7668" s="57" t="str">
        <f ca="1">IFERROR(__xludf.DUMMYFUNCTION("""COMPUTED_VALUE"""),"")</f>
        <v/>
      </c>
    </row>
    <row r="7669" spans="1:5">
      <c r="A7669" s="12"/>
      <c r="E7669" s="57" t="str">
        <f ca="1">IFERROR(__xludf.DUMMYFUNCTION("""COMPUTED_VALUE"""),"")</f>
        <v/>
      </c>
    </row>
    <row r="7670" spans="1:5">
      <c r="A7670" s="12"/>
      <c r="E7670" s="57" t="str">
        <f ca="1">IFERROR(__xludf.DUMMYFUNCTION("""COMPUTED_VALUE"""),"")</f>
        <v/>
      </c>
    </row>
    <row r="7671" spans="1:5">
      <c r="A7671" s="12"/>
      <c r="E7671" s="57" t="str">
        <f ca="1">IFERROR(__xludf.DUMMYFUNCTION("""COMPUTED_VALUE"""),"")</f>
        <v/>
      </c>
    </row>
    <row r="7672" spans="1:5">
      <c r="A7672" s="12"/>
      <c r="E7672" s="57" t="str">
        <f ca="1">IFERROR(__xludf.DUMMYFUNCTION("""COMPUTED_VALUE"""),"")</f>
        <v/>
      </c>
    </row>
    <row r="7673" spans="1:5">
      <c r="A7673" s="12"/>
      <c r="E7673" s="57" t="str">
        <f ca="1">IFERROR(__xludf.DUMMYFUNCTION("""COMPUTED_VALUE"""),"")</f>
        <v/>
      </c>
    </row>
    <row r="7674" spans="1:5">
      <c r="A7674" s="12"/>
      <c r="E7674" s="57" t="str">
        <f ca="1">IFERROR(__xludf.DUMMYFUNCTION("""COMPUTED_VALUE"""),"")</f>
        <v/>
      </c>
    </row>
    <row r="7675" spans="1:5">
      <c r="A7675" s="12"/>
      <c r="E7675" s="57" t="str">
        <f ca="1">IFERROR(__xludf.DUMMYFUNCTION("""COMPUTED_VALUE"""),"")</f>
        <v/>
      </c>
    </row>
    <row r="7676" spans="1:5">
      <c r="A7676" s="12"/>
      <c r="E7676" s="57" t="str">
        <f ca="1">IFERROR(__xludf.DUMMYFUNCTION("""COMPUTED_VALUE"""),"")</f>
        <v/>
      </c>
    </row>
    <row r="7677" spans="1:5">
      <c r="A7677" s="12"/>
      <c r="E7677" s="57" t="str">
        <f ca="1">IFERROR(__xludf.DUMMYFUNCTION("""COMPUTED_VALUE"""),"")</f>
        <v/>
      </c>
    </row>
    <row r="7678" spans="1:5">
      <c r="A7678" s="12"/>
      <c r="E7678" s="57" t="str">
        <f ca="1">IFERROR(__xludf.DUMMYFUNCTION("""COMPUTED_VALUE"""),"")</f>
        <v/>
      </c>
    </row>
    <row r="7679" spans="1:5">
      <c r="A7679" s="12"/>
      <c r="E7679" s="57" t="str">
        <f ca="1">IFERROR(__xludf.DUMMYFUNCTION("""COMPUTED_VALUE"""),"")</f>
        <v/>
      </c>
    </row>
    <row r="7680" spans="1:5">
      <c r="A7680" s="12"/>
      <c r="E7680" s="57" t="str">
        <f ca="1">IFERROR(__xludf.DUMMYFUNCTION("""COMPUTED_VALUE"""),"")</f>
        <v/>
      </c>
    </row>
    <row r="7681" spans="1:5">
      <c r="A7681" s="12"/>
      <c r="E7681" s="57" t="str">
        <f ca="1">IFERROR(__xludf.DUMMYFUNCTION("""COMPUTED_VALUE"""),"")</f>
        <v/>
      </c>
    </row>
    <row r="7682" spans="1:5">
      <c r="A7682" s="12"/>
      <c r="E7682" s="57" t="str">
        <f ca="1">IFERROR(__xludf.DUMMYFUNCTION("""COMPUTED_VALUE"""),"")</f>
        <v/>
      </c>
    </row>
    <row r="7683" spans="1:5">
      <c r="A7683" s="12"/>
      <c r="E7683" s="57" t="str">
        <f ca="1">IFERROR(__xludf.DUMMYFUNCTION("""COMPUTED_VALUE"""),"")</f>
        <v/>
      </c>
    </row>
    <row r="7684" spans="1:5">
      <c r="A7684" s="12"/>
      <c r="E7684" s="57" t="str">
        <f ca="1">IFERROR(__xludf.DUMMYFUNCTION("""COMPUTED_VALUE"""),"")</f>
        <v/>
      </c>
    </row>
    <row r="7685" spans="1:5">
      <c r="A7685" s="12"/>
      <c r="E7685" s="57" t="str">
        <f ca="1">IFERROR(__xludf.DUMMYFUNCTION("""COMPUTED_VALUE"""),"")</f>
        <v/>
      </c>
    </row>
    <row r="7686" spans="1:5">
      <c r="A7686" s="12"/>
      <c r="E7686" s="57" t="str">
        <f ca="1">IFERROR(__xludf.DUMMYFUNCTION("""COMPUTED_VALUE"""),"")</f>
        <v/>
      </c>
    </row>
    <row r="7687" spans="1:5">
      <c r="A7687" s="12"/>
      <c r="E7687" s="57" t="str">
        <f ca="1">IFERROR(__xludf.DUMMYFUNCTION("""COMPUTED_VALUE"""),"")</f>
        <v/>
      </c>
    </row>
    <row r="7688" spans="1:5">
      <c r="A7688" s="12"/>
      <c r="E7688" s="57" t="str">
        <f ca="1">IFERROR(__xludf.DUMMYFUNCTION("""COMPUTED_VALUE"""),"")</f>
        <v/>
      </c>
    </row>
    <row r="7689" spans="1:5">
      <c r="A7689" s="12"/>
      <c r="E7689" s="57" t="str">
        <f ca="1">IFERROR(__xludf.DUMMYFUNCTION("""COMPUTED_VALUE"""),"")</f>
        <v/>
      </c>
    </row>
    <row r="7690" spans="1:5">
      <c r="A7690" s="12"/>
      <c r="E7690" s="57" t="str">
        <f ca="1">IFERROR(__xludf.DUMMYFUNCTION("""COMPUTED_VALUE"""),"")</f>
        <v/>
      </c>
    </row>
    <row r="7691" spans="1:5">
      <c r="A7691" s="12"/>
      <c r="E7691" s="57" t="str">
        <f ca="1">IFERROR(__xludf.DUMMYFUNCTION("""COMPUTED_VALUE"""),"")</f>
        <v/>
      </c>
    </row>
    <row r="7692" spans="1:5">
      <c r="A7692" s="12"/>
      <c r="E7692" s="57" t="str">
        <f ca="1">IFERROR(__xludf.DUMMYFUNCTION("""COMPUTED_VALUE"""),"")</f>
        <v/>
      </c>
    </row>
    <row r="7693" spans="1:5">
      <c r="A7693" s="12"/>
      <c r="E7693" s="57" t="str">
        <f ca="1">IFERROR(__xludf.DUMMYFUNCTION("""COMPUTED_VALUE"""),"")</f>
        <v/>
      </c>
    </row>
    <row r="7694" spans="1:5">
      <c r="A7694" s="12"/>
      <c r="E7694" s="57" t="str">
        <f ca="1">IFERROR(__xludf.DUMMYFUNCTION("""COMPUTED_VALUE"""),"")</f>
        <v/>
      </c>
    </row>
    <row r="7695" spans="1:5">
      <c r="A7695" s="12"/>
      <c r="E7695" s="57" t="str">
        <f ca="1">IFERROR(__xludf.DUMMYFUNCTION("""COMPUTED_VALUE"""),"")</f>
        <v/>
      </c>
    </row>
    <row r="7696" spans="1:5">
      <c r="A7696" s="12"/>
      <c r="E7696" s="57" t="str">
        <f ca="1">IFERROR(__xludf.DUMMYFUNCTION("""COMPUTED_VALUE"""),"")</f>
        <v/>
      </c>
    </row>
    <row r="7697" spans="1:5">
      <c r="A7697" s="12"/>
      <c r="E7697" s="57" t="str">
        <f ca="1">IFERROR(__xludf.DUMMYFUNCTION("""COMPUTED_VALUE"""),"")</f>
        <v/>
      </c>
    </row>
    <row r="7698" spans="1:5">
      <c r="A7698" s="12"/>
      <c r="E7698" s="57" t="str">
        <f ca="1">IFERROR(__xludf.DUMMYFUNCTION("""COMPUTED_VALUE"""),"")</f>
        <v/>
      </c>
    </row>
    <row r="7699" spans="1:5">
      <c r="A7699" s="12"/>
      <c r="E7699" s="57" t="str">
        <f ca="1">IFERROR(__xludf.DUMMYFUNCTION("""COMPUTED_VALUE"""),"")</f>
        <v/>
      </c>
    </row>
    <row r="7700" spans="1:5">
      <c r="A7700" s="12"/>
      <c r="E7700" s="57" t="str">
        <f ca="1">IFERROR(__xludf.DUMMYFUNCTION("""COMPUTED_VALUE"""),"")</f>
        <v/>
      </c>
    </row>
    <row r="7701" spans="1:5">
      <c r="A7701" s="12"/>
      <c r="E7701" s="57" t="str">
        <f ca="1">IFERROR(__xludf.DUMMYFUNCTION("""COMPUTED_VALUE"""),"")</f>
        <v/>
      </c>
    </row>
    <row r="7702" spans="1:5">
      <c r="A7702" s="12"/>
      <c r="E7702" s="57" t="str">
        <f ca="1">IFERROR(__xludf.DUMMYFUNCTION("""COMPUTED_VALUE"""),"")</f>
        <v/>
      </c>
    </row>
    <row r="7703" spans="1:5">
      <c r="A7703" s="12"/>
      <c r="E7703" s="57" t="str">
        <f ca="1">IFERROR(__xludf.DUMMYFUNCTION("""COMPUTED_VALUE"""),"")</f>
        <v/>
      </c>
    </row>
    <row r="7704" spans="1:5">
      <c r="A7704" s="12"/>
      <c r="E7704" s="57" t="str">
        <f ca="1">IFERROR(__xludf.DUMMYFUNCTION("""COMPUTED_VALUE"""),"")</f>
        <v/>
      </c>
    </row>
    <row r="7705" spans="1:5">
      <c r="A7705" s="12"/>
      <c r="E7705" s="57" t="str">
        <f ca="1">IFERROR(__xludf.DUMMYFUNCTION("""COMPUTED_VALUE"""),"")</f>
        <v/>
      </c>
    </row>
    <row r="7706" spans="1:5">
      <c r="A7706" s="12"/>
      <c r="E7706" s="57" t="str">
        <f ca="1">IFERROR(__xludf.DUMMYFUNCTION("""COMPUTED_VALUE"""),"")</f>
        <v/>
      </c>
    </row>
    <row r="7707" spans="1:5">
      <c r="A7707" s="12"/>
      <c r="E7707" s="57" t="str">
        <f ca="1">IFERROR(__xludf.DUMMYFUNCTION("""COMPUTED_VALUE"""),"")</f>
        <v/>
      </c>
    </row>
    <row r="7708" spans="1:5">
      <c r="A7708" s="12"/>
      <c r="E7708" s="57" t="str">
        <f ca="1">IFERROR(__xludf.DUMMYFUNCTION("""COMPUTED_VALUE"""),"")</f>
        <v/>
      </c>
    </row>
    <row r="7709" spans="1:5">
      <c r="A7709" s="12"/>
      <c r="E7709" s="57" t="str">
        <f ca="1">IFERROR(__xludf.DUMMYFUNCTION("""COMPUTED_VALUE"""),"")</f>
        <v/>
      </c>
    </row>
    <row r="7710" spans="1:5">
      <c r="A7710" s="12"/>
      <c r="E7710" s="57" t="str">
        <f ca="1">IFERROR(__xludf.DUMMYFUNCTION("""COMPUTED_VALUE"""),"")</f>
        <v/>
      </c>
    </row>
    <row r="7711" spans="1:5">
      <c r="A7711" s="12"/>
      <c r="E7711" s="57" t="str">
        <f ca="1">IFERROR(__xludf.DUMMYFUNCTION("""COMPUTED_VALUE"""),"")</f>
        <v/>
      </c>
    </row>
    <row r="7712" spans="1:5">
      <c r="A7712" s="12"/>
      <c r="E7712" s="57" t="str">
        <f ca="1">IFERROR(__xludf.DUMMYFUNCTION("""COMPUTED_VALUE"""),"")</f>
        <v/>
      </c>
    </row>
    <row r="7713" spans="1:5">
      <c r="A7713" s="12"/>
      <c r="E7713" s="57" t="str">
        <f ca="1">IFERROR(__xludf.DUMMYFUNCTION("""COMPUTED_VALUE"""),"")</f>
        <v/>
      </c>
    </row>
    <row r="7714" spans="1:5">
      <c r="A7714" s="12"/>
      <c r="E7714" s="57" t="str">
        <f ca="1">IFERROR(__xludf.DUMMYFUNCTION("""COMPUTED_VALUE"""),"")</f>
        <v/>
      </c>
    </row>
    <row r="7715" spans="1:5">
      <c r="A7715" s="12"/>
      <c r="E7715" s="57" t="str">
        <f ca="1">IFERROR(__xludf.DUMMYFUNCTION("""COMPUTED_VALUE"""),"")</f>
        <v/>
      </c>
    </row>
    <row r="7716" spans="1:5">
      <c r="A7716" s="12"/>
      <c r="E7716" s="57" t="str">
        <f ca="1">IFERROR(__xludf.DUMMYFUNCTION("""COMPUTED_VALUE"""),"")</f>
        <v/>
      </c>
    </row>
    <row r="7717" spans="1:5">
      <c r="A7717" s="12"/>
      <c r="E7717" s="57" t="str">
        <f ca="1">IFERROR(__xludf.DUMMYFUNCTION("""COMPUTED_VALUE"""),"")</f>
        <v/>
      </c>
    </row>
    <row r="7718" spans="1:5">
      <c r="A7718" s="12"/>
      <c r="E7718" s="57" t="str">
        <f ca="1">IFERROR(__xludf.DUMMYFUNCTION("""COMPUTED_VALUE"""),"")</f>
        <v/>
      </c>
    </row>
    <row r="7719" spans="1:5">
      <c r="A7719" s="12"/>
      <c r="E7719" s="57" t="str">
        <f ca="1">IFERROR(__xludf.DUMMYFUNCTION("""COMPUTED_VALUE"""),"")</f>
        <v/>
      </c>
    </row>
    <row r="7720" spans="1:5">
      <c r="A7720" s="12"/>
      <c r="E7720" s="57" t="str">
        <f ca="1">IFERROR(__xludf.DUMMYFUNCTION("""COMPUTED_VALUE"""),"")</f>
        <v/>
      </c>
    </row>
    <row r="7721" spans="1:5">
      <c r="A7721" s="12"/>
      <c r="E7721" s="57" t="str">
        <f ca="1">IFERROR(__xludf.DUMMYFUNCTION("""COMPUTED_VALUE"""),"")</f>
        <v/>
      </c>
    </row>
    <row r="7722" spans="1:5">
      <c r="A7722" s="12"/>
      <c r="E7722" s="57" t="str">
        <f ca="1">IFERROR(__xludf.DUMMYFUNCTION("""COMPUTED_VALUE"""),"")</f>
        <v/>
      </c>
    </row>
    <row r="7723" spans="1:5">
      <c r="A7723" s="12"/>
      <c r="E7723" s="57" t="str">
        <f ca="1">IFERROR(__xludf.DUMMYFUNCTION("""COMPUTED_VALUE"""),"")</f>
        <v/>
      </c>
    </row>
    <row r="7724" spans="1:5">
      <c r="A7724" s="12"/>
      <c r="E7724" s="57" t="str">
        <f ca="1">IFERROR(__xludf.DUMMYFUNCTION("""COMPUTED_VALUE"""),"")</f>
        <v/>
      </c>
    </row>
    <row r="7725" spans="1:5">
      <c r="A7725" s="12"/>
      <c r="E7725" s="57" t="str">
        <f ca="1">IFERROR(__xludf.DUMMYFUNCTION("""COMPUTED_VALUE"""),"")</f>
        <v/>
      </c>
    </row>
    <row r="7726" spans="1:5">
      <c r="A7726" s="12"/>
      <c r="E7726" s="57" t="str">
        <f ca="1">IFERROR(__xludf.DUMMYFUNCTION("""COMPUTED_VALUE"""),"")</f>
        <v/>
      </c>
    </row>
    <row r="7727" spans="1:5">
      <c r="A7727" s="12"/>
      <c r="E7727" s="57" t="str">
        <f ca="1">IFERROR(__xludf.DUMMYFUNCTION("""COMPUTED_VALUE"""),"")</f>
        <v/>
      </c>
    </row>
    <row r="7728" spans="1:5">
      <c r="A7728" s="12"/>
      <c r="E7728" s="57" t="str">
        <f ca="1">IFERROR(__xludf.DUMMYFUNCTION("""COMPUTED_VALUE"""),"")</f>
        <v/>
      </c>
    </row>
    <row r="7729" spans="1:5">
      <c r="A7729" s="12"/>
      <c r="E7729" s="57" t="str">
        <f ca="1">IFERROR(__xludf.DUMMYFUNCTION("""COMPUTED_VALUE"""),"")</f>
        <v/>
      </c>
    </row>
    <row r="7730" spans="1:5">
      <c r="A7730" s="12"/>
      <c r="E7730" s="57" t="str">
        <f ca="1">IFERROR(__xludf.DUMMYFUNCTION("""COMPUTED_VALUE"""),"")</f>
        <v/>
      </c>
    </row>
    <row r="7731" spans="1:5">
      <c r="A7731" s="12"/>
      <c r="E7731" s="57" t="str">
        <f ca="1">IFERROR(__xludf.DUMMYFUNCTION("""COMPUTED_VALUE"""),"")</f>
        <v/>
      </c>
    </row>
    <row r="7732" spans="1:5">
      <c r="A7732" s="12"/>
      <c r="E7732" s="57" t="str">
        <f ca="1">IFERROR(__xludf.DUMMYFUNCTION("""COMPUTED_VALUE"""),"")</f>
        <v/>
      </c>
    </row>
    <row r="7733" spans="1:5">
      <c r="A7733" s="12"/>
      <c r="E7733" s="57" t="str">
        <f ca="1">IFERROR(__xludf.DUMMYFUNCTION("""COMPUTED_VALUE"""),"")</f>
        <v/>
      </c>
    </row>
    <row r="7734" spans="1:5">
      <c r="A7734" s="12"/>
      <c r="E7734" s="57" t="str">
        <f ca="1">IFERROR(__xludf.DUMMYFUNCTION("""COMPUTED_VALUE"""),"")</f>
        <v/>
      </c>
    </row>
    <row r="7735" spans="1:5">
      <c r="A7735" s="12"/>
      <c r="E7735" s="57" t="str">
        <f ca="1">IFERROR(__xludf.DUMMYFUNCTION("""COMPUTED_VALUE"""),"")</f>
        <v/>
      </c>
    </row>
    <row r="7736" spans="1:5">
      <c r="A7736" s="12"/>
      <c r="E7736" s="57" t="str">
        <f ca="1">IFERROR(__xludf.DUMMYFUNCTION("""COMPUTED_VALUE"""),"")</f>
        <v/>
      </c>
    </row>
    <row r="7737" spans="1:5">
      <c r="A7737" s="12"/>
      <c r="E7737" s="57" t="str">
        <f ca="1">IFERROR(__xludf.DUMMYFUNCTION("""COMPUTED_VALUE"""),"")</f>
        <v/>
      </c>
    </row>
    <row r="7738" spans="1:5">
      <c r="A7738" s="12"/>
      <c r="E7738" s="57" t="str">
        <f ca="1">IFERROR(__xludf.DUMMYFUNCTION("""COMPUTED_VALUE"""),"")</f>
        <v/>
      </c>
    </row>
    <row r="7739" spans="1:5">
      <c r="A7739" s="12"/>
      <c r="E7739" s="57" t="str">
        <f ca="1">IFERROR(__xludf.DUMMYFUNCTION("""COMPUTED_VALUE"""),"")</f>
        <v/>
      </c>
    </row>
    <row r="7740" spans="1:5">
      <c r="A7740" s="12"/>
      <c r="E7740" s="57" t="str">
        <f ca="1">IFERROR(__xludf.DUMMYFUNCTION("""COMPUTED_VALUE"""),"")</f>
        <v/>
      </c>
    </row>
    <row r="7741" spans="1:5">
      <c r="A7741" s="12"/>
      <c r="E7741" s="57" t="str">
        <f ca="1">IFERROR(__xludf.DUMMYFUNCTION("""COMPUTED_VALUE"""),"")</f>
        <v/>
      </c>
    </row>
    <row r="7742" spans="1:5">
      <c r="A7742" s="12"/>
      <c r="E7742" s="57" t="str">
        <f ca="1">IFERROR(__xludf.DUMMYFUNCTION("""COMPUTED_VALUE"""),"")</f>
        <v/>
      </c>
    </row>
    <row r="7743" spans="1:5">
      <c r="A7743" s="12"/>
      <c r="E7743" s="57" t="str">
        <f ca="1">IFERROR(__xludf.DUMMYFUNCTION("""COMPUTED_VALUE"""),"")</f>
        <v/>
      </c>
    </row>
    <row r="7744" spans="1:5">
      <c r="A7744" s="12"/>
      <c r="E7744" s="57" t="str">
        <f ca="1">IFERROR(__xludf.DUMMYFUNCTION("""COMPUTED_VALUE"""),"")</f>
        <v/>
      </c>
    </row>
    <row r="7745" spans="1:5">
      <c r="A7745" s="12"/>
      <c r="E7745" s="57" t="str">
        <f ca="1">IFERROR(__xludf.DUMMYFUNCTION("""COMPUTED_VALUE"""),"")</f>
        <v/>
      </c>
    </row>
    <row r="7746" spans="1:5">
      <c r="A7746" s="12"/>
      <c r="E7746" s="57" t="str">
        <f ca="1">IFERROR(__xludf.DUMMYFUNCTION("""COMPUTED_VALUE"""),"")</f>
        <v/>
      </c>
    </row>
    <row r="7747" spans="1:5">
      <c r="A7747" s="12"/>
      <c r="E7747" s="57" t="str">
        <f ca="1">IFERROR(__xludf.DUMMYFUNCTION("""COMPUTED_VALUE"""),"")</f>
        <v/>
      </c>
    </row>
    <row r="7748" spans="1:5">
      <c r="A7748" s="12"/>
      <c r="E7748" s="57" t="str">
        <f ca="1">IFERROR(__xludf.DUMMYFUNCTION("""COMPUTED_VALUE"""),"")</f>
        <v/>
      </c>
    </row>
    <row r="7749" spans="1:5">
      <c r="A7749" s="12"/>
      <c r="E7749" s="57" t="str">
        <f ca="1">IFERROR(__xludf.DUMMYFUNCTION("""COMPUTED_VALUE"""),"")</f>
        <v/>
      </c>
    </row>
    <row r="7750" spans="1:5">
      <c r="A7750" s="12"/>
      <c r="E7750" s="57" t="str">
        <f ca="1">IFERROR(__xludf.DUMMYFUNCTION("""COMPUTED_VALUE"""),"")</f>
        <v/>
      </c>
    </row>
    <row r="7751" spans="1:5">
      <c r="A7751" s="12"/>
      <c r="E7751" s="57" t="str">
        <f ca="1">IFERROR(__xludf.DUMMYFUNCTION("""COMPUTED_VALUE"""),"")</f>
        <v/>
      </c>
    </row>
    <row r="7752" spans="1:5">
      <c r="A7752" s="12"/>
      <c r="E7752" s="57" t="str">
        <f ca="1">IFERROR(__xludf.DUMMYFUNCTION("""COMPUTED_VALUE"""),"")</f>
        <v/>
      </c>
    </row>
    <row r="7753" spans="1:5">
      <c r="A7753" s="12"/>
      <c r="E7753" s="57" t="str">
        <f ca="1">IFERROR(__xludf.DUMMYFUNCTION("""COMPUTED_VALUE"""),"")</f>
        <v/>
      </c>
    </row>
    <row r="7754" spans="1:5">
      <c r="A7754" s="12"/>
      <c r="E7754" s="57" t="str">
        <f ca="1">IFERROR(__xludf.DUMMYFUNCTION("""COMPUTED_VALUE"""),"")</f>
        <v/>
      </c>
    </row>
    <row r="7755" spans="1:5">
      <c r="A7755" s="12"/>
      <c r="E7755" s="57" t="str">
        <f ca="1">IFERROR(__xludf.DUMMYFUNCTION("""COMPUTED_VALUE"""),"")</f>
        <v/>
      </c>
    </row>
    <row r="7756" spans="1:5">
      <c r="A7756" s="12"/>
      <c r="E7756" s="57" t="str">
        <f ca="1">IFERROR(__xludf.DUMMYFUNCTION("""COMPUTED_VALUE"""),"")</f>
        <v/>
      </c>
    </row>
    <row r="7757" spans="1:5">
      <c r="A7757" s="12"/>
      <c r="E7757" s="57" t="str">
        <f ca="1">IFERROR(__xludf.DUMMYFUNCTION("""COMPUTED_VALUE"""),"")</f>
        <v/>
      </c>
    </row>
    <row r="7758" spans="1:5">
      <c r="A7758" s="12"/>
      <c r="E7758" s="57" t="str">
        <f ca="1">IFERROR(__xludf.DUMMYFUNCTION("""COMPUTED_VALUE"""),"")</f>
        <v/>
      </c>
    </row>
    <row r="7759" spans="1:5">
      <c r="A7759" s="12"/>
      <c r="E7759" s="57" t="str">
        <f ca="1">IFERROR(__xludf.DUMMYFUNCTION("""COMPUTED_VALUE"""),"")</f>
        <v/>
      </c>
    </row>
    <row r="7760" spans="1:5">
      <c r="A7760" s="12"/>
      <c r="E7760" s="57" t="str">
        <f ca="1">IFERROR(__xludf.DUMMYFUNCTION("""COMPUTED_VALUE"""),"")</f>
        <v/>
      </c>
    </row>
    <row r="7761" spans="1:5">
      <c r="A7761" s="12"/>
      <c r="E7761" s="57" t="str">
        <f ca="1">IFERROR(__xludf.DUMMYFUNCTION("""COMPUTED_VALUE"""),"")</f>
        <v/>
      </c>
    </row>
    <row r="7762" spans="1:5">
      <c r="A7762" s="12"/>
      <c r="E7762" s="57" t="str">
        <f ca="1">IFERROR(__xludf.DUMMYFUNCTION("""COMPUTED_VALUE"""),"")</f>
        <v/>
      </c>
    </row>
    <row r="7763" spans="1:5">
      <c r="A7763" s="12"/>
      <c r="E7763" s="57" t="str">
        <f ca="1">IFERROR(__xludf.DUMMYFUNCTION("""COMPUTED_VALUE"""),"")</f>
        <v/>
      </c>
    </row>
    <row r="7764" spans="1:5">
      <c r="A7764" s="12"/>
      <c r="E7764" s="57" t="str">
        <f ca="1">IFERROR(__xludf.DUMMYFUNCTION("""COMPUTED_VALUE"""),"")</f>
        <v/>
      </c>
    </row>
    <row r="7765" spans="1:5">
      <c r="A7765" s="12"/>
      <c r="E7765" s="57" t="str">
        <f ca="1">IFERROR(__xludf.DUMMYFUNCTION("""COMPUTED_VALUE"""),"")</f>
        <v/>
      </c>
    </row>
    <row r="7766" spans="1:5">
      <c r="A7766" s="12"/>
      <c r="E7766" s="57" t="str">
        <f ca="1">IFERROR(__xludf.DUMMYFUNCTION("""COMPUTED_VALUE"""),"")</f>
        <v/>
      </c>
    </row>
    <row r="7767" spans="1:5">
      <c r="A7767" s="12"/>
      <c r="E7767" s="57" t="str">
        <f ca="1">IFERROR(__xludf.DUMMYFUNCTION("""COMPUTED_VALUE"""),"")</f>
        <v/>
      </c>
    </row>
    <row r="7768" spans="1:5">
      <c r="A7768" s="12"/>
      <c r="E7768" s="57" t="str">
        <f ca="1">IFERROR(__xludf.DUMMYFUNCTION("""COMPUTED_VALUE"""),"")</f>
        <v/>
      </c>
    </row>
    <row r="7769" spans="1:5">
      <c r="A7769" s="12"/>
      <c r="E7769" s="57" t="str">
        <f ca="1">IFERROR(__xludf.DUMMYFUNCTION("""COMPUTED_VALUE"""),"")</f>
        <v/>
      </c>
    </row>
    <row r="7770" spans="1:5">
      <c r="A7770" s="12"/>
      <c r="E7770" s="57" t="str">
        <f ca="1">IFERROR(__xludf.DUMMYFUNCTION("""COMPUTED_VALUE"""),"")</f>
        <v/>
      </c>
    </row>
    <row r="7771" spans="1:5">
      <c r="A7771" s="12"/>
      <c r="E7771" s="57" t="str">
        <f ca="1">IFERROR(__xludf.DUMMYFUNCTION("""COMPUTED_VALUE"""),"")</f>
        <v/>
      </c>
    </row>
    <row r="7772" spans="1:5">
      <c r="A7772" s="12"/>
      <c r="E7772" s="57" t="str">
        <f ca="1">IFERROR(__xludf.DUMMYFUNCTION("""COMPUTED_VALUE"""),"")</f>
        <v/>
      </c>
    </row>
    <row r="7773" spans="1:5">
      <c r="A7773" s="12"/>
      <c r="E7773" s="57" t="str">
        <f ca="1">IFERROR(__xludf.DUMMYFUNCTION("""COMPUTED_VALUE"""),"")</f>
        <v/>
      </c>
    </row>
    <row r="7774" spans="1:5">
      <c r="A7774" s="12"/>
      <c r="E7774" s="57" t="str">
        <f ca="1">IFERROR(__xludf.DUMMYFUNCTION("""COMPUTED_VALUE"""),"")</f>
        <v/>
      </c>
    </row>
    <row r="7775" spans="1:5">
      <c r="A7775" s="12"/>
      <c r="E7775" s="57" t="str">
        <f ca="1">IFERROR(__xludf.DUMMYFUNCTION("""COMPUTED_VALUE"""),"")</f>
        <v/>
      </c>
    </row>
    <row r="7776" spans="1:5">
      <c r="A7776" s="12"/>
      <c r="E7776" s="57" t="str">
        <f ca="1">IFERROR(__xludf.DUMMYFUNCTION("""COMPUTED_VALUE"""),"")</f>
        <v/>
      </c>
    </row>
    <row r="7777" spans="1:5">
      <c r="A7777" s="12"/>
      <c r="E7777" s="57" t="str">
        <f ca="1">IFERROR(__xludf.DUMMYFUNCTION("""COMPUTED_VALUE"""),"")</f>
        <v/>
      </c>
    </row>
    <row r="7778" spans="1:5">
      <c r="A7778" s="12"/>
      <c r="E7778" s="57" t="str">
        <f ca="1">IFERROR(__xludf.DUMMYFUNCTION("""COMPUTED_VALUE"""),"")</f>
        <v/>
      </c>
    </row>
    <row r="7779" spans="1:5">
      <c r="A7779" s="12"/>
      <c r="E7779" s="57" t="str">
        <f ca="1">IFERROR(__xludf.DUMMYFUNCTION("""COMPUTED_VALUE"""),"")</f>
        <v/>
      </c>
    </row>
    <row r="7780" spans="1:5">
      <c r="A7780" s="12"/>
      <c r="E7780" s="57" t="str">
        <f ca="1">IFERROR(__xludf.DUMMYFUNCTION("""COMPUTED_VALUE"""),"")</f>
        <v/>
      </c>
    </row>
    <row r="7781" spans="1:5">
      <c r="A7781" s="12"/>
      <c r="E7781" s="57" t="str">
        <f ca="1">IFERROR(__xludf.DUMMYFUNCTION("""COMPUTED_VALUE"""),"")</f>
        <v/>
      </c>
    </row>
    <row r="7782" spans="1:5">
      <c r="A7782" s="12"/>
      <c r="E7782" s="57" t="str">
        <f ca="1">IFERROR(__xludf.DUMMYFUNCTION("""COMPUTED_VALUE"""),"")</f>
        <v/>
      </c>
    </row>
    <row r="7783" spans="1:5">
      <c r="A7783" s="12"/>
      <c r="E7783" s="57" t="str">
        <f ca="1">IFERROR(__xludf.DUMMYFUNCTION("""COMPUTED_VALUE"""),"")</f>
        <v/>
      </c>
    </row>
    <row r="7784" spans="1:5">
      <c r="A7784" s="12"/>
      <c r="E7784" s="57" t="str">
        <f ca="1">IFERROR(__xludf.DUMMYFUNCTION("""COMPUTED_VALUE"""),"")</f>
        <v/>
      </c>
    </row>
    <row r="7785" spans="1:5">
      <c r="A7785" s="12"/>
      <c r="E7785" s="57" t="str">
        <f ca="1">IFERROR(__xludf.DUMMYFUNCTION("""COMPUTED_VALUE"""),"")</f>
        <v/>
      </c>
    </row>
    <row r="7786" spans="1:5">
      <c r="A7786" s="12"/>
      <c r="E7786" s="57" t="str">
        <f ca="1">IFERROR(__xludf.DUMMYFUNCTION("""COMPUTED_VALUE"""),"")</f>
        <v/>
      </c>
    </row>
    <row r="7787" spans="1:5">
      <c r="A7787" s="12"/>
      <c r="E7787" s="57" t="str">
        <f ca="1">IFERROR(__xludf.DUMMYFUNCTION("""COMPUTED_VALUE"""),"")</f>
        <v/>
      </c>
    </row>
    <row r="7788" spans="1:5">
      <c r="A7788" s="12"/>
      <c r="E7788" s="57" t="str">
        <f ca="1">IFERROR(__xludf.DUMMYFUNCTION("""COMPUTED_VALUE"""),"")</f>
        <v/>
      </c>
    </row>
    <row r="7789" spans="1:5">
      <c r="A7789" s="12"/>
      <c r="E7789" s="57" t="str">
        <f ca="1">IFERROR(__xludf.DUMMYFUNCTION("""COMPUTED_VALUE"""),"")</f>
        <v/>
      </c>
    </row>
    <row r="7790" spans="1:5">
      <c r="A7790" s="12"/>
      <c r="E7790" s="57" t="str">
        <f ca="1">IFERROR(__xludf.DUMMYFUNCTION("""COMPUTED_VALUE"""),"")</f>
        <v/>
      </c>
    </row>
    <row r="7791" spans="1:5">
      <c r="A7791" s="12"/>
      <c r="E7791" s="57" t="str">
        <f ca="1">IFERROR(__xludf.DUMMYFUNCTION("""COMPUTED_VALUE"""),"")</f>
        <v/>
      </c>
    </row>
    <row r="7792" spans="1:5">
      <c r="A7792" s="12"/>
      <c r="E7792" s="57" t="str">
        <f ca="1">IFERROR(__xludf.DUMMYFUNCTION("""COMPUTED_VALUE"""),"")</f>
        <v/>
      </c>
    </row>
    <row r="7793" spans="1:5">
      <c r="A7793" s="12"/>
      <c r="E7793" s="57" t="str">
        <f ca="1">IFERROR(__xludf.DUMMYFUNCTION("""COMPUTED_VALUE"""),"")</f>
        <v/>
      </c>
    </row>
    <row r="7794" spans="1:5">
      <c r="A7794" s="12"/>
      <c r="E7794" s="57" t="str">
        <f ca="1">IFERROR(__xludf.DUMMYFUNCTION("""COMPUTED_VALUE"""),"")</f>
        <v/>
      </c>
    </row>
    <row r="7795" spans="1:5">
      <c r="A7795" s="12"/>
      <c r="E7795" s="57" t="str">
        <f ca="1">IFERROR(__xludf.DUMMYFUNCTION("""COMPUTED_VALUE"""),"")</f>
        <v/>
      </c>
    </row>
    <row r="7796" spans="1:5">
      <c r="A7796" s="12"/>
      <c r="E7796" s="57" t="str">
        <f ca="1">IFERROR(__xludf.DUMMYFUNCTION("""COMPUTED_VALUE"""),"")</f>
        <v/>
      </c>
    </row>
    <row r="7797" spans="1:5">
      <c r="A7797" s="12"/>
      <c r="E7797" s="57" t="str">
        <f ca="1">IFERROR(__xludf.DUMMYFUNCTION("""COMPUTED_VALUE"""),"")</f>
        <v/>
      </c>
    </row>
    <row r="7798" spans="1:5">
      <c r="A7798" s="12"/>
      <c r="E7798" s="57" t="str">
        <f ca="1">IFERROR(__xludf.DUMMYFUNCTION("""COMPUTED_VALUE"""),"")</f>
        <v/>
      </c>
    </row>
    <row r="7799" spans="1:5">
      <c r="A7799" s="12"/>
      <c r="E7799" s="57" t="str">
        <f ca="1">IFERROR(__xludf.DUMMYFUNCTION("""COMPUTED_VALUE"""),"")</f>
        <v/>
      </c>
    </row>
    <row r="7800" spans="1:5">
      <c r="A7800" s="12"/>
      <c r="E7800" s="57" t="str">
        <f ca="1">IFERROR(__xludf.DUMMYFUNCTION("""COMPUTED_VALUE"""),"")</f>
        <v/>
      </c>
    </row>
    <row r="7801" spans="1:5">
      <c r="A7801" s="12"/>
      <c r="E7801" s="57" t="str">
        <f ca="1">IFERROR(__xludf.DUMMYFUNCTION("""COMPUTED_VALUE"""),"")</f>
        <v/>
      </c>
    </row>
    <row r="7802" spans="1:5">
      <c r="A7802" s="12"/>
      <c r="E7802" s="57" t="str">
        <f ca="1">IFERROR(__xludf.DUMMYFUNCTION("""COMPUTED_VALUE"""),"")</f>
        <v/>
      </c>
    </row>
    <row r="7803" spans="1:5">
      <c r="A7803" s="12"/>
      <c r="E7803" s="57" t="str">
        <f ca="1">IFERROR(__xludf.DUMMYFUNCTION("""COMPUTED_VALUE"""),"")</f>
        <v/>
      </c>
    </row>
    <row r="7804" spans="1:5">
      <c r="A7804" s="12"/>
      <c r="E7804" s="57" t="str">
        <f ca="1">IFERROR(__xludf.DUMMYFUNCTION("""COMPUTED_VALUE"""),"")</f>
        <v/>
      </c>
    </row>
    <row r="7805" spans="1:5">
      <c r="A7805" s="12"/>
      <c r="E7805" s="57" t="str">
        <f ca="1">IFERROR(__xludf.DUMMYFUNCTION("""COMPUTED_VALUE"""),"")</f>
        <v/>
      </c>
    </row>
    <row r="7806" spans="1:5">
      <c r="A7806" s="12"/>
      <c r="E7806" s="57" t="str">
        <f ca="1">IFERROR(__xludf.DUMMYFUNCTION("""COMPUTED_VALUE"""),"")</f>
        <v/>
      </c>
    </row>
    <row r="7807" spans="1:5">
      <c r="A7807" s="12"/>
      <c r="E7807" s="57" t="str">
        <f ca="1">IFERROR(__xludf.DUMMYFUNCTION("""COMPUTED_VALUE"""),"")</f>
        <v/>
      </c>
    </row>
    <row r="7808" spans="1:5">
      <c r="A7808" s="12"/>
      <c r="E7808" s="57" t="str">
        <f ca="1">IFERROR(__xludf.DUMMYFUNCTION("""COMPUTED_VALUE"""),"")</f>
        <v/>
      </c>
    </row>
    <row r="7809" spans="1:5">
      <c r="A7809" s="12"/>
      <c r="E7809" s="57" t="str">
        <f ca="1">IFERROR(__xludf.DUMMYFUNCTION("""COMPUTED_VALUE"""),"")</f>
        <v/>
      </c>
    </row>
    <row r="7810" spans="1:5">
      <c r="A7810" s="12"/>
      <c r="E7810" s="57" t="str">
        <f ca="1">IFERROR(__xludf.DUMMYFUNCTION("""COMPUTED_VALUE"""),"")</f>
        <v/>
      </c>
    </row>
    <row r="7811" spans="1:5">
      <c r="A7811" s="12"/>
      <c r="E7811" s="57" t="str">
        <f ca="1">IFERROR(__xludf.DUMMYFUNCTION("""COMPUTED_VALUE"""),"")</f>
        <v/>
      </c>
    </row>
    <row r="7812" spans="1:5">
      <c r="A7812" s="12"/>
      <c r="E7812" s="57" t="str">
        <f ca="1">IFERROR(__xludf.DUMMYFUNCTION("""COMPUTED_VALUE"""),"")</f>
        <v/>
      </c>
    </row>
    <row r="7813" spans="1:5">
      <c r="A7813" s="12"/>
      <c r="E7813" s="57" t="str">
        <f ca="1">IFERROR(__xludf.DUMMYFUNCTION("""COMPUTED_VALUE"""),"")</f>
        <v/>
      </c>
    </row>
    <row r="7814" spans="1:5">
      <c r="A7814" s="12"/>
      <c r="E7814" s="57" t="str">
        <f ca="1">IFERROR(__xludf.DUMMYFUNCTION("""COMPUTED_VALUE"""),"")</f>
        <v/>
      </c>
    </row>
    <row r="7815" spans="1:5">
      <c r="A7815" s="12"/>
      <c r="E7815" s="57" t="str">
        <f ca="1">IFERROR(__xludf.DUMMYFUNCTION("""COMPUTED_VALUE"""),"")</f>
        <v/>
      </c>
    </row>
    <row r="7816" spans="1:5">
      <c r="A7816" s="12"/>
      <c r="E7816" s="57" t="str">
        <f ca="1">IFERROR(__xludf.DUMMYFUNCTION("""COMPUTED_VALUE"""),"")</f>
        <v/>
      </c>
    </row>
    <row r="7817" spans="1:5">
      <c r="A7817" s="12"/>
      <c r="E7817" s="57" t="str">
        <f ca="1">IFERROR(__xludf.DUMMYFUNCTION("""COMPUTED_VALUE"""),"")</f>
        <v/>
      </c>
    </row>
    <row r="7818" spans="1:5">
      <c r="A7818" s="12"/>
      <c r="E7818" s="57" t="str">
        <f ca="1">IFERROR(__xludf.DUMMYFUNCTION("""COMPUTED_VALUE"""),"")</f>
        <v/>
      </c>
    </row>
    <row r="7819" spans="1:5">
      <c r="A7819" s="12"/>
      <c r="E7819" s="57" t="str">
        <f ca="1">IFERROR(__xludf.DUMMYFUNCTION("""COMPUTED_VALUE"""),"")</f>
        <v/>
      </c>
    </row>
    <row r="7820" spans="1:5">
      <c r="A7820" s="12"/>
      <c r="E7820" s="57" t="str">
        <f ca="1">IFERROR(__xludf.DUMMYFUNCTION("""COMPUTED_VALUE"""),"")</f>
        <v/>
      </c>
    </row>
    <row r="7821" spans="1:5">
      <c r="A7821" s="12"/>
      <c r="E7821" s="57" t="str">
        <f ca="1">IFERROR(__xludf.DUMMYFUNCTION("""COMPUTED_VALUE"""),"")</f>
        <v/>
      </c>
    </row>
    <row r="7822" spans="1:5">
      <c r="A7822" s="12"/>
      <c r="E7822" s="57" t="str">
        <f ca="1">IFERROR(__xludf.DUMMYFUNCTION("""COMPUTED_VALUE"""),"")</f>
        <v/>
      </c>
    </row>
    <row r="7823" spans="1:5">
      <c r="A7823" s="12"/>
      <c r="E7823" s="57" t="str">
        <f ca="1">IFERROR(__xludf.DUMMYFUNCTION("""COMPUTED_VALUE"""),"")</f>
        <v/>
      </c>
    </row>
    <row r="7824" spans="1:5">
      <c r="A7824" s="12"/>
      <c r="E7824" s="57" t="str">
        <f ca="1">IFERROR(__xludf.DUMMYFUNCTION("""COMPUTED_VALUE"""),"")</f>
        <v/>
      </c>
    </row>
    <row r="7825" spans="1:5">
      <c r="A7825" s="12"/>
      <c r="E7825" s="57" t="str">
        <f ca="1">IFERROR(__xludf.DUMMYFUNCTION("""COMPUTED_VALUE"""),"")</f>
        <v/>
      </c>
    </row>
    <row r="7826" spans="1:5">
      <c r="A7826" s="12"/>
      <c r="E7826" s="57" t="str">
        <f ca="1">IFERROR(__xludf.DUMMYFUNCTION("""COMPUTED_VALUE"""),"")</f>
        <v/>
      </c>
    </row>
    <row r="7827" spans="1:5">
      <c r="A7827" s="12"/>
      <c r="E7827" s="57" t="str">
        <f ca="1">IFERROR(__xludf.DUMMYFUNCTION("""COMPUTED_VALUE"""),"")</f>
        <v/>
      </c>
    </row>
    <row r="7828" spans="1:5">
      <c r="A7828" s="12"/>
      <c r="E7828" s="57" t="str">
        <f ca="1">IFERROR(__xludf.DUMMYFUNCTION("""COMPUTED_VALUE"""),"")</f>
        <v/>
      </c>
    </row>
    <row r="7829" spans="1:5">
      <c r="A7829" s="12"/>
      <c r="E7829" s="57" t="str">
        <f ca="1">IFERROR(__xludf.DUMMYFUNCTION("""COMPUTED_VALUE"""),"")</f>
        <v/>
      </c>
    </row>
    <row r="7830" spans="1:5">
      <c r="A7830" s="12"/>
      <c r="E7830" s="57" t="str">
        <f ca="1">IFERROR(__xludf.DUMMYFUNCTION("""COMPUTED_VALUE"""),"")</f>
        <v/>
      </c>
    </row>
    <row r="7831" spans="1:5">
      <c r="A7831" s="12"/>
      <c r="E7831" s="57" t="str">
        <f ca="1">IFERROR(__xludf.DUMMYFUNCTION("""COMPUTED_VALUE"""),"")</f>
        <v/>
      </c>
    </row>
    <row r="7832" spans="1:5">
      <c r="A7832" s="12"/>
      <c r="E7832" s="57" t="str">
        <f ca="1">IFERROR(__xludf.DUMMYFUNCTION("""COMPUTED_VALUE"""),"")</f>
        <v/>
      </c>
    </row>
    <row r="7833" spans="1:5">
      <c r="A7833" s="12"/>
      <c r="E7833" s="57" t="str">
        <f ca="1">IFERROR(__xludf.DUMMYFUNCTION("""COMPUTED_VALUE"""),"")</f>
        <v/>
      </c>
    </row>
    <row r="7834" spans="1:5">
      <c r="A7834" s="12"/>
      <c r="E7834" s="57" t="str">
        <f ca="1">IFERROR(__xludf.DUMMYFUNCTION("""COMPUTED_VALUE"""),"")</f>
        <v/>
      </c>
    </row>
    <row r="7835" spans="1:5">
      <c r="A7835" s="12"/>
      <c r="E7835" s="57" t="str">
        <f ca="1">IFERROR(__xludf.DUMMYFUNCTION("""COMPUTED_VALUE"""),"")</f>
        <v/>
      </c>
    </row>
    <row r="7836" spans="1:5">
      <c r="A7836" s="12"/>
      <c r="E7836" s="57" t="str">
        <f ca="1">IFERROR(__xludf.DUMMYFUNCTION("""COMPUTED_VALUE"""),"")</f>
        <v/>
      </c>
    </row>
    <row r="7837" spans="1:5">
      <c r="A7837" s="12"/>
      <c r="E7837" s="57" t="str">
        <f ca="1">IFERROR(__xludf.DUMMYFUNCTION("""COMPUTED_VALUE"""),"")</f>
        <v/>
      </c>
    </row>
    <row r="7838" spans="1:5">
      <c r="A7838" s="12"/>
      <c r="E7838" s="57" t="str">
        <f ca="1">IFERROR(__xludf.DUMMYFUNCTION("""COMPUTED_VALUE"""),"")</f>
        <v/>
      </c>
    </row>
    <row r="7839" spans="1:5">
      <c r="A7839" s="12"/>
      <c r="E7839" s="57" t="str">
        <f ca="1">IFERROR(__xludf.DUMMYFUNCTION("""COMPUTED_VALUE"""),"")</f>
        <v/>
      </c>
    </row>
    <row r="7840" spans="1:5">
      <c r="A7840" s="12"/>
      <c r="E7840" s="57" t="str">
        <f ca="1">IFERROR(__xludf.DUMMYFUNCTION("""COMPUTED_VALUE"""),"")</f>
        <v/>
      </c>
    </row>
    <row r="7841" spans="1:5">
      <c r="A7841" s="12"/>
      <c r="E7841" s="57" t="str">
        <f ca="1">IFERROR(__xludf.DUMMYFUNCTION("""COMPUTED_VALUE"""),"")</f>
        <v/>
      </c>
    </row>
    <row r="7842" spans="1:5">
      <c r="A7842" s="12"/>
      <c r="E7842" s="57" t="str">
        <f ca="1">IFERROR(__xludf.DUMMYFUNCTION("""COMPUTED_VALUE"""),"")</f>
        <v/>
      </c>
    </row>
    <row r="7843" spans="1:5">
      <c r="A7843" s="12"/>
      <c r="E7843" s="57" t="str">
        <f ca="1">IFERROR(__xludf.DUMMYFUNCTION("""COMPUTED_VALUE"""),"")</f>
        <v/>
      </c>
    </row>
    <row r="7844" spans="1:5">
      <c r="A7844" s="12"/>
      <c r="E7844" s="57" t="str">
        <f ca="1">IFERROR(__xludf.DUMMYFUNCTION("""COMPUTED_VALUE"""),"")</f>
        <v/>
      </c>
    </row>
    <row r="7845" spans="1:5">
      <c r="A7845" s="12"/>
      <c r="E7845" s="57" t="str">
        <f ca="1">IFERROR(__xludf.DUMMYFUNCTION("""COMPUTED_VALUE"""),"")</f>
        <v/>
      </c>
    </row>
    <row r="7846" spans="1:5">
      <c r="A7846" s="12"/>
      <c r="E7846" s="57" t="str">
        <f ca="1">IFERROR(__xludf.DUMMYFUNCTION("""COMPUTED_VALUE"""),"")</f>
        <v/>
      </c>
    </row>
    <row r="7847" spans="1:5">
      <c r="A7847" s="12"/>
      <c r="E7847" s="57" t="str">
        <f ca="1">IFERROR(__xludf.DUMMYFUNCTION("""COMPUTED_VALUE"""),"")</f>
        <v/>
      </c>
    </row>
    <row r="7848" spans="1:5">
      <c r="A7848" s="12"/>
      <c r="E7848" s="57" t="str">
        <f ca="1">IFERROR(__xludf.DUMMYFUNCTION("""COMPUTED_VALUE"""),"")</f>
        <v/>
      </c>
    </row>
    <row r="7849" spans="1:5">
      <c r="A7849" s="12"/>
      <c r="E7849" s="57" t="str">
        <f ca="1">IFERROR(__xludf.DUMMYFUNCTION("""COMPUTED_VALUE"""),"")</f>
        <v/>
      </c>
    </row>
    <row r="7850" spans="1:5">
      <c r="A7850" s="12"/>
      <c r="E7850" s="57" t="str">
        <f ca="1">IFERROR(__xludf.DUMMYFUNCTION("""COMPUTED_VALUE"""),"")</f>
        <v/>
      </c>
    </row>
    <row r="7851" spans="1:5">
      <c r="A7851" s="12"/>
      <c r="E7851" s="57" t="str">
        <f ca="1">IFERROR(__xludf.DUMMYFUNCTION("""COMPUTED_VALUE"""),"")</f>
        <v/>
      </c>
    </row>
    <row r="7852" spans="1:5">
      <c r="A7852" s="12"/>
      <c r="E7852" s="57" t="str">
        <f ca="1">IFERROR(__xludf.DUMMYFUNCTION("""COMPUTED_VALUE"""),"")</f>
        <v/>
      </c>
    </row>
    <row r="7853" spans="1:5">
      <c r="A7853" s="12"/>
      <c r="E7853" s="57" t="str">
        <f ca="1">IFERROR(__xludf.DUMMYFUNCTION("""COMPUTED_VALUE"""),"")</f>
        <v/>
      </c>
    </row>
    <row r="7854" spans="1:5">
      <c r="A7854" s="12"/>
      <c r="E7854" s="57" t="str">
        <f ca="1">IFERROR(__xludf.DUMMYFUNCTION("""COMPUTED_VALUE"""),"")</f>
        <v/>
      </c>
    </row>
    <row r="7855" spans="1:5">
      <c r="A7855" s="12"/>
      <c r="E7855" s="57" t="str">
        <f ca="1">IFERROR(__xludf.DUMMYFUNCTION("""COMPUTED_VALUE"""),"")</f>
        <v/>
      </c>
    </row>
    <row r="7856" spans="1:5">
      <c r="A7856" s="12"/>
      <c r="E7856" s="57" t="str">
        <f ca="1">IFERROR(__xludf.DUMMYFUNCTION("""COMPUTED_VALUE"""),"")</f>
        <v/>
      </c>
    </row>
    <row r="7857" spans="1:5">
      <c r="A7857" s="12"/>
      <c r="E7857" s="57" t="str">
        <f ca="1">IFERROR(__xludf.DUMMYFUNCTION("""COMPUTED_VALUE"""),"")</f>
        <v/>
      </c>
    </row>
    <row r="7858" spans="1:5">
      <c r="A7858" s="12"/>
      <c r="E7858" s="57" t="str">
        <f ca="1">IFERROR(__xludf.DUMMYFUNCTION("""COMPUTED_VALUE"""),"")</f>
        <v/>
      </c>
    </row>
    <row r="7859" spans="1:5">
      <c r="A7859" s="12"/>
      <c r="E7859" s="57" t="str">
        <f ca="1">IFERROR(__xludf.DUMMYFUNCTION("""COMPUTED_VALUE"""),"")</f>
        <v/>
      </c>
    </row>
    <row r="7860" spans="1:5">
      <c r="A7860" s="12"/>
      <c r="E7860" s="57" t="str">
        <f ca="1">IFERROR(__xludf.DUMMYFUNCTION("""COMPUTED_VALUE"""),"")</f>
        <v/>
      </c>
    </row>
    <row r="7861" spans="1:5">
      <c r="A7861" s="12"/>
      <c r="E7861" s="57" t="str">
        <f ca="1">IFERROR(__xludf.DUMMYFUNCTION("""COMPUTED_VALUE"""),"")</f>
        <v/>
      </c>
    </row>
    <row r="7862" spans="1:5">
      <c r="A7862" s="12"/>
      <c r="E7862" s="57" t="str">
        <f ca="1">IFERROR(__xludf.DUMMYFUNCTION("""COMPUTED_VALUE"""),"")</f>
        <v/>
      </c>
    </row>
    <row r="7863" spans="1:5">
      <c r="A7863" s="12"/>
      <c r="E7863" s="57" t="str">
        <f ca="1">IFERROR(__xludf.DUMMYFUNCTION("""COMPUTED_VALUE"""),"")</f>
        <v/>
      </c>
    </row>
    <row r="7864" spans="1:5">
      <c r="A7864" s="12"/>
      <c r="E7864" s="57" t="str">
        <f ca="1">IFERROR(__xludf.DUMMYFUNCTION("""COMPUTED_VALUE"""),"")</f>
        <v/>
      </c>
    </row>
    <row r="7865" spans="1:5">
      <c r="A7865" s="12"/>
      <c r="E7865" s="57" t="str">
        <f ca="1">IFERROR(__xludf.DUMMYFUNCTION("""COMPUTED_VALUE"""),"")</f>
        <v/>
      </c>
    </row>
    <row r="7866" spans="1:5">
      <c r="A7866" s="12"/>
      <c r="E7866" s="57" t="str">
        <f ca="1">IFERROR(__xludf.DUMMYFUNCTION("""COMPUTED_VALUE"""),"")</f>
        <v/>
      </c>
    </row>
    <row r="7867" spans="1:5">
      <c r="A7867" s="12"/>
      <c r="E7867" s="57" t="str">
        <f ca="1">IFERROR(__xludf.DUMMYFUNCTION("""COMPUTED_VALUE"""),"")</f>
        <v/>
      </c>
    </row>
    <row r="7868" spans="1:5">
      <c r="A7868" s="12"/>
      <c r="E7868" s="57" t="str">
        <f ca="1">IFERROR(__xludf.DUMMYFUNCTION("""COMPUTED_VALUE"""),"")</f>
        <v/>
      </c>
    </row>
    <row r="7869" spans="1:5">
      <c r="A7869" s="12"/>
      <c r="E7869" s="57" t="str">
        <f ca="1">IFERROR(__xludf.DUMMYFUNCTION("""COMPUTED_VALUE"""),"")</f>
        <v/>
      </c>
    </row>
    <row r="7870" spans="1:5">
      <c r="A7870" s="12"/>
      <c r="E7870" s="57" t="str">
        <f ca="1">IFERROR(__xludf.DUMMYFUNCTION("""COMPUTED_VALUE"""),"")</f>
        <v/>
      </c>
    </row>
    <row r="7871" spans="1:5">
      <c r="A7871" s="12"/>
      <c r="E7871" s="57" t="str">
        <f ca="1">IFERROR(__xludf.DUMMYFUNCTION("""COMPUTED_VALUE"""),"")</f>
        <v/>
      </c>
    </row>
    <row r="7872" spans="1:5">
      <c r="A7872" s="12"/>
      <c r="E7872" s="57" t="str">
        <f ca="1">IFERROR(__xludf.DUMMYFUNCTION("""COMPUTED_VALUE"""),"")</f>
        <v/>
      </c>
    </row>
    <row r="7873" spans="1:5">
      <c r="A7873" s="12"/>
      <c r="E7873" s="57" t="str">
        <f ca="1">IFERROR(__xludf.DUMMYFUNCTION("""COMPUTED_VALUE"""),"")</f>
        <v/>
      </c>
    </row>
    <row r="7874" spans="1:5">
      <c r="A7874" s="12"/>
      <c r="E7874" s="57" t="str">
        <f ca="1">IFERROR(__xludf.DUMMYFUNCTION("""COMPUTED_VALUE"""),"")</f>
        <v/>
      </c>
    </row>
    <row r="7875" spans="1:5">
      <c r="A7875" s="12"/>
      <c r="E7875" s="57" t="str">
        <f ca="1">IFERROR(__xludf.DUMMYFUNCTION("""COMPUTED_VALUE"""),"")</f>
        <v/>
      </c>
    </row>
    <row r="7876" spans="1:5">
      <c r="A7876" s="12"/>
      <c r="E7876" s="57" t="str">
        <f ca="1">IFERROR(__xludf.DUMMYFUNCTION("""COMPUTED_VALUE"""),"")</f>
        <v/>
      </c>
    </row>
    <row r="7877" spans="1:5">
      <c r="A7877" s="12"/>
      <c r="E7877" s="57" t="str">
        <f ca="1">IFERROR(__xludf.DUMMYFUNCTION("""COMPUTED_VALUE"""),"")</f>
        <v/>
      </c>
    </row>
    <row r="7878" spans="1:5">
      <c r="A7878" s="12"/>
      <c r="E7878" s="57" t="str">
        <f ca="1">IFERROR(__xludf.DUMMYFUNCTION("""COMPUTED_VALUE"""),"")</f>
        <v/>
      </c>
    </row>
    <row r="7879" spans="1:5">
      <c r="A7879" s="12"/>
      <c r="E7879" s="57" t="str">
        <f ca="1">IFERROR(__xludf.DUMMYFUNCTION("""COMPUTED_VALUE"""),"")</f>
        <v/>
      </c>
    </row>
    <row r="7880" spans="1:5">
      <c r="A7880" s="12"/>
      <c r="E7880" s="57" t="str">
        <f ca="1">IFERROR(__xludf.DUMMYFUNCTION("""COMPUTED_VALUE"""),"")</f>
        <v/>
      </c>
    </row>
    <row r="7881" spans="1:5">
      <c r="A7881" s="12"/>
      <c r="E7881" s="57" t="str">
        <f ca="1">IFERROR(__xludf.DUMMYFUNCTION("""COMPUTED_VALUE"""),"")</f>
        <v/>
      </c>
    </row>
    <row r="7882" spans="1:5">
      <c r="A7882" s="12"/>
      <c r="E7882" s="57" t="str">
        <f ca="1">IFERROR(__xludf.DUMMYFUNCTION("""COMPUTED_VALUE"""),"")</f>
        <v/>
      </c>
    </row>
    <row r="7883" spans="1:5">
      <c r="A7883" s="12"/>
      <c r="E7883" s="57" t="str">
        <f ca="1">IFERROR(__xludf.DUMMYFUNCTION("""COMPUTED_VALUE"""),"")</f>
        <v/>
      </c>
    </row>
    <row r="7884" spans="1:5">
      <c r="A7884" s="12"/>
      <c r="E7884" s="57" t="str">
        <f ca="1">IFERROR(__xludf.DUMMYFUNCTION("""COMPUTED_VALUE"""),"")</f>
        <v/>
      </c>
    </row>
    <row r="7885" spans="1:5">
      <c r="A7885" s="12"/>
      <c r="E7885" s="57" t="str">
        <f ca="1">IFERROR(__xludf.DUMMYFUNCTION("""COMPUTED_VALUE"""),"")</f>
        <v/>
      </c>
    </row>
    <row r="7886" spans="1:5">
      <c r="A7886" s="12"/>
      <c r="E7886" s="57" t="str">
        <f ca="1">IFERROR(__xludf.DUMMYFUNCTION("""COMPUTED_VALUE"""),"")</f>
        <v/>
      </c>
    </row>
    <row r="7887" spans="1:5">
      <c r="A7887" s="12"/>
      <c r="E7887" s="57" t="str">
        <f ca="1">IFERROR(__xludf.DUMMYFUNCTION("""COMPUTED_VALUE"""),"")</f>
        <v/>
      </c>
    </row>
    <row r="7888" spans="1:5">
      <c r="A7888" s="12"/>
      <c r="E7888" s="57" t="str">
        <f ca="1">IFERROR(__xludf.DUMMYFUNCTION("""COMPUTED_VALUE"""),"")</f>
        <v/>
      </c>
    </row>
    <row r="7889" spans="1:5">
      <c r="A7889" s="12"/>
      <c r="E7889" s="57" t="str">
        <f ca="1">IFERROR(__xludf.DUMMYFUNCTION("""COMPUTED_VALUE"""),"")</f>
        <v/>
      </c>
    </row>
    <row r="7890" spans="1:5">
      <c r="A7890" s="12"/>
      <c r="E7890" s="57" t="str">
        <f ca="1">IFERROR(__xludf.DUMMYFUNCTION("""COMPUTED_VALUE"""),"")</f>
        <v/>
      </c>
    </row>
    <row r="7891" spans="1:5">
      <c r="A7891" s="12"/>
      <c r="E7891" s="57" t="str">
        <f ca="1">IFERROR(__xludf.DUMMYFUNCTION("""COMPUTED_VALUE"""),"")</f>
        <v/>
      </c>
    </row>
    <row r="7892" spans="1:5">
      <c r="A7892" s="12"/>
      <c r="E7892" s="57" t="str">
        <f ca="1">IFERROR(__xludf.DUMMYFUNCTION("""COMPUTED_VALUE"""),"")</f>
        <v/>
      </c>
    </row>
    <row r="7893" spans="1:5">
      <c r="A7893" s="12"/>
      <c r="E7893" s="57" t="str">
        <f ca="1">IFERROR(__xludf.DUMMYFUNCTION("""COMPUTED_VALUE"""),"")</f>
        <v/>
      </c>
    </row>
    <row r="7894" spans="1:5">
      <c r="A7894" s="12"/>
      <c r="E7894" s="57" t="str">
        <f ca="1">IFERROR(__xludf.DUMMYFUNCTION("""COMPUTED_VALUE"""),"")</f>
        <v/>
      </c>
    </row>
    <row r="7895" spans="1:5">
      <c r="A7895" s="12"/>
      <c r="E7895" s="57" t="str">
        <f ca="1">IFERROR(__xludf.DUMMYFUNCTION("""COMPUTED_VALUE"""),"")</f>
        <v/>
      </c>
    </row>
    <row r="7896" spans="1:5">
      <c r="A7896" s="12"/>
      <c r="E7896" s="57" t="str">
        <f ca="1">IFERROR(__xludf.DUMMYFUNCTION("""COMPUTED_VALUE"""),"")</f>
        <v/>
      </c>
    </row>
    <row r="7897" spans="1:5">
      <c r="A7897" s="12"/>
      <c r="E7897" s="57" t="str">
        <f ca="1">IFERROR(__xludf.DUMMYFUNCTION("""COMPUTED_VALUE"""),"")</f>
        <v/>
      </c>
    </row>
    <row r="7898" spans="1:5">
      <c r="A7898" s="12"/>
      <c r="E7898" s="57" t="str">
        <f ca="1">IFERROR(__xludf.DUMMYFUNCTION("""COMPUTED_VALUE"""),"")</f>
        <v/>
      </c>
    </row>
    <row r="7899" spans="1:5">
      <c r="A7899" s="12"/>
      <c r="E7899" s="57" t="str">
        <f ca="1">IFERROR(__xludf.DUMMYFUNCTION("""COMPUTED_VALUE"""),"")</f>
        <v/>
      </c>
    </row>
    <row r="7900" spans="1:5">
      <c r="A7900" s="12"/>
      <c r="E7900" s="57" t="str">
        <f ca="1">IFERROR(__xludf.DUMMYFUNCTION("""COMPUTED_VALUE"""),"")</f>
        <v/>
      </c>
    </row>
    <row r="7901" spans="1:5">
      <c r="A7901" s="12"/>
      <c r="E7901" s="57" t="str">
        <f ca="1">IFERROR(__xludf.DUMMYFUNCTION("""COMPUTED_VALUE"""),"")</f>
        <v/>
      </c>
    </row>
    <row r="7902" spans="1:5">
      <c r="A7902" s="12"/>
      <c r="E7902" s="57" t="str">
        <f ca="1">IFERROR(__xludf.DUMMYFUNCTION("""COMPUTED_VALUE"""),"")</f>
        <v/>
      </c>
    </row>
    <row r="7903" spans="1:5">
      <c r="A7903" s="12"/>
      <c r="E7903" s="57" t="str">
        <f ca="1">IFERROR(__xludf.DUMMYFUNCTION("""COMPUTED_VALUE"""),"")</f>
        <v/>
      </c>
    </row>
    <row r="7904" spans="1:5">
      <c r="A7904" s="12"/>
      <c r="E7904" s="57" t="str">
        <f ca="1">IFERROR(__xludf.DUMMYFUNCTION("""COMPUTED_VALUE"""),"")</f>
        <v/>
      </c>
    </row>
    <row r="7905" spans="1:5">
      <c r="A7905" s="12"/>
      <c r="E7905" s="57" t="str">
        <f ca="1">IFERROR(__xludf.DUMMYFUNCTION("""COMPUTED_VALUE"""),"")</f>
        <v/>
      </c>
    </row>
    <row r="7906" spans="1:5">
      <c r="A7906" s="12"/>
      <c r="E7906" s="57" t="str">
        <f ca="1">IFERROR(__xludf.DUMMYFUNCTION("""COMPUTED_VALUE"""),"")</f>
        <v/>
      </c>
    </row>
    <row r="7907" spans="1:5">
      <c r="A7907" s="12"/>
      <c r="E7907" s="57" t="str">
        <f ca="1">IFERROR(__xludf.DUMMYFUNCTION("""COMPUTED_VALUE"""),"")</f>
        <v/>
      </c>
    </row>
    <row r="7908" spans="1:5">
      <c r="A7908" s="12"/>
      <c r="E7908" s="57" t="str">
        <f ca="1">IFERROR(__xludf.DUMMYFUNCTION("""COMPUTED_VALUE"""),"")</f>
        <v/>
      </c>
    </row>
    <row r="7909" spans="1:5">
      <c r="A7909" s="12"/>
      <c r="E7909" s="57" t="str">
        <f ca="1">IFERROR(__xludf.DUMMYFUNCTION("""COMPUTED_VALUE"""),"")</f>
        <v/>
      </c>
    </row>
    <row r="7910" spans="1:5">
      <c r="A7910" s="12"/>
      <c r="E7910" s="57" t="str">
        <f ca="1">IFERROR(__xludf.DUMMYFUNCTION("""COMPUTED_VALUE"""),"")</f>
        <v/>
      </c>
    </row>
    <row r="7911" spans="1:5">
      <c r="A7911" s="12"/>
      <c r="E7911" s="57" t="str">
        <f ca="1">IFERROR(__xludf.DUMMYFUNCTION("""COMPUTED_VALUE"""),"")</f>
        <v/>
      </c>
    </row>
    <row r="7912" spans="1:5">
      <c r="A7912" s="12"/>
      <c r="E7912" s="57" t="str">
        <f ca="1">IFERROR(__xludf.DUMMYFUNCTION("""COMPUTED_VALUE"""),"")</f>
        <v/>
      </c>
    </row>
    <row r="7913" spans="1:5">
      <c r="A7913" s="12"/>
      <c r="E7913" s="57" t="str">
        <f ca="1">IFERROR(__xludf.DUMMYFUNCTION("""COMPUTED_VALUE"""),"")</f>
        <v/>
      </c>
    </row>
    <row r="7914" spans="1:5">
      <c r="A7914" s="12"/>
      <c r="E7914" s="57" t="str">
        <f ca="1">IFERROR(__xludf.DUMMYFUNCTION("""COMPUTED_VALUE"""),"")</f>
        <v/>
      </c>
    </row>
    <row r="7915" spans="1:5">
      <c r="A7915" s="12"/>
      <c r="E7915" s="57" t="str">
        <f ca="1">IFERROR(__xludf.DUMMYFUNCTION("""COMPUTED_VALUE"""),"")</f>
        <v/>
      </c>
    </row>
    <row r="7916" spans="1:5">
      <c r="A7916" s="12"/>
      <c r="E7916" s="57" t="str">
        <f ca="1">IFERROR(__xludf.DUMMYFUNCTION("""COMPUTED_VALUE"""),"")</f>
        <v/>
      </c>
    </row>
    <row r="7917" spans="1:5">
      <c r="A7917" s="12"/>
      <c r="E7917" s="57" t="str">
        <f ca="1">IFERROR(__xludf.DUMMYFUNCTION("""COMPUTED_VALUE"""),"")</f>
        <v/>
      </c>
    </row>
    <row r="7918" spans="1:5">
      <c r="A7918" s="12"/>
      <c r="E7918" s="57" t="str">
        <f ca="1">IFERROR(__xludf.DUMMYFUNCTION("""COMPUTED_VALUE"""),"")</f>
        <v/>
      </c>
    </row>
    <row r="7919" spans="1:5">
      <c r="A7919" s="12"/>
      <c r="E7919" s="57" t="str">
        <f ca="1">IFERROR(__xludf.DUMMYFUNCTION("""COMPUTED_VALUE"""),"")</f>
        <v/>
      </c>
    </row>
    <row r="7920" spans="1:5">
      <c r="A7920" s="12"/>
      <c r="E7920" s="57" t="str">
        <f ca="1">IFERROR(__xludf.DUMMYFUNCTION("""COMPUTED_VALUE"""),"")</f>
        <v/>
      </c>
    </row>
    <row r="7921" spans="1:5">
      <c r="A7921" s="12"/>
      <c r="E7921" s="57" t="str">
        <f ca="1">IFERROR(__xludf.DUMMYFUNCTION("""COMPUTED_VALUE"""),"")</f>
        <v/>
      </c>
    </row>
    <row r="7922" spans="1:5">
      <c r="A7922" s="12"/>
      <c r="E7922" s="57" t="str">
        <f ca="1">IFERROR(__xludf.DUMMYFUNCTION("""COMPUTED_VALUE"""),"")</f>
        <v/>
      </c>
    </row>
    <row r="7923" spans="1:5">
      <c r="A7923" s="12"/>
      <c r="E7923" s="57" t="str">
        <f ca="1">IFERROR(__xludf.DUMMYFUNCTION("""COMPUTED_VALUE"""),"")</f>
        <v/>
      </c>
    </row>
    <row r="7924" spans="1:5">
      <c r="A7924" s="12"/>
      <c r="E7924" s="57" t="str">
        <f ca="1">IFERROR(__xludf.DUMMYFUNCTION("""COMPUTED_VALUE"""),"")</f>
        <v/>
      </c>
    </row>
    <row r="7925" spans="1:5">
      <c r="A7925" s="12"/>
      <c r="E7925" s="57" t="str">
        <f ca="1">IFERROR(__xludf.DUMMYFUNCTION("""COMPUTED_VALUE"""),"")</f>
        <v/>
      </c>
    </row>
    <row r="7926" spans="1:5">
      <c r="A7926" s="12"/>
      <c r="E7926" s="57" t="str">
        <f ca="1">IFERROR(__xludf.DUMMYFUNCTION("""COMPUTED_VALUE"""),"")</f>
        <v/>
      </c>
    </row>
    <row r="7927" spans="1:5">
      <c r="A7927" s="12"/>
      <c r="E7927" s="57" t="str">
        <f ca="1">IFERROR(__xludf.DUMMYFUNCTION("""COMPUTED_VALUE"""),"")</f>
        <v/>
      </c>
    </row>
    <row r="7928" spans="1:5">
      <c r="A7928" s="12"/>
      <c r="E7928" s="57" t="str">
        <f ca="1">IFERROR(__xludf.DUMMYFUNCTION("""COMPUTED_VALUE"""),"")</f>
        <v/>
      </c>
    </row>
    <row r="7929" spans="1:5">
      <c r="A7929" s="12"/>
      <c r="E7929" s="57" t="str">
        <f ca="1">IFERROR(__xludf.DUMMYFUNCTION("""COMPUTED_VALUE"""),"")</f>
        <v/>
      </c>
    </row>
    <row r="7930" spans="1:5">
      <c r="A7930" s="12"/>
      <c r="E7930" s="57" t="str">
        <f ca="1">IFERROR(__xludf.DUMMYFUNCTION("""COMPUTED_VALUE"""),"")</f>
        <v/>
      </c>
    </row>
    <row r="7931" spans="1:5">
      <c r="A7931" s="12"/>
      <c r="E7931" s="57" t="str">
        <f ca="1">IFERROR(__xludf.DUMMYFUNCTION("""COMPUTED_VALUE"""),"")</f>
        <v/>
      </c>
    </row>
    <row r="7932" spans="1:5">
      <c r="A7932" s="12"/>
      <c r="E7932" s="57" t="str">
        <f ca="1">IFERROR(__xludf.DUMMYFUNCTION("""COMPUTED_VALUE"""),"")</f>
        <v/>
      </c>
    </row>
    <row r="7933" spans="1:5">
      <c r="A7933" s="12"/>
      <c r="E7933" s="57" t="str">
        <f ca="1">IFERROR(__xludf.DUMMYFUNCTION("""COMPUTED_VALUE"""),"")</f>
        <v/>
      </c>
    </row>
    <row r="7934" spans="1:5">
      <c r="A7934" s="12"/>
      <c r="E7934" s="57" t="str">
        <f ca="1">IFERROR(__xludf.DUMMYFUNCTION("""COMPUTED_VALUE"""),"")</f>
        <v/>
      </c>
    </row>
    <row r="7935" spans="1:5">
      <c r="A7935" s="12"/>
      <c r="E7935" s="57" t="str">
        <f ca="1">IFERROR(__xludf.DUMMYFUNCTION("""COMPUTED_VALUE"""),"")</f>
        <v/>
      </c>
    </row>
    <row r="7936" spans="1:5">
      <c r="A7936" s="12"/>
      <c r="E7936" s="57" t="str">
        <f ca="1">IFERROR(__xludf.DUMMYFUNCTION("""COMPUTED_VALUE"""),"")</f>
        <v/>
      </c>
    </row>
    <row r="7937" spans="1:5">
      <c r="A7937" s="12"/>
      <c r="E7937" s="57" t="str">
        <f ca="1">IFERROR(__xludf.DUMMYFUNCTION("""COMPUTED_VALUE"""),"")</f>
        <v/>
      </c>
    </row>
    <row r="7938" spans="1:5">
      <c r="A7938" s="12"/>
      <c r="E7938" s="57" t="str">
        <f ca="1">IFERROR(__xludf.DUMMYFUNCTION("""COMPUTED_VALUE"""),"")</f>
        <v/>
      </c>
    </row>
    <row r="7939" spans="1:5">
      <c r="A7939" s="12"/>
      <c r="E7939" s="57" t="str">
        <f ca="1">IFERROR(__xludf.DUMMYFUNCTION("""COMPUTED_VALUE"""),"")</f>
        <v/>
      </c>
    </row>
    <row r="7940" spans="1:5">
      <c r="A7940" s="12"/>
      <c r="E7940" s="57" t="str">
        <f ca="1">IFERROR(__xludf.DUMMYFUNCTION("""COMPUTED_VALUE"""),"")</f>
        <v/>
      </c>
    </row>
    <row r="7941" spans="1:5">
      <c r="A7941" s="12"/>
      <c r="E7941" s="57" t="str">
        <f ca="1">IFERROR(__xludf.DUMMYFUNCTION("""COMPUTED_VALUE"""),"")</f>
        <v/>
      </c>
    </row>
    <row r="7942" spans="1:5">
      <c r="A7942" s="12"/>
      <c r="E7942" s="57" t="str">
        <f ca="1">IFERROR(__xludf.DUMMYFUNCTION("""COMPUTED_VALUE"""),"")</f>
        <v/>
      </c>
    </row>
    <row r="7943" spans="1:5">
      <c r="A7943" s="12"/>
      <c r="E7943" s="57" t="str">
        <f ca="1">IFERROR(__xludf.DUMMYFUNCTION("""COMPUTED_VALUE"""),"")</f>
        <v/>
      </c>
    </row>
    <row r="7944" spans="1:5">
      <c r="A7944" s="12"/>
      <c r="E7944" s="57" t="str">
        <f ca="1">IFERROR(__xludf.DUMMYFUNCTION("""COMPUTED_VALUE"""),"")</f>
        <v/>
      </c>
    </row>
    <row r="7945" spans="1:5">
      <c r="A7945" s="12"/>
      <c r="E7945" s="57" t="str">
        <f ca="1">IFERROR(__xludf.DUMMYFUNCTION("""COMPUTED_VALUE"""),"")</f>
        <v/>
      </c>
    </row>
    <row r="7946" spans="1:5">
      <c r="A7946" s="12"/>
      <c r="E7946" s="57" t="str">
        <f ca="1">IFERROR(__xludf.DUMMYFUNCTION("""COMPUTED_VALUE"""),"")</f>
        <v/>
      </c>
    </row>
    <row r="7947" spans="1:5">
      <c r="A7947" s="12"/>
      <c r="E7947" s="57" t="str">
        <f ca="1">IFERROR(__xludf.DUMMYFUNCTION("""COMPUTED_VALUE"""),"")</f>
        <v/>
      </c>
    </row>
    <row r="7948" spans="1:5">
      <c r="A7948" s="12"/>
      <c r="E7948" s="57" t="str">
        <f ca="1">IFERROR(__xludf.DUMMYFUNCTION("""COMPUTED_VALUE"""),"")</f>
        <v/>
      </c>
    </row>
    <row r="7949" spans="1:5">
      <c r="A7949" s="12"/>
      <c r="E7949" s="57" t="str">
        <f ca="1">IFERROR(__xludf.DUMMYFUNCTION("""COMPUTED_VALUE"""),"")</f>
        <v/>
      </c>
    </row>
    <row r="7950" spans="1:5">
      <c r="A7950" s="12"/>
      <c r="E7950" s="57" t="str">
        <f ca="1">IFERROR(__xludf.DUMMYFUNCTION("""COMPUTED_VALUE"""),"")</f>
        <v/>
      </c>
    </row>
    <row r="7951" spans="1:5">
      <c r="A7951" s="12"/>
      <c r="E7951" s="57" t="str">
        <f ca="1">IFERROR(__xludf.DUMMYFUNCTION("""COMPUTED_VALUE"""),"")</f>
        <v/>
      </c>
    </row>
    <row r="7952" spans="1:5">
      <c r="A7952" s="12"/>
      <c r="E7952" s="57" t="str">
        <f ca="1">IFERROR(__xludf.DUMMYFUNCTION("""COMPUTED_VALUE"""),"")</f>
        <v/>
      </c>
    </row>
    <row r="7953" spans="1:5">
      <c r="A7953" s="12"/>
      <c r="E7953" s="57" t="str">
        <f ca="1">IFERROR(__xludf.DUMMYFUNCTION("""COMPUTED_VALUE"""),"")</f>
        <v/>
      </c>
    </row>
    <row r="7954" spans="1:5">
      <c r="A7954" s="12"/>
      <c r="E7954" s="57" t="str">
        <f ca="1">IFERROR(__xludf.DUMMYFUNCTION("""COMPUTED_VALUE"""),"")</f>
        <v/>
      </c>
    </row>
    <row r="7955" spans="1:5">
      <c r="A7955" s="12"/>
      <c r="E7955" s="57" t="str">
        <f ca="1">IFERROR(__xludf.DUMMYFUNCTION("""COMPUTED_VALUE"""),"")</f>
        <v/>
      </c>
    </row>
    <row r="7956" spans="1:5">
      <c r="A7956" s="12"/>
      <c r="E7956" s="57" t="str">
        <f ca="1">IFERROR(__xludf.DUMMYFUNCTION("""COMPUTED_VALUE"""),"")</f>
        <v/>
      </c>
    </row>
    <row r="7957" spans="1:5">
      <c r="A7957" s="12"/>
      <c r="E7957" s="57" t="str">
        <f ca="1">IFERROR(__xludf.DUMMYFUNCTION("""COMPUTED_VALUE"""),"")</f>
        <v/>
      </c>
    </row>
    <row r="7958" spans="1:5">
      <c r="A7958" s="12"/>
      <c r="E7958" s="57" t="str">
        <f ca="1">IFERROR(__xludf.DUMMYFUNCTION("""COMPUTED_VALUE"""),"")</f>
        <v/>
      </c>
    </row>
    <row r="7959" spans="1:5">
      <c r="A7959" s="12"/>
      <c r="E7959" s="57" t="str">
        <f ca="1">IFERROR(__xludf.DUMMYFUNCTION("""COMPUTED_VALUE"""),"")</f>
        <v/>
      </c>
    </row>
    <row r="7960" spans="1:5">
      <c r="A7960" s="12"/>
      <c r="E7960" s="57" t="str">
        <f ca="1">IFERROR(__xludf.DUMMYFUNCTION("""COMPUTED_VALUE"""),"")</f>
        <v/>
      </c>
    </row>
    <row r="7961" spans="1:5">
      <c r="A7961" s="12"/>
      <c r="E7961" s="57" t="str">
        <f ca="1">IFERROR(__xludf.DUMMYFUNCTION("""COMPUTED_VALUE"""),"")</f>
        <v/>
      </c>
    </row>
    <row r="7962" spans="1:5">
      <c r="A7962" s="12"/>
      <c r="E7962" s="57" t="str">
        <f ca="1">IFERROR(__xludf.DUMMYFUNCTION("""COMPUTED_VALUE"""),"")</f>
        <v/>
      </c>
    </row>
    <row r="7963" spans="1:5">
      <c r="A7963" s="12"/>
      <c r="E7963" s="57" t="str">
        <f ca="1">IFERROR(__xludf.DUMMYFUNCTION("""COMPUTED_VALUE"""),"")</f>
        <v/>
      </c>
    </row>
    <row r="7964" spans="1:5">
      <c r="A7964" s="12"/>
      <c r="E7964" s="57" t="str">
        <f ca="1">IFERROR(__xludf.DUMMYFUNCTION("""COMPUTED_VALUE"""),"")</f>
        <v/>
      </c>
    </row>
    <row r="7965" spans="1:5">
      <c r="A7965" s="12"/>
      <c r="E7965" s="57" t="str">
        <f ca="1">IFERROR(__xludf.DUMMYFUNCTION("""COMPUTED_VALUE"""),"")</f>
        <v/>
      </c>
    </row>
    <row r="7966" spans="1:5">
      <c r="A7966" s="12"/>
      <c r="E7966" s="57" t="str">
        <f ca="1">IFERROR(__xludf.DUMMYFUNCTION("""COMPUTED_VALUE"""),"")</f>
        <v/>
      </c>
    </row>
    <row r="7967" spans="1:5">
      <c r="A7967" s="12"/>
      <c r="E7967" s="57" t="str">
        <f ca="1">IFERROR(__xludf.DUMMYFUNCTION("""COMPUTED_VALUE"""),"")</f>
        <v/>
      </c>
    </row>
    <row r="7968" spans="1:5">
      <c r="A7968" s="12"/>
      <c r="E7968" s="57" t="str">
        <f ca="1">IFERROR(__xludf.DUMMYFUNCTION("""COMPUTED_VALUE"""),"")</f>
        <v/>
      </c>
    </row>
    <row r="7969" spans="1:5">
      <c r="A7969" s="12"/>
      <c r="E7969" s="57" t="str">
        <f ca="1">IFERROR(__xludf.DUMMYFUNCTION("""COMPUTED_VALUE"""),"")</f>
        <v/>
      </c>
    </row>
    <row r="7970" spans="1:5">
      <c r="A7970" s="12"/>
      <c r="E7970" s="57" t="str">
        <f ca="1">IFERROR(__xludf.DUMMYFUNCTION("""COMPUTED_VALUE"""),"")</f>
        <v/>
      </c>
    </row>
    <row r="7971" spans="1:5">
      <c r="A7971" s="12"/>
      <c r="E7971" s="57" t="str">
        <f ca="1">IFERROR(__xludf.DUMMYFUNCTION("""COMPUTED_VALUE"""),"")</f>
        <v/>
      </c>
    </row>
    <row r="7972" spans="1:5">
      <c r="A7972" s="12"/>
      <c r="E7972" s="57" t="str">
        <f ca="1">IFERROR(__xludf.DUMMYFUNCTION("""COMPUTED_VALUE"""),"")</f>
        <v/>
      </c>
    </row>
    <row r="7973" spans="1:5">
      <c r="A7973" s="12"/>
      <c r="E7973" s="57" t="str">
        <f ca="1">IFERROR(__xludf.DUMMYFUNCTION("""COMPUTED_VALUE"""),"")</f>
        <v/>
      </c>
    </row>
    <row r="7974" spans="1:5">
      <c r="A7974" s="12"/>
      <c r="E7974" s="57" t="str">
        <f ca="1">IFERROR(__xludf.DUMMYFUNCTION("""COMPUTED_VALUE"""),"")</f>
        <v/>
      </c>
    </row>
    <row r="7975" spans="1:5">
      <c r="A7975" s="12"/>
      <c r="E7975" s="57" t="str">
        <f ca="1">IFERROR(__xludf.DUMMYFUNCTION("""COMPUTED_VALUE"""),"")</f>
        <v/>
      </c>
    </row>
    <row r="7976" spans="1:5">
      <c r="A7976" s="12"/>
      <c r="E7976" s="57" t="str">
        <f ca="1">IFERROR(__xludf.DUMMYFUNCTION("""COMPUTED_VALUE"""),"")</f>
        <v/>
      </c>
    </row>
    <row r="7977" spans="1:5">
      <c r="A7977" s="12"/>
      <c r="E7977" s="57" t="str">
        <f ca="1">IFERROR(__xludf.DUMMYFUNCTION("""COMPUTED_VALUE"""),"")</f>
        <v/>
      </c>
    </row>
    <row r="7978" spans="1:5">
      <c r="A7978" s="12"/>
      <c r="E7978" s="57" t="str">
        <f ca="1">IFERROR(__xludf.DUMMYFUNCTION("""COMPUTED_VALUE"""),"")</f>
        <v/>
      </c>
    </row>
    <row r="7979" spans="1:5">
      <c r="A7979" s="12"/>
      <c r="E7979" s="57" t="str">
        <f ca="1">IFERROR(__xludf.DUMMYFUNCTION("""COMPUTED_VALUE"""),"")</f>
        <v/>
      </c>
    </row>
    <row r="7980" spans="1:5">
      <c r="A7980" s="12"/>
      <c r="E7980" s="57" t="str">
        <f ca="1">IFERROR(__xludf.DUMMYFUNCTION("""COMPUTED_VALUE"""),"")</f>
        <v/>
      </c>
    </row>
    <row r="7981" spans="1:5">
      <c r="A7981" s="12"/>
      <c r="E7981" s="57" t="str">
        <f ca="1">IFERROR(__xludf.DUMMYFUNCTION("""COMPUTED_VALUE"""),"")</f>
        <v/>
      </c>
    </row>
    <row r="7982" spans="1:5">
      <c r="A7982" s="12"/>
      <c r="E7982" s="57" t="str">
        <f ca="1">IFERROR(__xludf.DUMMYFUNCTION("""COMPUTED_VALUE"""),"")</f>
        <v/>
      </c>
    </row>
    <row r="7983" spans="1:5">
      <c r="A7983" s="12"/>
      <c r="E7983" s="57" t="str">
        <f ca="1">IFERROR(__xludf.DUMMYFUNCTION("""COMPUTED_VALUE"""),"")</f>
        <v/>
      </c>
    </row>
    <row r="7984" spans="1:5">
      <c r="A7984" s="12"/>
      <c r="E7984" s="57" t="str">
        <f ca="1">IFERROR(__xludf.DUMMYFUNCTION("""COMPUTED_VALUE"""),"")</f>
        <v/>
      </c>
    </row>
    <row r="7985" spans="1:5">
      <c r="A7985" s="12"/>
      <c r="E7985" s="57" t="str">
        <f ca="1">IFERROR(__xludf.DUMMYFUNCTION("""COMPUTED_VALUE"""),"")</f>
        <v/>
      </c>
    </row>
    <row r="7986" spans="1:5">
      <c r="A7986" s="12"/>
      <c r="E7986" s="57" t="str">
        <f ca="1">IFERROR(__xludf.DUMMYFUNCTION("""COMPUTED_VALUE"""),"")</f>
        <v/>
      </c>
    </row>
    <row r="7987" spans="1:5">
      <c r="A7987" s="12"/>
      <c r="E7987" s="57" t="str">
        <f ca="1">IFERROR(__xludf.DUMMYFUNCTION("""COMPUTED_VALUE"""),"")</f>
        <v/>
      </c>
    </row>
    <row r="7988" spans="1:5">
      <c r="A7988" s="12"/>
      <c r="E7988" s="57" t="str">
        <f ca="1">IFERROR(__xludf.DUMMYFUNCTION("""COMPUTED_VALUE"""),"")</f>
        <v/>
      </c>
    </row>
    <row r="7989" spans="1:5">
      <c r="A7989" s="12"/>
      <c r="E7989" s="57" t="str">
        <f ca="1">IFERROR(__xludf.DUMMYFUNCTION("""COMPUTED_VALUE"""),"")</f>
        <v/>
      </c>
    </row>
    <row r="7990" spans="1:5">
      <c r="A7990" s="12"/>
      <c r="E7990" s="57" t="str">
        <f ca="1">IFERROR(__xludf.DUMMYFUNCTION("""COMPUTED_VALUE"""),"")</f>
        <v/>
      </c>
    </row>
    <row r="7991" spans="1:5">
      <c r="A7991" s="12"/>
      <c r="E7991" s="57" t="str">
        <f ca="1">IFERROR(__xludf.DUMMYFUNCTION("""COMPUTED_VALUE"""),"")</f>
        <v/>
      </c>
    </row>
    <row r="7992" spans="1:5">
      <c r="A7992" s="12"/>
      <c r="E7992" s="57" t="str">
        <f ca="1">IFERROR(__xludf.DUMMYFUNCTION("""COMPUTED_VALUE"""),"")</f>
        <v/>
      </c>
    </row>
    <row r="7993" spans="1:5">
      <c r="A7993" s="12"/>
      <c r="E7993" s="57" t="str">
        <f ca="1">IFERROR(__xludf.DUMMYFUNCTION("""COMPUTED_VALUE"""),"")</f>
        <v/>
      </c>
    </row>
    <row r="7994" spans="1:5">
      <c r="A7994" s="12"/>
      <c r="E7994" s="57" t="str">
        <f ca="1">IFERROR(__xludf.DUMMYFUNCTION("""COMPUTED_VALUE"""),"")</f>
        <v/>
      </c>
    </row>
    <row r="7995" spans="1:5">
      <c r="A7995" s="12"/>
      <c r="E7995" s="57" t="str">
        <f ca="1">IFERROR(__xludf.DUMMYFUNCTION("""COMPUTED_VALUE"""),"")</f>
        <v/>
      </c>
    </row>
    <row r="7996" spans="1:5">
      <c r="A7996" s="12"/>
      <c r="E7996" s="57" t="str">
        <f ca="1">IFERROR(__xludf.DUMMYFUNCTION("""COMPUTED_VALUE"""),"")</f>
        <v/>
      </c>
    </row>
    <row r="7997" spans="1:5">
      <c r="A7997" s="12"/>
      <c r="E7997" s="57" t="str">
        <f ca="1">IFERROR(__xludf.DUMMYFUNCTION("""COMPUTED_VALUE"""),"")</f>
        <v/>
      </c>
    </row>
    <row r="7998" spans="1:5">
      <c r="A7998" s="12"/>
      <c r="E7998" s="57" t="str">
        <f ca="1">IFERROR(__xludf.DUMMYFUNCTION("""COMPUTED_VALUE"""),"")</f>
        <v/>
      </c>
    </row>
    <row r="7999" spans="1:5">
      <c r="A7999" s="12"/>
      <c r="E7999" s="57" t="str">
        <f ca="1">IFERROR(__xludf.DUMMYFUNCTION("""COMPUTED_VALUE"""),"")</f>
        <v/>
      </c>
    </row>
    <row r="8000" spans="1:5">
      <c r="A8000" s="12"/>
      <c r="E8000" s="57" t="str">
        <f ca="1">IFERROR(__xludf.DUMMYFUNCTION("""COMPUTED_VALUE"""),"")</f>
        <v/>
      </c>
    </row>
    <row r="8001" spans="1:5">
      <c r="A8001" s="12"/>
      <c r="E8001" s="57" t="str">
        <f ca="1">IFERROR(__xludf.DUMMYFUNCTION("""COMPUTED_VALUE"""),"")</f>
        <v/>
      </c>
    </row>
    <row r="8002" spans="1:5">
      <c r="A8002" s="12"/>
      <c r="E8002" s="57" t="str">
        <f ca="1">IFERROR(__xludf.DUMMYFUNCTION("""COMPUTED_VALUE"""),"")</f>
        <v/>
      </c>
    </row>
    <row r="8003" spans="1:5">
      <c r="A8003" s="12"/>
      <c r="E8003" s="57" t="str">
        <f ca="1">IFERROR(__xludf.DUMMYFUNCTION("""COMPUTED_VALUE"""),"")</f>
        <v/>
      </c>
    </row>
    <row r="8004" spans="1:5">
      <c r="A8004" s="12"/>
      <c r="E8004" s="57" t="str">
        <f ca="1">IFERROR(__xludf.DUMMYFUNCTION("""COMPUTED_VALUE"""),"")</f>
        <v/>
      </c>
    </row>
    <row r="8005" spans="1:5">
      <c r="A8005" s="12"/>
      <c r="E8005" s="57" t="str">
        <f ca="1">IFERROR(__xludf.DUMMYFUNCTION("""COMPUTED_VALUE"""),"")</f>
        <v/>
      </c>
    </row>
    <row r="8006" spans="1:5">
      <c r="A8006" s="12"/>
      <c r="E8006" s="57" t="str">
        <f ca="1">IFERROR(__xludf.DUMMYFUNCTION("""COMPUTED_VALUE"""),"")</f>
        <v/>
      </c>
    </row>
    <row r="8007" spans="1:5">
      <c r="A8007" s="12"/>
      <c r="E8007" s="57" t="str">
        <f ca="1">IFERROR(__xludf.DUMMYFUNCTION("""COMPUTED_VALUE"""),"")</f>
        <v/>
      </c>
    </row>
    <row r="8008" spans="1:5">
      <c r="A8008" s="12"/>
      <c r="E8008" s="57" t="str">
        <f ca="1">IFERROR(__xludf.DUMMYFUNCTION("""COMPUTED_VALUE"""),"")</f>
        <v/>
      </c>
    </row>
    <row r="8009" spans="1:5">
      <c r="A8009" s="12"/>
      <c r="E8009" s="57" t="str">
        <f ca="1">IFERROR(__xludf.DUMMYFUNCTION("""COMPUTED_VALUE"""),"")</f>
        <v/>
      </c>
    </row>
    <row r="8010" spans="1:5">
      <c r="A8010" s="12"/>
      <c r="E8010" s="57" t="str">
        <f ca="1">IFERROR(__xludf.DUMMYFUNCTION("""COMPUTED_VALUE"""),"")</f>
        <v/>
      </c>
    </row>
    <row r="8011" spans="1:5">
      <c r="A8011" s="12"/>
      <c r="E8011" s="57" t="str">
        <f ca="1">IFERROR(__xludf.DUMMYFUNCTION("""COMPUTED_VALUE"""),"")</f>
        <v/>
      </c>
    </row>
    <row r="8012" spans="1:5">
      <c r="A8012" s="12"/>
      <c r="E8012" s="57" t="str">
        <f ca="1">IFERROR(__xludf.DUMMYFUNCTION("""COMPUTED_VALUE"""),"")</f>
        <v/>
      </c>
    </row>
    <row r="8013" spans="1:5">
      <c r="A8013" s="12"/>
      <c r="E8013" s="57" t="str">
        <f ca="1">IFERROR(__xludf.DUMMYFUNCTION("""COMPUTED_VALUE"""),"")</f>
        <v/>
      </c>
    </row>
    <row r="8014" spans="1:5">
      <c r="A8014" s="12"/>
      <c r="E8014" s="57" t="str">
        <f ca="1">IFERROR(__xludf.DUMMYFUNCTION("""COMPUTED_VALUE"""),"")</f>
        <v/>
      </c>
    </row>
    <row r="8015" spans="1:5">
      <c r="A8015" s="12"/>
      <c r="E8015" s="57" t="str">
        <f ca="1">IFERROR(__xludf.DUMMYFUNCTION("""COMPUTED_VALUE"""),"")</f>
        <v/>
      </c>
    </row>
    <row r="8016" spans="1:5">
      <c r="A8016" s="12"/>
      <c r="E8016" s="57" t="str">
        <f ca="1">IFERROR(__xludf.DUMMYFUNCTION("""COMPUTED_VALUE"""),"")</f>
        <v/>
      </c>
    </row>
    <row r="8017" spans="1:5">
      <c r="A8017" s="12"/>
      <c r="E8017" s="57" t="str">
        <f ca="1">IFERROR(__xludf.DUMMYFUNCTION("""COMPUTED_VALUE"""),"")</f>
        <v/>
      </c>
    </row>
    <row r="8018" spans="1:5">
      <c r="A8018" s="12"/>
      <c r="E8018" s="57" t="str">
        <f ca="1">IFERROR(__xludf.DUMMYFUNCTION("""COMPUTED_VALUE"""),"")</f>
        <v/>
      </c>
    </row>
    <row r="8019" spans="1:5">
      <c r="A8019" s="12"/>
      <c r="E8019" s="57" t="str">
        <f ca="1">IFERROR(__xludf.DUMMYFUNCTION("""COMPUTED_VALUE"""),"")</f>
        <v/>
      </c>
    </row>
    <row r="8020" spans="1:5">
      <c r="A8020" s="12"/>
      <c r="E8020" s="57" t="str">
        <f ca="1">IFERROR(__xludf.DUMMYFUNCTION("""COMPUTED_VALUE"""),"")</f>
        <v/>
      </c>
    </row>
    <row r="8021" spans="1:5">
      <c r="A8021" s="12"/>
      <c r="E8021" s="57" t="str">
        <f ca="1">IFERROR(__xludf.DUMMYFUNCTION("""COMPUTED_VALUE"""),"")</f>
        <v/>
      </c>
    </row>
    <row r="8022" spans="1:5">
      <c r="A8022" s="12"/>
      <c r="E8022" s="57" t="str">
        <f ca="1">IFERROR(__xludf.DUMMYFUNCTION("""COMPUTED_VALUE"""),"")</f>
        <v/>
      </c>
    </row>
    <row r="8023" spans="1:5">
      <c r="A8023" s="12"/>
      <c r="E8023" s="57" t="str">
        <f ca="1">IFERROR(__xludf.DUMMYFUNCTION("""COMPUTED_VALUE"""),"")</f>
        <v/>
      </c>
    </row>
    <row r="8024" spans="1:5">
      <c r="A8024" s="12"/>
      <c r="E8024" s="57" t="str">
        <f ca="1">IFERROR(__xludf.DUMMYFUNCTION("""COMPUTED_VALUE"""),"")</f>
        <v/>
      </c>
    </row>
    <row r="8025" spans="1:5">
      <c r="A8025" s="12"/>
      <c r="E8025" s="57" t="str">
        <f ca="1">IFERROR(__xludf.DUMMYFUNCTION("""COMPUTED_VALUE"""),"")</f>
        <v/>
      </c>
    </row>
    <row r="8026" spans="1:5">
      <c r="A8026" s="12"/>
      <c r="E8026" s="57" t="str">
        <f ca="1">IFERROR(__xludf.DUMMYFUNCTION("""COMPUTED_VALUE"""),"")</f>
        <v/>
      </c>
    </row>
    <row r="8027" spans="1:5">
      <c r="A8027" s="12"/>
      <c r="E8027" s="57" t="str">
        <f ca="1">IFERROR(__xludf.DUMMYFUNCTION("""COMPUTED_VALUE"""),"")</f>
        <v/>
      </c>
    </row>
    <row r="8028" spans="1:5">
      <c r="A8028" s="12"/>
      <c r="E8028" s="57" t="str">
        <f ca="1">IFERROR(__xludf.DUMMYFUNCTION("""COMPUTED_VALUE"""),"")</f>
        <v/>
      </c>
    </row>
    <row r="8029" spans="1:5">
      <c r="A8029" s="12"/>
      <c r="E8029" s="57" t="str">
        <f ca="1">IFERROR(__xludf.DUMMYFUNCTION("""COMPUTED_VALUE"""),"")</f>
        <v/>
      </c>
    </row>
    <row r="8030" spans="1:5">
      <c r="A8030" s="12"/>
      <c r="E8030" s="57" t="str">
        <f ca="1">IFERROR(__xludf.DUMMYFUNCTION("""COMPUTED_VALUE"""),"")</f>
        <v/>
      </c>
    </row>
    <row r="8031" spans="1:5">
      <c r="A8031" s="12"/>
      <c r="E8031" s="57" t="str">
        <f ca="1">IFERROR(__xludf.DUMMYFUNCTION("""COMPUTED_VALUE"""),"")</f>
        <v/>
      </c>
    </row>
    <row r="8032" spans="1:5">
      <c r="A8032" s="12"/>
      <c r="E8032" s="57" t="str">
        <f ca="1">IFERROR(__xludf.DUMMYFUNCTION("""COMPUTED_VALUE"""),"")</f>
        <v/>
      </c>
    </row>
    <row r="8033" spans="1:5">
      <c r="A8033" s="12"/>
      <c r="E8033" s="57" t="str">
        <f ca="1">IFERROR(__xludf.DUMMYFUNCTION("""COMPUTED_VALUE"""),"")</f>
        <v/>
      </c>
    </row>
    <row r="8034" spans="1:5">
      <c r="A8034" s="12"/>
      <c r="E8034" s="57" t="str">
        <f ca="1">IFERROR(__xludf.DUMMYFUNCTION("""COMPUTED_VALUE"""),"")</f>
        <v/>
      </c>
    </row>
    <row r="8035" spans="1:5">
      <c r="A8035" s="12"/>
      <c r="E8035" s="57" t="str">
        <f ca="1">IFERROR(__xludf.DUMMYFUNCTION("""COMPUTED_VALUE"""),"")</f>
        <v/>
      </c>
    </row>
    <row r="8036" spans="1:5">
      <c r="A8036" s="12"/>
      <c r="E8036" s="57" t="str">
        <f ca="1">IFERROR(__xludf.DUMMYFUNCTION("""COMPUTED_VALUE"""),"")</f>
        <v/>
      </c>
    </row>
    <row r="8037" spans="1:5">
      <c r="A8037" s="12"/>
      <c r="E8037" s="57" t="str">
        <f ca="1">IFERROR(__xludf.DUMMYFUNCTION("""COMPUTED_VALUE"""),"")</f>
        <v/>
      </c>
    </row>
    <row r="8038" spans="1:5">
      <c r="A8038" s="12"/>
      <c r="E8038" s="57" t="str">
        <f ca="1">IFERROR(__xludf.DUMMYFUNCTION("""COMPUTED_VALUE"""),"")</f>
        <v/>
      </c>
    </row>
    <row r="8039" spans="1:5">
      <c r="A8039" s="12"/>
      <c r="E8039" s="57" t="str">
        <f ca="1">IFERROR(__xludf.DUMMYFUNCTION("""COMPUTED_VALUE"""),"")</f>
        <v/>
      </c>
    </row>
    <row r="8040" spans="1:5">
      <c r="A8040" s="12"/>
      <c r="E8040" s="57" t="str">
        <f ca="1">IFERROR(__xludf.DUMMYFUNCTION("""COMPUTED_VALUE"""),"")</f>
        <v/>
      </c>
    </row>
    <row r="8041" spans="1:5">
      <c r="A8041" s="12"/>
      <c r="E8041" s="57" t="str">
        <f ca="1">IFERROR(__xludf.DUMMYFUNCTION("""COMPUTED_VALUE"""),"")</f>
        <v/>
      </c>
    </row>
    <row r="8042" spans="1:5">
      <c r="A8042" s="12"/>
      <c r="E8042" s="57" t="str">
        <f ca="1">IFERROR(__xludf.DUMMYFUNCTION("""COMPUTED_VALUE"""),"")</f>
        <v/>
      </c>
    </row>
    <row r="8043" spans="1:5">
      <c r="A8043" s="12"/>
      <c r="E8043" s="57" t="str">
        <f ca="1">IFERROR(__xludf.DUMMYFUNCTION("""COMPUTED_VALUE"""),"")</f>
        <v/>
      </c>
    </row>
    <row r="8044" spans="1:5">
      <c r="A8044" s="12"/>
      <c r="E8044" s="57" t="str">
        <f ca="1">IFERROR(__xludf.DUMMYFUNCTION("""COMPUTED_VALUE"""),"")</f>
        <v/>
      </c>
    </row>
    <row r="8045" spans="1:5">
      <c r="A8045" s="12"/>
      <c r="E8045" s="57" t="str">
        <f ca="1">IFERROR(__xludf.DUMMYFUNCTION("""COMPUTED_VALUE"""),"")</f>
        <v/>
      </c>
    </row>
    <row r="8046" spans="1:5">
      <c r="A8046" s="12"/>
      <c r="E8046" s="57" t="str">
        <f ca="1">IFERROR(__xludf.DUMMYFUNCTION("""COMPUTED_VALUE"""),"")</f>
        <v/>
      </c>
    </row>
    <row r="8047" spans="1:5">
      <c r="A8047" s="12"/>
      <c r="E8047" s="57" t="str">
        <f ca="1">IFERROR(__xludf.DUMMYFUNCTION("""COMPUTED_VALUE"""),"")</f>
        <v/>
      </c>
    </row>
    <row r="8048" spans="1:5">
      <c r="A8048" s="12"/>
      <c r="E8048" s="57" t="str">
        <f ca="1">IFERROR(__xludf.DUMMYFUNCTION("""COMPUTED_VALUE"""),"")</f>
        <v/>
      </c>
    </row>
    <row r="8049" spans="1:5">
      <c r="A8049" s="12"/>
      <c r="E8049" s="57" t="str">
        <f ca="1">IFERROR(__xludf.DUMMYFUNCTION("""COMPUTED_VALUE"""),"")</f>
        <v/>
      </c>
    </row>
    <row r="8050" spans="1:5">
      <c r="A8050" s="12"/>
      <c r="E8050" s="57" t="str">
        <f ca="1">IFERROR(__xludf.DUMMYFUNCTION("""COMPUTED_VALUE"""),"")</f>
        <v/>
      </c>
    </row>
    <row r="8051" spans="1:5">
      <c r="A8051" s="12"/>
      <c r="E8051" s="57" t="str">
        <f ca="1">IFERROR(__xludf.DUMMYFUNCTION("""COMPUTED_VALUE"""),"")</f>
        <v/>
      </c>
    </row>
    <row r="8052" spans="1:5">
      <c r="A8052" s="12"/>
      <c r="E8052" s="57" t="str">
        <f ca="1">IFERROR(__xludf.DUMMYFUNCTION("""COMPUTED_VALUE"""),"")</f>
        <v/>
      </c>
    </row>
    <row r="8053" spans="1:5">
      <c r="A8053" s="12"/>
      <c r="E8053" s="57" t="str">
        <f ca="1">IFERROR(__xludf.DUMMYFUNCTION("""COMPUTED_VALUE"""),"")</f>
        <v/>
      </c>
    </row>
    <row r="8054" spans="1:5">
      <c r="A8054" s="12"/>
      <c r="E8054" s="57" t="str">
        <f ca="1">IFERROR(__xludf.DUMMYFUNCTION("""COMPUTED_VALUE"""),"")</f>
        <v/>
      </c>
    </row>
    <row r="8055" spans="1:5">
      <c r="A8055" s="12"/>
      <c r="E8055" s="57" t="str">
        <f ca="1">IFERROR(__xludf.DUMMYFUNCTION("""COMPUTED_VALUE"""),"")</f>
        <v/>
      </c>
    </row>
    <row r="8056" spans="1:5">
      <c r="A8056" s="12"/>
      <c r="E8056" s="57" t="str">
        <f ca="1">IFERROR(__xludf.DUMMYFUNCTION("""COMPUTED_VALUE"""),"")</f>
        <v/>
      </c>
    </row>
    <row r="8057" spans="1:5">
      <c r="A8057" s="12"/>
      <c r="E8057" s="57" t="str">
        <f ca="1">IFERROR(__xludf.DUMMYFUNCTION("""COMPUTED_VALUE"""),"")</f>
        <v/>
      </c>
    </row>
    <row r="8058" spans="1:5">
      <c r="A8058" s="12"/>
      <c r="E8058" s="57" t="str">
        <f ca="1">IFERROR(__xludf.DUMMYFUNCTION("""COMPUTED_VALUE"""),"")</f>
        <v/>
      </c>
    </row>
    <row r="8059" spans="1:5">
      <c r="A8059" s="12"/>
      <c r="E8059" s="57" t="str">
        <f ca="1">IFERROR(__xludf.DUMMYFUNCTION("""COMPUTED_VALUE"""),"")</f>
        <v/>
      </c>
    </row>
    <row r="8060" spans="1:5">
      <c r="A8060" s="12"/>
      <c r="E8060" s="57" t="str">
        <f ca="1">IFERROR(__xludf.DUMMYFUNCTION("""COMPUTED_VALUE"""),"")</f>
        <v/>
      </c>
    </row>
    <row r="8061" spans="1:5">
      <c r="A8061" s="12"/>
      <c r="E8061" s="57" t="str">
        <f ca="1">IFERROR(__xludf.DUMMYFUNCTION("""COMPUTED_VALUE"""),"")</f>
        <v/>
      </c>
    </row>
    <row r="8062" spans="1:5">
      <c r="A8062" s="12"/>
      <c r="E8062" s="57" t="str">
        <f ca="1">IFERROR(__xludf.DUMMYFUNCTION("""COMPUTED_VALUE"""),"")</f>
        <v/>
      </c>
    </row>
    <row r="8063" spans="1:5">
      <c r="A8063" s="12"/>
      <c r="E8063" s="57" t="str">
        <f ca="1">IFERROR(__xludf.DUMMYFUNCTION("""COMPUTED_VALUE"""),"")</f>
        <v/>
      </c>
    </row>
    <row r="8064" spans="1:5">
      <c r="A8064" s="12"/>
      <c r="E8064" s="57" t="str">
        <f ca="1">IFERROR(__xludf.DUMMYFUNCTION("""COMPUTED_VALUE"""),"")</f>
        <v/>
      </c>
    </row>
    <row r="8065" spans="1:5">
      <c r="A8065" s="12"/>
      <c r="E8065" s="57" t="str">
        <f ca="1">IFERROR(__xludf.DUMMYFUNCTION("""COMPUTED_VALUE"""),"")</f>
        <v/>
      </c>
    </row>
    <row r="8066" spans="1:5">
      <c r="A8066" s="12"/>
      <c r="E8066" s="57" t="str">
        <f ca="1">IFERROR(__xludf.DUMMYFUNCTION("""COMPUTED_VALUE"""),"")</f>
        <v/>
      </c>
    </row>
    <row r="8067" spans="1:5">
      <c r="A8067" s="12"/>
      <c r="E8067" s="57" t="str">
        <f ca="1">IFERROR(__xludf.DUMMYFUNCTION("""COMPUTED_VALUE"""),"")</f>
        <v/>
      </c>
    </row>
    <row r="8068" spans="1:5">
      <c r="A8068" s="12"/>
      <c r="E8068" s="57" t="str">
        <f ca="1">IFERROR(__xludf.DUMMYFUNCTION("""COMPUTED_VALUE"""),"")</f>
        <v/>
      </c>
    </row>
    <row r="8069" spans="1:5">
      <c r="A8069" s="12"/>
      <c r="E8069" s="57" t="str">
        <f ca="1">IFERROR(__xludf.DUMMYFUNCTION("""COMPUTED_VALUE"""),"")</f>
        <v/>
      </c>
    </row>
    <row r="8070" spans="1:5">
      <c r="A8070" s="12"/>
      <c r="E8070" s="57" t="str">
        <f ca="1">IFERROR(__xludf.DUMMYFUNCTION("""COMPUTED_VALUE"""),"")</f>
        <v/>
      </c>
    </row>
    <row r="8071" spans="1:5">
      <c r="A8071" s="12"/>
      <c r="E8071" s="57" t="str">
        <f ca="1">IFERROR(__xludf.DUMMYFUNCTION("""COMPUTED_VALUE"""),"")</f>
        <v/>
      </c>
    </row>
    <row r="8072" spans="1:5">
      <c r="A8072" s="12"/>
      <c r="E8072" s="57" t="str">
        <f ca="1">IFERROR(__xludf.DUMMYFUNCTION("""COMPUTED_VALUE"""),"")</f>
        <v/>
      </c>
    </row>
    <row r="8073" spans="1:5">
      <c r="A8073" s="12"/>
      <c r="E8073" s="57" t="str">
        <f ca="1">IFERROR(__xludf.DUMMYFUNCTION("""COMPUTED_VALUE"""),"")</f>
        <v/>
      </c>
    </row>
    <row r="8074" spans="1:5">
      <c r="A8074" s="12"/>
      <c r="E8074" s="57" t="str">
        <f ca="1">IFERROR(__xludf.DUMMYFUNCTION("""COMPUTED_VALUE"""),"")</f>
        <v/>
      </c>
    </row>
    <row r="8075" spans="1:5">
      <c r="A8075" s="12"/>
      <c r="E8075" s="57" t="str">
        <f ca="1">IFERROR(__xludf.DUMMYFUNCTION("""COMPUTED_VALUE"""),"")</f>
        <v/>
      </c>
    </row>
    <row r="8076" spans="1:5">
      <c r="A8076" s="12"/>
      <c r="E8076" s="57" t="str">
        <f ca="1">IFERROR(__xludf.DUMMYFUNCTION("""COMPUTED_VALUE"""),"")</f>
        <v/>
      </c>
    </row>
    <row r="8077" spans="1:5">
      <c r="A8077" s="12"/>
      <c r="E8077" s="57" t="str">
        <f ca="1">IFERROR(__xludf.DUMMYFUNCTION("""COMPUTED_VALUE"""),"")</f>
        <v/>
      </c>
    </row>
    <row r="8078" spans="1:5">
      <c r="A8078" s="12"/>
      <c r="E8078" s="57" t="str">
        <f ca="1">IFERROR(__xludf.DUMMYFUNCTION("""COMPUTED_VALUE"""),"")</f>
        <v/>
      </c>
    </row>
    <row r="8079" spans="1:5">
      <c r="A8079" s="12"/>
      <c r="E8079" s="57" t="str">
        <f ca="1">IFERROR(__xludf.DUMMYFUNCTION("""COMPUTED_VALUE"""),"")</f>
        <v/>
      </c>
    </row>
    <row r="8080" spans="1:5">
      <c r="A8080" s="12"/>
      <c r="E8080" s="57" t="str">
        <f ca="1">IFERROR(__xludf.DUMMYFUNCTION("""COMPUTED_VALUE"""),"")</f>
        <v/>
      </c>
    </row>
    <row r="8081" spans="1:5">
      <c r="A8081" s="12"/>
      <c r="E8081" s="57" t="str">
        <f ca="1">IFERROR(__xludf.DUMMYFUNCTION("""COMPUTED_VALUE"""),"")</f>
        <v/>
      </c>
    </row>
    <row r="8082" spans="1:5">
      <c r="A8082" s="12"/>
      <c r="E8082" s="57" t="str">
        <f ca="1">IFERROR(__xludf.DUMMYFUNCTION("""COMPUTED_VALUE"""),"")</f>
        <v/>
      </c>
    </row>
    <row r="8083" spans="1:5">
      <c r="A8083" s="12"/>
      <c r="E8083" s="57" t="str">
        <f ca="1">IFERROR(__xludf.DUMMYFUNCTION("""COMPUTED_VALUE"""),"")</f>
        <v/>
      </c>
    </row>
    <row r="8084" spans="1:5">
      <c r="A8084" s="12"/>
      <c r="E8084" s="57" t="str">
        <f ca="1">IFERROR(__xludf.DUMMYFUNCTION("""COMPUTED_VALUE"""),"")</f>
        <v/>
      </c>
    </row>
    <row r="8085" spans="1:5">
      <c r="A8085" s="12"/>
      <c r="E8085" s="57" t="str">
        <f ca="1">IFERROR(__xludf.DUMMYFUNCTION("""COMPUTED_VALUE"""),"")</f>
        <v/>
      </c>
    </row>
    <row r="8086" spans="1:5">
      <c r="A8086" s="12"/>
      <c r="E8086" s="57" t="str">
        <f ca="1">IFERROR(__xludf.DUMMYFUNCTION("""COMPUTED_VALUE"""),"")</f>
        <v/>
      </c>
    </row>
    <row r="8087" spans="1:5">
      <c r="A8087" s="12"/>
      <c r="E8087" s="57" t="str">
        <f ca="1">IFERROR(__xludf.DUMMYFUNCTION("""COMPUTED_VALUE"""),"")</f>
        <v/>
      </c>
    </row>
    <row r="8088" spans="1:5">
      <c r="A8088" s="12"/>
      <c r="E8088" s="57" t="str">
        <f ca="1">IFERROR(__xludf.DUMMYFUNCTION("""COMPUTED_VALUE"""),"")</f>
        <v/>
      </c>
    </row>
    <row r="8089" spans="1:5">
      <c r="A8089" s="12"/>
      <c r="E8089" s="57" t="str">
        <f ca="1">IFERROR(__xludf.DUMMYFUNCTION("""COMPUTED_VALUE"""),"")</f>
        <v/>
      </c>
    </row>
    <row r="8090" spans="1:5">
      <c r="A8090" s="12"/>
      <c r="E8090" s="57" t="str">
        <f ca="1">IFERROR(__xludf.DUMMYFUNCTION("""COMPUTED_VALUE"""),"")</f>
        <v/>
      </c>
    </row>
    <row r="8091" spans="1:5">
      <c r="A8091" s="12"/>
      <c r="E8091" s="57" t="str">
        <f ca="1">IFERROR(__xludf.DUMMYFUNCTION("""COMPUTED_VALUE"""),"")</f>
        <v/>
      </c>
    </row>
    <row r="8092" spans="1:5">
      <c r="A8092" s="12"/>
      <c r="E8092" s="57" t="str">
        <f ca="1">IFERROR(__xludf.DUMMYFUNCTION("""COMPUTED_VALUE"""),"")</f>
        <v/>
      </c>
    </row>
    <row r="8093" spans="1:5">
      <c r="A8093" s="12"/>
      <c r="E8093" s="57" t="str">
        <f ca="1">IFERROR(__xludf.DUMMYFUNCTION("""COMPUTED_VALUE"""),"")</f>
        <v/>
      </c>
    </row>
    <row r="8094" spans="1:5">
      <c r="A8094" s="12"/>
      <c r="E8094" s="57" t="str">
        <f ca="1">IFERROR(__xludf.DUMMYFUNCTION("""COMPUTED_VALUE"""),"")</f>
        <v/>
      </c>
    </row>
    <row r="8095" spans="1:5">
      <c r="A8095" s="12"/>
      <c r="E8095" s="57" t="str">
        <f ca="1">IFERROR(__xludf.DUMMYFUNCTION("""COMPUTED_VALUE"""),"")</f>
        <v/>
      </c>
    </row>
    <row r="8096" spans="1:5">
      <c r="A8096" s="12"/>
      <c r="E8096" s="57" t="str">
        <f ca="1">IFERROR(__xludf.DUMMYFUNCTION("""COMPUTED_VALUE"""),"")</f>
        <v/>
      </c>
    </row>
    <row r="8097" spans="1:5">
      <c r="A8097" s="12"/>
      <c r="E8097" s="57" t="str">
        <f ca="1">IFERROR(__xludf.DUMMYFUNCTION("""COMPUTED_VALUE"""),"")</f>
        <v/>
      </c>
    </row>
    <row r="8098" spans="1:5">
      <c r="A8098" s="12"/>
      <c r="E8098" s="57" t="str">
        <f ca="1">IFERROR(__xludf.DUMMYFUNCTION("""COMPUTED_VALUE"""),"")</f>
        <v/>
      </c>
    </row>
    <row r="8099" spans="1:5">
      <c r="A8099" s="12"/>
      <c r="E8099" s="57" t="str">
        <f ca="1">IFERROR(__xludf.DUMMYFUNCTION("""COMPUTED_VALUE"""),"")</f>
        <v/>
      </c>
    </row>
    <row r="8100" spans="1:5">
      <c r="A8100" s="12"/>
      <c r="E8100" s="57" t="str">
        <f ca="1">IFERROR(__xludf.DUMMYFUNCTION("""COMPUTED_VALUE"""),"")</f>
        <v/>
      </c>
    </row>
    <row r="8101" spans="1:5">
      <c r="A8101" s="12"/>
      <c r="E8101" s="57" t="str">
        <f ca="1">IFERROR(__xludf.DUMMYFUNCTION("""COMPUTED_VALUE"""),"")</f>
        <v/>
      </c>
    </row>
    <row r="8102" spans="1:5">
      <c r="A8102" s="12"/>
      <c r="E8102" s="57" t="str">
        <f ca="1">IFERROR(__xludf.DUMMYFUNCTION("""COMPUTED_VALUE"""),"")</f>
        <v/>
      </c>
    </row>
    <row r="8103" spans="1:5">
      <c r="A8103" s="12"/>
      <c r="E8103" s="57" t="str">
        <f ca="1">IFERROR(__xludf.DUMMYFUNCTION("""COMPUTED_VALUE"""),"")</f>
        <v/>
      </c>
    </row>
    <row r="8104" spans="1:5">
      <c r="A8104" s="12"/>
      <c r="E8104" s="57" t="str">
        <f ca="1">IFERROR(__xludf.DUMMYFUNCTION("""COMPUTED_VALUE"""),"")</f>
        <v/>
      </c>
    </row>
    <row r="8105" spans="1:5">
      <c r="A8105" s="12"/>
      <c r="E8105" s="57" t="str">
        <f ca="1">IFERROR(__xludf.DUMMYFUNCTION("""COMPUTED_VALUE"""),"")</f>
        <v/>
      </c>
    </row>
    <row r="8106" spans="1:5">
      <c r="A8106" s="12"/>
      <c r="E8106" s="57" t="str">
        <f ca="1">IFERROR(__xludf.DUMMYFUNCTION("""COMPUTED_VALUE"""),"")</f>
        <v/>
      </c>
    </row>
    <row r="8107" spans="1:5">
      <c r="A8107" s="12"/>
      <c r="E8107" s="57" t="str">
        <f ca="1">IFERROR(__xludf.DUMMYFUNCTION("""COMPUTED_VALUE"""),"")</f>
        <v/>
      </c>
    </row>
    <row r="8108" spans="1:5">
      <c r="A8108" s="12"/>
      <c r="E8108" s="57" t="str">
        <f ca="1">IFERROR(__xludf.DUMMYFUNCTION("""COMPUTED_VALUE"""),"")</f>
        <v/>
      </c>
    </row>
    <row r="8109" spans="1:5">
      <c r="A8109" s="12"/>
      <c r="E8109" s="57" t="str">
        <f ca="1">IFERROR(__xludf.DUMMYFUNCTION("""COMPUTED_VALUE"""),"")</f>
        <v/>
      </c>
    </row>
    <row r="8110" spans="1:5">
      <c r="A8110" s="12"/>
      <c r="E8110" s="57" t="str">
        <f ca="1">IFERROR(__xludf.DUMMYFUNCTION("""COMPUTED_VALUE"""),"")</f>
        <v/>
      </c>
    </row>
    <row r="8111" spans="1:5">
      <c r="A8111" s="12"/>
      <c r="E8111" s="57" t="str">
        <f ca="1">IFERROR(__xludf.DUMMYFUNCTION("""COMPUTED_VALUE"""),"")</f>
        <v/>
      </c>
    </row>
    <row r="8112" spans="1:5">
      <c r="A8112" s="12"/>
      <c r="E8112" s="57" t="str">
        <f ca="1">IFERROR(__xludf.DUMMYFUNCTION("""COMPUTED_VALUE"""),"")</f>
        <v/>
      </c>
    </row>
    <row r="8113" spans="1:5">
      <c r="A8113" s="12"/>
      <c r="E8113" s="57" t="str">
        <f ca="1">IFERROR(__xludf.DUMMYFUNCTION("""COMPUTED_VALUE"""),"")</f>
        <v/>
      </c>
    </row>
    <row r="8114" spans="1:5">
      <c r="A8114" s="12"/>
      <c r="E8114" s="57" t="str">
        <f ca="1">IFERROR(__xludf.DUMMYFUNCTION("""COMPUTED_VALUE"""),"")</f>
        <v/>
      </c>
    </row>
    <row r="8115" spans="1:5">
      <c r="A8115" s="12"/>
      <c r="E8115" s="57" t="str">
        <f ca="1">IFERROR(__xludf.DUMMYFUNCTION("""COMPUTED_VALUE"""),"")</f>
        <v/>
      </c>
    </row>
    <row r="8116" spans="1:5">
      <c r="A8116" s="12"/>
      <c r="E8116" s="57" t="str">
        <f ca="1">IFERROR(__xludf.DUMMYFUNCTION("""COMPUTED_VALUE"""),"")</f>
        <v/>
      </c>
    </row>
    <row r="8117" spans="1:5">
      <c r="A8117" s="12"/>
      <c r="E8117" s="57" t="str">
        <f ca="1">IFERROR(__xludf.DUMMYFUNCTION("""COMPUTED_VALUE"""),"")</f>
        <v/>
      </c>
    </row>
    <row r="8118" spans="1:5">
      <c r="A8118" s="12"/>
      <c r="E8118" s="57" t="str">
        <f ca="1">IFERROR(__xludf.DUMMYFUNCTION("""COMPUTED_VALUE"""),"")</f>
        <v/>
      </c>
    </row>
    <row r="8119" spans="1:5">
      <c r="A8119" s="12"/>
      <c r="E8119" s="57" t="str">
        <f ca="1">IFERROR(__xludf.DUMMYFUNCTION("""COMPUTED_VALUE"""),"")</f>
        <v/>
      </c>
    </row>
    <row r="8120" spans="1:5">
      <c r="A8120" s="12"/>
      <c r="E8120" s="57" t="str">
        <f ca="1">IFERROR(__xludf.DUMMYFUNCTION("""COMPUTED_VALUE"""),"")</f>
        <v/>
      </c>
    </row>
    <row r="8121" spans="1:5">
      <c r="A8121" s="12"/>
      <c r="E8121" s="57" t="str">
        <f ca="1">IFERROR(__xludf.DUMMYFUNCTION("""COMPUTED_VALUE"""),"")</f>
        <v/>
      </c>
    </row>
    <row r="8122" spans="1:5">
      <c r="A8122" s="12"/>
      <c r="E8122" s="57" t="str">
        <f ca="1">IFERROR(__xludf.DUMMYFUNCTION("""COMPUTED_VALUE"""),"")</f>
        <v/>
      </c>
    </row>
    <row r="8123" spans="1:5">
      <c r="A8123" s="12"/>
      <c r="E8123" s="57" t="str">
        <f ca="1">IFERROR(__xludf.DUMMYFUNCTION("""COMPUTED_VALUE"""),"")</f>
        <v/>
      </c>
    </row>
    <row r="8124" spans="1:5">
      <c r="A8124" s="12"/>
      <c r="E8124" s="57" t="str">
        <f ca="1">IFERROR(__xludf.DUMMYFUNCTION("""COMPUTED_VALUE"""),"")</f>
        <v/>
      </c>
    </row>
    <row r="8125" spans="1:5">
      <c r="A8125" s="12"/>
      <c r="E8125" s="57" t="str">
        <f ca="1">IFERROR(__xludf.DUMMYFUNCTION("""COMPUTED_VALUE"""),"")</f>
        <v/>
      </c>
    </row>
    <row r="8126" spans="1:5">
      <c r="A8126" s="12"/>
      <c r="E8126" s="57" t="str">
        <f ca="1">IFERROR(__xludf.DUMMYFUNCTION("""COMPUTED_VALUE"""),"")</f>
        <v/>
      </c>
    </row>
    <row r="8127" spans="1:5">
      <c r="A8127" s="12"/>
      <c r="E8127" s="57" t="str">
        <f ca="1">IFERROR(__xludf.DUMMYFUNCTION("""COMPUTED_VALUE"""),"")</f>
        <v/>
      </c>
    </row>
    <row r="8128" spans="1:5">
      <c r="A8128" s="12"/>
      <c r="E8128" s="57" t="str">
        <f ca="1">IFERROR(__xludf.DUMMYFUNCTION("""COMPUTED_VALUE"""),"")</f>
        <v/>
      </c>
    </row>
    <row r="8129" spans="1:5">
      <c r="A8129" s="12"/>
      <c r="E8129" s="57" t="str">
        <f ca="1">IFERROR(__xludf.DUMMYFUNCTION("""COMPUTED_VALUE"""),"")</f>
        <v/>
      </c>
    </row>
    <row r="8130" spans="1:5">
      <c r="A8130" s="12"/>
      <c r="E8130" s="57" t="str">
        <f ca="1">IFERROR(__xludf.DUMMYFUNCTION("""COMPUTED_VALUE"""),"")</f>
        <v/>
      </c>
    </row>
    <row r="8131" spans="1:5">
      <c r="A8131" s="12"/>
      <c r="E8131" s="57" t="str">
        <f ca="1">IFERROR(__xludf.DUMMYFUNCTION("""COMPUTED_VALUE"""),"")</f>
        <v/>
      </c>
    </row>
    <row r="8132" spans="1:5">
      <c r="A8132" s="12"/>
      <c r="E8132" s="57" t="str">
        <f ca="1">IFERROR(__xludf.DUMMYFUNCTION("""COMPUTED_VALUE"""),"")</f>
        <v/>
      </c>
    </row>
    <row r="8133" spans="1:5">
      <c r="A8133" s="12"/>
      <c r="E8133" s="57" t="str">
        <f ca="1">IFERROR(__xludf.DUMMYFUNCTION("""COMPUTED_VALUE"""),"")</f>
        <v/>
      </c>
    </row>
    <row r="8134" spans="1:5">
      <c r="A8134" s="12"/>
      <c r="E8134" s="57" t="str">
        <f ca="1">IFERROR(__xludf.DUMMYFUNCTION("""COMPUTED_VALUE"""),"")</f>
        <v/>
      </c>
    </row>
    <row r="8135" spans="1:5">
      <c r="A8135" s="12"/>
      <c r="E8135" s="57" t="str">
        <f ca="1">IFERROR(__xludf.DUMMYFUNCTION("""COMPUTED_VALUE"""),"")</f>
        <v/>
      </c>
    </row>
    <row r="8136" spans="1:5">
      <c r="A8136" s="12"/>
      <c r="E8136" s="57" t="str">
        <f ca="1">IFERROR(__xludf.DUMMYFUNCTION("""COMPUTED_VALUE"""),"")</f>
        <v/>
      </c>
    </row>
    <row r="8137" spans="1:5">
      <c r="A8137" s="12"/>
      <c r="E8137" s="57" t="str">
        <f ca="1">IFERROR(__xludf.DUMMYFUNCTION("""COMPUTED_VALUE"""),"")</f>
        <v/>
      </c>
    </row>
    <row r="8138" spans="1:5">
      <c r="A8138" s="12"/>
      <c r="E8138" s="57" t="str">
        <f ca="1">IFERROR(__xludf.DUMMYFUNCTION("""COMPUTED_VALUE"""),"")</f>
        <v/>
      </c>
    </row>
    <row r="8139" spans="1:5">
      <c r="A8139" s="12"/>
      <c r="E8139" s="57" t="str">
        <f ca="1">IFERROR(__xludf.DUMMYFUNCTION("""COMPUTED_VALUE"""),"")</f>
        <v/>
      </c>
    </row>
    <row r="8140" spans="1:5">
      <c r="A8140" s="12"/>
      <c r="E8140" s="57" t="str">
        <f ca="1">IFERROR(__xludf.DUMMYFUNCTION("""COMPUTED_VALUE"""),"")</f>
        <v/>
      </c>
    </row>
    <row r="8141" spans="1:5">
      <c r="A8141" s="12"/>
      <c r="E8141" s="57" t="str">
        <f ca="1">IFERROR(__xludf.DUMMYFUNCTION("""COMPUTED_VALUE"""),"")</f>
        <v/>
      </c>
    </row>
    <row r="8142" spans="1:5">
      <c r="A8142" s="12"/>
      <c r="E8142" s="57" t="str">
        <f ca="1">IFERROR(__xludf.DUMMYFUNCTION("""COMPUTED_VALUE"""),"")</f>
        <v/>
      </c>
    </row>
    <row r="8143" spans="1:5">
      <c r="A8143" s="12"/>
      <c r="E8143" s="57" t="str">
        <f ca="1">IFERROR(__xludf.DUMMYFUNCTION("""COMPUTED_VALUE"""),"")</f>
        <v/>
      </c>
    </row>
    <row r="8144" spans="1:5">
      <c r="A8144" s="12"/>
      <c r="E8144" s="57" t="str">
        <f ca="1">IFERROR(__xludf.DUMMYFUNCTION("""COMPUTED_VALUE"""),"")</f>
        <v/>
      </c>
    </row>
    <row r="8145" spans="1:5">
      <c r="A8145" s="12"/>
      <c r="E8145" s="57" t="str">
        <f ca="1">IFERROR(__xludf.DUMMYFUNCTION("""COMPUTED_VALUE"""),"")</f>
        <v/>
      </c>
    </row>
    <row r="8146" spans="1:5">
      <c r="A8146" s="12"/>
      <c r="E8146" s="57" t="str">
        <f ca="1">IFERROR(__xludf.DUMMYFUNCTION("""COMPUTED_VALUE"""),"")</f>
        <v/>
      </c>
    </row>
    <row r="8147" spans="1:5">
      <c r="A8147" s="12"/>
      <c r="E8147" s="57" t="str">
        <f ca="1">IFERROR(__xludf.DUMMYFUNCTION("""COMPUTED_VALUE"""),"")</f>
        <v/>
      </c>
    </row>
    <row r="8148" spans="1:5">
      <c r="A8148" s="12"/>
      <c r="E8148" s="57" t="str">
        <f ca="1">IFERROR(__xludf.DUMMYFUNCTION("""COMPUTED_VALUE"""),"")</f>
        <v/>
      </c>
    </row>
    <row r="8149" spans="1:5">
      <c r="A8149" s="12"/>
      <c r="E8149" s="57" t="str">
        <f ca="1">IFERROR(__xludf.DUMMYFUNCTION("""COMPUTED_VALUE"""),"")</f>
        <v/>
      </c>
    </row>
    <row r="8150" spans="1:5">
      <c r="A8150" s="12"/>
      <c r="E8150" s="57" t="str">
        <f ca="1">IFERROR(__xludf.DUMMYFUNCTION("""COMPUTED_VALUE"""),"")</f>
        <v/>
      </c>
    </row>
    <row r="8151" spans="1:5">
      <c r="A8151" s="12"/>
      <c r="E8151" s="57" t="str">
        <f ca="1">IFERROR(__xludf.DUMMYFUNCTION("""COMPUTED_VALUE"""),"")</f>
        <v/>
      </c>
    </row>
    <row r="8152" spans="1:5">
      <c r="A8152" s="12"/>
      <c r="E8152" s="57" t="str">
        <f ca="1">IFERROR(__xludf.DUMMYFUNCTION("""COMPUTED_VALUE"""),"")</f>
        <v/>
      </c>
    </row>
    <row r="8153" spans="1:5">
      <c r="A8153" s="12"/>
      <c r="E8153" s="57" t="str">
        <f ca="1">IFERROR(__xludf.DUMMYFUNCTION("""COMPUTED_VALUE"""),"")</f>
        <v/>
      </c>
    </row>
    <row r="8154" spans="1:5">
      <c r="A8154" s="12"/>
      <c r="E8154" s="57" t="str">
        <f ca="1">IFERROR(__xludf.DUMMYFUNCTION("""COMPUTED_VALUE"""),"")</f>
        <v/>
      </c>
    </row>
    <row r="8155" spans="1:5">
      <c r="A8155" s="12"/>
      <c r="E8155" s="57" t="str">
        <f ca="1">IFERROR(__xludf.DUMMYFUNCTION("""COMPUTED_VALUE"""),"")</f>
        <v/>
      </c>
    </row>
    <row r="8156" spans="1:5">
      <c r="A8156" s="12"/>
      <c r="E8156" s="57" t="str">
        <f ca="1">IFERROR(__xludf.DUMMYFUNCTION("""COMPUTED_VALUE"""),"")</f>
        <v/>
      </c>
    </row>
    <row r="8157" spans="1:5">
      <c r="A8157" s="12"/>
      <c r="E8157" s="57" t="str">
        <f ca="1">IFERROR(__xludf.DUMMYFUNCTION("""COMPUTED_VALUE"""),"")</f>
        <v/>
      </c>
    </row>
    <row r="8158" spans="1:5">
      <c r="A8158" s="12"/>
      <c r="E8158" s="57" t="str">
        <f ca="1">IFERROR(__xludf.DUMMYFUNCTION("""COMPUTED_VALUE"""),"")</f>
        <v/>
      </c>
    </row>
    <row r="8159" spans="1:5">
      <c r="A8159" s="12"/>
      <c r="E8159" s="57" t="str">
        <f ca="1">IFERROR(__xludf.DUMMYFUNCTION("""COMPUTED_VALUE"""),"")</f>
        <v/>
      </c>
    </row>
    <row r="8160" spans="1:5">
      <c r="A8160" s="12"/>
      <c r="E8160" s="57" t="str">
        <f ca="1">IFERROR(__xludf.DUMMYFUNCTION("""COMPUTED_VALUE"""),"")</f>
        <v/>
      </c>
    </row>
    <row r="8161" spans="1:5">
      <c r="A8161" s="12"/>
      <c r="E8161" s="57" t="str">
        <f ca="1">IFERROR(__xludf.DUMMYFUNCTION("""COMPUTED_VALUE"""),"")</f>
        <v/>
      </c>
    </row>
    <row r="8162" spans="1:5">
      <c r="A8162" s="12"/>
      <c r="E8162" s="57" t="str">
        <f ca="1">IFERROR(__xludf.DUMMYFUNCTION("""COMPUTED_VALUE"""),"")</f>
        <v/>
      </c>
    </row>
    <row r="8163" spans="1:5">
      <c r="A8163" s="12"/>
      <c r="E8163" s="57" t="str">
        <f ca="1">IFERROR(__xludf.DUMMYFUNCTION("""COMPUTED_VALUE"""),"")</f>
        <v/>
      </c>
    </row>
    <row r="8164" spans="1:5">
      <c r="A8164" s="12"/>
      <c r="E8164" s="57" t="str">
        <f ca="1">IFERROR(__xludf.DUMMYFUNCTION("""COMPUTED_VALUE"""),"")</f>
        <v/>
      </c>
    </row>
    <row r="8165" spans="1:5">
      <c r="A8165" s="12"/>
      <c r="E8165" s="57" t="str">
        <f ca="1">IFERROR(__xludf.DUMMYFUNCTION("""COMPUTED_VALUE"""),"")</f>
        <v/>
      </c>
    </row>
    <row r="8166" spans="1:5">
      <c r="A8166" s="12"/>
      <c r="E8166" s="57" t="str">
        <f ca="1">IFERROR(__xludf.DUMMYFUNCTION("""COMPUTED_VALUE"""),"")</f>
        <v/>
      </c>
    </row>
    <row r="8167" spans="1:5">
      <c r="A8167" s="12"/>
      <c r="E8167" s="57" t="str">
        <f ca="1">IFERROR(__xludf.DUMMYFUNCTION("""COMPUTED_VALUE"""),"")</f>
        <v/>
      </c>
    </row>
    <row r="8168" spans="1:5">
      <c r="A8168" s="12"/>
      <c r="E8168" s="57" t="str">
        <f ca="1">IFERROR(__xludf.DUMMYFUNCTION("""COMPUTED_VALUE"""),"")</f>
        <v/>
      </c>
    </row>
    <row r="8169" spans="1:5">
      <c r="A8169" s="12"/>
      <c r="E8169" s="57" t="str">
        <f ca="1">IFERROR(__xludf.DUMMYFUNCTION("""COMPUTED_VALUE"""),"")</f>
        <v/>
      </c>
    </row>
    <row r="8170" spans="1:5">
      <c r="A8170" s="12"/>
      <c r="E8170" s="57" t="str">
        <f ca="1">IFERROR(__xludf.DUMMYFUNCTION("""COMPUTED_VALUE"""),"")</f>
        <v/>
      </c>
    </row>
    <row r="8171" spans="1:5">
      <c r="A8171" s="12"/>
      <c r="E8171" s="57" t="str">
        <f ca="1">IFERROR(__xludf.DUMMYFUNCTION("""COMPUTED_VALUE"""),"")</f>
        <v/>
      </c>
    </row>
    <row r="8172" spans="1:5">
      <c r="A8172" s="12"/>
      <c r="E8172" s="57" t="str">
        <f ca="1">IFERROR(__xludf.DUMMYFUNCTION("""COMPUTED_VALUE"""),"")</f>
        <v/>
      </c>
    </row>
    <row r="8173" spans="1:5">
      <c r="A8173" s="12"/>
      <c r="E8173" s="57" t="str">
        <f ca="1">IFERROR(__xludf.DUMMYFUNCTION("""COMPUTED_VALUE"""),"")</f>
        <v/>
      </c>
    </row>
    <row r="8174" spans="1:5">
      <c r="A8174" s="12"/>
      <c r="E8174" s="57" t="str">
        <f ca="1">IFERROR(__xludf.DUMMYFUNCTION("""COMPUTED_VALUE"""),"")</f>
        <v/>
      </c>
    </row>
    <row r="8175" spans="1:5">
      <c r="A8175" s="12"/>
      <c r="E8175" s="57" t="str">
        <f ca="1">IFERROR(__xludf.DUMMYFUNCTION("""COMPUTED_VALUE"""),"")</f>
        <v/>
      </c>
    </row>
    <row r="8176" spans="1:5">
      <c r="A8176" s="12"/>
      <c r="E8176" s="57" t="str">
        <f ca="1">IFERROR(__xludf.DUMMYFUNCTION("""COMPUTED_VALUE"""),"")</f>
        <v/>
      </c>
    </row>
    <row r="8177" spans="1:5">
      <c r="A8177" s="12"/>
      <c r="E8177" s="57" t="str">
        <f ca="1">IFERROR(__xludf.DUMMYFUNCTION("""COMPUTED_VALUE"""),"")</f>
        <v/>
      </c>
    </row>
    <row r="8178" spans="1:5">
      <c r="A8178" s="12"/>
      <c r="E8178" s="57" t="str">
        <f ca="1">IFERROR(__xludf.DUMMYFUNCTION("""COMPUTED_VALUE"""),"")</f>
        <v/>
      </c>
    </row>
    <row r="8179" spans="1:5">
      <c r="A8179" s="12"/>
      <c r="E8179" s="57" t="str">
        <f ca="1">IFERROR(__xludf.DUMMYFUNCTION("""COMPUTED_VALUE"""),"")</f>
        <v/>
      </c>
    </row>
    <row r="8180" spans="1:5">
      <c r="A8180" s="12"/>
      <c r="E8180" s="57" t="str">
        <f ca="1">IFERROR(__xludf.DUMMYFUNCTION("""COMPUTED_VALUE"""),"")</f>
        <v/>
      </c>
    </row>
    <row r="8181" spans="1:5">
      <c r="A8181" s="12"/>
      <c r="E8181" s="57" t="str">
        <f ca="1">IFERROR(__xludf.DUMMYFUNCTION("""COMPUTED_VALUE"""),"")</f>
        <v/>
      </c>
    </row>
    <row r="8182" spans="1:5">
      <c r="A8182" s="12"/>
      <c r="E8182" s="57" t="str">
        <f ca="1">IFERROR(__xludf.DUMMYFUNCTION("""COMPUTED_VALUE"""),"")</f>
        <v/>
      </c>
    </row>
    <row r="8183" spans="1:5">
      <c r="A8183" s="12"/>
      <c r="E8183" s="57" t="str">
        <f ca="1">IFERROR(__xludf.DUMMYFUNCTION("""COMPUTED_VALUE"""),"")</f>
        <v/>
      </c>
    </row>
    <row r="8184" spans="1:5">
      <c r="A8184" s="12"/>
      <c r="E8184" s="57" t="str">
        <f ca="1">IFERROR(__xludf.DUMMYFUNCTION("""COMPUTED_VALUE"""),"")</f>
        <v/>
      </c>
    </row>
    <row r="8185" spans="1:5">
      <c r="A8185" s="12"/>
      <c r="E8185" s="57" t="str">
        <f ca="1">IFERROR(__xludf.DUMMYFUNCTION("""COMPUTED_VALUE"""),"")</f>
        <v/>
      </c>
    </row>
    <row r="8186" spans="1:5">
      <c r="A8186" s="12"/>
      <c r="E8186" s="57" t="str">
        <f ca="1">IFERROR(__xludf.DUMMYFUNCTION("""COMPUTED_VALUE"""),"")</f>
        <v/>
      </c>
    </row>
    <row r="8187" spans="1:5">
      <c r="A8187" s="12"/>
      <c r="E8187" s="57" t="str">
        <f ca="1">IFERROR(__xludf.DUMMYFUNCTION("""COMPUTED_VALUE"""),"")</f>
        <v/>
      </c>
    </row>
    <row r="8188" spans="1:5">
      <c r="A8188" s="12"/>
      <c r="E8188" s="57" t="str">
        <f ca="1">IFERROR(__xludf.DUMMYFUNCTION("""COMPUTED_VALUE"""),"")</f>
        <v/>
      </c>
    </row>
    <row r="8189" spans="1:5">
      <c r="A8189" s="12"/>
      <c r="E8189" s="57" t="str">
        <f ca="1">IFERROR(__xludf.DUMMYFUNCTION("""COMPUTED_VALUE"""),"")</f>
        <v/>
      </c>
    </row>
    <row r="8190" spans="1:5">
      <c r="A8190" s="12"/>
      <c r="E8190" s="57" t="str">
        <f ca="1">IFERROR(__xludf.DUMMYFUNCTION("""COMPUTED_VALUE"""),"")</f>
        <v/>
      </c>
    </row>
    <row r="8191" spans="1:5">
      <c r="A8191" s="12"/>
      <c r="E8191" s="57" t="str">
        <f ca="1">IFERROR(__xludf.DUMMYFUNCTION("""COMPUTED_VALUE"""),"")</f>
        <v/>
      </c>
    </row>
    <row r="8192" spans="1:5">
      <c r="A8192" s="12"/>
      <c r="E8192" s="57" t="str">
        <f ca="1">IFERROR(__xludf.DUMMYFUNCTION("""COMPUTED_VALUE"""),"")</f>
        <v/>
      </c>
    </row>
    <row r="8193" spans="1:5">
      <c r="A8193" s="12"/>
      <c r="E8193" s="57" t="str">
        <f ca="1">IFERROR(__xludf.DUMMYFUNCTION("""COMPUTED_VALUE"""),"")</f>
        <v/>
      </c>
    </row>
    <row r="8194" spans="1:5">
      <c r="A8194" s="12"/>
      <c r="E8194" s="57" t="str">
        <f ca="1">IFERROR(__xludf.DUMMYFUNCTION("""COMPUTED_VALUE"""),"")</f>
        <v/>
      </c>
    </row>
    <row r="8195" spans="1:5">
      <c r="A8195" s="12"/>
      <c r="E8195" s="57" t="str">
        <f ca="1">IFERROR(__xludf.DUMMYFUNCTION("""COMPUTED_VALUE"""),"")</f>
        <v/>
      </c>
    </row>
    <row r="8196" spans="1:5">
      <c r="A8196" s="12"/>
      <c r="E8196" s="57" t="str">
        <f ca="1">IFERROR(__xludf.DUMMYFUNCTION("""COMPUTED_VALUE"""),"")</f>
        <v/>
      </c>
    </row>
    <row r="8197" spans="1:5">
      <c r="A8197" s="12"/>
      <c r="E8197" s="57" t="str">
        <f ca="1">IFERROR(__xludf.DUMMYFUNCTION("""COMPUTED_VALUE"""),"")</f>
        <v/>
      </c>
    </row>
    <row r="8198" spans="1:5">
      <c r="A8198" s="12"/>
      <c r="E8198" s="57" t="str">
        <f ca="1">IFERROR(__xludf.DUMMYFUNCTION("""COMPUTED_VALUE"""),"")</f>
        <v/>
      </c>
    </row>
    <row r="8199" spans="1:5">
      <c r="A8199" s="12"/>
      <c r="E8199" s="57" t="str">
        <f ca="1">IFERROR(__xludf.DUMMYFUNCTION("""COMPUTED_VALUE"""),"")</f>
        <v/>
      </c>
    </row>
    <row r="8200" spans="1:5">
      <c r="A8200" s="12"/>
      <c r="E8200" s="57" t="str">
        <f ca="1">IFERROR(__xludf.DUMMYFUNCTION("""COMPUTED_VALUE"""),"")</f>
        <v/>
      </c>
    </row>
    <row r="8201" spans="1:5">
      <c r="A8201" s="12"/>
      <c r="E8201" s="57" t="str">
        <f ca="1">IFERROR(__xludf.DUMMYFUNCTION("""COMPUTED_VALUE"""),"")</f>
        <v/>
      </c>
    </row>
    <row r="8202" spans="1:5">
      <c r="A8202" s="12"/>
      <c r="E8202" s="57" t="str">
        <f ca="1">IFERROR(__xludf.DUMMYFUNCTION("""COMPUTED_VALUE"""),"")</f>
        <v/>
      </c>
    </row>
    <row r="8203" spans="1:5">
      <c r="A8203" s="12"/>
      <c r="E8203" s="57" t="str">
        <f ca="1">IFERROR(__xludf.DUMMYFUNCTION("""COMPUTED_VALUE"""),"")</f>
        <v/>
      </c>
    </row>
    <row r="8204" spans="1:5">
      <c r="A8204" s="12"/>
      <c r="E8204" s="57" t="str">
        <f ca="1">IFERROR(__xludf.DUMMYFUNCTION("""COMPUTED_VALUE"""),"")</f>
        <v/>
      </c>
    </row>
    <row r="8205" spans="1:5">
      <c r="A8205" s="12"/>
      <c r="E8205" s="57" t="str">
        <f ca="1">IFERROR(__xludf.DUMMYFUNCTION("""COMPUTED_VALUE"""),"")</f>
        <v/>
      </c>
    </row>
    <row r="8206" spans="1:5">
      <c r="A8206" s="12"/>
      <c r="E8206" s="57" t="str">
        <f ca="1">IFERROR(__xludf.DUMMYFUNCTION("""COMPUTED_VALUE"""),"")</f>
        <v/>
      </c>
    </row>
    <row r="8207" spans="1:5">
      <c r="A8207" s="12"/>
      <c r="E8207" s="57" t="str">
        <f ca="1">IFERROR(__xludf.DUMMYFUNCTION("""COMPUTED_VALUE"""),"")</f>
        <v/>
      </c>
    </row>
    <row r="8208" spans="1:5">
      <c r="A8208" s="12"/>
      <c r="E8208" s="57" t="str">
        <f ca="1">IFERROR(__xludf.DUMMYFUNCTION("""COMPUTED_VALUE"""),"")</f>
        <v/>
      </c>
    </row>
    <row r="8209" spans="1:5">
      <c r="A8209" s="12"/>
      <c r="E8209" s="57" t="str">
        <f ca="1">IFERROR(__xludf.DUMMYFUNCTION("""COMPUTED_VALUE"""),"")</f>
        <v/>
      </c>
    </row>
    <row r="8210" spans="1:5">
      <c r="A8210" s="12"/>
      <c r="E8210" s="57" t="str">
        <f ca="1">IFERROR(__xludf.DUMMYFUNCTION("""COMPUTED_VALUE"""),"")</f>
        <v/>
      </c>
    </row>
    <row r="8211" spans="1:5">
      <c r="A8211" s="12"/>
      <c r="E8211" s="57" t="str">
        <f ca="1">IFERROR(__xludf.DUMMYFUNCTION("""COMPUTED_VALUE"""),"")</f>
        <v/>
      </c>
    </row>
    <row r="8212" spans="1:5">
      <c r="A8212" s="12"/>
      <c r="E8212" s="57" t="str">
        <f ca="1">IFERROR(__xludf.DUMMYFUNCTION("""COMPUTED_VALUE"""),"")</f>
        <v/>
      </c>
    </row>
    <row r="8213" spans="1:5">
      <c r="A8213" s="12"/>
      <c r="E8213" s="57" t="str">
        <f ca="1">IFERROR(__xludf.DUMMYFUNCTION("""COMPUTED_VALUE"""),"")</f>
        <v/>
      </c>
    </row>
    <row r="8214" spans="1:5">
      <c r="A8214" s="12"/>
      <c r="E8214" s="57" t="str">
        <f ca="1">IFERROR(__xludf.DUMMYFUNCTION("""COMPUTED_VALUE"""),"")</f>
        <v/>
      </c>
    </row>
    <row r="8215" spans="1:5">
      <c r="A8215" s="12"/>
      <c r="E8215" s="57" t="str">
        <f ca="1">IFERROR(__xludf.DUMMYFUNCTION("""COMPUTED_VALUE"""),"")</f>
        <v/>
      </c>
    </row>
    <row r="8216" spans="1:5">
      <c r="A8216" s="12"/>
      <c r="E8216" s="57" t="str">
        <f ca="1">IFERROR(__xludf.DUMMYFUNCTION("""COMPUTED_VALUE"""),"")</f>
        <v/>
      </c>
    </row>
    <row r="8217" spans="1:5">
      <c r="A8217" s="12"/>
      <c r="E8217" s="57" t="str">
        <f ca="1">IFERROR(__xludf.DUMMYFUNCTION("""COMPUTED_VALUE"""),"")</f>
        <v/>
      </c>
    </row>
    <row r="8218" spans="1:5">
      <c r="A8218" s="12"/>
      <c r="E8218" s="57" t="str">
        <f ca="1">IFERROR(__xludf.DUMMYFUNCTION("""COMPUTED_VALUE"""),"")</f>
        <v/>
      </c>
    </row>
    <row r="8219" spans="1:5">
      <c r="A8219" s="12"/>
      <c r="E8219" s="57" t="str">
        <f ca="1">IFERROR(__xludf.DUMMYFUNCTION("""COMPUTED_VALUE"""),"")</f>
        <v/>
      </c>
    </row>
    <row r="8220" spans="1:5">
      <c r="A8220" s="12"/>
      <c r="E8220" s="57" t="str">
        <f ca="1">IFERROR(__xludf.DUMMYFUNCTION("""COMPUTED_VALUE"""),"")</f>
        <v/>
      </c>
    </row>
    <row r="8221" spans="1:5">
      <c r="A8221" s="12"/>
      <c r="E8221" s="57" t="str">
        <f ca="1">IFERROR(__xludf.DUMMYFUNCTION("""COMPUTED_VALUE"""),"")</f>
        <v/>
      </c>
    </row>
    <row r="8222" spans="1:5">
      <c r="A8222" s="12"/>
      <c r="E8222" s="57" t="str">
        <f ca="1">IFERROR(__xludf.DUMMYFUNCTION("""COMPUTED_VALUE"""),"")</f>
        <v/>
      </c>
    </row>
    <row r="8223" spans="1:5">
      <c r="A8223" s="12"/>
      <c r="E8223" s="57" t="str">
        <f ca="1">IFERROR(__xludf.DUMMYFUNCTION("""COMPUTED_VALUE"""),"")</f>
        <v/>
      </c>
    </row>
    <row r="8224" spans="1:5">
      <c r="A8224" s="12"/>
      <c r="E8224" s="57" t="str">
        <f ca="1">IFERROR(__xludf.DUMMYFUNCTION("""COMPUTED_VALUE"""),"")</f>
        <v/>
      </c>
    </row>
    <row r="8225" spans="1:5">
      <c r="A8225" s="12"/>
      <c r="E8225" s="57" t="str">
        <f ca="1">IFERROR(__xludf.DUMMYFUNCTION("""COMPUTED_VALUE"""),"")</f>
        <v/>
      </c>
    </row>
    <row r="8226" spans="1:5">
      <c r="A8226" s="12"/>
      <c r="E8226" s="57" t="str">
        <f ca="1">IFERROR(__xludf.DUMMYFUNCTION("""COMPUTED_VALUE"""),"")</f>
        <v/>
      </c>
    </row>
    <row r="8227" spans="1:5">
      <c r="A8227" s="12"/>
      <c r="E8227" s="57" t="str">
        <f ca="1">IFERROR(__xludf.DUMMYFUNCTION("""COMPUTED_VALUE"""),"")</f>
        <v/>
      </c>
    </row>
    <row r="8228" spans="1:5">
      <c r="A8228" s="12"/>
      <c r="E8228" s="57" t="str">
        <f ca="1">IFERROR(__xludf.DUMMYFUNCTION("""COMPUTED_VALUE"""),"")</f>
        <v/>
      </c>
    </row>
    <row r="8229" spans="1:5">
      <c r="A8229" s="12"/>
      <c r="E8229" s="57" t="str">
        <f ca="1">IFERROR(__xludf.DUMMYFUNCTION("""COMPUTED_VALUE"""),"")</f>
        <v/>
      </c>
    </row>
    <row r="8230" spans="1:5">
      <c r="A8230" s="12"/>
      <c r="E8230" s="57" t="str">
        <f ca="1">IFERROR(__xludf.DUMMYFUNCTION("""COMPUTED_VALUE"""),"")</f>
        <v/>
      </c>
    </row>
    <row r="8231" spans="1:5">
      <c r="A8231" s="12"/>
      <c r="E8231" s="57" t="str">
        <f ca="1">IFERROR(__xludf.DUMMYFUNCTION("""COMPUTED_VALUE"""),"")</f>
        <v/>
      </c>
    </row>
    <row r="8232" spans="1:5">
      <c r="A8232" s="12"/>
      <c r="E8232" s="57" t="str">
        <f ca="1">IFERROR(__xludf.DUMMYFUNCTION("""COMPUTED_VALUE"""),"")</f>
        <v/>
      </c>
    </row>
    <row r="8233" spans="1:5">
      <c r="A8233" s="12"/>
      <c r="E8233" s="57" t="str">
        <f ca="1">IFERROR(__xludf.DUMMYFUNCTION("""COMPUTED_VALUE"""),"")</f>
        <v/>
      </c>
    </row>
    <row r="8234" spans="1:5">
      <c r="A8234" s="12"/>
      <c r="E8234" s="57" t="str">
        <f ca="1">IFERROR(__xludf.DUMMYFUNCTION("""COMPUTED_VALUE"""),"")</f>
        <v/>
      </c>
    </row>
    <row r="8235" spans="1:5">
      <c r="A8235" s="12"/>
      <c r="E8235" s="57" t="str">
        <f ca="1">IFERROR(__xludf.DUMMYFUNCTION("""COMPUTED_VALUE"""),"")</f>
        <v/>
      </c>
    </row>
    <row r="8236" spans="1:5">
      <c r="A8236" s="12"/>
      <c r="E8236" s="57" t="str">
        <f ca="1">IFERROR(__xludf.DUMMYFUNCTION("""COMPUTED_VALUE"""),"")</f>
        <v/>
      </c>
    </row>
    <row r="8237" spans="1:5">
      <c r="A8237" s="12"/>
      <c r="E8237" s="57" t="str">
        <f ca="1">IFERROR(__xludf.DUMMYFUNCTION("""COMPUTED_VALUE"""),"")</f>
        <v/>
      </c>
    </row>
    <row r="8238" spans="1:5">
      <c r="A8238" s="12"/>
      <c r="E8238" s="57" t="str">
        <f ca="1">IFERROR(__xludf.DUMMYFUNCTION("""COMPUTED_VALUE"""),"")</f>
        <v/>
      </c>
    </row>
    <row r="8239" spans="1:5">
      <c r="A8239" s="12"/>
      <c r="E8239" s="57" t="str">
        <f ca="1">IFERROR(__xludf.DUMMYFUNCTION("""COMPUTED_VALUE"""),"")</f>
        <v/>
      </c>
    </row>
    <row r="8240" spans="1:5">
      <c r="A8240" s="12"/>
      <c r="E8240" s="57" t="str">
        <f ca="1">IFERROR(__xludf.DUMMYFUNCTION("""COMPUTED_VALUE"""),"")</f>
        <v/>
      </c>
    </row>
    <row r="8241" spans="1:5">
      <c r="A8241" s="12"/>
      <c r="E8241" s="57" t="str">
        <f ca="1">IFERROR(__xludf.DUMMYFUNCTION("""COMPUTED_VALUE"""),"")</f>
        <v/>
      </c>
    </row>
    <row r="8242" spans="1:5">
      <c r="A8242" s="12"/>
      <c r="E8242" s="57" t="str">
        <f ca="1">IFERROR(__xludf.DUMMYFUNCTION("""COMPUTED_VALUE"""),"")</f>
        <v/>
      </c>
    </row>
    <row r="8243" spans="1:5">
      <c r="A8243" s="12"/>
      <c r="E8243" s="57" t="str">
        <f ca="1">IFERROR(__xludf.DUMMYFUNCTION("""COMPUTED_VALUE"""),"")</f>
        <v/>
      </c>
    </row>
    <row r="8244" spans="1:5">
      <c r="A8244" s="12"/>
      <c r="E8244" s="57" t="str">
        <f ca="1">IFERROR(__xludf.DUMMYFUNCTION("""COMPUTED_VALUE"""),"")</f>
        <v/>
      </c>
    </row>
    <row r="8245" spans="1:5">
      <c r="A8245" s="12"/>
      <c r="E8245" s="57" t="str">
        <f ca="1">IFERROR(__xludf.DUMMYFUNCTION("""COMPUTED_VALUE"""),"")</f>
        <v/>
      </c>
    </row>
    <row r="8246" spans="1:5">
      <c r="A8246" s="12"/>
      <c r="E8246" s="57" t="str">
        <f ca="1">IFERROR(__xludf.DUMMYFUNCTION("""COMPUTED_VALUE"""),"")</f>
        <v/>
      </c>
    </row>
    <row r="8247" spans="1:5">
      <c r="A8247" s="12"/>
      <c r="E8247" s="57" t="str">
        <f ca="1">IFERROR(__xludf.DUMMYFUNCTION("""COMPUTED_VALUE"""),"")</f>
        <v/>
      </c>
    </row>
    <row r="8248" spans="1:5">
      <c r="A8248" s="12"/>
      <c r="E8248" s="57" t="str">
        <f ca="1">IFERROR(__xludf.DUMMYFUNCTION("""COMPUTED_VALUE"""),"")</f>
        <v/>
      </c>
    </row>
    <row r="8249" spans="1:5">
      <c r="A8249" s="12"/>
      <c r="E8249" s="57" t="str">
        <f ca="1">IFERROR(__xludf.DUMMYFUNCTION("""COMPUTED_VALUE"""),"")</f>
        <v/>
      </c>
    </row>
    <row r="8250" spans="1:5">
      <c r="A8250" s="12"/>
      <c r="E8250" s="57" t="str">
        <f ca="1">IFERROR(__xludf.DUMMYFUNCTION("""COMPUTED_VALUE"""),"")</f>
        <v/>
      </c>
    </row>
    <row r="8251" spans="1:5">
      <c r="A8251" s="12"/>
      <c r="E8251" s="57" t="str">
        <f ca="1">IFERROR(__xludf.DUMMYFUNCTION("""COMPUTED_VALUE"""),"")</f>
        <v/>
      </c>
    </row>
    <row r="8252" spans="1:5">
      <c r="A8252" s="12"/>
      <c r="E8252" s="57" t="str">
        <f ca="1">IFERROR(__xludf.DUMMYFUNCTION("""COMPUTED_VALUE"""),"")</f>
        <v/>
      </c>
    </row>
    <row r="8253" spans="1:5">
      <c r="A8253" s="12"/>
      <c r="E8253" s="57" t="str">
        <f ca="1">IFERROR(__xludf.DUMMYFUNCTION("""COMPUTED_VALUE"""),"")</f>
        <v/>
      </c>
    </row>
    <row r="8254" spans="1:5">
      <c r="A8254" s="12"/>
      <c r="E8254" s="57" t="str">
        <f ca="1">IFERROR(__xludf.DUMMYFUNCTION("""COMPUTED_VALUE"""),"")</f>
        <v/>
      </c>
    </row>
    <row r="8255" spans="1:5">
      <c r="A8255" s="12"/>
      <c r="E8255" s="57" t="str">
        <f ca="1">IFERROR(__xludf.DUMMYFUNCTION("""COMPUTED_VALUE"""),"")</f>
        <v/>
      </c>
    </row>
    <row r="8256" spans="1:5">
      <c r="A8256" s="12"/>
      <c r="E8256" s="57" t="str">
        <f ca="1">IFERROR(__xludf.DUMMYFUNCTION("""COMPUTED_VALUE"""),"")</f>
        <v/>
      </c>
    </row>
    <row r="8257" spans="1:5">
      <c r="A8257" s="12"/>
      <c r="E8257" s="57" t="str">
        <f ca="1">IFERROR(__xludf.DUMMYFUNCTION("""COMPUTED_VALUE"""),"")</f>
        <v/>
      </c>
    </row>
    <row r="8258" spans="1:5">
      <c r="A8258" s="12"/>
      <c r="E8258" s="57" t="str">
        <f ca="1">IFERROR(__xludf.DUMMYFUNCTION("""COMPUTED_VALUE"""),"")</f>
        <v/>
      </c>
    </row>
    <row r="8259" spans="1:5">
      <c r="A8259" s="12"/>
      <c r="E8259" s="57" t="str">
        <f ca="1">IFERROR(__xludf.DUMMYFUNCTION("""COMPUTED_VALUE"""),"")</f>
        <v/>
      </c>
    </row>
    <row r="8260" spans="1:5">
      <c r="A8260" s="12"/>
      <c r="E8260" s="57" t="str">
        <f ca="1">IFERROR(__xludf.DUMMYFUNCTION("""COMPUTED_VALUE"""),"")</f>
        <v/>
      </c>
    </row>
    <row r="8261" spans="1:5">
      <c r="A8261" s="12"/>
      <c r="E8261" s="57" t="str">
        <f ca="1">IFERROR(__xludf.DUMMYFUNCTION("""COMPUTED_VALUE"""),"")</f>
        <v/>
      </c>
    </row>
    <row r="8262" spans="1:5">
      <c r="A8262" s="12"/>
      <c r="E8262" s="57" t="str">
        <f ca="1">IFERROR(__xludf.DUMMYFUNCTION("""COMPUTED_VALUE"""),"")</f>
        <v/>
      </c>
    </row>
    <row r="8263" spans="1:5">
      <c r="A8263" s="12"/>
      <c r="E8263" s="57" t="str">
        <f ca="1">IFERROR(__xludf.DUMMYFUNCTION("""COMPUTED_VALUE"""),"")</f>
        <v/>
      </c>
    </row>
    <row r="8264" spans="1:5">
      <c r="A8264" s="12"/>
      <c r="E8264" s="57" t="str">
        <f ca="1">IFERROR(__xludf.DUMMYFUNCTION("""COMPUTED_VALUE"""),"")</f>
        <v/>
      </c>
    </row>
    <row r="8265" spans="1:5">
      <c r="A8265" s="12"/>
      <c r="E8265" s="57" t="str">
        <f ca="1">IFERROR(__xludf.DUMMYFUNCTION("""COMPUTED_VALUE"""),"")</f>
        <v/>
      </c>
    </row>
    <row r="8266" spans="1:5">
      <c r="A8266" s="12"/>
      <c r="E8266" s="57" t="str">
        <f ca="1">IFERROR(__xludf.DUMMYFUNCTION("""COMPUTED_VALUE"""),"")</f>
        <v/>
      </c>
    </row>
    <row r="8267" spans="1:5">
      <c r="A8267" s="12"/>
      <c r="E8267" s="57" t="str">
        <f ca="1">IFERROR(__xludf.DUMMYFUNCTION("""COMPUTED_VALUE"""),"")</f>
        <v/>
      </c>
    </row>
    <row r="8268" spans="1:5">
      <c r="A8268" s="12"/>
      <c r="E8268" s="57" t="str">
        <f ca="1">IFERROR(__xludf.DUMMYFUNCTION("""COMPUTED_VALUE"""),"")</f>
        <v/>
      </c>
    </row>
    <row r="8269" spans="1:5">
      <c r="A8269" s="12"/>
      <c r="E8269" s="57" t="str">
        <f ca="1">IFERROR(__xludf.DUMMYFUNCTION("""COMPUTED_VALUE"""),"")</f>
        <v/>
      </c>
    </row>
    <row r="8270" spans="1:5">
      <c r="A8270" s="12"/>
      <c r="E8270" s="57" t="str">
        <f ca="1">IFERROR(__xludf.DUMMYFUNCTION("""COMPUTED_VALUE"""),"")</f>
        <v/>
      </c>
    </row>
    <row r="8271" spans="1:5">
      <c r="A8271" s="12"/>
      <c r="E8271" s="57" t="str">
        <f ca="1">IFERROR(__xludf.DUMMYFUNCTION("""COMPUTED_VALUE"""),"")</f>
        <v/>
      </c>
    </row>
    <row r="8272" spans="1:5">
      <c r="A8272" s="12"/>
      <c r="E8272" s="57" t="str">
        <f ca="1">IFERROR(__xludf.DUMMYFUNCTION("""COMPUTED_VALUE"""),"")</f>
        <v/>
      </c>
    </row>
    <row r="8273" spans="1:5">
      <c r="A8273" s="12"/>
      <c r="E8273" s="57" t="str">
        <f ca="1">IFERROR(__xludf.DUMMYFUNCTION("""COMPUTED_VALUE"""),"")</f>
        <v/>
      </c>
    </row>
    <row r="8274" spans="1:5">
      <c r="A8274" s="12"/>
      <c r="E8274" s="57" t="str">
        <f ca="1">IFERROR(__xludf.DUMMYFUNCTION("""COMPUTED_VALUE"""),"")</f>
        <v/>
      </c>
    </row>
    <row r="8275" spans="1:5">
      <c r="A8275" s="12"/>
      <c r="E8275" s="57" t="str">
        <f ca="1">IFERROR(__xludf.DUMMYFUNCTION("""COMPUTED_VALUE"""),"")</f>
        <v/>
      </c>
    </row>
    <row r="8276" spans="1:5">
      <c r="A8276" s="12"/>
      <c r="E8276" s="57" t="str">
        <f ca="1">IFERROR(__xludf.DUMMYFUNCTION("""COMPUTED_VALUE"""),"")</f>
        <v/>
      </c>
    </row>
    <row r="8277" spans="1:5">
      <c r="A8277" s="12"/>
      <c r="E8277" s="57" t="str">
        <f ca="1">IFERROR(__xludf.DUMMYFUNCTION("""COMPUTED_VALUE"""),"")</f>
        <v/>
      </c>
    </row>
    <row r="8278" spans="1:5">
      <c r="A8278" s="12"/>
      <c r="E8278" s="57" t="str">
        <f ca="1">IFERROR(__xludf.DUMMYFUNCTION("""COMPUTED_VALUE"""),"")</f>
        <v/>
      </c>
    </row>
    <row r="8279" spans="1:5">
      <c r="A8279" s="12"/>
      <c r="E8279" s="57" t="str">
        <f ca="1">IFERROR(__xludf.DUMMYFUNCTION("""COMPUTED_VALUE"""),"")</f>
        <v/>
      </c>
    </row>
    <row r="8280" spans="1:5">
      <c r="A8280" s="12"/>
      <c r="E8280" s="57" t="str">
        <f ca="1">IFERROR(__xludf.DUMMYFUNCTION("""COMPUTED_VALUE"""),"")</f>
        <v/>
      </c>
    </row>
    <row r="8281" spans="1:5">
      <c r="A8281" s="12"/>
      <c r="E8281" s="57" t="str">
        <f ca="1">IFERROR(__xludf.DUMMYFUNCTION("""COMPUTED_VALUE"""),"")</f>
        <v/>
      </c>
    </row>
    <row r="8282" spans="1:5">
      <c r="A8282" s="12"/>
      <c r="E8282" s="57" t="str">
        <f ca="1">IFERROR(__xludf.DUMMYFUNCTION("""COMPUTED_VALUE"""),"")</f>
        <v/>
      </c>
    </row>
    <row r="8283" spans="1:5">
      <c r="A8283" s="12"/>
      <c r="E8283" s="57" t="str">
        <f ca="1">IFERROR(__xludf.DUMMYFUNCTION("""COMPUTED_VALUE"""),"")</f>
        <v/>
      </c>
    </row>
    <row r="8284" spans="1:5">
      <c r="A8284" s="12"/>
      <c r="E8284" s="57" t="str">
        <f ca="1">IFERROR(__xludf.DUMMYFUNCTION("""COMPUTED_VALUE"""),"")</f>
        <v/>
      </c>
    </row>
    <row r="8285" spans="1:5">
      <c r="A8285" s="12"/>
      <c r="E8285" s="57" t="str">
        <f ca="1">IFERROR(__xludf.DUMMYFUNCTION("""COMPUTED_VALUE"""),"")</f>
        <v/>
      </c>
    </row>
    <row r="8286" spans="1:5">
      <c r="A8286" s="12"/>
      <c r="E8286" s="57" t="str">
        <f ca="1">IFERROR(__xludf.DUMMYFUNCTION("""COMPUTED_VALUE"""),"")</f>
        <v/>
      </c>
    </row>
    <row r="8287" spans="1:5">
      <c r="A8287" s="12"/>
      <c r="E8287" s="57" t="str">
        <f ca="1">IFERROR(__xludf.DUMMYFUNCTION("""COMPUTED_VALUE"""),"")</f>
        <v/>
      </c>
    </row>
    <row r="8288" spans="1:5">
      <c r="A8288" s="12"/>
      <c r="E8288" s="57" t="str">
        <f ca="1">IFERROR(__xludf.DUMMYFUNCTION("""COMPUTED_VALUE"""),"")</f>
        <v/>
      </c>
    </row>
    <row r="8289" spans="1:5">
      <c r="A8289" s="12"/>
      <c r="E8289" s="57" t="str">
        <f ca="1">IFERROR(__xludf.DUMMYFUNCTION("""COMPUTED_VALUE"""),"")</f>
        <v/>
      </c>
    </row>
    <row r="8290" spans="1:5">
      <c r="A8290" s="12"/>
      <c r="E8290" s="57" t="str">
        <f ca="1">IFERROR(__xludf.DUMMYFUNCTION("""COMPUTED_VALUE"""),"")</f>
        <v/>
      </c>
    </row>
    <row r="8291" spans="1:5">
      <c r="A8291" s="12"/>
      <c r="E8291" s="57" t="str">
        <f ca="1">IFERROR(__xludf.DUMMYFUNCTION("""COMPUTED_VALUE"""),"")</f>
        <v/>
      </c>
    </row>
    <row r="8292" spans="1:5">
      <c r="A8292" s="12"/>
      <c r="E8292" s="57" t="str">
        <f ca="1">IFERROR(__xludf.DUMMYFUNCTION("""COMPUTED_VALUE"""),"")</f>
        <v/>
      </c>
    </row>
    <row r="8293" spans="1:5">
      <c r="A8293" s="12"/>
      <c r="E8293" s="57" t="str">
        <f ca="1">IFERROR(__xludf.DUMMYFUNCTION("""COMPUTED_VALUE"""),"")</f>
        <v/>
      </c>
    </row>
    <row r="8294" spans="1:5">
      <c r="A8294" s="12"/>
      <c r="E8294" s="57" t="str">
        <f ca="1">IFERROR(__xludf.DUMMYFUNCTION("""COMPUTED_VALUE"""),"")</f>
        <v/>
      </c>
    </row>
    <row r="8295" spans="1:5">
      <c r="A8295" s="12"/>
      <c r="E8295" s="57" t="str">
        <f ca="1">IFERROR(__xludf.DUMMYFUNCTION("""COMPUTED_VALUE"""),"")</f>
        <v/>
      </c>
    </row>
    <row r="8296" spans="1:5">
      <c r="A8296" s="12"/>
      <c r="E8296" s="57" t="str">
        <f ca="1">IFERROR(__xludf.DUMMYFUNCTION("""COMPUTED_VALUE"""),"")</f>
        <v/>
      </c>
    </row>
    <row r="8297" spans="1:5">
      <c r="A8297" s="12"/>
      <c r="E8297" s="57" t="str">
        <f ca="1">IFERROR(__xludf.DUMMYFUNCTION("""COMPUTED_VALUE"""),"")</f>
        <v/>
      </c>
    </row>
    <row r="8298" spans="1:5">
      <c r="A8298" s="12"/>
      <c r="E8298" s="57" t="str">
        <f ca="1">IFERROR(__xludf.DUMMYFUNCTION("""COMPUTED_VALUE"""),"")</f>
        <v/>
      </c>
    </row>
    <row r="8299" spans="1:5">
      <c r="A8299" s="12"/>
      <c r="E8299" s="57" t="str">
        <f ca="1">IFERROR(__xludf.DUMMYFUNCTION("""COMPUTED_VALUE"""),"")</f>
        <v/>
      </c>
    </row>
    <row r="8300" spans="1:5">
      <c r="A8300" s="12"/>
      <c r="E8300" s="57" t="str">
        <f ca="1">IFERROR(__xludf.DUMMYFUNCTION("""COMPUTED_VALUE"""),"")</f>
        <v/>
      </c>
    </row>
    <row r="8301" spans="1:5">
      <c r="A8301" s="12"/>
      <c r="E8301" s="57" t="str">
        <f ca="1">IFERROR(__xludf.DUMMYFUNCTION("""COMPUTED_VALUE"""),"")</f>
        <v/>
      </c>
    </row>
    <row r="8302" spans="1:5">
      <c r="A8302" s="12"/>
      <c r="E8302" s="57" t="str">
        <f ca="1">IFERROR(__xludf.DUMMYFUNCTION("""COMPUTED_VALUE"""),"")</f>
        <v/>
      </c>
    </row>
    <row r="8303" spans="1:5">
      <c r="A8303" s="12"/>
      <c r="E8303" s="57" t="str">
        <f ca="1">IFERROR(__xludf.DUMMYFUNCTION("""COMPUTED_VALUE"""),"")</f>
        <v/>
      </c>
    </row>
    <row r="8304" spans="1:5">
      <c r="A8304" s="12"/>
      <c r="E8304" s="57" t="str">
        <f ca="1">IFERROR(__xludf.DUMMYFUNCTION("""COMPUTED_VALUE"""),"")</f>
        <v/>
      </c>
    </row>
    <row r="8305" spans="1:5">
      <c r="A8305" s="12"/>
      <c r="E8305" s="57" t="str">
        <f ca="1">IFERROR(__xludf.DUMMYFUNCTION("""COMPUTED_VALUE"""),"")</f>
        <v/>
      </c>
    </row>
    <row r="8306" spans="1:5">
      <c r="A8306" s="12"/>
      <c r="E8306" s="57" t="str">
        <f ca="1">IFERROR(__xludf.DUMMYFUNCTION("""COMPUTED_VALUE"""),"")</f>
        <v/>
      </c>
    </row>
    <row r="8307" spans="1:5">
      <c r="A8307" s="12"/>
      <c r="E8307" s="57" t="str">
        <f ca="1">IFERROR(__xludf.DUMMYFUNCTION("""COMPUTED_VALUE"""),"")</f>
        <v/>
      </c>
    </row>
    <row r="8308" spans="1:5">
      <c r="A8308" s="12"/>
      <c r="E8308" s="57" t="str">
        <f ca="1">IFERROR(__xludf.DUMMYFUNCTION("""COMPUTED_VALUE"""),"")</f>
        <v/>
      </c>
    </row>
    <row r="8309" spans="1:5">
      <c r="A8309" s="12"/>
      <c r="E8309" s="57" t="str">
        <f ca="1">IFERROR(__xludf.DUMMYFUNCTION("""COMPUTED_VALUE"""),"")</f>
        <v/>
      </c>
    </row>
    <row r="8310" spans="1:5">
      <c r="A8310" s="12"/>
      <c r="E8310" s="57" t="str">
        <f ca="1">IFERROR(__xludf.DUMMYFUNCTION("""COMPUTED_VALUE"""),"")</f>
        <v/>
      </c>
    </row>
    <row r="8311" spans="1:5">
      <c r="A8311" s="12"/>
      <c r="E8311" s="57" t="str">
        <f ca="1">IFERROR(__xludf.DUMMYFUNCTION("""COMPUTED_VALUE"""),"")</f>
        <v/>
      </c>
    </row>
    <row r="8312" spans="1:5">
      <c r="A8312" s="12"/>
      <c r="E8312" s="57" t="str">
        <f ca="1">IFERROR(__xludf.DUMMYFUNCTION("""COMPUTED_VALUE"""),"")</f>
        <v/>
      </c>
    </row>
    <row r="8313" spans="1:5">
      <c r="A8313" s="12"/>
      <c r="E8313" s="57" t="str">
        <f ca="1">IFERROR(__xludf.DUMMYFUNCTION("""COMPUTED_VALUE"""),"")</f>
        <v/>
      </c>
    </row>
    <row r="8314" spans="1:5">
      <c r="A8314" s="12"/>
      <c r="E8314" s="57" t="str">
        <f ca="1">IFERROR(__xludf.DUMMYFUNCTION("""COMPUTED_VALUE"""),"")</f>
        <v/>
      </c>
    </row>
    <row r="8315" spans="1:5">
      <c r="A8315" s="12"/>
      <c r="E8315" s="57" t="str">
        <f ca="1">IFERROR(__xludf.DUMMYFUNCTION("""COMPUTED_VALUE"""),"")</f>
        <v/>
      </c>
    </row>
    <row r="8316" spans="1:5">
      <c r="A8316" s="12"/>
      <c r="E8316" s="57" t="str">
        <f ca="1">IFERROR(__xludf.DUMMYFUNCTION("""COMPUTED_VALUE"""),"")</f>
        <v/>
      </c>
    </row>
    <row r="8317" spans="1:5">
      <c r="A8317" s="12"/>
      <c r="E8317" s="57" t="str">
        <f ca="1">IFERROR(__xludf.DUMMYFUNCTION("""COMPUTED_VALUE"""),"")</f>
        <v/>
      </c>
    </row>
    <row r="8318" spans="1:5">
      <c r="A8318" s="12"/>
      <c r="E8318" s="57" t="str">
        <f ca="1">IFERROR(__xludf.DUMMYFUNCTION("""COMPUTED_VALUE"""),"")</f>
        <v/>
      </c>
    </row>
    <row r="8319" spans="1:5">
      <c r="A8319" s="12"/>
      <c r="E8319" s="57" t="str">
        <f ca="1">IFERROR(__xludf.DUMMYFUNCTION("""COMPUTED_VALUE"""),"")</f>
        <v/>
      </c>
    </row>
    <row r="8320" spans="1:5">
      <c r="A8320" s="12"/>
      <c r="E8320" s="57" t="str">
        <f ca="1">IFERROR(__xludf.DUMMYFUNCTION("""COMPUTED_VALUE"""),"")</f>
        <v/>
      </c>
    </row>
    <row r="8321" spans="1:5">
      <c r="A8321" s="12"/>
      <c r="E8321" s="57" t="str">
        <f ca="1">IFERROR(__xludf.DUMMYFUNCTION("""COMPUTED_VALUE"""),"")</f>
        <v/>
      </c>
    </row>
    <row r="8322" spans="1:5">
      <c r="A8322" s="12"/>
      <c r="E8322" s="57" t="str">
        <f ca="1">IFERROR(__xludf.DUMMYFUNCTION("""COMPUTED_VALUE"""),"")</f>
        <v/>
      </c>
    </row>
    <row r="8323" spans="1:5">
      <c r="A8323" s="12"/>
      <c r="E8323" s="57" t="str">
        <f ca="1">IFERROR(__xludf.DUMMYFUNCTION("""COMPUTED_VALUE"""),"")</f>
        <v/>
      </c>
    </row>
    <row r="8324" spans="1:5">
      <c r="A8324" s="12"/>
      <c r="E8324" s="57" t="str">
        <f ca="1">IFERROR(__xludf.DUMMYFUNCTION("""COMPUTED_VALUE"""),"")</f>
        <v/>
      </c>
    </row>
    <row r="8325" spans="1:5">
      <c r="A8325" s="12"/>
      <c r="E8325" s="57" t="str">
        <f ca="1">IFERROR(__xludf.DUMMYFUNCTION("""COMPUTED_VALUE"""),"")</f>
        <v/>
      </c>
    </row>
    <row r="8326" spans="1:5">
      <c r="A8326" s="12"/>
      <c r="E8326" s="57" t="str">
        <f ca="1">IFERROR(__xludf.DUMMYFUNCTION("""COMPUTED_VALUE"""),"")</f>
        <v/>
      </c>
    </row>
    <row r="8327" spans="1:5">
      <c r="A8327" s="12"/>
      <c r="E8327" s="57" t="str">
        <f ca="1">IFERROR(__xludf.DUMMYFUNCTION("""COMPUTED_VALUE"""),"")</f>
        <v/>
      </c>
    </row>
    <row r="8328" spans="1:5">
      <c r="A8328" s="12"/>
      <c r="E8328" s="57" t="str">
        <f ca="1">IFERROR(__xludf.DUMMYFUNCTION("""COMPUTED_VALUE"""),"")</f>
        <v/>
      </c>
    </row>
    <row r="8329" spans="1:5">
      <c r="A8329" s="12"/>
      <c r="E8329" s="57" t="str">
        <f ca="1">IFERROR(__xludf.DUMMYFUNCTION("""COMPUTED_VALUE"""),"")</f>
        <v/>
      </c>
    </row>
    <row r="8330" spans="1:5">
      <c r="A8330" s="12"/>
      <c r="E8330" s="57" t="str">
        <f ca="1">IFERROR(__xludf.DUMMYFUNCTION("""COMPUTED_VALUE"""),"")</f>
        <v/>
      </c>
    </row>
    <row r="8331" spans="1:5">
      <c r="A8331" s="12"/>
      <c r="E8331" s="57" t="str">
        <f ca="1">IFERROR(__xludf.DUMMYFUNCTION("""COMPUTED_VALUE"""),"")</f>
        <v/>
      </c>
    </row>
    <row r="8332" spans="1:5">
      <c r="A8332" s="12"/>
      <c r="E8332" s="57" t="str">
        <f ca="1">IFERROR(__xludf.DUMMYFUNCTION("""COMPUTED_VALUE"""),"")</f>
        <v/>
      </c>
    </row>
    <row r="8333" spans="1:5">
      <c r="A8333" s="12"/>
      <c r="E8333" s="57" t="str">
        <f ca="1">IFERROR(__xludf.DUMMYFUNCTION("""COMPUTED_VALUE"""),"")</f>
        <v/>
      </c>
    </row>
    <row r="8334" spans="1:5">
      <c r="A8334" s="12"/>
      <c r="E8334" s="57" t="str">
        <f ca="1">IFERROR(__xludf.DUMMYFUNCTION("""COMPUTED_VALUE"""),"")</f>
        <v/>
      </c>
    </row>
    <row r="8335" spans="1:5">
      <c r="A8335" s="12"/>
      <c r="E8335" s="57" t="str">
        <f ca="1">IFERROR(__xludf.DUMMYFUNCTION("""COMPUTED_VALUE"""),"")</f>
        <v/>
      </c>
    </row>
    <row r="8336" spans="1:5">
      <c r="A8336" s="12"/>
      <c r="E8336" s="57" t="str">
        <f ca="1">IFERROR(__xludf.DUMMYFUNCTION("""COMPUTED_VALUE"""),"")</f>
        <v/>
      </c>
    </row>
    <row r="8337" spans="1:5">
      <c r="A8337" s="12"/>
      <c r="E8337" s="57" t="str">
        <f ca="1">IFERROR(__xludf.DUMMYFUNCTION("""COMPUTED_VALUE"""),"")</f>
        <v/>
      </c>
    </row>
    <row r="8338" spans="1:5">
      <c r="A8338" s="12"/>
      <c r="E8338" s="57" t="str">
        <f ca="1">IFERROR(__xludf.DUMMYFUNCTION("""COMPUTED_VALUE"""),"")</f>
        <v/>
      </c>
    </row>
    <row r="8339" spans="1:5">
      <c r="A8339" s="12"/>
      <c r="E8339" s="57" t="str">
        <f ca="1">IFERROR(__xludf.DUMMYFUNCTION("""COMPUTED_VALUE"""),"")</f>
        <v/>
      </c>
    </row>
    <row r="8340" spans="1:5">
      <c r="A8340" s="12"/>
      <c r="E8340" s="57" t="str">
        <f ca="1">IFERROR(__xludf.DUMMYFUNCTION("""COMPUTED_VALUE"""),"")</f>
        <v/>
      </c>
    </row>
    <row r="8341" spans="1:5">
      <c r="A8341" s="12"/>
      <c r="E8341" s="57" t="str">
        <f ca="1">IFERROR(__xludf.DUMMYFUNCTION("""COMPUTED_VALUE"""),"")</f>
        <v/>
      </c>
    </row>
    <row r="8342" spans="1:5">
      <c r="A8342" s="12"/>
      <c r="E8342" s="57" t="str">
        <f ca="1">IFERROR(__xludf.DUMMYFUNCTION("""COMPUTED_VALUE"""),"")</f>
        <v/>
      </c>
    </row>
    <row r="8343" spans="1:5">
      <c r="A8343" s="12"/>
      <c r="E8343" s="57" t="str">
        <f ca="1">IFERROR(__xludf.DUMMYFUNCTION("""COMPUTED_VALUE"""),"")</f>
        <v/>
      </c>
    </row>
    <row r="8344" spans="1:5">
      <c r="A8344" s="12"/>
      <c r="E8344" s="57" t="str">
        <f ca="1">IFERROR(__xludf.DUMMYFUNCTION("""COMPUTED_VALUE"""),"")</f>
        <v/>
      </c>
    </row>
    <row r="8345" spans="1:5">
      <c r="A8345" s="12"/>
      <c r="E8345" s="57" t="str">
        <f ca="1">IFERROR(__xludf.DUMMYFUNCTION("""COMPUTED_VALUE"""),"")</f>
        <v/>
      </c>
    </row>
    <row r="8346" spans="1:5">
      <c r="A8346" s="12"/>
      <c r="E8346" s="57" t="str">
        <f ca="1">IFERROR(__xludf.DUMMYFUNCTION("""COMPUTED_VALUE"""),"")</f>
        <v/>
      </c>
    </row>
    <row r="8347" spans="1:5">
      <c r="A8347" s="12"/>
      <c r="E8347" s="57" t="str">
        <f ca="1">IFERROR(__xludf.DUMMYFUNCTION("""COMPUTED_VALUE"""),"")</f>
        <v/>
      </c>
    </row>
    <row r="8348" spans="1:5">
      <c r="A8348" s="12"/>
      <c r="E8348" s="57" t="str">
        <f ca="1">IFERROR(__xludf.DUMMYFUNCTION("""COMPUTED_VALUE"""),"")</f>
        <v/>
      </c>
    </row>
    <row r="8349" spans="1:5">
      <c r="A8349" s="12"/>
      <c r="E8349" s="57" t="str">
        <f ca="1">IFERROR(__xludf.DUMMYFUNCTION("""COMPUTED_VALUE"""),"")</f>
        <v/>
      </c>
    </row>
    <row r="8350" spans="1:5">
      <c r="A8350" s="12"/>
      <c r="E8350" s="57" t="str">
        <f ca="1">IFERROR(__xludf.DUMMYFUNCTION("""COMPUTED_VALUE"""),"")</f>
        <v/>
      </c>
    </row>
    <row r="8351" spans="1:5">
      <c r="A8351" s="12"/>
      <c r="E8351" s="57" t="str">
        <f ca="1">IFERROR(__xludf.DUMMYFUNCTION("""COMPUTED_VALUE"""),"")</f>
        <v/>
      </c>
    </row>
    <row r="8352" spans="1:5">
      <c r="A8352" s="12"/>
      <c r="E8352" s="57" t="str">
        <f ca="1">IFERROR(__xludf.DUMMYFUNCTION("""COMPUTED_VALUE"""),"")</f>
        <v/>
      </c>
    </row>
    <row r="8353" spans="1:5">
      <c r="A8353" s="12"/>
      <c r="E8353" s="57" t="str">
        <f ca="1">IFERROR(__xludf.DUMMYFUNCTION("""COMPUTED_VALUE"""),"")</f>
        <v/>
      </c>
    </row>
    <row r="8354" spans="1:5">
      <c r="A8354" s="12"/>
      <c r="E8354" s="57" t="str">
        <f ca="1">IFERROR(__xludf.DUMMYFUNCTION("""COMPUTED_VALUE"""),"")</f>
        <v/>
      </c>
    </row>
    <row r="8355" spans="1:5">
      <c r="A8355" s="12"/>
      <c r="E8355" s="57" t="str">
        <f ca="1">IFERROR(__xludf.DUMMYFUNCTION("""COMPUTED_VALUE"""),"")</f>
        <v/>
      </c>
    </row>
    <row r="8356" spans="1:5">
      <c r="A8356" s="12"/>
      <c r="E8356" s="57" t="str">
        <f ca="1">IFERROR(__xludf.DUMMYFUNCTION("""COMPUTED_VALUE"""),"")</f>
        <v/>
      </c>
    </row>
    <row r="8357" spans="1:5">
      <c r="A8357" s="12"/>
      <c r="E8357" s="57" t="str">
        <f ca="1">IFERROR(__xludf.DUMMYFUNCTION("""COMPUTED_VALUE"""),"")</f>
        <v/>
      </c>
    </row>
    <row r="8358" spans="1:5">
      <c r="A8358" s="12"/>
      <c r="E8358" s="57" t="str">
        <f ca="1">IFERROR(__xludf.DUMMYFUNCTION("""COMPUTED_VALUE"""),"")</f>
        <v/>
      </c>
    </row>
    <row r="8359" spans="1:5">
      <c r="A8359" s="12"/>
      <c r="E8359" s="57" t="str">
        <f ca="1">IFERROR(__xludf.DUMMYFUNCTION("""COMPUTED_VALUE"""),"")</f>
        <v/>
      </c>
    </row>
    <row r="8360" spans="1:5">
      <c r="A8360" s="12"/>
      <c r="E8360" s="57" t="str">
        <f ca="1">IFERROR(__xludf.DUMMYFUNCTION("""COMPUTED_VALUE"""),"")</f>
        <v/>
      </c>
    </row>
    <row r="8361" spans="1:5">
      <c r="A8361" s="12"/>
      <c r="E8361" s="57" t="str">
        <f ca="1">IFERROR(__xludf.DUMMYFUNCTION("""COMPUTED_VALUE"""),"")</f>
        <v/>
      </c>
    </row>
    <row r="8362" spans="1:5">
      <c r="A8362" s="12"/>
      <c r="E8362" s="57" t="str">
        <f ca="1">IFERROR(__xludf.DUMMYFUNCTION("""COMPUTED_VALUE"""),"")</f>
        <v/>
      </c>
    </row>
    <row r="8363" spans="1:5">
      <c r="A8363" s="12"/>
      <c r="E8363" s="57" t="str">
        <f ca="1">IFERROR(__xludf.DUMMYFUNCTION("""COMPUTED_VALUE"""),"")</f>
        <v/>
      </c>
    </row>
    <row r="8364" spans="1:5">
      <c r="A8364" s="12"/>
      <c r="E8364" s="57" t="str">
        <f ca="1">IFERROR(__xludf.DUMMYFUNCTION("""COMPUTED_VALUE"""),"")</f>
        <v/>
      </c>
    </row>
    <row r="8365" spans="1:5">
      <c r="A8365" s="12"/>
      <c r="E8365" s="57" t="str">
        <f ca="1">IFERROR(__xludf.DUMMYFUNCTION("""COMPUTED_VALUE"""),"")</f>
        <v/>
      </c>
    </row>
    <row r="8366" spans="1:5">
      <c r="A8366" s="12"/>
      <c r="E8366" s="57" t="str">
        <f ca="1">IFERROR(__xludf.DUMMYFUNCTION("""COMPUTED_VALUE"""),"")</f>
        <v/>
      </c>
    </row>
    <row r="8367" spans="1:5">
      <c r="A8367" s="12"/>
      <c r="E8367" s="57" t="str">
        <f ca="1">IFERROR(__xludf.DUMMYFUNCTION("""COMPUTED_VALUE"""),"")</f>
        <v/>
      </c>
    </row>
    <row r="8368" spans="1:5">
      <c r="A8368" s="12"/>
      <c r="E8368" s="57" t="str">
        <f ca="1">IFERROR(__xludf.DUMMYFUNCTION("""COMPUTED_VALUE"""),"")</f>
        <v/>
      </c>
    </row>
    <row r="8369" spans="1:5">
      <c r="A8369" s="12"/>
      <c r="E8369" s="57" t="str">
        <f ca="1">IFERROR(__xludf.DUMMYFUNCTION("""COMPUTED_VALUE"""),"")</f>
        <v/>
      </c>
    </row>
    <row r="8370" spans="1:5">
      <c r="A8370" s="12"/>
      <c r="E8370" s="57" t="str">
        <f ca="1">IFERROR(__xludf.DUMMYFUNCTION("""COMPUTED_VALUE"""),"")</f>
        <v/>
      </c>
    </row>
    <row r="8371" spans="1:5">
      <c r="A8371" s="12"/>
      <c r="E8371" s="57" t="str">
        <f ca="1">IFERROR(__xludf.DUMMYFUNCTION("""COMPUTED_VALUE"""),"")</f>
        <v/>
      </c>
    </row>
    <row r="8372" spans="1:5">
      <c r="A8372" s="12"/>
      <c r="E8372" s="57" t="str">
        <f ca="1">IFERROR(__xludf.DUMMYFUNCTION("""COMPUTED_VALUE"""),"")</f>
        <v/>
      </c>
    </row>
    <row r="8373" spans="1:5">
      <c r="A8373" s="12"/>
      <c r="E8373" s="57" t="str">
        <f ca="1">IFERROR(__xludf.DUMMYFUNCTION("""COMPUTED_VALUE"""),"")</f>
        <v/>
      </c>
    </row>
    <row r="8374" spans="1:5">
      <c r="A8374" s="12"/>
      <c r="E8374" s="57" t="str">
        <f ca="1">IFERROR(__xludf.DUMMYFUNCTION("""COMPUTED_VALUE"""),"")</f>
        <v/>
      </c>
    </row>
    <row r="8375" spans="1:5">
      <c r="A8375" s="12"/>
      <c r="E8375" s="57" t="str">
        <f ca="1">IFERROR(__xludf.DUMMYFUNCTION("""COMPUTED_VALUE"""),"")</f>
        <v/>
      </c>
    </row>
    <row r="8376" spans="1:5">
      <c r="A8376" s="12"/>
      <c r="E8376" s="57" t="str">
        <f ca="1">IFERROR(__xludf.DUMMYFUNCTION("""COMPUTED_VALUE"""),"")</f>
        <v/>
      </c>
    </row>
    <row r="8377" spans="1:5">
      <c r="A8377" s="12"/>
      <c r="E8377" s="57" t="str">
        <f ca="1">IFERROR(__xludf.DUMMYFUNCTION("""COMPUTED_VALUE"""),"")</f>
        <v/>
      </c>
    </row>
    <row r="8378" spans="1:5">
      <c r="A8378" s="12"/>
      <c r="E8378" s="57" t="str">
        <f ca="1">IFERROR(__xludf.DUMMYFUNCTION("""COMPUTED_VALUE"""),"")</f>
        <v/>
      </c>
    </row>
    <row r="8379" spans="1:5">
      <c r="A8379" s="12"/>
      <c r="E8379" s="57" t="str">
        <f ca="1">IFERROR(__xludf.DUMMYFUNCTION("""COMPUTED_VALUE"""),"")</f>
        <v/>
      </c>
    </row>
    <row r="8380" spans="1:5">
      <c r="A8380" s="12"/>
      <c r="E8380" s="57" t="str">
        <f ca="1">IFERROR(__xludf.DUMMYFUNCTION("""COMPUTED_VALUE"""),"")</f>
        <v/>
      </c>
    </row>
    <row r="8381" spans="1:5">
      <c r="A8381" s="12"/>
      <c r="E8381" s="57" t="str">
        <f ca="1">IFERROR(__xludf.DUMMYFUNCTION("""COMPUTED_VALUE"""),"")</f>
        <v/>
      </c>
    </row>
    <row r="8382" spans="1:5">
      <c r="A8382" s="12"/>
      <c r="E8382" s="57" t="str">
        <f ca="1">IFERROR(__xludf.DUMMYFUNCTION("""COMPUTED_VALUE"""),"")</f>
        <v/>
      </c>
    </row>
    <row r="8383" spans="1:5">
      <c r="A8383" s="12"/>
      <c r="E8383" s="57" t="str">
        <f ca="1">IFERROR(__xludf.DUMMYFUNCTION("""COMPUTED_VALUE"""),"")</f>
        <v/>
      </c>
    </row>
    <row r="8384" spans="1:5">
      <c r="A8384" s="12"/>
      <c r="E8384" s="57" t="str">
        <f ca="1">IFERROR(__xludf.DUMMYFUNCTION("""COMPUTED_VALUE"""),"")</f>
        <v/>
      </c>
    </row>
    <row r="8385" spans="1:5">
      <c r="A8385" s="12"/>
      <c r="E8385" s="57" t="str">
        <f ca="1">IFERROR(__xludf.DUMMYFUNCTION("""COMPUTED_VALUE"""),"")</f>
        <v/>
      </c>
    </row>
    <row r="8386" spans="1:5">
      <c r="A8386" s="12"/>
      <c r="E8386" s="57" t="str">
        <f ca="1">IFERROR(__xludf.DUMMYFUNCTION("""COMPUTED_VALUE"""),"")</f>
        <v/>
      </c>
    </row>
    <row r="8387" spans="1:5">
      <c r="A8387" s="12"/>
      <c r="E8387" s="57" t="str">
        <f ca="1">IFERROR(__xludf.DUMMYFUNCTION("""COMPUTED_VALUE"""),"")</f>
        <v/>
      </c>
    </row>
    <row r="8388" spans="1:5">
      <c r="A8388" s="12"/>
      <c r="E8388" s="57" t="str">
        <f ca="1">IFERROR(__xludf.DUMMYFUNCTION("""COMPUTED_VALUE"""),"")</f>
        <v/>
      </c>
    </row>
    <row r="8389" spans="1:5">
      <c r="A8389" s="12"/>
      <c r="E8389" s="57" t="str">
        <f ca="1">IFERROR(__xludf.DUMMYFUNCTION("""COMPUTED_VALUE"""),"")</f>
        <v/>
      </c>
    </row>
    <row r="8390" spans="1:5">
      <c r="A8390" s="12"/>
      <c r="E8390" s="57" t="str">
        <f ca="1">IFERROR(__xludf.DUMMYFUNCTION("""COMPUTED_VALUE"""),"")</f>
        <v/>
      </c>
    </row>
    <row r="8391" spans="1:5">
      <c r="A8391" s="12"/>
      <c r="E8391" s="57" t="str">
        <f ca="1">IFERROR(__xludf.DUMMYFUNCTION("""COMPUTED_VALUE"""),"")</f>
        <v/>
      </c>
    </row>
    <row r="8392" spans="1:5">
      <c r="A8392" s="12"/>
      <c r="E8392" s="57" t="str">
        <f ca="1">IFERROR(__xludf.DUMMYFUNCTION("""COMPUTED_VALUE"""),"")</f>
        <v/>
      </c>
    </row>
    <row r="8393" spans="1:5">
      <c r="A8393" s="12"/>
      <c r="E8393" s="57" t="str">
        <f ca="1">IFERROR(__xludf.DUMMYFUNCTION("""COMPUTED_VALUE"""),"")</f>
        <v/>
      </c>
    </row>
    <row r="8394" spans="1:5">
      <c r="A8394" s="12"/>
      <c r="E8394" s="57" t="str">
        <f ca="1">IFERROR(__xludf.DUMMYFUNCTION("""COMPUTED_VALUE"""),"")</f>
        <v/>
      </c>
    </row>
    <row r="8395" spans="1:5">
      <c r="A8395" s="12"/>
      <c r="E8395" s="57" t="str">
        <f ca="1">IFERROR(__xludf.DUMMYFUNCTION("""COMPUTED_VALUE"""),"")</f>
        <v/>
      </c>
    </row>
    <row r="8396" spans="1:5">
      <c r="A8396" s="12"/>
      <c r="E8396" s="57" t="str">
        <f ca="1">IFERROR(__xludf.DUMMYFUNCTION("""COMPUTED_VALUE"""),"")</f>
        <v/>
      </c>
    </row>
    <row r="8397" spans="1:5">
      <c r="A8397" s="12"/>
      <c r="E8397" s="57" t="str">
        <f ca="1">IFERROR(__xludf.DUMMYFUNCTION("""COMPUTED_VALUE"""),"")</f>
        <v/>
      </c>
    </row>
    <row r="8398" spans="1:5">
      <c r="A8398" s="12"/>
      <c r="E8398" s="57" t="str">
        <f ca="1">IFERROR(__xludf.DUMMYFUNCTION("""COMPUTED_VALUE"""),"")</f>
        <v/>
      </c>
    </row>
    <row r="8399" spans="1:5">
      <c r="A8399" s="12"/>
      <c r="E8399" s="57" t="str">
        <f ca="1">IFERROR(__xludf.DUMMYFUNCTION("""COMPUTED_VALUE"""),"")</f>
        <v/>
      </c>
    </row>
    <row r="8400" spans="1:5">
      <c r="A8400" s="12"/>
      <c r="E8400" s="57" t="str">
        <f ca="1">IFERROR(__xludf.DUMMYFUNCTION("""COMPUTED_VALUE"""),"")</f>
        <v/>
      </c>
    </row>
    <row r="8401" spans="1:5">
      <c r="A8401" s="12"/>
      <c r="E8401" s="57" t="str">
        <f ca="1">IFERROR(__xludf.DUMMYFUNCTION("""COMPUTED_VALUE"""),"")</f>
        <v/>
      </c>
    </row>
    <row r="8402" spans="1:5">
      <c r="A8402" s="12"/>
      <c r="E8402" s="57" t="str">
        <f ca="1">IFERROR(__xludf.DUMMYFUNCTION("""COMPUTED_VALUE"""),"")</f>
        <v/>
      </c>
    </row>
    <row r="8403" spans="1:5">
      <c r="A8403" s="12"/>
      <c r="E8403" s="57" t="str">
        <f ca="1">IFERROR(__xludf.DUMMYFUNCTION("""COMPUTED_VALUE"""),"")</f>
        <v/>
      </c>
    </row>
    <row r="8404" spans="1:5">
      <c r="A8404" s="12"/>
      <c r="E8404" s="57" t="str">
        <f ca="1">IFERROR(__xludf.DUMMYFUNCTION("""COMPUTED_VALUE"""),"")</f>
        <v/>
      </c>
    </row>
    <row r="8405" spans="1:5">
      <c r="A8405" s="12"/>
      <c r="E8405" s="57" t="str">
        <f ca="1">IFERROR(__xludf.DUMMYFUNCTION("""COMPUTED_VALUE"""),"")</f>
        <v/>
      </c>
    </row>
    <row r="8406" spans="1:5">
      <c r="A8406" s="12"/>
      <c r="E8406" s="57" t="str">
        <f ca="1">IFERROR(__xludf.DUMMYFUNCTION("""COMPUTED_VALUE"""),"")</f>
        <v/>
      </c>
    </row>
    <row r="8407" spans="1:5">
      <c r="A8407" s="12"/>
      <c r="E8407" s="57" t="str">
        <f ca="1">IFERROR(__xludf.DUMMYFUNCTION("""COMPUTED_VALUE"""),"")</f>
        <v/>
      </c>
    </row>
    <row r="8408" spans="1:5">
      <c r="A8408" s="12"/>
      <c r="E8408" s="57" t="str">
        <f ca="1">IFERROR(__xludf.DUMMYFUNCTION("""COMPUTED_VALUE"""),"")</f>
        <v/>
      </c>
    </row>
    <row r="8409" spans="1:5">
      <c r="A8409" s="12"/>
      <c r="E8409" s="57" t="str">
        <f ca="1">IFERROR(__xludf.DUMMYFUNCTION("""COMPUTED_VALUE"""),"")</f>
        <v/>
      </c>
    </row>
    <row r="8410" spans="1:5">
      <c r="A8410" s="12"/>
      <c r="E8410" s="57" t="str">
        <f ca="1">IFERROR(__xludf.DUMMYFUNCTION("""COMPUTED_VALUE"""),"")</f>
        <v/>
      </c>
    </row>
    <row r="8411" spans="1:5">
      <c r="A8411" s="12"/>
      <c r="E8411" s="57" t="str">
        <f ca="1">IFERROR(__xludf.DUMMYFUNCTION("""COMPUTED_VALUE"""),"")</f>
        <v/>
      </c>
    </row>
    <row r="8412" spans="1:5">
      <c r="A8412" s="12"/>
      <c r="E8412" s="57" t="str">
        <f ca="1">IFERROR(__xludf.DUMMYFUNCTION("""COMPUTED_VALUE"""),"")</f>
        <v/>
      </c>
    </row>
    <row r="8413" spans="1:5">
      <c r="A8413" s="12"/>
      <c r="E8413" s="57" t="str">
        <f ca="1">IFERROR(__xludf.DUMMYFUNCTION("""COMPUTED_VALUE"""),"")</f>
        <v/>
      </c>
    </row>
    <row r="8414" spans="1:5">
      <c r="A8414" s="12"/>
      <c r="E8414" s="57" t="str">
        <f ca="1">IFERROR(__xludf.DUMMYFUNCTION("""COMPUTED_VALUE"""),"")</f>
        <v/>
      </c>
    </row>
    <row r="8415" spans="1:5">
      <c r="A8415" s="12"/>
      <c r="E8415" s="57" t="str">
        <f ca="1">IFERROR(__xludf.DUMMYFUNCTION("""COMPUTED_VALUE"""),"")</f>
        <v/>
      </c>
    </row>
    <row r="8416" spans="1:5">
      <c r="A8416" s="12"/>
      <c r="E8416" s="57" t="str">
        <f ca="1">IFERROR(__xludf.DUMMYFUNCTION("""COMPUTED_VALUE"""),"")</f>
        <v/>
      </c>
    </row>
    <row r="8417" spans="1:5">
      <c r="A8417" s="12"/>
      <c r="E8417" s="57" t="str">
        <f ca="1">IFERROR(__xludf.DUMMYFUNCTION("""COMPUTED_VALUE"""),"")</f>
        <v/>
      </c>
    </row>
    <row r="8418" spans="1:5">
      <c r="A8418" s="12"/>
      <c r="E8418" s="57" t="str">
        <f ca="1">IFERROR(__xludf.DUMMYFUNCTION("""COMPUTED_VALUE"""),"")</f>
        <v/>
      </c>
    </row>
    <row r="8419" spans="1:5">
      <c r="A8419" s="12"/>
      <c r="E8419" s="57" t="str">
        <f ca="1">IFERROR(__xludf.DUMMYFUNCTION("""COMPUTED_VALUE"""),"")</f>
        <v/>
      </c>
    </row>
    <row r="8420" spans="1:5">
      <c r="A8420" s="12"/>
      <c r="E8420" s="57" t="str">
        <f ca="1">IFERROR(__xludf.DUMMYFUNCTION("""COMPUTED_VALUE"""),"")</f>
        <v/>
      </c>
    </row>
    <row r="8421" spans="1:5">
      <c r="A8421" s="12"/>
      <c r="E8421" s="57" t="str">
        <f ca="1">IFERROR(__xludf.DUMMYFUNCTION("""COMPUTED_VALUE"""),"")</f>
        <v/>
      </c>
    </row>
    <row r="8422" spans="1:5">
      <c r="A8422" s="12"/>
      <c r="E8422" s="57" t="str">
        <f ca="1">IFERROR(__xludf.DUMMYFUNCTION("""COMPUTED_VALUE"""),"")</f>
        <v/>
      </c>
    </row>
    <row r="8423" spans="1:5">
      <c r="A8423" s="12"/>
      <c r="E8423" s="57" t="str">
        <f ca="1">IFERROR(__xludf.DUMMYFUNCTION("""COMPUTED_VALUE"""),"")</f>
        <v/>
      </c>
    </row>
    <row r="8424" spans="1:5">
      <c r="A8424" s="12"/>
      <c r="E8424" s="57" t="str">
        <f ca="1">IFERROR(__xludf.DUMMYFUNCTION("""COMPUTED_VALUE"""),"")</f>
        <v/>
      </c>
    </row>
    <row r="8425" spans="1:5">
      <c r="A8425" s="12"/>
      <c r="E8425" s="57" t="str">
        <f ca="1">IFERROR(__xludf.DUMMYFUNCTION("""COMPUTED_VALUE"""),"")</f>
        <v/>
      </c>
    </row>
    <row r="8426" spans="1:5">
      <c r="A8426" s="12"/>
      <c r="E8426" s="57" t="str">
        <f ca="1">IFERROR(__xludf.DUMMYFUNCTION("""COMPUTED_VALUE"""),"")</f>
        <v/>
      </c>
    </row>
    <row r="8427" spans="1:5">
      <c r="A8427" s="12"/>
      <c r="E8427" s="57" t="str">
        <f ca="1">IFERROR(__xludf.DUMMYFUNCTION("""COMPUTED_VALUE"""),"")</f>
        <v/>
      </c>
    </row>
    <row r="8428" spans="1:5">
      <c r="A8428" s="12"/>
      <c r="E8428" s="57" t="str">
        <f ca="1">IFERROR(__xludf.DUMMYFUNCTION("""COMPUTED_VALUE"""),"")</f>
        <v/>
      </c>
    </row>
    <row r="8429" spans="1:5">
      <c r="A8429" s="12"/>
      <c r="E8429" s="57" t="str">
        <f ca="1">IFERROR(__xludf.DUMMYFUNCTION("""COMPUTED_VALUE"""),"")</f>
        <v/>
      </c>
    </row>
    <row r="8430" spans="1:5">
      <c r="A8430" s="12"/>
      <c r="E8430" s="57" t="str">
        <f ca="1">IFERROR(__xludf.DUMMYFUNCTION("""COMPUTED_VALUE"""),"")</f>
        <v/>
      </c>
    </row>
    <row r="8431" spans="1:5">
      <c r="A8431" s="12"/>
      <c r="E8431" s="57" t="str">
        <f ca="1">IFERROR(__xludf.DUMMYFUNCTION("""COMPUTED_VALUE"""),"")</f>
        <v/>
      </c>
    </row>
    <row r="8432" spans="1:5">
      <c r="A8432" s="12"/>
      <c r="E8432" s="57" t="str">
        <f ca="1">IFERROR(__xludf.DUMMYFUNCTION("""COMPUTED_VALUE"""),"")</f>
        <v/>
      </c>
    </row>
    <row r="8433" spans="1:5">
      <c r="A8433" s="12"/>
      <c r="E8433" s="57" t="str">
        <f ca="1">IFERROR(__xludf.DUMMYFUNCTION("""COMPUTED_VALUE"""),"")</f>
        <v/>
      </c>
    </row>
    <row r="8434" spans="1:5">
      <c r="A8434" s="12"/>
      <c r="E8434" s="57" t="str">
        <f ca="1">IFERROR(__xludf.DUMMYFUNCTION("""COMPUTED_VALUE"""),"")</f>
        <v/>
      </c>
    </row>
    <row r="8435" spans="1:5">
      <c r="A8435" s="12"/>
      <c r="E8435" s="57" t="str">
        <f ca="1">IFERROR(__xludf.DUMMYFUNCTION("""COMPUTED_VALUE"""),"")</f>
        <v/>
      </c>
    </row>
    <row r="8436" spans="1:5">
      <c r="A8436" s="12"/>
      <c r="E8436" s="57" t="str">
        <f ca="1">IFERROR(__xludf.DUMMYFUNCTION("""COMPUTED_VALUE"""),"")</f>
        <v/>
      </c>
    </row>
    <row r="8437" spans="1:5">
      <c r="A8437" s="12"/>
      <c r="E8437" s="57" t="str">
        <f ca="1">IFERROR(__xludf.DUMMYFUNCTION("""COMPUTED_VALUE"""),"")</f>
        <v/>
      </c>
    </row>
    <row r="8438" spans="1:5">
      <c r="A8438" s="12"/>
      <c r="E8438" s="57" t="str">
        <f ca="1">IFERROR(__xludf.DUMMYFUNCTION("""COMPUTED_VALUE"""),"")</f>
        <v/>
      </c>
    </row>
    <row r="8439" spans="1:5">
      <c r="A8439" s="12"/>
      <c r="E8439" s="57" t="str">
        <f ca="1">IFERROR(__xludf.DUMMYFUNCTION("""COMPUTED_VALUE"""),"")</f>
        <v/>
      </c>
    </row>
    <row r="8440" spans="1:5">
      <c r="A8440" s="12"/>
      <c r="E8440" s="57" t="str">
        <f ca="1">IFERROR(__xludf.DUMMYFUNCTION("""COMPUTED_VALUE"""),"")</f>
        <v/>
      </c>
    </row>
    <row r="8441" spans="1:5">
      <c r="A8441" s="12"/>
      <c r="E8441" s="57" t="str">
        <f ca="1">IFERROR(__xludf.DUMMYFUNCTION("""COMPUTED_VALUE"""),"")</f>
        <v/>
      </c>
    </row>
    <row r="8442" spans="1:5">
      <c r="A8442" s="12"/>
      <c r="E8442" s="57" t="str">
        <f ca="1">IFERROR(__xludf.DUMMYFUNCTION("""COMPUTED_VALUE"""),"")</f>
        <v/>
      </c>
    </row>
    <row r="8443" spans="1:5">
      <c r="A8443" s="12"/>
      <c r="E8443" s="57" t="str">
        <f ca="1">IFERROR(__xludf.DUMMYFUNCTION("""COMPUTED_VALUE"""),"")</f>
        <v/>
      </c>
    </row>
    <row r="8444" spans="1:5">
      <c r="A8444" s="12"/>
      <c r="E8444" s="57" t="str">
        <f ca="1">IFERROR(__xludf.DUMMYFUNCTION("""COMPUTED_VALUE"""),"")</f>
        <v/>
      </c>
    </row>
    <row r="8445" spans="1:5">
      <c r="A8445" s="12"/>
      <c r="E8445" s="57" t="str">
        <f ca="1">IFERROR(__xludf.DUMMYFUNCTION("""COMPUTED_VALUE"""),"")</f>
        <v/>
      </c>
    </row>
    <row r="8446" spans="1:5">
      <c r="A8446" s="12"/>
      <c r="E8446" s="57" t="str">
        <f ca="1">IFERROR(__xludf.DUMMYFUNCTION("""COMPUTED_VALUE"""),"")</f>
        <v/>
      </c>
    </row>
    <row r="8447" spans="1:5">
      <c r="A8447" s="12"/>
      <c r="E8447" s="57" t="str">
        <f ca="1">IFERROR(__xludf.DUMMYFUNCTION("""COMPUTED_VALUE"""),"")</f>
        <v/>
      </c>
    </row>
    <row r="8448" spans="1:5">
      <c r="A8448" s="12"/>
      <c r="E8448" s="57" t="str">
        <f ca="1">IFERROR(__xludf.DUMMYFUNCTION("""COMPUTED_VALUE"""),"")</f>
        <v/>
      </c>
    </row>
    <row r="8449" spans="1:5">
      <c r="A8449" s="12"/>
      <c r="E8449" s="57" t="str">
        <f ca="1">IFERROR(__xludf.DUMMYFUNCTION("""COMPUTED_VALUE"""),"")</f>
        <v/>
      </c>
    </row>
    <row r="8450" spans="1:5">
      <c r="A8450" s="12"/>
      <c r="E8450" s="57" t="str">
        <f ca="1">IFERROR(__xludf.DUMMYFUNCTION("""COMPUTED_VALUE"""),"")</f>
        <v/>
      </c>
    </row>
    <row r="8451" spans="1:5">
      <c r="A8451" s="12"/>
      <c r="E8451" s="57" t="str">
        <f ca="1">IFERROR(__xludf.DUMMYFUNCTION("""COMPUTED_VALUE"""),"")</f>
        <v/>
      </c>
    </row>
    <row r="8452" spans="1:5">
      <c r="A8452" s="12"/>
      <c r="E8452" s="57" t="str">
        <f ca="1">IFERROR(__xludf.DUMMYFUNCTION("""COMPUTED_VALUE"""),"")</f>
        <v/>
      </c>
    </row>
    <row r="8453" spans="1:5">
      <c r="A8453" s="12"/>
      <c r="E8453" s="57" t="str">
        <f ca="1">IFERROR(__xludf.DUMMYFUNCTION("""COMPUTED_VALUE"""),"")</f>
        <v/>
      </c>
    </row>
    <row r="8454" spans="1:5">
      <c r="A8454" s="12"/>
      <c r="E8454" s="57" t="str">
        <f ca="1">IFERROR(__xludf.DUMMYFUNCTION("""COMPUTED_VALUE"""),"")</f>
        <v/>
      </c>
    </row>
    <row r="8455" spans="1:5">
      <c r="A8455" s="12"/>
      <c r="E8455" s="57" t="str">
        <f ca="1">IFERROR(__xludf.DUMMYFUNCTION("""COMPUTED_VALUE"""),"")</f>
        <v/>
      </c>
    </row>
    <row r="8456" spans="1:5">
      <c r="A8456" s="12"/>
      <c r="E8456" s="57" t="str">
        <f ca="1">IFERROR(__xludf.DUMMYFUNCTION("""COMPUTED_VALUE"""),"")</f>
        <v/>
      </c>
    </row>
    <row r="8457" spans="1:5">
      <c r="A8457" s="12"/>
      <c r="E8457" s="57" t="str">
        <f ca="1">IFERROR(__xludf.DUMMYFUNCTION("""COMPUTED_VALUE"""),"")</f>
        <v/>
      </c>
    </row>
    <row r="8458" spans="1:5">
      <c r="A8458" s="12"/>
      <c r="E8458" s="57" t="str">
        <f ca="1">IFERROR(__xludf.DUMMYFUNCTION("""COMPUTED_VALUE"""),"")</f>
        <v/>
      </c>
    </row>
    <row r="8459" spans="1:5">
      <c r="A8459" s="12"/>
      <c r="E8459" s="57" t="str">
        <f ca="1">IFERROR(__xludf.DUMMYFUNCTION("""COMPUTED_VALUE"""),"")</f>
        <v/>
      </c>
    </row>
    <row r="8460" spans="1:5">
      <c r="A8460" s="12"/>
      <c r="E8460" s="57" t="str">
        <f ca="1">IFERROR(__xludf.DUMMYFUNCTION("""COMPUTED_VALUE"""),"")</f>
        <v/>
      </c>
    </row>
    <row r="8461" spans="1:5">
      <c r="A8461" s="12"/>
      <c r="E8461" s="57" t="str">
        <f ca="1">IFERROR(__xludf.DUMMYFUNCTION("""COMPUTED_VALUE"""),"")</f>
        <v/>
      </c>
    </row>
    <row r="8462" spans="1:5">
      <c r="A8462" s="12"/>
      <c r="E8462" s="57" t="str">
        <f ca="1">IFERROR(__xludf.DUMMYFUNCTION("""COMPUTED_VALUE"""),"")</f>
        <v/>
      </c>
    </row>
    <row r="8463" spans="1:5">
      <c r="A8463" s="12"/>
      <c r="E8463" s="57" t="str">
        <f ca="1">IFERROR(__xludf.DUMMYFUNCTION("""COMPUTED_VALUE"""),"")</f>
        <v/>
      </c>
    </row>
    <row r="8464" spans="1:5">
      <c r="A8464" s="12"/>
      <c r="E8464" s="57" t="str">
        <f ca="1">IFERROR(__xludf.DUMMYFUNCTION("""COMPUTED_VALUE"""),"")</f>
        <v/>
      </c>
    </row>
    <row r="8465" spans="1:5">
      <c r="A8465" s="12"/>
      <c r="E8465" s="57" t="str">
        <f ca="1">IFERROR(__xludf.DUMMYFUNCTION("""COMPUTED_VALUE"""),"")</f>
        <v/>
      </c>
    </row>
    <row r="8466" spans="1:5">
      <c r="A8466" s="12"/>
      <c r="E8466" s="57" t="str">
        <f ca="1">IFERROR(__xludf.DUMMYFUNCTION("""COMPUTED_VALUE"""),"")</f>
        <v/>
      </c>
    </row>
    <row r="8467" spans="1:5">
      <c r="A8467" s="12"/>
      <c r="E8467" s="57" t="str">
        <f ca="1">IFERROR(__xludf.DUMMYFUNCTION("""COMPUTED_VALUE"""),"")</f>
        <v/>
      </c>
    </row>
    <row r="8468" spans="1:5">
      <c r="A8468" s="12"/>
      <c r="E8468" s="57" t="str">
        <f ca="1">IFERROR(__xludf.DUMMYFUNCTION("""COMPUTED_VALUE"""),"")</f>
        <v/>
      </c>
    </row>
    <row r="8469" spans="1:5">
      <c r="A8469" s="12"/>
      <c r="E8469" s="57" t="str">
        <f ca="1">IFERROR(__xludf.DUMMYFUNCTION("""COMPUTED_VALUE"""),"")</f>
        <v/>
      </c>
    </row>
    <row r="8470" spans="1:5">
      <c r="A8470" s="12"/>
      <c r="E8470" s="57" t="str">
        <f ca="1">IFERROR(__xludf.DUMMYFUNCTION("""COMPUTED_VALUE"""),"")</f>
        <v/>
      </c>
    </row>
    <row r="8471" spans="1:5">
      <c r="A8471" s="12"/>
      <c r="E8471" s="57" t="str">
        <f ca="1">IFERROR(__xludf.DUMMYFUNCTION("""COMPUTED_VALUE"""),"")</f>
        <v/>
      </c>
    </row>
    <row r="8472" spans="1:5">
      <c r="A8472" s="12"/>
      <c r="E8472" s="57" t="str">
        <f ca="1">IFERROR(__xludf.DUMMYFUNCTION("""COMPUTED_VALUE"""),"")</f>
        <v/>
      </c>
    </row>
    <row r="8473" spans="1:5">
      <c r="A8473" s="12"/>
      <c r="E8473" s="57" t="str">
        <f ca="1">IFERROR(__xludf.DUMMYFUNCTION("""COMPUTED_VALUE"""),"")</f>
        <v/>
      </c>
    </row>
    <row r="8474" spans="1:5">
      <c r="A8474" s="12"/>
      <c r="E8474" s="57" t="str">
        <f ca="1">IFERROR(__xludf.DUMMYFUNCTION("""COMPUTED_VALUE"""),"")</f>
        <v/>
      </c>
    </row>
    <row r="8475" spans="1:5">
      <c r="A8475" s="12"/>
      <c r="E8475" s="57" t="str">
        <f ca="1">IFERROR(__xludf.DUMMYFUNCTION("""COMPUTED_VALUE"""),"")</f>
        <v/>
      </c>
    </row>
    <row r="8476" spans="1:5">
      <c r="A8476" s="12"/>
      <c r="E8476" s="57" t="str">
        <f ca="1">IFERROR(__xludf.DUMMYFUNCTION("""COMPUTED_VALUE"""),"")</f>
        <v/>
      </c>
    </row>
    <row r="8477" spans="1:5">
      <c r="A8477" s="12"/>
      <c r="E8477" s="57" t="str">
        <f ca="1">IFERROR(__xludf.DUMMYFUNCTION("""COMPUTED_VALUE"""),"")</f>
        <v/>
      </c>
    </row>
    <row r="8478" spans="1:5">
      <c r="A8478" s="12"/>
      <c r="E8478" s="57" t="str">
        <f ca="1">IFERROR(__xludf.DUMMYFUNCTION("""COMPUTED_VALUE"""),"")</f>
        <v/>
      </c>
    </row>
    <row r="8479" spans="1:5">
      <c r="A8479" s="12"/>
      <c r="E8479" s="57" t="str">
        <f ca="1">IFERROR(__xludf.DUMMYFUNCTION("""COMPUTED_VALUE"""),"")</f>
        <v/>
      </c>
    </row>
    <row r="8480" spans="1:5">
      <c r="A8480" s="12"/>
      <c r="E8480" s="57" t="str">
        <f ca="1">IFERROR(__xludf.DUMMYFUNCTION("""COMPUTED_VALUE"""),"")</f>
        <v/>
      </c>
    </row>
    <row r="8481" spans="1:5">
      <c r="A8481" s="12"/>
      <c r="E8481" s="57" t="str">
        <f ca="1">IFERROR(__xludf.DUMMYFUNCTION("""COMPUTED_VALUE"""),"")</f>
        <v/>
      </c>
    </row>
    <row r="8482" spans="1:5">
      <c r="A8482" s="12"/>
      <c r="E8482" s="57" t="str">
        <f ca="1">IFERROR(__xludf.DUMMYFUNCTION("""COMPUTED_VALUE"""),"")</f>
        <v/>
      </c>
    </row>
    <row r="8483" spans="1:5">
      <c r="A8483" s="12"/>
      <c r="E8483" s="57" t="str">
        <f ca="1">IFERROR(__xludf.DUMMYFUNCTION("""COMPUTED_VALUE"""),"")</f>
        <v/>
      </c>
    </row>
    <row r="8484" spans="1:5">
      <c r="A8484" s="12"/>
      <c r="E8484" s="57" t="str">
        <f ca="1">IFERROR(__xludf.DUMMYFUNCTION("""COMPUTED_VALUE"""),"")</f>
        <v/>
      </c>
    </row>
    <row r="8485" spans="1:5">
      <c r="A8485" s="12"/>
      <c r="E8485" s="57" t="str">
        <f ca="1">IFERROR(__xludf.DUMMYFUNCTION("""COMPUTED_VALUE"""),"")</f>
        <v/>
      </c>
    </row>
    <row r="8486" spans="1:5">
      <c r="A8486" s="12"/>
      <c r="E8486" s="57" t="str">
        <f ca="1">IFERROR(__xludf.DUMMYFUNCTION("""COMPUTED_VALUE"""),"")</f>
        <v/>
      </c>
    </row>
    <row r="8487" spans="1:5">
      <c r="A8487" s="12"/>
      <c r="E8487" s="57" t="str">
        <f ca="1">IFERROR(__xludf.DUMMYFUNCTION("""COMPUTED_VALUE"""),"")</f>
        <v/>
      </c>
    </row>
    <row r="8488" spans="1:5">
      <c r="A8488" s="12"/>
      <c r="E8488" s="57" t="str">
        <f ca="1">IFERROR(__xludf.DUMMYFUNCTION("""COMPUTED_VALUE"""),"")</f>
        <v/>
      </c>
    </row>
    <row r="8489" spans="1:5">
      <c r="A8489" s="12"/>
      <c r="E8489" s="57" t="str">
        <f ca="1">IFERROR(__xludf.DUMMYFUNCTION("""COMPUTED_VALUE"""),"")</f>
        <v/>
      </c>
    </row>
    <row r="8490" spans="1:5">
      <c r="A8490" s="12"/>
      <c r="E8490" s="57" t="str">
        <f ca="1">IFERROR(__xludf.DUMMYFUNCTION("""COMPUTED_VALUE"""),"")</f>
        <v/>
      </c>
    </row>
    <row r="8491" spans="1:5">
      <c r="A8491" s="12"/>
      <c r="E8491" s="57" t="str">
        <f ca="1">IFERROR(__xludf.DUMMYFUNCTION("""COMPUTED_VALUE"""),"")</f>
        <v/>
      </c>
    </row>
    <row r="8492" spans="1:5">
      <c r="A8492" s="12"/>
      <c r="E8492" s="57" t="str">
        <f ca="1">IFERROR(__xludf.DUMMYFUNCTION("""COMPUTED_VALUE"""),"")</f>
        <v/>
      </c>
    </row>
    <row r="8493" spans="1:5">
      <c r="A8493" s="12"/>
      <c r="E8493" s="57" t="str">
        <f ca="1">IFERROR(__xludf.DUMMYFUNCTION("""COMPUTED_VALUE"""),"")</f>
        <v/>
      </c>
    </row>
    <row r="8494" spans="1:5">
      <c r="A8494" s="12"/>
      <c r="E8494" s="57" t="str">
        <f ca="1">IFERROR(__xludf.DUMMYFUNCTION("""COMPUTED_VALUE"""),"")</f>
        <v/>
      </c>
    </row>
    <row r="8495" spans="1:5">
      <c r="A8495" s="12"/>
      <c r="E8495" s="57" t="str">
        <f ca="1">IFERROR(__xludf.DUMMYFUNCTION("""COMPUTED_VALUE"""),"")</f>
        <v/>
      </c>
    </row>
    <row r="8496" spans="1:5">
      <c r="A8496" s="12"/>
      <c r="E8496" s="57" t="str">
        <f ca="1">IFERROR(__xludf.DUMMYFUNCTION("""COMPUTED_VALUE"""),"")</f>
        <v/>
      </c>
    </row>
    <row r="8497" spans="1:5">
      <c r="A8497" s="12"/>
      <c r="E8497" s="57" t="str">
        <f ca="1">IFERROR(__xludf.DUMMYFUNCTION("""COMPUTED_VALUE"""),"")</f>
        <v/>
      </c>
    </row>
    <row r="8498" spans="1:5">
      <c r="A8498" s="12"/>
      <c r="E8498" s="57" t="str">
        <f ca="1">IFERROR(__xludf.DUMMYFUNCTION("""COMPUTED_VALUE"""),"")</f>
        <v/>
      </c>
    </row>
    <row r="8499" spans="1:5">
      <c r="A8499" s="12"/>
      <c r="E8499" s="57" t="str">
        <f ca="1">IFERROR(__xludf.DUMMYFUNCTION("""COMPUTED_VALUE"""),"")</f>
        <v/>
      </c>
    </row>
    <row r="8500" spans="1:5">
      <c r="A8500" s="12"/>
      <c r="E8500" s="57" t="str">
        <f ca="1">IFERROR(__xludf.DUMMYFUNCTION("""COMPUTED_VALUE"""),"")</f>
        <v/>
      </c>
    </row>
    <row r="8501" spans="1:5">
      <c r="A8501" s="12"/>
      <c r="E8501" s="57" t="str">
        <f ca="1">IFERROR(__xludf.DUMMYFUNCTION("""COMPUTED_VALUE"""),"")</f>
        <v/>
      </c>
    </row>
    <row r="8502" spans="1:5">
      <c r="A8502" s="12"/>
      <c r="E8502" s="57" t="str">
        <f ca="1">IFERROR(__xludf.DUMMYFUNCTION("""COMPUTED_VALUE"""),"")</f>
        <v/>
      </c>
    </row>
    <row r="8503" spans="1:5">
      <c r="A8503" s="12"/>
      <c r="E8503" s="57" t="str">
        <f ca="1">IFERROR(__xludf.DUMMYFUNCTION("""COMPUTED_VALUE"""),"")</f>
        <v/>
      </c>
    </row>
    <row r="8504" spans="1:5">
      <c r="A8504" s="12"/>
      <c r="E8504" s="57" t="str">
        <f ca="1">IFERROR(__xludf.DUMMYFUNCTION("""COMPUTED_VALUE"""),"")</f>
        <v/>
      </c>
    </row>
    <row r="8505" spans="1:5">
      <c r="A8505" s="12"/>
      <c r="E8505" s="57" t="str">
        <f ca="1">IFERROR(__xludf.DUMMYFUNCTION("""COMPUTED_VALUE"""),"")</f>
        <v/>
      </c>
    </row>
    <row r="8506" spans="1:5">
      <c r="A8506" s="12"/>
      <c r="E8506" s="57" t="str">
        <f ca="1">IFERROR(__xludf.DUMMYFUNCTION("""COMPUTED_VALUE"""),"")</f>
        <v/>
      </c>
    </row>
    <row r="8507" spans="1:5">
      <c r="A8507" s="12"/>
      <c r="E8507" s="57" t="str">
        <f ca="1">IFERROR(__xludf.DUMMYFUNCTION("""COMPUTED_VALUE"""),"")</f>
        <v/>
      </c>
    </row>
    <row r="8508" spans="1:5">
      <c r="A8508" s="12"/>
      <c r="E8508" s="57" t="str">
        <f ca="1">IFERROR(__xludf.DUMMYFUNCTION("""COMPUTED_VALUE"""),"")</f>
        <v/>
      </c>
    </row>
    <row r="8509" spans="1:5">
      <c r="A8509" s="12"/>
      <c r="E8509" s="57" t="str">
        <f ca="1">IFERROR(__xludf.DUMMYFUNCTION("""COMPUTED_VALUE"""),"")</f>
        <v/>
      </c>
    </row>
    <row r="8510" spans="1:5">
      <c r="A8510" s="12"/>
      <c r="E8510" s="57" t="str">
        <f ca="1">IFERROR(__xludf.DUMMYFUNCTION("""COMPUTED_VALUE"""),"")</f>
        <v/>
      </c>
    </row>
    <row r="8511" spans="1:5">
      <c r="A8511" s="12"/>
      <c r="E8511" s="57" t="str">
        <f ca="1">IFERROR(__xludf.DUMMYFUNCTION("""COMPUTED_VALUE"""),"")</f>
        <v/>
      </c>
    </row>
    <row r="8512" spans="1:5">
      <c r="A8512" s="12"/>
      <c r="E8512" s="57" t="str">
        <f ca="1">IFERROR(__xludf.DUMMYFUNCTION("""COMPUTED_VALUE"""),"")</f>
        <v/>
      </c>
    </row>
    <row r="8513" spans="1:5">
      <c r="A8513" s="12"/>
      <c r="E8513" s="57" t="str">
        <f ca="1">IFERROR(__xludf.DUMMYFUNCTION("""COMPUTED_VALUE"""),"")</f>
        <v/>
      </c>
    </row>
    <row r="8514" spans="1:5">
      <c r="A8514" s="12"/>
      <c r="E8514" s="57" t="str">
        <f ca="1">IFERROR(__xludf.DUMMYFUNCTION("""COMPUTED_VALUE"""),"")</f>
        <v/>
      </c>
    </row>
    <row r="8515" spans="1:5">
      <c r="A8515" s="12"/>
      <c r="E8515" s="57" t="str">
        <f ca="1">IFERROR(__xludf.DUMMYFUNCTION("""COMPUTED_VALUE"""),"")</f>
        <v/>
      </c>
    </row>
    <row r="8516" spans="1:5">
      <c r="A8516" s="12"/>
      <c r="E8516" s="57" t="str">
        <f ca="1">IFERROR(__xludf.DUMMYFUNCTION("""COMPUTED_VALUE"""),"")</f>
        <v/>
      </c>
    </row>
    <row r="8517" spans="1:5">
      <c r="A8517" s="12"/>
      <c r="E8517" s="57" t="str">
        <f ca="1">IFERROR(__xludf.DUMMYFUNCTION("""COMPUTED_VALUE"""),"")</f>
        <v/>
      </c>
    </row>
    <row r="8518" spans="1:5">
      <c r="A8518" s="12"/>
      <c r="E8518" s="57" t="str">
        <f ca="1">IFERROR(__xludf.DUMMYFUNCTION("""COMPUTED_VALUE"""),"")</f>
        <v/>
      </c>
    </row>
    <row r="8519" spans="1:5">
      <c r="A8519" s="12"/>
      <c r="E8519" s="57" t="str">
        <f ca="1">IFERROR(__xludf.DUMMYFUNCTION("""COMPUTED_VALUE"""),"")</f>
        <v/>
      </c>
    </row>
    <row r="8520" spans="1:5">
      <c r="A8520" s="12"/>
      <c r="E8520" s="57" t="str">
        <f ca="1">IFERROR(__xludf.DUMMYFUNCTION("""COMPUTED_VALUE"""),"")</f>
        <v/>
      </c>
    </row>
    <row r="8521" spans="1:5">
      <c r="A8521" s="12"/>
      <c r="E8521" s="57" t="str">
        <f ca="1">IFERROR(__xludf.DUMMYFUNCTION("""COMPUTED_VALUE"""),"")</f>
        <v/>
      </c>
    </row>
    <row r="8522" spans="1:5">
      <c r="A8522" s="12"/>
      <c r="E8522" s="57" t="str">
        <f ca="1">IFERROR(__xludf.DUMMYFUNCTION("""COMPUTED_VALUE"""),"")</f>
        <v/>
      </c>
    </row>
    <row r="8523" spans="1:5">
      <c r="A8523" s="12"/>
      <c r="E8523" s="57" t="str">
        <f ca="1">IFERROR(__xludf.DUMMYFUNCTION("""COMPUTED_VALUE"""),"")</f>
        <v/>
      </c>
    </row>
    <row r="8524" spans="1:5">
      <c r="A8524" s="12"/>
      <c r="E8524" s="57" t="str">
        <f ca="1">IFERROR(__xludf.DUMMYFUNCTION("""COMPUTED_VALUE"""),"")</f>
        <v/>
      </c>
    </row>
    <row r="8525" spans="1:5">
      <c r="A8525" s="12"/>
      <c r="E8525" s="57" t="str">
        <f ca="1">IFERROR(__xludf.DUMMYFUNCTION("""COMPUTED_VALUE"""),"")</f>
        <v/>
      </c>
    </row>
    <row r="8526" spans="1:5">
      <c r="A8526" s="12"/>
      <c r="E8526" s="57" t="str">
        <f ca="1">IFERROR(__xludf.DUMMYFUNCTION("""COMPUTED_VALUE"""),"")</f>
        <v/>
      </c>
    </row>
    <row r="8527" spans="1:5">
      <c r="A8527" s="12"/>
      <c r="E8527" s="57" t="str">
        <f ca="1">IFERROR(__xludf.DUMMYFUNCTION("""COMPUTED_VALUE"""),"")</f>
        <v/>
      </c>
    </row>
    <row r="8528" spans="1:5">
      <c r="A8528" s="12"/>
      <c r="E8528" s="57" t="str">
        <f ca="1">IFERROR(__xludf.DUMMYFUNCTION("""COMPUTED_VALUE"""),"")</f>
        <v/>
      </c>
    </row>
    <row r="8529" spans="1:5">
      <c r="A8529" s="12"/>
      <c r="E8529" s="57" t="str">
        <f ca="1">IFERROR(__xludf.DUMMYFUNCTION("""COMPUTED_VALUE"""),"")</f>
        <v/>
      </c>
    </row>
    <row r="8530" spans="1:5">
      <c r="A8530" s="12"/>
      <c r="E8530" s="57" t="str">
        <f ca="1">IFERROR(__xludf.DUMMYFUNCTION("""COMPUTED_VALUE"""),"")</f>
        <v/>
      </c>
    </row>
    <row r="8531" spans="1:5">
      <c r="A8531" s="12"/>
      <c r="E8531" s="57" t="str">
        <f ca="1">IFERROR(__xludf.DUMMYFUNCTION("""COMPUTED_VALUE"""),"")</f>
        <v/>
      </c>
    </row>
    <row r="8532" spans="1:5">
      <c r="A8532" s="12"/>
      <c r="E8532" s="57" t="str">
        <f ca="1">IFERROR(__xludf.DUMMYFUNCTION("""COMPUTED_VALUE"""),"")</f>
        <v/>
      </c>
    </row>
    <row r="8533" spans="1:5">
      <c r="A8533" s="12"/>
      <c r="E8533" s="57" t="str">
        <f ca="1">IFERROR(__xludf.DUMMYFUNCTION("""COMPUTED_VALUE"""),"")</f>
        <v/>
      </c>
    </row>
    <row r="8534" spans="1:5">
      <c r="A8534" s="12"/>
      <c r="E8534" s="57" t="str">
        <f ca="1">IFERROR(__xludf.DUMMYFUNCTION("""COMPUTED_VALUE"""),"")</f>
        <v/>
      </c>
    </row>
    <row r="8535" spans="1:5">
      <c r="A8535" s="12"/>
      <c r="E8535" s="57" t="str">
        <f ca="1">IFERROR(__xludf.DUMMYFUNCTION("""COMPUTED_VALUE"""),"")</f>
        <v/>
      </c>
    </row>
    <row r="8536" spans="1:5">
      <c r="A8536" s="12"/>
      <c r="E8536" s="57" t="str">
        <f ca="1">IFERROR(__xludf.DUMMYFUNCTION("""COMPUTED_VALUE"""),"")</f>
        <v/>
      </c>
    </row>
    <row r="8537" spans="1:5">
      <c r="A8537" s="12"/>
      <c r="E8537" s="57" t="str">
        <f ca="1">IFERROR(__xludf.DUMMYFUNCTION("""COMPUTED_VALUE"""),"")</f>
        <v/>
      </c>
    </row>
    <row r="8538" spans="1:5">
      <c r="A8538" s="12"/>
      <c r="E8538" s="57" t="str">
        <f ca="1">IFERROR(__xludf.DUMMYFUNCTION("""COMPUTED_VALUE"""),"")</f>
        <v/>
      </c>
    </row>
    <row r="8539" spans="1:5">
      <c r="A8539" s="12"/>
      <c r="E8539" s="57" t="str">
        <f ca="1">IFERROR(__xludf.DUMMYFUNCTION("""COMPUTED_VALUE"""),"")</f>
        <v/>
      </c>
    </row>
    <row r="8540" spans="1:5">
      <c r="A8540" s="12"/>
      <c r="E8540" s="57" t="str">
        <f ca="1">IFERROR(__xludf.DUMMYFUNCTION("""COMPUTED_VALUE"""),"")</f>
        <v/>
      </c>
    </row>
    <row r="8541" spans="1:5">
      <c r="A8541" s="12"/>
      <c r="E8541" s="57" t="str">
        <f ca="1">IFERROR(__xludf.DUMMYFUNCTION("""COMPUTED_VALUE"""),"")</f>
        <v/>
      </c>
    </row>
    <row r="8542" spans="1:5">
      <c r="A8542" s="12"/>
      <c r="E8542" s="57" t="str">
        <f ca="1">IFERROR(__xludf.DUMMYFUNCTION("""COMPUTED_VALUE"""),"")</f>
        <v/>
      </c>
    </row>
    <row r="8543" spans="1:5">
      <c r="A8543" s="12"/>
      <c r="E8543" s="57" t="str">
        <f ca="1">IFERROR(__xludf.DUMMYFUNCTION("""COMPUTED_VALUE"""),"")</f>
        <v/>
      </c>
    </row>
    <row r="8544" spans="1:5">
      <c r="A8544" s="12"/>
      <c r="E8544" s="57" t="str">
        <f ca="1">IFERROR(__xludf.DUMMYFUNCTION("""COMPUTED_VALUE"""),"")</f>
        <v/>
      </c>
    </row>
    <row r="8545" spans="1:5">
      <c r="A8545" s="12"/>
      <c r="E8545" s="57" t="str">
        <f ca="1">IFERROR(__xludf.DUMMYFUNCTION("""COMPUTED_VALUE"""),"")</f>
        <v/>
      </c>
    </row>
    <row r="8546" spans="1:5">
      <c r="A8546" s="12"/>
      <c r="E8546" s="57" t="str">
        <f ca="1">IFERROR(__xludf.DUMMYFUNCTION("""COMPUTED_VALUE"""),"")</f>
        <v/>
      </c>
    </row>
    <row r="8547" spans="1:5">
      <c r="A8547" s="12"/>
      <c r="E8547" s="57" t="str">
        <f ca="1">IFERROR(__xludf.DUMMYFUNCTION("""COMPUTED_VALUE"""),"")</f>
        <v/>
      </c>
    </row>
    <row r="8548" spans="1:5">
      <c r="A8548" s="12"/>
      <c r="E8548" s="57" t="str">
        <f ca="1">IFERROR(__xludf.DUMMYFUNCTION("""COMPUTED_VALUE"""),"")</f>
        <v/>
      </c>
    </row>
    <row r="8549" spans="1:5">
      <c r="A8549" s="12"/>
      <c r="E8549" s="57" t="str">
        <f ca="1">IFERROR(__xludf.DUMMYFUNCTION("""COMPUTED_VALUE"""),"")</f>
        <v/>
      </c>
    </row>
    <row r="8550" spans="1:5">
      <c r="A8550" s="12"/>
      <c r="E8550" s="57" t="str">
        <f ca="1">IFERROR(__xludf.DUMMYFUNCTION("""COMPUTED_VALUE"""),"")</f>
        <v/>
      </c>
    </row>
    <row r="8551" spans="1:5">
      <c r="A8551" s="12"/>
      <c r="E8551" s="57" t="str">
        <f ca="1">IFERROR(__xludf.DUMMYFUNCTION("""COMPUTED_VALUE"""),"")</f>
        <v/>
      </c>
    </row>
    <row r="8552" spans="1:5">
      <c r="A8552" s="12"/>
      <c r="E8552" s="57" t="str">
        <f ca="1">IFERROR(__xludf.DUMMYFUNCTION("""COMPUTED_VALUE"""),"")</f>
        <v/>
      </c>
    </row>
    <row r="8553" spans="1:5">
      <c r="A8553" s="12"/>
      <c r="E8553" s="57" t="str">
        <f ca="1">IFERROR(__xludf.DUMMYFUNCTION("""COMPUTED_VALUE"""),"")</f>
        <v/>
      </c>
    </row>
    <row r="8554" spans="1:5">
      <c r="A8554" s="12"/>
      <c r="E8554" s="57" t="str">
        <f ca="1">IFERROR(__xludf.DUMMYFUNCTION("""COMPUTED_VALUE"""),"")</f>
        <v/>
      </c>
    </row>
    <row r="8555" spans="1:5">
      <c r="A8555" s="12"/>
      <c r="E8555" s="57" t="str">
        <f ca="1">IFERROR(__xludf.DUMMYFUNCTION("""COMPUTED_VALUE"""),"")</f>
        <v/>
      </c>
    </row>
    <row r="8556" spans="1:5">
      <c r="A8556" s="12"/>
      <c r="E8556" s="57" t="str">
        <f ca="1">IFERROR(__xludf.DUMMYFUNCTION("""COMPUTED_VALUE"""),"")</f>
        <v/>
      </c>
    </row>
    <row r="8557" spans="1:5">
      <c r="A8557" s="12"/>
      <c r="E8557" s="57" t="str">
        <f ca="1">IFERROR(__xludf.DUMMYFUNCTION("""COMPUTED_VALUE"""),"")</f>
        <v/>
      </c>
    </row>
    <row r="8558" spans="1:5">
      <c r="A8558" s="12"/>
      <c r="E8558" s="57" t="str">
        <f ca="1">IFERROR(__xludf.DUMMYFUNCTION("""COMPUTED_VALUE"""),"")</f>
        <v/>
      </c>
    </row>
    <row r="8559" spans="1:5">
      <c r="A8559" s="12"/>
      <c r="E8559" s="57" t="str">
        <f ca="1">IFERROR(__xludf.DUMMYFUNCTION("""COMPUTED_VALUE"""),"")</f>
        <v/>
      </c>
    </row>
    <row r="8560" spans="1:5">
      <c r="A8560" s="12"/>
      <c r="E8560" s="57" t="str">
        <f ca="1">IFERROR(__xludf.DUMMYFUNCTION("""COMPUTED_VALUE"""),"")</f>
        <v/>
      </c>
    </row>
    <row r="8561" spans="1:5">
      <c r="A8561" s="12"/>
      <c r="E8561" s="57" t="str">
        <f ca="1">IFERROR(__xludf.DUMMYFUNCTION("""COMPUTED_VALUE"""),"")</f>
        <v/>
      </c>
    </row>
    <row r="8562" spans="1:5">
      <c r="A8562" s="12"/>
      <c r="E8562" s="57" t="str">
        <f ca="1">IFERROR(__xludf.DUMMYFUNCTION("""COMPUTED_VALUE"""),"")</f>
        <v/>
      </c>
    </row>
    <row r="8563" spans="1:5">
      <c r="A8563" s="12"/>
      <c r="E8563" s="57" t="str">
        <f ca="1">IFERROR(__xludf.DUMMYFUNCTION("""COMPUTED_VALUE"""),"")</f>
        <v/>
      </c>
    </row>
    <row r="8564" spans="1:5">
      <c r="A8564" s="12"/>
      <c r="E8564" s="57" t="str">
        <f ca="1">IFERROR(__xludf.DUMMYFUNCTION("""COMPUTED_VALUE"""),"")</f>
        <v/>
      </c>
    </row>
    <row r="8565" spans="1:5">
      <c r="A8565" s="12"/>
      <c r="E8565" s="57" t="str">
        <f ca="1">IFERROR(__xludf.DUMMYFUNCTION("""COMPUTED_VALUE"""),"")</f>
        <v/>
      </c>
    </row>
    <row r="8566" spans="1:5">
      <c r="A8566" s="12"/>
      <c r="E8566" s="57" t="str">
        <f ca="1">IFERROR(__xludf.DUMMYFUNCTION("""COMPUTED_VALUE"""),"")</f>
        <v/>
      </c>
    </row>
    <row r="8567" spans="1:5">
      <c r="A8567" s="12"/>
      <c r="E8567" s="57" t="str">
        <f ca="1">IFERROR(__xludf.DUMMYFUNCTION("""COMPUTED_VALUE"""),"")</f>
        <v/>
      </c>
    </row>
    <row r="8568" spans="1:5">
      <c r="A8568" s="12"/>
      <c r="E8568" s="57" t="str">
        <f ca="1">IFERROR(__xludf.DUMMYFUNCTION("""COMPUTED_VALUE"""),"")</f>
        <v/>
      </c>
    </row>
    <row r="8569" spans="1:5">
      <c r="A8569" s="12"/>
      <c r="E8569" s="57" t="str">
        <f ca="1">IFERROR(__xludf.DUMMYFUNCTION("""COMPUTED_VALUE"""),"")</f>
        <v/>
      </c>
    </row>
    <row r="8570" spans="1:5">
      <c r="A8570" s="12"/>
      <c r="E8570" s="57" t="str">
        <f ca="1">IFERROR(__xludf.DUMMYFUNCTION("""COMPUTED_VALUE"""),"")</f>
        <v/>
      </c>
    </row>
    <row r="8571" spans="1:5">
      <c r="A8571" s="12"/>
      <c r="E8571" s="57" t="str">
        <f ca="1">IFERROR(__xludf.DUMMYFUNCTION("""COMPUTED_VALUE"""),"")</f>
        <v/>
      </c>
    </row>
    <row r="8572" spans="1:5">
      <c r="A8572" s="12"/>
      <c r="E8572" s="57" t="str">
        <f ca="1">IFERROR(__xludf.DUMMYFUNCTION("""COMPUTED_VALUE"""),"")</f>
        <v/>
      </c>
    </row>
    <row r="8573" spans="1:5">
      <c r="A8573" s="12"/>
      <c r="E8573" s="57" t="str">
        <f ca="1">IFERROR(__xludf.DUMMYFUNCTION("""COMPUTED_VALUE"""),"")</f>
        <v/>
      </c>
    </row>
    <row r="8574" spans="1:5">
      <c r="A8574" s="12"/>
      <c r="E8574" s="57" t="str">
        <f ca="1">IFERROR(__xludf.DUMMYFUNCTION("""COMPUTED_VALUE"""),"")</f>
        <v/>
      </c>
    </row>
    <row r="8575" spans="1:5">
      <c r="A8575" s="12"/>
      <c r="E8575" s="57" t="str">
        <f ca="1">IFERROR(__xludf.DUMMYFUNCTION("""COMPUTED_VALUE"""),"")</f>
        <v/>
      </c>
    </row>
    <row r="8576" spans="1:5">
      <c r="A8576" s="12"/>
      <c r="E8576" s="57" t="str">
        <f ca="1">IFERROR(__xludf.DUMMYFUNCTION("""COMPUTED_VALUE"""),"")</f>
        <v/>
      </c>
    </row>
    <row r="8577" spans="1:5">
      <c r="A8577" s="12"/>
      <c r="E8577" s="57" t="str">
        <f ca="1">IFERROR(__xludf.DUMMYFUNCTION("""COMPUTED_VALUE"""),"")</f>
        <v/>
      </c>
    </row>
    <row r="8578" spans="1:5">
      <c r="A8578" s="12"/>
      <c r="E8578" s="57" t="str">
        <f ca="1">IFERROR(__xludf.DUMMYFUNCTION("""COMPUTED_VALUE"""),"")</f>
        <v/>
      </c>
    </row>
    <row r="8579" spans="1:5">
      <c r="A8579" s="12"/>
      <c r="E8579" s="57" t="str">
        <f ca="1">IFERROR(__xludf.DUMMYFUNCTION("""COMPUTED_VALUE"""),"")</f>
        <v/>
      </c>
    </row>
    <row r="8580" spans="1:5">
      <c r="A8580" s="12"/>
      <c r="E8580" s="57" t="str">
        <f ca="1">IFERROR(__xludf.DUMMYFUNCTION("""COMPUTED_VALUE"""),"")</f>
        <v/>
      </c>
    </row>
    <row r="8581" spans="1:5">
      <c r="A8581" s="12"/>
      <c r="E8581" s="57" t="str">
        <f ca="1">IFERROR(__xludf.DUMMYFUNCTION("""COMPUTED_VALUE"""),"")</f>
        <v/>
      </c>
    </row>
    <row r="8582" spans="1:5">
      <c r="A8582" s="12"/>
      <c r="E8582" s="57" t="str">
        <f ca="1">IFERROR(__xludf.DUMMYFUNCTION("""COMPUTED_VALUE"""),"")</f>
        <v/>
      </c>
    </row>
    <row r="8583" spans="1:5">
      <c r="A8583" s="12"/>
      <c r="E8583" s="57" t="str">
        <f ca="1">IFERROR(__xludf.DUMMYFUNCTION("""COMPUTED_VALUE"""),"")</f>
        <v/>
      </c>
    </row>
    <row r="8584" spans="1:5">
      <c r="A8584" s="12"/>
      <c r="E8584" s="57" t="str">
        <f ca="1">IFERROR(__xludf.DUMMYFUNCTION("""COMPUTED_VALUE"""),"")</f>
        <v/>
      </c>
    </row>
    <row r="8585" spans="1:5">
      <c r="A8585" s="12"/>
      <c r="E8585" s="57" t="str">
        <f ca="1">IFERROR(__xludf.DUMMYFUNCTION("""COMPUTED_VALUE"""),"")</f>
        <v/>
      </c>
    </row>
    <row r="8586" spans="1:5">
      <c r="A8586" s="12"/>
      <c r="E8586" s="57" t="str">
        <f ca="1">IFERROR(__xludf.DUMMYFUNCTION("""COMPUTED_VALUE"""),"")</f>
        <v/>
      </c>
    </row>
    <row r="8587" spans="1:5">
      <c r="A8587" s="12"/>
      <c r="E8587" s="57" t="str">
        <f ca="1">IFERROR(__xludf.DUMMYFUNCTION("""COMPUTED_VALUE"""),"")</f>
        <v/>
      </c>
    </row>
    <row r="8588" spans="1:5">
      <c r="A8588" s="12"/>
      <c r="E8588" s="57" t="str">
        <f ca="1">IFERROR(__xludf.DUMMYFUNCTION("""COMPUTED_VALUE"""),"")</f>
        <v/>
      </c>
    </row>
    <row r="8589" spans="1:5">
      <c r="A8589" s="12"/>
      <c r="E8589" s="57" t="str">
        <f ca="1">IFERROR(__xludf.DUMMYFUNCTION("""COMPUTED_VALUE"""),"")</f>
        <v/>
      </c>
    </row>
    <row r="8590" spans="1:5">
      <c r="A8590" s="12"/>
      <c r="E8590" s="57" t="str">
        <f ca="1">IFERROR(__xludf.DUMMYFUNCTION("""COMPUTED_VALUE"""),"")</f>
        <v/>
      </c>
    </row>
    <row r="8591" spans="1:5">
      <c r="A8591" s="12"/>
      <c r="E8591" s="57" t="str">
        <f ca="1">IFERROR(__xludf.DUMMYFUNCTION("""COMPUTED_VALUE"""),"")</f>
        <v/>
      </c>
    </row>
    <row r="8592" spans="1:5">
      <c r="A8592" s="12"/>
      <c r="E8592" s="57" t="str">
        <f ca="1">IFERROR(__xludf.DUMMYFUNCTION("""COMPUTED_VALUE"""),"")</f>
        <v/>
      </c>
    </row>
    <row r="8593" spans="1:5">
      <c r="A8593" s="12"/>
      <c r="E8593" s="57" t="str">
        <f ca="1">IFERROR(__xludf.DUMMYFUNCTION("""COMPUTED_VALUE"""),"")</f>
        <v/>
      </c>
    </row>
    <row r="8594" spans="1:5">
      <c r="A8594" s="12"/>
      <c r="E8594" s="57" t="str">
        <f ca="1">IFERROR(__xludf.DUMMYFUNCTION("""COMPUTED_VALUE"""),"")</f>
        <v/>
      </c>
    </row>
    <row r="8595" spans="1:5">
      <c r="A8595" s="12"/>
      <c r="E8595" s="57" t="str">
        <f ca="1">IFERROR(__xludf.DUMMYFUNCTION("""COMPUTED_VALUE"""),"")</f>
        <v/>
      </c>
    </row>
    <row r="8596" spans="1:5">
      <c r="A8596" s="12"/>
      <c r="E8596" s="57" t="str">
        <f ca="1">IFERROR(__xludf.DUMMYFUNCTION("""COMPUTED_VALUE"""),"")</f>
        <v/>
      </c>
    </row>
    <row r="8597" spans="1:5">
      <c r="A8597" s="12"/>
      <c r="E8597" s="57" t="str">
        <f ca="1">IFERROR(__xludf.DUMMYFUNCTION("""COMPUTED_VALUE"""),"")</f>
        <v/>
      </c>
    </row>
    <row r="8598" spans="1:5">
      <c r="A8598" s="12"/>
      <c r="E8598" s="57" t="str">
        <f ca="1">IFERROR(__xludf.DUMMYFUNCTION("""COMPUTED_VALUE"""),"")</f>
        <v/>
      </c>
    </row>
    <row r="8599" spans="1:5">
      <c r="A8599" s="12"/>
      <c r="E8599" s="57" t="str">
        <f ca="1">IFERROR(__xludf.DUMMYFUNCTION("""COMPUTED_VALUE"""),"")</f>
        <v/>
      </c>
    </row>
    <row r="8600" spans="1:5">
      <c r="A8600" s="12"/>
      <c r="E8600" s="57" t="str">
        <f ca="1">IFERROR(__xludf.DUMMYFUNCTION("""COMPUTED_VALUE"""),"")</f>
        <v/>
      </c>
    </row>
    <row r="8601" spans="1:5">
      <c r="A8601" s="12"/>
      <c r="E8601" s="57" t="str">
        <f ca="1">IFERROR(__xludf.DUMMYFUNCTION("""COMPUTED_VALUE"""),"")</f>
        <v/>
      </c>
    </row>
    <row r="8602" spans="1:5">
      <c r="A8602" s="12"/>
      <c r="E8602" s="57" t="str">
        <f ca="1">IFERROR(__xludf.DUMMYFUNCTION("""COMPUTED_VALUE"""),"")</f>
        <v/>
      </c>
    </row>
    <row r="8603" spans="1:5">
      <c r="A8603" s="12"/>
      <c r="E8603" s="57" t="str">
        <f ca="1">IFERROR(__xludf.DUMMYFUNCTION("""COMPUTED_VALUE"""),"")</f>
        <v/>
      </c>
    </row>
    <row r="8604" spans="1:5">
      <c r="A8604" s="12"/>
      <c r="E8604" s="57" t="str">
        <f ca="1">IFERROR(__xludf.DUMMYFUNCTION("""COMPUTED_VALUE"""),"")</f>
        <v/>
      </c>
    </row>
    <row r="8605" spans="1:5">
      <c r="A8605" s="12"/>
      <c r="E8605" s="57" t="str">
        <f ca="1">IFERROR(__xludf.DUMMYFUNCTION("""COMPUTED_VALUE"""),"")</f>
        <v/>
      </c>
    </row>
    <row r="8606" spans="1:5">
      <c r="A8606" s="12"/>
      <c r="E8606" s="57" t="str">
        <f ca="1">IFERROR(__xludf.DUMMYFUNCTION("""COMPUTED_VALUE"""),"")</f>
        <v/>
      </c>
    </row>
    <row r="8607" spans="1:5">
      <c r="A8607" s="12"/>
      <c r="E8607" s="57" t="str">
        <f ca="1">IFERROR(__xludf.DUMMYFUNCTION("""COMPUTED_VALUE"""),"")</f>
        <v/>
      </c>
    </row>
    <row r="8608" spans="1:5">
      <c r="A8608" s="12"/>
      <c r="E8608" s="57" t="str">
        <f ca="1">IFERROR(__xludf.DUMMYFUNCTION("""COMPUTED_VALUE"""),"")</f>
        <v/>
      </c>
    </row>
    <row r="8609" spans="1:5">
      <c r="A8609" s="12"/>
      <c r="E8609" s="57" t="str">
        <f ca="1">IFERROR(__xludf.DUMMYFUNCTION("""COMPUTED_VALUE"""),"")</f>
        <v/>
      </c>
    </row>
    <row r="8610" spans="1:5">
      <c r="A8610" s="12"/>
      <c r="E8610" s="57" t="str">
        <f ca="1">IFERROR(__xludf.DUMMYFUNCTION("""COMPUTED_VALUE"""),"")</f>
        <v/>
      </c>
    </row>
    <row r="8611" spans="1:5">
      <c r="A8611" s="12"/>
      <c r="E8611" s="57" t="str">
        <f ca="1">IFERROR(__xludf.DUMMYFUNCTION("""COMPUTED_VALUE"""),"")</f>
        <v/>
      </c>
    </row>
    <row r="8612" spans="1:5">
      <c r="A8612" s="12"/>
      <c r="E8612" s="57" t="str">
        <f ca="1">IFERROR(__xludf.DUMMYFUNCTION("""COMPUTED_VALUE"""),"")</f>
        <v/>
      </c>
    </row>
    <row r="8613" spans="1:5">
      <c r="A8613" s="12"/>
      <c r="E8613" s="57" t="str">
        <f ca="1">IFERROR(__xludf.DUMMYFUNCTION("""COMPUTED_VALUE"""),"")</f>
        <v/>
      </c>
    </row>
    <row r="8614" spans="1:5">
      <c r="A8614" s="12"/>
      <c r="E8614" s="57" t="str">
        <f ca="1">IFERROR(__xludf.DUMMYFUNCTION("""COMPUTED_VALUE"""),"")</f>
        <v/>
      </c>
    </row>
    <row r="8615" spans="1:5">
      <c r="A8615" s="12"/>
      <c r="E8615" s="57" t="str">
        <f ca="1">IFERROR(__xludf.DUMMYFUNCTION("""COMPUTED_VALUE"""),"")</f>
        <v/>
      </c>
    </row>
    <row r="8616" spans="1:5">
      <c r="A8616" s="12"/>
      <c r="E8616" s="57" t="str">
        <f ca="1">IFERROR(__xludf.DUMMYFUNCTION("""COMPUTED_VALUE"""),"")</f>
        <v/>
      </c>
    </row>
    <row r="8617" spans="1:5">
      <c r="A8617" s="12"/>
      <c r="E8617" s="57" t="str">
        <f ca="1">IFERROR(__xludf.DUMMYFUNCTION("""COMPUTED_VALUE"""),"")</f>
        <v/>
      </c>
    </row>
    <row r="8618" spans="1:5">
      <c r="A8618" s="12"/>
      <c r="E8618" s="57" t="str">
        <f ca="1">IFERROR(__xludf.DUMMYFUNCTION("""COMPUTED_VALUE"""),"")</f>
        <v/>
      </c>
    </row>
    <row r="8619" spans="1:5">
      <c r="A8619" s="12"/>
      <c r="E8619" s="57" t="str">
        <f ca="1">IFERROR(__xludf.DUMMYFUNCTION("""COMPUTED_VALUE"""),"")</f>
        <v/>
      </c>
    </row>
    <row r="8620" spans="1:5">
      <c r="A8620" s="12"/>
      <c r="E8620" s="57" t="str">
        <f ca="1">IFERROR(__xludf.DUMMYFUNCTION("""COMPUTED_VALUE"""),"")</f>
        <v/>
      </c>
    </row>
    <row r="8621" spans="1:5">
      <c r="A8621" s="12"/>
      <c r="E8621" s="57" t="str">
        <f ca="1">IFERROR(__xludf.DUMMYFUNCTION("""COMPUTED_VALUE"""),"")</f>
        <v/>
      </c>
    </row>
    <row r="8622" spans="1:5">
      <c r="A8622" s="12"/>
      <c r="E8622" s="57" t="str">
        <f ca="1">IFERROR(__xludf.DUMMYFUNCTION("""COMPUTED_VALUE"""),"")</f>
        <v/>
      </c>
    </row>
    <row r="8623" spans="1:5">
      <c r="A8623" s="12"/>
      <c r="E8623" s="57" t="str">
        <f ca="1">IFERROR(__xludf.DUMMYFUNCTION("""COMPUTED_VALUE"""),"")</f>
        <v/>
      </c>
    </row>
    <row r="8624" spans="1:5">
      <c r="A8624" s="12"/>
      <c r="E8624" s="57" t="str">
        <f ca="1">IFERROR(__xludf.DUMMYFUNCTION("""COMPUTED_VALUE"""),"")</f>
        <v/>
      </c>
    </row>
    <row r="8625" spans="1:5">
      <c r="A8625" s="12"/>
      <c r="E8625" s="57" t="str">
        <f ca="1">IFERROR(__xludf.DUMMYFUNCTION("""COMPUTED_VALUE"""),"")</f>
        <v/>
      </c>
    </row>
    <row r="8626" spans="1:5">
      <c r="A8626" s="12"/>
      <c r="E8626" s="57" t="str">
        <f ca="1">IFERROR(__xludf.DUMMYFUNCTION("""COMPUTED_VALUE"""),"")</f>
        <v/>
      </c>
    </row>
    <row r="8627" spans="1:5">
      <c r="A8627" s="12"/>
      <c r="E8627" s="57" t="str">
        <f ca="1">IFERROR(__xludf.DUMMYFUNCTION("""COMPUTED_VALUE"""),"")</f>
        <v/>
      </c>
    </row>
    <row r="8628" spans="1:5">
      <c r="A8628" s="12"/>
      <c r="E8628" s="57" t="str">
        <f ca="1">IFERROR(__xludf.DUMMYFUNCTION("""COMPUTED_VALUE"""),"")</f>
        <v/>
      </c>
    </row>
    <row r="8629" spans="1:5">
      <c r="A8629" s="12"/>
      <c r="E8629" s="57" t="str">
        <f ca="1">IFERROR(__xludf.DUMMYFUNCTION("""COMPUTED_VALUE"""),"")</f>
        <v/>
      </c>
    </row>
    <row r="8630" spans="1:5">
      <c r="A8630" s="12"/>
      <c r="E8630" s="57" t="str">
        <f ca="1">IFERROR(__xludf.DUMMYFUNCTION("""COMPUTED_VALUE"""),"")</f>
        <v/>
      </c>
    </row>
    <row r="8631" spans="1:5">
      <c r="A8631" s="12"/>
      <c r="E8631" s="57" t="str">
        <f ca="1">IFERROR(__xludf.DUMMYFUNCTION("""COMPUTED_VALUE"""),"")</f>
        <v/>
      </c>
    </row>
    <row r="8632" spans="1:5">
      <c r="A8632" s="12"/>
      <c r="E8632" s="57" t="str">
        <f ca="1">IFERROR(__xludf.DUMMYFUNCTION("""COMPUTED_VALUE"""),"")</f>
        <v/>
      </c>
    </row>
    <row r="8633" spans="1:5">
      <c r="A8633" s="12"/>
      <c r="E8633" s="57" t="str">
        <f ca="1">IFERROR(__xludf.DUMMYFUNCTION("""COMPUTED_VALUE"""),"")</f>
        <v/>
      </c>
    </row>
    <row r="8634" spans="1:5">
      <c r="A8634" s="12"/>
      <c r="E8634" s="57" t="str">
        <f ca="1">IFERROR(__xludf.DUMMYFUNCTION("""COMPUTED_VALUE"""),"")</f>
        <v/>
      </c>
    </row>
    <row r="8635" spans="1:5">
      <c r="A8635" s="12"/>
      <c r="E8635" s="57" t="str">
        <f ca="1">IFERROR(__xludf.DUMMYFUNCTION("""COMPUTED_VALUE"""),"")</f>
        <v/>
      </c>
    </row>
    <row r="8636" spans="1:5">
      <c r="A8636" s="12"/>
      <c r="E8636" s="57" t="str">
        <f ca="1">IFERROR(__xludf.DUMMYFUNCTION("""COMPUTED_VALUE"""),"")</f>
        <v/>
      </c>
    </row>
    <row r="8637" spans="1:5">
      <c r="A8637" s="12"/>
      <c r="E8637" s="57" t="str">
        <f ca="1">IFERROR(__xludf.DUMMYFUNCTION("""COMPUTED_VALUE"""),"")</f>
        <v/>
      </c>
    </row>
    <row r="8638" spans="1:5">
      <c r="A8638" s="12"/>
      <c r="E8638" s="57" t="str">
        <f ca="1">IFERROR(__xludf.DUMMYFUNCTION("""COMPUTED_VALUE"""),"")</f>
        <v/>
      </c>
    </row>
    <row r="8639" spans="1:5">
      <c r="A8639" s="12"/>
      <c r="E8639" s="57" t="str">
        <f ca="1">IFERROR(__xludf.DUMMYFUNCTION("""COMPUTED_VALUE"""),"")</f>
        <v/>
      </c>
    </row>
    <row r="8640" spans="1:5">
      <c r="A8640" s="12"/>
      <c r="E8640" s="57" t="str">
        <f ca="1">IFERROR(__xludf.DUMMYFUNCTION("""COMPUTED_VALUE"""),"")</f>
        <v/>
      </c>
    </row>
    <row r="8641" spans="1:5">
      <c r="A8641" s="12"/>
      <c r="E8641" s="57" t="str">
        <f ca="1">IFERROR(__xludf.DUMMYFUNCTION("""COMPUTED_VALUE"""),"")</f>
        <v/>
      </c>
    </row>
    <row r="8642" spans="1:5">
      <c r="A8642" s="12"/>
      <c r="E8642" s="57" t="str">
        <f ca="1">IFERROR(__xludf.DUMMYFUNCTION("""COMPUTED_VALUE"""),"")</f>
        <v/>
      </c>
    </row>
    <row r="8643" spans="1:5">
      <c r="A8643" s="12"/>
      <c r="E8643" s="57" t="str">
        <f ca="1">IFERROR(__xludf.DUMMYFUNCTION("""COMPUTED_VALUE"""),"")</f>
        <v/>
      </c>
    </row>
    <row r="8644" spans="1:5">
      <c r="A8644" s="12"/>
      <c r="E8644" s="57" t="str">
        <f ca="1">IFERROR(__xludf.DUMMYFUNCTION("""COMPUTED_VALUE"""),"")</f>
        <v/>
      </c>
    </row>
    <row r="8645" spans="1:5">
      <c r="A8645" s="12"/>
      <c r="E8645" s="57" t="str">
        <f ca="1">IFERROR(__xludf.DUMMYFUNCTION("""COMPUTED_VALUE"""),"")</f>
        <v/>
      </c>
    </row>
    <row r="8646" spans="1:5">
      <c r="A8646" s="12"/>
      <c r="E8646" s="57" t="str">
        <f ca="1">IFERROR(__xludf.DUMMYFUNCTION("""COMPUTED_VALUE"""),"")</f>
        <v/>
      </c>
    </row>
    <row r="8647" spans="1:5">
      <c r="A8647" s="12"/>
      <c r="E8647" s="57" t="str">
        <f ca="1">IFERROR(__xludf.DUMMYFUNCTION("""COMPUTED_VALUE"""),"")</f>
        <v/>
      </c>
    </row>
    <row r="8648" spans="1:5">
      <c r="A8648" s="12"/>
      <c r="E8648" s="57" t="str">
        <f ca="1">IFERROR(__xludf.DUMMYFUNCTION("""COMPUTED_VALUE"""),"")</f>
        <v/>
      </c>
    </row>
    <row r="8649" spans="1:5">
      <c r="A8649" s="12"/>
      <c r="E8649" s="57" t="str">
        <f ca="1">IFERROR(__xludf.DUMMYFUNCTION("""COMPUTED_VALUE"""),"")</f>
        <v/>
      </c>
    </row>
    <row r="8650" spans="1:5">
      <c r="A8650" s="12"/>
      <c r="E8650" s="57" t="str">
        <f ca="1">IFERROR(__xludf.DUMMYFUNCTION("""COMPUTED_VALUE"""),"")</f>
        <v/>
      </c>
    </row>
    <row r="8651" spans="1:5">
      <c r="A8651" s="12"/>
      <c r="E8651" s="57" t="str">
        <f ca="1">IFERROR(__xludf.DUMMYFUNCTION("""COMPUTED_VALUE"""),"")</f>
        <v/>
      </c>
    </row>
    <row r="8652" spans="1:5">
      <c r="A8652" s="12"/>
      <c r="E8652" s="57" t="str">
        <f ca="1">IFERROR(__xludf.DUMMYFUNCTION("""COMPUTED_VALUE"""),"")</f>
        <v/>
      </c>
    </row>
    <row r="8653" spans="1:5">
      <c r="A8653" s="12"/>
      <c r="E8653" s="57" t="str">
        <f ca="1">IFERROR(__xludf.DUMMYFUNCTION("""COMPUTED_VALUE"""),"")</f>
        <v/>
      </c>
    </row>
    <row r="8654" spans="1:5">
      <c r="A8654" s="12"/>
      <c r="E8654" s="57" t="str">
        <f ca="1">IFERROR(__xludf.DUMMYFUNCTION("""COMPUTED_VALUE"""),"")</f>
        <v/>
      </c>
    </row>
    <row r="8655" spans="1:5">
      <c r="A8655" s="12"/>
      <c r="E8655" s="57" t="str">
        <f ca="1">IFERROR(__xludf.DUMMYFUNCTION("""COMPUTED_VALUE"""),"")</f>
        <v/>
      </c>
    </row>
    <row r="8656" spans="1:5">
      <c r="A8656" s="12"/>
      <c r="E8656" s="57" t="str">
        <f ca="1">IFERROR(__xludf.DUMMYFUNCTION("""COMPUTED_VALUE"""),"")</f>
        <v/>
      </c>
    </row>
    <row r="8657" spans="1:5">
      <c r="A8657" s="12"/>
      <c r="E8657" s="57" t="str">
        <f ca="1">IFERROR(__xludf.DUMMYFUNCTION("""COMPUTED_VALUE"""),"")</f>
        <v/>
      </c>
    </row>
    <row r="8658" spans="1:5">
      <c r="A8658" s="12"/>
      <c r="E8658" s="57" t="str">
        <f ca="1">IFERROR(__xludf.DUMMYFUNCTION("""COMPUTED_VALUE"""),"")</f>
        <v/>
      </c>
    </row>
    <row r="8659" spans="1:5">
      <c r="A8659" s="12"/>
      <c r="E8659" s="57" t="str">
        <f ca="1">IFERROR(__xludf.DUMMYFUNCTION("""COMPUTED_VALUE"""),"")</f>
        <v/>
      </c>
    </row>
    <row r="8660" spans="1:5">
      <c r="A8660" s="12"/>
      <c r="E8660" s="57" t="str">
        <f ca="1">IFERROR(__xludf.DUMMYFUNCTION("""COMPUTED_VALUE"""),"")</f>
        <v/>
      </c>
    </row>
    <row r="8661" spans="1:5">
      <c r="A8661" s="12"/>
      <c r="E8661" s="57" t="str">
        <f ca="1">IFERROR(__xludf.DUMMYFUNCTION("""COMPUTED_VALUE"""),"")</f>
        <v/>
      </c>
    </row>
    <row r="8662" spans="1:5">
      <c r="A8662" s="12"/>
      <c r="E8662" s="57" t="str">
        <f ca="1">IFERROR(__xludf.DUMMYFUNCTION("""COMPUTED_VALUE"""),"")</f>
        <v/>
      </c>
    </row>
    <row r="8663" spans="1:5">
      <c r="A8663" s="12"/>
      <c r="E8663" s="57" t="str">
        <f ca="1">IFERROR(__xludf.DUMMYFUNCTION("""COMPUTED_VALUE"""),"")</f>
        <v/>
      </c>
    </row>
    <row r="8664" spans="1:5">
      <c r="A8664" s="12"/>
      <c r="E8664" s="57" t="str">
        <f ca="1">IFERROR(__xludf.DUMMYFUNCTION("""COMPUTED_VALUE"""),"")</f>
        <v/>
      </c>
    </row>
    <row r="8665" spans="1:5">
      <c r="A8665" s="12"/>
      <c r="E8665" s="57" t="str">
        <f ca="1">IFERROR(__xludf.DUMMYFUNCTION("""COMPUTED_VALUE"""),"")</f>
        <v/>
      </c>
    </row>
    <row r="8666" spans="1:5">
      <c r="A8666" s="12"/>
      <c r="E8666" s="57" t="str">
        <f ca="1">IFERROR(__xludf.DUMMYFUNCTION("""COMPUTED_VALUE"""),"")</f>
        <v/>
      </c>
    </row>
    <row r="8667" spans="1:5">
      <c r="A8667" s="12"/>
      <c r="E8667" s="57" t="str">
        <f ca="1">IFERROR(__xludf.DUMMYFUNCTION("""COMPUTED_VALUE"""),"")</f>
        <v/>
      </c>
    </row>
    <row r="8668" spans="1:5">
      <c r="A8668" s="12"/>
      <c r="E8668" s="57" t="str">
        <f ca="1">IFERROR(__xludf.DUMMYFUNCTION("""COMPUTED_VALUE"""),"")</f>
        <v/>
      </c>
    </row>
    <row r="8669" spans="1:5">
      <c r="A8669" s="12"/>
      <c r="E8669" s="57" t="str">
        <f ca="1">IFERROR(__xludf.DUMMYFUNCTION("""COMPUTED_VALUE"""),"")</f>
        <v/>
      </c>
    </row>
    <row r="8670" spans="1:5">
      <c r="A8670" s="12"/>
      <c r="E8670" s="57" t="str">
        <f ca="1">IFERROR(__xludf.DUMMYFUNCTION("""COMPUTED_VALUE"""),"")</f>
        <v/>
      </c>
    </row>
    <row r="8671" spans="1:5">
      <c r="A8671" s="12"/>
      <c r="E8671" s="57" t="str">
        <f ca="1">IFERROR(__xludf.DUMMYFUNCTION("""COMPUTED_VALUE"""),"")</f>
        <v/>
      </c>
    </row>
    <row r="8672" spans="1:5">
      <c r="A8672" s="12"/>
      <c r="E8672" s="57" t="str">
        <f ca="1">IFERROR(__xludf.DUMMYFUNCTION("""COMPUTED_VALUE"""),"")</f>
        <v/>
      </c>
    </row>
    <row r="8673" spans="1:5">
      <c r="A8673" s="12"/>
      <c r="E8673" s="57" t="str">
        <f ca="1">IFERROR(__xludf.DUMMYFUNCTION("""COMPUTED_VALUE"""),"")</f>
        <v/>
      </c>
    </row>
    <row r="8674" spans="1:5">
      <c r="A8674" s="12"/>
      <c r="E8674" s="57" t="str">
        <f ca="1">IFERROR(__xludf.DUMMYFUNCTION("""COMPUTED_VALUE"""),"")</f>
        <v/>
      </c>
    </row>
    <row r="8675" spans="1:5">
      <c r="A8675" s="12"/>
      <c r="E8675" s="57" t="str">
        <f ca="1">IFERROR(__xludf.DUMMYFUNCTION("""COMPUTED_VALUE"""),"")</f>
        <v/>
      </c>
    </row>
    <row r="8676" spans="1:5">
      <c r="A8676" s="12"/>
      <c r="E8676" s="57" t="str">
        <f ca="1">IFERROR(__xludf.DUMMYFUNCTION("""COMPUTED_VALUE"""),"")</f>
        <v/>
      </c>
    </row>
    <row r="8677" spans="1:5">
      <c r="A8677" s="12"/>
      <c r="E8677" s="57" t="str">
        <f ca="1">IFERROR(__xludf.DUMMYFUNCTION("""COMPUTED_VALUE"""),"")</f>
        <v/>
      </c>
    </row>
    <row r="8678" spans="1:5">
      <c r="A8678" s="12"/>
      <c r="E8678" s="57" t="str">
        <f ca="1">IFERROR(__xludf.DUMMYFUNCTION("""COMPUTED_VALUE"""),"")</f>
        <v/>
      </c>
    </row>
    <row r="8679" spans="1:5">
      <c r="A8679" s="12"/>
      <c r="E8679" s="57" t="str">
        <f ca="1">IFERROR(__xludf.DUMMYFUNCTION("""COMPUTED_VALUE"""),"")</f>
        <v/>
      </c>
    </row>
    <row r="8680" spans="1:5">
      <c r="A8680" s="12"/>
      <c r="E8680" s="57" t="str">
        <f ca="1">IFERROR(__xludf.DUMMYFUNCTION("""COMPUTED_VALUE"""),"")</f>
        <v/>
      </c>
    </row>
    <row r="8681" spans="1:5">
      <c r="A8681" s="12"/>
      <c r="E8681" s="57" t="str">
        <f ca="1">IFERROR(__xludf.DUMMYFUNCTION("""COMPUTED_VALUE"""),"")</f>
        <v/>
      </c>
    </row>
    <row r="8682" spans="1:5">
      <c r="A8682" s="12"/>
      <c r="E8682" s="57" t="str">
        <f ca="1">IFERROR(__xludf.DUMMYFUNCTION("""COMPUTED_VALUE"""),"")</f>
        <v/>
      </c>
    </row>
    <row r="8683" spans="1:5">
      <c r="A8683" s="12"/>
      <c r="E8683" s="57" t="str">
        <f ca="1">IFERROR(__xludf.DUMMYFUNCTION("""COMPUTED_VALUE"""),"")</f>
        <v/>
      </c>
    </row>
    <row r="8684" spans="1:5">
      <c r="A8684" s="12"/>
      <c r="E8684" s="57" t="str">
        <f ca="1">IFERROR(__xludf.DUMMYFUNCTION("""COMPUTED_VALUE"""),"")</f>
        <v/>
      </c>
    </row>
    <row r="8685" spans="1:5">
      <c r="A8685" s="12"/>
      <c r="E8685" s="57" t="str">
        <f ca="1">IFERROR(__xludf.DUMMYFUNCTION("""COMPUTED_VALUE"""),"")</f>
        <v/>
      </c>
    </row>
    <row r="8686" spans="1:5">
      <c r="A8686" s="12"/>
      <c r="E8686" s="57" t="str">
        <f ca="1">IFERROR(__xludf.DUMMYFUNCTION("""COMPUTED_VALUE"""),"")</f>
        <v/>
      </c>
    </row>
    <row r="8687" spans="1:5">
      <c r="A8687" s="12"/>
      <c r="E8687" s="57" t="str">
        <f ca="1">IFERROR(__xludf.DUMMYFUNCTION("""COMPUTED_VALUE"""),"")</f>
        <v/>
      </c>
    </row>
    <row r="8688" spans="1:5">
      <c r="A8688" s="12"/>
      <c r="E8688" s="57" t="str">
        <f ca="1">IFERROR(__xludf.DUMMYFUNCTION("""COMPUTED_VALUE"""),"")</f>
        <v/>
      </c>
    </row>
    <row r="8689" spans="1:5">
      <c r="A8689" s="12"/>
      <c r="E8689" s="57" t="str">
        <f ca="1">IFERROR(__xludf.DUMMYFUNCTION("""COMPUTED_VALUE"""),"")</f>
        <v/>
      </c>
    </row>
    <row r="8690" spans="1:5">
      <c r="A8690" s="12"/>
      <c r="E8690" s="57" t="str">
        <f ca="1">IFERROR(__xludf.DUMMYFUNCTION("""COMPUTED_VALUE"""),"")</f>
        <v/>
      </c>
    </row>
    <row r="8691" spans="1:5">
      <c r="A8691" s="12"/>
      <c r="E8691" s="57" t="str">
        <f ca="1">IFERROR(__xludf.DUMMYFUNCTION("""COMPUTED_VALUE"""),"")</f>
        <v/>
      </c>
    </row>
    <row r="8692" spans="1:5">
      <c r="A8692" s="12"/>
      <c r="E8692" s="57" t="str">
        <f ca="1">IFERROR(__xludf.DUMMYFUNCTION("""COMPUTED_VALUE"""),"")</f>
        <v/>
      </c>
    </row>
    <row r="8693" spans="1:5">
      <c r="A8693" s="12"/>
      <c r="E8693" s="57" t="str">
        <f ca="1">IFERROR(__xludf.DUMMYFUNCTION("""COMPUTED_VALUE"""),"")</f>
        <v/>
      </c>
    </row>
    <row r="8694" spans="1:5">
      <c r="A8694" s="12"/>
      <c r="E8694" s="57" t="str">
        <f ca="1">IFERROR(__xludf.DUMMYFUNCTION("""COMPUTED_VALUE"""),"")</f>
        <v/>
      </c>
    </row>
    <row r="8695" spans="1:5">
      <c r="A8695" s="12"/>
      <c r="E8695" s="57" t="str">
        <f ca="1">IFERROR(__xludf.DUMMYFUNCTION("""COMPUTED_VALUE"""),"")</f>
        <v/>
      </c>
    </row>
    <row r="8696" spans="1:5">
      <c r="A8696" s="12"/>
      <c r="E8696" s="57" t="str">
        <f ca="1">IFERROR(__xludf.DUMMYFUNCTION("""COMPUTED_VALUE"""),"")</f>
        <v/>
      </c>
    </row>
    <row r="8697" spans="1:5">
      <c r="A8697" s="12"/>
      <c r="E8697" s="57" t="str">
        <f ca="1">IFERROR(__xludf.DUMMYFUNCTION("""COMPUTED_VALUE"""),"")</f>
        <v/>
      </c>
    </row>
    <row r="8698" spans="1:5">
      <c r="A8698" s="12"/>
      <c r="E8698" s="57" t="str">
        <f ca="1">IFERROR(__xludf.DUMMYFUNCTION("""COMPUTED_VALUE"""),"")</f>
        <v/>
      </c>
    </row>
    <row r="8699" spans="1:5">
      <c r="A8699" s="12"/>
      <c r="E8699" s="57" t="str">
        <f ca="1">IFERROR(__xludf.DUMMYFUNCTION("""COMPUTED_VALUE"""),"")</f>
        <v/>
      </c>
    </row>
    <row r="8700" spans="1:5">
      <c r="A8700" s="12"/>
      <c r="E8700" s="57" t="str">
        <f ca="1">IFERROR(__xludf.DUMMYFUNCTION("""COMPUTED_VALUE"""),"")</f>
        <v/>
      </c>
    </row>
    <row r="8701" spans="1:5">
      <c r="A8701" s="12"/>
      <c r="E8701" s="57" t="str">
        <f ca="1">IFERROR(__xludf.DUMMYFUNCTION("""COMPUTED_VALUE"""),"")</f>
        <v/>
      </c>
    </row>
    <row r="8702" spans="1:5">
      <c r="A8702" s="12"/>
      <c r="E8702" s="57" t="str">
        <f ca="1">IFERROR(__xludf.DUMMYFUNCTION("""COMPUTED_VALUE"""),"")</f>
        <v/>
      </c>
    </row>
    <row r="8703" spans="1:5">
      <c r="A8703" s="12"/>
      <c r="E8703" s="57" t="str">
        <f ca="1">IFERROR(__xludf.DUMMYFUNCTION("""COMPUTED_VALUE"""),"")</f>
        <v/>
      </c>
    </row>
    <row r="8704" spans="1:5">
      <c r="A8704" s="12"/>
      <c r="E8704" s="57" t="str">
        <f ca="1">IFERROR(__xludf.DUMMYFUNCTION("""COMPUTED_VALUE"""),"")</f>
        <v/>
      </c>
    </row>
    <row r="8705" spans="1:5">
      <c r="A8705" s="12"/>
      <c r="E8705" s="57" t="str">
        <f ca="1">IFERROR(__xludf.DUMMYFUNCTION("""COMPUTED_VALUE"""),"")</f>
        <v/>
      </c>
    </row>
    <row r="8706" spans="1:5">
      <c r="A8706" s="12"/>
      <c r="E8706" s="57" t="str">
        <f ca="1">IFERROR(__xludf.DUMMYFUNCTION("""COMPUTED_VALUE"""),"")</f>
        <v/>
      </c>
    </row>
    <row r="8707" spans="1:5">
      <c r="A8707" s="12"/>
      <c r="E8707" s="57" t="str">
        <f ca="1">IFERROR(__xludf.DUMMYFUNCTION("""COMPUTED_VALUE"""),"")</f>
        <v/>
      </c>
    </row>
    <row r="8708" spans="1:5">
      <c r="A8708" s="12"/>
      <c r="E8708" s="57" t="str">
        <f ca="1">IFERROR(__xludf.DUMMYFUNCTION("""COMPUTED_VALUE"""),"")</f>
        <v/>
      </c>
    </row>
    <row r="8709" spans="1:5">
      <c r="A8709" s="12"/>
      <c r="E8709" s="57" t="str">
        <f ca="1">IFERROR(__xludf.DUMMYFUNCTION("""COMPUTED_VALUE"""),"")</f>
        <v/>
      </c>
    </row>
    <row r="8710" spans="1:5">
      <c r="A8710" s="12"/>
      <c r="E8710" s="57" t="str">
        <f ca="1">IFERROR(__xludf.DUMMYFUNCTION("""COMPUTED_VALUE"""),"")</f>
        <v/>
      </c>
    </row>
    <row r="8711" spans="1:5">
      <c r="A8711" s="12"/>
      <c r="E8711" s="57" t="str">
        <f ca="1">IFERROR(__xludf.DUMMYFUNCTION("""COMPUTED_VALUE"""),"")</f>
        <v/>
      </c>
    </row>
    <row r="8712" spans="1:5">
      <c r="A8712" s="12"/>
      <c r="E8712" s="57" t="str">
        <f ca="1">IFERROR(__xludf.DUMMYFUNCTION("""COMPUTED_VALUE"""),"")</f>
        <v/>
      </c>
    </row>
    <row r="8713" spans="1:5">
      <c r="A8713" s="12"/>
      <c r="E8713" s="57" t="str">
        <f ca="1">IFERROR(__xludf.DUMMYFUNCTION("""COMPUTED_VALUE"""),"")</f>
        <v/>
      </c>
    </row>
    <row r="8714" spans="1:5">
      <c r="A8714" s="12"/>
      <c r="E8714" s="57" t="str">
        <f ca="1">IFERROR(__xludf.DUMMYFUNCTION("""COMPUTED_VALUE"""),"")</f>
        <v/>
      </c>
    </row>
    <row r="8715" spans="1:5">
      <c r="A8715" s="12"/>
      <c r="E8715" s="57" t="str">
        <f ca="1">IFERROR(__xludf.DUMMYFUNCTION("""COMPUTED_VALUE"""),"")</f>
        <v/>
      </c>
    </row>
    <row r="8716" spans="1:5">
      <c r="A8716" s="12"/>
      <c r="E8716" s="57" t="str">
        <f ca="1">IFERROR(__xludf.DUMMYFUNCTION("""COMPUTED_VALUE"""),"")</f>
        <v/>
      </c>
    </row>
    <row r="8717" spans="1:5">
      <c r="A8717" s="12"/>
      <c r="E8717" s="57" t="str">
        <f ca="1">IFERROR(__xludf.DUMMYFUNCTION("""COMPUTED_VALUE"""),"")</f>
        <v/>
      </c>
    </row>
    <row r="8718" spans="1:5">
      <c r="A8718" s="12"/>
      <c r="E8718" s="57" t="str">
        <f ca="1">IFERROR(__xludf.DUMMYFUNCTION("""COMPUTED_VALUE"""),"")</f>
        <v/>
      </c>
    </row>
    <row r="8719" spans="1:5">
      <c r="A8719" s="12"/>
      <c r="E8719" s="57" t="str">
        <f ca="1">IFERROR(__xludf.DUMMYFUNCTION("""COMPUTED_VALUE"""),"")</f>
        <v/>
      </c>
    </row>
    <row r="8720" spans="1:5">
      <c r="A8720" s="12"/>
      <c r="E8720" s="57" t="str">
        <f ca="1">IFERROR(__xludf.DUMMYFUNCTION("""COMPUTED_VALUE"""),"")</f>
        <v/>
      </c>
    </row>
    <row r="8721" spans="1:5">
      <c r="A8721" s="12"/>
      <c r="E8721" s="57" t="str">
        <f ca="1">IFERROR(__xludf.DUMMYFUNCTION("""COMPUTED_VALUE"""),"")</f>
        <v/>
      </c>
    </row>
    <row r="8722" spans="1:5">
      <c r="A8722" s="12"/>
      <c r="E8722" s="57" t="str">
        <f ca="1">IFERROR(__xludf.DUMMYFUNCTION("""COMPUTED_VALUE"""),"")</f>
        <v/>
      </c>
    </row>
    <row r="8723" spans="1:5">
      <c r="A8723" s="12"/>
      <c r="E8723" s="57" t="str">
        <f ca="1">IFERROR(__xludf.DUMMYFUNCTION("""COMPUTED_VALUE"""),"")</f>
        <v/>
      </c>
    </row>
    <row r="8724" spans="1:5">
      <c r="A8724" s="12"/>
      <c r="E8724" s="57" t="str">
        <f ca="1">IFERROR(__xludf.DUMMYFUNCTION("""COMPUTED_VALUE"""),"")</f>
        <v/>
      </c>
    </row>
    <row r="8725" spans="1:5">
      <c r="A8725" s="12"/>
      <c r="E8725" s="57" t="str">
        <f ca="1">IFERROR(__xludf.DUMMYFUNCTION("""COMPUTED_VALUE"""),"")</f>
        <v/>
      </c>
    </row>
    <row r="8726" spans="1:5">
      <c r="A8726" s="12"/>
      <c r="E8726" s="57" t="str">
        <f ca="1">IFERROR(__xludf.DUMMYFUNCTION("""COMPUTED_VALUE"""),"")</f>
        <v/>
      </c>
    </row>
    <row r="8727" spans="1:5">
      <c r="A8727" s="12"/>
      <c r="E8727" s="57" t="str">
        <f ca="1">IFERROR(__xludf.DUMMYFUNCTION("""COMPUTED_VALUE"""),"")</f>
        <v/>
      </c>
    </row>
    <row r="8728" spans="1:5">
      <c r="A8728" s="12"/>
      <c r="E8728" s="57" t="str">
        <f ca="1">IFERROR(__xludf.DUMMYFUNCTION("""COMPUTED_VALUE"""),"")</f>
        <v/>
      </c>
    </row>
    <row r="8729" spans="1:5">
      <c r="A8729" s="12"/>
      <c r="E8729" s="57" t="str">
        <f ca="1">IFERROR(__xludf.DUMMYFUNCTION("""COMPUTED_VALUE"""),"")</f>
        <v/>
      </c>
    </row>
    <row r="8730" spans="1:5">
      <c r="A8730" s="12"/>
      <c r="E8730" s="57" t="str">
        <f ca="1">IFERROR(__xludf.DUMMYFUNCTION("""COMPUTED_VALUE"""),"")</f>
        <v/>
      </c>
    </row>
    <row r="8731" spans="1:5">
      <c r="A8731" s="12"/>
      <c r="E8731" s="57" t="str">
        <f ca="1">IFERROR(__xludf.DUMMYFUNCTION("""COMPUTED_VALUE"""),"")</f>
        <v/>
      </c>
    </row>
    <row r="8732" spans="1:5">
      <c r="A8732" s="12"/>
      <c r="E8732" s="57" t="str">
        <f ca="1">IFERROR(__xludf.DUMMYFUNCTION("""COMPUTED_VALUE"""),"")</f>
        <v/>
      </c>
    </row>
    <row r="8733" spans="1:5">
      <c r="A8733" s="12"/>
      <c r="E8733" s="57" t="str">
        <f ca="1">IFERROR(__xludf.DUMMYFUNCTION("""COMPUTED_VALUE"""),"")</f>
        <v/>
      </c>
    </row>
    <row r="8734" spans="1:5">
      <c r="A8734" s="12"/>
      <c r="E8734" s="57" t="str">
        <f ca="1">IFERROR(__xludf.DUMMYFUNCTION("""COMPUTED_VALUE"""),"")</f>
        <v/>
      </c>
    </row>
    <row r="8735" spans="1:5">
      <c r="A8735" s="12"/>
      <c r="E8735" s="57" t="str">
        <f ca="1">IFERROR(__xludf.DUMMYFUNCTION("""COMPUTED_VALUE"""),"")</f>
        <v/>
      </c>
    </row>
    <row r="8736" spans="1:5">
      <c r="A8736" s="12"/>
      <c r="E8736" s="57" t="str">
        <f ca="1">IFERROR(__xludf.DUMMYFUNCTION("""COMPUTED_VALUE"""),"")</f>
        <v/>
      </c>
    </row>
    <row r="8737" spans="1:5">
      <c r="A8737" s="12"/>
      <c r="E8737" s="57" t="str">
        <f ca="1">IFERROR(__xludf.DUMMYFUNCTION("""COMPUTED_VALUE"""),"")</f>
        <v/>
      </c>
    </row>
    <row r="8738" spans="1:5">
      <c r="A8738" s="12"/>
      <c r="E8738" s="57" t="str">
        <f ca="1">IFERROR(__xludf.DUMMYFUNCTION("""COMPUTED_VALUE"""),"")</f>
        <v/>
      </c>
    </row>
    <row r="8739" spans="1:5">
      <c r="A8739" s="12"/>
      <c r="E8739" s="57" t="str">
        <f ca="1">IFERROR(__xludf.DUMMYFUNCTION("""COMPUTED_VALUE"""),"")</f>
        <v/>
      </c>
    </row>
    <row r="8740" spans="1:5">
      <c r="A8740" s="12"/>
      <c r="E8740" s="57" t="str">
        <f ca="1">IFERROR(__xludf.DUMMYFUNCTION("""COMPUTED_VALUE"""),"")</f>
        <v/>
      </c>
    </row>
    <row r="8741" spans="1:5">
      <c r="A8741" s="12"/>
      <c r="E8741" s="57" t="str">
        <f ca="1">IFERROR(__xludf.DUMMYFUNCTION("""COMPUTED_VALUE"""),"")</f>
        <v/>
      </c>
    </row>
    <row r="8742" spans="1:5">
      <c r="A8742" s="12"/>
      <c r="E8742" s="57" t="str">
        <f ca="1">IFERROR(__xludf.DUMMYFUNCTION("""COMPUTED_VALUE"""),"")</f>
        <v/>
      </c>
    </row>
    <row r="8743" spans="1:5">
      <c r="A8743" s="12"/>
      <c r="E8743" s="57" t="str">
        <f ca="1">IFERROR(__xludf.DUMMYFUNCTION("""COMPUTED_VALUE"""),"")</f>
        <v/>
      </c>
    </row>
    <row r="8744" spans="1:5">
      <c r="A8744" s="12"/>
      <c r="E8744" s="57" t="str">
        <f ca="1">IFERROR(__xludf.DUMMYFUNCTION("""COMPUTED_VALUE"""),"")</f>
        <v/>
      </c>
    </row>
    <row r="8745" spans="1:5">
      <c r="A8745" s="12"/>
      <c r="E8745" s="57" t="str">
        <f ca="1">IFERROR(__xludf.DUMMYFUNCTION("""COMPUTED_VALUE"""),"")</f>
        <v/>
      </c>
    </row>
    <row r="8746" spans="1:5">
      <c r="A8746" s="12"/>
      <c r="E8746" s="57" t="str">
        <f ca="1">IFERROR(__xludf.DUMMYFUNCTION("""COMPUTED_VALUE"""),"")</f>
        <v/>
      </c>
    </row>
    <row r="8747" spans="1:5">
      <c r="A8747" s="12"/>
      <c r="E8747" s="57" t="str">
        <f ca="1">IFERROR(__xludf.DUMMYFUNCTION("""COMPUTED_VALUE"""),"")</f>
        <v/>
      </c>
    </row>
    <row r="8748" spans="1:5">
      <c r="A8748" s="12"/>
      <c r="E8748" s="57" t="str">
        <f ca="1">IFERROR(__xludf.DUMMYFUNCTION("""COMPUTED_VALUE"""),"")</f>
        <v/>
      </c>
    </row>
    <row r="8749" spans="1:5">
      <c r="A8749" s="12"/>
      <c r="E8749" s="57" t="str">
        <f ca="1">IFERROR(__xludf.DUMMYFUNCTION("""COMPUTED_VALUE"""),"")</f>
        <v/>
      </c>
    </row>
    <row r="8750" spans="1:5">
      <c r="A8750" s="12"/>
      <c r="E8750" s="57" t="str">
        <f ca="1">IFERROR(__xludf.DUMMYFUNCTION("""COMPUTED_VALUE"""),"")</f>
        <v/>
      </c>
    </row>
    <row r="8751" spans="1:5">
      <c r="A8751" s="12"/>
      <c r="E8751" s="57" t="str">
        <f ca="1">IFERROR(__xludf.DUMMYFUNCTION("""COMPUTED_VALUE"""),"")</f>
        <v/>
      </c>
    </row>
    <row r="8752" spans="1:5">
      <c r="A8752" s="12"/>
      <c r="E8752" s="57" t="str">
        <f ca="1">IFERROR(__xludf.DUMMYFUNCTION("""COMPUTED_VALUE"""),"")</f>
        <v/>
      </c>
    </row>
    <row r="8753" spans="1:5">
      <c r="A8753" s="12"/>
      <c r="E8753" s="57" t="str">
        <f ca="1">IFERROR(__xludf.DUMMYFUNCTION("""COMPUTED_VALUE"""),"")</f>
        <v/>
      </c>
    </row>
    <row r="8754" spans="1:5">
      <c r="A8754" s="12"/>
      <c r="E8754" s="57" t="str">
        <f ca="1">IFERROR(__xludf.DUMMYFUNCTION("""COMPUTED_VALUE"""),"")</f>
        <v/>
      </c>
    </row>
    <row r="8755" spans="1:5">
      <c r="A8755" s="12"/>
      <c r="E8755" s="57" t="str">
        <f ca="1">IFERROR(__xludf.DUMMYFUNCTION("""COMPUTED_VALUE"""),"")</f>
        <v/>
      </c>
    </row>
    <row r="8756" spans="1:5">
      <c r="A8756" s="12"/>
      <c r="E8756" s="57" t="str">
        <f ca="1">IFERROR(__xludf.DUMMYFUNCTION("""COMPUTED_VALUE"""),"")</f>
        <v/>
      </c>
    </row>
    <row r="8757" spans="1:5">
      <c r="A8757" s="12"/>
      <c r="E8757" s="57" t="str">
        <f ca="1">IFERROR(__xludf.DUMMYFUNCTION("""COMPUTED_VALUE"""),"")</f>
        <v/>
      </c>
    </row>
    <row r="8758" spans="1:5">
      <c r="A8758" s="12"/>
      <c r="E8758" s="57" t="str">
        <f ca="1">IFERROR(__xludf.DUMMYFUNCTION("""COMPUTED_VALUE"""),"")</f>
        <v/>
      </c>
    </row>
    <row r="8759" spans="1:5">
      <c r="A8759" s="12"/>
      <c r="E8759" s="57" t="str">
        <f ca="1">IFERROR(__xludf.DUMMYFUNCTION("""COMPUTED_VALUE"""),"")</f>
        <v/>
      </c>
    </row>
    <row r="8760" spans="1:5">
      <c r="A8760" s="12"/>
      <c r="E8760" s="57" t="str">
        <f ca="1">IFERROR(__xludf.DUMMYFUNCTION("""COMPUTED_VALUE"""),"")</f>
        <v/>
      </c>
    </row>
    <row r="8761" spans="1:5">
      <c r="A8761" s="12"/>
      <c r="E8761" s="57" t="str">
        <f ca="1">IFERROR(__xludf.DUMMYFUNCTION("""COMPUTED_VALUE"""),"")</f>
        <v/>
      </c>
    </row>
    <row r="8762" spans="1:5">
      <c r="A8762" s="12"/>
      <c r="E8762" s="57" t="str">
        <f ca="1">IFERROR(__xludf.DUMMYFUNCTION("""COMPUTED_VALUE"""),"")</f>
        <v/>
      </c>
    </row>
    <row r="8763" spans="1:5">
      <c r="A8763" s="12"/>
      <c r="E8763" s="57" t="str">
        <f ca="1">IFERROR(__xludf.DUMMYFUNCTION("""COMPUTED_VALUE"""),"")</f>
        <v/>
      </c>
    </row>
    <row r="8764" spans="1:5">
      <c r="A8764" s="12"/>
      <c r="E8764" s="57" t="str">
        <f ca="1">IFERROR(__xludf.DUMMYFUNCTION("""COMPUTED_VALUE"""),"")</f>
        <v/>
      </c>
    </row>
    <row r="8765" spans="1:5">
      <c r="A8765" s="12"/>
      <c r="E8765" s="57" t="str">
        <f ca="1">IFERROR(__xludf.DUMMYFUNCTION("""COMPUTED_VALUE"""),"")</f>
        <v/>
      </c>
    </row>
    <row r="8766" spans="1:5">
      <c r="A8766" s="12"/>
      <c r="E8766" s="57" t="str">
        <f ca="1">IFERROR(__xludf.DUMMYFUNCTION("""COMPUTED_VALUE"""),"")</f>
        <v/>
      </c>
    </row>
    <row r="8767" spans="1:5">
      <c r="A8767" s="12"/>
      <c r="E8767" s="57" t="str">
        <f ca="1">IFERROR(__xludf.DUMMYFUNCTION("""COMPUTED_VALUE"""),"")</f>
        <v/>
      </c>
    </row>
    <row r="8768" spans="1:5">
      <c r="A8768" s="12"/>
      <c r="E8768" s="57" t="str">
        <f ca="1">IFERROR(__xludf.DUMMYFUNCTION("""COMPUTED_VALUE"""),"")</f>
        <v/>
      </c>
    </row>
    <row r="8769" spans="1:5">
      <c r="A8769" s="12"/>
      <c r="E8769" s="57" t="str">
        <f ca="1">IFERROR(__xludf.DUMMYFUNCTION("""COMPUTED_VALUE"""),"")</f>
        <v/>
      </c>
    </row>
    <row r="8770" spans="1:5">
      <c r="A8770" s="12"/>
      <c r="E8770" s="57" t="str">
        <f ca="1">IFERROR(__xludf.DUMMYFUNCTION("""COMPUTED_VALUE"""),"")</f>
        <v/>
      </c>
    </row>
    <row r="8771" spans="1:5">
      <c r="A8771" s="12"/>
      <c r="E8771" s="57" t="str">
        <f ca="1">IFERROR(__xludf.DUMMYFUNCTION("""COMPUTED_VALUE"""),"")</f>
        <v/>
      </c>
    </row>
    <row r="8772" spans="1:5">
      <c r="A8772" s="12"/>
      <c r="E8772" s="57" t="str">
        <f ca="1">IFERROR(__xludf.DUMMYFUNCTION("""COMPUTED_VALUE"""),"")</f>
        <v/>
      </c>
    </row>
    <row r="8773" spans="1:5">
      <c r="A8773" s="12"/>
      <c r="E8773" s="57" t="str">
        <f ca="1">IFERROR(__xludf.DUMMYFUNCTION("""COMPUTED_VALUE"""),"")</f>
        <v/>
      </c>
    </row>
    <row r="8774" spans="1:5">
      <c r="A8774" s="12"/>
      <c r="E8774" s="57" t="str">
        <f ca="1">IFERROR(__xludf.DUMMYFUNCTION("""COMPUTED_VALUE"""),"")</f>
        <v/>
      </c>
    </row>
    <row r="8775" spans="1:5">
      <c r="A8775" s="12"/>
      <c r="E8775" s="57" t="str">
        <f ca="1">IFERROR(__xludf.DUMMYFUNCTION("""COMPUTED_VALUE"""),"")</f>
        <v/>
      </c>
    </row>
    <row r="8776" spans="1:5">
      <c r="A8776" s="12"/>
      <c r="E8776" s="57" t="str">
        <f ca="1">IFERROR(__xludf.DUMMYFUNCTION("""COMPUTED_VALUE"""),"")</f>
        <v/>
      </c>
    </row>
    <row r="8777" spans="1:5">
      <c r="A8777" s="12"/>
      <c r="E8777" s="57" t="str">
        <f ca="1">IFERROR(__xludf.DUMMYFUNCTION("""COMPUTED_VALUE"""),"")</f>
        <v/>
      </c>
    </row>
    <row r="8778" spans="1:5">
      <c r="A8778" s="12"/>
      <c r="E8778" s="57" t="str">
        <f ca="1">IFERROR(__xludf.DUMMYFUNCTION("""COMPUTED_VALUE"""),"")</f>
        <v/>
      </c>
    </row>
    <row r="8779" spans="1:5">
      <c r="A8779" s="12"/>
      <c r="E8779" s="57" t="str">
        <f ca="1">IFERROR(__xludf.DUMMYFUNCTION("""COMPUTED_VALUE"""),"")</f>
        <v/>
      </c>
    </row>
    <row r="8780" spans="1:5">
      <c r="A8780" s="12"/>
      <c r="E8780" s="57" t="str">
        <f ca="1">IFERROR(__xludf.DUMMYFUNCTION("""COMPUTED_VALUE"""),"")</f>
        <v/>
      </c>
    </row>
    <row r="8781" spans="1:5">
      <c r="A8781" s="12"/>
      <c r="E8781" s="57" t="str">
        <f ca="1">IFERROR(__xludf.DUMMYFUNCTION("""COMPUTED_VALUE"""),"")</f>
        <v/>
      </c>
    </row>
    <row r="8782" spans="1:5">
      <c r="A8782" s="12"/>
      <c r="E8782" s="57" t="str">
        <f ca="1">IFERROR(__xludf.DUMMYFUNCTION("""COMPUTED_VALUE"""),"")</f>
        <v/>
      </c>
    </row>
    <row r="8783" spans="1:5">
      <c r="A8783" s="12"/>
      <c r="E8783" s="57" t="str">
        <f ca="1">IFERROR(__xludf.DUMMYFUNCTION("""COMPUTED_VALUE"""),"")</f>
        <v/>
      </c>
    </row>
    <row r="8784" spans="1:5">
      <c r="A8784" s="12"/>
      <c r="E8784" s="57" t="str">
        <f ca="1">IFERROR(__xludf.DUMMYFUNCTION("""COMPUTED_VALUE"""),"")</f>
        <v/>
      </c>
    </row>
    <row r="8785" spans="1:5">
      <c r="A8785" s="12"/>
      <c r="E8785" s="57" t="str">
        <f ca="1">IFERROR(__xludf.DUMMYFUNCTION("""COMPUTED_VALUE"""),"")</f>
        <v/>
      </c>
    </row>
    <row r="8786" spans="1:5">
      <c r="A8786" s="12"/>
      <c r="E8786" s="57" t="str">
        <f ca="1">IFERROR(__xludf.DUMMYFUNCTION("""COMPUTED_VALUE"""),"")</f>
        <v/>
      </c>
    </row>
    <row r="8787" spans="1:5">
      <c r="A8787" s="12"/>
      <c r="E8787" s="57" t="str">
        <f ca="1">IFERROR(__xludf.DUMMYFUNCTION("""COMPUTED_VALUE"""),"")</f>
        <v/>
      </c>
    </row>
    <row r="8788" spans="1:5">
      <c r="A8788" s="12"/>
      <c r="E8788" s="57" t="str">
        <f ca="1">IFERROR(__xludf.DUMMYFUNCTION("""COMPUTED_VALUE"""),"")</f>
        <v/>
      </c>
    </row>
    <row r="8789" spans="1:5">
      <c r="A8789" s="12"/>
      <c r="E8789" s="57" t="str">
        <f ca="1">IFERROR(__xludf.DUMMYFUNCTION("""COMPUTED_VALUE"""),"")</f>
        <v/>
      </c>
    </row>
    <row r="8790" spans="1:5">
      <c r="A8790" s="12"/>
      <c r="E8790" s="57" t="str">
        <f ca="1">IFERROR(__xludf.DUMMYFUNCTION("""COMPUTED_VALUE"""),"")</f>
        <v/>
      </c>
    </row>
    <row r="8791" spans="1:5">
      <c r="A8791" s="12"/>
      <c r="E8791" s="57" t="str">
        <f ca="1">IFERROR(__xludf.DUMMYFUNCTION("""COMPUTED_VALUE"""),"")</f>
        <v/>
      </c>
    </row>
    <row r="8792" spans="1:5">
      <c r="A8792" s="12"/>
      <c r="E8792" s="57" t="str">
        <f ca="1">IFERROR(__xludf.DUMMYFUNCTION("""COMPUTED_VALUE"""),"")</f>
        <v/>
      </c>
    </row>
    <row r="8793" spans="1:5">
      <c r="A8793" s="12"/>
      <c r="E8793" s="57" t="str">
        <f ca="1">IFERROR(__xludf.DUMMYFUNCTION("""COMPUTED_VALUE"""),"")</f>
        <v/>
      </c>
    </row>
    <row r="8794" spans="1:5">
      <c r="A8794" s="12"/>
      <c r="E8794" s="57" t="str">
        <f ca="1">IFERROR(__xludf.DUMMYFUNCTION("""COMPUTED_VALUE"""),"")</f>
        <v/>
      </c>
    </row>
    <row r="8795" spans="1:5">
      <c r="A8795" s="12"/>
      <c r="E8795" s="57" t="str">
        <f ca="1">IFERROR(__xludf.DUMMYFUNCTION("""COMPUTED_VALUE"""),"")</f>
        <v/>
      </c>
    </row>
    <row r="8796" spans="1:5">
      <c r="A8796" s="12"/>
      <c r="E8796" s="57" t="str">
        <f ca="1">IFERROR(__xludf.DUMMYFUNCTION("""COMPUTED_VALUE"""),"")</f>
        <v/>
      </c>
    </row>
    <row r="8797" spans="1:5">
      <c r="A8797" s="12"/>
      <c r="E8797" s="57" t="str">
        <f ca="1">IFERROR(__xludf.DUMMYFUNCTION("""COMPUTED_VALUE"""),"")</f>
        <v/>
      </c>
    </row>
    <row r="8798" spans="1:5">
      <c r="A8798" s="12"/>
      <c r="E8798" s="57" t="str">
        <f ca="1">IFERROR(__xludf.DUMMYFUNCTION("""COMPUTED_VALUE"""),"")</f>
        <v/>
      </c>
    </row>
    <row r="8799" spans="1:5">
      <c r="A8799" s="12"/>
      <c r="E8799" s="57" t="str">
        <f ca="1">IFERROR(__xludf.DUMMYFUNCTION("""COMPUTED_VALUE"""),"")</f>
        <v/>
      </c>
    </row>
    <row r="8800" spans="1:5">
      <c r="A8800" s="12"/>
      <c r="E8800" s="57" t="str">
        <f ca="1">IFERROR(__xludf.DUMMYFUNCTION("""COMPUTED_VALUE"""),"")</f>
        <v/>
      </c>
    </row>
    <row r="8801" spans="1:5">
      <c r="A8801" s="12"/>
      <c r="E8801" s="57" t="str">
        <f ca="1">IFERROR(__xludf.DUMMYFUNCTION("""COMPUTED_VALUE"""),"")</f>
        <v/>
      </c>
    </row>
    <row r="8802" spans="1:5">
      <c r="A8802" s="12"/>
      <c r="E8802" s="57" t="str">
        <f ca="1">IFERROR(__xludf.DUMMYFUNCTION("""COMPUTED_VALUE"""),"")</f>
        <v/>
      </c>
    </row>
    <row r="8803" spans="1:5">
      <c r="A8803" s="12"/>
      <c r="E8803" s="57" t="str">
        <f ca="1">IFERROR(__xludf.DUMMYFUNCTION("""COMPUTED_VALUE"""),"")</f>
        <v/>
      </c>
    </row>
    <row r="8804" spans="1:5">
      <c r="A8804" s="12"/>
      <c r="E8804" s="57" t="str">
        <f ca="1">IFERROR(__xludf.DUMMYFUNCTION("""COMPUTED_VALUE"""),"")</f>
        <v/>
      </c>
    </row>
    <row r="8805" spans="1:5">
      <c r="A8805" s="12"/>
      <c r="E8805" s="57" t="str">
        <f ca="1">IFERROR(__xludf.DUMMYFUNCTION("""COMPUTED_VALUE"""),"")</f>
        <v/>
      </c>
    </row>
    <row r="8806" spans="1:5">
      <c r="A8806" s="12"/>
      <c r="E8806" s="57" t="str">
        <f ca="1">IFERROR(__xludf.DUMMYFUNCTION("""COMPUTED_VALUE"""),"")</f>
        <v/>
      </c>
    </row>
    <row r="8807" spans="1:5">
      <c r="A8807" s="12"/>
      <c r="E8807" s="57" t="str">
        <f ca="1">IFERROR(__xludf.DUMMYFUNCTION("""COMPUTED_VALUE"""),"")</f>
        <v/>
      </c>
    </row>
    <row r="8808" spans="1:5">
      <c r="A8808" s="12"/>
      <c r="E8808" s="57" t="str">
        <f ca="1">IFERROR(__xludf.DUMMYFUNCTION("""COMPUTED_VALUE"""),"")</f>
        <v/>
      </c>
    </row>
    <row r="8809" spans="1:5">
      <c r="A8809" s="12"/>
      <c r="E8809" s="57" t="str">
        <f ca="1">IFERROR(__xludf.DUMMYFUNCTION("""COMPUTED_VALUE"""),"")</f>
        <v/>
      </c>
    </row>
    <row r="8810" spans="1:5">
      <c r="A8810" s="12"/>
      <c r="E8810" s="57" t="str">
        <f ca="1">IFERROR(__xludf.DUMMYFUNCTION("""COMPUTED_VALUE"""),"")</f>
        <v/>
      </c>
    </row>
    <row r="8811" spans="1:5">
      <c r="A8811" s="12"/>
      <c r="E8811" s="57" t="str">
        <f ca="1">IFERROR(__xludf.DUMMYFUNCTION("""COMPUTED_VALUE"""),"")</f>
        <v/>
      </c>
    </row>
    <row r="8812" spans="1:5">
      <c r="A8812" s="12"/>
      <c r="E8812" s="57" t="str">
        <f ca="1">IFERROR(__xludf.DUMMYFUNCTION("""COMPUTED_VALUE"""),"")</f>
        <v/>
      </c>
    </row>
    <row r="8813" spans="1:5">
      <c r="A8813" s="12"/>
      <c r="E8813" s="57" t="str">
        <f ca="1">IFERROR(__xludf.DUMMYFUNCTION("""COMPUTED_VALUE"""),"")</f>
        <v/>
      </c>
    </row>
    <row r="8814" spans="1:5">
      <c r="A8814" s="12"/>
      <c r="E8814" s="57" t="str">
        <f ca="1">IFERROR(__xludf.DUMMYFUNCTION("""COMPUTED_VALUE"""),"")</f>
        <v/>
      </c>
    </row>
    <row r="8815" spans="1:5">
      <c r="A8815" s="12"/>
      <c r="E8815" s="57" t="str">
        <f ca="1">IFERROR(__xludf.DUMMYFUNCTION("""COMPUTED_VALUE"""),"")</f>
        <v/>
      </c>
    </row>
    <row r="8816" spans="1:5">
      <c r="A8816" s="12"/>
      <c r="E8816" s="57" t="str">
        <f ca="1">IFERROR(__xludf.DUMMYFUNCTION("""COMPUTED_VALUE"""),"")</f>
        <v/>
      </c>
    </row>
    <row r="8817" spans="1:5">
      <c r="A8817" s="12"/>
      <c r="E8817" s="57" t="str">
        <f ca="1">IFERROR(__xludf.DUMMYFUNCTION("""COMPUTED_VALUE"""),"")</f>
        <v/>
      </c>
    </row>
    <row r="8818" spans="1:5">
      <c r="A8818" s="12"/>
      <c r="E8818" s="57" t="str">
        <f ca="1">IFERROR(__xludf.DUMMYFUNCTION("""COMPUTED_VALUE"""),"")</f>
        <v/>
      </c>
    </row>
    <row r="8819" spans="1:5">
      <c r="A8819" s="12"/>
      <c r="E8819" s="57" t="str">
        <f ca="1">IFERROR(__xludf.DUMMYFUNCTION("""COMPUTED_VALUE"""),"")</f>
        <v/>
      </c>
    </row>
    <row r="8820" spans="1:5">
      <c r="A8820" s="12"/>
      <c r="E8820" s="57" t="str">
        <f ca="1">IFERROR(__xludf.DUMMYFUNCTION("""COMPUTED_VALUE"""),"")</f>
        <v/>
      </c>
    </row>
    <row r="8821" spans="1:5">
      <c r="A8821" s="12"/>
      <c r="E8821" s="57" t="str">
        <f ca="1">IFERROR(__xludf.DUMMYFUNCTION("""COMPUTED_VALUE"""),"")</f>
        <v/>
      </c>
    </row>
    <row r="8822" spans="1:5">
      <c r="A8822" s="12"/>
      <c r="E8822" s="57" t="str">
        <f ca="1">IFERROR(__xludf.DUMMYFUNCTION("""COMPUTED_VALUE"""),"")</f>
        <v/>
      </c>
    </row>
    <row r="8823" spans="1:5">
      <c r="A8823" s="12"/>
      <c r="E8823" s="57" t="str">
        <f ca="1">IFERROR(__xludf.DUMMYFUNCTION("""COMPUTED_VALUE"""),"")</f>
        <v/>
      </c>
    </row>
    <row r="8824" spans="1:5">
      <c r="A8824" s="12"/>
      <c r="E8824" s="57" t="str">
        <f ca="1">IFERROR(__xludf.DUMMYFUNCTION("""COMPUTED_VALUE"""),"")</f>
        <v/>
      </c>
    </row>
    <row r="8825" spans="1:5">
      <c r="A8825" s="12"/>
      <c r="E8825" s="57" t="str">
        <f ca="1">IFERROR(__xludf.DUMMYFUNCTION("""COMPUTED_VALUE"""),"")</f>
        <v/>
      </c>
    </row>
    <row r="8826" spans="1:5">
      <c r="A8826" s="12"/>
      <c r="E8826" s="57" t="str">
        <f ca="1">IFERROR(__xludf.DUMMYFUNCTION("""COMPUTED_VALUE"""),"")</f>
        <v/>
      </c>
    </row>
    <row r="8827" spans="1:5">
      <c r="A8827" s="12"/>
      <c r="E8827" s="57" t="str">
        <f ca="1">IFERROR(__xludf.DUMMYFUNCTION("""COMPUTED_VALUE"""),"")</f>
        <v/>
      </c>
    </row>
    <row r="8828" spans="1:5">
      <c r="A8828" s="12"/>
      <c r="E8828" s="57" t="str">
        <f ca="1">IFERROR(__xludf.DUMMYFUNCTION("""COMPUTED_VALUE"""),"")</f>
        <v/>
      </c>
    </row>
    <row r="8829" spans="1:5">
      <c r="A8829" s="12"/>
      <c r="E8829" s="57" t="str">
        <f ca="1">IFERROR(__xludf.DUMMYFUNCTION("""COMPUTED_VALUE"""),"")</f>
        <v/>
      </c>
    </row>
    <row r="8830" spans="1:5">
      <c r="A8830" s="12"/>
      <c r="E8830" s="57" t="str">
        <f ca="1">IFERROR(__xludf.DUMMYFUNCTION("""COMPUTED_VALUE"""),"")</f>
        <v/>
      </c>
    </row>
    <row r="8831" spans="1:5">
      <c r="A8831" s="12"/>
      <c r="E8831" s="57" t="str">
        <f ca="1">IFERROR(__xludf.DUMMYFUNCTION("""COMPUTED_VALUE"""),"")</f>
        <v/>
      </c>
    </row>
    <row r="8832" spans="1:5">
      <c r="A8832" s="12"/>
      <c r="E8832" s="57" t="str">
        <f ca="1">IFERROR(__xludf.DUMMYFUNCTION("""COMPUTED_VALUE"""),"")</f>
        <v/>
      </c>
    </row>
    <row r="8833" spans="1:5">
      <c r="A8833" s="12"/>
      <c r="E8833" s="57" t="str">
        <f ca="1">IFERROR(__xludf.DUMMYFUNCTION("""COMPUTED_VALUE"""),"")</f>
        <v/>
      </c>
    </row>
    <row r="8834" spans="1:5">
      <c r="A8834" s="12"/>
      <c r="E8834" s="57" t="str">
        <f ca="1">IFERROR(__xludf.DUMMYFUNCTION("""COMPUTED_VALUE"""),"")</f>
        <v/>
      </c>
    </row>
    <row r="8835" spans="1:5">
      <c r="A8835" s="12"/>
      <c r="E8835" s="57" t="str">
        <f ca="1">IFERROR(__xludf.DUMMYFUNCTION("""COMPUTED_VALUE"""),"")</f>
        <v/>
      </c>
    </row>
    <row r="8836" spans="1:5">
      <c r="A8836" s="12"/>
      <c r="E8836" s="57" t="str">
        <f ca="1">IFERROR(__xludf.DUMMYFUNCTION("""COMPUTED_VALUE"""),"")</f>
        <v/>
      </c>
    </row>
    <row r="8837" spans="1:5">
      <c r="A8837" s="12"/>
      <c r="E8837" s="57" t="str">
        <f ca="1">IFERROR(__xludf.DUMMYFUNCTION("""COMPUTED_VALUE"""),"")</f>
        <v/>
      </c>
    </row>
    <row r="8838" spans="1:5">
      <c r="A8838" s="12"/>
      <c r="E8838" s="57" t="str">
        <f ca="1">IFERROR(__xludf.DUMMYFUNCTION("""COMPUTED_VALUE"""),"")</f>
        <v/>
      </c>
    </row>
    <row r="8839" spans="1:5">
      <c r="A8839" s="12"/>
      <c r="E8839" s="57" t="str">
        <f ca="1">IFERROR(__xludf.DUMMYFUNCTION("""COMPUTED_VALUE"""),"")</f>
        <v/>
      </c>
    </row>
    <row r="8840" spans="1:5">
      <c r="A8840" s="12"/>
      <c r="E8840" s="57" t="str">
        <f ca="1">IFERROR(__xludf.DUMMYFUNCTION("""COMPUTED_VALUE"""),"")</f>
        <v/>
      </c>
    </row>
    <row r="8841" spans="1:5">
      <c r="A8841" s="12"/>
      <c r="E8841" s="57" t="str">
        <f ca="1">IFERROR(__xludf.DUMMYFUNCTION("""COMPUTED_VALUE"""),"")</f>
        <v/>
      </c>
    </row>
    <row r="8842" spans="1:5">
      <c r="A8842" s="12"/>
      <c r="E8842" s="57" t="str">
        <f ca="1">IFERROR(__xludf.DUMMYFUNCTION("""COMPUTED_VALUE"""),"")</f>
        <v/>
      </c>
    </row>
    <row r="8843" spans="1:5">
      <c r="A8843" s="12"/>
      <c r="E8843" s="57" t="str">
        <f ca="1">IFERROR(__xludf.DUMMYFUNCTION("""COMPUTED_VALUE"""),"")</f>
        <v/>
      </c>
    </row>
    <row r="8844" spans="1:5">
      <c r="A8844" s="12"/>
      <c r="E8844" s="57" t="str">
        <f ca="1">IFERROR(__xludf.DUMMYFUNCTION("""COMPUTED_VALUE"""),"")</f>
        <v/>
      </c>
    </row>
    <row r="8845" spans="1:5">
      <c r="A8845" s="12"/>
      <c r="E8845" s="57" t="str">
        <f ca="1">IFERROR(__xludf.DUMMYFUNCTION("""COMPUTED_VALUE"""),"")</f>
        <v/>
      </c>
    </row>
    <row r="8846" spans="1:5">
      <c r="A8846" s="12"/>
      <c r="E8846" s="57" t="str">
        <f ca="1">IFERROR(__xludf.DUMMYFUNCTION("""COMPUTED_VALUE"""),"")</f>
        <v/>
      </c>
    </row>
    <row r="8847" spans="1:5">
      <c r="A8847" s="12"/>
      <c r="E8847" s="57" t="str">
        <f ca="1">IFERROR(__xludf.DUMMYFUNCTION("""COMPUTED_VALUE"""),"")</f>
        <v/>
      </c>
    </row>
    <row r="8848" spans="1:5">
      <c r="A8848" s="12"/>
      <c r="E8848" s="57" t="str">
        <f ca="1">IFERROR(__xludf.DUMMYFUNCTION("""COMPUTED_VALUE"""),"")</f>
        <v/>
      </c>
    </row>
    <row r="8849" spans="1:5">
      <c r="A8849" s="12"/>
      <c r="E8849" s="57" t="str">
        <f ca="1">IFERROR(__xludf.DUMMYFUNCTION("""COMPUTED_VALUE"""),"")</f>
        <v/>
      </c>
    </row>
    <row r="8850" spans="1:5">
      <c r="A8850" s="12"/>
      <c r="E8850" s="57" t="str">
        <f ca="1">IFERROR(__xludf.DUMMYFUNCTION("""COMPUTED_VALUE"""),"")</f>
        <v/>
      </c>
    </row>
    <row r="8851" spans="1:5">
      <c r="A8851" s="12"/>
      <c r="E8851" s="57" t="str">
        <f ca="1">IFERROR(__xludf.DUMMYFUNCTION("""COMPUTED_VALUE"""),"")</f>
        <v/>
      </c>
    </row>
    <row r="8852" spans="1:5">
      <c r="A8852" s="12"/>
      <c r="E8852" s="57" t="str">
        <f ca="1">IFERROR(__xludf.DUMMYFUNCTION("""COMPUTED_VALUE"""),"")</f>
        <v/>
      </c>
    </row>
    <row r="8853" spans="1:5">
      <c r="A8853" s="12"/>
      <c r="E8853" s="57" t="str">
        <f ca="1">IFERROR(__xludf.DUMMYFUNCTION("""COMPUTED_VALUE"""),"")</f>
        <v/>
      </c>
    </row>
    <row r="8854" spans="1:5">
      <c r="A8854" s="12"/>
      <c r="E8854" s="57" t="str">
        <f ca="1">IFERROR(__xludf.DUMMYFUNCTION("""COMPUTED_VALUE"""),"")</f>
        <v/>
      </c>
    </row>
    <row r="8855" spans="1:5">
      <c r="A8855" s="12"/>
      <c r="E8855" s="57" t="str">
        <f ca="1">IFERROR(__xludf.DUMMYFUNCTION("""COMPUTED_VALUE"""),"")</f>
        <v/>
      </c>
    </row>
    <row r="8856" spans="1:5">
      <c r="A8856" s="12"/>
      <c r="E8856" s="57" t="str">
        <f ca="1">IFERROR(__xludf.DUMMYFUNCTION("""COMPUTED_VALUE"""),"")</f>
        <v/>
      </c>
    </row>
    <row r="8857" spans="1:5">
      <c r="A8857" s="12"/>
      <c r="E8857" s="57" t="str">
        <f ca="1">IFERROR(__xludf.DUMMYFUNCTION("""COMPUTED_VALUE"""),"")</f>
        <v/>
      </c>
    </row>
    <row r="8858" spans="1:5">
      <c r="A8858" s="12"/>
      <c r="E8858" s="57" t="str">
        <f ca="1">IFERROR(__xludf.DUMMYFUNCTION("""COMPUTED_VALUE"""),"")</f>
        <v/>
      </c>
    </row>
    <row r="8859" spans="1:5">
      <c r="A8859" s="12"/>
      <c r="E8859" s="57" t="str">
        <f ca="1">IFERROR(__xludf.DUMMYFUNCTION("""COMPUTED_VALUE"""),"")</f>
        <v/>
      </c>
    </row>
    <row r="8860" spans="1:5">
      <c r="A8860" s="12"/>
      <c r="E8860" s="57" t="str">
        <f ca="1">IFERROR(__xludf.DUMMYFUNCTION("""COMPUTED_VALUE"""),"")</f>
        <v/>
      </c>
    </row>
    <row r="8861" spans="1:5">
      <c r="A8861" s="12"/>
      <c r="E8861" s="57" t="str">
        <f ca="1">IFERROR(__xludf.DUMMYFUNCTION("""COMPUTED_VALUE"""),"")</f>
        <v/>
      </c>
    </row>
    <row r="8862" spans="1:5">
      <c r="A8862" s="12"/>
      <c r="E8862" s="57" t="str">
        <f ca="1">IFERROR(__xludf.DUMMYFUNCTION("""COMPUTED_VALUE"""),"")</f>
        <v/>
      </c>
    </row>
    <row r="8863" spans="1:5">
      <c r="A8863" s="12"/>
      <c r="E8863" s="57" t="str">
        <f ca="1">IFERROR(__xludf.DUMMYFUNCTION("""COMPUTED_VALUE"""),"")</f>
        <v/>
      </c>
    </row>
    <row r="8864" spans="1:5">
      <c r="A8864" s="12"/>
      <c r="E8864" s="57" t="str">
        <f ca="1">IFERROR(__xludf.DUMMYFUNCTION("""COMPUTED_VALUE"""),"")</f>
        <v/>
      </c>
    </row>
    <row r="8865" spans="1:5">
      <c r="A8865" s="12"/>
      <c r="E8865" s="57" t="str">
        <f ca="1">IFERROR(__xludf.DUMMYFUNCTION("""COMPUTED_VALUE"""),"")</f>
        <v/>
      </c>
    </row>
    <row r="8866" spans="1:5">
      <c r="A8866" s="12"/>
      <c r="E8866" s="57" t="str">
        <f ca="1">IFERROR(__xludf.DUMMYFUNCTION("""COMPUTED_VALUE"""),"")</f>
        <v/>
      </c>
    </row>
    <row r="8867" spans="1:5">
      <c r="A8867" s="12"/>
      <c r="E8867" s="57" t="str">
        <f ca="1">IFERROR(__xludf.DUMMYFUNCTION("""COMPUTED_VALUE"""),"")</f>
        <v/>
      </c>
    </row>
    <row r="8868" spans="1:5">
      <c r="A8868" s="12"/>
      <c r="E8868" s="57" t="str">
        <f ca="1">IFERROR(__xludf.DUMMYFUNCTION("""COMPUTED_VALUE"""),"")</f>
        <v/>
      </c>
    </row>
    <row r="8869" spans="1:5">
      <c r="A8869" s="12"/>
      <c r="E8869" s="57" t="str">
        <f ca="1">IFERROR(__xludf.DUMMYFUNCTION("""COMPUTED_VALUE"""),"")</f>
        <v/>
      </c>
    </row>
    <row r="8870" spans="1:5">
      <c r="A8870" s="12"/>
      <c r="E8870" s="57" t="str">
        <f ca="1">IFERROR(__xludf.DUMMYFUNCTION("""COMPUTED_VALUE"""),"")</f>
        <v/>
      </c>
    </row>
    <row r="8871" spans="1:5">
      <c r="A8871" s="12"/>
      <c r="E8871" s="57" t="str">
        <f ca="1">IFERROR(__xludf.DUMMYFUNCTION("""COMPUTED_VALUE"""),"")</f>
        <v/>
      </c>
    </row>
    <row r="8872" spans="1:5">
      <c r="A8872" s="12"/>
      <c r="E8872" s="57" t="str">
        <f ca="1">IFERROR(__xludf.DUMMYFUNCTION("""COMPUTED_VALUE"""),"")</f>
        <v/>
      </c>
    </row>
    <row r="8873" spans="1:5">
      <c r="A8873" s="12"/>
      <c r="E8873" s="57" t="str">
        <f ca="1">IFERROR(__xludf.DUMMYFUNCTION("""COMPUTED_VALUE"""),"")</f>
        <v/>
      </c>
    </row>
    <row r="8874" spans="1:5">
      <c r="A8874" s="12"/>
      <c r="E8874" s="57" t="str">
        <f ca="1">IFERROR(__xludf.DUMMYFUNCTION("""COMPUTED_VALUE"""),"")</f>
        <v/>
      </c>
    </row>
    <row r="8875" spans="1:5">
      <c r="A8875" s="12"/>
      <c r="E8875" s="57" t="str">
        <f ca="1">IFERROR(__xludf.DUMMYFUNCTION("""COMPUTED_VALUE"""),"")</f>
        <v/>
      </c>
    </row>
    <row r="8876" spans="1:5">
      <c r="A8876" s="12"/>
      <c r="E8876" s="57" t="str">
        <f ca="1">IFERROR(__xludf.DUMMYFUNCTION("""COMPUTED_VALUE"""),"")</f>
        <v/>
      </c>
    </row>
    <row r="8877" spans="1:5">
      <c r="A8877" s="12"/>
      <c r="E8877" s="57" t="str">
        <f ca="1">IFERROR(__xludf.DUMMYFUNCTION("""COMPUTED_VALUE"""),"")</f>
        <v/>
      </c>
    </row>
    <row r="8878" spans="1:5">
      <c r="A8878" s="12"/>
      <c r="E8878" s="57" t="str">
        <f ca="1">IFERROR(__xludf.DUMMYFUNCTION("""COMPUTED_VALUE"""),"")</f>
        <v/>
      </c>
    </row>
    <row r="8879" spans="1:5">
      <c r="A8879" s="12"/>
      <c r="E8879" s="57" t="str">
        <f ca="1">IFERROR(__xludf.DUMMYFUNCTION("""COMPUTED_VALUE"""),"")</f>
        <v/>
      </c>
    </row>
    <row r="8880" spans="1:5">
      <c r="A8880" s="12"/>
      <c r="E8880" s="57" t="str">
        <f ca="1">IFERROR(__xludf.DUMMYFUNCTION("""COMPUTED_VALUE"""),"")</f>
        <v/>
      </c>
    </row>
    <row r="8881" spans="1:5">
      <c r="A8881" s="12"/>
      <c r="E8881" s="57" t="str">
        <f ca="1">IFERROR(__xludf.DUMMYFUNCTION("""COMPUTED_VALUE"""),"")</f>
        <v/>
      </c>
    </row>
    <row r="8882" spans="1:5">
      <c r="A8882" s="12"/>
      <c r="E8882" s="57" t="str">
        <f ca="1">IFERROR(__xludf.DUMMYFUNCTION("""COMPUTED_VALUE"""),"")</f>
        <v/>
      </c>
    </row>
    <row r="8883" spans="1:5">
      <c r="A8883" s="12"/>
      <c r="E8883" s="57" t="str">
        <f ca="1">IFERROR(__xludf.DUMMYFUNCTION("""COMPUTED_VALUE"""),"")</f>
        <v/>
      </c>
    </row>
    <row r="8884" spans="1:5">
      <c r="A8884" s="12"/>
      <c r="E8884" s="57" t="str">
        <f ca="1">IFERROR(__xludf.DUMMYFUNCTION("""COMPUTED_VALUE"""),"")</f>
        <v/>
      </c>
    </row>
    <row r="8885" spans="1:5">
      <c r="A8885" s="12"/>
      <c r="E8885" s="57" t="str">
        <f ca="1">IFERROR(__xludf.DUMMYFUNCTION("""COMPUTED_VALUE"""),"")</f>
        <v/>
      </c>
    </row>
    <row r="8886" spans="1:5">
      <c r="A8886" s="12"/>
      <c r="E8886" s="57" t="str">
        <f ca="1">IFERROR(__xludf.DUMMYFUNCTION("""COMPUTED_VALUE"""),"")</f>
        <v/>
      </c>
    </row>
    <row r="8887" spans="1:5">
      <c r="A8887" s="12"/>
      <c r="E8887" s="57" t="str">
        <f ca="1">IFERROR(__xludf.DUMMYFUNCTION("""COMPUTED_VALUE"""),"")</f>
        <v/>
      </c>
    </row>
    <row r="8888" spans="1:5">
      <c r="A8888" s="12"/>
      <c r="E8888" s="57" t="str">
        <f ca="1">IFERROR(__xludf.DUMMYFUNCTION("""COMPUTED_VALUE"""),"")</f>
        <v/>
      </c>
    </row>
    <row r="8889" spans="1:5">
      <c r="A8889" s="12"/>
      <c r="E8889" s="57" t="str">
        <f ca="1">IFERROR(__xludf.DUMMYFUNCTION("""COMPUTED_VALUE"""),"")</f>
        <v/>
      </c>
    </row>
    <row r="8890" spans="1:5">
      <c r="A8890" s="12"/>
      <c r="E8890" s="57" t="str">
        <f ca="1">IFERROR(__xludf.DUMMYFUNCTION("""COMPUTED_VALUE"""),"")</f>
        <v/>
      </c>
    </row>
    <row r="8891" spans="1:5">
      <c r="A8891" s="12"/>
      <c r="E8891" s="57" t="str">
        <f ca="1">IFERROR(__xludf.DUMMYFUNCTION("""COMPUTED_VALUE"""),"")</f>
        <v/>
      </c>
    </row>
    <row r="8892" spans="1:5">
      <c r="A8892" s="12"/>
      <c r="E8892" s="57" t="str">
        <f ca="1">IFERROR(__xludf.DUMMYFUNCTION("""COMPUTED_VALUE"""),"")</f>
        <v/>
      </c>
    </row>
    <row r="8893" spans="1:5">
      <c r="A8893" s="12"/>
      <c r="E8893" s="57" t="str">
        <f ca="1">IFERROR(__xludf.DUMMYFUNCTION("""COMPUTED_VALUE"""),"")</f>
        <v/>
      </c>
    </row>
    <row r="8894" spans="1:5">
      <c r="A8894" s="12"/>
      <c r="E8894" s="57" t="str">
        <f ca="1">IFERROR(__xludf.DUMMYFUNCTION("""COMPUTED_VALUE"""),"")</f>
        <v/>
      </c>
    </row>
    <row r="8895" spans="1:5">
      <c r="A8895" s="12"/>
      <c r="E8895" s="57" t="str">
        <f ca="1">IFERROR(__xludf.DUMMYFUNCTION("""COMPUTED_VALUE"""),"")</f>
        <v/>
      </c>
    </row>
    <row r="8896" spans="1:5">
      <c r="A8896" s="12"/>
      <c r="E8896" s="57" t="str">
        <f ca="1">IFERROR(__xludf.DUMMYFUNCTION("""COMPUTED_VALUE"""),"")</f>
        <v/>
      </c>
    </row>
    <row r="8897" spans="1:5">
      <c r="A8897" s="12"/>
      <c r="E8897" s="57" t="str">
        <f ca="1">IFERROR(__xludf.DUMMYFUNCTION("""COMPUTED_VALUE"""),"")</f>
        <v/>
      </c>
    </row>
    <row r="8898" spans="1:5">
      <c r="A8898" s="12"/>
      <c r="E8898" s="57" t="str">
        <f ca="1">IFERROR(__xludf.DUMMYFUNCTION("""COMPUTED_VALUE"""),"")</f>
        <v/>
      </c>
    </row>
    <row r="8899" spans="1:5">
      <c r="A8899" s="12"/>
      <c r="E8899" s="57" t="str">
        <f ca="1">IFERROR(__xludf.DUMMYFUNCTION("""COMPUTED_VALUE"""),"")</f>
        <v/>
      </c>
    </row>
    <row r="8900" spans="1:5">
      <c r="A8900" s="12"/>
      <c r="E8900" s="57" t="str">
        <f ca="1">IFERROR(__xludf.DUMMYFUNCTION("""COMPUTED_VALUE"""),"")</f>
        <v/>
      </c>
    </row>
    <row r="8901" spans="1:5">
      <c r="A8901" s="12"/>
      <c r="E8901" s="57" t="str">
        <f ca="1">IFERROR(__xludf.DUMMYFUNCTION("""COMPUTED_VALUE"""),"")</f>
        <v/>
      </c>
    </row>
    <row r="8902" spans="1:5">
      <c r="A8902" s="12"/>
      <c r="E8902" s="57" t="str">
        <f ca="1">IFERROR(__xludf.DUMMYFUNCTION("""COMPUTED_VALUE"""),"")</f>
        <v/>
      </c>
    </row>
    <row r="8903" spans="1:5">
      <c r="A8903" s="12"/>
      <c r="E8903" s="57" t="str">
        <f ca="1">IFERROR(__xludf.DUMMYFUNCTION("""COMPUTED_VALUE"""),"")</f>
        <v/>
      </c>
    </row>
    <row r="8904" spans="1:5">
      <c r="A8904" s="12"/>
      <c r="E8904" s="57" t="str">
        <f ca="1">IFERROR(__xludf.DUMMYFUNCTION("""COMPUTED_VALUE"""),"")</f>
        <v/>
      </c>
    </row>
    <row r="8905" spans="1:5">
      <c r="A8905" s="12"/>
      <c r="E8905" s="57" t="str">
        <f ca="1">IFERROR(__xludf.DUMMYFUNCTION("""COMPUTED_VALUE"""),"")</f>
        <v/>
      </c>
    </row>
    <row r="8906" spans="1:5">
      <c r="A8906" s="12"/>
      <c r="E8906" s="57" t="str">
        <f ca="1">IFERROR(__xludf.DUMMYFUNCTION("""COMPUTED_VALUE"""),"")</f>
        <v/>
      </c>
    </row>
    <row r="8907" spans="1:5">
      <c r="A8907" s="12"/>
      <c r="E8907" s="57" t="str">
        <f ca="1">IFERROR(__xludf.DUMMYFUNCTION("""COMPUTED_VALUE"""),"")</f>
        <v/>
      </c>
    </row>
    <row r="8908" spans="1:5">
      <c r="A8908" s="12"/>
      <c r="E8908" s="57" t="str">
        <f ca="1">IFERROR(__xludf.DUMMYFUNCTION("""COMPUTED_VALUE"""),"")</f>
        <v/>
      </c>
    </row>
    <row r="8909" spans="1:5">
      <c r="A8909" s="12"/>
      <c r="E8909" s="57" t="str">
        <f ca="1">IFERROR(__xludf.DUMMYFUNCTION("""COMPUTED_VALUE"""),"")</f>
        <v/>
      </c>
    </row>
    <row r="8910" spans="1:5">
      <c r="A8910" s="12"/>
      <c r="E8910" s="57" t="str">
        <f ca="1">IFERROR(__xludf.DUMMYFUNCTION("""COMPUTED_VALUE"""),"")</f>
        <v/>
      </c>
    </row>
    <row r="8911" spans="1:5">
      <c r="A8911" s="12"/>
      <c r="E8911" s="57" t="str">
        <f ca="1">IFERROR(__xludf.DUMMYFUNCTION("""COMPUTED_VALUE"""),"")</f>
        <v/>
      </c>
    </row>
    <row r="8912" spans="1:5">
      <c r="A8912" s="12"/>
      <c r="E8912" s="57" t="str">
        <f ca="1">IFERROR(__xludf.DUMMYFUNCTION("""COMPUTED_VALUE"""),"")</f>
        <v/>
      </c>
    </row>
    <row r="8913" spans="1:5">
      <c r="A8913" s="12"/>
      <c r="E8913" s="57" t="str">
        <f ca="1">IFERROR(__xludf.DUMMYFUNCTION("""COMPUTED_VALUE"""),"")</f>
        <v/>
      </c>
    </row>
    <row r="8914" spans="1:5">
      <c r="A8914" s="12"/>
      <c r="E8914" s="57" t="str">
        <f ca="1">IFERROR(__xludf.DUMMYFUNCTION("""COMPUTED_VALUE"""),"")</f>
        <v/>
      </c>
    </row>
    <row r="8915" spans="1:5">
      <c r="A8915" s="12"/>
      <c r="E8915" s="57" t="str">
        <f ca="1">IFERROR(__xludf.DUMMYFUNCTION("""COMPUTED_VALUE"""),"")</f>
        <v/>
      </c>
    </row>
    <row r="8916" spans="1:5">
      <c r="A8916" s="12"/>
      <c r="E8916" s="57" t="str">
        <f ca="1">IFERROR(__xludf.DUMMYFUNCTION("""COMPUTED_VALUE"""),"")</f>
        <v/>
      </c>
    </row>
    <row r="8917" spans="1:5">
      <c r="A8917" s="12"/>
      <c r="E8917" s="57" t="str">
        <f ca="1">IFERROR(__xludf.DUMMYFUNCTION("""COMPUTED_VALUE"""),"")</f>
        <v/>
      </c>
    </row>
    <row r="8918" spans="1:5">
      <c r="A8918" s="12"/>
      <c r="E8918" s="57" t="str">
        <f ca="1">IFERROR(__xludf.DUMMYFUNCTION("""COMPUTED_VALUE"""),"")</f>
        <v/>
      </c>
    </row>
    <row r="8919" spans="1:5">
      <c r="A8919" s="12"/>
      <c r="E8919" s="57" t="str">
        <f ca="1">IFERROR(__xludf.DUMMYFUNCTION("""COMPUTED_VALUE"""),"")</f>
        <v/>
      </c>
    </row>
    <row r="8920" spans="1:5">
      <c r="A8920" s="12"/>
      <c r="E8920" s="57" t="str">
        <f ca="1">IFERROR(__xludf.DUMMYFUNCTION("""COMPUTED_VALUE"""),"")</f>
        <v/>
      </c>
    </row>
    <row r="8921" spans="1:5">
      <c r="A8921" s="12"/>
      <c r="E8921" s="57" t="str">
        <f ca="1">IFERROR(__xludf.DUMMYFUNCTION("""COMPUTED_VALUE"""),"")</f>
        <v/>
      </c>
    </row>
    <row r="8922" spans="1:5">
      <c r="A8922" s="12"/>
      <c r="E8922" s="57" t="str">
        <f ca="1">IFERROR(__xludf.DUMMYFUNCTION("""COMPUTED_VALUE"""),"")</f>
        <v/>
      </c>
    </row>
    <row r="8923" spans="1:5">
      <c r="A8923" s="12"/>
      <c r="E8923" s="57" t="str">
        <f ca="1">IFERROR(__xludf.DUMMYFUNCTION("""COMPUTED_VALUE"""),"")</f>
        <v/>
      </c>
    </row>
    <row r="8924" spans="1:5">
      <c r="A8924" s="12"/>
      <c r="E8924" s="57" t="str">
        <f ca="1">IFERROR(__xludf.DUMMYFUNCTION("""COMPUTED_VALUE"""),"")</f>
        <v/>
      </c>
    </row>
    <row r="8925" spans="1:5">
      <c r="A8925" s="12"/>
      <c r="E8925" s="57" t="str">
        <f ca="1">IFERROR(__xludf.DUMMYFUNCTION("""COMPUTED_VALUE"""),"")</f>
        <v/>
      </c>
    </row>
    <row r="8926" spans="1:5">
      <c r="A8926" s="12"/>
      <c r="E8926" s="57" t="str">
        <f ca="1">IFERROR(__xludf.DUMMYFUNCTION("""COMPUTED_VALUE"""),"")</f>
        <v/>
      </c>
    </row>
    <row r="8927" spans="1:5">
      <c r="A8927" s="12"/>
      <c r="E8927" s="57" t="str">
        <f ca="1">IFERROR(__xludf.DUMMYFUNCTION("""COMPUTED_VALUE"""),"")</f>
        <v/>
      </c>
    </row>
    <row r="8928" spans="1:5">
      <c r="A8928" s="12"/>
      <c r="E8928" s="57" t="str">
        <f ca="1">IFERROR(__xludf.DUMMYFUNCTION("""COMPUTED_VALUE"""),"")</f>
        <v/>
      </c>
    </row>
    <row r="8929" spans="1:5">
      <c r="A8929" s="12"/>
      <c r="E8929" s="57" t="str">
        <f ca="1">IFERROR(__xludf.DUMMYFUNCTION("""COMPUTED_VALUE"""),"")</f>
        <v/>
      </c>
    </row>
    <row r="8930" spans="1:5">
      <c r="A8930" s="12"/>
      <c r="E8930" s="57" t="str">
        <f ca="1">IFERROR(__xludf.DUMMYFUNCTION("""COMPUTED_VALUE"""),"")</f>
        <v/>
      </c>
    </row>
    <row r="8931" spans="1:5">
      <c r="A8931" s="12"/>
      <c r="E8931" s="57" t="str">
        <f ca="1">IFERROR(__xludf.DUMMYFUNCTION("""COMPUTED_VALUE"""),"")</f>
        <v/>
      </c>
    </row>
    <row r="8932" spans="1:5">
      <c r="A8932" s="12"/>
      <c r="E8932" s="57" t="str">
        <f ca="1">IFERROR(__xludf.DUMMYFUNCTION("""COMPUTED_VALUE"""),"")</f>
        <v/>
      </c>
    </row>
    <row r="8933" spans="1:5">
      <c r="A8933" s="12"/>
      <c r="E8933" s="57" t="str">
        <f ca="1">IFERROR(__xludf.DUMMYFUNCTION("""COMPUTED_VALUE"""),"")</f>
        <v/>
      </c>
    </row>
    <row r="8934" spans="1:5">
      <c r="A8934" s="12"/>
      <c r="E8934" s="57" t="str">
        <f ca="1">IFERROR(__xludf.DUMMYFUNCTION("""COMPUTED_VALUE"""),"")</f>
        <v/>
      </c>
    </row>
    <row r="8935" spans="1:5">
      <c r="A8935" s="12"/>
      <c r="E8935" s="57" t="str">
        <f ca="1">IFERROR(__xludf.DUMMYFUNCTION("""COMPUTED_VALUE"""),"")</f>
        <v/>
      </c>
    </row>
    <row r="8936" spans="1:5">
      <c r="A8936" s="12"/>
      <c r="E8936" s="57" t="str">
        <f ca="1">IFERROR(__xludf.DUMMYFUNCTION("""COMPUTED_VALUE"""),"")</f>
        <v/>
      </c>
    </row>
    <row r="8937" spans="1:5">
      <c r="A8937" s="12"/>
      <c r="E8937" s="57" t="str">
        <f ca="1">IFERROR(__xludf.DUMMYFUNCTION("""COMPUTED_VALUE"""),"")</f>
        <v/>
      </c>
    </row>
    <row r="8938" spans="1:5">
      <c r="A8938" s="12"/>
      <c r="E8938" s="57" t="str">
        <f ca="1">IFERROR(__xludf.DUMMYFUNCTION("""COMPUTED_VALUE"""),"")</f>
        <v/>
      </c>
    </row>
    <row r="8939" spans="1:5">
      <c r="A8939" s="12"/>
      <c r="E8939" s="57" t="str">
        <f ca="1">IFERROR(__xludf.DUMMYFUNCTION("""COMPUTED_VALUE"""),"")</f>
        <v/>
      </c>
    </row>
    <row r="8940" spans="1:5">
      <c r="A8940" s="12"/>
      <c r="E8940" s="57" t="str">
        <f ca="1">IFERROR(__xludf.DUMMYFUNCTION("""COMPUTED_VALUE"""),"")</f>
        <v/>
      </c>
    </row>
    <row r="8941" spans="1:5">
      <c r="A8941" s="12"/>
      <c r="E8941" s="57" t="str">
        <f ca="1">IFERROR(__xludf.DUMMYFUNCTION("""COMPUTED_VALUE"""),"")</f>
        <v/>
      </c>
    </row>
    <row r="8942" spans="1:5">
      <c r="A8942" s="12"/>
      <c r="E8942" s="57" t="str">
        <f ca="1">IFERROR(__xludf.DUMMYFUNCTION("""COMPUTED_VALUE"""),"")</f>
        <v/>
      </c>
    </row>
    <row r="8943" spans="1:5">
      <c r="A8943" s="12"/>
      <c r="E8943" s="57" t="str">
        <f ca="1">IFERROR(__xludf.DUMMYFUNCTION("""COMPUTED_VALUE"""),"")</f>
        <v/>
      </c>
    </row>
    <row r="8944" spans="1:5">
      <c r="A8944" s="12"/>
      <c r="E8944" s="57" t="str">
        <f ca="1">IFERROR(__xludf.DUMMYFUNCTION("""COMPUTED_VALUE"""),"")</f>
        <v/>
      </c>
    </row>
    <row r="8945" spans="1:5">
      <c r="A8945" s="12"/>
      <c r="E8945" s="57" t="str">
        <f ca="1">IFERROR(__xludf.DUMMYFUNCTION("""COMPUTED_VALUE"""),"")</f>
        <v/>
      </c>
    </row>
    <row r="8946" spans="1:5">
      <c r="A8946" s="12"/>
      <c r="E8946" s="57" t="str">
        <f ca="1">IFERROR(__xludf.DUMMYFUNCTION("""COMPUTED_VALUE"""),"")</f>
        <v/>
      </c>
    </row>
    <row r="8947" spans="1:5">
      <c r="A8947" s="12"/>
      <c r="E8947" s="57" t="str">
        <f ca="1">IFERROR(__xludf.DUMMYFUNCTION("""COMPUTED_VALUE"""),"")</f>
        <v/>
      </c>
    </row>
    <row r="8948" spans="1:5">
      <c r="A8948" s="12"/>
      <c r="E8948" s="57" t="str">
        <f ca="1">IFERROR(__xludf.DUMMYFUNCTION("""COMPUTED_VALUE"""),"")</f>
        <v/>
      </c>
    </row>
    <row r="8949" spans="1:5">
      <c r="A8949" s="12"/>
      <c r="E8949" s="57" t="str">
        <f ca="1">IFERROR(__xludf.DUMMYFUNCTION("""COMPUTED_VALUE"""),"")</f>
        <v/>
      </c>
    </row>
    <row r="8950" spans="1:5">
      <c r="A8950" s="12"/>
      <c r="E8950" s="57" t="str">
        <f ca="1">IFERROR(__xludf.DUMMYFUNCTION("""COMPUTED_VALUE"""),"")</f>
        <v/>
      </c>
    </row>
    <row r="8951" spans="1:5">
      <c r="A8951" s="12"/>
      <c r="E8951" s="57" t="str">
        <f ca="1">IFERROR(__xludf.DUMMYFUNCTION("""COMPUTED_VALUE"""),"")</f>
        <v/>
      </c>
    </row>
    <row r="8952" spans="1:5">
      <c r="A8952" s="12"/>
      <c r="E8952" s="57" t="str">
        <f ca="1">IFERROR(__xludf.DUMMYFUNCTION("""COMPUTED_VALUE"""),"")</f>
        <v/>
      </c>
    </row>
    <row r="8953" spans="1:5">
      <c r="A8953" s="12"/>
      <c r="E8953" s="57" t="str">
        <f ca="1">IFERROR(__xludf.DUMMYFUNCTION("""COMPUTED_VALUE"""),"")</f>
        <v/>
      </c>
    </row>
    <row r="8954" spans="1:5">
      <c r="A8954" s="12"/>
      <c r="E8954" s="57" t="str">
        <f ca="1">IFERROR(__xludf.DUMMYFUNCTION("""COMPUTED_VALUE"""),"")</f>
        <v/>
      </c>
    </row>
    <row r="8955" spans="1:5">
      <c r="A8955" s="12"/>
      <c r="E8955" s="57" t="str">
        <f ca="1">IFERROR(__xludf.DUMMYFUNCTION("""COMPUTED_VALUE"""),"")</f>
        <v/>
      </c>
    </row>
    <row r="8956" spans="1:5">
      <c r="A8956" s="12"/>
      <c r="E8956" s="57" t="str">
        <f ca="1">IFERROR(__xludf.DUMMYFUNCTION("""COMPUTED_VALUE"""),"")</f>
        <v/>
      </c>
    </row>
    <row r="8957" spans="1:5">
      <c r="A8957" s="12"/>
      <c r="E8957" s="57" t="str">
        <f ca="1">IFERROR(__xludf.DUMMYFUNCTION("""COMPUTED_VALUE"""),"")</f>
        <v/>
      </c>
    </row>
    <row r="8958" spans="1:5">
      <c r="A8958" s="12"/>
      <c r="E8958" s="57" t="str">
        <f ca="1">IFERROR(__xludf.DUMMYFUNCTION("""COMPUTED_VALUE"""),"")</f>
        <v/>
      </c>
    </row>
    <row r="8959" spans="1:5">
      <c r="A8959" s="12"/>
      <c r="E8959" s="57" t="str">
        <f ca="1">IFERROR(__xludf.DUMMYFUNCTION("""COMPUTED_VALUE"""),"")</f>
        <v/>
      </c>
    </row>
    <row r="8960" spans="1:5">
      <c r="A8960" s="12"/>
      <c r="E8960" s="57" t="str">
        <f ca="1">IFERROR(__xludf.DUMMYFUNCTION("""COMPUTED_VALUE"""),"")</f>
        <v/>
      </c>
    </row>
    <row r="8961" spans="1:5">
      <c r="A8961" s="12"/>
      <c r="E8961" s="57" t="str">
        <f ca="1">IFERROR(__xludf.DUMMYFUNCTION("""COMPUTED_VALUE"""),"")</f>
        <v/>
      </c>
    </row>
    <row r="8962" spans="1:5">
      <c r="A8962" s="12"/>
      <c r="E8962" s="57" t="str">
        <f ca="1">IFERROR(__xludf.DUMMYFUNCTION("""COMPUTED_VALUE"""),"")</f>
        <v/>
      </c>
    </row>
    <row r="8963" spans="1:5">
      <c r="A8963" s="12"/>
      <c r="E8963" s="57" t="str">
        <f ca="1">IFERROR(__xludf.DUMMYFUNCTION("""COMPUTED_VALUE"""),"")</f>
        <v/>
      </c>
    </row>
    <row r="8964" spans="1:5">
      <c r="A8964" s="12"/>
      <c r="E8964" s="57" t="str">
        <f ca="1">IFERROR(__xludf.DUMMYFUNCTION("""COMPUTED_VALUE"""),"")</f>
        <v/>
      </c>
    </row>
    <row r="8965" spans="1:5">
      <c r="A8965" s="12"/>
      <c r="E8965" s="57" t="str">
        <f ca="1">IFERROR(__xludf.DUMMYFUNCTION("""COMPUTED_VALUE"""),"")</f>
        <v/>
      </c>
    </row>
    <row r="8966" spans="1:5">
      <c r="A8966" s="12"/>
      <c r="E8966" s="57" t="str">
        <f ca="1">IFERROR(__xludf.DUMMYFUNCTION("""COMPUTED_VALUE"""),"")</f>
        <v/>
      </c>
    </row>
    <row r="8967" spans="1:5">
      <c r="A8967" s="12"/>
      <c r="E8967" s="57" t="str">
        <f ca="1">IFERROR(__xludf.DUMMYFUNCTION("""COMPUTED_VALUE"""),"")</f>
        <v/>
      </c>
    </row>
    <row r="8968" spans="1:5">
      <c r="A8968" s="12"/>
      <c r="E8968" s="57" t="str">
        <f ca="1">IFERROR(__xludf.DUMMYFUNCTION("""COMPUTED_VALUE"""),"")</f>
        <v/>
      </c>
    </row>
    <row r="8969" spans="1:5">
      <c r="A8969" s="12"/>
      <c r="E8969" s="57" t="str">
        <f ca="1">IFERROR(__xludf.DUMMYFUNCTION("""COMPUTED_VALUE"""),"")</f>
        <v/>
      </c>
    </row>
    <row r="8970" spans="1:5">
      <c r="A8970" s="12"/>
      <c r="E8970" s="57" t="str">
        <f ca="1">IFERROR(__xludf.DUMMYFUNCTION("""COMPUTED_VALUE"""),"")</f>
        <v/>
      </c>
    </row>
    <row r="8971" spans="1:5">
      <c r="A8971" s="12"/>
      <c r="E8971" s="57" t="str">
        <f ca="1">IFERROR(__xludf.DUMMYFUNCTION("""COMPUTED_VALUE"""),"")</f>
        <v/>
      </c>
    </row>
    <row r="8972" spans="1:5">
      <c r="A8972" s="12"/>
      <c r="E8972" s="57" t="str">
        <f ca="1">IFERROR(__xludf.DUMMYFUNCTION("""COMPUTED_VALUE"""),"")</f>
        <v/>
      </c>
    </row>
    <row r="8973" spans="1:5">
      <c r="A8973" s="12"/>
      <c r="E8973" s="57" t="str">
        <f ca="1">IFERROR(__xludf.DUMMYFUNCTION("""COMPUTED_VALUE"""),"")</f>
        <v/>
      </c>
    </row>
    <row r="8974" spans="1:5">
      <c r="A8974" s="12"/>
      <c r="E8974" s="57" t="str">
        <f ca="1">IFERROR(__xludf.DUMMYFUNCTION("""COMPUTED_VALUE"""),"")</f>
        <v/>
      </c>
    </row>
    <row r="8975" spans="1:5">
      <c r="A8975" s="12"/>
      <c r="E8975" s="57" t="str">
        <f ca="1">IFERROR(__xludf.DUMMYFUNCTION("""COMPUTED_VALUE"""),"")</f>
        <v/>
      </c>
    </row>
    <row r="8976" spans="1:5">
      <c r="A8976" s="12"/>
      <c r="E8976" s="57" t="str">
        <f ca="1">IFERROR(__xludf.DUMMYFUNCTION("""COMPUTED_VALUE"""),"")</f>
        <v/>
      </c>
    </row>
    <row r="8977" spans="1:5">
      <c r="A8977" s="12"/>
      <c r="E8977" s="57" t="str">
        <f ca="1">IFERROR(__xludf.DUMMYFUNCTION("""COMPUTED_VALUE"""),"")</f>
        <v/>
      </c>
    </row>
    <row r="8978" spans="1:5">
      <c r="A8978" s="12"/>
      <c r="E8978" s="57" t="str">
        <f ca="1">IFERROR(__xludf.DUMMYFUNCTION("""COMPUTED_VALUE"""),"")</f>
        <v/>
      </c>
    </row>
    <row r="8979" spans="1:5">
      <c r="A8979" s="12"/>
      <c r="E8979" s="57" t="str">
        <f ca="1">IFERROR(__xludf.DUMMYFUNCTION("""COMPUTED_VALUE"""),"")</f>
        <v/>
      </c>
    </row>
    <row r="8980" spans="1:5">
      <c r="A8980" s="12"/>
      <c r="E8980" s="57" t="str">
        <f ca="1">IFERROR(__xludf.DUMMYFUNCTION("""COMPUTED_VALUE"""),"")</f>
        <v/>
      </c>
    </row>
    <row r="8981" spans="1:5">
      <c r="A8981" s="12"/>
      <c r="E8981" s="57" t="str">
        <f ca="1">IFERROR(__xludf.DUMMYFUNCTION("""COMPUTED_VALUE"""),"")</f>
        <v/>
      </c>
    </row>
    <row r="8982" spans="1:5">
      <c r="A8982" s="12"/>
      <c r="E8982" s="57" t="str">
        <f ca="1">IFERROR(__xludf.DUMMYFUNCTION("""COMPUTED_VALUE"""),"")</f>
        <v/>
      </c>
    </row>
    <row r="8983" spans="1:5">
      <c r="A8983" s="12"/>
      <c r="E8983" s="57" t="str">
        <f ca="1">IFERROR(__xludf.DUMMYFUNCTION("""COMPUTED_VALUE"""),"")</f>
        <v/>
      </c>
    </row>
    <row r="8984" spans="1:5">
      <c r="A8984" s="12"/>
      <c r="E8984" s="57" t="str">
        <f ca="1">IFERROR(__xludf.DUMMYFUNCTION("""COMPUTED_VALUE"""),"")</f>
        <v/>
      </c>
    </row>
    <row r="8985" spans="1:5">
      <c r="A8985" s="12"/>
      <c r="E8985" s="57" t="str">
        <f ca="1">IFERROR(__xludf.DUMMYFUNCTION("""COMPUTED_VALUE"""),"")</f>
        <v/>
      </c>
    </row>
    <row r="8986" spans="1:5">
      <c r="A8986" s="12"/>
      <c r="E8986" s="57" t="str">
        <f ca="1">IFERROR(__xludf.DUMMYFUNCTION("""COMPUTED_VALUE"""),"")</f>
        <v/>
      </c>
    </row>
    <row r="8987" spans="1:5">
      <c r="A8987" s="12"/>
      <c r="E8987" s="57" t="str">
        <f ca="1">IFERROR(__xludf.DUMMYFUNCTION("""COMPUTED_VALUE"""),"")</f>
        <v/>
      </c>
    </row>
    <row r="8988" spans="1:5">
      <c r="A8988" s="12"/>
      <c r="E8988" s="57" t="str">
        <f ca="1">IFERROR(__xludf.DUMMYFUNCTION("""COMPUTED_VALUE"""),"")</f>
        <v/>
      </c>
    </row>
    <row r="8989" spans="1:5">
      <c r="A8989" s="12"/>
      <c r="E8989" s="57" t="str">
        <f ca="1">IFERROR(__xludf.DUMMYFUNCTION("""COMPUTED_VALUE"""),"")</f>
        <v/>
      </c>
    </row>
    <row r="8990" spans="1:5">
      <c r="A8990" s="12"/>
      <c r="E8990" s="57" t="str">
        <f ca="1">IFERROR(__xludf.DUMMYFUNCTION("""COMPUTED_VALUE"""),"")</f>
        <v/>
      </c>
    </row>
    <row r="8991" spans="1:5">
      <c r="A8991" s="12"/>
      <c r="E8991" s="57" t="str">
        <f ca="1">IFERROR(__xludf.DUMMYFUNCTION("""COMPUTED_VALUE"""),"")</f>
        <v/>
      </c>
    </row>
    <row r="8992" spans="1:5">
      <c r="A8992" s="12"/>
      <c r="E8992" s="57" t="str">
        <f ca="1">IFERROR(__xludf.DUMMYFUNCTION("""COMPUTED_VALUE"""),"")</f>
        <v/>
      </c>
    </row>
    <row r="8993" spans="1:5">
      <c r="A8993" s="12"/>
      <c r="E8993" s="57" t="str">
        <f ca="1">IFERROR(__xludf.DUMMYFUNCTION("""COMPUTED_VALUE"""),"")</f>
        <v/>
      </c>
    </row>
    <row r="8994" spans="1:5">
      <c r="A8994" s="12"/>
      <c r="E8994" s="57" t="str">
        <f ca="1">IFERROR(__xludf.DUMMYFUNCTION("""COMPUTED_VALUE"""),"")</f>
        <v/>
      </c>
    </row>
    <row r="8995" spans="1:5">
      <c r="A8995" s="12"/>
      <c r="E8995" s="57" t="str">
        <f ca="1">IFERROR(__xludf.DUMMYFUNCTION("""COMPUTED_VALUE"""),"")</f>
        <v/>
      </c>
    </row>
    <row r="8996" spans="1:5">
      <c r="A8996" s="12"/>
      <c r="E8996" s="57" t="str">
        <f ca="1">IFERROR(__xludf.DUMMYFUNCTION("""COMPUTED_VALUE"""),"")</f>
        <v/>
      </c>
    </row>
    <row r="8997" spans="1:5">
      <c r="A8997" s="12"/>
      <c r="E8997" s="57" t="str">
        <f ca="1">IFERROR(__xludf.DUMMYFUNCTION("""COMPUTED_VALUE"""),"")</f>
        <v/>
      </c>
    </row>
    <row r="8998" spans="1:5">
      <c r="A8998" s="12"/>
      <c r="E8998" s="57" t="str">
        <f ca="1">IFERROR(__xludf.DUMMYFUNCTION("""COMPUTED_VALUE"""),"")</f>
        <v/>
      </c>
    </row>
    <row r="8999" spans="1:5">
      <c r="A8999" s="12"/>
      <c r="E8999" s="57" t="str">
        <f ca="1">IFERROR(__xludf.DUMMYFUNCTION("""COMPUTED_VALUE"""),"")</f>
        <v/>
      </c>
    </row>
    <row r="9000" spans="1:5">
      <c r="A9000" s="12"/>
      <c r="E9000" s="57" t="str">
        <f ca="1">IFERROR(__xludf.DUMMYFUNCTION("""COMPUTED_VALUE"""),"")</f>
        <v/>
      </c>
    </row>
    <row r="9001" spans="1:5">
      <c r="A9001" s="12"/>
      <c r="E9001" s="57" t="str">
        <f ca="1">IFERROR(__xludf.DUMMYFUNCTION("""COMPUTED_VALUE"""),"")</f>
        <v/>
      </c>
    </row>
    <row r="9002" spans="1:5">
      <c r="A9002" s="12"/>
      <c r="E9002" s="57" t="str">
        <f ca="1">IFERROR(__xludf.DUMMYFUNCTION("""COMPUTED_VALUE"""),"")</f>
        <v/>
      </c>
    </row>
    <row r="9003" spans="1:5">
      <c r="A9003" s="12"/>
      <c r="E9003" s="57" t="str">
        <f ca="1">IFERROR(__xludf.DUMMYFUNCTION("""COMPUTED_VALUE"""),"")</f>
        <v/>
      </c>
    </row>
    <row r="9004" spans="1:5">
      <c r="A9004" s="12"/>
      <c r="E9004" s="57" t="str">
        <f ca="1">IFERROR(__xludf.DUMMYFUNCTION("""COMPUTED_VALUE"""),"")</f>
        <v/>
      </c>
    </row>
    <row r="9005" spans="1:5">
      <c r="A9005" s="12"/>
      <c r="E9005" s="57" t="str">
        <f ca="1">IFERROR(__xludf.DUMMYFUNCTION("""COMPUTED_VALUE"""),"")</f>
        <v/>
      </c>
    </row>
    <row r="9006" spans="1:5">
      <c r="A9006" s="12"/>
      <c r="E9006" s="57" t="str">
        <f ca="1">IFERROR(__xludf.DUMMYFUNCTION("""COMPUTED_VALUE"""),"")</f>
        <v/>
      </c>
    </row>
    <row r="9007" spans="1:5">
      <c r="A9007" s="12"/>
      <c r="E9007" s="57" t="str">
        <f ca="1">IFERROR(__xludf.DUMMYFUNCTION("""COMPUTED_VALUE"""),"")</f>
        <v/>
      </c>
    </row>
    <row r="9008" spans="1:5">
      <c r="A9008" s="12"/>
      <c r="E9008" s="57" t="str">
        <f ca="1">IFERROR(__xludf.DUMMYFUNCTION("""COMPUTED_VALUE"""),"")</f>
        <v/>
      </c>
    </row>
    <row r="9009" spans="1:5">
      <c r="A9009" s="12"/>
      <c r="E9009" s="57" t="str">
        <f ca="1">IFERROR(__xludf.DUMMYFUNCTION("""COMPUTED_VALUE"""),"")</f>
        <v/>
      </c>
    </row>
    <row r="9010" spans="1:5">
      <c r="A9010" s="12"/>
      <c r="E9010" s="57" t="str">
        <f ca="1">IFERROR(__xludf.DUMMYFUNCTION("""COMPUTED_VALUE"""),"")</f>
        <v/>
      </c>
    </row>
    <row r="9011" spans="1:5">
      <c r="A9011" s="12"/>
      <c r="E9011" s="57" t="str">
        <f ca="1">IFERROR(__xludf.DUMMYFUNCTION("""COMPUTED_VALUE"""),"")</f>
        <v/>
      </c>
    </row>
    <row r="9012" spans="1:5">
      <c r="A9012" s="12"/>
      <c r="E9012" s="57" t="str">
        <f ca="1">IFERROR(__xludf.DUMMYFUNCTION("""COMPUTED_VALUE"""),"")</f>
        <v/>
      </c>
    </row>
    <row r="9013" spans="1:5">
      <c r="A9013" s="12"/>
      <c r="E9013" s="57" t="str">
        <f ca="1">IFERROR(__xludf.DUMMYFUNCTION("""COMPUTED_VALUE"""),"")</f>
        <v/>
      </c>
    </row>
    <row r="9014" spans="1:5">
      <c r="A9014" s="12"/>
      <c r="E9014" s="57" t="str">
        <f ca="1">IFERROR(__xludf.DUMMYFUNCTION("""COMPUTED_VALUE"""),"")</f>
        <v/>
      </c>
    </row>
    <row r="9015" spans="1:5">
      <c r="A9015" s="12"/>
      <c r="E9015" s="57" t="str">
        <f ca="1">IFERROR(__xludf.DUMMYFUNCTION("""COMPUTED_VALUE"""),"")</f>
        <v/>
      </c>
    </row>
    <row r="9016" spans="1:5">
      <c r="A9016" s="12"/>
      <c r="E9016" s="57" t="str">
        <f ca="1">IFERROR(__xludf.DUMMYFUNCTION("""COMPUTED_VALUE"""),"")</f>
        <v/>
      </c>
    </row>
    <row r="9017" spans="1:5">
      <c r="A9017" s="12"/>
      <c r="E9017" s="57" t="str">
        <f ca="1">IFERROR(__xludf.DUMMYFUNCTION("""COMPUTED_VALUE"""),"")</f>
        <v/>
      </c>
    </row>
    <row r="9018" spans="1:5">
      <c r="A9018" s="12"/>
      <c r="E9018" s="57" t="str">
        <f ca="1">IFERROR(__xludf.DUMMYFUNCTION("""COMPUTED_VALUE"""),"")</f>
        <v/>
      </c>
    </row>
    <row r="9019" spans="1:5">
      <c r="A9019" s="12"/>
      <c r="E9019" s="57" t="str">
        <f ca="1">IFERROR(__xludf.DUMMYFUNCTION("""COMPUTED_VALUE"""),"")</f>
        <v/>
      </c>
    </row>
    <row r="9020" spans="1:5">
      <c r="A9020" s="12"/>
      <c r="E9020" s="57" t="str">
        <f ca="1">IFERROR(__xludf.DUMMYFUNCTION("""COMPUTED_VALUE"""),"")</f>
        <v/>
      </c>
    </row>
    <row r="9021" spans="1:5">
      <c r="A9021" s="12"/>
      <c r="E9021" s="57" t="str">
        <f ca="1">IFERROR(__xludf.DUMMYFUNCTION("""COMPUTED_VALUE"""),"")</f>
        <v/>
      </c>
    </row>
    <row r="9022" spans="1:5">
      <c r="A9022" s="12"/>
      <c r="E9022" s="57" t="str">
        <f ca="1">IFERROR(__xludf.DUMMYFUNCTION("""COMPUTED_VALUE"""),"")</f>
        <v/>
      </c>
    </row>
    <row r="9023" spans="1:5">
      <c r="A9023" s="12"/>
      <c r="E9023" s="57" t="str">
        <f ca="1">IFERROR(__xludf.DUMMYFUNCTION("""COMPUTED_VALUE"""),"")</f>
        <v/>
      </c>
    </row>
    <row r="9024" spans="1:5">
      <c r="A9024" s="12"/>
      <c r="E9024" s="57" t="str">
        <f ca="1">IFERROR(__xludf.DUMMYFUNCTION("""COMPUTED_VALUE"""),"")</f>
        <v/>
      </c>
    </row>
    <row r="9025" spans="1:5">
      <c r="A9025" s="12"/>
      <c r="E9025" s="57" t="str">
        <f ca="1">IFERROR(__xludf.DUMMYFUNCTION("""COMPUTED_VALUE"""),"")</f>
        <v/>
      </c>
    </row>
    <row r="9026" spans="1:5">
      <c r="A9026" s="12"/>
      <c r="E9026" s="57" t="str">
        <f ca="1">IFERROR(__xludf.DUMMYFUNCTION("""COMPUTED_VALUE"""),"")</f>
        <v/>
      </c>
    </row>
    <row r="9027" spans="1:5">
      <c r="A9027" s="12"/>
      <c r="E9027" s="57" t="str">
        <f ca="1">IFERROR(__xludf.DUMMYFUNCTION("""COMPUTED_VALUE"""),"")</f>
        <v/>
      </c>
    </row>
    <row r="9028" spans="1:5">
      <c r="A9028" s="12"/>
      <c r="E9028" s="57" t="str">
        <f ca="1">IFERROR(__xludf.DUMMYFUNCTION("""COMPUTED_VALUE"""),"")</f>
        <v/>
      </c>
    </row>
    <row r="9029" spans="1:5">
      <c r="A9029" s="12"/>
      <c r="E9029" s="57" t="str">
        <f ca="1">IFERROR(__xludf.DUMMYFUNCTION("""COMPUTED_VALUE"""),"")</f>
        <v/>
      </c>
    </row>
    <row r="9030" spans="1:5">
      <c r="A9030" s="12"/>
      <c r="E9030" s="57" t="str">
        <f ca="1">IFERROR(__xludf.DUMMYFUNCTION("""COMPUTED_VALUE"""),"")</f>
        <v/>
      </c>
    </row>
    <row r="9031" spans="1:5">
      <c r="A9031" s="12"/>
      <c r="E9031" s="57" t="str">
        <f ca="1">IFERROR(__xludf.DUMMYFUNCTION("""COMPUTED_VALUE"""),"")</f>
        <v/>
      </c>
    </row>
    <row r="9032" spans="1:5">
      <c r="A9032" s="12"/>
      <c r="E9032" s="57" t="str">
        <f ca="1">IFERROR(__xludf.DUMMYFUNCTION("""COMPUTED_VALUE"""),"")</f>
        <v/>
      </c>
    </row>
    <row r="9033" spans="1:5">
      <c r="A9033" s="12"/>
      <c r="E9033" s="57" t="str">
        <f ca="1">IFERROR(__xludf.DUMMYFUNCTION("""COMPUTED_VALUE"""),"")</f>
        <v/>
      </c>
    </row>
    <row r="9034" spans="1:5">
      <c r="A9034" s="12"/>
      <c r="E9034" s="57" t="str">
        <f ca="1">IFERROR(__xludf.DUMMYFUNCTION("""COMPUTED_VALUE"""),"")</f>
        <v/>
      </c>
    </row>
    <row r="9035" spans="1:5">
      <c r="A9035" s="12"/>
      <c r="E9035" s="57" t="str">
        <f ca="1">IFERROR(__xludf.DUMMYFUNCTION("""COMPUTED_VALUE"""),"")</f>
        <v/>
      </c>
    </row>
    <row r="9036" spans="1:5">
      <c r="A9036" s="12"/>
      <c r="E9036" s="57" t="str">
        <f ca="1">IFERROR(__xludf.DUMMYFUNCTION("""COMPUTED_VALUE"""),"")</f>
        <v/>
      </c>
    </row>
    <row r="9037" spans="1:5">
      <c r="A9037" s="12"/>
      <c r="E9037" s="57" t="str">
        <f ca="1">IFERROR(__xludf.DUMMYFUNCTION("""COMPUTED_VALUE"""),"")</f>
        <v/>
      </c>
    </row>
    <row r="9038" spans="1:5">
      <c r="A9038" s="12"/>
      <c r="E9038" s="57" t="str">
        <f ca="1">IFERROR(__xludf.DUMMYFUNCTION("""COMPUTED_VALUE"""),"")</f>
        <v/>
      </c>
    </row>
    <row r="9039" spans="1:5">
      <c r="A9039" s="12"/>
      <c r="E9039" s="57" t="str">
        <f ca="1">IFERROR(__xludf.DUMMYFUNCTION("""COMPUTED_VALUE"""),"")</f>
        <v/>
      </c>
    </row>
    <row r="9040" spans="1:5">
      <c r="A9040" s="12"/>
      <c r="E9040" s="57" t="str">
        <f ca="1">IFERROR(__xludf.DUMMYFUNCTION("""COMPUTED_VALUE"""),"")</f>
        <v/>
      </c>
    </row>
    <row r="9041" spans="1:5">
      <c r="A9041" s="12"/>
      <c r="E9041" s="57" t="str">
        <f ca="1">IFERROR(__xludf.DUMMYFUNCTION("""COMPUTED_VALUE"""),"")</f>
        <v/>
      </c>
    </row>
    <row r="9042" spans="1:5">
      <c r="A9042" s="12"/>
      <c r="E9042" s="57" t="str">
        <f ca="1">IFERROR(__xludf.DUMMYFUNCTION("""COMPUTED_VALUE"""),"")</f>
        <v/>
      </c>
    </row>
    <row r="9043" spans="1:5">
      <c r="A9043" s="12"/>
      <c r="E9043" s="57" t="str">
        <f ca="1">IFERROR(__xludf.DUMMYFUNCTION("""COMPUTED_VALUE"""),"")</f>
        <v/>
      </c>
    </row>
    <row r="9044" spans="1:5">
      <c r="A9044" s="12"/>
      <c r="E9044" s="57" t="str">
        <f ca="1">IFERROR(__xludf.DUMMYFUNCTION("""COMPUTED_VALUE"""),"")</f>
        <v/>
      </c>
    </row>
    <row r="9045" spans="1:5">
      <c r="A9045" s="12"/>
      <c r="E9045" s="57" t="str">
        <f ca="1">IFERROR(__xludf.DUMMYFUNCTION("""COMPUTED_VALUE"""),"")</f>
        <v/>
      </c>
    </row>
    <row r="9046" spans="1:5">
      <c r="A9046" s="12"/>
      <c r="E9046" s="57" t="str">
        <f ca="1">IFERROR(__xludf.DUMMYFUNCTION("""COMPUTED_VALUE"""),"")</f>
        <v/>
      </c>
    </row>
    <row r="9047" spans="1:5">
      <c r="A9047" s="12"/>
      <c r="E9047" s="57" t="str">
        <f ca="1">IFERROR(__xludf.DUMMYFUNCTION("""COMPUTED_VALUE"""),"")</f>
        <v/>
      </c>
    </row>
    <row r="9048" spans="1:5">
      <c r="A9048" s="12"/>
      <c r="E9048" s="57" t="str">
        <f ca="1">IFERROR(__xludf.DUMMYFUNCTION("""COMPUTED_VALUE"""),"")</f>
        <v/>
      </c>
    </row>
    <row r="9049" spans="1:5">
      <c r="A9049" s="12"/>
      <c r="E9049" s="57" t="str">
        <f ca="1">IFERROR(__xludf.DUMMYFUNCTION("""COMPUTED_VALUE"""),"")</f>
        <v/>
      </c>
    </row>
    <row r="9050" spans="1:5">
      <c r="A9050" s="12"/>
      <c r="E9050" s="57" t="str">
        <f ca="1">IFERROR(__xludf.DUMMYFUNCTION("""COMPUTED_VALUE"""),"")</f>
        <v/>
      </c>
    </row>
    <row r="9051" spans="1:5">
      <c r="A9051" s="12"/>
      <c r="E9051" s="57" t="str">
        <f ca="1">IFERROR(__xludf.DUMMYFUNCTION("""COMPUTED_VALUE"""),"")</f>
        <v/>
      </c>
    </row>
    <row r="9052" spans="1:5">
      <c r="A9052" s="12"/>
      <c r="E9052" s="57" t="str">
        <f ca="1">IFERROR(__xludf.DUMMYFUNCTION("""COMPUTED_VALUE"""),"")</f>
        <v/>
      </c>
    </row>
    <row r="9053" spans="1:5">
      <c r="A9053" s="12"/>
      <c r="E9053" s="57" t="str">
        <f ca="1">IFERROR(__xludf.DUMMYFUNCTION("""COMPUTED_VALUE"""),"")</f>
        <v/>
      </c>
    </row>
    <row r="9054" spans="1:5">
      <c r="A9054" s="12"/>
      <c r="E9054" s="57" t="str">
        <f ca="1">IFERROR(__xludf.DUMMYFUNCTION("""COMPUTED_VALUE"""),"")</f>
        <v/>
      </c>
    </row>
    <row r="9055" spans="1:5">
      <c r="A9055" s="12"/>
      <c r="E9055" s="57" t="str">
        <f ca="1">IFERROR(__xludf.DUMMYFUNCTION("""COMPUTED_VALUE"""),"")</f>
        <v/>
      </c>
    </row>
    <row r="9056" spans="1:5">
      <c r="A9056" s="12"/>
      <c r="E9056" s="57" t="str">
        <f ca="1">IFERROR(__xludf.DUMMYFUNCTION("""COMPUTED_VALUE"""),"")</f>
        <v/>
      </c>
    </row>
    <row r="9057" spans="1:5">
      <c r="A9057" s="12"/>
      <c r="E9057" s="57" t="str">
        <f ca="1">IFERROR(__xludf.DUMMYFUNCTION("""COMPUTED_VALUE"""),"")</f>
        <v/>
      </c>
    </row>
    <row r="9058" spans="1:5">
      <c r="A9058" s="12"/>
      <c r="E9058" s="57" t="str">
        <f ca="1">IFERROR(__xludf.DUMMYFUNCTION("""COMPUTED_VALUE"""),"")</f>
        <v/>
      </c>
    </row>
    <row r="9059" spans="1:5">
      <c r="A9059" s="12"/>
      <c r="E9059" s="57" t="str">
        <f ca="1">IFERROR(__xludf.DUMMYFUNCTION("""COMPUTED_VALUE"""),"")</f>
        <v/>
      </c>
    </row>
    <row r="9060" spans="1:5">
      <c r="A9060" s="12"/>
      <c r="E9060" s="57" t="str">
        <f ca="1">IFERROR(__xludf.DUMMYFUNCTION("""COMPUTED_VALUE"""),"")</f>
        <v/>
      </c>
    </row>
    <row r="9061" spans="1:5">
      <c r="A9061" s="12"/>
      <c r="E9061" s="57" t="str">
        <f ca="1">IFERROR(__xludf.DUMMYFUNCTION("""COMPUTED_VALUE"""),"")</f>
        <v/>
      </c>
    </row>
    <row r="9062" spans="1:5">
      <c r="A9062" s="12"/>
      <c r="E9062" s="57" t="str">
        <f ca="1">IFERROR(__xludf.DUMMYFUNCTION("""COMPUTED_VALUE"""),"")</f>
        <v/>
      </c>
    </row>
    <row r="9063" spans="1:5">
      <c r="A9063" s="12"/>
      <c r="E9063" s="57" t="str">
        <f ca="1">IFERROR(__xludf.DUMMYFUNCTION("""COMPUTED_VALUE"""),"")</f>
        <v/>
      </c>
    </row>
    <row r="9064" spans="1:5">
      <c r="A9064" s="12"/>
      <c r="E9064" s="57" t="str">
        <f ca="1">IFERROR(__xludf.DUMMYFUNCTION("""COMPUTED_VALUE"""),"")</f>
        <v/>
      </c>
    </row>
    <row r="9065" spans="1:5">
      <c r="A9065" s="12"/>
      <c r="E9065" s="57" t="str">
        <f ca="1">IFERROR(__xludf.DUMMYFUNCTION("""COMPUTED_VALUE"""),"")</f>
        <v/>
      </c>
    </row>
    <row r="9066" spans="1:5">
      <c r="A9066" s="12"/>
      <c r="E9066" s="57" t="str">
        <f ca="1">IFERROR(__xludf.DUMMYFUNCTION("""COMPUTED_VALUE"""),"")</f>
        <v/>
      </c>
    </row>
    <row r="9067" spans="1:5">
      <c r="A9067" s="12"/>
      <c r="E9067" s="57" t="str">
        <f ca="1">IFERROR(__xludf.DUMMYFUNCTION("""COMPUTED_VALUE"""),"")</f>
        <v/>
      </c>
    </row>
    <row r="9068" spans="1:5">
      <c r="A9068" s="12"/>
      <c r="E9068" s="57" t="str">
        <f ca="1">IFERROR(__xludf.DUMMYFUNCTION("""COMPUTED_VALUE"""),"")</f>
        <v/>
      </c>
    </row>
    <row r="9069" spans="1:5">
      <c r="A9069" s="12"/>
      <c r="E9069" s="57" t="str">
        <f ca="1">IFERROR(__xludf.DUMMYFUNCTION("""COMPUTED_VALUE"""),"")</f>
        <v/>
      </c>
    </row>
    <row r="9070" spans="1:5">
      <c r="A9070" s="12"/>
      <c r="E9070" s="57" t="str">
        <f ca="1">IFERROR(__xludf.DUMMYFUNCTION("""COMPUTED_VALUE"""),"")</f>
        <v/>
      </c>
    </row>
    <row r="9071" spans="1:5">
      <c r="A9071" s="12"/>
      <c r="E9071" s="57" t="str">
        <f ca="1">IFERROR(__xludf.DUMMYFUNCTION("""COMPUTED_VALUE"""),"")</f>
        <v/>
      </c>
    </row>
    <row r="9072" spans="1:5">
      <c r="A9072" s="12"/>
      <c r="E9072" s="57" t="str">
        <f ca="1">IFERROR(__xludf.DUMMYFUNCTION("""COMPUTED_VALUE"""),"")</f>
        <v/>
      </c>
    </row>
    <row r="9073" spans="1:5">
      <c r="A9073" s="12"/>
      <c r="E9073" s="57" t="str">
        <f ca="1">IFERROR(__xludf.DUMMYFUNCTION("""COMPUTED_VALUE"""),"")</f>
        <v/>
      </c>
    </row>
    <row r="9074" spans="1:5">
      <c r="A9074" s="12"/>
      <c r="E9074" s="57" t="str">
        <f ca="1">IFERROR(__xludf.DUMMYFUNCTION("""COMPUTED_VALUE"""),"")</f>
        <v/>
      </c>
    </row>
    <row r="9075" spans="1:5">
      <c r="A9075" s="12"/>
      <c r="E9075" s="57" t="str">
        <f ca="1">IFERROR(__xludf.DUMMYFUNCTION("""COMPUTED_VALUE"""),"")</f>
        <v/>
      </c>
    </row>
    <row r="9076" spans="1:5">
      <c r="A9076" s="12"/>
      <c r="E9076" s="57" t="str">
        <f ca="1">IFERROR(__xludf.DUMMYFUNCTION("""COMPUTED_VALUE"""),"")</f>
        <v/>
      </c>
    </row>
    <row r="9077" spans="1:5">
      <c r="A9077" s="12"/>
      <c r="E9077" s="57" t="str">
        <f ca="1">IFERROR(__xludf.DUMMYFUNCTION("""COMPUTED_VALUE"""),"")</f>
        <v/>
      </c>
    </row>
    <row r="9078" spans="1:5">
      <c r="A9078" s="12"/>
      <c r="E9078" s="57" t="str">
        <f ca="1">IFERROR(__xludf.DUMMYFUNCTION("""COMPUTED_VALUE"""),"")</f>
        <v/>
      </c>
    </row>
    <row r="9079" spans="1:5">
      <c r="A9079" s="12"/>
      <c r="E9079" s="57" t="str">
        <f ca="1">IFERROR(__xludf.DUMMYFUNCTION("""COMPUTED_VALUE"""),"")</f>
        <v/>
      </c>
    </row>
    <row r="9080" spans="1:5">
      <c r="A9080" s="12"/>
      <c r="E9080" s="57" t="str">
        <f ca="1">IFERROR(__xludf.DUMMYFUNCTION("""COMPUTED_VALUE"""),"")</f>
        <v/>
      </c>
    </row>
    <row r="9081" spans="1:5">
      <c r="A9081" s="12"/>
      <c r="E9081" s="57" t="str">
        <f ca="1">IFERROR(__xludf.DUMMYFUNCTION("""COMPUTED_VALUE"""),"")</f>
        <v/>
      </c>
    </row>
    <row r="9082" spans="1:5">
      <c r="A9082" s="12"/>
      <c r="E9082" s="57" t="str">
        <f ca="1">IFERROR(__xludf.DUMMYFUNCTION("""COMPUTED_VALUE"""),"")</f>
        <v/>
      </c>
    </row>
    <row r="9083" spans="1:5">
      <c r="A9083" s="12"/>
      <c r="E9083" s="57" t="str">
        <f ca="1">IFERROR(__xludf.DUMMYFUNCTION("""COMPUTED_VALUE"""),"")</f>
        <v/>
      </c>
    </row>
    <row r="9084" spans="1:5">
      <c r="A9084" s="12"/>
      <c r="E9084" s="57" t="str">
        <f ca="1">IFERROR(__xludf.DUMMYFUNCTION("""COMPUTED_VALUE"""),"")</f>
        <v/>
      </c>
    </row>
    <row r="9085" spans="1:5">
      <c r="A9085" s="12"/>
      <c r="E9085" s="57" t="str">
        <f ca="1">IFERROR(__xludf.DUMMYFUNCTION("""COMPUTED_VALUE"""),"")</f>
        <v/>
      </c>
    </row>
    <row r="9086" spans="1:5">
      <c r="A9086" s="12"/>
      <c r="E9086" s="57" t="str">
        <f ca="1">IFERROR(__xludf.DUMMYFUNCTION("""COMPUTED_VALUE"""),"")</f>
        <v/>
      </c>
    </row>
    <row r="9087" spans="1:5">
      <c r="A9087" s="12"/>
      <c r="E9087" s="57" t="str">
        <f ca="1">IFERROR(__xludf.DUMMYFUNCTION("""COMPUTED_VALUE"""),"")</f>
        <v/>
      </c>
    </row>
    <row r="9088" spans="1:5">
      <c r="A9088" s="12"/>
      <c r="E9088" s="57" t="str">
        <f ca="1">IFERROR(__xludf.DUMMYFUNCTION("""COMPUTED_VALUE"""),"")</f>
        <v/>
      </c>
    </row>
    <row r="9089" spans="1:5">
      <c r="A9089" s="12"/>
      <c r="E9089" s="57" t="str">
        <f ca="1">IFERROR(__xludf.DUMMYFUNCTION("""COMPUTED_VALUE"""),"")</f>
        <v/>
      </c>
    </row>
    <row r="9090" spans="1:5">
      <c r="A9090" s="12"/>
      <c r="E9090" s="57" t="str">
        <f ca="1">IFERROR(__xludf.DUMMYFUNCTION("""COMPUTED_VALUE"""),"")</f>
        <v/>
      </c>
    </row>
    <row r="9091" spans="1:5">
      <c r="A9091" s="12"/>
      <c r="E9091" s="57" t="str">
        <f ca="1">IFERROR(__xludf.DUMMYFUNCTION("""COMPUTED_VALUE"""),"")</f>
        <v/>
      </c>
    </row>
    <row r="9092" spans="1:5">
      <c r="A9092" s="12"/>
      <c r="E9092" s="57" t="str">
        <f ca="1">IFERROR(__xludf.DUMMYFUNCTION("""COMPUTED_VALUE"""),"")</f>
        <v/>
      </c>
    </row>
    <row r="9093" spans="1:5">
      <c r="A9093" s="12"/>
      <c r="E9093" s="57" t="str">
        <f ca="1">IFERROR(__xludf.DUMMYFUNCTION("""COMPUTED_VALUE"""),"")</f>
        <v/>
      </c>
    </row>
    <row r="9094" spans="1:5">
      <c r="A9094" s="12"/>
      <c r="E9094" s="57" t="str">
        <f ca="1">IFERROR(__xludf.DUMMYFUNCTION("""COMPUTED_VALUE"""),"")</f>
        <v/>
      </c>
    </row>
    <row r="9095" spans="1:5">
      <c r="A9095" s="12"/>
      <c r="E9095" s="57" t="str">
        <f ca="1">IFERROR(__xludf.DUMMYFUNCTION("""COMPUTED_VALUE"""),"")</f>
        <v/>
      </c>
    </row>
    <row r="9096" spans="1:5">
      <c r="A9096" s="12"/>
      <c r="E9096" s="57" t="str">
        <f ca="1">IFERROR(__xludf.DUMMYFUNCTION("""COMPUTED_VALUE"""),"")</f>
        <v/>
      </c>
    </row>
    <row r="9097" spans="1:5">
      <c r="A9097" s="12"/>
      <c r="E9097" s="57" t="str">
        <f ca="1">IFERROR(__xludf.DUMMYFUNCTION("""COMPUTED_VALUE"""),"")</f>
        <v/>
      </c>
    </row>
    <row r="9098" spans="1:5">
      <c r="A9098" s="12"/>
      <c r="E9098" s="57" t="str">
        <f ca="1">IFERROR(__xludf.DUMMYFUNCTION("""COMPUTED_VALUE"""),"")</f>
        <v/>
      </c>
    </row>
    <row r="9099" spans="1:5">
      <c r="A9099" s="12"/>
      <c r="E9099" s="57" t="str">
        <f ca="1">IFERROR(__xludf.DUMMYFUNCTION("""COMPUTED_VALUE"""),"")</f>
        <v/>
      </c>
    </row>
    <row r="9100" spans="1:5">
      <c r="A9100" s="12"/>
      <c r="E9100" s="57" t="str">
        <f ca="1">IFERROR(__xludf.DUMMYFUNCTION("""COMPUTED_VALUE"""),"")</f>
        <v/>
      </c>
    </row>
    <row r="9101" spans="1:5">
      <c r="A9101" s="12"/>
      <c r="E9101" s="57" t="str">
        <f ca="1">IFERROR(__xludf.DUMMYFUNCTION("""COMPUTED_VALUE"""),"")</f>
        <v/>
      </c>
    </row>
    <row r="9102" spans="1:5">
      <c r="A9102" s="12"/>
      <c r="E9102" s="57" t="str">
        <f ca="1">IFERROR(__xludf.DUMMYFUNCTION("""COMPUTED_VALUE"""),"")</f>
        <v/>
      </c>
    </row>
    <row r="9103" spans="1:5">
      <c r="A9103" s="12"/>
      <c r="E9103" s="57" t="str">
        <f ca="1">IFERROR(__xludf.DUMMYFUNCTION("""COMPUTED_VALUE"""),"")</f>
        <v/>
      </c>
    </row>
    <row r="9104" spans="1:5">
      <c r="A9104" s="12"/>
      <c r="E9104" s="57" t="str">
        <f ca="1">IFERROR(__xludf.DUMMYFUNCTION("""COMPUTED_VALUE"""),"")</f>
        <v/>
      </c>
    </row>
    <row r="9105" spans="1:5">
      <c r="A9105" s="12"/>
      <c r="E9105" s="57" t="str">
        <f ca="1">IFERROR(__xludf.DUMMYFUNCTION("""COMPUTED_VALUE"""),"")</f>
        <v/>
      </c>
    </row>
    <row r="9106" spans="1:5">
      <c r="A9106" s="12"/>
      <c r="E9106" s="57" t="str">
        <f ca="1">IFERROR(__xludf.DUMMYFUNCTION("""COMPUTED_VALUE"""),"")</f>
        <v/>
      </c>
    </row>
    <row r="9107" spans="1:5">
      <c r="A9107" s="12"/>
      <c r="E9107" s="57" t="str">
        <f ca="1">IFERROR(__xludf.DUMMYFUNCTION("""COMPUTED_VALUE"""),"")</f>
        <v/>
      </c>
    </row>
    <row r="9108" spans="1:5">
      <c r="A9108" s="12"/>
      <c r="E9108" s="57" t="str">
        <f ca="1">IFERROR(__xludf.DUMMYFUNCTION("""COMPUTED_VALUE"""),"")</f>
        <v/>
      </c>
    </row>
    <row r="9109" spans="1:5">
      <c r="A9109" s="12"/>
      <c r="E9109" s="57" t="str">
        <f ca="1">IFERROR(__xludf.DUMMYFUNCTION("""COMPUTED_VALUE"""),"")</f>
        <v/>
      </c>
    </row>
    <row r="9110" spans="1:5">
      <c r="A9110" s="12"/>
      <c r="E9110" s="57" t="str">
        <f ca="1">IFERROR(__xludf.DUMMYFUNCTION("""COMPUTED_VALUE"""),"")</f>
        <v/>
      </c>
    </row>
    <row r="9111" spans="1:5">
      <c r="A9111" s="12"/>
      <c r="E9111" s="57" t="str">
        <f ca="1">IFERROR(__xludf.DUMMYFUNCTION("""COMPUTED_VALUE"""),"")</f>
        <v/>
      </c>
    </row>
    <row r="9112" spans="1:5">
      <c r="A9112" s="12"/>
      <c r="E9112" s="57" t="str">
        <f ca="1">IFERROR(__xludf.DUMMYFUNCTION("""COMPUTED_VALUE"""),"")</f>
        <v/>
      </c>
    </row>
    <row r="9113" spans="1:5">
      <c r="A9113" s="12"/>
      <c r="E9113" s="57" t="str">
        <f ca="1">IFERROR(__xludf.DUMMYFUNCTION("""COMPUTED_VALUE"""),"")</f>
        <v/>
      </c>
    </row>
    <row r="9114" spans="1:5">
      <c r="A9114" s="12"/>
      <c r="E9114" s="57" t="str">
        <f ca="1">IFERROR(__xludf.DUMMYFUNCTION("""COMPUTED_VALUE"""),"")</f>
        <v/>
      </c>
    </row>
    <row r="9115" spans="1:5">
      <c r="A9115" s="12"/>
      <c r="E9115" s="57" t="str">
        <f ca="1">IFERROR(__xludf.DUMMYFUNCTION("""COMPUTED_VALUE"""),"")</f>
        <v/>
      </c>
    </row>
    <row r="9116" spans="1:5">
      <c r="A9116" s="12"/>
      <c r="E9116" s="57" t="str">
        <f ca="1">IFERROR(__xludf.DUMMYFUNCTION("""COMPUTED_VALUE"""),"")</f>
        <v/>
      </c>
    </row>
    <row r="9117" spans="1:5">
      <c r="A9117" s="12"/>
      <c r="E9117" s="57" t="str">
        <f ca="1">IFERROR(__xludf.DUMMYFUNCTION("""COMPUTED_VALUE"""),"")</f>
        <v/>
      </c>
    </row>
    <row r="9118" spans="1:5">
      <c r="A9118" s="12"/>
      <c r="E9118" s="57" t="str">
        <f ca="1">IFERROR(__xludf.DUMMYFUNCTION("""COMPUTED_VALUE"""),"")</f>
        <v/>
      </c>
    </row>
    <row r="9119" spans="1:5">
      <c r="A9119" s="12"/>
      <c r="E9119" s="57" t="str">
        <f ca="1">IFERROR(__xludf.DUMMYFUNCTION("""COMPUTED_VALUE"""),"")</f>
        <v/>
      </c>
    </row>
    <row r="9120" spans="1:5">
      <c r="A9120" s="12"/>
      <c r="E9120" s="57" t="str">
        <f ca="1">IFERROR(__xludf.DUMMYFUNCTION("""COMPUTED_VALUE"""),"")</f>
        <v/>
      </c>
    </row>
    <row r="9121" spans="1:5">
      <c r="A9121" s="12"/>
      <c r="E9121" s="57" t="str">
        <f ca="1">IFERROR(__xludf.DUMMYFUNCTION("""COMPUTED_VALUE"""),"")</f>
        <v/>
      </c>
    </row>
    <row r="9122" spans="1:5">
      <c r="A9122" s="12"/>
      <c r="E9122" s="57" t="str">
        <f ca="1">IFERROR(__xludf.DUMMYFUNCTION("""COMPUTED_VALUE"""),"")</f>
        <v/>
      </c>
    </row>
    <row r="9123" spans="1:5">
      <c r="A9123" s="12"/>
      <c r="E9123" s="57" t="str">
        <f ca="1">IFERROR(__xludf.DUMMYFUNCTION("""COMPUTED_VALUE"""),"")</f>
        <v/>
      </c>
    </row>
    <row r="9124" spans="1:5">
      <c r="A9124" s="12"/>
      <c r="E9124" s="57" t="str">
        <f ca="1">IFERROR(__xludf.DUMMYFUNCTION("""COMPUTED_VALUE"""),"")</f>
        <v/>
      </c>
    </row>
    <row r="9125" spans="1:5">
      <c r="A9125" s="12"/>
      <c r="E9125" s="57" t="str">
        <f ca="1">IFERROR(__xludf.DUMMYFUNCTION("""COMPUTED_VALUE"""),"")</f>
        <v/>
      </c>
    </row>
    <row r="9126" spans="1:5">
      <c r="A9126" s="12"/>
      <c r="E9126" s="57" t="str">
        <f ca="1">IFERROR(__xludf.DUMMYFUNCTION("""COMPUTED_VALUE"""),"")</f>
        <v/>
      </c>
    </row>
    <row r="9127" spans="1:5">
      <c r="A9127" s="12"/>
      <c r="E9127" s="57" t="str">
        <f ca="1">IFERROR(__xludf.DUMMYFUNCTION("""COMPUTED_VALUE"""),"")</f>
        <v/>
      </c>
    </row>
    <row r="9128" spans="1:5">
      <c r="A9128" s="12"/>
      <c r="E9128" s="57" t="str">
        <f ca="1">IFERROR(__xludf.DUMMYFUNCTION("""COMPUTED_VALUE"""),"")</f>
        <v/>
      </c>
    </row>
    <row r="9129" spans="1:5">
      <c r="A9129" s="12"/>
      <c r="E9129" s="57" t="str">
        <f ca="1">IFERROR(__xludf.DUMMYFUNCTION("""COMPUTED_VALUE"""),"")</f>
        <v/>
      </c>
    </row>
    <row r="9130" spans="1:5">
      <c r="A9130" s="12"/>
      <c r="E9130" s="57" t="str">
        <f ca="1">IFERROR(__xludf.DUMMYFUNCTION("""COMPUTED_VALUE"""),"")</f>
        <v/>
      </c>
    </row>
    <row r="9131" spans="1:5">
      <c r="A9131" s="12"/>
      <c r="E9131" s="57" t="str">
        <f ca="1">IFERROR(__xludf.DUMMYFUNCTION("""COMPUTED_VALUE"""),"")</f>
        <v/>
      </c>
    </row>
    <row r="9132" spans="1:5">
      <c r="A9132" s="12"/>
      <c r="E9132" s="57" t="str">
        <f ca="1">IFERROR(__xludf.DUMMYFUNCTION("""COMPUTED_VALUE"""),"")</f>
        <v/>
      </c>
    </row>
    <row r="9133" spans="1:5">
      <c r="A9133" s="12"/>
      <c r="E9133" s="57" t="str">
        <f ca="1">IFERROR(__xludf.DUMMYFUNCTION("""COMPUTED_VALUE"""),"")</f>
        <v/>
      </c>
    </row>
    <row r="9134" spans="1:5">
      <c r="A9134" s="12"/>
      <c r="E9134" s="57" t="str">
        <f ca="1">IFERROR(__xludf.DUMMYFUNCTION("""COMPUTED_VALUE"""),"")</f>
        <v/>
      </c>
    </row>
    <row r="9135" spans="1:5">
      <c r="A9135" s="12"/>
      <c r="E9135" s="57" t="str">
        <f ca="1">IFERROR(__xludf.DUMMYFUNCTION("""COMPUTED_VALUE"""),"")</f>
        <v/>
      </c>
    </row>
    <row r="9136" spans="1:5">
      <c r="A9136" s="12"/>
      <c r="E9136" s="57" t="str">
        <f ca="1">IFERROR(__xludf.DUMMYFUNCTION("""COMPUTED_VALUE"""),"")</f>
        <v/>
      </c>
    </row>
    <row r="9137" spans="1:5">
      <c r="A9137" s="12"/>
      <c r="E9137" s="57" t="str">
        <f ca="1">IFERROR(__xludf.DUMMYFUNCTION("""COMPUTED_VALUE"""),"")</f>
        <v/>
      </c>
    </row>
    <row r="9138" spans="1:5">
      <c r="A9138" s="12"/>
      <c r="E9138" s="57" t="str">
        <f ca="1">IFERROR(__xludf.DUMMYFUNCTION("""COMPUTED_VALUE"""),"")</f>
        <v/>
      </c>
    </row>
    <row r="9139" spans="1:5">
      <c r="A9139" s="12"/>
      <c r="E9139" s="57" t="str">
        <f ca="1">IFERROR(__xludf.DUMMYFUNCTION("""COMPUTED_VALUE"""),"")</f>
        <v/>
      </c>
    </row>
    <row r="9140" spans="1:5">
      <c r="A9140" s="12"/>
      <c r="E9140" s="57" t="str">
        <f ca="1">IFERROR(__xludf.DUMMYFUNCTION("""COMPUTED_VALUE"""),"")</f>
        <v/>
      </c>
    </row>
    <row r="9141" spans="1:5">
      <c r="A9141" s="12"/>
      <c r="E9141" s="57" t="str">
        <f ca="1">IFERROR(__xludf.DUMMYFUNCTION("""COMPUTED_VALUE"""),"")</f>
        <v/>
      </c>
    </row>
    <row r="9142" spans="1:5">
      <c r="A9142" s="12"/>
      <c r="E9142" s="57" t="str">
        <f ca="1">IFERROR(__xludf.DUMMYFUNCTION("""COMPUTED_VALUE"""),"")</f>
        <v/>
      </c>
    </row>
    <row r="9143" spans="1:5">
      <c r="A9143" s="12"/>
      <c r="E9143" s="57" t="str">
        <f ca="1">IFERROR(__xludf.DUMMYFUNCTION("""COMPUTED_VALUE"""),"")</f>
        <v/>
      </c>
    </row>
    <row r="9144" spans="1:5">
      <c r="A9144" s="12"/>
      <c r="E9144" s="57" t="str">
        <f ca="1">IFERROR(__xludf.DUMMYFUNCTION("""COMPUTED_VALUE"""),"")</f>
        <v/>
      </c>
    </row>
    <row r="9145" spans="1:5">
      <c r="A9145" s="12"/>
      <c r="E9145" s="57" t="str">
        <f ca="1">IFERROR(__xludf.DUMMYFUNCTION("""COMPUTED_VALUE"""),"")</f>
        <v/>
      </c>
    </row>
    <row r="9146" spans="1:5">
      <c r="A9146" s="12"/>
      <c r="E9146" s="57" t="str">
        <f ca="1">IFERROR(__xludf.DUMMYFUNCTION("""COMPUTED_VALUE"""),"")</f>
        <v/>
      </c>
    </row>
    <row r="9147" spans="1:5">
      <c r="A9147" s="12"/>
      <c r="E9147" s="57" t="str">
        <f ca="1">IFERROR(__xludf.DUMMYFUNCTION("""COMPUTED_VALUE"""),"")</f>
        <v/>
      </c>
    </row>
    <row r="9148" spans="1:5">
      <c r="A9148" s="12"/>
      <c r="E9148" s="57" t="str">
        <f ca="1">IFERROR(__xludf.DUMMYFUNCTION("""COMPUTED_VALUE"""),"")</f>
        <v/>
      </c>
    </row>
    <row r="9149" spans="1:5">
      <c r="A9149" s="12"/>
      <c r="E9149" s="57" t="str">
        <f ca="1">IFERROR(__xludf.DUMMYFUNCTION("""COMPUTED_VALUE"""),"")</f>
        <v/>
      </c>
    </row>
    <row r="9150" spans="1:5">
      <c r="A9150" s="12"/>
      <c r="E9150" s="57" t="str">
        <f ca="1">IFERROR(__xludf.DUMMYFUNCTION("""COMPUTED_VALUE"""),"")</f>
        <v/>
      </c>
    </row>
    <row r="9151" spans="1:5">
      <c r="A9151" s="12"/>
      <c r="E9151" s="57" t="str">
        <f ca="1">IFERROR(__xludf.DUMMYFUNCTION("""COMPUTED_VALUE"""),"")</f>
        <v/>
      </c>
    </row>
    <row r="9152" spans="1:5">
      <c r="A9152" s="12"/>
      <c r="E9152" s="57" t="str">
        <f ca="1">IFERROR(__xludf.DUMMYFUNCTION("""COMPUTED_VALUE"""),"")</f>
        <v/>
      </c>
    </row>
    <row r="9153" spans="1:5">
      <c r="A9153" s="12"/>
      <c r="E9153" s="57" t="str">
        <f ca="1">IFERROR(__xludf.DUMMYFUNCTION("""COMPUTED_VALUE"""),"")</f>
        <v/>
      </c>
    </row>
    <row r="9154" spans="1:5">
      <c r="A9154" s="12"/>
      <c r="E9154" s="57" t="str">
        <f ca="1">IFERROR(__xludf.DUMMYFUNCTION("""COMPUTED_VALUE"""),"")</f>
        <v/>
      </c>
    </row>
    <row r="9155" spans="1:5">
      <c r="A9155" s="12"/>
      <c r="E9155" s="57" t="str">
        <f ca="1">IFERROR(__xludf.DUMMYFUNCTION("""COMPUTED_VALUE"""),"")</f>
        <v/>
      </c>
    </row>
    <row r="9156" spans="1:5">
      <c r="A9156" s="12"/>
      <c r="E9156" s="57" t="str">
        <f ca="1">IFERROR(__xludf.DUMMYFUNCTION("""COMPUTED_VALUE"""),"")</f>
        <v/>
      </c>
    </row>
    <row r="9157" spans="1:5">
      <c r="A9157" s="12"/>
      <c r="E9157" s="57" t="str">
        <f ca="1">IFERROR(__xludf.DUMMYFUNCTION("""COMPUTED_VALUE"""),"")</f>
        <v/>
      </c>
    </row>
    <row r="9158" spans="1:5">
      <c r="A9158" s="12"/>
      <c r="E9158" s="57" t="str">
        <f ca="1">IFERROR(__xludf.DUMMYFUNCTION("""COMPUTED_VALUE"""),"")</f>
        <v/>
      </c>
    </row>
    <row r="9159" spans="1:5">
      <c r="A9159" s="12"/>
      <c r="E9159" s="57" t="str">
        <f ca="1">IFERROR(__xludf.DUMMYFUNCTION("""COMPUTED_VALUE"""),"")</f>
        <v/>
      </c>
    </row>
    <row r="9160" spans="1:5">
      <c r="A9160" s="12"/>
      <c r="E9160" s="57" t="str">
        <f ca="1">IFERROR(__xludf.DUMMYFUNCTION("""COMPUTED_VALUE"""),"")</f>
        <v/>
      </c>
    </row>
    <row r="9161" spans="1:5">
      <c r="A9161" s="12"/>
      <c r="E9161" s="57" t="str">
        <f ca="1">IFERROR(__xludf.DUMMYFUNCTION("""COMPUTED_VALUE"""),"")</f>
        <v/>
      </c>
    </row>
    <row r="9162" spans="1:5">
      <c r="A9162" s="12"/>
      <c r="E9162" s="57" t="str">
        <f ca="1">IFERROR(__xludf.DUMMYFUNCTION("""COMPUTED_VALUE"""),"")</f>
        <v/>
      </c>
    </row>
    <row r="9163" spans="1:5">
      <c r="A9163" s="12"/>
      <c r="E9163" s="57" t="str">
        <f ca="1">IFERROR(__xludf.DUMMYFUNCTION("""COMPUTED_VALUE"""),"")</f>
        <v/>
      </c>
    </row>
    <row r="9164" spans="1:5">
      <c r="A9164" s="12"/>
      <c r="E9164" s="57" t="str">
        <f ca="1">IFERROR(__xludf.DUMMYFUNCTION("""COMPUTED_VALUE"""),"")</f>
        <v/>
      </c>
    </row>
    <row r="9165" spans="1:5">
      <c r="A9165" s="12"/>
      <c r="E9165" s="57" t="str">
        <f ca="1">IFERROR(__xludf.DUMMYFUNCTION("""COMPUTED_VALUE"""),"")</f>
        <v/>
      </c>
    </row>
    <row r="9166" spans="1:5">
      <c r="A9166" s="12"/>
      <c r="E9166" s="57" t="str">
        <f ca="1">IFERROR(__xludf.DUMMYFUNCTION("""COMPUTED_VALUE"""),"")</f>
        <v/>
      </c>
    </row>
    <row r="9167" spans="1:5">
      <c r="A9167" s="12"/>
      <c r="E9167" s="57" t="str">
        <f ca="1">IFERROR(__xludf.DUMMYFUNCTION("""COMPUTED_VALUE"""),"")</f>
        <v/>
      </c>
    </row>
    <row r="9168" spans="1:5">
      <c r="A9168" s="12"/>
      <c r="E9168" s="57" t="str">
        <f ca="1">IFERROR(__xludf.DUMMYFUNCTION("""COMPUTED_VALUE"""),"")</f>
        <v/>
      </c>
    </row>
    <row r="9169" spans="1:5">
      <c r="A9169" s="12"/>
      <c r="E9169" s="57" t="str">
        <f ca="1">IFERROR(__xludf.DUMMYFUNCTION("""COMPUTED_VALUE"""),"")</f>
        <v/>
      </c>
    </row>
    <row r="9170" spans="1:5">
      <c r="A9170" s="12"/>
      <c r="E9170" s="57" t="str">
        <f ca="1">IFERROR(__xludf.DUMMYFUNCTION("""COMPUTED_VALUE"""),"")</f>
        <v/>
      </c>
    </row>
    <row r="9171" spans="1:5">
      <c r="A9171" s="12"/>
      <c r="E9171" s="57" t="str">
        <f ca="1">IFERROR(__xludf.DUMMYFUNCTION("""COMPUTED_VALUE"""),"")</f>
        <v/>
      </c>
    </row>
    <row r="9172" spans="1:5">
      <c r="A9172" s="12"/>
      <c r="E9172" s="57" t="str">
        <f ca="1">IFERROR(__xludf.DUMMYFUNCTION("""COMPUTED_VALUE"""),"")</f>
        <v/>
      </c>
    </row>
    <row r="9173" spans="1:5">
      <c r="A9173" s="12"/>
      <c r="E9173" s="57" t="str">
        <f ca="1">IFERROR(__xludf.DUMMYFUNCTION("""COMPUTED_VALUE"""),"")</f>
        <v/>
      </c>
    </row>
    <row r="9174" spans="1:5">
      <c r="A9174" s="12"/>
      <c r="E9174" s="57" t="str">
        <f ca="1">IFERROR(__xludf.DUMMYFUNCTION("""COMPUTED_VALUE"""),"")</f>
        <v/>
      </c>
    </row>
    <row r="9175" spans="1:5">
      <c r="A9175" s="12"/>
      <c r="E9175" s="57" t="str">
        <f ca="1">IFERROR(__xludf.DUMMYFUNCTION("""COMPUTED_VALUE"""),"")</f>
        <v/>
      </c>
    </row>
    <row r="9176" spans="1:5">
      <c r="A9176" s="12"/>
      <c r="E9176" s="57" t="str">
        <f ca="1">IFERROR(__xludf.DUMMYFUNCTION("""COMPUTED_VALUE"""),"")</f>
        <v/>
      </c>
    </row>
    <row r="9177" spans="1:5">
      <c r="A9177" s="12"/>
      <c r="E9177" s="57" t="str">
        <f ca="1">IFERROR(__xludf.DUMMYFUNCTION("""COMPUTED_VALUE"""),"")</f>
        <v/>
      </c>
    </row>
    <row r="9178" spans="1:5">
      <c r="A9178" s="12"/>
      <c r="E9178" s="57" t="str">
        <f ca="1">IFERROR(__xludf.DUMMYFUNCTION("""COMPUTED_VALUE"""),"")</f>
        <v/>
      </c>
    </row>
    <row r="9179" spans="1:5">
      <c r="A9179" s="12"/>
      <c r="E9179" s="57" t="str">
        <f ca="1">IFERROR(__xludf.DUMMYFUNCTION("""COMPUTED_VALUE"""),"")</f>
        <v/>
      </c>
    </row>
    <row r="9180" spans="1:5">
      <c r="A9180" s="12"/>
      <c r="E9180" s="57" t="str">
        <f ca="1">IFERROR(__xludf.DUMMYFUNCTION("""COMPUTED_VALUE"""),"")</f>
        <v/>
      </c>
    </row>
    <row r="9181" spans="1:5">
      <c r="A9181" s="12"/>
      <c r="E9181" s="57" t="str">
        <f ca="1">IFERROR(__xludf.DUMMYFUNCTION("""COMPUTED_VALUE"""),"")</f>
        <v/>
      </c>
    </row>
    <row r="9182" spans="1:5">
      <c r="A9182" s="12"/>
      <c r="E9182" s="57" t="str">
        <f ca="1">IFERROR(__xludf.DUMMYFUNCTION("""COMPUTED_VALUE"""),"")</f>
        <v/>
      </c>
    </row>
    <row r="9183" spans="1:5">
      <c r="A9183" s="12"/>
      <c r="E9183" s="57" t="str">
        <f ca="1">IFERROR(__xludf.DUMMYFUNCTION("""COMPUTED_VALUE"""),"")</f>
        <v/>
      </c>
    </row>
    <row r="9184" spans="1:5">
      <c r="A9184" s="12"/>
      <c r="E9184" s="57" t="str">
        <f ca="1">IFERROR(__xludf.DUMMYFUNCTION("""COMPUTED_VALUE"""),"")</f>
        <v/>
      </c>
    </row>
    <row r="9185" spans="1:5">
      <c r="A9185" s="12"/>
      <c r="E9185" s="57" t="str">
        <f ca="1">IFERROR(__xludf.DUMMYFUNCTION("""COMPUTED_VALUE"""),"")</f>
        <v/>
      </c>
    </row>
    <row r="9186" spans="1:5">
      <c r="A9186" s="12"/>
      <c r="E9186" s="57" t="str">
        <f ca="1">IFERROR(__xludf.DUMMYFUNCTION("""COMPUTED_VALUE"""),"")</f>
        <v/>
      </c>
    </row>
    <row r="9187" spans="1:5">
      <c r="A9187" s="12"/>
      <c r="E9187" s="57" t="str">
        <f ca="1">IFERROR(__xludf.DUMMYFUNCTION("""COMPUTED_VALUE"""),"")</f>
        <v/>
      </c>
    </row>
    <row r="9188" spans="1:5">
      <c r="A9188" s="12"/>
      <c r="E9188" s="57" t="str">
        <f ca="1">IFERROR(__xludf.DUMMYFUNCTION("""COMPUTED_VALUE"""),"")</f>
        <v/>
      </c>
    </row>
    <row r="9189" spans="1:5">
      <c r="A9189" s="12"/>
      <c r="E9189" s="57" t="str">
        <f ca="1">IFERROR(__xludf.DUMMYFUNCTION("""COMPUTED_VALUE"""),"")</f>
        <v/>
      </c>
    </row>
    <row r="9190" spans="1:5">
      <c r="A9190" s="12"/>
      <c r="E9190" s="57" t="str">
        <f ca="1">IFERROR(__xludf.DUMMYFUNCTION("""COMPUTED_VALUE"""),"")</f>
        <v/>
      </c>
    </row>
    <row r="9191" spans="1:5">
      <c r="A9191" s="12"/>
      <c r="E9191" s="57" t="str">
        <f ca="1">IFERROR(__xludf.DUMMYFUNCTION("""COMPUTED_VALUE"""),"")</f>
        <v/>
      </c>
    </row>
    <row r="9192" spans="1:5">
      <c r="A9192" s="12"/>
      <c r="E9192" s="57" t="str">
        <f ca="1">IFERROR(__xludf.DUMMYFUNCTION("""COMPUTED_VALUE"""),"")</f>
        <v/>
      </c>
    </row>
    <row r="9193" spans="1:5">
      <c r="A9193" s="12"/>
      <c r="E9193" s="57" t="str">
        <f ca="1">IFERROR(__xludf.DUMMYFUNCTION("""COMPUTED_VALUE"""),"")</f>
        <v/>
      </c>
    </row>
    <row r="9194" spans="1:5">
      <c r="A9194" s="12"/>
      <c r="E9194" s="57" t="str">
        <f ca="1">IFERROR(__xludf.DUMMYFUNCTION("""COMPUTED_VALUE"""),"")</f>
        <v/>
      </c>
    </row>
    <row r="9195" spans="1:5">
      <c r="A9195" s="12"/>
      <c r="E9195" s="57" t="str">
        <f ca="1">IFERROR(__xludf.DUMMYFUNCTION("""COMPUTED_VALUE"""),"")</f>
        <v/>
      </c>
    </row>
    <row r="9196" spans="1:5">
      <c r="A9196" s="12"/>
      <c r="E9196" s="57" t="str">
        <f ca="1">IFERROR(__xludf.DUMMYFUNCTION("""COMPUTED_VALUE"""),"")</f>
        <v/>
      </c>
    </row>
    <row r="9197" spans="1:5">
      <c r="A9197" s="12"/>
      <c r="E9197" s="57" t="str">
        <f ca="1">IFERROR(__xludf.DUMMYFUNCTION("""COMPUTED_VALUE"""),"")</f>
        <v/>
      </c>
    </row>
    <row r="9198" spans="1:5">
      <c r="A9198" s="12"/>
      <c r="E9198" s="57" t="str">
        <f ca="1">IFERROR(__xludf.DUMMYFUNCTION("""COMPUTED_VALUE"""),"")</f>
        <v/>
      </c>
    </row>
    <row r="9199" spans="1:5">
      <c r="A9199" s="12"/>
      <c r="E9199" s="57" t="str">
        <f ca="1">IFERROR(__xludf.DUMMYFUNCTION("""COMPUTED_VALUE"""),"")</f>
        <v/>
      </c>
    </row>
    <row r="9200" spans="1:5">
      <c r="A9200" s="12"/>
      <c r="E9200" s="57" t="str">
        <f ca="1">IFERROR(__xludf.DUMMYFUNCTION("""COMPUTED_VALUE"""),"")</f>
        <v/>
      </c>
    </row>
    <row r="9201" spans="1:5">
      <c r="A9201" s="12"/>
      <c r="E9201" s="57" t="str">
        <f ca="1">IFERROR(__xludf.DUMMYFUNCTION("""COMPUTED_VALUE"""),"")</f>
        <v/>
      </c>
    </row>
    <row r="9202" spans="1:5">
      <c r="A9202" s="12"/>
      <c r="E9202" s="57" t="str">
        <f ca="1">IFERROR(__xludf.DUMMYFUNCTION("""COMPUTED_VALUE"""),"")</f>
        <v/>
      </c>
    </row>
    <row r="9203" spans="1:5">
      <c r="A9203" s="12"/>
      <c r="E9203" s="57" t="str">
        <f ca="1">IFERROR(__xludf.DUMMYFUNCTION("""COMPUTED_VALUE"""),"")</f>
        <v/>
      </c>
    </row>
    <row r="9204" spans="1:5">
      <c r="A9204" s="12"/>
      <c r="E9204" s="57" t="str">
        <f ca="1">IFERROR(__xludf.DUMMYFUNCTION("""COMPUTED_VALUE"""),"")</f>
        <v/>
      </c>
    </row>
    <row r="9205" spans="1:5">
      <c r="A9205" s="12"/>
      <c r="E9205" s="57" t="str">
        <f ca="1">IFERROR(__xludf.DUMMYFUNCTION("""COMPUTED_VALUE"""),"")</f>
        <v/>
      </c>
    </row>
    <row r="9206" spans="1:5">
      <c r="A9206" s="12"/>
      <c r="E9206" s="57" t="str">
        <f ca="1">IFERROR(__xludf.DUMMYFUNCTION("""COMPUTED_VALUE"""),"")</f>
        <v/>
      </c>
    </row>
    <row r="9207" spans="1:5">
      <c r="A9207" s="12"/>
      <c r="E9207" s="57" t="str">
        <f ca="1">IFERROR(__xludf.DUMMYFUNCTION("""COMPUTED_VALUE"""),"")</f>
        <v/>
      </c>
    </row>
    <row r="9208" spans="1:5">
      <c r="A9208" s="12"/>
      <c r="E9208" s="57" t="str">
        <f ca="1">IFERROR(__xludf.DUMMYFUNCTION("""COMPUTED_VALUE"""),"")</f>
        <v/>
      </c>
    </row>
    <row r="9209" spans="1:5">
      <c r="A9209" s="12"/>
      <c r="E9209" s="57" t="str">
        <f ca="1">IFERROR(__xludf.DUMMYFUNCTION("""COMPUTED_VALUE"""),"")</f>
        <v/>
      </c>
    </row>
    <row r="9210" spans="1:5">
      <c r="A9210" s="12"/>
      <c r="E9210" s="57" t="str">
        <f ca="1">IFERROR(__xludf.DUMMYFUNCTION("""COMPUTED_VALUE"""),"")</f>
        <v/>
      </c>
    </row>
    <row r="9211" spans="1:5">
      <c r="A9211" s="12"/>
      <c r="E9211" s="57" t="str">
        <f ca="1">IFERROR(__xludf.DUMMYFUNCTION("""COMPUTED_VALUE"""),"")</f>
        <v/>
      </c>
    </row>
    <row r="9212" spans="1:5">
      <c r="A9212" s="12"/>
      <c r="E9212" s="57" t="str">
        <f ca="1">IFERROR(__xludf.DUMMYFUNCTION("""COMPUTED_VALUE"""),"")</f>
        <v/>
      </c>
    </row>
    <row r="9213" spans="1:5">
      <c r="A9213" s="12"/>
      <c r="E9213" s="57" t="str">
        <f ca="1">IFERROR(__xludf.DUMMYFUNCTION("""COMPUTED_VALUE"""),"")</f>
        <v/>
      </c>
    </row>
    <row r="9214" spans="1:5">
      <c r="A9214" s="12"/>
      <c r="E9214" s="57" t="str">
        <f ca="1">IFERROR(__xludf.DUMMYFUNCTION("""COMPUTED_VALUE"""),"")</f>
        <v/>
      </c>
    </row>
    <row r="9215" spans="1:5">
      <c r="A9215" s="12"/>
      <c r="E9215" s="57" t="str">
        <f ca="1">IFERROR(__xludf.DUMMYFUNCTION("""COMPUTED_VALUE"""),"")</f>
        <v/>
      </c>
    </row>
    <row r="9216" spans="1:5">
      <c r="A9216" s="12"/>
      <c r="E9216" s="57" t="str">
        <f ca="1">IFERROR(__xludf.DUMMYFUNCTION("""COMPUTED_VALUE"""),"")</f>
        <v/>
      </c>
    </row>
    <row r="9217" spans="1:5">
      <c r="A9217" s="12"/>
      <c r="E9217" s="57" t="str">
        <f ca="1">IFERROR(__xludf.DUMMYFUNCTION("""COMPUTED_VALUE"""),"")</f>
        <v/>
      </c>
    </row>
    <row r="9218" spans="1:5">
      <c r="A9218" s="12"/>
      <c r="E9218" s="57" t="str">
        <f ca="1">IFERROR(__xludf.DUMMYFUNCTION("""COMPUTED_VALUE"""),"")</f>
        <v/>
      </c>
    </row>
    <row r="9219" spans="1:5">
      <c r="A9219" s="12"/>
      <c r="E9219" s="57" t="str">
        <f ca="1">IFERROR(__xludf.DUMMYFUNCTION("""COMPUTED_VALUE"""),"")</f>
        <v/>
      </c>
    </row>
    <row r="9220" spans="1:5">
      <c r="A9220" s="12"/>
      <c r="E9220" s="57" t="str">
        <f ca="1">IFERROR(__xludf.DUMMYFUNCTION("""COMPUTED_VALUE"""),"")</f>
        <v/>
      </c>
    </row>
    <row r="9221" spans="1:5">
      <c r="A9221" s="12"/>
      <c r="E9221" s="57" t="str">
        <f ca="1">IFERROR(__xludf.DUMMYFUNCTION("""COMPUTED_VALUE"""),"")</f>
        <v/>
      </c>
    </row>
    <row r="9222" spans="1:5">
      <c r="A9222" s="12"/>
      <c r="E9222" s="57" t="str">
        <f ca="1">IFERROR(__xludf.DUMMYFUNCTION("""COMPUTED_VALUE"""),"")</f>
        <v/>
      </c>
    </row>
    <row r="9223" spans="1:5">
      <c r="A9223" s="12"/>
      <c r="E9223" s="57" t="str">
        <f ca="1">IFERROR(__xludf.DUMMYFUNCTION("""COMPUTED_VALUE"""),"")</f>
        <v/>
      </c>
    </row>
    <row r="9224" spans="1:5">
      <c r="A9224" s="12"/>
      <c r="E9224" s="57" t="str">
        <f ca="1">IFERROR(__xludf.DUMMYFUNCTION("""COMPUTED_VALUE"""),"")</f>
        <v/>
      </c>
    </row>
    <row r="9225" spans="1:5">
      <c r="A9225" s="12"/>
      <c r="E9225" s="57" t="str">
        <f ca="1">IFERROR(__xludf.DUMMYFUNCTION("""COMPUTED_VALUE"""),"")</f>
        <v/>
      </c>
    </row>
    <row r="9226" spans="1:5">
      <c r="A9226" s="12"/>
      <c r="E9226" s="57" t="str">
        <f ca="1">IFERROR(__xludf.DUMMYFUNCTION("""COMPUTED_VALUE"""),"")</f>
        <v/>
      </c>
    </row>
    <row r="9227" spans="1:5">
      <c r="A9227" s="12"/>
      <c r="E9227" s="57" t="str">
        <f ca="1">IFERROR(__xludf.DUMMYFUNCTION("""COMPUTED_VALUE"""),"")</f>
        <v/>
      </c>
    </row>
    <row r="9228" spans="1:5">
      <c r="A9228" s="12"/>
      <c r="E9228" s="57" t="str">
        <f ca="1">IFERROR(__xludf.DUMMYFUNCTION("""COMPUTED_VALUE"""),"")</f>
        <v/>
      </c>
    </row>
    <row r="9229" spans="1:5">
      <c r="A9229" s="12"/>
      <c r="E9229" s="57" t="str">
        <f ca="1">IFERROR(__xludf.DUMMYFUNCTION("""COMPUTED_VALUE"""),"")</f>
        <v/>
      </c>
    </row>
    <row r="9230" spans="1:5">
      <c r="A9230" s="12"/>
      <c r="E9230" s="57" t="str">
        <f ca="1">IFERROR(__xludf.DUMMYFUNCTION("""COMPUTED_VALUE"""),"")</f>
        <v/>
      </c>
    </row>
    <row r="9231" spans="1:5">
      <c r="A9231" s="12"/>
      <c r="E9231" s="57" t="str">
        <f ca="1">IFERROR(__xludf.DUMMYFUNCTION("""COMPUTED_VALUE"""),"")</f>
        <v/>
      </c>
    </row>
    <row r="9232" spans="1:5">
      <c r="A9232" s="12"/>
      <c r="E9232" s="57" t="str">
        <f ca="1">IFERROR(__xludf.DUMMYFUNCTION("""COMPUTED_VALUE"""),"")</f>
        <v/>
      </c>
    </row>
    <row r="9233" spans="1:5">
      <c r="A9233" s="12"/>
      <c r="E9233" s="57" t="str">
        <f ca="1">IFERROR(__xludf.DUMMYFUNCTION("""COMPUTED_VALUE"""),"")</f>
        <v/>
      </c>
    </row>
    <row r="9234" spans="1:5">
      <c r="A9234" s="12"/>
      <c r="E9234" s="57" t="str">
        <f ca="1">IFERROR(__xludf.DUMMYFUNCTION("""COMPUTED_VALUE"""),"")</f>
        <v/>
      </c>
    </row>
    <row r="9235" spans="1:5">
      <c r="A9235" s="12"/>
      <c r="E9235" s="57" t="str">
        <f ca="1">IFERROR(__xludf.DUMMYFUNCTION("""COMPUTED_VALUE"""),"")</f>
        <v/>
      </c>
    </row>
    <row r="9236" spans="1:5">
      <c r="A9236" s="12"/>
      <c r="E9236" s="57" t="str">
        <f ca="1">IFERROR(__xludf.DUMMYFUNCTION("""COMPUTED_VALUE"""),"")</f>
        <v/>
      </c>
    </row>
    <row r="9237" spans="1:5">
      <c r="A9237" s="12"/>
      <c r="E9237" s="57" t="str">
        <f ca="1">IFERROR(__xludf.DUMMYFUNCTION("""COMPUTED_VALUE"""),"")</f>
        <v/>
      </c>
    </row>
    <row r="9238" spans="1:5">
      <c r="A9238" s="12"/>
      <c r="E9238" s="57" t="str">
        <f ca="1">IFERROR(__xludf.DUMMYFUNCTION("""COMPUTED_VALUE"""),"")</f>
        <v/>
      </c>
    </row>
    <row r="9239" spans="1:5">
      <c r="A9239" s="12"/>
      <c r="E9239" s="57" t="str">
        <f ca="1">IFERROR(__xludf.DUMMYFUNCTION("""COMPUTED_VALUE"""),"")</f>
        <v/>
      </c>
    </row>
    <row r="9240" spans="1:5">
      <c r="A9240" s="12"/>
      <c r="E9240" s="57" t="str">
        <f ca="1">IFERROR(__xludf.DUMMYFUNCTION("""COMPUTED_VALUE"""),"")</f>
        <v/>
      </c>
    </row>
    <row r="9241" spans="1:5">
      <c r="A9241" s="12"/>
      <c r="E9241" s="57" t="str">
        <f ca="1">IFERROR(__xludf.DUMMYFUNCTION("""COMPUTED_VALUE"""),"")</f>
        <v/>
      </c>
    </row>
    <row r="9242" spans="1:5">
      <c r="A9242" s="12"/>
      <c r="E9242" s="57" t="str">
        <f ca="1">IFERROR(__xludf.DUMMYFUNCTION("""COMPUTED_VALUE"""),"")</f>
        <v/>
      </c>
    </row>
    <row r="9243" spans="1:5">
      <c r="A9243" s="12"/>
      <c r="E9243" s="57" t="str">
        <f ca="1">IFERROR(__xludf.DUMMYFUNCTION("""COMPUTED_VALUE"""),"")</f>
        <v/>
      </c>
    </row>
    <row r="9244" spans="1:5">
      <c r="A9244" s="12"/>
      <c r="E9244" s="57" t="str">
        <f ca="1">IFERROR(__xludf.DUMMYFUNCTION("""COMPUTED_VALUE"""),"")</f>
        <v/>
      </c>
    </row>
    <row r="9245" spans="1:5">
      <c r="A9245" s="12"/>
      <c r="E9245" s="57" t="str">
        <f ca="1">IFERROR(__xludf.DUMMYFUNCTION("""COMPUTED_VALUE"""),"")</f>
        <v/>
      </c>
    </row>
    <row r="9246" spans="1:5">
      <c r="A9246" s="12"/>
      <c r="E9246" s="57" t="str">
        <f ca="1">IFERROR(__xludf.DUMMYFUNCTION("""COMPUTED_VALUE"""),"")</f>
        <v/>
      </c>
    </row>
    <row r="9247" spans="1:5">
      <c r="A9247" s="12"/>
      <c r="E9247" s="57" t="str">
        <f ca="1">IFERROR(__xludf.DUMMYFUNCTION("""COMPUTED_VALUE"""),"")</f>
        <v/>
      </c>
    </row>
    <row r="9248" spans="1:5">
      <c r="A9248" s="12"/>
      <c r="E9248" s="57" t="str">
        <f ca="1">IFERROR(__xludf.DUMMYFUNCTION("""COMPUTED_VALUE"""),"")</f>
        <v/>
      </c>
    </row>
    <row r="9249" spans="1:5">
      <c r="A9249" s="12"/>
      <c r="E9249" s="57" t="str">
        <f ca="1">IFERROR(__xludf.DUMMYFUNCTION("""COMPUTED_VALUE"""),"")</f>
        <v/>
      </c>
    </row>
    <row r="9250" spans="1:5">
      <c r="A9250" s="12"/>
      <c r="E9250" s="57" t="str">
        <f ca="1">IFERROR(__xludf.DUMMYFUNCTION("""COMPUTED_VALUE"""),"")</f>
        <v/>
      </c>
    </row>
    <row r="9251" spans="1:5">
      <c r="A9251" s="12"/>
      <c r="E9251" s="57" t="str">
        <f ca="1">IFERROR(__xludf.DUMMYFUNCTION("""COMPUTED_VALUE"""),"")</f>
        <v/>
      </c>
    </row>
    <row r="9252" spans="1:5">
      <c r="A9252" s="12"/>
      <c r="E9252" s="57" t="str">
        <f ca="1">IFERROR(__xludf.DUMMYFUNCTION("""COMPUTED_VALUE"""),"")</f>
        <v/>
      </c>
    </row>
    <row r="9253" spans="1:5">
      <c r="A9253" s="12"/>
      <c r="E9253" s="57" t="str">
        <f ca="1">IFERROR(__xludf.DUMMYFUNCTION("""COMPUTED_VALUE"""),"")</f>
        <v/>
      </c>
    </row>
    <row r="9254" spans="1:5">
      <c r="A9254" s="12"/>
      <c r="E9254" s="57" t="str">
        <f ca="1">IFERROR(__xludf.DUMMYFUNCTION("""COMPUTED_VALUE"""),"")</f>
        <v/>
      </c>
    </row>
    <row r="9255" spans="1:5">
      <c r="A9255" s="12"/>
      <c r="E9255" s="57" t="str">
        <f ca="1">IFERROR(__xludf.DUMMYFUNCTION("""COMPUTED_VALUE"""),"")</f>
        <v/>
      </c>
    </row>
    <row r="9256" spans="1:5">
      <c r="A9256" s="12"/>
      <c r="E9256" s="57" t="str">
        <f ca="1">IFERROR(__xludf.DUMMYFUNCTION("""COMPUTED_VALUE"""),"")</f>
        <v/>
      </c>
    </row>
    <row r="9257" spans="1:5">
      <c r="A9257" s="12"/>
      <c r="E9257" s="57" t="str">
        <f ca="1">IFERROR(__xludf.DUMMYFUNCTION("""COMPUTED_VALUE"""),"")</f>
        <v/>
      </c>
    </row>
    <row r="9258" spans="1:5">
      <c r="A9258" s="12"/>
      <c r="E9258" s="57" t="str">
        <f ca="1">IFERROR(__xludf.DUMMYFUNCTION("""COMPUTED_VALUE"""),"")</f>
        <v/>
      </c>
    </row>
    <row r="9259" spans="1:5">
      <c r="A9259" s="12"/>
      <c r="E9259" s="57" t="str">
        <f ca="1">IFERROR(__xludf.DUMMYFUNCTION("""COMPUTED_VALUE"""),"")</f>
        <v/>
      </c>
    </row>
    <row r="9260" spans="1:5">
      <c r="A9260" s="12"/>
      <c r="E9260" s="57" t="str">
        <f ca="1">IFERROR(__xludf.DUMMYFUNCTION("""COMPUTED_VALUE"""),"")</f>
        <v/>
      </c>
    </row>
    <row r="9261" spans="1:5">
      <c r="A9261" s="12"/>
      <c r="E9261" s="57" t="str">
        <f ca="1">IFERROR(__xludf.DUMMYFUNCTION("""COMPUTED_VALUE"""),"")</f>
        <v/>
      </c>
    </row>
    <row r="9262" spans="1:5">
      <c r="A9262" s="12"/>
      <c r="E9262" s="57" t="str">
        <f ca="1">IFERROR(__xludf.DUMMYFUNCTION("""COMPUTED_VALUE"""),"")</f>
        <v/>
      </c>
    </row>
    <row r="9263" spans="1:5">
      <c r="A9263" s="12"/>
      <c r="E9263" s="57" t="str">
        <f ca="1">IFERROR(__xludf.DUMMYFUNCTION("""COMPUTED_VALUE"""),"")</f>
        <v/>
      </c>
    </row>
    <row r="9264" spans="1:5">
      <c r="A9264" s="12"/>
      <c r="E9264" s="57" t="str">
        <f ca="1">IFERROR(__xludf.DUMMYFUNCTION("""COMPUTED_VALUE"""),"")</f>
        <v/>
      </c>
    </row>
    <row r="9265" spans="1:5">
      <c r="A9265" s="12"/>
      <c r="E9265" s="57" t="str">
        <f ca="1">IFERROR(__xludf.DUMMYFUNCTION("""COMPUTED_VALUE"""),"")</f>
        <v/>
      </c>
    </row>
    <row r="9266" spans="1:5">
      <c r="A9266" s="12"/>
      <c r="E9266" s="57" t="str">
        <f ca="1">IFERROR(__xludf.DUMMYFUNCTION("""COMPUTED_VALUE"""),"")</f>
        <v/>
      </c>
    </row>
    <row r="9267" spans="1:5">
      <c r="A9267" s="12"/>
      <c r="E9267" s="57" t="str">
        <f ca="1">IFERROR(__xludf.DUMMYFUNCTION("""COMPUTED_VALUE"""),"")</f>
        <v/>
      </c>
    </row>
    <row r="9268" spans="1:5">
      <c r="A9268" s="12"/>
      <c r="E9268" s="57" t="str">
        <f ca="1">IFERROR(__xludf.DUMMYFUNCTION("""COMPUTED_VALUE"""),"")</f>
        <v/>
      </c>
    </row>
    <row r="9269" spans="1:5">
      <c r="A9269" s="12"/>
      <c r="E9269" s="57" t="str">
        <f ca="1">IFERROR(__xludf.DUMMYFUNCTION("""COMPUTED_VALUE"""),"")</f>
        <v/>
      </c>
    </row>
    <row r="9270" spans="1:5">
      <c r="A9270" s="12"/>
      <c r="E9270" s="57" t="str">
        <f ca="1">IFERROR(__xludf.DUMMYFUNCTION("""COMPUTED_VALUE"""),"")</f>
        <v/>
      </c>
    </row>
    <row r="9271" spans="1:5">
      <c r="A9271" s="12"/>
      <c r="E9271" s="57" t="str">
        <f ca="1">IFERROR(__xludf.DUMMYFUNCTION("""COMPUTED_VALUE"""),"")</f>
        <v/>
      </c>
    </row>
    <row r="9272" spans="1:5">
      <c r="A9272" s="12"/>
      <c r="E9272" s="57" t="str">
        <f ca="1">IFERROR(__xludf.DUMMYFUNCTION("""COMPUTED_VALUE"""),"")</f>
        <v/>
      </c>
    </row>
    <row r="9273" spans="1:5">
      <c r="A9273" s="12"/>
      <c r="E9273" s="57" t="str">
        <f ca="1">IFERROR(__xludf.DUMMYFUNCTION("""COMPUTED_VALUE"""),"")</f>
        <v/>
      </c>
    </row>
    <row r="9274" spans="1:5">
      <c r="A9274" s="12"/>
      <c r="E9274" s="57" t="str">
        <f ca="1">IFERROR(__xludf.DUMMYFUNCTION("""COMPUTED_VALUE"""),"")</f>
        <v/>
      </c>
    </row>
    <row r="9275" spans="1:5">
      <c r="A9275" s="12"/>
      <c r="E9275" s="57" t="str">
        <f ca="1">IFERROR(__xludf.DUMMYFUNCTION("""COMPUTED_VALUE"""),"")</f>
        <v/>
      </c>
    </row>
    <row r="9276" spans="1:5">
      <c r="A9276" s="12"/>
      <c r="E9276" s="57" t="str">
        <f ca="1">IFERROR(__xludf.DUMMYFUNCTION("""COMPUTED_VALUE"""),"")</f>
        <v/>
      </c>
    </row>
    <row r="9277" spans="1:5">
      <c r="A9277" s="12"/>
      <c r="E9277" s="57" t="str">
        <f ca="1">IFERROR(__xludf.DUMMYFUNCTION("""COMPUTED_VALUE"""),"")</f>
        <v/>
      </c>
    </row>
    <row r="9278" spans="1:5">
      <c r="A9278" s="12"/>
      <c r="E9278" s="57" t="str">
        <f ca="1">IFERROR(__xludf.DUMMYFUNCTION("""COMPUTED_VALUE"""),"")</f>
        <v/>
      </c>
    </row>
    <row r="9279" spans="1:5">
      <c r="A9279" s="12"/>
      <c r="E9279" s="57" t="str">
        <f ca="1">IFERROR(__xludf.DUMMYFUNCTION("""COMPUTED_VALUE"""),"")</f>
        <v/>
      </c>
    </row>
    <row r="9280" spans="1:5">
      <c r="A9280" s="12"/>
      <c r="E9280" s="57" t="str">
        <f ca="1">IFERROR(__xludf.DUMMYFUNCTION("""COMPUTED_VALUE"""),"")</f>
        <v/>
      </c>
    </row>
    <row r="9281" spans="1:5">
      <c r="A9281" s="12"/>
      <c r="E9281" s="57" t="str">
        <f ca="1">IFERROR(__xludf.DUMMYFUNCTION("""COMPUTED_VALUE"""),"")</f>
        <v/>
      </c>
    </row>
    <row r="9282" spans="1:5">
      <c r="A9282" s="12"/>
      <c r="E9282" s="57" t="str">
        <f ca="1">IFERROR(__xludf.DUMMYFUNCTION("""COMPUTED_VALUE"""),"")</f>
        <v/>
      </c>
    </row>
    <row r="9283" spans="1:5">
      <c r="A9283" s="12"/>
      <c r="E9283" s="57" t="str">
        <f ca="1">IFERROR(__xludf.DUMMYFUNCTION("""COMPUTED_VALUE"""),"")</f>
        <v/>
      </c>
    </row>
    <row r="9284" spans="1:5">
      <c r="A9284" s="12"/>
      <c r="E9284" s="57" t="str">
        <f ca="1">IFERROR(__xludf.DUMMYFUNCTION("""COMPUTED_VALUE"""),"")</f>
        <v/>
      </c>
    </row>
    <row r="9285" spans="1:5">
      <c r="A9285" s="12"/>
      <c r="E9285" s="57" t="str">
        <f ca="1">IFERROR(__xludf.DUMMYFUNCTION("""COMPUTED_VALUE"""),"")</f>
        <v/>
      </c>
    </row>
    <row r="9286" spans="1:5">
      <c r="A9286" s="12"/>
      <c r="E9286" s="57" t="str">
        <f ca="1">IFERROR(__xludf.DUMMYFUNCTION("""COMPUTED_VALUE"""),"")</f>
        <v/>
      </c>
    </row>
    <row r="9287" spans="1:5">
      <c r="A9287" s="12"/>
      <c r="E9287" s="57" t="str">
        <f ca="1">IFERROR(__xludf.DUMMYFUNCTION("""COMPUTED_VALUE"""),"")</f>
        <v/>
      </c>
    </row>
    <row r="9288" spans="1:5">
      <c r="A9288" s="12"/>
      <c r="E9288" s="57" t="str">
        <f ca="1">IFERROR(__xludf.DUMMYFUNCTION("""COMPUTED_VALUE"""),"")</f>
        <v/>
      </c>
    </row>
    <row r="9289" spans="1:5">
      <c r="A9289" s="12"/>
      <c r="E9289" s="57" t="str">
        <f ca="1">IFERROR(__xludf.DUMMYFUNCTION("""COMPUTED_VALUE"""),"")</f>
        <v/>
      </c>
    </row>
    <row r="9290" spans="1:5">
      <c r="A9290" s="12"/>
      <c r="E9290" s="57" t="str">
        <f ca="1">IFERROR(__xludf.DUMMYFUNCTION("""COMPUTED_VALUE"""),"")</f>
        <v/>
      </c>
    </row>
    <row r="9291" spans="1:5">
      <c r="A9291" s="12"/>
      <c r="E9291" s="57" t="str">
        <f ca="1">IFERROR(__xludf.DUMMYFUNCTION("""COMPUTED_VALUE"""),"")</f>
        <v/>
      </c>
    </row>
    <row r="9292" spans="1:5">
      <c r="A9292" s="12"/>
      <c r="E9292" s="57" t="str">
        <f ca="1">IFERROR(__xludf.DUMMYFUNCTION("""COMPUTED_VALUE"""),"")</f>
        <v/>
      </c>
    </row>
    <row r="9293" spans="1:5">
      <c r="A9293" s="12"/>
      <c r="E9293" s="57" t="str">
        <f ca="1">IFERROR(__xludf.DUMMYFUNCTION("""COMPUTED_VALUE"""),"")</f>
        <v/>
      </c>
    </row>
    <row r="9294" spans="1:5">
      <c r="A9294" s="12"/>
      <c r="E9294" s="57" t="str">
        <f ca="1">IFERROR(__xludf.DUMMYFUNCTION("""COMPUTED_VALUE"""),"")</f>
        <v/>
      </c>
    </row>
    <row r="9295" spans="1:5">
      <c r="A9295" s="12"/>
      <c r="E9295" s="57" t="str">
        <f ca="1">IFERROR(__xludf.DUMMYFUNCTION("""COMPUTED_VALUE"""),"")</f>
        <v/>
      </c>
    </row>
    <row r="9296" spans="1:5">
      <c r="A9296" s="12"/>
      <c r="E9296" s="57" t="str">
        <f ca="1">IFERROR(__xludf.DUMMYFUNCTION("""COMPUTED_VALUE"""),"")</f>
        <v/>
      </c>
    </row>
    <row r="9297" spans="1:5">
      <c r="A9297" s="12"/>
      <c r="E9297" s="57" t="str">
        <f ca="1">IFERROR(__xludf.DUMMYFUNCTION("""COMPUTED_VALUE"""),"")</f>
        <v/>
      </c>
    </row>
    <row r="9298" spans="1:5">
      <c r="A9298" s="12"/>
      <c r="E9298" s="57" t="str">
        <f ca="1">IFERROR(__xludf.DUMMYFUNCTION("""COMPUTED_VALUE"""),"")</f>
        <v/>
      </c>
    </row>
    <row r="9299" spans="1:5">
      <c r="A9299" s="12"/>
      <c r="E9299" s="57" t="str">
        <f ca="1">IFERROR(__xludf.DUMMYFUNCTION("""COMPUTED_VALUE"""),"")</f>
        <v/>
      </c>
    </row>
    <row r="9300" spans="1:5">
      <c r="A9300" s="12"/>
      <c r="E9300" s="57" t="str">
        <f ca="1">IFERROR(__xludf.DUMMYFUNCTION("""COMPUTED_VALUE"""),"")</f>
        <v/>
      </c>
    </row>
    <row r="9301" spans="1:5">
      <c r="A9301" s="12"/>
      <c r="E9301" s="57" t="str">
        <f ca="1">IFERROR(__xludf.DUMMYFUNCTION("""COMPUTED_VALUE"""),"")</f>
        <v/>
      </c>
    </row>
    <row r="9302" spans="1:5">
      <c r="A9302" s="12"/>
      <c r="E9302" s="57" t="str">
        <f ca="1">IFERROR(__xludf.DUMMYFUNCTION("""COMPUTED_VALUE"""),"")</f>
        <v/>
      </c>
    </row>
    <row r="9303" spans="1:5">
      <c r="A9303" s="12"/>
      <c r="E9303" s="57" t="str">
        <f ca="1">IFERROR(__xludf.DUMMYFUNCTION("""COMPUTED_VALUE"""),"")</f>
        <v/>
      </c>
    </row>
    <row r="9304" spans="1:5">
      <c r="A9304" s="12"/>
      <c r="E9304" s="57" t="str">
        <f ca="1">IFERROR(__xludf.DUMMYFUNCTION("""COMPUTED_VALUE"""),"")</f>
        <v/>
      </c>
    </row>
    <row r="9305" spans="1:5">
      <c r="A9305" s="12"/>
      <c r="E9305" s="57" t="str">
        <f ca="1">IFERROR(__xludf.DUMMYFUNCTION("""COMPUTED_VALUE"""),"")</f>
        <v/>
      </c>
    </row>
    <row r="9306" spans="1:5">
      <c r="A9306" s="12"/>
      <c r="E9306" s="57" t="str">
        <f ca="1">IFERROR(__xludf.DUMMYFUNCTION("""COMPUTED_VALUE"""),"")</f>
        <v/>
      </c>
    </row>
    <row r="9307" spans="1:5">
      <c r="A9307" s="12"/>
      <c r="E9307" s="57" t="str">
        <f ca="1">IFERROR(__xludf.DUMMYFUNCTION("""COMPUTED_VALUE"""),"")</f>
        <v/>
      </c>
    </row>
    <row r="9308" spans="1:5">
      <c r="A9308" s="12"/>
      <c r="E9308" s="57" t="str">
        <f ca="1">IFERROR(__xludf.DUMMYFUNCTION("""COMPUTED_VALUE"""),"")</f>
        <v/>
      </c>
    </row>
    <row r="9309" spans="1:5">
      <c r="A9309" s="12"/>
      <c r="E9309" s="57" t="str">
        <f ca="1">IFERROR(__xludf.DUMMYFUNCTION("""COMPUTED_VALUE"""),"")</f>
        <v/>
      </c>
    </row>
    <row r="9310" spans="1:5">
      <c r="A9310" s="12"/>
      <c r="E9310" s="57" t="str">
        <f ca="1">IFERROR(__xludf.DUMMYFUNCTION("""COMPUTED_VALUE"""),"")</f>
        <v/>
      </c>
    </row>
    <row r="9311" spans="1:5">
      <c r="A9311" s="12"/>
      <c r="E9311" s="57" t="str">
        <f ca="1">IFERROR(__xludf.DUMMYFUNCTION("""COMPUTED_VALUE"""),"")</f>
        <v/>
      </c>
    </row>
    <row r="9312" spans="1:5">
      <c r="A9312" s="12"/>
      <c r="E9312" s="57" t="str">
        <f ca="1">IFERROR(__xludf.DUMMYFUNCTION("""COMPUTED_VALUE"""),"")</f>
        <v/>
      </c>
    </row>
    <row r="9313" spans="1:5">
      <c r="A9313" s="12"/>
      <c r="E9313" s="57" t="str">
        <f ca="1">IFERROR(__xludf.DUMMYFUNCTION("""COMPUTED_VALUE"""),"")</f>
        <v/>
      </c>
    </row>
    <row r="9314" spans="1:5">
      <c r="A9314" s="12"/>
      <c r="E9314" s="57" t="str">
        <f ca="1">IFERROR(__xludf.DUMMYFUNCTION("""COMPUTED_VALUE"""),"")</f>
        <v/>
      </c>
    </row>
    <row r="9315" spans="1:5">
      <c r="A9315" s="12"/>
      <c r="E9315" s="57" t="str">
        <f ca="1">IFERROR(__xludf.DUMMYFUNCTION("""COMPUTED_VALUE"""),"")</f>
        <v/>
      </c>
    </row>
    <row r="9316" spans="1:5">
      <c r="A9316" s="12"/>
      <c r="E9316" s="57" t="str">
        <f ca="1">IFERROR(__xludf.DUMMYFUNCTION("""COMPUTED_VALUE"""),"")</f>
        <v/>
      </c>
    </row>
    <row r="9317" spans="1:5">
      <c r="A9317" s="12"/>
      <c r="E9317" s="57" t="str">
        <f ca="1">IFERROR(__xludf.DUMMYFUNCTION("""COMPUTED_VALUE"""),"")</f>
        <v/>
      </c>
    </row>
    <row r="9318" spans="1:5">
      <c r="A9318" s="12"/>
      <c r="E9318" s="57" t="str">
        <f ca="1">IFERROR(__xludf.DUMMYFUNCTION("""COMPUTED_VALUE"""),"")</f>
        <v/>
      </c>
    </row>
    <row r="9319" spans="1:5">
      <c r="A9319" s="12"/>
      <c r="E9319" s="57" t="str">
        <f ca="1">IFERROR(__xludf.DUMMYFUNCTION("""COMPUTED_VALUE"""),"")</f>
        <v/>
      </c>
    </row>
    <row r="9320" spans="1:5">
      <c r="A9320" s="12"/>
      <c r="E9320" s="57" t="str">
        <f ca="1">IFERROR(__xludf.DUMMYFUNCTION("""COMPUTED_VALUE"""),"")</f>
        <v/>
      </c>
    </row>
    <row r="9321" spans="1:5">
      <c r="A9321" s="12"/>
      <c r="E9321" s="57" t="str">
        <f ca="1">IFERROR(__xludf.DUMMYFUNCTION("""COMPUTED_VALUE"""),"")</f>
        <v/>
      </c>
    </row>
    <row r="9322" spans="1:5">
      <c r="A9322" s="12"/>
      <c r="E9322" s="57" t="str">
        <f ca="1">IFERROR(__xludf.DUMMYFUNCTION("""COMPUTED_VALUE"""),"")</f>
        <v/>
      </c>
    </row>
    <row r="9323" spans="1:5">
      <c r="A9323" s="12"/>
      <c r="E9323" s="57" t="str">
        <f ca="1">IFERROR(__xludf.DUMMYFUNCTION("""COMPUTED_VALUE"""),"")</f>
        <v/>
      </c>
    </row>
    <row r="9324" spans="1:5">
      <c r="A9324" s="12"/>
      <c r="E9324" s="57" t="str">
        <f ca="1">IFERROR(__xludf.DUMMYFUNCTION("""COMPUTED_VALUE"""),"")</f>
        <v/>
      </c>
    </row>
    <row r="9325" spans="1:5">
      <c r="A9325" s="12"/>
      <c r="E9325" s="57" t="str">
        <f ca="1">IFERROR(__xludf.DUMMYFUNCTION("""COMPUTED_VALUE"""),"")</f>
        <v/>
      </c>
    </row>
    <row r="9326" spans="1:5">
      <c r="A9326" s="12"/>
      <c r="E9326" s="57" t="str">
        <f ca="1">IFERROR(__xludf.DUMMYFUNCTION("""COMPUTED_VALUE"""),"")</f>
        <v/>
      </c>
    </row>
    <row r="9327" spans="1:5">
      <c r="A9327" s="12"/>
      <c r="E9327" s="57" t="str">
        <f ca="1">IFERROR(__xludf.DUMMYFUNCTION("""COMPUTED_VALUE"""),"")</f>
        <v/>
      </c>
    </row>
    <row r="9328" spans="1:5">
      <c r="A9328" s="12"/>
      <c r="E9328" s="57" t="str">
        <f ca="1">IFERROR(__xludf.DUMMYFUNCTION("""COMPUTED_VALUE"""),"")</f>
        <v/>
      </c>
    </row>
    <row r="9329" spans="1:5">
      <c r="A9329" s="12"/>
      <c r="E9329" s="57" t="str">
        <f ca="1">IFERROR(__xludf.DUMMYFUNCTION("""COMPUTED_VALUE"""),"")</f>
        <v/>
      </c>
    </row>
    <row r="9330" spans="1:5">
      <c r="A9330" s="12"/>
      <c r="E9330" s="57" t="str">
        <f ca="1">IFERROR(__xludf.DUMMYFUNCTION("""COMPUTED_VALUE"""),"")</f>
        <v/>
      </c>
    </row>
    <row r="9331" spans="1:5">
      <c r="A9331" s="12"/>
      <c r="E9331" s="57" t="str">
        <f ca="1">IFERROR(__xludf.DUMMYFUNCTION("""COMPUTED_VALUE"""),"")</f>
        <v/>
      </c>
    </row>
    <row r="9332" spans="1:5">
      <c r="A9332" s="12"/>
      <c r="E9332" s="57" t="str">
        <f ca="1">IFERROR(__xludf.DUMMYFUNCTION("""COMPUTED_VALUE"""),"")</f>
        <v/>
      </c>
    </row>
    <row r="9333" spans="1:5">
      <c r="A9333" s="12"/>
      <c r="E9333" s="57" t="str">
        <f ca="1">IFERROR(__xludf.DUMMYFUNCTION("""COMPUTED_VALUE"""),"")</f>
        <v/>
      </c>
    </row>
    <row r="9334" spans="1:5">
      <c r="A9334" s="12"/>
      <c r="E9334" s="57" t="str">
        <f ca="1">IFERROR(__xludf.DUMMYFUNCTION("""COMPUTED_VALUE"""),"")</f>
        <v/>
      </c>
    </row>
    <row r="9335" spans="1:5">
      <c r="A9335" s="12"/>
      <c r="E9335" s="57" t="str">
        <f ca="1">IFERROR(__xludf.DUMMYFUNCTION("""COMPUTED_VALUE"""),"")</f>
        <v/>
      </c>
    </row>
    <row r="9336" spans="1:5">
      <c r="A9336" s="12"/>
      <c r="E9336" s="57" t="str">
        <f ca="1">IFERROR(__xludf.DUMMYFUNCTION("""COMPUTED_VALUE"""),"")</f>
        <v/>
      </c>
    </row>
    <row r="9337" spans="1:5">
      <c r="A9337" s="12"/>
      <c r="E9337" s="57" t="str">
        <f ca="1">IFERROR(__xludf.DUMMYFUNCTION("""COMPUTED_VALUE"""),"")</f>
        <v/>
      </c>
    </row>
    <row r="9338" spans="1:5">
      <c r="A9338" s="12"/>
      <c r="E9338" s="57" t="str">
        <f ca="1">IFERROR(__xludf.DUMMYFUNCTION("""COMPUTED_VALUE"""),"")</f>
        <v/>
      </c>
    </row>
    <row r="9339" spans="1:5">
      <c r="A9339" s="12"/>
      <c r="E9339" s="57" t="str">
        <f ca="1">IFERROR(__xludf.DUMMYFUNCTION("""COMPUTED_VALUE"""),"")</f>
        <v/>
      </c>
    </row>
    <row r="9340" spans="1:5">
      <c r="A9340" s="12"/>
      <c r="E9340" s="57" t="str">
        <f ca="1">IFERROR(__xludf.DUMMYFUNCTION("""COMPUTED_VALUE"""),"")</f>
        <v/>
      </c>
    </row>
    <row r="9341" spans="1:5">
      <c r="A9341" s="12"/>
      <c r="E9341" s="57" t="str">
        <f ca="1">IFERROR(__xludf.DUMMYFUNCTION("""COMPUTED_VALUE"""),"")</f>
        <v/>
      </c>
    </row>
    <row r="9342" spans="1:5">
      <c r="A9342" s="12"/>
      <c r="E9342" s="57" t="str">
        <f ca="1">IFERROR(__xludf.DUMMYFUNCTION("""COMPUTED_VALUE"""),"")</f>
        <v/>
      </c>
    </row>
    <row r="9343" spans="1:5">
      <c r="A9343" s="12"/>
      <c r="E9343" s="57" t="str">
        <f ca="1">IFERROR(__xludf.DUMMYFUNCTION("""COMPUTED_VALUE"""),"")</f>
        <v/>
      </c>
    </row>
    <row r="9344" spans="1:5">
      <c r="A9344" s="12"/>
      <c r="E9344" s="57" t="str">
        <f ca="1">IFERROR(__xludf.DUMMYFUNCTION("""COMPUTED_VALUE"""),"")</f>
        <v/>
      </c>
    </row>
    <row r="9345" spans="1:5">
      <c r="A9345" s="12"/>
      <c r="E9345" s="57" t="str">
        <f ca="1">IFERROR(__xludf.DUMMYFUNCTION("""COMPUTED_VALUE"""),"")</f>
        <v/>
      </c>
    </row>
    <row r="9346" spans="1:5">
      <c r="A9346" s="12"/>
      <c r="E9346" s="57" t="str">
        <f ca="1">IFERROR(__xludf.DUMMYFUNCTION("""COMPUTED_VALUE"""),"")</f>
        <v/>
      </c>
    </row>
    <row r="9347" spans="1:5">
      <c r="A9347" s="12"/>
      <c r="E9347" s="57" t="str">
        <f ca="1">IFERROR(__xludf.DUMMYFUNCTION("""COMPUTED_VALUE"""),"")</f>
        <v/>
      </c>
    </row>
    <row r="9348" spans="1:5">
      <c r="A9348" s="12"/>
      <c r="E9348" s="57" t="str">
        <f ca="1">IFERROR(__xludf.DUMMYFUNCTION("""COMPUTED_VALUE"""),"")</f>
        <v/>
      </c>
    </row>
    <row r="9349" spans="1:5">
      <c r="A9349" s="12"/>
      <c r="E9349" s="57" t="str">
        <f ca="1">IFERROR(__xludf.DUMMYFUNCTION("""COMPUTED_VALUE"""),"")</f>
        <v/>
      </c>
    </row>
    <row r="9350" spans="1:5">
      <c r="A9350" s="12"/>
      <c r="E9350" s="57" t="str">
        <f ca="1">IFERROR(__xludf.DUMMYFUNCTION("""COMPUTED_VALUE"""),"")</f>
        <v/>
      </c>
    </row>
    <row r="9351" spans="1:5">
      <c r="A9351" s="12"/>
      <c r="E9351" s="57" t="str">
        <f ca="1">IFERROR(__xludf.DUMMYFUNCTION("""COMPUTED_VALUE"""),"")</f>
        <v/>
      </c>
    </row>
    <row r="9352" spans="1:5">
      <c r="A9352" s="12"/>
      <c r="E9352" s="57" t="str">
        <f ca="1">IFERROR(__xludf.DUMMYFUNCTION("""COMPUTED_VALUE"""),"")</f>
        <v/>
      </c>
    </row>
    <row r="9353" spans="1:5">
      <c r="A9353" s="12"/>
      <c r="E9353" s="57" t="str">
        <f ca="1">IFERROR(__xludf.DUMMYFUNCTION("""COMPUTED_VALUE"""),"")</f>
        <v/>
      </c>
    </row>
    <row r="9354" spans="1:5">
      <c r="A9354" s="12"/>
      <c r="E9354" s="57" t="str">
        <f ca="1">IFERROR(__xludf.DUMMYFUNCTION("""COMPUTED_VALUE"""),"")</f>
        <v/>
      </c>
    </row>
    <row r="9355" spans="1:5">
      <c r="A9355" s="12"/>
      <c r="E9355" s="57" t="str">
        <f ca="1">IFERROR(__xludf.DUMMYFUNCTION("""COMPUTED_VALUE"""),"")</f>
        <v/>
      </c>
    </row>
    <row r="9356" spans="1:5">
      <c r="A9356" s="12"/>
      <c r="E9356" s="57" t="str">
        <f ca="1">IFERROR(__xludf.DUMMYFUNCTION("""COMPUTED_VALUE"""),"")</f>
        <v/>
      </c>
    </row>
    <row r="9357" spans="1:5">
      <c r="A9357" s="12"/>
      <c r="E9357" s="57" t="str">
        <f ca="1">IFERROR(__xludf.DUMMYFUNCTION("""COMPUTED_VALUE"""),"")</f>
        <v/>
      </c>
    </row>
    <row r="9358" spans="1:5">
      <c r="A9358" s="12"/>
      <c r="E9358" s="57" t="str">
        <f ca="1">IFERROR(__xludf.DUMMYFUNCTION("""COMPUTED_VALUE"""),"")</f>
        <v/>
      </c>
    </row>
    <row r="9359" spans="1:5">
      <c r="A9359" s="12"/>
      <c r="E9359" s="57" t="str">
        <f ca="1">IFERROR(__xludf.DUMMYFUNCTION("""COMPUTED_VALUE"""),"")</f>
        <v/>
      </c>
    </row>
    <row r="9360" spans="1:5">
      <c r="A9360" s="12"/>
      <c r="E9360" s="57" t="str">
        <f ca="1">IFERROR(__xludf.DUMMYFUNCTION("""COMPUTED_VALUE"""),"")</f>
        <v/>
      </c>
    </row>
    <row r="9361" spans="1:5">
      <c r="A9361" s="12"/>
      <c r="E9361" s="57" t="str">
        <f ca="1">IFERROR(__xludf.DUMMYFUNCTION("""COMPUTED_VALUE"""),"")</f>
        <v/>
      </c>
    </row>
    <row r="9362" spans="1:5">
      <c r="A9362" s="12"/>
      <c r="E9362" s="57" t="str">
        <f ca="1">IFERROR(__xludf.DUMMYFUNCTION("""COMPUTED_VALUE"""),"")</f>
        <v/>
      </c>
    </row>
    <row r="9363" spans="1:5">
      <c r="A9363" s="12"/>
      <c r="E9363" s="57" t="str">
        <f ca="1">IFERROR(__xludf.DUMMYFUNCTION("""COMPUTED_VALUE"""),"")</f>
        <v/>
      </c>
    </row>
    <row r="9364" spans="1:5">
      <c r="A9364" s="12"/>
      <c r="E9364" s="57" t="str">
        <f ca="1">IFERROR(__xludf.DUMMYFUNCTION("""COMPUTED_VALUE"""),"")</f>
        <v/>
      </c>
    </row>
    <row r="9365" spans="1:5">
      <c r="A9365" s="12"/>
      <c r="E9365" s="57" t="str">
        <f ca="1">IFERROR(__xludf.DUMMYFUNCTION("""COMPUTED_VALUE"""),"")</f>
        <v/>
      </c>
    </row>
    <row r="9366" spans="1:5">
      <c r="A9366" s="12"/>
      <c r="E9366" s="57" t="str">
        <f ca="1">IFERROR(__xludf.DUMMYFUNCTION("""COMPUTED_VALUE"""),"")</f>
        <v/>
      </c>
    </row>
    <row r="9367" spans="1:5">
      <c r="A9367" s="12"/>
      <c r="E9367" s="57" t="str">
        <f ca="1">IFERROR(__xludf.DUMMYFUNCTION("""COMPUTED_VALUE"""),"")</f>
        <v/>
      </c>
    </row>
    <row r="9368" spans="1:5">
      <c r="A9368" s="12"/>
      <c r="E9368" s="57" t="str">
        <f ca="1">IFERROR(__xludf.DUMMYFUNCTION("""COMPUTED_VALUE"""),"")</f>
        <v/>
      </c>
    </row>
    <row r="9369" spans="1:5">
      <c r="A9369" s="12"/>
      <c r="E9369" s="57" t="str">
        <f ca="1">IFERROR(__xludf.DUMMYFUNCTION("""COMPUTED_VALUE"""),"")</f>
        <v/>
      </c>
    </row>
    <row r="9370" spans="1:5">
      <c r="A9370" s="12"/>
      <c r="E9370" s="57" t="str">
        <f ca="1">IFERROR(__xludf.DUMMYFUNCTION("""COMPUTED_VALUE"""),"")</f>
        <v/>
      </c>
    </row>
    <row r="9371" spans="1:5">
      <c r="A9371" s="12"/>
      <c r="E9371" s="57" t="str">
        <f ca="1">IFERROR(__xludf.DUMMYFUNCTION("""COMPUTED_VALUE"""),"")</f>
        <v/>
      </c>
    </row>
    <row r="9372" spans="1:5">
      <c r="A9372" s="12"/>
      <c r="E9372" s="57" t="str">
        <f ca="1">IFERROR(__xludf.DUMMYFUNCTION("""COMPUTED_VALUE"""),"")</f>
        <v/>
      </c>
    </row>
    <row r="9373" spans="1:5">
      <c r="A9373" s="12"/>
      <c r="E9373" s="57" t="str">
        <f ca="1">IFERROR(__xludf.DUMMYFUNCTION("""COMPUTED_VALUE"""),"")</f>
        <v/>
      </c>
    </row>
    <row r="9374" spans="1:5">
      <c r="A9374" s="12"/>
      <c r="E9374" s="57" t="str">
        <f ca="1">IFERROR(__xludf.DUMMYFUNCTION("""COMPUTED_VALUE"""),"")</f>
        <v/>
      </c>
    </row>
    <row r="9375" spans="1:5">
      <c r="A9375" s="12"/>
      <c r="E9375" s="57" t="str">
        <f ca="1">IFERROR(__xludf.DUMMYFUNCTION("""COMPUTED_VALUE"""),"")</f>
        <v/>
      </c>
    </row>
    <row r="9376" spans="1:5">
      <c r="A9376" s="12"/>
      <c r="E9376" s="57" t="str">
        <f ca="1">IFERROR(__xludf.DUMMYFUNCTION("""COMPUTED_VALUE"""),"")</f>
        <v/>
      </c>
    </row>
    <row r="9377" spans="1:5">
      <c r="A9377" s="12"/>
      <c r="E9377" s="57" t="str">
        <f ca="1">IFERROR(__xludf.DUMMYFUNCTION("""COMPUTED_VALUE"""),"")</f>
        <v/>
      </c>
    </row>
    <row r="9378" spans="1:5">
      <c r="A9378" s="12"/>
      <c r="E9378" s="57" t="str">
        <f ca="1">IFERROR(__xludf.DUMMYFUNCTION("""COMPUTED_VALUE"""),"")</f>
        <v/>
      </c>
    </row>
    <row r="9379" spans="1:5">
      <c r="A9379" s="12"/>
      <c r="E9379" s="57" t="str">
        <f ca="1">IFERROR(__xludf.DUMMYFUNCTION("""COMPUTED_VALUE"""),"")</f>
        <v/>
      </c>
    </row>
    <row r="9380" spans="1:5">
      <c r="A9380" s="12"/>
      <c r="E9380" s="57" t="str">
        <f ca="1">IFERROR(__xludf.DUMMYFUNCTION("""COMPUTED_VALUE"""),"")</f>
        <v/>
      </c>
    </row>
    <row r="9381" spans="1:5">
      <c r="A9381" s="12"/>
      <c r="E9381" s="57" t="str">
        <f ca="1">IFERROR(__xludf.DUMMYFUNCTION("""COMPUTED_VALUE"""),"")</f>
        <v/>
      </c>
    </row>
    <row r="9382" spans="1:5">
      <c r="A9382" s="12"/>
      <c r="E9382" s="57" t="str">
        <f ca="1">IFERROR(__xludf.DUMMYFUNCTION("""COMPUTED_VALUE"""),"")</f>
        <v/>
      </c>
    </row>
    <row r="9383" spans="1:5">
      <c r="A9383" s="12"/>
      <c r="E9383" s="57" t="str">
        <f ca="1">IFERROR(__xludf.DUMMYFUNCTION("""COMPUTED_VALUE"""),"")</f>
        <v/>
      </c>
    </row>
    <row r="9384" spans="1:5">
      <c r="A9384" s="12"/>
      <c r="E9384" s="57" t="str">
        <f ca="1">IFERROR(__xludf.DUMMYFUNCTION("""COMPUTED_VALUE"""),"")</f>
        <v/>
      </c>
    </row>
    <row r="9385" spans="1:5">
      <c r="A9385" s="12"/>
      <c r="E9385" s="57" t="str">
        <f ca="1">IFERROR(__xludf.DUMMYFUNCTION("""COMPUTED_VALUE"""),"")</f>
        <v/>
      </c>
    </row>
    <row r="9386" spans="1:5">
      <c r="A9386" s="12"/>
      <c r="E9386" s="57" t="str">
        <f ca="1">IFERROR(__xludf.DUMMYFUNCTION("""COMPUTED_VALUE"""),"")</f>
        <v/>
      </c>
    </row>
    <row r="9387" spans="1:5">
      <c r="A9387" s="12"/>
      <c r="E9387" s="57" t="str">
        <f ca="1">IFERROR(__xludf.DUMMYFUNCTION("""COMPUTED_VALUE"""),"")</f>
        <v/>
      </c>
    </row>
    <row r="9388" spans="1:5">
      <c r="A9388" s="12"/>
      <c r="E9388" s="57" t="str">
        <f ca="1">IFERROR(__xludf.DUMMYFUNCTION("""COMPUTED_VALUE"""),"")</f>
        <v/>
      </c>
    </row>
    <row r="9389" spans="1:5">
      <c r="A9389" s="12"/>
      <c r="E9389" s="57" t="str">
        <f ca="1">IFERROR(__xludf.DUMMYFUNCTION("""COMPUTED_VALUE"""),"")</f>
        <v/>
      </c>
    </row>
    <row r="9390" spans="1:5">
      <c r="A9390" s="12"/>
      <c r="E9390" s="57" t="str">
        <f ca="1">IFERROR(__xludf.DUMMYFUNCTION("""COMPUTED_VALUE"""),"")</f>
        <v/>
      </c>
    </row>
    <row r="9391" spans="1:5">
      <c r="A9391" s="12"/>
      <c r="E9391" s="57" t="str">
        <f ca="1">IFERROR(__xludf.DUMMYFUNCTION("""COMPUTED_VALUE"""),"")</f>
        <v/>
      </c>
    </row>
    <row r="9392" spans="1:5">
      <c r="A9392" s="12"/>
      <c r="E9392" s="57" t="str">
        <f ca="1">IFERROR(__xludf.DUMMYFUNCTION("""COMPUTED_VALUE"""),"")</f>
        <v/>
      </c>
    </row>
    <row r="9393" spans="1:5">
      <c r="A9393" s="12"/>
      <c r="E9393" s="57" t="str">
        <f ca="1">IFERROR(__xludf.DUMMYFUNCTION("""COMPUTED_VALUE"""),"")</f>
        <v/>
      </c>
    </row>
    <row r="9394" spans="1:5">
      <c r="A9394" s="12"/>
      <c r="E9394" s="57" t="str">
        <f ca="1">IFERROR(__xludf.DUMMYFUNCTION("""COMPUTED_VALUE"""),"")</f>
        <v/>
      </c>
    </row>
    <row r="9395" spans="1:5">
      <c r="A9395" s="12"/>
      <c r="E9395" s="57" t="str">
        <f ca="1">IFERROR(__xludf.DUMMYFUNCTION("""COMPUTED_VALUE"""),"")</f>
        <v/>
      </c>
    </row>
    <row r="9396" spans="1:5">
      <c r="A9396" s="12"/>
      <c r="E9396" s="57" t="str">
        <f ca="1">IFERROR(__xludf.DUMMYFUNCTION("""COMPUTED_VALUE"""),"")</f>
        <v/>
      </c>
    </row>
    <row r="9397" spans="1:5">
      <c r="A9397" s="12"/>
      <c r="E9397" s="57" t="str">
        <f ca="1">IFERROR(__xludf.DUMMYFUNCTION("""COMPUTED_VALUE"""),"")</f>
        <v/>
      </c>
    </row>
    <row r="9398" spans="1:5">
      <c r="A9398" s="12"/>
      <c r="E9398" s="57" t="str">
        <f ca="1">IFERROR(__xludf.DUMMYFUNCTION("""COMPUTED_VALUE"""),"")</f>
        <v/>
      </c>
    </row>
    <row r="9399" spans="1:5">
      <c r="A9399" s="12"/>
      <c r="E9399" s="57" t="str">
        <f ca="1">IFERROR(__xludf.DUMMYFUNCTION("""COMPUTED_VALUE"""),"")</f>
        <v/>
      </c>
    </row>
    <row r="9400" spans="1:5">
      <c r="A9400" s="12"/>
      <c r="E9400" s="57" t="str">
        <f ca="1">IFERROR(__xludf.DUMMYFUNCTION("""COMPUTED_VALUE"""),"")</f>
        <v/>
      </c>
    </row>
    <row r="9401" spans="1:5">
      <c r="A9401" s="12"/>
      <c r="E9401" s="57" t="str">
        <f ca="1">IFERROR(__xludf.DUMMYFUNCTION("""COMPUTED_VALUE"""),"")</f>
        <v/>
      </c>
    </row>
    <row r="9402" spans="1:5">
      <c r="A9402" s="12"/>
      <c r="E9402" s="57" t="str">
        <f ca="1">IFERROR(__xludf.DUMMYFUNCTION("""COMPUTED_VALUE"""),"")</f>
        <v/>
      </c>
    </row>
    <row r="9403" spans="1:5">
      <c r="A9403" s="12"/>
      <c r="E9403" s="57" t="str">
        <f ca="1">IFERROR(__xludf.DUMMYFUNCTION("""COMPUTED_VALUE"""),"")</f>
        <v/>
      </c>
    </row>
    <row r="9404" spans="1:5">
      <c r="A9404" s="12"/>
      <c r="E9404" s="57" t="str">
        <f ca="1">IFERROR(__xludf.DUMMYFUNCTION("""COMPUTED_VALUE"""),"")</f>
        <v/>
      </c>
    </row>
    <row r="9405" spans="1:5">
      <c r="A9405" s="12"/>
      <c r="E9405" s="57" t="str">
        <f ca="1">IFERROR(__xludf.DUMMYFUNCTION("""COMPUTED_VALUE"""),"")</f>
        <v/>
      </c>
    </row>
    <row r="9406" spans="1:5">
      <c r="A9406" s="12"/>
      <c r="E9406" s="57" t="str">
        <f ca="1">IFERROR(__xludf.DUMMYFUNCTION("""COMPUTED_VALUE"""),"")</f>
        <v/>
      </c>
    </row>
    <row r="9407" spans="1:5">
      <c r="A9407" s="12"/>
      <c r="E9407" s="57" t="str">
        <f ca="1">IFERROR(__xludf.DUMMYFUNCTION("""COMPUTED_VALUE"""),"")</f>
        <v/>
      </c>
    </row>
    <row r="9408" spans="1:5">
      <c r="A9408" s="12"/>
      <c r="E9408" s="57" t="str">
        <f ca="1">IFERROR(__xludf.DUMMYFUNCTION("""COMPUTED_VALUE"""),"")</f>
        <v/>
      </c>
    </row>
    <row r="9409" spans="1:5">
      <c r="A9409" s="12"/>
      <c r="E9409" s="57" t="str">
        <f ca="1">IFERROR(__xludf.DUMMYFUNCTION("""COMPUTED_VALUE"""),"")</f>
        <v/>
      </c>
    </row>
    <row r="9410" spans="1:5">
      <c r="A9410" s="12"/>
      <c r="E9410" s="57" t="str">
        <f ca="1">IFERROR(__xludf.DUMMYFUNCTION("""COMPUTED_VALUE"""),"")</f>
        <v/>
      </c>
    </row>
    <row r="9411" spans="1:5">
      <c r="A9411" s="12"/>
      <c r="E9411" s="57" t="str">
        <f ca="1">IFERROR(__xludf.DUMMYFUNCTION("""COMPUTED_VALUE"""),"")</f>
        <v/>
      </c>
    </row>
    <row r="9412" spans="1:5">
      <c r="A9412" s="12"/>
      <c r="E9412" s="57" t="str">
        <f ca="1">IFERROR(__xludf.DUMMYFUNCTION("""COMPUTED_VALUE"""),"")</f>
        <v/>
      </c>
    </row>
    <row r="9413" spans="1:5">
      <c r="A9413" s="12"/>
      <c r="E9413" s="57" t="str">
        <f ca="1">IFERROR(__xludf.DUMMYFUNCTION("""COMPUTED_VALUE"""),"")</f>
        <v/>
      </c>
    </row>
    <row r="9414" spans="1:5">
      <c r="A9414" s="12"/>
      <c r="E9414" s="57" t="str">
        <f ca="1">IFERROR(__xludf.DUMMYFUNCTION("""COMPUTED_VALUE"""),"")</f>
        <v/>
      </c>
    </row>
    <row r="9415" spans="1:5">
      <c r="A9415" s="12"/>
      <c r="E9415" s="57" t="str">
        <f ca="1">IFERROR(__xludf.DUMMYFUNCTION("""COMPUTED_VALUE"""),"")</f>
        <v/>
      </c>
    </row>
    <row r="9416" spans="1:5">
      <c r="A9416" s="12"/>
      <c r="E9416" s="57" t="str">
        <f ca="1">IFERROR(__xludf.DUMMYFUNCTION("""COMPUTED_VALUE"""),"")</f>
        <v/>
      </c>
    </row>
    <row r="9417" spans="1:5">
      <c r="A9417" s="12"/>
      <c r="E9417" s="57" t="str">
        <f ca="1">IFERROR(__xludf.DUMMYFUNCTION("""COMPUTED_VALUE"""),"")</f>
        <v/>
      </c>
    </row>
    <row r="9418" spans="1:5">
      <c r="A9418" s="12"/>
      <c r="E9418" s="57" t="str">
        <f ca="1">IFERROR(__xludf.DUMMYFUNCTION("""COMPUTED_VALUE"""),"")</f>
        <v/>
      </c>
    </row>
    <row r="9419" spans="1:5">
      <c r="A9419" s="12"/>
      <c r="E9419" s="57" t="str">
        <f ca="1">IFERROR(__xludf.DUMMYFUNCTION("""COMPUTED_VALUE"""),"")</f>
        <v/>
      </c>
    </row>
    <row r="9420" spans="1:5">
      <c r="A9420" s="12"/>
      <c r="E9420" s="57" t="str">
        <f ca="1">IFERROR(__xludf.DUMMYFUNCTION("""COMPUTED_VALUE"""),"")</f>
        <v/>
      </c>
    </row>
    <row r="9421" spans="1:5">
      <c r="A9421" s="12"/>
      <c r="E9421" s="57" t="str">
        <f ca="1">IFERROR(__xludf.DUMMYFUNCTION("""COMPUTED_VALUE"""),"")</f>
        <v/>
      </c>
    </row>
    <row r="9422" spans="1:5">
      <c r="A9422" s="12"/>
      <c r="E9422" s="57" t="str">
        <f ca="1">IFERROR(__xludf.DUMMYFUNCTION("""COMPUTED_VALUE"""),"")</f>
        <v/>
      </c>
    </row>
    <row r="9423" spans="1:5">
      <c r="A9423" s="12"/>
      <c r="E9423" s="57" t="str">
        <f ca="1">IFERROR(__xludf.DUMMYFUNCTION("""COMPUTED_VALUE"""),"")</f>
        <v/>
      </c>
    </row>
    <row r="9424" spans="1:5">
      <c r="A9424" s="12"/>
      <c r="E9424" s="57" t="str">
        <f ca="1">IFERROR(__xludf.DUMMYFUNCTION("""COMPUTED_VALUE"""),"")</f>
        <v/>
      </c>
    </row>
    <row r="9425" spans="1:5">
      <c r="A9425" s="12"/>
      <c r="E9425" s="57" t="str">
        <f ca="1">IFERROR(__xludf.DUMMYFUNCTION("""COMPUTED_VALUE"""),"")</f>
        <v/>
      </c>
    </row>
    <row r="9426" spans="1:5">
      <c r="A9426" s="12"/>
      <c r="E9426" s="57" t="str">
        <f ca="1">IFERROR(__xludf.DUMMYFUNCTION("""COMPUTED_VALUE"""),"")</f>
        <v/>
      </c>
    </row>
    <row r="9427" spans="1:5">
      <c r="A9427" s="12"/>
      <c r="E9427" s="57" t="str">
        <f ca="1">IFERROR(__xludf.DUMMYFUNCTION("""COMPUTED_VALUE"""),"")</f>
        <v/>
      </c>
    </row>
    <row r="9428" spans="1:5">
      <c r="A9428" s="12"/>
      <c r="E9428" s="57" t="str">
        <f ca="1">IFERROR(__xludf.DUMMYFUNCTION("""COMPUTED_VALUE"""),"")</f>
        <v/>
      </c>
    </row>
    <row r="9429" spans="1:5">
      <c r="A9429" s="12"/>
      <c r="E9429" s="57" t="str">
        <f ca="1">IFERROR(__xludf.DUMMYFUNCTION("""COMPUTED_VALUE"""),"")</f>
        <v/>
      </c>
    </row>
    <row r="9430" spans="1:5">
      <c r="A9430" s="12"/>
      <c r="E9430" s="57" t="str">
        <f ca="1">IFERROR(__xludf.DUMMYFUNCTION("""COMPUTED_VALUE"""),"")</f>
        <v/>
      </c>
    </row>
    <row r="9431" spans="1:5">
      <c r="A9431" s="12"/>
      <c r="E9431" s="57" t="str">
        <f ca="1">IFERROR(__xludf.DUMMYFUNCTION("""COMPUTED_VALUE"""),"")</f>
        <v/>
      </c>
    </row>
    <row r="9432" spans="1:5">
      <c r="A9432" s="12"/>
      <c r="E9432" s="57" t="str">
        <f ca="1">IFERROR(__xludf.DUMMYFUNCTION("""COMPUTED_VALUE"""),"")</f>
        <v/>
      </c>
    </row>
    <row r="9433" spans="1:5">
      <c r="A9433" s="12"/>
      <c r="E9433" s="57" t="str">
        <f ca="1">IFERROR(__xludf.DUMMYFUNCTION("""COMPUTED_VALUE"""),"")</f>
        <v/>
      </c>
    </row>
    <row r="9434" spans="1:5">
      <c r="A9434" s="12"/>
      <c r="E9434" s="57" t="str">
        <f ca="1">IFERROR(__xludf.DUMMYFUNCTION("""COMPUTED_VALUE"""),"")</f>
        <v/>
      </c>
    </row>
    <row r="9435" spans="1:5">
      <c r="A9435" s="12"/>
      <c r="E9435" s="57" t="str">
        <f ca="1">IFERROR(__xludf.DUMMYFUNCTION("""COMPUTED_VALUE"""),"")</f>
        <v/>
      </c>
    </row>
    <row r="9436" spans="1:5">
      <c r="A9436" s="12"/>
      <c r="E9436" s="57" t="str">
        <f ca="1">IFERROR(__xludf.DUMMYFUNCTION("""COMPUTED_VALUE"""),"")</f>
        <v/>
      </c>
    </row>
    <row r="9437" spans="1:5">
      <c r="A9437" s="12"/>
      <c r="E9437" s="57" t="str">
        <f ca="1">IFERROR(__xludf.DUMMYFUNCTION("""COMPUTED_VALUE"""),"")</f>
        <v/>
      </c>
    </row>
    <row r="9438" spans="1:5">
      <c r="A9438" s="12"/>
      <c r="E9438" s="57" t="str">
        <f ca="1">IFERROR(__xludf.DUMMYFUNCTION("""COMPUTED_VALUE"""),"")</f>
        <v/>
      </c>
    </row>
    <row r="9439" spans="1:5">
      <c r="A9439" s="12"/>
      <c r="E9439" s="57" t="str">
        <f ca="1">IFERROR(__xludf.DUMMYFUNCTION("""COMPUTED_VALUE"""),"")</f>
        <v/>
      </c>
    </row>
    <row r="9440" spans="1:5">
      <c r="A9440" s="12"/>
      <c r="E9440" s="57" t="str">
        <f ca="1">IFERROR(__xludf.DUMMYFUNCTION("""COMPUTED_VALUE"""),"")</f>
        <v/>
      </c>
    </row>
    <row r="9441" spans="1:5">
      <c r="A9441" s="12"/>
      <c r="E9441" s="57" t="str">
        <f ca="1">IFERROR(__xludf.DUMMYFUNCTION("""COMPUTED_VALUE"""),"")</f>
        <v/>
      </c>
    </row>
    <row r="9442" spans="1:5">
      <c r="A9442" s="12"/>
      <c r="E9442" s="57" t="str">
        <f ca="1">IFERROR(__xludf.DUMMYFUNCTION("""COMPUTED_VALUE"""),"")</f>
        <v/>
      </c>
    </row>
    <row r="9443" spans="1:5">
      <c r="A9443" s="12"/>
      <c r="E9443" s="57" t="str">
        <f ca="1">IFERROR(__xludf.DUMMYFUNCTION("""COMPUTED_VALUE"""),"")</f>
        <v/>
      </c>
    </row>
    <row r="9444" spans="1:5">
      <c r="A9444" s="12"/>
      <c r="E9444" s="57" t="str">
        <f ca="1">IFERROR(__xludf.DUMMYFUNCTION("""COMPUTED_VALUE"""),"")</f>
        <v/>
      </c>
    </row>
    <row r="9445" spans="1:5">
      <c r="A9445" s="12"/>
      <c r="E9445" s="57" t="str">
        <f ca="1">IFERROR(__xludf.DUMMYFUNCTION("""COMPUTED_VALUE"""),"")</f>
        <v/>
      </c>
    </row>
    <row r="9446" spans="1:5">
      <c r="A9446" s="12"/>
      <c r="E9446" s="57" t="str">
        <f ca="1">IFERROR(__xludf.DUMMYFUNCTION("""COMPUTED_VALUE"""),"")</f>
        <v/>
      </c>
    </row>
    <row r="9447" spans="1:5">
      <c r="A9447" s="12"/>
      <c r="E9447" s="57" t="str">
        <f ca="1">IFERROR(__xludf.DUMMYFUNCTION("""COMPUTED_VALUE"""),"")</f>
        <v/>
      </c>
    </row>
    <row r="9448" spans="1:5">
      <c r="A9448" s="12"/>
      <c r="E9448" s="57" t="str">
        <f ca="1">IFERROR(__xludf.DUMMYFUNCTION("""COMPUTED_VALUE"""),"")</f>
        <v/>
      </c>
    </row>
    <row r="9449" spans="1:5">
      <c r="A9449" s="12"/>
      <c r="E9449" s="57" t="str">
        <f ca="1">IFERROR(__xludf.DUMMYFUNCTION("""COMPUTED_VALUE"""),"")</f>
        <v/>
      </c>
    </row>
    <row r="9450" spans="1:5">
      <c r="A9450" s="12"/>
      <c r="E9450" s="57" t="str">
        <f ca="1">IFERROR(__xludf.DUMMYFUNCTION("""COMPUTED_VALUE"""),"")</f>
        <v/>
      </c>
    </row>
    <row r="9451" spans="1:5">
      <c r="A9451" s="12"/>
      <c r="E9451" s="57" t="str">
        <f ca="1">IFERROR(__xludf.DUMMYFUNCTION("""COMPUTED_VALUE"""),"")</f>
        <v/>
      </c>
    </row>
    <row r="9452" spans="1:5">
      <c r="A9452" s="12"/>
      <c r="E9452" s="57" t="str">
        <f ca="1">IFERROR(__xludf.DUMMYFUNCTION("""COMPUTED_VALUE"""),"")</f>
        <v/>
      </c>
    </row>
    <row r="9453" spans="1:5">
      <c r="A9453" s="12"/>
      <c r="E9453" s="57" t="str">
        <f ca="1">IFERROR(__xludf.DUMMYFUNCTION("""COMPUTED_VALUE"""),"")</f>
        <v/>
      </c>
    </row>
    <row r="9454" spans="1:5">
      <c r="A9454" s="12"/>
      <c r="E9454" s="57" t="str">
        <f ca="1">IFERROR(__xludf.DUMMYFUNCTION("""COMPUTED_VALUE"""),"")</f>
        <v/>
      </c>
    </row>
    <row r="9455" spans="1:5">
      <c r="A9455" s="12"/>
      <c r="E9455" s="57" t="str">
        <f ca="1">IFERROR(__xludf.DUMMYFUNCTION("""COMPUTED_VALUE"""),"")</f>
        <v/>
      </c>
    </row>
    <row r="9456" spans="1:5">
      <c r="A9456" s="12"/>
      <c r="E9456" s="57" t="str">
        <f ca="1">IFERROR(__xludf.DUMMYFUNCTION("""COMPUTED_VALUE"""),"")</f>
        <v/>
      </c>
    </row>
    <row r="9457" spans="1:5">
      <c r="A9457" s="12"/>
      <c r="E9457" s="57" t="str">
        <f ca="1">IFERROR(__xludf.DUMMYFUNCTION("""COMPUTED_VALUE"""),"")</f>
        <v/>
      </c>
    </row>
    <row r="9458" spans="1:5">
      <c r="A9458" s="12"/>
      <c r="E9458" s="57" t="str">
        <f ca="1">IFERROR(__xludf.DUMMYFUNCTION("""COMPUTED_VALUE"""),"")</f>
        <v/>
      </c>
    </row>
    <row r="9459" spans="1:5">
      <c r="A9459" s="12"/>
      <c r="E9459" s="57" t="str">
        <f ca="1">IFERROR(__xludf.DUMMYFUNCTION("""COMPUTED_VALUE"""),"")</f>
        <v/>
      </c>
    </row>
    <row r="9460" spans="1:5">
      <c r="A9460" s="12"/>
      <c r="E9460" s="57" t="str">
        <f ca="1">IFERROR(__xludf.DUMMYFUNCTION("""COMPUTED_VALUE"""),"")</f>
        <v/>
      </c>
    </row>
    <row r="9461" spans="1:5">
      <c r="A9461" s="12"/>
      <c r="E9461" s="57" t="str">
        <f ca="1">IFERROR(__xludf.DUMMYFUNCTION("""COMPUTED_VALUE"""),"")</f>
        <v/>
      </c>
    </row>
    <row r="9462" spans="1:5">
      <c r="A9462" s="12"/>
      <c r="E9462" s="57" t="str">
        <f ca="1">IFERROR(__xludf.DUMMYFUNCTION("""COMPUTED_VALUE"""),"")</f>
        <v/>
      </c>
    </row>
    <row r="9463" spans="1:5">
      <c r="A9463" s="12"/>
      <c r="E9463" s="57" t="str">
        <f ca="1">IFERROR(__xludf.DUMMYFUNCTION("""COMPUTED_VALUE"""),"")</f>
        <v/>
      </c>
    </row>
    <row r="9464" spans="1:5">
      <c r="A9464" s="12"/>
      <c r="E9464" s="57" t="str">
        <f ca="1">IFERROR(__xludf.DUMMYFUNCTION("""COMPUTED_VALUE"""),"")</f>
        <v/>
      </c>
    </row>
    <row r="9465" spans="1:5">
      <c r="A9465" s="12"/>
      <c r="E9465" s="57" t="str">
        <f ca="1">IFERROR(__xludf.DUMMYFUNCTION("""COMPUTED_VALUE"""),"")</f>
        <v/>
      </c>
    </row>
    <row r="9466" spans="1:5">
      <c r="A9466" s="12"/>
      <c r="E9466" s="57" t="str">
        <f ca="1">IFERROR(__xludf.DUMMYFUNCTION("""COMPUTED_VALUE"""),"")</f>
        <v/>
      </c>
    </row>
    <row r="9467" spans="1:5">
      <c r="A9467" s="12"/>
      <c r="E9467" s="57" t="str">
        <f ca="1">IFERROR(__xludf.DUMMYFUNCTION("""COMPUTED_VALUE"""),"")</f>
        <v/>
      </c>
    </row>
    <row r="9468" spans="1:5">
      <c r="A9468" s="12"/>
      <c r="E9468" s="57" t="str">
        <f ca="1">IFERROR(__xludf.DUMMYFUNCTION("""COMPUTED_VALUE"""),"")</f>
        <v/>
      </c>
    </row>
    <row r="9469" spans="1:5">
      <c r="A9469" s="12"/>
      <c r="E9469" s="57" t="str">
        <f ca="1">IFERROR(__xludf.DUMMYFUNCTION("""COMPUTED_VALUE"""),"")</f>
        <v/>
      </c>
    </row>
    <row r="9470" spans="1:5">
      <c r="A9470" s="12"/>
      <c r="E9470" s="57" t="str">
        <f ca="1">IFERROR(__xludf.DUMMYFUNCTION("""COMPUTED_VALUE"""),"")</f>
        <v/>
      </c>
    </row>
    <row r="9471" spans="1:5">
      <c r="A9471" s="12"/>
      <c r="E9471" s="57" t="str">
        <f ca="1">IFERROR(__xludf.DUMMYFUNCTION("""COMPUTED_VALUE"""),"")</f>
        <v/>
      </c>
    </row>
    <row r="9472" spans="1:5">
      <c r="A9472" s="12"/>
      <c r="E9472" s="57" t="str">
        <f ca="1">IFERROR(__xludf.DUMMYFUNCTION("""COMPUTED_VALUE"""),"")</f>
        <v/>
      </c>
    </row>
    <row r="9473" spans="1:5">
      <c r="A9473" s="12"/>
      <c r="E9473" s="57" t="str">
        <f ca="1">IFERROR(__xludf.DUMMYFUNCTION("""COMPUTED_VALUE"""),"")</f>
        <v/>
      </c>
    </row>
    <row r="9474" spans="1:5">
      <c r="A9474" s="12"/>
      <c r="E9474" s="57" t="str">
        <f ca="1">IFERROR(__xludf.DUMMYFUNCTION("""COMPUTED_VALUE"""),"")</f>
        <v/>
      </c>
    </row>
    <row r="9475" spans="1:5">
      <c r="A9475" s="12"/>
      <c r="E9475" s="57" t="str">
        <f ca="1">IFERROR(__xludf.DUMMYFUNCTION("""COMPUTED_VALUE"""),"")</f>
        <v/>
      </c>
    </row>
    <row r="9476" spans="1:5">
      <c r="A9476" s="12"/>
      <c r="E9476" s="57" t="str">
        <f ca="1">IFERROR(__xludf.DUMMYFUNCTION("""COMPUTED_VALUE"""),"")</f>
        <v/>
      </c>
    </row>
    <row r="9477" spans="1:5">
      <c r="A9477" s="12"/>
      <c r="E9477" s="57" t="str">
        <f ca="1">IFERROR(__xludf.DUMMYFUNCTION("""COMPUTED_VALUE"""),"")</f>
        <v/>
      </c>
    </row>
    <row r="9478" spans="1:5">
      <c r="A9478" s="12"/>
      <c r="E9478" s="57" t="str">
        <f ca="1">IFERROR(__xludf.DUMMYFUNCTION("""COMPUTED_VALUE"""),"")</f>
        <v/>
      </c>
    </row>
    <row r="9479" spans="1:5">
      <c r="A9479" s="12"/>
      <c r="E9479" s="57" t="str">
        <f ca="1">IFERROR(__xludf.DUMMYFUNCTION("""COMPUTED_VALUE"""),"")</f>
        <v/>
      </c>
    </row>
    <row r="9480" spans="1:5">
      <c r="A9480" s="12"/>
      <c r="E9480" s="57" t="str">
        <f ca="1">IFERROR(__xludf.DUMMYFUNCTION("""COMPUTED_VALUE"""),"")</f>
        <v/>
      </c>
    </row>
    <row r="9481" spans="1:5">
      <c r="A9481" s="12"/>
      <c r="E9481" s="57" t="str">
        <f ca="1">IFERROR(__xludf.DUMMYFUNCTION("""COMPUTED_VALUE"""),"")</f>
        <v/>
      </c>
    </row>
    <row r="9482" spans="1:5">
      <c r="A9482" s="12"/>
      <c r="E9482" s="57" t="str">
        <f ca="1">IFERROR(__xludf.DUMMYFUNCTION("""COMPUTED_VALUE"""),"")</f>
        <v/>
      </c>
    </row>
    <row r="9483" spans="1:5">
      <c r="A9483" s="12"/>
      <c r="E9483" s="57" t="str">
        <f ca="1">IFERROR(__xludf.DUMMYFUNCTION("""COMPUTED_VALUE"""),"")</f>
        <v/>
      </c>
    </row>
    <row r="9484" spans="1:5">
      <c r="A9484" s="12"/>
      <c r="E9484" s="57" t="str">
        <f ca="1">IFERROR(__xludf.DUMMYFUNCTION("""COMPUTED_VALUE"""),"")</f>
        <v/>
      </c>
    </row>
    <row r="9485" spans="1:5">
      <c r="A9485" s="12"/>
      <c r="E9485" s="57" t="str">
        <f ca="1">IFERROR(__xludf.DUMMYFUNCTION("""COMPUTED_VALUE"""),"")</f>
        <v/>
      </c>
    </row>
    <row r="9486" spans="1:5">
      <c r="A9486" s="12"/>
      <c r="E9486" s="57" t="str">
        <f ca="1">IFERROR(__xludf.DUMMYFUNCTION("""COMPUTED_VALUE"""),"")</f>
        <v/>
      </c>
    </row>
    <row r="9487" spans="1:5">
      <c r="A9487" s="12"/>
      <c r="E9487" s="57" t="str">
        <f ca="1">IFERROR(__xludf.DUMMYFUNCTION("""COMPUTED_VALUE"""),"")</f>
        <v/>
      </c>
    </row>
    <row r="9488" spans="1:5">
      <c r="A9488" s="12"/>
      <c r="E9488" s="57" t="str">
        <f ca="1">IFERROR(__xludf.DUMMYFUNCTION("""COMPUTED_VALUE"""),"")</f>
        <v/>
      </c>
    </row>
    <row r="9489" spans="1:5">
      <c r="A9489" s="12"/>
      <c r="E9489" s="57" t="str">
        <f ca="1">IFERROR(__xludf.DUMMYFUNCTION("""COMPUTED_VALUE"""),"")</f>
        <v/>
      </c>
    </row>
    <row r="9490" spans="1:5">
      <c r="A9490" s="12"/>
      <c r="E9490" s="57" t="str">
        <f ca="1">IFERROR(__xludf.DUMMYFUNCTION("""COMPUTED_VALUE"""),"")</f>
        <v/>
      </c>
    </row>
    <row r="9491" spans="1:5">
      <c r="A9491" s="12"/>
      <c r="E9491" s="57" t="str">
        <f ca="1">IFERROR(__xludf.DUMMYFUNCTION("""COMPUTED_VALUE"""),"")</f>
        <v/>
      </c>
    </row>
    <row r="9492" spans="1:5">
      <c r="A9492" s="12"/>
      <c r="E9492" s="57" t="str">
        <f ca="1">IFERROR(__xludf.DUMMYFUNCTION("""COMPUTED_VALUE"""),"")</f>
        <v/>
      </c>
    </row>
    <row r="9493" spans="1:5">
      <c r="A9493" s="12"/>
      <c r="E9493" s="57" t="str">
        <f ca="1">IFERROR(__xludf.DUMMYFUNCTION("""COMPUTED_VALUE"""),"")</f>
        <v/>
      </c>
    </row>
    <row r="9494" spans="1:5">
      <c r="A9494" s="12"/>
      <c r="E9494" s="57" t="str">
        <f ca="1">IFERROR(__xludf.DUMMYFUNCTION("""COMPUTED_VALUE"""),"")</f>
        <v/>
      </c>
    </row>
    <row r="9495" spans="1:5">
      <c r="A9495" s="12"/>
      <c r="E9495" s="57" t="str">
        <f ca="1">IFERROR(__xludf.DUMMYFUNCTION("""COMPUTED_VALUE"""),"")</f>
        <v/>
      </c>
    </row>
    <row r="9496" spans="1:5">
      <c r="A9496" s="12"/>
      <c r="E9496" s="57" t="str">
        <f ca="1">IFERROR(__xludf.DUMMYFUNCTION("""COMPUTED_VALUE"""),"")</f>
        <v/>
      </c>
    </row>
    <row r="9497" spans="1:5">
      <c r="A9497" s="12"/>
      <c r="E9497" s="57" t="str">
        <f ca="1">IFERROR(__xludf.DUMMYFUNCTION("""COMPUTED_VALUE"""),"")</f>
        <v/>
      </c>
    </row>
    <row r="9498" spans="1:5">
      <c r="A9498" s="12"/>
      <c r="E9498" s="57" t="str">
        <f ca="1">IFERROR(__xludf.DUMMYFUNCTION("""COMPUTED_VALUE"""),"")</f>
        <v/>
      </c>
    </row>
    <row r="9499" spans="1:5">
      <c r="A9499" s="12"/>
      <c r="E9499" s="57" t="str">
        <f ca="1">IFERROR(__xludf.DUMMYFUNCTION("""COMPUTED_VALUE"""),"")</f>
        <v/>
      </c>
    </row>
    <row r="9500" spans="1:5">
      <c r="A9500" s="12"/>
      <c r="E9500" s="57" t="str">
        <f ca="1">IFERROR(__xludf.DUMMYFUNCTION("""COMPUTED_VALUE"""),"")</f>
        <v/>
      </c>
    </row>
    <row r="9501" spans="1:5">
      <c r="A9501" s="12"/>
      <c r="E9501" s="57" t="str">
        <f ca="1">IFERROR(__xludf.DUMMYFUNCTION("""COMPUTED_VALUE"""),"")</f>
        <v/>
      </c>
    </row>
    <row r="9502" spans="1:5">
      <c r="A9502" s="12"/>
      <c r="E9502" s="57" t="str">
        <f ca="1">IFERROR(__xludf.DUMMYFUNCTION("""COMPUTED_VALUE"""),"")</f>
        <v/>
      </c>
    </row>
    <row r="9503" spans="1:5">
      <c r="A9503" s="12"/>
      <c r="E9503" s="57" t="str">
        <f ca="1">IFERROR(__xludf.DUMMYFUNCTION("""COMPUTED_VALUE"""),"")</f>
        <v/>
      </c>
    </row>
    <row r="9504" spans="1:5">
      <c r="A9504" s="12"/>
      <c r="E9504" s="57" t="str">
        <f ca="1">IFERROR(__xludf.DUMMYFUNCTION("""COMPUTED_VALUE"""),"")</f>
        <v/>
      </c>
    </row>
    <row r="9505" spans="1:5">
      <c r="A9505" s="12"/>
      <c r="E9505" s="57" t="str">
        <f ca="1">IFERROR(__xludf.DUMMYFUNCTION("""COMPUTED_VALUE"""),"")</f>
        <v/>
      </c>
    </row>
    <row r="9506" spans="1:5">
      <c r="A9506" s="12"/>
      <c r="E9506" s="57" t="str">
        <f ca="1">IFERROR(__xludf.DUMMYFUNCTION("""COMPUTED_VALUE"""),"")</f>
        <v/>
      </c>
    </row>
    <row r="9507" spans="1:5">
      <c r="A9507" s="12"/>
      <c r="E9507" s="57" t="str">
        <f ca="1">IFERROR(__xludf.DUMMYFUNCTION("""COMPUTED_VALUE"""),"")</f>
        <v/>
      </c>
    </row>
    <row r="9508" spans="1:5">
      <c r="A9508" s="12"/>
      <c r="E9508" s="57" t="str">
        <f ca="1">IFERROR(__xludf.DUMMYFUNCTION("""COMPUTED_VALUE"""),"")</f>
        <v/>
      </c>
    </row>
    <row r="9509" spans="1:5">
      <c r="A9509" s="12"/>
      <c r="E9509" s="57" t="str">
        <f ca="1">IFERROR(__xludf.DUMMYFUNCTION("""COMPUTED_VALUE"""),"")</f>
        <v/>
      </c>
    </row>
    <row r="9510" spans="1:5">
      <c r="A9510" s="12"/>
      <c r="E9510" s="57" t="str">
        <f ca="1">IFERROR(__xludf.DUMMYFUNCTION("""COMPUTED_VALUE"""),"")</f>
        <v/>
      </c>
    </row>
    <row r="9511" spans="1:5">
      <c r="A9511" s="12"/>
      <c r="E9511" s="57" t="str">
        <f ca="1">IFERROR(__xludf.DUMMYFUNCTION("""COMPUTED_VALUE"""),"")</f>
        <v/>
      </c>
    </row>
    <row r="9512" spans="1:5">
      <c r="A9512" s="12"/>
      <c r="E9512" s="57" t="str">
        <f ca="1">IFERROR(__xludf.DUMMYFUNCTION("""COMPUTED_VALUE"""),"")</f>
        <v/>
      </c>
    </row>
    <row r="9513" spans="1:5">
      <c r="A9513" s="12"/>
      <c r="E9513" s="57" t="str">
        <f ca="1">IFERROR(__xludf.DUMMYFUNCTION("""COMPUTED_VALUE"""),"")</f>
        <v/>
      </c>
    </row>
    <row r="9514" spans="1:5">
      <c r="A9514" s="12"/>
      <c r="E9514" s="57" t="str">
        <f ca="1">IFERROR(__xludf.DUMMYFUNCTION("""COMPUTED_VALUE"""),"")</f>
        <v/>
      </c>
    </row>
    <row r="9515" spans="1:5">
      <c r="A9515" s="12"/>
      <c r="E9515" s="57" t="str">
        <f ca="1">IFERROR(__xludf.DUMMYFUNCTION("""COMPUTED_VALUE"""),"")</f>
        <v/>
      </c>
    </row>
    <row r="9516" spans="1:5">
      <c r="A9516" s="12"/>
      <c r="E9516" s="57" t="str">
        <f ca="1">IFERROR(__xludf.DUMMYFUNCTION("""COMPUTED_VALUE"""),"")</f>
        <v/>
      </c>
    </row>
    <row r="9517" spans="1:5">
      <c r="A9517" s="12"/>
      <c r="E9517" s="57" t="str">
        <f ca="1">IFERROR(__xludf.DUMMYFUNCTION("""COMPUTED_VALUE"""),"")</f>
        <v/>
      </c>
    </row>
    <row r="9518" spans="1:5">
      <c r="A9518" s="12"/>
      <c r="E9518" s="57" t="str">
        <f ca="1">IFERROR(__xludf.DUMMYFUNCTION("""COMPUTED_VALUE"""),"")</f>
        <v/>
      </c>
    </row>
    <row r="9519" spans="1:5">
      <c r="A9519" s="12"/>
      <c r="E9519" s="57" t="str">
        <f ca="1">IFERROR(__xludf.DUMMYFUNCTION("""COMPUTED_VALUE"""),"")</f>
        <v/>
      </c>
    </row>
    <row r="9520" spans="1:5">
      <c r="A9520" s="12"/>
      <c r="E9520" s="57" t="str">
        <f ca="1">IFERROR(__xludf.DUMMYFUNCTION("""COMPUTED_VALUE"""),"")</f>
        <v/>
      </c>
    </row>
    <row r="9521" spans="1:5">
      <c r="A9521" s="12"/>
      <c r="E9521" s="57" t="str">
        <f ca="1">IFERROR(__xludf.DUMMYFUNCTION("""COMPUTED_VALUE"""),"")</f>
        <v/>
      </c>
    </row>
    <row r="9522" spans="1:5">
      <c r="A9522" s="12"/>
      <c r="E9522" s="57" t="str">
        <f ca="1">IFERROR(__xludf.DUMMYFUNCTION("""COMPUTED_VALUE"""),"")</f>
        <v/>
      </c>
    </row>
    <row r="9523" spans="1:5">
      <c r="A9523" s="12"/>
      <c r="E9523" s="57" t="str">
        <f ca="1">IFERROR(__xludf.DUMMYFUNCTION("""COMPUTED_VALUE"""),"")</f>
        <v/>
      </c>
    </row>
    <row r="9524" spans="1:5">
      <c r="A9524" s="12"/>
      <c r="E9524" s="57" t="str">
        <f ca="1">IFERROR(__xludf.DUMMYFUNCTION("""COMPUTED_VALUE"""),"")</f>
        <v/>
      </c>
    </row>
    <row r="9525" spans="1:5">
      <c r="A9525" s="12"/>
      <c r="E9525" s="57" t="str">
        <f ca="1">IFERROR(__xludf.DUMMYFUNCTION("""COMPUTED_VALUE"""),"")</f>
        <v/>
      </c>
    </row>
    <row r="9526" spans="1:5">
      <c r="A9526" s="12"/>
      <c r="E9526" s="57" t="str">
        <f ca="1">IFERROR(__xludf.DUMMYFUNCTION("""COMPUTED_VALUE"""),"")</f>
        <v/>
      </c>
    </row>
    <row r="9527" spans="1:5">
      <c r="A9527" s="12"/>
      <c r="E9527" s="57" t="str">
        <f ca="1">IFERROR(__xludf.DUMMYFUNCTION("""COMPUTED_VALUE"""),"")</f>
        <v/>
      </c>
    </row>
    <row r="9528" spans="1:5">
      <c r="A9528" s="12"/>
      <c r="E9528" s="57" t="str">
        <f ca="1">IFERROR(__xludf.DUMMYFUNCTION("""COMPUTED_VALUE"""),"")</f>
        <v/>
      </c>
    </row>
    <row r="9529" spans="1:5">
      <c r="A9529" s="12"/>
      <c r="E9529" s="57" t="str">
        <f ca="1">IFERROR(__xludf.DUMMYFUNCTION("""COMPUTED_VALUE"""),"")</f>
        <v/>
      </c>
    </row>
    <row r="9530" spans="1:5">
      <c r="A9530" s="12"/>
      <c r="E9530" s="57" t="str">
        <f ca="1">IFERROR(__xludf.DUMMYFUNCTION("""COMPUTED_VALUE"""),"")</f>
        <v/>
      </c>
    </row>
    <row r="9531" spans="1:5">
      <c r="A9531" s="12"/>
      <c r="E9531" s="57" t="str">
        <f ca="1">IFERROR(__xludf.DUMMYFUNCTION("""COMPUTED_VALUE"""),"")</f>
        <v/>
      </c>
    </row>
    <row r="9532" spans="1:5">
      <c r="A9532" s="12"/>
      <c r="E9532" s="57" t="str">
        <f ca="1">IFERROR(__xludf.DUMMYFUNCTION("""COMPUTED_VALUE"""),"")</f>
        <v/>
      </c>
    </row>
    <row r="9533" spans="1:5">
      <c r="A9533" s="12"/>
      <c r="E9533" s="57" t="str">
        <f ca="1">IFERROR(__xludf.DUMMYFUNCTION("""COMPUTED_VALUE"""),"")</f>
        <v/>
      </c>
    </row>
    <row r="9534" spans="1:5">
      <c r="A9534" s="12"/>
      <c r="E9534" s="57" t="str">
        <f ca="1">IFERROR(__xludf.DUMMYFUNCTION("""COMPUTED_VALUE"""),"")</f>
        <v/>
      </c>
    </row>
    <row r="9535" spans="1:5">
      <c r="A9535" s="12"/>
      <c r="E9535" s="57" t="str">
        <f ca="1">IFERROR(__xludf.DUMMYFUNCTION("""COMPUTED_VALUE"""),"")</f>
        <v/>
      </c>
    </row>
    <row r="9536" spans="1:5">
      <c r="A9536" s="12"/>
      <c r="E9536" s="57" t="str">
        <f ca="1">IFERROR(__xludf.DUMMYFUNCTION("""COMPUTED_VALUE"""),"")</f>
        <v/>
      </c>
    </row>
    <row r="9537" spans="1:5">
      <c r="A9537" s="12"/>
      <c r="E9537" s="57" t="str">
        <f ca="1">IFERROR(__xludf.DUMMYFUNCTION("""COMPUTED_VALUE"""),"")</f>
        <v/>
      </c>
    </row>
    <row r="9538" spans="1:5">
      <c r="A9538" s="12"/>
      <c r="E9538" s="57" t="str">
        <f ca="1">IFERROR(__xludf.DUMMYFUNCTION("""COMPUTED_VALUE"""),"")</f>
        <v/>
      </c>
    </row>
    <row r="9539" spans="1:5">
      <c r="A9539" s="12"/>
      <c r="E9539" s="57" t="str">
        <f ca="1">IFERROR(__xludf.DUMMYFUNCTION("""COMPUTED_VALUE"""),"")</f>
        <v/>
      </c>
    </row>
    <row r="9540" spans="1:5">
      <c r="A9540" s="12"/>
      <c r="E9540" s="57" t="str">
        <f ca="1">IFERROR(__xludf.DUMMYFUNCTION("""COMPUTED_VALUE"""),"")</f>
        <v/>
      </c>
    </row>
    <row r="9541" spans="1:5">
      <c r="A9541" s="12"/>
      <c r="E9541" s="57" t="str">
        <f ca="1">IFERROR(__xludf.DUMMYFUNCTION("""COMPUTED_VALUE"""),"")</f>
        <v/>
      </c>
    </row>
    <row r="9542" spans="1:5">
      <c r="A9542" s="12"/>
      <c r="E9542" s="57" t="str">
        <f ca="1">IFERROR(__xludf.DUMMYFUNCTION("""COMPUTED_VALUE"""),"")</f>
        <v/>
      </c>
    </row>
    <row r="9543" spans="1:5">
      <c r="A9543" s="12"/>
      <c r="E9543" s="57" t="str">
        <f ca="1">IFERROR(__xludf.DUMMYFUNCTION("""COMPUTED_VALUE"""),"")</f>
        <v/>
      </c>
    </row>
    <row r="9544" spans="1:5">
      <c r="A9544" s="12"/>
      <c r="E9544" s="57" t="str">
        <f ca="1">IFERROR(__xludf.DUMMYFUNCTION("""COMPUTED_VALUE"""),"")</f>
        <v/>
      </c>
    </row>
    <row r="9545" spans="1:5">
      <c r="A9545" s="12"/>
      <c r="E9545" s="57" t="str">
        <f ca="1">IFERROR(__xludf.DUMMYFUNCTION("""COMPUTED_VALUE"""),"")</f>
        <v/>
      </c>
    </row>
    <row r="9546" spans="1:5">
      <c r="A9546" s="12"/>
      <c r="E9546" s="57" t="str">
        <f ca="1">IFERROR(__xludf.DUMMYFUNCTION("""COMPUTED_VALUE"""),"")</f>
        <v/>
      </c>
    </row>
    <row r="9547" spans="1:5">
      <c r="A9547" s="12"/>
      <c r="E9547" s="57" t="str">
        <f ca="1">IFERROR(__xludf.DUMMYFUNCTION("""COMPUTED_VALUE"""),"")</f>
        <v/>
      </c>
    </row>
    <row r="9548" spans="1:5">
      <c r="A9548" s="12"/>
      <c r="E9548" s="57" t="str">
        <f ca="1">IFERROR(__xludf.DUMMYFUNCTION("""COMPUTED_VALUE"""),"")</f>
        <v/>
      </c>
    </row>
    <row r="9549" spans="1:5">
      <c r="A9549" s="12"/>
      <c r="E9549" s="57" t="str">
        <f ca="1">IFERROR(__xludf.DUMMYFUNCTION("""COMPUTED_VALUE"""),"")</f>
        <v/>
      </c>
    </row>
    <row r="9550" spans="1:5">
      <c r="A9550" s="12"/>
      <c r="E9550" s="57" t="str">
        <f ca="1">IFERROR(__xludf.DUMMYFUNCTION("""COMPUTED_VALUE"""),"")</f>
        <v/>
      </c>
    </row>
    <row r="9551" spans="1:5">
      <c r="A9551" s="12"/>
      <c r="E9551" s="57" t="str">
        <f ca="1">IFERROR(__xludf.DUMMYFUNCTION("""COMPUTED_VALUE"""),"")</f>
        <v/>
      </c>
    </row>
    <row r="9552" spans="1:5">
      <c r="A9552" s="12"/>
      <c r="E9552" s="57" t="str">
        <f ca="1">IFERROR(__xludf.DUMMYFUNCTION("""COMPUTED_VALUE"""),"")</f>
        <v/>
      </c>
    </row>
    <row r="9553" spans="1:5">
      <c r="A9553" s="12"/>
      <c r="E9553" s="57" t="str">
        <f ca="1">IFERROR(__xludf.DUMMYFUNCTION("""COMPUTED_VALUE"""),"")</f>
        <v/>
      </c>
    </row>
    <row r="9554" spans="1:5">
      <c r="A9554" s="12"/>
      <c r="E9554" s="57" t="str">
        <f ca="1">IFERROR(__xludf.DUMMYFUNCTION("""COMPUTED_VALUE"""),"")</f>
        <v/>
      </c>
    </row>
    <row r="9555" spans="1:5">
      <c r="A9555" s="12"/>
      <c r="E9555" s="57" t="str">
        <f ca="1">IFERROR(__xludf.DUMMYFUNCTION("""COMPUTED_VALUE"""),"")</f>
        <v/>
      </c>
    </row>
    <row r="9556" spans="1:5">
      <c r="A9556" s="12"/>
      <c r="E9556" s="57" t="str">
        <f ca="1">IFERROR(__xludf.DUMMYFUNCTION("""COMPUTED_VALUE"""),"")</f>
        <v/>
      </c>
    </row>
    <row r="9557" spans="1:5">
      <c r="A9557" s="12"/>
      <c r="E9557" s="57" t="str">
        <f ca="1">IFERROR(__xludf.DUMMYFUNCTION("""COMPUTED_VALUE"""),"")</f>
        <v/>
      </c>
    </row>
    <row r="9558" spans="1:5">
      <c r="A9558" s="12"/>
      <c r="E9558" s="57" t="str">
        <f ca="1">IFERROR(__xludf.DUMMYFUNCTION("""COMPUTED_VALUE"""),"")</f>
        <v/>
      </c>
    </row>
    <row r="9559" spans="1:5">
      <c r="A9559" s="12"/>
      <c r="E9559" s="57" t="str">
        <f ca="1">IFERROR(__xludf.DUMMYFUNCTION("""COMPUTED_VALUE"""),"")</f>
        <v/>
      </c>
    </row>
    <row r="9560" spans="1:5">
      <c r="A9560" s="12"/>
      <c r="E9560" s="57" t="str">
        <f ca="1">IFERROR(__xludf.DUMMYFUNCTION("""COMPUTED_VALUE"""),"")</f>
        <v/>
      </c>
    </row>
    <row r="9561" spans="1:5">
      <c r="A9561" s="12"/>
      <c r="E9561" s="57" t="str">
        <f ca="1">IFERROR(__xludf.DUMMYFUNCTION("""COMPUTED_VALUE"""),"")</f>
        <v/>
      </c>
    </row>
    <row r="9562" spans="1:5">
      <c r="A9562" s="12"/>
      <c r="E9562" s="57" t="str">
        <f ca="1">IFERROR(__xludf.DUMMYFUNCTION("""COMPUTED_VALUE"""),"")</f>
        <v/>
      </c>
    </row>
    <row r="9563" spans="1:5">
      <c r="A9563" s="12"/>
      <c r="E9563" s="57" t="str">
        <f ca="1">IFERROR(__xludf.DUMMYFUNCTION("""COMPUTED_VALUE"""),"")</f>
        <v/>
      </c>
    </row>
    <row r="9564" spans="1:5">
      <c r="A9564" s="12"/>
      <c r="E9564" s="57" t="str">
        <f ca="1">IFERROR(__xludf.DUMMYFUNCTION("""COMPUTED_VALUE"""),"")</f>
        <v/>
      </c>
    </row>
    <row r="9565" spans="1:5">
      <c r="A9565" s="12"/>
      <c r="E9565" s="57" t="str">
        <f ca="1">IFERROR(__xludf.DUMMYFUNCTION("""COMPUTED_VALUE"""),"")</f>
        <v/>
      </c>
    </row>
    <row r="9566" spans="1:5">
      <c r="A9566" s="12"/>
      <c r="E9566" s="57" t="str">
        <f ca="1">IFERROR(__xludf.DUMMYFUNCTION("""COMPUTED_VALUE"""),"")</f>
        <v/>
      </c>
    </row>
    <row r="9567" spans="1:5">
      <c r="A9567" s="12"/>
      <c r="E9567" s="57" t="str">
        <f ca="1">IFERROR(__xludf.DUMMYFUNCTION("""COMPUTED_VALUE"""),"")</f>
        <v/>
      </c>
    </row>
    <row r="9568" spans="1:5">
      <c r="A9568" s="12"/>
      <c r="E9568" s="57" t="str">
        <f ca="1">IFERROR(__xludf.DUMMYFUNCTION("""COMPUTED_VALUE"""),"")</f>
        <v/>
      </c>
    </row>
    <row r="9569" spans="1:5">
      <c r="A9569" s="12"/>
      <c r="E9569" s="57" t="str">
        <f ca="1">IFERROR(__xludf.DUMMYFUNCTION("""COMPUTED_VALUE"""),"")</f>
        <v/>
      </c>
    </row>
    <row r="9570" spans="1:5">
      <c r="A9570" s="12"/>
      <c r="E9570" s="57" t="str">
        <f ca="1">IFERROR(__xludf.DUMMYFUNCTION("""COMPUTED_VALUE"""),"")</f>
        <v/>
      </c>
    </row>
    <row r="9571" spans="1:5">
      <c r="A9571" s="12"/>
      <c r="E9571" s="57" t="str">
        <f ca="1">IFERROR(__xludf.DUMMYFUNCTION("""COMPUTED_VALUE"""),"")</f>
        <v/>
      </c>
    </row>
    <row r="9572" spans="1:5">
      <c r="A9572" s="12"/>
      <c r="E9572" s="57" t="str">
        <f ca="1">IFERROR(__xludf.DUMMYFUNCTION("""COMPUTED_VALUE"""),"")</f>
        <v/>
      </c>
    </row>
    <row r="9573" spans="1:5">
      <c r="A9573" s="12"/>
      <c r="E9573" s="57" t="str">
        <f ca="1">IFERROR(__xludf.DUMMYFUNCTION("""COMPUTED_VALUE"""),"")</f>
        <v/>
      </c>
    </row>
    <row r="9574" spans="1:5">
      <c r="A9574" s="12"/>
      <c r="E9574" s="57" t="str">
        <f ca="1">IFERROR(__xludf.DUMMYFUNCTION("""COMPUTED_VALUE"""),"")</f>
        <v/>
      </c>
    </row>
    <row r="9575" spans="1:5">
      <c r="A9575" s="12"/>
      <c r="E9575" s="57" t="str">
        <f ca="1">IFERROR(__xludf.DUMMYFUNCTION("""COMPUTED_VALUE"""),"")</f>
        <v/>
      </c>
    </row>
    <row r="9576" spans="1:5">
      <c r="A9576" s="12"/>
      <c r="E9576" s="57" t="str">
        <f ca="1">IFERROR(__xludf.DUMMYFUNCTION("""COMPUTED_VALUE"""),"")</f>
        <v/>
      </c>
    </row>
    <row r="9577" spans="1:5">
      <c r="A9577" s="12"/>
      <c r="E9577" s="57" t="str">
        <f ca="1">IFERROR(__xludf.DUMMYFUNCTION("""COMPUTED_VALUE"""),"")</f>
        <v/>
      </c>
    </row>
    <row r="9578" spans="1:5">
      <c r="A9578" s="12"/>
      <c r="E9578" s="57" t="str">
        <f ca="1">IFERROR(__xludf.DUMMYFUNCTION("""COMPUTED_VALUE"""),"")</f>
        <v/>
      </c>
    </row>
    <row r="9579" spans="1:5">
      <c r="A9579" s="12"/>
      <c r="E9579" s="57" t="str">
        <f ca="1">IFERROR(__xludf.DUMMYFUNCTION("""COMPUTED_VALUE"""),"")</f>
        <v/>
      </c>
    </row>
    <row r="9580" spans="1:5">
      <c r="A9580" s="12"/>
      <c r="E9580" s="57" t="str">
        <f ca="1">IFERROR(__xludf.DUMMYFUNCTION("""COMPUTED_VALUE"""),"")</f>
        <v/>
      </c>
    </row>
    <row r="9581" spans="1:5">
      <c r="A9581" s="12"/>
      <c r="E9581" s="57" t="str">
        <f ca="1">IFERROR(__xludf.DUMMYFUNCTION("""COMPUTED_VALUE"""),"")</f>
        <v/>
      </c>
    </row>
    <row r="9582" spans="1:5">
      <c r="A9582" s="12"/>
      <c r="E9582" s="57" t="str">
        <f ca="1">IFERROR(__xludf.DUMMYFUNCTION("""COMPUTED_VALUE"""),"")</f>
        <v/>
      </c>
    </row>
    <row r="9583" spans="1:5">
      <c r="A9583" s="12"/>
      <c r="E9583" s="57" t="str">
        <f ca="1">IFERROR(__xludf.DUMMYFUNCTION("""COMPUTED_VALUE"""),"")</f>
        <v/>
      </c>
    </row>
    <row r="9584" spans="1:5">
      <c r="A9584" s="12"/>
      <c r="E9584" s="57" t="str">
        <f ca="1">IFERROR(__xludf.DUMMYFUNCTION("""COMPUTED_VALUE"""),"")</f>
        <v/>
      </c>
    </row>
    <row r="9585" spans="1:5">
      <c r="A9585" s="12"/>
      <c r="E9585" s="57" t="str">
        <f ca="1">IFERROR(__xludf.DUMMYFUNCTION("""COMPUTED_VALUE"""),"")</f>
        <v/>
      </c>
    </row>
    <row r="9586" spans="1:5">
      <c r="A9586" s="12"/>
      <c r="E9586" s="57" t="str">
        <f ca="1">IFERROR(__xludf.DUMMYFUNCTION("""COMPUTED_VALUE"""),"")</f>
        <v/>
      </c>
    </row>
    <row r="9587" spans="1:5">
      <c r="A9587" s="12"/>
      <c r="E9587" s="57" t="str">
        <f ca="1">IFERROR(__xludf.DUMMYFUNCTION("""COMPUTED_VALUE"""),"")</f>
        <v/>
      </c>
    </row>
    <row r="9588" spans="1:5">
      <c r="A9588" s="12"/>
      <c r="E9588" s="57" t="str">
        <f ca="1">IFERROR(__xludf.DUMMYFUNCTION("""COMPUTED_VALUE"""),"")</f>
        <v/>
      </c>
    </row>
    <row r="9589" spans="1:5">
      <c r="A9589" s="12"/>
      <c r="E9589" s="57" t="str">
        <f ca="1">IFERROR(__xludf.DUMMYFUNCTION("""COMPUTED_VALUE"""),"")</f>
        <v/>
      </c>
    </row>
    <row r="9590" spans="1:5">
      <c r="A9590" s="12"/>
      <c r="E9590" s="57" t="str">
        <f ca="1">IFERROR(__xludf.DUMMYFUNCTION("""COMPUTED_VALUE"""),"")</f>
        <v/>
      </c>
    </row>
    <row r="9591" spans="1:5">
      <c r="A9591" s="12"/>
      <c r="E9591" s="57" t="str">
        <f ca="1">IFERROR(__xludf.DUMMYFUNCTION("""COMPUTED_VALUE"""),"")</f>
        <v/>
      </c>
    </row>
    <row r="9592" spans="1:5">
      <c r="A9592" s="12"/>
      <c r="E9592" s="57" t="str">
        <f ca="1">IFERROR(__xludf.DUMMYFUNCTION("""COMPUTED_VALUE"""),"")</f>
        <v/>
      </c>
    </row>
    <row r="9593" spans="1:5">
      <c r="A9593" s="12"/>
      <c r="E9593" s="57" t="str">
        <f ca="1">IFERROR(__xludf.DUMMYFUNCTION("""COMPUTED_VALUE"""),"")</f>
        <v/>
      </c>
    </row>
    <row r="9594" spans="1:5">
      <c r="A9594" s="12"/>
      <c r="E9594" s="57" t="str">
        <f ca="1">IFERROR(__xludf.DUMMYFUNCTION("""COMPUTED_VALUE"""),"")</f>
        <v/>
      </c>
    </row>
    <row r="9595" spans="1:5">
      <c r="A9595" s="12"/>
      <c r="E9595" s="57" t="str">
        <f ca="1">IFERROR(__xludf.DUMMYFUNCTION("""COMPUTED_VALUE"""),"")</f>
        <v/>
      </c>
    </row>
    <row r="9596" spans="1:5">
      <c r="A9596" s="12"/>
      <c r="E9596" s="57" t="str">
        <f ca="1">IFERROR(__xludf.DUMMYFUNCTION("""COMPUTED_VALUE"""),"")</f>
        <v/>
      </c>
    </row>
    <row r="9597" spans="1:5">
      <c r="A9597" s="12"/>
      <c r="E9597" s="57" t="str">
        <f ca="1">IFERROR(__xludf.DUMMYFUNCTION("""COMPUTED_VALUE"""),"")</f>
        <v/>
      </c>
    </row>
    <row r="9598" spans="1:5">
      <c r="A9598" s="12"/>
      <c r="E9598" s="57" t="str">
        <f ca="1">IFERROR(__xludf.DUMMYFUNCTION("""COMPUTED_VALUE"""),"")</f>
        <v/>
      </c>
    </row>
    <row r="9599" spans="1:5">
      <c r="A9599" s="12"/>
      <c r="E9599" s="57" t="str">
        <f ca="1">IFERROR(__xludf.DUMMYFUNCTION("""COMPUTED_VALUE"""),"")</f>
        <v/>
      </c>
    </row>
    <row r="9600" spans="1:5">
      <c r="A9600" s="12"/>
      <c r="E9600" s="57" t="str">
        <f ca="1">IFERROR(__xludf.DUMMYFUNCTION("""COMPUTED_VALUE"""),"")</f>
        <v/>
      </c>
    </row>
    <row r="9601" spans="1:5">
      <c r="A9601" s="12"/>
      <c r="E9601" s="57" t="str">
        <f ca="1">IFERROR(__xludf.DUMMYFUNCTION("""COMPUTED_VALUE"""),"")</f>
        <v/>
      </c>
    </row>
    <row r="9602" spans="1:5">
      <c r="A9602" s="12"/>
      <c r="E9602" s="57" t="str">
        <f ca="1">IFERROR(__xludf.DUMMYFUNCTION("""COMPUTED_VALUE"""),"")</f>
        <v/>
      </c>
    </row>
    <row r="9603" spans="1:5">
      <c r="A9603" s="12"/>
      <c r="E9603" s="57" t="str">
        <f ca="1">IFERROR(__xludf.DUMMYFUNCTION("""COMPUTED_VALUE"""),"")</f>
        <v/>
      </c>
    </row>
    <row r="9604" spans="1:5">
      <c r="A9604" s="12"/>
      <c r="E9604" s="57" t="str">
        <f ca="1">IFERROR(__xludf.DUMMYFUNCTION("""COMPUTED_VALUE"""),"")</f>
        <v/>
      </c>
    </row>
    <row r="9605" spans="1:5">
      <c r="A9605" s="12"/>
      <c r="E9605" s="57" t="str">
        <f ca="1">IFERROR(__xludf.DUMMYFUNCTION("""COMPUTED_VALUE"""),"")</f>
        <v/>
      </c>
    </row>
    <row r="9606" spans="1:5">
      <c r="A9606" s="12"/>
      <c r="E9606" s="57" t="str">
        <f ca="1">IFERROR(__xludf.DUMMYFUNCTION("""COMPUTED_VALUE"""),"")</f>
        <v/>
      </c>
    </row>
    <row r="9607" spans="1:5">
      <c r="A9607" s="12"/>
      <c r="E9607" s="57" t="str">
        <f ca="1">IFERROR(__xludf.DUMMYFUNCTION("""COMPUTED_VALUE"""),"")</f>
        <v/>
      </c>
    </row>
    <row r="9608" spans="1:5">
      <c r="A9608" s="12"/>
      <c r="E9608" s="57" t="str">
        <f ca="1">IFERROR(__xludf.DUMMYFUNCTION("""COMPUTED_VALUE"""),"")</f>
        <v/>
      </c>
    </row>
    <row r="9609" spans="1:5">
      <c r="A9609" s="12"/>
      <c r="E9609" s="57" t="str">
        <f ca="1">IFERROR(__xludf.DUMMYFUNCTION("""COMPUTED_VALUE"""),"")</f>
        <v/>
      </c>
    </row>
    <row r="9610" spans="1:5">
      <c r="A9610" s="12"/>
      <c r="E9610" s="57" t="str">
        <f ca="1">IFERROR(__xludf.DUMMYFUNCTION("""COMPUTED_VALUE"""),"")</f>
        <v/>
      </c>
    </row>
    <row r="9611" spans="1:5">
      <c r="A9611" s="12"/>
      <c r="E9611" s="57" t="str">
        <f ca="1">IFERROR(__xludf.DUMMYFUNCTION("""COMPUTED_VALUE"""),"")</f>
        <v/>
      </c>
    </row>
    <row r="9612" spans="1:5">
      <c r="A9612" s="12"/>
      <c r="E9612" s="57" t="str">
        <f ca="1">IFERROR(__xludf.DUMMYFUNCTION("""COMPUTED_VALUE"""),"")</f>
        <v/>
      </c>
    </row>
    <row r="9613" spans="1:5">
      <c r="A9613" s="12"/>
      <c r="E9613" s="57" t="str">
        <f ca="1">IFERROR(__xludf.DUMMYFUNCTION("""COMPUTED_VALUE"""),"")</f>
        <v/>
      </c>
    </row>
    <row r="9614" spans="1:5">
      <c r="A9614" s="12"/>
      <c r="E9614" s="57" t="str">
        <f ca="1">IFERROR(__xludf.DUMMYFUNCTION("""COMPUTED_VALUE"""),"")</f>
        <v/>
      </c>
    </row>
    <row r="9615" spans="1:5">
      <c r="A9615" s="12"/>
      <c r="E9615" s="57" t="str">
        <f ca="1">IFERROR(__xludf.DUMMYFUNCTION("""COMPUTED_VALUE"""),"")</f>
        <v/>
      </c>
    </row>
    <row r="9616" spans="1:5">
      <c r="A9616" s="12"/>
      <c r="E9616" s="57" t="str">
        <f ca="1">IFERROR(__xludf.DUMMYFUNCTION("""COMPUTED_VALUE"""),"")</f>
        <v/>
      </c>
    </row>
    <row r="9617" spans="1:5">
      <c r="A9617" s="12"/>
      <c r="E9617" s="57" t="str">
        <f ca="1">IFERROR(__xludf.DUMMYFUNCTION("""COMPUTED_VALUE"""),"")</f>
        <v/>
      </c>
    </row>
    <row r="9618" spans="1:5">
      <c r="A9618" s="12"/>
      <c r="E9618" s="57" t="str">
        <f ca="1">IFERROR(__xludf.DUMMYFUNCTION("""COMPUTED_VALUE"""),"")</f>
        <v/>
      </c>
    </row>
    <row r="9619" spans="1:5">
      <c r="A9619" s="12"/>
      <c r="E9619" s="57" t="str">
        <f ca="1">IFERROR(__xludf.DUMMYFUNCTION("""COMPUTED_VALUE"""),"")</f>
        <v/>
      </c>
    </row>
    <row r="9620" spans="1:5">
      <c r="A9620" s="12"/>
      <c r="E9620" s="57" t="str">
        <f ca="1">IFERROR(__xludf.DUMMYFUNCTION("""COMPUTED_VALUE"""),"")</f>
        <v/>
      </c>
    </row>
    <row r="9621" spans="1:5">
      <c r="A9621" s="12"/>
      <c r="E9621" s="57" t="str">
        <f ca="1">IFERROR(__xludf.DUMMYFUNCTION("""COMPUTED_VALUE"""),"")</f>
        <v/>
      </c>
    </row>
    <row r="9622" spans="1:5">
      <c r="A9622" s="12"/>
      <c r="E9622" s="57" t="str">
        <f ca="1">IFERROR(__xludf.DUMMYFUNCTION("""COMPUTED_VALUE"""),"")</f>
        <v/>
      </c>
    </row>
    <row r="9623" spans="1:5">
      <c r="A9623" s="12"/>
      <c r="E9623" s="57" t="str">
        <f ca="1">IFERROR(__xludf.DUMMYFUNCTION("""COMPUTED_VALUE"""),"")</f>
        <v/>
      </c>
    </row>
    <row r="9624" spans="1:5">
      <c r="A9624" s="12"/>
      <c r="E9624" s="57" t="str">
        <f ca="1">IFERROR(__xludf.DUMMYFUNCTION("""COMPUTED_VALUE"""),"")</f>
        <v/>
      </c>
    </row>
    <row r="9625" spans="1:5">
      <c r="A9625" s="12"/>
      <c r="E9625" s="57" t="str">
        <f ca="1">IFERROR(__xludf.DUMMYFUNCTION("""COMPUTED_VALUE"""),"")</f>
        <v/>
      </c>
    </row>
    <row r="9626" spans="1:5">
      <c r="A9626" s="12"/>
      <c r="E9626" s="57" t="str">
        <f ca="1">IFERROR(__xludf.DUMMYFUNCTION("""COMPUTED_VALUE"""),"")</f>
        <v/>
      </c>
    </row>
    <row r="9627" spans="1:5">
      <c r="A9627" s="12"/>
      <c r="E9627" s="57" t="str">
        <f ca="1">IFERROR(__xludf.DUMMYFUNCTION("""COMPUTED_VALUE"""),"")</f>
        <v/>
      </c>
    </row>
    <row r="9628" spans="1:5">
      <c r="A9628" s="12"/>
      <c r="E9628" s="57" t="str">
        <f ca="1">IFERROR(__xludf.DUMMYFUNCTION("""COMPUTED_VALUE"""),"")</f>
        <v/>
      </c>
    </row>
    <row r="9629" spans="1:5">
      <c r="A9629" s="12"/>
      <c r="E9629" s="57" t="str">
        <f ca="1">IFERROR(__xludf.DUMMYFUNCTION("""COMPUTED_VALUE"""),"")</f>
        <v/>
      </c>
    </row>
    <row r="9630" spans="1:5">
      <c r="A9630" s="12"/>
      <c r="E9630" s="57" t="str">
        <f ca="1">IFERROR(__xludf.DUMMYFUNCTION("""COMPUTED_VALUE"""),"")</f>
        <v/>
      </c>
    </row>
    <row r="9631" spans="1:5">
      <c r="A9631" s="12"/>
      <c r="E9631" s="57" t="str">
        <f ca="1">IFERROR(__xludf.DUMMYFUNCTION("""COMPUTED_VALUE"""),"")</f>
        <v/>
      </c>
    </row>
    <row r="9632" spans="1:5">
      <c r="A9632" s="12"/>
      <c r="E9632" s="57" t="str">
        <f ca="1">IFERROR(__xludf.DUMMYFUNCTION("""COMPUTED_VALUE"""),"")</f>
        <v/>
      </c>
    </row>
    <row r="9633" spans="1:5">
      <c r="A9633" s="12"/>
      <c r="E9633" s="57" t="str">
        <f ca="1">IFERROR(__xludf.DUMMYFUNCTION("""COMPUTED_VALUE"""),"")</f>
        <v/>
      </c>
    </row>
    <row r="9634" spans="1:5">
      <c r="A9634" s="12"/>
      <c r="E9634" s="57" t="str">
        <f ca="1">IFERROR(__xludf.DUMMYFUNCTION("""COMPUTED_VALUE"""),"")</f>
        <v/>
      </c>
    </row>
    <row r="9635" spans="1:5">
      <c r="A9635" s="12"/>
      <c r="E9635" s="57" t="str">
        <f ca="1">IFERROR(__xludf.DUMMYFUNCTION("""COMPUTED_VALUE"""),"")</f>
        <v/>
      </c>
    </row>
    <row r="9636" spans="1:5">
      <c r="A9636" s="12"/>
      <c r="E9636" s="57" t="str">
        <f ca="1">IFERROR(__xludf.DUMMYFUNCTION("""COMPUTED_VALUE"""),"")</f>
        <v/>
      </c>
    </row>
    <row r="9637" spans="1:5">
      <c r="A9637" s="12"/>
      <c r="E9637" s="57" t="str">
        <f ca="1">IFERROR(__xludf.DUMMYFUNCTION("""COMPUTED_VALUE"""),"")</f>
        <v/>
      </c>
    </row>
    <row r="9638" spans="1:5">
      <c r="A9638" s="12"/>
      <c r="E9638" s="57" t="str">
        <f ca="1">IFERROR(__xludf.DUMMYFUNCTION("""COMPUTED_VALUE"""),"")</f>
        <v/>
      </c>
    </row>
    <row r="9639" spans="1:5">
      <c r="A9639" s="12"/>
      <c r="E9639" s="57" t="str">
        <f ca="1">IFERROR(__xludf.DUMMYFUNCTION("""COMPUTED_VALUE"""),"")</f>
        <v/>
      </c>
    </row>
    <row r="9640" spans="1:5">
      <c r="A9640" s="12"/>
      <c r="E9640" s="57" t="str">
        <f ca="1">IFERROR(__xludf.DUMMYFUNCTION("""COMPUTED_VALUE"""),"")</f>
        <v/>
      </c>
    </row>
    <row r="9641" spans="1:5">
      <c r="A9641" s="12"/>
      <c r="E9641" s="57" t="str">
        <f ca="1">IFERROR(__xludf.DUMMYFUNCTION("""COMPUTED_VALUE"""),"")</f>
        <v/>
      </c>
    </row>
    <row r="9642" spans="1:5">
      <c r="A9642" s="12"/>
      <c r="E9642" s="57" t="str">
        <f ca="1">IFERROR(__xludf.DUMMYFUNCTION("""COMPUTED_VALUE"""),"")</f>
        <v/>
      </c>
    </row>
    <row r="9643" spans="1:5">
      <c r="A9643" s="12"/>
      <c r="E9643" s="57" t="str">
        <f ca="1">IFERROR(__xludf.DUMMYFUNCTION("""COMPUTED_VALUE"""),"")</f>
        <v/>
      </c>
    </row>
    <row r="9644" spans="1:5">
      <c r="A9644" s="12"/>
      <c r="E9644" s="57" t="str">
        <f ca="1">IFERROR(__xludf.DUMMYFUNCTION("""COMPUTED_VALUE"""),"")</f>
        <v/>
      </c>
    </row>
    <row r="9645" spans="1:5">
      <c r="A9645" s="12"/>
      <c r="E9645" s="57" t="str">
        <f ca="1">IFERROR(__xludf.DUMMYFUNCTION("""COMPUTED_VALUE"""),"")</f>
        <v/>
      </c>
    </row>
    <row r="9646" spans="1:5">
      <c r="A9646" s="12"/>
      <c r="E9646" s="57" t="str">
        <f ca="1">IFERROR(__xludf.DUMMYFUNCTION("""COMPUTED_VALUE"""),"")</f>
        <v/>
      </c>
    </row>
    <row r="9647" spans="1:5">
      <c r="A9647" s="12"/>
      <c r="E9647" s="57" t="str">
        <f ca="1">IFERROR(__xludf.DUMMYFUNCTION("""COMPUTED_VALUE"""),"")</f>
        <v/>
      </c>
    </row>
    <row r="9648" spans="1:5">
      <c r="A9648" s="12"/>
      <c r="E9648" s="57" t="str">
        <f ca="1">IFERROR(__xludf.DUMMYFUNCTION("""COMPUTED_VALUE"""),"")</f>
        <v/>
      </c>
    </row>
    <row r="9649" spans="1:5">
      <c r="A9649" s="12"/>
      <c r="E9649" s="57" t="str">
        <f ca="1">IFERROR(__xludf.DUMMYFUNCTION("""COMPUTED_VALUE"""),"")</f>
        <v/>
      </c>
    </row>
    <row r="9650" spans="1:5">
      <c r="A9650" s="12"/>
      <c r="E9650" s="57" t="str">
        <f ca="1">IFERROR(__xludf.DUMMYFUNCTION("""COMPUTED_VALUE"""),"")</f>
        <v/>
      </c>
    </row>
    <row r="9651" spans="1:5">
      <c r="A9651" s="12"/>
      <c r="E9651" s="57" t="str">
        <f ca="1">IFERROR(__xludf.DUMMYFUNCTION("""COMPUTED_VALUE"""),"")</f>
        <v/>
      </c>
    </row>
    <row r="9652" spans="1:5">
      <c r="A9652" s="12"/>
      <c r="E9652" s="57" t="str">
        <f ca="1">IFERROR(__xludf.DUMMYFUNCTION("""COMPUTED_VALUE"""),"")</f>
        <v/>
      </c>
    </row>
    <row r="9653" spans="1:5">
      <c r="A9653" s="12"/>
      <c r="E9653" s="57" t="str">
        <f ca="1">IFERROR(__xludf.DUMMYFUNCTION("""COMPUTED_VALUE"""),"")</f>
        <v/>
      </c>
    </row>
    <row r="9654" spans="1:5">
      <c r="A9654" s="12"/>
      <c r="E9654" s="57" t="str">
        <f ca="1">IFERROR(__xludf.DUMMYFUNCTION("""COMPUTED_VALUE"""),"")</f>
        <v/>
      </c>
    </row>
    <row r="9655" spans="1:5">
      <c r="A9655" s="12"/>
      <c r="E9655" s="57" t="str">
        <f ca="1">IFERROR(__xludf.DUMMYFUNCTION("""COMPUTED_VALUE"""),"")</f>
        <v/>
      </c>
    </row>
    <row r="9656" spans="1:5">
      <c r="A9656" s="12"/>
      <c r="E9656" s="57" t="str">
        <f ca="1">IFERROR(__xludf.DUMMYFUNCTION("""COMPUTED_VALUE"""),"")</f>
        <v/>
      </c>
    </row>
    <row r="9657" spans="1:5">
      <c r="A9657" s="12"/>
      <c r="E9657" s="57" t="str">
        <f ca="1">IFERROR(__xludf.DUMMYFUNCTION("""COMPUTED_VALUE"""),"")</f>
        <v/>
      </c>
    </row>
    <row r="9658" spans="1:5">
      <c r="A9658" s="12"/>
      <c r="E9658" s="57" t="str">
        <f ca="1">IFERROR(__xludf.DUMMYFUNCTION("""COMPUTED_VALUE"""),"")</f>
        <v/>
      </c>
    </row>
    <row r="9659" spans="1:5">
      <c r="A9659" s="12"/>
      <c r="E9659" s="57" t="str">
        <f ca="1">IFERROR(__xludf.DUMMYFUNCTION("""COMPUTED_VALUE"""),"")</f>
        <v/>
      </c>
    </row>
    <row r="9660" spans="1:5">
      <c r="A9660" s="12"/>
      <c r="E9660" s="57" t="str">
        <f ca="1">IFERROR(__xludf.DUMMYFUNCTION("""COMPUTED_VALUE"""),"")</f>
        <v/>
      </c>
    </row>
    <row r="9661" spans="1:5">
      <c r="A9661" s="12"/>
      <c r="E9661" s="57" t="str">
        <f ca="1">IFERROR(__xludf.DUMMYFUNCTION("""COMPUTED_VALUE"""),"")</f>
        <v/>
      </c>
    </row>
    <row r="9662" spans="1:5">
      <c r="A9662" s="12"/>
      <c r="E9662" s="57" t="str">
        <f ca="1">IFERROR(__xludf.DUMMYFUNCTION("""COMPUTED_VALUE"""),"")</f>
        <v/>
      </c>
    </row>
    <row r="9663" spans="1:5">
      <c r="A9663" s="12"/>
      <c r="E9663" s="57" t="str">
        <f ca="1">IFERROR(__xludf.DUMMYFUNCTION("""COMPUTED_VALUE"""),"")</f>
        <v/>
      </c>
    </row>
    <row r="9664" spans="1:5">
      <c r="A9664" s="12"/>
      <c r="E9664" s="57" t="str">
        <f ca="1">IFERROR(__xludf.DUMMYFUNCTION("""COMPUTED_VALUE"""),"")</f>
        <v/>
      </c>
    </row>
    <row r="9665" spans="1:5">
      <c r="A9665" s="12"/>
      <c r="E9665" s="57" t="str">
        <f ca="1">IFERROR(__xludf.DUMMYFUNCTION("""COMPUTED_VALUE"""),"")</f>
        <v/>
      </c>
    </row>
    <row r="9666" spans="1:5">
      <c r="A9666" s="12"/>
      <c r="E9666" s="57" t="str">
        <f ca="1">IFERROR(__xludf.DUMMYFUNCTION("""COMPUTED_VALUE"""),"")</f>
        <v/>
      </c>
    </row>
    <row r="9667" spans="1:5">
      <c r="A9667" s="12"/>
      <c r="E9667" s="57" t="str">
        <f ca="1">IFERROR(__xludf.DUMMYFUNCTION("""COMPUTED_VALUE"""),"")</f>
        <v/>
      </c>
    </row>
    <row r="9668" spans="1:5">
      <c r="A9668" s="12"/>
      <c r="E9668" s="57" t="str">
        <f ca="1">IFERROR(__xludf.DUMMYFUNCTION("""COMPUTED_VALUE"""),"")</f>
        <v/>
      </c>
    </row>
    <row r="9669" spans="1:5">
      <c r="A9669" s="12"/>
      <c r="E9669" s="57" t="str">
        <f ca="1">IFERROR(__xludf.DUMMYFUNCTION("""COMPUTED_VALUE"""),"")</f>
        <v/>
      </c>
    </row>
    <row r="9670" spans="1:5">
      <c r="A9670" s="12"/>
      <c r="E9670" s="57" t="str">
        <f ca="1">IFERROR(__xludf.DUMMYFUNCTION("""COMPUTED_VALUE"""),"")</f>
        <v/>
      </c>
    </row>
    <row r="9671" spans="1:5">
      <c r="A9671" s="12"/>
      <c r="E9671" s="57" t="str">
        <f ca="1">IFERROR(__xludf.DUMMYFUNCTION("""COMPUTED_VALUE"""),"")</f>
        <v/>
      </c>
    </row>
    <row r="9672" spans="1:5">
      <c r="A9672" s="12"/>
      <c r="E9672" s="57" t="str">
        <f ca="1">IFERROR(__xludf.DUMMYFUNCTION("""COMPUTED_VALUE"""),"")</f>
        <v/>
      </c>
    </row>
    <row r="9673" spans="1:5">
      <c r="A9673" s="12"/>
      <c r="E9673" s="57" t="str">
        <f ca="1">IFERROR(__xludf.DUMMYFUNCTION("""COMPUTED_VALUE"""),"")</f>
        <v/>
      </c>
    </row>
    <row r="9674" spans="1:5">
      <c r="A9674" s="12"/>
      <c r="E9674" s="57" t="str">
        <f ca="1">IFERROR(__xludf.DUMMYFUNCTION("""COMPUTED_VALUE"""),"")</f>
        <v/>
      </c>
    </row>
    <row r="9675" spans="1:5">
      <c r="A9675" s="12"/>
      <c r="E9675" s="57" t="str">
        <f ca="1">IFERROR(__xludf.DUMMYFUNCTION("""COMPUTED_VALUE"""),"")</f>
        <v/>
      </c>
    </row>
    <row r="9676" spans="1:5">
      <c r="A9676" s="12"/>
      <c r="E9676" s="57" t="str">
        <f ca="1">IFERROR(__xludf.DUMMYFUNCTION("""COMPUTED_VALUE"""),"")</f>
        <v/>
      </c>
    </row>
    <row r="9677" spans="1:5">
      <c r="A9677" s="12"/>
      <c r="E9677" s="57" t="str">
        <f ca="1">IFERROR(__xludf.DUMMYFUNCTION("""COMPUTED_VALUE"""),"")</f>
        <v/>
      </c>
    </row>
    <row r="9678" spans="1:5">
      <c r="A9678" s="12"/>
      <c r="E9678" s="57" t="str">
        <f ca="1">IFERROR(__xludf.DUMMYFUNCTION("""COMPUTED_VALUE"""),"")</f>
        <v/>
      </c>
    </row>
    <row r="9679" spans="1:5">
      <c r="A9679" s="12"/>
      <c r="E9679" s="57" t="str">
        <f ca="1">IFERROR(__xludf.DUMMYFUNCTION("""COMPUTED_VALUE"""),"")</f>
        <v/>
      </c>
    </row>
    <row r="9680" spans="1:5">
      <c r="A9680" s="12"/>
      <c r="E9680" s="57" t="str">
        <f ca="1">IFERROR(__xludf.DUMMYFUNCTION("""COMPUTED_VALUE"""),"")</f>
        <v/>
      </c>
    </row>
    <row r="9681" spans="1:5">
      <c r="A9681" s="12"/>
      <c r="E9681" s="57" t="str">
        <f ca="1">IFERROR(__xludf.DUMMYFUNCTION("""COMPUTED_VALUE"""),"")</f>
        <v/>
      </c>
    </row>
    <row r="9682" spans="1:5">
      <c r="A9682" s="12"/>
      <c r="E9682" s="57" t="str">
        <f ca="1">IFERROR(__xludf.DUMMYFUNCTION("""COMPUTED_VALUE"""),"")</f>
        <v/>
      </c>
    </row>
    <row r="9683" spans="1:5">
      <c r="A9683" s="12"/>
      <c r="E9683" s="57" t="str">
        <f ca="1">IFERROR(__xludf.DUMMYFUNCTION("""COMPUTED_VALUE"""),"")</f>
        <v/>
      </c>
    </row>
    <row r="9684" spans="1:5">
      <c r="A9684" s="12"/>
      <c r="E9684" s="57" t="str">
        <f ca="1">IFERROR(__xludf.DUMMYFUNCTION("""COMPUTED_VALUE"""),"")</f>
        <v/>
      </c>
    </row>
    <row r="9685" spans="1:5">
      <c r="A9685" s="12"/>
      <c r="E9685" s="57" t="str">
        <f ca="1">IFERROR(__xludf.DUMMYFUNCTION("""COMPUTED_VALUE"""),"")</f>
        <v/>
      </c>
    </row>
    <row r="9686" spans="1:5">
      <c r="A9686" s="12"/>
      <c r="E9686" s="57" t="str">
        <f ca="1">IFERROR(__xludf.DUMMYFUNCTION("""COMPUTED_VALUE"""),"")</f>
        <v/>
      </c>
    </row>
    <row r="9687" spans="1:5">
      <c r="A9687" s="12"/>
      <c r="E9687" s="57" t="str">
        <f ca="1">IFERROR(__xludf.DUMMYFUNCTION("""COMPUTED_VALUE"""),"")</f>
        <v/>
      </c>
    </row>
    <row r="9688" spans="1:5">
      <c r="A9688" s="12"/>
      <c r="E9688" s="57" t="str">
        <f ca="1">IFERROR(__xludf.DUMMYFUNCTION("""COMPUTED_VALUE"""),"")</f>
        <v/>
      </c>
    </row>
    <row r="9689" spans="1:5">
      <c r="A9689" s="12"/>
      <c r="E9689" s="57" t="str">
        <f ca="1">IFERROR(__xludf.DUMMYFUNCTION("""COMPUTED_VALUE"""),"")</f>
        <v/>
      </c>
    </row>
    <row r="9690" spans="1:5">
      <c r="A9690" s="12"/>
      <c r="E9690" s="57" t="str">
        <f ca="1">IFERROR(__xludf.DUMMYFUNCTION("""COMPUTED_VALUE"""),"")</f>
        <v/>
      </c>
    </row>
    <row r="9691" spans="1:5">
      <c r="A9691" s="12"/>
      <c r="E9691" s="57" t="str">
        <f ca="1">IFERROR(__xludf.DUMMYFUNCTION("""COMPUTED_VALUE"""),"")</f>
        <v/>
      </c>
    </row>
    <row r="9692" spans="1:5">
      <c r="A9692" s="12"/>
      <c r="E9692" s="57" t="str">
        <f ca="1">IFERROR(__xludf.DUMMYFUNCTION("""COMPUTED_VALUE"""),"")</f>
        <v/>
      </c>
    </row>
    <row r="9693" spans="1:5">
      <c r="A9693" s="12"/>
      <c r="E9693" s="57" t="str">
        <f ca="1">IFERROR(__xludf.DUMMYFUNCTION("""COMPUTED_VALUE"""),"")</f>
        <v/>
      </c>
    </row>
    <row r="9694" spans="1:5">
      <c r="A9694" s="12"/>
      <c r="E9694" s="57" t="str">
        <f ca="1">IFERROR(__xludf.DUMMYFUNCTION("""COMPUTED_VALUE"""),"")</f>
        <v/>
      </c>
    </row>
    <row r="9695" spans="1:5">
      <c r="A9695" s="12"/>
      <c r="E9695" s="57" t="str">
        <f ca="1">IFERROR(__xludf.DUMMYFUNCTION("""COMPUTED_VALUE"""),"")</f>
        <v/>
      </c>
    </row>
    <row r="9696" spans="1:5">
      <c r="A9696" s="12"/>
      <c r="E9696" s="57" t="str">
        <f ca="1">IFERROR(__xludf.DUMMYFUNCTION("""COMPUTED_VALUE"""),"")</f>
        <v/>
      </c>
    </row>
    <row r="9697" spans="1:5">
      <c r="A9697" s="12"/>
      <c r="E9697" s="57" t="str">
        <f ca="1">IFERROR(__xludf.DUMMYFUNCTION("""COMPUTED_VALUE"""),"")</f>
        <v/>
      </c>
    </row>
    <row r="9698" spans="1:5">
      <c r="A9698" s="12"/>
      <c r="E9698" s="57" t="str">
        <f ca="1">IFERROR(__xludf.DUMMYFUNCTION("""COMPUTED_VALUE"""),"")</f>
        <v/>
      </c>
    </row>
    <row r="9699" spans="1:5">
      <c r="A9699" s="12"/>
      <c r="E9699" s="57" t="str">
        <f ca="1">IFERROR(__xludf.DUMMYFUNCTION("""COMPUTED_VALUE"""),"")</f>
        <v/>
      </c>
    </row>
    <row r="9700" spans="1:5">
      <c r="A9700" s="12"/>
      <c r="E9700" s="57" t="str">
        <f ca="1">IFERROR(__xludf.DUMMYFUNCTION("""COMPUTED_VALUE"""),"")</f>
        <v/>
      </c>
    </row>
    <row r="9701" spans="1:5">
      <c r="A9701" s="12"/>
      <c r="E9701" s="57" t="str">
        <f ca="1">IFERROR(__xludf.DUMMYFUNCTION("""COMPUTED_VALUE"""),"")</f>
        <v/>
      </c>
    </row>
    <row r="9702" spans="1:5">
      <c r="A9702" s="12"/>
      <c r="E9702" s="57" t="str">
        <f ca="1">IFERROR(__xludf.DUMMYFUNCTION("""COMPUTED_VALUE"""),"")</f>
        <v/>
      </c>
    </row>
    <row r="9703" spans="1:5">
      <c r="A9703" s="12"/>
      <c r="E9703" s="57" t="str">
        <f ca="1">IFERROR(__xludf.DUMMYFUNCTION("""COMPUTED_VALUE"""),"")</f>
        <v/>
      </c>
    </row>
    <row r="9704" spans="1:5">
      <c r="A9704" s="12"/>
      <c r="E9704" s="57" t="str">
        <f ca="1">IFERROR(__xludf.DUMMYFUNCTION("""COMPUTED_VALUE"""),"")</f>
        <v/>
      </c>
    </row>
    <row r="9705" spans="1:5">
      <c r="A9705" s="12"/>
      <c r="E9705" s="57" t="str">
        <f ca="1">IFERROR(__xludf.DUMMYFUNCTION("""COMPUTED_VALUE"""),"")</f>
        <v/>
      </c>
    </row>
    <row r="9706" spans="1:5">
      <c r="A9706" s="12"/>
      <c r="E9706" s="57" t="str">
        <f ca="1">IFERROR(__xludf.DUMMYFUNCTION("""COMPUTED_VALUE"""),"")</f>
        <v/>
      </c>
    </row>
    <row r="9707" spans="1:5">
      <c r="A9707" s="12"/>
      <c r="E9707" s="57" t="str">
        <f ca="1">IFERROR(__xludf.DUMMYFUNCTION("""COMPUTED_VALUE"""),"")</f>
        <v/>
      </c>
    </row>
    <row r="9708" spans="1:5">
      <c r="A9708" s="12"/>
      <c r="E9708" s="57" t="str">
        <f ca="1">IFERROR(__xludf.DUMMYFUNCTION("""COMPUTED_VALUE"""),"")</f>
        <v/>
      </c>
    </row>
    <row r="9709" spans="1:5">
      <c r="A9709" s="12"/>
      <c r="E9709" s="57" t="str">
        <f ca="1">IFERROR(__xludf.DUMMYFUNCTION("""COMPUTED_VALUE"""),"")</f>
        <v/>
      </c>
    </row>
    <row r="9710" spans="1:5">
      <c r="A9710" s="12"/>
      <c r="E9710" s="57" t="str">
        <f ca="1">IFERROR(__xludf.DUMMYFUNCTION("""COMPUTED_VALUE"""),"")</f>
        <v/>
      </c>
    </row>
    <row r="9711" spans="1:5">
      <c r="A9711" s="12"/>
      <c r="E9711" s="57" t="str">
        <f ca="1">IFERROR(__xludf.DUMMYFUNCTION("""COMPUTED_VALUE"""),"")</f>
        <v/>
      </c>
    </row>
    <row r="9712" spans="1:5">
      <c r="A9712" s="12"/>
      <c r="E9712" s="57" t="str">
        <f ca="1">IFERROR(__xludf.DUMMYFUNCTION("""COMPUTED_VALUE"""),"")</f>
        <v/>
      </c>
    </row>
    <row r="9713" spans="1:5">
      <c r="A9713" s="12"/>
      <c r="E9713" s="57" t="str">
        <f ca="1">IFERROR(__xludf.DUMMYFUNCTION("""COMPUTED_VALUE"""),"")</f>
        <v/>
      </c>
    </row>
    <row r="9714" spans="1:5">
      <c r="A9714" s="12"/>
      <c r="E9714" s="57" t="str">
        <f ca="1">IFERROR(__xludf.DUMMYFUNCTION("""COMPUTED_VALUE"""),"")</f>
        <v/>
      </c>
    </row>
    <row r="9715" spans="1:5">
      <c r="A9715" s="12"/>
      <c r="E9715" s="57" t="str">
        <f ca="1">IFERROR(__xludf.DUMMYFUNCTION("""COMPUTED_VALUE"""),"")</f>
        <v/>
      </c>
    </row>
    <row r="9716" spans="1:5">
      <c r="A9716" s="12"/>
      <c r="E9716" s="57" t="str">
        <f ca="1">IFERROR(__xludf.DUMMYFUNCTION("""COMPUTED_VALUE"""),"")</f>
        <v/>
      </c>
    </row>
    <row r="9717" spans="1:5">
      <c r="A9717" s="12"/>
      <c r="E9717" s="57" t="str">
        <f ca="1">IFERROR(__xludf.DUMMYFUNCTION("""COMPUTED_VALUE"""),"")</f>
        <v/>
      </c>
    </row>
    <row r="9718" spans="1:5">
      <c r="A9718" s="12"/>
      <c r="E9718" s="57" t="str">
        <f ca="1">IFERROR(__xludf.DUMMYFUNCTION("""COMPUTED_VALUE"""),"")</f>
        <v/>
      </c>
    </row>
    <row r="9719" spans="1:5">
      <c r="A9719" s="12"/>
      <c r="E9719" s="57" t="str">
        <f ca="1">IFERROR(__xludf.DUMMYFUNCTION("""COMPUTED_VALUE"""),"")</f>
        <v/>
      </c>
    </row>
    <row r="9720" spans="1:5">
      <c r="A9720" s="12"/>
      <c r="E9720" s="57" t="str">
        <f ca="1">IFERROR(__xludf.DUMMYFUNCTION("""COMPUTED_VALUE"""),"")</f>
        <v/>
      </c>
    </row>
    <row r="9721" spans="1:5">
      <c r="A9721" s="12"/>
      <c r="E9721" s="57" t="str">
        <f ca="1">IFERROR(__xludf.DUMMYFUNCTION("""COMPUTED_VALUE"""),"")</f>
        <v/>
      </c>
    </row>
    <row r="9722" spans="1:5">
      <c r="A9722" s="12"/>
      <c r="E9722" s="57" t="str">
        <f ca="1">IFERROR(__xludf.DUMMYFUNCTION("""COMPUTED_VALUE"""),"")</f>
        <v/>
      </c>
    </row>
    <row r="9723" spans="1:5">
      <c r="A9723" s="12"/>
      <c r="E9723" s="57" t="str">
        <f ca="1">IFERROR(__xludf.DUMMYFUNCTION("""COMPUTED_VALUE"""),"")</f>
        <v/>
      </c>
    </row>
    <row r="9724" spans="1:5">
      <c r="A9724" s="12"/>
      <c r="E9724" s="57" t="str">
        <f ca="1">IFERROR(__xludf.DUMMYFUNCTION("""COMPUTED_VALUE"""),"")</f>
        <v/>
      </c>
    </row>
    <row r="9725" spans="1:5">
      <c r="A9725" s="12"/>
      <c r="E9725" s="57" t="str">
        <f ca="1">IFERROR(__xludf.DUMMYFUNCTION("""COMPUTED_VALUE"""),"")</f>
        <v/>
      </c>
    </row>
    <row r="9726" spans="1:5">
      <c r="A9726" s="12"/>
      <c r="E9726" s="57" t="str">
        <f ca="1">IFERROR(__xludf.DUMMYFUNCTION("""COMPUTED_VALUE"""),"")</f>
        <v/>
      </c>
    </row>
    <row r="9727" spans="1:5">
      <c r="A9727" s="12"/>
      <c r="E9727" s="57" t="str">
        <f ca="1">IFERROR(__xludf.DUMMYFUNCTION("""COMPUTED_VALUE"""),"")</f>
        <v/>
      </c>
    </row>
    <row r="9728" spans="1:5">
      <c r="A9728" s="12"/>
      <c r="E9728" s="57" t="str">
        <f ca="1">IFERROR(__xludf.DUMMYFUNCTION("""COMPUTED_VALUE"""),"")</f>
        <v/>
      </c>
    </row>
    <row r="9729" spans="1:5">
      <c r="A9729" s="12"/>
      <c r="E9729" s="57" t="str">
        <f ca="1">IFERROR(__xludf.DUMMYFUNCTION("""COMPUTED_VALUE"""),"")</f>
        <v/>
      </c>
    </row>
    <row r="9730" spans="1:5">
      <c r="A9730" s="12"/>
      <c r="E9730" s="57" t="str">
        <f ca="1">IFERROR(__xludf.DUMMYFUNCTION("""COMPUTED_VALUE"""),"")</f>
        <v/>
      </c>
    </row>
    <row r="9731" spans="1:5">
      <c r="A9731" s="12"/>
      <c r="E9731" s="57" t="str">
        <f ca="1">IFERROR(__xludf.DUMMYFUNCTION("""COMPUTED_VALUE"""),"")</f>
        <v/>
      </c>
    </row>
    <row r="9732" spans="1:5">
      <c r="A9732" s="12"/>
      <c r="E9732" s="57" t="str">
        <f ca="1">IFERROR(__xludf.DUMMYFUNCTION("""COMPUTED_VALUE"""),"")</f>
        <v/>
      </c>
    </row>
    <row r="9733" spans="1:5">
      <c r="A9733" s="12"/>
      <c r="E9733" s="57" t="str">
        <f ca="1">IFERROR(__xludf.DUMMYFUNCTION("""COMPUTED_VALUE"""),"")</f>
        <v/>
      </c>
    </row>
    <row r="9734" spans="1:5">
      <c r="A9734" s="12"/>
      <c r="E9734" s="57" t="str">
        <f ca="1">IFERROR(__xludf.DUMMYFUNCTION("""COMPUTED_VALUE"""),"")</f>
        <v/>
      </c>
    </row>
    <row r="9735" spans="1:5">
      <c r="A9735" s="12"/>
      <c r="E9735" s="57" t="str">
        <f ca="1">IFERROR(__xludf.DUMMYFUNCTION("""COMPUTED_VALUE"""),"")</f>
        <v/>
      </c>
    </row>
    <row r="9736" spans="1:5">
      <c r="A9736" s="12"/>
      <c r="E9736" s="57" t="str">
        <f ca="1">IFERROR(__xludf.DUMMYFUNCTION("""COMPUTED_VALUE"""),"")</f>
        <v/>
      </c>
    </row>
    <row r="9737" spans="1:5">
      <c r="A9737" s="12"/>
      <c r="E9737" s="57" t="str">
        <f ca="1">IFERROR(__xludf.DUMMYFUNCTION("""COMPUTED_VALUE"""),"")</f>
        <v/>
      </c>
    </row>
    <row r="9738" spans="1:5">
      <c r="A9738" s="12"/>
      <c r="E9738" s="57" t="str">
        <f ca="1">IFERROR(__xludf.DUMMYFUNCTION("""COMPUTED_VALUE"""),"")</f>
        <v/>
      </c>
    </row>
    <row r="9739" spans="1:5">
      <c r="A9739" s="12"/>
      <c r="E9739" s="57" t="str">
        <f ca="1">IFERROR(__xludf.DUMMYFUNCTION("""COMPUTED_VALUE"""),"")</f>
        <v/>
      </c>
    </row>
    <row r="9740" spans="1:5">
      <c r="A9740" s="12"/>
      <c r="E9740" s="57" t="str">
        <f ca="1">IFERROR(__xludf.DUMMYFUNCTION("""COMPUTED_VALUE"""),"")</f>
        <v/>
      </c>
    </row>
    <row r="9741" spans="1:5">
      <c r="A9741" s="12"/>
      <c r="E9741" s="57" t="str">
        <f ca="1">IFERROR(__xludf.DUMMYFUNCTION("""COMPUTED_VALUE"""),"")</f>
        <v/>
      </c>
    </row>
    <row r="9742" spans="1:5">
      <c r="A9742" s="12"/>
      <c r="E9742" s="57" t="str">
        <f ca="1">IFERROR(__xludf.DUMMYFUNCTION("""COMPUTED_VALUE"""),"")</f>
        <v/>
      </c>
    </row>
    <row r="9743" spans="1:5">
      <c r="A9743" s="12"/>
      <c r="E9743" s="57" t="str">
        <f ca="1">IFERROR(__xludf.DUMMYFUNCTION("""COMPUTED_VALUE"""),"")</f>
        <v/>
      </c>
    </row>
    <row r="9744" spans="1:5">
      <c r="A9744" s="12"/>
      <c r="E9744" s="57" t="str">
        <f ca="1">IFERROR(__xludf.DUMMYFUNCTION("""COMPUTED_VALUE"""),"")</f>
        <v/>
      </c>
    </row>
    <row r="9745" spans="1:5">
      <c r="A9745" s="12"/>
      <c r="E9745" s="57" t="str">
        <f ca="1">IFERROR(__xludf.DUMMYFUNCTION("""COMPUTED_VALUE"""),"")</f>
        <v/>
      </c>
    </row>
    <row r="9746" spans="1:5">
      <c r="A9746" s="12"/>
      <c r="E9746" s="57" t="str">
        <f ca="1">IFERROR(__xludf.DUMMYFUNCTION("""COMPUTED_VALUE"""),"")</f>
        <v/>
      </c>
    </row>
    <row r="9747" spans="1:5">
      <c r="A9747" s="12"/>
      <c r="E9747" s="57" t="str">
        <f ca="1">IFERROR(__xludf.DUMMYFUNCTION("""COMPUTED_VALUE"""),"")</f>
        <v/>
      </c>
    </row>
    <row r="9748" spans="1:5">
      <c r="A9748" s="12"/>
      <c r="E9748" s="57" t="str">
        <f ca="1">IFERROR(__xludf.DUMMYFUNCTION("""COMPUTED_VALUE"""),"")</f>
        <v/>
      </c>
    </row>
    <row r="9749" spans="1:5">
      <c r="A9749" s="12"/>
      <c r="E9749" s="57" t="str">
        <f ca="1">IFERROR(__xludf.DUMMYFUNCTION("""COMPUTED_VALUE"""),"")</f>
        <v/>
      </c>
    </row>
    <row r="9750" spans="1:5">
      <c r="A9750" s="12"/>
      <c r="E9750" s="57" t="str">
        <f ca="1">IFERROR(__xludf.DUMMYFUNCTION("""COMPUTED_VALUE"""),"")</f>
        <v/>
      </c>
    </row>
    <row r="9751" spans="1:5">
      <c r="A9751" s="12"/>
      <c r="E9751" s="57" t="str">
        <f ca="1">IFERROR(__xludf.DUMMYFUNCTION("""COMPUTED_VALUE"""),"")</f>
        <v/>
      </c>
    </row>
    <row r="9752" spans="1:5">
      <c r="A9752" s="12"/>
      <c r="E9752" s="57" t="str">
        <f ca="1">IFERROR(__xludf.DUMMYFUNCTION("""COMPUTED_VALUE"""),"")</f>
        <v/>
      </c>
    </row>
    <row r="9753" spans="1:5">
      <c r="A9753" s="12"/>
      <c r="E9753" s="57" t="str">
        <f ca="1">IFERROR(__xludf.DUMMYFUNCTION("""COMPUTED_VALUE"""),"")</f>
        <v/>
      </c>
    </row>
    <row r="9754" spans="1:5">
      <c r="A9754" s="12"/>
      <c r="E9754" s="57" t="str">
        <f ca="1">IFERROR(__xludf.DUMMYFUNCTION("""COMPUTED_VALUE"""),"")</f>
        <v/>
      </c>
    </row>
    <row r="9755" spans="1:5">
      <c r="A9755" s="12"/>
      <c r="E9755" s="57" t="str">
        <f ca="1">IFERROR(__xludf.DUMMYFUNCTION("""COMPUTED_VALUE"""),"")</f>
        <v/>
      </c>
    </row>
    <row r="9756" spans="1:5">
      <c r="A9756" s="12"/>
      <c r="E9756" s="57" t="str">
        <f ca="1">IFERROR(__xludf.DUMMYFUNCTION("""COMPUTED_VALUE"""),"")</f>
        <v/>
      </c>
    </row>
    <row r="9757" spans="1:5">
      <c r="A9757" s="12"/>
      <c r="E9757" s="57" t="str">
        <f ca="1">IFERROR(__xludf.DUMMYFUNCTION("""COMPUTED_VALUE"""),"")</f>
        <v/>
      </c>
    </row>
    <row r="9758" spans="1:5">
      <c r="A9758" s="12"/>
      <c r="E9758" s="57" t="str">
        <f ca="1">IFERROR(__xludf.DUMMYFUNCTION("""COMPUTED_VALUE"""),"")</f>
        <v/>
      </c>
    </row>
    <row r="9759" spans="1:5">
      <c r="A9759" s="12"/>
      <c r="E9759" s="57" t="str">
        <f ca="1">IFERROR(__xludf.DUMMYFUNCTION("""COMPUTED_VALUE"""),"")</f>
        <v/>
      </c>
    </row>
    <row r="9760" spans="1:5">
      <c r="A9760" s="12"/>
      <c r="E9760" s="57" t="str">
        <f ca="1">IFERROR(__xludf.DUMMYFUNCTION("""COMPUTED_VALUE"""),"")</f>
        <v/>
      </c>
    </row>
    <row r="9761" spans="1:5">
      <c r="A9761" s="12"/>
      <c r="E9761" s="57" t="str">
        <f ca="1">IFERROR(__xludf.DUMMYFUNCTION("""COMPUTED_VALUE"""),"")</f>
        <v/>
      </c>
    </row>
    <row r="9762" spans="1:5">
      <c r="A9762" s="12"/>
      <c r="E9762" s="57" t="str">
        <f ca="1">IFERROR(__xludf.DUMMYFUNCTION("""COMPUTED_VALUE"""),"")</f>
        <v/>
      </c>
    </row>
    <row r="9763" spans="1:5">
      <c r="A9763" s="12"/>
      <c r="E9763" s="57" t="str">
        <f ca="1">IFERROR(__xludf.DUMMYFUNCTION("""COMPUTED_VALUE"""),"")</f>
        <v/>
      </c>
    </row>
    <row r="9764" spans="1:5">
      <c r="A9764" s="12"/>
      <c r="E9764" s="57" t="str">
        <f ca="1">IFERROR(__xludf.DUMMYFUNCTION("""COMPUTED_VALUE"""),"")</f>
        <v/>
      </c>
    </row>
    <row r="9765" spans="1:5">
      <c r="A9765" s="12"/>
      <c r="E9765" s="57" t="str">
        <f ca="1">IFERROR(__xludf.DUMMYFUNCTION("""COMPUTED_VALUE"""),"")</f>
        <v/>
      </c>
    </row>
    <row r="9766" spans="1:5">
      <c r="A9766" s="12"/>
      <c r="E9766" s="57" t="str">
        <f ca="1">IFERROR(__xludf.DUMMYFUNCTION("""COMPUTED_VALUE"""),"")</f>
        <v/>
      </c>
    </row>
    <row r="9767" spans="1:5">
      <c r="A9767" s="12"/>
      <c r="E9767" s="57" t="str">
        <f ca="1">IFERROR(__xludf.DUMMYFUNCTION("""COMPUTED_VALUE"""),"")</f>
        <v/>
      </c>
    </row>
    <row r="9768" spans="1:5">
      <c r="A9768" s="12"/>
      <c r="E9768" s="57" t="str">
        <f ca="1">IFERROR(__xludf.DUMMYFUNCTION("""COMPUTED_VALUE"""),"")</f>
        <v/>
      </c>
    </row>
    <row r="9769" spans="1:5">
      <c r="A9769" s="12"/>
      <c r="E9769" s="57" t="str">
        <f ca="1">IFERROR(__xludf.DUMMYFUNCTION("""COMPUTED_VALUE"""),"")</f>
        <v/>
      </c>
    </row>
    <row r="9770" spans="1:5">
      <c r="A9770" s="12"/>
      <c r="E9770" s="57" t="str">
        <f ca="1">IFERROR(__xludf.DUMMYFUNCTION("""COMPUTED_VALUE"""),"")</f>
        <v/>
      </c>
    </row>
    <row r="9771" spans="1:5">
      <c r="A9771" s="12"/>
      <c r="E9771" s="57" t="str">
        <f ca="1">IFERROR(__xludf.DUMMYFUNCTION("""COMPUTED_VALUE"""),"")</f>
        <v/>
      </c>
    </row>
    <row r="9772" spans="1:5">
      <c r="A9772" s="12"/>
      <c r="E9772" s="57" t="str">
        <f ca="1">IFERROR(__xludf.DUMMYFUNCTION("""COMPUTED_VALUE"""),"")</f>
        <v/>
      </c>
    </row>
    <row r="9773" spans="1:5">
      <c r="A9773" s="12"/>
      <c r="E9773" s="57" t="str">
        <f ca="1">IFERROR(__xludf.DUMMYFUNCTION("""COMPUTED_VALUE"""),"")</f>
        <v/>
      </c>
    </row>
    <row r="9774" spans="1:5">
      <c r="A9774" s="12"/>
      <c r="E9774" s="57" t="str">
        <f ca="1">IFERROR(__xludf.DUMMYFUNCTION("""COMPUTED_VALUE"""),"")</f>
        <v/>
      </c>
    </row>
    <row r="9775" spans="1:5">
      <c r="A9775" s="12"/>
      <c r="E9775" s="57" t="str">
        <f ca="1">IFERROR(__xludf.DUMMYFUNCTION("""COMPUTED_VALUE"""),"")</f>
        <v/>
      </c>
    </row>
    <row r="9776" spans="1:5">
      <c r="A9776" s="12"/>
      <c r="E9776" s="57" t="str">
        <f ca="1">IFERROR(__xludf.DUMMYFUNCTION("""COMPUTED_VALUE"""),"")</f>
        <v/>
      </c>
    </row>
    <row r="9777" spans="1:5">
      <c r="A9777" s="12"/>
      <c r="E9777" s="57" t="str">
        <f ca="1">IFERROR(__xludf.DUMMYFUNCTION("""COMPUTED_VALUE"""),"")</f>
        <v/>
      </c>
    </row>
    <row r="9778" spans="1:5">
      <c r="A9778" s="12"/>
      <c r="E9778" s="57" t="str">
        <f ca="1">IFERROR(__xludf.DUMMYFUNCTION("""COMPUTED_VALUE"""),"")</f>
        <v/>
      </c>
    </row>
    <row r="9779" spans="1:5">
      <c r="A9779" s="12"/>
      <c r="E9779" s="57" t="str">
        <f ca="1">IFERROR(__xludf.DUMMYFUNCTION("""COMPUTED_VALUE"""),"")</f>
        <v/>
      </c>
    </row>
    <row r="9780" spans="1:5">
      <c r="A9780" s="12"/>
      <c r="E9780" s="57" t="str">
        <f ca="1">IFERROR(__xludf.DUMMYFUNCTION("""COMPUTED_VALUE"""),"")</f>
        <v/>
      </c>
    </row>
    <row r="9781" spans="1:5">
      <c r="A9781" s="12"/>
      <c r="E9781" s="57" t="str">
        <f ca="1">IFERROR(__xludf.DUMMYFUNCTION("""COMPUTED_VALUE"""),"")</f>
        <v/>
      </c>
    </row>
    <row r="9782" spans="1:5">
      <c r="A9782" s="12"/>
      <c r="E9782" s="57" t="str">
        <f ca="1">IFERROR(__xludf.DUMMYFUNCTION("""COMPUTED_VALUE"""),"")</f>
        <v/>
      </c>
    </row>
    <row r="9783" spans="1:5">
      <c r="A9783" s="12"/>
      <c r="E9783" s="57" t="str">
        <f ca="1">IFERROR(__xludf.DUMMYFUNCTION("""COMPUTED_VALUE"""),"")</f>
        <v/>
      </c>
    </row>
    <row r="9784" spans="1:5">
      <c r="A9784" s="12"/>
      <c r="E9784" s="57" t="str">
        <f ca="1">IFERROR(__xludf.DUMMYFUNCTION("""COMPUTED_VALUE"""),"")</f>
        <v/>
      </c>
    </row>
    <row r="9785" spans="1:5">
      <c r="A9785" s="12"/>
      <c r="E9785" s="57" t="str">
        <f ca="1">IFERROR(__xludf.DUMMYFUNCTION("""COMPUTED_VALUE"""),"")</f>
        <v/>
      </c>
    </row>
    <row r="9786" spans="1:5">
      <c r="A9786" s="12"/>
      <c r="E9786" s="57" t="str">
        <f ca="1">IFERROR(__xludf.DUMMYFUNCTION("""COMPUTED_VALUE"""),"")</f>
        <v/>
      </c>
    </row>
    <row r="9787" spans="1:5">
      <c r="A9787" s="12"/>
      <c r="E9787" s="57" t="str">
        <f ca="1">IFERROR(__xludf.DUMMYFUNCTION("""COMPUTED_VALUE"""),"")</f>
        <v/>
      </c>
    </row>
    <row r="9788" spans="1:5">
      <c r="A9788" s="12"/>
      <c r="E9788" s="57" t="str">
        <f ca="1">IFERROR(__xludf.DUMMYFUNCTION("""COMPUTED_VALUE"""),"")</f>
        <v/>
      </c>
    </row>
    <row r="9789" spans="1:5">
      <c r="A9789" s="12"/>
      <c r="E9789" s="57" t="str">
        <f ca="1">IFERROR(__xludf.DUMMYFUNCTION("""COMPUTED_VALUE"""),"")</f>
        <v/>
      </c>
    </row>
    <row r="9790" spans="1:5">
      <c r="A9790" s="12"/>
      <c r="E9790" s="57" t="str">
        <f ca="1">IFERROR(__xludf.DUMMYFUNCTION("""COMPUTED_VALUE"""),"")</f>
        <v/>
      </c>
    </row>
    <row r="9791" spans="1:5">
      <c r="A9791" s="12"/>
      <c r="E9791" s="57" t="str">
        <f ca="1">IFERROR(__xludf.DUMMYFUNCTION("""COMPUTED_VALUE"""),"")</f>
        <v/>
      </c>
    </row>
    <row r="9792" spans="1:5">
      <c r="A9792" s="12"/>
      <c r="E9792" s="57" t="str">
        <f ca="1">IFERROR(__xludf.DUMMYFUNCTION("""COMPUTED_VALUE"""),"")</f>
        <v/>
      </c>
    </row>
    <row r="9793" spans="1:5">
      <c r="A9793" s="12"/>
      <c r="E9793" s="57" t="str">
        <f ca="1">IFERROR(__xludf.DUMMYFUNCTION("""COMPUTED_VALUE"""),"")</f>
        <v/>
      </c>
    </row>
    <row r="9794" spans="1:5">
      <c r="A9794" s="12"/>
      <c r="E9794" s="57" t="str">
        <f ca="1">IFERROR(__xludf.DUMMYFUNCTION("""COMPUTED_VALUE"""),"")</f>
        <v/>
      </c>
    </row>
    <row r="9795" spans="1:5">
      <c r="A9795" s="12"/>
      <c r="E9795" s="57" t="str">
        <f ca="1">IFERROR(__xludf.DUMMYFUNCTION("""COMPUTED_VALUE"""),"")</f>
        <v/>
      </c>
    </row>
    <row r="9796" spans="1:5">
      <c r="A9796" s="12"/>
      <c r="E9796" s="57" t="str">
        <f ca="1">IFERROR(__xludf.DUMMYFUNCTION("""COMPUTED_VALUE"""),"")</f>
        <v/>
      </c>
    </row>
    <row r="9797" spans="1:5">
      <c r="A9797" s="12"/>
      <c r="E9797" s="57" t="str">
        <f ca="1">IFERROR(__xludf.DUMMYFUNCTION("""COMPUTED_VALUE"""),"")</f>
        <v/>
      </c>
    </row>
    <row r="9798" spans="1:5">
      <c r="A9798" s="12"/>
      <c r="E9798" s="57" t="str">
        <f ca="1">IFERROR(__xludf.DUMMYFUNCTION("""COMPUTED_VALUE"""),"")</f>
        <v/>
      </c>
    </row>
    <row r="9799" spans="1:5">
      <c r="A9799" s="12"/>
      <c r="E9799" s="57" t="str">
        <f ca="1">IFERROR(__xludf.DUMMYFUNCTION("""COMPUTED_VALUE"""),"")</f>
        <v/>
      </c>
    </row>
    <row r="9800" spans="1:5">
      <c r="A9800" s="12"/>
      <c r="E9800" s="57" t="str">
        <f ca="1">IFERROR(__xludf.DUMMYFUNCTION("""COMPUTED_VALUE"""),"")</f>
        <v/>
      </c>
    </row>
    <row r="9801" spans="1:5">
      <c r="A9801" s="12"/>
      <c r="E9801" s="57" t="str">
        <f ca="1">IFERROR(__xludf.DUMMYFUNCTION("""COMPUTED_VALUE"""),"")</f>
        <v/>
      </c>
    </row>
    <row r="9802" spans="1:5">
      <c r="A9802" s="12"/>
      <c r="E9802" s="57" t="str">
        <f ca="1">IFERROR(__xludf.DUMMYFUNCTION("""COMPUTED_VALUE"""),"")</f>
        <v/>
      </c>
    </row>
    <row r="9803" spans="1:5">
      <c r="A9803" s="12"/>
      <c r="E9803" s="57" t="str">
        <f ca="1">IFERROR(__xludf.DUMMYFUNCTION("""COMPUTED_VALUE"""),"")</f>
        <v/>
      </c>
    </row>
    <row r="9804" spans="1:5">
      <c r="A9804" s="12"/>
      <c r="E9804" s="57" t="str">
        <f ca="1">IFERROR(__xludf.DUMMYFUNCTION("""COMPUTED_VALUE"""),"")</f>
        <v/>
      </c>
    </row>
    <row r="9805" spans="1:5">
      <c r="A9805" s="12"/>
      <c r="E9805" s="57" t="str">
        <f ca="1">IFERROR(__xludf.DUMMYFUNCTION("""COMPUTED_VALUE"""),"")</f>
        <v/>
      </c>
    </row>
    <row r="9806" spans="1:5">
      <c r="A9806" s="12"/>
      <c r="E9806" s="57" t="str">
        <f ca="1">IFERROR(__xludf.DUMMYFUNCTION("""COMPUTED_VALUE"""),"")</f>
        <v/>
      </c>
    </row>
    <row r="9807" spans="1:5">
      <c r="A9807" s="12"/>
      <c r="E9807" s="57" t="str">
        <f ca="1">IFERROR(__xludf.DUMMYFUNCTION("""COMPUTED_VALUE"""),"")</f>
        <v/>
      </c>
    </row>
    <row r="9808" spans="1:5">
      <c r="A9808" s="12"/>
      <c r="E9808" s="57" t="str">
        <f ca="1">IFERROR(__xludf.DUMMYFUNCTION("""COMPUTED_VALUE"""),"")</f>
        <v/>
      </c>
    </row>
    <row r="9809" spans="1:5">
      <c r="A9809" s="12"/>
      <c r="E9809" s="57" t="str">
        <f ca="1">IFERROR(__xludf.DUMMYFUNCTION("""COMPUTED_VALUE"""),"")</f>
        <v/>
      </c>
    </row>
    <row r="9810" spans="1:5">
      <c r="A9810" s="12"/>
      <c r="E9810" s="57" t="str">
        <f ca="1">IFERROR(__xludf.DUMMYFUNCTION("""COMPUTED_VALUE"""),"")</f>
        <v/>
      </c>
    </row>
    <row r="9811" spans="1:5">
      <c r="A9811" s="12"/>
      <c r="E9811" s="57" t="str">
        <f ca="1">IFERROR(__xludf.DUMMYFUNCTION("""COMPUTED_VALUE"""),"")</f>
        <v/>
      </c>
    </row>
    <row r="9812" spans="1:5">
      <c r="A9812" s="12"/>
      <c r="E9812" s="57" t="str">
        <f ca="1">IFERROR(__xludf.DUMMYFUNCTION("""COMPUTED_VALUE"""),"")</f>
        <v/>
      </c>
    </row>
    <row r="9813" spans="1:5">
      <c r="A9813" s="12"/>
      <c r="E9813" s="57" t="str">
        <f ca="1">IFERROR(__xludf.DUMMYFUNCTION("""COMPUTED_VALUE"""),"")</f>
        <v/>
      </c>
    </row>
    <row r="9814" spans="1:5">
      <c r="A9814" s="12"/>
      <c r="E9814" s="57" t="str">
        <f ca="1">IFERROR(__xludf.DUMMYFUNCTION("""COMPUTED_VALUE"""),"")</f>
        <v/>
      </c>
    </row>
    <row r="9815" spans="1:5">
      <c r="A9815" s="12"/>
      <c r="E9815" s="57" t="str">
        <f ca="1">IFERROR(__xludf.DUMMYFUNCTION("""COMPUTED_VALUE"""),"")</f>
        <v/>
      </c>
    </row>
    <row r="9816" spans="1:5">
      <c r="A9816" s="12"/>
      <c r="E9816" s="57" t="str">
        <f ca="1">IFERROR(__xludf.DUMMYFUNCTION("""COMPUTED_VALUE"""),"")</f>
        <v/>
      </c>
    </row>
    <row r="9817" spans="1:5">
      <c r="A9817" s="12"/>
      <c r="E9817" s="57" t="str">
        <f ca="1">IFERROR(__xludf.DUMMYFUNCTION("""COMPUTED_VALUE"""),"")</f>
        <v/>
      </c>
    </row>
    <row r="9818" spans="1:5">
      <c r="A9818" s="12"/>
      <c r="E9818" s="57" t="str">
        <f ca="1">IFERROR(__xludf.DUMMYFUNCTION("""COMPUTED_VALUE"""),"")</f>
        <v/>
      </c>
    </row>
    <row r="9819" spans="1:5">
      <c r="A9819" s="12"/>
      <c r="E9819" s="57" t="str">
        <f ca="1">IFERROR(__xludf.DUMMYFUNCTION("""COMPUTED_VALUE"""),"")</f>
        <v/>
      </c>
    </row>
    <row r="9820" spans="1:5">
      <c r="A9820" s="12"/>
      <c r="E9820" s="57" t="str">
        <f ca="1">IFERROR(__xludf.DUMMYFUNCTION("""COMPUTED_VALUE"""),"")</f>
        <v/>
      </c>
    </row>
    <row r="9821" spans="1:5">
      <c r="A9821" s="12"/>
      <c r="E9821" s="57" t="str">
        <f ca="1">IFERROR(__xludf.DUMMYFUNCTION("""COMPUTED_VALUE"""),"")</f>
        <v/>
      </c>
    </row>
    <row r="9822" spans="1:5">
      <c r="A9822" s="12"/>
      <c r="E9822" s="57" t="str">
        <f ca="1">IFERROR(__xludf.DUMMYFUNCTION("""COMPUTED_VALUE"""),"")</f>
        <v/>
      </c>
    </row>
    <row r="9823" spans="1:5">
      <c r="A9823" s="12"/>
      <c r="E9823" s="57" t="str">
        <f ca="1">IFERROR(__xludf.DUMMYFUNCTION("""COMPUTED_VALUE"""),"")</f>
        <v/>
      </c>
    </row>
    <row r="9824" spans="1:5">
      <c r="A9824" s="12"/>
      <c r="E9824" s="57" t="str">
        <f ca="1">IFERROR(__xludf.DUMMYFUNCTION("""COMPUTED_VALUE"""),"")</f>
        <v/>
      </c>
    </row>
    <row r="9825" spans="1:5">
      <c r="A9825" s="12"/>
      <c r="E9825" s="57" t="str">
        <f ca="1">IFERROR(__xludf.DUMMYFUNCTION("""COMPUTED_VALUE"""),"")</f>
        <v/>
      </c>
    </row>
    <row r="9826" spans="1:5">
      <c r="A9826" s="12"/>
      <c r="E9826" s="57" t="str">
        <f ca="1">IFERROR(__xludf.DUMMYFUNCTION("""COMPUTED_VALUE"""),"")</f>
        <v/>
      </c>
    </row>
    <row r="9827" spans="1:5">
      <c r="A9827" s="12"/>
      <c r="E9827" s="57" t="str">
        <f ca="1">IFERROR(__xludf.DUMMYFUNCTION("""COMPUTED_VALUE"""),"")</f>
        <v/>
      </c>
    </row>
    <row r="9828" spans="1:5">
      <c r="A9828" s="12"/>
      <c r="E9828" s="57" t="str">
        <f ca="1">IFERROR(__xludf.DUMMYFUNCTION("""COMPUTED_VALUE"""),"")</f>
        <v/>
      </c>
    </row>
    <row r="9829" spans="1:5">
      <c r="A9829" s="12"/>
      <c r="E9829" s="57" t="str">
        <f ca="1">IFERROR(__xludf.DUMMYFUNCTION("""COMPUTED_VALUE"""),"")</f>
        <v/>
      </c>
    </row>
    <row r="9830" spans="1:5">
      <c r="A9830" s="12"/>
      <c r="E9830" s="57" t="str">
        <f ca="1">IFERROR(__xludf.DUMMYFUNCTION("""COMPUTED_VALUE"""),"")</f>
        <v/>
      </c>
    </row>
    <row r="9831" spans="1:5">
      <c r="A9831" s="12"/>
      <c r="E9831" s="57" t="str">
        <f ca="1">IFERROR(__xludf.DUMMYFUNCTION("""COMPUTED_VALUE"""),"")</f>
        <v/>
      </c>
    </row>
    <row r="9832" spans="1:5">
      <c r="A9832" s="12"/>
      <c r="E9832" s="57" t="str">
        <f ca="1">IFERROR(__xludf.DUMMYFUNCTION("""COMPUTED_VALUE"""),"")</f>
        <v/>
      </c>
    </row>
    <row r="9833" spans="1:5">
      <c r="A9833" s="12"/>
      <c r="E9833" s="57" t="str">
        <f ca="1">IFERROR(__xludf.DUMMYFUNCTION("""COMPUTED_VALUE"""),"")</f>
        <v/>
      </c>
    </row>
    <row r="9834" spans="1:5">
      <c r="A9834" s="12"/>
      <c r="E9834" s="57" t="str">
        <f ca="1">IFERROR(__xludf.DUMMYFUNCTION("""COMPUTED_VALUE"""),"")</f>
        <v/>
      </c>
    </row>
    <row r="9835" spans="1:5">
      <c r="A9835" s="12"/>
      <c r="E9835" s="57" t="str">
        <f ca="1">IFERROR(__xludf.DUMMYFUNCTION("""COMPUTED_VALUE"""),"")</f>
        <v/>
      </c>
    </row>
    <row r="9836" spans="1:5">
      <c r="A9836" s="12"/>
      <c r="E9836" s="57" t="str">
        <f ca="1">IFERROR(__xludf.DUMMYFUNCTION("""COMPUTED_VALUE"""),"")</f>
        <v/>
      </c>
    </row>
    <row r="9837" spans="1:5">
      <c r="A9837" s="12"/>
      <c r="E9837" s="57" t="str">
        <f ca="1">IFERROR(__xludf.DUMMYFUNCTION("""COMPUTED_VALUE"""),"")</f>
        <v/>
      </c>
    </row>
    <row r="9838" spans="1:5">
      <c r="A9838" s="12"/>
      <c r="E9838" s="57" t="str">
        <f ca="1">IFERROR(__xludf.DUMMYFUNCTION("""COMPUTED_VALUE"""),"")</f>
        <v/>
      </c>
    </row>
    <row r="9839" spans="1:5">
      <c r="A9839" s="12"/>
      <c r="E9839" s="57" t="str">
        <f ca="1">IFERROR(__xludf.DUMMYFUNCTION("""COMPUTED_VALUE"""),"")</f>
        <v/>
      </c>
    </row>
    <row r="9840" spans="1:5">
      <c r="A9840" s="12"/>
      <c r="E9840" s="57" t="str">
        <f ca="1">IFERROR(__xludf.DUMMYFUNCTION("""COMPUTED_VALUE"""),"")</f>
        <v/>
      </c>
    </row>
    <row r="9841" spans="1:5">
      <c r="A9841" s="12"/>
      <c r="E9841" s="57" t="str">
        <f ca="1">IFERROR(__xludf.DUMMYFUNCTION("""COMPUTED_VALUE"""),"")</f>
        <v/>
      </c>
    </row>
    <row r="9842" spans="1:5">
      <c r="A9842" s="12"/>
      <c r="E9842" s="57" t="str">
        <f ca="1">IFERROR(__xludf.DUMMYFUNCTION("""COMPUTED_VALUE"""),"")</f>
        <v/>
      </c>
    </row>
    <row r="9843" spans="1:5">
      <c r="A9843" s="12"/>
      <c r="E9843" s="57" t="str">
        <f ca="1">IFERROR(__xludf.DUMMYFUNCTION("""COMPUTED_VALUE"""),"")</f>
        <v/>
      </c>
    </row>
    <row r="9844" spans="1:5">
      <c r="A9844" s="12"/>
      <c r="E9844" s="57" t="str">
        <f ca="1">IFERROR(__xludf.DUMMYFUNCTION("""COMPUTED_VALUE"""),"")</f>
        <v/>
      </c>
    </row>
    <row r="9845" spans="1:5">
      <c r="A9845" s="12"/>
      <c r="E9845" s="57" t="str">
        <f ca="1">IFERROR(__xludf.DUMMYFUNCTION("""COMPUTED_VALUE"""),"")</f>
        <v/>
      </c>
    </row>
    <row r="9846" spans="1:5">
      <c r="A9846" s="12"/>
      <c r="E9846" s="57" t="str">
        <f ca="1">IFERROR(__xludf.DUMMYFUNCTION("""COMPUTED_VALUE"""),"")</f>
        <v/>
      </c>
    </row>
    <row r="9847" spans="1:5">
      <c r="A9847" s="12"/>
      <c r="E9847" s="57" t="str">
        <f ca="1">IFERROR(__xludf.DUMMYFUNCTION("""COMPUTED_VALUE"""),"")</f>
        <v/>
      </c>
    </row>
    <row r="9848" spans="1:5">
      <c r="A9848" s="12"/>
      <c r="E9848" s="57" t="str">
        <f ca="1">IFERROR(__xludf.DUMMYFUNCTION("""COMPUTED_VALUE"""),"")</f>
        <v/>
      </c>
    </row>
    <row r="9849" spans="1:5">
      <c r="A9849" s="12"/>
      <c r="E9849" s="57" t="str">
        <f ca="1">IFERROR(__xludf.DUMMYFUNCTION("""COMPUTED_VALUE"""),"")</f>
        <v/>
      </c>
    </row>
    <row r="9850" spans="1:5">
      <c r="A9850" s="12"/>
      <c r="E9850" s="57" t="str">
        <f ca="1">IFERROR(__xludf.DUMMYFUNCTION("""COMPUTED_VALUE"""),"")</f>
        <v/>
      </c>
    </row>
    <row r="9851" spans="1:5">
      <c r="A9851" s="12"/>
      <c r="E9851" s="57" t="str">
        <f ca="1">IFERROR(__xludf.DUMMYFUNCTION("""COMPUTED_VALUE"""),"")</f>
        <v/>
      </c>
    </row>
    <row r="9852" spans="1:5">
      <c r="A9852" s="12"/>
      <c r="E9852" s="57" t="str">
        <f ca="1">IFERROR(__xludf.DUMMYFUNCTION("""COMPUTED_VALUE"""),"")</f>
        <v/>
      </c>
    </row>
    <row r="9853" spans="1:5">
      <c r="A9853" s="12"/>
      <c r="E9853" s="57" t="str">
        <f ca="1">IFERROR(__xludf.DUMMYFUNCTION("""COMPUTED_VALUE"""),"")</f>
        <v/>
      </c>
    </row>
    <row r="9854" spans="1:5">
      <c r="A9854" s="12"/>
      <c r="E9854" s="57" t="str">
        <f ca="1">IFERROR(__xludf.DUMMYFUNCTION("""COMPUTED_VALUE"""),"")</f>
        <v/>
      </c>
    </row>
    <row r="9855" spans="1:5">
      <c r="A9855" s="12"/>
      <c r="E9855" s="57" t="str">
        <f ca="1">IFERROR(__xludf.DUMMYFUNCTION("""COMPUTED_VALUE"""),"")</f>
        <v/>
      </c>
    </row>
    <row r="9856" spans="1:5">
      <c r="A9856" s="12"/>
      <c r="E9856" s="57" t="str">
        <f ca="1">IFERROR(__xludf.DUMMYFUNCTION("""COMPUTED_VALUE"""),"")</f>
        <v/>
      </c>
    </row>
    <row r="9857" spans="1:5">
      <c r="A9857" s="12"/>
      <c r="E9857" s="57" t="str">
        <f ca="1">IFERROR(__xludf.DUMMYFUNCTION("""COMPUTED_VALUE"""),"")</f>
        <v/>
      </c>
    </row>
    <row r="9858" spans="1:5">
      <c r="A9858" s="12"/>
      <c r="E9858" s="57" t="str">
        <f ca="1">IFERROR(__xludf.DUMMYFUNCTION("""COMPUTED_VALUE"""),"")</f>
        <v/>
      </c>
    </row>
    <row r="9859" spans="1:5">
      <c r="A9859" s="12"/>
      <c r="E9859" s="57" t="str">
        <f ca="1">IFERROR(__xludf.DUMMYFUNCTION("""COMPUTED_VALUE"""),"")</f>
        <v/>
      </c>
    </row>
    <row r="9860" spans="1:5">
      <c r="A9860" s="12"/>
      <c r="E9860" s="57" t="str">
        <f ca="1">IFERROR(__xludf.DUMMYFUNCTION("""COMPUTED_VALUE"""),"")</f>
        <v/>
      </c>
    </row>
    <row r="9861" spans="1:5">
      <c r="A9861" s="12"/>
      <c r="E9861" s="57" t="str">
        <f ca="1">IFERROR(__xludf.DUMMYFUNCTION("""COMPUTED_VALUE"""),"")</f>
        <v/>
      </c>
    </row>
    <row r="9862" spans="1:5">
      <c r="A9862" s="12"/>
      <c r="E9862" s="57" t="str">
        <f ca="1">IFERROR(__xludf.DUMMYFUNCTION("""COMPUTED_VALUE"""),"")</f>
        <v/>
      </c>
    </row>
    <row r="9863" spans="1:5">
      <c r="A9863" s="12"/>
      <c r="E9863" s="57" t="str">
        <f ca="1">IFERROR(__xludf.DUMMYFUNCTION("""COMPUTED_VALUE"""),"")</f>
        <v/>
      </c>
    </row>
    <row r="9864" spans="1:5">
      <c r="A9864" s="12"/>
      <c r="E9864" s="57" t="str">
        <f ca="1">IFERROR(__xludf.DUMMYFUNCTION("""COMPUTED_VALUE"""),"")</f>
        <v/>
      </c>
    </row>
    <row r="9865" spans="1:5">
      <c r="A9865" s="12"/>
      <c r="E9865" s="57" t="str">
        <f ca="1">IFERROR(__xludf.DUMMYFUNCTION("""COMPUTED_VALUE"""),"")</f>
        <v/>
      </c>
    </row>
    <row r="9866" spans="1:5">
      <c r="A9866" s="12"/>
      <c r="E9866" s="57" t="str">
        <f ca="1">IFERROR(__xludf.DUMMYFUNCTION("""COMPUTED_VALUE"""),"")</f>
        <v/>
      </c>
    </row>
    <row r="9867" spans="1:5">
      <c r="A9867" s="12"/>
      <c r="E9867" s="57" t="str">
        <f ca="1">IFERROR(__xludf.DUMMYFUNCTION("""COMPUTED_VALUE"""),"")</f>
        <v/>
      </c>
    </row>
    <row r="9868" spans="1:5">
      <c r="A9868" s="12"/>
      <c r="E9868" s="57" t="str">
        <f ca="1">IFERROR(__xludf.DUMMYFUNCTION("""COMPUTED_VALUE"""),"")</f>
        <v/>
      </c>
    </row>
    <row r="9869" spans="1:5">
      <c r="A9869" s="12"/>
      <c r="E9869" s="57" t="str">
        <f ca="1">IFERROR(__xludf.DUMMYFUNCTION("""COMPUTED_VALUE"""),"")</f>
        <v/>
      </c>
    </row>
    <row r="9870" spans="1:5">
      <c r="A9870" s="12"/>
      <c r="E9870" s="57" t="str">
        <f ca="1">IFERROR(__xludf.DUMMYFUNCTION("""COMPUTED_VALUE"""),"")</f>
        <v/>
      </c>
    </row>
    <row r="9871" spans="1:5">
      <c r="A9871" s="12"/>
      <c r="E9871" s="57" t="str">
        <f ca="1">IFERROR(__xludf.DUMMYFUNCTION("""COMPUTED_VALUE"""),"")</f>
        <v/>
      </c>
    </row>
    <row r="9872" spans="1:5">
      <c r="A9872" s="12"/>
      <c r="E9872" s="57" t="str">
        <f ca="1">IFERROR(__xludf.DUMMYFUNCTION("""COMPUTED_VALUE"""),"")</f>
        <v/>
      </c>
    </row>
    <row r="9873" spans="1:5">
      <c r="A9873" s="12"/>
      <c r="E9873" s="57" t="str">
        <f ca="1">IFERROR(__xludf.DUMMYFUNCTION("""COMPUTED_VALUE"""),"")</f>
        <v/>
      </c>
    </row>
    <row r="9874" spans="1:5">
      <c r="A9874" s="12"/>
      <c r="E9874" s="57" t="str">
        <f ca="1">IFERROR(__xludf.DUMMYFUNCTION("""COMPUTED_VALUE"""),"")</f>
        <v/>
      </c>
    </row>
    <row r="9875" spans="1:5">
      <c r="A9875" s="12"/>
      <c r="E9875" s="57" t="str">
        <f ca="1">IFERROR(__xludf.DUMMYFUNCTION("""COMPUTED_VALUE"""),"")</f>
        <v/>
      </c>
    </row>
    <row r="9876" spans="1:5">
      <c r="A9876" s="12"/>
      <c r="E9876" s="57" t="str">
        <f ca="1">IFERROR(__xludf.DUMMYFUNCTION("""COMPUTED_VALUE"""),"")</f>
        <v/>
      </c>
    </row>
    <row r="9877" spans="1:5">
      <c r="A9877" s="12"/>
      <c r="E9877" s="57" t="str">
        <f ca="1">IFERROR(__xludf.DUMMYFUNCTION("""COMPUTED_VALUE"""),"")</f>
        <v/>
      </c>
    </row>
    <row r="9878" spans="1:5">
      <c r="A9878" s="12"/>
      <c r="E9878" s="57" t="str">
        <f ca="1">IFERROR(__xludf.DUMMYFUNCTION("""COMPUTED_VALUE"""),"")</f>
        <v/>
      </c>
    </row>
    <row r="9879" spans="1:5">
      <c r="A9879" s="12"/>
      <c r="E9879" s="57" t="str">
        <f ca="1">IFERROR(__xludf.DUMMYFUNCTION("""COMPUTED_VALUE"""),"")</f>
        <v/>
      </c>
    </row>
    <row r="9880" spans="1:5">
      <c r="A9880" s="12"/>
      <c r="E9880" s="57" t="str">
        <f ca="1">IFERROR(__xludf.DUMMYFUNCTION("""COMPUTED_VALUE"""),"")</f>
        <v/>
      </c>
    </row>
    <row r="9881" spans="1:5">
      <c r="A9881" s="12"/>
      <c r="E9881" s="57" t="str">
        <f ca="1">IFERROR(__xludf.DUMMYFUNCTION("""COMPUTED_VALUE"""),"")</f>
        <v/>
      </c>
    </row>
    <row r="9882" spans="1:5">
      <c r="A9882" s="12"/>
      <c r="E9882" s="57" t="str">
        <f ca="1">IFERROR(__xludf.DUMMYFUNCTION("""COMPUTED_VALUE"""),"")</f>
        <v/>
      </c>
    </row>
    <row r="9883" spans="1:5">
      <c r="A9883" s="12"/>
      <c r="E9883" s="57" t="str">
        <f ca="1">IFERROR(__xludf.DUMMYFUNCTION("""COMPUTED_VALUE"""),"")</f>
        <v/>
      </c>
    </row>
    <row r="9884" spans="1:5">
      <c r="A9884" s="12"/>
      <c r="E9884" s="57" t="str">
        <f ca="1">IFERROR(__xludf.DUMMYFUNCTION("""COMPUTED_VALUE"""),"")</f>
        <v/>
      </c>
    </row>
    <row r="9885" spans="1:5">
      <c r="A9885" s="12"/>
      <c r="E9885" s="57" t="str">
        <f ca="1">IFERROR(__xludf.DUMMYFUNCTION("""COMPUTED_VALUE"""),"")</f>
        <v/>
      </c>
    </row>
    <row r="9886" spans="1:5">
      <c r="A9886" s="12"/>
      <c r="E9886" s="57" t="str">
        <f ca="1">IFERROR(__xludf.DUMMYFUNCTION("""COMPUTED_VALUE"""),"")</f>
        <v/>
      </c>
    </row>
    <row r="9887" spans="1:5">
      <c r="A9887" s="12"/>
      <c r="E9887" s="57" t="str">
        <f ca="1">IFERROR(__xludf.DUMMYFUNCTION("""COMPUTED_VALUE"""),"")</f>
        <v/>
      </c>
    </row>
    <row r="9888" spans="1:5">
      <c r="A9888" s="12"/>
      <c r="E9888" s="57" t="str">
        <f ca="1">IFERROR(__xludf.DUMMYFUNCTION("""COMPUTED_VALUE"""),"")</f>
        <v/>
      </c>
    </row>
    <row r="9889" spans="1:5">
      <c r="A9889" s="12"/>
      <c r="E9889" s="57" t="str">
        <f ca="1">IFERROR(__xludf.DUMMYFUNCTION("""COMPUTED_VALUE"""),"")</f>
        <v/>
      </c>
    </row>
    <row r="9890" spans="1:5">
      <c r="A9890" s="12"/>
      <c r="E9890" s="57" t="str">
        <f ca="1">IFERROR(__xludf.DUMMYFUNCTION("""COMPUTED_VALUE"""),"")</f>
        <v/>
      </c>
    </row>
    <row r="9891" spans="1:5">
      <c r="A9891" s="12"/>
      <c r="E9891" s="57" t="str">
        <f ca="1">IFERROR(__xludf.DUMMYFUNCTION("""COMPUTED_VALUE"""),"")</f>
        <v/>
      </c>
    </row>
    <row r="9892" spans="1:5">
      <c r="A9892" s="12"/>
      <c r="E9892" s="57" t="str">
        <f ca="1">IFERROR(__xludf.DUMMYFUNCTION("""COMPUTED_VALUE"""),"")</f>
        <v/>
      </c>
    </row>
    <row r="9893" spans="1:5">
      <c r="A9893" s="12"/>
      <c r="E9893" s="57" t="str">
        <f ca="1">IFERROR(__xludf.DUMMYFUNCTION("""COMPUTED_VALUE"""),"")</f>
        <v/>
      </c>
    </row>
    <row r="9894" spans="1:5">
      <c r="A9894" s="12"/>
      <c r="E9894" s="57" t="str">
        <f ca="1">IFERROR(__xludf.DUMMYFUNCTION("""COMPUTED_VALUE"""),"")</f>
        <v/>
      </c>
    </row>
    <row r="9895" spans="1:5">
      <c r="A9895" s="12"/>
      <c r="E9895" s="57" t="str">
        <f ca="1">IFERROR(__xludf.DUMMYFUNCTION("""COMPUTED_VALUE"""),"")</f>
        <v/>
      </c>
    </row>
    <row r="9896" spans="1:5">
      <c r="A9896" s="12"/>
      <c r="E9896" s="57" t="str">
        <f ca="1">IFERROR(__xludf.DUMMYFUNCTION("""COMPUTED_VALUE"""),"")</f>
        <v/>
      </c>
    </row>
    <row r="9897" spans="1:5">
      <c r="A9897" s="12"/>
      <c r="E9897" s="57" t="str">
        <f ca="1">IFERROR(__xludf.DUMMYFUNCTION("""COMPUTED_VALUE"""),"")</f>
        <v/>
      </c>
    </row>
    <row r="9898" spans="1:5">
      <c r="A9898" s="12"/>
      <c r="E9898" s="57" t="str">
        <f ca="1">IFERROR(__xludf.DUMMYFUNCTION("""COMPUTED_VALUE"""),"")</f>
        <v/>
      </c>
    </row>
    <row r="9899" spans="1:5">
      <c r="A9899" s="12"/>
      <c r="E9899" s="57" t="str">
        <f ca="1">IFERROR(__xludf.DUMMYFUNCTION("""COMPUTED_VALUE"""),"")</f>
        <v/>
      </c>
    </row>
    <row r="9900" spans="1:5">
      <c r="A9900" s="12"/>
      <c r="E9900" s="57" t="str">
        <f ca="1">IFERROR(__xludf.DUMMYFUNCTION("""COMPUTED_VALUE"""),"")</f>
        <v/>
      </c>
    </row>
    <row r="9901" spans="1:5">
      <c r="A9901" s="12"/>
      <c r="E9901" s="57" t="str">
        <f ca="1">IFERROR(__xludf.DUMMYFUNCTION("""COMPUTED_VALUE"""),"")</f>
        <v/>
      </c>
    </row>
    <row r="9902" spans="1:5">
      <c r="A9902" s="12"/>
      <c r="E9902" s="57" t="str">
        <f ca="1">IFERROR(__xludf.DUMMYFUNCTION("""COMPUTED_VALUE"""),"")</f>
        <v/>
      </c>
    </row>
    <row r="9903" spans="1:5">
      <c r="A9903" s="12"/>
      <c r="E9903" s="57" t="str">
        <f ca="1">IFERROR(__xludf.DUMMYFUNCTION("""COMPUTED_VALUE"""),"")</f>
        <v/>
      </c>
    </row>
    <row r="9904" spans="1:5">
      <c r="A9904" s="12"/>
      <c r="E9904" s="57" t="str">
        <f ca="1">IFERROR(__xludf.DUMMYFUNCTION("""COMPUTED_VALUE"""),"")</f>
        <v/>
      </c>
    </row>
    <row r="9905" spans="1:5">
      <c r="A9905" s="12"/>
      <c r="E9905" s="57" t="str">
        <f ca="1">IFERROR(__xludf.DUMMYFUNCTION("""COMPUTED_VALUE"""),"")</f>
        <v/>
      </c>
    </row>
    <row r="9906" spans="1:5">
      <c r="A9906" s="12"/>
      <c r="E9906" s="57" t="str">
        <f ca="1">IFERROR(__xludf.DUMMYFUNCTION("""COMPUTED_VALUE"""),"")</f>
        <v/>
      </c>
    </row>
    <row r="9907" spans="1:5">
      <c r="A9907" s="12"/>
      <c r="E9907" s="57" t="str">
        <f ca="1">IFERROR(__xludf.DUMMYFUNCTION("""COMPUTED_VALUE"""),"")</f>
        <v/>
      </c>
    </row>
    <row r="9908" spans="1:5">
      <c r="A9908" s="12"/>
      <c r="E9908" s="57" t="str">
        <f ca="1">IFERROR(__xludf.DUMMYFUNCTION("""COMPUTED_VALUE"""),"")</f>
        <v/>
      </c>
    </row>
    <row r="9909" spans="1:5">
      <c r="A9909" s="12"/>
      <c r="E9909" s="57" t="str">
        <f ca="1">IFERROR(__xludf.DUMMYFUNCTION("""COMPUTED_VALUE"""),"")</f>
        <v/>
      </c>
    </row>
    <row r="9910" spans="1:5">
      <c r="A9910" s="12"/>
      <c r="E9910" s="57" t="str">
        <f ca="1">IFERROR(__xludf.DUMMYFUNCTION("""COMPUTED_VALUE"""),"")</f>
        <v/>
      </c>
    </row>
    <row r="9911" spans="1:5">
      <c r="A9911" s="12"/>
      <c r="E9911" s="57" t="str">
        <f ca="1">IFERROR(__xludf.DUMMYFUNCTION("""COMPUTED_VALUE"""),"")</f>
        <v/>
      </c>
    </row>
    <row r="9912" spans="1:5">
      <c r="A9912" s="12"/>
      <c r="E9912" s="57" t="str">
        <f ca="1">IFERROR(__xludf.DUMMYFUNCTION("""COMPUTED_VALUE"""),"")</f>
        <v/>
      </c>
    </row>
    <row r="9913" spans="1:5">
      <c r="A9913" s="12"/>
      <c r="E9913" s="57" t="str">
        <f ca="1">IFERROR(__xludf.DUMMYFUNCTION("""COMPUTED_VALUE"""),"")</f>
        <v/>
      </c>
    </row>
    <row r="9914" spans="1:5">
      <c r="A9914" s="12"/>
      <c r="E9914" s="57" t="str">
        <f ca="1">IFERROR(__xludf.DUMMYFUNCTION("""COMPUTED_VALUE"""),"")</f>
        <v/>
      </c>
    </row>
    <row r="9915" spans="1:5">
      <c r="A9915" s="12"/>
      <c r="E9915" s="57" t="str">
        <f ca="1">IFERROR(__xludf.DUMMYFUNCTION("""COMPUTED_VALUE"""),"")</f>
        <v/>
      </c>
    </row>
    <row r="9916" spans="1:5">
      <c r="A9916" s="12"/>
      <c r="E9916" s="57" t="str">
        <f ca="1">IFERROR(__xludf.DUMMYFUNCTION("""COMPUTED_VALUE"""),"")</f>
        <v/>
      </c>
    </row>
    <row r="9917" spans="1:5">
      <c r="A9917" s="12"/>
      <c r="E9917" s="57" t="str">
        <f ca="1">IFERROR(__xludf.DUMMYFUNCTION("""COMPUTED_VALUE"""),"")</f>
        <v/>
      </c>
    </row>
    <row r="9918" spans="1:5">
      <c r="A9918" s="12"/>
      <c r="E9918" s="57" t="str">
        <f ca="1">IFERROR(__xludf.DUMMYFUNCTION("""COMPUTED_VALUE"""),"")</f>
        <v/>
      </c>
    </row>
    <row r="9919" spans="1:5">
      <c r="A9919" s="12"/>
      <c r="E9919" s="57" t="str">
        <f ca="1">IFERROR(__xludf.DUMMYFUNCTION("""COMPUTED_VALUE"""),"")</f>
        <v/>
      </c>
    </row>
    <row r="9920" spans="1:5">
      <c r="A9920" s="12"/>
      <c r="E9920" s="57" t="str">
        <f ca="1">IFERROR(__xludf.DUMMYFUNCTION("""COMPUTED_VALUE"""),"")</f>
        <v/>
      </c>
    </row>
    <row r="9921" spans="1:5">
      <c r="A9921" s="12"/>
      <c r="E9921" s="57" t="str">
        <f ca="1">IFERROR(__xludf.DUMMYFUNCTION("""COMPUTED_VALUE"""),"")</f>
        <v/>
      </c>
    </row>
    <row r="9922" spans="1:5">
      <c r="A9922" s="12"/>
      <c r="E9922" s="57" t="str">
        <f ca="1">IFERROR(__xludf.DUMMYFUNCTION("""COMPUTED_VALUE"""),"")</f>
        <v/>
      </c>
    </row>
    <row r="9923" spans="1:5">
      <c r="A9923" s="12"/>
      <c r="E9923" s="57" t="str">
        <f ca="1">IFERROR(__xludf.DUMMYFUNCTION("""COMPUTED_VALUE"""),"")</f>
        <v/>
      </c>
    </row>
    <row r="9924" spans="1:5">
      <c r="A9924" s="12"/>
      <c r="E9924" s="57" t="str">
        <f ca="1">IFERROR(__xludf.DUMMYFUNCTION("""COMPUTED_VALUE"""),"")</f>
        <v/>
      </c>
    </row>
    <row r="9925" spans="1:5">
      <c r="A9925" s="12"/>
      <c r="E9925" s="57" t="str">
        <f ca="1">IFERROR(__xludf.DUMMYFUNCTION("""COMPUTED_VALUE"""),"")</f>
        <v/>
      </c>
    </row>
    <row r="9926" spans="1:5">
      <c r="A9926" s="12"/>
      <c r="E9926" s="57" t="str">
        <f ca="1">IFERROR(__xludf.DUMMYFUNCTION("""COMPUTED_VALUE"""),"")</f>
        <v/>
      </c>
    </row>
    <row r="9927" spans="1:5">
      <c r="A9927" s="12"/>
      <c r="E9927" s="57" t="str">
        <f ca="1">IFERROR(__xludf.DUMMYFUNCTION("""COMPUTED_VALUE"""),"")</f>
        <v/>
      </c>
    </row>
    <row r="9928" spans="1:5">
      <c r="A9928" s="12"/>
      <c r="E9928" s="57" t="str">
        <f ca="1">IFERROR(__xludf.DUMMYFUNCTION("""COMPUTED_VALUE"""),"")</f>
        <v/>
      </c>
    </row>
    <row r="9929" spans="1:5">
      <c r="A9929" s="12"/>
      <c r="E9929" s="57" t="str">
        <f ca="1">IFERROR(__xludf.DUMMYFUNCTION("""COMPUTED_VALUE"""),"")</f>
        <v/>
      </c>
    </row>
    <row r="9930" spans="1:5">
      <c r="A9930" s="12"/>
      <c r="E9930" s="57" t="str">
        <f ca="1">IFERROR(__xludf.DUMMYFUNCTION("""COMPUTED_VALUE"""),"")</f>
        <v/>
      </c>
    </row>
    <row r="9931" spans="1:5">
      <c r="A9931" s="12"/>
      <c r="E9931" s="57" t="str">
        <f ca="1">IFERROR(__xludf.DUMMYFUNCTION("""COMPUTED_VALUE"""),"")</f>
        <v/>
      </c>
    </row>
    <row r="9932" spans="1:5">
      <c r="A9932" s="12"/>
      <c r="E9932" s="57" t="str">
        <f ca="1">IFERROR(__xludf.DUMMYFUNCTION("""COMPUTED_VALUE"""),"")</f>
        <v/>
      </c>
    </row>
    <row r="9933" spans="1:5">
      <c r="A9933" s="12"/>
      <c r="E9933" s="57" t="str">
        <f ca="1">IFERROR(__xludf.DUMMYFUNCTION("""COMPUTED_VALUE"""),"")</f>
        <v/>
      </c>
    </row>
    <row r="9934" spans="1:5">
      <c r="A9934" s="12"/>
      <c r="E9934" s="57" t="str">
        <f ca="1">IFERROR(__xludf.DUMMYFUNCTION("""COMPUTED_VALUE"""),"")</f>
        <v/>
      </c>
    </row>
    <row r="9935" spans="1:5">
      <c r="A9935" s="12"/>
      <c r="E9935" s="57" t="str">
        <f ca="1">IFERROR(__xludf.DUMMYFUNCTION("""COMPUTED_VALUE"""),"")</f>
        <v/>
      </c>
    </row>
    <row r="9936" spans="1:5">
      <c r="A9936" s="12"/>
      <c r="E9936" s="57" t="str">
        <f ca="1">IFERROR(__xludf.DUMMYFUNCTION("""COMPUTED_VALUE"""),"")</f>
        <v/>
      </c>
    </row>
    <row r="9937" spans="1:5">
      <c r="A9937" s="12"/>
      <c r="E9937" s="57" t="str">
        <f ca="1">IFERROR(__xludf.DUMMYFUNCTION("""COMPUTED_VALUE"""),"")</f>
        <v/>
      </c>
    </row>
    <row r="9938" spans="1:5">
      <c r="A9938" s="12"/>
      <c r="E9938" s="57" t="str">
        <f ca="1">IFERROR(__xludf.DUMMYFUNCTION("""COMPUTED_VALUE"""),"")</f>
        <v/>
      </c>
    </row>
    <row r="9939" spans="1:5">
      <c r="A9939" s="12"/>
      <c r="E9939" s="57" t="str">
        <f ca="1">IFERROR(__xludf.DUMMYFUNCTION("""COMPUTED_VALUE"""),"")</f>
        <v/>
      </c>
    </row>
    <row r="9940" spans="1:5">
      <c r="A9940" s="12"/>
      <c r="E9940" s="57" t="str">
        <f ca="1">IFERROR(__xludf.DUMMYFUNCTION("""COMPUTED_VALUE"""),"")</f>
        <v/>
      </c>
    </row>
    <row r="9941" spans="1:5">
      <c r="A9941" s="12"/>
      <c r="E9941" s="57" t="str">
        <f ca="1">IFERROR(__xludf.DUMMYFUNCTION("""COMPUTED_VALUE"""),"")</f>
        <v/>
      </c>
    </row>
    <row r="9942" spans="1:5">
      <c r="A9942" s="12"/>
      <c r="E9942" s="57" t="str">
        <f ca="1">IFERROR(__xludf.DUMMYFUNCTION("""COMPUTED_VALUE"""),"")</f>
        <v/>
      </c>
    </row>
    <row r="9943" spans="1:5">
      <c r="A9943" s="12"/>
      <c r="E9943" s="57" t="str">
        <f ca="1">IFERROR(__xludf.DUMMYFUNCTION("""COMPUTED_VALUE"""),"")</f>
        <v/>
      </c>
    </row>
    <row r="9944" spans="1:5">
      <c r="A9944" s="12"/>
      <c r="E9944" s="57" t="str">
        <f ca="1">IFERROR(__xludf.DUMMYFUNCTION("""COMPUTED_VALUE"""),"")</f>
        <v/>
      </c>
    </row>
    <row r="9945" spans="1:5">
      <c r="A9945" s="12"/>
      <c r="E9945" s="57" t="str">
        <f ca="1">IFERROR(__xludf.DUMMYFUNCTION("""COMPUTED_VALUE"""),"")</f>
        <v/>
      </c>
    </row>
    <row r="9946" spans="1:5">
      <c r="A9946" s="12"/>
      <c r="E9946" s="57" t="str">
        <f ca="1">IFERROR(__xludf.DUMMYFUNCTION("""COMPUTED_VALUE"""),"")</f>
        <v/>
      </c>
    </row>
    <row r="9947" spans="1:5">
      <c r="A9947" s="12"/>
      <c r="E9947" s="57" t="str">
        <f ca="1">IFERROR(__xludf.DUMMYFUNCTION("""COMPUTED_VALUE"""),"")</f>
        <v/>
      </c>
    </row>
    <row r="9948" spans="1:5">
      <c r="A9948" s="12"/>
      <c r="E9948" s="57" t="str">
        <f ca="1">IFERROR(__xludf.DUMMYFUNCTION("""COMPUTED_VALUE"""),"")</f>
        <v/>
      </c>
    </row>
    <row r="9949" spans="1:5">
      <c r="A9949" s="12"/>
      <c r="E9949" s="57" t="str">
        <f ca="1">IFERROR(__xludf.DUMMYFUNCTION("""COMPUTED_VALUE"""),"")</f>
        <v/>
      </c>
    </row>
    <row r="9950" spans="1:5">
      <c r="A9950" s="12"/>
      <c r="E9950" s="57" t="str">
        <f ca="1">IFERROR(__xludf.DUMMYFUNCTION("""COMPUTED_VALUE"""),"")</f>
        <v/>
      </c>
    </row>
    <row r="9951" spans="1:5">
      <c r="A9951" s="12"/>
      <c r="E9951" s="57" t="str">
        <f ca="1">IFERROR(__xludf.DUMMYFUNCTION("""COMPUTED_VALUE"""),"")</f>
        <v/>
      </c>
    </row>
    <row r="9952" spans="1:5">
      <c r="A9952" s="12"/>
      <c r="E9952" s="57" t="str">
        <f ca="1">IFERROR(__xludf.DUMMYFUNCTION("""COMPUTED_VALUE"""),"")</f>
        <v/>
      </c>
    </row>
    <row r="9953" spans="1:5">
      <c r="A9953" s="12"/>
      <c r="E9953" s="57" t="str">
        <f ca="1">IFERROR(__xludf.DUMMYFUNCTION("""COMPUTED_VALUE"""),"")</f>
        <v/>
      </c>
    </row>
    <row r="9954" spans="1:5">
      <c r="A9954" s="12"/>
      <c r="E9954" s="57" t="str">
        <f ca="1">IFERROR(__xludf.DUMMYFUNCTION("""COMPUTED_VALUE"""),"")</f>
        <v/>
      </c>
    </row>
    <row r="9955" spans="1:5">
      <c r="A9955" s="12"/>
      <c r="E9955" s="57" t="str">
        <f ca="1">IFERROR(__xludf.DUMMYFUNCTION("""COMPUTED_VALUE"""),"")</f>
        <v/>
      </c>
    </row>
    <row r="9956" spans="1:5">
      <c r="A9956" s="12"/>
      <c r="E9956" s="57" t="str">
        <f ca="1">IFERROR(__xludf.DUMMYFUNCTION("""COMPUTED_VALUE"""),"")</f>
        <v/>
      </c>
    </row>
    <row r="9957" spans="1:5">
      <c r="A9957" s="12"/>
      <c r="E9957" s="57" t="str">
        <f ca="1">IFERROR(__xludf.DUMMYFUNCTION("""COMPUTED_VALUE"""),"")</f>
        <v/>
      </c>
    </row>
    <row r="9958" spans="1:5">
      <c r="A9958" s="12"/>
      <c r="E9958" s="57" t="str">
        <f ca="1">IFERROR(__xludf.DUMMYFUNCTION("""COMPUTED_VALUE"""),"")</f>
        <v/>
      </c>
    </row>
    <row r="9959" spans="1:5">
      <c r="A9959" s="12"/>
      <c r="E9959" s="57" t="str">
        <f ca="1">IFERROR(__xludf.DUMMYFUNCTION("""COMPUTED_VALUE"""),"")</f>
        <v/>
      </c>
    </row>
    <row r="9960" spans="1:5">
      <c r="A9960" s="12"/>
      <c r="E9960" s="57" t="str">
        <f ca="1">IFERROR(__xludf.DUMMYFUNCTION("""COMPUTED_VALUE"""),"")</f>
        <v/>
      </c>
    </row>
    <row r="9961" spans="1:5">
      <c r="A9961" s="12"/>
      <c r="E9961" s="57" t="str">
        <f ca="1">IFERROR(__xludf.DUMMYFUNCTION("""COMPUTED_VALUE"""),"")</f>
        <v/>
      </c>
    </row>
    <row r="9962" spans="1:5">
      <c r="A9962" s="12"/>
      <c r="E9962" s="57" t="str">
        <f ca="1">IFERROR(__xludf.DUMMYFUNCTION("""COMPUTED_VALUE"""),"")</f>
        <v/>
      </c>
    </row>
    <row r="9963" spans="1:5">
      <c r="A9963" s="12"/>
      <c r="E9963" s="57" t="str">
        <f ca="1">IFERROR(__xludf.DUMMYFUNCTION("""COMPUTED_VALUE"""),"")</f>
        <v/>
      </c>
    </row>
    <row r="9964" spans="1:5">
      <c r="A9964" s="12"/>
      <c r="E9964" s="57" t="str">
        <f ca="1">IFERROR(__xludf.DUMMYFUNCTION("""COMPUTED_VALUE"""),"")</f>
        <v/>
      </c>
    </row>
    <row r="9965" spans="1:5">
      <c r="A9965" s="12"/>
      <c r="E9965" s="57" t="str">
        <f ca="1">IFERROR(__xludf.DUMMYFUNCTION("""COMPUTED_VALUE"""),"")</f>
        <v/>
      </c>
    </row>
    <row r="9966" spans="1:5">
      <c r="A9966" s="12"/>
      <c r="E9966" s="57" t="str">
        <f ca="1">IFERROR(__xludf.DUMMYFUNCTION("""COMPUTED_VALUE"""),"")</f>
        <v/>
      </c>
    </row>
    <row r="9967" spans="1:5">
      <c r="A9967" s="12"/>
      <c r="E9967" s="57" t="str">
        <f ca="1">IFERROR(__xludf.DUMMYFUNCTION("""COMPUTED_VALUE"""),"")</f>
        <v/>
      </c>
    </row>
    <row r="9968" spans="1:5">
      <c r="A9968" s="12"/>
      <c r="E9968" s="57" t="str">
        <f ca="1">IFERROR(__xludf.DUMMYFUNCTION("""COMPUTED_VALUE"""),"")</f>
        <v/>
      </c>
    </row>
    <row r="9969" spans="1:5">
      <c r="A9969" s="12"/>
      <c r="E9969" s="57" t="str">
        <f ca="1">IFERROR(__xludf.DUMMYFUNCTION("""COMPUTED_VALUE"""),"")</f>
        <v/>
      </c>
    </row>
    <row r="9970" spans="1:5">
      <c r="A9970" s="12"/>
      <c r="E9970" s="57" t="str">
        <f ca="1">IFERROR(__xludf.DUMMYFUNCTION("""COMPUTED_VALUE"""),"")</f>
        <v/>
      </c>
    </row>
    <row r="9971" spans="1:5">
      <c r="A9971" s="12"/>
      <c r="E9971" s="57" t="str">
        <f ca="1">IFERROR(__xludf.DUMMYFUNCTION("""COMPUTED_VALUE"""),"")</f>
        <v/>
      </c>
    </row>
    <row r="9972" spans="1:5">
      <c r="A9972" s="12"/>
      <c r="E9972" s="57" t="str">
        <f ca="1">IFERROR(__xludf.DUMMYFUNCTION("""COMPUTED_VALUE"""),"")</f>
        <v/>
      </c>
    </row>
    <row r="9973" spans="1:5">
      <c r="A9973" s="12"/>
      <c r="E9973" s="57" t="str">
        <f ca="1">IFERROR(__xludf.DUMMYFUNCTION("""COMPUTED_VALUE"""),"")</f>
        <v/>
      </c>
    </row>
    <row r="9974" spans="1:5">
      <c r="A9974" s="12"/>
      <c r="E9974" s="57" t="str">
        <f ca="1">IFERROR(__xludf.DUMMYFUNCTION("""COMPUTED_VALUE"""),"")</f>
        <v/>
      </c>
    </row>
    <row r="9975" spans="1:5">
      <c r="A9975" s="12"/>
      <c r="E9975" s="57" t="str">
        <f ca="1">IFERROR(__xludf.DUMMYFUNCTION("""COMPUTED_VALUE"""),"")</f>
        <v/>
      </c>
    </row>
    <row r="9976" spans="1:5">
      <c r="A9976" s="12"/>
      <c r="E9976" s="57" t="str">
        <f ca="1">IFERROR(__xludf.DUMMYFUNCTION("""COMPUTED_VALUE"""),"")</f>
        <v/>
      </c>
    </row>
    <row r="9977" spans="1:5">
      <c r="A9977" s="12"/>
      <c r="E9977" s="57" t="str">
        <f ca="1">IFERROR(__xludf.DUMMYFUNCTION("""COMPUTED_VALUE"""),"")</f>
        <v/>
      </c>
    </row>
    <row r="9978" spans="1:5">
      <c r="A9978" s="12"/>
      <c r="E9978" s="57" t="str">
        <f ca="1">IFERROR(__xludf.DUMMYFUNCTION("""COMPUTED_VALUE"""),"")</f>
        <v/>
      </c>
    </row>
    <row r="9979" spans="1:5">
      <c r="A9979" s="12"/>
      <c r="E9979" s="57" t="str">
        <f ca="1">IFERROR(__xludf.DUMMYFUNCTION("""COMPUTED_VALUE"""),"")</f>
        <v/>
      </c>
    </row>
    <row r="9980" spans="1:5">
      <c r="A9980" s="12"/>
      <c r="E9980" s="57" t="str">
        <f ca="1">IFERROR(__xludf.DUMMYFUNCTION("""COMPUTED_VALUE"""),"")</f>
        <v/>
      </c>
    </row>
    <row r="9981" spans="1:5">
      <c r="A9981" s="12"/>
      <c r="E9981" s="57" t="str">
        <f ca="1">IFERROR(__xludf.DUMMYFUNCTION("""COMPUTED_VALUE"""),"")</f>
        <v/>
      </c>
    </row>
    <row r="9982" spans="1:5">
      <c r="A9982" s="12"/>
      <c r="E9982" s="57" t="str">
        <f ca="1">IFERROR(__xludf.DUMMYFUNCTION("""COMPUTED_VALUE"""),"")</f>
        <v/>
      </c>
    </row>
    <row r="9983" spans="1:5">
      <c r="A9983" s="12"/>
      <c r="E9983" s="57" t="str">
        <f ca="1">IFERROR(__xludf.DUMMYFUNCTION("""COMPUTED_VALUE"""),"")</f>
        <v/>
      </c>
    </row>
    <row r="9984" spans="1:5">
      <c r="A9984" s="12"/>
      <c r="E9984" s="57" t="str">
        <f ca="1">IFERROR(__xludf.DUMMYFUNCTION("""COMPUTED_VALUE"""),"")</f>
        <v/>
      </c>
    </row>
    <row r="9985" spans="1:5">
      <c r="A9985" s="12"/>
      <c r="E9985" s="57" t="str">
        <f ca="1">IFERROR(__xludf.DUMMYFUNCTION("""COMPUTED_VALUE"""),"")</f>
        <v/>
      </c>
    </row>
    <row r="9986" spans="1:5">
      <c r="A9986" s="12"/>
      <c r="E9986" s="57" t="str">
        <f ca="1">IFERROR(__xludf.DUMMYFUNCTION("""COMPUTED_VALUE"""),"")</f>
        <v/>
      </c>
    </row>
    <row r="9987" spans="1:5">
      <c r="A9987" s="12"/>
      <c r="E9987" s="57" t="str">
        <f ca="1">IFERROR(__xludf.DUMMYFUNCTION("""COMPUTED_VALUE"""),"")</f>
        <v/>
      </c>
    </row>
    <row r="9988" spans="1:5">
      <c r="A9988" s="12"/>
      <c r="E9988" s="57" t="str">
        <f ca="1">IFERROR(__xludf.DUMMYFUNCTION("""COMPUTED_VALUE"""),"")</f>
        <v/>
      </c>
    </row>
    <row r="9989" spans="1:5">
      <c r="A9989" s="12"/>
      <c r="E9989" s="57" t="str">
        <f ca="1">IFERROR(__xludf.DUMMYFUNCTION("""COMPUTED_VALUE"""),"")</f>
        <v/>
      </c>
    </row>
    <row r="9990" spans="1:5">
      <c r="A9990" s="12"/>
      <c r="E9990" s="57" t="str">
        <f ca="1">IFERROR(__xludf.DUMMYFUNCTION("""COMPUTED_VALUE"""),"")</f>
        <v/>
      </c>
    </row>
    <row r="9991" spans="1:5">
      <c r="A9991" s="12"/>
      <c r="E9991" s="57" t="str">
        <f ca="1">IFERROR(__xludf.DUMMYFUNCTION("""COMPUTED_VALUE"""),"")</f>
        <v/>
      </c>
    </row>
    <row r="9992" spans="1:5">
      <c r="A9992" s="12"/>
      <c r="E9992" s="57" t="str">
        <f ca="1">IFERROR(__xludf.DUMMYFUNCTION("""COMPUTED_VALUE"""),"")</f>
        <v/>
      </c>
    </row>
    <row r="9993" spans="1:5">
      <c r="A9993" s="12"/>
      <c r="E9993" s="57" t="str">
        <f ca="1">IFERROR(__xludf.DUMMYFUNCTION("""COMPUTED_VALUE"""),"")</f>
        <v/>
      </c>
    </row>
    <row r="9994" spans="1:5">
      <c r="A9994" s="12"/>
      <c r="E9994" s="57" t="str">
        <f ca="1">IFERROR(__xludf.DUMMYFUNCTION("""COMPUTED_VALUE"""),"")</f>
        <v/>
      </c>
    </row>
    <row r="9995" spans="1:5">
      <c r="A9995" s="12"/>
      <c r="E9995" s="57" t="str">
        <f ca="1">IFERROR(__xludf.DUMMYFUNCTION("""COMPUTED_VALUE"""),"")</f>
        <v/>
      </c>
    </row>
    <row r="9996" spans="1:5">
      <c r="A9996" s="12"/>
      <c r="E9996" s="57" t="str">
        <f ca="1">IFERROR(__xludf.DUMMYFUNCTION("""COMPUTED_VALUE"""),"")</f>
        <v/>
      </c>
    </row>
    <row r="9997" spans="1:5">
      <c r="A9997" s="12"/>
      <c r="E9997" s="57" t="str">
        <f ca="1">IFERROR(__xludf.DUMMYFUNCTION("""COMPUTED_VALUE"""),"")</f>
        <v/>
      </c>
    </row>
    <row r="9998" spans="1:5">
      <c r="A9998" s="12"/>
      <c r="E9998" s="57" t="str">
        <f ca="1">IFERROR(__xludf.DUMMYFUNCTION("""COMPUTED_VALUE"""),"")</f>
        <v/>
      </c>
    </row>
    <row r="9999" spans="1:5">
      <c r="A9999" s="12"/>
      <c r="E9999" s="57" t="str">
        <f ca="1">IFERROR(__xludf.DUMMYFUNCTION("""COMPUTED_VALUE"""),"")</f>
        <v/>
      </c>
    </row>
    <row r="10000" spans="1:5">
      <c r="A10000" s="12"/>
      <c r="E10000" s="57" t="str">
        <f ca="1">IFERROR(__xludf.DUMMYFUNCTION("""COMPUTED_VALUE"""),"")</f>
        <v/>
      </c>
    </row>
    <row r="10001" spans="1:5">
      <c r="A10001" s="12"/>
      <c r="E10001" s="57" t="str">
        <f ca="1">IFERROR(__xludf.DUMMYFUNCTION("""COMPUTED_VALUE"""),"")</f>
        <v/>
      </c>
    </row>
    <row r="10002" spans="1:5">
      <c r="A10002" s="12"/>
      <c r="E10002" s="57" t="str">
        <f ca="1">IFERROR(__xludf.DUMMYFUNCTION("""COMPUTED_VALUE"""),"")</f>
        <v/>
      </c>
    </row>
    <row r="10003" spans="1:5">
      <c r="A10003" s="12"/>
      <c r="E10003" s="57" t="str">
        <f ca="1">IFERROR(__xludf.DUMMYFUNCTION("""COMPUTED_VALUE"""),"")</f>
        <v/>
      </c>
    </row>
    <row r="10004" spans="1:5">
      <c r="A10004" s="12"/>
      <c r="E10004" s="57" t="str">
        <f ca="1">IFERROR(__xludf.DUMMYFUNCTION("""COMPUTED_VALUE"""),"")</f>
        <v/>
      </c>
    </row>
    <row r="10005" spans="1:5">
      <c r="A10005" s="12"/>
      <c r="E10005" s="57" t="str">
        <f ca="1">IFERROR(__xludf.DUMMYFUNCTION("""COMPUTED_VALUE"""),"")</f>
        <v/>
      </c>
    </row>
    <row r="10006" spans="1:5">
      <c r="A10006" s="12"/>
      <c r="E10006" s="57" t="str">
        <f ca="1">IFERROR(__xludf.DUMMYFUNCTION("""COMPUTED_VALUE"""),"")</f>
        <v/>
      </c>
    </row>
    <row r="10007" spans="1:5">
      <c r="A10007" s="12"/>
      <c r="E10007" s="57" t="str">
        <f ca="1">IFERROR(__xludf.DUMMYFUNCTION("""COMPUTED_VALUE"""),"")</f>
        <v/>
      </c>
    </row>
    <row r="10008" spans="1:5">
      <c r="A10008" s="12"/>
      <c r="E10008" s="57" t="str">
        <f ca="1">IFERROR(__xludf.DUMMYFUNCTION("""COMPUTED_VALUE"""),"")</f>
        <v/>
      </c>
    </row>
    <row r="10009" spans="1:5">
      <c r="A10009" s="12"/>
      <c r="E10009" s="57" t="str">
        <f ca="1">IFERROR(__xludf.DUMMYFUNCTION("""COMPUTED_VALUE"""),"")</f>
        <v/>
      </c>
    </row>
    <row r="10010" spans="1:5">
      <c r="A10010" s="12"/>
      <c r="E10010" s="57" t="str">
        <f ca="1">IFERROR(__xludf.DUMMYFUNCTION("""COMPUTED_VALUE"""),"")</f>
        <v/>
      </c>
    </row>
    <row r="10011" spans="1:5">
      <c r="A10011" s="12"/>
      <c r="E10011" s="57" t="str">
        <f ca="1">IFERROR(__xludf.DUMMYFUNCTION("""COMPUTED_VALUE"""),"")</f>
        <v/>
      </c>
    </row>
    <row r="10012" spans="1:5">
      <c r="A10012" s="12"/>
      <c r="E10012" s="57" t="str">
        <f ca="1">IFERROR(__xludf.DUMMYFUNCTION("""COMPUTED_VALUE"""),"")</f>
        <v/>
      </c>
    </row>
    <row r="10013" spans="1:5">
      <c r="A10013" s="12"/>
      <c r="E10013" s="57" t="str">
        <f ca="1">IFERROR(__xludf.DUMMYFUNCTION("""COMPUTED_VALUE"""),"")</f>
        <v/>
      </c>
    </row>
    <row r="10014" spans="1:5">
      <c r="A10014" s="12"/>
      <c r="E10014" s="57" t="str">
        <f ca="1">IFERROR(__xludf.DUMMYFUNCTION("""COMPUTED_VALUE"""),"")</f>
        <v/>
      </c>
    </row>
    <row r="10015" spans="1:5">
      <c r="A10015" s="12"/>
      <c r="E10015" s="57" t="str">
        <f ca="1">IFERROR(__xludf.DUMMYFUNCTION("""COMPUTED_VALUE"""),"")</f>
        <v/>
      </c>
    </row>
    <row r="10016" spans="1:5">
      <c r="A10016" s="12"/>
      <c r="E10016" s="57" t="str">
        <f ca="1">IFERROR(__xludf.DUMMYFUNCTION("""COMPUTED_VALUE"""),"")</f>
        <v/>
      </c>
    </row>
    <row r="10017" spans="1:5">
      <c r="A10017" s="12"/>
      <c r="E10017" s="57" t="str">
        <f ca="1">IFERROR(__xludf.DUMMYFUNCTION("""COMPUTED_VALUE"""),"")</f>
        <v/>
      </c>
    </row>
    <row r="10018" spans="1:5">
      <c r="A10018" s="12"/>
      <c r="E10018" s="57" t="str">
        <f ca="1">IFERROR(__xludf.DUMMYFUNCTION("""COMPUTED_VALUE"""),"")</f>
        <v/>
      </c>
    </row>
    <row r="10019" spans="1:5">
      <c r="A10019" s="12"/>
      <c r="E10019" s="57" t="str">
        <f ca="1">IFERROR(__xludf.DUMMYFUNCTION("""COMPUTED_VALUE"""),"")</f>
        <v/>
      </c>
    </row>
    <row r="10020" spans="1:5">
      <c r="A10020" s="12"/>
      <c r="E10020" s="57" t="str">
        <f ca="1">IFERROR(__xludf.DUMMYFUNCTION("""COMPUTED_VALUE"""),"")</f>
        <v/>
      </c>
    </row>
    <row r="10021" spans="1:5">
      <c r="A10021" s="12"/>
      <c r="E10021" s="57" t="str">
        <f ca="1">IFERROR(__xludf.DUMMYFUNCTION("""COMPUTED_VALUE"""),"")</f>
        <v/>
      </c>
    </row>
    <row r="10022" spans="1:5">
      <c r="A10022" s="12"/>
      <c r="E10022" s="57" t="str">
        <f ca="1">IFERROR(__xludf.DUMMYFUNCTION("""COMPUTED_VALUE"""),"")</f>
        <v/>
      </c>
    </row>
    <row r="10023" spans="1:5">
      <c r="A10023" s="12"/>
      <c r="E10023" s="57" t="str">
        <f ca="1">IFERROR(__xludf.DUMMYFUNCTION("""COMPUTED_VALUE"""),"")</f>
        <v/>
      </c>
    </row>
    <row r="10024" spans="1:5">
      <c r="A10024" s="12"/>
      <c r="E10024" s="57" t="str">
        <f ca="1">IFERROR(__xludf.DUMMYFUNCTION("""COMPUTED_VALUE"""),"")</f>
        <v/>
      </c>
    </row>
    <row r="10025" spans="1:5">
      <c r="A10025" s="12"/>
      <c r="E10025" s="57" t="str">
        <f ca="1">IFERROR(__xludf.DUMMYFUNCTION("""COMPUTED_VALUE"""),"")</f>
        <v/>
      </c>
    </row>
    <row r="10026" spans="1:5">
      <c r="A10026" s="12"/>
      <c r="E10026" s="57" t="str">
        <f ca="1">IFERROR(__xludf.DUMMYFUNCTION("""COMPUTED_VALUE"""),"")</f>
        <v/>
      </c>
    </row>
    <row r="10027" spans="1:5">
      <c r="A10027" s="12"/>
      <c r="E10027" s="57" t="str">
        <f ca="1">IFERROR(__xludf.DUMMYFUNCTION("""COMPUTED_VALUE"""),"")</f>
        <v/>
      </c>
    </row>
    <row r="10028" spans="1:5">
      <c r="A10028" s="12"/>
      <c r="E10028" s="57" t="str">
        <f ca="1">IFERROR(__xludf.DUMMYFUNCTION("""COMPUTED_VALUE"""),"")</f>
        <v/>
      </c>
    </row>
    <row r="10029" spans="1:5">
      <c r="A10029" s="12"/>
      <c r="E10029" s="57" t="str">
        <f ca="1">IFERROR(__xludf.DUMMYFUNCTION("""COMPUTED_VALUE"""),"")</f>
        <v/>
      </c>
    </row>
    <row r="10030" spans="1:5">
      <c r="A10030" s="12"/>
      <c r="E10030" s="57" t="str">
        <f ca="1">IFERROR(__xludf.DUMMYFUNCTION("""COMPUTED_VALUE"""),"")</f>
        <v/>
      </c>
    </row>
    <row r="10031" spans="1:5">
      <c r="A10031" s="12"/>
      <c r="E10031" s="57" t="str">
        <f ca="1">IFERROR(__xludf.DUMMYFUNCTION("""COMPUTED_VALUE"""),"")</f>
        <v/>
      </c>
    </row>
    <row r="10032" spans="1:5">
      <c r="A10032" s="12"/>
      <c r="E10032" s="57" t="str">
        <f ca="1">IFERROR(__xludf.DUMMYFUNCTION("""COMPUTED_VALUE"""),"")</f>
        <v/>
      </c>
    </row>
    <row r="10033" spans="1:5">
      <c r="A10033" s="12"/>
      <c r="E10033" s="57" t="str">
        <f ca="1">IFERROR(__xludf.DUMMYFUNCTION("""COMPUTED_VALUE"""),"")</f>
        <v/>
      </c>
    </row>
    <row r="10034" spans="1:5">
      <c r="A10034" s="12"/>
      <c r="E10034" s="57" t="str">
        <f ca="1">IFERROR(__xludf.DUMMYFUNCTION("""COMPUTED_VALUE"""),"")</f>
        <v/>
      </c>
    </row>
    <row r="10035" spans="1:5">
      <c r="A10035" s="12"/>
      <c r="E10035" s="57" t="str">
        <f ca="1">IFERROR(__xludf.DUMMYFUNCTION("""COMPUTED_VALUE"""),"")</f>
        <v/>
      </c>
    </row>
    <row r="10036" spans="1:5">
      <c r="A10036" s="12"/>
      <c r="E10036" s="57" t="str">
        <f ca="1">IFERROR(__xludf.DUMMYFUNCTION("""COMPUTED_VALUE"""),"")</f>
        <v/>
      </c>
    </row>
    <row r="10037" spans="1:5">
      <c r="A10037" s="12"/>
      <c r="E10037" s="57" t="str">
        <f ca="1">IFERROR(__xludf.DUMMYFUNCTION("""COMPUTED_VALUE"""),"")</f>
        <v/>
      </c>
    </row>
    <row r="10038" spans="1:5">
      <c r="A10038" s="12"/>
      <c r="E10038" s="57" t="str">
        <f ca="1">IFERROR(__xludf.DUMMYFUNCTION("""COMPUTED_VALUE"""),"")</f>
        <v/>
      </c>
    </row>
    <row r="10039" spans="1:5">
      <c r="A10039" s="12"/>
      <c r="E10039" s="57" t="str">
        <f ca="1">IFERROR(__xludf.DUMMYFUNCTION("""COMPUTED_VALUE"""),"")</f>
        <v/>
      </c>
    </row>
    <row r="10040" spans="1:5">
      <c r="A10040" s="12"/>
      <c r="E10040" s="57" t="str">
        <f ca="1">IFERROR(__xludf.DUMMYFUNCTION("""COMPUTED_VALUE"""),"")</f>
        <v/>
      </c>
    </row>
    <row r="10041" spans="1:5">
      <c r="A10041" s="12"/>
      <c r="E10041" s="57" t="str">
        <f ca="1">IFERROR(__xludf.DUMMYFUNCTION("""COMPUTED_VALUE"""),"")</f>
        <v/>
      </c>
    </row>
    <row r="10042" spans="1:5">
      <c r="A10042" s="12"/>
      <c r="E10042" s="57" t="str">
        <f ca="1">IFERROR(__xludf.DUMMYFUNCTION("""COMPUTED_VALUE"""),"")</f>
        <v/>
      </c>
    </row>
    <row r="10043" spans="1:5">
      <c r="A10043" s="12"/>
      <c r="E10043" s="57" t="str">
        <f ca="1">IFERROR(__xludf.DUMMYFUNCTION("""COMPUTED_VALUE"""),"")</f>
        <v/>
      </c>
    </row>
    <row r="10044" spans="1:5">
      <c r="A10044" s="12"/>
      <c r="E10044" s="57" t="str">
        <f ca="1">IFERROR(__xludf.DUMMYFUNCTION("""COMPUTED_VALUE"""),"")</f>
        <v/>
      </c>
    </row>
    <row r="10045" spans="1:5">
      <c r="A10045" s="12"/>
      <c r="E10045" s="57" t="str">
        <f ca="1">IFERROR(__xludf.DUMMYFUNCTION("""COMPUTED_VALUE"""),"")</f>
        <v/>
      </c>
    </row>
    <row r="10046" spans="1:5">
      <c r="A10046" s="12"/>
      <c r="E10046" s="57" t="str">
        <f ca="1">IFERROR(__xludf.DUMMYFUNCTION("""COMPUTED_VALUE"""),"")</f>
        <v/>
      </c>
    </row>
    <row r="10047" spans="1:5">
      <c r="A10047" s="12"/>
      <c r="E10047" s="57" t="str">
        <f ca="1">IFERROR(__xludf.DUMMYFUNCTION("""COMPUTED_VALUE"""),"")</f>
        <v/>
      </c>
    </row>
    <row r="10048" spans="1:5">
      <c r="A10048" s="12"/>
      <c r="E10048" s="57" t="str">
        <f ca="1">IFERROR(__xludf.DUMMYFUNCTION("""COMPUTED_VALUE"""),"")</f>
        <v/>
      </c>
    </row>
    <row r="10049" spans="1:5">
      <c r="A10049" s="12"/>
      <c r="E10049" s="57" t="str">
        <f ca="1">IFERROR(__xludf.DUMMYFUNCTION("""COMPUTED_VALUE"""),"")</f>
        <v/>
      </c>
    </row>
    <row r="10050" spans="1:5">
      <c r="A10050" s="12"/>
      <c r="E10050" s="57" t="str">
        <f ca="1">IFERROR(__xludf.DUMMYFUNCTION("""COMPUTED_VALUE"""),"")</f>
        <v/>
      </c>
    </row>
    <row r="10051" spans="1:5">
      <c r="A10051" s="12"/>
      <c r="E10051" s="57" t="str">
        <f ca="1">IFERROR(__xludf.DUMMYFUNCTION("""COMPUTED_VALUE"""),"")</f>
        <v/>
      </c>
    </row>
    <row r="10052" spans="1:5">
      <c r="A10052" s="12"/>
      <c r="E10052" s="57" t="str">
        <f ca="1">IFERROR(__xludf.DUMMYFUNCTION("""COMPUTED_VALUE"""),"")</f>
        <v/>
      </c>
    </row>
    <row r="10053" spans="1:5">
      <c r="A10053" s="12"/>
      <c r="E10053" s="57" t="str">
        <f ca="1">IFERROR(__xludf.DUMMYFUNCTION("""COMPUTED_VALUE"""),"")</f>
        <v/>
      </c>
    </row>
    <row r="10054" spans="1:5">
      <c r="A10054" s="12"/>
      <c r="E10054" s="57" t="str">
        <f ca="1">IFERROR(__xludf.DUMMYFUNCTION("""COMPUTED_VALUE"""),"")</f>
        <v/>
      </c>
    </row>
    <row r="10055" spans="1:5">
      <c r="A10055" s="12"/>
      <c r="E10055" s="57" t="str">
        <f ca="1">IFERROR(__xludf.DUMMYFUNCTION("""COMPUTED_VALUE"""),"")</f>
        <v/>
      </c>
    </row>
    <row r="10056" spans="1:5">
      <c r="A10056" s="12"/>
      <c r="E10056" s="57" t="str">
        <f ca="1">IFERROR(__xludf.DUMMYFUNCTION("""COMPUTED_VALUE"""),"")</f>
        <v/>
      </c>
    </row>
    <row r="10057" spans="1:5">
      <c r="A10057" s="12"/>
      <c r="E10057" s="57" t="str">
        <f ca="1">IFERROR(__xludf.DUMMYFUNCTION("""COMPUTED_VALUE"""),"")</f>
        <v/>
      </c>
    </row>
    <row r="10058" spans="1:5">
      <c r="A10058" s="12"/>
      <c r="E10058" s="57" t="str">
        <f ca="1">IFERROR(__xludf.DUMMYFUNCTION("""COMPUTED_VALUE"""),"")</f>
        <v/>
      </c>
    </row>
    <row r="10059" spans="1:5">
      <c r="A10059" s="12"/>
      <c r="E10059" s="57" t="str">
        <f ca="1">IFERROR(__xludf.DUMMYFUNCTION("""COMPUTED_VALUE"""),"")</f>
        <v/>
      </c>
    </row>
    <row r="10060" spans="1:5">
      <c r="A10060" s="12"/>
      <c r="E10060" s="57" t="str">
        <f ca="1">IFERROR(__xludf.DUMMYFUNCTION("""COMPUTED_VALUE"""),"")</f>
        <v/>
      </c>
    </row>
    <row r="10061" spans="1:5">
      <c r="A10061" s="12"/>
      <c r="E10061" s="57" t="str">
        <f ca="1">IFERROR(__xludf.DUMMYFUNCTION("""COMPUTED_VALUE"""),"")</f>
        <v/>
      </c>
    </row>
    <row r="10062" spans="1:5">
      <c r="A10062" s="12"/>
      <c r="E10062" s="57" t="str">
        <f ca="1">IFERROR(__xludf.DUMMYFUNCTION("""COMPUTED_VALUE"""),"")</f>
        <v/>
      </c>
    </row>
    <row r="10063" spans="1:5">
      <c r="A10063" s="12"/>
      <c r="E10063" s="57" t="str">
        <f ca="1">IFERROR(__xludf.DUMMYFUNCTION("""COMPUTED_VALUE"""),"")</f>
        <v/>
      </c>
    </row>
    <row r="10064" spans="1:5">
      <c r="A10064" s="12"/>
      <c r="E10064" s="57" t="str">
        <f ca="1">IFERROR(__xludf.DUMMYFUNCTION("""COMPUTED_VALUE"""),"")</f>
        <v/>
      </c>
    </row>
    <row r="10065" spans="1:5">
      <c r="A10065" s="12"/>
      <c r="E10065" s="57" t="str">
        <f ca="1">IFERROR(__xludf.DUMMYFUNCTION("""COMPUTED_VALUE"""),"")</f>
        <v/>
      </c>
    </row>
    <row r="10066" spans="1:5">
      <c r="A10066" s="12"/>
      <c r="E10066" s="57" t="str">
        <f ca="1">IFERROR(__xludf.DUMMYFUNCTION("""COMPUTED_VALUE"""),"")</f>
        <v/>
      </c>
    </row>
    <row r="10067" spans="1:5">
      <c r="A10067" s="12"/>
      <c r="E10067" s="57" t="str">
        <f ca="1">IFERROR(__xludf.DUMMYFUNCTION("""COMPUTED_VALUE"""),"")</f>
        <v/>
      </c>
    </row>
    <row r="10068" spans="1:5">
      <c r="A10068" s="12"/>
      <c r="E10068" s="57" t="str">
        <f ca="1">IFERROR(__xludf.DUMMYFUNCTION("""COMPUTED_VALUE"""),"")</f>
        <v/>
      </c>
    </row>
    <row r="10069" spans="1:5">
      <c r="A10069" s="12"/>
      <c r="E10069" s="57" t="str">
        <f ca="1">IFERROR(__xludf.DUMMYFUNCTION("""COMPUTED_VALUE"""),"")</f>
        <v/>
      </c>
    </row>
    <row r="10070" spans="1:5">
      <c r="A10070" s="12"/>
      <c r="E10070" s="57" t="str">
        <f ca="1">IFERROR(__xludf.DUMMYFUNCTION("""COMPUTED_VALUE"""),"")</f>
        <v/>
      </c>
    </row>
    <row r="10071" spans="1:5">
      <c r="A10071" s="12"/>
      <c r="E10071" s="57" t="str">
        <f ca="1">IFERROR(__xludf.DUMMYFUNCTION("""COMPUTED_VALUE"""),"")</f>
        <v/>
      </c>
    </row>
    <row r="10072" spans="1:5">
      <c r="A10072" s="12"/>
      <c r="E10072" s="57" t="str">
        <f ca="1">IFERROR(__xludf.DUMMYFUNCTION("""COMPUTED_VALUE"""),"")</f>
        <v/>
      </c>
    </row>
    <row r="10073" spans="1:5">
      <c r="A10073" s="12"/>
      <c r="E10073" s="57" t="str">
        <f ca="1">IFERROR(__xludf.DUMMYFUNCTION("""COMPUTED_VALUE"""),"")</f>
        <v/>
      </c>
    </row>
    <row r="10074" spans="1:5">
      <c r="A10074" s="12"/>
      <c r="E10074" s="57" t="str">
        <f ca="1">IFERROR(__xludf.DUMMYFUNCTION("""COMPUTED_VALUE"""),"")</f>
        <v/>
      </c>
    </row>
    <row r="10075" spans="1:5">
      <c r="A10075" s="12"/>
      <c r="E10075" s="57" t="str">
        <f ca="1">IFERROR(__xludf.DUMMYFUNCTION("""COMPUTED_VALUE"""),"")</f>
        <v/>
      </c>
    </row>
    <row r="10076" spans="1:5">
      <c r="A10076" s="12"/>
      <c r="E10076" s="57" t="str">
        <f ca="1">IFERROR(__xludf.DUMMYFUNCTION("""COMPUTED_VALUE"""),"")</f>
        <v/>
      </c>
    </row>
    <row r="10077" spans="1:5">
      <c r="A10077" s="12"/>
      <c r="E10077" s="57" t="str">
        <f ca="1">IFERROR(__xludf.DUMMYFUNCTION("""COMPUTED_VALUE"""),"")</f>
        <v/>
      </c>
    </row>
    <row r="10078" spans="1:5">
      <c r="A10078" s="12"/>
      <c r="E10078" s="57" t="str">
        <f ca="1">IFERROR(__xludf.DUMMYFUNCTION("""COMPUTED_VALUE"""),"")</f>
        <v/>
      </c>
    </row>
    <row r="10079" spans="1:5">
      <c r="A10079" s="12"/>
      <c r="E10079" s="57" t="str">
        <f ca="1">IFERROR(__xludf.DUMMYFUNCTION("""COMPUTED_VALUE"""),"")</f>
        <v/>
      </c>
    </row>
    <row r="10080" spans="1:5">
      <c r="A10080" s="12"/>
      <c r="E10080" s="57" t="str">
        <f ca="1">IFERROR(__xludf.DUMMYFUNCTION("""COMPUTED_VALUE"""),"")</f>
        <v/>
      </c>
    </row>
    <row r="10081" spans="1:5">
      <c r="A10081" s="12"/>
      <c r="E10081" s="57" t="str">
        <f ca="1">IFERROR(__xludf.DUMMYFUNCTION("""COMPUTED_VALUE"""),"")</f>
        <v/>
      </c>
    </row>
    <row r="10082" spans="1:5">
      <c r="A10082" s="12"/>
      <c r="E10082" s="57" t="str">
        <f ca="1">IFERROR(__xludf.DUMMYFUNCTION("""COMPUTED_VALUE"""),"")</f>
        <v/>
      </c>
    </row>
    <row r="10083" spans="1:5">
      <c r="A10083" s="12"/>
      <c r="E10083" s="57" t="str">
        <f ca="1">IFERROR(__xludf.DUMMYFUNCTION("""COMPUTED_VALUE"""),"")</f>
        <v/>
      </c>
    </row>
    <row r="10084" spans="1:5">
      <c r="A10084" s="12"/>
      <c r="E10084" s="57" t="str">
        <f ca="1">IFERROR(__xludf.DUMMYFUNCTION("""COMPUTED_VALUE"""),"")</f>
        <v/>
      </c>
    </row>
    <row r="10085" spans="1:5">
      <c r="A10085" s="12"/>
      <c r="E10085" s="57" t="str">
        <f ca="1">IFERROR(__xludf.DUMMYFUNCTION("""COMPUTED_VALUE"""),"")</f>
        <v/>
      </c>
    </row>
    <row r="10086" spans="1:5">
      <c r="A10086" s="12"/>
      <c r="E10086" s="57" t="str">
        <f ca="1">IFERROR(__xludf.DUMMYFUNCTION("""COMPUTED_VALUE"""),"")</f>
        <v/>
      </c>
    </row>
    <row r="10087" spans="1:5">
      <c r="A10087" s="12"/>
      <c r="E10087" s="57" t="str">
        <f ca="1">IFERROR(__xludf.DUMMYFUNCTION("""COMPUTED_VALUE"""),"")</f>
        <v/>
      </c>
    </row>
    <row r="10088" spans="1:5">
      <c r="A10088" s="12"/>
      <c r="E10088" s="57" t="str">
        <f ca="1">IFERROR(__xludf.DUMMYFUNCTION("""COMPUTED_VALUE"""),"")</f>
        <v/>
      </c>
    </row>
    <row r="10089" spans="1:5">
      <c r="A10089" s="12"/>
      <c r="E10089" s="57" t="str">
        <f ca="1">IFERROR(__xludf.DUMMYFUNCTION("""COMPUTED_VALUE"""),"")</f>
        <v/>
      </c>
    </row>
    <row r="10090" spans="1:5">
      <c r="A10090" s="12"/>
      <c r="E10090" s="57" t="str">
        <f ca="1">IFERROR(__xludf.DUMMYFUNCTION("""COMPUTED_VALUE"""),"")</f>
        <v/>
      </c>
    </row>
    <row r="10091" spans="1:5">
      <c r="A10091" s="12"/>
      <c r="E10091" s="57" t="str">
        <f ca="1">IFERROR(__xludf.DUMMYFUNCTION("""COMPUTED_VALUE"""),"")</f>
        <v/>
      </c>
    </row>
    <row r="10092" spans="1:5">
      <c r="A10092" s="12"/>
      <c r="E10092" s="57" t="str">
        <f ca="1">IFERROR(__xludf.DUMMYFUNCTION("""COMPUTED_VALUE"""),"")</f>
        <v/>
      </c>
    </row>
    <row r="10093" spans="1:5">
      <c r="A10093" s="12"/>
      <c r="E10093" s="57" t="str">
        <f ca="1">IFERROR(__xludf.DUMMYFUNCTION("""COMPUTED_VALUE"""),"")</f>
        <v/>
      </c>
    </row>
    <row r="10094" spans="1:5">
      <c r="A10094" s="12"/>
      <c r="E10094" s="57" t="str">
        <f ca="1">IFERROR(__xludf.DUMMYFUNCTION("""COMPUTED_VALUE"""),"")</f>
        <v/>
      </c>
    </row>
    <row r="10095" spans="1:5">
      <c r="A10095" s="12"/>
      <c r="E10095" s="57" t="str">
        <f ca="1">IFERROR(__xludf.DUMMYFUNCTION("""COMPUTED_VALUE"""),"")</f>
        <v/>
      </c>
    </row>
    <row r="10096" spans="1:5">
      <c r="A10096" s="12"/>
      <c r="E10096" s="57" t="str">
        <f ca="1">IFERROR(__xludf.DUMMYFUNCTION("""COMPUTED_VALUE"""),"")</f>
        <v/>
      </c>
    </row>
    <row r="10097" spans="1:5">
      <c r="A10097" s="12"/>
      <c r="E10097" s="57" t="str">
        <f ca="1">IFERROR(__xludf.DUMMYFUNCTION("""COMPUTED_VALUE"""),"")</f>
        <v/>
      </c>
    </row>
    <row r="10098" spans="1:5">
      <c r="A10098" s="12"/>
      <c r="E10098" s="57" t="str">
        <f ca="1">IFERROR(__xludf.DUMMYFUNCTION("""COMPUTED_VALUE"""),"")</f>
        <v/>
      </c>
    </row>
    <row r="10099" spans="1:5">
      <c r="A10099" s="12"/>
      <c r="E10099" s="57" t="str">
        <f ca="1">IFERROR(__xludf.DUMMYFUNCTION("""COMPUTED_VALUE"""),"")</f>
        <v/>
      </c>
    </row>
    <row r="10100" spans="1:5">
      <c r="A10100" s="12"/>
      <c r="E10100" s="57" t="str">
        <f ca="1">IFERROR(__xludf.DUMMYFUNCTION("""COMPUTED_VALUE"""),"")</f>
        <v/>
      </c>
    </row>
    <row r="10101" spans="1:5">
      <c r="A10101" s="12"/>
      <c r="E10101" s="57" t="str">
        <f ca="1">IFERROR(__xludf.DUMMYFUNCTION("""COMPUTED_VALUE"""),"")</f>
        <v/>
      </c>
    </row>
    <row r="10102" spans="1:5">
      <c r="A10102" s="12"/>
      <c r="E10102" s="57" t="str">
        <f ca="1">IFERROR(__xludf.DUMMYFUNCTION("""COMPUTED_VALUE"""),"")</f>
        <v/>
      </c>
    </row>
    <row r="10103" spans="1:5">
      <c r="A10103" s="12"/>
      <c r="E10103" s="57" t="str">
        <f ca="1">IFERROR(__xludf.DUMMYFUNCTION("""COMPUTED_VALUE"""),"")</f>
        <v/>
      </c>
    </row>
    <row r="10104" spans="1:5">
      <c r="A10104" s="12"/>
      <c r="E10104" s="57" t="str">
        <f ca="1">IFERROR(__xludf.DUMMYFUNCTION("""COMPUTED_VALUE"""),"")</f>
        <v/>
      </c>
    </row>
    <row r="10105" spans="1:5">
      <c r="A10105" s="12"/>
      <c r="E10105" s="57" t="str">
        <f ca="1">IFERROR(__xludf.DUMMYFUNCTION("""COMPUTED_VALUE"""),"")</f>
        <v/>
      </c>
    </row>
    <row r="10106" spans="1:5">
      <c r="A10106" s="12"/>
      <c r="E10106" s="57" t="str">
        <f ca="1">IFERROR(__xludf.DUMMYFUNCTION("""COMPUTED_VALUE"""),"")</f>
        <v/>
      </c>
    </row>
    <row r="10107" spans="1:5">
      <c r="A10107" s="12"/>
      <c r="E10107" s="57" t="str">
        <f ca="1">IFERROR(__xludf.DUMMYFUNCTION("""COMPUTED_VALUE"""),"")</f>
        <v/>
      </c>
    </row>
    <row r="10108" spans="1:5">
      <c r="A10108" s="12"/>
      <c r="E10108" s="57" t="str">
        <f ca="1">IFERROR(__xludf.DUMMYFUNCTION("""COMPUTED_VALUE"""),"")</f>
        <v/>
      </c>
    </row>
    <row r="10109" spans="1:5">
      <c r="A10109" s="12"/>
      <c r="E10109" s="57" t="str">
        <f ca="1">IFERROR(__xludf.DUMMYFUNCTION("""COMPUTED_VALUE"""),"")</f>
        <v/>
      </c>
    </row>
    <row r="10110" spans="1:5">
      <c r="A10110" s="12"/>
      <c r="E10110" s="57" t="str">
        <f ca="1">IFERROR(__xludf.DUMMYFUNCTION("""COMPUTED_VALUE"""),"")</f>
        <v/>
      </c>
    </row>
    <row r="10111" spans="1:5">
      <c r="A10111" s="12"/>
      <c r="E10111" s="57" t="str">
        <f ca="1">IFERROR(__xludf.DUMMYFUNCTION("""COMPUTED_VALUE"""),"")</f>
        <v/>
      </c>
    </row>
    <row r="10112" spans="1:5">
      <c r="A10112" s="12"/>
      <c r="E10112" s="57" t="str">
        <f ca="1">IFERROR(__xludf.DUMMYFUNCTION("""COMPUTED_VALUE"""),"")</f>
        <v/>
      </c>
    </row>
    <row r="10113" spans="1:5">
      <c r="A10113" s="12"/>
      <c r="E10113" s="57" t="str">
        <f ca="1">IFERROR(__xludf.DUMMYFUNCTION("""COMPUTED_VALUE"""),"")</f>
        <v/>
      </c>
    </row>
    <row r="10114" spans="1:5">
      <c r="A10114" s="12"/>
      <c r="E10114" s="57" t="str">
        <f ca="1">IFERROR(__xludf.DUMMYFUNCTION("""COMPUTED_VALUE"""),"")</f>
        <v/>
      </c>
    </row>
    <row r="10115" spans="1:5">
      <c r="A10115" s="12"/>
      <c r="E10115" s="57" t="str">
        <f ca="1">IFERROR(__xludf.DUMMYFUNCTION("""COMPUTED_VALUE"""),"")</f>
        <v/>
      </c>
    </row>
    <row r="10116" spans="1:5">
      <c r="A10116" s="12"/>
      <c r="E10116" s="57" t="str">
        <f ca="1">IFERROR(__xludf.DUMMYFUNCTION("""COMPUTED_VALUE"""),"")</f>
        <v/>
      </c>
    </row>
    <row r="10117" spans="1:5">
      <c r="A10117" s="12"/>
      <c r="E10117" s="57" t="str">
        <f ca="1">IFERROR(__xludf.DUMMYFUNCTION("""COMPUTED_VALUE"""),"")</f>
        <v/>
      </c>
    </row>
    <row r="10118" spans="1:5">
      <c r="A10118" s="12"/>
      <c r="E10118" s="57" t="str">
        <f ca="1">IFERROR(__xludf.DUMMYFUNCTION("""COMPUTED_VALUE"""),"")</f>
        <v/>
      </c>
    </row>
    <row r="10119" spans="1:5">
      <c r="A10119" s="12"/>
      <c r="E10119" s="57" t="str">
        <f ca="1">IFERROR(__xludf.DUMMYFUNCTION("""COMPUTED_VALUE"""),"")</f>
        <v/>
      </c>
    </row>
    <row r="10120" spans="1:5">
      <c r="A10120" s="12"/>
      <c r="E10120" s="57" t="str">
        <f ca="1">IFERROR(__xludf.DUMMYFUNCTION("""COMPUTED_VALUE"""),"")</f>
        <v/>
      </c>
    </row>
    <row r="10121" spans="1:5">
      <c r="A10121" s="12"/>
      <c r="E10121" s="57" t="str">
        <f ca="1">IFERROR(__xludf.DUMMYFUNCTION("""COMPUTED_VALUE"""),"")</f>
        <v/>
      </c>
    </row>
    <row r="10122" spans="1:5">
      <c r="A10122" s="12"/>
      <c r="E10122" s="57" t="str">
        <f ca="1">IFERROR(__xludf.DUMMYFUNCTION("""COMPUTED_VALUE"""),"")</f>
        <v/>
      </c>
    </row>
    <row r="10123" spans="1:5">
      <c r="A10123" s="12"/>
      <c r="E10123" s="57" t="str">
        <f ca="1">IFERROR(__xludf.DUMMYFUNCTION("""COMPUTED_VALUE"""),"")</f>
        <v/>
      </c>
    </row>
    <row r="10124" spans="1:5">
      <c r="A10124" s="12"/>
      <c r="E10124" s="57" t="str">
        <f ca="1">IFERROR(__xludf.DUMMYFUNCTION("""COMPUTED_VALUE"""),"")</f>
        <v/>
      </c>
    </row>
    <row r="10125" spans="1:5">
      <c r="A10125" s="12"/>
      <c r="E10125" s="57" t="str">
        <f ca="1">IFERROR(__xludf.DUMMYFUNCTION("""COMPUTED_VALUE"""),"")</f>
        <v/>
      </c>
    </row>
    <row r="10126" spans="1:5">
      <c r="A10126" s="12"/>
      <c r="E10126" s="57" t="str">
        <f ca="1">IFERROR(__xludf.DUMMYFUNCTION("""COMPUTED_VALUE"""),"")</f>
        <v/>
      </c>
    </row>
    <row r="10127" spans="1:5">
      <c r="A10127" s="12"/>
      <c r="E10127" s="57" t="str">
        <f ca="1">IFERROR(__xludf.DUMMYFUNCTION("""COMPUTED_VALUE"""),"")</f>
        <v/>
      </c>
    </row>
    <row r="10128" spans="1:5">
      <c r="A10128" s="12"/>
      <c r="E10128" s="57" t="str">
        <f ca="1">IFERROR(__xludf.DUMMYFUNCTION("""COMPUTED_VALUE"""),"")</f>
        <v/>
      </c>
    </row>
    <row r="10129" spans="1:5">
      <c r="A10129" s="12"/>
      <c r="E10129" s="57" t="str">
        <f ca="1">IFERROR(__xludf.DUMMYFUNCTION("""COMPUTED_VALUE"""),"")</f>
        <v/>
      </c>
    </row>
    <row r="10130" spans="1:5">
      <c r="A10130" s="12"/>
      <c r="E10130" s="57" t="str">
        <f ca="1">IFERROR(__xludf.DUMMYFUNCTION("""COMPUTED_VALUE"""),"")</f>
        <v/>
      </c>
    </row>
    <row r="10131" spans="1:5">
      <c r="A10131" s="12"/>
      <c r="E10131" s="57" t="str">
        <f ca="1">IFERROR(__xludf.DUMMYFUNCTION("""COMPUTED_VALUE"""),"")</f>
        <v/>
      </c>
    </row>
    <row r="10132" spans="1:5">
      <c r="A10132" s="12"/>
      <c r="E10132" s="57" t="str">
        <f ca="1">IFERROR(__xludf.DUMMYFUNCTION("""COMPUTED_VALUE"""),"")</f>
        <v/>
      </c>
    </row>
    <row r="10133" spans="1:5">
      <c r="A10133" s="12"/>
      <c r="E10133" s="57" t="str">
        <f ca="1">IFERROR(__xludf.DUMMYFUNCTION("""COMPUTED_VALUE"""),"")</f>
        <v/>
      </c>
    </row>
    <row r="10134" spans="1:5">
      <c r="A10134" s="12"/>
      <c r="E10134" s="57" t="str">
        <f ca="1">IFERROR(__xludf.DUMMYFUNCTION("""COMPUTED_VALUE"""),"")</f>
        <v/>
      </c>
    </row>
    <row r="10135" spans="1:5">
      <c r="A10135" s="12"/>
      <c r="E10135" s="57" t="str">
        <f ca="1">IFERROR(__xludf.DUMMYFUNCTION("""COMPUTED_VALUE"""),"")</f>
        <v/>
      </c>
    </row>
    <row r="10136" spans="1:5">
      <c r="A10136" s="12"/>
      <c r="E10136" s="57" t="str">
        <f ca="1">IFERROR(__xludf.DUMMYFUNCTION("""COMPUTED_VALUE"""),"")</f>
        <v/>
      </c>
    </row>
    <row r="10137" spans="1:5">
      <c r="A10137" s="12"/>
      <c r="E10137" s="57" t="str">
        <f ca="1">IFERROR(__xludf.DUMMYFUNCTION("""COMPUTED_VALUE"""),"")</f>
        <v/>
      </c>
    </row>
    <row r="10138" spans="1:5">
      <c r="A10138" s="12"/>
      <c r="E10138" s="57" t="str">
        <f ca="1">IFERROR(__xludf.DUMMYFUNCTION("""COMPUTED_VALUE"""),"")</f>
        <v/>
      </c>
    </row>
    <row r="10139" spans="1:5">
      <c r="A10139" s="12"/>
      <c r="E10139" s="57" t="str">
        <f ca="1">IFERROR(__xludf.DUMMYFUNCTION("""COMPUTED_VALUE"""),"")</f>
        <v/>
      </c>
    </row>
    <row r="10140" spans="1:5">
      <c r="A10140" s="12"/>
      <c r="E10140" s="57" t="str">
        <f ca="1">IFERROR(__xludf.DUMMYFUNCTION("""COMPUTED_VALUE"""),"")</f>
        <v/>
      </c>
    </row>
    <row r="10141" spans="1:5">
      <c r="A10141" s="12"/>
      <c r="E10141" s="57" t="str">
        <f ca="1">IFERROR(__xludf.DUMMYFUNCTION("""COMPUTED_VALUE"""),"")</f>
        <v/>
      </c>
    </row>
    <row r="10142" spans="1:5">
      <c r="A10142" s="12"/>
      <c r="E10142" s="57" t="str">
        <f ca="1">IFERROR(__xludf.DUMMYFUNCTION("""COMPUTED_VALUE"""),"")</f>
        <v/>
      </c>
    </row>
    <row r="10143" spans="1:5">
      <c r="A10143" s="12"/>
      <c r="E10143" s="57" t="str">
        <f ca="1">IFERROR(__xludf.DUMMYFUNCTION("""COMPUTED_VALUE"""),"")</f>
        <v/>
      </c>
    </row>
    <row r="10144" spans="1:5">
      <c r="A10144" s="12"/>
      <c r="E10144" s="57" t="str">
        <f ca="1">IFERROR(__xludf.DUMMYFUNCTION("""COMPUTED_VALUE"""),"")</f>
        <v/>
      </c>
    </row>
    <row r="10145" spans="1:5">
      <c r="A10145" s="12"/>
      <c r="E10145" s="57" t="str">
        <f ca="1">IFERROR(__xludf.DUMMYFUNCTION("""COMPUTED_VALUE"""),"")</f>
        <v/>
      </c>
    </row>
    <row r="10146" spans="1:5">
      <c r="A10146" s="12"/>
      <c r="E10146" s="57" t="str">
        <f ca="1">IFERROR(__xludf.DUMMYFUNCTION("""COMPUTED_VALUE"""),"")</f>
        <v/>
      </c>
    </row>
    <row r="10147" spans="1:5">
      <c r="A10147" s="12"/>
      <c r="E10147" s="57" t="str">
        <f ca="1">IFERROR(__xludf.DUMMYFUNCTION("""COMPUTED_VALUE"""),"")</f>
        <v/>
      </c>
    </row>
    <row r="10148" spans="1:5">
      <c r="A10148" s="12"/>
      <c r="E10148" s="57" t="str">
        <f ca="1">IFERROR(__xludf.DUMMYFUNCTION("""COMPUTED_VALUE"""),"")</f>
        <v/>
      </c>
    </row>
    <row r="10149" spans="1:5">
      <c r="A10149" s="12"/>
      <c r="E10149" s="57" t="str">
        <f ca="1">IFERROR(__xludf.DUMMYFUNCTION("""COMPUTED_VALUE"""),"")</f>
        <v/>
      </c>
    </row>
    <row r="10150" spans="1:5">
      <c r="A10150" s="12"/>
      <c r="E10150" s="57" t="str">
        <f ca="1">IFERROR(__xludf.DUMMYFUNCTION("""COMPUTED_VALUE"""),"")</f>
        <v/>
      </c>
    </row>
    <row r="10151" spans="1:5">
      <c r="A10151" s="12"/>
      <c r="E10151" s="57" t="str">
        <f ca="1">IFERROR(__xludf.DUMMYFUNCTION("""COMPUTED_VALUE"""),"")</f>
        <v/>
      </c>
    </row>
    <row r="10152" spans="1:5">
      <c r="A10152" s="12"/>
      <c r="E10152" s="57" t="str">
        <f ca="1">IFERROR(__xludf.DUMMYFUNCTION("""COMPUTED_VALUE"""),"")</f>
        <v/>
      </c>
    </row>
    <row r="10153" spans="1:5">
      <c r="A10153" s="12"/>
      <c r="E10153" s="57" t="str">
        <f ca="1">IFERROR(__xludf.DUMMYFUNCTION("""COMPUTED_VALUE"""),"")</f>
        <v/>
      </c>
    </row>
    <row r="10154" spans="1:5">
      <c r="A10154" s="12"/>
      <c r="E10154" s="57" t="str">
        <f ca="1">IFERROR(__xludf.DUMMYFUNCTION("""COMPUTED_VALUE"""),"")</f>
        <v/>
      </c>
    </row>
    <row r="10155" spans="1:5">
      <c r="A10155" s="12"/>
      <c r="E10155" s="57" t="str">
        <f ca="1">IFERROR(__xludf.DUMMYFUNCTION("""COMPUTED_VALUE"""),"")</f>
        <v/>
      </c>
    </row>
    <row r="10156" spans="1:5">
      <c r="A10156" s="12"/>
      <c r="E10156" s="57" t="str">
        <f ca="1">IFERROR(__xludf.DUMMYFUNCTION("""COMPUTED_VALUE"""),"")</f>
        <v/>
      </c>
    </row>
    <row r="10157" spans="1:5">
      <c r="A10157" s="12"/>
      <c r="E10157" s="57" t="str">
        <f ca="1">IFERROR(__xludf.DUMMYFUNCTION("""COMPUTED_VALUE"""),"")</f>
        <v/>
      </c>
    </row>
    <row r="10158" spans="1:5">
      <c r="A10158" s="12"/>
      <c r="E10158" s="57" t="str">
        <f ca="1">IFERROR(__xludf.DUMMYFUNCTION("""COMPUTED_VALUE"""),"")</f>
        <v/>
      </c>
    </row>
    <row r="10159" spans="1:5">
      <c r="A10159" s="12"/>
      <c r="E10159" s="57" t="str">
        <f ca="1">IFERROR(__xludf.DUMMYFUNCTION("""COMPUTED_VALUE"""),"")</f>
        <v/>
      </c>
    </row>
    <row r="10160" spans="1:5">
      <c r="A10160" s="12"/>
      <c r="E10160" s="57" t="str">
        <f ca="1">IFERROR(__xludf.DUMMYFUNCTION("""COMPUTED_VALUE"""),"")</f>
        <v/>
      </c>
    </row>
    <row r="10161" spans="1:5">
      <c r="A10161" s="12"/>
      <c r="E10161" s="57" t="str">
        <f ca="1">IFERROR(__xludf.DUMMYFUNCTION("""COMPUTED_VALUE"""),"")</f>
        <v/>
      </c>
    </row>
    <row r="10162" spans="1:5">
      <c r="A10162" s="12"/>
      <c r="E10162" s="57" t="str">
        <f ca="1">IFERROR(__xludf.DUMMYFUNCTION("""COMPUTED_VALUE"""),"")</f>
        <v/>
      </c>
    </row>
    <row r="10163" spans="1:5">
      <c r="A10163" s="12"/>
      <c r="E10163" s="57" t="str">
        <f ca="1">IFERROR(__xludf.DUMMYFUNCTION("""COMPUTED_VALUE"""),"")</f>
        <v/>
      </c>
    </row>
    <row r="10164" spans="1:5">
      <c r="A10164" s="12"/>
      <c r="E10164" s="57" t="str">
        <f ca="1">IFERROR(__xludf.DUMMYFUNCTION("""COMPUTED_VALUE"""),"")</f>
        <v/>
      </c>
    </row>
    <row r="10165" spans="1:5">
      <c r="A10165" s="12"/>
      <c r="E10165" s="57" t="str">
        <f ca="1">IFERROR(__xludf.DUMMYFUNCTION("""COMPUTED_VALUE"""),"")</f>
        <v/>
      </c>
    </row>
    <row r="10166" spans="1:5">
      <c r="A10166" s="12"/>
      <c r="E10166" s="57" t="str">
        <f ca="1">IFERROR(__xludf.DUMMYFUNCTION("""COMPUTED_VALUE"""),"")</f>
        <v/>
      </c>
    </row>
    <row r="10167" spans="1:5">
      <c r="A10167" s="12"/>
      <c r="E10167" s="57" t="str">
        <f ca="1">IFERROR(__xludf.DUMMYFUNCTION("""COMPUTED_VALUE"""),"")</f>
        <v/>
      </c>
    </row>
    <row r="10168" spans="1:5">
      <c r="A10168" s="12"/>
      <c r="E10168" s="57" t="str">
        <f ca="1">IFERROR(__xludf.DUMMYFUNCTION("""COMPUTED_VALUE"""),"")</f>
        <v/>
      </c>
    </row>
    <row r="10169" spans="1:5">
      <c r="A10169" s="12"/>
      <c r="E10169" s="57" t="str">
        <f ca="1">IFERROR(__xludf.DUMMYFUNCTION("""COMPUTED_VALUE"""),"")</f>
        <v/>
      </c>
    </row>
    <row r="10170" spans="1:5">
      <c r="A10170" s="12"/>
      <c r="E10170" s="57" t="str">
        <f ca="1">IFERROR(__xludf.DUMMYFUNCTION("""COMPUTED_VALUE"""),"")</f>
        <v/>
      </c>
    </row>
    <row r="10171" spans="1:5">
      <c r="A10171" s="12"/>
      <c r="E10171" s="57" t="str">
        <f ca="1">IFERROR(__xludf.DUMMYFUNCTION("""COMPUTED_VALUE"""),"")</f>
        <v/>
      </c>
    </row>
    <row r="10172" spans="1:5">
      <c r="A10172" s="12"/>
      <c r="E10172" s="57" t="str">
        <f ca="1">IFERROR(__xludf.DUMMYFUNCTION("""COMPUTED_VALUE"""),"")</f>
        <v/>
      </c>
    </row>
    <row r="10173" spans="1:5">
      <c r="A10173" s="12"/>
      <c r="E10173" s="57" t="str">
        <f ca="1">IFERROR(__xludf.DUMMYFUNCTION("""COMPUTED_VALUE"""),"")</f>
        <v/>
      </c>
    </row>
    <row r="10174" spans="1:5">
      <c r="A10174" s="12"/>
      <c r="E10174" s="57" t="str">
        <f ca="1">IFERROR(__xludf.DUMMYFUNCTION("""COMPUTED_VALUE"""),"")</f>
        <v/>
      </c>
    </row>
    <row r="10175" spans="1:5">
      <c r="A10175" s="12"/>
      <c r="E10175" s="57" t="str">
        <f ca="1">IFERROR(__xludf.DUMMYFUNCTION("""COMPUTED_VALUE"""),"")</f>
        <v/>
      </c>
    </row>
    <row r="10176" spans="1:5">
      <c r="A10176" s="12"/>
      <c r="E10176" s="57" t="str">
        <f ca="1">IFERROR(__xludf.DUMMYFUNCTION("""COMPUTED_VALUE"""),"")</f>
        <v/>
      </c>
    </row>
    <row r="10177" spans="1:5">
      <c r="A10177" s="12"/>
      <c r="E10177" s="57" t="str">
        <f ca="1">IFERROR(__xludf.DUMMYFUNCTION("""COMPUTED_VALUE"""),"")</f>
        <v/>
      </c>
    </row>
    <row r="10178" spans="1:5">
      <c r="A10178" s="12"/>
      <c r="E10178" s="57" t="str">
        <f ca="1">IFERROR(__xludf.DUMMYFUNCTION("""COMPUTED_VALUE"""),"")</f>
        <v/>
      </c>
    </row>
    <row r="10179" spans="1:5">
      <c r="A10179" s="12"/>
      <c r="E10179" s="57" t="str">
        <f ca="1">IFERROR(__xludf.DUMMYFUNCTION("""COMPUTED_VALUE"""),"")</f>
        <v/>
      </c>
    </row>
    <row r="10180" spans="1:5">
      <c r="A10180" s="12"/>
      <c r="E10180" s="57" t="str">
        <f ca="1">IFERROR(__xludf.DUMMYFUNCTION("""COMPUTED_VALUE"""),"")</f>
        <v/>
      </c>
    </row>
    <row r="10181" spans="1:5">
      <c r="A10181" s="12"/>
      <c r="E10181" s="57" t="str">
        <f ca="1">IFERROR(__xludf.DUMMYFUNCTION("""COMPUTED_VALUE"""),"")</f>
        <v/>
      </c>
    </row>
    <row r="10182" spans="1:5">
      <c r="A10182" s="12"/>
      <c r="E10182" s="57" t="str">
        <f ca="1">IFERROR(__xludf.DUMMYFUNCTION("""COMPUTED_VALUE"""),"")</f>
        <v/>
      </c>
    </row>
    <row r="10183" spans="1:5">
      <c r="A10183" s="12"/>
      <c r="E10183" s="57" t="str">
        <f ca="1">IFERROR(__xludf.DUMMYFUNCTION("""COMPUTED_VALUE"""),"")</f>
        <v/>
      </c>
    </row>
    <row r="10184" spans="1:5">
      <c r="A10184" s="12"/>
      <c r="E10184" s="57" t="str">
        <f ca="1">IFERROR(__xludf.DUMMYFUNCTION("""COMPUTED_VALUE"""),"")</f>
        <v/>
      </c>
    </row>
    <row r="10185" spans="1:5">
      <c r="A10185" s="12"/>
      <c r="E10185" s="57" t="str">
        <f ca="1">IFERROR(__xludf.DUMMYFUNCTION("""COMPUTED_VALUE"""),"")</f>
        <v/>
      </c>
    </row>
    <row r="10186" spans="1:5">
      <c r="A10186" s="12"/>
      <c r="E10186" s="57" t="str">
        <f ca="1">IFERROR(__xludf.DUMMYFUNCTION("""COMPUTED_VALUE"""),"")</f>
        <v/>
      </c>
    </row>
    <row r="10187" spans="1:5">
      <c r="A10187" s="12"/>
      <c r="E10187" s="57" t="str">
        <f ca="1">IFERROR(__xludf.DUMMYFUNCTION("""COMPUTED_VALUE"""),"")</f>
        <v/>
      </c>
    </row>
    <row r="10188" spans="1:5">
      <c r="A10188" s="12"/>
      <c r="E10188" s="57" t="str">
        <f ca="1">IFERROR(__xludf.DUMMYFUNCTION("""COMPUTED_VALUE"""),"")</f>
        <v/>
      </c>
    </row>
    <row r="10189" spans="1:5">
      <c r="A10189" s="12"/>
      <c r="E10189" s="57" t="str">
        <f ca="1">IFERROR(__xludf.DUMMYFUNCTION("""COMPUTED_VALUE"""),"")</f>
        <v/>
      </c>
    </row>
    <row r="10190" spans="1:5">
      <c r="A10190" s="12"/>
      <c r="E10190" s="57" t="str">
        <f ca="1">IFERROR(__xludf.DUMMYFUNCTION("""COMPUTED_VALUE"""),"")</f>
        <v/>
      </c>
    </row>
    <row r="10191" spans="1:5">
      <c r="A10191" s="12"/>
      <c r="E10191" s="57" t="str">
        <f ca="1">IFERROR(__xludf.DUMMYFUNCTION("""COMPUTED_VALUE"""),"")</f>
        <v/>
      </c>
    </row>
    <row r="10192" spans="1:5">
      <c r="A10192" s="12"/>
      <c r="E10192" s="57" t="str">
        <f ca="1">IFERROR(__xludf.DUMMYFUNCTION("""COMPUTED_VALUE"""),"")</f>
        <v/>
      </c>
    </row>
    <row r="10193" spans="1:5">
      <c r="A10193" s="12"/>
      <c r="E10193" s="57" t="str">
        <f ca="1">IFERROR(__xludf.DUMMYFUNCTION("""COMPUTED_VALUE"""),"")</f>
        <v/>
      </c>
    </row>
    <row r="10194" spans="1:5">
      <c r="A10194" s="12"/>
      <c r="E10194" s="57" t="str">
        <f ca="1">IFERROR(__xludf.DUMMYFUNCTION("""COMPUTED_VALUE"""),"")</f>
        <v/>
      </c>
    </row>
    <row r="10195" spans="1:5">
      <c r="A10195" s="12"/>
      <c r="E10195" s="57" t="str">
        <f ca="1">IFERROR(__xludf.DUMMYFUNCTION("""COMPUTED_VALUE"""),"")</f>
        <v/>
      </c>
    </row>
    <row r="10196" spans="1:5">
      <c r="A10196" s="12"/>
      <c r="E10196" s="57" t="str">
        <f ca="1">IFERROR(__xludf.DUMMYFUNCTION("""COMPUTED_VALUE"""),"")</f>
        <v/>
      </c>
    </row>
    <row r="10197" spans="1:5">
      <c r="A10197" s="12"/>
      <c r="E10197" s="57" t="str">
        <f ca="1">IFERROR(__xludf.DUMMYFUNCTION("""COMPUTED_VALUE"""),"")</f>
        <v/>
      </c>
    </row>
    <row r="10198" spans="1:5">
      <c r="A10198" s="12"/>
      <c r="E10198" s="57" t="str">
        <f ca="1">IFERROR(__xludf.DUMMYFUNCTION("""COMPUTED_VALUE"""),"")</f>
        <v/>
      </c>
    </row>
    <row r="10199" spans="1:5">
      <c r="A10199" s="12"/>
      <c r="E10199" s="57" t="str">
        <f ca="1">IFERROR(__xludf.DUMMYFUNCTION("""COMPUTED_VALUE"""),"")</f>
        <v/>
      </c>
    </row>
    <row r="10200" spans="1:5">
      <c r="A10200" s="12"/>
      <c r="E10200" s="57" t="str">
        <f ca="1">IFERROR(__xludf.DUMMYFUNCTION("""COMPUTED_VALUE"""),"")</f>
        <v/>
      </c>
    </row>
    <row r="10201" spans="1:5">
      <c r="A10201" s="12"/>
      <c r="E10201" s="57" t="str">
        <f ca="1">IFERROR(__xludf.DUMMYFUNCTION("""COMPUTED_VALUE"""),"")</f>
        <v/>
      </c>
    </row>
    <row r="10202" spans="1:5">
      <c r="A10202" s="12"/>
      <c r="E10202" s="57" t="str">
        <f ca="1">IFERROR(__xludf.DUMMYFUNCTION("""COMPUTED_VALUE"""),"")</f>
        <v/>
      </c>
    </row>
    <row r="10203" spans="1:5">
      <c r="A10203" s="12"/>
      <c r="E10203" s="57" t="str">
        <f ca="1">IFERROR(__xludf.DUMMYFUNCTION("""COMPUTED_VALUE"""),"")</f>
        <v/>
      </c>
    </row>
    <row r="10204" spans="1:5">
      <c r="A10204" s="12"/>
      <c r="E10204" s="57" t="str">
        <f ca="1">IFERROR(__xludf.DUMMYFUNCTION("""COMPUTED_VALUE"""),"")</f>
        <v/>
      </c>
    </row>
    <row r="10205" spans="1:5">
      <c r="A10205" s="12"/>
      <c r="E10205" s="57" t="str">
        <f ca="1">IFERROR(__xludf.DUMMYFUNCTION("""COMPUTED_VALUE"""),"")</f>
        <v/>
      </c>
    </row>
    <row r="10206" spans="1:5">
      <c r="A10206" s="12"/>
      <c r="E10206" s="57" t="str">
        <f ca="1">IFERROR(__xludf.DUMMYFUNCTION("""COMPUTED_VALUE"""),"")</f>
        <v/>
      </c>
    </row>
    <row r="10207" spans="1:5">
      <c r="A10207" s="12"/>
      <c r="E10207" s="57" t="str">
        <f ca="1">IFERROR(__xludf.DUMMYFUNCTION("""COMPUTED_VALUE"""),"")</f>
        <v/>
      </c>
    </row>
    <row r="10208" spans="1:5">
      <c r="A10208" s="12"/>
      <c r="E10208" s="57" t="str">
        <f ca="1">IFERROR(__xludf.DUMMYFUNCTION("""COMPUTED_VALUE"""),"")</f>
        <v/>
      </c>
    </row>
    <row r="10209" spans="1:5">
      <c r="A10209" s="12"/>
      <c r="E10209" s="57" t="str">
        <f ca="1">IFERROR(__xludf.DUMMYFUNCTION("""COMPUTED_VALUE"""),"")</f>
        <v/>
      </c>
    </row>
    <row r="10210" spans="1:5">
      <c r="A10210" s="12"/>
      <c r="E10210" s="57" t="str">
        <f ca="1">IFERROR(__xludf.DUMMYFUNCTION("""COMPUTED_VALUE"""),"")</f>
        <v/>
      </c>
    </row>
    <row r="10211" spans="1:5">
      <c r="A10211" s="12"/>
      <c r="E10211" s="57" t="str">
        <f ca="1">IFERROR(__xludf.DUMMYFUNCTION("""COMPUTED_VALUE"""),"")</f>
        <v/>
      </c>
    </row>
    <row r="10212" spans="1:5">
      <c r="A10212" s="12"/>
      <c r="E10212" s="57" t="str">
        <f ca="1">IFERROR(__xludf.DUMMYFUNCTION("""COMPUTED_VALUE"""),"")</f>
        <v/>
      </c>
    </row>
    <row r="10213" spans="1:5">
      <c r="A10213" s="12"/>
      <c r="E10213" s="57" t="str">
        <f ca="1">IFERROR(__xludf.DUMMYFUNCTION("""COMPUTED_VALUE"""),"")</f>
        <v/>
      </c>
    </row>
    <row r="10214" spans="1:5">
      <c r="A10214" s="12"/>
      <c r="E10214" s="57" t="str">
        <f ca="1">IFERROR(__xludf.DUMMYFUNCTION("""COMPUTED_VALUE"""),"")</f>
        <v/>
      </c>
    </row>
    <row r="10215" spans="1:5">
      <c r="A10215" s="12"/>
      <c r="E10215" s="57" t="str">
        <f ca="1">IFERROR(__xludf.DUMMYFUNCTION("""COMPUTED_VALUE"""),"")</f>
        <v/>
      </c>
    </row>
    <row r="10216" spans="1:5">
      <c r="A10216" s="12"/>
      <c r="E10216" s="57" t="str">
        <f ca="1">IFERROR(__xludf.DUMMYFUNCTION("""COMPUTED_VALUE"""),"")</f>
        <v/>
      </c>
    </row>
    <row r="10217" spans="1:5">
      <c r="A10217" s="12"/>
      <c r="E10217" s="57" t="str">
        <f ca="1">IFERROR(__xludf.DUMMYFUNCTION("""COMPUTED_VALUE"""),"")</f>
        <v/>
      </c>
    </row>
    <row r="10218" spans="1:5">
      <c r="A10218" s="12"/>
      <c r="E10218" s="57" t="str">
        <f ca="1">IFERROR(__xludf.DUMMYFUNCTION("""COMPUTED_VALUE"""),"")</f>
        <v/>
      </c>
    </row>
    <row r="10219" spans="1:5">
      <c r="A10219" s="12"/>
      <c r="E10219" s="57" t="str">
        <f ca="1">IFERROR(__xludf.DUMMYFUNCTION("""COMPUTED_VALUE"""),"")</f>
        <v/>
      </c>
    </row>
    <row r="10220" spans="1:5">
      <c r="A10220" s="12"/>
      <c r="E10220" s="57" t="str">
        <f ca="1">IFERROR(__xludf.DUMMYFUNCTION("""COMPUTED_VALUE"""),"")</f>
        <v/>
      </c>
    </row>
    <row r="10221" spans="1:5">
      <c r="A10221" s="12"/>
      <c r="E10221" s="57" t="str">
        <f ca="1">IFERROR(__xludf.DUMMYFUNCTION("""COMPUTED_VALUE"""),"")</f>
        <v/>
      </c>
    </row>
    <row r="10222" spans="1:5">
      <c r="A10222" s="12"/>
      <c r="E10222" s="57" t="str">
        <f ca="1">IFERROR(__xludf.DUMMYFUNCTION("""COMPUTED_VALUE"""),"")</f>
        <v/>
      </c>
    </row>
    <row r="10223" spans="1:5">
      <c r="A10223" s="12"/>
      <c r="E10223" s="57" t="str">
        <f ca="1">IFERROR(__xludf.DUMMYFUNCTION("""COMPUTED_VALUE"""),"")</f>
        <v/>
      </c>
    </row>
    <row r="10224" spans="1:5">
      <c r="A10224" s="12"/>
      <c r="E10224" s="57" t="str">
        <f ca="1">IFERROR(__xludf.DUMMYFUNCTION("""COMPUTED_VALUE"""),"")</f>
        <v/>
      </c>
    </row>
    <row r="10225" spans="1:5">
      <c r="A10225" s="12"/>
      <c r="E10225" s="57" t="str">
        <f ca="1">IFERROR(__xludf.DUMMYFUNCTION("""COMPUTED_VALUE"""),"")</f>
        <v/>
      </c>
    </row>
    <row r="10226" spans="1:5">
      <c r="A10226" s="12"/>
      <c r="E10226" s="57" t="str">
        <f ca="1">IFERROR(__xludf.DUMMYFUNCTION("""COMPUTED_VALUE"""),"")</f>
        <v/>
      </c>
    </row>
    <row r="10227" spans="1:5">
      <c r="A10227" s="12"/>
      <c r="E10227" s="57" t="str">
        <f ca="1">IFERROR(__xludf.DUMMYFUNCTION("""COMPUTED_VALUE"""),"")</f>
        <v/>
      </c>
    </row>
    <row r="10228" spans="1:5">
      <c r="A10228" s="12"/>
      <c r="E10228" s="57" t="str">
        <f ca="1">IFERROR(__xludf.DUMMYFUNCTION("""COMPUTED_VALUE"""),"")</f>
        <v/>
      </c>
    </row>
    <row r="10229" spans="1:5">
      <c r="A10229" s="12"/>
      <c r="E10229" s="57" t="str">
        <f ca="1">IFERROR(__xludf.DUMMYFUNCTION("""COMPUTED_VALUE"""),"")</f>
        <v/>
      </c>
    </row>
    <row r="10230" spans="1:5">
      <c r="A10230" s="12"/>
      <c r="E10230" s="57" t="str">
        <f ca="1">IFERROR(__xludf.DUMMYFUNCTION("""COMPUTED_VALUE"""),"")</f>
        <v/>
      </c>
    </row>
    <row r="10231" spans="1:5">
      <c r="A10231" s="12"/>
      <c r="E10231" s="57" t="str">
        <f ca="1">IFERROR(__xludf.DUMMYFUNCTION("""COMPUTED_VALUE"""),"")</f>
        <v/>
      </c>
    </row>
    <row r="10232" spans="1:5">
      <c r="A10232" s="12"/>
      <c r="E10232" s="57" t="str">
        <f ca="1">IFERROR(__xludf.DUMMYFUNCTION("""COMPUTED_VALUE"""),"")</f>
        <v/>
      </c>
    </row>
    <row r="10233" spans="1:5">
      <c r="A10233" s="12"/>
      <c r="E10233" s="57" t="str">
        <f ca="1">IFERROR(__xludf.DUMMYFUNCTION("""COMPUTED_VALUE"""),"")</f>
        <v/>
      </c>
    </row>
    <row r="10234" spans="1:5">
      <c r="A10234" s="12"/>
      <c r="E10234" s="57" t="str">
        <f ca="1">IFERROR(__xludf.DUMMYFUNCTION("""COMPUTED_VALUE"""),"")</f>
        <v/>
      </c>
    </row>
    <row r="10235" spans="1:5">
      <c r="A10235" s="12"/>
      <c r="E10235" s="57" t="str">
        <f ca="1">IFERROR(__xludf.DUMMYFUNCTION("""COMPUTED_VALUE"""),"")</f>
        <v/>
      </c>
    </row>
    <row r="10236" spans="1:5">
      <c r="A10236" s="12"/>
      <c r="E10236" s="57" t="str">
        <f ca="1">IFERROR(__xludf.DUMMYFUNCTION("""COMPUTED_VALUE"""),"")</f>
        <v/>
      </c>
    </row>
    <row r="10237" spans="1:5">
      <c r="A10237" s="12"/>
      <c r="E10237" s="57" t="str">
        <f ca="1">IFERROR(__xludf.DUMMYFUNCTION("""COMPUTED_VALUE"""),"")</f>
        <v/>
      </c>
    </row>
    <row r="10238" spans="1:5">
      <c r="A10238" s="12"/>
      <c r="E10238" s="57" t="str">
        <f ca="1">IFERROR(__xludf.DUMMYFUNCTION("""COMPUTED_VALUE"""),"")</f>
        <v/>
      </c>
    </row>
    <row r="10239" spans="1:5">
      <c r="A10239" s="12"/>
      <c r="E10239" s="57" t="str">
        <f ca="1">IFERROR(__xludf.DUMMYFUNCTION("""COMPUTED_VALUE"""),"")</f>
        <v/>
      </c>
    </row>
    <row r="10240" spans="1:5">
      <c r="A10240" s="12"/>
      <c r="E10240" s="57" t="str">
        <f ca="1">IFERROR(__xludf.DUMMYFUNCTION("""COMPUTED_VALUE"""),"")</f>
        <v/>
      </c>
    </row>
    <row r="10241" spans="1:5">
      <c r="A10241" s="12"/>
      <c r="E10241" s="57" t="str">
        <f ca="1">IFERROR(__xludf.DUMMYFUNCTION("""COMPUTED_VALUE"""),"")</f>
        <v/>
      </c>
    </row>
    <row r="10242" spans="1:5">
      <c r="A10242" s="12"/>
      <c r="E10242" s="57" t="str">
        <f ca="1">IFERROR(__xludf.DUMMYFUNCTION("""COMPUTED_VALUE"""),"")</f>
        <v/>
      </c>
    </row>
    <row r="10243" spans="1:5">
      <c r="A10243" s="12"/>
      <c r="E10243" s="57" t="str">
        <f ca="1">IFERROR(__xludf.DUMMYFUNCTION("""COMPUTED_VALUE"""),"")</f>
        <v/>
      </c>
    </row>
    <row r="10244" spans="1:5">
      <c r="A10244" s="12"/>
      <c r="E10244" s="57" t="str">
        <f ca="1">IFERROR(__xludf.DUMMYFUNCTION("""COMPUTED_VALUE"""),"")</f>
        <v/>
      </c>
    </row>
    <row r="10245" spans="1:5">
      <c r="A10245" s="12"/>
      <c r="E10245" s="57" t="str">
        <f ca="1">IFERROR(__xludf.DUMMYFUNCTION("""COMPUTED_VALUE"""),"")</f>
        <v/>
      </c>
    </row>
    <row r="10246" spans="1:5">
      <c r="A10246" s="12"/>
      <c r="E10246" s="57" t="str">
        <f ca="1">IFERROR(__xludf.DUMMYFUNCTION("""COMPUTED_VALUE"""),"")</f>
        <v/>
      </c>
    </row>
    <row r="10247" spans="1:5">
      <c r="A10247" s="12"/>
      <c r="E10247" s="57" t="str">
        <f ca="1">IFERROR(__xludf.DUMMYFUNCTION("""COMPUTED_VALUE"""),"")</f>
        <v/>
      </c>
    </row>
    <row r="10248" spans="1:5">
      <c r="A10248" s="12"/>
      <c r="E10248" s="57" t="str">
        <f ca="1">IFERROR(__xludf.DUMMYFUNCTION("""COMPUTED_VALUE"""),"")</f>
        <v/>
      </c>
    </row>
    <row r="10249" spans="1:5">
      <c r="A10249" s="12"/>
      <c r="E10249" s="57" t="str">
        <f ca="1">IFERROR(__xludf.DUMMYFUNCTION("""COMPUTED_VALUE"""),"")</f>
        <v/>
      </c>
    </row>
    <row r="10250" spans="1:5">
      <c r="A10250" s="12"/>
      <c r="E10250" s="57" t="str">
        <f ca="1">IFERROR(__xludf.DUMMYFUNCTION("""COMPUTED_VALUE"""),"")</f>
        <v/>
      </c>
    </row>
    <row r="10251" spans="1:5">
      <c r="A10251" s="12"/>
      <c r="E10251" s="57" t="str">
        <f ca="1">IFERROR(__xludf.DUMMYFUNCTION("""COMPUTED_VALUE"""),"")</f>
        <v/>
      </c>
    </row>
    <row r="10252" spans="1:5">
      <c r="A10252" s="12"/>
      <c r="E10252" s="57" t="str">
        <f ca="1">IFERROR(__xludf.DUMMYFUNCTION("""COMPUTED_VALUE"""),"")</f>
        <v/>
      </c>
    </row>
    <row r="10253" spans="1:5">
      <c r="A10253" s="12"/>
      <c r="E10253" s="57" t="str">
        <f ca="1">IFERROR(__xludf.DUMMYFUNCTION("""COMPUTED_VALUE"""),"")</f>
        <v/>
      </c>
    </row>
    <row r="10254" spans="1:5">
      <c r="A10254" s="12"/>
      <c r="E10254" s="57" t="str">
        <f ca="1">IFERROR(__xludf.DUMMYFUNCTION("""COMPUTED_VALUE"""),"")</f>
        <v/>
      </c>
    </row>
    <row r="10255" spans="1:5">
      <c r="A10255" s="12"/>
      <c r="E10255" s="57" t="str">
        <f ca="1">IFERROR(__xludf.DUMMYFUNCTION("""COMPUTED_VALUE"""),"")</f>
        <v/>
      </c>
    </row>
    <row r="10256" spans="1:5">
      <c r="A10256" s="12"/>
      <c r="E10256" s="57" t="str">
        <f ca="1">IFERROR(__xludf.DUMMYFUNCTION("""COMPUTED_VALUE"""),"")</f>
        <v/>
      </c>
    </row>
    <row r="10257" spans="1:5">
      <c r="A10257" s="12"/>
      <c r="E10257" s="57" t="str">
        <f ca="1">IFERROR(__xludf.DUMMYFUNCTION("""COMPUTED_VALUE"""),"")</f>
        <v/>
      </c>
    </row>
    <row r="10258" spans="1:5">
      <c r="A10258" s="12"/>
      <c r="E10258" s="57" t="str">
        <f ca="1">IFERROR(__xludf.DUMMYFUNCTION("""COMPUTED_VALUE"""),"")</f>
        <v/>
      </c>
    </row>
    <row r="10259" spans="1:5">
      <c r="A10259" s="12"/>
      <c r="E10259" s="57" t="str">
        <f ca="1">IFERROR(__xludf.DUMMYFUNCTION("""COMPUTED_VALUE"""),"")</f>
        <v/>
      </c>
    </row>
    <row r="10260" spans="1:5">
      <c r="A10260" s="12"/>
      <c r="E10260" s="57" t="str">
        <f ca="1">IFERROR(__xludf.DUMMYFUNCTION("""COMPUTED_VALUE"""),"")</f>
        <v/>
      </c>
    </row>
    <row r="10261" spans="1:5">
      <c r="A10261" s="12"/>
      <c r="E10261" s="57" t="str">
        <f ca="1">IFERROR(__xludf.DUMMYFUNCTION("""COMPUTED_VALUE"""),"")</f>
        <v/>
      </c>
    </row>
    <row r="10262" spans="1:5">
      <c r="A10262" s="12"/>
      <c r="E10262" s="57" t="str">
        <f ca="1">IFERROR(__xludf.DUMMYFUNCTION("""COMPUTED_VALUE"""),"")</f>
        <v/>
      </c>
    </row>
    <row r="10263" spans="1:5">
      <c r="A10263" s="12"/>
      <c r="E10263" s="57" t="str">
        <f ca="1">IFERROR(__xludf.DUMMYFUNCTION("""COMPUTED_VALUE"""),"")</f>
        <v/>
      </c>
    </row>
    <row r="10264" spans="1:5">
      <c r="A10264" s="12"/>
      <c r="E10264" s="57" t="str">
        <f ca="1">IFERROR(__xludf.DUMMYFUNCTION("""COMPUTED_VALUE"""),"")</f>
        <v/>
      </c>
    </row>
    <row r="10265" spans="1:5">
      <c r="A10265" s="12"/>
      <c r="E10265" s="57" t="str">
        <f ca="1">IFERROR(__xludf.DUMMYFUNCTION("""COMPUTED_VALUE"""),"")</f>
        <v/>
      </c>
    </row>
    <row r="10266" spans="1:5">
      <c r="A10266" s="12"/>
      <c r="E10266" s="57" t="str">
        <f ca="1">IFERROR(__xludf.DUMMYFUNCTION("""COMPUTED_VALUE"""),"")</f>
        <v/>
      </c>
    </row>
    <row r="10267" spans="1:5">
      <c r="A10267" s="12"/>
      <c r="E10267" s="57" t="str">
        <f ca="1">IFERROR(__xludf.DUMMYFUNCTION("""COMPUTED_VALUE"""),"")</f>
        <v/>
      </c>
    </row>
    <row r="10268" spans="1:5">
      <c r="A10268" s="12"/>
      <c r="E10268" s="57" t="str">
        <f ca="1">IFERROR(__xludf.DUMMYFUNCTION("""COMPUTED_VALUE"""),"")</f>
        <v/>
      </c>
    </row>
    <row r="10269" spans="1:5">
      <c r="A10269" s="12"/>
      <c r="E10269" s="57" t="str">
        <f ca="1">IFERROR(__xludf.DUMMYFUNCTION("""COMPUTED_VALUE"""),"")</f>
        <v/>
      </c>
    </row>
    <row r="10270" spans="1:5">
      <c r="A10270" s="12"/>
      <c r="E10270" s="57" t="str">
        <f ca="1">IFERROR(__xludf.DUMMYFUNCTION("""COMPUTED_VALUE"""),"")</f>
        <v/>
      </c>
    </row>
    <row r="10271" spans="1:5">
      <c r="A10271" s="12"/>
      <c r="E10271" s="57" t="str">
        <f ca="1">IFERROR(__xludf.DUMMYFUNCTION("""COMPUTED_VALUE"""),"")</f>
        <v/>
      </c>
    </row>
    <row r="10272" spans="1:5">
      <c r="A10272" s="12"/>
      <c r="E10272" s="57" t="str">
        <f ca="1">IFERROR(__xludf.DUMMYFUNCTION("""COMPUTED_VALUE"""),"")</f>
        <v/>
      </c>
    </row>
    <row r="10273" spans="1:5">
      <c r="A10273" s="12"/>
      <c r="E10273" s="57" t="str">
        <f ca="1">IFERROR(__xludf.DUMMYFUNCTION("""COMPUTED_VALUE"""),"")</f>
        <v/>
      </c>
    </row>
    <row r="10274" spans="1:5">
      <c r="A10274" s="12"/>
      <c r="E10274" s="57" t="str">
        <f ca="1">IFERROR(__xludf.DUMMYFUNCTION("""COMPUTED_VALUE"""),"")</f>
        <v/>
      </c>
    </row>
    <row r="10275" spans="1:5">
      <c r="A10275" s="12"/>
      <c r="E10275" s="57" t="str">
        <f ca="1">IFERROR(__xludf.DUMMYFUNCTION("""COMPUTED_VALUE"""),"")</f>
        <v/>
      </c>
    </row>
    <row r="10276" spans="1:5">
      <c r="A10276" s="12"/>
      <c r="E10276" s="57" t="str">
        <f ca="1">IFERROR(__xludf.DUMMYFUNCTION("""COMPUTED_VALUE"""),"")</f>
        <v/>
      </c>
    </row>
    <row r="10277" spans="1:5">
      <c r="A10277" s="12"/>
      <c r="E10277" s="57" t="str">
        <f ca="1">IFERROR(__xludf.DUMMYFUNCTION("""COMPUTED_VALUE"""),"")</f>
        <v/>
      </c>
    </row>
    <row r="10278" spans="1:5">
      <c r="A10278" s="12"/>
      <c r="E10278" s="57" t="str">
        <f ca="1">IFERROR(__xludf.DUMMYFUNCTION("""COMPUTED_VALUE"""),"")</f>
        <v/>
      </c>
    </row>
    <row r="10279" spans="1:5">
      <c r="A10279" s="12"/>
      <c r="E10279" s="57" t="str">
        <f ca="1">IFERROR(__xludf.DUMMYFUNCTION("""COMPUTED_VALUE"""),"")</f>
        <v/>
      </c>
    </row>
    <row r="10280" spans="1:5">
      <c r="A10280" s="12"/>
      <c r="E10280" s="57" t="str">
        <f ca="1">IFERROR(__xludf.DUMMYFUNCTION("""COMPUTED_VALUE"""),"")</f>
        <v/>
      </c>
    </row>
    <row r="10281" spans="1:5">
      <c r="A10281" s="12"/>
      <c r="E10281" s="57" t="str">
        <f ca="1">IFERROR(__xludf.DUMMYFUNCTION("""COMPUTED_VALUE"""),"")</f>
        <v/>
      </c>
    </row>
    <row r="10282" spans="1:5">
      <c r="A10282" s="12"/>
      <c r="E10282" s="57" t="str">
        <f ca="1">IFERROR(__xludf.DUMMYFUNCTION("""COMPUTED_VALUE"""),"")</f>
        <v/>
      </c>
    </row>
    <row r="10283" spans="1:5">
      <c r="A10283" s="12"/>
      <c r="E10283" s="57" t="str">
        <f ca="1">IFERROR(__xludf.DUMMYFUNCTION("""COMPUTED_VALUE"""),"")</f>
        <v/>
      </c>
    </row>
    <row r="10284" spans="1:5">
      <c r="A10284" s="12"/>
      <c r="E10284" s="57" t="str">
        <f ca="1">IFERROR(__xludf.DUMMYFUNCTION("""COMPUTED_VALUE"""),"")</f>
        <v/>
      </c>
    </row>
    <row r="10285" spans="1:5">
      <c r="A10285" s="12"/>
      <c r="E10285" s="57" t="str">
        <f ca="1">IFERROR(__xludf.DUMMYFUNCTION("""COMPUTED_VALUE"""),"")</f>
        <v/>
      </c>
    </row>
    <row r="10286" spans="1:5">
      <c r="A10286" s="12"/>
      <c r="E10286" s="57" t="str">
        <f ca="1">IFERROR(__xludf.DUMMYFUNCTION("""COMPUTED_VALUE"""),"")</f>
        <v/>
      </c>
    </row>
    <row r="10287" spans="1:5">
      <c r="A10287" s="12"/>
      <c r="E10287" s="57" t="str">
        <f ca="1">IFERROR(__xludf.DUMMYFUNCTION("""COMPUTED_VALUE"""),"")</f>
        <v/>
      </c>
    </row>
    <row r="10288" spans="1:5">
      <c r="A10288" s="12"/>
      <c r="E10288" s="57" t="str">
        <f ca="1">IFERROR(__xludf.DUMMYFUNCTION("""COMPUTED_VALUE"""),"")</f>
        <v/>
      </c>
    </row>
    <row r="10289" spans="1:5">
      <c r="A10289" s="12"/>
      <c r="E10289" s="57" t="str">
        <f ca="1">IFERROR(__xludf.DUMMYFUNCTION("""COMPUTED_VALUE"""),"")</f>
        <v/>
      </c>
    </row>
    <row r="10290" spans="1:5">
      <c r="A10290" s="12"/>
      <c r="E10290" s="57" t="str">
        <f ca="1">IFERROR(__xludf.DUMMYFUNCTION("""COMPUTED_VALUE"""),"")</f>
        <v/>
      </c>
    </row>
    <row r="10291" spans="1:5">
      <c r="A10291" s="12"/>
      <c r="E10291" s="57" t="str">
        <f ca="1">IFERROR(__xludf.DUMMYFUNCTION("""COMPUTED_VALUE"""),"")</f>
        <v/>
      </c>
    </row>
    <row r="10292" spans="1:5">
      <c r="A10292" s="12"/>
      <c r="E10292" s="57" t="str">
        <f ca="1">IFERROR(__xludf.DUMMYFUNCTION("""COMPUTED_VALUE"""),"")</f>
        <v/>
      </c>
    </row>
    <row r="10293" spans="1:5">
      <c r="A10293" s="12"/>
      <c r="E10293" s="57" t="str">
        <f ca="1">IFERROR(__xludf.DUMMYFUNCTION("""COMPUTED_VALUE"""),"")</f>
        <v/>
      </c>
    </row>
    <row r="10294" spans="1:5">
      <c r="A10294" s="12"/>
      <c r="E10294" s="57" t="str">
        <f ca="1">IFERROR(__xludf.DUMMYFUNCTION("""COMPUTED_VALUE"""),"")</f>
        <v/>
      </c>
    </row>
    <row r="10295" spans="1:5">
      <c r="A10295" s="12"/>
      <c r="E10295" s="57" t="str">
        <f ca="1">IFERROR(__xludf.DUMMYFUNCTION("""COMPUTED_VALUE"""),"")</f>
        <v/>
      </c>
    </row>
    <row r="10296" spans="1:5">
      <c r="A10296" s="12"/>
      <c r="E10296" s="57" t="str">
        <f ca="1">IFERROR(__xludf.DUMMYFUNCTION("""COMPUTED_VALUE"""),"")</f>
        <v/>
      </c>
    </row>
    <row r="10297" spans="1:5">
      <c r="A10297" s="12"/>
      <c r="E10297" s="57" t="str">
        <f ca="1">IFERROR(__xludf.DUMMYFUNCTION("""COMPUTED_VALUE"""),"")</f>
        <v/>
      </c>
    </row>
    <row r="10298" spans="1:5">
      <c r="A10298" s="12"/>
      <c r="E10298" s="57" t="str">
        <f ca="1">IFERROR(__xludf.DUMMYFUNCTION("""COMPUTED_VALUE"""),"")</f>
        <v/>
      </c>
    </row>
    <row r="10299" spans="1:5">
      <c r="A10299" s="12"/>
      <c r="E10299" s="57" t="str">
        <f ca="1">IFERROR(__xludf.DUMMYFUNCTION("""COMPUTED_VALUE"""),"")</f>
        <v/>
      </c>
    </row>
    <row r="10300" spans="1:5">
      <c r="A10300" s="12"/>
      <c r="E10300" s="57" t="str">
        <f ca="1">IFERROR(__xludf.DUMMYFUNCTION("""COMPUTED_VALUE"""),"")</f>
        <v/>
      </c>
    </row>
    <row r="10301" spans="1:5">
      <c r="A10301" s="12"/>
      <c r="E10301" s="57" t="str">
        <f ca="1">IFERROR(__xludf.DUMMYFUNCTION("""COMPUTED_VALUE"""),"")</f>
        <v/>
      </c>
    </row>
    <row r="10302" spans="1:5">
      <c r="A10302" s="12"/>
      <c r="E10302" s="57" t="str">
        <f ca="1">IFERROR(__xludf.DUMMYFUNCTION("""COMPUTED_VALUE"""),"")</f>
        <v/>
      </c>
    </row>
    <row r="10303" spans="1:5">
      <c r="A10303" s="12"/>
      <c r="E10303" s="57" t="str">
        <f ca="1">IFERROR(__xludf.DUMMYFUNCTION("""COMPUTED_VALUE"""),"")</f>
        <v/>
      </c>
    </row>
    <row r="10304" spans="1:5">
      <c r="A10304" s="12"/>
      <c r="E10304" s="57" t="str">
        <f ca="1">IFERROR(__xludf.DUMMYFUNCTION("""COMPUTED_VALUE"""),"")</f>
        <v/>
      </c>
    </row>
    <row r="10305" spans="1:5">
      <c r="A10305" s="12"/>
      <c r="E10305" s="57" t="str">
        <f ca="1">IFERROR(__xludf.DUMMYFUNCTION("""COMPUTED_VALUE"""),"")</f>
        <v/>
      </c>
    </row>
    <row r="10306" spans="1:5">
      <c r="A10306" s="12"/>
      <c r="E10306" s="57" t="str">
        <f ca="1">IFERROR(__xludf.DUMMYFUNCTION("""COMPUTED_VALUE"""),"")</f>
        <v/>
      </c>
    </row>
    <row r="10307" spans="1:5">
      <c r="A10307" s="12"/>
      <c r="E10307" s="57" t="str">
        <f ca="1">IFERROR(__xludf.DUMMYFUNCTION("""COMPUTED_VALUE"""),"")</f>
        <v/>
      </c>
    </row>
    <row r="10308" spans="1:5">
      <c r="A10308" s="12"/>
      <c r="E10308" s="57" t="str">
        <f ca="1">IFERROR(__xludf.DUMMYFUNCTION("""COMPUTED_VALUE"""),"")</f>
        <v/>
      </c>
    </row>
    <row r="10309" spans="1:5">
      <c r="A10309" s="12"/>
      <c r="E10309" s="57" t="str">
        <f ca="1">IFERROR(__xludf.DUMMYFUNCTION("""COMPUTED_VALUE"""),"")</f>
        <v/>
      </c>
    </row>
    <row r="10310" spans="1:5">
      <c r="A10310" s="12"/>
      <c r="E10310" s="57" t="str">
        <f ca="1">IFERROR(__xludf.DUMMYFUNCTION("""COMPUTED_VALUE"""),"")</f>
        <v/>
      </c>
    </row>
    <row r="10311" spans="1:5">
      <c r="A10311" s="12"/>
      <c r="E10311" s="57" t="str">
        <f ca="1">IFERROR(__xludf.DUMMYFUNCTION("""COMPUTED_VALUE"""),"")</f>
        <v/>
      </c>
    </row>
    <row r="10312" spans="1:5">
      <c r="A10312" s="12"/>
      <c r="E10312" s="57" t="str">
        <f ca="1">IFERROR(__xludf.DUMMYFUNCTION("""COMPUTED_VALUE"""),"")</f>
        <v/>
      </c>
    </row>
    <row r="10313" spans="1:5">
      <c r="A10313" s="12"/>
      <c r="E10313" s="57" t="str">
        <f ca="1">IFERROR(__xludf.DUMMYFUNCTION("""COMPUTED_VALUE"""),"")</f>
        <v/>
      </c>
    </row>
    <row r="10314" spans="1:5">
      <c r="A10314" s="12"/>
      <c r="E10314" s="57" t="str">
        <f ca="1">IFERROR(__xludf.DUMMYFUNCTION("""COMPUTED_VALUE"""),"")</f>
        <v/>
      </c>
    </row>
    <row r="10315" spans="1:5">
      <c r="A10315" s="12"/>
      <c r="E10315" s="57" t="str">
        <f ca="1">IFERROR(__xludf.DUMMYFUNCTION("""COMPUTED_VALUE"""),"")</f>
        <v/>
      </c>
    </row>
    <row r="10316" spans="1:5">
      <c r="A10316" s="12"/>
      <c r="E10316" s="57" t="str">
        <f ca="1">IFERROR(__xludf.DUMMYFUNCTION("""COMPUTED_VALUE"""),"")</f>
        <v/>
      </c>
    </row>
    <row r="10317" spans="1:5">
      <c r="A10317" s="12"/>
      <c r="E10317" s="57" t="str">
        <f ca="1">IFERROR(__xludf.DUMMYFUNCTION("""COMPUTED_VALUE"""),"")</f>
        <v/>
      </c>
    </row>
    <row r="10318" spans="1:5">
      <c r="A10318" s="12"/>
      <c r="E10318" s="57" t="str">
        <f ca="1">IFERROR(__xludf.DUMMYFUNCTION("""COMPUTED_VALUE"""),"")</f>
        <v/>
      </c>
    </row>
    <row r="10319" spans="1:5">
      <c r="A10319" s="12"/>
      <c r="E10319" s="57" t="str">
        <f ca="1">IFERROR(__xludf.DUMMYFUNCTION("""COMPUTED_VALUE"""),"")</f>
        <v/>
      </c>
    </row>
    <row r="10320" spans="1:5">
      <c r="A10320" s="12"/>
      <c r="E10320" s="57" t="str">
        <f ca="1">IFERROR(__xludf.DUMMYFUNCTION("""COMPUTED_VALUE"""),"")</f>
        <v/>
      </c>
    </row>
    <row r="10321" spans="1:5">
      <c r="A10321" s="12"/>
      <c r="E10321" s="57" t="str">
        <f ca="1">IFERROR(__xludf.DUMMYFUNCTION("""COMPUTED_VALUE"""),"")</f>
        <v/>
      </c>
    </row>
    <row r="10322" spans="1:5">
      <c r="A10322" s="12"/>
      <c r="E10322" s="57" t="str">
        <f ca="1">IFERROR(__xludf.DUMMYFUNCTION("""COMPUTED_VALUE"""),"")</f>
        <v/>
      </c>
    </row>
    <row r="10323" spans="1:5">
      <c r="A10323" s="12"/>
      <c r="E10323" s="57" t="str">
        <f ca="1">IFERROR(__xludf.DUMMYFUNCTION("""COMPUTED_VALUE"""),"")</f>
        <v/>
      </c>
    </row>
    <row r="10324" spans="1:5">
      <c r="A10324" s="12"/>
      <c r="E10324" s="57" t="str">
        <f ca="1">IFERROR(__xludf.DUMMYFUNCTION("""COMPUTED_VALUE"""),"")</f>
        <v/>
      </c>
    </row>
    <row r="10325" spans="1:5">
      <c r="A10325" s="12"/>
      <c r="E10325" s="57" t="str">
        <f ca="1">IFERROR(__xludf.DUMMYFUNCTION("""COMPUTED_VALUE"""),"")</f>
        <v/>
      </c>
    </row>
    <row r="10326" spans="1:5">
      <c r="A10326" s="12"/>
      <c r="E10326" s="57" t="str">
        <f ca="1">IFERROR(__xludf.DUMMYFUNCTION("""COMPUTED_VALUE"""),"")</f>
        <v/>
      </c>
    </row>
    <row r="10327" spans="1:5">
      <c r="A10327" s="12"/>
      <c r="E10327" s="57" t="str">
        <f ca="1">IFERROR(__xludf.DUMMYFUNCTION("""COMPUTED_VALUE"""),"")</f>
        <v/>
      </c>
    </row>
    <row r="10328" spans="1:5">
      <c r="A10328" s="12"/>
      <c r="E10328" s="57" t="str">
        <f ca="1">IFERROR(__xludf.DUMMYFUNCTION("""COMPUTED_VALUE"""),"")</f>
        <v/>
      </c>
    </row>
    <row r="10329" spans="1:5">
      <c r="A10329" s="12"/>
      <c r="E10329" s="57" t="str">
        <f ca="1">IFERROR(__xludf.DUMMYFUNCTION("""COMPUTED_VALUE"""),"")</f>
        <v/>
      </c>
    </row>
    <row r="10330" spans="1:5">
      <c r="A10330" s="12"/>
      <c r="E10330" s="57" t="str">
        <f ca="1">IFERROR(__xludf.DUMMYFUNCTION("""COMPUTED_VALUE"""),"")</f>
        <v/>
      </c>
    </row>
    <row r="10331" spans="1:5">
      <c r="A10331" s="12"/>
      <c r="E10331" s="57" t="str">
        <f ca="1">IFERROR(__xludf.DUMMYFUNCTION("""COMPUTED_VALUE"""),"")</f>
        <v/>
      </c>
    </row>
    <row r="10332" spans="1:5">
      <c r="A10332" s="12"/>
      <c r="E10332" s="57" t="str">
        <f ca="1">IFERROR(__xludf.DUMMYFUNCTION("""COMPUTED_VALUE"""),"")</f>
        <v/>
      </c>
    </row>
    <row r="10333" spans="1:5">
      <c r="A10333" s="12"/>
      <c r="E10333" s="57" t="str">
        <f ca="1">IFERROR(__xludf.DUMMYFUNCTION("""COMPUTED_VALUE"""),"")</f>
        <v/>
      </c>
    </row>
    <row r="10334" spans="1:5">
      <c r="A10334" s="12"/>
      <c r="E10334" s="57" t="str">
        <f ca="1">IFERROR(__xludf.DUMMYFUNCTION("""COMPUTED_VALUE"""),"")</f>
        <v/>
      </c>
    </row>
    <row r="10335" spans="1:5">
      <c r="A10335" s="12"/>
      <c r="E10335" s="57" t="str">
        <f ca="1">IFERROR(__xludf.DUMMYFUNCTION("""COMPUTED_VALUE"""),"")</f>
        <v/>
      </c>
    </row>
    <row r="10336" spans="1:5">
      <c r="A10336" s="12"/>
      <c r="E10336" s="57" t="str">
        <f ca="1">IFERROR(__xludf.DUMMYFUNCTION("""COMPUTED_VALUE"""),"")</f>
        <v/>
      </c>
    </row>
    <row r="10337" spans="1:5">
      <c r="A10337" s="12"/>
      <c r="E10337" s="57" t="str">
        <f ca="1">IFERROR(__xludf.DUMMYFUNCTION("""COMPUTED_VALUE"""),"")</f>
        <v/>
      </c>
    </row>
    <row r="10338" spans="1:5">
      <c r="A10338" s="12"/>
      <c r="E10338" s="57" t="str">
        <f ca="1">IFERROR(__xludf.DUMMYFUNCTION("""COMPUTED_VALUE"""),"")</f>
        <v/>
      </c>
    </row>
    <row r="10339" spans="1:5">
      <c r="A10339" s="12"/>
      <c r="E10339" s="57" t="str">
        <f ca="1">IFERROR(__xludf.DUMMYFUNCTION("""COMPUTED_VALUE"""),"")</f>
        <v/>
      </c>
    </row>
    <row r="10340" spans="1:5">
      <c r="A10340" s="12"/>
      <c r="E10340" s="57" t="str">
        <f ca="1">IFERROR(__xludf.DUMMYFUNCTION("""COMPUTED_VALUE"""),"")</f>
        <v/>
      </c>
    </row>
    <row r="10341" spans="1:5">
      <c r="A10341" s="12"/>
      <c r="E10341" s="57" t="str">
        <f ca="1">IFERROR(__xludf.DUMMYFUNCTION("""COMPUTED_VALUE"""),"")</f>
        <v/>
      </c>
    </row>
    <row r="10342" spans="1:5">
      <c r="A10342" s="12"/>
      <c r="E10342" s="57" t="str">
        <f ca="1">IFERROR(__xludf.DUMMYFUNCTION("""COMPUTED_VALUE"""),"")</f>
        <v/>
      </c>
    </row>
    <row r="10343" spans="1:5">
      <c r="A10343" s="12"/>
      <c r="E10343" s="57" t="str">
        <f ca="1">IFERROR(__xludf.DUMMYFUNCTION("""COMPUTED_VALUE"""),"")</f>
        <v/>
      </c>
    </row>
    <row r="10344" spans="1:5">
      <c r="A10344" s="12"/>
      <c r="E10344" s="57" t="str">
        <f ca="1">IFERROR(__xludf.DUMMYFUNCTION("""COMPUTED_VALUE"""),"")</f>
        <v/>
      </c>
    </row>
    <row r="10345" spans="1:5">
      <c r="A10345" s="12"/>
      <c r="E10345" s="57" t="str">
        <f ca="1">IFERROR(__xludf.DUMMYFUNCTION("""COMPUTED_VALUE"""),"")</f>
        <v/>
      </c>
    </row>
    <row r="10346" spans="1:5">
      <c r="A10346" s="12"/>
      <c r="E10346" s="57" t="str">
        <f ca="1">IFERROR(__xludf.DUMMYFUNCTION("""COMPUTED_VALUE"""),"")</f>
        <v/>
      </c>
    </row>
    <row r="10347" spans="1:5">
      <c r="A10347" s="12"/>
      <c r="E10347" s="57" t="str">
        <f ca="1">IFERROR(__xludf.DUMMYFUNCTION("""COMPUTED_VALUE"""),"")</f>
        <v/>
      </c>
    </row>
    <row r="10348" spans="1:5">
      <c r="A10348" s="12"/>
      <c r="E10348" s="57" t="str">
        <f ca="1">IFERROR(__xludf.DUMMYFUNCTION("""COMPUTED_VALUE"""),"")</f>
        <v/>
      </c>
    </row>
    <row r="10349" spans="1:5">
      <c r="A10349" s="12"/>
      <c r="E10349" s="57" t="str">
        <f ca="1">IFERROR(__xludf.DUMMYFUNCTION("""COMPUTED_VALUE"""),"")</f>
        <v/>
      </c>
    </row>
    <row r="10350" spans="1:5">
      <c r="A10350" s="12"/>
      <c r="E10350" s="57" t="str">
        <f ca="1">IFERROR(__xludf.DUMMYFUNCTION("""COMPUTED_VALUE"""),"")</f>
        <v/>
      </c>
    </row>
    <row r="10351" spans="1:5">
      <c r="A10351" s="12"/>
      <c r="E10351" s="57" t="str">
        <f ca="1">IFERROR(__xludf.DUMMYFUNCTION("""COMPUTED_VALUE"""),"")</f>
        <v/>
      </c>
    </row>
    <row r="10352" spans="1:5">
      <c r="A10352" s="12"/>
      <c r="E10352" s="57" t="str">
        <f ca="1">IFERROR(__xludf.DUMMYFUNCTION("""COMPUTED_VALUE"""),"")</f>
        <v/>
      </c>
    </row>
    <row r="10353" spans="1:5">
      <c r="A10353" s="12"/>
      <c r="E10353" s="57" t="str">
        <f ca="1">IFERROR(__xludf.DUMMYFUNCTION("""COMPUTED_VALUE"""),"")</f>
        <v/>
      </c>
    </row>
    <row r="10354" spans="1:5">
      <c r="A10354" s="12"/>
      <c r="E10354" s="57" t="str">
        <f ca="1">IFERROR(__xludf.DUMMYFUNCTION("""COMPUTED_VALUE"""),"")</f>
        <v/>
      </c>
    </row>
    <row r="10355" spans="1:5">
      <c r="A10355" s="12"/>
      <c r="E10355" s="57" t="str">
        <f ca="1">IFERROR(__xludf.DUMMYFUNCTION("""COMPUTED_VALUE"""),"")</f>
        <v/>
      </c>
    </row>
    <row r="10356" spans="1:5">
      <c r="A10356" s="12"/>
      <c r="E10356" s="57" t="str">
        <f ca="1">IFERROR(__xludf.DUMMYFUNCTION("""COMPUTED_VALUE"""),"")</f>
        <v/>
      </c>
    </row>
    <row r="10357" spans="1:5">
      <c r="A10357" s="12"/>
      <c r="E10357" s="57" t="str">
        <f ca="1">IFERROR(__xludf.DUMMYFUNCTION("""COMPUTED_VALUE"""),"")</f>
        <v/>
      </c>
    </row>
    <row r="10358" spans="1:5">
      <c r="A10358" s="12"/>
      <c r="E10358" s="57" t="str">
        <f ca="1">IFERROR(__xludf.DUMMYFUNCTION("""COMPUTED_VALUE"""),"")</f>
        <v/>
      </c>
    </row>
    <row r="10359" spans="1:5">
      <c r="A10359" s="12"/>
      <c r="E10359" s="57" t="str">
        <f ca="1">IFERROR(__xludf.DUMMYFUNCTION("""COMPUTED_VALUE"""),"")</f>
        <v/>
      </c>
    </row>
    <row r="10360" spans="1:5">
      <c r="A10360" s="12"/>
      <c r="E10360" s="57" t="str">
        <f ca="1">IFERROR(__xludf.DUMMYFUNCTION("""COMPUTED_VALUE"""),"")</f>
        <v/>
      </c>
    </row>
    <row r="10361" spans="1:5">
      <c r="A10361" s="12"/>
      <c r="E10361" s="57" t="str">
        <f ca="1">IFERROR(__xludf.DUMMYFUNCTION("""COMPUTED_VALUE"""),"")</f>
        <v/>
      </c>
    </row>
    <row r="10362" spans="1:5">
      <c r="A10362" s="12"/>
      <c r="E10362" s="57" t="str">
        <f ca="1">IFERROR(__xludf.DUMMYFUNCTION("""COMPUTED_VALUE"""),"")</f>
        <v/>
      </c>
    </row>
    <row r="10363" spans="1:5">
      <c r="A10363" s="12"/>
      <c r="E10363" s="57" t="str">
        <f ca="1">IFERROR(__xludf.DUMMYFUNCTION("""COMPUTED_VALUE"""),"")</f>
        <v/>
      </c>
    </row>
    <row r="10364" spans="1:5">
      <c r="A10364" s="12"/>
      <c r="E10364" s="57" t="str">
        <f ca="1">IFERROR(__xludf.DUMMYFUNCTION("""COMPUTED_VALUE"""),"")</f>
        <v/>
      </c>
    </row>
    <row r="10365" spans="1:5">
      <c r="A10365" s="12"/>
      <c r="E10365" s="57" t="str">
        <f ca="1">IFERROR(__xludf.DUMMYFUNCTION("""COMPUTED_VALUE"""),"")</f>
        <v/>
      </c>
    </row>
    <row r="10366" spans="1:5">
      <c r="A10366" s="12"/>
      <c r="E10366" s="57" t="str">
        <f ca="1">IFERROR(__xludf.DUMMYFUNCTION("""COMPUTED_VALUE"""),"")</f>
        <v/>
      </c>
    </row>
    <row r="10367" spans="1:5">
      <c r="A10367" s="12"/>
      <c r="E10367" s="57" t="str">
        <f ca="1">IFERROR(__xludf.DUMMYFUNCTION("""COMPUTED_VALUE"""),"")</f>
        <v/>
      </c>
    </row>
    <row r="10368" spans="1:5">
      <c r="A10368" s="12"/>
      <c r="E10368" s="57" t="str">
        <f ca="1">IFERROR(__xludf.DUMMYFUNCTION("""COMPUTED_VALUE"""),"")</f>
        <v/>
      </c>
    </row>
    <row r="10369" spans="1:5">
      <c r="A10369" s="12"/>
      <c r="E10369" s="57" t="str">
        <f ca="1">IFERROR(__xludf.DUMMYFUNCTION("""COMPUTED_VALUE"""),"")</f>
        <v/>
      </c>
    </row>
    <row r="10370" spans="1:5">
      <c r="A10370" s="12"/>
      <c r="E10370" s="57" t="str">
        <f ca="1">IFERROR(__xludf.DUMMYFUNCTION("""COMPUTED_VALUE"""),"")</f>
        <v/>
      </c>
    </row>
    <row r="10371" spans="1:5">
      <c r="A10371" s="12"/>
      <c r="E10371" s="57" t="str">
        <f ca="1">IFERROR(__xludf.DUMMYFUNCTION("""COMPUTED_VALUE"""),"")</f>
        <v/>
      </c>
    </row>
    <row r="10372" spans="1:5">
      <c r="A10372" s="12"/>
      <c r="E10372" s="57" t="str">
        <f ca="1">IFERROR(__xludf.DUMMYFUNCTION("""COMPUTED_VALUE"""),"")</f>
        <v/>
      </c>
    </row>
    <row r="10373" spans="1:5">
      <c r="A10373" s="12"/>
      <c r="E10373" s="57" t="str">
        <f ca="1">IFERROR(__xludf.DUMMYFUNCTION("""COMPUTED_VALUE"""),"")</f>
        <v/>
      </c>
    </row>
    <row r="10374" spans="1:5">
      <c r="A10374" s="12"/>
      <c r="E10374" s="57" t="str">
        <f ca="1">IFERROR(__xludf.DUMMYFUNCTION("""COMPUTED_VALUE"""),"")</f>
        <v/>
      </c>
    </row>
    <row r="10375" spans="1:5">
      <c r="A10375" s="12"/>
      <c r="E10375" s="57" t="str">
        <f ca="1">IFERROR(__xludf.DUMMYFUNCTION("""COMPUTED_VALUE"""),"")</f>
        <v/>
      </c>
    </row>
    <row r="10376" spans="1:5">
      <c r="A10376" s="12"/>
      <c r="E10376" s="57" t="str">
        <f ca="1">IFERROR(__xludf.DUMMYFUNCTION("""COMPUTED_VALUE"""),"")</f>
        <v/>
      </c>
    </row>
    <row r="10377" spans="1:5">
      <c r="A10377" s="12"/>
      <c r="E10377" s="57" t="str">
        <f ca="1">IFERROR(__xludf.DUMMYFUNCTION("""COMPUTED_VALUE"""),"")</f>
        <v/>
      </c>
    </row>
    <row r="10378" spans="1:5">
      <c r="A10378" s="12"/>
      <c r="E10378" s="57" t="str">
        <f ca="1">IFERROR(__xludf.DUMMYFUNCTION("""COMPUTED_VALUE"""),"")</f>
        <v/>
      </c>
    </row>
    <row r="10379" spans="1:5">
      <c r="A10379" s="12"/>
      <c r="E10379" s="57" t="str">
        <f ca="1">IFERROR(__xludf.DUMMYFUNCTION("""COMPUTED_VALUE"""),"")</f>
        <v/>
      </c>
    </row>
    <row r="10380" spans="1:5">
      <c r="A10380" s="12"/>
      <c r="E10380" s="57" t="str">
        <f ca="1">IFERROR(__xludf.DUMMYFUNCTION("""COMPUTED_VALUE"""),"")</f>
        <v/>
      </c>
    </row>
    <row r="10381" spans="1:5">
      <c r="A10381" s="12"/>
      <c r="E10381" s="57" t="str">
        <f ca="1">IFERROR(__xludf.DUMMYFUNCTION("""COMPUTED_VALUE"""),"")</f>
        <v/>
      </c>
    </row>
    <row r="10382" spans="1:5">
      <c r="A10382" s="12"/>
      <c r="E10382" s="57" t="str">
        <f ca="1">IFERROR(__xludf.DUMMYFUNCTION("""COMPUTED_VALUE"""),"")</f>
        <v/>
      </c>
    </row>
    <row r="10383" spans="1:5">
      <c r="A10383" s="12"/>
      <c r="E10383" s="57" t="str">
        <f ca="1">IFERROR(__xludf.DUMMYFUNCTION("""COMPUTED_VALUE"""),"")</f>
        <v/>
      </c>
    </row>
    <row r="10384" spans="1:5">
      <c r="A10384" s="12"/>
      <c r="E10384" s="57" t="str">
        <f ca="1">IFERROR(__xludf.DUMMYFUNCTION("""COMPUTED_VALUE"""),"")</f>
        <v/>
      </c>
    </row>
    <row r="10385" spans="1:5">
      <c r="A10385" s="12"/>
      <c r="E10385" s="57" t="str">
        <f ca="1">IFERROR(__xludf.DUMMYFUNCTION("""COMPUTED_VALUE"""),"")</f>
        <v/>
      </c>
    </row>
    <row r="10386" spans="1:5">
      <c r="A10386" s="12"/>
      <c r="E10386" s="57" t="str">
        <f ca="1">IFERROR(__xludf.DUMMYFUNCTION("""COMPUTED_VALUE"""),"")</f>
        <v/>
      </c>
    </row>
    <row r="10387" spans="1:5">
      <c r="A10387" s="12"/>
      <c r="E10387" s="57" t="str">
        <f ca="1">IFERROR(__xludf.DUMMYFUNCTION("""COMPUTED_VALUE"""),"")</f>
        <v/>
      </c>
    </row>
    <row r="10388" spans="1:5">
      <c r="A10388" s="12"/>
      <c r="E10388" s="57" t="str">
        <f ca="1">IFERROR(__xludf.DUMMYFUNCTION("""COMPUTED_VALUE"""),"")</f>
        <v/>
      </c>
    </row>
    <row r="10389" spans="1:5">
      <c r="A10389" s="12"/>
      <c r="E10389" s="57" t="str">
        <f ca="1">IFERROR(__xludf.DUMMYFUNCTION("""COMPUTED_VALUE"""),"")</f>
        <v/>
      </c>
    </row>
    <row r="10390" spans="1:5">
      <c r="A10390" s="12"/>
      <c r="E10390" s="57" t="str">
        <f ca="1">IFERROR(__xludf.DUMMYFUNCTION("""COMPUTED_VALUE"""),"")</f>
        <v/>
      </c>
    </row>
    <row r="10391" spans="1:5">
      <c r="A10391" s="12"/>
      <c r="E10391" s="57" t="str">
        <f ca="1">IFERROR(__xludf.DUMMYFUNCTION("""COMPUTED_VALUE"""),"")</f>
        <v/>
      </c>
    </row>
    <row r="10392" spans="1:5">
      <c r="A10392" s="12"/>
      <c r="E10392" s="57" t="str">
        <f ca="1">IFERROR(__xludf.DUMMYFUNCTION("""COMPUTED_VALUE"""),"")</f>
        <v/>
      </c>
    </row>
    <row r="10393" spans="1:5">
      <c r="A10393" s="12"/>
      <c r="E10393" s="57" t="str">
        <f ca="1">IFERROR(__xludf.DUMMYFUNCTION("""COMPUTED_VALUE"""),"")</f>
        <v/>
      </c>
    </row>
    <row r="10394" spans="1:5">
      <c r="A10394" s="12"/>
      <c r="E10394" s="57" t="str">
        <f ca="1">IFERROR(__xludf.DUMMYFUNCTION("""COMPUTED_VALUE"""),"")</f>
        <v/>
      </c>
    </row>
    <row r="10395" spans="1:5">
      <c r="A10395" s="12"/>
      <c r="E10395" s="57" t="str">
        <f ca="1">IFERROR(__xludf.DUMMYFUNCTION("""COMPUTED_VALUE"""),"")</f>
        <v/>
      </c>
    </row>
    <row r="10396" spans="1:5">
      <c r="A10396" s="12"/>
      <c r="E10396" s="57" t="str">
        <f ca="1">IFERROR(__xludf.DUMMYFUNCTION("""COMPUTED_VALUE"""),"")</f>
        <v/>
      </c>
    </row>
    <row r="10397" spans="1:5">
      <c r="A10397" s="12"/>
      <c r="E10397" s="57" t="str">
        <f ca="1">IFERROR(__xludf.DUMMYFUNCTION("""COMPUTED_VALUE"""),"")</f>
        <v/>
      </c>
    </row>
    <row r="10398" spans="1:5">
      <c r="A10398" s="12"/>
      <c r="E10398" s="57" t="str">
        <f ca="1">IFERROR(__xludf.DUMMYFUNCTION("""COMPUTED_VALUE"""),"")</f>
        <v/>
      </c>
    </row>
    <row r="10399" spans="1:5">
      <c r="A10399" s="12"/>
      <c r="E10399" s="57" t="str">
        <f ca="1">IFERROR(__xludf.DUMMYFUNCTION("""COMPUTED_VALUE"""),"")</f>
        <v/>
      </c>
    </row>
    <row r="10400" spans="1:5">
      <c r="A10400" s="12"/>
      <c r="E10400" s="57" t="str">
        <f ca="1">IFERROR(__xludf.DUMMYFUNCTION("""COMPUTED_VALUE"""),"")</f>
        <v/>
      </c>
    </row>
    <row r="10401" spans="1:5">
      <c r="A10401" s="12"/>
      <c r="E10401" s="57" t="str">
        <f ca="1">IFERROR(__xludf.DUMMYFUNCTION("""COMPUTED_VALUE"""),"")</f>
        <v/>
      </c>
    </row>
    <row r="10402" spans="1:5">
      <c r="A10402" s="12"/>
      <c r="E10402" s="57" t="str">
        <f ca="1">IFERROR(__xludf.DUMMYFUNCTION("""COMPUTED_VALUE"""),"")</f>
        <v/>
      </c>
    </row>
    <row r="10403" spans="1:5">
      <c r="A10403" s="12"/>
      <c r="E10403" s="57" t="str">
        <f ca="1">IFERROR(__xludf.DUMMYFUNCTION("""COMPUTED_VALUE"""),"")</f>
        <v/>
      </c>
    </row>
    <row r="10404" spans="1:5">
      <c r="A10404" s="12"/>
      <c r="E10404" s="57" t="str">
        <f ca="1">IFERROR(__xludf.DUMMYFUNCTION("""COMPUTED_VALUE"""),"")</f>
        <v/>
      </c>
    </row>
    <row r="10405" spans="1:5">
      <c r="A10405" s="12"/>
      <c r="E10405" s="57" t="str">
        <f ca="1">IFERROR(__xludf.DUMMYFUNCTION("""COMPUTED_VALUE"""),"")</f>
        <v/>
      </c>
    </row>
    <row r="10406" spans="1:5">
      <c r="A10406" s="12"/>
      <c r="E10406" s="57" t="str">
        <f ca="1">IFERROR(__xludf.DUMMYFUNCTION("""COMPUTED_VALUE"""),"")</f>
        <v/>
      </c>
    </row>
    <row r="10407" spans="1:5">
      <c r="A10407" s="12"/>
      <c r="E10407" s="57" t="str">
        <f ca="1">IFERROR(__xludf.DUMMYFUNCTION("""COMPUTED_VALUE"""),"")</f>
        <v/>
      </c>
    </row>
    <row r="10408" spans="1:5">
      <c r="A10408" s="12"/>
      <c r="E10408" s="57" t="str">
        <f ca="1">IFERROR(__xludf.DUMMYFUNCTION("""COMPUTED_VALUE"""),"")</f>
        <v/>
      </c>
    </row>
    <row r="10409" spans="1:5">
      <c r="A10409" s="12"/>
      <c r="E10409" s="57" t="str">
        <f ca="1">IFERROR(__xludf.DUMMYFUNCTION("""COMPUTED_VALUE"""),"")</f>
        <v/>
      </c>
    </row>
    <row r="10410" spans="1:5">
      <c r="A10410" s="12"/>
      <c r="E10410" s="57" t="str">
        <f ca="1">IFERROR(__xludf.DUMMYFUNCTION("""COMPUTED_VALUE"""),"")</f>
        <v/>
      </c>
    </row>
    <row r="10411" spans="1:5">
      <c r="A10411" s="12"/>
      <c r="E10411" s="57" t="str">
        <f ca="1">IFERROR(__xludf.DUMMYFUNCTION("""COMPUTED_VALUE"""),"")</f>
        <v/>
      </c>
    </row>
    <row r="10412" spans="1:5">
      <c r="A10412" s="12"/>
      <c r="E10412" s="57" t="str">
        <f ca="1">IFERROR(__xludf.DUMMYFUNCTION("""COMPUTED_VALUE"""),"")</f>
        <v/>
      </c>
    </row>
    <row r="10413" spans="1:5">
      <c r="A10413" s="12"/>
      <c r="E10413" s="57" t="str">
        <f ca="1">IFERROR(__xludf.DUMMYFUNCTION("""COMPUTED_VALUE"""),"")</f>
        <v/>
      </c>
    </row>
    <row r="10414" spans="1:5">
      <c r="A10414" s="12"/>
      <c r="E10414" s="57" t="str">
        <f ca="1">IFERROR(__xludf.DUMMYFUNCTION("""COMPUTED_VALUE"""),"")</f>
        <v/>
      </c>
    </row>
    <row r="10415" spans="1:5">
      <c r="A10415" s="12"/>
      <c r="E10415" s="57" t="str">
        <f ca="1">IFERROR(__xludf.DUMMYFUNCTION("""COMPUTED_VALUE"""),"")</f>
        <v/>
      </c>
    </row>
    <row r="10416" spans="1:5">
      <c r="A10416" s="12"/>
      <c r="E10416" s="57" t="str">
        <f ca="1">IFERROR(__xludf.DUMMYFUNCTION("""COMPUTED_VALUE"""),"")</f>
        <v/>
      </c>
    </row>
    <row r="10417" spans="1:5">
      <c r="A10417" s="12"/>
      <c r="E10417" s="57" t="str">
        <f ca="1">IFERROR(__xludf.DUMMYFUNCTION("""COMPUTED_VALUE"""),"")</f>
        <v/>
      </c>
    </row>
    <row r="10418" spans="1:5">
      <c r="A10418" s="12"/>
      <c r="E10418" s="57" t="str">
        <f ca="1">IFERROR(__xludf.DUMMYFUNCTION("""COMPUTED_VALUE"""),"")</f>
        <v/>
      </c>
    </row>
    <row r="10419" spans="1:5">
      <c r="A10419" s="12"/>
      <c r="E10419" s="57" t="str">
        <f ca="1">IFERROR(__xludf.DUMMYFUNCTION("""COMPUTED_VALUE"""),"")</f>
        <v/>
      </c>
    </row>
    <row r="10420" spans="1:5">
      <c r="A10420" s="12"/>
      <c r="E10420" s="57" t="str">
        <f ca="1">IFERROR(__xludf.DUMMYFUNCTION("""COMPUTED_VALUE"""),"")</f>
        <v/>
      </c>
    </row>
    <row r="10421" spans="1:5">
      <c r="A10421" s="12"/>
      <c r="E10421" s="57" t="str">
        <f ca="1">IFERROR(__xludf.DUMMYFUNCTION("""COMPUTED_VALUE"""),"")</f>
        <v/>
      </c>
    </row>
    <row r="10422" spans="1:5">
      <c r="A10422" s="12"/>
      <c r="E10422" s="57" t="str">
        <f ca="1">IFERROR(__xludf.DUMMYFUNCTION("""COMPUTED_VALUE"""),"")</f>
        <v/>
      </c>
    </row>
    <row r="10423" spans="1:5">
      <c r="A10423" s="12"/>
      <c r="E10423" s="57" t="str">
        <f ca="1">IFERROR(__xludf.DUMMYFUNCTION("""COMPUTED_VALUE"""),"")</f>
        <v/>
      </c>
    </row>
    <row r="10424" spans="1:5">
      <c r="A10424" s="12"/>
      <c r="E10424" s="57" t="str">
        <f ca="1">IFERROR(__xludf.DUMMYFUNCTION("""COMPUTED_VALUE"""),"")</f>
        <v/>
      </c>
    </row>
    <row r="10425" spans="1:5">
      <c r="A10425" s="12"/>
      <c r="E10425" s="57" t="str">
        <f ca="1">IFERROR(__xludf.DUMMYFUNCTION("""COMPUTED_VALUE"""),"")</f>
        <v/>
      </c>
    </row>
    <row r="10426" spans="1:5">
      <c r="A10426" s="12"/>
      <c r="E10426" s="57" t="str">
        <f ca="1">IFERROR(__xludf.DUMMYFUNCTION("""COMPUTED_VALUE"""),"")</f>
        <v/>
      </c>
    </row>
    <row r="10427" spans="1:5">
      <c r="A10427" s="12"/>
      <c r="E10427" s="57" t="str">
        <f ca="1">IFERROR(__xludf.DUMMYFUNCTION("""COMPUTED_VALUE"""),"")</f>
        <v/>
      </c>
    </row>
    <row r="10428" spans="1:5">
      <c r="A10428" s="12"/>
      <c r="E10428" s="57" t="str">
        <f ca="1">IFERROR(__xludf.DUMMYFUNCTION("""COMPUTED_VALUE"""),"")</f>
        <v/>
      </c>
    </row>
    <row r="10429" spans="1:5">
      <c r="A10429" s="12"/>
      <c r="E10429" s="57" t="str">
        <f ca="1">IFERROR(__xludf.DUMMYFUNCTION("""COMPUTED_VALUE"""),"")</f>
        <v/>
      </c>
    </row>
    <row r="10430" spans="1:5">
      <c r="A10430" s="12"/>
      <c r="E10430" s="57" t="str">
        <f ca="1">IFERROR(__xludf.DUMMYFUNCTION("""COMPUTED_VALUE"""),"")</f>
        <v/>
      </c>
    </row>
    <row r="10431" spans="1:5">
      <c r="A10431" s="12"/>
      <c r="E10431" s="57" t="str">
        <f ca="1">IFERROR(__xludf.DUMMYFUNCTION("""COMPUTED_VALUE"""),"")</f>
        <v/>
      </c>
    </row>
    <row r="10432" spans="1:5">
      <c r="A10432" s="12"/>
      <c r="E10432" s="57" t="str">
        <f ca="1">IFERROR(__xludf.DUMMYFUNCTION("""COMPUTED_VALUE"""),"")</f>
        <v/>
      </c>
    </row>
    <row r="10433" spans="1:5">
      <c r="A10433" s="12"/>
      <c r="E10433" s="57" t="str">
        <f ca="1">IFERROR(__xludf.DUMMYFUNCTION("""COMPUTED_VALUE"""),"")</f>
        <v/>
      </c>
    </row>
    <row r="10434" spans="1:5">
      <c r="A10434" s="12"/>
      <c r="E10434" s="57" t="str">
        <f ca="1">IFERROR(__xludf.DUMMYFUNCTION("""COMPUTED_VALUE"""),"")</f>
        <v/>
      </c>
    </row>
    <row r="10435" spans="1:5">
      <c r="A10435" s="12"/>
      <c r="E10435" s="57" t="str">
        <f ca="1">IFERROR(__xludf.DUMMYFUNCTION("""COMPUTED_VALUE"""),"")</f>
        <v/>
      </c>
    </row>
    <row r="10436" spans="1:5">
      <c r="A10436" s="12"/>
      <c r="E10436" s="57" t="str">
        <f ca="1">IFERROR(__xludf.DUMMYFUNCTION("""COMPUTED_VALUE"""),"")</f>
        <v/>
      </c>
    </row>
    <row r="10437" spans="1:5">
      <c r="A10437" s="12"/>
      <c r="E10437" s="57" t="str">
        <f ca="1">IFERROR(__xludf.DUMMYFUNCTION("""COMPUTED_VALUE"""),"")</f>
        <v/>
      </c>
    </row>
    <row r="10438" spans="1:5">
      <c r="A10438" s="12"/>
      <c r="E10438" s="57" t="str">
        <f ca="1">IFERROR(__xludf.DUMMYFUNCTION("""COMPUTED_VALUE"""),"")</f>
        <v/>
      </c>
    </row>
    <row r="10439" spans="1:5">
      <c r="A10439" s="12"/>
      <c r="E10439" s="57" t="str">
        <f ca="1">IFERROR(__xludf.DUMMYFUNCTION("""COMPUTED_VALUE"""),"")</f>
        <v/>
      </c>
    </row>
    <row r="10440" spans="1:5">
      <c r="A10440" s="12"/>
      <c r="E10440" s="57" t="str">
        <f ca="1">IFERROR(__xludf.DUMMYFUNCTION("""COMPUTED_VALUE"""),"")</f>
        <v/>
      </c>
    </row>
    <row r="10441" spans="1:5">
      <c r="A10441" s="12"/>
      <c r="E10441" s="57" t="str">
        <f ca="1">IFERROR(__xludf.DUMMYFUNCTION("""COMPUTED_VALUE"""),"")</f>
        <v/>
      </c>
    </row>
    <row r="10442" spans="1:5">
      <c r="A10442" s="12"/>
      <c r="E10442" s="57" t="str">
        <f ca="1">IFERROR(__xludf.DUMMYFUNCTION("""COMPUTED_VALUE"""),"")</f>
        <v/>
      </c>
    </row>
    <row r="10443" spans="1:5">
      <c r="A10443" s="12"/>
      <c r="E10443" s="57" t="str">
        <f ca="1">IFERROR(__xludf.DUMMYFUNCTION("""COMPUTED_VALUE"""),"")</f>
        <v/>
      </c>
    </row>
    <row r="10444" spans="1:5">
      <c r="A10444" s="12"/>
      <c r="E10444" s="57" t="str">
        <f ca="1">IFERROR(__xludf.DUMMYFUNCTION("""COMPUTED_VALUE"""),"")</f>
        <v/>
      </c>
    </row>
    <row r="10445" spans="1:5">
      <c r="A10445" s="12"/>
      <c r="E10445" s="57" t="str">
        <f ca="1">IFERROR(__xludf.DUMMYFUNCTION("""COMPUTED_VALUE"""),"")</f>
        <v/>
      </c>
    </row>
    <row r="10446" spans="1:5">
      <c r="A10446" s="12"/>
      <c r="E10446" s="57" t="str">
        <f ca="1">IFERROR(__xludf.DUMMYFUNCTION("""COMPUTED_VALUE"""),"")</f>
        <v/>
      </c>
    </row>
    <row r="10447" spans="1:5">
      <c r="A10447" s="12"/>
      <c r="E10447" s="57" t="str">
        <f ca="1">IFERROR(__xludf.DUMMYFUNCTION("""COMPUTED_VALUE"""),"")</f>
        <v/>
      </c>
    </row>
    <row r="10448" spans="1:5">
      <c r="A10448" s="12"/>
      <c r="E10448" s="57" t="str">
        <f ca="1">IFERROR(__xludf.DUMMYFUNCTION("""COMPUTED_VALUE"""),"")</f>
        <v/>
      </c>
    </row>
    <row r="10449" spans="1:5">
      <c r="A10449" s="12"/>
      <c r="E10449" s="57" t="str">
        <f ca="1">IFERROR(__xludf.DUMMYFUNCTION("""COMPUTED_VALUE"""),"")</f>
        <v/>
      </c>
    </row>
    <row r="10450" spans="1:5">
      <c r="A10450" s="12"/>
      <c r="E10450" s="57" t="str">
        <f ca="1">IFERROR(__xludf.DUMMYFUNCTION("""COMPUTED_VALUE"""),"")</f>
        <v/>
      </c>
    </row>
    <row r="10451" spans="1:5">
      <c r="A10451" s="12"/>
      <c r="E10451" s="57" t="str">
        <f ca="1">IFERROR(__xludf.DUMMYFUNCTION("""COMPUTED_VALUE"""),"")</f>
        <v/>
      </c>
    </row>
    <row r="10452" spans="1:5">
      <c r="A10452" s="12"/>
      <c r="E10452" s="57" t="str">
        <f ca="1">IFERROR(__xludf.DUMMYFUNCTION("""COMPUTED_VALUE"""),"")</f>
        <v/>
      </c>
    </row>
    <row r="10453" spans="1:5">
      <c r="A10453" s="12"/>
      <c r="E10453" s="57" t="str">
        <f ca="1">IFERROR(__xludf.DUMMYFUNCTION("""COMPUTED_VALUE"""),"")</f>
        <v/>
      </c>
    </row>
    <row r="10454" spans="1:5">
      <c r="A10454" s="12"/>
      <c r="E10454" s="57" t="str">
        <f ca="1">IFERROR(__xludf.DUMMYFUNCTION("""COMPUTED_VALUE"""),"")</f>
        <v/>
      </c>
    </row>
    <row r="10455" spans="1:5">
      <c r="A10455" s="12"/>
      <c r="E10455" s="57" t="str">
        <f ca="1">IFERROR(__xludf.DUMMYFUNCTION("""COMPUTED_VALUE"""),"")</f>
        <v/>
      </c>
    </row>
    <row r="10456" spans="1:5">
      <c r="A10456" s="12"/>
      <c r="E10456" s="57" t="str">
        <f ca="1">IFERROR(__xludf.DUMMYFUNCTION("""COMPUTED_VALUE"""),"")</f>
        <v/>
      </c>
    </row>
    <row r="10457" spans="1:5">
      <c r="A10457" s="12"/>
      <c r="E10457" s="57" t="str">
        <f ca="1">IFERROR(__xludf.DUMMYFUNCTION("""COMPUTED_VALUE"""),"")</f>
        <v/>
      </c>
    </row>
    <row r="10458" spans="1:5">
      <c r="A10458" s="12"/>
      <c r="E10458" s="57" t="str">
        <f ca="1">IFERROR(__xludf.DUMMYFUNCTION("""COMPUTED_VALUE"""),"")</f>
        <v/>
      </c>
    </row>
    <row r="10459" spans="1:5">
      <c r="A10459" s="12"/>
      <c r="E10459" s="57" t="str">
        <f ca="1">IFERROR(__xludf.DUMMYFUNCTION("""COMPUTED_VALUE"""),"")</f>
        <v/>
      </c>
    </row>
    <row r="10460" spans="1:5">
      <c r="A10460" s="12"/>
      <c r="E10460" s="57" t="str">
        <f ca="1">IFERROR(__xludf.DUMMYFUNCTION("""COMPUTED_VALUE"""),"")</f>
        <v/>
      </c>
    </row>
    <row r="10461" spans="1:5">
      <c r="A10461" s="12"/>
      <c r="E10461" s="57" t="str">
        <f ca="1">IFERROR(__xludf.DUMMYFUNCTION("""COMPUTED_VALUE"""),"")</f>
        <v/>
      </c>
    </row>
    <row r="10462" spans="1:5">
      <c r="A10462" s="12"/>
      <c r="E10462" s="57" t="str">
        <f ca="1">IFERROR(__xludf.DUMMYFUNCTION("""COMPUTED_VALUE"""),"")</f>
        <v/>
      </c>
    </row>
    <row r="10463" spans="1:5">
      <c r="A10463" s="12"/>
      <c r="E10463" s="57" t="str">
        <f ca="1">IFERROR(__xludf.DUMMYFUNCTION("""COMPUTED_VALUE"""),"")</f>
        <v/>
      </c>
    </row>
    <row r="10464" spans="1:5">
      <c r="A10464" s="12"/>
      <c r="E10464" s="57" t="str">
        <f ca="1">IFERROR(__xludf.DUMMYFUNCTION("""COMPUTED_VALUE"""),"")</f>
        <v/>
      </c>
    </row>
    <row r="10465" spans="1:5">
      <c r="A10465" s="12"/>
      <c r="E10465" s="57" t="str">
        <f ca="1">IFERROR(__xludf.DUMMYFUNCTION("""COMPUTED_VALUE"""),"")</f>
        <v/>
      </c>
    </row>
    <row r="10466" spans="1:5">
      <c r="A10466" s="12"/>
      <c r="E10466" s="57" t="str">
        <f ca="1">IFERROR(__xludf.DUMMYFUNCTION("""COMPUTED_VALUE"""),"")</f>
        <v/>
      </c>
    </row>
    <row r="10467" spans="1:5">
      <c r="A10467" s="12"/>
      <c r="E10467" s="57" t="str">
        <f ca="1">IFERROR(__xludf.DUMMYFUNCTION("""COMPUTED_VALUE"""),"")</f>
        <v/>
      </c>
    </row>
    <row r="10468" spans="1:5">
      <c r="A10468" s="12"/>
      <c r="E10468" s="57" t="str">
        <f ca="1">IFERROR(__xludf.DUMMYFUNCTION("""COMPUTED_VALUE"""),"")</f>
        <v/>
      </c>
    </row>
    <row r="10469" spans="1:5">
      <c r="A10469" s="12"/>
      <c r="E10469" s="57" t="str">
        <f ca="1">IFERROR(__xludf.DUMMYFUNCTION("""COMPUTED_VALUE"""),"")</f>
        <v/>
      </c>
    </row>
    <row r="10470" spans="1:5">
      <c r="A10470" s="12"/>
      <c r="E10470" s="57" t="str">
        <f ca="1">IFERROR(__xludf.DUMMYFUNCTION("""COMPUTED_VALUE"""),"")</f>
        <v/>
      </c>
    </row>
    <row r="10471" spans="1:5">
      <c r="A10471" s="12"/>
      <c r="E10471" s="57" t="str">
        <f ca="1">IFERROR(__xludf.DUMMYFUNCTION("""COMPUTED_VALUE"""),"")</f>
        <v/>
      </c>
    </row>
    <row r="10472" spans="1:5">
      <c r="A10472" s="12"/>
      <c r="E10472" s="57" t="str">
        <f ca="1">IFERROR(__xludf.DUMMYFUNCTION("""COMPUTED_VALUE"""),"")</f>
        <v/>
      </c>
    </row>
    <row r="10473" spans="1:5">
      <c r="A10473" s="12"/>
      <c r="E10473" s="57" t="str">
        <f ca="1">IFERROR(__xludf.DUMMYFUNCTION("""COMPUTED_VALUE"""),"")</f>
        <v/>
      </c>
    </row>
    <row r="10474" spans="1:5">
      <c r="A10474" s="12"/>
      <c r="E10474" s="57" t="str">
        <f ca="1">IFERROR(__xludf.DUMMYFUNCTION("""COMPUTED_VALUE"""),"")</f>
        <v/>
      </c>
    </row>
    <row r="10475" spans="1:5">
      <c r="A10475" s="12"/>
      <c r="E10475" s="57" t="str">
        <f ca="1">IFERROR(__xludf.DUMMYFUNCTION("""COMPUTED_VALUE"""),"")</f>
        <v/>
      </c>
    </row>
    <row r="10476" spans="1:5">
      <c r="A10476" s="12"/>
      <c r="E10476" s="57" t="str">
        <f ca="1">IFERROR(__xludf.DUMMYFUNCTION("""COMPUTED_VALUE"""),"")</f>
        <v/>
      </c>
    </row>
    <row r="10477" spans="1:5">
      <c r="A10477" s="12"/>
      <c r="E10477" s="57" t="str">
        <f ca="1">IFERROR(__xludf.DUMMYFUNCTION("""COMPUTED_VALUE"""),"")</f>
        <v/>
      </c>
    </row>
    <row r="10478" spans="1:5">
      <c r="A10478" s="12"/>
      <c r="E10478" s="57" t="str">
        <f ca="1">IFERROR(__xludf.DUMMYFUNCTION("""COMPUTED_VALUE"""),"")</f>
        <v/>
      </c>
    </row>
    <row r="10479" spans="1:5">
      <c r="A10479" s="12"/>
      <c r="E10479" s="57" t="str">
        <f ca="1">IFERROR(__xludf.DUMMYFUNCTION("""COMPUTED_VALUE"""),"")</f>
        <v/>
      </c>
    </row>
    <row r="10480" spans="1:5">
      <c r="A10480" s="12"/>
      <c r="E10480" s="57" t="str">
        <f ca="1">IFERROR(__xludf.DUMMYFUNCTION("""COMPUTED_VALUE"""),"")</f>
        <v/>
      </c>
    </row>
    <row r="10481" spans="1:5">
      <c r="A10481" s="12"/>
      <c r="E10481" s="57" t="str">
        <f ca="1">IFERROR(__xludf.DUMMYFUNCTION("""COMPUTED_VALUE"""),"")</f>
        <v/>
      </c>
    </row>
    <row r="10482" spans="1:5">
      <c r="A10482" s="12"/>
      <c r="E10482" s="57" t="str">
        <f ca="1">IFERROR(__xludf.DUMMYFUNCTION("""COMPUTED_VALUE"""),"")</f>
        <v/>
      </c>
    </row>
    <row r="10483" spans="1:5">
      <c r="A10483" s="12"/>
      <c r="E10483" s="57" t="str">
        <f ca="1">IFERROR(__xludf.DUMMYFUNCTION("""COMPUTED_VALUE"""),"")</f>
        <v/>
      </c>
    </row>
    <row r="10484" spans="1:5">
      <c r="A10484" s="12"/>
      <c r="E10484" s="57" t="str">
        <f ca="1">IFERROR(__xludf.DUMMYFUNCTION("""COMPUTED_VALUE"""),"")</f>
        <v/>
      </c>
    </row>
    <row r="10485" spans="1:5">
      <c r="A10485" s="12"/>
      <c r="E10485" s="57" t="str">
        <f ca="1">IFERROR(__xludf.DUMMYFUNCTION("""COMPUTED_VALUE"""),"")</f>
        <v/>
      </c>
    </row>
    <row r="10486" spans="1:5">
      <c r="A10486" s="12"/>
      <c r="E10486" s="57" t="str">
        <f ca="1">IFERROR(__xludf.DUMMYFUNCTION("""COMPUTED_VALUE"""),"")</f>
        <v/>
      </c>
    </row>
    <row r="10487" spans="1:5">
      <c r="A10487" s="12"/>
      <c r="E10487" s="57" t="str">
        <f ca="1">IFERROR(__xludf.DUMMYFUNCTION("""COMPUTED_VALUE"""),"")</f>
        <v/>
      </c>
    </row>
    <row r="10488" spans="1:5">
      <c r="A10488" s="12"/>
      <c r="E10488" s="57" t="str">
        <f ca="1">IFERROR(__xludf.DUMMYFUNCTION("""COMPUTED_VALUE"""),"")</f>
        <v/>
      </c>
    </row>
    <row r="10489" spans="1:5">
      <c r="A10489" s="12"/>
      <c r="E10489" s="57" t="str">
        <f ca="1">IFERROR(__xludf.DUMMYFUNCTION("""COMPUTED_VALUE"""),"")</f>
        <v/>
      </c>
    </row>
    <row r="10490" spans="1:5">
      <c r="A10490" s="12"/>
      <c r="E10490" s="57" t="str">
        <f ca="1">IFERROR(__xludf.DUMMYFUNCTION("""COMPUTED_VALUE"""),"")</f>
        <v/>
      </c>
    </row>
    <row r="10491" spans="1:5">
      <c r="A10491" s="12"/>
      <c r="E10491" s="57" t="str">
        <f ca="1">IFERROR(__xludf.DUMMYFUNCTION("""COMPUTED_VALUE"""),"")</f>
        <v/>
      </c>
    </row>
    <row r="10492" spans="1:5">
      <c r="A10492" s="12"/>
      <c r="E10492" s="57" t="str">
        <f ca="1">IFERROR(__xludf.DUMMYFUNCTION("""COMPUTED_VALUE"""),"")</f>
        <v/>
      </c>
    </row>
    <row r="10493" spans="1:5">
      <c r="A10493" s="12"/>
      <c r="E10493" s="57" t="str">
        <f ca="1">IFERROR(__xludf.DUMMYFUNCTION("""COMPUTED_VALUE"""),"")</f>
        <v/>
      </c>
    </row>
    <row r="10494" spans="1:5">
      <c r="A10494" s="12"/>
      <c r="E10494" s="57" t="str">
        <f ca="1">IFERROR(__xludf.DUMMYFUNCTION("""COMPUTED_VALUE"""),"")</f>
        <v/>
      </c>
    </row>
    <row r="10495" spans="1:5">
      <c r="A10495" s="12"/>
      <c r="E10495" s="57" t="str">
        <f ca="1">IFERROR(__xludf.DUMMYFUNCTION("""COMPUTED_VALUE"""),"")</f>
        <v/>
      </c>
    </row>
    <row r="10496" spans="1:5">
      <c r="A10496" s="12"/>
      <c r="E10496" s="57" t="str">
        <f ca="1">IFERROR(__xludf.DUMMYFUNCTION("""COMPUTED_VALUE"""),"")</f>
        <v/>
      </c>
    </row>
    <row r="10497" spans="1:5">
      <c r="A10497" s="12"/>
      <c r="E10497" s="57" t="str">
        <f ca="1">IFERROR(__xludf.DUMMYFUNCTION("""COMPUTED_VALUE"""),"")</f>
        <v/>
      </c>
    </row>
    <row r="10498" spans="1:5">
      <c r="A10498" s="12"/>
      <c r="E10498" s="57" t="str">
        <f ca="1">IFERROR(__xludf.DUMMYFUNCTION("""COMPUTED_VALUE"""),"")</f>
        <v/>
      </c>
    </row>
    <row r="10499" spans="1:5">
      <c r="A10499" s="12"/>
      <c r="E10499" s="57" t="str">
        <f ca="1">IFERROR(__xludf.DUMMYFUNCTION("""COMPUTED_VALUE"""),"")</f>
        <v/>
      </c>
    </row>
    <row r="10500" spans="1:5">
      <c r="A10500" s="12"/>
      <c r="E10500" s="57" t="str">
        <f ca="1">IFERROR(__xludf.DUMMYFUNCTION("""COMPUTED_VALUE"""),"")</f>
        <v/>
      </c>
    </row>
    <row r="10501" spans="1:5">
      <c r="A10501" s="12"/>
      <c r="E10501" s="57" t="str">
        <f ca="1">IFERROR(__xludf.DUMMYFUNCTION("""COMPUTED_VALUE"""),"")</f>
        <v/>
      </c>
    </row>
    <row r="10502" spans="1:5">
      <c r="A10502" s="12"/>
      <c r="E10502" s="57" t="str">
        <f ca="1">IFERROR(__xludf.DUMMYFUNCTION("""COMPUTED_VALUE"""),"")</f>
        <v/>
      </c>
    </row>
    <row r="10503" spans="1:5">
      <c r="A10503" s="12"/>
      <c r="E10503" s="57" t="str">
        <f ca="1">IFERROR(__xludf.DUMMYFUNCTION("""COMPUTED_VALUE"""),"")</f>
        <v/>
      </c>
    </row>
    <row r="10504" spans="1:5">
      <c r="A10504" s="12"/>
      <c r="E10504" s="57" t="str">
        <f ca="1">IFERROR(__xludf.DUMMYFUNCTION("""COMPUTED_VALUE"""),"")</f>
        <v/>
      </c>
    </row>
    <row r="10505" spans="1:5">
      <c r="A10505" s="12"/>
      <c r="E10505" s="57" t="str">
        <f ca="1">IFERROR(__xludf.DUMMYFUNCTION("""COMPUTED_VALUE"""),"")</f>
        <v/>
      </c>
    </row>
    <row r="10506" spans="1:5">
      <c r="A10506" s="12"/>
      <c r="E10506" s="57" t="str">
        <f ca="1">IFERROR(__xludf.DUMMYFUNCTION("""COMPUTED_VALUE"""),"")</f>
        <v/>
      </c>
    </row>
    <row r="10507" spans="1:5">
      <c r="A10507" s="12"/>
      <c r="E10507" s="57" t="str">
        <f ca="1">IFERROR(__xludf.DUMMYFUNCTION("""COMPUTED_VALUE"""),"")</f>
        <v/>
      </c>
    </row>
    <row r="10508" spans="1:5">
      <c r="A10508" s="12"/>
      <c r="E10508" s="57" t="str">
        <f ca="1">IFERROR(__xludf.DUMMYFUNCTION("""COMPUTED_VALUE"""),"")</f>
        <v/>
      </c>
    </row>
    <row r="10509" spans="1:5">
      <c r="A10509" s="12"/>
      <c r="E10509" s="57" t="str">
        <f ca="1">IFERROR(__xludf.DUMMYFUNCTION("""COMPUTED_VALUE"""),"")</f>
        <v/>
      </c>
    </row>
    <row r="10510" spans="1:5">
      <c r="A10510" s="12"/>
      <c r="E10510" s="57" t="str">
        <f ca="1">IFERROR(__xludf.DUMMYFUNCTION("""COMPUTED_VALUE"""),"")</f>
        <v/>
      </c>
    </row>
    <row r="10511" spans="1:5">
      <c r="A10511" s="12"/>
      <c r="E10511" s="57" t="str">
        <f ca="1">IFERROR(__xludf.DUMMYFUNCTION("""COMPUTED_VALUE"""),"")</f>
        <v/>
      </c>
    </row>
    <row r="10512" spans="1:5">
      <c r="A10512" s="12"/>
      <c r="E10512" s="57" t="str">
        <f ca="1">IFERROR(__xludf.DUMMYFUNCTION("""COMPUTED_VALUE"""),"")</f>
        <v/>
      </c>
    </row>
    <row r="10513" spans="1:5">
      <c r="A10513" s="12"/>
      <c r="E10513" s="57" t="str">
        <f ca="1">IFERROR(__xludf.DUMMYFUNCTION("""COMPUTED_VALUE"""),"")</f>
        <v/>
      </c>
    </row>
    <row r="10514" spans="1:5">
      <c r="A10514" s="12"/>
      <c r="E10514" s="57" t="str">
        <f ca="1">IFERROR(__xludf.DUMMYFUNCTION("""COMPUTED_VALUE"""),"")</f>
        <v/>
      </c>
    </row>
    <row r="10515" spans="1:5">
      <c r="A10515" s="12"/>
      <c r="E10515" s="57" t="str">
        <f ca="1">IFERROR(__xludf.DUMMYFUNCTION("""COMPUTED_VALUE"""),"")</f>
        <v/>
      </c>
    </row>
    <row r="10516" spans="1:5">
      <c r="A10516" s="12"/>
      <c r="E10516" s="57" t="str">
        <f ca="1">IFERROR(__xludf.DUMMYFUNCTION("""COMPUTED_VALUE"""),"")</f>
        <v/>
      </c>
    </row>
    <row r="10517" spans="1:5">
      <c r="A10517" s="12"/>
      <c r="E10517" s="57" t="str">
        <f ca="1">IFERROR(__xludf.DUMMYFUNCTION("""COMPUTED_VALUE"""),"")</f>
        <v/>
      </c>
    </row>
    <row r="10518" spans="1:5">
      <c r="A10518" s="12"/>
      <c r="E10518" s="57" t="str">
        <f ca="1">IFERROR(__xludf.DUMMYFUNCTION("""COMPUTED_VALUE"""),"")</f>
        <v/>
      </c>
    </row>
    <row r="10519" spans="1:5">
      <c r="A10519" s="12"/>
      <c r="E10519" s="57" t="str">
        <f ca="1">IFERROR(__xludf.DUMMYFUNCTION("""COMPUTED_VALUE"""),"")</f>
        <v/>
      </c>
    </row>
    <row r="10520" spans="1:5">
      <c r="A10520" s="12"/>
      <c r="E10520" s="57" t="str">
        <f ca="1">IFERROR(__xludf.DUMMYFUNCTION("""COMPUTED_VALUE"""),"")</f>
        <v/>
      </c>
    </row>
    <row r="10521" spans="1:5">
      <c r="A10521" s="12"/>
      <c r="E10521" s="57" t="str">
        <f ca="1">IFERROR(__xludf.DUMMYFUNCTION("""COMPUTED_VALUE"""),"")</f>
        <v/>
      </c>
    </row>
    <row r="10522" spans="1:5">
      <c r="A10522" s="12"/>
      <c r="E10522" s="57" t="str">
        <f ca="1">IFERROR(__xludf.DUMMYFUNCTION("""COMPUTED_VALUE"""),"")</f>
        <v/>
      </c>
    </row>
    <row r="10523" spans="1:5">
      <c r="A10523" s="12"/>
      <c r="E10523" s="57" t="str">
        <f ca="1">IFERROR(__xludf.DUMMYFUNCTION("""COMPUTED_VALUE"""),"")</f>
        <v/>
      </c>
    </row>
    <row r="10524" spans="1:5">
      <c r="A10524" s="12"/>
      <c r="E10524" s="57" t="str">
        <f ca="1">IFERROR(__xludf.DUMMYFUNCTION("""COMPUTED_VALUE"""),"")</f>
        <v/>
      </c>
    </row>
    <row r="10525" spans="1:5">
      <c r="A10525" s="12"/>
      <c r="E10525" s="57" t="str">
        <f ca="1">IFERROR(__xludf.DUMMYFUNCTION("""COMPUTED_VALUE"""),"")</f>
        <v/>
      </c>
    </row>
    <row r="10526" spans="1:5">
      <c r="A10526" s="12"/>
      <c r="E10526" s="57" t="str">
        <f ca="1">IFERROR(__xludf.DUMMYFUNCTION("""COMPUTED_VALUE"""),"")</f>
        <v/>
      </c>
    </row>
    <row r="10527" spans="1:5">
      <c r="A10527" s="12"/>
      <c r="E10527" s="57" t="str">
        <f ca="1">IFERROR(__xludf.DUMMYFUNCTION("""COMPUTED_VALUE"""),"")</f>
        <v/>
      </c>
    </row>
    <row r="10528" spans="1:5">
      <c r="A10528" s="12"/>
      <c r="E10528" s="57" t="str">
        <f ca="1">IFERROR(__xludf.DUMMYFUNCTION("""COMPUTED_VALUE"""),"")</f>
        <v/>
      </c>
    </row>
    <row r="10529" spans="1:5">
      <c r="A10529" s="12"/>
      <c r="E10529" s="57" t="str">
        <f ca="1">IFERROR(__xludf.DUMMYFUNCTION("""COMPUTED_VALUE"""),"")</f>
        <v/>
      </c>
    </row>
    <row r="10530" spans="1:5">
      <c r="A10530" s="12"/>
      <c r="E10530" s="57" t="str">
        <f ca="1">IFERROR(__xludf.DUMMYFUNCTION("""COMPUTED_VALUE"""),"")</f>
        <v/>
      </c>
    </row>
    <row r="10531" spans="1:5">
      <c r="A10531" s="12"/>
      <c r="E10531" s="57" t="str">
        <f ca="1">IFERROR(__xludf.DUMMYFUNCTION("""COMPUTED_VALUE"""),"")</f>
        <v/>
      </c>
    </row>
    <row r="10532" spans="1:5">
      <c r="A10532" s="12"/>
      <c r="E10532" s="57" t="str">
        <f ca="1">IFERROR(__xludf.DUMMYFUNCTION("""COMPUTED_VALUE"""),"")</f>
        <v/>
      </c>
    </row>
    <row r="10533" spans="1:5">
      <c r="A10533" s="12"/>
      <c r="E10533" s="57" t="str">
        <f ca="1">IFERROR(__xludf.DUMMYFUNCTION("""COMPUTED_VALUE"""),"")</f>
        <v/>
      </c>
    </row>
    <row r="10534" spans="1:5">
      <c r="A10534" s="12"/>
      <c r="E10534" s="57" t="str">
        <f ca="1">IFERROR(__xludf.DUMMYFUNCTION("""COMPUTED_VALUE"""),"")</f>
        <v/>
      </c>
    </row>
    <row r="10535" spans="1:5">
      <c r="A10535" s="12"/>
      <c r="E10535" s="57" t="str">
        <f ca="1">IFERROR(__xludf.DUMMYFUNCTION("""COMPUTED_VALUE"""),"")</f>
        <v/>
      </c>
    </row>
    <row r="10536" spans="1:5">
      <c r="A10536" s="12"/>
      <c r="E10536" s="57" t="str">
        <f ca="1">IFERROR(__xludf.DUMMYFUNCTION("""COMPUTED_VALUE"""),"")</f>
        <v/>
      </c>
    </row>
    <row r="10537" spans="1:5">
      <c r="A10537" s="12"/>
      <c r="E10537" s="57" t="str">
        <f ca="1">IFERROR(__xludf.DUMMYFUNCTION("""COMPUTED_VALUE"""),"")</f>
        <v/>
      </c>
    </row>
    <row r="10538" spans="1:5">
      <c r="A10538" s="12"/>
      <c r="E10538" s="57" t="str">
        <f ca="1">IFERROR(__xludf.DUMMYFUNCTION("""COMPUTED_VALUE"""),"")</f>
        <v/>
      </c>
    </row>
    <row r="10539" spans="1:5">
      <c r="A10539" s="12"/>
      <c r="E10539" s="57" t="str">
        <f ca="1">IFERROR(__xludf.DUMMYFUNCTION("""COMPUTED_VALUE"""),"")</f>
        <v/>
      </c>
    </row>
    <row r="10540" spans="1:5">
      <c r="A10540" s="12"/>
      <c r="E10540" s="57" t="str">
        <f ca="1">IFERROR(__xludf.DUMMYFUNCTION("""COMPUTED_VALUE"""),"")</f>
        <v/>
      </c>
    </row>
    <row r="10541" spans="1:5">
      <c r="A10541" s="12"/>
      <c r="E10541" s="57" t="str">
        <f ca="1">IFERROR(__xludf.DUMMYFUNCTION("""COMPUTED_VALUE"""),"")</f>
        <v/>
      </c>
    </row>
    <row r="10542" spans="1:5">
      <c r="A10542" s="12"/>
      <c r="E10542" s="57" t="str">
        <f ca="1">IFERROR(__xludf.DUMMYFUNCTION("""COMPUTED_VALUE"""),"")</f>
        <v/>
      </c>
    </row>
    <row r="10543" spans="1:5">
      <c r="A10543" s="12"/>
      <c r="E10543" s="57" t="str">
        <f ca="1">IFERROR(__xludf.DUMMYFUNCTION("""COMPUTED_VALUE"""),"")</f>
        <v/>
      </c>
    </row>
    <row r="10544" spans="1:5">
      <c r="A10544" s="12"/>
      <c r="E10544" s="57" t="str">
        <f ca="1">IFERROR(__xludf.DUMMYFUNCTION("""COMPUTED_VALUE"""),"")</f>
        <v/>
      </c>
    </row>
    <row r="10545" spans="1:5">
      <c r="A10545" s="12"/>
      <c r="E10545" s="57" t="str">
        <f ca="1">IFERROR(__xludf.DUMMYFUNCTION("""COMPUTED_VALUE"""),"")</f>
        <v/>
      </c>
    </row>
    <row r="10546" spans="1:5">
      <c r="A10546" s="12"/>
      <c r="E10546" s="57" t="str">
        <f ca="1">IFERROR(__xludf.DUMMYFUNCTION("""COMPUTED_VALUE"""),"")</f>
        <v/>
      </c>
    </row>
    <row r="10547" spans="1:5">
      <c r="A10547" s="12"/>
      <c r="E10547" s="57" t="str">
        <f ca="1">IFERROR(__xludf.DUMMYFUNCTION("""COMPUTED_VALUE"""),"")</f>
        <v/>
      </c>
    </row>
    <row r="10548" spans="1:5">
      <c r="A10548" s="12"/>
      <c r="E10548" s="57" t="str">
        <f ca="1">IFERROR(__xludf.DUMMYFUNCTION("""COMPUTED_VALUE"""),"")</f>
        <v/>
      </c>
    </row>
    <row r="10549" spans="1:5">
      <c r="A10549" s="12"/>
      <c r="E10549" s="57" t="str">
        <f ca="1">IFERROR(__xludf.DUMMYFUNCTION("""COMPUTED_VALUE"""),"")</f>
        <v/>
      </c>
    </row>
    <row r="10550" spans="1:5">
      <c r="A10550" s="12"/>
      <c r="E10550" s="57" t="str">
        <f ca="1">IFERROR(__xludf.DUMMYFUNCTION("""COMPUTED_VALUE"""),"")</f>
        <v/>
      </c>
    </row>
    <row r="10551" spans="1:5">
      <c r="A10551" s="12"/>
      <c r="E10551" s="57" t="str">
        <f ca="1">IFERROR(__xludf.DUMMYFUNCTION("""COMPUTED_VALUE"""),"")</f>
        <v/>
      </c>
    </row>
    <row r="10552" spans="1:5">
      <c r="A10552" s="12"/>
      <c r="E10552" s="57" t="str">
        <f ca="1">IFERROR(__xludf.DUMMYFUNCTION("""COMPUTED_VALUE"""),"")</f>
        <v/>
      </c>
    </row>
    <row r="10553" spans="1:5">
      <c r="A10553" s="12"/>
      <c r="E10553" s="57" t="str">
        <f ca="1">IFERROR(__xludf.DUMMYFUNCTION("""COMPUTED_VALUE"""),"")</f>
        <v/>
      </c>
    </row>
    <row r="10554" spans="1:5">
      <c r="A10554" s="12"/>
      <c r="E10554" s="57" t="str">
        <f ca="1">IFERROR(__xludf.DUMMYFUNCTION("""COMPUTED_VALUE"""),"")</f>
        <v/>
      </c>
    </row>
    <row r="10555" spans="1:5">
      <c r="A10555" s="12"/>
      <c r="E10555" s="57" t="str">
        <f ca="1">IFERROR(__xludf.DUMMYFUNCTION("""COMPUTED_VALUE"""),"")</f>
        <v/>
      </c>
    </row>
    <row r="10556" spans="1:5">
      <c r="A10556" s="12"/>
      <c r="E10556" s="57" t="str">
        <f ca="1">IFERROR(__xludf.DUMMYFUNCTION("""COMPUTED_VALUE"""),"")</f>
        <v/>
      </c>
    </row>
    <row r="10557" spans="1:5">
      <c r="A10557" s="12"/>
      <c r="E10557" s="57" t="str">
        <f ca="1">IFERROR(__xludf.DUMMYFUNCTION("""COMPUTED_VALUE"""),"")</f>
        <v/>
      </c>
    </row>
    <row r="10558" spans="1:5">
      <c r="A10558" s="12"/>
      <c r="E10558" s="57" t="str">
        <f ca="1">IFERROR(__xludf.DUMMYFUNCTION("""COMPUTED_VALUE"""),"")</f>
        <v/>
      </c>
    </row>
    <row r="10559" spans="1:5">
      <c r="A10559" s="12"/>
      <c r="E10559" s="57" t="str">
        <f ca="1">IFERROR(__xludf.DUMMYFUNCTION("""COMPUTED_VALUE"""),"")</f>
        <v/>
      </c>
    </row>
    <row r="10560" spans="1:5">
      <c r="A10560" s="12"/>
      <c r="E10560" s="57" t="str">
        <f ca="1">IFERROR(__xludf.DUMMYFUNCTION("""COMPUTED_VALUE"""),"")</f>
        <v/>
      </c>
    </row>
    <row r="10561" spans="1:5">
      <c r="A10561" s="12"/>
      <c r="E10561" s="57" t="str">
        <f ca="1">IFERROR(__xludf.DUMMYFUNCTION("""COMPUTED_VALUE"""),"")</f>
        <v/>
      </c>
    </row>
    <row r="10562" spans="1:5">
      <c r="A10562" s="12"/>
      <c r="E10562" s="57" t="str">
        <f ca="1">IFERROR(__xludf.DUMMYFUNCTION("""COMPUTED_VALUE"""),"")</f>
        <v/>
      </c>
    </row>
    <row r="10563" spans="1:5">
      <c r="A10563" s="12"/>
      <c r="E10563" s="57" t="str">
        <f ca="1">IFERROR(__xludf.DUMMYFUNCTION("""COMPUTED_VALUE"""),"")</f>
        <v/>
      </c>
    </row>
    <row r="10564" spans="1:5">
      <c r="A10564" s="12"/>
      <c r="E10564" s="57" t="str">
        <f ca="1">IFERROR(__xludf.DUMMYFUNCTION("""COMPUTED_VALUE"""),"")</f>
        <v/>
      </c>
    </row>
    <row r="10565" spans="1:5">
      <c r="A10565" s="12"/>
      <c r="E10565" s="57" t="str">
        <f ca="1">IFERROR(__xludf.DUMMYFUNCTION("""COMPUTED_VALUE"""),"")</f>
        <v/>
      </c>
    </row>
    <row r="10566" spans="1:5">
      <c r="A10566" s="12"/>
      <c r="E10566" s="57" t="str">
        <f ca="1">IFERROR(__xludf.DUMMYFUNCTION("""COMPUTED_VALUE"""),"")</f>
        <v/>
      </c>
    </row>
    <row r="10567" spans="1:5">
      <c r="A10567" s="12"/>
      <c r="E10567" s="57" t="str">
        <f ca="1">IFERROR(__xludf.DUMMYFUNCTION("""COMPUTED_VALUE"""),"")</f>
        <v/>
      </c>
    </row>
    <row r="10568" spans="1:5">
      <c r="A10568" s="12"/>
      <c r="E10568" s="57" t="str">
        <f ca="1">IFERROR(__xludf.DUMMYFUNCTION("""COMPUTED_VALUE"""),"")</f>
        <v/>
      </c>
    </row>
    <row r="10569" spans="1:5">
      <c r="A10569" s="12"/>
      <c r="E10569" s="57" t="str">
        <f ca="1">IFERROR(__xludf.DUMMYFUNCTION("""COMPUTED_VALUE"""),"")</f>
        <v/>
      </c>
    </row>
    <row r="10570" spans="1:5">
      <c r="A10570" s="12"/>
      <c r="E10570" s="57" t="str">
        <f ca="1">IFERROR(__xludf.DUMMYFUNCTION("""COMPUTED_VALUE"""),"")</f>
        <v/>
      </c>
    </row>
    <row r="10571" spans="1:5">
      <c r="A10571" s="12"/>
      <c r="E10571" s="57" t="str">
        <f ca="1">IFERROR(__xludf.DUMMYFUNCTION("""COMPUTED_VALUE"""),"")</f>
        <v/>
      </c>
    </row>
    <row r="10572" spans="1:5">
      <c r="A10572" s="12"/>
      <c r="E10572" s="57" t="str">
        <f ca="1">IFERROR(__xludf.DUMMYFUNCTION("""COMPUTED_VALUE"""),"")</f>
        <v/>
      </c>
    </row>
    <row r="10573" spans="1:5">
      <c r="A10573" s="12"/>
      <c r="E10573" s="57" t="str">
        <f ca="1">IFERROR(__xludf.DUMMYFUNCTION("""COMPUTED_VALUE"""),"")</f>
        <v/>
      </c>
    </row>
    <row r="10574" spans="1:5">
      <c r="A10574" s="12"/>
      <c r="E10574" s="57" t="str">
        <f ca="1">IFERROR(__xludf.DUMMYFUNCTION("""COMPUTED_VALUE"""),"")</f>
        <v/>
      </c>
    </row>
    <row r="10575" spans="1:5">
      <c r="A10575" s="12"/>
      <c r="E10575" s="57" t="str">
        <f ca="1">IFERROR(__xludf.DUMMYFUNCTION("""COMPUTED_VALUE"""),"")</f>
        <v/>
      </c>
    </row>
    <row r="10576" spans="1:5">
      <c r="A10576" s="12"/>
      <c r="E10576" s="57" t="str">
        <f ca="1">IFERROR(__xludf.DUMMYFUNCTION("""COMPUTED_VALUE"""),"")</f>
        <v/>
      </c>
    </row>
    <row r="10577" spans="1:5">
      <c r="A10577" s="12"/>
      <c r="E10577" s="57" t="str">
        <f ca="1">IFERROR(__xludf.DUMMYFUNCTION("""COMPUTED_VALUE"""),"")</f>
        <v/>
      </c>
    </row>
    <row r="10578" spans="1:5">
      <c r="A10578" s="12"/>
      <c r="E10578" s="57" t="str">
        <f ca="1">IFERROR(__xludf.DUMMYFUNCTION("""COMPUTED_VALUE"""),"")</f>
        <v/>
      </c>
    </row>
    <row r="10579" spans="1:5">
      <c r="A10579" s="12"/>
      <c r="E10579" s="57" t="str">
        <f ca="1">IFERROR(__xludf.DUMMYFUNCTION("""COMPUTED_VALUE"""),"")</f>
        <v/>
      </c>
    </row>
    <row r="10580" spans="1:5">
      <c r="A10580" s="12"/>
      <c r="E10580" s="57" t="str">
        <f ca="1">IFERROR(__xludf.DUMMYFUNCTION("""COMPUTED_VALUE"""),"")</f>
        <v/>
      </c>
    </row>
    <row r="10581" spans="1:5">
      <c r="A10581" s="12"/>
      <c r="E10581" s="57" t="str">
        <f ca="1">IFERROR(__xludf.DUMMYFUNCTION("""COMPUTED_VALUE"""),"")</f>
        <v/>
      </c>
    </row>
    <row r="10582" spans="1:5">
      <c r="A10582" s="12"/>
      <c r="E10582" s="57" t="str">
        <f ca="1">IFERROR(__xludf.DUMMYFUNCTION("""COMPUTED_VALUE"""),"")</f>
        <v/>
      </c>
    </row>
    <row r="10583" spans="1:5">
      <c r="A10583" s="12"/>
      <c r="E10583" s="57" t="str">
        <f ca="1">IFERROR(__xludf.DUMMYFUNCTION("""COMPUTED_VALUE"""),"")</f>
        <v/>
      </c>
    </row>
    <row r="10584" spans="1:5">
      <c r="A10584" s="12"/>
      <c r="E10584" s="57" t="str">
        <f ca="1">IFERROR(__xludf.DUMMYFUNCTION("""COMPUTED_VALUE"""),"")</f>
        <v/>
      </c>
    </row>
    <row r="10585" spans="1:5">
      <c r="A10585" s="12"/>
      <c r="E10585" s="57" t="str">
        <f ca="1">IFERROR(__xludf.DUMMYFUNCTION("""COMPUTED_VALUE"""),"")</f>
        <v/>
      </c>
    </row>
    <row r="10586" spans="1:5">
      <c r="A10586" s="12"/>
      <c r="E10586" s="57" t="str">
        <f ca="1">IFERROR(__xludf.DUMMYFUNCTION("""COMPUTED_VALUE"""),"")</f>
        <v/>
      </c>
    </row>
    <row r="10587" spans="1:5">
      <c r="A10587" s="12"/>
      <c r="E10587" s="57" t="str">
        <f ca="1">IFERROR(__xludf.DUMMYFUNCTION("""COMPUTED_VALUE"""),"")</f>
        <v/>
      </c>
    </row>
    <row r="10588" spans="1:5">
      <c r="A10588" s="12"/>
      <c r="E10588" s="57" t="str">
        <f ca="1">IFERROR(__xludf.DUMMYFUNCTION("""COMPUTED_VALUE"""),"")</f>
        <v/>
      </c>
    </row>
    <row r="10589" spans="1:5">
      <c r="A10589" s="12"/>
      <c r="E10589" s="57" t="str">
        <f ca="1">IFERROR(__xludf.DUMMYFUNCTION("""COMPUTED_VALUE"""),"")</f>
        <v/>
      </c>
    </row>
    <row r="10590" spans="1:5">
      <c r="A10590" s="12"/>
      <c r="E10590" s="57" t="str">
        <f ca="1">IFERROR(__xludf.DUMMYFUNCTION("""COMPUTED_VALUE"""),"")</f>
        <v/>
      </c>
    </row>
    <row r="10591" spans="1:5">
      <c r="A10591" s="12"/>
      <c r="E10591" s="57" t="str">
        <f ca="1">IFERROR(__xludf.DUMMYFUNCTION("""COMPUTED_VALUE"""),"")</f>
        <v/>
      </c>
    </row>
    <row r="10592" spans="1:5">
      <c r="A10592" s="12"/>
      <c r="E10592" s="57" t="str">
        <f ca="1">IFERROR(__xludf.DUMMYFUNCTION("""COMPUTED_VALUE"""),"")</f>
        <v/>
      </c>
    </row>
    <row r="10593" spans="1:5">
      <c r="A10593" s="12"/>
      <c r="E10593" s="57" t="str">
        <f ca="1">IFERROR(__xludf.DUMMYFUNCTION("""COMPUTED_VALUE"""),"")</f>
        <v/>
      </c>
    </row>
    <row r="10594" spans="1:5">
      <c r="A10594" s="12"/>
      <c r="E10594" s="57" t="str">
        <f ca="1">IFERROR(__xludf.DUMMYFUNCTION("""COMPUTED_VALUE"""),"")</f>
        <v/>
      </c>
    </row>
    <row r="10595" spans="1:5">
      <c r="A10595" s="12"/>
      <c r="E10595" s="57" t="str">
        <f ca="1">IFERROR(__xludf.DUMMYFUNCTION("""COMPUTED_VALUE"""),"")</f>
        <v/>
      </c>
    </row>
    <row r="10596" spans="1:5">
      <c r="A10596" s="12"/>
      <c r="E10596" s="57" t="str">
        <f ca="1">IFERROR(__xludf.DUMMYFUNCTION("""COMPUTED_VALUE"""),"")</f>
        <v/>
      </c>
    </row>
    <row r="10597" spans="1:5">
      <c r="A10597" s="12"/>
      <c r="E10597" s="57" t="str">
        <f ca="1">IFERROR(__xludf.DUMMYFUNCTION("""COMPUTED_VALUE"""),"")</f>
        <v/>
      </c>
    </row>
    <row r="10598" spans="1:5">
      <c r="A10598" s="12"/>
      <c r="E10598" s="57" t="str">
        <f ca="1">IFERROR(__xludf.DUMMYFUNCTION("""COMPUTED_VALUE"""),"")</f>
        <v/>
      </c>
    </row>
    <row r="10599" spans="1:5">
      <c r="A10599" s="12"/>
      <c r="E10599" s="57" t="str">
        <f ca="1">IFERROR(__xludf.DUMMYFUNCTION("""COMPUTED_VALUE"""),"")</f>
        <v/>
      </c>
    </row>
    <row r="10600" spans="1:5">
      <c r="A10600" s="12"/>
      <c r="E10600" s="57" t="str">
        <f ca="1">IFERROR(__xludf.DUMMYFUNCTION("""COMPUTED_VALUE"""),"")</f>
        <v/>
      </c>
    </row>
    <row r="10601" spans="1:5">
      <c r="A10601" s="12"/>
      <c r="E10601" s="57" t="str">
        <f ca="1">IFERROR(__xludf.DUMMYFUNCTION("""COMPUTED_VALUE"""),"")</f>
        <v/>
      </c>
    </row>
    <row r="10602" spans="1:5">
      <c r="A10602" s="12"/>
      <c r="E10602" s="57" t="str">
        <f ca="1">IFERROR(__xludf.DUMMYFUNCTION("""COMPUTED_VALUE"""),"")</f>
        <v/>
      </c>
    </row>
    <row r="10603" spans="1:5">
      <c r="A10603" s="12"/>
      <c r="E10603" s="57" t="str">
        <f ca="1">IFERROR(__xludf.DUMMYFUNCTION("""COMPUTED_VALUE"""),"")</f>
        <v/>
      </c>
    </row>
    <row r="10604" spans="1:5">
      <c r="A10604" s="12"/>
      <c r="E10604" s="57" t="str">
        <f ca="1">IFERROR(__xludf.DUMMYFUNCTION("""COMPUTED_VALUE"""),"")</f>
        <v/>
      </c>
    </row>
    <row r="10605" spans="1:5">
      <c r="A10605" s="12"/>
      <c r="E10605" s="57" t="str">
        <f ca="1">IFERROR(__xludf.DUMMYFUNCTION("""COMPUTED_VALUE"""),"")</f>
        <v/>
      </c>
    </row>
    <row r="10606" spans="1:5">
      <c r="A10606" s="12"/>
      <c r="E10606" s="57" t="str">
        <f ca="1">IFERROR(__xludf.DUMMYFUNCTION("""COMPUTED_VALUE"""),"")</f>
        <v/>
      </c>
    </row>
    <row r="10607" spans="1:5">
      <c r="A10607" s="12"/>
      <c r="E10607" s="57" t="str">
        <f ca="1">IFERROR(__xludf.DUMMYFUNCTION("""COMPUTED_VALUE"""),"")</f>
        <v/>
      </c>
    </row>
    <row r="10608" spans="1:5">
      <c r="A10608" s="12"/>
      <c r="E10608" s="57" t="str">
        <f ca="1">IFERROR(__xludf.DUMMYFUNCTION("""COMPUTED_VALUE"""),"")</f>
        <v/>
      </c>
    </row>
    <row r="10609" spans="1:5">
      <c r="A10609" s="12"/>
      <c r="E10609" s="57" t="str">
        <f ca="1">IFERROR(__xludf.DUMMYFUNCTION("""COMPUTED_VALUE"""),"")</f>
        <v/>
      </c>
    </row>
    <row r="10610" spans="1:5">
      <c r="A10610" s="12"/>
      <c r="E10610" s="57" t="str">
        <f ca="1">IFERROR(__xludf.DUMMYFUNCTION("""COMPUTED_VALUE"""),"")</f>
        <v/>
      </c>
    </row>
    <row r="10611" spans="1:5">
      <c r="A10611" s="12"/>
      <c r="E10611" s="57" t="str">
        <f ca="1">IFERROR(__xludf.DUMMYFUNCTION("""COMPUTED_VALUE"""),"")</f>
        <v/>
      </c>
    </row>
    <row r="10612" spans="1:5">
      <c r="A10612" s="12"/>
      <c r="E10612" s="57" t="str">
        <f ca="1">IFERROR(__xludf.DUMMYFUNCTION("""COMPUTED_VALUE"""),"")</f>
        <v/>
      </c>
    </row>
    <row r="10613" spans="1:5">
      <c r="A10613" s="12"/>
      <c r="E10613" s="57" t="str">
        <f ca="1">IFERROR(__xludf.DUMMYFUNCTION("""COMPUTED_VALUE"""),"")</f>
        <v/>
      </c>
    </row>
    <row r="10614" spans="1:5">
      <c r="A10614" s="12"/>
      <c r="E10614" s="57" t="str">
        <f ca="1">IFERROR(__xludf.DUMMYFUNCTION("""COMPUTED_VALUE"""),"")</f>
        <v/>
      </c>
    </row>
    <row r="10615" spans="1:5">
      <c r="A10615" s="12"/>
      <c r="E10615" s="57" t="str">
        <f ca="1">IFERROR(__xludf.DUMMYFUNCTION("""COMPUTED_VALUE"""),"")</f>
        <v/>
      </c>
    </row>
    <row r="10616" spans="1:5">
      <c r="A10616" s="12"/>
      <c r="E10616" s="57" t="str">
        <f ca="1">IFERROR(__xludf.DUMMYFUNCTION("""COMPUTED_VALUE"""),"")</f>
        <v/>
      </c>
    </row>
    <row r="10617" spans="1:5">
      <c r="A10617" s="12"/>
      <c r="E10617" s="57" t="str">
        <f ca="1">IFERROR(__xludf.DUMMYFUNCTION("""COMPUTED_VALUE"""),"")</f>
        <v/>
      </c>
    </row>
    <row r="10618" spans="1:5">
      <c r="A10618" s="12"/>
      <c r="E10618" s="57" t="str">
        <f ca="1">IFERROR(__xludf.DUMMYFUNCTION("""COMPUTED_VALUE"""),"")</f>
        <v/>
      </c>
    </row>
    <row r="10619" spans="1:5">
      <c r="A10619" s="12"/>
      <c r="E10619" s="57" t="str">
        <f ca="1">IFERROR(__xludf.DUMMYFUNCTION("""COMPUTED_VALUE"""),"")</f>
        <v/>
      </c>
    </row>
    <row r="10620" spans="1:5">
      <c r="A10620" s="12"/>
      <c r="E10620" s="57" t="str">
        <f ca="1">IFERROR(__xludf.DUMMYFUNCTION("""COMPUTED_VALUE"""),"")</f>
        <v/>
      </c>
    </row>
    <row r="10621" spans="1:5">
      <c r="A10621" s="12"/>
      <c r="E10621" s="57" t="str">
        <f ca="1">IFERROR(__xludf.DUMMYFUNCTION("""COMPUTED_VALUE"""),"")</f>
        <v/>
      </c>
    </row>
    <row r="10622" spans="1:5">
      <c r="A10622" s="12"/>
      <c r="E10622" s="57" t="str">
        <f ca="1">IFERROR(__xludf.DUMMYFUNCTION("""COMPUTED_VALUE"""),"")</f>
        <v/>
      </c>
    </row>
    <row r="10623" spans="1:5">
      <c r="A10623" s="12"/>
      <c r="E10623" s="57" t="str">
        <f ca="1">IFERROR(__xludf.DUMMYFUNCTION("""COMPUTED_VALUE"""),"")</f>
        <v/>
      </c>
    </row>
    <row r="10624" spans="1:5">
      <c r="A10624" s="12"/>
      <c r="E10624" s="57" t="str">
        <f ca="1">IFERROR(__xludf.DUMMYFUNCTION("""COMPUTED_VALUE"""),"")</f>
        <v/>
      </c>
    </row>
    <row r="10625" spans="1:5">
      <c r="A10625" s="12"/>
      <c r="E10625" s="57" t="str">
        <f ca="1">IFERROR(__xludf.DUMMYFUNCTION("""COMPUTED_VALUE"""),"")</f>
        <v/>
      </c>
    </row>
    <row r="10626" spans="1:5">
      <c r="A10626" s="12"/>
      <c r="E10626" s="57" t="str">
        <f ca="1">IFERROR(__xludf.DUMMYFUNCTION("""COMPUTED_VALUE"""),"")</f>
        <v/>
      </c>
    </row>
    <row r="10627" spans="1:5">
      <c r="A10627" s="12"/>
      <c r="E10627" s="57" t="str">
        <f ca="1">IFERROR(__xludf.DUMMYFUNCTION("""COMPUTED_VALUE"""),"")</f>
        <v/>
      </c>
    </row>
    <row r="10628" spans="1:5">
      <c r="A10628" s="12"/>
      <c r="E10628" s="57" t="str">
        <f ca="1">IFERROR(__xludf.DUMMYFUNCTION("""COMPUTED_VALUE"""),"")</f>
        <v/>
      </c>
    </row>
    <row r="10629" spans="1:5">
      <c r="A10629" s="12"/>
      <c r="E10629" s="57" t="str">
        <f ca="1">IFERROR(__xludf.DUMMYFUNCTION("""COMPUTED_VALUE"""),"")</f>
        <v/>
      </c>
    </row>
    <row r="10630" spans="1:5">
      <c r="A10630" s="12"/>
      <c r="E10630" s="57" t="str">
        <f ca="1">IFERROR(__xludf.DUMMYFUNCTION("""COMPUTED_VALUE"""),"")</f>
        <v/>
      </c>
    </row>
    <row r="10631" spans="1:5">
      <c r="A10631" s="12"/>
      <c r="E10631" s="57" t="str">
        <f ca="1">IFERROR(__xludf.DUMMYFUNCTION("""COMPUTED_VALUE"""),"")</f>
        <v/>
      </c>
    </row>
    <row r="10632" spans="1:5">
      <c r="A10632" s="12"/>
      <c r="E10632" s="57" t="str">
        <f ca="1">IFERROR(__xludf.DUMMYFUNCTION("""COMPUTED_VALUE"""),"")</f>
        <v/>
      </c>
    </row>
    <row r="10633" spans="1:5">
      <c r="A10633" s="12"/>
      <c r="E10633" s="57" t="str">
        <f ca="1">IFERROR(__xludf.DUMMYFUNCTION("""COMPUTED_VALUE"""),"")</f>
        <v/>
      </c>
    </row>
    <row r="10634" spans="1:5">
      <c r="A10634" s="12"/>
      <c r="E10634" s="57" t="str">
        <f ca="1">IFERROR(__xludf.DUMMYFUNCTION("""COMPUTED_VALUE"""),"")</f>
        <v/>
      </c>
    </row>
    <row r="10635" spans="1:5">
      <c r="A10635" s="12"/>
      <c r="E10635" s="57" t="str">
        <f ca="1">IFERROR(__xludf.DUMMYFUNCTION("""COMPUTED_VALUE"""),"")</f>
        <v/>
      </c>
    </row>
    <row r="10636" spans="1:5">
      <c r="A10636" s="12"/>
      <c r="E10636" s="57" t="str">
        <f ca="1">IFERROR(__xludf.DUMMYFUNCTION("""COMPUTED_VALUE"""),"")</f>
        <v/>
      </c>
    </row>
    <row r="10637" spans="1:5">
      <c r="A10637" s="12"/>
      <c r="E10637" s="57" t="str">
        <f ca="1">IFERROR(__xludf.DUMMYFUNCTION("""COMPUTED_VALUE"""),"")</f>
        <v/>
      </c>
    </row>
    <row r="10638" spans="1:5">
      <c r="A10638" s="12"/>
      <c r="E10638" s="57" t="str">
        <f ca="1">IFERROR(__xludf.DUMMYFUNCTION("""COMPUTED_VALUE"""),"")</f>
        <v/>
      </c>
    </row>
    <row r="10639" spans="1:5">
      <c r="A10639" s="12"/>
      <c r="E10639" s="57" t="str">
        <f ca="1">IFERROR(__xludf.DUMMYFUNCTION("""COMPUTED_VALUE"""),"")</f>
        <v/>
      </c>
    </row>
    <row r="10640" spans="1:5">
      <c r="A10640" s="12"/>
      <c r="E10640" s="57" t="str">
        <f ca="1">IFERROR(__xludf.DUMMYFUNCTION("""COMPUTED_VALUE"""),"")</f>
        <v/>
      </c>
    </row>
    <row r="10641" spans="1:5">
      <c r="A10641" s="12"/>
      <c r="E10641" s="57" t="str">
        <f ca="1">IFERROR(__xludf.DUMMYFUNCTION("""COMPUTED_VALUE"""),"")</f>
        <v/>
      </c>
    </row>
    <row r="10642" spans="1:5">
      <c r="A10642" s="12"/>
      <c r="E10642" s="57" t="str">
        <f ca="1">IFERROR(__xludf.DUMMYFUNCTION("""COMPUTED_VALUE"""),"")</f>
        <v/>
      </c>
    </row>
    <row r="10643" spans="1:5">
      <c r="A10643" s="12"/>
      <c r="E10643" s="57" t="str">
        <f ca="1">IFERROR(__xludf.DUMMYFUNCTION("""COMPUTED_VALUE"""),"")</f>
        <v/>
      </c>
    </row>
    <row r="10644" spans="1:5">
      <c r="A10644" s="12"/>
      <c r="E10644" s="57" t="str">
        <f ca="1">IFERROR(__xludf.DUMMYFUNCTION("""COMPUTED_VALUE"""),"")</f>
        <v/>
      </c>
    </row>
    <row r="10645" spans="1:5">
      <c r="A10645" s="12"/>
      <c r="E10645" s="57" t="str">
        <f ca="1">IFERROR(__xludf.DUMMYFUNCTION("""COMPUTED_VALUE"""),"")</f>
        <v/>
      </c>
    </row>
    <row r="10646" spans="1:5">
      <c r="A10646" s="12"/>
      <c r="E10646" s="57" t="str">
        <f ca="1">IFERROR(__xludf.DUMMYFUNCTION("""COMPUTED_VALUE"""),"")</f>
        <v/>
      </c>
    </row>
    <row r="10647" spans="1:5">
      <c r="A10647" s="12"/>
      <c r="E10647" s="57" t="str">
        <f ca="1">IFERROR(__xludf.DUMMYFUNCTION("""COMPUTED_VALUE"""),"")</f>
        <v/>
      </c>
    </row>
    <row r="10648" spans="1:5">
      <c r="A10648" s="12"/>
      <c r="E10648" s="57" t="str">
        <f ca="1">IFERROR(__xludf.DUMMYFUNCTION("""COMPUTED_VALUE"""),"")</f>
        <v/>
      </c>
    </row>
    <row r="10649" spans="1:5">
      <c r="A10649" s="12"/>
      <c r="E10649" s="57" t="str">
        <f ca="1">IFERROR(__xludf.DUMMYFUNCTION("""COMPUTED_VALUE"""),"")</f>
        <v/>
      </c>
    </row>
    <row r="10650" spans="1:5">
      <c r="A10650" s="12"/>
      <c r="E10650" s="57" t="str">
        <f ca="1">IFERROR(__xludf.DUMMYFUNCTION("""COMPUTED_VALUE"""),"")</f>
        <v/>
      </c>
    </row>
    <row r="10651" spans="1:5">
      <c r="A10651" s="12"/>
      <c r="E10651" s="57" t="str">
        <f ca="1">IFERROR(__xludf.DUMMYFUNCTION("""COMPUTED_VALUE"""),"")</f>
        <v/>
      </c>
    </row>
    <row r="10652" spans="1:5">
      <c r="A10652" s="12"/>
      <c r="E10652" s="57" t="str">
        <f ca="1">IFERROR(__xludf.DUMMYFUNCTION("""COMPUTED_VALUE"""),"")</f>
        <v/>
      </c>
    </row>
    <row r="10653" spans="1:5">
      <c r="A10653" s="12"/>
      <c r="E10653" s="57" t="str">
        <f ca="1">IFERROR(__xludf.DUMMYFUNCTION("""COMPUTED_VALUE"""),"")</f>
        <v/>
      </c>
    </row>
    <row r="10654" spans="1:5">
      <c r="A10654" s="12"/>
      <c r="E10654" s="57" t="str">
        <f ca="1">IFERROR(__xludf.DUMMYFUNCTION("""COMPUTED_VALUE"""),"")</f>
        <v/>
      </c>
    </row>
    <row r="10655" spans="1:5">
      <c r="A10655" s="12"/>
      <c r="E10655" s="57" t="str">
        <f ca="1">IFERROR(__xludf.DUMMYFUNCTION("""COMPUTED_VALUE"""),"")</f>
        <v/>
      </c>
    </row>
    <row r="10656" spans="1:5">
      <c r="A10656" s="12"/>
      <c r="E10656" s="57" t="str">
        <f ca="1">IFERROR(__xludf.DUMMYFUNCTION("""COMPUTED_VALUE"""),"")</f>
        <v/>
      </c>
    </row>
    <row r="10657" spans="1:5">
      <c r="A10657" s="12"/>
      <c r="E10657" s="57" t="str">
        <f ca="1">IFERROR(__xludf.DUMMYFUNCTION("""COMPUTED_VALUE"""),"")</f>
        <v/>
      </c>
    </row>
    <row r="10658" spans="1:5">
      <c r="A10658" s="12"/>
      <c r="E10658" s="57" t="str">
        <f ca="1">IFERROR(__xludf.DUMMYFUNCTION("""COMPUTED_VALUE"""),"")</f>
        <v/>
      </c>
    </row>
    <row r="10659" spans="1:5">
      <c r="A10659" s="12"/>
      <c r="E10659" s="57" t="str">
        <f ca="1">IFERROR(__xludf.DUMMYFUNCTION("""COMPUTED_VALUE"""),"")</f>
        <v/>
      </c>
    </row>
    <row r="10660" spans="1:5">
      <c r="A10660" s="12"/>
      <c r="E10660" s="57" t="str">
        <f ca="1">IFERROR(__xludf.DUMMYFUNCTION("""COMPUTED_VALUE"""),"")</f>
        <v/>
      </c>
    </row>
    <row r="10661" spans="1:5">
      <c r="A10661" s="12"/>
      <c r="E10661" s="57" t="str">
        <f ca="1">IFERROR(__xludf.DUMMYFUNCTION("""COMPUTED_VALUE"""),"")</f>
        <v/>
      </c>
    </row>
    <row r="10662" spans="1:5">
      <c r="A10662" s="12"/>
      <c r="E10662" s="57" t="str">
        <f ca="1">IFERROR(__xludf.DUMMYFUNCTION("""COMPUTED_VALUE"""),"")</f>
        <v/>
      </c>
    </row>
    <row r="10663" spans="1:5">
      <c r="A10663" s="12"/>
      <c r="E10663" s="57" t="str">
        <f ca="1">IFERROR(__xludf.DUMMYFUNCTION("""COMPUTED_VALUE"""),"")</f>
        <v/>
      </c>
    </row>
    <row r="10664" spans="1:5">
      <c r="A10664" s="12"/>
      <c r="E10664" s="57" t="str">
        <f ca="1">IFERROR(__xludf.DUMMYFUNCTION("""COMPUTED_VALUE"""),"")</f>
        <v/>
      </c>
    </row>
    <row r="10665" spans="1:5">
      <c r="A10665" s="12"/>
      <c r="E10665" s="57" t="str">
        <f ca="1">IFERROR(__xludf.DUMMYFUNCTION("""COMPUTED_VALUE"""),"")</f>
        <v/>
      </c>
    </row>
    <row r="10666" spans="1:5">
      <c r="A10666" s="12"/>
      <c r="E10666" s="57" t="str">
        <f ca="1">IFERROR(__xludf.DUMMYFUNCTION("""COMPUTED_VALUE"""),"")</f>
        <v/>
      </c>
    </row>
    <row r="10667" spans="1:5">
      <c r="A10667" s="12"/>
      <c r="E10667" s="57" t="str">
        <f ca="1">IFERROR(__xludf.DUMMYFUNCTION("""COMPUTED_VALUE"""),"")</f>
        <v/>
      </c>
    </row>
    <row r="10668" spans="1:5">
      <c r="A10668" s="12"/>
      <c r="E10668" s="57" t="str">
        <f ca="1">IFERROR(__xludf.DUMMYFUNCTION("""COMPUTED_VALUE"""),"")</f>
        <v/>
      </c>
    </row>
    <row r="10669" spans="1:5">
      <c r="A10669" s="12"/>
      <c r="E10669" s="57" t="str">
        <f ca="1">IFERROR(__xludf.DUMMYFUNCTION("""COMPUTED_VALUE"""),"")</f>
        <v/>
      </c>
    </row>
    <row r="10670" spans="1:5">
      <c r="A10670" s="12"/>
      <c r="E10670" s="57" t="str">
        <f ca="1">IFERROR(__xludf.DUMMYFUNCTION("""COMPUTED_VALUE"""),"")</f>
        <v/>
      </c>
    </row>
    <row r="10671" spans="1:5">
      <c r="A10671" s="12"/>
      <c r="E10671" s="57" t="str">
        <f ca="1">IFERROR(__xludf.DUMMYFUNCTION("""COMPUTED_VALUE"""),"")</f>
        <v/>
      </c>
    </row>
    <row r="10672" spans="1:5">
      <c r="A10672" s="12"/>
      <c r="E10672" s="57" t="str">
        <f ca="1">IFERROR(__xludf.DUMMYFUNCTION("""COMPUTED_VALUE"""),"")</f>
        <v/>
      </c>
    </row>
    <row r="10673" spans="1:5">
      <c r="A10673" s="12"/>
      <c r="E10673" s="57" t="str">
        <f ca="1">IFERROR(__xludf.DUMMYFUNCTION("""COMPUTED_VALUE"""),"")</f>
        <v/>
      </c>
    </row>
    <row r="10674" spans="1:5">
      <c r="A10674" s="12"/>
      <c r="E10674" s="57" t="str">
        <f ca="1">IFERROR(__xludf.DUMMYFUNCTION("""COMPUTED_VALUE"""),"")</f>
        <v/>
      </c>
    </row>
    <row r="10675" spans="1:5">
      <c r="A10675" s="12"/>
      <c r="E10675" s="57" t="str">
        <f ca="1">IFERROR(__xludf.DUMMYFUNCTION("""COMPUTED_VALUE"""),"")</f>
        <v/>
      </c>
    </row>
    <row r="10676" spans="1:5">
      <c r="A10676" s="12"/>
      <c r="E10676" s="57" t="str">
        <f ca="1">IFERROR(__xludf.DUMMYFUNCTION("""COMPUTED_VALUE"""),"")</f>
        <v/>
      </c>
    </row>
    <row r="10677" spans="1:5">
      <c r="A10677" s="12"/>
      <c r="E10677" s="57" t="str">
        <f ca="1">IFERROR(__xludf.DUMMYFUNCTION("""COMPUTED_VALUE"""),"")</f>
        <v/>
      </c>
    </row>
    <row r="10678" spans="1:5">
      <c r="A10678" s="12"/>
      <c r="E10678" s="57" t="str">
        <f ca="1">IFERROR(__xludf.DUMMYFUNCTION("""COMPUTED_VALUE"""),"")</f>
        <v/>
      </c>
    </row>
    <row r="10679" spans="1:5">
      <c r="A10679" s="12"/>
      <c r="E10679" s="57" t="str">
        <f ca="1">IFERROR(__xludf.DUMMYFUNCTION("""COMPUTED_VALUE"""),"")</f>
        <v/>
      </c>
    </row>
    <row r="10680" spans="1:5">
      <c r="A10680" s="12"/>
      <c r="E10680" s="57" t="str">
        <f ca="1">IFERROR(__xludf.DUMMYFUNCTION("""COMPUTED_VALUE"""),"")</f>
        <v/>
      </c>
    </row>
    <row r="10681" spans="1:5">
      <c r="A10681" s="12"/>
      <c r="E10681" s="57" t="str">
        <f ca="1">IFERROR(__xludf.DUMMYFUNCTION("""COMPUTED_VALUE"""),"")</f>
        <v/>
      </c>
    </row>
    <row r="10682" spans="1:5">
      <c r="A10682" s="12"/>
      <c r="E10682" s="57" t="str">
        <f ca="1">IFERROR(__xludf.DUMMYFUNCTION("""COMPUTED_VALUE"""),"")</f>
        <v/>
      </c>
    </row>
    <row r="10683" spans="1:5">
      <c r="A10683" s="12"/>
      <c r="E10683" s="57" t="str">
        <f ca="1">IFERROR(__xludf.DUMMYFUNCTION("""COMPUTED_VALUE"""),"")</f>
        <v/>
      </c>
    </row>
    <row r="10684" spans="1:5">
      <c r="A10684" s="12"/>
      <c r="E10684" s="57" t="str">
        <f ca="1">IFERROR(__xludf.DUMMYFUNCTION("""COMPUTED_VALUE"""),"")</f>
        <v/>
      </c>
    </row>
    <row r="10685" spans="1:5">
      <c r="A10685" s="12"/>
      <c r="E10685" s="57" t="str">
        <f ca="1">IFERROR(__xludf.DUMMYFUNCTION("""COMPUTED_VALUE"""),"")</f>
        <v/>
      </c>
    </row>
    <row r="10686" spans="1:5">
      <c r="A10686" s="12"/>
      <c r="E10686" s="57" t="str">
        <f ca="1">IFERROR(__xludf.DUMMYFUNCTION("""COMPUTED_VALUE"""),"")</f>
        <v/>
      </c>
    </row>
    <row r="10687" spans="1:5">
      <c r="A10687" s="12"/>
      <c r="E10687" s="57" t="str">
        <f ca="1">IFERROR(__xludf.DUMMYFUNCTION("""COMPUTED_VALUE"""),"")</f>
        <v/>
      </c>
    </row>
    <row r="10688" spans="1:5">
      <c r="A10688" s="12"/>
      <c r="E10688" s="57" t="str">
        <f ca="1">IFERROR(__xludf.DUMMYFUNCTION("""COMPUTED_VALUE"""),"")</f>
        <v/>
      </c>
    </row>
    <row r="10689" spans="1:5">
      <c r="A10689" s="12"/>
      <c r="E10689" s="57" t="str">
        <f ca="1">IFERROR(__xludf.DUMMYFUNCTION("""COMPUTED_VALUE"""),"")</f>
        <v/>
      </c>
    </row>
    <row r="10690" spans="1:5">
      <c r="A10690" s="12"/>
      <c r="E10690" s="57" t="str">
        <f ca="1">IFERROR(__xludf.DUMMYFUNCTION("""COMPUTED_VALUE"""),"")</f>
        <v/>
      </c>
    </row>
    <row r="10691" spans="1:5">
      <c r="A10691" s="12"/>
      <c r="E10691" s="57" t="str">
        <f ca="1">IFERROR(__xludf.DUMMYFUNCTION("""COMPUTED_VALUE"""),"")</f>
        <v/>
      </c>
    </row>
    <row r="10692" spans="1:5">
      <c r="A10692" s="12"/>
      <c r="E10692" s="57" t="str">
        <f ca="1">IFERROR(__xludf.DUMMYFUNCTION("""COMPUTED_VALUE"""),"")</f>
        <v/>
      </c>
    </row>
    <row r="10693" spans="1:5">
      <c r="A10693" s="12"/>
      <c r="E10693" s="57" t="str">
        <f ca="1">IFERROR(__xludf.DUMMYFUNCTION("""COMPUTED_VALUE"""),"")</f>
        <v/>
      </c>
    </row>
    <row r="10694" spans="1:5">
      <c r="A10694" s="12"/>
      <c r="E10694" s="57" t="str">
        <f ca="1">IFERROR(__xludf.DUMMYFUNCTION("""COMPUTED_VALUE"""),"")</f>
        <v/>
      </c>
    </row>
    <row r="10695" spans="1:5">
      <c r="A10695" s="12"/>
      <c r="E10695" s="57" t="str">
        <f ca="1">IFERROR(__xludf.DUMMYFUNCTION("""COMPUTED_VALUE"""),"")</f>
        <v/>
      </c>
    </row>
    <row r="10696" spans="1:5">
      <c r="A10696" s="12"/>
      <c r="E10696" s="57" t="str">
        <f ca="1">IFERROR(__xludf.DUMMYFUNCTION("""COMPUTED_VALUE"""),"")</f>
        <v/>
      </c>
    </row>
    <row r="10697" spans="1:5">
      <c r="A10697" s="12"/>
      <c r="E10697" s="57" t="str">
        <f ca="1">IFERROR(__xludf.DUMMYFUNCTION("""COMPUTED_VALUE"""),"")</f>
        <v/>
      </c>
    </row>
    <row r="10698" spans="1:5">
      <c r="A10698" s="12"/>
      <c r="E10698" s="57" t="str">
        <f ca="1">IFERROR(__xludf.DUMMYFUNCTION("""COMPUTED_VALUE"""),"")</f>
        <v/>
      </c>
    </row>
    <row r="10699" spans="1:5">
      <c r="A10699" s="12"/>
      <c r="E10699" s="57" t="str">
        <f ca="1">IFERROR(__xludf.DUMMYFUNCTION("""COMPUTED_VALUE"""),"")</f>
        <v/>
      </c>
    </row>
    <row r="10700" spans="1:5">
      <c r="A10700" s="12"/>
      <c r="E10700" s="57" t="str">
        <f ca="1">IFERROR(__xludf.DUMMYFUNCTION("""COMPUTED_VALUE"""),"")</f>
        <v/>
      </c>
    </row>
    <row r="10701" spans="1:5">
      <c r="A10701" s="12"/>
      <c r="E10701" s="57" t="str">
        <f ca="1">IFERROR(__xludf.DUMMYFUNCTION("""COMPUTED_VALUE"""),"")</f>
        <v/>
      </c>
    </row>
    <row r="10702" spans="1:5">
      <c r="A10702" s="12"/>
      <c r="E10702" s="57" t="str">
        <f ca="1">IFERROR(__xludf.DUMMYFUNCTION("""COMPUTED_VALUE"""),"")</f>
        <v/>
      </c>
    </row>
    <row r="10703" spans="1:5">
      <c r="A10703" s="12"/>
      <c r="E10703" s="57" t="str">
        <f ca="1">IFERROR(__xludf.DUMMYFUNCTION("""COMPUTED_VALUE"""),"")</f>
        <v/>
      </c>
    </row>
    <row r="10704" spans="1:5">
      <c r="A10704" s="12"/>
      <c r="E10704" s="57" t="str">
        <f ca="1">IFERROR(__xludf.DUMMYFUNCTION("""COMPUTED_VALUE"""),"")</f>
        <v/>
      </c>
    </row>
    <row r="10705" spans="1:5">
      <c r="A10705" s="12"/>
      <c r="E10705" s="57" t="str">
        <f ca="1">IFERROR(__xludf.DUMMYFUNCTION("""COMPUTED_VALUE"""),"")</f>
        <v/>
      </c>
    </row>
    <row r="10706" spans="1:5">
      <c r="A10706" s="12"/>
      <c r="E10706" s="57" t="str">
        <f ca="1">IFERROR(__xludf.DUMMYFUNCTION("""COMPUTED_VALUE"""),"")</f>
        <v/>
      </c>
    </row>
    <row r="10707" spans="1:5">
      <c r="A10707" s="12"/>
      <c r="E10707" s="57" t="str">
        <f ca="1">IFERROR(__xludf.DUMMYFUNCTION("""COMPUTED_VALUE"""),"")</f>
        <v/>
      </c>
    </row>
    <row r="10708" spans="1:5">
      <c r="A10708" s="12"/>
      <c r="E10708" s="57" t="str">
        <f ca="1">IFERROR(__xludf.DUMMYFUNCTION("""COMPUTED_VALUE"""),"")</f>
        <v/>
      </c>
    </row>
    <row r="10709" spans="1:5">
      <c r="A10709" s="12"/>
      <c r="E10709" s="57" t="str">
        <f ca="1">IFERROR(__xludf.DUMMYFUNCTION("""COMPUTED_VALUE"""),"")</f>
        <v/>
      </c>
    </row>
    <row r="10710" spans="1:5">
      <c r="A10710" s="12"/>
      <c r="E10710" s="57" t="str">
        <f ca="1">IFERROR(__xludf.DUMMYFUNCTION("""COMPUTED_VALUE"""),"")</f>
        <v/>
      </c>
    </row>
    <row r="10711" spans="1:5">
      <c r="A10711" s="12"/>
      <c r="E10711" s="57" t="str">
        <f ca="1">IFERROR(__xludf.DUMMYFUNCTION("""COMPUTED_VALUE"""),"")</f>
        <v/>
      </c>
    </row>
    <row r="10712" spans="1:5">
      <c r="A10712" s="12"/>
      <c r="E10712" s="57" t="str">
        <f ca="1">IFERROR(__xludf.DUMMYFUNCTION("""COMPUTED_VALUE"""),"")</f>
        <v/>
      </c>
    </row>
    <row r="10713" spans="1:5">
      <c r="A10713" s="12"/>
      <c r="E10713" s="57" t="str">
        <f ca="1">IFERROR(__xludf.DUMMYFUNCTION("""COMPUTED_VALUE"""),"")</f>
        <v/>
      </c>
    </row>
    <row r="10714" spans="1:5">
      <c r="A10714" s="12"/>
      <c r="E10714" s="57" t="str">
        <f ca="1">IFERROR(__xludf.DUMMYFUNCTION("""COMPUTED_VALUE"""),"")</f>
        <v/>
      </c>
    </row>
    <row r="10715" spans="1:5">
      <c r="A10715" s="12"/>
      <c r="E10715" s="57" t="str">
        <f ca="1">IFERROR(__xludf.DUMMYFUNCTION("""COMPUTED_VALUE"""),"")</f>
        <v/>
      </c>
    </row>
    <row r="10716" spans="1:5">
      <c r="A10716" s="12"/>
      <c r="E10716" s="57" t="str">
        <f ca="1">IFERROR(__xludf.DUMMYFUNCTION("""COMPUTED_VALUE"""),"")</f>
        <v/>
      </c>
    </row>
    <row r="10717" spans="1:5">
      <c r="A10717" s="12"/>
      <c r="E10717" s="57" t="str">
        <f ca="1">IFERROR(__xludf.DUMMYFUNCTION("""COMPUTED_VALUE"""),"")</f>
        <v/>
      </c>
    </row>
    <row r="10718" spans="1:5">
      <c r="A10718" s="12"/>
      <c r="E10718" s="57" t="str">
        <f ca="1">IFERROR(__xludf.DUMMYFUNCTION("""COMPUTED_VALUE"""),"")</f>
        <v/>
      </c>
    </row>
    <row r="10719" spans="1:5">
      <c r="A10719" s="12"/>
      <c r="E10719" s="57" t="str">
        <f ca="1">IFERROR(__xludf.DUMMYFUNCTION("""COMPUTED_VALUE"""),"")</f>
        <v/>
      </c>
    </row>
    <row r="10720" spans="1:5">
      <c r="A10720" s="12"/>
      <c r="E10720" s="57" t="str">
        <f ca="1">IFERROR(__xludf.DUMMYFUNCTION("""COMPUTED_VALUE"""),"")</f>
        <v/>
      </c>
    </row>
    <row r="10721" spans="1:5">
      <c r="A10721" s="12"/>
      <c r="E10721" s="57" t="str">
        <f ca="1">IFERROR(__xludf.DUMMYFUNCTION("""COMPUTED_VALUE"""),"")</f>
        <v/>
      </c>
    </row>
    <row r="10722" spans="1:5">
      <c r="A10722" s="12"/>
      <c r="E10722" s="57" t="str">
        <f ca="1">IFERROR(__xludf.DUMMYFUNCTION("""COMPUTED_VALUE"""),"")</f>
        <v/>
      </c>
    </row>
    <row r="10723" spans="1:5">
      <c r="A10723" s="12"/>
      <c r="E10723" s="57" t="str">
        <f ca="1">IFERROR(__xludf.DUMMYFUNCTION("""COMPUTED_VALUE"""),"")</f>
        <v/>
      </c>
    </row>
    <row r="10724" spans="1:5">
      <c r="A10724" s="12"/>
      <c r="E10724" s="57" t="str">
        <f ca="1">IFERROR(__xludf.DUMMYFUNCTION("""COMPUTED_VALUE"""),"")</f>
        <v/>
      </c>
    </row>
    <row r="10725" spans="1:5">
      <c r="A10725" s="12"/>
      <c r="E10725" s="57" t="str">
        <f ca="1">IFERROR(__xludf.DUMMYFUNCTION("""COMPUTED_VALUE"""),"")</f>
        <v/>
      </c>
    </row>
    <row r="10726" spans="1:5">
      <c r="A10726" s="12"/>
      <c r="E10726" s="57" t="str">
        <f ca="1">IFERROR(__xludf.DUMMYFUNCTION("""COMPUTED_VALUE"""),"")</f>
        <v/>
      </c>
    </row>
    <row r="10727" spans="1:5">
      <c r="A10727" s="12"/>
      <c r="E10727" s="57" t="str">
        <f ca="1">IFERROR(__xludf.DUMMYFUNCTION("""COMPUTED_VALUE"""),"")</f>
        <v/>
      </c>
    </row>
    <row r="10728" spans="1:5">
      <c r="A10728" s="12"/>
      <c r="E10728" s="57" t="str">
        <f ca="1">IFERROR(__xludf.DUMMYFUNCTION("""COMPUTED_VALUE"""),"")</f>
        <v/>
      </c>
    </row>
    <row r="10729" spans="1:5">
      <c r="A10729" s="12"/>
      <c r="E10729" s="57" t="str">
        <f ca="1">IFERROR(__xludf.DUMMYFUNCTION("""COMPUTED_VALUE"""),"")</f>
        <v/>
      </c>
    </row>
    <row r="10730" spans="1:5">
      <c r="A10730" s="12"/>
      <c r="E10730" s="57" t="str">
        <f ca="1">IFERROR(__xludf.DUMMYFUNCTION("""COMPUTED_VALUE"""),"")</f>
        <v/>
      </c>
    </row>
    <row r="10731" spans="1:5">
      <c r="A10731" s="12"/>
      <c r="E10731" s="57" t="str">
        <f ca="1">IFERROR(__xludf.DUMMYFUNCTION("""COMPUTED_VALUE"""),"")</f>
        <v/>
      </c>
    </row>
    <row r="10732" spans="1:5">
      <c r="A10732" s="12"/>
      <c r="E10732" s="57" t="str">
        <f ca="1">IFERROR(__xludf.DUMMYFUNCTION("""COMPUTED_VALUE"""),"")</f>
        <v/>
      </c>
    </row>
    <row r="10733" spans="1:5">
      <c r="A10733" s="12"/>
      <c r="E10733" s="57" t="str">
        <f ca="1">IFERROR(__xludf.DUMMYFUNCTION("""COMPUTED_VALUE"""),"")</f>
        <v/>
      </c>
    </row>
    <row r="10734" spans="1:5">
      <c r="A10734" s="12"/>
      <c r="E10734" s="57" t="str">
        <f ca="1">IFERROR(__xludf.DUMMYFUNCTION("""COMPUTED_VALUE"""),"")</f>
        <v/>
      </c>
    </row>
    <row r="10735" spans="1:5">
      <c r="A10735" s="12"/>
      <c r="E10735" s="57" t="str">
        <f ca="1">IFERROR(__xludf.DUMMYFUNCTION("""COMPUTED_VALUE"""),"")</f>
        <v/>
      </c>
    </row>
    <row r="10736" spans="1:5">
      <c r="A10736" s="12"/>
      <c r="E10736" s="57" t="str">
        <f ca="1">IFERROR(__xludf.DUMMYFUNCTION("""COMPUTED_VALUE"""),"")</f>
        <v/>
      </c>
    </row>
    <row r="10737" spans="1:5">
      <c r="A10737" s="12"/>
      <c r="E10737" s="57" t="str">
        <f ca="1">IFERROR(__xludf.DUMMYFUNCTION("""COMPUTED_VALUE"""),"")</f>
        <v/>
      </c>
    </row>
    <row r="10738" spans="1:5">
      <c r="A10738" s="12"/>
      <c r="E10738" s="57" t="str">
        <f ca="1">IFERROR(__xludf.DUMMYFUNCTION("""COMPUTED_VALUE"""),"")</f>
        <v/>
      </c>
    </row>
    <row r="10739" spans="1:5">
      <c r="A10739" s="12"/>
      <c r="E10739" s="57" t="str">
        <f ca="1">IFERROR(__xludf.DUMMYFUNCTION("""COMPUTED_VALUE"""),"")</f>
        <v/>
      </c>
    </row>
    <row r="10740" spans="1:5">
      <c r="A10740" s="12"/>
      <c r="E10740" s="57" t="str">
        <f ca="1">IFERROR(__xludf.DUMMYFUNCTION("""COMPUTED_VALUE"""),"")</f>
        <v/>
      </c>
    </row>
    <row r="10741" spans="1:5">
      <c r="A10741" s="12"/>
      <c r="E10741" s="57" t="str">
        <f ca="1">IFERROR(__xludf.DUMMYFUNCTION("""COMPUTED_VALUE"""),"")</f>
        <v/>
      </c>
    </row>
    <row r="10742" spans="1:5">
      <c r="A10742" s="12"/>
      <c r="E10742" s="57" t="str">
        <f ca="1">IFERROR(__xludf.DUMMYFUNCTION("""COMPUTED_VALUE"""),"")</f>
        <v/>
      </c>
    </row>
    <row r="10743" spans="1:5">
      <c r="A10743" s="12"/>
      <c r="E10743" s="57" t="str">
        <f ca="1">IFERROR(__xludf.DUMMYFUNCTION("""COMPUTED_VALUE"""),"")</f>
        <v/>
      </c>
    </row>
    <row r="10744" spans="1:5">
      <c r="A10744" s="12"/>
      <c r="E10744" s="57" t="str">
        <f ca="1">IFERROR(__xludf.DUMMYFUNCTION("""COMPUTED_VALUE"""),"")</f>
        <v/>
      </c>
    </row>
    <row r="10745" spans="1:5">
      <c r="A10745" s="12"/>
      <c r="E10745" s="57" t="str">
        <f ca="1">IFERROR(__xludf.DUMMYFUNCTION("""COMPUTED_VALUE"""),"")</f>
        <v/>
      </c>
    </row>
    <row r="10746" spans="1:5">
      <c r="A10746" s="12"/>
      <c r="E10746" s="57" t="str">
        <f ca="1">IFERROR(__xludf.DUMMYFUNCTION("""COMPUTED_VALUE"""),"")</f>
        <v/>
      </c>
    </row>
    <row r="10747" spans="1:5">
      <c r="A10747" s="12"/>
      <c r="E10747" s="57" t="str">
        <f ca="1">IFERROR(__xludf.DUMMYFUNCTION("""COMPUTED_VALUE"""),"")</f>
        <v/>
      </c>
    </row>
    <row r="10748" spans="1:5">
      <c r="A10748" s="12"/>
      <c r="E10748" s="57" t="str">
        <f ca="1">IFERROR(__xludf.DUMMYFUNCTION("""COMPUTED_VALUE"""),"")</f>
        <v/>
      </c>
    </row>
    <row r="10749" spans="1:5">
      <c r="A10749" s="12"/>
      <c r="E10749" s="57" t="str">
        <f ca="1">IFERROR(__xludf.DUMMYFUNCTION("""COMPUTED_VALUE"""),"")</f>
        <v/>
      </c>
    </row>
    <row r="10750" spans="1:5">
      <c r="A10750" s="12"/>
      <c r="E10750" s="57" t="str">
        <f ca="1">IFERROR(__xludf.DUMMYFUNCTION("""COMPUTED_VALUE"""),"")</f>
        <v/>
      </c>
    </row>
    <row r="10751" spans="1:5">
      <c r="A10751" s="12"/>
      <c r="E10751" s="57" t="str">
        <f ca="1">IFERROR(__xludf.DUMMYFUNCTION("""COMPUTED_VALUE"""),"")</f>
        <v/>
      </c>
    </row>
    <row r="10752" spans="1:5">
      <c r="A10752" s="12"/>
      <c r="E10752" s="57" t="str">
        <f ca="1">IFERROR(__xludf.DUMMYFUNCTION("""COMPUTED_VALUE"""),"")</f>
        <v/>
      </c>
    </row>
    <row r="10753" spans="1:5">
      <c r="A10753" s="12"/>
      <c r="E10753" s="57" t="str">
        <f ca="1">IFERROR(__xludf.DUMMYFUNCTION("""COMPUTED_VALUE"""),"")</f>
        <v/>
      </c>
    </row>
    <row r="10754" spans="1:5">
      <c r="A10754" s="12"/>
      <c r="E10754" s="57" t="str">
        <f ca="1">IFERROR(__xludf.DUMMYFUNCTION("""COMPUTED_VALUE"""),"")</f>
        <v/>
      </c>
    </row>
    <row r="10755" spans="1:5">
      <c r="A10755" s="12"/>
      <c r="E10755" s="57" t="str">
        <f ca="1">IFERROR(__xludf.DUMMYFUNCTION("""COMPUTED_VALUE"""),"")</f>
        <v/>
      </c>
    </row>
    <row r="10756" spans="1:5">
      <c r="A10756" s="12"/>
      <c r="E10756" s="57" t="str">
        <f ca="1">IFERROR(__xludf.DUMMYFUNCTION("""COMPUTED_VALUE"""),"")</f>
        <v/>
      </c>
    </row>
    <row r="10757" spans="1:5">
      <c r="A10757" s="12"/>
      <c r="E10757" s="57" t="str">
        <f ca="1">IFERROR(__xludf.DUMMYFUNCTION("""COMPUTED_VALUE"""),"")</f>
        <v/>
      </c>
    </row>
    <row r="10758" spans="1:5">
      <c r="A10758" s="12"/>
      <c r="E10758" s="57" t="str">
        <f ca="1">IFERROR(__xludf.DUMMYFUNCTION("""COMPUTED_VALUE"""),"")</f>
        <v/>
      </c>
    </row>
    <row r="10759" spans="1:5">
      <c r="A10759" s="12"/>
      <c r="E10759" s="57" t="str">
        <f ca="1">IFERROR(__xludf.DUMMYFUNCTION("""COMPUTED_VALUE"""),"")</f>
        <v/>
      </c>
    </row>
    <row r="10760" spans="1:5">
      <c r="A10760" s="12"/>
      <c r="E10760" s="57" t="str">
        <f ca="1">IFERROR(__xludf.DUMMYFUNCTION("""COMPUTED_VALUE"""),"")</f>
        <v/>
      </c>
    </row>
    <row r="10761" spans="1:5">
      <c r="A10761" s="12"/>
      <c r="E10761" s="57" t="str">
        <f ca="1">IFERROR(__xludf.DUMMYFUNCTION("""COMPUTED_VALUE"""),"")</f>
        <v/>
      </c>
    </row>
    <row r="10762" spans="1:5">
      <c r="A10762" s="12"/>
      <c r="E10762" s="57" t="str">
        <f ca="1">IFERROR(__xludf.DUMMYFUNCTION("""COMPUTED_VALUE"""),"")</f>
        <v/>
      </c>
    </row>
    <row r="10763" spans="1:5">
      <c r="A10763" s="12"/>
      <c r="E10763" s="57" t="str">
        <f ca="1">IFERROR(__xludf.DUMMYFUNCTION("""COMPUTED_VALUE"""),"")</f>
        <v/>
      </c>
    </row>
    <row r="10764" spans="1:5">
      <c r="A10764" s="12"/>
      <c r="E10764" s="57" t="str">
        <f ca="1">IFERROR(__xludf.DUMMYFUNCTION("""COMPUTED_VALUE"""),"")</f>
        <v/>
      </c>
    </row>
    <row r="10765" spans="1:5">
      <c r="A10765" s="12"/>
      <c r="E10765" s="57" t="str">
        <f ca="1">IFERROR(__xludf.DUMMYFUNCTION("""COMPUTED_VALUE"""),"")</f>
        <v/>
      </c>
    </row>
    <row r="10766" spans="1:5">
      <c r="A10766" s="12"/>
      <c r="E10766" s="57" t="str">
        <f ca="1">IFERROR(__xludf.DUMMYFUNCTION("""COMPUTED_VALUE"""),"")</f>
        <v/>
      </c>
    </row>
    <row r="10767" spans="1:5">
      <c r="A10767" s="12"/>
      <c r="E10767" s="57" t="str">
        <f ca="1">IFERROR(__xludf.DUMMYFUNCTION("""COMPUTED_VALUE"""),"")</f>
        <v/>
      </c>
    </row>
    <row r="10768" spans="1:5">
      <c r="A10768" s="12"/>
      <c r="E10768" s="57" t="str">
        <f ca="1">IFERROR(__xludf.DUMMYFUNCTION("""COMPUTED_VALUE"""),"")</f>
        <v/>
      </c>
    </row>
    <row r="10769" spans="1:5">
      <c r="A10769" s="12"/>
      <c r="E10769" s="57" t="str">
        <f ca="1">IFERROR(__xludf.DUMMYFUNCTION("""COMPUTED_VALUE"""),"")</f>
        <v/>
      </c>
    </row>
    <row r="10770" spans="1:5">
      <c r="A10770" s="12"/>
      <c r="E10770" s="57" t="str">
        <f ca="1">IFERROR(__xludf.DUMMYFUNCTION("""COMPUTED_VALUE"""),"")</f>
        <v/>
      </c>
    </row>
    <row r="10771" spans="1:5">
      <c r="A10771" s="12"/>
      <c r="E10771" s="57" t="str">
        <f ca="1">IFERROR(__xludf.DUMMYFUNCTION("""COMPUTED_VALUE"""),"")</f>
        <v/>
      </c>
    </row>
    <row r="10772" spans="1:5">
      <c r="A10772" s="12"/>
      <c r="E10772" s="57" t="str">
        <f ca="1">IFERROR(__xludf.DUMMYFUNCTION("""COMPUTED_VALUE"""),"")</f>
        <v/>
      </c>
    </row>
    <row r="10773" spans="1:5">
      <c r="A10773" s="12"/>
      <c r="E10773" s="57" t="str">
        <f ca="1">IFERROR(__xludf.DUMMYFUNCTION("""COMPUTED_VALUE"""),"")</f>
        <v/>
      </c>
    </row>
    <row r="10774" spans="1:5">
      <c r="A10774" s="12"/>
      <c r="E10774" s="57" t="str">
        <f ca="1">IFERROR(__xludf.DUMMYFUNCTION("""COMPUTED_VALUE"""),"")</f>
        <v/>
      </c>
    </row>
    <row r="10775" spans="1:5">
      <c r="A10775" s="12"/>
      <c r="E10775" s="57" t="str">
        <f ca="1">IFERROR(__xludf.DUMMYFUNCTION("""COMPUTED_VALUE"""),"")</f>
        <v/>
      </c>
    </row>
    <row r="10776" spans="1:5">
      <c r="A10776" s="12"/>
      <c r="E10776" s="57" t="str">
        <f ca="1">IFERROR(__xludf.DUMMYFUNCTION("""COMPUTED_VALUE"""),"")</f>
        <v/>
      </c>
    </row>
    <row r="10777" spans="1:5">
      <c r="A10777" s="12"/>
      <c r="E10777" s="57" t="str">
        <f ca="1">IFERROR(__xludf.DUMMYFUNCTION("""COMPUTED_VALUE"""),"")</f>
        <v/>
      </c>
    </row>
    <row r="10778" spans="1:5">
      <c r="A10778" s="12"/>
      <c r="E10778" s="57" t="str">
        <f ca="1">IFERROR(__xludf.DUMMYFUNCTION("""COMPUTED_VALUE"""),"")</f>
        <v/>
      </c>
    </row>
    <row r="10779" spans="1:5">
      <c r="A10779" s="12"/>
      <c r="E10779" s="57" t="str">
        <f ca="1">IFERROR(__xludf.DUMMYFUNCTION("""COMPUTED_VALUE"""),"")</f>
        <v/>
      </c>
    </row>
    <row r="10780" spans="1:5">
      <c r="A10780" s="12"/>
      <c r="E10780" s="57" t="str">
        <f ca="1">IFERROR(__xludf.DUMMYFUNCTION("""COMPUTED_VALUE"""),"")</f>
        <v/>
      </c>
    </row>
    <row r="10781" spans="1:5">
      <c r="A10781" s="12"/>
      <c r="E10781" s="57" t="str">
        <f ca="1">IFERROR(__xludf.DUMMYFUNCTION("""COMPUTED_VALUE"""),"")</f>
        <v/>
      </c>
    </row>
    <row r="10782" spans="1:5">
      <c r="A10782" s="12"/>
      <c r="E10782" s="57" t="str">
        <f ca="1">IFERROR(__xludf.DUMMYFUNCTION("""COMPUTED_VALUE"""),"")</f>
        <v/>
      </c>
    </row>
    <row r="10783" spans="1:5">
      <c r="A10783" s="12"/>
      <c r="E10783" s="57" t="str">
        <f ca="1">IFERROR(__xludf.DUMMYFUNCTION("""COMPUTED_VALUE"""),"")</f>
        <v/>
      </c>
    </row>
    <row r="10784" spans="1:5">
      <c r="A10784" s="12"/>
      <c r="E10784" s="57" t="str">
        <f ca="1">IFERROR(__xludf.DUMMYFUNCTION("""COMPUTED_VALUE"""),"")</f>
        <v/>
      </c>
    </row>
    <row r="10785" spans="1:5">
      <c r="A10785" s="12"/>
      <c r="E10785" s="57" t="str">
        <f ca="1">IFERROR(__xludf.DUMMYFUNCTION("""COMPUTED_VALUE"""),"")</f>
        <v/>
      </c>
    </row>
    <row r="10786" spans="1:5">
      <c r="A10786" s="12"/>
      <c r="E10786" s="57" t="str">
        <f ca="1">IFERROR(__xludf.DUMMYFUNCTION("""COMPUTED_VALUE"""),"")</f>
        <v/>
      </c>
    </row>
    <row r="10787" spans="1:5">
      <c r="A10787" s="12"/>
      <c r="E10787" s="57" t="str">
        <f ca="1">IFERROR(__xludf.DUMMYFUNCTION("""COMPUTED_VALUE"""),"")</f>
        <v/>
      </c>
    </row>
    <row r="10788" spans="1:5">
      <c r="A10788" s="12"/>
      <c r="E10788" s="57" t="str">
        <f ca="1">IFERROR(__xludf.DUMMYFUNCTION("""COMPUTED_VALUE"""),"")</f>
        <v/>
      </c>
    </row>
    <row r="10789" spans="1:5">
      <c r="A10789" s="12"/>
      <c r="E10789" s="57" t="str">
        <f ca="1">IFERROR(__xludf.DUMMYFUNCTION("""COMPUTED_VALUE"""),"")</f>
        <v/>
      </c>
    </row>
    <row r="10790" spans="1:5">
      <c r="A10790" s="12"/>
      <c r="E10790" s="57" t="str">
        <f ca="1">IFERROR(__xludf.DUMMYFUNCTION("""COMPUTED_VALUE"""),"")</f>
        <v/>
      </c>
    </row>
    <row r="10791" spans="1:5">
      <c r="A10791" s="12"/>
      <c r="E10791" s="57" t="str">
        <f ca="1">IFERROR(__xludf.DUMMYFUNCTION("""COMPUTED_VALUE"""),"")</f>
        <v/>
      </c>
    </row>
    <row r="10792" spans="1:5">
      <c r="A10792" s="12"/>
      <c r="E10792" s="57" t="str">
        <f ca="1">IFERROR(__xludf.DUMMYFUNCTION("""COMPUTED_VALUE"""),"")</f>
        <v/>
      </c>
    </row>
    <row r="10793" spans="1:5">
      <c r="A10793" s="12"/>
      <c r="E10793" s="57" t="str">
        <f ca="1">IFERROR(__xludf.DUMMYFUNCTION("""COMPUTED_VALUE"""),"")</f>
        <v/>
      </c>
    </row>
    <row r="10794" spans="1:5">
      <c r="A10794" s="12"/>
      <c r="E10794" s="57" t="str">
        <f ca="1">IFERROR(__xludf.DUMMYFUNCTION("""COMPUTED_VALUE"""),"")</f>
        <v/>
      </c>
    </row>
    <row r="10795" spans="1:5">
      <c r="A10795" s="12"/>
      <c r="E10795" s="57" t="str">
        <f ca="1">IFERROR(__xludf.DUMMYFUNCTION("""COMPUTED_VALUE"""),"")</f>
        <v/>
      </c>
    </row>
    <row r="10796" spans="1:5">
      <c r="A10796" s="12"/>
      <c r="E10796" s="57" t="str">
        <f ca="1">IFERROR(__xludf.DUMMYFUNCTION("""COMPUTED_VALUE"""),"")</f>
        <v/>
      </c>
    </row>
    <row r="10797" spans="1:5">
      <c r="A10797" s="12"/>
      <c r="E10797" s="57" t="str">
        <f ca="1">IFERROR(__xludf.DUMMYFUNCTION("""COMPUTED_VALUE"""),"")</f>
        <v/>
      </c>
    </row>
    <row r="10798" spans="1:5">
      <c r="A10798" s="12"/>
      <c r="E10798" s="57" t="str">
        <f ca="1">IFERROR(__xludf.DUMMYFUNCTION("""COMPUTED_VALUE"""),"")</f>
        <v/>
      </c>
    </row>
    <row r="10799" spans="1:5">
      <c r="A10799" s="12"/>
      <c r="E10799" s="57" t="str">
        <f ca="1">IFERROR(__xludf.DUMMYFUNCTION("""COMPUTED_VALUE"""),"")</f>
        <v/>
      </c>
    </row>
    <row r="10800" spans="1:5">
      <c r="A10800" s="12"/>
      <c r="E10800" s="57" t="str">
        <f ca="1">IFERROR(__xludf.DUMMYFUNCTION("""COMPUTED_VALUE"""),"")</f>
        <v/>
      </c>
    </row>
    <row r="10801" spans="1:5">
      <c r="A10801" s="12"/>
      <c r="E10801" s="57" t="str">
        <f ca="1">IFERROR(__xludf.DUMMYFUNCTION("""COMPUTED_VALUE"""),"")</f>
        <v/>
      </c>
    </row>
    <row r="10802" spans="1:5">
      <c r="A10802" s="12"/>
      <c r="E10802" s="57" t="str">
        <f ca="1">IFERROR(__xludf.DUMMYFUNCTION("""COMPUTED_VALUE"""),"")</f>
        <v/>
      </c>
    </row>
    <row r="10803" spans="1:5">
      <c r="A10803" s="12"/>
      <c r="E10803" s="57" t="str">
        <f ca="1">IFERROR(__xludf.DUMMYFUNCTION("""COMPUTED_VALUE"""),"")</f>
        <v/>
      </c>
    </row>
    <row r="10804" spans="1:5">
      <c r="A10804" s="12"/>
      <c r="E10804" s="57" t="str">
        <f ca="1">IFERROR(__xludf.DUMMYFUNCTION("""COMPUTED_VALUE"""),"")</f>
        <v/>
      </c>
    </row>
    <row r="10805" spans="1:5">
      <c r="A10805" s="12"/>
      <c r="E10805" s="57" t="str">
        <f ca="1">IFERROR(__xludf.DUMMYFUNCTION("""COMPUTED_VALUE"""),"")</f>
        <v/>
      </c>
    </row>
    <row r="10806" spans="1:5">
      <c r="A10806" s="12"/>
      <c r="E10806" s="57" t="str">
        <f ca="1">IFERROR(__xludf.DUMMYFUNCTION("""COMPUTED_VALUE"""),"")</f>
        <v/>
      </c>
    </row>
    <row r="10807" spans="1:5">
      <c r="A10807" s="12"/>
      <c r="E10807" s="57" t="str">
        <f ca="1">IFERROR(__xludf.DUMMYFUNCTION("""COMPUTED_VALUE"""),"")</f>
        <v/>
      </c>
    </row>
    <row r="10808" spans="1:5">
      <c r="A10808" s="12"/>
      <c r="E10808" s="57" t="str">
        <f ca="1">IFERROR(__xludf.DUMMYFUNCTION("""COMPUTED_VALUE"""),"")</f>
        <v/>
      </c>
    </row>
    <row r="10809" spans="1:5">
      <c r="A10809" s="12"/>
      <c r="E10809" s="57" t="str">
        <f ca="1">IFERROR(__xludf.DUMMYFUNCTION("""COMPUTED_VALUE"""),"")</f>
        <v/>
      </c>
    </row>
    <row r="10810" spans="1:5">
      <c r="A10810" s="12"/>
      <c r="E10810" s="57" t="str">
        <f ca="1">IFERROR(__xludf.DUMMYFUNCTION("""COMPUTED_VALUE"""),"")</f>
        <v/>
      </c>
    </row>
    <row r="10811" spans="1:5">
      <c r="A10811" s="12"/>
      <c r="E10811" s="57" t="str">
        <f ca="1">IFERROR(__xludf.DUMMYFUNCTION("""COMPUTED_VALUE"""),"")</f>
        <v/>
      </c>
    </row>
    <row r="10812" spans="1:5">
      <c r="A10812" s="12"/>
      <c r="E10812" s="57" t="str">
        <f ca="1">IFERROR(__xludf.DUMMYFUNCTION("""COMPUTED_VALUE"""),"")</f>
        <v/>
      </c>
    </row>
    <row r="10813" spans="1:5">
      <c r="A10813" s="12"/>
      <c r="E10813" s="57" t="str">
        <f ca="1">IFERROR(__xludf.DUMMYFUNCTION("""COMPUTED_VALUE"""),"")</f>
        <v/>
      </c>
    </row>
    <row r="10814" spans="1:5">
      <c r="A10814" s="12"/>
      <c r="E10814" s="57" t="str">
        <f ca="1">IFERROR(__xludf.DUMMYFUNCTION("""COMPUTED_VALUE"""),"")</f>
        <v/>
      </c>
    </row>
    <row r="10815" spans="1:5">
      <c r="A10815" s="12"/>
      <c r="E10815" s="57" t="str">
        <f ca="1">IFERROR(__xludf.DUMMYFUNCTION("""COMPUTED_VALUE"""),"")</f>
        <v/>
      </c>
    </row>
    <row r="10816" spans="1:5">
      <c r="A10816" s="12"/>
      <c r="E10816" s="57" t="str">
        <f ca="1">IFERROR(__xludf.DUMMYFUNCTION("""COMPUTED_VALUE"""),"")</f>
        <v/>
      </c>
    </row>
    <row r="10817" spans="1:5">
      <c r="A10817" s="12"/>
      <c r="E10817" s="57" t="str">
        <f ca="1">IFERROR(__xludf.DUMMYFUNCTION("""COMPUTED_VALUE"""),"")</f>
        <v/>
      </c>
    </row>
    <row r="10818" spans="1:5">
      <c r="A10818" s="12"/>
      <c r="E10818" s="57" t="str">
        <f ca="1">IFERROR(__xludf.DUMMYFUNCTION("""COMPUTED_VALUE"""),"")</f>
        <v/>
      </c>
    </row>
    <row r="10819" spans="1:5">
      <c r="A10819" s="12"/>
      <c r="E10819" s="57" t="str">
        <f ca="1">IFERROR(__xludf.DUMMYFUNCTION("""COMPUTED_VALUE"""),"")</f>
        <v/>
      </c>
    </row>
    <row r="10820" spans="1:5">
      <c r="A10820" s="12"/>
      <c r="E10820" s="57" t="str">
        <f ca="1">IFERROR(__xludf.DUMMYFUNCTION("""COMPUTED_VALUE"""),"")</f>
        <v/>
      </c>
    </row>
    <row r="10821" spans="1:5">
      <c r="A10821" s="12"/>
      <c r="E10821" s="57" t="str">
        <f ca="1">IFERROR(__xludf.DUMMYFUNCTION("""COMPUTED_VALUE"""),"")</f>
        <v/>
      </c>
    </row>
    <row r="10822" spans="1:5">
      <c r="A10822" s="12"/>
      <c r="E10822" s="57" t="str">
        <f ca="1">IFERROR(__xludf.DUMMYFUNCTION("""COMPUTED_VALUE"""),"")</f>
        <v/>
      </c>
    </row>
    <row r="10823" spans="1:5">
      <c r="A10823" s="12"/>
      <c r="E10823" s="57" t="str">
        <f ca="1">IFERROR(__xludf.DUMMYFUNCTION("""COMPUTED_VALUE"""),"")</f>
        <v/>
      </c>
    </row>
    <row r="10824" spans="1:5">
      <c r="A10824" s="12"/>
      <c r="E10824" s="57" t="str">
        <f ca="1">IFERROR(__xludf.DUMMYFUNCTION("""COMPUTED_VALUE"""),"")</f>
        <v/>
      </c>
    </row>
    <row r="10825" spans="1:5">
      <c r="A10825" s="12"/>
      <c r="E10825" s="57" t="str">
        <f ca="1">IFERROR(__xludf.DUMMYFUNCTION("""COMPUTED_VALUE"""),"")</f>
        <v/>
      </c>
    </row>
    <row r="10826" spans="1:5">
      <c r="A10826" s="12"/>
      <c r="E10826" s="57" t="str">
        <f ca="1">IFERROR(__xludf.DUMMYFUNCTION("""COMPUTED_VALUE"""),"")</f>
        <v/>
      </c>
    </row>
    <row r="10827" spans="1:5">
      <c r="A10827" s="12"/>
      <c r="E10827" s="57" t="str">
        <f ca="1">IFERROR(__xludf.DUMMYFUNCTION("""COMPUTED_VALUE"""),"")</f>
        <v/>
      </c>
    </row>
    <row r="10828" spans="1:5">
      <c r="A10828" s="12"/>
      <c r="E10828" s="57" t="str">
        <f ca="1">IFERROR(__xludf.DUMMYFUNCTION("""COMPUTED_VALUE"""),"")</f>
        <v/>
      </c>
    </row>
    <row r="10829" spans="1:5">
      <c r="A10829" s="12"/>
      <c r="E10829" s="57" t="str">
        <f ca="1">IFERROR(__xludf.DUMMYFUNCTION("""COMPUTED_VALUE"""),"")</f>
        <v/>
      </c>
    </row>
    <row r="10830" spans="1:5">
      <c r="A10830" s="12"/>
      <c r="E10830" s="57" t="str">
        <f ca="1">IFERROR(__xludf.DUMMYFUNCTION("""COMPUTED_VALUE"""),"")</f>
        <v/>
      </c>
    </row>
    <row r="10831" spans="1:5">
      <c r="A10831" s="12"/>
      <c r="E10831" s="57" t="str">
        <f ca="1">IFERROR(__xludf.DUMMYFUNCTION("""COMPUTED_VALUE"""),"")</f>
        <v/>
      </c>
    </row>
    <row r="10832" spans="1:5">
      <c r="A10832" s="12"/>
      <c r="E10832" s="57" t="str">
        <f ca="1">IFERROR(__xludf.DUMMYFUNCTION("""COMPUTED_VALUE"""),"")</f>
        <v/>
      </c>
    </row>
    <row r="10833" spans="1:5">
      <c r="A10833" s="12"/>
      <c r="E10833" s="57" t="str">
        <f ca="1">IFERROR(__xludf.DUMMYFUNCTION("""COMPUTED_VALUE"""),"")</f>
        <v/>
      </c>
    </row>
    <row r="10834" spans="1:5">
      <c r="A10834" s="12"/>
      <c r="E10834" s="57" t="str">
        <f ca="1">IFERROR(__xludf.DUMMYFUNCTION("""COMPUTED_VALUE"""),"")</f>
        <v/>
      </c>
    </row>
    <row r="10835" spans="1:5">
      <c r="A10835" s="12"/>
      <c r="E10835" s="57" t="str">
        <f ca="1">IFERROR(__xludf.DUMMYFUNCTION("""COMPUTED_VALUE"""),"")</f>
        <v/>
      </c>
    </row>
    <row r="10836" spans="1:5">
      <c r="A10836" s="12"/>
      <c r="E10836" s="57" t="str">
        <f ca="1">IFERROR(__xludf.DUMMYFUNCTION("""COMPUTED_VALUE"""),"")</f>
        <v/>
      </c>
    </row>
    <row r="10837" spans="1:5">
      <c r="A10837" s="12"/>
      <c r="E10837" s="57" t="str">
        <f ca="1">IFERROR(__xludf.DUMMYFUNCTION("""COMPUTED_VALUE"""),"")</f>
        <v/>
      </c>
    </row>
    <row r="10838" spans="1:5">
      <c r="A10838" s="12"/>
      <c r="E10838" s="57" t="str">
        <f ca="1">IFERROR(__xludf.DUMMYFUNCTION("""COMPUTED_VALUE"""),"")</f>
        <v/>
      </c>
    </row>
    <row r="10839" spans="1:5">
      <c r="A10839" s="12"/>
      <c r="E10839" s="57" t="str">
        <f ca="1">IFERROR(__xludf.DUMMYFUNCTION("""COMPUTED_VALUE"""),"")</f>
        <v/>
      </c>
    </row>
    <row r="10840" spans="1:5">
      <c r="A10840" s="12"/>
      <c r="E10840" s="57" t="str">
        <f ca="1">IFERROR(__xludf.DUMMYFUNCTION("""COMPUTED_VALUE"""),"")</f>
        <v/>
      </c>
    </row>
    <row r="10841" spans="1:5">
      <c r="A10841" s="12"/>
      <c r="E10841" s="57" t="str">
        <f ca="1">IFERROR(__xludf.DUMMYFUNCTION("""COMPUTED_VALUE"""),"")</f>
        <v/>
      </c>
    </row>
    <row r="10842" spans="1:5">
      <c r="A10842" s="12"/>
      <c r="E10842" s="57" t="str">
        <f ca="1">IFERROR(__xludf.DUMMYFUNCTION("""COMPUTED_VALUE"""),"")</f>
        <v/>
      </c>
    </row>
    <row r="10843" spans="1:5">
      <c r="A10843" s="12"/>
      <c r="E10843" s="57" t="str">
        <f ca="1">IFERROR(__xludf.DUMMYFUNCTION("""COMPUTED_VALUE"""),"")</f>
        <v/>
      </c>
    </row>
    <row r="10844" spans="1:5">
      <c r="A10844" s="12"/>
      <c r="E10844" s="57" t="str">
        <f ca="1">IFERROR(__xludf.DUMMYFUNCTION("""COMPUTED_VALUE"""),"")</f>
        <v/>
      </c>
    </row>
    <row r="10845" spans="1:5">
      <c r="A10845" s="12"/>
      <c r="E10845" s="57" t="str">
        <f ca="1">IFERROR(__xludf.DUMMYFUNCTION("""COMPUTED_VALUE"""),"")</f>
        <v/>
      </c>
    </row>
    <row r="10846" spans="1:5">
      <c r="A10846" s="12"/>
      <c r="E10846" s="57" t="str">
        <f ca="1">IFERROR(__xludf.DUMMYFUNCTION("""COMPUTED_VALUE"""),"")</f>
        <v/>
      </c>
    </row>
    <row r="10847" spans="1:5">
      <c r="A10847" s="12"/>
      <c r="E10847" s="57" t="str">
        <f ca="1">IFERROR(__xludf.DUMMYFUNCTION("""COMPUTED_VALUE"""),"")</f>
        <v/>
      </c>
    </row>
    <row r="10848" spans="1:5">
      <c r="A10848" s="12"/>
      <c r="E10848" s="57" t="str">
        <f ca="1">IFERROR(__xludf.DUMMYFUNCTION("""COMPUTED_VALUE"""),"")</f>
        <v/>
      </c>
    </row>
    <row r="10849" spans="1:5">
      <c r="A10849" s="12"/>
      <c r="E10849" s="57" t="str">
        <f ca="1">IFERROR(__xludf.DUMMYFUNCTION("""COMPUTED_VALUE"""),"")</f>
        <v/>
      </c>
    </row>
    <row r="10850" spans="1:5">
      <c r="A10850" s="12"/>
      <c r="E10850" s="57" t="str">
        <f ca="1">IFERROR(__xludf.DUMMYFUNCTION("""COMPUTED_VALUE"""),"")</f>
        <v/>
      </c>
    </row>
    <row r="10851" spans="1:5">
      <c r="A10851" s="12"/>
      <c r="E10851" s="57" t="str">
        <f ca="1">IFERROR(__xludf.DUMMYFUNCTION("""COMPUTED_VALUE"""),"")</f>
        <v/>
      </c>
    </row>
    <row r="10852" spans="1:5">
      <c r="A10852" s="12"/>
      <c r="E10852" s="57" t="str">
        <f ca="1">IFERROR(__xludf.DUMMYFUNCTION("""COMPUTED_VALUE"""),"")</f>
        <v/>
      </c>
    </row>
    <row r="10853" spans="1:5">
      <c r="A10853" s="12"/>
      <c r="E10853" s="57" t="str">
        <f ca="1">IFERROR(__xludf.DUMMYFUNCTION("""COMPUTED_VALUE"""),"")</f>
        <v/>
      </c>
    </row>
    <row r="10854" spans="1:5">
      <c r="A10854" s="12"/>
      <c r="E10854" s="57" t="str">
        <f ca="1">IFERROR(__xludf.DUMMYFUNCTION("""COMPUTED_VALUE"""),"")</f>
        <v/>
      </c>
    </row>
    <row r="10855" spans="1:5">
      <c r="A10855" s="12"/>
      <c r="E10855" s="57" t="str">
        <f ca="1">IFERROR(__xludf.DUMMYFUNCTION("""COMPUTED_VALUE"""),"")</f>
        <v/>
      </c>
    </row>
    <row r="10856" spans="1:5">
      <c r="A10856" s="12"/>
      <c r="E10856" s="57" t="str">
        <f ca="1">IFERROR(__xludf.DUMMYFUNCTION("""COMPUTED_VALUE"""),"")</f>
        <v/>
      </c>
    </row>
    <row r="10857" spans="1:5">
      <c r="A10857" s="12"/>
      <c r="E10857" s="57" t="str">
        <f ca="1">IFERROR(__xludf.DUMMYFUNCTION("""COMPUTED_VALUE"""),"")</f>
        <v/>
      </c>
    </row>
    <row r="10858" spans="1:5">
      <c r="A10858" s="12"/>
      <c r="E10858" s="57" t="str">
        <f ca="1">IFERROR(__xludf.DUMMYFUNCTION("""COMPUTED_VALUE"""),"")</f>
        <v/>
      </c>
    </row>
    <row r="10859" spans="1:5">
      <c r="A10859" s="12"/>
      <c r="E10859" s="57" t="str">
        <f ca="1">IFERROR(__xludf.DUMMYFUNCTION("""COMPUTED_VALUE"""),"")</f>
        <v/>
      </c>
    </row>
    <row r="10860" spans="1:5">
      <c r="A10860" s="12"/>
      <c r="E10860" s="57" t="str">
        <f ca="1">IFERROR(__xludf.DUMMYFUNCTION("""COMPUTED_VALUE"""),"")</f>
        <v/>
      </c>
    </row>
    <row r="10861" spans="1:5">
      <c r="A10861" s="12"/>
      <c r="E10861" s="57" t="str">
        <f ca="1">IFERROR(__xludf.DUMMYFUNCTION("""COMPUTED_VALUE"""),"")</f>
        <v/>
      </c>
    </row>
    <row r="10862" spans="1:5">
      <c r="A10862" s="12"/>
      <c r="E10862" s="57" t="str">
        <f ca="1">IFERROR(__xludf.DUMMYFUNCTION("""COMPUTED_VALUE"""),"")</f>
        <v/>
      </c>
    </row>
    <row r="10863" spans="1:5">
      <c r="A10863" s="12"/>
      <c r="E10863" s="57" t="str">
        <f ca="1">IFERROR(__xludf.DUMMYFUNCTION("""COMPUTED_VALUE"""),"")</f>
        <v/>
      </c>
    </row>
    <row r="10864" spans="1:5">
      <c r="A10864" s="12"/>
      <c r="E10864" s="57" t="str">
        <f ca="1">IFERROR(__xludf.DUMMYFUNCTION("""COMPUTED_VALUE"""),"")</f>
        <v/>
      </c>
    </row>
    <row r="10865" spans="1:5">
      <c r="A10865" s="12"/>
      <c r="E10865" s="57" t="str">
        <f ca="1">IFERROR(__xludf.DUMMYFUNCTION("""COMPUTED_VALUE"""),"")</f>
        <v/>
      </c>
    </row>
    <row r="10866" spans="1:5">
      <c r="A10866" s="12"/>
      <c r="E10866" s="57" t="str">
        <f ca="1">IFERROR(__xludf.DUMMYFUNCTION("""COMPUTED_VALUE"""),"")</f>
        <v/>
      </c>
    </row>
    <row r="10867" spans="1:5">
      <c r="A10867" s="12"/>
      <c r="E10867" s="57" t="str">
        <f ca="1">IFERROR(__xludf.DUMMYFUNCTION("""COMPUTED_VALUE"""),"")</f>
        <v/>
      </c>
    </row>
    <row r="10868" spans="1:5">
      <c r="A10868" s="12"/>
      <c r="E10868" s="57" t="str">
        <f ca="1">IFERROR(__xludf.DUMMYFUNCTION("""COMPUTED_VALUE"""),"")</f>
        <v/>
      </c>
    </row>
    <row r="10869" spans="1:5">
      <c r="A10869" s="12"/>
      <c r="E10869" s="57" t="str">
        <f ca="1">IFERROR(__xludf.DUMMYFUNCTION("""COMPUTED_VALUE"""),"")</f>
        <v/>
      </c>
    </row>
    <row r="10870" spans="1:5">
      <c r="A10870" s="12"/>
      <c r="E10870" s="57" t="str">
        <f ca="1">IFERROR(__xludf.DUMMYFUNCTION("""COMPUTED_VALUE"""),"")</f>
        <v/>
      </c>
    </row>
    <row r="10871" spans="1:5">
      <c r="A10871" s="12"/>
      <c r="E10871" s="57" t="str">
        <f ca="1">IFERROR(__xludf.DUMMYFUNCTION("""COMPUTED_VALUE"""),"")</f>
        <v/>
      </c>
    </row>
    <row r="10872" spans="1:5">
      <c r="A10872" s="12"/>
      <c r="E10872" s="57" t="str">
        <f ca="1">IFERROR(__xludf.DUMMYFUNCTION("""COMPUTED_VALUE"""),"")</f>
        <v/>
      </c>
    </row>
    <row r="10873" spans="1:5">
      <c r="A10873" s="12"/>
      <c r="E10873" s="57" t="str">
        <f ca="1">IFERROR(__xludf.DUMMYFUNCTION("""COMPUTED_VALUE"""),"")</f>
        <v/>
      </c>
    </row>
    <row r="10874" spans="1:5">
      <c r="A10874" s="12"/>
      <c r="E10874" s="57" t="str">
        <f ca="1">IFERROR(__xludf.DUMMYFUNCTION("""COMPUTED_VALUE"""),"")</f>
        <v/>
      </c>
    </row>
    <row r="10875" spans="1:5">
      <c r="A10875" s="12"/>
      <c r="E10875" s="57" t="str">
        <f ca="1">IFERROR(__xludf.DUMMYFUNCTION("""COMPUTED_VALUE"""),"")</f>
        <v/>
      </c>
    </row>
    <row r="10876" spans="1:5">
      <c r="A10876" s="12"/>
      <c r="E10876" s="57" t="str">
        <f ca="1">IFERROR(__xludf.DUMMYFUNCTION("""COMPUTED_VALUE"""),"")</f>
        <v/>
      </c>
    </row>
    <row r="10877" spans="1:5">
      <c r="A10877" s="12"/>
      <c r="E10877" s="57" t="str">
        <f ca="1">IFERROR(__xludf.DUMMYFUNCTION("""COMPUTED_VALUE"""),"")</f>
        <v/>
      </c>
    </row>
    <row r="10878" spans="1:5">
      <c r="A10878" s="12"/>
      <c r="E10878" s="57" t="str">
        <f ca="1">IFERROR(__xludf.DUMMYFUNCTION("""COMPUTED_VALUE"""),"")</f>
        <v/>
      </c>
    </row>
    <row r="10879" spans="1:5">
      <c r="A10879" s="12"/>
      <c r="E10879" s="57" t="str">
        <f ca="1">IFERROR(__xludf.DUMMYFUNCTION("""COMPUTED_VALUE"""),"")</f>
        <v/>
      </c>
    </row>
    <row r="10880" spans="1:5">
      <c r="A10880" s="12"/>
      <c r="E10880" s="57" t="str">
        <f ca="1">IFERROR(__xludf.DUMMYFUNCTION("""COMPUTED_VALUE"""),"")</f>
        <v/>
      </c>
    </row>
    <row r="10881" spans="1:5">
      <c r="A10881" s="12"/>
      <c r="E10881" s="57" t="str">
        <f ca="1">IFERROR(__xludf.DUMMYFUNCTION("""COMPUTED_VALUE"""),"")</f>
        <v/>
      </c>
    </row>
    <row r="10882" spans="1:5">
      <c r="A10882" s="12"/>
      <c r="E10882" s="57" t="str">
        <f ca="1">IFERROR(__xludf.DUMMYFUNCTION("""COMPUTED_VALUE"""),"")</f>
        <v/>
      </c>
    </row>
    <row r="10883" spans="1:5">
      <c r="A10883" s="12"/>
      <c r="E10883" s="57" t="str">
        <f ca="1">IFERROR(__xludf.DUMMYFUNCTION("""COMPUTED_VALUE"""),"")</f>
        <v/>
      </c>
    </row>
    <row r="10884" spans="1:5">
      <c r="A10884" s="12"/>
      <c r="E10884" s="57" t="str">
        <f ca="1">IFERROR(__xludf.DUMMYFUNCTION("""COMPUTED_VALUE"""),"")</f>
        <v/>
      </c>
    </row>
    <row r="10885" spans="1:5">
      <c r="A10885" s="12"/>
      <c r="E10885" s="57" t="str">
        <f ca="1">IFERROR(__xludf.DUMMYFUNCTION("""COMPUTED_VALUE"""),"")</f>
        <v/>
      </c>
    </row>
    <row r="10886" spans="1:5">
      <c r="A10886" s="12"/>
      <c r="E10886" s="57" t="str">
        <f ca="1">IFERROR(__xludf.DUMMYFUNCTION("""COMPUTED_VALUE"""),"")</f>
        <v/>
      </c>
    </row>
    <row r="10887" spans="1:5">
      <c r="A10887" s="12"/>
      <c r="E10887" s="57" t="str">
        <f ca="1">IFERROR(__xludf.DUMMYFUNCTION("""COMPUTED_VALUE"""),"")</f>
        <v/>
      </c>
    </row>
    <row r="10888" spans="1:5">
      <c r="A10888" s="12"/>
      <c r="E10888" s="57" t="str">
        <f ca="1">IFERROR(__xludf.DUMMYFUNCTION("""COMPUTED_VALUE"""),"")</f>
        <v/>
      </c>
    </row>
    <row r="10889" spans="1:5">
      <c r="A10889" s="12"/>
      <c r="E10889" s="57" t="str">
        <f ca="1">IFERROR(__xludf.DUMMYFUNCTION("""COMPUTED_VALUE"""),"")</f>
        <v/>
      </c>
    </row>
    <row r="10890" spans="1:5">
      <c r="A10890" s="12"/>
      <c r="E10890" s="57" t="str">
        <f ca="1">IFERROR(__xludf.DUMMYFUNCTION("""COMPUTED_VALUE"""),"")</f>
        <v/>
      </c>
    </row>
    <row r="10891" spans="1:5">
      <c r="A10891" s="12"/>
      <c r="E10891" s="57" t="str">
        <f ca="1">IFERROR(__xludf.DUMMYFUNCTION("""COMPUTED_VALUE"""),"")</f>
        <v/>
      </c>
    </row>
    <row r="10892" spans="1:5">
      <c r="A10892" s="12"/>
      <c r="E10892" s="57" t="str">
        <f ca="1">IFERROR(__xludf.DUMMYFUNCTION("""COMPUTED_VALUE"""),"")</f>
        <v/>
      </c>
    </row>
    <row r="10893" spans="1:5">
      <c r="A10893" s="12"/>
      <c r="E10893" s="57" t="str">
        <f ca="1">IFERROR(__xludf.DUMMYFUNCTION("""COMPUTED_VALUE"""),"")</f>
        <v/>
      </c>
    </row>
    <row r="10894" spans="1:5">
      <c r="A10894" s="12"/>
      <c r="E10894" s="57" t="str">
        <f ca="1">IFERROR(__xludf.DUMMYFUNCTION("""COMPUTED_VALUE"""),"")</f>
        <v/>
      </c>
    </row>
    <row r="10895" spans="1:5">
      <c r="A10895" s="12"/>
      <c r="E10895" s="57" t="str">
        <f ca="1">IFERROR(__xludf.DUMMYFUNCTION("""COMPUTED_VALUE"""),"")</f>
        <v/>
      </c>
    </row>
    <row r="10896" spans="1:5">
      <c r="A10896" s="12"/>
      <c r="E10896" s="57" t="str">
        <f ca="1">IFERROR(__xludf.DUMMYFUNCTION("""COMPUTED_VALUE"""),"")</f>
        <v/>
      </c>
    </row>
    <row r="10897" spans="1:5">
      <c r="A10897" s="12"/>
      <c r="E10897" s="57" t="str">
        <f ca="1">IFERROR(__xludf.DUMMYFUNCTION("""COMPUTED_VALUE"""),"")</f>
        <v/>
      </c>
    </row>
    <row r="10898" spans="1:5">
      <c r="A10898" s="12"/>
      <c r="E10898" s="57" t="str">
        <f ca="1">IFERROR(__xludf.DUMMYFUNCTION("""COMPUTED_VALUE"""),"")</f>
        <v/>
      </c>
    </row>
    <row r="10899" spans="1:5">
      <c r="A10899" s="12"/>
      <c r="E10899" s="57" t="str">
        <f ca="1">IFERROR(__xludf.DUMMYFUNCTION("""COMPUTED_VALUE"""),"")</f>
        <v/>
      </c>
    </row>
    <row r="10900" spans="1:5">
      <c r="A10900" s="12"/>
      <c r="E10900" s="57" t="str">
        <f ca="1">IFERROR(__xludf.DUMMYFUNCTION("""COMPUTED_VALUE"""),"")</f>
        <v/>
      </c>
    </row>
    <row r="10901" spans="1:5">
      <c r="A10901" s="12"/>
      <c r="E10901" s="57" t="str">
        <f ca="1">IFERROR(__xludf.DUMMYFUNCTION("""COMPUTED_VALUE"""),"")</f>
        <v/>
      </c>
    </row>
    <row r="10902" spans="1:5">
      <c r="A10902" s="12"/>
      <c r="E10902" s="57" t="str">
        <f ca="1">IFERROR(__xludf.DUMMYFUNCTION("""COMPUTED_VALUE"""),"")</f>
        <v/>
      </c>
    </row>
    <row r="10903" spans="1:5">
      <c r="A10903" s="12"/>
      <c r="E10903" s="57" t="str">
        <f ca="1">IFERROR(__xludf.DUMMYFUNCTION("""COMPUTED_VALUE"""),"")</f>
        <v/>
      </c>
    </row>
    <row r="10904" spans="1:5">
      <c r="A10904" s="12"/>
      <c r="E10904" s="57" t="str">
        <f ca="1">IFERROR(__xludf.DUMMYFUNCTION("""COMPUTED_VALUE"""),"")</f>
        <v/>
      </c>
    </row>
    <row r="10905" spans="1:5">
      <c r="A10905" s="12"/>
      <c r="E10905" s="57" t="str">
        <f ca="1">IFERROR(__xludf.DUMMYFUNCTION("""COMPUTED_VALUE"""),"")</f>
        <v/>
      </c>
    </row>
    <row r="10906" spans="1:5">
      <c r="A10906" s="12"/>
      <c r="E10906" s="57" t="str">
        <f ca="1">IFERROR(__xludf.DUMMYFUNCTION("""COMPUTED_VALUE"""),"")</f>
        <v/>
      </c>
    </row>
    <row r="10907" spans="1:5">
      <c r="A10907" s="12"/>
      <c r="E10907" s="57" t="str">
        <f ca="1">IFERROR(__xludf.DUMMYFUNCTION("""COMPUTED_VALUE"""),"")</f>
        <v/>
      </c>
    </row>
    <row r="10908" spans="1:5">
      <c r="A10908" s="12"/>
      <c r="E10908" s="57" t="str">
        <f ca="1">IFERROR(__xludf.DUMMYFUNCTION("""COMPUTED_VALUE"""),"")</f>
        <v/>
      </c>
    </row>
    <row r="10909" spans="1:5">
      <c r="A10909" s="12"/>
      <c r="E10909" s="57" t="str">
        <f ca="1">IFERROR(__xludf.DUMMYFUNCTION("""COMPUTED_VALUE"""),"")</f>
        <v/>
      </c>
    </row>
    <row r="10910" spans="1:5">
      <c r="A10910" s="12"/>
      <c r="E10910" s="57" t="str">
        <f ca="1">IFERROR(__xludf.DUMMYFUNCTION("""COMPUTED_VALUE"""),"")</f>
        <v/>
      </c>
    </row>
    <row r="10911" spans="1:5">
      <c r="A10911" s="12"/>
      <c r="E10911" s="57" t="str">
        <f ca="1">IFERROR(__xludf.DUMMYFUNCTION("""COMPUTED_VALUE"""),"")</f>
        <v/>
      </c>
    </row>
    <row r="10912" spans="1:5">
      <c r="A10912" s="12"/>
      <c r="E10912" s="57" t="str">
        <f ca="1">IFERROR(__xludf.DUMMYFUNCTION("""COMPUTED_VALUE"""),"")</f>
        <v/>
      </c>
    </row>
    <row r="10913" spans="1:5">
      <c r="A10913" s="12"/>
      <c r="E10913" s="57" t="str">
        <f ca="1">IFERROR(__xludf.DUMMYFUNCTION("""COMPUTED_VALUE"""),"")</f>
        <v/>
      </c>
    </row>
    <row r="10914" spans="1:5">
      <c r="A10914" s="12"/>
      <c r="E10914" s="57" t="str">
        <f ca="1">IFERROR(__xludf.DUMMYFUNCTION("""COMPUTED_VALUE"""),"")</f>
        <v/>
      </c>
    </row>
    <row r="10915" spans="1:5">
      <c r="A10915" s="12"/>
      <c r="E10915" s="57" t="str">
        <f ca="1">IFERROR(__xludf.DUMMYFUNCTION("""COMPUTED_VALUE"""),"")</f>
        <v/>
      </c>
    </row>
    <row r="10916" spans="1:5">
      <c r="A10916" s="12"/>
      <c r="E10916" s="57" t="str">
        <f ca="1">IFERROR(__xludf.DUMMYFUNCTION("""COMPUTED_VALUE"""),"")</f>
        <v/>
      </c>
    </row>
    <row r="10917" spans="1:5">
      <c r="A10917" s="12"/>
      <c r="E10917" s="57" t="str">
        <f ca="1">IFERROR(__xludf.DUMMYFUNCTION("""COMPUTED_VALUE"""),"")</f>
        <v/>
      </c>
    </row>
    <row r="10918" spans="1:5">
      <c r="A10918" s="12"/>
      <c r="E10918" s="57" t="str">
        <f ca="1">IFERROR(__xludf.DUMMYFUNCTION("""COMPUTED_VALUE"""),"")</f>
        <v/>
      </c>
    </row>
    <row r="10919" spans="1:5">
      <c r="A10919" s="12"/>
      <c r="E10919" s="57" t="str">
        <f ca="1">IFERROR(__xludf.DUMMYFUNCTION("""COMPUTED_VALUE"""),"")</f>
        <v/>
      </c>
    </row>
    <row r="10920" spans="1:5">
      <c r="A10920" s="12"/>
      <c r="E10920" s="57" t="str">
        <f ca="1">IFERROR(__xludf.DUMMYFUNCTION("""COMPUTED_VALUE"""),"")</f>
        <v/>
      </c>
    </row>
    <row r="10921" spans="1:5">
      <c r="A10921" s="12"/>
      <c r="E10921" s="57" t="str">
        <f ca="1">IFERROR(__xludf.DUMMYFUNCTION("""COMPUTED_VALUE"""),"")</f>
        <v/>
      </c>
    </row>
    <row r="10922" spans="1:5">
      <c r="A10922" s="12"/>
      <c r="E10922" s="57" t="str">
        <f ca="1">IFERROR(__xludf.DUMMYFUNCTION("""COMPUTED_VALUE"""),"")</f>
        <v/>
      </c>
    </row>
    <row r="10923" spans="1:5">
      <c r="A10923" s="12"/>
      <c r="E10923" s="57" t="str">
        <f ca="1">IFERROR(__xludf.DUMMYFUNCTION("""COMPUTED_VALUE"""),"")</f>
        <v/>
      </c>
    </row>
    <row r="10924" spans="1:5">
      <c r="A10924" s="12"/>
      <c r="E10924" s="57" t="str">
        <f ca="1">IFERROR(__xludf.DUMMYFUNCTION("""COMPUTED_VALUE"""),"")</f>
        <v/>
      </c>
    </row>
    <row r="10925" spans="1:5">
      <c r="A10925" s="12"/>
      <c r="E10925" s="57" t="str">
        <f ca="1">IFERROR(__xludf.DUMMYFUNCTION("""COMPUTED_VALUE"""),"")</f>
        <v/>
      </c>
    </row>
    <row r="10926" spans="1:5">
      <c r="A10926" s="12"/>
      <c r="E10926" s="57" t="str">
        <f ca="1">IFERROR(__xludf.DUMMYFUNCTION("""COMPUTED_VALUE"""),"")</f>
        <v/>
      </c>
    </row>
    <row r="10927" spans="1:5">
      <c r="A10927" s="12"/>
      <c r="E10927" s="57" t="str">
        <f ca="1">IFERROR(__xludf.DUMMYFUNCTION("""COMPUTED_VALUE"""),"")</f>
        <v/>
      </c>
    </row>
    <row r="10928" spans="1:5">
      <c r="A10928" s="12"/>
      <c r="E10928" s="57" t="str">
        <f ca="1">IFERROR(__xludf.DUMMYFUNCTION("""COMPUTED_VALUE"""),"")</f>
        <v/>
      </c>
    </row>
    <row r="10929" spans="1:5">
      <c r="A10929" s="12"/>
      <c r="E10929" s="57" t="str">
        <f ca="1">IFERROR(__xludf.DUMMYFUNCTION("""COMPUTED_VALUE"""),"")</f>
        <v/>
      </c>
    </row>
    <row r="10930" spans="1:5">
      <c r="A10930" s="12"/>
      <c r="E10930" s="57" t="str">
        <f ca="1">IFERROR(__xludf.DUMMYFUNCTION("""COMPUTED_VALUE"""),"")</f>
        <v/>
      </c>
    </row>
    <row r="10931" spans="1:5">
      <c r="A10931" s="12"/>
      <c r="E10931" s="57" t="str">
        <f ca="1">IFERROR(__xludf.DUMMYFUNCTION("""COMPUTED_VALUE"""),"")</f>
        <v/>
      </c>
    </row>
    <row r="10932" spans="1:5">
      <c r="A10932" s="12"/>
      <c r="E10932" s="57" t="str">
        <f ca="1">IFERROR(__xludf.DUMMYFUNCTION("""COMPUTED_VALUE"""),"")</f>
        <v/>
      </c>
    </row>
    <row r="10933" spans="1:5">
      <c r="A10933" s="12"/>
      <c r="E10933" s="57" t="str">
        <f ca="1">IFERROR(__xludf.DUMMYFUNCTION("""COMPUTED_VALUE"""),"")</f>
        <v/>
      </c>
    </row>
    <row r="10934" spans="1:5">
      <c r="A10934" s="12"/>
      <c r="E10934" s="57" t="str">
        <f ca="1">IFERROR(__xludf.DUMMYFUNCTION("""COMPUTED_VALUE"""),"")</f>
        <v/>
      </c>
    </row>
    <row r="10935" spans="1:5">
      <c r="A10935" s="12"/>
      <c r="E10935" s="57" t="str">
        <f ca="1">IFERROR(__xludf.DUMMYFUNCTION("""COMPUTED_VALUE"""),"")</f>
        <v/>
      </c>
    </row>
    <row r="10936" spans="1:5">
      <c r="A10936" s="12"/>
      <c r="E10936" s="57" t="str">
        <f ca="1">IFERROR(__xludf.DUMMYFUNCTION("""COMPUTED_VALUE"""),"")</f>
        <v/>
      </c>
    </row>
    <row r="10937" spans="1:5">
      <c r="A10937" s="12"/>
      <c r="E10937" s="57" t="str">
        <f ca="1">IFERROR(__xludf.DUMMYFUNCTION("""COMPUTED_VALUE"""),"")</f>
        <v/>
      </c>
    </row>
    <row r="10938" spans="1:5">
      <c r="A10938" s="12"/>
      <c r="E10938" s="57" t="str">
        <f ca="1">IFERROR(__xludf.DUMMYFUNCTION("""COMPUTED_VALUE"""),"")</f>
        <v/>
      </c>
    </row>
    <row r="10939" spans="1:5">
      <c r="A10939" s="12"/>
      <c r="E10939" s="57" t="str">
        <f ca="1">IFERROR(__xludf.DUMMYFUNCTION("""COMPUTED_VALUE"""),"")</f>
        <v/>
      </c>
    </row>
    <row r="10940" spans="1:5">
      <c r="A10940" s="12"/>
      <c r="E10940" s="57" t="str">
        <f ca="1">IFERROR(__xludf.DUMMYFUNCTION("""COMPUTED_VALUE"""),"")</f>
        <v/>
      </c>
    </row>
    <row r="10941" spans="1:5">
      <c r="A10941" s="12"/>
      <c r="E10941" s="57" t="str">
        <f ca="1">IFERROR(__xludf.DUMMYFUNCTION("""COMPUTED_VALUE"""),"")</f>
        <v/>
      </c>
    </row>
    <row r="10942" spans="1:5">
      <c r="A10942" s="12"/>
      <c r="E10942" s="57" t="str">
        <f ca="1">IFERROR(__xludf.DUMMYFUNCTION("""COMPUTED_VALUE"""),"")</f>
        <v/>
      </c>
    </row>
    <row r="10943" spans="1:5">
      <c r="A10943" s="12"/>
      <c r="E10943" s="57" t="str">
        <f ca="1">IFERROR(__xludf.DUMMYFUNCTION("""COMPUTED_VALUE"""),"")</f>
        <v/>
      </c>
    </row>
    <row r="10944" spans="1:5">
      <c r="A10944" s="12"/>
      <c r="E10944" s="57" t="str">
        <f ca="1">IFERROR(__xludf.DUMMYFUNCTION("""COMPUTED_VALUE"""),"")</f>
        <v/>
      </c>
    </row>
    <row r="10945" spans="1:5">
      <c r="A10945" s="12"/>
      <c r="E10945" s="57" t="str">
        <f ca="1">IFERROR(__xludf.DUMMYFUNCTION("""COMPUTED_VALUE"""),"")</f>
        <v/>
      </c>
    </row>
    <row r="10946" spans="1:5">
      <c r="A10946" s="12"/>
      <c r="E10946" s="57" t="str">
        <f ca="1">IFERROR(__xludf.DUMMYFUNCTION("""COMPUTED_VALUE"""),"")</f>
        <v/>
      </c>
    </row>
    <row r="10947" spans="1:5">
      <c r="A10947" s="12"/>
      <c r="E10947" s="57" t="str">
        <f ca="1">IFERROR(__xludf.DUMMYFUNCTION("""COMPUTED_VALUE"""),"")</f>
        <v/>
      </c>
    </row>
    <row r="10948" spans="1:5">
      <c r="A10948" s="12"/>
      <c r="E10948" s="57" t="str">
        <f ca="1">IFERROR(__xludf.DUMMYFUNCTION("""COMPUTED_VALUE"""),"")</f>
        <v/>
      </c>
    </row>
    <row r="10949" spans="1:5">
      <c r="A10949" s="12"/>
      <c r="E10949" s="57" t="str">
        <f ca="1">IFERROR(__xludf.DUMMYFUNCTION("""COMPUTED_VALUE"""),"")</f>
        <v/>
      </c>
    </row>
    <row r="10950" spans="1:5">
      <c r="A10950" s="12"/>
      <c r="E10950" s="57" t="str">
        <f ca="1">IFERROR(__xludf.DUMMYFUNCTION("""COMPUTED_VALUE"""),"")</f>
        <v/>
      </c>
    </row>
    <row r="10951" spans="1:5">
      <c r="A10951" s="12"/>
      <c r="E10951" s="57" t="str">
        <f ca="1">IFERROR(__xludf.DUMMYFUNCTION("""COMPUTED_VALUE"""),"")</f>
        <v/>
      </c>
    </row>
    <row r="10952" spans="1:5">
      <c r="A10952" s="12"/>
      <c r="E10952" s="57" t="str">
        <f ca="1">IFERROR(__xludf.DUMMYFUNCTION("""COMPUTED_VALUE"""),"")</f>
        <v/>
      </c>
    </row>
    <row r="10953" spans="1:5">
      <c r="A10953" s="12"/>
      <c r="E10953" s="57" t="str">
        <f ca="1">IFERROR(__xludf.DUMMYFUNCTION("""COMPUTED_VALUE"""),"")</f>
        <v/>
      </c>
    </row>
    <row r="10954" spans="1:5">
      <c r="A10954" s="12"/>
      <c r="E10954" s="57" t="str">
        <f ca="1">IFERROR(__xludf.DUMMYFUNCTION("""COMPUTED_VALUE"""),"")</f>
        <v/>
      </c>
    </row>
    <row r="10955" spans="1:5">
      <c r="A10955" s="12"/>
      <c r="E10955" s="57" t="str">
        <f ca="1">IFERROR(__xludf.DUMMYFUNCTION("""COMPUTED_VALUE"""),"")</f>
        <v/>
      </c>
    </row>
    <row r="10956" spans="1:5">
      <c r="A10956" s="12"/>
      <c r="E10956" s="57" t="str">
        <f ca="1">IFERROR(__xludf.DUMMYFUNCTION("""COMPUTED_VALUE"""),"")</f>
        <v/>
      </c>
    </row>
    <row r="10957" spans="1:5">
      <c r="A10957" s="12"/>
      <c r="E10957" s="57" t="str">
        <f ca="1">IFERROR(__xludf.DUMMYFUNCTION("""COMPUTED_VALUE"""),"")</f>
        <v/>
      </c>
    </row>
    <row r="10958" spans="1:5">
      <c r="A10958" s="12"/>
      <c r="E10958" s="57" t="str">
        <f ca="1">IFERROR(__xludf.DUMMYFUNCTION("""COMPUTED_VALUE"""),"")</f>
        <v/>
      </c>
    </row>
    <row r="10959" spans="1:5">
      <c r="A10959" s="12"/>
      <c r="E10959" s="57" t="str">
        <f ca="1">IFERROR(__xludf.DUMMYFUNCTION("""COMPUTED_VALUE"""),"")</f>
        <v/>
      </c>
    </row>
    <row r="10960" spans="1:5">
      <c r="A10960" s="12"/>
      <c r="E10960" s="57" t="str">
        <f ca="1">IFERROR(__xludf.DUMMYFUNCTION("""COMPUTED_VALUE"""),"")</f>
        <v/>
      </c>
    </row>
    <row r="10961" spans="1:5">
      <c r="A10961" s="12"/>
      <c r="E10961" s="57" t="str">
        <f ca="1">IFERROR(__xludf.DUMMYFUNCTION("""COMPUTED_VALUE"""),"")</f>
        <v/>
      </c>
    </row>
    <row r="10962" spans="1:5">
      <c r="A10962" s="12"/>
      <c r="E10962" s="57" t="str">
        <f ca="1">IFERROR(__xludf.DUMMYFUNCTION("""COMPUTED_VALUE"""),"")</f>
        <v/>
      </c>
    </row>
    <row r="10963" spans="1:5">
      <c r="A10963" s="12"/>
      <c r="E10963" s="57" t="str">
        <f ca="1">IFERROR(__xludf.DUMMYFUNCTION("""COMPUTED_VALUE"""),"")</f>
        <v/>
      </c>
    </row>
    <row r="10964" spans="1:5">
      <c r="A10964" s="12"/>
      <c r="E10964" s="57" t="str">
        <f ca="1">IFERROR(__xludf.DUMMYFUNCTION("""COMPUTED_VALUE"""),"")</f>
        <v/>
      </c>
    </row>
    <row r="10965" spans="1:5">
      <c r="A10965" s="12"/>
      <c r="E10965" s="57" t="str">
        <f ca="1">IFERROR(__xludf.DUMMYFUNCTION("""COMPUTED_VALUE"""),"")</f>
        <v/>
      </c>
    </row>
    <row r="10966" spans="1:5">
      <c r="A10966" s="12"/>
      <c r="E10966" s="57" t="str">
        <f ca="1">IFERROR(__xludf.DUMMYFUNCTION("""COMPUTED_VALUE"""),"")</f>
        <v/>
      </c>
    </row>
    <row r="10967" spans="1:5">
      <c r="A10967" s="12"/>
      <c r="E10967" s="57" t="str">
        <f ca="1">IFERROR(__xludf.DUMMYFUNCTION("""COMPUTED_VALUE"""),"")</f>
        <v/>
      </c>
    </row>
    <row r="10968" spans="1:5">
      <c r="A10968" s="12"/>
      <c r="E10968" s="57" t="str">
        <f ca="1">IFERROR(__xludf.DUMMYFUNCTION("""COMPUTED_VALUE"""),"")</f>
        <v/>
      </c>
    </row>
    <row r="10969" spans="1:5">
      <c r="A10969" s="12"/>
      <c r="E10969" s="57" t="str">
        <f ca="1">IFERROR(__xludf.DUMMYFUNCTION("""COMPUTED_VALUE"""),"")</f>
        <v/>
      </c>
    </row>
    <row r="10970" spans="1:5">
      <c r="A10970" s="12"/>
      <c r="E10970" s="57" t="str">
        <f ca="1">IFERROR(__xludf.DUMMYFUNCTION("""COMPUTED_VALUE"""),"")</f>
        <v/>
      </c>
    </row>
    <row r="10971" spans="1:5">
      <c r="A10971" s="12"/>
      <c r="E10971" s="57" t="str">
        <f ca="1">IFERROR(__xludf.DUMMYFUNCTION("""COMPUTED_VALUE"""),"")</f>
        <v/>
      </c>
    </row>
    <row r="10972" spans="1:5">
      <c r="A10972" s="12"/>
      <c r="E10972" s="57" t="str">
        <f ca="1">IFERROR(__xludf.DUMMYFUNCTION("""COMPUTED_VALUE"""),"")</f>
        <v/>
      </c>
    </row>
    <row r="10973" spans="1:5">
      <c r="A10973" s="12"/>
      <c r="E10973" s="57" t="str">
        <f ca="1">IFERROR(__xludf.DUMMYFUNCTION("""COMPUTED_VALUE"""),"")</f>
        <v/>
      </c>
    </row>
    <row r="10974" spans="1:5">
      <c r="A10974" s="12"/>
      <c r="E10974" s="57" t="str">
        <f ca="1">IFERROR(__xludf.DUMMYFUNCTION("""COMPUTED_VALUE"""),"")</f>
        <v/>
      </c>
    </row>
    <row r="10975" spans="1:5">
      <c r="A10975" s="12"/>
      <c r="E10975" s="57" t="str">
        <f ca="1">IFERROR(__xludf.DUMMYFUNCTION("""COMPUTED_VALUE"""),"")</f>
        <v/>
      </c>
    </row>
    <row r="10976" spans="1:5">
      <c r="A10976" s="12"/>
      <c r="E10976" s="57" t="str">
        <f ca="1">IFERROR(__xludf.DUMMYFUNCTION("""COMPUTED_VALUE"""),"")</f>
        <v/>
      </c>
    </row>
    <row r="10977" spans="1:5">
      <c r="A10977" s="12"/>
      <c r="E10977" s="57" t="str">
        <f ca="1">IFERROR(__xludf.DUMMYFUNCTION("""COMPUTED_VALUE"""),"")</f>
        <v/>
      </c>
    </row>
    <row r="10978" spans="1:5">
      <c r="A10978" s="12"/>
      <c r="E10978" s="57" t="str">
        <f ca="1">IFERROR(__xludf.DUMMYFUNCTION("""COMPUTED_VALUE"""),"")</f>
        <v/>
      </c>
    </row>
    <row r="10979" spans="1:5">
      <c r="A10979" s="12"/>
      <c r="E10979" s="57" t="str">
        <f ca="1">IFERROR(__xludf.DUMMYFUNCTION("""COMPUTED_VALUE"""),"")</f>
        <v/>
      </c>
    </row>
    <row r="10980" spans="1:5">
      <c r="A10980" s="12"/>
      <c r="E10980" s="57" t="str">
        <f ca="1">IFERROR(__xludf.DUMMYFUNCTION("""COMPUTED_VALUE"""),"")</f>
        <v/>
      </c>
    </row>
    <row r="10981" spans="1:5">
      <c r="A10981" s="12"/>
      <c r="E10981" s="57" t="str">
        <f ca="1">IFERROR(__xludf.DUMMYFUNCTION("""COMPUTED_VALUE"""),"")</f>
        <v/>
      </c>
    </row>
    <row r="10982" spans="1:5">
      <c r="A10982" s="12"/>
      <c r="E10982" s="57" t="str">
        <f ca="1">IFERROR(__xludf.DUMMYFUNCTION("""COMPUTED_VALUE"""),"")</f>
        <v/>
      </c>
    </row>
    <row r="10983" spans="1:5">
      <c r="A10983" s="12"/>
      <c r="E10983" s="57" t="str">
        <f ca="1">IFERROR(__xludf.DUMMYFUNCTION("""COMPUTED_VALUE"""),"")</f>
        <v/>
      </c>
    </row>
    <row r="10984" spans="1:5">
      <c r="A10984" s="12"/>
      <c r="E10984" s="57" t="str">
        <f ca="1">IFERROR(__xludf.DUMMYFUNCTION("""COMPUTED_VALUE"""),"")</f>
        <v/>
      </c>
    </row>
    <row r="10985" spans="1:5">
      <c r="A10985" s="12"/>
      <c r="E10985" s="57" t="str">
        <f ca="1">IFERROR(__xludf.DUMMYFUNCTION("""COMPUTED_VALUE"""),"")</f>
        <v/>
      </c>
    </row>
    <row r="10986" spans="1:5">
      <c r="A10986" s="12"/>
      <c r="E10986" s="57" t="str">
        <f ca="1">IFERROR(__xludf.DUMMYFUNCTION("""COMPUTED_VALUE"""),"")</f>
        <v/>
      </c>
    </row>
    <row r="10987" spans="1:5">
      <c r="A10987" s="12"/>
      <c r="E10987" s="57" t="str">
        <f ca="1">IFERROR(__xludf.DUMMYFUNCTION("""COMPUTED_VALUE"""),"")</f>
        <v/>
      </c>
    </row>
    <row r="10988" spans="1:5">
      <c r="A10988" s="12"/>
      <c r="E10988" s="57" t="str">
        <f ca="1">IFERROR(__xludf.DUMMYFUNCTION("""COMPUTED_VALUE"""),"")</f>
        <v/>
      </c>
    </row>
    <row r="10989" spans="1:5">
      <c r="A10989" s="12"/>
      <c r="E10989" s="57" t="str">
        <f ca="1">IFERROR(__xludf.DUMMYFUNCTION("""COMPUTED_VALUE"""),"")</f>
        <v/>
      </c>
    </row>
    <row r="10990" spans="1:5">
      <c r="A10990" s="12"/>
      <c r="E10990" s="57" t="str">
        <f ca="1">IFERROR(__xludf.DUMMYFUNCTION("""COMPUTED_VALUE"""),"")</f>
        <v/>
      </c>
    </row>
    <row r="10991" spans="1:5">
      <c r="A10991" s="12"/>
      <c r="E10991" s="57" t="str">
        <f ca="1">IFERROR(__xludf.DUMMYFUNCTION("""COMPUTED_VALUE"""),"")</f>
        <v/>
      </c>
    </row>
    <row r="10992" spans="1:5">
      <c r="A10992" s="12"/>
      <c r="E10992" s="57" t="str">
        <f ca="1">IFERROR(__xludf.DUMMYFUNCTION("""COMPUTED_VALUE"""),"")</f>
        <v/>
      </c>
    </row>
    <row r="10993" spans="1:5">
      <c r="A10993" s="12"/>
      <c r="E10993" s="57" t="str">
        <f ca="1">IFERROR(__xludf.DUMMYFUNCTION("""COMPUTED_VALUE"""),"")</f>
        <v/>
      </c>
    </row>
    <row r="10994" spans="1:5">
      <c r="A10994" s="12"/>
      <c r="E10994" s="57" t="str">
        <f ca="1">IFERROR(__xludf.DUMMYFUNCTION("""COMPUTED_VALUE"""),"")</f>
        <v/>
      </c>
    </row>
    <row r="10995" spans="1:5">
      <c r="A10995" s="12"/>
      <c r="E10995" s="57" t="str">
        <f ca="1">IFERROR(__xludf.DUMMYFUNCTION("""COMPUTED_VALUE"""),"")</f>
        <v/>
      </c>
    </row>
    <row r="10996" spans="1:5">
      <c r="A10996" s="12"/>
      <c r="E10996" s="57" t="str">
        <f ca="1">IFERROR(__xludf.DUMMYFUNCTION("""COMPUTED_VALUE"""),"")</f>
        <v/>
      </c>
    </row>
    <row r="10997" spans="1:5">
      <c r="A10997" s="12"/>
      <c r="E10997" s="57" t="str">
        <f ca="1">IFERROR(__xludf.DUMMYFUNCTION("""COMPUTED_VALUE"""),"")</f>
        <v/>
      </c>
    </row>
    <row r="10998" spans="1:5">
      <c r="A10998" s="12"/>
      <c r="E10998" s="57" t="str">
        <f ca="1">IFERROR(__xludf.DUMMYFUNCTION("""COMPUTED_VALUE"""),"")</f>
        <v/>
      </c>
    </row>
    <row r="10999" spans="1:5">
      <c r="A10999" s="12"/>
      <c r="E10999" s="57" t="str">
        <f ca="1">IFERROR(__xludf.DUMMYFUNCTION("""COMPUTED_VALUE"""),"")</f>
        <v/>
      </c>
    </row>
    <row r="11000" spans="1:5">
      <c r="A11000" s="12"/>
      <c r="E11000" s="57" t="str">
        <f ca="1">IFERROR(__xludf.DUMMYFUNCTION("""COMPUTED_VALUE"""),"")</f>
        <v/>
      </c>
    </row>
    <row r="11001" spans="1:5">
      <c r="A11001" s="12"/>
      <c r="E11001" s="57" t="str">
        <f ca="1">IFERROR(__xludf.DUMMYFUNCTION("""COMPUTED_VALUE"""),"")</f>
        <v/>
      </c>
    </row>
    <row r="11002" spans="1:5">
      <c r="A11002" s="12"/>
      <c r="E11002" s="57" t="str">
        <f ca="1">IFERROR(__xludf.DUMMYFUNCTION("""COMPUTED_VALUE"""),"")</f>
        <v/>
      </c>
    </row>
    <row r="11003" spans="1:5">
      <c r="A11003" s="12"/>
      <c r="E11003" s="57" t="str">
        <f ca="1">IFERROR(__xludf.DUMMYFUNCTION("""COMPUTED_VALUE"""),"")</f>
        <v/>
      </c>
    </row>
    <row r="11004" spans="1:5">
      <c r="A11004" s="12"/>
      <c r="E11004" s="57" t="str">
        <f ca="1">IFERROR(__xludf.DUMMYFUNCTION("""COMPUTED_VALUE"""),"")</f>
        <v/>
      </c>
    </row>
    <row r="11005" spans="1:5">
      <c r="A11005" s="12"/>
      <c r="E11005" s="57" t="str">
        <f ca="1">IFERROR(__xludf.DUMMYFUNCTION("""COMPUTED_VALUE"""),"")</f>
        <v/>
      </c>
    </row>
    <row r="11006" spans="1:5">
      <c r="A11006" s="12"/>
      <c r="E11006" s="57" t="str">
        <f ca="1">IFERROR(__xludf.DUMMYFUNCTION("""COMPUTED_VALUE"""),"")</f>
        <v/>
      </c>
    </row>
    <row r="11007" spans="1:5">
      <c r="A11007" s="12"/>
      <c r="E11007" s="57" t="str">
        <f ca="1">IFERROR(__xludf.DUMMYFUNCTION("""COMPUTED_VALUE"""),"")</f>
        <v/>
      </c>
    </row>
    <row r="11008" spans="1:5">
      <c r="A11008" s="12"/>
      <c r="E11008" s="57" t="str">
        <f ca="1">IFERROR(__xludf.DUMMYFUNCTION("""COMPUTED_VALUE"""),"")</f>
        <v/>
      </c>
    </row>
    <row r="11009" spans="1:5">
      <c r="A11009" s="12"/>
      <c r="E11009" s="57" t="str">
        <f ca="1">IFERROR(__xludf.DUMMYFUNCTION("""COMPUTED_VALUE"""),"")</f>
        <v/>
      </c>
    </row>
    <row r="11010" spans="1:5">
      <c r="A11010" s="12"/>
      <c r="E11010" s="57" t="str">
        <f ca="1">IFERROR(__xludf.DUMMYFUNCTION("""COMPUTED_VALUE"""),"")</f>
        <v/>
      </c>
    </row>
    <row r="11011" spans="1:5">
      <c r="A11011" s="12"/>
      <c r="E11011" s="57" t="str">
        <f ca="1">IFERROR(__xludf.DUMMYFUNCTION("""COMPUTED_VALUE"""),"")</f>
        <v/>
      </c>
    </row>
    <row r="11012" spans="1:5">
      <c r="A11012" s="12"/>
      <c r="E11012" s="57" t="str">
        <f ca="1">IFERROR(__xludf.DUMMYFUNCTION("""COMPUTED_VALUE"""),"")</f>
        <v/>
      </c>
    </row>
    <row r="11013" spans="1:5">
      <c r="A11013" s="12"/>
      <c r="E11013" s="57" t="str">
        <f ca="1">IFERROR(__xludf.DUMMYFUNCTION("""COMPUTED_VALUE"""),"")</f>
        <v/>
      </c>
    </row>
    <row r="11014" spans="1:5">
      <c r="A11014" s="12"/>
      <c r="E11014" s="57" t="str">
        <f ca="1">IFERROR(__xludf.DUMMYFUNCTION("""COMPUTED_VALUE"""),"")</f>
        <v/>
      </c>
    </row>
    <row r="11015" spans="1:5">
      <c r="A11015" s="12"/>
      <c r="E11015" s="57" t="str">
        <f ca="1">IFERROR(__xludf.DUMMYFUNCTION("""COMPUTED_VALUE"""),"")</f>
        <v/>
      </c>
    </row>
    <row r="11016" spans="1:5">
      <c r="A11016" s="12"/>
      <c r="E11016" s="57" t="str">
        <f ca="1">IFERROR(__xludf.DUMMYFUNCTION("""COMPUTED_VALUE"""),"")</f>
        <v/>
      </c>
    </row>
    <row r="11017" spans="1:5">
      <c r="A11017" s="12"/>
      <c r="E11017" s="57" t="str">
        <f ca="1">IFERROR(__xludf.DUMMYFUNCTION("""COMPUTED_VALUE"""),"")</f>
        <v/>
      </c>
    </row>
    <row r="11018" spans="1:5">
      <c r="A11018" s="12"/>
      <c r="E11018" s="57" t="str">
        <f ca="1">IFERROR(__xludf.DUMMYFUNCTION("""COMPUTED_VALUE"""),"")</f>
        <v/>
      </c>
    </row>
    <row r="11019" spans="1:5">
      <c r="A11019" s="12"/>
      <c r="E11019" s="57" t="str">
        <f ca="1">IFERROR(__xludf.DUMMYFUNCTION("""COMPUTED_VALUE"""),"")</f>
        <v/>
      </c>
    </row>
    <row r="11020" spans="1:5">
      <c r="A11020" s="12"/>
      <c r="E11020" s="57" t="str">
        <f ca="1">IFERROR(__xludf.DUMMYFUNCTION("""COMPUTED_VALUE"""),"")</f>
        <v/>
      </c>
    </row>
    <row r="11021" spans="1:5">
      <c r="A11021" s="12"/>
      <c r="E11021" s="57" t="str">
        <f ca="1">IFERROR(__xludf.DUMMYFUNCTION("""COMPUTED_VALUE"""),"")</f>
        <v/>
      </c>
    </row>
    <row r="11022" spans="1:5">
      <c r="A11022" s="12"/>
      <c r="E11022" s="57" t="str">
        <f ca="1">IFERROR(__xludf.DUMMYFUNCTION("""COMPUTED_VALUE"""),"")</f>
        <v/>
      </c>
    </row>
    <row r="11023" spans="1:5">
      <c r="A11023" s="12"/>
      <c r="E11023" s="57" t="str">
        <f ca="1">IFERROR(__xludf.DUMMYFUNCTION("""COMPUTED_VALUE"""),"")</f>
        <v/>
      </c>
    </row>
    <row r="11024" spans="1:5">
      <c r="A11024" s="12"/>
      <c r="E11024" s="57" t="str">
        <f ca="1">IFERROR(__xludf.DUMMYFUNCTION("""COMPUTED_VALUE"""),"")</f>
        <v/>
      </c>
    </row>
    <row r="11025" spans="1:5">
      <c r="A11025" s="12"/>
      <c r="E11025" s="57" t="str">
        <f ca="1">IFERROR(__xludf.DUMMYFUNCTION("""COMPUTED_VALUE"""),"")</f>
        <v/>
      </c>
    </row>
    <row r="11026" spans="1:5">
      <c r="A11026" s="12"/>
      <c r="E11026" s="57" t="str">
        <f ca="1">IFERROR(__xludf.DUMMYFUNCTION("""COMPUTED_VALUE"""),"")</f>
        <v/>
      </c>
    </row>
    <row r="11027" spans="1:5">
      <c r="A11027" s="12"/>
      <c r="E11027" s="57" t="str">
        <f ca="1">IFERROR(__xludf.DUMMYFUNCTION("""COMPUTED_VALUE"""),"")</f>
        <v/>
      </c>
    </row>
    <row r="11028" spans="1:5">
      <c r="A11028" s="12"/>
      <c r="E11028" s="57" t="str">
        <f ca="1">IFERROR(__xludf.DUMMYFUNCTION("""COMPUTED_VALUE"""),"")</f>
        <v/>
      </c>
    </row>
    <row r="11029" spans="1:5">
      <c r="A11029" s="12"/>
      <c r="E11029" s="57" t="str">
        <f ca="1">IFERROR(__xludf.DUMMYFUNCTION("""COMPUTED_VALUE"""),"")</f>
        <v/>
      </c>
    </row>
    <row r="11030" spans="1:5">
      <c r="A11030" s="12"/>
      <c r="E11030" s="57" t="str">
        <f ca="1">IFERROR(__xludf.DUMMYFUNCTION("""COMPUTED_VALUE"""),"")</f>
        <v/>
      </c>
    </row>
    <row r="11031" spans="1:5">
      <c r="A11031" s="12"/>
      <c r="E11031" s="57" t="str">
        <f ca="1">IFERROR(__xludf.DUMMYFUNCTION("""COMPUTED_VALUE"""),"")</f>
        <v/>
      </c>
    </row>
    <row r="11032" spans="1:5">
      <c r="A11032" s="12"/>
      <c r="E11032" s="57" t="str">
        <f ca="1">IFERROR(__xludf.DUMMYFUNCTION("""COMPUTED_VALUE"""),"")</f>
        <v/>
      </c>
    </row>
    <row r="11033" spans="1:5">
      <c r="A11033" s="12"/>
      <c r="E11033" s="57" t="str">
        <f ca="1">IFERROR(__xludf.DUMMYFUNCTION("""COMPUTED_VALUE"""),"")</f>
        <v/>
      </c>
    </row>
    <row r="11034" spans="1:5">
      <c r="A11034" s="12"/>
      <c r="E11034" s="57" t="str">
        <f ca="1">IFERROR(__xludf.DUMMYFUNCTION("""COMPUTED_VALUE"""),"")</f>
        <v/>
      </c>
    </row>
    <row r="11035" spans="1:5">
      <c r="A11035" s="12"/>
      <c r="E11035" s="57" t="str">
        <f ca="1">IFERROR(__xludf.DUMMYFUNCTION("""COMPUTED_VALUE"""),"")</f>
        <v/>
      </c>
    </row>
    <row r="11036" spans="1:5">
      <c r="A11036" s="12"/>
      <c r="E11036" s="57" t="str">
        <f ca="1">IFERROR(__xludf.DUMMYFUNCTION("""COMPUTED_VALUE"""),"")</f>
        <v/>
      </c>
    </row>
    <row r="11037" spans="1:5">
      <c r="A11037" s="12"/>
      <c r="E11037" s="57" t="str">
        <f ca="1">IFERROR(__xludf.DUMMYFUNCTION("""COMPUTED_VALUE"""),"")</f>
        <v/>
      </c>
    </row>
    <row r="11038" spans="1:5">
      <c r="A11038" s="12"/>
      <c r="E11038" s="57" t="str">
        <f ca="1">IFERROR(__xludf.DUMMYFUNCTION("""COMPUTED_VALUE"""),"")</f>
        <v/>
      </c>
    </row>
    <row r="11039" spans="1:5">
      <c r="A11039" s="12"/>
      <c r="E11039" s="57" t="str">
        <f ca="1">IFERROR(__xludf.DUMMYFUNCTION("""COMPUTED_VALUE"""),"")</f>
        <v/>
      </c>
    </row>
    <row r="11040" spans="1:5">
      <c r="A11040" s="12"/>
      <c r="E11040" s="57" t="str">
        <f ca="1">IFERROR(__xludf.DUMMYFUNCTION("""COMPUTED_VALUE"""),"")</f>
        <v/>
      </c>
    </row>
    <row r="11041" spans="1:5">
      <c r="A11041" s="12"/>
      <c r="E11041" s="57" t="str">
        <f ca="1">IFERROR(__xludf.DUMMYFUNCTION("""COMPUTED_VALUE"""),"")</f>
        <v/>
      </c>
    </row>
    <row r="11042" spans="1:5">
      <c r="A11042" s="12"/>
      <c r="E11042" s="57" t="str">
        <f ca="1">IFERROR(__xludf.DUMMYFUNCTION("""COMPUTED_VALUE"""),"")</f>
        <v/>
      </c>
    </row>
    <row r="11043" spans="1:5">
      <c r="A11043" s="12"/>
      <c r="E11043" s="57" t="str">
        <f ca="1">IFERROR(__xludf.DUMMYFUNCTION("""COMPUTED_VALUE"""),"")</f>
        <v/>
      </c>
    </row>
    <row r="11044" spans="1:5">
      <c r="A11044" s="12"/>
      <c r="E11044" s="57" t="str">
        <f ca="1">IFERROR(__xludf.DUMMYFUNCTION("""COMPUTED_VALUE"""),"")</f>
        <v/>
      </c>
    </row>
    <row r="11045" spans="1:5">
      <c r="A11045" s="12"/>
      <c r="E11045" s="57" t="str">
        <f ca="1">IFERROR(__xludf.DUMMYFUNCTION("""COMPUTED_VALUE"""),"")</f>
        <v/>
      </c>
    </row>
    <row r="11046" spans="1:5">
      <c r="A11046" s="12"/>
      <c r="E11046" s="57" t="str">
        <f ca="1">IFERROR(__xludf.DUMMYFUNCTION("""COMPUTED_VALUE"""),"")</f>
        <v/>
      </c>
    </row>
    <row r="11047" spans="1:5">
      <c r="A11047" s="12"/>
      <c r="E11047" s="57" t="str">
        <f ca="1">IFERROR(__xludf.DUMMYFUNCTION("""COMPUTED_VALUE"""),"")</f>
        <v/>
      </c>
    </row>
    <row r="11048" spans="1:5">
      <c r="A11048" s="12"/>
      <c r="E11048" s="57" t="str">
        <f ca="1">IFERROR(__xludf.DUMMYFUNCTION("""COMPUTED_VALUE"""),"")</f>
        <v/>
      </c>
    </row>
    <row r="11049" spans="1:5">
      <c r="A11049" s="12"/>
      <c r="E11049" s="57" t="str">
        <f ca="1">IFERROR(__xludf.DUMMYFUNCTION("""COMPUTED_VALUE"""),"")</f>
        <v/>
      </c>
    </row>
    <row r="11050" spans="1:5">
      <c r="A11050" s="12"/>
      <c r="E11050" s="57" t="str">
        <f ca="1">IFERROR(__xludf.DUMMYFUNCTION("""COMPUTED_VALUE"""),"")</f>
        <v/>
      </c>
    </row>
    <row r="11051" spans="1:5">
      <c r="A11051" s="12"/>
      <c r="E11051" s="57" t="str">
        <f ca="1">IFERROR(__xludf.DUMMYFUNCTION("""COMPUTED_VALUE"""),"")</f>
        <v/>
      </c>
    </row>
    <row r="11052" spans="1:5">
      <c r="A11052" s="12"/>
      <c r="E11052" s="57" t="str">
        <f ca="1">IFERROR(__xludf.DUMMYFUNCTION("""COMPUTED_VALUE"""),"")</f>
        <v/>
      </c>
    </row>
    <row r="11053" spans="1:5">
      <c r="A11053" s="12"/>
      <c r="E11053" s="57" t="str">
        <f ca="1">IFERROR(__xludf.DUMMYFUNCTION("""COMPUTED_VALUE"""),"")</f>
        <v/>
      </c>
    </row>
    <row r="11054" spans="1:5">
      <c r="A11054" s="12"/>
      <c r="E11054" s="57" t="str">
        <f ca="1">IFERROR(__xludf.DUMMYFUNCTION("""COMPUTED_VALUE"""),"")</f>
        <v/>
      </c>
    </row>
    <row r="11055" spans="1:5">
      <c r="A11055" s="12"/>
      <c r="E11055" s="57" t="str">
        <f ca="1">IFERROR(__xludf.DUMMYFUNCTION("""COMPUTED_VALUE"""),"")</f>
        <v/>
      </c>
    </row>
    <row r="11056" spans="1:5">
      <c r="A11056" s="12"/>
      <c r="E11056" s="57" t="str">
        <f ca="1">IFERROR(__xludf.DUMMYFUNCTION("""COMPUTED_VALUE"""),"")</f>
        <v/>
      </c>
    </row>
    <row r="11057" spans="1:5">
      <c r="A11057" s="12"/>
      <c r="E11057" s="57" t="str">
        <f ca="1">IFERROR(__xludf.DUMMYFUNCTION("""COMPUTED_VALUE"""),"")</f>
        <v/>
      </c>
    </row>
    <row r="11058" spans="1:5">
      <c r="A11058" s="12"/>
      <c r="E11058" s="57" t="str">
        <f ca="1">IFERROR(__xludf.DUMMYFUNCTION("""COMPUTED_VALUE"""),"")</f>
        <v/>
      </c>
    </row>
    <row r="11059" spans="1:5">
      <c r="A11059" s="12"/>
      <c r="E11059" s="57" t="str">
        <f ca="1">IFERROR(__xludf.DUMMYFUNCTION("""COMPUTED_VALUE"""),"")</f>
        <v/>
      </c>
    </row>
    <row r="11060" spans="1:5">
      <c r="A11060" s="12"/>
      <c r="E11060" s="57" t="str">
        <f ca="1">IFERROR(__xludf.DUMMYFUNCTION("""COMPUTED_VALUE"""),"")</f>
        <v/>
      </c>
    </row>
    <row r="11061" spans="1:5">
      <c r="A11061" s="12"/>
      <c r="E11061" s="57" t="str">
        <f ca="1">IFERROR(__xludf.DUMMYFUNCTION("""COMPUTED_VALUE"""),"")</f>
        <v/>
      </c>
    </row>
    <row r="11062" spans="1:5">
      <c r="A11062" s="12"/>
      <c r="E11062" s="57" t="str">
        <f ca="1">IFERROR(__xludf.DUMMYFUNCTION("""COMPUTED_VALUE"""),"")</f>
        <v/>
      </c>
    </row>
    <row r="11063" spans="1:5">
      <c r="A11063" s="12"/>
      <c r="E11063" s="57" t="str">
        <f ca="1">IFERROR(__xludf.DUMMYFUNCTION("""COMPUTED_VALUE"""),"")</f>
        <v/>
      </c>
    </row>
    <row r="11064" spans="1:5">
      <c r="A11064" s="12"/>
      <c r="E11064" s="57" t="str">
        <f ca="1">IFERROR(__xludf.DUMMYFUNCTION("""COMPUTED_VALUE"""),"")</f>
        <v/>
      </c>
    </row>
    <row r="11065" spans="1:5">
      <c r="A11065" s="12"/>
      <c r="E11065" s="57" t="str">
        <f ca="1">IFERROR(__xludf.DUMMYFUNCTION("""COMPUTED_VALUE"""),"")</f>
        <v/>
      </c>
    </row>
    <row r="11066" spans="1:5">
      <c r="A11066" s="12"/>
      <c r="E11066" s="57" t="str">
        <f ca="1">IFERROR(__xludf.DUMMYFUNCTION("""COMPUTED_VALUE"""),"")</f>
        <v/>
      </c>
    </row>
    <row r="11067" spans="1:5">
      <c r="A11067" s="12"/>
      <c r="E11067" s="57" t="str">
        <f ca="1">IFERROR(__xludf.DUMMYFUNCTION("""COMPUTED_VALUE"""),"")</f>
        <v/>
      </c>
    </row>
    <row r="11068" spans="1:5">
      <c r="A11068" s="12"/>
      <c r="E11068" s="57" t="str">
        <f ca="1">IFERROR(__xludf.DUMMYFUNCTION("""COMPUTED_VALUE"""),"")</f>
        <v/>
      </c>
    </row>
    <row r="11069" spans="1:5">
      <c r="A11069" s="12"/>
      <c r="E11069" s="57" t="str">
        <f ca="1">IFERROR(__xludf.DUMMYFUNCTION("""COMPUTED_VALUE"""),"")</f>
        <v/>
      </c>
    </row>
    <row r="11070" spans="1:5">
      <c r="A11070" s="12"/>
      <c r="E11070" s="57" t="str">
        <f ca="1">IFERROR(__xludf.DUMMYFUNCTION("""COMPUTED_VALUE"""),"")</f>
        <v/>
      </c>
    </row>
    <row r="11071" spans="1:5">
      <c r="A11071" s="12"/>
      <c r="E11071" s="57" t="str">
        <f ca="1">IFERROR(__xludf.DUMMYFUNCTION("""COMPUTED_VALUE"""),"")</f>
        <v/>
      </c>
    </row>
    <row r="11072" spans="1:5">
      <c r="A11072" s="12"/>
      <c r="E11072" s="57" t="str">
        <f ca="1">IFERROR(__xludf.DUMMYFUNCTION("""COMPUTED_VALUE"""),"")</f>
        <v/>
      </c>
    </row>
    <row r="11073" spans="1:5">
      <c r="A11073" s="12"/>
      <c r="E11073" s="57" t="str">
        <f ca="1">IFERROR(__xludf.DUMMYFUNCTION("""COMPUTED_VALUE"""),"")</f>
        <v/>
      </c>
    </row>
    <row r="11074" spans="1:5">
      <c r="A11074" s="12"/>
      <c r="E11074" s="57" t="str">
        <f ca="1">IFERROR(__xludf.DUMMYFUNCTION("""COMPUTED_VALUE"""),"")</f>
        <v/>
      </c>
    </row>
    <row r="11075" spans="1:5">
      <c r="A11075" s="12"/>
      <c r="E11075" s="57" t="str">
        <f ca="1">IFERROR(__xludf.DUMMYFUNCTION("""COMPUTED_VALUE"""),"")</f>
        <v/>
      </c>
    </row>
    <row r="11076" spans="1:5">
      <c r="A11076" s="12"/>
      <c r="E11076" s="57" t="str">
        <f ca="1">IFERROR(__xludf.DUMMYFUNCTION("""COMPUTED_VALUE"""),"")</f>
        <v/>
      </c>
    </row>
    <row r="11077" spans="1:5">
      <c r="A11077" s="12"/>
      <c r="E11077" s="57" t="str">
        <f ca="1">IFERROR(__xludf.DUMMYFUNCTION("""COMPUTED_VALUE"""),"")</f>
        <v/>
      </c>
    </row>
    <row r="11078" spans="1:5">
      <c r="A11078" s="12"/>
      <c r="E11078" s="57" t="str">
        <f ca="1">IFERROR(__xludf.DUMMYFUNCTION("""COMPUTED_VALUE"""),"")</f>
        <v/>
      </c>
    </row>
    <row r="11079" spans="1:5">
      <c r="A11079" s="12"/>
      <c r="E11079" s="57" t="str">
        <f ca="1">IFERROR(__xludf.DUMMYFUNCTION("""COMPUTED_VALUE"""),"")</f>
        <v/>
      </c>
    </row>
    <row r="11080" spans="1:5">
      <c r="A11080" s="12"/>
      <c r="E11080" s="57" t="str">
        <f ca="1">IFERROR(__xludf.DUMMYFUNCTION("""COMPUTED_VALUE"""),"")</f>
        <v/>
      </c>
    </row>
    <row r="11081" spans="1:5">
      <c r="A11081" s="12"/>
      <c r="E11081" s="57" t="str">
        <f ca="1">IFERROR(__xludf.DUMMYFUNCTION("""COMPUTED_VALUE"""),"")</f>
        <v/>
      </c>
    </row>
    <row r="11082" spans="1:5">
      <c r="A11082" s="12"/>
      <c r="E11082" s="57" t="str">
        <f ca="1">IFERROR(__xludf.DUMMYFUNCTION("""COMPUTED_VALUE"""),"")</f>
        <v/>
      </c>
    </row>
    <row r="11083" spans="1:5">
      <c r="A11083" s="12"/>
      <c r="E11083" s="57" t="str">
        <f ca="1">IFERROR(__xludf.DUMMYFUNCTION("""COMPUTED_VALUE"""),"")</f>
        <v/>
      </c>
    </row>
    <row r="11084" spans="1:5">
      <c r="A11084" s="12"/>
      <c r="E11084" s="57" t="str">
        <f ca="1">IFERROR(__xludf.DUMMYFUNCTION("""COMPUTED_VALUE"""),"")</f>
        <v/>
      </c>
    </row>
    <row r="11085" spans="1:5">
      <c r="A11085" s="12"/>
      <c r="E11085" s="57" t="str">
        <f ca="1">IFERROR(__xludf.DUMMYFUNCTION("""COMPUTED_VALUE"""),"")</f>
        <v/>
      </c>
    </row>
    <row r="11086" spans="1:5">
      <c r="A11086" s="12"/>
      <c r="E11086" s="57" t="str">
        <f ca="1">IFERROR(__xludf.DUMMYFUNCTION("""COMPUTED_VALUE"""),"")</f>
        <v/>
      </c>
    </row>
    <row r="11087" spans="1:5">
      <c r="A11087" s="12"/>
      <c r="E11087" s="57" t="str">
        <f ca="1">IFERROR(__xludf.DUMMYFUNCTION("""COMPUTED_VALUE"""),"")</f>
        <v/>
      </c>
    </row>
    <row r="11088" spans="1:5">
      <c r="A11088" s="12"/>
      <c r="E11088" s="57" t="str">
        <f ca="1">IFERROR(__xludf.DUMMYFUNCTION("""COMPUTED_VALUE"""),"")</f>
        <v/>
      </c>
    </row>
    <row r="11089" spans="1:5">
      <c r="A11089" s="12"/>
      <c r="E11089" s="57" t="str">
        <f ca="1">IFERROR(__xludf.DUMMYFUNCTION("""COMPUTED_VALUE"""),"")</f>
        <v/>
      </c>
    </row>
    <row r="11090" spans="1:5">
      <c r="A11090" s="12"/>
      <c r="E11090" s="57" t="str">
        <f ca="1">IFERROR(__xludf.DUMMYFUNCTION("""COMPUTED_VALUE"""),"")</f>
        <v/>
      </c>
    </row>
    <row r="11091" spans="1:5">
      <c r="A11091" s="12"/>
      <c r="E11091" s="57" t="str">
        <f ca="1">IFERROR(__xludf.DUMMYFUNCTION("""COMPUTED_VALUE"""),"")</f>
        <v/>
      </c>
    </row>
    <row r="11092" spans="1:5">
      <c r="A11092" s="12"/>
      <c r="E11092" s="57" t="str">
        <f ca="1">IFERROR(__xludf.DUMMYFUNCTION("""COMPUTED_VALUE"""),"")</f>
        <v/>
      </c>
    </row>
    <row r="11093" spans="1:5">
      <c r="A11093" s="12"/>
      <c r="E11093" s="57" t="str">
        <f ca="1">IFERROR(__xludf.DUMMYFUNCTION("""COMPUTED_VALUE"""),"")</f>
        <v/>
      </c>
    </row>
    <row r="11094" spans="1:5">
      <c r="A11094" s="12"/>
      <c r="E11094" s="57" t="str">
        <f ca="1">IFERROR(__xludf.DUMMYFUNCTION("""COMPUTED_VALUE"""),"")</f>
        <v/>
      </c>
    </row>
    <row r="11095" spans="1:5">
      <c r="A11095" s="12"/>
      <c r="E11095" s="57" t="str">
        <f ca="1">IFERROR(__xludf.DUMMYFUNCTION("""COMPUTED_VALUE"""),"")</f>
        <v/>
      </c>
    </row>
    <row r="11096" spans="1:5">
      <c r="A11096" s="12"/>
      <c r="E11096" s="57" t="str">
        <f ca="1">IFERROR(__xludf.DUMMYFUNCTION("""COMPUTED_VALUE"""),"")</f>
        <v/>
      </c>
    </row>
    <row r="11097" spans="1:5">
      <c r="A11097" s="12"/>
      <c r="E11097" s="57" t="str">
        <f ca="1">IFERROR(__xludf.DUMMYFUNCTION("""COMPUTED_VALUE"""),"")</f>
        <v/>
      </c>
    </row>
    <row r="11098" spans="1:5">
      <c r="A11098" s="12"/>
      <c r="E11098" s="57" t="str">
        <f ca="1">IFERROR(__xludf.DUMMYFUNCTION("""COMPUTED_VALUE"""),"")</f>
        <v/>
      </c>
    </row>
    <row r="11099" spans="1:5">
      <c r="A11099" s="12"/>
      <c r="E11099" s="57" t="str">
        <f ca="1">IFERROR(__xludf.DUMMYFUNCTION("""COMPUTED_VALUE"""),"")</f>
        <v/>
      </c>
    </row>
    <row r="11100" spans="1:5">
      <c r="A11100" s="12"/>
      <c r="E11100" s="57" t="str">
        <f ca="1">IFERROR(__xludf.DUMMYFUNCTION("""COMPUTED_VALUE"""),"")</f>
        <v/>
      </c>
    </row>
    <row r="11101" spans="1:5">
      <c r="A11101" s="12"/>
      <c r="E11101" s="57" t="str">
        <f ca="1">IFERROR(__xludf.DUMMYFUNCTION("""COMPUTED_VALUE"""),"")</f>
        <v/>
      </c>
    </row>
    <row r="11102" spans="1:5">
      <c r="A11102" s="12"/>
      <c r="E11102" s="57" t="str">
        <f ca="1">IFERROR(__xludf.DUMMYFUNCTION("""COMPUTED_VALUE"""),"")</f>
        <v/>
      </c>
    </row>
    <row r="11103" spans="1:5">
      <c r="A11103" s="12"/>
      <c r="E11103" s="57" t="str">
        <f ca="1">IFERROR(__xludf.DUMMYFUNCTION("""COMPUTED_VALUE"""),"")</f>
        <v/>
      </c>
    </row>
    <row r="11104" spans="1:5">
      <c r="A11104" s="12"/>
      <c r="E11104" s="57" t="str">
        <f ca="1">IFERROR(__xludf.DUMMYFUNCTION("""COMPUTED_VALUE"""),"")</f>
        <v/>
      </c>
    </row>
    <row r="11105" spans="1:5">
      <c r="A11105" s="12"/>
      <c r="E11105" s="57" t="str">
        <f ca="1">IFERROR(__xludf.DUMMYFUNCTION("""COMPUTED_VALUE"""),"")</f>
        <v/>
      </c>
    </row>
    <row r="11106" spans="1:5">
      <c r="A11106" s="12"/>
      <c r="E11106" s="57" t="str">
        <f ca="1">IFERROR(__xludf.DUMMYFUNCTION("""COMPUTED_VALUE"""),"")</f>
        <v/>
      </c>
    </row>
    <row r="11107" spans="1:5">
      <c r="A11107" s="12"/>
      <c r="E11107" s="57" t="str">
        <f ca="1">IFERROR(__xludf.DUMMYFUNCTION("""COMPUTED_VALUE"""),"")</f>
        <v/>
      </c>
    </row>
    <row r="11108" spans="1:5">
      <c r="A11108" s="12"/>
      <c r="E11108" s="57" t="str">
        <f ca="1">IFERROR(__xludf.DUMMYFUNCTION("""COMPUTED_VALUE"""),"")</f>
        <v/>
      </c>
    </row>
    <row r="11109" spans="1:5">
      <c r="A11109" s="12"/>
      <c r="E11109" s="57" t="str">
        <f ca="1">IFERROR(__xludf.DUMMYFUNCTION("""COMPUTED_VALUE"""),"")</f>
        <v/>
      </c>
    </row>
    <row r="11110" spans="1:5">
      <c r="A11110" s="12"/>
      <c r="E11110" s="57" t="str">
        <f ca="1">IFERROR(__xludf.DUMMYFUNCTION("""COMPUTED_VALUE"""),"")</f>
        <v/>
      </c>
    </row>
    <row r="11111" spans="1:5">
      <c r="A11111" s="12"/>
      <c r="E11111" s="57" t="str">
        <f ca="1">IFERROR(__xludf.DUMMYFUNCTION("""COMPUTED_VALUE"""),"")</f>
        <v/>
      </c>
    </row>
    <row r="11112" spans="1:5">
      <c r="A11112" s="12"/>
      <c r="E11112" s="57" t="str">
        <f ca="1">IFERROR(__xludf.DUMMYFUNCTION("""COMPUTED_VALUE"""),"")</f>
        <v/>
      </c>
    </row>
    <row r="11113" spans="1:5">
      <c r="A11113" s="12"/>
      <c r="E11113" s="57" t="str">
        <f ca="1">IFERROR(__xludf.DUMMYFUNCTION("""COMPUTED_VALUE"""),"")</f>
        <v/>
      </c>
    </row>
    <row r="11114" spans="1:5">
      <c r="A11114" s="12"/>
      <c r="E11114" s="57" t="str">
        <f ca="1">IFERROR(__xludf.DUMMYFUNCTION("""COMPUTED_VALUE"""),"")</f>
        <v/>
      </c>
    </row>
    <row r="11115" spans="1:5">
      <c r="A11115" s="12"/>
      <c r="E11115" s="57" t="str">
        <f ca="1">IFERROR(__xludf.DUMMYFUNCTION("""COMPUTED_VALUE"""),"")</f>
        <v/>
      </c>
    </row>
    <row r="11116" spans="1:5">
      <c r="A11116" s="12"/>
      <c r="E11116" s="57" t="str">
        <f ca="1">IFERROR(__xludf.DUMMYFUNCTION("""COMPUTED_VALUE"""),"")</f>
        <v/>
      </c>
    </row>
    <row r="11117" spans="1:5">
      <c r="A11117" s="12"/>
      <c r="E11117" s="57" t="str">
        <f ca="1">IFERROR(__xludf.DUMMYFUNCTION("""COMPUTED_VALUE"""),"")</f>
        <v/>
      </c>
    </row>
    <row r="11118" spans="1:5">
      <c r="A11118" s="12"/>
      <c r="E11118" s="57" t="str">
        <f ca="1">IFERROR(__xludf.DUMMYFUNCTION("""COMPUTED_VALUE"""),"")</f>
        <v/>
      </c>
    </row>
    <row r="11119" spans="1:5">
      <c r="A11119" s="12"/>
      <c r="E11119" s="57" t="str">
        <f ca="1">IFERROR(__xludf.DUMMYFUNCTION("""COMPUTED_VALUE"""),"")</f>
        <v/>
      </c>
    </row>
    <row r="11120" spans="1:5">
      <c r="A11120" s="12"/>
      <c r="E11120" s="57" t="str">
        <f ca="1">IFERROR(__xludf.DUMMYFUNCTION("""COMPUTED_VALUE"""),"")</f>
        <v/>
      </c>
    </row>
    <row r="11121" spans="1:5">
      <c r="A11121" s="12"/>
      <c r="E11121" s="57" t="str">
        <f ca="1">IFERROR(__xludf.DUMMYFUNCTION("""COMPUTED_VALUE"""),"")</f>
        <v/>
      </c>
    </row>
    <row r="11122" spans="1:5">
      <c r="A11122" s="12"/>
      <c r="E11122" s="57" t="str">
        <f ca="1">IFERROR(__xludf.DUMMYFUNCTION("""COMPUTED_VALUE"""),"")</f>
        <v/>
      </c>
    </row>
    <row r="11123" spans="1:5">
      <c r="A11123" s="12"/>
      <c r="E11123" s="57" t="str">
        <f ca="1">IFERROR(__xludf.DUMMYFUNCTION("""COMPUTED_VALUE"""),"")</f>
        <v/>
      </c>
    </row>
    <row r="11124" spans="1:5">
      <c r="A11124" s="12"/>
      <c r="E11124" s="57" t="str">
        <f ca="1">IFERROR(__xludf.DUMMYFUNCTION("""COMPUTED_VALUE"""),"")</f>
        <v/>
      </c>
    </row>
    <row r="11125" spans="1:5">
      <c r="A11125" s="12"/>
      <c r="E11125" s="57" t="str">
        <f ca="1">IFERROR(__xludf.DUMMYFUNCTION("""COMPUTED_VALUE"""),"")</f>
        <v/>
      </c>
    </row>
    <row r="11126" spans="1:5">
      <c r="A11126" s="12"/>
      <c r="E11126" s="57" t="str">
        <f ca="1">IFERROR(__xludf.DUMMYFUNCTION("""COMPUTED_VALUE"""),"")</f>
        <v/>
      </c>
    </row>
    <row r="11127" spans="1:5">
      <c r="A11127" s="12"/>
      <c r="E11127" s="57" t="str">
        <f ca="1">IFERROR(__xludf.DUMMYFUNCTION("""COMPUTED_VALUE"""),"")</f>
        <v/>
      </c>
    </row>
    <row r="11128" spans="1:5">
      <c r="A11128" s="12"/>
      <c r="E11128" s="57" t="str">
        <f ca="1">IFERROR(__xludf.DUMMYFUNCTION("""COMPUTED_VALUE"""),"")</f>
        <v/>
      </c>
    </row>
    <row r="11129" spans="1:5">
      <c r="A11129" s="12"/>
      <c r="E11129" s="57" t="str">
        <f ca="1">IFERROR(__xludf.DUMMYFUNCTION("""COMPUTED_VALUE"""),"")</f>
        <v/>
      </c>
    </row>
    <row r="11130" spans="1:5">
      <c r="A11130" s="12"/>
      <c r="E11130" s="57" t="str">
        <f ca="1">IFERROR(__xludf.DUMMYFUNCTION("""COMPUTED_VALUE"""),"")</f>
        <v/>
      </c>
    </row>
    <row r="11131" spans="1:5">
      <c r="A11131" s="12"/>
      <c r="E11131" s="57" t="str">
        <f ca="1">IFERROR(__xludf.DUMMYFUNCTION("""COMPUTED_VALUE"""),"")</f>
        <v/>
      </c>
    </row>
    <row r="11132" spans="1:5">
      <c r="A11132" s="12"/>
      <c r="E11132" s="57" t="str">
        <f ca="1">IFERROR(__xludf.DUMMYFUNCTION("""COMPUTED_VALUE"""),"")</f>
        <v/>
      </c>
    </row>
    <row r="11133" spans="1:5">
      <c r="A11133" s="12"/>
      <c r="E11133" s="57" t="str">
        <f ca="1">IFERROR(__xludf.DUMMYFUNCTION("""COMPUTED_VALUE"""),"")</f>
        <v/>
      </c>
    </row>
    <row r="11134" spans="1:5">
      <c r="A11134" s="12"/>
      <c r="E11134" s="57" t="str">
        <f ca="1">IFERROR(__xludf.DUMMYFUNCTION("""COMPUTED_VALUE"""),"")</f>
        <v/>
      </c>
    </row>
    <row r="11135" spans="1:5">
      <c r="A11135" s="12"/>
      <c r="E11135" s="57" t="str">
        <f ca="1">IFERROR(__xludf.DUMMYFUNCTION("""COMPUTED_VALUE"""),"")</f>
        <v/>
      </c>
    </row>
    <row r="11136" spans="1:5">
      <c r="A11136" s="12"/>
      <c r="E11136" s="57" t="str">
        <f ca="1">IFERROR(__xludf.DUMMYFUNCTION("""COMPUTED_VALUE"""),"")</f>
        <v/>
      </c>
    </row>
    <row r="11137" spans="1:5">
      <c r="A11137" s="12"/>
      <c r="E11137" s="57" t="str">
        <f ca="1">IFERROR(__xludf.DUMMYFUNCTION("""COMPUTED_VALUE"""),"")</f>
        <v/>
      </c>
    </row>
    <row r="11138" spans="1:5">
      <c r="A11138" s="12"/>
      <c r="E11138" s="57" t="str">
        <f ca="1">IFERROR(__xludf.DUMMYFUNCTION("""COMPUTED_VALUE"""),"")</f>
        <v/>
      </c>
    </row>
    <row r="11139" spans="1:5">
      <c r="A11139" s="12"/>
      <c r="E11139" s="57" t="str">
        <f ca="1">IFERROR(__xludf.DUMMYFUNCTION("""COMPUTED_VALUE"""),"")</f>
        <v/>
      </c>
    </row>
    <row r="11140" spans="1:5">
      <c r="A11140" s="12"/>
      <c r="E11140" s="57" t="str">
        <f ca="1">IFERROR(__xludf.DUMMYFUNCTION("""COMPUTED_VALUE"""),"")</f>
        <v/>
      </c>
    </row>
    <row r="11141" spans="1:5">
      <c r="A11141" s="12"/>
      <c r="E11141" s="57" t="str">
        <f ca="1">IFERROR(__xludf.DUMMYFUNCTION("""COMPUTED_VALUE"""),"")</f>
        <v/>
      </c>
    </row>
    <row r="11142" spans="1:5">
      <c r="A11142" s="12"/>
      <c r="E11142" s="57" t="str">
        <f ca="1">IFERROR(__xludf.DUMMYFUNCTION("""COMPUTED_VALUE"""),"")</f>
        <v/>
      </c>
    </row>
    <row r="11143" spans="1:5">
      <c r="A11143" s="12"/>
      <c r="E11143" s="57" t="str">
        <f ca="1">IFERROR(__xludf.DUMMYFUNCTION("""COMPUTED_VALUE"""),"")</f>
        <v/>
      </c>
    </row>
    <row r="11144" spans="1:5">
      <c r="A11144" s="12"/>
      <c r="E11144" s="57" t="str">
        <f ca="1">IFERROR(__xludf.DUMMYFUNCTION("""COMPUTED_VALUE"""),"")</f>
        <v/>
      </c>
    </row>
    <row r="11145" spans="1:5">
      <c r="A11145" s="12"/>
      <c r="E11145" s="57" t="str">
        <f ca="1">IFERROR(__xludf.DUMMYFUNCTION("""COMPUTED_VALUE"""),"")</f>
        <v/>
      </c>
    </row>
    <row r="11146" spans="1:5">
      <c r="A11146" s="12"/>
      <c r="E11146" s="57" t="str">
        <f ca="1">IFERROR(__xludf.DUMMYFUNCTION("""COMPUTED_VALUE"""),"")</f>
        <v/>
      </c>
    </row>
    <row r="11147" spans="1:5">
      <c r="A11147" s="12"/>
      <c r="E11147" s="57" t="str">
        <f ca="1">IFERROR(__xludf.DUMMYFUNCTION("""COMPUTED_VALUE"""),"")</f>
        <v/>
      </c>
    </row>
    <row r="11148" spans="1:5">
      <c r="A11148" s="12"/>
      <c r="E11148" s="57" t="str">
        <f ca="1">IFERROR(__xludf.DUMMYFUNCTION("""COMPUTED_VALUE"""),"")</f>
        <v/>
      </c>
    </row>
    <row r="11149" spans="1:5">
      <c r="A11149" s="12"/>
      <c r="E11149" s="57" t="str">
        <f ca="1">IFERROR(__xludf.DUMMYFUNCTION("""COMPUTED_VALUE"""),"")</f>
        <v/>
      </c>
    </row>
    <row r="11150" spans="1:5">
      <c r="A11150" s="12"/>
      <c r="E11150" s="57" t="str">
        <f ca="1">IFERROR(__xludf.DUMMYFUNCTION("""COMPUTED_VALUE"""),"")</f>
        <v/>
      </c>
    </row>
    <row r="11151" spans="1:5">
      <c r="A11151" s="12"/>
      <c r="E11151" s="57" t="str">
        <f ca="1">IFERROR(__xludf.DUMMYFUNCTION("""COMPUTED_VALUE"""),"")</f>
        <v/>
      </c>
    </row>
    <row r="11152" spans="1:5">
      <c r="A11152" s="12"/>
      <c r="E11152" s="57" t="str">
        <f ca="1">IFERROR(__xludf.DUMMYFUNCTION("""COMPUTED_VALUE"""),"")</f>
        <v/>
      </c>
    </row>
    <row r="11153" spans="1:5">
      <c r="A11153" s="12"/>
      <c r="E11153" s="57" t="str">
        <f ca="1">IFERROR(__xludf.DUMMYFUNCTION("""COMPUTED_VALUE"""),"")</f>
        <v/>
      </c>
    </row>
    <row r="11154" spans="1:5">
      <c r="A11154" s="12"/>
      <c r="E11154" s="57" t="str">
        <f ca="1">IFERROR(__xludf.DUMMYFUNCTION("""COMPUTED_VALUE"""),"")</f>
        <v/>
      </c>
    </row>
    <row r="11155" spans="1:5">
      <c r="A11155" s="12"/>
      <c r="E11155" s="57" t="str">
        <f ca="1">IFERROR(__xludf.DUMMYFUNCTION("""COMPUTED_VALUE"""),"")</f>
        <v/>
      </c>
    </row>
    <row r="11156" spans="1:5">
      <c r="A11156" s="12"/>
      <c r="E11156" s="57" t="str">
        <f ca="1">IFERROR(__xludf.DUMMYFUNCTION("""COMPUTED_VALUE"""),"")</f>
        <v/>
      </c>
    </row>
    <row r="11157" spans="1:5">
      <c r="A11157" s="12"/>
      <c r="E11157" s="57" t="str">
        <f ca="1">IFERROR(__xludf.DUMMYFUNCTION("""COMPUTED_VALUE"""),"")</f>
        <v/>
      </c>
    </row>
    <row r="11158" spans="1:5">
      <c r="A11158" s="12"/>
      <c r="E11158" s="57" t="str">
        <f ca="1">IFERROR(__xludf.DUMMYFUNCTION("""COMPUTED_VALUE"""),"")</f>
        <v/>
      </c>
    </row>
    <row r="11159" spans="1:5">
      <c r="A11159" s="12"/>
      <c r="E11159" s="57" t="str">
        <f ca="1">IFERROR(__xludf.DUMMYFUNCTION("""COMPUTED_VALUE"""),"")</f>
        <v/>
      </c>
    </row>
    <row r="11160" spans="1:5">
      <c r="A11160" s="12"/>
      <c r="E11160" s="57" t="str">
        <f ca="1">IFERROR(__xludf.DUMMYFUNCTION("""COMPUTED_VALUE"""),"")</f>
        <v/>
      </c>
    </row>
    <row r="11161" spans="1:5">
      <c r="A11161" s="12"/>
      <c r="E11161" s="57" t="str">
        <f ca="1">IFERROR(__xludf.DUMMYFUNCTION("""COMPUTED_VALUE"""),"")</f>
        <v/>
      </c>
    </row>
    <row r="11162" spans="1:5">
      <c r="A11162" s="12"/>
      <c r="E11162" s="57" t="str">
        <f ca="1">IFERROR(__xludf.DUMMYFUNCTION("""COMPUTED_VALUE"""),"")</f>
        <v/>
      </c>
    </row>
    <row r="11163" spans="1:5">
      <c r="A11163" s="12"/>
      <c r="E11163" s="57" t="str">
        <f ca="1">IFERROR(__xludf.DUMMYFUNCTION("""COMPUTED_VALUE"""),"")</f>
        <v/>
      </c>
    </row>
    <row r="11164" spans="1:5">
      <c r="A11164" s="12"/>
      <c r="E11164" s="57" t="str">
        <f ca="1">IFERROR(__xludf.DUMMYFUNCTION("""COMPUTED_VALUE"""),"")</f>
        <v/>
      </c>
    </row>
    <row r="11165" spans="1:5">
      <c r="A11165" s="12"/>
      <c r="E11165" s="57" t="str">
        <f ca="1">IFERROR(__xludf.DUMMYFUNCTION("""COMPUTED_VALUE"""),"")</f>
        <v/>
      </c>
    </row>
    <row r="11166" spans="1:5">
      <c r="A11166" s="12"/>
      <c r="E11166" s="57" t="str">
        <f ca="1">IFERROR(__xludf.DUMMYFUNCTION("""COMPUTED_VALUE"""),"")</f>
        <v/>
      </c>
    </row>
    <row r="11167" spans="1:5">
      <c r="A11167" s="12"/>
      <c r="E11167" s="57" t="str">
        <f ca="1">IFERROR(__xludf.DUMMYFUNCTION("""COMPUTED_VALUE"""),"")</f>
        <v/>
      </c>
    </row>
    <row r="11168" spans="1:5">
      <c r="A11168" s="12"/>
      <c r="E11168" s="57" t="str">
        <f ca="1">IFERROR(__xludf.DUMMYFUNCTION("""COMPUTED_VALUE"""),"")</f>
        <v/>
      </c>
    </row>
    <row r="11169" spans="1:5">
      <c r="A11169" s="12"/>
      <c r="E11169" s="57" t="str">
        <f ca="1">IFERROR(__xludf.DUMMYFUNCTION("""COMPUTED_VALUE"""),"")</f>
        <v/>
      </c>
    </row>
    <row r="11170" spans="1:5">
      <c r="A11170" s="12"/>
      <c r="E11170" s="57" t="str">
        <f ca="1">IFERROR(__xludf.DUMMYFUNCTION("""COMPUTED_VALUE"""),"")</f>
        <v/>
      </c>
    </row>
    <row r="11171" spans="1:5">
      <c r="A11171" s="12"/>
      <c r="E11171" s="57" t="str">
        <f ca="1">IFERROR(__xludf.DUMMYFUNCTION("""COMPUTED_VALUE"""),"")</f>
        <v/>
      </c>
    </row>
    <row r="11172" spans="1:5">
      <c r="A11172" s="12"/>
      <c r="E11172" s="57" t="str">
        <f ca="1">IFERROR(__xludf.DUMMYFUNCTION("""COMPUTED_VALUE"""),"")</f>
        <v/>
      </c>
    </row>
    <row r="11173" spans="1:5">
      <c r="A11173" s="12"/>
      <c r="E11173" s="57" t="str">
        <f ca="1">IFERROR(__xludf.DUMMYFUNCTION("""COMPUTED_VALUE"""),"")</f>
        <v/>
      </c>
    </row>
    <row r="11174" spans="1:5">
      <c r="A11174" s="12"/>
      <c r="E11174" s="57" t="str">
        <f ca="1">IFERROR(__xludf.DUMMYFUNCTION("""COMPUTED_VALUE"""),"")</f>
        <v/>
      </c>
    </row>
    <row r="11175" spans="1:5">
      <c r="A11175" s="12"/>
      <c r="E11175" s="57" t="str">
        <f ca="1">IFERROR(__xludf.DUMMYFUNCTION("""COMPUTED_VALUE"""),"")</f>
        <v/>
      </c>
    </row>
    <row r="11176" spans="1:5">
      <c r="A11176" s="12"/>
      <c r="E11176" s="57" t="str">
        <f ca="1">IFERROR(__xludf.DUMMYFUNCTION("""COMPUTED_VALUE"""),"")</f>
        <v/>
      </c>
    </row>
    <row r="11177" spans="1:5">
      <c r="A11177" s="12"/>
      <c r="E11177" s="57" t="str">
        <f ca="1">IFERROR(__xludf.DUMMYFUNCTION("""COMPUTED_VALUE"""),"")</f>
        <v/>
      </c>
    </row>
    <row r="11178" spans="1:5">
      <c r="A11178" s="12"/>
      <c r="E11178" s="57" t="str">
        <f ca="1">IFERROR(__xludf.DUMMYFUNCTION("""COMPUTED_VALUE"""),"")</f>
        <v/>
      </c>
    </row>
    <row r="11179" spans="1:5">
      <c r="A11179" s="12"/>
      <c r="E11179" s="57" t="str">
        <f ca="1">IFERROR(__xludf.DUMMYFUNCTION("""COMPUTED_VALUE"""),"")</f>
        <v/>
      </c>
    </row>
    <row r="11180" spans="1:5">
      <c r="A11180" s="12"/>
      <c r="E11180" s="57" t="str">
        <f ca="1">IFERROR(__xludf.DUMMYFUNCTION("""COMPUTED_VALUE"""),"")</f>
        <v/>
      </c>
    </row>
    <row r="11181" spans="1:5">
      <c r="A11181" s="12"/>
      <c r="E11181" s="57" t="str">
        <f ca="1">IFERROR(__xludf.DUMMYFUNCTION("""COMPUTED_VALUE"""),"")</f>
        <v/>
      </c>
    </row>
    <row r="11182" spans="1:5">
      <c r="A11182" s="12"/>
      <c r="E11182" s="57" t="str">
        <f ca="1">IFERROR(__xludf.DUMMYFUNCTION("""COMPUTED_VALUE"""),"")</f>
        <v/>
      </c>
    </row>
    <row r="11183" spans="1:5">
      <c r="A11183" s="12"/>
      <c r="E11183" s="57" t="str">
        <f ca="1">IFERROR(__xludf.DUMMYFUNCTION("""COMPUTED_VALUE"""),"")</f>
        <v/>
      </c>
    </row>
    <row r="11184" spans="1:5">
      <c r="A11184" s="12"/>
      <c r="E11184" s="57" t="str">
        <f ca="1">IFERROR(__xludf.DUMMYFUNCTION("""COMPUTED_VALUE"""),"")</f>
        <v/>
      </c>
    </row>
    <row r="11185" spans="1:5">
      <c r="A11185" s="12"/>
      <c r="E11185" s="57" t="str">
        <f ca="1">IFERROR(__xludf.DUMMYFUNCTION("""COMPUTED_VALUE"""),"")</f>
        <v/>
      </c>
    </row>
    <row r="11186" spans="1:5">
      <c r="A11186" s="12"/>
      <c r="E11186" s="57" t="str">
        <f ca="1">IFERROR(__xludf.DUMMYFUNCTION("""COMPUTED_VALUE"""),"")</f>
        <v/>
      </c>
    </row>
    <row r="11187" spans="1:5">
      <c r="A11187" s="12"/>
      <c r="E11187" s="57" t="str">
        <f ca="1">IFERROR(__xludf.DUMMYFUNCTION("""COMPUTED_VALUE"""),"")</f>
        <v/>
      </c>
    </row>
    <row r="11188" spans="1:5">
      <c r="A11188" s="12"/>
      <c r="E11188" s="57" t="str">
        <f ca="1">IFERROR(__xludf.DUMMYFUNCTION("""COMPUTED_VALUE"""),"")</f>
        <v/>
      </c>
    </row>
    <row r="11189" spans="1:5">
      <c r="A11189" s="12"/>
      <c r="E11189" s="57" t="str">
        <f ca="1">IFERROR(__xludf.DUMMYFUNCTION("""COMPUTED_VALUE"""),"")</f>
        <v/>
      </c>
    </row>
    <row r="11190" spans="1:5">
      <c r="A11190" s="12"/>
      <c r="E11190" s="57" t="str">
        <f ca="1">IFERROR(__xludf.DUMMYFUNCTION("""COMPUTED_VALUE"""),"")</f>
        <v/>
      </c>
    </row>
    <row r="11191" spans="1:5">
      <c r="A11191" s="12"/>
      <c r="E11191" s="57" t="str">
        <f ca="1">IFERROR(__xludf.DUMMYFUNCTION("""COMPUTED_VALUE"""),"")</f>
        <v/>
      </c>
    </row>
    <row r="11192" spans="1:5">
      <c r="A11192" s="12"/>
      <c r="E11192" s="57" t="str">
        <f ca="1">IFERROR(__xludf.DUMMYFUNCTION("""COMPUTED_VALUE"""),"")</f>
        <v/>
      </c>
    </row>
    <row r="11193" spans="1:5">
      <c r="A11193" s="12"/>
      <c r="E11193" s="57" t="str">
        <f ca="1">IFERROR(__xludf.DUMMYFUNCTION("""COMPUTED_VALUE"""),"")</f>
        <v/>
      </c>
    </row>
    <row r="11194" spans="1:5">
      <c r="A11194" s="12"/>
      <c r="E11194" s="57" t="str">
        <f ca="1">IFERROR(__xludf.DUMMYFUNCTION("""COMPUTED_VALUE"""),"")</f>
        <v/>
      </c>
    </row>
    <row r="11195" spans="1:5">
      <c r="A11195" s="12"/>
      <c r="E11195" s="57" t="str">
        <f ca="1">IFERROR(__xludf.DUMMYFUNCTION("""COMPUTED_VALUE"""),"")</f>
        <v/>
      </c>
    </row>
    <row r="11196" spans="1:5">
      <c r="A11196" s="12"/>
      <c r="E11196" s="57" t="str">
        <f ca="1">IFERROR(__xludf.DUMMYFUNCTION("""COMPUTED_VALUE"""),"")</f>
        <v/>
      </c>
    </row>
    <row r="11197" spans="1:5">
      <c r="A11197" s="12"/>
      <c r="E11197" s="57" t="str">
        <f ca="1">IFERROR(__xludf.DUMMYFUNCTION("""COMPUTED_VALUE"""),"")</f>
        <v/>
      </c>
    </row>
    <row r="11198" spans="1:5">
      <c r="A11198" s="12"/>
      <c r="E11198" s="57" t="str">
        <f ca="1">IFERROR(__xludf.DUMMYFUNCTION("""COMPUTED_VALUE"""),"")</f>
        <v/>
      </c>
    </row>
    <row r="11199" spans="1:5">
      <c r="A11199" s="12"/>
      <c r="E11199" s="57" t="str">
        <f ca="1">IFERROR(__xludf.DUMMYFUNCTION("""COMPUTED_VALUE"""),"")</f>
        <v/>
      </c>
    </row>
    <row r="11200" spans="1:5">
      <c r="A11200" s="12"/>
      <c r="E11200" s="57" t="str">
        <f ca="1">IFERROR(__xludf.DUMMYFUNCTION("""COMPUTED_VALUE"""),"")</f>
        <v/>
      </c>
    </row>
    <row r="11201" spans="1:5">
      <c r="A11201" s="12"/>
      <c r="E11201" s="57" t="str">
        <f ca="1">IFERROR(__xludf.DUMMYFUNCTION("""COMPUTED_VALUE"""),"")</f>
        <v/>
      </c>
    </row>
    <row r="11202" spans="1:5">
      <c r="A11202" s="12"/>
      <c r="E11202" s="57" t="str">
        <f ca="1">IFERROR(__xludf.DUMMYFUNCTION("""COMPUTED_VALUE"""),"")</f>
        <v/>
      </c>
    </row>
    <row r="11203" spans="1:5">
      <c r="A11203" s="12"/>
      <c r="E11203" s="57" t="str">
        <f ca="1">IFERROR(__xludf.DUMMYFUNCTION("""COMPUTED_VALUE"""),"")</f>
        <v/>
      </c>
    </row>
    <row r="11204" spans="1:5">
      <c r="A11204" s="12"/>
      <c r="E11204" s="57" t="str">
        <f ca="1">IFERROR(__xludf.DUMMYFUNCTION("""COMPUTED_VALUE"""),"")</f>
        <v/>
      </c>
    </row>
    <row r="11205" spans="1:5">
      <c r="A11205" s="12"/>
      <c r="E11205" s="57" t="str">
        <f ca="1">IFERROR(__xludf.DUMMYFUNCTION("""COMPUTED_VALUE"""),"")</f>
        <v/>
      </c>
    </row>
    <row r="11206" spans="1:5">
      <c r="A11206" s="12"/>
      <c r="E11206" s="57" t="str">
        <f ca="1">IFERROR(__xludf.DUMMYFUNCTION("""COMPUTED_VALUE"""),"")</f>
        <v/>
      </c>
    </row>
    <row r="11207" spans="1:5">
      <c r="A11207" s="12"/>
      <c r="E11207" s="57" t="str">
        <f ca="1">IFERROR(__xludf.DUMMYFUNCTION("""COMPUTED_VALUE"""),"")</f>
        <v/>
      </c>
    </row>
    <row r="11208" spans="1:5">
      <c r="A11208" s="12"/>
      <c r="E11208" s="57" t="str">
        <f ca="1">IFERROR(__xludf.DUMMYFUNCTION("""COMPUTED_VALUE"""),"")</f>
        <v/>
      </c>
    </row>
    <row r="11209" spans="1:5">
      <c r="A11209" s="12"/>
      <c r="E11209" s="57" t="str">
        <f ca="1">IFERROR(__xludf.DUMMYFUNCTION("""COMPUTED_VALUE"""),"")</f>
        <v/>
      </c>
    </row>
    <row r="11210" spans="1:5">
      <c r="A11210" s="12"/>
      <c r="E11210" s="57" t="str">
        <f ca="1">IFERROR(__xludf.DUMMYFUNCTION("""COMPUTED_VALUE"""),"")</f>
        <v/>
      </c>
    </row>
    <row r="11211" spans="1:5">
      <c r="A11211" s="12"/>
      <c r="E11211" s="57" t="str">
        <f ca="1">IFERROR(__xludf.DUMMYFUNCTION("""COMPUTED_VALUE"""),"")</f>
        <v/>
      </c>
    </row>
    <row r="11212" spans="1:5">
      <c r="A11212" s="12"/>
      <c r="E11212" s="57" t="str">
        <f ca="1">IFERROR(__xludf.DUMMYFUNCTION("""COMPUTED_VALUE"""),"")</f>
        <v/>
      </c>
    </row>
    <row r="11213" spans="1:5">
      <c r="A11213" s="12"/>
      <c r="E11213" s="57" t="str">
        <f ca="1">IFERROR(__xludf.DUMMYFUNCTION("""COMPUTED_VALUE"""),"")</f>
        <v/>
      </c>
    </row>
    <row r="11214" spans="1:5">
      <c r="A11214" s="12"/>
      <c r="E11214" s="57" t="str">
        <f ca="1">IFERROR(__xludf.DUMMYFUNCTION("""COMPUTED_VALUE"""),"")</f>
        <v/>
      </c>
    </row>
    <row r="11215" spans="1:5">
      <c r="A11215" s="12"/>
      <c r="E11215" s="57" t="str">
        <f ca="1">IFERROR(__xludf.DUMMYFUNCTION("""COMPUTED_VALUE"""),"")</f>
        <v/>
      </c>
    </row>
    <row r="11216" spans="1:5">
      <c r="A11216" s="12"/>
      <c r="E11216" s="57" t="str">
        <f ca="1">IFERROR(__xludf.DUMMYFUNCTION("""COMPUTED_VALUE"""),"")</f>
        <v/>
      </c>
    </row>
    <row r="11217" spans="1:5">
      <c r="A11217" s="12"/>
      <c r="E11217" s="57" t="str">
        <f ca="1">IFERROR(__xludf.DUMMYFUNCTION("""COMPUTED_VALUE"""),"")</f>
        <v/>
      </c>
    </row>
    <row r="11218" spans="1:5">
      <c r="A11218" s="12"/>
      <c r="E11218" s="57" t="str">
        <f ca="1">IFERROR(__xludf.DUMMYFUNCTION("""COMPUTED_VALUE"""),"")</f>
        <v/>
      </c>
    </row>
    <row r="11219" spans="1:5">
      <c r="A11219" s="12"/>
      <c r="E11219" s="57" t="str">
        <f ca="1">IFERROR(__xludf.DUMMYFUNCTION("""COMPUTED_VALUE"""),"")</f>
        <v/>
      </c>
    </row>
    <row r="11220" spans="1:5">
      <c r="A11220" s="12"/>
      <c r="E11220" s="57" t="str">
        <f ca="1">IFERROR(__xludf.DUMMYFUNCTION("""COMPUTED_VALUE"""),"")</f>
        <v/>
      </c>
    </row>
    <row r="11221" spans="1:5">
      <c r="A11221" s="12"/>
      <c r="E11221" s="57" t="str">
        <f ca="1">IFERROR(__xludf.DUMMYFUNCTION("""COMPUTED_VALUE"""),"")</f>
        <v/>
      </c>
    </row>
    <row r="11222" spans="1:5">
      <c r="A11222" s="12"/>
      <c r="E11222" s="57" t="str">
        <f ca="1">IFERROR(__xludf.DUMMYFUNCTION("""COMPUTED_VALUE"""),"")</f>
        <v/>
      </c>
    </row>
    <row r="11223" spans="1:5">
      <c r="A11223" s="12"/>
      <c r="E11223" s="57" t="str">
        <f ca="1">IFERROR(__xludf.DUMMYFUNCTION("""COMPUTED_VALUE"""),"")</f>
        <v/>
      </c>
    </row>
    <row r="11224" spans="1:5">
      <c r="A11224" s="12"/>
      <c r="E11224" s="57" t="str">
        <f ca="1">IFERROR(__xludf.DUMMYFUNCTION("""COMPUTED_VALUE"""),"")</f>
        <v/>
      </c>
    </row>
    <row r="11225" spans="1:5">
      <c r="A11225" s="12"/>
      <c r="E11225" s="57" t="str">
        <f ca="1">IFERROR(__xludf.DUMMYFUNCTION("""COMPUTED_VALUE"""),"")</f>
        <v/>
      </c>
    </row>
    <row r="11226" spans="1:5">
      <c r="A11226" s="12"/>
      <c r="E11226" s="57" t="str">
        <f ca="1">IFERROR(__xludf.DUMMYFUNCTION("""COMPUTED_VALUE"""),"")</f>
        <v/>
      </c>
    </row>
    <row r="11227" spans="1:5">
      <c r="A11227" s="12"/>
      <c r="E11227" s="57" t="str">
        <f ca="1">IFERROR(__xludf.DUMMYFUNCTION("""COMPUTED_VALUE"""),"")</f>
        <v/>
      </c>
    </row>
    <row r="11228" spans="1:5">
      <c r="A11228" s="12"/>
      <c r="E11228" s="57" t="str">
        <f ca="1">IFERROR(__xludf.DUMMYFUNCTION("""COMPUTED_VALUE"""),"")</f>
        <v/>
      </c>
    </row>
    <row r="11229" spans="1:5">
      <c r="A11229" s="12"/>
      <c r="E11229" s="57" t="str">
        <f ca="1">IFERROR(__xludf.DUMMYFUNCTION("""COMPUTED_VALUE"""),"")</f>
        <v/>
      </c>
    </row>
    <row r="11230" spans="1:5">
      <c r="A11230" s="12"/>
      <c r="E11230" s="57" t="str">
        <f ca="1">IFERROR(__xludf.DUMMYFUNCTION("""COMPUTED_VALUE"""),"")</f>
        <v/>
      </c>
    </row>
    <row r="11231" spans="1:5">
      <c r="A11231" s="12"/>
      <c r="E11231" s="57" t="str">
        <f ca="1">IFERROR(__xludf.DUMMYFUNCTION("""COMPUTED_VALUE"""),"")</f>
        <v/>
      </c>
    </row>
    <row r="11232" spans="1:5">
      <c r="A11232" s="12"/>
      <c r="E11232" s="57" t="str">
        <f ca="1">IFERROR(__xludf.DUMMYFUNCTION("""COMPUTED_VALUE"""),"")</f>
        <v/>
      </c>
    </row>
    <row r="11233" spans="1:5">
      <c r="A11233" s="12"/>
      <c r="E11233" s="57" t="str">
        <f ca="1">IFERROR(__xludf.DUMMYFUNCTION("""COMPUTED_VALUE"""),"")</f>
        <v/>
      </c>
    </row>
    <row r="11234" spans="1:5">
      <c r="A11234" s="12"/>
      <c r="E11234" s="57" t="str">
        <f ca="1">IFERROR(__xludf.DUMMYFUNCTION("""COMPUTED_VALUE"""),"")</f>
        <v/>
      </c>
    </row>
    <row r="11235" spans="1:5">
      <c r="A11235" s="12"/>
      <c r="E11235" s="57" t="str">
        <f ca="1">IFERROR(__xludf.DUMMYFUNCTION("""COMPUTED_VALUE"""),"")</f>
        <v/>
      </c>
    </row>
    <row r="11236" spans="1:5">
      <c r="A11236" s="12"/>
      <c r="E11236" s="57" t="str">
        <f ca="1">IFERROR(__xludf.DUMMYFUNCTION("""COMPUTED_VALUE"""),"")</f>
        <v/>
      </c>
    </row>
    <row r="11237" spans="1:5">
      <c r="A11237" s="12"/>
      <c r="E11237" s="57" t="str">
        <f ca="1">IFERROR(__xludf.DUMMYFUNCTION("""COMPUTED_VALUE"""),"")</f>
        <v/>
      </c>
    </row>
    <row r="11238" spans="1:5">
      <c r="A11238" s="12"/>
      <c r="E11238" s="57" t="str">
        <f ca="1">IFERROR(__xludf.DUMMYFUNCTION("""COMPUTED_VALUE"""),"")</f>
        <v/>
      </c>
    </row>
    <row r="11239" spans="1:5">
      <c r="A11239" s="12"/>
      <c r="E11239" s="57" t="str">
        <f ca="1">IFERROR(__xludf.DUMMYFUNCTION("""COMPUTED_VALUE"""),"")</f>
        <v/>
      </c>
    </row>
    <row r="11240" spans="1:5">
      <c r="A11240" s="12"/>
      <c r="E11240" s="57" t="str">
        <f ca="1">IFERROR(__xludf.DUMMYFUNCTION("""COMPUTED_VALUE"""),"")</f>
        <v/>
      </c>
    </row>
    <row r="11241" spans="1:5">
      <c r="A11241" s="12"/>
      <c r="E11241" s="57" t="str">
        <f ca="1">IFERROR(__xludf.DUMMYFUNCTION("""COMPUTED_VALUE"""),"")</f>
        <v/>
      </c>
    </row>
    <row r="11242" spans="1:5">
      <c r="A11242" s="12"/>
      <c r="E11242" s="57" t="str">
        <f ca="1">IFERROR(__xludf.DUMMYFUNCTION("""COMPUTED_VALUE"""),"")</f>
        <v/>
      </c>
    </row>
    <row r="11243" spans="1:5">
      <c r="A11243" s="12"/>
      <c r="E11243" s="57" t="str">
        <f ca="1">IFERROR(__xludf.DUMMYFUNCTION("""COMPUTED_VALUE"""),"")</f>
        <v/>
      </c>
    </row>
    <row r="11244" spans="1:5">
      <c r="A11244" s="12"/>
      <c r="E11244" s="57" t="str">
        <f ca="1">IFERROR(__xludf.DUMMYFUNCTION("""COMPUTED_VALUE"""),"")</f>
        <v/>
      </c>
    </row>
    <row r="11245" spans="1:5">
      <c r="A11245" s="12"/>
      <c r="E11245" s="57" t="str">
        <f ca="1">IFERROR(__xludf.DUMMYFUNCTION("""COMPUTED_VALUE"""),"")</f>
        <v/>
      </c>
    </row>
    <row r="11246" spans="1:5">
      <c r="A11246" s="12"/>
      <c r="E11246" s="57" t="str">
        <f ca="1">IFERROR(__xludf.DUMMYFUNCTION("""COMPUTED_VALUE"""),"")</f>
        <v/>
      </c>
    </row>
    <row r="11247" spans="1:5">
      <c r="A11247" s="12"/>
      <c r="E11247" s="57" t="str">
        <f ca="1">IFERROR(__xludf.DUMMYFUNCTION("""COMPUTED_VALUE"""),"")</f>
        <v/>
      </c>
    </row>
    <row r="11248" spans="1:5">
      <c r="A11248" s="12"/>
      <c r="E11248" s="57" t="str">
        <f ca="1">IFERROR(__xludf.DUMMYFUNCTION("""COMPUTED_VALUE"""),"")</f>
        <v/>
      </c>
    </row>
    <row r="11249" spans="1:5">
      <c r="A11249" s="12"/>
      <c r="E11249" s="57" t="str">
        <f ca="1">IFERROR(__xludf.DUMMYFUNCTION("""COMPUTED_VALUE"""),"")</f>
        <v/>
      </c>
    </row>
    <row r="11250" spans="1:5">
      <c r="A11250" s="12"/>
      <c r="E11250" s="57" t="str">
        <f ca="1">IFERROR(__xludf.DUMMYFUNCTION("""COMPUTED_VALUE"""),"")</f>
        <v/>
      </c>
    </row>
    <row r="11251" spans="1:5">
      <c r="A11251" s="12"/>
      <c r="E11251" s="57" t="str">
        <f ca="1">IFERROR(__xludf.DUMMYFUNCTION("""COMPUTED_VALUE"""),"")</f>
        <v/>
      </c>
    </row>
    <row r="11252" spans="1:5">
      <c r="A11252" s="12"/>
      <c r="E11252" s="57" t="str">
        <f ca="1">IFERROR(__xludf.DUMMYFUNCTION("""COMPUTED_VALUE"""),"")</f>
        <v/>
      </c>
    </row>
    <row r="11253" spans="1:5">
      <c r="A11253" s="12"/>
      <c r="E11253" s="57" t="str">
        <f ca="1">IFERROR(__xludf.DUMMYFUNCTION("""COMPUTED_VALUE"""),"")</f>
        <v/>
      </c>
    </row>
    <row r="11254" spans="1:5">
      <c r="A11254" s="12"/>
      <c r="E11254" s="57" t="str">
        <f ca="1">IFERROR(__xludf.DUMMYFUNCTION("""COMPUTED_VALUE"""),"")</f>
        <v/>
      </c>
    </row>
    <row r="11255" spans="1:5">
      <c r="A11255" s="12"/>
      <c r="E11255" s="57" t="str">
        <f ca="1">IFERROR(__xludf.DUMMYFUNCTION("""COMPUTED_VALUE"""),"")</f>
        <v/>
      </c>
    </row>
    <row r="11256" spans="1:5">
      <c r="A11256" s="12"/>
      <c r="E11256" s="57" t="str">
        <f ca="1">IFERROR(__xludf.DUMMYFUNCTION("""COMPUTED_VALUE"""),"")</f>
        <v/>
      </c>
    </row>
    <row r="11257" spans="1:5">
      <c r="A11257" s="12"/>
      <c r="E11257" s="57" t="str">
        <f ca="1">IFERROR(__xludf.DUMMYFUNCTION("""COMPUTED_VALUE"""),"")</f>
        <v/>
      </c>
    </row>
    <row r="11258" spans="1:5">
      <c r="A11258" s="12"/>
      <c r="E11258" s="57" t="str">
        <f ca="1">IFERROR(__xludf.DUMMYFUNCTION("""COMPUTED_VALUE"""),"")</f>
        <v/>
      </c>
    </row>
    <row r="11259" spans="1:5">
      <c r="A11259" s="12"/>
      <c r="E11259" s="57" t="str">
        <f ca="1">IFERROR(__xludf.DUMMYFUNCTION("""COMPUTED_VALUE"""),"")</f>
        <v/>
      </c>
    </row>
    <row r="11260" spans="1:5">
      <c r="A11260" s="12"/>
      <c r="E11260" s="57" t="str">
        <f ca="1">IFERROR(__xludf.DUMMYFUNCTION("""COMPUTED_VALUE"""),"")</f>
        <v/>
      </c>
    </row>
    <row r="11261" spans="1:5">
      <c r="A11261" s="12"/>
      <c r="E11261" s="57" t="str">
        <f ca="1">IFERROR(__xludf.DUMMYFUNCTION("""COMPUTED_VALUE"""),"")</f>
        <v/>
      </c>
    </row>
    <row r="11262" spans="1:5">
      <c r="A11262" s="12"/>
      <c r="E11262" s="57" t="str">
        <f ca="1">IFERROR(__xludf.DUMMYFUNCTION("""COMPUTED_VALUE"""),"")</f>
        <v/>
      </c>
    </row>
    <row r="11263" spans="1:5">
      <c r="A11263" s="12"/>
      <c r="E11263" s="57" t="str">
        <f ca="1">IFERROR(__xludf.DUMMYFUNCTION("""COMPUTED_VALUE"""),"")</f>
        <v/>
      </c>
    </row>
    <row r="11264" spans="1:5">
      <c r="A11264" s="12"/>
      <c r="E11264" s="57" t="str">
        <f ca="1">IFERROR(__xludf.DUMMYFUNCTION("""COMPUTED_VALUE"""),"")</f>
        <v/>
      </c>
    </row>
    <row r="11265" spans="1:5">
      <c r="A11265" s="12"/>
      <c r="E11265" s="57" t="str">
        <f ca="1">IFERROR(__xludf.DUMMYFUNCTION("""COMPUTED_VALUE"""),"")</f>
        <v/>
      </c>
    </row>
    <row r="11266" spans="1:5">
      <c r="A11266" s="12"/>
      <c r="E11266" s="57" t="str">
        <f ca="1">IFERROR(__xludf.DUMMYFUNCTION("""COMPUTED_VALUE"""),"")</f>
        <v/>
      </c>
    </row>
    <row r="11267" spans="1:5">
      <c r="A11267" s="12"/>
      <c r="E11267" s="57" t="str">
        <f ca="1">IFERROR(__xludf.DUMMYFUNCTION("""COMPUTED_VALUE"""),"")</f>
        <v/>
      </c>
    </row>
    <row r="11268" spans="1:5">
      <c r="A11268" s="12"/>
      <c r="E11268" s="57" t="str">
        <f ca="1">IFERROR(__xludf.DUMMYFUNCTION("""COMPUTED_VALUE"""),"")</f>
        <v/>
      </c>
    </row>
    <row r="11269" spans="1:5">
      <c r="A11269" s="12"/>
      <c r="E11269" s="57" t="str">
        <f ca="1">IFERROR(__xludf.DUMMYFUNCTION("""COMPUTED_VALUE"""),"")</f>
        <v/>
      </c>
    </row>
    <row r="11270" spans="1:5">
      <c r="A11270" s="12"/>
      <c r="E11270" s="57" t="str">
        <f ca="1">IFERROR(__xludf.DUMMYFUNCTION("""COMPUTED_VALUE"""),"")</f>
        <v/>
      </c>
    </row>
    <row r="11271" spans="1:5">
      <c r="A11271" s="12"/>
      <c r="E11271" s="57" t="str">
        <f ca="1">IFERROR(__xludf.DUMMYFUNCTION("""COMPUTED_VALUE"""),"")</f>
        <v/>
      </c>
    </row>
    <row r="11272" spans="1:5">
      <c r="A11272" s="12"/>
      <c r="E11272" s="57" t="str">
        <f ca="1">IFERROR(__xludf.DUMMYFUNCTION("""COMPUTED_VALUE"""),"")</f>
        <v/>
      </c>
    </row>
    <row r="11273" spans="1:5">
      <c r="A11273" s="12"/>
      <c r="E11273" s="57" t="str">
        <f ca="1">IFERROR(__xludf.DUMMYFUNCTION("""COMPUTED_VALUE"""),"")</f>
        <v/>
      </c>
    </row>
    <row r="11274" spans="1:5">
      <c r="A11274" s="12"/>
      <c r="E11274" s="57" t="str">
        <f ca="1">IFERROR(__xludf.DUMMYFUNCTION("""COMPUTED_VALUE"""),"")</f>
        <v/>
      </c>
    </row>
    <row r="11275" spans="1:5">
      <c r="A11275" s="12"/>
      <c r="E11275" s="57" t="str">
        <f ca="1">IFERROR(__xludf.DUMMYFUNCTION("""COMPUTED_VALUE"""),"")</f>
        <v/>
      </c>
    </row>
    <row r="11276" spans="1:5">
      <c r="A11276" s="12"/>
      <c r="E11276" s="57" t="str">
        <f ca="1">IFERROR(__xludf.DUMMYFUNCTION("""COMPUTED_VALUE"""),"")</f>
        <v/>
      </c>
    </row>
    <row r="11277" spans="1:5">
      <c r="A11277" s="12"/>
      <c r="E11277" s="57" t="str">
        <f ca="1">IFERROR(__xludf.DUMMYFUNCTION("""COMPUTED_VALUE"""),"")</f>
        <v/>
      </c>
    </row>
    <row r="11278" spans="1:5">
      <c r="A11278" s="12"/>
      <c r="E11278" s="57" t="str">
        <f ca="1">IFERROR(__xludf.DUMMYFUNCTION("""COMPUTED_VALUE"""),"")</f>
        <v/>
      </c>
    </row>
    <row r="11279" spans="1:5">
      <c r="A11279" s="12"/>
      <c r="E11279" s="57" t="str">
        <f ca="1">IFERROR(__xludf.DUMMYFUNCTION("""COMPUTED_VALUE"""),"")</f>
        <v/>
      </c>
    </row>
    <row r="11280" spans="1:5">
      <c r="A11280" s="12"/>
      <c r="E11280" s="57" t="str">
        <f ca="1">IFERROR(__xludf.DUMMYFUNCTION("""COMPUTED_VALUE"""),"")</f>
        <v/>
      </c>
    </row>
    <row r="11281" spans="1:5">
      <c r="A11281" s="12"/>
      <c r="E11281" s="57" t="str">
        <f ca="1">IFERROR(__xludf.DUMMYFUNCTION("""COMPUTED_VALUE"""),"")</f>
        <v/>
      </c>
    </row>
    <row r="11282" spans="1:5">
      <c r="A11282" s="12"/>
      <c r="E11282" s="57" t="str">
        <f ca="1">IFERROR(__xludf.DUMMYFUNCTION("""COMPUTED_VALUE"""),"")</f>
        <v/>
      </c>
    </row>
    <row r="11283" spans="1:5">
      <c r="A11283" s="12"/>
      <c r="E11283" s="57" t="str">
        <f ca="1">IFERROR(__xludf.DUMMYFUNCTION("""COMPUTED_VALUE"""),"")</f>
        <v/>
      </c>
    </row>
    <row r="11284" spans="1:5">
      <c r="A11284" s="12"/>
      <c r="E11284" s="57" t="str">
        <f ca="1">IFERROR(__xludf.DUMMYFUNCTION("""COMPUTED_VALUE"""),"")</f>
        <v/>
      </c>
    </row>
    <row r="11285" spans="1:5">
      <c r="A11285" s="12"/>
      <c r="E11285" s="57" t="str">
        <f ca="1">IFERROR(__xludf.DUMMYFUNCTION("""COMPUTED_VALUE"""),"")</f>
        <v/>
      </c>
    </row>
    <row r="11286" spans="1:5">
      <c r="A11286" s="12"/>
      <c r="E11286" s="57" t="str">
        <f ca="1">IFERROR(__xludf.DUMMYFUNCTION("""COMPUTED_VALUE"""),"")</f>
        <v/>
      </c>
    </row>
    <row r="11287" spans="1:5">
      <c r="A11287" s="12"/>
      <c r="E11287" s="57" t="str">
        <f ca="1">IFERROR(__xludf.DUMMYFUNCTION("""COMPUTED_VALUE"""),"")</f>
        <v/>
      </c>
    </row>
    <row r="11288" spans="1:5">
      <c r="A11288" s="12"/>
      <c r="E11288" s="57" t="str">
        <f ca="1">IFERROR(__xludf.DUMMYFUNCTION("""COMPUTED_VALUE"""),"")</f>
        <v/>
      </c>
    </row>
    <row r="11289" spans="1:5">
      <c r="A11289" s="12"/>
      <c r="E11289" s="57" t="str">
        <f ca="1">IFERROR(__xludf.DUMMYFUNCTION("""COMPUTED_VALUE"""),"")</f>
        <v/>
      </c>
    </row>
    <row r="11290" spans="1:5">
      <c r="A11290" s="12"/>
      <c r="E11290" s="57" t="str">
        <f ca="1">IFERROR(__xludf.DUMMYFUNCTION("""COMPUTED_VALUE"""),"")</f>
        <v/>
      </c>
    </row>
    <row r="11291" spans="1:5">
      <c r="A11291" s="12"/>
      <c r="E11291" s="57" t="str">
        <f ca="1">IFERROR(__xludf.DUMMYFUNCTION("""COMPUTED_VALUE"""),"")</f>
        <v/>
      </c>
    </row>
    <row r="11292" spans="1:5">
      <c r="A11292" s="12"/>
      <c r="E11292" s="57" t="str">
        <f ca="1">IFERROR(__xludf.DUMMYFUNCTION("""COMPUTED_VALUE"""),"")</f>
        <v/>
      </c>
    </row>
    <row r="11293" spans="1:5">
      <c r="A11293" s="12"/>
      <c r="E11293" s="57" t="str">
        <f ca="1">IFERROR(__xludf.DUMMYFUNCTION("""COMPUTED_VALUE"""),"")</f>
        <v/>
      </c>
    </row>
    <row r="11294" spans="1:5">
      <c r="A11294" s="12"/>
      <c r="E11294" s="57" t="str">
        <f ca="1">IFERROR(__xludf.DUMMYFUNCTION("""COMPUTED_VALUE"""),"")</f>
        <v/>
      </c>
    </row>
    <row r="11295" spans="1:5">
      <c r="A11295" s="12"/>
      <c r="E11295" s="57" t="str">
        <f ca="1">IFERROR(__xludf.DUMMYFUNCTION("""COMPUTED_VALUE"""),"")</f>
        <v/>
      </c>
    </row>
    <row r="11296" spans="1:5">
      <c r="A11296" s="12"/>
      <c r="E11296" s="57" t="str">
        <f ca="1">IFERROR(__xludf.DUMMYFUNCTION("""COMPUTED_VALUE"""),"")</f>
        <v/>
      </c>
    </row>
    <row r="11297" spans="1:5">
      <c r="A11297" s="12"/>
      <c r="E11297" s="57" t="str">
        <f ca="1">IFERROR(__xludf.DUMMYFUNCTION("""COMPUTED_VALUE"""),"")</f>
        <v/>
      </c>
    </row>
    <row r="11298" spans="1:5">
      <c r="A11298" s="12"/>
      <c r="E11298" s="57" t="str">
        <f ca="1">IFERROR(__xludf.DUMMYFUNCTION("""COMPUTED_VALUE"""),"")</f>
        <v/>
      </c>
    </row>
    <row r="11299" spans="1:5">
      <c r="A11299" s="12"/>
      <c r="E11299" s="57" t="str">
        <f ca="1">IFERROR(__xludf.DUMMYFUNCTION("""COMPUTED_VALUE"""),"")</f>
        <v/>
      </c>
    </row>
    <row r="11300" spans="1:5">
      <c r="A11300" s="12"/>
      <c r="E11300" s="57" t="str">
        <f ca="1">IFERROR(__xludf.DUMMYFUNCTION("""COMPUTED_VALUE"""),"")</f>
        <v/>
      </c>
    </row>
    <row r="11301" spans="1:5">
      <c r="A11301" s="12"/>
      <c r="E11301" s="57" t="str">
        <f ca="1">IFERROR(__xludf.DUMMYFUNCTION("""COMPUTED_VALUE"""),"")</f>
        <v/>
      </c>
    </row>
    <row r="11302" spans="1:5">
      <c r="A11302" s="12"/>
      <c r="E11302" s="57" t="str">
        <f ca="1">IFERROR(__xludf.DUMMYFUNCTION("""COMPUTED_VALUE"""),"")</f>
        <v/>
      </c>
    </row>
    <row r="11303" spans="1:5">
      <c r="A11303" s="12"/>
      <c r="E11303" s="57" t="str">
        <f ca="1">IFERROR(__xludf.DUMMYFUNCTION("""COMPUTED_VALUE"""),"")</f>
        <v/>
      </c>
    </row>
    <row r="11304" spans="1:5">
      <c r="A11304" s="12"/>
      <c r="E11304" s="57" t="str">
        <f ca="1">IFERROR(__xludf.DUMMYFUNCTION("""COMPUTED_VALUE"""),"")</f>
        <v/>
      </c>
    </row>
    <row r="11305" spans="1:5">
      <c r="A11305" s="12"/>
      <c r="E11305" s="57" t="str">
        <f ca="1">IFERROR(__xludf.DUMMYFUNCTION("""COMPUTED_VALUE"""),"")</f>
        <v/>
      </c>
    </row>
    <row r="11306" spans="1:5">
      <c r="A11306" s="12"/>
      <c r="E11306" s="57" t="str">
        <f ca="1">IFERROR(__xludf.DUMMYFUNCTION("""COMPUTED_VALUE"""),"")</f>
        <v/>
      </c>
    </row>
    <row r="11307" spans="1:5">
      <c r="A11307" s="12"/>
      <c r="E11307" s="57" t="str">
        <f ca="1">IFERROR(__xludf.DUMMYFUNCTION("""COMPUTED_VALUE"""),"")</f>
        <v/>
      </c>
    </row>
    <row r="11308" spans="1:5">
      <c r="A11308" s="12"/>
      <c r="E11308" s="57" t="str">
        <f ca="1">IFERROR(__xludf.DUMMYFUNCTION("""COMPUTED_VALUE"""),"")</f>
        <v/>
      </c>
    </row>
    <row r="11309" spans="1:5">
      <c r="A11309" s="12"/>
      <c r="E11309" s="57" t="str">
        <f ca="1">IFERROR(__xludf.DUMMYFUNCTION("""COMPUTED_VALUE"""),"")</f>
        <v/>
      </c>
    </row>
    <row r="11310" spans="1:5">
      <c r="A11310" s="12"/>
      <c r="E11310" s="57" t="str">
        <f ca="1">IFERROR(__xludf.DUMMYFUNCTION("""COMPUTED_VALUE"""),"")</f>
        <v/>
      </c>
    </row>
    <row r="11311" spans="1:5">
      <c r="A11311" s="12"/>
      <c r="E11311" s="57" t="str">
        <f ca="1">IFERROR(__xludf.DUMMYFUNCTION("""COMPUTED_VALUE"""),"")</f>
        <v/>
      </c>
    </row>
    <row r="11312" spans="1:5">
      <c r="A11312" s="12"/>
      <c r="E11312" s="57" t="str">
        <f ca="1">IFERROR(__xludf.DUMMYFUNCTION("""COMPUTED_VALUE"""),"")</f>
        <v/>
      </c>
    </row>
    <row r="11313" spans="1:5">
      <c r="A11313" s="12"/>
      <c r="E11313" s="57" t="str">
        <f ca="1">IFERROR(__xludf.DUMMYFUNCTION("""COMPUTED_VALUE"""),"")</f>
        <v/>
      </c>
    </row>
    <row r="11314" spans="1:5">
      <c r="A11314" s="12"/>
      <c r="E11314" s="57" t="str">
        <f ca="1">IFERROR(__xludf.DUMMYFUNCTION("""COMPUTED_VALUE"""),"")</f>
        <v/>
      </c>
    </row>
    <row r="11315" spans="1:5">
      <c r="A11315" s="12"/>
      <c r="E11315" s="57" t="str">
        <f ca="1">IFERROR(__xludf.DUMMYFUNCTION("""COMPUTED_VALUE"""),"")</f>
        <v/>
      </c>
    </row>
    <row r="11316" spans="1:5">
      <c r="A11316" s="12"/>
      <c r="E11316" s="57" t="str">
        <f ca="1">IFERROR(__xludf.DUMMYFUNCTION("""COMPUTED_VALUE"""),"")</f>
        <v/>
      </c>
    </row>
    <row r="11317" spans="1:5">
      <c r="A11317" s="12"/>
      <c r="E11317" s="57" t="str">
        <f ca="1">IFERROR(__xludf.DUMMYFUNCTION("""COMPUTED_VALUE"""),"")</f>
        <v/>
      </c>
    </row>
    <row r="11318" spans="1:5">
      <c r="A11318" s="12"/>
      <c r="E11318" s="57" t="str">
        <f ca="1">IFERROR(__xludf.DUMMYFUNCTION("""COMPUTED_VALUE"""),"")</f>
        <v/>
      </c>
    </row>
    <row r="11319" spans="1:5">
      <c r="A11319" s="12"/>
      <c r="E11319" s="57" t="str">
        <f ca="1">IFERROR(__xludf.DUMMYFUNCTION("""COMPUTED_VALUE"""),"")</f>
        <v/>
      </c>
    </row>
    <row r="11320" spans="1:5">
      <c r="A11320" s="12"/>
      <c r="E11320" s="57" t="str">
        <f ca="1">IFERROR(__xludf.DUMMYFUNCTION("""COMPUTED_VALUE"""),"")</f>
        <v/>
      </c>
    </row>
    <row r="11321" spans="1:5">
      <c r="A11321" s="12"/>
      <c r="E11321" s="57" t="str">
        <f ca="1">IFERROR(__xludf.DUMMYFUNCTION("""COMPUTED_VALUE"""),"")</f>
        <v/>
      </c>
    </row>
    <row r="11322" spans="1:5">
      <c r="A11322" s="12"/>
      <c r="E11322" s="57" t="str">
        <f ca="1">IFERROR(__xludf.DUMMYFUNCTION("""COMPUTED_VALUE"""),"")</f>
        <v/>
      </c>
    </row>
    <row r="11323" spans="1:5">
      <c r="A11323" s="12"/>
      <c r="E11323" s="57" t="str">
        <f ca="1">IFERROR(__xludf.DUMMYFUNCTION("""COMPUTED_VALUE"""),"")</f>
        <v/>
      </c>
    </row>
    <row r="11324" spans="1:5">
      <c r="A11324" s="12"/>
      <c r="E11324" s="57" t="str">
        <f ca="1">IFERROR(__xludf.DUMMYFUNCTION("""COMPUTED_VALUE"""),"")</f>
        <v/>
      </c>
    </row>
    <row r="11325" spans="1:5">
      <c r="A11325" s="12"/>
      <c r="E11325" s="57" t="str">
        <f ca="1">IFERROR(__xludf.DUMMYFUNCTION("""COMPUTED_VALUE"""),"")</f>
        <v/>
      </c>
    </row>
    <row r="11326" spans="1:5">
      <c r="A11326" s="12"/>
      <c r="E11326" s="57" t="str">
        <f ca="1">IFERROR(__xludf.DUMMYFUNCTION("""COMPUTED_VALUE"""),"")</f>
        <v/>
      </c>
    </row>
    <row r="11327" spans="1:5">
      <c r="A11327" s="12"/>
      <c r="E11327" s="57" t="str">
        <f ca="1">IFERROR(__xludf.DUMMYFUNCTION("""COMPUTED_VALUE"""),"")</f>
        <v/>
      </c>
    </row>
    <row r="11328" spans="1:5">
      <c r="A11328" s="12"/>
      <c r="E11328" s="57" t="str">
        <f ca="1">IFERROR(__xludf.DUMMYFUNCTION("""COMPUTED_VALUE"""),"")</f>
        <v/>
      </c>
    </row>
    <row r="11329" spans="1:5">
      <c r="A11329" s="12"/>
      <c r="E11329" s="57" t="str">
        <f ca="1">IFERROR(__xludf.DUMMYFUNCTION("""COMPUTED_VALUE"""),"")</f>
        <v/>
      </c>
    </row>
    <row r="11330" spans="1:5">
      <c r="A11330" s="12"/>
      <c r="E11330" s="57" t="str">
        <f ca="1">IFERROR(__xludf.DUMMYFUNCTION("""COMPUTED_VALUE"""),"")</f>
        <v/>
      </c>
    </row>
    <row r="11331" spans="1:5">
      <c r="A11331" s="12"/>
      <c r="E11331" s="57" t="str">
        <f ca="1">IFERROR(__xludf.DUMMYFUNCTION("""COMPUTED_VALUE"""),"")</f>
        <v/>
      </c>
    </row>
    <row r="11332" spans="1:5">
      <c r="A11332" s="12"/>
      <c r="E11332" s="57" t="str">
        <f ca="1">IFERROR(__xludf.DUMMYFUNCTION("""COMPUTED_VALUE"""),"")</f>
        <v/>
      </c>
    </row>
    <row r="11333" spans="1:5">
      <c r="A11333" s="12"/>
      <c r="E11333" s="57" t="str">
        <f ca="1">IFERROR(__xludf.DUMMYFUNCTION("""COMPUTED_VALUE"""),"")</f>
        <v/>
      </c>
    </row>
    <row r="11334" spans="1:5">
      <c r="A11334" s="12"/>
      <c r="E11334" s="57" t="str">
        <f ca="1">IFERROR(__xludf.DUMMYFUNCTION("""COMPUTED_VALUE"""),"")</f>
        <v/>
      </c>
    </row>
    <row r="11335" spans="1:5">
      <c r="A11335" s="12"/>
      <c r="E11335" s="57" t="str">
        <f ca="1">IFERROR(__xludf.DUMMYFUNCTION("""COMPUTED_VALUE"""),"")</f>
        <v/>
      </c>
    </row>
    <row r="11336" spans="1:5">
      <c r="A11336" s="12"/>
      <c r="E11336" s="57" t="str">
        <f ca="1">IFERROR(__xludf.DUMMYFUNCTION("""COMPUTED_VALUE"""),"")</f>
        <v/>
      </c>
    </row>
    <row r="11337" spans="1:5">
      <c r="A11337" s="12"/>
      <c r="E11337" s="57" t="str">
        <f ca="1">IFERROR(__xludf.DUMMYFUNCTION("""COMPUTED_VALUE"""),"")</f>
        <v/>
      </c>
    </row>
    <row r="11338" spans="1:5">
      <c r="A11338" s="12"/>
      <c r="E11338" s="57" t="str">
        <f ca="1">IFERROR(__xludf.DUMMYFUNCTION("""COMPUTED_VALUE"""),"")</f>
        <v/>
      </c>
    </row>
    <row r="11339" spans="1:5">
      <c r="A11339" s="12"/>
      <c r="E11339" s="57" t="str">
        <f ca="1">IFERROR(__xludf.DUMMYFUNCTION("""COMPUTED_VALUE"""),"")</f>
        <v/>
      </c>
    </row>
    <row r="11340" spans="1:5">
      <c r="A11340" s="12"/>
      <c r="E11340" s="57" t="str">
        <f ca="1">IFERROR(__xludf.DUMMYFUNCTION("""COMPUTED_VALUE"""),"")</f>
        <v/>
      </c>
    </row>
    <row r="11341" spans="1:5">
      <c r="A11341" s="12"/>
      <c r="E11341" s="57" t="str">
        <f ca="1">IFERROR(__xludf.DUMMYFUNCTION("""COMPUTED_VALUE"""),"")</f>
        <v/>
      </c>
    </row>
    <row r="11342" spans="1:5">
      <c r="A11342" s="12"/>
      <c r="E11342" s="57" t="str">
        <f ca="1">IFERROR(__xludf.DUMMYFUNCTION("""COMPUTED_VALUE"""),"")</f>
        <v/>
      </c>
    </row>
    <row r="11343" spans="1:5">
      <c r="A11343" s="12"/>
      <c r="E11343" s="57" t="str">
        <f ca="1">IFERROR(__xludf.DUMMYFUNCTION("""COMPUTED_VALUE"""),"")</f>
        <v/>
      </c>
    </row>
    <row r="11344" spans="1:5">
      <c r="A11344" s="12"/>
      <c r="E11344" s="57" t="str">
        <f ca="1">IFERROR(__xludf.DUMMYFUNCTION("""COMPUTED_VALUE"""),"")</f>
        <v/>
      </c>
    </row>
    <row r="11345" spans="1:5">
      <c r="A11345" s="12"/>
      <c r="E11345" s="57" t="str">
        <f ca="1">IFERROR(__xludf.DUMMYFUNCTION("""COMPUTED_VALUE"""),"")</f>
        <v/>
      </c>
    </row>
    <row r="11346" spans="1:5">
      <c r="A11346" s="12"/>
      <c r="E11346" s="57" t="str">
        <f ca="1">IFERROR(__xludf.DUMMYFUNCTION("""COMPUTED_VALUE"""),"")</f>
        <v/>
      </c>
    </row>
    <row r="11347" spans="1:5">
      <c r="A11347" s="12"/>
      <c r="E11347" s="57" t="str">
        <f ca="1">IFERROR(__xludf.DUMMYFUNCTION("""COMPUTED_VALUE"""),"")</f>
        <v/>
      </c>
    </row>
    <row r="11348" spans="1:5">
      <c r="A11348" s="12"/>
      <c r="E11348" s="57" t="str">
        <f ca="1">IFERROR(__xludf.DUMMYFUNCTION("""COMPUTED_VALUE"""),"")</f>
        <v/>
      </c>
    </row>
    <row r="11349" spans="1:5">
      <c r="A11349" s="12"/>
      <c r="E11349" s="57" t="str">
        <f ca="1">IFERROR(__xludf.DUMMYFUNCTION("""COMPUTED_VALUE"""),"")</f>
        <v/>
      </c>
    </row>
    <row r="11350" spans="1:5">
      <c r="A11350" s="12"/>
      <c r="E11350" s="57" t="str">
        <f ca="1">IFERROR(__xludf.DUMMYFUNCTION("""COMPUTED_VALUE"""),"")</f>
        <v/>
      </c>
    </row>
    <row r="11351" spans="1:5">
      <c r="A11351" s="12"/>
      <c r="E11351" s="57" t="str">
        <f ca="1">IFERROR(__xludf.DUMMYFUNCTION("""COMPUTED_VALUE"""),"")</f>
        <v/>
      </c>
    </row>
    <row r="11352" spans="1:5">
      <c r="A11352" s="12"/>
      <c r="E11352" s="57" t="str">
        <f ca="1">IFERROR(__xludf.DUMMYFUNCTION("""COMPUTED_VALUE"""),"")</f>
        <v/>
      </c>
    </row>
    <row r="11353" spans="1:5">
      <c r="A11353" s="12"/>
      <c r="E11353" s="57" t="str">
        <f ca="1">IFERROR(__xludf.DUMMYFUNCTION("""COMPUTED_VALUE"""),"")</f>
        <v/>
      </c>
    </row>
    <row r="11354" spans="1:5">
      <c r="A11354" s="12"/>
      <c r="E11354" s="57" t="str">
        <f ca="1">IFERROR(__xludf.DUMMYFUNCTION("""COMPUTED_VALUE"""),"")</f>
        <v/>
      </c>
    </row>
    <row r="11355" spans="1:5">
      <c r="A11355" s="12"/>
      <c r="E11355" s="57" t="str">
        <f ca="1">IFERROR(__xludf.DUMMYFUNCTION("""COMPUTED_VALUE"""),"")</f>
        <v/>
      </c>
    </row>
    <row r="11356" spans="1:5">
      <c r="A11356" s="12"/>
      <c r="E11356" s="57" t="str">
        <f ca="1">IFERROR(__xludf.DUMMYFUNCTION("""COMPUTED_VALUE"""),"")</f>
        <v/>
      </c>
    </row>
    <row r="11357" spans="1:5">
      <c r="A11357" s="12"/>
      <c r="E11357" s="57" t="str">
        <f ca="1">IFERROR(__xludf.DUMMYFUNCTION("""COMPUTED_VALUE"""),"")</f>
        <v/>
      </c>
    </row>
    <row r="11358" spans="1:5">
      <c r="A11358" s="12"/>
      <c r="E11358" s="57" t="str">
        <f ca="1">IFERROR(__xludf.DUMMYFUNCTION("""COMPUTED_VALUE"""),"")</f>
        <v/>
      </c>
    </row>
    <row r="11359" spans="1:5">
      <c r="A11359" s="12"/>
      <c r="E11359" s="57" t="str">
        <f ca="1">IFERROR(__xludf.DUMMYFUNCTION("""COMPUTED_VALUE"""),"")</f>
        <v/>
      </c>
    </row>
    <row r="11360" spans="1:5">
      <c r="A11360" s="12"/>
      <c r="E11360" s="57" t="str">
        <f ca="1">IFERROR(__xludf.DUMMYFUNCTION("""COMPUTED_VALUE"""),"")</f>
        <v/>
      </c>
    </row>
    <row r="11361" spans="1:5">
      <c r="A11361" s="12"/>
      <c r="E11361" s="57" t="str">
        <f ca="1">IFERROR(__xludf.DUMMYFUNCTION("""COMPUTED_VALUE"""),"")</f>
        <v/>
      </c>
    </row>
    <row r="11362" spans="1:5">
      <c r="A11362" s="12"/>
      <c r="E11362" s="57" t="str">
        <f ca="1">IFERROR(__xludf.DUMMYFUNCTION("""COMPUTED_VALUE"""),"")</f>
        <v/>
      </c>
    </row>
    <row r="11363" spans="1:5">
      <c r="A11363" s="12"/>
      <c r="E11363" s="57" t="str">
        <f ca="1">IFERROR(__xludf.DUMMYFUNCTION("""COMPUTED_VALUE"""),"")</f>
        <v/>
      </c>
    </row>
    <row r="11364" spans="1:5">
      <c r="A11364" s="12"/>
      <c r="E11364" s="57" t="str">
        <f ca="1">IFERROR(__xludf.DUMMYFUNCTION("""COMPUTED_VALUE"""),"")</f>
        <v/>
      </c>
    </row>
    <row r="11365" spans="1:5">
      <c r="A11365" s="12"/>
      <c r="E11365" s="57" t="str">
        <f ca="1">IFERROR(__xludf.DUMMYFUNCTION("""COMPUTED_VALUE"""),"")</f>
        <v/>
      </c>
    </row>
    <row r="11366" spans="1:5">
      <c r="A11366" s="12"/>
      <c r="E11366" s="57" t="str">
        <f ca="1">IFERROR(__xludf.DUMMYFUNCTION("""COMPUTED_VALUE"""),"")</f>
        <v/>
      </c>
    </row>
    <row r="11367" spans="1:5">
      <c r="A11367" s="12"/>
      <c r="E11367" s="57" t="str">
        <f ca="1">IFERROR(__xludf.DUMMYFUNCTION("""COMPUTED_VALUE"""),"")</f>
        <v/>
      </c>
    </row>
    <row r="11368" spans="1:5">
      <c r="A11368" s="12"/>
      <c r="E11368" s="57" t="str">
        <f ca="1">IFERROR(__xludf.DUMMYFUNCTION("""COMPUTED_VALUE"""),"")</f>
        <v/>
      </c>
    </row>
    <row r="11369" spans="1:5">
      <c r="A11369" s="12"/>
      <c r="E11369" s="57" t="str">
        <f ca="1">IFERROR(__xludf.DUMMYFUNCTION("""COMPUTED_VALUE"""),"")</f>
        <v/>
      </c>
    </row>
    <row r="11370" spans="1:5">
      <c r="A11370" s="12"/>
      <c r="E11370" s="57" t="str">
        <f ca="1">IFERROR(__xludf.DUMMYFUNCTION("""COMPUTED_VALUE"""),"")</f>
        <v/>
      </c>
    </row>
    <row r="11371" spans="1:5">
      <c r="A11371" s="12"/>
      <c r="E11371" s="57" t="str">
        <f ca="1">IFERROR(__xludf.DUMMYFUNCTION("""COMPUTED_VALUE"""),"")</f>
        <v/>
      </c>
    </row>
    <row r="11372" spans="1:5">
      <c r="A11372" s="12"/>
      <c r="E11372" s="57" t="str">
        <f ca="1">IFERROR(__xludf.DUMMYFUNCTION("""COMPUTED_VALUE"""),"")</f>
        <v/>
      </c>
    </row>
    <row r="11373" spans="1:5">
      <c r="A11373" s="12"/>
      <c r="E11373" s="57" t="str">
        <f ca="1">IFERROR(__xludf.DUMMYFUNCTION("""COMPUTED_VALUE"""),"")</f>
        <v/>
      </c>
    </row>
    <row r="11374" spans="1:5">
      <c r="A11374" s="12"/>
      <c r="E11374" s="57" t="str">
        <f ca="1">IFERROR(__xludf.DUMMYFUNCTION("""COMPUTED_VALUE"""),"")</f>
        <v/>
      </c>
    </row>
    <row r="11375" spans="1:5">
      <c r="A11375" s="12"/>
      <c r="E11375" s="57" t="str">
        <f ca="1">IFERROR(__xludf.DUMMYFUNCTION("""COMPUTED_VALUE"""),"")</f>
        <v/>
      </c>
    </row>
    <row r="11376" spans="1:5">
      <c r="A11376" s="12"/>
      <c r="E11376" s="57" t="str">
        <f ca="1">IFERROR(__xludf.DUMMYFUNCTION("""COMPUTED_VALUE"""),"")</f>
        <v/>
      </c>
    </row>
    <row r="11377" spans="1:5">
      <c r="A11377" s="12"/>
      <c r="E11377" s="57" t="str">
        <f ca="1">IFERROR(__xludf.DUMMYFUNCTION("""COMPUTED_VALUE"""),"")</f>
        <v/>
      </c>
    </row>
    <row r="11378" spans="1:5">
      <c r="A11378" s="12"/>
      <c r="E11378" s="57" t="str">
        <f ca="1">IFERROR(__xludf.DUMMYFUNCTION("""COMPUTED_VALUE"""),"")</f>
        <v/>
      </c>
    </row>
    <row r="11379" spans="1:5">
      <c r="A11379" s="12"/>
      <c r="E11379" s="57" t="str">
        <f ca="1">IFERROR(__xludf.DUMMYFUNCTION("""COMPUTED_VALUE"""),"")</f>
        <v/>
      </c>
    </row>
    <row r="11380" spans="1:5">
      <c r="A11380" s="12"/>
      <c r="E11380" s="57" t="str">
        <f ca="1">IFERROR(__xludf.DUMMYFUNCTION("""COMPUTED_VALUE"""),"")</f>
        <v/>
      </c>
    </row>
    <row r="11381" spans="1:5">
      <c r="A11381" s="12"/>
      <c r="E11381" s="57" t="str">
        <f ca="1">IFERROR(__xludf.DUMMYFUNCTION("""COMPUTED_VALUE"""),"")</f>
        <v/>
      </c>
    </row>
    <row r="11382" spans="1:5">
      <c r="A11382" s="12"/>
      <c r="E11382" s="57" t="str">
        <f ca="1">IFERROR(__xludf.DUMMYFUNCTION("""COMPUTED_VALUE"""),"")</f>
        <v/>
      </c>
    </row>
    <row r="11383" spans="1:5">
      <c r="A11383" s="12"/>
      <c r="E11383" s="57" t="str">
        <f ca="1">IFERROR(__xludf.DUMMYFUNCTION("""COMPUTED_VALUE"""),"")</f>
        <v/>
      </c>
    </row>
    <row r="11384" spans="1:5">
      <c r="A11384" s="12"/>
      <c r="E11384" s="57" t="str">
        <f ca="1">IFERROR(__xludf.DUMMYFUNCTION("""COMPUTED_VALUE"""),"")</f>
        <v/>
      </c>
    </row>
    <row r="11385" spans="1:5">
      <c r="A11385" s="12"/>
      <c r="E11385" s="57" t="str">
        <f ca="1">IFERROR(__xludf.DUMMYFUNCTION("""COMPUTED_VALUE"""),"")</f>
        <v/>
      </c>
    </row>
    <row r="11386" spans="1:5">
      <c r="A11386" s="12"/>
      <c r="E11386" s="57" t="str">
        <f ca="1">IFERROR(__xludf.DUMMYFUNCTION("""COMPUTED_VALUE"""),"")</f>
        <v/>
      </c>
    </row>
    <row r="11387" spans="1:5">
      <c r="A11387" s="12"/>
      <c r="E11387" s="57" t="str">
        <f ca="1">IFERROR(__xludf.DUMMYFUNCTION("""COMPUTED_VALUE"""),"")</f>
        <v/>
      </c>
    </row>
    <row r="11388" spans="1:5">
      <c r="A11388" s="12"/>
      <c r="E11388" s="57" t="str">
        <f ca="1">IFERROR(__xludf.DUMMYFUNCTION("""COMPUTED_VALUE"""),"")</f>
        <v/>
      </c>
    </row>
    <row r="11389" spans="1:5">
      <c r="A11389" s="12"/>
      <c r="E11389" s="57" t="str">
        <f ca="1">IFERROR(__xludf.DUMMYFUNCTION("""COMPUTED_VALUE"""),"")</f>
        <v/>
      </c>
    </row>
    <row r="11390" spans="1:5">
      <c r="A11390" s="12"/>
      <c r="E11390" s="57" t="str">
        <f ca="1">IFERROR(__xludf.DUMMYFUNCTION("""COMPUTED_VALUE"""),"")</f>
        <v/>
      </c>
    </row>
    <row r="11391" spans="1:5">
      <c r="A11391" s="12"/>
      <c r="E11391" s="57" t="str">
        <f ca="1">IFERROR(__xludf.DUMMYFUNCTION("""COMPUTED_VALUE"""),"")</f>
        <v/>
      </c>
    </row>
    <row r="11392" spans="1:5">
      <c r="A11392" s="12"/>
      <c r="E11392" s="57" t="str">
        <f ca="1">IFERROR(__xludf.DUMMYFUNCTION("""COMPUTED_VALUE"""),"")</f>
        <v/>
      </c>
    </row>
    <row r="11393" spans="1:5">
      <c r="A11393" s="12"/>
      <c r="E11393" s="57" t="str">
        <f ca="1">IFERROR(__xludf.DUMMYFUNCTION("""COMPUTED_VALUE"""),"")</f>
        <v/>
      </c>
    </row>
    <row r="11394" spans="1:5">
      <c r="A11394" s="12"/>
      <c r="E11394" s="57" t="str">
        <f ca="1">IFERROR(__xludf.DUMMYFUNCTION("""COMPUTED_VALUE"""),"")</f>
        <v/>
      </c>
    </row>
    <row r="11395" spans="1:5">
      <c r="A11395" s="12"/>
      <c r="E11395" s="57" t="str">
        <f ca="1">IFERROR(__xludf.DUMMYFUNCTION("""COMPUTED_VALUE"""),"")</f>
        <v/>
      </c>
    </row>
    <row r="11396" spans="1:5">
      <c r="A11396" s="12"/>
      <c r="E11396" s="57" t="str">
        <f ca="1">IFERROR(__xludf.DUMMYFUNCTION("""COMPUTED_VALUE"""),"")</f>
        <v/>
      </c>
    </row>
    <row r="11397" spans="1:5">
      <c r="A11397" s="12"/>
      <c r="E11397" s="57" t="str">
        <f ca="1">IFERROR(__xludf.DUMMYFUNCTION("""COMPUTED_VALUE"""),"")</f>
        <v/>
      </c>
    </row>
    <row r="11398" spans="1:5">
      <c r="A11398" s="12"/>
      <c r="E11398" s="57" t="str">
        <f ca="1">IFERROR(__xludf.DUMMYFUNCTION("""COMPUTED_VALUE"""),"")</f>
        <v/>
      </c>
    </row>
    <row r="11399" spans="1:5">
      <c r="A11399" s="12"/>
      <c r="E11399" s="57" t="str">
        <f ca="1">IFERROR(__xludf.DUMMYFUNCTION("""COMPUTED_VALUE"""),"")</f>
        <v/>
      </c>
    </row>
    <row r="11400" spans="1:5">
      <c r="A11400" s="12"/>
      <c r="E11400" s="57" t="str">
        <f ca="1">IFERROR(__xludf.DUMMYFUNCTION("""COMPUTED_VALUE"""),"")</f>
        <v/>
      </c>
    </row>
    <row r="11401" spans="1:5">
      <c r="A11401" s="12"/>
      <c r="E11401" s="57" t="str">
        <f ca="1">IFERROR(__xludf.DUMMYFUNCTION("""COMPUTED_VALUE"""),"")</f>
        <v/>
      </c>
    </row>
    <row r="11402" spans="1:5">
      <c r="A11402" s="12"/>
      <c r="E11402" s="57" t="str">
        <f ca="1">IFERROR(__xludf.DUMMYFUNCTION("""COMPUTED_VALUE"""),"")</f>
        <v/>
      </c>
    </row>
    <row r="11403" spans="1:5">
      <c r="A11403" s="12"/>
      <c r="E11403" s="57" t="str">
        <f ca="1">IFERROR(__xludf.DUMMYFUNCTION("""COMPUTED_VALUE"""),"")</f>
        <v/>
      </c>
    </row>
    <row r="11404" spans="1:5">
      <c r="A11404" s="12"/>
      <c r="E11404" s="57" t="str">
        <f ca="1">IFERROR(__xludf.DUMMYFUNCTION("""COMPUTED_VALUE"""),"")</f>
        <v/>
      </c>
    </row>
    <row r="11405" spans="1:5">
      <c r="A11405" s="12"/>
      <c r="E11405" s="57" t="str">
        <f ca="1">IFERROR(__xludf.DUMMYFUNCTION("""COMPUTED_VALUE"""),"")</f>
        <v/>
      </c>
    </row>
    <row r="11406" spans="1:5">
      <c r="A11406" s="12"/>
      <c r="E11406" s="57" t="str">
        <f ca="1">IFERROR(__xludf.DUMMYFUNCTION("""COMPUTED_VALUE"""),"")</f>
        <v/>
      </c>
    </row>
    <row r="11407" spans="1:5">
      <c r="A11407" s="12"/>
      <c r="E11407" s="57" t="str">
        <f ca="1">IFERROR(__xludf.DUMMYFUNCTION("""COMPUTED_VALUE"""),"")</f>
        <v/>
      </c>
    </row>
    <row r="11408" spans="1:5">
      <c r="A11408" s="12"/>
      <c r="E11408" s="57" t="str">
        <f ca="1">IFERROR(__xludf.DUMMYFUNCTION("""COMPUTED_VALUE"""),"")</f>
        <v/>
      </c>
    </row>
    <row r="11409" spans="1:5">
      <c r="A11409" s="12"/>
      <c r="E11409" s="57" t="str">
        <f ca="1">IFERROR(__xludf.DUMMYFUNCTION("""COMPUTED_VALUE"""),"")</f>
        <v/>
      </c>
    </row>
    <row r="11410" spans="1:5">
      <c r="A11410" s="12"/>
      <c r="E11410" s="57" t="str">
        <f ca="1">IFERROR(__xludf.DUMMYFUNCTION("""COMPUTED_VALUE"""),"")</f>
        <v/>
      </c>
    </row>
    <row r="11411" spans="1:5">
      <c r="A11411" s="12"/>
      <c r="E11411" s="57" t="str">
        <f ca="1">IFERROR(__xludf.DUMMYFUNCTION("""COMPUTED_VALUE"""),"")</f>
        <v/>
      </c>
    </row>
    <row r="11412" spans="1:5">
      <c r="A11412" s="12"/>
      <c r="E11412" s="57" t="str">
        <f ca="1">IFERROR(__xludf.DUMMYFUNCTION("""COMPUTED_VALUE"""),"")</f>
        <v/>
      </c>
    </row>
    <row r="11413" spans="1:5">
      <c r="A11413" s="12"/>
      <c r="E11413" s="57" t="str">
        <f ca="1">IFERROR(__xludf.DUMMYFUNCTION("""COMPUTED_VALUE"""),"")</f>
        <v/>
      </c>
    </row>
    <row r="11414" spans="1:5">
      <c r="A11414" s="12"/>
      <c r="E11414" s="57" t="str">
        <f ca="1">IFERROR(__xludf.DUMMYFUNCTION("""COMPUTED_VALUE"""),"")</f>
        <v/>
      </c>
    </row>
    <row r="11415" spans="1:5">
      <c r="A11415" s="12"/>
      <c r="E11415" s="57" t="str">
        <f ca="1">IFERROR(__xludf.DUMMYFUNCTION("""COMPUTED_VALUE"""),"")</f>
        <v/>
      </c>
    </row>
    <row r="11416" spans="1:5">
      <c r="A11416" s="12"/>
      <c r="E11416" s="57" t="str">
        <f ca="1">IFERROR(__xludf.DUMMYFUNCTION("""COMPUTED_VALUE"""),"")</f>
        <v/>
      </c>
    </row>
    <row r="11417" spans="1:5">
      <c r="A11417" s="12"/>
      <c r="E11417" s="57" t="str">
        <f ca="1">IFERROR(__xludf.DUMMYFUNCTION("""COMPUTED_VALUE"""),"")</f>
        <v/>
      </c>
    </row>
    <row r="11418" spans="1:5">
      <c r="A11418" s="12"/>
      <c r="E11418" s="57" t="str">
        <f ca="1">IFERROR(__xludf.DUMMYFUNCTION("""COMPUTED_VALUE"""),"")</f>
        <v/>
      </c>
    </row>
    <row r="11419" spans="1:5">
      <c r="A11419" s="12"/>
      <c r="E11419" s="57" t="str">
        <f ca="1">IFERROR(__xludf.DUMMYFUNCTION("""COMPUTED_VALUE"""),"")</f>
        <v/>
      </c>
    </row>
    <row r="11420" spans="1:5">
      <c r="A11420" s="12"/>
      <c r="E11420" s="57" t="str">
        <f ca="1">IFERROR(__xludf.DUMMYFUNCTION("""COMPUTED_VALUE"""),"")</f>
        <v/>
      </c>
    </row>
    <row r="11421" spans="1:5">
      <c r="A11421" s="12"/>
      <c r="E11421" s="57" t="str">
        <f ca="1">IFERROR(__xludf.DUMMYFUNCTION("""COMPUTED_VALUE"""),"")</f>
        <v/>
      </c>
    </row>
    <row r="11422" spans="1:5">
      <c r="A11422" s="12"/>
      <c r="E11422" s="57" t="str">
        <f ca="1">IFERROR(__xludf.DUMMYFUNCTION("""COMPUTED_VALUE"""),"")</f>
        <v/>
      </c>
    </row>
    <row r="11423" spans="1:5">
      <c r="A11423" s="12"/>
      <c r="E11423" s="57" t="str">
        <f ca="1">IFERROR(__xludf.DUMMYFUNCTION("""COMPUTED_VALUE"""),"")</f>
        <v/>
      </c>
    </row>
    <row r="11424" spans="1:5">
      <c r="A11424" s="12"/>
      <c r="E11424" s="57" t="str">
        <f ca="1">IFERROR(__xludf.DUMMYFUNCTION("""COMPUTED_VALUE"""),"")</f>
        <v/>
      </c>
    </row>
    <row r="11425" spans="1:5">
      <c r="A11425" s="12"/>
      <c r="E11425" s="57" t="str">
        <f ca="1">IFERROR(__xludf.DUMMYFUNCTION("""COMPUTED_VALUE"""),"")</f>
        <v/>
      </c>
    </row>
    <row r="11426" spans="1:5">
      <c r="A11426" s="12"/>
      <c r="E11426" s="57" t="str">
        <f ca="1">IFERROR(__xludf.DUMMYFUNCTION("""COMPUTED_VALUE"""),"")</f>
        <v/>
      </c>
    </row>
    <row r="11427" spans="1:5">
      <c r="A11427" s="12"/>
      <c r="E11427" s="57" t="str">
        <f ca="1">IFERROR(__xludf.DUMMYFUNCTION("""COMPUTED_VALUE"""),"")</f>
        <v/>
      </c>
    </row>
    <row r="11428" spans="1:5">
      <c r="A11428" s="12"/>
      <c r="E11428" s="57" t="str">
        <f ca="1">IFERROR(__xludf.DUMMYFUNCTION("""COMPUTED_VALUE"""),"")</f>
        <v/>
      </c>
    </row>
    <row r="11429" spans="1:5">
      <c r="A11429" s="12"/>
      <c r="E11429" s="57" t="str">
        <f ca="1">IFERROR(__xludf.DUMMYFUNCTION("""COMPUTED_VALUE"""),"")</f>
        <v/>
      </c>
    </row>
    <row r="11430" spans="1:5">
      <c r="A11430" s="12"/>
      <c r="E11430" s="57" t="str">
        <f ca="1">IFERROR(__xludf.DUMMYFUNCTION("""COMPUTED_VALUE"""),"")</f>
        <v/>
      </c>
    </row>
    <row r="11431" spans="1:5">
      <c r="A11431" s="12"/>
      <c r="E11431" s="57" t="str">
        <f ca="1">IFERROR(__xludf.DUMMYFUNCTION("""COMPUTED_VALUE"""),"")</f>
        <v/>
      </c>
    </row>
    <row r="11432" spans="1:5">
      <c r="A11432" s="12"/>
      <c r="E11432" s="57" t="str">
        <f ca="1">IFERROR(__xludf.DUMMYFUNCTION("""COMPUTED_VALUE"""),"")</f>
        <v/>
      </c>
    </row>
    <row r="11433" spans="1:5">
      <c r="A11433" s="12"/>
      <c r="E11433" s="57" t="str">
        <f ca="1">IFERROR(__xludf.DUMMYFUNCTION("""COMPUTED_VALUE"""),"")</f>
        <v/>
      </c>
    </row>
    <row r="11434" spans="1:5">
      <c r="A11434" s="12"/>
      <c r="E11434" s="57" t="str">
        <f ca="1">IFERROR(__xludf.DUMMYFUNCTION("""COMPUTED_VALUE"""),"")</f>
        <v/>
      </c>
    </row>
    <row r="11435" spans="1:5">
      <c r="A11435" s="12"/>
      <c r="E11435" s="57" t="str">
        <f ca="1">IFERROR(__xludf.DUMMYFUNCTION("""COMPUTED_VALUE"""),"")</f>
        <v/>
      </c>
    </row>
    <row r="11436" spans="1:5">
      <c r="A11436" s="12"/>
      <c r="E11436" s="57" t="str">
        <f ca="1">IFERROR(__xludf.DUMMYFUNCTION("""COMPUTED_VALUE"""),"")</f>
        <v/>
      </c>
    </row>
    <row r="11437" spans="1:5">
      <c r="A11437" s="12"/>
      <c r="E11437" s="57" t="str">
        <f ca="1">IFERROR(__xludf.DUMMYFUNCTION("""COMPUTED_VALUE"""),"")</f>
        <v/>
      </c>
    </row>
    <row r="11438" spans="1:5">
      <c r="A11438" s="12"/>
      <c r="E11438" s="57" t="str">
        <f ca="1">IFERROR(__xludf.DUMMYFUNCTION("""COMPUTED_VALUE"""),"")</f>
        <v/>
      </c>
    </row>
    <row r="11439" spans="1:5">
      <c r="A11439" s="12"/>
      <c r="E11439" s="57" t="str">
        <f ca="1">IFERROR(__xludf.DUMMYFUNCTION("""COMPUTED_VALUE"""),"")</f>
        <v/>
      </c>
    </row>
    <row r="11440" spans="1:5">
      <c r="A11440" s="12"/>
      <c r="E11440" s="57" t="str">
        <f ca="1">IFERROR(__xludf.DUMMYFUNCTION("""COMPUTED_VALUE"""),"")</f>
        <v/>
      </c>
    </row>
    <row r="11441" spans="1:5">
      <c r="A11441" s="12"/>
      <c r="E11441" s="57" t="str">
        <f ca="1">IFERROR(__xludf.DUMMYFUNCTION("""COMPUTED_VALUE"""),"")</f>
        <v/>
      </c>
    </row>
    <row r="11442" spans="1:5">
      <c r="A11442" s="12"/>
      <c r="E11442" s="57" t="str">
        <f ca="1">IFERROR(__xludf.DUMMYFUNCTION("""COMPUTED_VALUE"""),"")</f>
        <v/>
      </c>
    </row>
    <row r="11443" spans="1:5">
      <c r="A11443" s="12"/>
      <c r="E11443" s="57" t="str">
        <f ca="1">IFERROR(__xludf.DUMMYFUNCTION("""COMPUTED_VALUE"""),"")</f>
        <v/>
      </c>
    </row>
    <row r="11444" spans="1:5">
      <c r="A11444" s="12"/>
      <c r="E11444" s="57" t="str">
        <f ca="1">IFERROR(__xludf.DUMMYFUNCTION("""COMPUTED_VALUE"""),"")</f>
        <v/>
      </c>
    </row>
    <row r="11445" spans="1:5">
      <c r="A11445" s="12"/>
      <c r="E11445" s="57" t="str">
        <f ca="1">IFERROR(__xludf.DUMMYFUNCTION("""COMPUTED_VALUE"""),"")</f>
        <v/>
      </c>
    </row>
    <row r="11446" spans="1:5">
      <c r="A11446" s="12"/>
      <c r="E11446" s="57" t="str">
        <f ca="1">IFERROR(__xludf.DUMMYFUNCTION("""COMPUTED_VALUE"""),"")</f>
        <v/>
      </c>
    </row>
    <row r="11447" spans="1:5">
      <c r="A11447" s="12"/>
      <c r="E11447" s="57" t="str">
        <f ca="1">IFERROR(__xludf.DUMMYFUNCTION("""COMPUTED_VALUE"""),"")</f>
        <v/>
      </c>
    </row>
    <row r="11448" spans="1:5">
      <c r="A11448" s="12"/>
      <c r="E11448" s="57" t="str">
        <f ca="1">IFERROR(__xludf.DUMMYFUNCTION("""COMPUTED_VALUE"""),"")</f>
        <v/>
      </c>
    </row>
    <row r="11449" spans="1:5">
      <c r="A11449" s="12"/>
      <c r="E11449" s="57" t="str">
        <f ca="1">IFERROR(__xludf.DUMMYFUNCTION("""COMPUTED_VALUE"""),"")</f>
        <v/>
      </c>
    </row>
    <row r="11450" spans="1:5">
      <c r="A11450" s="12"/>
      <c r="E11450" s="57" t="str">
        <f ca="1">IFERROR(__xludf.DUMMYFUNCTION("""COMPUTED_VALUE"""),"")</f>
        <v/>
      </c>
    </row>
    <row r="11451" spans="1:5">
      <c r="A11451" s="12"/>
      <c r="E11451" s="57" t="str">
        <f ca="1">IFERROR(__xludf.DUMMYFUNCTION("""COMPUTED_VALUE"""),"")</f>
        <v/>
      </c>
    </row>
    <row r="11452" spans="1:5">
      <c r="A11452" s="12"/>
      <c r="E11452" s="57" t="str">
        <f ca="1">IFERROR(__xludf.DUMMYFUNCTION("""COMPUTED_VALUE"""),"")</f>
        <v/>
      </c>
    </row>
    <row r="11453" spans="1:5">
      <c r="A11453" s="12"/>
      <c r="E11453" s="57" t="str">
        <f ca="1">IFERROR(__xludf.DUMMYFUNCTION("""COMPUTED_VALUE"""),"")</f>
        <v/>
      </c>
    </row>
    <row r="11454" spans="1:5">
      <c r="A11454" s="12"/>
      <c r="E11454" s="57" t="str">
        <f ca="1">IFERROR(__xludf.DUMMYFUNCTION("""COMPUTED_VALUE"""),"")</f>
        <v/>
      </c>
    </row>
    <row r="11455" spans="1:5">
      <c r="A11455" s="12"/>
      <c r="E11455" s="57" t="str">
        <f ca="1">IFERROR(__xludf.DUMMYFUNCTION("""COMPUTED_VALUE"""),"")</f>
        <v/>
      </c>
    </row>
    <row r="11456" spans="1:5">
      <c r="A11456" s="12"/>
      <c r="E11456" s="57" t="str">
        <f ca="1">IFERROR(__xludf.DUMMYFUNCTION("""COMPUTED_VALUE"""),"")</f>
        <v/>
      </c>
    </row>
    <row r="11457" spans="1:5">
      <c r="A11457" s="12"/>
      <c r="E11457" s="57" t="str">
        <f ca="1">IFERROR(__xludf.DUMMYFUNCTION("""COMPUTED_VALUE"""),"")</f>
        <v/>
      </c>
    </row>
    <row r="11458" spans="1:5">
      <c r="A11458" s="12"/>
      <c r="E11458" s="57" t="str">
        <f ca="1">IFERROR(__xludf.DUMMYFUNCTION("""COMPUTED_VALUE"""),"")</f>
        <v/>
      </c>
    </row>
    <row r="11459" spans="1:5">
      <c r="A11459" s="12"/>
      <c r="E11459" s="57" t="str">
        <f ca="1">IFERROR(__xludf.DUMMYFUNCTION("""COMPUTED_VALUE"""),"")</f>
        <v/>
      </c>
    </row>
    <row r="11460" spans="1:5">
      <c r="A11460" s="12"/>
      <c r="E11460" s="57" t="str">
        <f ca="1">IFERROR(__xludf.DUMMYFUNCTION("""COMPUTED_VALUE"""),"")</f>
        <v/>
      </c>
    </row>
    <row r="11461" spans="1:5">
      <c r="A11461" s="12"/>
      <c r="E11461" s="57" t="str">
        <f ca="1">IFERROR(__xludf.DUMMYFUNCTION("""COMPUTED_VALUE"""),"")</f>
        <v/>
      </c>
    </row>
    <row r="11462" spans="1:5">
      <c r="A11462" s="12"/>
      <c r="E11462" s="57" t="str">
        <f ca="1">IFERROR(__xludf.DUMMYFUNCTION("""COMPUTED_VALUE"""),"")</f>
        <v/>
      </c>
    </row>
    <row r="11463" spans="1:5">
      <c r="A11463" s="12"/>
      <c r="E11463" s="57" t="str">
        <f ca="1">IFERROR(__xludf.DUMMYFUNCTION("""COMPUTED_VALUE"""),"")</f>
        <v/>
      </c>
    </row>
    <row r="11464" spans="1:5">
      <c r="A11464" s="12"/>
      <c r="E11464" s="57" t="str">
        <f ca="1">IFERROR(__xludf.DUMMYFUNCTION("""COMPUTED_VALUE"""),"")</f>
        <v/>
      </c>
    </row>
    <row r="11465" spans="1:5">
      <c r="A11465" s="12"/>
      <c r="E11465" s="57" t="str">
        <f ca="1">IFERROR(__xludf.DUMMYFUNCTION("""COMPUTED_VALUE"""),"")</f>
        <v/>
      </c>
    </row>
    <row r="11466" spans="1:5">
      <c r="A11466" s="12"/>
      <c r="E11466" s="57" t="str">
        <f ca="1">IFERROR(__xludf.DUMMYFUNCTION("""COMPUTED_VALUE"""),"")</f>
        <v/>
      </c>
    </row>
    <row r="11467" spans="1:5">
      <c r="A11467" s="12"/>
      <c r="E11467" s="57" t="str">
        <f ca="1">IFERROR(__xludf.DUMMYFUNCTION("""COMPUTED_VALUE"""),"")</f>
        <v/>
      </c>
    </row>
    <row r="11468" spans="1:5">
      <c r="A11468" s="12"/>
      <c r="E11468" s="57" t="str">
        <f ca="1">IFERROR(__xludf.DUMMYFUNCTION("""COMPUTED_VALUE"""),"")</f>
        <v/>
      </c>
    </row>
    <row r="11469" spans="1:5">
      <c r="A11469" s="12"/>
      <c r="E11469" s="57" t="str">
        <f ca="1">IFERROR(__xludf.DUMMYFUNCTION("""COMPUTED_VALUE"""),"")</f>
        <v/>
      </c>
    </row>
    <row r="11470" spans="1:5">
      <c r="A11470" s="12"/>
      <c r="E11470" s="57" t="str">
        <f ca="1">IFERROR(__xludf.DUMMYFUNCTION("""COMPUTED_VALUE"""),"")</f>
        <v/>
      </c>
    </row>
    <row r="11471" spans="1:5">
      <c r="A11471" s="12"/>
      <c r="E11471" s="57" t="str">
        <f ca="1">IFERROR(__xludf.DUMMYFUNCTION("""COMPUTED_VALUE"""),"")</f>
        <v/>
      </c>
    </row>
    <row r="11472" spans="1:5">
      <c r="A11472" s="12"/>
      <c r="E11472" s="57" t="str">
        <f ca="1">IFERROR(__xludf.DUMMYFUNCTION("""COMPUTED_VALUE"""),"")</f>
        <v/>
      </c>
    </row>
    <row r="11473" spans="1:5">
      <c r="A11473" s="12"/>
      <c r="E11473" s="57" t="str">
        <f ca="1">IFERROR(__xludf.DUMMYFUNCTION("""COMPUTED_VALUE"""),"")</f>
        <v/>
      </c>
    </row>
    <row r="11474" spans="1:5">
      <c r="A11474" s="12"/>
      <c r="E11474" s="57" t="str">
        <f ca="1">IFERROR(__xludf.DUMMYFUNCTION("""COMPUTED_VALUE"""),"")</f>
        <v/>
      </c>
    </row>
    <row r="11475" spans="1:5">
      <c r="A11475" s="12"/>
      <c r="E11475" s="57" t="str">
        <f ca="1">IFERROR(__xludf.DUMMYFUNCTION("""COMPUTED_VALUE"""),"")</f>
        <v/>
      </c>
    </row>
    <row r="11476" spans="1:5">
      <c r="A11476" s="12"/>
      <c r="E11476" s="57" t="str">
        <f ca="1">IFERROR(__xludf.DUMMYFUNCTION("""COMPUTED_VALUE"""),"")</f>
        <v/>
      </c>
    </row>
    <row r="11477" spans="1:5">
      <c r="A11477" s="12"/>
      <c r="E11477" s="57" t="str">
        <f ca="1">IFERROR(__xludf.DUMMYFUNCTION("""COMPUTED_VALUE"""),"")</f>
        <v/>
      </c>
    </row>
    <row r="11478" spans="1:5">
      <c r="A11478" s="12"/>
      <c r="E11478" s="57" t="str">
        <f ca="1">IFERROR(__xludf.DUMMYFUNCTION("""COMPUTED_VALUE"""),"")</f>
        <v/>
      </c>
    </row>
    <row r="11479" spans="1:5">
      <c r="A11479" s="12"/>
      <c r="E11479" s="57" t="str">
        <f ca="1">IFERROR(__xludf.DUMMYFUNCTION("""COMPUTED_VALUE"""),"")</f>
        <v/>
      </c>
    </row>
    <row r="11480" spans="1:5">
      <c r="A11480" s="12"/>
      <c r="E11480" s="57" t="str">
        <f ca="1">IFERROR(__xludf.DUMMYFUNCTION("""COMPUTED_VALUE"""),"")</f>
        <v/>
      </c>
    </row>
    <row r="11481" spans="1:5">
      <c r="A11481" s="12"/>
      <c r="E11481" s="57" t="str">
        <f ca="1">IFERROR(__xludf.DUMMYFUNCTION("""COMPUTED_VALUE"""),"")</f>
        <v/>
      </c>
    </row>
    <row r="11482" spans="1:5">
      <c r="A11482" s="12"/>
      <c r="E11482" s="57" t="str">
        <f ca="1">IFERROR(__xludf.DUMMYFUNCTION("""COMPUTED_VALUE"""),"")</f>
        <v/>
      </c>
    </row>
    <row r="11483" spans="1:5">
      <c r="A11483" s="12"/>
      <c r="E11483" s="57" t="str">
        <f ca="1">IFERROR(__xludf.DUMMYFUNCTION("""COMPUTED_VALUE"""),"")</f>
        <v/>
      </c>
    </row>
    <row r="11484" spans="1:5">
      <c r="A11484" s="12"/>
      <c r="E11484" s="57" t="str">
        <f ca="1">IFERROR(__xludf.DUMMYFUNCTION("""COMPUTED_VALUE"""),"")</f>
        <v/>
      </c>
    </row>
    <row r="11485" spans="1:5">
      <c r="A11485" s="12"/>
      <c r="E11485" s="57" t="str">
        <f ca="1">IFERROR(__xludf.DUMMYFUNCTION("""COMPUTED_VALUE"""),"")</f>
        <v/>
      </c>
    </row>
    <row r="11486" spans="1:5">
      <c r="A11486" s="12"/>
      <c r="E11486" s="57" t="str">
        <f ca="1">IFERROR(__xludf.DUMMYFUNCTION("""COMPUTED_VALUE"""),"")</f>
        <v/>
      </c>
    </row>
    <row r="11487" spans="1:5">
      <c r="A11487" s="12"/>
      <c r="E11487" s="57" t="str">
        <f ca="1">IFERROR(__xludf.DUMMYFUNCTION("""COMPUTED_VALUE"""),"")</f>
        <v/>
      </c>
    </row>
    <row r="11488" spans="1:5">
      <c r="A11488" s="12"/>
      <c r="E11488" s="57" t="str">
        <f ca="1">IFERROR(__xludf.DUMMYFUNCTION("""COMPUTED_VALUE"""),"")</f>
        <v/>
      </c>
    </row>
    <row r="11489" spans="1:5">
      <c r="A11489" s="12"/>
      <c r="E11489" s="57" t="str">
        <f ca="1">IFERROR(__xludf.DUMMYFUNCTION("""COMPUTED_VALUE"""),"")</f>
        <v/>
      </c>
    </row>
    <row r="11490" spans="1:5">
      <c r="A11490" s="12"/>
      <c r="E11490" s="57" t="str">
        <f ca="1">IFERROR(__xludf.DUMMYFUNCTION("""COMPUTED_VALUE"""),"")</f>
        <v/>
      </c>
    </row>
    <row r="11491" spans="1:5">
      <c r="A11491" s="12"/>
      <c r="E11491" s="57" t="str">
        <f ca="1">IFERROR(__xludf.DUMMYFUNCTION("""COMPUTED_VALUE"""),"")</f>
        <v/>
      </c>
    </row>
    <row r="11492" spans="1:5">
      <c r="A11492" s="12"/>
      <c r="E11492" s="57" t="str">
        <f ca="1">IFERROR(__xludf.DUMMYFUNCTION("""COMPUTED_VALUE"""),"")</f>
        <v/>
      </c>
    </row>
    <row r="11493" spans="1:5">
      <c r="A11493" s="12"/>
      <c r="E11493" s="57" t="str">
        <f ca="1">IFERROR(__xludf.DUMMYFUNCTION("""COMPUTED_VALUE"""),"")</f>
        <v/>
      </c>
    </row>
    <row r="11494" spans="1:5">
      <c r="A11494" s="12"/>
      <c r="E11494" s="57" t="str">
        <f ca="1">IFERROR(__xludf.DUMMYFUNCTION("""COMPUTED_VALUE"""),"")</f>
        <v/>
      </c>
    </row>
    <row r="11495" spans="1:5">
      <c r="A11495" s="12"/>
      <c r="E11495" s="57" t="str">
        <f ca="1">IFERROR(__xludf.DUMMYFUNCTION("""COMPUTED_VALUE"""),"")</f>
        <v/>
      </c>
    </row>
    <row r="11496" spans="1:5">
      <c r="A11496" s="12"/>
      <c r="E11496" s="57" t="str">
        <f ca="1">IFERROR(__xludf.DUMMYFUNCTION("""COMPUTED_VALUE"""),"")</f>
        <v/>
      </c>
    </row>
    <row r="11497" spans="1:5">
      <c r="A11497" s="12"/>
      <c r="E11497" s="57" t="str">
        <f ca="1">IFERROR(__xludf.DUMMYFUNCTION("""COMPUTED_VALUE"""),"")</f>
        <v/>
      </c>
    </row>
    <row r="11498" spans="1:5">
      <c r="A11498" s="12"/>
      <c r="E11498" s="57" t="str">
        <f ca="1">IFERROR(__xludf.DUMMYFUNCTION("""COMPUTED_VALUE"""),"")</f>
        <v/>
      </c>
    </row>
    <row r="11499" spans="1:5">
      <c r="A11499" s="12"/>
      <c r="E11499" s="57" t="str">
        <f ca="1">IFERROR(__xludf.DUMMYFUNCTION("""COMPUTED_VALUE"""),"")</f>
        <v/>
      </c>
    </row>
    <row r="11500" spans="1:5">
      <c r="A11500" s="12"/>
      <c r="E11500" s="57" t="str">
        <f ca="1">IFERROR(__xludf.DUMMYFUNCTION("""COMPUTED_VALUE"""),"")</f>
        <v/>
      </c>
    </row>
    <row r="11501" spans="1:5">
      <c r="A11501" s="12"/>
      <c r="E11501" s="57" t="str">
        <f ca="1">IFERROR(__xludf.DUMMYFUNCTION("""COMPUTED_VALUE"""),"")</f>
        <v/>
      </c>
    </row>
    <row r="11502" spans="1:5">
      <c r="A11502" s="12"/>
      <c r="E11502" s="57" t="str">
        <f ca="1">IFERROR(__xludf.DUMMYFUNCTION("""COMPUTED_VALUE"""),"")</f>
        <v/>
      </c>
    </row>
    <row r="11503" spans="1:5">
      <c r="A11503" s="12"/>
      <c r="E11503" s="57" t="str">
        <f ca="1">IFERROR(__xludf.DUMMYFUNCTION("""COMPUTED_VALUE"""),"")</f>
        <v/>
      </c>
    </row>
    <row r="11504" spans="1:5">
      <c r="A11504" s="12"/>
      <c r="E11504" s="57" t="str">
        <f ca="1">IFERROR(__xludf.DUMMYFUNCTION("""COMPUTED_VALUE"""),"")</f>
        <v/>
      </c>
    </row>
    <row r="11505" spans="1:5">
      <c r="A11505" s="12"/>
      <c r="E11505" s="57" t="str">
        <f ca="1">IFERROR(__xludf.DUMMYFUNCTION("""COMPUTED_VALUE"""),"")</f>
        <v/>
      </c>
    </row>
    <row r="11506" spans="1:5">
      <c r="A11506" s="12"/>
      <c r="E11506" s="57" t="str">
        <f ca="1">IFERROR(__xludf.DUMMYFUNCTION("""COMPUTED_VALUE"""),"")</f>
        <v/>
      </c>
    </row>
    <row r="11507" spans="1:5">
      <c r="A11507" s="12"/>
      <c r="E11507" s="57" t="str">
        <f ca="1">IFERROR(__xludf.DUMMYFUNCTION("""COMPUTED_VALUE"""),"")</f>
        <v/>
      </c>
    </row>
    <row r="11508" spans="1:5">
      <c r="A11508" s="12"/>
      <c r="E11508" s="57" t="str">
        <f ca="1">IFERROR(__xludf.DUMMYFUNCTION("""COMPUTED_VALUE"""),"")</f>
        <v/>
      </c>
    </row>
    <row r="11509" spans="1:5">
      <c r="A11509" s="12"/>
      <c r="E11509" s="57" t="str">
        <f ca="1">IFERROR(__xludf.DUMMYFUNCTION("""COMPUTED_VALUE"""),"")</f>
        <v/>
      </c>
    </row>
    <row r="11510" spans="1:5">
      <c r="A11510" s="12"/>
      <c r="E11510" s="57" t="str">
        <f ca="1">IFERROR(__xludf.DUMMYFUNCTION("""COMPUTED_VALUE"""),"")</f>
        <v/>
      </c>
    </row>
    <row r="11511" spans="1:5">
      <c r="A11511" s="12"/>
      <c r="E11511" s="57" t="str">
        <f ca="1">IFERROR(__xludf.DUMMYFUNCTION("""COMPUTED_VALUE"""),"")</f>
        <v/>
      </c>
    </row>
    <row r="11512" spans="1:5">
      <c r="A11512" s="12"/>
      <c r="E11512" s="57" t="str">
        <f ca="1">IFERROR(__xludf.DUMMYFUNCTION("""COMPUTED_VALUE"""),"")</f>
        <v/>
      </c>
    </row>
    <row r="11513" spans="1:5">
      <c r="A11513" s="12"/>
      <c r="E11513" s="57" t="str">
        <f ca="1">IFERROR(__xludf.DUMMYFUNCTION("""COMPUTED_VALUE"""),"")</f>
        <v/>
      </c>
    </row>
    <row r="11514" spans="1:5">
      <c r="A11514" s="12"/>
      <c r="E11514" s="57" t="str">
        <f ca="1">IFERROR(__xludf.DUMMYFUNCTION("""COMPUTED_VALUE"""),"")</f>
        <v/>
      </c>
    </row>
    <row r="11515" spans="1:5">
      <c r="A11515" s="12"/>
      <c r="E11515" s="57" t="str">
        <f ca="1">IFERROR(__xludf.DUMMYFUNCTION("""COMPUTED_VALUE"""),"")</f>
        <v/>
      </c>
    </row>
    <row r="11516" spans="1:5">
      <c r="A11516" s="12"/>
      <c r="E11516" s="57" t="str">
        <f ca="1">IFERROR(__xludf.DUMMYFUNCTION("""COMPUTED_VALUE"""),"")</f>
        <v/>
      </c>
    </row>
    <row r="11517" spans="1:5">
      <c r="A11517" s="12"/>
      <c r="E11517" s="57" t="str">
        <f ca="1">IFERROR(__xludf.DUMMYFUNCTION("""COMPUTED_VALUE"""),"")</f>
        <v/>
      </c>
    </row>
    <row r="11518" spans="1:5">
      <c r="A11518" s="12"/>
      <c r="E11518" s="57" t="str">
        <f ca="1">IFERROR(__xludf.DUMMYFUNCTION("""COMPUTED_VALUE"""),"")</f>
        <v/>
      </c>
    </row>
    <row r="11519" spans="1:5">
      <c r="A11519" s="12"/>
      <c r="E11519" s="57" t="str">
        <f ca="1">IFERROR(__xludf.DUMMYFUNCTION("""COMPUTED_VALUE"""),"")</f>
        <v/>
      </c>
    </row>
    <row r="11520" spans="1:5">
      <c r="A11520" s="12"/>
      <c r="E11520" s="57" t="str">
        <f ca="1">IFERROR(__xludf.DUMMYFUNCTION("""COMPUTED_VALUE"""),"")</f>
        <v/>
      </c>
    </row>
    <row r="11521" spans="1:5">
      <c r="A11521" s="12"/>
      <c r="E11521" s="57" t="str">
        <f ca="1">IFERROR(__xludf.DUMMYFUNCTION("""COMPUTED_VALUE"""),"")</f>
        <v/>
      </c>
    </row>
    <row r="11522" spans="1:5">
      <c r="A11522" s="12"/>
      <c r="E11522" s="57" t="str">
        <f ca="1">IFERROR(__xludf.DUMMYFUNCTION("""COMPUTED_VALUE"""),"")</f>
        <v/>
      </c>
    </row>
    <row r="11523" spans="1:5">
      <c r="A11523" s="12"/>
      <c r="E11523" s="57" t="str">
        <f ca="1">IFERROR(__xludf.DUMMYFUNCTION("""COMPUTED_VALUE"""),"")</f>
        <v/>
      </c>
    </row>
    <row r="11524" spans="1:5">
      <c r="A11524" s="12"/>
      <c r="E11524" s="57" t="str">
        <f ca="1">IFERROR(__xludf.DUMMYFUNCTION("""COMPUTED_VALUE"""),"")</f>
        <v/>
      </c>
    </row>
    <row r="11525" spans="1:5">
      <c r="A11525" s="12"/>
      <c r="E11525" s="57" t="str">
        <f ca="1">IFERROR(__xludf.DUMMYFUNCTION("""COMPUTED_VALUE"""),"")</f>
        <v/>
      </c>
    </row>
    <row r="11526" spans="1:5">
      <c r="A11526" s="12"/>
      <c r="E11526" s="57" t="str">
        <f ca="1">IFERROR(__xludf.DUMMYFUNCTION("""COMPUTED_VALUE"""),"")</f>
        <v/>
      </c>
    </row>
    <row r="11527" spans="1:5">
      <c r="A11527" s="12"/>
      <c r="E11527" s="57" t="str">
        <f ca="1">IFERROR(__xludf.DUMMYFUNCTION("""COMPUTED_VALUE"""),"")</f>
        <v/>
      </c>
    </row>
    <row r="11528" spans="1:5">
      <c r="A11528" s="12"/>
      <c r="E11528" s="57" t="str">
        <f ca="1">IFERROR(__xludf.DUMMYFUNCTION("""COMPUTED_VALUE"""),"")</f>
        <v/>
      </c>
    </row>
    <row r="11529" spans="1:5">
      <c r="A11529" s="12"/>
      <c r="E11529" s="57" t="str">
        <f ca="1">IFERROR(__xludf.DUMMYFUNCTION("""COMPUTED_VALUE"""),"")</f>
        <v/>
      </c>
    </row>
    <row r="11530" spans="1:5">
      <c r="A11530" s="12"/>
      <c r="E11530" s="57" t="str">
        <f ca="1">IFERROR(__xludf.DUMMYFUNCTION("""COMPUTED_VALUE"""),"")</f>
        <v/>
      </c>
    </row>
    <row r="11531" spans="1:5">
      <c r="A11531" s="12"/>
      <c r="E11531" s="57" t="str">
        <f ca="1">IFERROR(__xludf.DUMMYFUNCTION("""COMPUTED_VALUE"""),"")</f>
        <v/>
      </c>
    </row>
    <row r="11532" spans="1:5">
      <c r="A11532" s="12"/>
      <c r="E11532" s="57" t="str">
        <f ca="1">IFERROR(__xludf.DUMMYFUNCTION("""COMPUTED_VALUE"""),"")</f>
        <v/>
      </c>
    </row>
    <row r="11533" spans="1:5">
      <c r="A11533" s="12"/>
      <c r="E11533" s="57" t="str">
        <f ca="1">IFERROR(__xludf.DUMMYFUNCTION("""COMPUTED_VALUE"""),"")</f>
        <v/>
      </c>
    </row>
    <row r="11534" spans="1:5">
      <c r="A11534" s="12"/>
      <c r="E11534" s="57" t="str">
        <f ca="1">IFERROR(__xludf.DUMMYFUNCTION("""COMPUTED_VALUE"""),"")</f>
        <v/>
      </c>
    </row>
    <row r="11535" spans="1:5">
      <c r="A11535" s="12"/>
      <c r="E11535" s="57" t="str">
        <f ca="1">IFERROR(__xludf.DUMMYFUNCTION("""COMPUTED_VALUE"""),"")</f>
        <v/>
      </c>
    </row>
    <row r="11536" spans="1:5">
      <c r="A11536" s="12"/>
      <c r="E11536" s="57" t="str">
        <f ca="1">IFERROR(__xludf.DUMMYFUNCTION("""COMPUTED_VALUE"""),"")</f>
        <v/>
      </c>
    </row>
    <row r="11537" spans="1:5">
      <c r="A11537" s="12"/>
      <c r="E11537" s="57" t="str">
        <f ca="1">IFERROR(__xludf.DUMMYFUNCTION("""COMPUTED_VALUE"""),"")</f>
        <v/>
      </c>
    </row>
    <row r="11538" spans="1:5">
      <c r="A11538" s="12"/>
      <c r="E11538" s="57" t="str">
        <f ca="1">IFERROR(__xludf.DUMMYFUNCTION("""COMPUTED_VALUE"""),"")</f>
        <v/>
      </c>
    </row>
    <row r="11539" spans="1:5">
      <c r="A11539" s="12"/>
      <c r="E11539" s="57" t="str">
        <f ca="1">IFERROR(__xludf.DUMMYFUNCTION("""COMPUTED_VALUE"""),"")</f>
        <v/>
      </c>
    </row>
    <row r="11540" spans="1:5">
      <c r="A11540" s="12"/>
      <c r="E11540" s="57" t="str">
        <f ca="1">IFERROR(__xludf.DUMMYFUNCTION("""COMPUTED_VALUE"""),"")</f>
        <v/>
      </c>
    </row>
    <row r="11541" spans="1:5">
      <c r="A11541" s="12"/>
      <c r="E11541" s="57" t="str">
        <f ca="1">IFERROR(__xludf.DUMMYFUNCTION("""COMPUTED_VALUE"""),"")</f>
        <v/>
      </c>
    </row>
    <row r="11542" spans="1:5">
      <c r="A11542" s="12"/>
      <c r="E11542" s="57" t="str">
        <f ca="1">IFERROR(__xludf.DUMMYFUNCTION("""COMPUTED_VALUE"""),"")</f>
        <v/>
      </c>
    </row>
    <row r="11543" spans="1:5">
      <c r="A11543" s="12"/>
      <c r="E11543" s="57" t="str">
        <f ca="1">IFERROR(__xludf.DUMMYFUNCTION("""COMPUTED_VALUE"""),"")</f>
        <v/>
      </c>
    </row>
    <row r="11544" spans="1:5">
      <c r="A11544" s="12"/>
      <c r="E11544" s="57" t="str">
        <f ca="1">IFERROR(__xludf.DUMMYFUNCTION("""COMPUTED_VALUE"""),"")</f>
        <v/>
      </c>
    </row>
    <row r="11545" spans="1:5">
      <c r="A11545" s="12"/>
      <c r="E11545" s="57" t="str">
        <f ca="1">IFERROR(__xludf.DUMMYFUNCTION("""COMPUTED_VALUE"""),"")</f>
        <v/>
      </c>
    </row>
    <row r="11546" spans="1:5">
      <c r="A11546" s="12"/>
      <c r="E11546" s="57" t="str">
        <f ca="1">IFERROR(__xludf.DUMMYFUNCTION("""COMPUTED_VALUE"""),"")</f>
        <v/>
      </c>
    </row>
    <row r="11547" spans="1:5">
      <c r="A11547" s="12"/>
      <c r="E11547" s="57" t="str">
        <f ca="1">IFERROR(__xludf.DUMMYFUNCTION("""COMPUTED_VALUE"""),"")</f>
        <v/>
      </c>
    </row>
    <row r="11548" spans="1:5">
      <c r="A11548" s="12"/>
      <c r="E11548" s="57" t="str">
        <f ca="1">IFERROR(__xludf.DUMMYFUNCTION("""COMPUTED_VALUE"""),"")</f>
        <v/>
      </c>
    </row>
    <row r="11549" spans="1:5">
      <c r="A11549" s="12"/>
      <c r="E11549" s="57" t="str">
        <f ca="1">IFERROR(__xludf.DUMMYFUNCTION("""COMPUTED_VALUE"""),"")</f>
        <v/>
      </c>
    </row>
    <row r="11550" spans="1:5">
      <c r="A11550" s="12"/>
      <c r="E11550" s="57" t="str">
        <f ca="1">IFERROR(__xludf.DUMMYFUNCTION("""COMPUTED_VALUE"""),"")</f>
        <v/>
      </c>
    </row>
    <row r="11551" spans="1:5">
      <c r="A11551" s="12"/>
      <c r="E11551" s="57" t="str">
        <f ca="1">IFERROR(__xludf.DUMMYFUNCTION("""COMPUTED_VALUE"""),"")</f>
        <v/>
      </c>
    </row>
    <row r="11552" spans="1:5">
      <c r="A11552" s="12"/>
      <c r="E11552" s="57" t="str">
        <f ca="1">IFERROR(__xludf.DUMMYFUNCTION("""COMPUTED_VALUE"""),"")</f>
        <v/>
      </c>
    </row>
    <row r="11553" spans="1:5">
      <c r="A11553" s="12"/>
      <c r="E11553" s="57" t="str">
        <f ca="1">IFERROR(__xludf.DUMMYFUNCTION("""COMPUTED_VALUE"""),"")</f>
        <v/>
      </c>
    </row>
    <row r="11554" spans="1:5">
      <c r="A11554" s="12"/>
      <c r="E11554" s="57" t="str">
        <f ca="1">IFERROR(__xludf.DUMMYFUNCTION("""COMPUTED_VALUE"""),"")</f>
        <v/>
      </c>
    </row>
    <row r="11555" spans="1:5">
      <c r="A11555" s="12"/>
      <c r="E11555" s="57" t="str">
        <f ca="1">IFERROR(__xludf.DUMMYFUNCTION("""COMPUTED_VALUE"""),"")</f>
        <v/>
      </c>
    </row>
    <row r="11556" spans="1:5">
      <c r="A11556" s="12"/>
      <c r="E11556" s="57" t="str">
        <f ca="1">IFERROR(__xludf.DUMMYFUNCTION("""COMPUTED_VALUE"""),"")</f>
        <v/>
      </c>
    </row>
    <row r="11557" spans="1:5">
      <c r="A11557" s="12"/>
      <c r="E11557" s="57" t="str">
        <f ca="1">IFERROR(__xludf.DUMMYFUNCTION("""COMPUTED_VALUE"""),"")</f>
        <v/>
      </c>
    </row>
    <row r="11558" spans="1:5">
      <c r="A11558" s="12"/>
      <c r="E11558" s="57" t="str">
        <f ca="1">IFERROR(__xludf.DUMMYFUNCTION("""COMPUTED_VALUE"""),"")</f>
        <v/>
      </c>
    </row>
    <row r="11559" spans="1:5">
      <c r="A11559" s="12"/>
      <c r="E11559" s="57" t="str">
        <f ca="1">IFERROR(__xludf.DUMMYFUNCTION("""COMPUTED_VALUE"""),"")</f>
        <v/>
      </c>
    </row>
    <row r="11560" spans="1:5">
      <c r="A11560" s="12"/>
      <c r="E11560" s="57" t="str">
        <f ca="1">IFERROR(__xludf.DUMMYFUNCTION("""COMPUTED_VALUE"""),"")</f>
        <v/>
      </c>
    </row>
    <row r="11561" spans="1:5">
      <c r="A11561" s="12"/>
      <c r="E11561" s="57" t="str">
        <f ca="1">IFERROR(__xludf.DUMMYFUNCTION("""COMPUTED_VALUE"""),"")</f>
        <v/>
      </c>
    </row>
    <row r="11562" spans="1:5">
      <c r="A11562" s="12"/>
      <c r="E11562" s="57" t="str">
        <f ca="1">IFERROR(__xludf.DUMMYFUNCTION("""COMPUTED_VALUE"""),"")</f>
        <v/>
      </c>
    </row>
    <row r="11563" spans="1:5">
      <c r="A11563" s="12"/>
      <c r="E11563" s="57" t="str">
        <f ca="1">IFERROR(__xludf.DUMMYFUNCTION("""COMPUTED_VALUE"""),"")</f>
        <v/>
      </c>
    </row>
    <row r="11564" spans="1:5">
      <c r="A11564" s="12"/>
      <c r="E11564" s="57" t="str">
        <f ca="1">IFERROR(__xludf.DUMMYFUNCTION("""COMPUTED_VALUE"""),"")</f>
        <v/>
      </c>
    </row>
    <row r="11565" spans="1:5">
      <c r="A11565" s="12"/>
      <c r="E11565" s="57" t="str">
        <f ca="1">IFERROR(__xludf.DUMMYFUNCTION("""COMPUTED_VALUE"""),"")</f>
        <v/>
      </c>
    </row>
    <row r="11566" spans="1:5">
      <c r="A11566" s="12"/>
      <c r="E11566" s="57" t="str">
        <f ca="1">IFERROR(__xludf.DUMMYFUNCTION("""COMPUTED_VALUE"""),"")</f>
        <v/>
      </c>
    </row>
    <row r="11567" spans="1:5">
      <c r="A11567" s="12"/>
      <c r="E11567" s="57" t="str">
        <f ca="1">IFERROR(__xludf.DUMMYFUNCTION("""COMPUTED_VALUE"""),"")</f>
        <v/>
      </c>
    </row>
    <row r="11568" spans="1:5">
      <c r="A11568" s="12"/>
      <c r="E11568" s="57" t="str">
        <f ca="1">IFERROR(__xludf.DUMMYFUNCTION("""COMPUTED_VALUE"""),"")</f>
        <v/>
      </c>
    </row>
    <row r="11569" spans="1:5">
      <c r="A11569" s="12"/>
      <c r="E11569" s="57" t="str">
        <f ca="1">IFERROR(__xludf.DUMMYFUNCTION("""COMPUTED_VALUE"""),"")</f>
        <v/>
      </c>
    </row>
    <row r="11570" spans="1:5">
      <c r="A11570" s="12"/>
      <c r="E11570" s="57" t="str">
        <f ca="1">IFERROR(__xludf.DUMMYFUNCTION("""COMPUTED_VALUE"""),"")</f>
        <v/>
      </c>
    </row>
    <row r="11571" spans="1:5">
      <c r="A11571" s="12"/>
      <c r="E11571" s="57" t="str">
        <f ca="1">IFERROR(__xludf.DUMMYFUNCTION("""COMPUTED_VALUE"""),"")</f>
        <v/>
      </c>
    </row>
    <row r="11572" spans="1:5">
      <c r="A11572" s="12"/>
      <c r="E11572" s="57" t="str">
        <f ca="1">IFERROR(__xludf.DUMMYFUNCTION("""COMPUTED_VALUE"""),"")</f>
        <v/>
      </c>
    </row>
    <row r="11573" spans="1:5">
      <c r="A11573" s="12"/>
      <c r="E11573" s="57" t="str">
        <f ca="1">IFERROR(__xludf.DUMMYFUNCTION("""COMPUTED_VALUE"""),"")</f>
        <v/>
      </c>
    </row>
    <row r="11574" spans="1:5">
      <c r="A11574" s="12"/>
      <c r="E11574" s="57" t="str">
        <f ca="1">IFERROR(__xludf.DUMMYFUNCTION("""COMPUTED_VALUE"""),"")</f>
        <v/>
      </c>
    </row>
    <row r="11575" spans="1:5">
      <c r="A11575" s="12"/>
      <c r="E11575" s="57" t="str">
        <f ca="1">IFERROR(__xludf.DUMMYFUNCTION("""COMPUTED_VALUE"""),"")</f>
        <v/>
      </c>
    </row>
    <row r="11576" spans="1:5">
      <c r="A11576" s="12"/>
      <c r="E11576" s="57" t="str">
        <f ca="1">IFERROR(__xludf.DUMMYFUNCTION("""COMPUTED_VALUE"""),"")</f>
        <v/>
      </c>
    </row>
    <row r="11577" spans="1:5">
      <c r="A11577" s="12"/>
      <c r="E11577" s="57" t="str">
        <f ca="1">IFERROR(__xludf.DUMMYFUNCTION("""COMPUTED_VALUE"""),"")</f>
        <v/>
      </c>
    </row>
    <row r="11578" spans="1:5">
      <c r="A11578" s="12"/>
      <c r="E11578" s="57" t="str">
        <f ca="1">IFERROR(__xludf.DUMMYFUNCTION("""COMPUTED_VALUE"""),"")</f>
        <v/>
      </c>
    </row>
    <row r="11579" spans="1:5">
      <c r="A11579" s="12"/>
      <c r="E11579" s="57" t="str">
        <f ca="1">IFERROR(__xludf.DUMMYFUNCTION("""COMPUTED_VALUE"""),"")</f>
        <v/>
      </c>
    </row>
    <row r="11580" spans="1:5">
      <c r="A11580" s="12"/>
      <c r="E11580" s="57" t="str">
        <f ca="1">IFERROR(__xludf.DUMMYFUNCTION("""COMPUTED_VALUE"""),"")</f>
        <v/>
      </c>
    </row>
    <row r="11581" spans="1:5">
      <c r="A11581" s="12"/>
      <c r="E11581" s="57" t="str">
        <f ca="1">IFERROR(__xludf.DUMMYFUNCTION("""COMPUTED_VALUE"""),"")</f>
        <v/>
      </c>
    </row>
    <row r="11582" spans="1:5">
      <c r="A11582" s="12"/>
      <c r="E11582" s="57" t="str">
        <f ca="1">IFERROR(__xludf.DUMMYFUNCTION("""COMPUTED_VALUE"""),"")</f>
        <v/>
      </c>
    </row>
    <row r="11583" spans="1:5">
      <c r="A11583" s="12"/>
      <c r="E11583" s="57" t="str">
        <f ca="1">IFERROR(__xludf.DUMMYFUNCTION("""COMPUTED_VALUE"""),"")</f>
        <v/>
      </c>
    </row>
    <row r="11584" spans="1:5">
      <c r="A11584" s="12"/>
      <c r="E11584" s="57" t="str">
        <f ca="1">IFERROR(__xludf.DUMMYFUNCTION("""COMPUTED_VALUE"""),"")</f>
        <v/>
      </c>
    </row>
    <row r="11585" spans="1:5">
      <c r="A11585" s="12"/>
      <c r="E11585" s="57" t="str">
        <f ca="1">IFERROR(__xludf.DUMMYFUNCTION("""COMPUTED_VALUE"""),"")</f>
        <v/>
      </c>
    </row>
    <row r="11586" spans="1:5">
      <c r="A11586" s="12"/>
      <c r="E11586" s="57" t="str">
        <f ca="1">IFERROR(__xludf.DUMMYFUNCTION("""COMPUTED_VALUE"""),"")</f>
        <v/>
      </c>
    </row>
    <row r="11587" spans="1:5">
      <c r="A11587" s="12"/>
      <c r="E11587" s="57" t="str">
        <f ca="1">IFERROR(__xludf.DUMMYFUNCTION("""COMPUTED_VALUE"""),"")</f>
        <v/>
      </c>
    </row>
    <row r="11588" spans="1:5">
      <c r="A11588" s="12"/>
      <c r="E11588" s="57" t="str">
        <f ca="1">IFERROR(__xludf.DUMMYFUNCTION("""COMPUTED_VALUE"""),"")</f>
        <v/>
      </c>
    </row>
    <row r="11589" spans="1:5">
      <c r="A11589" s="12"/>
      <c r="E11589" s="57" t="str">
        <f ca="1">IFERROR(__xludf.DUMMYFUNCTION("""COMPUTED_VALUE"""),"")</f>
        <v/>
      </c>
    </row>
    <row r="11590" spans="1:5">
      <c r="A11590" s="12"/>
      <c r="E11590" s="57" t="str">
        <f ca="1">IFERROR(__xludf.DUMMYFUNCTION("""COMPUTED_VALUE"""),"")</f>
        <v/>
      </c>
    </row>
    <row r="11591" spans="1:5">
      <c r="A11591" s="12"/>
      <c r="E11591" s="57" t="str">
        <f ca="1">IFERROR(__xludf.DUMMYFUNCTION("""COMPUTED_VALUE"""),"")</f>
        <v/>
      </c>
    </row>
    <row r="11592" spans="1:5">
      <c r="A11592" s="12"/>
      <c r="E11592" s="57" t="str">
        <f ca="1">IFERROR(__xludf.DUMMYFUNCTION("""COMPUTED_VALUE"""),"")</f>
        <v/>
      </c>
    </row>
    <row r="11593" spans="1:5">
      <c r="A11593" s="12"/>
      <c r="E11593" s="57" t="str">
        <f ca="1">IFERROR(__xludf.DUMMYFUNCTION("""COMPUTED_VALUE"""),"")</f>
        <v/>
      </c>
    </row>
    <row r="11594" spans="1:5">
      <c r="A11594" s="12"/>
      <c r="E11594" s="57" t="str">
        <f ca="1">IFERROR(__xludf.DUMMYFUNCTION("""COMPUTED_VALUE"""),"")</f>
        <v/>
      </c>
    </row>
    <row r="11595" spans="1:5">
      <c r="A11595" s="12"/>
      <c r="E11595" s="57" t="str">
        <f ca="1">IFERROR(__xludf.DUMMYFUNCTION("""COMPUTED_VALUE"""),"")</f>
        <v/>
      </c>
    </row>
    <row r="11596" spans="1:5">
      <c r="A11596" s="12"/>
      <c r="E11596" s="57" t="str">
        <f ca="1">IFERROR(__xludf.DUMMYFUNCTION("""COMPUTED_VALUE"""),"")</f>
        <v/>
      </c>
    </row>
    <row r="11597" spans="1:5">
      <c r="A11597" s="12"/>
      <c r="E11597" s="57" t="str">
        <f ca="1">IFERROR(__xludf.DUMMYFUNCTION("""COMPUTED_VALUE"""),"")</f>
        <v/>
      </c>
    </row>
    <row r="11598" spans="1:5">
      <c r="A11598" s="12"/>
      <c r="E11598" s="57" t="str">
        <f ca="1">IFERROR(__xludf.DUMMYFUNCTION("""COMPUTED_VALUE"""),"")</f>
        <v/>
      </c>
    </row>
    <row r="11599" spans="1:5">
      <c r="A11599" s="12"/>
      <c r="E11599" s="57" t="str">
        <f ca="1">IFERROR(__xludf.DUMMYFUNCTION("""COMPUTED_VALUE"""),"")</f>
        <v/>
      </c>
    </row>
    <row r="11600" spans="1:5">
      <c r="A11600" s="12"/>
      <c r="E11600" s="57" t="str">
        <f ca="1">IFERROR(__xludf.DUMMYFUNCTION("""COMPUTED_VALUE"""),"")</f>
        <v/>
      </c>
    </row>
    <row r="11601" spans="1:5">
      <c r="A11601" s="12"/>
      <c r="E11601" s="57" t="str">
        <f ca="1">IFERROR(__xludf.DUMMYFUNCTION("""COMPUTED_VALUE"""),"")</f>
        <v/>
      </c>
    </row>
    <row r="11602" spans="1:5">
      <c r="A11602" s="12"/>
      <c r="E11602" s="57" t="str">
        <f ca="1">IFERROR(__xludf.DUMMYFUNCTION("""COMPUTED_VALUE"""),"")</f>
        <v/>
      </c>
    </row>
    <row r="11603" spans="1:5">
      <c r="A11603" s="12"/>
      <c r="E11603" s="57" t="str">
        <f ca="1">IFERROR(__xludf.DUMMYFUNCTION("""COMPUTED_VALUE"""),"")</f>
        <v/>
      </c>
    </row>
    <row r="11604" spans="1:5">
      <c r="A11604" s="12"/>
      <c r="E11604" s="57" t="str">
        <f ca="1">IFERROR(__xludf.DUMMYFUNCTION("""COMPUTED_VALUE"""),"")</f>
        <v/>
      </c>
    </row>
    <row r="11605" spans="1:5">
      <c r="A11605" s="12"/>
      <c r="E11605" s="57" t="str">
        <f ca="1">IFERROR(__xludf.DUMMYFUNCTION("""COMPUTED_VALUE"""),"")</f>
        <v/>
      </c>
    </row>
    <row r="11606" spans="1:5">
      <c r="A11606" s="12"/>
      <c r="E11606" s="57" t="str">
        <f ca="1">IFERROR(__xludf.DUMMYFUNCTION("""COMPUTED_VALUE"""),"")</f>
        <v/>
      </c>
    </row>
    <row r="11607" spans="1:5">
      <c r="A11607" s="12"/>
      <c r="E11607" s="57" t="str">
        <f ca="1">IFERROR(__xludf.DUMMYFUNCTION("""COMPUTED_VALUE"""),"")</f>
        <v/>
      </c>
    </row>
    <row r="11608" spans="1:5">
      <c r="A11608" s="12"/>
      <c r="E11608" s="57" t="str">
        <f ca="1">IFERROR(__xludf.DUMMYFUNCTION("""COMPUTED_VALUE"""),"")</f>
        <v/>
      </c>
    </row>
    <row r="11609" spans="1:5">
      <c r="A11609" s="12"/>
      <c r="E11609" s="57" t="str">
        <f ca="1">IFERROR(__xludf.DUMMYFUNCTION("""COMPUTED_VALUE"""),"")</f>
        <v/>
      </c>
    </row>
    <row r="11610" spans="1:5">
      <c r="A11610" s="12"/>
      <c r="E11610" s="57" t="str">
        <f ca="1">IFERROR(__xludf.DUMMYFUNCTION("""COMPUTED_VALUE"""),"")</f>
        <v/>
      </c>
    </row>
    <row r="11611" spans="1:5">
      <c r="A11611" s="12"/>
      <c r="E11611" s="57" t="str">
        <f ca="1">IFERROR(__xludf.DUMMYFUNCTION("""COMPUTED_VALUE"""),"")</f>
        <v/>
      </c>
    </row>
    <row r="11612" spans="1:5">
      <c r="A11612" s="12"/>
      <c r="E11612" s="57" t="str">
        <f ca="1">IFERROR(__xludf.DUMMYFUNCTION("""COMPUTED_VALUE"""),"")</f>
        <v/>
      </c>
    </row>
    <row r="11613" spans="1:5">
      <c r="A11613" s="12"/>
      <c r="E11613" s="57" t="str">
        <f ca="1">IFERROR(__xludf.DUMMYFUNCTION("""COMPUTED_VALUE"""),"")</f>
        <v/>
      </c>
    </row>
    <row r="11614" spans="1:5">
      <c r="A11614" s="12"/>
      <c r="E11614" s="57" t="str">
        <f ca="1">IFERROR(__xludf.DUMMYFUNCTION("""COMPUTED_VALUE"""),"")</f>
        <v/>
      </c>
    </row>
    <row r="11615" spans="1:5">
      <c r="A11615" s="12"/>
      <c r="E11615" s="57" t="str">
        <f ca="1">IFERROR(__xludf.DUMMYFUNCTION("""COMPUTED_VALUE"""),"")</f>
        <v/>
      </c>
    </row>
    <row r="11616" spans="1:5">
      <c r="A11616" s="12"/>
      <c r="E11616" s="57" t="str">
        <f ca="1">IFERROR(__xludf.DUMMYFUNCTION("""COMPUTED_VALUE"""),"")</f>
        <v/>
      </c>
    </row>
    <row r="11617" spans="1:5">
      <c r="A11617" s="12"/>
      <c r="E11617" s="57" t="str">
        <f ca="1">IFERROR(__xludf.DUMMYFUNCTION("""COMPUTED_VALUE"""),"")</f>
        <v/>
      </c>
    </row>
    <row r="11618" spans="1:5">
      <c r="A11618" s="12"/>
      <c r="E11618" s="57" t="str">
        <f ca="1">IFERROR(__xludf.DUMMYFUNCTION("""COMPUTED_VALUE"""),"")</f>
        <v/>
      </c>
    </row>
    <row r="11619" spans="1:5">
      <c r="A11619" s="12"/>
      <c r="E11619" s="57" t="str">
        <f ca="1">IFERROR(__xludf.DUMMYFUNCTION("""COMPUTED_VALUE"""),"")</f>
        <v/>
      </c>
    </row>
    <row r="11620" spans="1:5">
      <c r="A11620" s="12"/>
      <c r="E11620" s="57" t="str">
        <f ca="1">IFERROR(__xludf.DUMMYFUNCTION("""COMPUTED_VALUE"""),"")</f>
        <v/>
      </c>
    </row>
    <row r="11621" spans="1:5">
      <c r="A11621" s="12"/>
      <c r="E11621" s="57" t="str">
        <f ca="1">IFERROR(__xludf.DUMMYFUNCTION("""COMPUTED_VALUE"""),"")</f>
        <v/>
      </c>
    </row>
    <row r="11622" spans="1:5">
      <c r="A11622" s="12"/>
      <c r="E11622" s="57" t="str">
        <f ca="1">IFERROR(__xludf.DUMMYFUNCTION("""COMPUTED_VALUE"""),"")</f>
        <v/>
      </c>
    </row>
    <row r="11623" spans="1:5">
      <c r="A11623" s="12"/>
      <c r="E11623" s="57" t="str">
        <f ca="1">IFERROR(__xludf.DUMMYFUNCTION("""COMPUTED_VALUE"""),"")</f>
        <v/>
      </c>
    </row>
    <row r="11624" spans="1:5">
      <c r="A11624" s="12"/>
      <c r="E11624" s="57" t="str">
        <f ca="1">IFERROR(__xludf.DUMMYFUNCTION("""COMPUTED_VALUE"""),"")</f>
        <v/>
      </c>
    </row>
    <row r="11625" spans="1:5">
      <c r="A11625" s="12"/>
      <c r="E11625" s="57" t="str">
        <f ca="1">IFERROR(__xludf.DUMMYFUNCTION("""COMPUTED_VALUE"""),"")</f>
        <v/>
      </c>
    </row>
    <row r="11626" spans="1:5">
      <c r="A11626" s="12"/>
      <c r="E11626" s="57" t="str">
        <f ca="1">IFERROR(__xludf.DUMMYFUNCTION("""COMPUTED_VALUE"""),"")</f>
        <v/>
      </c>
    </row>
    <row r="11627" spans="1:5">
      <c r="A11627" s="12"/>
      <c r="E11627" s="57" t="str">
        <f ca="1">IFERROR(__xludf.DUMMYFUNCTION("""COMPUTED_VALUE"""),"")</f>
        <v/>
      </c>
    </row>
    <row r="11628" spans="1:5">
      <c r="A11628" s="12"/>
      <c r="E11628" s="57" t="str">
        <f ca="1">IFERROR(__xludf.DUMMYFUNCTION("""COMPUTED_VALUE"""),"")</f>
        <v/>
      </c>
    </row>
    <row r="11629" spans="1:5">
      <c r="A11629" s="12"/>
      <c r="E11629" s="57" t="str">
        <f ca="1">IFERROR(__xludf.DUMMYFUNCTION("""COMPUTED_VALUE"""),"")</f>
        <v/>
      </c>
    </row>
    <row r="11630" spans="1:5">
      <c r="A11630" s="12"/>
      <c r="E11630" s="57" t="str">
        <f ca="1">IFERROR(__xludf.DUMMYFUNCTION("""COMPUTED_VALUE"""),"")</f>
        <v/>
      </c>
    </row>
    <row r="11631" spans="1:5">
      <c r="A11631" s="12"/>
      <c r="E11631" s="57" t="str">
        <f ca="1">IFERROR(__xludf.DUMMYFUNCTION("""COMPUTED_VALUE"""),"")</f>
        <v/>
      </c>
    </row>
    <row r="11632" spans="1:5">
      <c r="A11632" s="12"/>
      <c r="E11632" s="57" t="str">
        <f ca="1">IFERROR(__xludf.DUMMYFUNCTION("""COMPUTED_VALUE"""),"")</f>
        <v/>
      </c>
    </row>
    <row r="11633" spans="1:5">
      <c r="A11633" s="12"/>
      <c r="E11633" s="57" t="str">
        <f ca="1">IFERROR(__xludf.DUMMYFUNCTION("""COMPUTED_VALUE"""),"")</f>
        <v/>
      </c>
    </row>
    <row r="11634" spans="1:5">
      <c r="A11634" s="12"/>
      <c r="E11634" s="57" t="str">
        <f ca="1">IFERROR(__xludf.DUMMYFUNCTION("""COMPUTED_VALUE"""),"")</f>
        <v/>
      </c>
    </row>
    <row r="11635" spans="1:5">
      <c r="A11635" s="12"/>
      <c r="E11635" s="57" t="str">
        <f ca="1">IFERROR(__xludf.DUMMYFUNCTION("""COMPUTED_VALUE"""),"")</f>
        <v/>
      </c>
    </row>
    <row r="11636" spans="1:5">
      <c r="A11636" s="12"/>
      <c r="E11636" s="57" t="str">
        <f ca="1">IFERROR(__xludf.DUMMYFUNCTION("""COMPUTED_VALUE"""),"")</f>
        <v/>
      </c>
    </row>
    <row r="11637" spans="1:5">
      <c r="A11637" s="12"/>
      <c r="E11637" s="57" t="str">
        <f ca="1">IFERROR(__xludf.DUMMYFUNCTION("""COMPUTED_VALUE"""),"")</f>
        <v/>
      </c>
    </row>
    <row r="11638" spans="1:5">
      <c r="A11638" s="12"/>
      <c r="E11638" s="57" t="str">
        <f ca="1">IFERROR(__xludf.DUMMYFUNCTION("""COMPUTED_VALUE"""),"")</f>
        <v/>
      </c>
    </row>
    <row r="11639" spans="1:5">
      <c r="A11639" s="12"/>
      <c r="E11639" s="57" t="str">
        <f ca="1">IFERROR(__xludf.DUMMYFUNCTION("""COMPUTED_VALUE"""),"")</f>
        <v/>
      </c>
    </row>
    <row r="11640" spans="1:5">
      <c r="A11640" s="12"/>
      <c r="E11640" s="57" t="str">
        <f ca="1">IFERROR(__xludf.DUMMYFUNCTION("""COMPUTED_VALUE"""),"")</f>
        <v/>
      </c>
    </row>
    <row r="11641" spans="1:5">
      <c r="A11641" s="12"/>
      <c r="E11641" s="57" t="str">
        <f ca="1">IFERROR(__xludf.DUMMYFUNCTION("""COMPUTED_VALUE"""),"")</f>
        <v/>
      </c>
    </row>
    <row r="11642" spans="1:5">
      <c r="A11642" s="12"/>
      <c r="E11642" s="57" t="str">
        <f ca="1">IFERROR(__xludf.DUMMYFUNCTION("""COMPUTED_VALUE"""),"")</f>
        <v/>
      </c>
    </row>
    <row r="11643" spans="1:5">
      <c r="A11643" s="12"/>
      <c r="E11643" s="57" t="str">
        <f ca="1">IFERROR(__xludf.DUMMYFUNCTION("""COMPUTED_VALUE"""),"")</f>
        <v/>
      </c>
    </row>
    <row r="11644" spans="1:5">
      <c r="A11644" s="12"/>
      <c r="E11644" s="57" t="str">
        <f ca="1">IFERROR(__xludf.DUMMYFUNCTION("""COMPUTED_VALUE"""),"")</f>
        <v/>
      </c>
    </row>
    <row r="11645" spans="1:5">
      <c r="A11645" s="12"/>
      <c r="E11645" s="57" t="str">
        <f ca="1">IFERROR(__xludf.DUMMYFUNCTION("""COMPUTED_VALUE"""),"")</f>
        <v/>
      </c>
    </row>
    <row r="11646" spans="1:5">
      <c r="A11646" s="12"/>
      <c r="E11646" s="57" t="str">
        <f ca="1">IFERROR(__xludf.DUMMYFUNCTION("""COMPUTED_VALUE"""),"")</f>
        <v/>
      </c>
    </row>
    <row r="11647" spans="1:5">
      <c r="A11647" s="12"/>
      <c r="E11647" s="57" t="str">
        <f ca="1">IFERROR(__xludf.DUMMYFUNCTION("""COMPUTED_VALUE"""),"")</f>
        <v/>
      </c>
    </row>
    <row r="11648" spans="1:5">
      <c r="A11648" s="12"/>
      <c r="E11648" s="57" t="str">
        <f ca="1">IFERROR(__xludf.DUMMYFUNCTION("""COMPUTED_VALUE"""),"")</f>
        <v/>
      </c>
    </row>
    <row r="11649" spans="1:5">
      <c r="A11649" s="12"/>
      <c r="E11649" s="57" t="str">
        <f ca="1">IFERROR(__xludf.DUMMYFUNCTION("""COMPUTED_VALUE"""),"")</f>
        <v/>
      </c>
    </row>
    <row r="11650" spans="1:5">
      <c r="A11650" s="12"/>
      <c r="E11650" s="57" t="str">
        <f ca="1">IFERROR(__xludf.DUMMYFUNCTION("""COMPUTED_VALUE"""),"")</f>
        <v/>
      </c>
    </row>
    <row r="11651" spans="1:5">
      <c r="A11651" s="12"/>
      <c r="E11651" s="57" t="str">
        <f ca="1">IFERROR(__xludf.DUMMYFUNCTION("""COMPUTED_VALUE"""),"")</f>
        <v/>
      </c>
    </row>
    <row r="11652" spans="1:5">
      <c r="A11652" s="12"/>
      <c r="E11652" s="57" t="str">
        <f ca="1">IFERROR(__xludf.DUMMYFUNCTION("""COMPUTED_VALUE"""),"")</f>
        <v/>
      </c>
    </row>
    <row r="11653" spans="1:5">
      <c r="A11653" s="12"/>
      <c r="E11653" s="57" t="str">
        <f ca="1">IFERROR(__xludf.DUMMYFUNCTION("""COMPUTED_VALUE"""),"")</f>
        <v/>
      </c>
    </row>
    <row r="11654" spans="1:5">
      <c r="A11654" s="12"/>
      <c r="E11654" s="57" t="str">
        <f ca="1">IFERROR(__xludf.DUMMYFUNCTION("""COMPUTED_VALUE"""),"")</f>
        <v/>
      </c>
    </row>
    <row r="11655" spans="1:5">
      <c r="A11655" s="12"/>
      <c r="E11655" s="57" t="str">
        <f ca="1">IFERROR(__xludf.DUMMYFUNCTION("""COMPUTED_VALUE"""),"")</f>
        <v/>
      </c>
    </row>
    <row r="11656" spans="1:5">
      <c r="A11656" s="12"/>
      <c r="E11656" s="57" t="str">
        <f ca="1">IFERROR(__xludf.DUMMYFUNCTION("""COMPUTED_VALUE"""),"")</f>
        <v/>
      </c>
    </row>
    <row r="11657" spans="1:5">
      <c r="A11657" s="12"/>
      <c r="E11657" s="57" t="str">
        <f ca="1">IFERROR(__xludf.DUMMYFUNCTION("""COMPUTED_VALUE"""),"")</f>
        <v/>
      </c>
    </row>
    <row r="11658" spans="1:5">
      <c r="A11658" s="12"/>
      <c r="E11658" s="57" t="str">
        <f ca="1">IFERROR(__xludf.DUMMYFUNCTION("""COMPUTED_VALUE"""),"")</f>
        <v/>
      </c>
    </row>
    <row r="11659" spans="1:5">
      <c r="A11659" s="12"/>
      <c r="E11659" s="57" t="str">
        <f ca="1">IFERROR(__xludf.DUMMYFUNCTION("""COMPUTED_VALUE"""),"")</f>
        <v/>
      </c>
    </row>
    <row r="11660" spans="1:5">
      <c r="A11660" s="12"/>
      <c r="E11660" s="57" t="str">
        <f ca="1">IFERROR(__xludf.DUMMYFUNCTION("""COMPUTED_VALUE"""),"")</f>
        <v/>
      </c>
    </row>
    <row r="11661" spans="1:5">
      <c r="A11661" s="12"/>
      <c r="E11661" s="57" t="str">
        <f ca="1">IFERROR(__xludf.DUMMYFUNCTION("""COMPUTED_VALUE"""),"")</f>
        <v/>
      </c>
    </row>
    <row r="11662" spans="1:5">
      <c r="A11662" s="12"/>
      <c r="E11662" s="57" t="str">
        <f ca="1">IFERROR(__xludf.DUMMYFUNCTION("""COMPUTED_VALUE"""),"")</f>
        <v/>
      </c>
    </row>
    <row r="11663" spans="1:5">
      <c r="A11663" s="12"/>
      <c r="E11663" s="57" t="str">
        <f ca="1">IFERROR(__xludf.DUMMYFUNCTION("""COMPUTED_VALUE"""),"")</f>
        <v/>
      </c>
    </row>
    <row r="11664" spans="1:5">
      <c r="A11664" s="12"/>
      <c r="E11664" s="57" t="str">
        <f ca="1">IFERROR(__xludf.DUMMYFUNCTION("""COMPUTED_VALUE"""),"")</f>
        <v/>
      </c>
    </row>
    <row r="11665" spans="1:5">
      <c r="A11665" s="12"/>
      <c r="E11665" s="57" t="str">
        <f ca="1">IFERROR(__xludf.DUMMYFUNCTION("""COMPUTED_VALUE"""),"")</f>
        <v/>
      </c>
    </row>
    <row r="11666" spans="1:5">
      <c r="A11666" s="12"/>
      <c r="E11666" s="57" t="str">
        <f ca="1">IFERROR(__xludf.DUMMYFUNCTION("""COMPUTED_VALUE"""),"")</f>
        <v/>
      </c>
    </row>
    <row r="11667" spans="1:5">
      <c r="A11667" s="12"/>
      <c r="E11667" s="57" t="str">
        <f ca="1">IFERROR(__xludf.DUMMYFUNCTION("""COMPUTED_VALUE"""),"")</f>
        <v/>
      </c>
    </row>
    <row r="11668" spans="1:5">
      <c r="A11668" s="12"/>
      <c r="E11668" s="57" t="str">
        <f ca="1">IFERROR(__xludf.DUMMYFUNCTION("""COMPUTED_VALUE"""),"")</f>
        <v/>
      </c>
    </row>
    <row r="11669" spans="1:5">
      <c r="A11669" s="12"/>
      <c r="E11669" s="57" t="str">
        <f ca="1">IFERROR(__xludf.DUMMYFUNCTION("""COMPUTED_VALUE"""),"")</f>
        <v/>
      </c>
    </row>
    <row r="11670" spans="1:5">
      <c r="A11670" s="12"/>
      <c r="E11670" s="57" t="str">
        <f ca="1">IFERROR(__xludf.DUMMYFUNCTION("""COMPUTED_VALUE"""),"")</f>
        <v/>
      </c>
    </row>
    <row r="11671" spans="1:5">
      <c r="A11671" s="12"/>
      <c r="E11671" s="57" t="str">
        <f ca="1">IFERROR(__xludf.DUMMYFUNCTION("""COMPUTED_VALUE"""),"")</f>
        <v/>
      </c>
    </row>
    <row r="11672" spans="1:5">
      <c r="A11672" s="12"/>
      <c r="E11672" s="57" t="str">
        <f ca="1">IFERROR(__xludf.DUMMYFUNCTION("""COMPUTED_VALUE"""),"")</f>
        <v/>
      </c>
    </row>
    <row r="11673" spans="1:5">
      <c r="A11673" s="12"/>
      <c r="E11673" s="57" t="str">
        <f ca="1">IFERROR(__xludf.DUMMYFUNCTION("""COMPUTED_VALUE"""),"")</f>
        <v/>
      </c>
    </row>
    <row r="11674" spans="1:5">
      <c r="A11674" s="12"/>
      <c r="E11674" s="57" t="str">
        <f ca="1">IFERROR(__xludf.DUMMYFUNCTION("""COMPUTED_VALUE"""),"")</f>
        <v/>
      </c>
    </row>
    <row r="11675" spans="1:5">
      <c r="A11675" s="12"/>
      <c r="E11675" s="57" t="str">
        <f ca="1">IFERROR(__xludf.DUMMYFUNCTION("""COMPUTED_VALUE"""),"")</f>
        <v/>
      </c>
    </row>
    <row r="11676" spans="1:5">
      <c r="A11676" s="12"/>
      <c r="E11676" s="57" t="str">
        <f ca="1">IFERROR(__xludf.DUMMYFUNCTION("""COMPUTED_VALUE"""),"")</f>
        <v/>
      </c>
    </row>
    <row r="11677" spans="1:5">
      <c r="A11677" s="12"/>
      <c r="E11677" s="57" t="str">
        <f ca="1">IFERROR(__xludf.DUMMYFUNCTION("""COMPUTED_VALUE"""),"")</f>
        <v/>
      </c>
    </row>
    <row r="11678" spans="1:5">
      <c r="A11678" s="12"/>
      <c r="E11678" s="57" t="str">
        <f ca="1">IFERROR(__xludf.DUMMYFUNCTION("""COMPUTED_VALUE"""),"")</f>
        <v/>
      </c>
    </row>
    <row r="11679" spans="1:5">
      <c r="A11679" s="12"/>
      <c r="E11679" s="57" t="str">
        <f ca="1">IFERROR(__xludf.DUMMYFUNCTION("""COMPUTED_VALUE"""),"")</f>
        <v/>
      </c>
    </row>
    <row r="11680" spans="1:5">
      <c r="A11680" s="12"/>
      <c r="E11680" s="57" t="str">
        <f ca="1">IFERROR(__xludf.DUMMYFUNCTION("""COMPUTED_VALUE"""),"")</f>
        <v/>
      </c>
    </row>
    <row r="11681" spans="1:5">
      <c r="A11681" s="12"/>
      <c r="E11681" s="57" t="str">
        <f ca="1">IFERROR(__xludf.DUMMYFUNCTION("""COMPUTED_VALUE"""),"")</f>
        <v/>
      </c>
    </row>
    <row r="11682" spans="1:5">
      <c r="A11682" s="12"/>
      <c r="E11682" s="57" t="str">
        <f ca="1">IFERROR(__xludf.DUMMYFUNCTION("""COMPUTED_VALUE"""),"")</f>
        <v/>
      </c>
    </row>
    <row r="11683" spans="1:5">
      <c r="A11683" s="12"/>
      <c r="E11683" s="57" t="str">
        <f ca="1">IFERROR(__xludf.DUMMYFUNCTION("""COMPUTED_VALUE"""),"")</f>
        <v/>
      </c>
    </row>
    <row r="11684" spans="1:5">
      <c r="A11684" s="12"/>
      <c r="E11684" s="57" t="str">
        <f ca="1">IFERROR(__xludf.DUMMYFUNCTION("""COMPUTED_VALUE"""),"")</f>
        <v/>
      </c>
    </row>
    <row r="11685" spans="1:5">
      <c r="A11685" s="12"/>
      <c r="E11685" s="57" t="str">
        <f ca="1">IFERROR(__xludf.DUMMYFUNCTION("""COMPUTED_VALUE"""),"")</f>
        <v/>
      </c>
    </row>
    <row r="11686" spans="1:5">
      <c r="A11686" s="12"/>
      <c r="E11686" s="57" t="str">
        <f ca="1">IFERROR(__xludf.DUMMYFUNCTION("""COMPUTED_VALUE"""),"")</f>
        <v/>
      </c>
    </row>
    <row r="11687" spans="1:5">
      <c r="A11687" s="12"/>
      <c r="E11687" s="57" t="str">
        <f ca="1">IFERROR(__xludf.DUMMYFUNCTION("""COMPUTED_VALUE"""),"")</f>
        <v/>
      </c>
    </row>
    <row r="11688" spans="1:5">
      <c r="A11688" s="12"/>
      <c r="E11688" s="57" t="str">
        <f ca="1">IFERROR(__xludf.DUMMYFUNCTION("""COMPUTED_VALUE"""),"")</f>
        <v/>
      </c>
    </row>
    <row r="11689" spans="1:5">
      <c r="A11689" s="12"/>
      <c r="E11689" s="57" t="str">
        <f ca="1">IFERROR(__xludf.DUMMYFUNCTION("""COMPUTED_VALUE"""),"")</f>
        <v/>
      </c>
    </row>
    <row r="11690" spans="1:5">
      <c r="A11690" s="12"/>
      <c r="E11690" s="57" t="str">
        <f ca="1">IFERROR(__xludf.DUMMYFUNCTION("""COMPUTED_VALUE"""),"")</f>
        <v/>
      </c>
    </row>
    <row r="11691" spans="1:5">
      <c r="A11691" s="12"/>
      <c r="E11691" s="57" t="str">
        <f ca="1">IFERROR(__xludf.DUMMYFUNCTION("""COMPUTED_VALUE"""),"")</f>
        <v/>
      </c>
    </row>
    <row r="11692" spans="1:5">
      <c r="A11692" s="12"/>
      <c r="E11692" s="57" t="str">
        <f ca="1">IFERROR(__xludf.DUMMYFUNCTION("""COMPUTED_VALUE"""),"")</f>
        <v/>
      </c>
    </row>
    <row r="11693" spans="1:5">
      <c r="A11693" s="12"/>
      <c r="E11693" s="57" t="str">
        <f ca="1">IFERROR(__xludf.DUMMYFUNCTION("""COMPUTED_VALUE"""),"")</f>
        <v/>
      </c>
    </row>
    <row r="11694" spans="1:5">
      <c r="A11694" s="12"/>
      <c r="E11694" s="57" t="str">
        <f ca="1">IFERROR(__xludf.DUMMYFUNCTION("""COMPUTED_VALUE"""),"")</f>
        <v/>
      </c>
    </row>
    <row r="11695" spans="1:5">
      <c r="A11695" s="12"/>
      <c r="E11695" s="57" t="str">
        <f ca="1">IFERROR(__xludf.DUMMYFUNCTION("""COMPUTED_VALUE"""),"")</f>
        <v/>
      </c>
    </row>
    <row r="11696" spans="1:5">
      <c r="A11696" s="12"/>
      <c r="E11696" s="57" t="str">
        <f ca="1">IFERROR(__xludf.DUMMYFUNCTION("""COMPUTED_VALUE"""),"")</f>
        <v/>
      </c>
    </row>
    <row r="11697" spans="1:5">
      <c r="A11697" s="12"/>
      <c r="E11697" s="57" t="str">
        <f ca="1">IFERROR(__xludf.DUMMYFUNCTION("""COMPUTED_VALUE"""),"")</f>
        <v/>
      </c>
    </row>
    <row r="11698" spans="1:5">
      <c r="A11698" s="12"/>
      <c r="E11698" s="57" t="str">
        <f ca="1">IFERROR(__xludf.DUMMYFUNCTION("""COMPUTED_VALUE"""),"")</f>
        <v/>
      </c>
    </row>
    <row r="11699" spans="1:5">
      <c r="A11699" s="12"/>
      <c r="E11699" s="57" t="str">
        <f ca="1">IFERROR(__xludf.DUMMYFUNCTION("""COMPUTED_VALUE"""),"")</f>
        <v/>
      </c>
    </row>
    <row r="11700" spans="1:5">
      <c r="A11700" s="12"/>
      <c r="E11700" s="57" t="str">
        <f ca="1">IFERROR(__xludf.DUMMYFUNCTION("""COMPUTED_VALUE"""),"")</f>
        <v/>
      </c>
    </row>
    <row r="11701" spans="1:5">
      <c r="A11701" s="12"/>
      <c r="E11701" s="57" t="str">
        <f ca="1">IFERROR(__xludf.DUMMYFUNCTION("""COMPUTED_VALUE"""),"")</f>
        <v/>
      </c>
    </row>
    <row r="11702" spans="1:5">
      <c r="A11702" s="12"/>
      <c r="E11702" s="57" t="str">
        <f ca="1">IFERROR(__xludf.DUMMYFUNCTION("""COMPUTED_VALUE"""),"")</f>
        <v/>
      </c>
    </row>
    <row r="11703" spans="1:5">
      <c r="A11703" s="12"/>
      <c r="E11703" s="57" t="str">
        <f ca="1">IFERROR(__xludf.DUMMYFUNCTION("""COMPUTED_VALUE"""),"")</f>
        <v/>
      </c>
    </row>
    <row r="11704" spans="1:5">
      <c r="A11704" s="12"/>
      <c r="E11704" s="57" t="str">
        <f ca="1">IFERROR(__xludf.DUMMYFUNCTION("""COMPUTED_VALUE"""),"")</f>
        <v/>
      </c>
    </row>
    <row r="11705" spans="1:5">
      <c r="A11705" s="12"/>
      <c r="E11705" s="57" t="str">
        <f ca="1">IFERROR(__xludf.DUMMYFUNCTION("""COMPUTED_VALUE"""),"")</f>
        <v/>
      </c>
    </row>
    <row r="11706" spans="1:5">
      <c r="A11706" s="12"/>
      <c r="E11706" s="57" t="str">
        <f ca="1">IFERROR(__xludf.DUMMYFUNCTION("""COMPUTED_VALUE"""),"")</f>
        <v/>
      </c>
    </row>
    <row r="11707" spans="1:5">
      <c r="A11707" s="12"/>
      <c r="E11707" s="57" t="str">
        <f ca="1">IFERROR(__xludf.DUMMYFUNCTION("""COMPUTED_VALUE"""),"")</f>
        <v/>
      </c>
    </row>
    <row r="11708" spans="1:5">
      <c r="A11708" s="12"/>
      <c r="E11708" s="57" t="str">
        <f ca="1">IFERROR(__xludf.DUMMYFUNCTION("""COMPUTED_VALUE"""),"")</f>
        <v/>
      </c>
    </row>
    <row r="11709" spans="1:5">
      <c r="A11709" s="12"/>
      <c r="E11709" s="57" t="str">
        <f ca="1">IFERROR(__xludf.DUMMYFUNCTION("""COMPUTED_VALUE"""),"")</f>
        <v/>
      </c>
    </row>
    <row r="11710" spans="1:5">
      <c r="A11710" s="12"/>
      <c r="E11710" s="57" t="str">
        <f ca="1">IFERROR(__xludf.DUMMYFUNCTION("""COMPUTED_VALUE"""),"")</f>
        <v/>
      </c>
    </row>
    <row r="11711" spans="1:5">
      <c r="A11711" s="12"/>
      <c r="E11711" s="57" t="str">
        <f ca="1">IFERROR(__xludf.DUMMYFUNCTION("""COMPUTED_VALUE"""),"")</f>
        <v/>
      </c>
    </row>
    <row r="11712" spans="1:5">
      <c r="A11712" s="12"/>
      <c r="E11712" s="57" t="str">
        <f ca="1">IFERROR(__xludf.DUMMYFUNCTION("""COMPUTED_VALUE"""),"")</f>
        <v/>
      </c>
    </row>
    <row r="11713" spans="1:5">
      <c r="A11713" s="12"/>
      <c r="E11713" s="57" t="str">
        <f ca="1">IFERROR(__xludf.DUMMYFUNCTION("""COMPUTED_VALUE"""),"")</f>
        <v/>
      </c>
    </row>
    <row r="11714" spans="1:5">
      <c r="A11714" s="12"/>
      <c r="E11714" s="57" t="str">
        <f ca="1">IFERROR(__xludf.DUMMYFUNCTION("""COMPUTED_VALUE"""),"")</f>
        <v/>
      </c>
    </row>
    <row r="11715" spans="1:5">
      <c r="A11715" s="12"/>
      <c r="E11715" s="57" t="str">
        <f ca="1">IFERROR(__xludf.DUMMYFUNCTION("""COMPUTED_VALUE"""),"")</f>
        <v/>
      </c>
    </row>
    <row r="11716" spans="1:5">
      <c r="A11716" s="12"/>
      <c r="E11716" s="57" t="str">
        <f ca="1">IFERROR(__xludf.DUMMYFUNCTION("""COMPUTED_VALUE"""),"")</f>
        <v/>
      </c>
    </row>
    <row r="11717" spans="1:5">
      <c r="A11717" s="12"/>
      <c r="E11717" s="57" t="str">
        <f ca="1">IFERROR(__xludf.DUMMYFUNCTION("""COMPUTED_VALUE"""),"")</f>
        <v/>
      </c>
    </row>
    <row r="11718" spans="1:5">
      <c r="A11718" s="12"/>
      <c r="E11718" s="57" t="str">
        <f ca="1">IFERROR(__xludf.DUMMYFUNCTION("""COMPUTED_VALUE"""),"")</f>
        <v/>
      </c>
    </row>
    <row r="11719" spans="1:5">
      <c r="A11719" s="12"/>
      <c r="E11719" s="57" t="str">
        <f ca="1">IFERROR(__xludf.DUMMYFUNCTION("""COMPUTED_VALUE"""),"")</f>
        <v/>
      </c>
    </row>
    <row r="11720" spans="1:5">
      <c r="A11720" s="12"/>
      <c r="E11720" s="57" t="str">
        <f ca="1">IFERROR(__xludf.DUMMYFUNCTION("""COMPUTED_VALUE"""),"")</f>
        <v/>
      </c>
    </row>
    <row r="11721" spans="1:5">
      <c r="A11721" s="12"/>
      <c r="E11721" s="57" t="str">
        <f ca="1">IFERROR(__xludf.DUMMYFUNCTION("""COMPUTED_VALUE"""),"")</f>
        <v/>
      </c>
    </row>
    <row r="11722" spans="1:5">
      <c r="A11722" s="12"/>
      <c r="E11722" s="57" t="str">
        <f ca="1">IFERROR(__xludf.DUMMYFUNCTION("""COMPUTED_VALUE"""),"")</f>
        <v/>
      </c>
    </row>
    <row r="11723" spans="1:5">
      <c r="A11723" s="12"/>
      <c r="E11723" s="57" t="str">
        <f ca="1">IFERROR(__xludf.DUMMYFUNCTION("""COMPUTED_VALUE"""),"")</f>
        <v/>
      </c>
    </row>
    <row r="11724" spans="1:5">
      <c r="A11724" s="12"/>
      <c r="E11724" s="57" t="str">
        <f ca="1">IFERROR(__xludf.DUMMYFUNCTION("""COMPUTED_VALUE"""),"")</f>
        <v/>
      </c>
    </row>
    <row r="11725" spans="1:5">
      <c r="A11725" s="12"/>
      <c r="E11725" s="57" t="str">
        <f ca="1">IFERROR(__xludf.DUMMYFUNCTION("""COMPUTED_VALUE"""),"")</f>
        <v/>
      </c>
    </row>
    <row r="11726" spans="1:5">
      <c r="A11726" s="12"/>
      <c r="E11726" s="57" t="str">
        <f ca="1">IFERROR(__xludf.DUMMYFUNCTION("""COMPUTED_VALUE"""),"")</f>
        <v/>
      </c>
    </row>
    <row r="11727" spans="1:5">
      <c r="A11727" s="12"/>
      <c r="E11727" s="57" t="str">
        <f ca="1">IFERROR(__xludf.DUMMYFUNCTION("""COMPUTED_VALUE"""),"")</f>
        <v/>
      </c>
    </row>
    <row r="11728" spans="1:5">
      <c r="A11728" s="12"/>
      <c r="E11728" s="57" t="str">
        <f ca="1">IFERROR(__xludf.DUMMYFUNCTION("""COMPUTED_VALUE"""),"")</f>
        <v/>
      </c>
    </row>
    <row r="11729" spans="1:5">
      <c r="A11729" s="12"/>
      <c r="E11729" s="57" t="str">
        <f ca="1">IFERROR(__xludf.DUMMYFUNCTION("""COMPUTED_VALUE"""),"")</f>
        <v/>
      </c>
    </row>
    <row r="11730" spans="1:5">
      <c r="A11730" s="12"/>
      <c r="E11730" s="57" t="str">
        <f ca="1">IFERROR(__xludf.DUMMYFUNCTION("""COMPUTED_VALUE"""),"")</f>
        <v/>
      </c>
    </row>
    <row r="11731" spans="1:5">
      <c r="A11731" s="12"/>
      <c r="E11731" s="57" t="str">
        <f ca="1">IFERROR(__xludf.DUMMYFUNCTION("""COMPUTED_VALUE"""),"")</f>
        <v/>
      </c>
    </row>
    <row r="11732" spans="1:5">
      <c r="A11732" s="12"/>
      <c r="E11732" s="57" t="str">
        <f ca="1">IFERROR(__xludf.DUMMYFUNCTION("""COMPUTED_VALUE"""),"")</f>
        <v/>
      </c>
    </row>
    <row r="11733" spans="1:5">
      <c r="A11733" s="12"/>
      <c r="E11733" s="57" t="str">
        <f ca="1">IFERROR(__xludf.DUMMYFUNCTION("""COMPUTED_VALUE"""),"")</f>
        <v/>
      </c>
    </row>
    <row r="11734" spans="1:5">
      <c r="A11734" s="12"/>
      <c r="E11734" s="57" t="str">
        <f ca="1">IFERROR(__xludf.DUMMYFUNCTION("""COMPUTED_VALUE"""),"")</f>
        <v/>
      </c>
    </row>
    <row r="11735" spans="1:5">
      <c r="A11735" s="12"/>
      <c r="E11735" s="57" t="str">
        <f ca="1">IFERROR(__xludf.DUMMYFUNCTION("""COMPUTED_VALUE"""),"")</f>
        <v/>
      </c>
    </row>
    <row r="11736" spans="1:5">
      <c r="A11736" s="12"/>
      <c r="E11736" s="57" t="str">
        <f ca="1">IFERROR(__xludf.DUMMYFUNCTION("""COMPUTED_VALUE"""),"")</f>
        <v/>
      </c>
    </row>
    <row r="11737" spans="1:5">
      <c r="A11737" s="12"/>
      <c r="E11737" s="57" t="str">
        <f ca="1">IFERROR(__xludf.DUMMYFUNCTION("""COMPUTED_VALUE"""),"")</f>
        <v/>
      </c>
    </row>
    <row r="11738" spans="1:5">
      <c r="A11738" s="12"/>
      <c r="E11738" s="57" t="str">
        <f ca="1">IFERROR(__xludf.DUMMYFUNCTION("""COMPUTED_VALUE"""),"")</f>
        <v/>
      </c>
    </row>
    <row r="11739" spans="1:5">
      <c r="A11739" s="12"/>
      <c r="E11739" s="57" t="str">
        <f ca="1">IFERROR(__xludf.DUMMYFUNCTION("""COMPUTED_VALUE"""),"")</f>
        <v/>
      </c>
    </row>
    <row r="11740" spans="1:5">
      <c r="A11740" s="12"/>
      <c r="E11740" s="57" t="str">
        <f ca="1">IFERROR(__xludf.DUMMYFUNCTION("""COMPUTED_VALUE"""),"")</f>
        <v/>
      </c>
    </row>
    <row r="11741" spans="1:5">
      <c r="A11741" s="12"/>
      <c r="E11741" s="57" t="str">
        <f ca="1">IFERROR(__xludf.DUMMYFUNCTION("""COMPUTED_VALUE"""),"")</f>
        <v/>
      </c>
    </row>
    <row r="11742" spans="1:5">
      <c r="A11742" s="12"/>
      <c r="E11742" s="57" t="str">
        <f ca="1">IFERROR(__xludf.DUMMYFUNCTION("""COMPUTED_VALUE"""),"")</f>
        <v/>
      </c>
    </row>
    <row r="11743" spans="1:5">
      <c r="A11743" s="12"/>
      <c r="E11743" s="57" t="str">
        <f ca="1">IFERROR(__xludf.DUMMYFUNCTION("""COMPUTED_VALUE"""),"")</f>
        <v/>
      </c>
    </row>
    <row r="11744" spans="1:5">
      <c r="A11744" s="12"/>
      <c r="E11744" s="57" t="str">
        <f ca="1">IFERROR(__xludf.DUMMYFUNCTION("""COMPUTED_VALUE"""),"")</f>
        <v/>
      </c>
    </row>
    <row r="11745" spans="1:5">
      <c r="A11745" s="12"/>
      <c r="E11745" s="57" t="str">
        <f ca="1">IFERROR(__xludf.DUMMYFUNCTION("""COMPUTED_VALUE"""),"")</f>
        <v/>
      </c>
    </row>
    <row r="11746" spans="1:5">
      <c r="A11746" s="12"/>
      <c r="E11746" s="57" t="str">
        <f ca="1">IFERROR(__xludf.DUMMYFUNCTION("""COMPUTED_VALUE"""),"")</f>
        <v/>
      </c>
    </row>
    <row r="11747" spans="1:5">
      <c r="A11747" s="12"/>
      <c r="E11747" s="57" t="str">
        <f ca="1">IFERROR(__xludf.DUMMYFUNCTION("""COMPUTED_VALUE"""),"")</f>
        <v/>
      </c>
    </row>
    <row r="11748" spans="1:5">
      <c r="A11748" s="12"/>
      <c r="E11748" s="57" t="str">
        <f ca="1">IFERROR(__xludf.DUMMYFUNCTION("""COMPUTED_VALUE"""),"")</f>
        <v/>
      </c>
    </row>
    <row r="11749" spans="1:5">
      <c r="A11749" s="12"/>
      <c r="E11749" s="57" t="str">
        <f ca="1">IFERROR(__xludf.DUMMYFUNCTION("""COMPUTED_VALUE"""),"")</f>
        <v/>
      </c>
    </row>
    <row r="11750" spans="1:5">
      <c r="A11750" s="12"/>
      <c r="E11750" s="57" t="str">
        <f ca="1">IFERROR(__xludf.DUMMYFUNCTION("""COMPUTED_VALUE"""),"")</f>
        <v/>
      </c>
    </row>
    <row r="11751" spans="1:5">
      <c r="A11751" s="12"/>
      <c r="E11751" s="57" t="str">
        <f ca="1">IFERROR(__xludf.DUMMYFUNCTION("""COMPUTED_VALUE"""),"")</f>
        <v/>
      </c>
    </row>
    <row r="11752" spans="1:5">
      <c r="A11752" s="12"/>
      <c r="E11752" s="57" t="str">
        <f ca="1">IFERROR(__xludf.DUMMYFUNCTION("""COMPUTED_VALUE"""),"")</f>
        <v/>
      </c>
    </row>
    <row r="11753" spans="1:5">
      <c r="A11753" s="12"/>
      <c r="E11753" s="57" t="str">
        <f ca="1">IFERROR(__xludf.DUMMYFUNCTION("""COMPUTED_VALUE"""),"")</f>
        <v/>
      </c>
    </row>
    <row r="11754" spans="1:5">
      <c r="A11754" s="12"/>
      <c r="E11754" s="57" t="str">
        <f ca="1">IFERROR(__xludf.DUMMYFUNCTION("""COMPUTED_VALUE"""),"")</f>
        <v/>
      </c>
    </row>
    <row r="11755" spans="1:5">
      <c r="A11755" s="12"/>
      <c r="E11755" s="57" t="str">
        <f ca="1">IFERROR(__xludf.DUMMYFUNCTION("""COMPUTED_VALUE"""),"")</f>
        <v/>
      </c>
    </row>
    <row r="11756" spans="1:5">
      <c r="A11756" s="12"/>
      <c r="E11756" s="57" t="str">
        <f ca="1">IFERROR(__xludf.DUMMYFUNCTION("""COMPUTED_VALUE"""),"")</f>
        <v/>
      </c>
    </row>
    <row r="11757" spans="1:5">
      <c r="A11757" s="12"/>
      <c r="E11757" s="57" t="str">
        <f ca="1">IFERROR(__xludf.DUMMYFUNCTION("""COMPUTED_VALUE"""),"")</f>
        <v/>
      </c>
    </row>
    <row r="11758" spans="1:5">
      <c r="A11758" s="12"/>
      <c r="E11758" s="57" t="str">
        <f ca="1">IFERROR(__xludf.DUMMYFUNCTION("""COMPUTED_VALUE"""),"")</f>
        <v/>
      </c>
    </row>
    <row r="11759" spans="1:5">
      <c r="A11759" s="12"/>
      <c r="E11759" s="57" t="str">
        <f ca="1">IFERROR(__xludf.DUMMYFUNCTION("""COMPUTED_VALUE"""),"")</f>
        <v/>
      </c>
    </row>
    <row r="11760" spans="1:5">
      <c r="A11760" s="12"/>
      <c r="E11760" s="57" t="str">
        <f ca="1">IFERROR(__xludf.DUMMYFUNCTION("""COMPUTED_VALUE"""),"")</f>
        <v/>
      </c>
    </row>
    <row r="11761" spans="1:5">
      <c r="A11761" s="12"/>
      <c r="E11761" s="57" t="str">
        <f ca="1">IFERROR(__xludf.DUMMYFUNCTION("""COMPUTED_VALUE"""),"")</f>
        <v/>
      </c>
    </row>
    <row r="11762" spans="1:5">
      <c r="A11762" s="12"/>
      <c r="E11762" s="57" t="str">
        <f ca="1">IFERROR(__xludf.DUMMYFUNCTION("""COMPUTED_VALUE"""),"")</f>
        <v/>
      </c>
    </row>
    <row r="11763" spans="1:5">
      <c r="A11763" s="12"/>
      <c r="E11763" s="57" t="str">
        <f ca="1">IFERROR(__xludf.DUMMYFUNCTION("""COMPUTED_VALUE"""),"")</f>
        <v/>
      </c>
    </row>
    <row r="11764" spans="1:5">
      <c r="A11764" s="12"/>
      <c r="E11764" s="57" t="str">
        <f ca="1">IFERROR(__xludf.DUMMYFUNCTION("""COMPUTED_VALUE"""),"")</f>
        <v/>
      </c>
    </row>
    <row r="11765" spans="1:5">
      <c r="A11765" s="12"/>
      <c r="E11765" s="57" t="str">
        <f ca="1">IFERROR(__xludf.DUMMYFUNCTION("""COMPUTED_VALUE"""),"")</f>
        <v/>
      </c>
    </row>
    <row r="11766" spans="1:5">
      <c r="A11766" s="12"/>
      <c r="E11766" s="57" t="str">
        <f ca="1">IFERROR(__xludf.DUMMYFUNCTION("""COMPUTED_VALUE"""),"")</f>
        <v/>
      </c>
    </row>
    <row r="11767" spans="1:5">
      <c r="A11767" s="12"/>
      <c r="E11767" s="57" t="str">
        <f ca="1">IFERROR(__xludf.DUMMYFUNCTION("""COMPUTED_VALUE"""),"")</f>
        <v/>
      </c>
    </row>
    <row r="11768" spans="1:5">
      <c r="A11768" s="12"/>
      <c r="E11768" s="57" t="str">
        <f ca="1">IFERROR(__xludf.DUMMYFUNCTION("""COMPUTED_VALUE"""),"")</f>
        <v/>
      </c>
    </row>
    <row r="11769" spans="1:5">
      <c r="A11769" s="12"/>
      <c r="E11769" s="57" t="str">
        <f ca="1">IFERROR(__xludf.DUMMYFUNCTION("""COMPUTED_VALUE"""),"")</f>
        <v/>
      </c>
    </row>
    <row r="11770" spans="1:5">
      <c r="A11770" s="12"/>
      <c r="E11770" s="57" t="str">
        <f ca="1">IFERROR(__xludf.DUMMYFUNCTION("""COMPUTED_VALUE"""),"")</f>
        <v/>
      </c>
    </row>
    <row r="11771" spans="1:5">
      <c r="A11771" s="12"/>
      <c r="E11771" s="57" t="str">
        <f ca="1">IFERROR(__xludf.DUMMYFUNCTION("""COMPUTED_VALUE"""),"")</f>
        <v/>
      </c>
    </row>
    <row r="11772" spans="1:5">
      <c r="A11772" s="12"/>
      <c r="E11772" s="57" t="str">
        <f ca="1">IFERROR(__xludf.DUMMYFUNCTION("""COMPUTED_VALUE"""),"")</f>
        <v/>
      </c>
    </row>
    <row r="11773" spans="1:5">
      <c r="A11773" s="12"/>
      <c r="E11773" s="57" t="str">
        <f ca="1">IFERROR(__xludf.DUMMYFUNCTION("""COMPUTED_VALUE"""),"")</f>
        <v/>
      </c>
    </row>
    <row r="11774" spans="1:5">
      <c r="A11774" s="12"/>
      <c r="E11774" s="57" t="str">
        <f ca="1">IFERROR(__xludf.DUMMYFUNCTION("""COMPUTED_VALUE"""),"")</f>
        <v/>
      </c>
    </row>
    <row r="11775" spans="1:5">
      <c r="A11775" s="12"/>
      <c r="E11775" s="57" t="str">
        <f ca="1">IFERROR(__xludf.DUMMYFUNCTION("""COMPUTED_VALUE"""),"")</f>
        <v/>
      </c>
    </row>
    <row r="11776" spans="1:5">
      <c r="A11776" s="12"/>
      <c r="E11776" s="57" t="str">
        <f ca="1">IFERROR(__xludf.DUMMYFUNCTION("""COMPUTED_VALUE"""),"")</f>
        <v/>
      </c>
    </row>
    <row r="11777" spans="1:5">
      <c r="A11777" s="12"/>
      <c r="E11777" s="57" t="str">
        <f ca="1">IFERROR(__xludf.DUMMYFUNCTION("""COMPUTED_VALUE"""),"")</f>
        <v/>
      </c>
    </row>
    <row r="11778" spans="1:5">
      <c r="A11778" s="12"/>
      <c r="E11778" s="57" t="str">
        <f ca="1">IFERROR(__xludf.DUMMYFUNCTION("""COMPUTED_VALUE"""),"")</f>
        <v/>
      </c>
    </row>
    <row r="11779" spans="1:5">
      <c r="A11779" s="12"/>
      <c r="E11779" s="57" t="str">
        <f ca="1">IFERROR(__xludf.DUMMYFUNCTION("""COMPUTED_VALUE"""),"")</f>
        <v/>
      </c>
    </row>
    <row r="11780" spans="1:5">
      <c r="A11780" s="12"/>
      <c r="E11780" s="57" t="str">
        <f ca="1">IFERROR(__xludf.DUMMYFUNCTION("""COMPUTED_VALUE"""),"")</f>
        <v/>
      </c>
    </row>
    <row r="11781" spans="1:5">
      <c r="A11781" s="12"/>
      <c r="E11781" s="57" t="str">
        <f ca="1">IFERROR(__xludf.DUMMYFUNCTION("""COMPUTED_VALUE"""),"")</f>
        <v/>
      </c>
    </row>
    <row r="11782" spans="1:5">
      <c r="A11782" s="12"/>
      <c r="E11782" s="57" t="str">
        <f ca="1">IFERROR(__xludf.DUMMYFUNCTION("""COMPUTED_VALUE"""),"")</f>
        <v/>
      </c>
    </row>
    <row r="11783" spans="1:5">
      <c r="A11783" s="12"/>
      <c r="E11783" s="57" t="str">
        <f ca="1">IFERROR(__xludf.DUMMYFUNCTION("""COMPUTED_VALUE"""),"")</f>
        <v/>
      </c>
    </row>
    <row r="11784" spans="1:5">
      <c r="A11784" s="12"/>
      <c r="E11784" s="57" t="str">
        <f ca="1">IFERROR(__xludf.DUMMYFUNCTION("""COMPUTED_VALUE"""),"")</f>
        <v/>
      </c>
    </row>
    <row r="11785" spans="1:5">
      <c r="A11785" s="12"/>
      <c r="E11785" s="57" t="str">
        <f ca="1">IFERROR(__xludf.DUMMYFUNCTION("""COMPUTED_VALUE"""),"")</f>
        <v/>
      </c>
    </row>
    <row r="11786" spans="1:5">
      <c r="A11786" s="12"/>
      <c r="E11786" s="57" t="str">
        <f ca="1">IFERROR(__xludf.DUMMYFUNCTION("""COMPUTED_VALUE"""),"")</f>
        <v/>
      </c>
    </row>
    <row r="11787" spans="1:5">
      <c r="A11787" s="12"/>
      <c r="E11787" s="57" t="str">
        <f ca="1">IFERROR(__xludf.DUMMYFUNCTION("""COMPUTED_VALUE"""),"")</f>
        <v/>
      </c>
    </row>
    <row r="11788" spans="1:5">
      <c r="A11788" s="12"/>
      <c r="E11788" s="57" t="str">
        <f ca="1">IFERROR(__xludf.DUMMYFUNCTION("""COMPUTED_VALUE"""),"")</f>
        <v/>
      </c>
    </row>
    <row r="11789" spans="1:5">
      <c r="A11789" s="12"/>
      <c r="E11789" s="57" t="str">
        <f ca="1">IFERROR(__xludf.DUMMYFUNCTION("""COMPUTED_VALUE"""),"")</f>
        <v/>
      </c>
    </row>
    <row r="11790" spans="1:5">
      <c r="A11790" s="12"/>
      <c r="E11790" s="57" t="str">
        <f ca="1">IFERROR(__xludf.DUMMYFUNCTION("""COMPUTED_VALUE"""),"")</f>
        <v/>
      </c>
    </row>
    <row r="11791" spans="1:5">
      <c r="A11791" s="12"/>
      <c r="E11791" s="57" t="str">
        <f ca="1">IFERROR(__xludf.DUMMYFUNCTION("""COMPUTED_VALUE"""),"")</f>
        <v/>
      </c>
    </row>
    <row r="11792" spans="1:5">
      <c r="A11792" s="12"/>
      <c r="E11792" s="57" t="str">
        <f ca="1">IFERROR(__xludf.DUMMYFUNCTION("""COMPUTED_VALUE"""),"")</f>
        <v/>
      </c>
    </row>
    <row r="11793" spans="1:5">
      <c r="A11793" s="12"/>
      <c r="E11793" s="57" t="str">
        <f ca="1">IFERROR(__xludf.DUMMYFUNCTION("""COMPUTED_VALUE"""),"")</f>
        <v/>
      </c>
    </row>
    <row r="11794" spans="1:5">
      <c r="A11794" s="12"/>
      <c r="E11794" s="57" t="str">
        <f ca="1">IFERROR(__xludf.DUMMYFUNCTION("""COMPUTED_VALUE"""),"")</f>
        <v/>
      </c>
    </row>
    <row r="11795" spans="1:5">
      <c r="A11795" s="12"/>
      <c r="E11795" s="57" t="str">
        <f ca="1">IFERROR(__xludf.DUMMYFUNCTION("""COMPUTED_VALUE"""),"")</f>
        <v/>
      </c>
    </row>
    <row r="11796" spans="1:5">
      <c r="A11796" s="12"/>
      <c r="E11796" s="57" t="str">
        <f ca="1">IFERROR(__xludf.DUMMYFUNCTION("""COMPUTED_VALUE"""),"")</f>
        <v/>
      </c>
    </row>
    <row r="11797" spans="1:5">
      <c r="A11797" s="12"/>
      <c r="E11797" s="57" t="str">
        <f ca="1">IFERROR(__xludf.DUMMYFUNCTION("""COMPUTED_VALUE"""),"")</f>
        <v/>
      </c>
    </row>
    <row r="11798" spans="1:5">
      <c r="A11798" s="12"/>
      <c r="E11798" s="57" t="str">
        <f ca="1">IFERROR(__xludf.DUMMYFUNCTION("""COMPUTED_VALUE"""),"")</f>
        <v/>
      </c>
    </row>
    <row r="11799" spans="1:5">
      <c r="A11799" s="12"/>
      <c r="E11799" s="57" t="str">
        <f ca="1">IFERROR(__xludf.DUMMYFUNCTION("""COMPUTED_VALUE"""),"")</f>
        <v/>
      </c>
    </row>
    <row r="11800" spans="1:5">
      <c r="A11800" s="12"/>
      <c r="E11800" s="57" t="str">
        <f ca="1">IFERROR(__xludf.DUMMYFUNCTION("""COMPUTED_VALUE"""),"")</f>
        <v/>
      </c>
    </row>
    <row r="11801" spans="1:5">
      <c r="A11801" s="12"/>
      <c r="E11801" s="57" t="str">
        <f ca="1">IFERROR(__xludf.DUMMYFUNCTION("""COMPUTED_VALUE"""),"")</f>
        <v/>
      </c>
    </row>
    <row r="11802" spans="1:5">
      <c r="A11802" s="12"/>
      <c r="E11802" s="57" t="str">
        <f ca="1">IFERROR(__xludf.DUMMYFUNCTION("""COMPUTED_VALUE"""),"")</f>
        <v/>
      </c>
    </row>
    <row r="11803" spans="1:5">
      <c r="A11803" s="12"/>
      <c r="E11803" s="57" t="str">
        <f ca="1">IFERROR(__xludf.DUMMYFUNCTION("""COMPUTED_VALUE"""),"")</f>
        <v/>
      </c>
    </row>
    <row r="11804" spans="1:5">
      <c r="A11804" s="12"/>
      <c r="E11804" s="57" t="str">
        <f ca="1">IFERROR(__xludf.DUMMYFUNCTION("""COMPUTED_VALUE"""),"")</f>
        <v/>
      </c>
    </row>
    <row r="11805" spans="1:5">
      <c r="A11805" s="12"/>
      <c r="E11805" s="57" t="str">
        <f ca="1">IFERROR(__xludf.DUMMYFUNCTION("""COMPUTED_VALUE"""),"")</f>
        <v/>
      </c>
    </row>
    <row r="11806" spans="1:5">
      <c r="A11806" s="12"/>
      <c r="E11806" s="57" t="str">
        <f ca="1">IFERROR(__xludf.DUMMYFUNCTION("""COMPUTED_VALUE"""),"")</f>
        <v/>
      </c>
    </row>
    <row r="11807" spans="1:5">
      <c r="A11807" s="12"/>
      <c r="E11807" s="57" t="str">
        <f ca="1">IFERROR(__xludf.DUMMYFUNCTION("""COMPUTED_VALUE"""),"")</f>
        <v/>
      </c>
    </row>
    <row r="11808" spans="1:5">
      <c r="A11808" s="12"/>
      <c r="E11808" s="57" t="str">
        <f ca="1">IFERROR(__xludf.DUMMYFUNCTION("""COMPUTED_VALUE"""),"")</f>
        <v/>
      </c>
    </row>
    <row r="11809" spans="1:5">
      <c r="A11809" s="12"/>
      <c r="E11809" s="57" t="str">
        <f ca="1">IFERROR(__xludf.DUMMYFUNCTION("""COMPUTED_VALUE"""),"")</f>
        <v/>
      </c>
    </row>
    <row r="11810" spans="1:5">
      <c r="A11810" s="12"/>
      <c r="E11810" s="57" t="str">
        <f ca="1">IFERROR(__xludf.DUMMYFUNCTION("""COMPUTED_VALUE"""),"")</f>
        <v/>
      </c>
    </row>
    <row r="11811" spans="1:5">
      <c r="A11811" s="12"/>
      <c r="E11811" s="57" t="str">
        <f ca="1">IFERROR(__xludf.DUMMYFUNCTION("""COMPUTED_VALUE"""),"")</f>
        <v/>
      </c>
    </row>
    <row r="11812" spans="1:5">
      <c r="A11812" s="12"/>
      <c r="E11812" s="57" t="str">
        <f ca="1">IFERROR(__xludf.DUMMYFUNCTION("""COMPUTED_VALUE"""),"")</f>
        <v/>
      </c>
    </row>
    <row r="11813" spans="1:5">
      <c r="A11813" s="12"/>
      <c r="E11813" s="57" t="str">
        <f ca="1">IFERROR(__xludf.DUMMYFUNCTION("""COMPUTED_VALUE"""),"")</f>
        <v/>
      </c>
    </row>
    <row r="11814" spans="1:5">
      <c r="A11814" s="12"/>
      <c r="E11814" s="57" t="str">
        <f ca="1">IFERROR(__xludf.DUMMYFUNCTION("""COMPUTED_VALUE"""),"")</f>
        <v/>
      </c>
    </row>
    <row r="11815" spans="1:5">
      <c r="A11815" s="12"/>
      <c r="E11815" s="57" t="str">
        <f ca="1">IFERROR(__xludf.DUMMYFUNCTION("""COMPUTED_VALUE"""),"")</f>
        <v/>
      </c>
    </row>
    <row r="11816" spans="1:5">
      <c r="A11816" s="12"/>
      <c r="E11816" s="57" t="str">
        <f ca="1">IFERROR(__xludf.DUMMYFUNCTION("""COMPUTED_VALUE"""),"")</f>
        <v/>
      </c>
    </row>
    <row r="11817" spans="1:5">
      <c r="A11817" s="12"/>
      <c r="E11817" s="57" t="str">
        <f ca="1">IFERROR(__xludf.DUMMYFUNCTION("""COMPUTED_VALUE"""),"")</f>
        <v/>
      </c>
    </row>
    <row r="11818" spans="1:5">
      <c r="A11818" s="12"/>
      <c r="E11818" s="57" t="str">
        <f ca="1">IFERROR(__xludf.DUMMYFUNCTION("""COMPUTED_VALUE"""),"")</f>
        <v/>
      </c>
    </row>
    <row r="11819" spans="1:5">
      <c r="A11819" s="12"/>
      <c r="E11819" s="57" t="str">
        <f ca="1">IFERROR(__xludf.DUMMYFUNCTION("""COMPUTED_VALUE"""),"")</f>
        <v/>
      </c>
    </row>
    <row r="11820" spans="1:5">
      <c r="A11820" s="12"/>
      <c r="E11820" s="57" t="str">
        <f ca="1">IFERROR(__xludf.DUMMYFUNCTION("""COMPUTED_VALUE"""),"")</f>
        <v/>
      </c>
    </row>
    <row r="11821" spans="1:5">
      <c r="A11821" s="12"/>
      <c r="E11821" s="57" t="str">
        <f ca="1">IFERROR(__xludf.DUMMYFUNCTION("""COMPUTED_VALUE"""),"")</f>
        <v/>
      </c>
    </row>
    <row r="11822" spans="1:5">
      <c r="A11822" s="12"/>
      <c r="E11822" s="57" t="str">
        <f ca="1">IFERROR(__xludf.DUMMYFUNCTION("""COMPUTED_VALUE"""),"")</f>
        <v/>
      </c>
    </row>
    <row r="11823" spans="1:5">
      <c r="A11823" s="12"/>
      <c r="E11823" s="57" t="str">
        <f ca="1">IFERROR(__xludf.DUMMYFUNCTION("""COMPUTED_VALUE"""),"")</f>
        <v/>
      </c>
    </row>
    <row r="11824" spans="1:5">
      <c r="A11824" s="12"/>
      <c r="E11824" s="57" t="str">
        <f ca="1">IFERROR(__xludf.DUMMYFUNCTION("""COMPUTED_VALUE"""),"")</f>
        <v/>
      </c>
    </row>
    <row r="11825" spans="1:5">
      <c r="A11825" s="12"/>
      <c r="E11825" s="57" t="str">
        <f ca="1">IFERROR(__xludf.DUMMYFUNCTION("""COMPUTED_VALUE"""),"")</f>
        <v/>
      </c>
    </row>
    <row r="11826" spans="1:5">
      <c r="A11826" s="12"/>
      <c r="E11826" s="57" t="str">
        <f ca="1">IFERROR(__xludf.DUMMYFUNCTION("""COMPUTED_VALUE"""),"")</f>
        <v/>
      </c>
    </row>
    <row r="11827" spans="1:5">
      <c r="A11827" s="12"/>
      <c r="E11827" s="57" t="str">
        <f ca="1">IFERROR(__xludf.DUMMYFUNCTION("""COMPUTED_VALUE"""),"")</f>
        <v/>
      </c>
    </row>
    <row r="11828" spans="1:5">
      <c r="A11828" s="12"/>
      <c r="E11828" s="57" t="str">
        <f ca="1">IFERROR(__xludf.DUMMYFUNCTION("""COMPUTED_VALUE"""),"")</f>
        <v/>
      </c>
    </row>
    <row r="11829" spans="1:5">
      <c r="A11829" s="12"/>
      <c r="E11829" s="57" t="str">
        <f ca="1">IFERROR(__xludf.DUMMYFUNCTION("""COMPUTED_VALUE"""),"")</f>
        <v/>
      </c>
    </row>
    <row r="11830" spans="1:5">
      <c r="A11830" s="12"/>
      <c r="E11830" s="57" t="str">
        <f ca="1">IFERROR(__xludf.DUMMYFUNCTION("""COMPUTED_VALUE"""),"")</f>
        <v/>
      </c>
    </row>
    <row r="11831" spans="1:5">
      <c r="A11831" s="12"/>
      <c r="E11831" s="57" t="str">
        <f ca="1">IFERROR(__xludf.DUMMYFUNCTION("""COMPUTED_VALUE"""),"")</f>
        <v/>
      </c>
    </row>
    <row r="11832" spans="1:5">
      <c r="A11832" s="12"/>
      <c r="E11832" s="57" t="str">
        <f ca="1">IFERROR(__xludf.DUMMYFUNCTION("""COMPUTED_VALUE"""),"")</f>
        <v/>
      </c>
    </row>
    <row r="11833" spans="1:5">
      <c r="A11833" s="12"/>
      <c r="E11833" s="57" t="str">
        <f ca="1">IFERROR(__xludf.DUMMYFUNCTION("""COMPUTED_VALUE"""),"")</f>
        <v/>
      </c>
    </row>
    <row r="11834" spans="1:5">
      <c r="A11834" s="12"/>
      <c r="E11834" s="57" t="str">
        <f ca="1">IFERROR(__xludf.DUMMYFUNCTION("""COMPUTED_VALUE"""),"")</f>
        <v/>
      </c>
    </row>
    <row r="11835" spans="1:5">
      <c r="A11835" s="12"/>
      <c r="E11835" s="57" t="str">
        <f ca="1">IFERROR(__xludf.DUMMYFUNCTION("""COMPUTED_VALUE"""),"")</f>
        <v/>
      </c>
    </row>
    <row r="11836" spans="1:5">
      <c r="A11836" s="12"/>
      <c r="E11836" s="57" t="str">
        <f ca="1">IFERROR(__xludf.DUMMYFUNCTION("""COMPUTED_VALUE"""),"")</f>
        <v/>
      </c>
    </row>
    <row r="11837" spans="1:5">
      <c r="A11837" s="12"/>
      <c r="E11837" s="57" t="str">
        <f ca="1">IFERROR(__xludf.DUMMYFUNCTION("""COMPUTED_VALUE"""),"")</f>
        <v/>
      </c>
    </row>
    <row r="11838" spans="1:5">
      <c r="A11838" s="12"/>
      <c r="E11838" s="57" t="str">
        <f ca="1">IFERROR(__xludf.DUMMYFUNCTION("""COMPUTED_VALUE"""),"")</f>
        <v/>
      </c>
    </row>
    <row r="11839" spans="1:5">
      <c r="A11839" s="12"/>
      <c r="E11839" s="57" t="str">
        <f ca="1">IFERROR(__xludf.DUMMYFUNCTION("""COMPUTED_VALUE"""),"")</f>
        <v/>
      </c>
    </row>
    <row r="11840" spans="1:5">
      <c r="A11840" s="12"/>
      <c r="E11840" s="57" t="str">
        <f ca="1">IFERROR(__xludf.DUMMYFUNCTION("""COMPUTED_VALUE"""),"")</f>
        <v/>
      </c>
    </row>
    <row r="11841" spans="1:5">
      <c r="A11841" s="12"/>
      <c r="E11841" s="57" t="str">
        <f ca="1">IFERROR(__xludf.DUMMYFUNCTION("""COMPUTED_VALUE"""),"")</f>
        <v/>
      </c>
    </row>
    <row r="11842" spans="1:5">
      <c r="A11842" s="12"/>
      <c r="E11842" s="57" t="str">
        <f ca="1">IFERROR(__xludf.DUMMYFUNCTION("""COMPUTED_VALUE"""),"")</f>
        <v/>
      </c>
    </row>
    <row r="11843" spans="1:5">
      <c r="A11843" s="12"/>
      <c r="E11843" s="57" t="str">
        <f ca="1">IFERROR(__xludf.DUMMYFUNCTION("""COMPUTED_VALUE"""),"")</f>
        <v/>
      </c>
    </row>
    <row r="11844" spans="1:5">
      <c r="A11844" s="12"/>
      <c r="E11844" s="57" t="str">
        <f ca="1">IFERROR(__xludf.DUMMYFUNCTION("""COMPUTED_VALUE"""),"")</f>
        <v/>
      </c>
    </row>
    <row r="11845" spans="1:5">
      <c r="A11845" s="12"/>
      <c r="E11845" s="57" t="str">
        <f ca="1">IFERROR(__xludf.DUMMYFUNCTION("""COMPUTED_VALUE"""),"")</f>
        <v/>
      </c>
    </row>
    <row r="11846" spans="1:5">
      <c r="A11846" s="12"/>
      <c r="E11846" s="57" t="str">
        <f ca="1">IFERROR(__xludf.DUMMYFUNCTION("""COMPUTED_VALUE"""),"")</f>
        <v/>
      </c>
    </row>
    <row r="11847" spans="1:5">
      <c r="A11847" s="12"/>
      <c r="E11847" s="57" t="str">
        <f ca="1">IFERROR(__xludf.DUMMYFUNCTION("""COMPUTED_VALUE"""),"")</f>
        <v/>
      </c>
    </row>
    <row r="11848" spans="1:5">
      <c r="A11848" s="12"/>
      <c r="E11848" s="57" t="str">
        <f ca="1">IFERROR(__xludf.DUMMYFUNCTION("""COMPUTED_VALUE"""),"")</f>
        <v/>
      </c>
    </row>
    <row r="11849" spans="1:5">
      <c r="A11849" s="12"/>
      <c r="E11849" s="57" t="str">
        <f ca="1">IFERROR(__xludf.DUMMYFUNCTION("""COMPUTED_VALUE"""),"")</f>
        <v/>
      </c>
    </row>
    <row r="11850" spans="1:5">
      <c r="A11850" s="12"/>
      <c r="E11850" s="57" t="str">
        <f ca="1">IFERROR(__xludf.DUMMYFUNCTION("""COMPUTED_VALUE"""),"")</f>
        <v/>
      </c>
    </row>
    <row r="11851" spans="1:5">
      <c r="A11851" s="12"/>
      <c r="E11851" s="57" t="str">
        <f ca="1">IFERROR(__xludf.DUMMYFUNCTION("""COMPUTED_VALUE"""),"")</f>
        <v/>
      </c>
    </row>
    <row r="11852" spans="1:5">
      <c r="A11852" s="12"/>
      <c r="E11852" s="57" t="str">
        <f ca="1">IFERROR(__xludf.DUMMYFUNCTION("""COMPUTED_VALUE"""),"")</f>
        <v/>
      </c>
    </row>
    <row r="11853" spans="1:5">
      <c r="A11853" s="12"/>
      <c r="E11853" s="57" t="str">
        <f ca="1">IFERROR(__xludf.DUMMYFUNCTION("""COMPUTED_VALUE"""),"")</f>
        <v/>
      </c>
    </row>
    <row r="11854" spans="1:5">
      <c r="A11854" s="12"/>
      <c r="E11854" s="57" t="str">
        <f ca="1">IFERROR(__xludf.DUMMYFUNCTION("""COMPUTED_VALUE"""),"")</f>
        <v/>
      </c>
    </row>
    <row r="11855" spans="1:5">
      <c r="A11855" s="12"/>
      <c r="E11855" s="57" t="str">
        <f ca="1">IFERROR(__xludf.DUMMYFUNCTION("""COMPUTED_VALUE"""),"")</f>
        <v/>
      </c>
    </row>
    <row r="11856" spans="1:5">
      <c r="A11856" s="12"/>
      <c r="E11856" s="57" t="str">
        <f ca="1">IFERROR(__xludf.DUMMYFUNCTION("""COMPUTED_VALUE"""),"")</f>
        <v/>
      </c>
    </row>
    <row r="11857" spans="1:5">
      <c r="A11857" s="12"/>
      <c r="E11857" s="57" t="str">
        <f ca="1">IFERROR(__xludf.DUMMYFUNCTION("""COMPUTED_VALUE"""),"")</f>
        <v/>
      </c>
    </row>
    <row r="11858" spans="1:5">
      <c r="A11858" s="12"/>
      <c r="E11858" s="57" t="str">
        <f ca="1">IFERROR(__xludf.DUMMYFUNCTION("""COMPUTED_VALUE"""),"")</f>
        <v/>
      </c>
    </row>
    <row r="11859" spans="1:5">
      <c r="A11859" s="12"/>
      <c r="E11859" s="57" t="str">
        <f ca="1">IFERROR(__xludf.DUMMYFUNCTION("""COMPUTED_VALUE"""),"")</f>
        <v/>
      </c>
    </row>
    <row r="11860" spans="1:5">
      <c r="A11860" s="12"/>
      <c r="E11860" s="57" t="str">
        <f ca="1">IFERROR(__xludf.DUMMYFUNCTION("""COMPUTED_VALUE"""),"")</f>
        <v/>
      </c>
    </row>
    <row r="11861" spans="1:5">
      <c r="A11861" s="12"/>
      <c r="E11861" s="57" t="str">
        <f ca="1">IFERROR(__xludf.DUMMYFUNCTION("""COMPUTED_VALUE"""),"")</f>
        <v/>
      </c>
    </row>
    <row r="11862" spans="1:5">
      <c r="A11862" s="12"/>
      <c r="E11862" s="57" t="str">
        <f ca="1">IFERROR(__xludf.DUMMYFUNCTION("""COMPUTED_VALUE"""),"")</f>
        <v/>
      </c>
    </row>
    <row r="11863" spans="1:5">
      <c r="A11863" s="12"/>
      <c r="E11863" s="57" t="str">
        <f ca="1">IFERROR(__xludf.DUMMYFUNCTION("""COMPUTED_VALUE"""),"")</f>
        <v/>
      </c>
    </row>
    <row r="11864" spans="1:5">
      <c r="A11864" s="12"/>
      <c r="E11864" s="57" t="str">
        <f ca="1">IFERROR(__xludf.DUMMYFUNCTION("""COMPUTED_VALUE"""),"")</f>
        <v/>
      </c>
    </row>
    <row r="11865" spans="1:5">
      <c r="A11865" s="12"/>
      <c r="E11865" s="57" t="str">
        <f ca="1">IFERROR(__xludf.DUMMYFUNCTION("""COMPUTED_VALUE"""),"")</f>
        <v/>
      </c>
    </row>
    <row r="11866" spans="1:5">
      <c r="A11866" s="12"/>
      <c r="E11866" s="57" t="str">
        <f ca="1">IFERROR(__xludf.DUMMYFUNCTION("""COMPUTED_VALUE"""),"")</f>
        <v/>
      </c>
    </row>
    <row r="11867" spans="1:5">
      <c r="A11867" s="12"/>
      <c r="E11867" s="57" t="str">
        <f ca="1">IFERROR(__xludf.DUMMYFUNCTION("""COMPUTED_VALUE"""),"")</f>
        <v/>
      </c>
    </row>
    <row r="11868" spans="1:5">
      <c r="A11868" s="12"/>
      <c r="E11868" s="57" t="str">
        <f ca="1">IFERROR(__xludf.DUMMYFUNCTION("""COMPUTED_VALUE"""),"")</f>
        <v/>
      </c>
    </row>
    <row r="11869" spans="1:5">
      <c r="A11869" s="12"/>
      <c r="E11869" s="57" t="str">
        <f ca="1">IFERROR(__xludf.DUMMYFUNCTION("""COMPUTED_VALUE"""),"")</f>
        <v/>
      </c>
    </row>
    <row r="11870" spans="1:5">
      <c r="A11870" s="12"/>
      <c r="E11870" s="57" t="str">
        <f ca="1">IFERROR(__xludf.DUMMYFUNCTION("""COMPUTED_VALUE"""),"")</f>
        <v/>
      </c>
    </row>
    <row r="11871" spans="1:5">
      <c r="A11871" s="12"/>
      <c r="E11871" s="57" t="str">
        <f ca="1">IFERROR(__xludf.DUMMYFUNCTION("""COMPUTED_VALUE"""),"")</f>
        <v/>
      </c>
    </row>
    <row r="11872" spans="1:5">
      <c r="A11872" s="12"/>
      <c r="E11872" s="57" t="str">
        <f ca="1">IFERROR(__xludf.DUMMYFUNCTION("""COMPUTED_VALUE"""),"")</f>
        <v/>
      </c>
    </row>
    <row r="11873" spans="1:5">
      <c r="A11873" s="12"/>
      <c r="E11873" s="57" t="str">
        <f ca="1">IFERROR(__xludf.DUMMYFUNCTION("""COMPUTED_VALUE"""),"")</f>
        <v/>
      </c>
    </row>
    <row r="11874" spans="1:5">
      <c r="A11874" s="12"/>
      <c r="E11874" s="57" t="str">
        <f ca="1">IFERROR(__xludf.DUMMYFUNCTION("""COMPUTED_VALUE"""),"")</f>
        <v/>
      </c>
    </row>
    <row r="11875" spans="1:5">
      <c r="A11875" s="12"/>
      <c r="E11875" s="57" t="str">
        <f ca="1">IFERROR(__xludf.DUMMYFUNCTION("""COMPUTED_VALUE"""),"")</f>
        <v/>
      </c>
    </row>
    <row r="11876" spans="1:5">
      <c r="A11876" s="12"/>
      <c r="E11876" s="57" t="str">
        <f ca="1">IFERROR(__xludf.DUMMYFUNCTION("""COMPUTED_VALUE"""),"")</f>
        <v/>
      </c>
    </row>
    <row r="11877" spans="1:5">
      <c r="A11877" s="12"/>
      <c r="E11877" s="57" t="str">
        <f ca="1">IFERROR(__xludf.DUMMYFUNCTION("""COMPUTED_VALUE"""),"")</f>
        <v/>
      </c>
    </row>
    <row r="11878" spans="1:5">
      <c r="A11878" s="12"/>
      <c r="E11878" s="57" t="str">
        <f ca="1">IFERROR(__xludf.DUMMYFUNCTION("""COMPUTED_VALUE"""),"")</f>
        <v/>
      </c>
    </row>
    <row r="11879" spans="1:5">
      <c r="A11879" s="12"/>
      <c r="E11879" s="57" t="str">
        <f ca="1">IFERROR(__xludf.DUMMYFUNCTION("""COMPUTED_VALUE"""),"")</f>
        <v/>
      </c>
    </row>
    <row r="11880" spans="1:5">
      <c r="A11880" s="12"/>
      <c r="E11880" s="57" t="str">
        <f ca="1">IFERROR(__xludf.DUMMYFUNCTION("""COMPUTED_VALUE"""),"")</f>
        <v/>
      </c>
    </row>
    <row r="11881" spans="1:5">
      <c r="A11881" s="12"/>
      <c r="E11881" s="57" t="str">
        <f ca="1">IFERROR(__xludf.DUMMYFUNCTION("""COMPUTED_VALUE"""),"")</f>
        <v/>
      </c>
    </row>
    <row r="11882" spans="1:5">
      <c r="A11882" s="12"/>
      <c r="E11882" s="57" t="str">
        <f ca="1">IFERROR(__xludf.DUMMYFUNCTION("""COMPUTED_VALUE"""),"")</f>
        <v/>
      </c>
    </row>
    <row r="11883" spans="1:5">
      <c r="A11883" s="12"/>
      <c r="E11883" s="57" t="str">
        <f ca="1">IFERROR(__xludf.DUMMYFUNCTION("""COMPUTED_VALUE"""),"")</f>
        <v/>
      </c>
    </row>
    <row r="11884" spans="1:5">
      <c r="A11884" s="12"/>
      <c r="E11884" s="57" t="str">
        <f ca="1">IFERROR(__xludf.DUMMYFUNCTION("""COMPUTED_VALUE"""),"")</f>
        <v/>
      </c>
    </row>
    <row r="11885" spans="1:5">
      <c r="A11885" s="12"/>
      <c r="E11885" s="57" t="str">
        <f ca="1">IFERROR(__xludf.DUMMYFUNCTION("""COMPUTED_VALUE"""),"")</f>
        <v/>
      </c>
    </row>
    <row r="11886" spans="1:5">
      <c r="A11886" s="12"/>
      <c r="E11886" s="57" t="str">
        <f ca="1">IFERROR(__xludf.DUMMYFUNCTION("""COMPUTED_VALUE"""),"")</f>
        <v/>
      </c>
    </row>
    <row r="11887" spans="1:5">
      <c r="A11887" s="12"/>
      <c r="E11887" s="57" t="str">
        <f ca="1">IFERROR(__xludf.DUMMYFUNCTION("""COMPUTED_VALUE"""),"")</f>
        <v/>
      </c>
    </row>
    <row r="11888" spans="1:5">
      <c r="A11888" s="12"/>
      <c r="E11888" s="57" t="str">
        <f ca="1">IFERROR(__xludf.DUMMYFUNCTION("""COMPUTED_VALUE"""),"")</f>
        <v/>
      </c>
    </row>
    <row r="11889" spans="1:5">
      <c r="A11889" s="12"/>
      <c r="E11889" s="57" t="str">
        <f ca="1">IFERROR(__xludf.DUMMYFUNCTION("""COMPUTED_VALUE"""),"")</f>
        <v/>
      </c>
    </row>
    <row r="11890" spans="1:5">
      <c r="A11890" s="12"/>
      <c r="E11890" s="57" t="str">
        <f ca="1">IFERROR(__xludf.DUMMYFUNCTION("""COMPUTED_VALUE"""),"")</f>
        <v/>
      </c>
    </row>
    <row r="11891" spans="1:5">
      <c r="A11891" s="12"/>
      <c r="E11891" s="57" t="str">
        <f ca="1">IFERROR(__xludf.DUMMYFUNCTION("""COMPUTED_VALUE"""),"")</f>
        <v/>
      </c>
    </row>
    <row r="11892" spans="1:5">
      <c r="A11892" s="12"/>
      <c r="E11892" s="57" t="str">
        <f ca="1">IFERROR(__xludf.DUMMYFUNCTION("""COMPUTED_VALUE"""),"")</f>
        <v/>
      </c>
    </row>
    <row r="11893" spans="1:5">
      <c r="A11893" s="12"/>
      <c r="E11893" s="57" t="str">
        <f ca="1">IFERROR(__xludf.DUMMYFUNCTION("""COMPUTED_VALUE"""),"")</f>
        <v/>
      </c>
    </row>
    <row r="11894" spans="1:5">
      <c r="A11894" s="12"/>
      <c r="E11894" s="57" t="str">
        <f ca="1">IFERROR(__xludf.DUMMYFUNCTION("""COMPUTED_VALUE"""),"")</f>
        <v/>
      </c>
    </row>
    <row r="11895" spans="1:5">
      <c r="A11895" s="12"/>
      <c r="E11895" s="57" t="str">
        <f ca="1">IFERROR(__xludf.DUMMYFUNCTION("""COMPUTED_VALUE"""),"")</f>
        <v/>
      </c>
    </row>
    <row r="11896" spans="1:5">
      <c r="A11896" s="12"/>
      <c r="E11896" s="57" t="str">
        <f ca="1">IFERROR(__xludf.DUMMYFUNCTION("""COMPUTED_VALUE"""),"")</f>
        <v/>
      </c>
    </row>
    <row r="11897" spans="1:5">
      <c r="A11897" s="12"/>
      <c r="E11897" s="57" t="str">
        <f ca="1">IFERROR(__xludf.DUMMYFUNCTION("""COMPUTED_VALUE"""),"")</f>
        <v/>
      </c>
    </row>
    <row r="11898" spans="1:5">
      <c r="A11898" s="12"/>
      <c r="E11898" s="57" t="str">
        <f ca="1">IFERROR(__xludf.DUMMYFUNCTION("""COMPUTED_VALUE"""),"")</f>
        <v/>
      </c>
    </row>
    <row r="11899" spans="1:5">
      <c r="A11899" s="12"/>
      <c r="E11899" s="57" t="str">
        <f ca="1">IFERROR(__xludf.DUMMYFUNCTION("""COMPUTED_VALUE"""),"")</f>
        <v/>
      </c>
    </row>
    <row r="11900" spans="1:5">
      <c r="A11900" s="12"/>
      <c r="E11900" s="57" t="str">
        <f ca="1">IFERROR(__xludf.DUMMYFUNCTION("""COMPUTED_VALUE"""),"")</f>
        <v/>
      </c>
    </row>
    <row r="11901" spans="1:5">
      <c r="A11901" s="12"/>
      <c r="E11901" s="57" t="str">
        <f ca="1">IFERROR(__xludf.DUMMYFUNCTION("""COMPUTED_VALUE"""),"")</f>
        <v/>
      </c>
    </row>
    <row r="11902" spans="1:5">
      <c r="A11902" s="12"/>
      <c r="E11902" s="57" t="str">
        <f ca="1">IFERROR(__xludf.DUMMYFUNCTION("""COMPUTED_VALUE"""),"")</f>
        <v/>
      </c>
    </row>
    <row r="11903" spans="1:5">
      <c r="A11903" s="12"/>
      <c r="E11903" s="57" t="str">
        <f ca="1">IFERROR(__xludf.DUMMYFUNCTION("""COMPUTED_VALUE"""),"")</f>
        <v/>
      </c>
    </row>
    <row r="11904" spans="1:5">
      <c r="A11904" s="12"/>
      <c r="E11904" s="57" t="str">
        <f ca="1">IFERROR(__xludf.DUMMYFUNCTION("""COMPUTED_VALUE"""),"")</f>
        <v/>
      </c>
    </row>
    <row r="11905" spans="1:5">
      <c r="A11905" s="12"/>
      <c r="E11905" s="57" t="str">
        <f ca="1">IFERROR(__xludf.DUMMYFUNCTION("""COMPUTED_VALUE"""),"")</f>
        <v/>
      </c>
    </row>
    <row r="11906" spans="1:5">
      <c r="A11906" s="12"/>
      <c r="E11906" s="57" t="str">
        <f ca="1">IFERROR(__xludf.DUMMYFUNCTION("""COMPUTED_VALUE"""),"")</f>
        <v/>
      </c>
    </row>
    <row r="11907" spans="1:5">
      <c r="A11907" s="12"/>
      <c r="E11907" s="57" t="str">
        <f ca="1">IFERROR(__xludf.DUMMYFUNCTION("""COMPUTED_VALUE"""),"")</f>
        <v/>
      </c>
    </row>
    <row r="11908" spans="1:5">
      <c r="A11908" s="12"/>
      <c r="E11908" s="57" t="str">
        <f ca="1">IFERROR(__xludf.DUMMYFUNCTION("""COMPUTED_VALUE"""),"")</f>
        <v/>
      </c>
    </row>
    <row r="11909" spans="1:5">
      <c r="A11909" s="12"/>
      <c r="E11909" s="57" t="str">
        <f ca="1">IFERROR(__xludf.DUMMYFUNCTION("""COMPUTED_VALUE"""),"")</f>
        <v/>
      </c>
    </row>
    <row r="11910" spans="1:5">
      <c r="A11910" s="12"/>
      <c r="E11910" s="57" t="str">
        <f ca="1">IFERROR(__xludf.DUMMYFUNCTION("""COMPUTED_VALUE"""),"")</f>
        <v/>
      </c>
    </row>
    <row r="11911" spans="1:5">
      <c r="A11911" s="12"/>
      <c r="E11911" s="57" t="str">
        <f ca="1">IFERROR(__xludf.DUMMYFUNCTION("""COMPUTED_VALUE"""),"")</f>
        <v/>
      </c>
    </row>
    <row r="11912" spans="1:5">
      <c r="A11912" s="12"/>
      <c r="E11912" s="57" t="str">
        <f ca="1">IFERROR(__xludf.DUMMYFUNCTION("""COMPUTED_VALUE"""),"")</f>
        <v/>
      </c>
    </row>
    <row r="11913" spans="1:5">
      <c r="A11913" s="12"/>
      <c r="E11913" s="57" t="str">
        <f ca="1">IFERROR(__xludf.DUMMYFUNCTION("""COMPUTED_VALUE"""),"")</f>
        <v/>
      </c>
    </row>
    <row r="11914" spans="1:5">
      <c r="A11914" s="12"/>
      <c r="E11914" s="57" t="str">
        <f ca="1">IFERROR(__xludf.DUMMYFUNCTION("""COMPUTED_VALUE"""),"")</f>
        <v/>
      </c>
    </row>
    <row r="11915" spans="1:5">
      <c r="A11915" s="12"/>
      <c r="E11915" s="57" t="str">
        <f ca="1">IFERROR(__xludf.DUMMYFUNCTION("""COMPUTED_VALUE"""),"")</f>
        <v/>
      </c>
    </row>
    <row r="11916" spans="1:5">
      <c r="A11916" s="12"/>
      <c r="E11916" s="57" t="str">
        <f ca="1">IFERROR(__xludf.DUMMYFUNCTION("""COMPUTED_VALUE"""),"")</f>
        <v/>
      </c>
    </row>
    <row r="11917" spans="1:5">
      <c r="A11917" s="12"/>
      <c r="E11917" s="57" t="str">
        <f ca="1">IFERROR(__xludf.DUMMYFUNCTION("""COMPUTED_VALUE"""),"")</f>
        <v/>
      </c>
    </row>
    <row r="11918" spans="1:5">
      <c r="A11918" s="12"/>
      <c r="E11918" s="57" t="str">
        <f ca="1">IFERROR(__xludf.DUMMYFUNCTION("""COMPUTED_VALUE"""),"")</f>
        <v/>
      </c>
    </row>
    <row r="11919" spans="1:5">
      <c r="A11919" s="12"/>
      <c r="E11919" s="57" t="str">
        <f ca="1">IFERROR(__xludf.DUMMYFUNCTION("""COMPUTED_VALUE"""),"")</f>
        <v/>
      </c>
    </row>
    <row r="11920" spans="1:5">
      <c r="A11920" s="12"/>
      <c r="E11920" s="57" t="str">
        <f ca="1">IFERROR(__xludf.DUMMYFUNCTION("""COMPUTED_VALUE"""),"")</f>
        <v/>
      </c>
    </row>
    <row r="11921" spans="1:5">
      <c r="A11921" s="12"/>
      <c r="E11921" s="57" t="str">
        <f ca="1">IFERROR(__xludf.DUMMYFUNCTION("""COMPUTED_VALUE"""),"")</f>
        <v/>
      </c>
    </row>
    <row r="11922" spans="1:5">
      <c r="A11922" s="12"/>
      <c r="E11922" s="57" t="str">
        <f ca="1">IFERROR(__xludf.DUMMYFUNCTION("""COMPUTED_VALUE"""),"")</f>
        <v/>
      </c>
    </row>
    <row r="11923" spans="1:5">
      <c r="A11923" s="12"/>
      <c r="E11923" s="57" t="str">
        <f ca="1">IFERROR(__xludf.DUMMYFUNCTION("""COMPUTED_VALUE"""),"")</f>
        <v/>
      </c>
    </row>
    <row r="11924" spans="1:5">
      <c r="A11924" s="12"/>
      <c r="E11924" s="57" t="str">
        <f ca="1">IFERROR(__xludf.DUMMYFUNCTION("""COMPUTED_VALUE"""),"")</f>
        <v/>
      </c>
    </row>
    <row r="11925" spans="1:5">
      <c r="A11925" s="12"/>
      <c r="E11925" s="57" t="str">
        <f ca="1">IFERROR(__xludf.DUMMYFUNCTION("""COMPUTED_VALUE"""),"")</f>
        <v/>
      </c>
    </row>
    <row r="11926" spans="1:5">
      <c r="A11926" s="12"/>
      <c r="E11926" s="57" t="str">
        <f ca="1">IFERROR(__xludf.DUMMYFUNCTION("""COMPUTED_VALUE"""),"")</f>
        <v/>
      </c>
    </row>
    <row r="11927" spans="1:5">
      <c r="A11927" s="12"/>
      <c r="E11927" s="57" t="str">
        <f ca="1">IFERROR(__xludf.DUMMYFUNCTION("""COMPUTED_VALUE"""),"")</f>
        <v/>
      </c>
    </row>
    <row r="11928" spans="1:5">
      <c r="A11928" s="12"/>
      <c r="E11928" s="57" t="str">
        <f ca="1">IFERROR(__xludf.DUMMYFUNCTION("""COMPUTED_VALUE"""),"")</f>
        <v/>
      </c>
    </row>
    <row r="11929" spans="1:5">
      <c r="A11929" s="12"/>
      <c r="E11929" s="57" t="str">
        <f ca="1">IFERROR(__xludf.DUMMYFUNCTION("""COMPUTED_VALUE"""),"")</f>
        <v/>
      </c>
    </row>
    <row r="11930" spans="1:5">
      <c r="A11930" s="12"/>
      <c r="E11930" s="57" t="str">
        <f ca="1">IFERROR(__xludf.DUMMYFUNCTION("""COMPUTED_VALUE"""),"")</f>
        <v/>
      </c>
    </row>
    <row r="11931" spans="1:5">
      <c r="A11931" s="12"/>
      <c r="E11931" s="57" t="str">
        <f ca="1">IFERROR(__xludf.DUMMYFUNCTION("""COMPUTED_VALUE"""),"")</f>
        <v/>
      </c>
    </row>
    <row r="11932" spans="1:5">
      <c r="A11932" s="12"/>
      <c r="E11932" s="57" t="str">
        <f ca="1">IFERROR(__xludf.DUMMYFUNCTION("""COMPUTED_VALUE"""),"")</f>
        <v/>
      </c>
    </row>
    <row r="11933" spans="1:5">
      <c r="A11933" s="12"/>
      <c r="E11933" s="57" t="str">
        <f ca="1">IFERROR(__xludf.DUMMYFUNCTION("""COMPUTED_VALUE"""),"")</f>
        <v/>
      </c>
    </row>
    <row r="11934" spans="1:5">
      <c r="A11934" s="12"/>
      <c r="E11934" s="57" t="str">
        <f ca="1">IFERROR(__xludf.DUMMYFUNCTION("""COMPUTED_VALUE"""),"")</f>
        <v/>
      </c>
    </row>
    <row r="11935" spans="1:5">
      <c r="A11935" s="12"/>
      <c r="E11935" s="57" t="str">
        <f ca="1">IFERROR(__xludf.DUMMYFUNCTION("""COMPUTED_VALUE"""),"")</f>
        <v/>
      </c>
    </row>
    <row r="11936" spans="1:5">
      <c r="A11936" s="12"/>
      <c r="E11936" s="57" t="str">
        <f ca="1">IFERROR(__xludf.DUMMYFUNCTION("""COMPUTED_VALUE"""),"")</f>
        <v/>
      </c>
    </row>
    <row r="11937" spans="1:5">
      <c r="A11937" s="12"/>
      <c r="E11937" s="57" t="str">
        <f ca="1">IFERROR(__xludf.DUMMYFUNCTION("""COMPUTED_VALUE"""),"")</f>
        <v/>
      </c>
    </row>
    <row r="11938" spans="1:5">
      <c r="A11938" s="12"/>
      <c r="E11938" s="57" t="str">
        <f ca="1">IFERROR(__xludf.DUMMYFUNCTION("""COMPUTED_VALUE"""),"")</f>
        <v/>
      </c>
    </row>
    <row r="11939" spans="1:5">
      <c r="A11939" s="12"/>
      <c r="E11939" s="57" t="str">
        <f ca="1">IFERROR(__xludf.DUMMYFUNCTION("""COMPUTED_VALUE"""),"")</f>
        <v/>
      </c>
    </row>
    <row r="11940" spans="1:5">
      <c r="A11940" s="12"/>
      <c r="E11940" s="57" t="str">
        <f ca="1">IFERROR(__xludf.DUMMYFUNCTION("""COMPUTED_VALUE"""),"")</f>
        <v/>
      </c>
    </row>
    <row r="11941" spans="1:5">
      <c r="A11941" s="12"/>
      <c r="E11941" s="57" t="str">
        <f ca="1">IFERROR(__xludf.DUMMYFUNCTION("""COMPUTED_VALUE"""),"")</f>
        <v/>
      </c>
    </row>
    <row r="11942" spans="1:5">
      <c r="A11942" s="12"/>
      <c r="E11942" s="57" t="str">
        <f ca="1">IFERROR(__xludf.DUMMYFUNCTION("""COMPUTED_VALUE"""),"")</f>
        <v/>
      </c>
    </row>
    <row r="11943" spans="1:5">
      <c r="A11943" s="12"/>
      <c r="E11943" s="57" t="str">
        <f ca="1">IFERROR(__xludf.DUMMYFUNCTION("""COMPUTED_VALUE"""),"")</f>
        <v/>
      </c>
    </row>
    <row r="11944" spans="1:5">
      <c r="A11944" s="12"/>
      <c r="E11944" s="57" t="str">
        <f ca="1">IFERROR(__xludf.DUMMYFUNCTION("""COMPUTED_VALUE"""),"")</f>
        <v/>
      </c>
    </row>
    <row r="11945" spans="1:5">
      <c r="A11945" s="12"/>
      <c r="E11945" s="57" t="str">
        <f ca="1">IFERROR(__xludf.DUMMYFUNCTION("""COMPUTED_VALUE"""),"")</f>
        <v/>
      </c>
    </row>
    <row r="11946" spans="1:5">
      <c r="A11946" s="12"/>
      <c r="E11946" s="57" t="str">
        <f ca="1">IFERROR(__xludf.DUMMYFUNCTION("""COMPUTED_VALUE"""),"")</f>
        <v/>
      </c>
    </row>
    <row r="11947" spans="1:5">
      <c r="A11947" s="12"/>
      <c r="E11947" s="57" t="str">
        <f ca="1">IFERROR(__xludf.DUMMYFUNCTION("""COMPUTED_VALUE"""),"")</f>
        <v/>
      </c>
    </row>
    <row r="11948" spans="1:5">
      <c r="A11948" s="12"/>
      <c r="E11948" s="57" t="str">
        <f ca="1">IFERROR(__xludf.DUMMYFUNCTION("""COMPUTED_VALUE"""),"")</f>
        <v/>
      </c>
    </row>
    <row r="11949" spans="1:5">
      <c r="A11949" s="12"/>
      <c r="E11949" s="57" t="str">
        <f ca="1">IFERROR(__xludf.DUMMYFUNCTION("""COMPUTED_VALUE"""),"")</f>
        <v/>
      </c>
    </row>
    <row r="11950" spans="1:5">
      <c r="A11950" s="12"/>
      <c r="E11950" s="57" t="str">
        <f ca="1">IFERROR(__xludf.DUMMYFUNCTION("""COMPUTED_VALUE"""),"")</f>
        <v/>
      </c>
    </row>
    <row r="11951" spans="1:5">
      <c r="A11951" s="12"/>
      <c r="E11951" s="57" t="str">
        <f ca="1">IFERROR(__xludf.DUMMYFUNCTION("""COMPUTED_VALUE"""),"")</f>
        <v/>
      </c>
    </row>
    <row r="11952" spans="1:5">
      <c r="A11952" s="12"/>
      <c r="E11952" s="57" t="str">
        <f ca="1">IFERROR(__xludf.DUMMYFUNCTION("""COMPUTED_VALUE"""),"")</f>
        <v/>
      </c>
    </row>
    <row r="11953" spans="1:5">
      <c r="A11953" s="12"/>
      <c r="E11953" s="57" t="str">
        <f ca="1">IFERROR(__xludf.DUMMYFUNCTION("""COMPUTED_VALUE"""),"")</f>
        <v/>
      </c>
    </row>
    <row r="11954" spans="1:5">
      <c r="A11954" s="12"/>
      <c r="E11954" s="57" t="str">
        <f ca="1">IFERROR(__xludf.DUMMYFUNCTION("""COMPUTED_VALUE"""),"")</f>
        <v/>
      </c>
    </row>
    <row r="11955" spans="1:5">
      <c r="A11955" s="12"/>
      <c r="E11955" s="57" t="str">
        <f ca="1">IFERROR(__xludf.DUMMYFUNCTION("""COMPUTED_VALUE"""),"")</f>
        <v/>
      </c>
    </row>
    <row r="11956" spans="1:5">
      <c r="A11956" s="12"/>
      <c r="E11956" s="57" t="str">
        <f ca="1">IFERROR(__xludf.DUMMYFUNCTION("""COMPUTED_VALUE"""),"")</f>
        <v/>
      </c>
    </row>
    <row r="11957" spans="1:5">
      <c r="A11957" s="12"/>
      <c r="E11957" s="57" t="str">
        <f ca="1">IFERROR(__xludf.DUMMYFUNCTION("""COMPUTED_VALUE"""),"")</f>
        <v/>
      </c>
    </row>
    <row r="11958" spans="1:5">
      <c r="A11958" s="12"/>
      <c r="E11958" s="57" t="str">
        <f ca="1">IFERROR(__xludf.DUMMYFUNCTION("""COMPUTED_VALUE"""),"")</f>
        <v/>
      </c>
    </row>
    <row r="11959" spans="1:5">
      <c r="A11959" s="12"/>
      <c r="E11959" s="57" t="str">
        <f ca="1">IFERROR(__xludf.DUMMYFUNCTION("""COMPUTED_VALUE"""),"")</f>
        <v/>
      </c>
    </row>
    <row r="11960" spans="1:5">
      <c r="A11960" s="12"/>
      <c r="E11960" s="57" t="str">
        <f ca="1">IFERROR(__xludf.DUMMYFUNCTION("""COMPUTED_VALUE"""),"")</f>
        <v/>
      </c>
    </row>
    <row r="11961" spans="1:5">
      <c r="A11961" s="12"/>
      <c r="E11961" s="57" t="str">
        <f ca="1">IFERROR(__xludf.DUMMYFUNCTION("""COMPUTED_VALUE"""),"")</f>
        <v/>
      </c>
    </row>
    <row r="11962" spans="1:5">
      <c r="A11962" s="12"/>
      <c r="E11962" s="57" t="str">
        <f ca="1">IFERROR(__xludf.DUMMYFUNCTION("""COMPUTED_VALUE"""),"")</f>
        <v/>
      </c>
    </row>
    <row r="11963" spans="1:5">
      <c r="A11963" s="12"/>
      <c r="E11963" s="57" t="str">
        <f ca="1">IFERROR(__xludf.DUMMYFUNCTION("""COMPUTED_VALUE"""),"")</f>
        <v/>
      </c>
    </row>
    <row r="11964" spans="1:5">
      <c r="A11964" s="12"/>
      <c r="E11964" s="57" t="str">
        <f ca="1">IFERROR(__xludf.DUMMYFUNCTION("""COMPUTED_VALUE"""),"")</f>
        <v/>
      </c>
    </row>
    <row r="11965" spans="1:5">
      <c r="A11965" s="12"/>
      <c r="E11965" s="57" t="str">
        <f ca="1">IFERROR(__xludf.DUMMYFUNCTION("""COMPUTED_VALUE"""),"")</f>
        <v/>
      </c>
    </row>
    <row r="11966" spans="1:5">
      <c r="A11966" s="12"/>
      <c r="E11966" s="57" t="str">
        <f ca="1">IFERROR(__xludf.DUMMYFUNCTION("""COMPUTED_VALUE"""),"")</f>
        <v/>
      </c>
    </row>
    <row r="11967" spans="1:5">
      <c r="A11967" s="12"/>
      <c r="E11967" s="57" t="str">
        <f ca="1">IFERROR(__xludf.DUMMYFUNCTION("""COMPUTED_VALUE"""),"")</f>
        <v/>
      </c>
    </row>
    <row r="11968" spans="1:5">
      <c r="A11968" s="12"/>
      <c r="E11968" s="57" t="str">
        <f ca="1">IFERROR(__xludf.DUMMYFUNCTION("""COMPUTED_VALUE"""),"")</f>
        <v/>
      </c>
    </row>
    <row r="11969" spans="1:5">
      <c r="A11969" s="12"/>
      <c r="E11969" s="57" t="str">
        <f ca="1">IFERROR(__xludf.DUMMYFUNCTION("""COMPUTED_VALUE"""),"")</f>
        <v/>
      </c>
    </row>
    <row r="11970" spans="1:5">
      <c r="A11970" s="12"/>
      <c r="E11970" s="57" t="str">
        <f ca="1">IFERROR(__xludf.DUMMYFUNCTION("""COMPUTED_VALUE"""),"")</f>
        <v/>
      </c>
    </row>
    <row r="11971" spans="1:5">
      <c r="A11971" s="12"/>
      <c r="E11971" s="57" t="str">
        <f ca="1">IFERROR(__xludf.DUMMYFUNCTION("""COMPUTED_VALUE"""),"")</f>
        <v/>
      </c>
    </row>
    <row r="11972" spans="1:5">
      <c r="A11972" s="12"/>
      <c r="E11972" s="57" t="str">
        <f ca="1">IFERROR(__xludf.DUMMYFUNCTION("""COMPUTED_VALUE"""),"")</f>
        <v/>
      </c>
    </row>
    <row r="11973" spans="1:5">
      <c r="A11973" s="12"/>
      <c r="E11973" s="57" t="str">
        <f ca="1">IFERROR(__xludf.DUMMYFUNCTION("""COMPUTED_VALUE"""),"")</f>
        <v/>
      </c>
    </row>
    <row r="11974" spans="1:5">
      <c r="A11974" s="12"/>
      <c r="E11974" s="57" t="str">
        <f ca="1">IFERROR(__xludf.DUMMYFUNCTION("""COMPUTED_VALUE"""),"")</f>
        <v/>
      </c>
    </row>
    <row r="11975" spans="1:5">
      <c r="A11975" s="12"/>
      <c r="E11975" s="57" t="str">
        <f ca="1">IFERROR(__xludf.DUMMYFUNCTION("""COMPUTED_VALUE"""),"")</f>
        <v/>
      </c>
    </row>
    <row r="11976" spans="1:5">
      <c r="A11976" s="12"/>
      <c r="E11976" s="57" t="str">
        <f ca="1">IFERROR(__xludf.DUMMYFUNCTION("""COMPUTED_VALUE"""),"")</f>
        <v/>
      </c>
    </row>
    <row r="11977" spans="1:5">
      <c r="A11977" s="12"/>
      <c r="E11977" s="57" t="str">
        <f ca="1">IFERROR(__xludf.DUMMYFUNCTION("""COMPUTED_VALUE"""),"")</f>
        <v/>
      </c>
    </row>
    <row r="11978" spans="1:5">
      <c r="A11978" s="12"/>
      <c r="E11978" s="57" t="str">
        <f ca="1">IFERROR(__xludf.DUMMYFUNCTION("""COMPUTED_VALUE"""),"")</f>
        <v/>
      </c>
    </row>
    <row r="11979" spans="1:5">
      <c r="A11979" s="12"/>
      <c r="E11979" s="57" t="str">
        <f ca="1">IFERROR(__xludf.DUMMYFUNCTION("""COMPUTED_VALUE"""),"")</f>
        <v/>
      </c>
    </row>
    <row r="11980" spans="1:5">
      <c r="A11980" s="12"/>
      <c r="E11980" s="57" t="str">
        <f ca="1">IFERROR(__xludf.DUMMYFUNCTION("""COMPUTED_VALUE"""),"")</f>
        <v/>
      </c>
    </row>
    <row r="11981" spans="1:5">
      <c r="A11981" s="12"/>
      <c r="E11981" s="57" t="str">
        <f ca="1">IFERROR(__xludf.DUMMYFUNCTION("""COMPUTED_VALUE"""),"")</f>
        <v/>
      </c>
    </row>
    <row r="11982" spans="1:5">
      <c r="A11982" s="12"/>
      <c r="E11982" s="57" t="str">
        <f ca="1">IFERROR(__xludf.DUMMYFUNCTION("""COMPUTED_VALUE"""),"")</f>
        <v/>
      </c>
    </row>
    <row r="11983" spans="1:5">
      <c r="A11983" s="12"/>
      <c r="E11983" s="57" t="str">
        <f ca="1">IFERROR(__xludf.DUMMYFUNCTION("""COMPUTED_VALUE"""),"")</f>
        <v/>
      </c>
    </row>
    <row r="11984" spans="1:5">
      <c r="A11984" s="12"/>
      <c r="E11984" s="57" t="str">
        <f ca="1">IFERROR(__xludf.DUMMYFUNCTION("""COMPUTED_VALUE"""),"")</f>
        <v/>
      </c>
    </row>
    <row r="11985" spans="1:5">
      <c r="A11985" s="12"/>
      <c r="E11985" s="57" t="str">
        <f ca="1">IFERROR(__xludf.DUMMYFUNCTION("""COMPUTED_VALUE"""),"")</f>
        <v/>
      </c>
    </row>
    <row r="11986" spans="1:5">
      <c r="A11986" s="12"/>
      <c r="E11986" s="57" t="str">
        <f ca="1">IFERROR(__xludf.DUMMYFUNCTION("""COMPUTED_VALUE"""),"")</f>
        <v/>
      </c>
    </row>
    <row r="11987" spans="1:5">
      <c r="A11987" s="12"/>
      <c r="E11987" s="57" t="str">
        <f ca="1">IFERROR(__xludf.DUMMYFUNCTION("""COMPUTED_VALUE"""),"")</f>
        <v/>
      </c>
    </row>
    <row r="11988" spans="1:5">
      <c r="A11988" s="12"/>
      <c r="E11988" s="57" t="str">
        <f ca="1">IFERROR(__xludf.DUMMYFUNCTION("""COMPUTED_VALUE"""),"")</f>
        <v/>
      </c>
    </row>
    <row r="11989" spans="1:5">
      <c r="A11989" s="12"/>
      <c r="E11989" s="57" t="str">
        <f ca="1">IFERROR(__xludf.DUMMYFUNCTION("""COMPUTED_VALUE"""),"")</f>
        <v/>
      </c>
    </row>
    <row r="11990" spans="1:5">
      <c r="A11990" s="12"/>
      <c r="E11990" s="57" t="str">
        <f ca="1">IFERROR(__xludf.DUMMYFUNCTION("""COMPUTED_VALUE"""),"")</f>
        <v/>
      </c>
    </row>
    <row r="11991" spans="1:5">
      <c r="A11991" s="12"/>
      <c r="E11991" s="57" t="str">
        <f ca="1">IFERROR(__xludf.DUMMYFUNCTION("""COMPUTED_VALUE"""),"")</f>
        <v/>
      </c>
    </row>
    <row r="11992" spans="1:5">
      <c r="A11992" s="12"/>
      <c r="E11992" s="57" t="str">
        <f ca="1">IFERROR(__xludf.DUMMYFUNCTION("""COMPUTED_VALUE"""),"")</f>
        <v/>
      </c>
    </row>
    <row r="11993" spans="1:5">
      <c r="A11993" s="12"/>
      <c r="E11993" s="57" t="str">
        <f ca="1">IFERROR(__xludf.DUMMYFUNCTION("""COMPUTED_VALUE"""),"")</f>
        <v/>
      </c>
    </row>
    <row r="11994" spans="1:5">
      <c r="A11994" s="12"/>
      <c r="E11994" s="57" t="str">
        <f ca="1">IFERROR(__xludf.DUMMYFUNCTION("""COMPUTED_VALUE"""),"")</f>
        <v/>
      </c>
    </row>
    <row r="11995" spans="1:5">
      <c r="A11995" s="12"/>
      <c r="E11995" s="57" t="str">
        <f ca="1">IFERROR(__xludf.DUMMYFUNCTION("""COMPUTED_VALUE"""),"")</f>
        <v/>
      </c>
    </row>
    <row r="11996" spans="1:5">
      <c r="A11996" s="12"/>
      <c r="E11996" s="57" t="str">
        <f ca="1">IFERROR(__xludf.DUMMYFUNCTION("""COMPUTED_VALUE"""),"")</f>
        <v/>
      </c>
    </row>
    <row r="11997" spans="1:5">
      <c r="A11997" s="12"/>
      <c r="E11997" s="57" t="str">
        <f ca="1">IFERROR(__xludf.DUMMYFUNCTION("""COMPUTED_VALUE"""),"")</f>
        <v/>
      </c>
    </row>
    <row r="11998" spans="1:5">
      <c r="A11998" s="12"/>
      <c r="E11998" s="57" t="str">
        <f ca="1">IFERROR(__xludf.DUMMYFUNCTION("""COMPUTED_VALUE"""),"")</f>
        <v/>
      </c>
    </row>
    <row r="11999" spans="1:5">
      <c r="A11999" s="12"/>
      <c r="E11999" s="57" t="str">
        <f ca="1">IFERROR(__xludf.DUMMYFUNCTION("""COMPUTED_VALUE"""),"")</f>
        <v/>
      </c>
    </row>
    <row r="12000" spans="1:5">
      <c r="A12000" s="12"/>
      <c r="E12000" s="57" t="str">
        <f ca="1">IFERROR(__xludf.DUMMYFUNCTION("""COMPUTED_VALUE"""),"")</f>
        <v/>
      </c>
    </row>
    <row r="12001" spans="1:5">
      <c r="A12001" s="12"/>
      <c r="E12001" s="57" t="str">
        <f ca="1">IFERROR(__xludf.DUMMYFUNCTION("""COMPUTED_VALUE"""),"")</f>
        <v/>
      </c>
    </row>
    <row r="12002" spans="1:5">
      <c r="A12002" s="12"/>
      <c r="E12002" s="57" t="str">
        <f ca="1">IFERROR(__xludf.DUMMYFUNCTION("""COMPUTED_VALUE"""),"")</f>
        <v/>
      </c>
    </row>
    <row r="12003" spans="1:5">
      <c r="A12003" s="12"/>
      <c r="E12003" s="57" t="str">
        <f ca="1">IFERROR(__xludf.DUMMYFUNCTION("""COMPUTED_VALUE"""),"")</f>
        <v/>
      </c>
    </row>
    <row r="12004" spans="1:5">
      <c r="A12004" s="12"/>
      <c r="E12004" s="57" t="str">
        <f ca="1">IFERROR(__xludf.DUMMYFUNCTION("""COMPUTED_VALUE"""),"")</f>
        <v/>
      </c>
    </row>
    <row r="12005" spans="1:5">
      <c r="A12005" s="12"/>
      <c r="E12005" s="57" t="str">
        <f ca="1">IFERROR(__xludf.DUMMYFUNCTION("""COMPUTED_VALUE"""),"")</f>
        <v/>
      </c>
    </row>
    <row r="12006" spans="1:5">
      <c r="A12006" s="12"/>
      <c r="E12006" s="57" t="str">
        <f ca="1">IFERROR(__xludf.DUMMYFUNCTION("""COMPUTED_VALUE"""),"")</f>
        <v/>
      </c>
    </row>
    <row r="12007" spans="1:5">
      <c r="A12007" s="12"/>
      <c r="E12007" s="57" t="str">
        <f ca="1">IFERROR(__xludf.DUMMYFUNCTION("""COMPUTED_VALUE"""),"")</f>
        <v/>
      </c>
    </row>
    <row r="12008" spans="1:5">
      <c r="A12008" s="12"/>
      <c r="E12008" s="57" t="str">
        <f ca="1">IFERROR(__xludf.DUMMYFUNCTION("""COMPUTED_VALUE"""),"")</f>
        <v/>
      </c>
    </row>
    <row r="12009" spans="1:5">
      <c r="A12009" s="12"/>
      <c r="E12009" s="57" t="str">
        <f ca="1">IFERROR(__xludf.DUMMYFUNCTION("""COMPUTED_VALUE"""),"")</f>
        <v/>
      </c>
    </row>
    <row r="12010" spans="1:5">
      <c r="A12010" s="12"/>
      <c r="E12010" s="57" t="str">
        <f ca="1">IFERROR(__xludf.DUMMYFUNCTION("""COMPUTED_VALUE"""),"")</f>
        <v/>
      </c>
    </row>
    <row r="12011" spans="1:5">
      <c r="A12011" s="12"/>
      <c r="E12011" s="57" t="str">
        <f ca="1">IFERROR(__xludf.DUMMYFUNCTION("""COMPUTED_VALUE"""),"")</f>
        <v/>
      </c>
    </row>
    <row r="12012" spans="1:5">
      <c r="A12012" s="12"/>
      <c r="E12012" s="57" t="str">
        <f ca="1">IFERROR(__xludf.DUMMYFUNCTION("""COMPUTED_VALUE"""),"")</f>
        <v/>
      </c>
    </row>
    <row r="12013" spans="1:5">
      <c r="A12013" s="12"/>
      <c r="E12013" s="57" t="str">
        <f ca="1">IFERROR(__xludf.DUMMYFUNCTION("""COMPUTED_VALUE"""),"")</f>
        <v/>
      </c>
    </row>
    <row r="12014" spans="1:5">
      <c r="A12014" s="12"/>
      <c r="E12014" s="57" t="str">
        <f ca="1">IFERROR(__xludf.DUMMYFUNCTION("""COMPUTED_VALUE"""),"")</f>
        <v/>
      </c>
    </row>
    <row r="12015" spans="1:5">
      <c r="A12015" s="12"/>
      <c r="E12015" s="57" t="str">
        <f ca="1">IFERROR(__xludf.DUMMYFUNCTION("""COMPUTED_VALUE"""),"")</f>
        <v/>
      </c>
    </row>
    <row r="12016" spans="1:5">
      <c r="A12016" s="12"/>
      <c r="E12016" s="57" t="str">
        <f ca="1">IFERROR(__xludf.DUMMYFUNCTION("""COMPUTED_VALUE"""),"")</f>
        <v/>
      </c>
    </row>
    <row r="12017" spans="1:5">
      <c r="A12017" s="12"/>
      <c r="E12017" s="57" t="str">
        <f ca="1">IFERROR(__xludf.DUMMYFUNCTION("""COMPUTED_VALUE"""),"")</f>
        <v/>
      </c>
    </row>
    <row r="12018" spans="1:5">
      <c r="A12018" s="12"/>
      <c r="E12018" s="57" t="str">
        <f ca="1">IFERROR(__xludf.DUMMYFUNCTION("""COMPUTED_VALUE"""),"")</f>
        <v/>
      </c>
    </row>
    <row r="12019" spans="1:5">
      <c r="A12019" s="12"/>
      <c r="E12019" s="57" t="str">
        <f ca="1">IFERROR(__xludf.DUMMYFUNCTION("""COMPUTED_VALUE"""),"")</f>
        <v/>
      </c>
    </row>
    <row r="12020" spans="1:5">
      <c r="A12020" s="12"/>
      <c r="E12020" s="57" t="str">
        <f ca="1">IFERROR(__xludf.DUMMYFUNCTION("""COMPUTED_VALUE"""),"")</f>
        <v/>
      </c>
    </row>
    <row r="12021" spans="1:5">
      <c r="A12021" s="12"/>
      <c r="E12021" s="57" t="str">
        <f ca="1">IFERROR(__xludf.DUMMYFUNCTION("""COMPUTED_VALUE"""),"")</f>
        <v/>
      </c>
    </row>
    <row r="12022" spans="1:5">
      <c r="A12022" s="12"/>
      <c r="E12022" s="57" t="str">
        <f ca="1">IFERROR(__xludf.DUMMYFUNCTION("""COMPUTED_VALUE"""),"")</f>
        <v/>
      </c>
    </row>
    <row r="12023" spans="1:5">
      <c r="A12023" s="12"/>
      <c r="E12023" s="57" t="str">
        <f ca="1">IFERROR(__xludf.DUMMYFUNCTION("""COMPUTED_VALUE"""),"")</f>
        <v/>
      </c>
    </row>
    <row r="12024" spans="1:5">
      <c r="A12024" s="12"/>
      <c r="E12024" s="57" t="str">
        <f ca="1">IFERROR(__xludf.DUMMYFUNCTION("""COMPUTED_VALUE"""),"")</f>
        <v/>
      </c>
    </row>
    <row r="12025" spans="1:5">
      <c r="A12025" s="12"/>
      <c r="E12025" s="57" t="str">
        <f ca="1">IFERROR(__xludf.DUMMYFUNCTION("""COMPUTED_VALUE"""),"")</f>
        <v/>
      </c>
    </row>
    <row r="12026" spans="1:5">
      <c r="A12026" s="12"/>
      <c r="E12026" s="57" t="str">
        <f ca="1">IFERROR(__xludf.DUMMYFUNCTION("""COMPUTED_VALUE"""),"")</f>
        <v/>
      </c>
    </row>
    <row r="12027" spans="1:5">
      <c r="A12027" s="12"/>
      <c r="E12027" s="57" t="str">
        <f ca="1">IFERROR(__xludf.DUMMYFUNCTION("""COMPUTED_VALUE"""),"")</f>
        <v/>
      </c>
    </row>
    <row r="12028" spans="1:5">
      <c r="A12028" s="12"/>
      <c r="E12028" s="57" t="str">
        <f ca="1">IFERROR(__xludf.DUMMYFUNCTION("""COMPUTED_VALUE"""),"")</f>
        <v/>
      </c>
    </row>
    <row r="12029" spans="1:5">
      <c r="A12029" s="12"/>
      <c r="E12029" s="57" t="str">
        <f ca="1">IFERROR(__xludf.DUMMYFUNCTION("""COMPUTED_VALUE"""),"")</f>
        <v/>
      </c>
    </row>
    <row r="12030" spans="1:5">
      <c r="A12030" s="12"/>
      <c r="E12030" s="57" t="str">
        <f ca="1">IFERROR(__xludf.DUMMYFUNCTION("""COMPUTED_VALUE"""),"")</f>
        <v/>
      </c>
    </row>
    <row r="12031" spans="1:5">
      <c r="A12031" s="12"/>
      <c r="E12031" s="57" t="str">
        <f ca="1">IFERROR(__xludf.DUMMYFUNCTION("""COMPUTED_VALUE"""),"")</f>
        <v/>
      </c>
    </row>
    <row r="12032" spans="1:5">
      <c r="A12032" s="12"/>
      <c r="E12032" s="57" t="str">
        <f ca="1">IFERROR(__xludf.DUMMYFUNCTION("""COMPUTED_VALUE"""),"")</f>
        <v/>
      </c>
    </row>
    <row r="12033" spans="1:5">
      <c r="A12033" s="12"/>
      <c r="E12033" s="57" t="str">
        <f ca="1">IFERROR(__xludf.DUMMYFUNCTION("""COMPUTED_VALUE"""),"")</f>
        <v/>
      </c>
    </row>
    <row r="12034" spans="1:5">
      <c r="A12034" s="12"/>
      <c r="E12034" s="57" t="str">
        <f ca="1">IFERROR(__xludf.DUMMYFUNCTION("""COMPUTED_VALUE"""),"")</f>
        <v/>
      </c>
    </row>
    <row r="12035" spans="1:5">
      <c r="A12035" s="12"/>
      <c r="E12035" s="57" t="str">
        <f ca="1">IFERROR(__xludf.DUMMYFUNCTION("""COMPUTED_VALUE"""),"")</f>
        <v/>
      </c>
    </row>
    <row r="12036" spans="1:5">
      <c r="A12036" s="12"/>
      <c r="E12036" s="57" t="str">
        <f ca="1">IFERROR(__xludf.DUMMYFUNCTION("""COMPUTED_VALUE"""),"")</f>
        <v/>
      </c>
    </row>
    <row r="12037" spans="1:5">
      <c r="A12037" s="12"/>
      <c r="E12037" s="57" t="str">
        <f ca="1">IFERROR(__xludf.DUMMYFUNCTION("""COMPUTED_VALUE"""),"")</f>
        <v/>
      </c>
    </row>
    <row r="12038" spans="1:5">
      <c r="A12038" s="12"/>
      <c r="E12038" s="57" t="str">
        <f ca="1">IFERROR(__xludf.DUMMYFUNCTION("""COMPUTED_VALUE"""),"")</f>
        <v/>
      </c>
    </row>
    <row r="12039" spans="1:5">
      <c r="A12039" s="12"/>
      <c r="E12039" s="57" t="str">
        <f ca="1">IFERROR(__xludf.DUMMYFUNCTION("""COMPUTED_VALUE"""),"")</f>
        <v/>
      </c>
    </row>
    <row r="12040" spans="1:5">
      <c r="A12040" s="12"/>
      <c r="E12040" s="57" t="str">
        <f ca="1">IFERROR(__xludf.DUMMYFUNCTION("""COMPUTED_VALUE"""),"")</f>
        <v/>
      </c>
    </row>
    <row r="12041" spans="1:5">
      <c r="A12041" s="12"/>
      <c r="E12041" s="57" t="str">
        <f ca="1">IFERROR(__xludf.DUMMYFUNCTION("""COMPUTED_VALUE"""),"")</f>
        <v/>
      </c>
    </row>
    <row r="12042" spans="1:5">
      <c r="A12042" s="12"/>
      <c r="E12042" s="57" t="str">
        <f ca="1">IFERROR(__xludf.DUMMYFUNCTION("""COMPUTED_VALUE"""),"")</f>
        <v/>
      </c>
    </row>
    <row r="12043" spans="1:5">
      <c r="A12043" s="12"/>
      <c r="E12043" s="57" t="str">
        <f ca="1">IFERROR(__xludf.DUMMYFUNCTION("""COMPUTED_VALUE"""),"")</f>
        <v/>
      </c>
    </row>
    <row r="12044" spans="1:5">
      <c r="A12044" s="12"/>
      <c r="E12044" s="57" t="str">
        <f ca="1">IFERROR(__xludf.DUMMYFUNCTION("""COMPUTED_VALUE"""),"")</f>
        <v/>
      </c>
    </row>
    <row r="12045" spans="1:5">
      <c r="A12045" s="12"/>
      <c r="E12045" s="57" t="str">
        <f ca="1">IFERROR(__xludf.DUMMYFUNCTION("""COMPUTED_VALUE"""),"")</f>
        <v/>
      </c>
    </row>
    <row r="12046" spans="1:5">
      <c r="A12046" s="12"/>
      <c r="E12046" s="57" t="str">
        <f ca="1">IFERROR(__xludf.DUMMYFUNCTION("""COMPUTED_VALUE"""),"")</f>
        <v/>
      </c>
    </row>
    <row r="12047" spans="1:5">
      <c r="A12047" s="12"/>
      <c r="E12047" s="57" t="str">
        <f ca="1">IFERROR(__xludf.DUMMYFUNCTION("""COMPUTED_VALUE"""),"")</f>
        <v/>
      </c>
    </row>
    <row r="12048" spans="1:5">
      <c r="A12048" s="12"/>
      <c r="E12048" s="57" t="str">
        <f ca="1">IFERROR(__xludf.DUMMYFUNCTION("""COMPUTED_VALUE"""),"")</f>
        <v/>
      </c>
    </row>
    <row r="12049" spans="1:5">
      <c r="A12049" s="12"/>
      <c r="E12049" s="57" t="str">
        <f ca="1">IFERROR(__xludf.DUMMYFUNCTION("""COMPUTED_VALUE"""),"")</f>
        <v/>
      </c>
    </row>
    <row r="12050" spans="1:5">
      <c r="A12050" s="12"/>
      <c r="E12050" s="57" t="str">
        <f ca="1">IFERROR(__xludf.DUMMYFUNCTION("""COMPUTED_VALUE"""),"")</f>
        <v/>
      </c>
    </row>
    <row r="12051" spans="1:5">
      <c r="A12051" s="12"/>
      <c r="E12051" s="57" t="str">
        <f ca="1">IFERROR(__xludf.DUMMYFUNCTION("""COMPUTED_VALUE"""),"")</f>
        <v/>
      </c>
    </row>
    <row r="12052" spans="1:5">
      <c r="A12052" s="12"/>
      <c r="E12052" s="57" t="str">
        <f ca="1">IFERROR(__xludf.DUMMYFUNCTION("""COMPUTED_VALUE"""),"")</f>
        <v/>
      </c>
    </row>
    <row r="12053" spans="1:5">
      <c r="A12053" s="12"/>
      <c r="E12053" s="57" t="str">
        <f ca="1">IFERROR(__xludf.DUMMYFUNCTION("""COMPUTED_VALUE"""),"")</f>
        <v/>
      </c>
    </row>
    <row r="12054" spans="1:5">
      <c r="A12054" s="12"/>
      <c r="E12054" s="57" t="str">
        <f ca="1">IFERROR(__xludf.DUMMYFUNCTION("""COMPUTED_VALUE"""),"")</f>
        <v/>
      </c>
    </row>
    <row r="12055" spans="1:5">
      <c r="A12055" s="12"/>
      <c r="E12055" s="57" t="str">
        <f ca="1">IFERROR(__xludf.DUMMYFUNCTION("""COMPUTED_VALUE"""),"")</f>
        <v/>
      </c>
    </row>
    <row r="12056" spans="1:5">
      <c r="A12056" s="12"/>
      <c r="E12056" s="57" t="str">
        <f ca="1">IFERROR(__xludf.DUMMYFUNCTION("""COMPUTED_VALUE"""),"")</f>
        <v/>
      </c>
    </row>
    <row r="12057" spans="1:5">
      <c r="A12057" s="12"/>
      <c r="E12057" s="57" t="str">
        <f ca="1">IFERROR(__xludf.DUMMYFUNCTION("""COMPUTED_VALUE"""),"")</f>
        <v/>
      </c>
    </row>
    <row r="12058" spans="1:5">
      <c r="A12058" s="12"/>
      <c r="E12058" s="57" t="str">
        <f ca="1">IFERROR(__xludf.DUMMYFUNCTION("""COMPUTED_VALUE"""),"")</f>
        <v/>
      </c>
    </row>
    <row r="12059" spans="1:5">
      <c r="A12059" s="12"/>
      <c r="E12059" s="57" t="str">
        <f ca="1">IFERROR(__xludf.DUMMYFUNCTION("""COMPUTED_VALUE"""),"")</f>
        <v/>
      </c>
    </row>
    <row r="12060" spans="1:5">
      <c r="A12060" s="12"/>
      <c r="E12060" s="57" t="str">
        <f ca="1">IFERROR(__xludf.DUMMYFUNCTION("""COMPUTED_VALUE"""),"")</f>
        <v/>
      </c>
    </row>
    <row r="12061" spans="1:5">
      <c r="A12061" s="12"/>
      <c r="E12061" s="57" t="str">
        <f ca="1">IFERROR(__xludf.DUMMYFUNCTION("""COMPUTED_VALUE"""),"")</f>
        <v/>
      </c>
    </row>
    <row r="12062" spans="1:5">
      <c r="A12062" s="12"/>
      <c r="E12062" s="57" t="str">
        <f ca="1">IFERROR(__xludf.DUMMYFUNCTION("""COMPUTED_VALUE"""),"")</f>
        <v/>
      </c>
    </row>
    <row r="12063" spans="1:5">
      <c r="A12063" s="12"/>
      <c r="E12063" s="57" t="str">
        <f ca="1">IFERROR(__xludf.DUMMYFUNCTION("""COMPUTED_VALUE"""),"")</f>
        <v/>
      </c>
    </row>
    <row r="12064" spans="1:5">
      <c r="A12064" s="12"/>
      <c r="E12064" s="57" t="str">
        <f ca="1">IFERROR(__xludf.DUMMYFUNCTION("""COMPUTED_VALUE"""),"")</f>
        <v/>
      </c>
    </row>
    <row r="12065" spans="1:5">
      <c r="A12065" s="12"/>
      <c r="E12065" s="57" t="str">
        <f ca="1">IFERROR(__xludf.DUMMYFUNCTION("""COMPUTED_VALUE"""),"")</f>
        <v/>
      </c>
    </row>
    <row r="12066" spans="1:5">
      <c r="A12066" s="12"/>
      <c r="E12066" s="57" t="str">
        <f ca="1">IFERROR(__xludf.DUMMYFUNCTION("""COMPUTED_VALUE"""),"")</f>
        <v/>
      </c>
    </row>
    <row r="12067" spans="1:5">
      <c r="A12067" s="12"/>
      <c r="E12067" s="57" t="str">
        <f ca="1">IFERROR(__xludf.DUMMYFUNCTION("""COMPUTED_VALUE"""),"")</f>
        <v/>
      </c>
    </row>
    <row r="12068" spans="1:5">
      <c r="A12068" s="12"/>
      <c r="E12068" s="57" t="str">
        <f ca="1">IFERROR(__xludf.DUMMYFUNCTION("""COMPUTED_VALUE"""),"")</f>
        <v/>
      </c>
    </row>
    <row r="12069" spans="1:5">
      <c r="A12069" s="12"/>
      <c r="E12069" s="57" t="str">
        <f ca="1">IFERROR(__xludf.DUMMYFUNCTION("""COMPUTED_VALUE"""),"")</f>
        <v/>
      </c>
    </row>
    <row r="12070" spans="1:5">
      <c r="A12070" s="12"/>
      <c r="E12070" s="57" t="str">
        <f ca="1">IFERROR(__xludf.DUMMYFUNCTION("""COMPUTED_VALUE"""),"")</f>
        <v/>
      </c>
    </row>
    <row r="12071" spans="1:5">
      <c r="A12071" s="12"/>
      <c r="E12071" s="57" t="str">
        <f ca="1">IFERROR(__xludf.DUMMYFUNCTION("""COMPUTED_VALUE"""),"")</f>
        <v/>
      </c>
    </row>
    <row r="12072" spans="1:5">
      <c r="A12072" s="12"/>
      <c r="E12072" s="57" t="str">
        <f ca="1">IFERROR(__xludf.DUMMYFUNCTION("""COMPUTED_VALUE"""),"")</f>
        <v/>
      </c>
    </row>
    <row r="12073" spans="1:5">
      <c r="A12073" s="12"/>
      <c r="E12073" s="57" t="str">
        <f ca="1">IFERROR(__xludf.DUMMYFUNCTION("""COMPUTED_VALUE"""),"")</f>
        <v/>
      </c>
    </row>
    <row r="12074" spans="1:5">
      <c r="A12074" s="12"/>
      <c r="E12074" s="57" t="str">
        <f ca="1">IFERROR(__xludf.DUMMYFUNCTION("""COMPUTED_VALUE"""),"")</f>
        <v/>
      </c>
    </row>
    <row r="12075" spans="1:5">
      <c r="A12075" s="12"/>
      <c r="E12075" s="57" t="str">
        <f ca="1">IFERROR(__xludf.DUMMYFUNCTION("""COMPUTED_VALUE"""),"")</f>
        <v/>
      </c>
    </row>
    <row r="12076" spans="1:5">
      <c r="A12076" s="12"/>
      <c r="E12076" s="57" t="str">
        <f ca="1">IFERROR(__xludf.DUMMYFUNCTION("""COMPUTED_VALUE"""),"")</f>
        <v/>
      </c>
    </row>
    <row r="12077" spans="1:5">
      <c r="A12077" s="12"/>
      <c r="E12077" s="57" t="str">
        <f ca="1">IFERROR(__xludf.DUMMYFUNCTION("""COMPUTED_VALUE"""),"")</f>
        <v/>
      </c>
    </row>
    <row r="12078" spans="1:5">
      <c r="A12078" s="12"/>
      <c r="E12078" s="57" t="str">
        <f ca="1">IFERROR(__xludf.DUMMYFUNCTION("""COMPUTED_VALUE"""),"")</f>
        <v/>
      </c>
    </row>
    <row r="12079" spans="1:5">
      <c r="A12079" s="12"/>
      <c r="E12079" s="57" t="str">
        <f ca="1">IFERROR(__xludf.DUMMYFUNCTION("""COMPUTED_VALUE"""),"")</f>
        <v/>
      </c>
    </row>
    <row r="12080" spans="1:5">
      <c r="A12080" s="12"/>
      <c r="E12080" s="57" t="str">
        <f ca="1">IFERROR(__xludf.DUMMYFUNCTION("""COMPUTED_VALUE"""),"")</f>
        <v/>
      </c>
    </row>
    <row r="12081" spans="1:5">
      <c r="A12081" s="12"/>
      <c r="E12081" s="57" t="str">
        <f ca="1">IFERROR(__xludf.DUMMYFUNCTION("""COMPUTED_VALUE"""),"")</f>
        <v/>
      </c>
    </row>
    <row r="12082" spans="1:5">
      <c r="A12082" s="12"/>
      <c r="E12082" s="57" t="str">
        <f ca="1">IFERROR(__xludf.DUMMYFUNCTION("""COMPUTED_VALUE"""),"")</f>
        <v/>
      </c>
    </row>
    <row r="12083" spans="1:5">
      <c r="A12083" s="12"/>
      <c r="E12083" s="57" t="str">
        <f ca="1">IFERROR(__xludf.DUMMYFUNCTION("""COMPUTED_VALUE"""),"")</f>
        <v/>
      </c>
    </row>
    <row r="12084" spans="1:5">
      <c r="A12084" s="12"/>
      <c r="E12084" s="57" t="str">
        <f ca="1">IFERROR(__xludf.DUMMYFUNCTION("""COMPUTED_VALUE"""),"")</f>
        <v/>
      </c>
    </row>
    <row r="12085" spans="1:5">
      <c r="A12085" s="12"/>
      <c r="E12085" s="57" t="str">
        <f ca="1">IFERROR(__xludf.DUMMYFUNCTION("""COMPUTED_VALUE"""),"")</f>
        <v/>
      </c>
    </row>
    <row r="12086" spans="1:5">
      <c r="A12086" s="12"/>
      <c r="E12086" s="57" t="str">
        <f ca="1">IFERROR(__xludf.DUMMYFUNCTION("""COMPUTED_VALUE"""),"")</f>
        <v/>
      </c>
    </row>
    <row r="12087" spans="1:5">
      <c r="A12087" s="12"/>
      <c r="E12087" s="57" t="str">
        <f ca="1">IFERROR(__xludf.DUMMYFUNCTION("""COMPUTED_VALUE"""),"")</f>
        <v/>
      </c>
    </row>
    <row r="12088" spans="1:5">
      <c r="A12088" s="12"/>
      <c r="E12088" s="57" t="str">
        <f ca="1">IFERROR(__xludf.DUMMYFUNCTION("""COMPUTED_VALUE"""),"")</f>
        <v/>
      </c>
    </row>
    <row r="12089" spans="1:5">
      <c r="A12089" s="12"/>
      <c r="E12089" s="57" t="str">
        <f ca="1">IFERROR(__xludf.DUMMYFUNCTION("""COMPUTED_VALUE"""),"")</f>
        <v/>
      </c>
    </row>
    <row r="12090" spans="1:5">
      <c r="A12090" s="12"/>
      <c r="E12090" s="57" t="str">
        <f ca="1">IFERROR(__xludf.DUMMYFUNCTION("""COMPUTED_VALUE"""),"")</f>
        <v/>
      </c>
    </row>
    <row r="12091" spans="1:5">
      <c r="A12091" s="12"/>
      <c r="E12091" s="57" t="str">
        <f ca="1">IFERROR(__xludf.DUMMYFUNCTION("""COMPUTED_VALUE"""),"")</f>
        <v/>
      </c>
    </row>
    <row r="12092" spans="1:5">
      <c r="A12092" s="12"/>
      <c r="E12092" s="57" t="str">
        <f ca="1">IFERROR(__xludf.DUMMYFUNCTION("""COMPUTED_VALUE"""),"")</f>
        <v/>
      </c>
    </row>
    <row r="12093" spans="1:5">
      <c r="A12093" s="12"/>
      <c r="E12093" s="57" t="str">
        <f ca="1">IFERROR(__xludf.DUMMYFUNCTION("""COMPUTED_VALUE"""),"")</f>
        <v/>
      </c>
    </row>
    <row r="12094" spans="1:5">
      <c r="A12094" s="12"/>
      <c r="E12094" s="57" t="str">
        <f ca="1">IFERROR(__xludf.DUMMYFUNCTION("""COMPUTED_VALUE"""),"")</f>
        <v/>
      </c>
    </row>
    <row r="12095" spans="1:5">
      <c r="A12095" s="12"/>
      <c r="E12095" s="57" t="str">
        <f ca="1">IFERROR(__xludf.DUMMYFUNCTION("""COMPUTED_VALUE"""),"")</f>
        <v/>
      </c>
    </row>
    <row r="12096" spans="1:5">
      <c r="A12096" s="12"/>
      <c r="E12096" s="57" t="str">
        <f ca="1">IFERROR(__xludf.DUMMYFUNCTION("""COMPUTED_VALUE"""),"")</f>
        <v/>
      </c>
    </row>
    <row r="12097" spans="1:5">
      <c r="A12097" s="12"/>
      <c r="E12097" s="57" t="str">
        <f ca="1">IFERROR(__xludf.DUMMYFUNCTION("""COMPUTED_VALUE"""),"")</f>
        <v/>
      </c>
    </row>
    <row r="12098" spans="1:5">
      <c r="A12098" s="12"/>
      <c r="E12098" s="57" t="str">
        <f ca="1">IFERROR(__xludf.DUMMYFUNCTION("""COMPUTED_VALUE"""),"")</f>
        <v/>
      </c>
    </row>
    <row r="12099" spans="1:5">
      <c r="A12099" s="12"/>
      <c r="E12099" s="57" t="str">
        <f ca="1">IFERROR(__xludf.DUMMYFUNCTION("""COMPUTED_VALUE"""),"")</f>
        <v/>
      </c>
    </row>
    <row r="12100" spans="1:5">
      <c r="A12100" s="12"/>
      <c r="E12100" s="57" t="str">
        <f ca="1">IFERROR(__xludf.DUMMYFUNCTION("""COMPUTED_VALUE"""),"")</f>
        <v/>
      </c>
    </row>
    <row r="12101" spans="1:5">
      <c r="A12101" s="12"/>
      <c r="E12101" s="57" t="str">
        <f ca="1">IFERROR(__xludf.DUMMYFUNCTION("""COMPUTED_VALUE"""),"")</f>
        <v/>
      </c>
    </row>
    <row r="12102" spans="1:5">
      <c r="A12102" s="12"/>
      <c r="E12102" s="57" t="str">
        <f ca="1">IFERROR(__xludf.DUMMYFUNCTION("""COMPUTED_VALUE"""),"")</f>
        <v/>
      </c>
    </row>
    <row r="12103" spans="1:5">
      <c r="A12103" s="12"/>
      <c r="E12103" s="57" t="str">
        <f ca="1">IFERROR(__xludf.DUMMYFUNCTION("""COMPUTED_VALUE"""),"")</f>
        <v/>
      </c>
    </row>
    <row r="12104" spans="1:5">
      <c r="A12104" s="12"/>
      <c r="E12104" s="57" t="str">
        <f ca="1">IFERROR(__xludf.DUMMYFUNCTION("""COMPUTED_VALUE"""),"")</f>
        <v/>
      </c>
    </row>
    <row r="12105" spans="1:5">
      <c r="A12105" s="12"/>
      <c r="E12105" s="57" t="str">
        <f ca="1">IFERROR(__xludf.DUMMYFUNCTION("""COMPUTED_VALUE"""),"")</f>
        <v/>
      </c>
    </row>
    <row r="12106" spans="1:5">
      <c r="A12106" s="12"/>
      <c r="E12106" s="57" t="str">
        <f ca="1">IFERROR(__xludf.DUMMYFUNCTION("""COMPUTED_VALUE"""),"")</f>
        <v/>
      </c>
    </row>
    <row r="12107" spans="1:5">
      <c r="A12107" s="12"/>
      <c r="E12107" s="57" t="str">
        <f ca="1">IFERROR(__xludf.DUMMYFUNCTION("""COMPUTED_VALUE"""),"")</f>
        <v/>
      </c>
    </row>
    <row r="12108" spans="1:5">
      <c r="A12108" s="12"/>
      <c r="E12108" s="57" t="str">
        <f ca="1">IFERROR(__xludf.DUMMYFUNCTION("""COMPUTED_VALUE"""),"")</f>
        <v/>
      </c>
    </row>
    <row r="12109" spans="1:5">
      <c r="A12109" s="12"/>
      <c r="E12109" s="57" t="str">
        <f ca="1">IFERROR(__xludf.DUMMYFUNCTION("""COMPUTED_VALUE"""),"")</f>
        <v/>
      </c>
    </row>
    <row r="12110" spans="1:5">
      <c r="A12110" s="12"/>
      <c r="E12110" s="57" t="str">
        <f ca="1">IFERROR(__xludf.DUMMYFUNCTION("""COMPUTED_VALUE"""),"")</f>
        <v/>
      </c>
    </row>
    <row r="12111" spans="1:5">
      <c r="A12111" s="12"/>
      <c r="E12111" s="57" t="str">
        <f ca="1">IFERROR(__xludf.DUMMYFUNCTION("""COMPUTED_VALUE"""),"")</f>
        <v/>
      </c>
    </row>
    <row r="12112" spans="1:5">
      <c r="A12112" s="12"/>
      <c r="E12112" s="57" t="str">
        <f ca="1">IFERROR(__xludf.DUMMYFUNCTION("""COMPUTED_VALUE"""),"")</f>
        <v/>
      </c>
    </row>
    <row r="12113" spans="1:5">
      <c r="A12113" s="12"/>
      <c r="E12113" s="57" t="str">
        <f ca="1">IFERROR(__xludf.DUMMYFUNCTION("""COMPUTED_VALUE"""),"")</f>
        <v/>
      </c>
    </row>
    <row r="12114" spans="1:5">
      <c r="A12114" s="12"/>
      <c r="E12114" s="57" t="str">
        <f ca="1">IFERROR(__xludf.DUMMYFUNCTION("""COMPUTED_VALUE"""),"")</f>
        <v/>
      </c>
    </row>
    <row r="12115" spans="1:5">
      <c r="A12115" s="12"/>
      <c r="E12115" s="57" t="str">
        <f ca="1">IFERROR(__xludf.DUMMYFUNCTION("""COMPUTED_VALUE"""),"")</f>
        <v/>
      </c>
    </row>
    <row r="12116" spans="1:5">
      <c r="A12116" s="12"/>
      <c r="E12116" s="57" t="str">
        <f ca="1">IFERROR(__xludf.DUMMYFUNCTION("""COMPUTED_VALUE"""),"")</f>
        <v/>
      </c>
    </row>
    <row r="12117" spans="1:5">
      <c r="A12117" s="12"/>
      <c r="E12117" s="57" t="str">
        <f ca="1">IFERROR(__xludf.DUMMYFUNCTION("""COMPUTED_VALUE"""),"")</f>
        <v/>
      </c>
    </row>
    <row r="12118" spans="1:5">
      <c r="A12118" s="12"/>
      <c r="E12118" s="57" t="str">
        <f ca="1">IFERROR(__xludf.DUMMYFUNCTION("""COMPUTED_VALUE"""),"")</f>
        <v/>
      </c>
    </row>
    <row r="12119" spans="1:5">
      <c r="A12119" s="12"/>
      <c r="E12119" s="57" t="str">
        <f ca="1">IFERROR(__xludf.DUMMYFUNCTION("""COMPUTED_VALUE"""),"")</f>
        <v/>
      </c>
    </row>
    <row r="12120" spans="1:5">
      <c r="A12120" s="12"/>
      <c r="E12120" s="57" t="str">
        <f ca="1">IFERROR(__xludf.DUMMYFUNCTION("""COMPUTED_VALUE"""),"")</f>
        <v/>
      </c>
    </row>
    <row r="12121" spans="1:5">
      <c r="A12121" s="12"/>
      <c r="E12121" s="57" t="str">
        <f ca="1">IFERROR(__xludf.DUMMYFUNCTION("""COMPUTED_VALUE"""),"")</f>
        <v/>
      </c>
    </row>
    <row r="12122" spans="1:5">
      <c r="A12122" s="12"/>
      <c r="E12122" s="57" t="str">
        <f ca="1">IFERROR(__xludf.DUMMYFUNCTION("""COMPUTED_VALUE"""),"")</f>
        <v/>
      </c>
    </row>
    <row r="12123" spans="1:5">
      <c r="A12123" s="12"/>
      <c r="E12123" s="57" t="str">
        <f ca="1">IFERROR(__xludf.DUMMYFUNCTION("""COMPUTED_VALUE"""),"")</f>
        <v/>
      </c>
    </row>
    <row r="12124" spans="1:5">
      <c r="A12124" s="12"/>
      <c r="E12124" s="57" t="str">
        <f ca="1">IFERROR(__xludf.DUMMYFUNCTION("""COMPUTED_VALUE"""),"")</f>
        <v/>
      </c>
    </row>
    <row r="12125" spans="1:5">
      <c r="A12125" s="12"/>
      <c r="E12125" s="57" t="str">
        <f ca="1">IFERROR(__xludf.DUMMYFUNCTION("""COMPUTED_VALUE"""),"")</f>
        <v/>
      </c>
    </row>
    <row r="12126" spans="1:5">
      <c r="A12126" s="12"/>
      <c r="E12126" s="57" t="str">
        <f ca="1">IFERROR(__xludf.DUMMYFUNCTION("""COMPUTED_VALUE"""),"")</f>
        <v/>
      </c>
    </row>
    <row r="12127" spans="1:5">
      <c r="A12127" s="12"/>
      <c r="E12127" s="57" t="str">
        <f ca="1">IFERROR(__xludf.DUMMYFUNCTION("""COMPUTED_VALUE"""),"")</f>
        <v/>
      </c>
    </row>
    <row r="12128" spans="1:5">
      <c r="A12128" s="12"/>
      <c r="E12128" s="57" t="str">
        <f ca="1">IFERROR(__xludf.DUMMYFUNCTION("""COMPUTED_VALUE"""),"")</f>
        <v/>
      </c>
    </row>
    <row r="12129" spans="1:5">
      <c r="A12129" s="12"/>
      <c r="E12129" s="57" t="str">
        <f ca="1">IFERROR(__xludf.DUMMYFUNCTION("""COMPUTED_VALUE"""),"")</f>
        <v/>
      </c>
    </row>
    <row r="12130" spans="1:5">
      <c r="A12130" s="12"/>
      <c r="E12130" s="57" t="str">
        <f ca="1">IFERROR(__xludf.DUMMYFUNCTION("""COMPUTED_VALUE"""),"")</f>
        <v/>
      </c>
    </row>
    <row r="12131" spans="1:5">
      <c r="A12131" s="12"/>
      <c r="E12131" s="57" t="str">
        <f ca="1">IFERROR(__xludf.DUMMYFUNCTION("""COMPUTED_VALUE"""),"")</f>
        <v/>
      </c>
    </row>
    <row r="12132" spans="1:5">
      <c r="A12132" s="12"/>
      <c r="E12132" s="57" t="str">
        <f ca="1">IFERROR(__xludf.DUMMYFUNCTION("""COMPUTED_VALUE"""),"")</f>
        <v/>
      </c>
    </row>
    <row r="12133" spans="1:5">
      <c r="A12133" s="12"/>
      <c r="E12133" s="57" t="str">
        <f ca="1">IFERROR(__xludf.DUMMYFUNCTION("""COMPUTED_VALUE"""),"")</f>
        <v/>
      </c>
    </row>
    <row r="12134" spans="1:5">
      <c r="A12134" s="12"/>
      <c r="E12134" s="57" t="str">
        <f ca="1">IFERROR(__xludf.DUMMYFUNCTION("""COMPUTED_VALUE"""),"")</f>
        <v/>
      </c>
    </row>
    <row r="12135" spans="1:5">
      <c r="A12135" s="12"/>
      <c r="E12135" s="57" t="str">
        <f ca="1">IFERROR(__xludf.DUMMYFUNCTION("""COMPUTED_VALUE"""),"")</f>
        <v/>
      </c>
    </row>
    <row r="12136" spans="1:5">
      <c r="A12136" s="12"/>
      <c r="E12136" s="57" t="str">
        <f ca="1">IFERROR(__xludf.DUMMYFUNCTION("""COMPUTED_VALUE"""),"")</f>
        <v/>
      </c>
    </row>
    <row r="12137" spans="1:5">
      <c r="A12137" s="12"/>
      <c r="E12137" s="57" t="str">
        <f ca="1">IFERROR(__xludf.DUMMYFUNCTION("""COMPUTED_VALUE"""),"")</f>
        <v/>
      </c>
    </row>
    <row r="12138" spans="1:5">
      <c r="A12138" s="12"/>
      <c r="E12138" s="57" t="str">
        <f ca="1">IFERROR(__xludf.DUMMYFUNCTION("""COMPUTED_VALUE"""),"")</f>
        <v/>
      </c>
    </row>
    <row r="12139" spans="1:5">
      <c r="A12139" s="12"/>
      <c r="E12139" s="57" t="str">
        <f ca="1">IFERROR(__xludf.DUMMYFUNCTION("""COMPUTED_VALUE"""),"")</f>
        <v/>
      </c>
    </row>
    <row r="12140" spans="1:5">
      <c r="A12140" s="12"/>
      <c r="E12140" s="57" t="str">
        <f ca="1">IFERROR(__xludf.DUMMYFUNCTION("""COMPUTED_VALUE"""),"")</f>
        <v/>
      </c>
    </row>
    <row r="12141" spans="1:5">
      <c r="A12141" s="12"/>
      <c r="E12141" s="57" t="str">
        <f ca="1">IFERROR(__xludf.DUMMYFUNCTION("""COMPUTED_VALUE"""),"")</f>
        <v/>
      </c>
    </row>
    <row r="12142" spans="1:5">
      <c r="A12142" s="12"/>
      <c r="E12142" s="57" t="str">
        <f ca="1">IFERROR(__xludf.DUMMYFUNCTION("""COMPUTED_VALUE"""),"")</f>
        <v/>
      </c>
    </row>
    <row r="12143" spans="1:5">
      <c r="A12143" s="12"/>
      <c r="E12143" s="57" t="str">
        <f ca="1">IFERROR(__xludf.DUMMYFUNCTION("""COMPUTED_VALUE"""),"")</f>
        <v/>
      </c>
    </row>
    <row r="12144" spans="1:5">
      <c r="A12144" s="12"/>
      <c r="E12144" s="57" t="str">
        <f ca="1">IFERROR(__xludf.DUMMYFUNCTION("""COMPUTED_VALUE"""),"")</f>
        <v/>
      </c>
    </row>
    <row r="12145" spans="1:5">
      <c r="A12145" s="12"/>
      <c r="E12145" s="57" t="str">
        <f ca="1">IFERROR(__xludf.DUMMYFUNCTION("""COMPUTED_VALUE"""),"")</f>
        <v/>
      </c>
    </row>
    <row r="12146" spans="1:5">
      <c r="A12146" s="12"/>
      <c r="E12146" s="57" t="str">
        <f ca="1">IFERROR(__xludf.DUMMYFUNCTION("""COMPUTED_VALUE"""),"")</f>
        <v/>
      </c>
    </row>
    <row r="12147" spans="1:5">
      <c r="A12147" s="12"/>
      <c r="E12147" s="57" t="str">
        <f ca="1">IFERROR(__xludf.DUMMYFUNCTION("""COMPUTED_VALUE"""),"")</f>
        <v/>
      </c>
    </row>
    <row r="12148" spans="1:5">
      <c r="A12148" s="12"/>
      <c r="E12148" s="57" t="str">
        <f ca="1">IFERROR(__xludf.DUMMYFUNCTION("""COMPUTED_VALUE"""),"")</f>
        <v/>
      </c>
    </row>
    <row r="12149" spans="1:5">
      <c r="A12149" s="12"/>
      <c r="E12149" s="57" t="str">
        <f ca="1">IFERROR(__xludf.DUMMYFUNCTION("""COMPUTED_VALUE"""),"")</f>
        <v/>
      </c>
    </row>
    <row r="12150" spans="1:5">
      <c r="A12150" s="12"/>
      <c r="E12150" s="57" t="str">
        <f ca="1">IFERROR(__xludf.DUMMYFUNCTION("""COMPUTED_VALUE"""),"")</f>
        <v/>
      </c>
    </row>
    <row r="12151" spans="1:5">
      <c r="A12151" s="12"/>
      <c r="E12151" s="57" t="str">
        <f ca="1">IFERROR(__xludf.DUMMYFUNCTION("""COMPUTED_VALUE"""),"")</f>
        <v/>
      </c>
    </row>
    <row r="12152" spans="1:5">
      <c r="A12152" s="12"/>
      <c r="E12152" s="57" t="str">
        <f ca="1">IFERROR(__xludf.DUMMYFUNCTION("""COMPUTED_VALUE"""),"")</f>
        <v/>
      </c>
    </row>
    <row r="12153" spans="1:5">
      <c r="A12153" s="12"/>
      <c r="E12153" s="57" t="str">
        <f ca="1">IFERROR(__xludf.DUMMYFUNCTION("""COMPUTED_VALUE"""),"")</f>
        <v/>
      </c>
    </row>
    <row r="12154" spans="1:5">
      <c r="A12154" s="12"/>
      <c r="E12154" s="57" t="str">
        <f ca="1">IFERROR(__xludf.DUMMYFUNCTION("""COMPUTED_VALUE"""),"")</f>
        <v/>
      </c>
    </row>
    <row r="12155" spans="1:5">
      <c r="A12155" s="12"/>
      <c r="E12155" s="57" t="str">
        <f ca="1">IFERROR(__xludf.DUMMYFUNCTION("""COMPUTED_VALUE"""),"")</f>
        <v/>
      </c>
    </row>
    <row r="12156" spans="1:5">
      <c r="A12156" s="12"/>
      <c r="E12156" s="57" t="str">
        <f ca="1">IFERROR(__xludf.DUMMYFUNCTION("""COMPUTED_VALUE"""),"")</f>
        <v/>
      </c>
    </row>
    <row r="12157" spans="1:5">
      <c r="A12157" s="12"/>
      <c r="E12157" s="57" t="str">
        <f ca="1">IFERROR(__xludf.DUMMYFUNCTION("""COMPUTED_VALUE"""),"")</f>
        <v/>
      </c>
    </row>
    <row r="12158" spans="1:5">
      <c r="A12158" s="12"/>
      <c r="E12158" s="57" t="str">
        <f ca="1">IFERROR(__xludf.DUMMYFUNCTION("""COMPUTED_VALUE"""),"")</f>
        <v/>
      </c>
    </row>
    <row r="12159" spans="1:5">
      <c r="A12159" s="12"/>
      <c r="E12159" s="57" t="str">
        <f ca="1">IFERROR(__xludf.DUMMYFUNCTION("""COMPUTED_VALUE"""),"")</f>
        <v/>
      </c>
    </row>
    <row r="12160" spans="1:5">
      <c r="A12160" s="12"/>
      <c r="E12160" s="57" t="str">
        <f ca="1">IFERROR(__xludf.DUMMYFUNCTION("""COMPUTED_VALUE"""),"")</f>
        <v/>
      </c>
    </row>
    <row r="12161" spans="1:5">
      <c r="A12161" s="12"/>
      <c r="E12161" s="57" t="str">
        <f ca="1">IFERROR(__xludf.DUMMYFUNCTION("""COMPUTED_VALUE"""),"")</f>
        <v/>
      </c>
    </row>
    <row r="12162" spans="1:5">
      <c r="A12162" s="12"/>
      <c r="E12162" s="57" t="str">
        <f ca="1">IFERROR(__xludf.DUMMYFUNCTION("""COMPUTED_VALUE"""),"")</f>
        <v/>
      </c>
    </row>
    <row r="12163" spans="1:5">
      <c r="A12163" s="12"/>
      <c r="E12163" s="57" t="str">
        <f ca="1">IFERROR(__xludf.DUMMYFUNCTION("""COMPUTED_VALUE"""),"")</f>
        <v/>
      </c>
    </row>
    <row r="12164" spans="1:5">
      <c r="A12164" s="12"/>
      <c r="E12164" s="57" t="str">
        <f ca="1">IFERROR(__xludf.DUMMYFUNCTION("""COMPUTED_VALUE"""),"")</f>
        <v/>
      </c>
    </row>
    <row r="12165" spans="1:5">
      <c r="A12165" s="12"/>
      <c r="E12165" s="57" t="str">
        <f ca="1">IFERROR(__xludf.DUMMYFUNCTION("""COMPUTED_VALUE"""),"")</f>
        <v/>
      </c>
    </row>
    <row r="12166" spans="1:5">
      <c r="A12166" s="12"/>
      <c r="E12166" s="57" t="str">
        <f ca="1">IFERROR(__xludf.DUMMYFUNCTION("""COMPUTED_VALUE"""),"")</f>
        <v/>
      </c>
    </row>
    <row r="12167" spans="1:5">
      <c r="A12167" s="12"/>
      <c r="E12167" s="57" t="str">
        <f ca="1">IFERROR(__xludf.DUMMYFUNCTION("""COMPUTED_VALUE"""),"")</f>
        <v/>
      </c>
    </row>
    <row r="12168" spans="1:5">
      <c r="A12168" s="12"/>
      <c r="E12168" s="57" t="str">
        <f ca="1">IFERROR(__xludf.DUMMYFUNCTION("""COMPUTED_VALUE"""),"")</f>
        <v/>
      </c>
    </row>
    <row r="12169" spans="1:5">
      <c r="A12169" s="12"/>
      <c r="E12169" s="57" t="str">
        <f ca="1">IFERROR(__xludf.DUMMYFUNCTION("""COMPUTED_VALUE"""),"")</f>
        <v/>
      </c>
    </row>
    <row r="12170" spans="1:5">
      <c r="A12170" s="12"/>
      <c r="E12170" s="57" t="str">
        <f ca="1">IFERROR(__xludf.DUMMYFUNCTION("""COMPUTED_VALUE"""),"")</f>
        <v/>
      </c>
    </row>
    <row r="12171" spans="1:5">
      <c r="A12171" s="12"/>
      <c r="E12171" s="57" t="str">
        <f ca="1">IFERROR(__xludf.DUMMYFUNCTION("""COMPUTED_VALUE"""),"")</f>
        <v/>
      </c>
    </row>
    <row r="12172" spans="1:5">
      <c r="A12172" s="12"/>
      <c r="E12172" s="57" t="str">
        <f ca="1">IFERROR(__xludf.DUMMYFUNCTION("""COMPUTED_VALUE"""),"")</f>
        <v/>
      </c>
    </row>
    <row r="12173" spans="1:5">
      <c r="A12173" s="12"/>
      <c r="E12173" s="57" t="str">
        <f ca="1">IFERROR(__xludf.DUMMYFUNCTION("""COMPUTED_VALUE"""),"")</f>
        <v/>
      </c>
    </row>
    <row r="12174" spans="1:5">
      <c r="A12174" s="12"/>
      <c r="E12174" s="57" t="str">
        <f ca="1">IFERROR(__xludf.DUMMYFUNCTION("""COMPUTED_VALUE"""),"")</f>
        <v/>
      </c>
    </row>
    <row r="12175" spans="1:5">
      <c r="A12175" s="12"/>
      <c r="E12175" s="57" t="str">
        <f ca="1">IFERROR(__xludf.DUMMYFUNCTION("""COMPUTED_VALUE"""),"")</f>
        <v/>
      </c>
    </row>
    <row r="12176" spans="1:5">
      <c r="A12176" s="12"/>
      <c r="E12176" s="57" t="str">
        <f ca="1">IFERROR(__xludf.DUMMYFUNCTION("""COMPUTED_VALUE"""),"")</f>
        <v/>
      </c>
    </row>
    <row r="12177" spans="1:5">
      <c r="A12177" s="12"/>
      <c r="E12177" s="57" t="str">
        <f ca="1">IFERROR(__xludf.DUMMYFUNCTION("""COMPUTED_VALUE"""),"")</f>
        <v/>
      </c>
    </row>
    <row r="12178" spans="1:5">
      <c r="A12178" s="12"/>
      <c r="E12178" s="57" t="str">
        <f ca="1">IFERROR(__xludf.DUMMYFUNCTION("""COMPUTED_VALUE"""),"")</f>
        <v/>
      </c>
    </row>
    <row r="12179" spans="1:5">
      <c r="A12179" s="12"/>
      <c r="E12179" s="57" t="str">
        <f ca="1">IFERROR(__xludf.DUMMYFUNCTION("""COMPUTED_VALUE"""),"")</f>
        <v/>
      </c>
    </row>
    <row r="12180" spans="1:5">
      <c r="A12180" s="12"/>
      <c r="E12180" s="57" t="str">
        <f ca="1">IFERROR(__xludf.DUMMYFUNCTION("""COMPUTED_VALUE"""),"")</f>
        <v/>
      </c>
    </row>
    <row r="12181" spans="1:5">
      <c r="A12181" s="12"/>
      <c r="E12181" s="57" t="str">
        <f ca="1">IFERROR(__xludf.DUMMYFUNCTION("""COMPUTED_VALUE"""),"")</f>
        <v/>
      </c>
    </row>
    <row r="12182" spans="1:5">
      <c r="A12182" s="12"/>
      <c r="E12182" s="57" t="str">
        <f ca="1">IFERROR(__xludf.DUMMYFUNCTION("""COMPUTED_VALUE"""),"")</f>
        <v/>
      </c>
    </row>
    <row r="12183" spans="1:5">
      <c r="A12183" s="12"/>
      <c r="E12183" s="57" t="str">
        <f ca="1">IFERROR(__xludf.DUMMYFUNCTION("""COMPUTED_VALUE"""),"")</f>
        <v/>
      </c>
    </row>
    <row r="12184" spans="1:5">
      <c r="A12184" s="12"/>
      <c r="E12184" s="57" t="str">
        <f ca="1">IFERROR(__xludf.DUMMYFUNCTION("""COMPUTED_VALUE"""),"")</f>
        <v/>
      </c>
    </row>
    <row r="12185" spans="1:5">
      <c r="A12185" s="12"/>
      <c r="E12185" s="57" t="str">
        <f ca="1">IFERROR(__xludf.DUMMYFUNCTION("""COMPUTED_VALUE"""),"")</f>
        <v/>
      </c>
    </row>
    <row r="12186" spans="1:5">
      <c r="A12186" s="12"/>
      <c r="E12186" s="57" t="str">
        <f ca="1">IFERROR(__xludf.DUMMYFUNCTION("""COMPUTED_VALUE"""),"")</f>
        <v/>
      </c>
    </row>
    <row r="12187" spans="1:5">
      <c r="A12187" s="12"/>
      <c r="E12187" s="57" t="str">
        <f ca="1">IFERROR(__xludf.DUMMYFUNCTION("""COMPUTED_VALUE"""),"")</f>
        <v/>
      </c>
    </row>
    <row r="12188" spans="1:5">
      <c r="A12188" s="12"/>
      <c r="E12188" s="57" t="str">
        <f ca="1">IFERROR(__xludf.DUMMYFUNCTION("""COMPUTED_VALUE"""),"")</f>
        <v/>
      </c>
    </row>
    <row r="12189" spans="1:5">
      <c r="A12189" s="12"/>
      <c r="E12189" s="57" t="str">
        <f ca="1">IFERROR(__xludf.DUMMYFUNCTION("""COMPUTED_VALUE"""),"")</f>
        <v/>
      </c>
    </row>
    <row r="12190" spans="1:5">
      <c r="A12190" s="12"/>
      <c r="E12190" s="57" t="str">
        <f ca="1">IFERROR(__xludf.DUMMYFUNCTION("""COMPUTED_VALUE"""),"")</f>
        <v/>
      </c>
    </row>
    <row r="12191" spans="1:5">
      <c r="A12191" s="12"/>
      <c r="E12191" s="57" t="str">
        <f ca="1">IFERROR(__xludf.DUMMYFUNCTION("""COMPUTED_VALUE"""),"")</f>
        <v/>
      </c>
    </row>
    <row r="12192" spans="1:5">
      <c r="A12192" s="12"/>
      <c r="E12192" s="57" t="str">
        <f ca="1">IFERROR(__xludf.DUMMYFUNCTION("""COMPUTED_VALUE"""),"")</f>
        <v/>
      </c>
    </row>
    <row r="12193" spans="1:5">
      <c r="A12193" s="12"/>
      <c r="E12193" s="57" t="str">
        <f ca="1">IFERROR(__xludf.DUMMYFUNCTION("""COMPUTED_VALUE"""),"")</f>
        <v/>
      </c>
    </row>
    <row r="12194" spans="1:5">
      <c r="A12194" s="12"/>
      <c r="E12194" s="57" t="str">
        <f ca="1">IFERROR(__xludf.DUMMYFUNCTION("""COMPUTED_VALUE"""),"")</f>
        <v/>
      </c>
    </row>
    <row r="12195" spans="1:5">
      <c r="A12195" s="12"/>
      <c r="E12195" s="57" t="str">
        <f ca="1">IFERROR(__xludf.DUMMYFUNCTION("""COMPUTED_VALUE"""),"")</f>
        <v/>
      </c>
    </row>
    <row r="12196" spans="1:5">
      <c r="A12196" s="12"/>
      <c r="E12196" s="57" t="str">
        <f ca="1">IFERROR(__xludf.DUMMYFUNCTION("""COMPUTED_VALUE"""),"")</f>
        <v/>
      </c>
    </row>
    <row r="12197" spans="1:5">
      <c r="A12197" s="12"/>
      <c r="E12197" s="57" t="str">
        <f ca="1">IFERROR(__xludf.DUMMYFUNCTION("""COMPUTED_VALUE"""),"")</f>
        <v/>
      </c>
    </row>
    <row r="12198" spans="1:5">
      <c r="A12198" s="12"/>
      <c r="E12198" s="57" t="str">
        <f ca="1">IFERROR(__xludf.DUMMYFUNCTION("""COMPUTED_VALUE"""),"")</f>
        <v/>
      </c>
    </row>
    <row r="12199" spans="1:5">
      <c r="A12199" s="12"/>
      <c r="E12199" s="57" t="str">
        <f ca="1">IFERROR(__xludf.DUMMYFUNCTION("""COMPUTED_VALUE"""),"")</f>
        <v/>
      </c>
    </row>
    <row r="12200" spans="1:5">
      <c r="A12200" s="12"/>
      <c r="E12200" s="57" t="str">
        <f ca="1">IFERROR(__xludf.DUMMYFUNCTION("""COMPUTED_VALUE"""),"")</f>
        <v/>
      </c>
    </row>
    <row r="12201" spans="1:5">
      <c r="A12201" s="12"/>
      <c r="E12201" s="57" t="str">
        <f ca="1">IFERROR(__xludf.DUMMYFUNCTION("""COMPUTED_VALUE"""),"")</f>
        <v/>
      </c>
    </row>
    <row r="12202" spans="1:5">
      <c r="A12202" s="12"/>
      <c r="E12202" s="57" t="str">
        <f ca="1">IFERROR(__xludf.DUMMYFUNCTION("""COMPUTED_VALUE"""),"")</f>
        <v/>
      </c>
    </row>
    <row r="12203" spans="1:5">
      <c r="A12203" s="12"/>
      <c r="E12203" s="57" t="str">
        <f ca="1">IFERROR(__xludf.DUMMYFUNCTION("""COMPUTED_VALUE"""),"")</f>
        <v/>
      </c>
    </row>
    <row r="12204" spans="1:5">
      <c r="A12204" s="12"/>
      <c r="E12204" s="57" t="str">
        <f ca="1">IFERROR(__xludf.DUMMYFUNCTION("""COMPUTED_VALUE"""),"")</f>
        <v/>
      </c>
    </row>
    <row r="12205" spans="1:5">
      <c r="A12205" s="12"/>
      <c r="E12205" s="57" t="str">
        <f ca="1">IFERROR(__xludf.DUMMYFUNCTION("""COMPUTED_VALUE"""),"")</f>
        <v/>
      </c>
    </row>
    <row r="12206" spans="1:5">
      <c r="A12206" s="12"/>
      <c r="E12206" s="57" t="str">
        <f ca="1">IFERROR(__xludf.DUMMYFUNCTION("""COMPUTED_VALUE"""),"")</f>
        <v/>
      </c>
    </row>
    <row r="12207" spans="1:5">
      <c r="A12207" s="12"/>
      <c r="E12207" s="57" t="str">
        <f ca="1">IFERROR(__xludf.DUMMYFUNCTION("""COMPUTED_VALUE"""),"")</f>
        <v/>
      </c>
    </row>
    <row r="12208" spans="1:5">
      <c r="A12208" s="12"/>
      <c r="E12208" s="57" t="str">
        <f ca="1">IFERROR(__xludf.DUMMYFUNCTION("""COMPUTED_VALUE"""),"")</f>
        <v/>
      </c>
    </row>
    <row r="12209" spans="1:5">
      <c r="A12209" s="12"/>
      <c r="E12209" s="57" t="str">
        <f ca="1">IFERROR(__xludf.DUMMYFUNCTION("""COMPUTED_VALUE"""),"")</f>
        <v/>
      </c>
    </row>
    <row r="12210" spans="1:5">
      <c r="A12210" s="12"/>
      <c r="E12210" s="57" t="str">
        <f ca="1">IFERROR(__xludf.DUMMYFUNCTION("""COMPUTED_VALUE"""),"")</f>
        <v/>
      </c>
    </row>
    <row r="12211" spans="1:5">
      <c r="A12211" s="12"/>
      <c r="E12211" s="57" t="str">
        <f ca="1">IFERROR(__xludf.DUMMYFUNCTION("""COMPUTED_VALUE"""),"")</f>
        <v/>
      </c>
    </row>
    <row r="12212" spans="1:5">
      <c r="A12212" s="12"/>
      <c r="E12212" s="57" t="str">
        <f ca="1">IFERROR(__xludf.DUMMYFUNCTION("""COMPUTED_VALUE"""),"")</f>
        <v/>
      </c>
    </row>
    <row r="12213" spans="1:5">
      <c r="A12213" s="12"/>
      <c r="E12213" s="57" t="str">
        <f ca="1">IFERROR(__xludf.DUMMYFUNCTION("""COMPUTED_VALUE"""),"")</f>
        <v/>
      </c>
    </row>
    <row r="12214" spans="1:5">
      <c r="A12214" s="12"/>
      <c r="E12214" s="57" t="str">
        <f ca="1">IFERROR(__xludf.DUMMYFUNCTION("""COMPUTED_VALUE"""),"")</f>
        <v/>
      </c>
    </row>
    <row r="12215" spans="1:5">
      <c r="A12215" s="12"/>
      <c r="E12215" s="57" t="str">
        <f ca="1">IFERROR(__xludf.DUMMYFUNCTION("""COMPUTED_VALUE"""),"")</f>
        <v/>
      </c>
    </row>
    <row r="12216" spans="1:5">
      <c r="A12216" s="12"/>
      <c r="E12216" s="57" t="str">
        <f ca="1">IFERROR(__xludf.DUMMYFUNCTION("""COMPUTED_VALUE"""),"")</f>
        <v/>
      </c>
    </row>
    <row r="12217" spans="1:5">
      <c r="A12217" s="12"/>
      <c r="E12217" s="57" t="str">
        <f ca="1">IFERROR(__xludf.DUMMYFUNCTION("""COMPUTED_VALUE"""),"")</f>
        <v/>
      </c>
    </row>
    <row r="12218" spans="1:5">
      <c r="A12218" s="12"/>
      <c r="E12218" s="57" t="str">
        <f ca="1">IFERROR(__xludf.DUMMYFUNCTION("""COMPUTED_VALUE"""),"")</f>
        <v/>
      </c>
    </row>
    <row r="12219" spans="1:5">
      <c r="A12219" s="12"/>
      <c r="E12219" s="57" t="str">
        <f ca="1">IFERROR(__xludf.DUMMYFUNCTION("""COMPUTED_VALUE"""),"")</f>
        <v/>
      </c>
    </row>
    <row r="12220" spans="1:5">
      <c r="A12220" s="12"/>
      <c r="E12220" s="57" t="str">
        <f ca="1">IFERROR(__xludf.DUMMYFUNCTION("""COMPUTED_VALUE"""),"")</f>
        <v/>
      </c>
    </row>
    <row r="12221" spans="1:5">
      <c r="A12221" s="12"/>
      <c r="E12221" s="57" t="str">
        <f ca="1">IFERROR(__xludf.DUMMYFUNCTION("""COMPUTED_VALUE"""),"")</f>
        <v/>
      </c>
    </row>
    <row r="12222" spans="1:5">
      <c r="A12222" s="12"/>
      <c r="E12222" s="57" t="str">
        <f ca="1">IFERROR(__xludf.DUMMYFUNCTION("""COMPUTED_VALUE"""),"")</f>
        <v/>
      </c>
    </row>
    <row r="12223" spans="1:5">
      <c r="A12223" s="12"/>
      <c r="E12223" s="57" t="str">
        <f ca="1">IFERROR(__xludf.DUMMYFUNCTION("""COMPUTED_VALUE"""),"")</f>
        <v/>
      </c>
    </row>
    <row r="12224" spans="1:5">
      <c r="A12224" s="12"/>
      <c r="E12224" s="57" t="str">
        <f ca="1">IFERROR(__xludf.DUMMYFUNCTION("""COMPUTED_VALUE"""),"")</f>
        <v/>
      </c>
    </row>
    <row r="12225" spans="1:5">
      <c r="A12225" s="12"/>
      <c r="E12225" s="57" t="str">
        <f ca="1">IFERROR(__xludf.DUMMYFUNCTION("""COMPUTED_VALUE"""),"")</f>
        <v/>
      </c>
    </row>
    <row r="12226" spans="1:5">
      <c r="A12226" s="12"/>
      <c r="E12226" s="57" t="str">
        <f ca="1">IFERROR(__xludf.DUMMYFUNCTION("""COMPUTED_VALUE"""),"")</f>
        <v/>
      </c>
    </row>
    <row r="12227" spans="1:5">
      <c r="A12227" s="12"/>
      <c r="E12227" s="57" t="str">
        <f ca="1">IFERROR(__xludf.DUMMYFUNCTION("""COMPUTED_VALUE"""),"")</f>
        <v/>
      </c>
    </row>
    <row r="12228" spans="1:5">
      <c r="A12228" s="12"/>
      <c r="E12228" s="57" t="str">
        <f ca="1">IFERROR(__xludf.DUMMYFUNCTION("""COMPUTED_VALUE"""),"")</f>
        <v/>
      </c>
    </row>
    <row r="12229" spans="1:5">
      <c r="A12229" s="12"/>
      <c r="E12229" s="57" t="str">
        <f ca="1">IFERROR(__xludf.DUMMYFUNCTION("""COMPUTED_VALUE"""),"")</f>
        <v/>
      </c>
    </row>
    <row r="12230" spans="1:5">
      <c r="A12230" s="12"/>
      <c r="E12230" s="57" t="str">
        <f ca="1">IFERROR(__xludf.DUMMYFUNCTION("""COMPUTED_VALUE"""),"")</f>
        <v/>
      </c>
    </row>
    <row r="12231" spans="1:5">
      <c r="A12231" s="12"/>
      <c r="E12231" s="57" t="str">
        <f ca="1">IFERROR(__xludf.DUMMYFUNCTION("""COMPUTED_VALUE"""),"")</f>
        <v/>
      </c>
    </row>
    <row r="12232" spans="1:5">
      <c r="A12232" s="12"/>
      <c r="E12232" s="57" t="str">
        <f ca="1">IFERROR(__xludf.DUMMYFUNCTION("""COMPUTED_VALUE"""),"")</f>
        <v/>
      </c>
    </row>
    <row r="12233" spans="1:5">
      <c r="A12233" s="12"/>
      <c r="E12233" s="57" t="str">
        <f ca="1">IFERROR(__xludf.DUMMYFUNCTION("""COMPUTED_VALUE"""),"")</f>
        <v/>
      </c>
    </row>
    <row r="12234" spans="1:5">
      <c r="A12234" s="12"/>
      <c r="E12234" s="57" t="str">
        <f ca="1">IFERROR(__xludf.DUMMYFUNCTION("""COMPUTED_VALUE"""),"")</f>
        <v/>
      </c>
    </row>
    <row r="12235" spans="1:5">
      <c r="A12235" s="12"/>
      <c r="E12235" s="57" t="str">
        <f ca="1">IFERROR(__xludf.DUMMYFUNCTION("""COMPUTED_VALUE"""),"")</f>
        <v/>
      </c>
    </row>
    <row r="12236" spans="1:5">
      <c r="A12236" s="12"/>
      <c r="E12236" s="57" t="str">
        <f ca="1">IFERROR(__xludf.DUMMYFUNCTION("""COMPUTED_VALUE"""),"")</f>
        <v/>
      </c>
    </row>
    <row r="12237" spans="1:5">
      <c r="A12237" s="12"/>
      <c r="E12237" s="57" t="str">
        <f ca="1">IFERROR(__xludf.DUMMYFUNCTION("""COMPUTED_VALUE"""),"")</f>
        <v/>
      </c>
    </row>
    <row r="12238" spans="1:5">
      <c r="A12238" s="12"/>
      <c r="E12238" s="57" t="str">
        <f ca="1">IFERROR(__xludf.DUMMYFUNCTION("""COMPUTED_VALUE"""),"")</f>
        <v/>
      </c>
    </row>
    <row r="12239" spans="1:5">
      <c r="A12239" s="12"/>
      <c r="E12239" s="57" t="str">
        <f ca="1">IFERROR(__xludf.DUMMYFUNCTION("""COMPUTED_VALUE"""),"")</f>
        <v/>
      </c>
    </row>
    <row r="12240" spans="1:5">
      <c r="A12240" s="12"/>
      <c r="E12240" s="57" t="str">
        <f ca="1">IFERROR(__xludf.DUMMYFUNCTION("""COMPUTED_VALUE"""),"")</f>
        <v/>
      </c>
    </row>
    <row r="12241" spans="1:5">
      <c r="A12241" s="12"/>
      <c r="E12241" s="57" t="str">
        <f ca="1">IFERROR(__xludf.DUMMYFUNCTION("""COMPUTED_VALUE"""),"")</f>
        <v/>
      </c>
    </row>
    <row r="12242" spans="1:5">
      <c r="A12242" s="12"/>
      <c r="E12242" s="57" t="str">
        <f ca="1">IFERROR(__xludf.DUMMYFUNCTION("""COMPUTED_VALUE"""),"")</f>
        <v/>
      </c>
    </row>
    <row r="12243" spans="1:5">
      <c r="A12243" s="12"/>
      <c r="E12243" s="57" t="str">
        <f ca="1">IFERROR(__xludf.DUMMYFUNCTION("""COMPUTED_VALUE"""),"")</f>
        <v/>
      </c>
    </row>
    <row r="12244" spans="1:5">
      <c r="A12244" s="12"/>
      <c r="E12244" s="57" t="str">
        <f ca="1">IFERROR(__xludf.DUMMYFUNCTION("""COMPUTED_VALUE"""),"")</f>
        <v/>
      </c>
    </row>
    <row r="12245" spans="1:5">
      <c r="A12245" s="12"/>
      <c r="E12245" s="57" t="str">
        <f ca="1">IFERROR(__xludf.DUMMYFUNCTION("""COMPUTED_VALUE"""),"")</f>
        <v/>
      </c>
    </row>
    <row r="12246" spans="1:5">
      <c r="A12246" s="12"/>
      <c r="E12246" s="57" t="str">
        <f ca="1">IFERROR(__xludf.DUMMYFUNCTION("""COMPUTED_VALUE"""),"")</f>
        <v/>
      </c>
    </row>
    <row r="12247" spans="1:5">
      <c r="A12247" s="12"/>
      <c r="E12247" s="57" t="str">
        <f ca="1">IFERROR(__xludf.DUMMYFUNCTION("""COMPUTED_VALUE"""),"")</f>
        <v/>
      </c>
    </row>
    <row r="12248" spans="1:5">
      <c r="A12248" s="12"/>
      <c r="E12248" s="57" t="str">
        <f ca="1">IFERROR(__xludf.DUMMYFUNCTION("""COMPUTED_VALUE"""),"")</f>
        <v/>
      </c>
    </row>
    <row r="12249" spans="1:5">
      <c r="A12249" s="12"/>
      <c r="E12249" s="57" t="str">
        <f ca="1">IFERROR(__xludf.DUMMYFUNCTION("""COMPUTED_VALUE"""),"")</f>
        <v/>
      </c>
    </row>
    <row r="12250" spans="1:5">
      <c r="A12250" s="12"/>
      <c r="E12250" s="57" t="str">
        <f ca="1">IFERROR(__xludf.DUMMYFUNCTION("""COMPUTED_VALUE"""),"")</f>
        <v/>
      </c>
    </row>
    <row r="12251" spans="1:5">
      <c r="A12251" s="12"/>
      <c r="E12251" s="57" t="str">
        <f ca="1">IFERROR(__xludf.DUMMYFUNCTION("""COMPUTED_VALUE"""),"")</f>
        <v/>
      </c>
    </row>
    <row r="12252" spans="1:5">
      <c r="A12252" s="12"/>
      <c r="E12252" s="57" t="str">
        <f ca="1">IFERROR(__xludf.DUMMYFUNCTION("""COMPUTED_VALUE"""),"")</f>
        <v/>
      </c>
    </row>
    <row r="12253" spans="1:5">
      <c r="A12253" s="12"/>
      <c r="E12253" s="57" t="str">
        <f ca="1">IFERROR(__xludf.DUMMYFUNCTION("""COMPUTED_VALUE"""),"")</f>
        <v/>
      </c>
    </row>
    <row r="12254" spans="1:5">
      <c r="A12254" s="12"/>
      <c r="E12254" s="57" t="str">
        <f ca="1">IFERROR(__xludf.DUMMYFUNCTION("""COMPUTED_VALUE"""),"")</f>
        <v/>
      </c>
    </row>
    <row r="12255" spans="1:5">
      <c r="A12255" s="12"/>
      <c r="E12255" s="57" t="str">
        <f ca="1">IFERROR(__xludf.DUMMYFUNCTION("""COMPUTED_VALUE"""),"")</f>
        <v/>
      </c>
    </row>
    <row r="12256" spans="1:5">
      <c r="A12256" s="12"/>
      <c r="E12256" s="57" t="str">
        <f ca="1">IFERROR(__xludf.DUMMYFUNCTION("""COMPUTED_VALUE"""),"")</f>
        <v/>
      </c>
    </row>
    <row r="12257" spans="1:5">
      <c r="A12257" s="12"/>
      <c r="E12257" s="57" t="str">
        <f ca="1">IFERROR(__xludf.DUMMYFUNCTION("""COMPUTED_VALUE"""),"")</f>
        <v/>
      </c>
    </row>
    <row r="12258" spans="1:5">
      <c r="A12258" s="12"/>
      <c r="E12258" s="57" t="str">
        <f ca="1">IFERROR(__xludf.DUMMYFUNCTION("""COMPUTED_VALUE"""),"")</f>
        <v/>
      </c>
    </row>
    <row r="12259" spans="1:5">
      <c r="A12259" s="12"/>
      <c r="E12259" s="57" t="str">
        <f ca="1">IFERROR(__xludf.DUMMYFUNCTION("""COMPUTED_VALUE"""),"")</f>
        <v/>
      </c>
    </row>
    <row r="12260" spans="1:5">
      <c r="A12260" s="12"/>
      <c r="E12260" s="57" t="str">
        <f ca="1">IFERROR(__xludf.DUMMYFUNCTION("""COMPUTED_VALUE"""),"")</f>
        <v/>
      </c>
    </row>
    <row r="12261" spans="1:5">
      <c r="A12261" s="12"/>
      <c r="E12261" s="57" t="str">
        <f ca="1">IFERROR(__xludf.DUMMYFUNCTION("""COMPUTED_VALUE"""),"")</f>
        <v/>
      </c>
    </row>
    <row r="12262" spans="1:5">
      <c r="A12262" s="12"/>
      <c r="E12262" s="57" t="str">
        <f ca="1">IFERROR(__xludf.DUMMYFUNCTION("""COMPUTED_VALUE"""),"")</f>
        <v/>
      </c>
    </row>
    <row r="12263" spans="1:5">
      <c r="A12263" s="12"/>
      <c r="E12263" s="57" t="str">
        <f ca="1">IFERROR(__xludf.DUMMYFUNCTION("""COMPUTED_VALUE"""),"")</f>
        <v/>
      </c>
    </row>
    <row r="12264" spans="1:5">
      <c r="A12264" s="12"/>
      <c r="E12264" s="57" t="str">
        <f ca="1">IFERROR(__xludf.DUMMYFUNCTION("""COMPUTED_VALUE"""),"")</f>
        <v/>
      </c>
    </row>
    <row r="12265" spans="1:5">
      <c r="A12265" s="12"/>
      <c r="E12265" s="57" t="str">
        <f ca="1">IFERROR(__xludf.DUMMYFUNCTION("""COMPUTED_VALUE"""),"")</f>
        <v/>
      </c>
    </row>
    <row r="12266" spans="1:5">
      <c r="A12266" s="12"/>
      <c r="E12266" s="57" t="str">
        <f ca="1">IFERROR(__xludf.DUMMYFUNCTION("""COMPUTED_VALUE"""),"")</f>
        <v/>
      </c>
    </row>
    <row r="12267" spans="1:5">
      <c r="A12267" s="12"/>
      <c r="E12267" s="57" t="str">
        <f ca="1">IFERROR(__xludf.DUMMYFUNCTION("""COMPUTED_VALUE"""),"")</f>
        <v/>
      </c>
    </row>
    <row r="12268" spans="1:5">
      <c r="A12268" s="12"/>
      <c r="E12268" s="57" t="str">
        <f ca="1">IFERROR(__xludf.DUMMYFUNCTION("""COMPUTED_VALUE"""),"")</f>
        <v/>
      </c>
    </row>
    <row r="12269" spans="1:5">
      <c r="A12269" s="12"/>
      <c r="E12269" s="57" t="str">
        <f ca="1">IFERROR(__xludf.DUMMYFUNCTION("""COMPUTED_VALUE"""),"")</f>
        <v/>
      </c>
    </row>
    <row r="12270" spans="1:5">
      <c r="A12270" s="12"/>
      <c r="E12270" s="57" t="str">
        <f ca="1">IFERROR(__xludf.DUMMYFUNCTION("""COMPUTED_VALUE"""),"")</f>
        <v/>
      </c>
    </row>
    <row r="12271" spans="1:5">
      <c r="A12271" s="12"/>
      <c r="E12271" s="57" t="str">
        <f ca="1">IFERROR(__xludf.DUMMYFUNCTION("""COMPUTED_VALUE"""),"")</f>
        <v/>
      </c>
    </row>
    <row r="12272" spans="1:5">
      <c r="A12272" s="12"/>
      <c r="E12272" s="57" t="str">
        <f ca="1">IFERROR(__xludf.DUMMYFUNCTION("""COMPUTED_VALUE"""),"")</f>
        <v/>
      </c>
    </row>
    <row r="12273" spans="1:5">
      <c r="A12273" s="12"/>
      <c r="E12273" s="57" t="str">
        <f ca="1">IFERROR(__xludf.DUMMYFUNCTION("""COMPUTED_VALUE"""),"")</f>
        <v/>
      </c>
    </row>
    <row r="12274" spans="1:5">
      <c r="A12274" s="12"/>
      <c r="E12274" s="57" t="str">
        <f ca="1">IFERROR(__xludf.DUMMYFUNCTION("""COMPUTED_VALUE"""),"")</f>
        <v/>
      </c>
    </row>
    <row r="12275" spans="1:5">
      <c r="A12275" s="12"/>
      <c r="E12275" s="57" t="str">
        <f ca="1">IFERROR(__xludf.DUMMYFUNCTION("""COMPUTED_VALUE"""),"")</f>
        <v/>
      </c>
    </row>
    <row r="12276" spans="1:5">
      <c r="A12276" s="12"/>
      <c r="E12276" s="57" t="str">
        <f ca="1">IFERROR(__xludf.DUMMYFUNCTION("""COMPUTED_VALUE"""),"")</f>
        <v/>
      </c>
    </row>
    <row r="12277" spans="1:5">
      <c r="A12277" s="12"/>
      <c r="E12277" s="57" t="str">
        <f ca="1">IFERROR(__xludf.DUMMYFUNCTION("""COMPUTED_VALUE"""),"")</f>
        <v/>
      </c>
    </row>
    <row r="12278" spans="1:5">
      <c r="A12278" s="12"/>
      <c r="E12278" s="57" t="str">
        <f ca="1">IFERROR(__xludf.DUMMYFUNCTION("""COMPUTED_VALUE"""),"")</f>
        <v/>
      </c>
    </row>
    <row r="12279" spans="1:5">
      <c r="A12279" s="12"/>
      <c r="E12279" s="57" t="str">
        <f ca="1">IFERROR(__xludf.DUMMYFUNCTION("""COMPUTED_VALUE"""),"")</f>
        <v/>
      </c>
    </row>
    <row r="12280" spans="1:5">
      <c r="A12280" s="12"/>
      <c r="E12280" s="57" t="str">
        <f ca="1">IFERROR(__xludf.DUMMYFUNCTION("""COMPUTED_VALUE"""),"")</f>
        <v/>
      </c>
    </row>
    <row r="12281" spans="1:5">
      <c r="A12281" s="12"/>
      <c r="E12281" s="57" t="str">
        <f ca="1">IFERROR(__xludf.DUMMYFUNCTION("""COMPUTED_VALUE"""),"")</f>
        <v/>
      </c>
    </row>
    <row r="12282" spans="1:5">
      <c r="A12282" s="12"/>
      <c r="E12282" s="57" t="str">
        <f ca="1">IFERROR(__xludf.DUMMYFUNCTION("""COMPUTED_VALUE"""),"")</f>
        <v/>
      </c>
    </row>
    <row r="12283" spans="1:5">
      <c r="A12283" s="12"/>
      <c r="E12283" s="57" t="str">
        <f ca="1">IFERROR(__xludf.DUMMYFUNCTION("""COMPUTED_VALUE"""),"")</f>
        <v/>
      </c>
    </row>
    <row r="12284" spans="1:5">
      <c r="A12284" s="12"/>
      <c r="E12284" s="57" t="str">
        <f ca="1">IFERROR(__xludf.DUMMYFUNCTION("""COMPUTED_VALUE"""),"")</f>
        <v/>
      </c>
    </row>
    <row r="12285" spans="1:5">
      <c r="A12285" s="12"/>
      <c r="E12285" s="57" t="str">
        <f ca="1">IFERROR(__xludf.DUMMYFUNCTION("""COMPUTED_VALUE"""),"")</f>
        <v/>
      </c>
    </row>
    <row r="12286" spans="1:5">
      <c r="A12286" s="12"/>
      <c r="E12286" s="57" t="str">
        <f ca="1">IFERROR(__xludf.DUMMYFUNCTION("""COMPUTED_VALUE"""),"")</f>
        <v/>
      </c>
    </row>
    <row r="12287" spans="1:5">
      <c r="A12287" s="12"/>
      <c r="E12287" s="57" t="str">
        <f ca="1">IFERROR(__xludf.DUMMYFUNCTION("""COMPUTED_VALUE"""),"")</f>
        <v/>
      </c>
    </row>
    <row r="12288" spans="1:5">
      <c r="A12288" s="12"/>
      <c r="E12288" s="57" t="str">
        <f ca="1">IFERROR(__xludf.DUMMYFUNCTION("""COMPUTED_VALUE"""),"")</f>
        <v/>
      </c>
    </row>
    <row r="12289" spans="1:5">
      <c r="A12289" s="12"/>
      <c r="E12289" s="57" t="str">
        <f ca="1">IFERROR(__xludf.DUMMYFUNCTION("""COMPUTED_VALUE"""),"")</f>
        <v/>
      </c>
    </row>
    <row r="12290" spans="1:5">
      <c r="A12290" s="12"/>
      <c r="E12290" s="57" t="str">
        <f ca="1">IFERROR(__xludf.DUMMYFUNCTION("""COMPUTED_VALUE"""),"")</f>
        <v/>
      </c>
    </row>
    <row r="12291" spans="1:5">
      <c r="A12291" s="12"/>
      <c r="E12291" s="57" t="str">
        <f ca="1">IFERROR(__xludf.DUMMYFUNCTION("""COMPUTED_VALUE"""),"")</f>
        <v/>
      </c>
    </row>
    <row r="12292" spans="1:5">
      <c r="A12292" s="12"/>
      <c r="E12292" s="57" t="str">
        <f ca="1">IFERROR(__xludf.DUMMYFUNCTION("""COMPUTED_VALUE"""),"")</f>
        <v/>
      </c>
    </row>
    <row r="12293" spans="1:5">
      <c r="A12293" s="12"/>
      <c r="E12293" s="57" t="str">
        <f ca="1">IFERROR(__xludf.DUMMYFUNCTION("""COMPUTED_VALUE"""),"")</f>
        <v/>
      </c>
    </row>
    <row r="12294" spans="1:5">
      <c r="A12294" s="12"/>
      <c r="E12294" s="57" t="str">
        <f ca="1">IFERROR(__xludf.DUMMYFUNCTION("""COMPUTED_VALUE"""),"")</f>
        <v/>
      </c>
    </row>
    <row r="12295" spans="1:5">
      <c r="A12295" s="12"/>
      <c r="E12295" s="57" t="str">
        <f ca="1">IFERROR(__xludf.DUMMYFUNCTION("""COMPUTED_VALUE"""),"")</f>
        <v/>
      </c>
    </row>
    <row r="12296" spans="1:5">
      <c r="A12296" s="12"/>
      <c r="E12296" s="57" t="str">
        <f ca="1">IFERROR(__xludf.DUMMYFUNCTION("""COMPUTED_VALUE"""),"")</f>
        <v/>
      </c>
    </row>
    <row r="12297" spans="1:5">
      <c r="A12297" s="12"/>
      <c r="E12297" s="57" t="str">
        <f ca="1">IFERROR(__xludf.DUMMYFUNCTION("""COMPUTED_VALUE"""),"")</f>
        <v/>
      </c>
    </row>
    <row r="12298" spans="1:5">
      <c r="A12298" s="12"/>
      <c r="E12298" s="57" t="str">
        <f ca="1">IFERROR(__xludf.DUMMYFUNCTION("""COMPUTED_VALUE"""),"")</f>
        <v/>
      </c>
    </row>
    <row r="12299" spans="1:5">
      <c r="A12299" s="12"/>
      <c r="E12299" s="57" t="str">
        <f ca="1">IFERROR(__xludf.DUMMYFUNCTION("""COMPUTED_VALUE"""),"")</f>
        <v/>
      </c>
    </row>
    <row r="12300" spans="1:5">
      <c r="A12300" s="12"/>
      <c r="E12300" s="57" t="str">
        <f ca="1">IFERROR(__xludf.DUMMYFUNCTION("""COMPUTED_VALUE"""),"")</f>
        <v/>
      </c>
    </row>
    <row r="12301" spans="1:5">
      <c r="A12301" s="12"/>
      <c r="E12301" s="57" t="str">
        <f ca="1">IFERROR(__xludf.DUMMYFUNCTION("""COMPUTED_VALUE"""),"")</f>
        <v/>
      </c>
    </row>
    <row r="12302" spans="1:5">
      <c r="A12302" s="12"/>
      <c r="E12302" s="57" t="str">
        <f ca="1">IFERROR(__xludf.DUMMYFUNCTION("""COMPUTED_VALUE"""),"")</f>
        <v/>
      </c>
    </row>
    <row r="12303" spans="1:5">
      <c r="A12303" s="12"/>
      <c r="E12303" s="57" t="str">
        <f ca="1">IFERROR(__xludf.DUMMYFUNCTION("""COMPUTED_VALUE"""),"")</f>
        <v/>
      </c>
    </row>
    <row r="12304" spans="1:5">
      <c r="A12304" s="12"/>
      <c r="E12304" s="57" t="str">
        <f ca="1">IFERROR(__xludf.DUMMYFUNCTION("""COMPUTED_VALUE"""),"")</f>
        <v/>
      </c>
    </row>
    <row r="12305" spans="1:5">
      <c r="A12305" s="12"/>
      <c r="E12305" s="57" t="str">
        <f ca="1">IFERROR(__xludf.DUMMYFUNCTION("""COMPUTED_VALUE"""),"")</f>
        <v/>
      </c>
    </row>
    <row r="12306" spans="1:5">
      <c r="A12306" s="12"/>
      <c r="E12306" s="57" t="str">
        <f ca="1">IFERROR(__xludf.DUMMYFUNCTION("""COMPUTED_VALUE"""),"")</f>
        <v/>
      </c>
    </row>
    <row r="12307" spans="1:5">
      <c r="A12307" s="12"/>
      <c r="E12307" s="57" t="str">
        <f ca="1">IFERROR(__xludf.DUMMYFUNCTION("""COMPUTED_VALUE"""),"")</f>
        <v/>
      </c>
    </row>
    <row r="12308" spans="1:5">
      <c r="A12308" s="12"/>
      <c r="E12308" s="57" t="str">
        <f ca="1">IFERROR(__xludf.DUMMYFUNCTION("""COMPUTED_VALUE"""),"")</f>
        <v/>
      </c>
    </row>
    <row r="12309" spans="1:5">
      <c r="A12309" s="12"/>
      <c r="E12309" s="57" t="str">
        <f ca="1">IFERROR(__xludf.DUMMYFUNCTION("""COMPUTED_VALUE"""),"")</f>
        <v/>
      </c>
    </row>
    <row r="12310" spans="1:5">
      <c r="A12310" s="12"/>
      <c r="E12310" s="57" t="str">
        <f ca="1">IFERROR(__xludf.DUMMYFUNCTION("""COMPUTED_VALUE"""),"")</f>
        <v/>
      </c>
    </row>
    <row r="12311" spans="1:5">
      <c r="A12311" s="12"/>
      <c r="E12311" s="57" t="str">
        <f ca="1">IFERROR(__xludf.DUMMYFUNCTION("""COMPUTED_VALUE"""),"")</f>
        <v/>
      </c>
    </row>
    <row r="12312" spans="1:5">
      <c r="A12312" s="12"/>
      <c r="E12312" s="57" t="str">
        <f ca="1">IFERROR(__xludf.DUMMYFUNCTION("""COMPUTED_VALUE"""),"")</f>
        <v/>
      </c>
    </row>
    <row r="12313" spans="1:5">
      <c r="A12313" s="12"/>
      <c r="E12313" s="57" t="str">
        <f ca="1">IFERROR(__xludf.DUMMYFUNCTION("""COMPUTED_VALUE"""),"")</f>
        <v/>
      </c>
    </row>
    <row r="12314" spans="1:5">
      <c r="A12314" s="12"/>
      <c r="E12314" s="57" t="str">
        <f ca="1">IFERROR(__xludf.DUMMYFUNCTION("""COMPUTED_VALUE"""),"")</f>
        <v/>
      </c>
    </row>
    <row r="12315" spans="1:5">
      <c r="A12315" s="12"/>
      <c r="E12315" s="57" t="str">
        <f ca="1">IFERROR(__xludf.DUMMYFUNCTION("""COMPUTED_VALUE"""),"")</f>
        <v/>
      </c>
    </row>
    <row r="12316" spans="1:5">
      <c r="A12316" s="12"/>
      <c r="E12316" s="57" t="str">
        <f ca="1">IFERROR(__xludf.DUMMYFUNCTION("""COMPUTED_VALUE"""),"")</f>
        <v/>
      </c>
    </row>
    <row r="12317" spans="1:5">
      <c r="A12317" s="12"/>
      <c r="E12317" s="57" t="str">
        <f ca="1">IFERROR(__xludf.DUMMYFUNCTION("""COMPUTED_VALUE"""),"")</f>
        <v/>
      </c>
    </row>
    <row r="12318" spans="1:5">
      <c r="A12318" s="12"/>
      <c r="E12318" s="57" t="str">
        <f ca="1">IFERROR(__xludf.DUMMYFUNCTION("""COMPUTED_VALUE"""),"")</f>
        <v/>
      </c>
    </row>
    <row r="12319" spans="1:5">
      <c r="A12319" s="12"/>
      <c r="E12319" s="57" t="str">
        <f ca="1">IFERROR(__xludf.DUMMYFUNCTION("""COMPUTED_VALUE"""),"")</f>
        <v/>
      </c>
    </row>
    <row r="12320" spans="1:5">
      <c r="A12320" s="12"/>
      <c r="E12320" s="57" t="str">
        <f ca="1">IFERROR(__xludf.DUMMYFUNCTION("""COMPUTED_VALUE"""),"")</f>
        <v/>
      </c>
    </row>
    <row r="12321" spans="1:5">
      <c r="A12321" s="12"/>
      <c r="E12321" s="57" t="str">
        <f ca="1">IFERROR(__xludf.DUMMYFUNCTION("""COMPUTED_VALUE"""),"")</f>
        <v/>
      </c>
    </row>
    <row r="12322" spans="1:5">
      <c r="A12322" s="12"/>
      <c r="E12322" s="57" t="str">
        <f ca="1">IFERROR(__xludf.DUMMYFUNCTION("""COMPUTED_VALUE"""),"")</f>
        <v/>
      </c>
    </row>
    <row r="12323" spans="1:5">
      <c r="A12323" s="12"/>
      <c r="E12323" s="57" t="str">
        <f ca="1">IFERROR(__xludf.DUMMYFUNCTION("""COMPUTED_VALUE"""),"")</f>
        <v/>
      </c>
    </row>
    <row r="12324" spans="1:5">
      <c r="A12324" s="12"/>
      <c r="E12324" s="57" t="str">
        <f ca="1">IFERROR(__xludf.DUMMYFUNCTION("""COMPUTED_VALUE"""),"")</f>
        <v/>
      </c>
    </row>
    <row r="12325" spans="1:5">
      <c r="A12325" s="12"/>
      <c r="E12325" s="57" t="str">
        <f ca="1">IFERROR(__xludf.DUMMYFUNCTION("""COMPUTED_VALUE"""),"")</f>
        <v/>
      </c>
    </row>
    <row r="12326" spans="1:5">
      <c r="A12326" s="12"/>
      <c r="E12326" s="57" t="str">
        <f ca="1">IFERROR(__xludf.DUMMYFUNCTION("""COMPUTED_VALUE"""),"")</f>
        <v/>
      </c>
    </row>
    <row r="12327" spans="1:5">
      <c r="A12327" s="12"/>
      <c r="E12327" s="57" t="str">
        <f ca="1">IFERROR(__xludf.DUMMYFUNCTION("""COMPUTED_VALUE"""),"")</f>
        <v/>
      </c>
    </row>
    <row r="12328" spans="1:5">
      <c r="A12328" s="12"/>
      <c r="E12328" s="57" t="str">
        <f ca="1">IFERROR(__xludf.DUMMYFUNCTION("""COMPUTED_VALUE"""),"")</f>
        <v/>
      </c>
    </row>
    <row r="12329" spans="1:5">
      <c r="A12329" s="12"/>
      <c r="E12329" s="57" t="str">
        <f ca="1">IFERROR(__xludf.DUMMYFUNCTION("""COMPUTED_VALUE"""),"")</f>
        <v/>
      </c>
    </row>
    <row r="12330" spans="1:5">
      <c r="A12330" s="12"/>
      <c r="E12330" s="57" t="str">
        <f ca="1">IFERROR(__xludf.DUMMYFUNCTION("""COMPUTED_VALUE"""),"")</f>
        <v/>
      </c>
    </row>
    <row r="12331" spans="1:5">
      <c r="A12331" s="12"/>
      <c r="E12331" s="57" t="str">
        <f ca="1">IFERROR(__xludf.DUMMYFUNCTION("""COMPUTED_VALUE"""),"")</f>
        <v/>
      </c>
    </row>
    <row r="12332" spans="1:5">
      <c r="A12332" s="12"/>
      <c r="E12332" s="57" t="str">
        <f ca="1">IFERROR(__xludf.DUMMYFUNCTION("""COMPUTED_VALUE"""),"")</f>
        <v/>
      </c>
    </row>
    <row r="12333" spans="1:5">
      <c r="A12333" s="12"/>
      <c r="E12333" s="57" t="str">
        <f ca="1">IFERROR(__xludf.DUMMYFUNCTION("""COMPUTED_VALUE"""),"")</f>
        <v/>
      </c>
    </row>
    <row r="12334" spans="1:5">
      <c r="A12334" s="12"/>
      <c r="E12334" s="57" t="str">
        <f ca="1">IFERROR(__xludf.DUMMYFUNCTION("""COMPUTED_VALUE"""),"")</f>
        <v/>
      </c>
    </row>
    <row r="12335" spans="1:5">
      <c r="A12335" s="12"/>
      <c r="E12335" s="57" t="str">
        <f ca="1">IFERROR(__xludf.DUMMYFUNCTION("""COMPUTED_VALUE"""),"")</f>
        <v/>
      </c>
    </row>
    <row r="12336" spans="1:5">
      <c r="A12336" s="12"/>
      <c r="E12336" s="57" t="str">
        <f ca="1">IFERROR(__xludf.DUMMYFUNCTION("""COMPUTED_VALUE"""),"")</f>
        <v/>
      </c>
    </row>
    <row r="12337" spans="1:5">
      <c r="A12337" s="12"/>
      <c r="E12337" s="57" t="str">
        <f ca="1">IFERROR(__xludf.DUMMYFUNCTION("""COMPUTED_VALUE"""),"")</f>
        <v/>
      </c>
    </row>
    <row r="12338" spans="1:5">
      <c r="A12338" s="12"/>
      <c r="E12338" s="57" t="str">
        <f ca="1">IFERROR(__xludf.DUMMYFUNCTION("""COMPUTED_VALUE"""),"")</f>
        <v/>
      </c>
    </row>
    <row r="12339" spans="1:5">
      <c r="A12339" s="12"/>
      <c r="E12339" s="57" t="str">
        <f ca="1">IFERROR(__xludf.DUMMYFUNCTION("""COMPUTED_VALUE"""),"")</f>
        <v/>
      </c>
    </row>
    <row r="12340" spans="1:5">
      <c r="A12340" s="12"/>
      <c r="E12340" s="57" t="str">
        <f ca="1">IFERROR(__xludf.DUMMYFUNCTION("""COMPUTED_VALUE"""),"")</f>
        <v/>
      </c>
    </row>
    <row r="12341" spans="1:5">
      <c r="A12341" s="12"/>
      <c r="E12341" s="57" t="str">
        <f ca="1">IFERROR(__xludf.DUMMYFUNCTION("""COMPUTED_VALUE"""),"")</f>
        <v/>
      </c>
    </row>
    <row r="12342" spans="1:5">
      <c r="A12342" s="12"/>
      <c r="E12342" s="57" t="str">
        <f ca="1">IFERROR(__xludf.DUMMYFUNCTION("""COMPUTED_VALUE"""),"")</f>
        <v/>
      </c>
    </row>
    <row r="12343" spans="1:5">
      <c r="A12343" s="12"/>
      <c r="E12343" s="57" t="str">
        <f ca="1">IFERROR(__xludf.DUMMYFUNCTION("""COMPUTED_VALUE"""),"")</f>
        <v/>
      </c>
    </row>
    <row r="12344" spans="1:5">
      <c r="A12344" s="12"/>
      <c r="E12344" s="57" t="str">
        <f ca="1">IFERROR(__xludf.DUMMYFUNCTION("""COMPUTED_VALUE"""),"")</f>
        <v/>
      </c>
    </row>
    <row r="12345" spans="1:5">
      <c r="A12345" s="12"/>
      <c r="E12345" s="57" t="str">
        <f ca="1">IFERROR(__xludf.DUMMYFUNCTION("""COMPUTED_VALUE"""),"")</f>
        <v/>
      </c>
    </row>
    <row r="12346" spans="1:5">
      <c r="A12346" s="12"/>
      <c r="E12346" s="57" t="str">
        <f ca="1">IFERROR(__xludf.DUMMYFUNCTION("""COMPUTED_VALUE"""),"")</f>
        <v/>
      </c>
    </row>
    <row r="12347" spans="1:5">
      <c r="A12347" s="12"/>
      <c r="E12347" s="57" t="str">
        <f ca="1">IFERROR(__xludf.DUMMYFUNCTION("""COMPUTED_VALUE"""),"")</f>
        <v/>
      </c>
    </row>
    <row r="12348" spans="1:5">
      <c r="A12348" s="12"/>
      <c r="E12348" s="57" t="str">
        <f ca="1">IFERROR(__xludf.DUMMYFUNCTION("""COMPUTED_VALUE"""),"")</f>
        <v/>
      </c>
    </row>
    <row r="12349" spans="1:5">
      <c r="A12349" s="12"/>
      <c r="E12349" s="57" t="str">
        <f ca="1">IFERROR(__xludf.DUMMYFUNCTION("""COMPUTED_VALUE"""),"")</f>
        <v/>
      </c>
    </row>
    <row r="12350" spans="1:5">
      <c r="A12350" s="12"/>
      <c r="E12350" s="57" t="str">
        <f ca="1">IFERROR(__xludf.DUMMYFUNCTION("""COMPUTED_VALUE"""),"")</f>
        <v/>
      </c>
    </row>
    <row r="12351" spans="1:5">
      <c r="A12351" s="12"/>
      <c r="E12351" s="57" t="str">
        <f ca="1">IFERROR(__xludf.DUMMYFUNCTION("""COMPUTED_VALUE"""),"")</f>
        <v/>
      </c>
    </row>
    <row r="12352" spans="1:5">
      <c r="A12352" s="12"/>
      <c r="E12352" s="57" t="str">
        <f ca="1">IFERROR(__xludf.DUMMYFUNCTION("""COMPUTED_VALUE"""),"")</f>
        <v/>
      </c>
    </row>
    <row r="12353" spans="1:5">
      <c r="A12353" s="12"/>
      <c r="E12353" s="57" t="str">
        <f ca="1">IFERROR(__xludf.DUMMYFUNCTION("""COMPUTED_VALUE"""),"")</f>
        <v/>
      </c>
    </row>
    <row r="12354" spans="1:5">
      <c r="A12354" s="12"/>
      <c r="E12354" s="57" t="str">
        <f ca="1">IFERROR(__xludf.DUMMYFUNCTION("""COMPUTED_VALUE"""),"")</f>
        <v/>
      </c>
    </row>
    <row r="12355" spans="1:5">
      <c r="A12355" s="12"/>
      <c r="E12355" s="57" t="str">
        <f ca="1">IFERROR(__xludf.DUMMYFUNCTION("""COMPUTED_VALUE"""),"")</f>
        <v/>
      </c>
    </row>
    <row r="12356" spans="1:5">
      <c r="A12356" s="12"/>
      <c r="E12356" s="57" t="str">
        <f ca="1">IFERROR(__xludf.DUMMYFUNCTION("""COMPUTED_VALUE"""),"")</f>
        <v/>
      </c>
    </row>
    <row r="12357" spans="1:5">
      <c r="A12357" s="12"/>
      <c r="E12357" s="57" t="str">
        <f ca="1">IFERROR(__xludf.DUMMYFUNCTION("""COMPUTED_VALUE"""),"")</f>
        <v/>
      </c>
    </row>
    <row r="12358" spans="1:5">
      <c r="A12358" s="12"/>
      <c r="E12358" s="57" t="str">
        <f ca="1">IFERROR(__xludf.DUMMYFUNCTION("""COMPUTED_VALUE"""),"")</f>
        <v/>
      </c>
    </row>
    <row r="12359" spans="1:5">
      <c r="A12359" s="12"/>
      <c r="E12359" s="57" t="str">
        <f ca="1">IFERROR(__xludf.DUMMYFUNCTION("""COMPUTED_VALUE"""),"")</f>
        <v/>
      </c>
    </row>
    <row r="12360" spans="1:5">
      <c r="A12360" s="12"/>
      <c r="E12360" s="57" t="str">
        <f ca="1">IFERROR(__xludf.DUMMYFUNCTION("""COMPUTED_VALUE"""),"")</f>
        <v/>
      </c>
    </row>
    <row r="12361" spans="1:5">
      <c r="A12361" s="12"/>
      <c r="E12361" s="57" t="str">
        <f ca="1">IFERROR(__xludf.DUMMYFUNCTION("""COMPUTED_VALUE"""),"")</f>
        <v/>
      </c>
    </row>
    <row r="12362" spans="1:5">
      <c r="A12362" s="12"/>
      <c r="E12362" s="57" t="str">
        <f ca="1">IFERROR(__xludf.DUMMYFUNCTION("""COMPUTED_VALUE"""),"")</f>
        <v/>
      </c>
    </row>
    <row r="12363" spans="1:5">
      <c r="A12363" s="12"/>
      <c r="E12363" s="57" t="str">
        <f ca="1">IFERROR(__xludf.DUMMYFUNCTION("""COMPUTED_VALUE"""),"")</f>
        <v/>
      </c>
    </row>
    <row r="12364" spans="1:5">
      <c r="A12364" s="12"/>
      <c r="E12364" s="57" t="str">
        <f ca="1">IFERROR(__xludf.DUMMYFUNCTION("""COMPUTED_VALUE"""),"")</f>
        <v/>
      </c>
    </row>
    <row r="12365" spans="1:5">
      <c r="A12365" s="12"/>
      <c r="E12365" s="57" t="str">
        <f ca="1">IFERROR(__xludf.DUMMYFUNCTION("""COMPUTED_VALUE"""),"")</f>
        <v/>
      </c>
    </row>
    <row r="12366" spans="1:5">
      <c r="A12366" s="12"/>
      <c r="E12366" s="57" t="str">
        <f ca="1">IFERROR(__xludf.DUMMYFUNCTION("""COMPUTED_VALUE"""),"")</f>
        <v/>
      </c>
    </row>
    <row r="12367" spans="1:5">
      <c r="A12367" s="12"/>
      <c r="E12367" s="57" t="str">
        <f ca="1">IFERROR(__xludf.DUMMYFUNCTION("""COMPUTED_VALUE"""),"")</f>
        <v/>
      </c>
    </row>
    <row r="12368" spans="1:5">
      <c r="A12368" s="12"/>
      <c r="E12368" s="57" t="str">
        <f ca="1">IFERROR(__xludf.DUMMYFUNCTION("""COMPUTED_VALUE"""),"")</f>
        <v/>
      </c>
    </row>
    <row r="12369" spans="1:5">
      <c r="A12369" s="12"/>
      <c r="E12369" s="57" t="str">
        <f ca="1">IFERROR(__xludf.DUMMYFUNCTION("""COMPUTED_VALUE"""),"")</f>
        <v/>
      </c>
    </row>
    <row r="12370" spans="1:5">
      <c r="A12370" s="12"/>
      <c r="E12370" s="57" t="str">
        <f ca="1">IFERROR(__xludf.DUMMYFUNCTION("""COMPUTED_VALUE"""),"")</f>
        <v/>
      </c>
    </row>
    <row r="12371" spans="1:5">
      <c r="A12371" s="12"/>
      <c r="E12371" s="57" t="str">
        <f ca="1">IFERROR(__xludf.DUMMYFUNCTION("""COMPUTED_VALUE"""),"")</f>
        <v/>
      </c>
    </row>
    <row r="12372" spans="1:5">
      <c r="A12372" s="12"/>
      <c r="E12372" s="57" t="str">
        <f ca="1">IFERROR(__xludf.DUMMYFUNCTION("""COMPUTED_VALUE"""),"")</f>
        <v/>
      </c>
    </row>
    <row r="12373" spans="1:5">
      <c r="A12373" s="12"/>
      <c r="E12373" s="57" t="str">
        <f ca="1">IFERROR(__xludf.DUMMYFUNCTION("""COMPUTED_VALUE"""),"")</f>
        <v/>
      </c>
    </row>
    <row r="12374" spans="1:5">
      <c r="A12374" s="12"/>
      <c r="E12374" s="57" t="str">
        <f ca="1">IFERROR(__xludf.DUMMYFUNCTION("""COMPUTED_VALUE"""),"")</f>
        <v/>
      </c>
    </row>
    <row r="12375" spans="1:5">
      <c r="A12375" s="12"/>
      <c r="E12375" s="57" t="str">
        <f ca="1">IFERROR(__xludf.DUMMYFUNCTION("""COMPUTED_VALUE"""),"")</f>
        <v/>
      </c>
    </row>
    <row r="12376" spans="1:5">
      <c r="A12376" s="12"/>
      <c r="E12376" s="57" t="str">
        <f ca="1">IFERROR(__xludf.DUMMYFUNCTION("""COMPUTED_VALUE"""),"")</f>
        <v/>
      </c>
    </row>
    <row r="12377" spans="1:5">
      <c r="A12377" s="12"/>
      <c r="E12377" s="57" t="str">
        <f ca="1">IFERROR(__xludf.DUMMYFUNCTION("""COMPUTED_VALUE"""),"")</f>
        <v/>
      </c>
    </row>
    <row r="12378" spans="1:5">
      <c r="A12378" s="12"/>
      <c r="E12378" s="57" t="str">
        <f ca="1">IFERROR(__xludf.DUMMYFUNCTION("""COMPUTED_VALUE"""),"")</f>
        <v/>
      </c>
    </row>
    <row r="12379" spans="1:5">
      <c r="A12379" s="12"/>
      <c r="E12379" s="57" t="str">
        <f ca="1">IFERROR(__xludf.DUMMYFUNCTION("""COMPUTED_VALUE"""),"")</f>
        <v/>
      </c>
    </row>
    <row r="12380" spans="1:5">
      <c r="A12380" s="12"/>
      <c r="E12380" s="57" t="str">
        <f ca="1">IFERROR(__xludf.DUMMYFUNCTION("""COMPUTED_VALUE"""),"")</f>
        <v/>
      </c>
    </row>
    <row r="12381" spans="1:5">
      <c r="A12381" s="12"/>
      <c r="E12381" s="57" t="str">
        <f ca="1">IFERROR(__xludf.DUMMYFUNCTION("""COMPUTED_VALUE"""),"")</f>
        <v/>
      </c>
    </row>
    <row r="12382" spans="1:5">
      <c r="A12382" s="12"/>
      <c r="E12382" s="57" t="str">
        <f ca="1">IFERROR(__xludf.DUMMYFUNCTION("""COMPUTED_VALUE"""),"")</f>
        <v/>
      </c>
    </row>
    <row r="12383" spans="1:5">
      <c r="A12383" s="12"/>
      <c r="E12383" s="57" t="str">
        <f ca="1">IFERROR(__xludf.DUMMYFUNCTION("""COMPUTED_VALUE"""),"")</f>
        <v/>
      </c>
    </row>
    <row r="12384" spans="1:5">
      <c r="A12384" s="12"/>
      <c r="E12384" s="57" t="str">
        <f ca="1">IFERROR(__xludf.DUMMYFUNCTION("""COMPUTED_VALUE"""),"")</f>
        <v/>
      </c>
    </row>
    <row r="12385" spans="1:5">
      <c r="A12385" s="12"/>
      <c r="E12385" s="57" t="str">
        <f ca="1">IFERROR(__xludf.DUMMYFUNCTION("""COMPUTED_VALUE"""),"")</f>
        <v/>
      </c>
    </row>
    <row r="12386" spans="1:5">
      <c r="A12386" s="12"/>
      <c r="E12386" s="57" t="str">
        <f ca="1">IFERROR(__xludf.DUMMYFUNCTION("""COMPUTED_VALUE"""),"")</f>
        <v/>
      </c>
    </row>
    <row r="12387" spans="1:5">
      <c r="A12387" s="12"/>
      <c r="E12387" s="57" t="str">
        <f ca="1">IFERROR(__xludf.DUMMYFUNCTION("""COMPUTED_VALUE"""),"")</f>
        <v/>
      </c>
    </row>
    <row r="12388" spans="1:5">
      <c r="A12388" s="12"/>
      <c r="E12388" s="57" t="str">
        <f ca="1">IFERROR(__xludf.DUMMYFUNCTION("""COMPUTED_VALUE"""),"")</f>
        <v/>
      </c>
    </row>
    <row r="12389" spans="1:5">
      <c r="A12389" s="12"/>
      <c r="E12389" s="57" t="str">
        <f ca="1">IFERROR(__xludf.DUMMYFUNCTION("""COMPUTED_VALUE"""),"")</f>
        <v/>
      </c>
    </row>
    <row r="12390" spans="1:5">
      <c r="A12390" s="12"/>
      <c r="E12390" s="57" t="str">
        <f ca="1">IFERROR(__xludf.DUMMYFUNCTION("""COMPUTED_VALUE"""),"")</f>
        <v/>
      </c>
    </row>
    <row r="12391" spans="1:5">
      <c r="A12391" s="12"/>
      <c r="E12391" s="57" t="str">
        <f ca="1">IFERROR(__xludf.DUMMYFUNCTION("""COMPUTED_VALUE"""),"")</f>
        <v/>
      </c>
    </row>
    <row r="12392" spans="1:5">
      <c r="A12392" s="12"/>
      <c r="E12392" s="57" t="str">
        <f ca="1">IFERROR(__xludf.DUMMYFUNCTION("""COMPUTED_VALUE"""),"")</f>
        <v/>
      </c>
    </row>
    <row r="12393" spans="1:5">
      <c r="A12393" s="12"/>
      <c r="E12393" s="57" t="str">
        <f ca="1">IFERROR(__xludf.DUMMYFUNCTION("""COMPUTED_VALUE"""),"")</f>
        <v/>
      </c>
    </row>
    <row r="12394" spans="1:5">
      <c r="A12394" s="12"/>
      <c r="E12394" s="57" t="str">
        <f ca="1">IFERROR(__xludf.DUMMYFUNCTION("""COMPUTED_VALUE"""),"")</f>
        <v/>
      </c>
    </row>
    <row r="12395" spans="1:5">
      <c r="A12395" s="12"/>
      <c r="E12395" s="57" t="str">
        <f ca="1">IFERROR(__xludf.DUMMYFUNCTION("""COMPUTED_VALUE"""),"")</f>
        <v/>
      </c>
    </row>
    <row r="12396" spans="1:5">
      <c r="A12396" s="12"/>
      <c r="E12396" s="57" t="str">
        <f ca="1">IFERROR(__xludf.DUMMYFUNCTION("""COMPUTED_VALUE"""),"")</f>
        <v/>
      </c>
    </row>
    <row r="12397" spans="1:5">
      <c r="A12397" s="12"/>
      <c r="E12397" s="57" t="str">
        <f ca="1">IFERROR(__xludf.DUMMYFUNCTION("""COMPUTED_VALUE"""),"")</f>
        <v/>
      </c>
    </row>
    <row r="12398" spans="1:5">
      <c r="A12398" s="12"/>
      <c r="E12398" s="57" t="str">
        <f ca="1">IFERROR(__xludf.DUMMYFUNCTION("""COMPUTED_VALUE"""),"")</f>
        <v/>
      </c>
    </row>
    <row r="12399" spans="1:5">
      <c r="A12399" s="12"/>
      <c r="E12399" s="57" t="str">
        <f ca="1">IFERROR(__xludf.DUMMYFUNCTION("""COMPUTED_VALUE"""),"")</f>
        <v/>
      </c>
    </row>
    <row r="12400" spans="1:5">
      <c r="A12400" s="12"/>
      <c r="E12400" s="57" t="str">
        <f ca="1">IFERROR(__xludf.DUMMYFUNCTION("""COMPUTED_VALUE"""),"")</f>
        <v/>
      </c>
    </row>
    <row r="12401" spans="1:5">
      <c r="A12401" s="12"/>
      <c r="E12401" s="57" t="str">
        <f ca="1">IFERROR(__xludf.DUMMYFUNCTION("""COMPUTED_VALUE"""),"")</f>
        <v/>
      </c>
    </row>
    <row r="12402" spans="1:5">
      <c r="A12402" s="12"/>
      <c r="E12402" s="57" t="str">
        <f ca="1">IFERROR(__xludf.DUMMYFUNCTION("""COMPUTED_VALUE"""),"")</f>
        <v/>
      </c>
    </row>
    <row r="12403" spans="1:5">
      <c r="A12403" s="12"/>
      <c r="E12403" s="57" t="str">
        <f ca="1">IFERROR(__xludf.DUMMYFUNCTION("""COMPUTED_VALUE"""),"")</f>
        <v/>
      </c>
    </row>
    <row r="12404" spans="1:5">
      <c r="A12404" s="12"/>
      <c r="E12404" s="57" t="str">
        <f ca="1">IFERROR(__xludf.DUMMYFUNCTION("""COMPUTED_VALUE"""),"")</f>
        <v/>
      </c>
    </row>
    <row r="12405" spans="1:5">
      <c r="A12405" s="12"/>
      <c r="E12405" s="57" t="str">
        <f ca="1">IFERROR(__xludf.DUMMYFUNCTION("""COMPUTED_VALUE"""),"")</f>
        <v/>
      </c>
    </row>
    <row r="12406" spans="1:5">
      <c r="A12406" s="12"/>
      <c r="E12406" s="57" t="str">
        <f ca="1">IFERROR(__xludf.DUMMYFUNCTION("""COMPUTED_VALUE"""),"")</f>
        <v/>
      </c>
    </row>
    <row r="12407" spans="1:5">
      <c r="A12407" s="12"/>
      <c r="E12407" s="57" t="str">
        <f ca="1">IFERROR(__xludf.DUMMYFUNCTION("""COMPUTED_VALUE"""),"")</f>
        <v/>
      </c>
    </row>
    <row r="12408" spans="1:5">
      <c r="A12408" s="12"/>
      <c r="E12408" s="57" t="str">
        <f ca="1">IFERROR(__xludf.DUMMYFUNCTION("""COMPUTED_VALUE"""),"")</f>
        <v/>
      </c>
    </row>
    <row r="12409" spans="1:5">
      <c r="A12409" s="12"/>
      <c r="E12409" s="57" t="str">
        <f ca="1">IFERROR(__xludf.DUMMYFUNCTION("""COMPUTED_VALUE"""),"")</f>
        <v/>
      </c>
    </row>
    <row r="12410" spans="1:5">
      <c r="A12410" s="12"/>
      <c r="E12410" s="57" t="str">
        <f ca="1">IFERROR(__xludf.DUMMYFUNCTION("""COMPUTED_VALUE"""),"")</f>
        <v/>
      </c>
    </row>
    <row r="12411" spans="1:5">
      <c r="A12411" s="12"/>
      <c r="E12411" s="57" t="str">
        <f ca="1">IFERROR(__xludf.DUMMYFUNCTION("""COMPUTED_VALUE"""),"")</f>
        <v/>
      </c>
    </row>
    <row r="12412" spans="1:5">
      <c r="A12412" s="12"/>
      <c r="E12412" s="57" t="str">
        <f ca="1">IFERROR(__xludf.DUMMYFUNCTION("""COMPUTED_VALUE"""),"")</f>
        <v/>
      </c>
    </row>
    <row r="12413" spans="1:5">
      <c r="A12413" s="12"/>
      <c r="E12413" s="57" t="str">
        <f ca="1">IFERROR(__xludf.DUMMYFUNCTION("""COMPUTED_VALUE"""),"")</f>
        <v/>
      </c>
    </row>
    <row r="12414" spans="1:5">
      <c r="A12414" s="12"/>
      <c r="E12414" s="57" t="str">
        <f ca="1">IFERROR(__xludf.DUMMYFUNCTION("""COMPUTED_VALUE"""),"")</f>
        <v/>
      </c>
    </row>
    <row r="12415" spans="1:5">
      <c r="A12415" s="12"/>
      <c r="E12415" s="57" t="str">
        <f ca="1">IFERROR(__xludf.DUMMYFUNCTION("""COMPUTED_VALUE"""),"")</f>
        <v/>
      </c>
    </row>
    <row r="12416" spans="1:5">
      <c r="A12416" s="12"/>
      <c r="E12416" s="57" t="str">
        <f ca="1">IFERROR(__xludf.DUMMYFUNCTION("""COMPUTED_VALUE"""),"")</f>
        <v/>
      </c>
    </row>
    <row r="12417" spans="1:5">
      <c r="A12417" s="12"/>
      <c r="E12417" s="57" t="str">
        <f ca="1">IFERROR(__xludf.DUMMYFUNCTION("""COMPUTED_VALUE"""),"")</f>
        <v/>
      </c>
    </row>
    <row r="12418" spans="1:5">
      <c r="A12418" s="12"/>
      <c r="E12418" s="57" t="str">
        <f ca="1">IFERROR(__xludf.DUMMYFUNCTION("""COMPUTED_VALUE"""),"")</f>
        <v/>
      </c>
    </row>
    <row r="12419" spans="1:5">
      <c r="A12419" s="12"/>
      <c r="E12419" s="57" t="str">
        <f ca="1">IFERROR(__xludf.DUMMYFUNCTION("""COMPUTED_VALUE"""),"")</f>
        <v/>
      </c>
    </row>
    <row r="12420" spans="1:5">
      <c r="A12420" s="12"/>
      <c r="E12420" s="57" t="str">
        <f ca="1">IFERROR(__xludf.DUMMYFUNCTION("""COMPUTED_VALUE"""),"")</f>
        <v/>
      </c>
    </row>
    <row r="12421" spans="1:5">
      <c r="A12421" s="12"/>
      <c r="E12421" s="57" t="str">
        <f ca="1">IFERROR(__xludf.DUMMYFUNCTION("""COMPUTED_VALUE"""),"")</f>
        <v/>
      </c>
    </row>
    <row r="12422" spans="1:5">
      <c r="A12422" s="12"/>
      <c r="E12422" s="57" t="str">
        <f ca="1">IFERROR(__xludf.DUMMYFUNCTION("""COMPUTED_VALUE"""),"")</f>
        <v/>
      </c>
    </row>
    <row r="12423" spans="1:5">
      <c r="A12423" s="12"/>
      <c r="E12423" s="57" t="str">
        <f ca="1">IFERROR(__xludf.DUMMYFUNCTION("""COMPUTED_VALUE"""),"")</f>
        <v/>
      </c>
    </row>
    <row r="12424" spans="1:5">
      <c r="A12424" s="12"/>
      <c r="E12424" s="57" t="str">
        <f ca="1">IFERROR(__xludf.DUMMYFUNCTION("""COMPUTED_VALUE"""),"")</f>
        <v/>
      </c>
    </row>
    <row r="12425" spans="1:5">
      <c r="A12425" s="12"/>
      <c r="E12425" s="57" t="str">
        <f ca="1">IFERROR(__xludf.DUMMYFUNCTION("""COMPUTED_VALUE"""),"")</f>
        <v/>
      </c>
    </row>
    <row r="12426" spans="1:5">
      <c r="A12426" s="12"/>
      <c r="E12426" s="57" t="str">
        <f ca="1">IFERROR(__xludf.DUMMYFUNCTION("""COMPUTED_VALUE"""),"")</f>
        <v/>
      </c>
    </row>
    <row r="12427" spans="1:5">
      <c r="A12427" s="12"/>
      <c r="E12427" s="57" t="str">
        <f ca="1">IFERROR(__xludf.DUMMYFUNCTION("""COMPUTED_VALUE"""),"")</f>
        <v/>
      </c>
    </row>
    <row r="12428" spans="1:5">
      <c r="A12428" s="12"/>
      <c r="E12428" s="57" t="str">
        <f ca="1">IFERROR(__xludf.DUMMYFUNCTION("""COMPUTED_VALUE"""),"")</f>
        <v/>
      </c>
    </row>
    <row r="12429" spans="1:5">
      <c r="A12429" s="12"/>
      <c r="E12429" s="57" t="str">
        <f ca="1">IFERROR(__xludf.DUMMYFUNCTION("""COMPUTED_VALUE"""),"")</f>
        <v/>
      </c>
    </row>
    <row r="12430" spans="1:5">
      <c r="A12430" s="12"/>
      <c r="E12430" s="57" t="str">
        <f ca="1">IFERROR(__xludf.DUMMYFUNCTION("""COMPUTED_VALUE"""),"")</f>
        <v/>
      </c>
    </row>
    <row r="12431" spans="1:5">
      <c r="A12431" s="12"/>
      <c r="E12431" s="57" t="str">
        <f ca="1">IFERROR(__xludf.DUMMYFUNCTION("""COMPUTED_VALUE"""),"")</f>
        <v/>
      </c>
    </row>
    <row r="12432" spans="1:5">
      <c r="A12432" s="12"/>
      <c r="E12432" s="57" t="str">
        <f ca="1">IFERROR(__xludf.DUMMYFUNCTION("""COMPUTED_VALUE"""),"")</f>
        <v/>
      </c>
    </row>
    <row r="12433" spans="1:5">
      <c r="A12433" s="12"/>
      <c r="E12433" s="57" t="str">
        <f ca="1">IFERROR(__xludf.DUMMYFUNCTION("""COMPUTED_VALUE"""),"")</f>
        <v/>
      </c>
    </row>
    <row r="12434" spans="1:5">
      <c r="A12434" s="12"/>
      <c r="E12434" s="57" t="str">
        <f ca="1">IFERROR(__xludf.DUMMYFUNCTION("""COMPUTED_VALUE"""),"")</f>
        <v/>
      </c>
    </row>
    <row r="12435" spans="1:5">
      <c r="A12435" s="12"/>
      <c r="E12435" s="57" t="str">
        <f ca="1">IFERROR(__xludf.DUMMYFUNCTION("""COMPUTED_VALUE"""),"")</f>
        <v/>
      </c>
    </row>
    <row r="12436" spans="1:5">
      <c r="A12436" s="12"/>
      <c r="E12436" s="57" t="str">
        <f ca="1">IFERROR(__xludf.DUMMYFUNCTION("""COMPUTED_VALUE"""),"")</f>
        <v/>
      </c>
    </row>
    <row r="12437" spans="1:5">
      <c r="A12437" s="12"/>
      <c r="E12437" s="57" t="str">
        <f ca="1">IFERROR(__xludf.DUMMYFUNCTION("""COMPUTED_VALUE"""),"")</f>
        <v/>
      </c>
    </row>
    <row r="12438" spans="1:5">
      <c r="A12438" s="12"/>
      <c r="E12438" s="57" t="str">
        <f ca="1">IFERROR(__xludf.DUMMYFUNCTION("""COMPUTED_VALUE"""),"")</f>
        <v/>
      </c>
    </row>
    <row r="12439" spans="1:5">
      <c r="A12439" s="12"/>
      <c r="E12439" s="57" t="str">
        <f ca="1">IFERROR(__xludf.DUMMYFUNCTION("""COMPUTED_VALUE"""),"")</f>
        <v/>
      </c>
    </row>
    <row r="12440" spans="1:5">
      <c r="A12440" s="12"/>
      <c r="E12440" s="57" t="str">
        <f ca="1">IFERROR(__xludf.DUMMYFUNCTION("""COMPUTED_VALUE"""),"")</f>
        <v/>
      </c>
    </row>
    <row r="12441" spans="1:5">
      <c r="A12441" s="12"/>
      <c r="E12441" s="57" t="str">
        <f ca="1">IFERROR(__xludf.DUMMYFUNCTION("""COMPUTED_VALUE"""),"")</f>
        <v/>
      </c>
    </row>
    <row r="12442" spans="1:5">
      <c r="A12442" s="12"/>
      <c r="E12442" s="57" t="str">
        <f ca="1">IFERROR(__xludf.DUMMYFUNCTION("""COMPUTED_VALUE"""),"")</f>
        <v/>
      </c>
    </row>
    <row r="12443" spans="1:5">
      <c r="A12443" s="12"/>
      <c r="E12443" s="57" t="str">
        <f ca="1">IFERROR(__xludf.DUMMYFUNCTION("""COMPUTED_VALUE"""),"")</f>
        <v/>
      </c>
    </row>
    <row r="12444" spans="1:5">
      <c r="A12444" s="12"/>
      <c r="E12444" s="57" t="str">
        <f ca="1">IFERROR(__xludf.DUMMYFUNCTION("""COMPUTED_VALUE"""),"")</f>
        <v/>
      </c>
    </row>
    <row r="12445" spans="1:5">
      <c r="A12445" s="12"/>
      <c r="E12445" s="57" t="str">
        <f ca="1">IFERROR(__xludf.DUMMYFUNCTION("""COMPUTED_VALUE"""),"")</f>
        <v/>
      </c>
    </row>
    <row r="12446" spans="1:5">
      <c r="A12446" s="12"/>
      <c r="E12446" s="57" t="str">
        <f ca="1">IFERROR(__xludf.DUMMYFUNCTION("""COMPUTED_VALUE"""),"")</f>
        <v/>
      </c>
    </row>
    <row r="12447" spans="1:5">
      <c r="A12447" s="12"/>
      <c r="E12447" s="57" t="str">
        <f ca="1">IFERROR(__xludf.DUMMYFUNCTION("""COMPUTED_VALUE"""),"")</f>
        <v/>
      </c>
    </row>
    <row r="12448" spans="1:5">
      <c r="A12448" s="12"/>
      <c r="E12448" s="57" t="str">
        <f ca="1">IFERROR(__xludf.DUMMYFUNCTION("""COMPUTED_VALUE"""),"")</f>
        <v/>
      </c>
    </row>
    <row r="12449" spans="1:5">
      <c r="A12449" s="12"/>
      <c r="E12449" s="57" t="str">
        <f ca="1">IFERROR(__xludf.DUMMYFUNCTION("""COMPUTED_VALUE"""),"")</f>
        <v/>
      </c>
    </row>
    <row r="12450" spans="1:5">
      <c r="A12450" s="12"/>
      <c r="E12450" s="57" t="str">
        <f ca="1">IFERROR(__xludf.DUMMYFUNCTION("""COMPUTED_VALUE"""),"")</f>
        <v/>
      </c>
    </row>
    <row r="12451" spans="1:5">
      <c r="A12451" s="12"/>
      <c r="E12451" s="57" t="str">
        <f ca="1">IFERROR(__xludf.DUMMYFUNCTION("""COMPUTED_VALUE"""),"")</f>
        <v/>
      </c>
    </row>
    <row r="12452" spans="1:5">
      <c r="A12452" s="12"/>
      <c r="E12452" s="57" t="str">
        <f ca="1">IFERROR(__xludf.DUMMYFUNCTION("""COMPUTED_VALUE"""),"")</f>
        <v/>
      </c>
    </row>
    <row r="12453" spans="1:5">
      <c r="A12453" s="12"/>
      <c r="E12453" s="57" t="str">
        <f ca="1">IFERROR(__xludf.DUMMYFUNCTION("""COMPUTED_VALUE"""),"")</f>
        <v/>
      </c>
    </row>
    <row r="12454" spans="1:5">
      <c r="A12454" s="12"/>
      <c r="E12454" s="57" t="str">
        <f ca="1">IFERROR(__xludf.DUMMYFUNCTION("""COMPUTED_VALUE"""),"")</f>
        <v/>
      </c>
    </row>
    <row r="12455" spans="1:5">
      <c r="A12455" s="12"/>
      <c r="E12455" s="57" t="str">
        <f ca="1">IFERROR(__xludf.DUMMYFUNCTION("""COMPUTED_VALUE"""),"")</f>
        <v/>
      </c>
    </row>
    <row r="12456" spans="1:5">
      <c r="A12456" s="12"/>
      <c r="E12456" s="57" t="str">
        <f ca="1">IFERROR(__xludf.DUMMYFUNCTION("""COMPUTED_VALUE"""),"")</f>
        <v/>
      </c>
    </row>
    <row r="12457" spans="1:5">
      <c r="A12457" s="12"/>
      <c r="E12457" s="57" t="str">
        <f ca="1">IFERROR(__xludf.DUMMYFUNCTION("""COMPUTED_VALUE"""),"")</f>
        <v/>
      </c>
    </row>
    <row r="12458" spans="1:5">
      <c r="A12458" s="12"/>
      <c r="E12458" s="57" t="str">
        <f ca="1">IFERROR(__xludf.DUMMYFUNCTION("""COMPUTED_VALUE"""),"")</f>
        <v/>
      </c>
    </row>
    <row r="12459" spans="1:5">
      <c r="A12459" s="12"/>
      <c r="E12459" s="57" t="str">
        <f ca="1">IFERROR(__xludf.DUMMYFUNCTION("""COMPUTED_VALUE"""),"")</f>
        <v/>
      </c>
    </row>
    <row r="12460" spans="1:5">
      <c r="A12460" s="12"/>
      <c r="E12460" s="57" t="str">
        <f ca="1">IFERROR(__xludf.DUMMYFUNCTION("""COMPUTED_VALUE"""),"")</f>
        <v/>
      </c>
    </row>
    <row r="12461" spans="1:5">
      <c r="A12461" s="12"/>
      <c r="E12461" s="57" t="str">
        <f ca="1">IFERROR(__xludf.DUMMYFUNCTION("""COMPUTED_VALUE"""),"")</f>
        <v/>
      </c>
    </row>
    <row r="12462" spans="1:5">
      <c r="A12462" s="12"/>
      <c r="E12462" s="57" t="str">
        <f ca="1">IFERROR(__xludf.DUMMYFUNCTION("""COMPUTED_VALUE"""),"")</f>
        <v/>
      </c>
    </row>
    <row r="12463" spans="1:5">
      <c r="A12463" s="12"/>
      <c r="E12463" s="57" t="str">
        <f ca="1">IFERROR(__xludf.DUMMYFUNCTION("""COMPUTED_VALUE"""),"")</f>
        <v/>
      </c>
    </row>
    <row r="12464" spans="1:5">
      <c r="A12464" s="12"/>
      <c r="E12464" s="57" t="str">
        <f ca="1">IFERROR(__xludf.DUMMYFUNCTION("""COMPUTED_VALUE"""),"")</f>
        <v/>
      </c>
    </row>
    <row r="12465" spans="1:5">
      <c r="A12465" s="12"/>
      <c r="E12465" s="57" t="str">
        <f ca="1">IFERROR(__xludf.DUMMYFUNCTION("""COMPUTED_VALUE"""),"")</f>
        <v/>
      </c>
    </row>
    <row r="12466" spans="1:5">
      <c r="A12466" s="12"/>
      <c r="E12466" s="57" t="str">
        <f ca="1">IFERROR(__xludf.DUMMYFUNCTION("""COMPUTED_VALUE"""),"")</f>
        <v/>
      </c>
    </row>
    <row r="12467" spans="1:5">
      <c r="A12467" s="12"/>
      <c r="E12467" s="57" t="str">
        <f ca="1">IFERROR(__xludf.DUMMYFUNCTION("""COMPUTED_VALUE"""),"")</f>
        <v/>
      </c>
    </row>
    <row r="12468" spans="1:5">
      <c r="A12468" s="12"/>
      <c r="E12468" s="57" t="str">
        <f ca="1">IFERROR(__xludf.DUMMYFUNCTION("""COMPUTED_VALUE"""),"")</f>
        <v/>
      </c>
    </row>
    <row r="12469" spans="1:5">
      <c r="A12469" s="12"/>
      <c r="E12469" s="57" t="str">
        <f ca="1">IFERROR(__xludf.DUMMYFUNCTION("""COMPUTED_VALUE"""),"")</f>
        <v/>
      </c>
    </row>
    <row r="12470" spans="1:5">
      <c r="A12470" s="12"/>
      <c r="E12470" s="57" t="str">
        <f ca="1">IFERROR(__xludf.DUMMYFUNCTION("""COMPUTED_VALUE"""),"")</f>
        <v/>
      </c>
    </row>
    <row r="12471" spans="1:5">
      <c r="A12471" s="12"/>
      <c r="E12471" s="57" t="str">
        <f ca="1">IFERROR(__xludf.DUMMYFUNCTION("""COMPUTED_VALUE"""),"")</f>
        <v/>
      </c>
    </row>
    <row r="12472" spans="1:5">
      <c r="A12472" s="12"/>
      <c r="E12472" s="57" t="str">
        <f ca="1">IFERROR(__xludf.DUMMYFUNCTION("""COMPUTED_VALUE"""),"")</f>
        <v/>
      </c>
    </row>
    <row r="12473" spans="1:5">
      <c r="A12473" s="12"/>
      <c r="E12473" s="57" t="str">
        <f ca="1">IFERROR(__xludf.DUMMYFUNCTION("""COMPUTED_VALUE"""),"")</f>
        <v/>
      </c>
    </row>
    <row r="12474" spans="1:5">
      <c r="A12474" s="12"/>
      <c r="E12474" s="57" t="str">
        <f ca="1">IFERROR(__xludf.DUMMYFUNCTION("""COMPUTED_VALUE"""),"")</f>
        <v/>
      </c>
    </row>
    <row r="12475" spans="1:5">
      <c r="A12475" s="12"/>
      <c r="E12475" s="57" t="str">
        <f ca="1">IFERROR(__xludf.DUMMYFUNCTION("""COMPUTED_VALUE"""),"")</f>
        <v/>
      </c>
    </row>
    <row r="12476" spans="1:5">
      <c r="A12476" s="12"/>
      <c r="E12476" s="57" t="str">
        <f ca="1">IFERROR(__xludf.DUMMYFUNCTION("""COMPUTED_VALUE"""),"")</f>
        <v/>
      </c>
    </row>
    <row r="12477" spans="1:5">
      <c r="A12477" s="12"/>
      <c r="E12477" s="57" t="str">
        <f ca="1">IFERROR(__xludf.DUMMYFUNCTION("""COMPUTED_VALUE"""),"")</f>
        <v/>
      </c>
    </row>
    <row r="12478" spans="1:5">
      <c r="A12478" s="12"/>
      <c r="E12478" s="57" t="str">
        <f ca="1">IFERROR(__xludf.DUMMYFUNCTION("""COMPUTED_VALUE"""),"")</f>
        <v/>
      </c>
    </row>
    <row r="12479" spans="1:5">
      <c r="A12479" s="12"/>
      <c r="E12479" s="57" t="str">
        <f ca="1">IFERROR(__xludf.DUMMYFUNCTION("""COMPUTED_VALUE"""),"")</f>
        <v/>
      </c>
    </row>
    <row r="12480" spans="1:5">
      <c r="A12480" s="12"/>
      <c r="E12480" s="57" t="str">
        <f ca="1">IFERROR(__xludf.DUMMYFUNCTION("""COMPUTED_VALUE"""),"")</f>
        <v/>
      </c>
    </row>
    <row r="12481" spans="1:5">
      <c r="A12481" s="12"/>
      <c r="E12481" s="57" t="str">
        <f ca="1">IFERROR(__xludf.DUMMYFUNCTION("""COMPUTED_VALUE"""),"")</f>
        <v/>
      </c>
    </row>
    <row r="12482" spans="1:5">
      <c r="A12482" s="12"/>
      <c r="E12482" s="57" t="str">
        <f ca="1">IFERROR(__xludf.DUMMYFUNCTION("""COMPUTED_VALUE"""),"")</f>
        <v/>
      </c>
    </row>
    <row r="12483" spans="1:5">
      <c r="A12483" s="12"/>
      <c r="E12483" s="57" t="str">
        <f ca="1">IFERROR(__xludf.DUMMYFUNCTION("""COMPUTED_VALUE"""),"")</f>
        <v/>
      </c>
    </row>
    <row r="12484" spans="1:5">
      <c r="A12484" s="12"/>
      <c r="E12484" s="57" t="str">
        <f ca="1">IFERROR(__xludf.DUMMYFUNCTION("""COMPUTED_VALUE"""),"")</f>
        <v/>
      </c>
    </row>
    <row r="12485" spans="1:5">
      <c r="A12485" s="12"/>
      <c r="E12485" s="57" t="str">
        <f ca="1">IFERROR(__xludf.DUMMYFUNCTION("""COMPUTED_VALUE"""),"")</f>
        <v/>
      </c>
    </row>
    <row r="12486" spans="1:5">
      <c r="A12486" s="12"/>
      <c r="E12486" s="57" t="str">
        <f ca="1">IFERROR(__xludf.DUMMYFUNCTION("""COMPUTED_VALUE"""),"")</f>
        <v/>
      </c>
    </row>
    <row r="12487" spans="1:5">
      <c r="A12487" s="12"/>
      <c r="E12487" s="57" t="str">
        <f ca="1">IFERROR(__xludf.DUMMYFUNCTION("""COMPUTED_VALUE"""),"")</f>
        <v/>
      </c>
    </row>
    <row r="12488" spans="1:5">
      <c r="A12488" s="12"/>
      <c r="E12488" s="57" t="str">
        <f ca="1">IFERROR(__xludf.DUMMYFUNCTION("""COMPUTED_VALUE"""),"")</f>
        <v/>
      </c>
    </row>
    <row r="12489" spans="1:5">
      <c r="A12489" s="12"/>
      <c r="E12489" s="57" t="str">
        <f ca="1">IFERROR(__xludf.DUMMYFUNCTION("""COMPUTED_VALUE"""),"")</f>
        <v/>
      </c>
    </row>
    <row r="12490" spans="1:5">
      <c r="A12490" s="12"/>
      <c r="E12490" s="57" t="str">
        <f ca="1">IFERROR(__xludf.DUMMYFUNCTION("""COMPUTED_VALUE"""),"")</f>
        <v/>
      </c>
    </row>
    <row r="12491" spans="1:5">
      <c r="A12491" s="12"/>
      <c r="E12491" s="57" t="str">
        <f ca="1">IFERROR(__xludf.DUMMYFUNCTION("""COMPUTED_VALUE"""),"")</f>
        <v/>
      </c>
    </row>
    <row r="12492" spans="1:5">
      <c r="A12492" s="12"/>
      <c r="E12492" s="57" t="str">
        <f ca="1">IFERROR(__xludf.DUMMYFUNCTION("""COMPUTED_VALUE"""),"")</f>
        <v/>
      </c>
    </row>
    <row r="12493" spans="1:5">
      <c r="A12493" s="12"/>
      <c r="E12493" s="57" t="str">
        <f ca="1">IFERROR(__xludf.DUMMYFUNCTION("""COMPUTED_VALUE"""),"")</f>
        <v/>
      </c>
    </row>
    <row r="12494" spans="1:5">
      <c r="A12494" s="12"/>
      <c r="E12494" s="57" t="str">
        <f ca="1">IFERROR(__xludf.DUMMYFUNCTION("""COMPUTED_VALUE"""),"")</f>
        <v/>
      </c>
    </row>
    <row r="12495" spans="1:5">
      <c r="A12495" s="12"/>
      <c r="E12495" s="57" t="str">
        <f ca="1">IFERROR(__xludf.DUMMYFUNCTION("""COMPUTED_VALUE"""),"")</f>
        <v/>
      </c>
    </row>
    <row r="12496" spans="1:5">
      <c r="A12496" s="12"/>
      <c r="E12496" s="57" t="str">
        <f ca="1">IFERROR(__xludf.DUMMYFUNCTION("""COMPUTED_VALUE"""),"")</f>
        <v/>
      </c>
    </row>
    <row r="12497" spans="1:5">
      <c r="A12497" s="12"/>
      <c r="E12497" s="57" t="str">
        <f ca="1">IFERROR(__xludf.DUMMYFUNCTION("""COMPUTED_VALUE"""),"")</f>
        <v/>
      </c>
    </row>
    <row r="12498" spans="1:5">
      <c r="A12498" s="12"/>
      <c r="E12498" s="57" t="str">
        <f ca="1">IFERROR(__xludf.DUMMYFUNCTION("""COMPUTED_VALUE"""),"")</f>
        <v/>
      </c>
    </row>
    <row r="12499" spans="1:5">
      <c r="A12499" s="12"/>
      <c r="E12499" s="57" t="str">
        <f ca="1">IFERROR(__xludf.DUMMYFUNCTION("""COMPUTED_VALUE"""),"")</f>
        <v/>
      </c>
    </row>
    <row r="12500" spans="1:5">
      <c r="A12500" s="12"/>
      <c r="E12500" s="57" t="str">
        <f ca="1">IFERROR(__xludf.DUMMYFUNCTION("""COMPUTED_VALUE"""),"")</f>
        <v/>
      </c>
    </row>
    <row r="12501" spans="1:5">
      <c r="A12501" s="12"/>
      <c r="E12501" s="57" t="str">
        <f ca="1">IFERROR(__xludf.DUMMYFUNCTION("""COMPUTED_VALUE"""),"")</f>
        <v/>
      </c>
    </row>
    <row r="12502" spans="1:5">
      <c r="A12502" s="12"/>
      <c r="E12502" s="57" t="str">
        <f ca="1">IFERROR(__xludf.DUMMYFUNCTION("""COMPUTED_VALUE"""),"")</f>
        <v/>
      </c>
    </row>
    <row r="12503" spans="1:5">
      <c r="A12503" s="12"/>
      <c r="E12503" s="57" t="str">
        <f ca="1">IFERROR(__xludf.DUMMYFUNCTION("""COMPUTED_VALUE"""),"")</f>
        <v/>
      </c>
    </row>
    <row r="12504" spans="1:5">
      <c r="A12504" s="12"/>
      <c r="E12504" s="57" t="str">
        <f ca="1">IFERROR(__xludf.DUMMYFUNCTION("""COMPUTED_VALUE"""),"")</f>
        <v/>
      </c>
    </row>
    <row r="12505" spans="1:5">
      <c r="A12505" s="12"/>
      <c r="E12505" s="57" t="str">
        <f ca="1">IFERROR(__xludf.DUMMYFUNCTION("""COMPUTED_VALUE"""),"")</f>
        <v/>
      </c>
    </row>
    <row r="12506" spans="1:5">
      <c r="A12506" s="12"/>
      <c r="E12506" s="57" t="str">
        <f ca="1">IFERROR(__xludf.DUMMYFUNCTION("""COMPUTED_VALUE"""),"")</f>
        <v/>
      </c>
    </row>
    <row r="12507" spans="1:5">
      <c r="A12507" s="12"/>
      <c r="E12507" s="57" t="str">
        <f ca="1">IFERROR(__xludf.DUMMYFUNCTION("""COMPUTED_VALUE"""),"")</f>
        <v/>
      </c>
    </row>
    <row r="12508" spans="1:5">
      <c r="A12508" s="12"/>
      <c r="E12508" s="57" t="str">
        <f ca="1">IFERROR(__xludf.DUMMYFUNCTION("""COMPUTED_VALUE"""),"")</f>
        <v/>
      </c>
    </row>
    <row r="12509" spans="1:5">
      <c r="A12509" s="12"/>
      <c r="E12509" s="57" t="str">
        <f ca="1">IFERROR(__xludf.DUMMYFUNCTION("""COMPUTED_VALUE"""),"")</f>
        <v/>
      </c>
    </row>
    <row r="12510" spans="1:5">
      <c r="A12510" s="12"/>
      <c r="E12510" s="57" t="str">
        <f ca="1">IFERROR(__xludf.DUMMYFUNCTION("""COMPUTED_VALUE"""),"")</f>
        <v/>
      </c>
    </row>
    <row r="12511" spans="1:5">
      <c r="A12511" s="12"/>
      <c r="E12511" s="57" t="str">
        <f ca="1">IFERROR(__xludf.DUMMYFUNCTION("""COMPUTED_VALUE"""),"")</f>
        <v/>
      </c>
    </row>
    <row r="12512" spans="1:5">
      <c r="A12512" s="12"/>
      <c r="E12512" s="57" t="str">
        <f ca="1">IFERROR(__xludf.DUMMYFUNCTION("""COMPUTED_VALUE"""),"")</f>
        <v/>
      </c>
    </row>
    <row r="12513" spans="1:5">
      <c r="A12513" s="12"/>
      <c r="E12513" s="57" t="str">
        <f ca="1">IFERROR(__xludf.DUMMYFUNCTION("""COMPUTED_VALUE"""),"")</f>
        <v/>
      </c>
    </row>
    <row r="12514" spans="1:5">
      <c r="A12514" s="12"/>
      <c r="E12514" s="57" t="str">
        <f ca="1">IFERROR(__xludf.DUMMYFUNCTION("""COMPUTED_VALUE"""),"")</f>
        <v/>
      </c>
    </row>
    <row r="12515" spans="1:5">
      <c r="A12515" s="12"/>
      <c r="E12515" s="57" t="str">
        <f ca="1">IFERROR(__xludf.DUMMYFUNCTION("""COMPUTED_VALUE"""),"")</f>
        <v/>
      </c>
    </row>
    <row r="12516" spans="1:5">
      <c r="A12516" s="12"/>
      <c r="E12516" s="57" t="str">
        <f ca="1">IFERROR(__xludf.DUMMYFUNCTION("""COMPUTED_VALUE"""),"")</f>
        <v/>
      </c>
    </row>
    <row r="12517" spans="1:5">
      <c r="A12517" s="12"/>
      <c r="E12517" s="57" t="str">
        <f ca="1">IFERROR(__xludf.DUMMYFUNCTION("""COMPUTED_VALUE"""),"")</f>
        <v/>
      </c>
    </row>
    <row r="12518" spans="1:5">
      <c r="A12518" s="12"/>
      <c r="E12518" s="57" t="str">
        <f ca="1">IFERROR(__xludf.DUMMYFUNCTION("""COMPUTED_VALUE"""),"")</f>
        <v/>
      </c>
    </row>
    <row r="12519" spans="1:5">
      <c r="A12519" s="12"/>
      <c r="E12519" s="57" t="str">
        <f ca="1">IFERROR(__xludf.DUMMYFUNCTION("""COMPUTED_VALUE"""),"")</f>
        <v/>
      </c>
    </row>
    <row r="12520" spans="1:5">
      <c r="A12520" s="12"/>
      <c r="E12520" s="57" t="str">
        <f ca="1">IFERROR(__xludf.DUMMYFUNCTION("""COMPUTED_VALUE"""),"")</f>
        <v/>
      </c>
    </row>
    <row r="12521" spans="1:5">
      <c r="A12521" s="12"/>
      <c r="E12521" s="57" t="str">
        <f ca="1">IFERROR(__xludf.DUMMYFUNCTION("""COMPUTED_VALUE"""),"")</f>
        <v/>
      </c>
    </row>
    <row r="12522" spans="1:5">
      <c r="A12522" s="12"/>
      <c r="E12522" s="57" t="str">
        <f ca="1">IFERROR(__xludf.DUMMYFUNCTION("""COMPUTED_VALUE"""),"")</f>
        <v/>
      </c>
    </row>
    <row r="12523" spans="1:5">
      <c r="A12523" s="12"/>
      <c r="E12523" s="57" t="str">
        <f ca="1">IFERROR(__xludf.DUMMYFUNCTION("""COMPUTED_VALUE"""),"")</f>
        <v/>
      </c>
    </row>
    <row r="12524" spans="1:5">
      <c r="A12524" s="12"/>
      <c r="E12524" s="57" t="str">
        <f ca="1">IFERROR(__xludf.DUMMYFUNCTION("""COMPUTED_VALUE"""),"")</f>
        <v/>
      </c>
    </row>
    <row r="12525" spans="1:5">
      <c r="A12525" s="12"/>
      <c r="E12525" s="57" t="str">
        <f ca="1">IFERROR(__xludf.DUMMYFUNCTION("""COMPUTED_VALUE"""),"")</f>
        <v/>
      </c>
    </row>
    <row r="12526" spans="1:5">
      <c r="A12526" s="12"/>
      <c r="E12526" s="57" t="str">
        <f ca="1">IFERROR(__xludf.DUMMYFUNCTION("""COMPUTED_VALUE"""),"")</f>
        <v/>
      </c>
    </row>
    <row r="12527" spans="1:5">
      <c r="A12527" s="12"/>
      <c r="E12527" s="57" t="str">
        <f ca="1">IFERROR(__xludf.DUMMYFUNCTION("""COMPUTED_VALUE"""),"")</f>
        <v/>
      </c>
    </row>
    <row r="12528" spans="1:5">
      <c r="A12528" s="12"/>
      <c r="E12528" s="57" t="str">
        <f ca="1">IFERROR(__xludf.DUMMYFUNCTION("""COMPUTED_VALUE"""),"")</f>
        <v/>
      </c>
    </row>
    <row r="12529" spans="1:5">
      <c r="A12529" s="12"/>
      <c r="E12529" s="57" t="str">
        <f ca="1">IFERROR(__xludf.DUMMYFUNCTION("""COMPUTED_VALUE"""),"")</f>
        <v/>
      </c>
    </row>
    <row r="12530" spans="1:5">
      <c r="A12530" s="12"/>
      <c r="E12530" s="57" t="str">
        <f ca="1">IFERROR(__xludf.DUMMYFUNCTION("""COMPUTED_VALUE"""),"")</f>
        <v/>
      </c>
    </row>
    <row r="12531" spans="1:5">
      <c r="A12531" s="12"/>
      <c r="E12531" s="57" t="str">
        <f ca="1">IFERROR(__xludf.DUMMYFUNCTION("""COMPUTED_VALUE"""),"")</f>
        <v/>
      </c>
    </row>
    <row r="12532" spans="1:5">
      <c r="A12532" s="12"/>
      <c r="E12532" s="57" t="str">
        <f ca="1">IFERROR(__xludf.DUMMYFUNCTION("""COMPUTED_VALUE"""),"")</f>
        <v/>
      </c>
    </row>
    <row r="12533" spans="1:5">
      <c r="A12533" s="12"/>
      <c r="E12533" s="57" t="str">
        <f ca="1">IFERROR(__xludf.DUMMYFUNCTION("""COMPUTED_VALUE"""),"")</f>
        <v/>
      </c>
    </row>
    <row r="12534" spans="1:5">
      <c r="A12534" s="12"/>
      <c r="E12534" s="57" t="str">
        <f ca="1">IFERROR(__xludf.DUMMYFUNCTION("""COMPUTED_VALUE"""),"")</f>
        <v/>
      </c>
    </row>
    <row r="12535" spans="1:5">
      <c r="A12535" s="12"/>
      <c r="E12535" s="57" t="str">
        <f ca="1">IFERROR(__xludf.DUMMYFUNCTION("""COMPUTED_VALUE"""),"")</f>
        <v/>
      </c>
    </row>
    <row r="12536" spans="1:5">
      <c r="A12536" s="12"/>
      <c r="E12536" s="57" t="str">
        <f ca="1">IFERROR(__xludf.DUMMYFUNCTION("""COMPUTED_VALUE"""),"")</f>
        <v/>
      </c>
    </row>
    <row r="12537" spans="1:5">
      <c r="A12537" s="12"/>
      <c r="E12537" s="57" t="str">
        <f ca="1">IFERROR(__xludf.DUMMYFUNCTION("""COMPUTED_VALUE"""),"")</f>
        <v/>
      </c>
    </row>
    <row r="12538" spans="1:5">
      <c r="A12538" s="12"/>
      <c r="E12538" s="57" t="str">
        <f ca="1">IFERROR(__xludf.DUMMYFUNCTION("""COMPUTED_VALUE"""),"")</f>
        <v/>
      </c>
    </row>
    <row r="12539" spans="1:5">
      <c r="A12539" s="12"/>
      <c r="E12539" s="57" t="str">
        <f ca="1">IFERROR(__xludf.DUMMYFUNCTION("""COMPUTED_VALUE"""),"")</f>
        <v/>
      </c>
    </row>
    <row r="12540" spans="1:5">
      <c r="A12540" s="12"/>
      <c r="E12540" s="57" t="str">
        <f ca="1">IFERROR(__xludf.DUMMYFUNCTION("""COMPUTED_VALUE"""),"")</f>
        <v/>
      </c>
    </row>
    <row r="12541" spans="1:5">
      <c r="A12541" s="12"/>
      <c r="E12541" s="57" t="str">
        <f ca="1">IFERROR(__xludf.DUMMYFUNCTION("""COMPUTED_VALUE"""),"")</f>
        <v/>
      </c>
    </row>
    <row r="12542" spans="1:5">
      <c r="A12542" s="12"/>
      <c r="E12542" s="57" t="str">
        <f ca="1">IFERROR(__xludf.DUMMYFUNCTION("""COMPUTED_VALUE"""),"")</f>
        <v/>
      </c>
    </row>
    <row r="12543" spans="1:5">
      <c r="A12543" s="12"/>
      <c r="E12543" s="57" t="str">
        <f ca="1">IFERROR(__xludf.DUMMYFUNCTION("""COMPUTED_VALUE"""),"")</f>
        <v/>
      </c>
    </row>
    <row r="12544" spans="1:5">
      <c r="A12544" s="12"/>
      <c r="E12544" s="57" t="str">
        <f ca="1">IFERROR(__xludf.DUMMYFUNCTION("""COMPUTED_VALUE"""),"")</f>
        <v/>
      </c>
    </row>
    <row r="12545" spans="1:5">
      <c r="A12545" s="12"/>
      <c r="E12545" s="57" t="str">
        <f ca="1">IFERROR(__xludf.DUMMYFUNCTION("""COMPUTED_VALUE"""),"")</f>
        <v/>
      </c>
    </row>
    <row r="12546" spans="1:5">
      <c r="A12546" s="12"/>
      <c r="E12546" s="57" t="str">
        <f ca="1">IFERROR(__xludf.DUMMYFUNCTION("""COMPUTED_VALUE"""),"")</f>
        <v/>
      </c>
    </row>
    <row r="12547" spans="1:5">
      <c r="A12547" s="12"/>
      <c r="E12547" s="57" t="str">
        <f ca="1">IFERROR(__xludf.DUMMYFUNCTION("""COMPUTED_VALUE"""),"")</f>
        <v/>
      </c>
    </row>
    <row r="12548" spans="1:5">
      <c r="A12548" s="12"/>
      <c r="E12548" s="57" t="str">
        <f ca="1">IFERROR(__xludf.DUMMYFUNCTION("""COMPUTED_VALUE"""),"")</f>
        <v/>
      </c>
    </row>
    <row r="12549" spans="1:5">
      <c r="A12549" s="12"/>
      <c r="E12549" s="57" t="str">
        <f ca="1">IFERROR(__xludf.DUMMYFUNCTION("""COMPUTED_VALUE"""),"")</f>
        <v/>
      </c>
    </row>
    <row r="12550" spans="1:5">
      <c r="A12550" s="12"/>
      <c r="E12550" s="57" t="str">
        <f ca="1">IFERROR(__xludf.DUMMYFUNCTION("""COMPUTED_VALUE"""),"")</f>
        <v/>
      </c>
    </row>
    <row r="12551" spans="1:5">
      <c r="A12551" s="12"/>
      <c r="E12551" s="57" t="str">
        <f ca="1">IFERROR(__xludf.DUMMYFUNCTION("""COMPUTED_VALUE"""),"")</f>
        <v/>
      </c>
    </row>
    <row r="12552" spans="1:5">
      <c r="A12552" s="12"/>
      <c r="E12552" s="57" t="str">
        <f ca="1">IFERROR(__xludf.DUMMYFUNCTION("""COMPUTED_VALUE"""),"")</f>
        <v/>
      </c>
    </row>
    <row r="12553" spans="1:5">
      <c r="A12553" s="12"/>
      <c r="E12553" s="57" t="str">
        <f ca="1">IFERROR(__xludf.DUMMYFUNCTION("""COMPUTED_VALUE"""),"")</f>
        <v/>
      </c>
    </row>
    <row r="12554" spans="1:5">
      <c r="A12554" s="12"/>
      <c r="E12554" s="57" t="str">
        <f ca="1">IFERROR(__xludf.DUMMYFUNCTION("""COMPUTED_VALUE"""),"")</f>
        <v/>
      </c>
    </row>
    <row r="12555" spans="1:5">
      <c r="A12555" s="12"/>
      <c r="E12555" s="57" t="str">
        <f ca="1">IFERROR(__xludf.DUMMYFUNCTION("""COMPUTED_VALUE"""),"")</f>
        <v/>
      </c>
    </row>
    <row r="12556" spans="1:5">
      <c r="A12556" s="12"/>
      <c r="E12556" s="57" t="str">
        <f ca="1">IFERROR(__xludf.DUMMYFUNCTION("""COMPUTED_VALUE"""),"")</f>
        <v/>
      </c>
    </row>
    <row r="12557" spans="1:5">
      <c r="A12557" s="12"/>
      <c r="E12557" s="57" t="str">
        <f ca="1">IFERROR(__xludf.DUMMYFUNCTION("""COMPUTED_VALUE"""),"")</f>
        <v/>
      </c>
    </row>
    <row r="12558" spans="1:5">
      <c r="A12558" s="12"/>
      <c r="E12558" s="57" t="str">
        <f ca="1">IFERROR(__xludf.DUMMYFUNCTION("""COMPUTED_VALUE"""),"")</f>
        <v/>
      </c>
    </row>
    <row r="12559" spans="1:5">
      <c r="A12559" s="12"/>
      <c r="E12559" s="57" t="str">
        <f ca="1">IFERROR(__xludf.DUMMYFUNCTION("""COMPUTED_VALUE"""),"")</f>
        <v/>
      </c>
    </row>
    <row r="12560" spans="1:5">
      <c r="A12560" s="12"/>
      <c r="E12560" s="57" t="str">
        <f ca="1">IFERROR(__xludf.DUMMYFUNCTION("""COMPUTED_VALUE"""),"")</f>
        <v/>
      </c>
    </row>
    <row r="12561" spans="1:5">
      <c r="A12561" s="12"/>
      <c r="E12561" s="57" t="str">
        <f ca="1">IFERROR(__xludf.DUMMYFUNCTION("""COMPUTED_VALUE"""),"")</f>
        <v/>
      </c>
    </row>
    <row r="12562" spans="1:5">
      <c r="A12562" s="12"/>
      <c r="E12562" s="57" t="str">
        <f ca="1">IFERROR(__xludf.DUMMYFUNCTION("""COMPUTED_VALUE"""),"")</f>
        <v/>
      </c>
    </row>
    <row r="12563" spans="1:5">
      <c r="A12563" s="12"/>
      <c r="E12563" s="57" t="str">
        <f ca="1">IFERROR(__xludf.DUMMYFUNCTION("""COMPUTED_VALUE"""),"")</f>
        <v/>
      </c>
    </row>
    <row r="12564" spans="1:5">
      <c r="A12564" s="12"/>
      <c r="E12564" s="57" t="str">
        <f ca="1">IFERROR(__xludf.DUMMYFUNCTION("""COMPUTED_VALUE"""),"")</f>
        <v/>
      </c>
    </row>
    <row r="12565" spans="1:5">
      <c r="A12565" s="12"/>
      <c r="E12565" s="57" t="str">
        <f ca="1">IFERROR(__xludf.DUMMYFUNCTION("""COMPUTED_VALUE"""),"")</f>
        <v/>
      </c>
    </row>
    <row r="12566" spans="1:5">
      <c r="A12566" s="12"/>
      <c r="E12566" s="57" t="str">
        <f ca="1">IFERROR(__xludf.DUMMYFUNCTION("""COMPUTED_VALUE"""),"")</f>
        <v/>
      </c>
    </row>
    <row r="12567" spans="1:5">
      <c r="A12567" s="12"/>
      <c r="E12567" s="57" t="str">
        <f ca="1">IFERROR(__xludf.DUMMYFUNCTION("""COMPUTED_VALUE"""),"")</f>
        <v/>
      </c>
    </row>
    <row r="12568" spans="1:5">
      <c r="A12568" s="12"/>
      <c r="E12568" s="57" t="str">
        <f ca="1">IFERROR(__xludf.DUMMYFUNCTION("""COMPUTED_VALUE"""),"")</f>
        <v/>
      </c>
    </row>
    <row r="12569" spans="1:5">
      <c r="A12569" s="12"/>
      <c r="E12569" s="57" t="str">
        <f ca="1">IFERROR(__xludf.DUMMYFUNCTION("""COMPUTED_VALUE"""),"")</f>
        <v/>
      </c>
    </row>
    <row r="12570" spans="1:5">
      <c r="A12570" s="12"/>
      <c r="E12570" s="57" t="str">
        <f ca="1">IFERROR(__xludf.DUMMYFUNCTION("""COMPUTED_VALUE"""),"")</f>
        <v/>
      </c>
    </row>
    <row r="12571" spans="1:5">
      <c r="A12571" s="12"/>
      <c r="E12571" s="57" t="str">
        <f ca="1">IFERROR(__xludf.DUMMYFUNCTION("""COMPUTED_VALUE"""),"")</f>
        <v/>
      </c>
    </row>
    <row r="12572" spans="1:5">
      <c r="A12572" s="12"/>
      <c r="E12572" s="57" t="str">
        <f ca="1">IFERROR(__xludf.DUMMYFUNCTION("""COMPUTED_VALUE"""),"")</f>
        <v/>
      </c>
    </row>
    <row r="12573" spans="1:5">
      <c r="A12573" s="12"/>
      <c r="E12573" s="57" t="str">
        <f ca="1">IFERROR(__xludf.DUMMYFUNCTION("""COMPUTED_VALUE"""),"")</f>
        <v/>
      </c>
    </row>
    <row r="12574" spans="1:5">
      <c r="A12574" s="12"/>
      <c r="E12574" s="57" t="str">
        <f ca="1">IFERROR(__xludf.DUMMYFUNCTION("""COMPUTED_VALUE"""),"")</f>
        <v/>
      </c>
    </row>
    <row r="12575" spans="1:5">
      <c r="A12575" s="12"/>
      <c r="E12575" s="57" t="str">
        <f ca="1">IFERROR(__xludf.DUMMYFUNCTION("""COMPUTED_VALUE"""),"")</f>
        <v/>
      </c>
    </row>
    <row r="12576" spans="1:5">
      <c r="A12576" s="12"/>
      <c r="E12576" s="57" t="str">
        <f ca="1">IFERROR(__xludf.DUMMYFUNCTION("""COMPUTED_VALUE"""),"")</f>
        <v/>
      </c>
    </row>
    <row r="12577" spans="1:5">
      <c r="A12577" s="12"/>
      <c r="E12577" s="57" t="str">
        <f ca="1">IFERROR(__xludf.DUMMYFUNCTION("""COMPUTED_VALUE"""),"")</f>
        <v/>
      </c>
    </row>
    <row r="12578" spans="1:5">
      <c r="A12578" s="12"/>
      <c r="E12578" s="57" t="str">
        <f ca="1">IFERROR(__xludf.DUMMYFUNCTION("""COMPUTED_VALUE"""),"")</f>
        <v/>
      </c>
    </row>
    <row r="12579" spans="1:5">
      <c r="A12579" s="12"/>
      <c r="E12579" s="57" t="str">
        <f ca="1">IFERROR(__xludf.DUMMYFUNCTION("""COMPUTED_VALUE"""),"")</f>
        <v/>
      </c>
    </row>
    <row r="12580" spans="1:5">
      <c r="A12580" s="12"/>
      <c r="E12580" s="57" t="str">
        <f ca="1">IFERROR(__xludf.DUMMYFUNCTION("""COMPUTED_VALUE"""),"")</f>
        <v/>
      </c>
    </row>
    <row r="12581" spans="1:5">
      <c r="A12581" s="12"/>
      <c r="E12581" s="57" t="str">
        <f ca="1">IFERROR(__xludf.DUMMYFUNCTION("""COMPUTED_VALUE"""),"")</f>
        <v/>
      </c>
    </row>
    <row r="12582" spans="1:5">
      <c r="A12582" s="12"/>
      <c r="E12582" s="57" t="str">
        <f ca="1">IFERROR(__xludf.DUMMYFUNCTION("""COMPUTED_VALUE"""),"")</f>
        <v/>
      </c>
    </row>
    <row r="12583" spans="1:5">
      <c r="A12583" s="12"/>
      <c r="E12583" s="57" t="str">
        <f ca="1">IFERROR(__xludf.DUMMYFUNCTION("""COMPUTED_VALUE"""),"")</f>
        <v/>
      </c>
    </row>
    <row r="12584" spans="1:5">
      <c r="A12584" s="12"/>
      <c r="E12584" s="57" t="str">
        <f ca="1">IFERROR(__xludf.DUMMYFUNCTION("""COMPUTED_VALUE"""),"")</f>
        <v/>
      </c>
    </row>
    <row r="12585" spans="1:5">
      <c r="A12585" s="12"/>
      <c r="E12585" s="57" t="str">
        <f ca="1">IFERROR(__xludf.DUMMYFUNCTION("""COMPUTED_VALUE"""),"")</f>
        <v/>
      </c>
    </row>
    <row r="12586" spans="1:5">
      <c r="A12586" s="12"/>
      <c r="E12586" s="57" t="str">
        <f ca="1">IFERROR(__xludf.DUMMYFUNCTION("""COMPUTED_VALUE"""),"")</f>
        <v/>
      </c>
    </row>
    <row r="12587" spans="1:5">
      <c r="A12587" s="12"/>
      <c r="E12587" s="57" t="str">
        <f ca="1">IFERROR(__xludf.DUMMYFUNCTION("""COMPUTED_VALUE"""),"")</f>
        <v/>
      </c>
    </row>
    <row r="12588" spans="1:5">
      <c r="A12588" s="12"/>
      <c r="E12588" s="57" t="str">
        <f ca="1">IFERROR(__xludf.DUMMYFUNCTION("""COMPUTED_VALUE"""),"")</f>
        <v/>
      </c>
    </row>
    <row r="12589" spans="1:5">
      <c r="A12589" s="12"/>
      <c r="E12589" s="57" t="str">
        <f ca="1">IFERROR(__xludf.DUMMYFUNCTION("""COMPUTED_VALUE"""),"")</f>
        <v/>
      </c>
    </row>
    <row r="12590" spans="1:5">
      <c r="A12590" s="12"/>
      <c r="E12590" s="57" t="str">
        <f ca="1">IFERROR(__xludf.DUMMYFUNCTION("""COMPUTED_VALUE"""),"")</f>
        <v/>
      </c>
    </row>
    <row r="12591" spans="1:5">
      <c r="A12591" s="12"/>
      <c r="E12591" s="57" t="str">
        <f ca="1">IFERROR(__xludf.DUMMYFUNCTION("""COMPUTED_VALUE"""),"")</f>
        <v/>
      </c>
    </row>
    <row r="12592" spans="1:5">
      <c r="A12592" s="12"/>
      <c r="E12592" s="57" t="str">
        <f ca="1">IFERROR(__xludf.DUMMYFUNCTION("""COMPUTED_VALUE"""),"")</f>
        <v/>
      </c>
    </row>
    <row r="12593" spans="1:5">
      <c r="A12593" s="12"/>
      <c r="E12593" s="57" t="str">
        <f ca="1">IFERROR(__xludf.DUMMYFUNCTION("""COMPUTED_VALUE"""),"")</f>
        <v/>
      </c>
    </row>
    <row r="12594" spans="1:5">
      <c r="A12594" s="12"/>
      <c r="E12594" s="57" t="str">
        <f ca="1">IFERROR(__xludf.DUMMYFUNCTION("""COMPUTED_VALUE"""),"")</f>
        <v/>
      </c>
    </row>
    <row r="12595" spans="1:5">
      <c r="A12595" s="12"/>
      <c r="E12595" s="57" t="str">
        <f ca="1">IFERROR(__xludf.DUMMYFUNCTION("""COMPUTED_VALUE"""),"")</f>
        <v/>
      </c>
    </row>
    <row r="12596" spans="1:5">
      <c r="A12596" s="12"/>
      <c r="E12596" s="57" t="str">
        <f ca="1">IFERROR(__xludf.DUMMYFUNCTION("""COMPUTED_VALUE"""),"")</f>
        <v/>
      </c>
    </row>
    <row r="12597" spans="1:5">
      <c r="A12597" s="12"/>
      <c r="E12597" s="57" t="str">
        <f ca="1">IFERROR(__xludf.DUMMYFUNCTION("""COMPUTED_VALUE"""),"")</f>
        <v/>
      </c>
    </row>
    <row r="12598" spans="1:5">
      <c r="A12598" s="12"/>
      <c r="E12598" s="57" t="str">
        <f ca="1">IFERROR(__xludf.DUMMYFUNCTION("""COMPUTED_VALUE"""),"")</f>
        <v/>
      </c>
    </row>
    <row r="12599" spans="1:5">
      <c r="A12599" s="12"/>
      <c r="E12599" s="57" t="str">
        <f ca="1">IFERROR(__xludf.DUMMYFUNCTION("""COMPUTED_VALUE"""),"")</f>
        <v/>
      </c>
    </row>
    <row r="12600" spans="1:5">
      <c r="A12600" s="12"/>
      <c r="E12600" s="57" t="str">
        <f ca="1">IFERROR(__xludf.DUMMYFUNCTION("""COMPUTED_VALUE"""),"")</f>
        <v/>
      </c>
    </row>
    <row r="12601" spans="1:5">
      <c r="A12601" s="12"/>
      <c r="E12601" s="57" t="str">
        <f ca="1">IFERROR(__xludf.DUMMYFUNCTION("""COMPUTED_VALUE"""),"")</f>
        <v/>
      </c>
    </row>
    <row r="12602" spans="1:5">
      <c r="A12602" s="12"/>
      <c r="E12602" s="57" t="str">
        <f ca="1">IFERROR(__xludf.DUMMYFUNCTION("""COMPUTED_VALUE"""),"")</f>
        <v/>
      </c>
    </row>
    <row r="12603" spans="1:5">
      <c r="A12603" s="12"/>
      <c r="E12603" s="57" t="str">
        <f ca="1">IFERROR(__xludf.DUMMYFUNCTION("""COMPUTED_VALUE"""),"")</f>
        <v/>
      </c>
    </row>
    <row r="12604" spans="1:5">
      <c r="A12604" s="12"/>
      <c r="E12604" s="57" t="str">
        <f ca="1">IFERROR(__xludf.DUMMYFUNCTION("""COMPUTED_VALUE"""),"")</f>
        <v/>
      </c>
    </row>
    <row r="12605" spans="1:5">
      <c r="A12605" s="12"/>
      <c r="E12605" s="57" t="str">
        <f ca="1">IFERROR(__xludf.DUMMYFUNCTION("""COMPUTED_VALUE"""),"")</f>
        <v/>
      </c>
    </row>
    <row r="12606" spans="1:5">
      <c r="A12606" s="12"/>
      <c r="E12606" s="57" t="str">
        <f ca="1">IFERROR(__xludf.DUMMYFUNCTION("""COMPUTED_VALUE"""),"")</f>
        <v/>
      </c>
    </row>
    <row r="12607" spans="1:5">
      <c r="A12607" s="12"/>
      <c r="E12607" s="57" t="str">
        <f ca="1">IFERROR(__xludf.DUMMYFUNCTION("""COMPUTED_VALUE"""),"")</f>
        <v/>
      </c>
    </row>
    <row r="12608" spans="1:5">
      <c r="A12608" s="12"/>
      <c r="E12608" s="57" t="str">
        <f ca="1">IFERROR(__xludf.DUMMYFUNCTION("""COMPUTED_VALUE"""),"")</f>
        <v/>
      </c>
    </row>
    <row r="12609" spans="1:5">
      <c r="A12609" s="12"/>
      <c r="E12609" s="57" t="str">
        <f ca="1">IFERROR(__xludf.DUMMYFUNCTION("""COMPUTED_VALUE"""),"")</f>
        <v/>
      </c>
    </row>
    <row r="12610" spans="1:5">
      <c r="A12610" s="12"/>
      <c r="E12610" s="57" t="str">
        <f ca="1">IFERROR(__xludf.DUMMYFUNCTION("""COMPUTED_VALUE"""),"")</f>
        <v/>
      </c>
    </row>
    <row r="12611" spans="1:5">
      <c r="A12611" s="12"/>
      <c r="E12611" s="57" t="str">
        <f ca="1">IFERROR(__xludf.DUMMYFUNCTION("""COMPUTED_VALUE"""),"")</f>
        <v/>
      </c>
    </row>
    <row r="12612" spans="1:5">
      <c r="A12612" s="12"/>
      <c r="E12612" s="57" t="str">
        <f ca="1">IFERROR(__xludf.DUMMYFUNCTION("""COMPUTED_VALUE"""),"")</f>
        <v/>
      </c>
    </row>
    <row r="12613" spans="1:5">
      <c r="A12613" s="12"/>
      <c r="E12613" s="57" t="str">
        <f ca="1">IFERROR(__xludf.DUMMYFUNCTION("""COMPUTED_VALUE"""),"")</f>
        <v/>
      </c>
    </row>
    <row r="12614" spans="1:5">
      <c r="A12614" s="12"/>
      <c r="E12614" s="57" t="str">
        <f ca="1">IFERROR(__xludf.DUMMYFUNCTION("""COMPUTED_VALUE"""),"")</f>
        <v/>
      </c>
    </row>
    <row r="12615" spans="1:5">
      <c r="A12615" s="12"/>
      <c r="E12615" s="57" t="str">
        <f ca="1">IFERROR(__xludf.DUMMYFUNCTION("""COMPUTED_VALUE"""),"")</f>
        <v/>
      </c>
    </row>
    <row r="12616" spans="1:5">
      <c r="A12616" s="12"/>
      <c r="E12616" s="57" t="str">
        <f ca="1">IFERROR(__xludf.DUMMYFUNCTION("""COMPUTED_VALUE"""),"")</f>
        <v/>
      </c>
    </row>
    <row r="12617" spans="1:5">
      <c r="A12617" s="12"/>
      <c r="E12617" s="57" t="str">
        <f ca="1">IFERROR(__xludf.DUMMYFUNCTION("""COMPUTED_VALUE"""),"")</f>
        <v/>
      </c>
    </row>
    <row r="12618" spans="1:5">
      <c r="A12618" s="12"/>
      <c r="E12618" s="57" t="str">
        <f ca="1">IFERROR(__xludf.DUMMYFUNCTION("""COMPUTED_VALUE"""),"")</f>
        <v/>
      </c>
    </row>
    <row r="12619" spans="1:5">
      <c r="A12619" s="12"/>
      <c r="E12619" s="57" t="str">
        <f ca="1">IFERROR(__xludf.DUMMYFUNCTION("""COMPUTED_VALUE"""),"")</f>
        <v/>
      </c>
    </row>
    <row r="12620" spans="1:5">
      <c r="A12620" s="12"/>
      <c r="E12620" s="57" t="str">
        <f ca="1">IFERROR(__xludf.DUMMYFUNCTION("""COMPUTED_VALUE"""),"")</f>
        <v/>
      </c>
    </row>
    <row r="12621" spans="1:5">
      <c r="A12621" s="12"/>
      <c r="E12621" s="57" t="str">
        <f ca="1">IFERROR(__xludf.DUMMYFUNCTION("""COMPUTED_VALUE"""),"")</f>
        <v/>
      </c>
    </row>
    <row r="12622" spans="1:5">
      <c r="A12622" s="12"/>
      <c r="E12622" s="57" t="str">
        <f ca="1">IFERROR(__xludf.DUMMYFUNCTION("""COMPUTED_VALUE"""),"")</f>
        <v/>
      </c>
    </row>
    <row r="12623" spans="1:5">
      <c r="A12623" s="12"/>
      <c r="E12623" s="57" t="str">
        <f ca="1">IFERROR(__xludf.DUMMYFUNCTION("""COMPUTED_VALUE"""),"")</f>
        <v/>
      </c>
    </row>
    <row r="12624" spans="1:5">
      <c r="A12624" s="12"/>
      <c r="E12624" s="57" t="str">
        <f ca="1">IFERROR(__xludf.DUMMYFUNCTION("""COMPUTED_VALUE"""),"")</f>
        <v/>
      </c>
    </row>
    <row r="12625" spans="1:5">
      <c r="A12625" s="12"/>
      <c r="E12625" s="57" t="str">
        <f ca="1">IFERROR(__xludf.DUMMYFUNCTION("""COMPUTED_VALUE"""),"")</f>
        <v/>
      </c>
    </row>
    <row r="12626" spans="1:5">
      <c r="A12626" s="12"/>
      <c r="E12626" s="57" t="str">
        <f ca="1">IFERROR(__xludf.DUMMYFUNCTION("""COMPUTED_VALUE"""),"")</f>
        <v/>
      </c>
    </row>
    <row r="12627" spans="1:5">
      <c r="A12627" s="12"/>
      <c r="E12627" s="57" t="str">
        <f ca="1">IFERROR(__xludf.DUMMYFUNCTION("""COMPUTED_VALUE"""),"")</f>
        <v/>
      </c>
    </row>
    <row r="12628" spans="1:5">
      <c r="A12628" s="12"/>
      <c r="E12628" s="57" t="str">
        <f ca="1">IFERROR(__xludf.DUMMYFUNCTION("""COMPUTED_VALUE"""),"")</f>
        <v/>
      </c>
    </row>
    <row r="12629" spans="1:5">
      <c r="A12629" s="12"/>
      <c r="E12629" s="57" t="str">
        <f ca="1">IFERROR(__xludf.DUMMYFUNCTION("""COMPUTED_VALUE"""),"")</f>
        <v/>
      </c>
    </row>
    <row r="12630" spans="1:5">
      <c r="A12630" s="12"/>
      <c r="E12630" s="57" t="str">
        <f ca="1">IFERROR(__xludf.DUMMYFUNCTION("""COMPUTED_VALUE"""),"")</f>
        <v/>
      </c>
    </row>
    <row r="12631" spans="1:5">
      <c r="A12631" s="12"/>
      <c r="E12631" s="57" t="str">
        <f ca="1">IFERROR(__xludf.DUMMYFUNCTION("""COMPUTED_VALUE"""),"")</f>
        <v/>
      </c>
    </row>
    <row r="12632" spans="1:5">
      <c r="A12632" s="12"/>
      <c r="E12632" s="57" t="str">
        <f ca="1">IFERROR(__xludf.DUMMYFUNCTION("""COMPUTED_VALUE"""),"")</f>
        <v/>
      </c>
    </row>
    <row r="12633" spans="1:5">
      <c r="A12633" s="12"/>
      <c r="E12633" s="57" t="str">
        <f ca="1">IFERROR(__xludf.DUMMYFUNCTION("""COMPUTED_VALUE"""),"")</f>
        <v/>
      </c>
    </row>
    <row r="12634" spans="1:5">
      <c r="A12634" s="12"/>
      <c r="E12634" s="57" t="str">
        <f ca="1">IFERROR(__xludf.DUMMYFUNCTION("""COMPUTED_VALUE"""),"")</f>
        <v/>
      </c>
    </row>
    <row r="12635" spans="1:5">
      <c r="A12635" s="12"/>
      <c r="E12635" s="57" t="str">
        <f ca="1">IFERROR(__xludf.DUMMYFUNCTION("""COMPUTED_VALUE"""),"")</f>
        <v/>
      </c>
    </row>
    <row r="12636" spans="1:5">
      <c r="A12636" s="12"/>
      <c r="E12636" s="57" t="str">
        <f ca="1">IFERROR(__xludf.DUMMYFUNCTION("""COMPUTED_VALUE"""),"")</f>
        <v/>
      </c>
    </row>
    <row r="12637" spans="1:5">
      <c r="A12637" s="12"/>
      <c r="E12637" s="57" t="str">
        <f ca="1">IFERROR(__xludf.DUMMYFUNCTION("""COMPUTED_VALUE"""),"")</f>
        <v/>
      </c>
    </row>
    <row r="12638" spans="1:5">
      <c r="A12638" s="12"/>
      <c r="E12638" s="57" t="str">
        <f ca="1">IFERROR(__xludf.DUMMYFUNCTION("""COMPUTED_VALUE"""),"")</f>
        <v/>
      </c>
    </row>
    <row r="12639" spans="1:5">
      <c r="A12639" s="12"/>
      <c r="E12639" s="57" t="str">
        <f ca="1">IFERROR(__xludf.DUMMYFUNCTION("""COMPUTED_VALUE"""),"")</f>
        <v/>
      </c>
    </row>
    <row r="12640" spans="1:5">
      <c r="A12640" s="12"/>
      <c r="E12640" s="57" t="str">
        <f ca="1">IFERROR(__xludf.DUMMYFUNCTION("""COMPUTED_VALUE"""),"")</f>
        <v/>
      </c>
    </row>
    <row r="12641" spans="1:5">
      <c r="A12641" s="12"/>
      <c r="E12641" s="57" t="str">
        <f ca="1">IFERROR(__xludf.DUMMYFUNCTION("""COMPUTED_VALUE"""),"")</f>
        <v/>
      </c>
    </row>
    <row r="12642" spans="1:5">
      <c r="A12642" s="12"/>
      <c r="E12642" s="57" t="str">
        <f ca="1">IFERROR(__xludf.DUMMYFUNCTION("""COMPUTED_VALUE"""),"")</f>
        <v/>
      </c>
    </row>
    <row r="12643" spans="1:5">
      <c r="A12643" s="12"/>
      <c r="E12643" s="57" t="str">
        <f ca="1">IFERROR(__xludf.DUMMYFUNCTION("""COMPUTED_VALUE"""),"")</f>
        <v/>
      </c>
    </row>
    <row r="12644" spans="1:5">
      <c r="A12644" s="12"/>
      <c r="E12644" s="57" t="str">
        <f ca="1">IFERROR(__xludf.DUMMYFUNCTION("""COMPUTED_VALUE"""),"")</f>
        <v/>
      </c>
    </row>
    <row r="12645" spans="1:5">
      <c r="A12645" s="12"/>
      <c r="E12645" s="57" t="str">
        <f ca="1">IFERROR(__xludf.DUMMYFUNCTION("""COMPUTED_VALUE"""),"")</f>
        <v/>
      </c>
    </row>
    <row r="12646" spans="1:5">
      <c r="A12646" s="12"/>
      <c r="E12646" s="57" t="str">
        <f ca="1">IFERROR(__xludf.DUMMYFUNCTION("""COMPUTED_VALUE"""),"")</f>
        <v/>
      </c>
    </row>
    <row r="12647" spans="1:5">
      <c r="A12647" s="12"/>
      <c r="E12647" s="57" t="str">
        <f ca="1">IFERROR(__xludf.DUMMYFUNCTION("""COMPUTED_VALUE"""),"")</f>
        <v/>
      </c>
    </row>
    <row r="12648" spans="1:5">
      <c r="A12648" s="12"/>
      <c r="E12648" s="57" t="str">
        <f ca="1">IFERROR(__xludf.DUMMYFUNCTION("""COMPUTED_VALUE"""),"")</f>
        <v/>
      </c>
    </row>
    <row r="12649" spans="1:5">
      <c r="A12649" s="12"/>
      <c r="E12649" s="57" t="str">
        <f ca="1">IFERROR(__xludf.DUMMYFUNCTION("""COMPUTED_VALUE"""),"")</f>
        <v/>
      </c>
    </row>
    <row r="12650" spans="1:5">
      <c r="A12650" s="12"/>
      <c r="E12650" s="57" t="str">
        <f ca="1">IFERROR(__xludf.DUMMYFUNCTION("""COMPUTED_VALUE"""),"")</f>
        <v/>
      </c>
    </row>
    <row r="12651" spans="1:5">
      <c r="A12651" s="12"/>
      <c r="E12651" s="57" t="str">
        <f ca="1">IFERROR(__xludf.DUMMYFUNCTION("""COMPUTED_VALUE"""),"")</f>
        <v/>
      </c>
    </row>
    <row r="12652" spans="1:5">
      <c r="A12652" s="12"/>
      <c r="E12652" s="57" t="str">
        <f ca="1">IFERROR(__xludf.DUMMYFUNCTION("""COMPUTED_VALUE"""),"")</f>
        <v/>
      </c>
    </row>
    <row r="12653" spans="1:5">
      <c r="A12653" s="12"/>
      <c r="E12653" s="57" t="str">
        <f ca="1">IFERROR(__xludf.DUMMYFUNCTION("""COMPUTED_VALUE"""),"")</f>
        <v/>
      </c>
    </row>
    <row r="12654" spans="1:5">
      <c r="A12654" s="12"/>
      <c r="E12654" s="57" t="str">
        <f ca="1">IFERROR(__xludf.DUMMYFUNCTION("""COMPUTED_VALUE"""),"")</f>
        <v/>
      </c>
    </row>
    <row r="12655" spans="1:5">
      <c r="A12655" s="12"/>
      <c r="E12655" s="57" t="str">
        <f ca="1">IFERROR(__xludf.DUMMYFUNCTION("""COMPUTED_VALUE"""),"")</f>
        <v/>
      </c>
    </row>
    <row r="12656" spans="1:5">
      <c r="A12656" s="12"/>
      <c r="E12656" s="57" t="str">
        <f ca="1">IFERROR(__xludf.DUMMYFUNCTION("""COMPUTED_VALUE"""),"")</f>
        <v/>
      </c>
    </row>
    <row r="12657" spans="1:5">
      <c r="A12657" s="12"/>
      <c r="E12657" s="57" t="str">
        <f ca="1">IFERROR(__xludf.DUMMYFUNCTION("""COMPUTED_VALUE"""),"")</f>
        <v/>
      </c>
    </row>
    <row r="12658" spans="1:5">
      <c r="A12658" s="12"/>
      <c r="E12658" s="57" t="str">
        <f ca="1">IFERROR(__xludf.DUMMYFUNCTION("""COMPUTED_VALUE"""),"")</f>
        <v/>
      </c>
    </row>
    <row r="12659" spans="1:5">
      <c r="A12659" s="12"/>
      <c r="E12659" s="57" t="str">
        <f ca="1">IFERROR(__xludf.DUMMYFUNCTION("""COMPUTED_VALUE"""),"")</f>
        <v/>
      </c>
    </row>
    <row r="12660" spans="1:5">
      <c r="A12660" s="12"/>
      <c r="E12660" s="57" t="str">
        <f ca="1">IFERROR(__xludf.DUMMYFUNCTION("""COMPUTED_VALUE"""),"")</f>
        <v/>
      </c>
    </row>
    <row r="12661" spans="1:5">
      <c r="A12661" s="12"/>
      <c r="E12661" s="57" t="str">
        <f ca="1">IFERROR(__xludf.DUMMYFUNCTION("""COMPUTED_VALUE"""),"")</f>
        <v/>
      </c>
    </row>
    <row r="12662" spans="1:5">
      <c r="A12662" s="12"/>
      <c r="E12662" s="57" t="str">
        <f ca="1">IFERROR(__xludf.DUMMYFUNCTION("""COMPUTED_VALUE"""),"")</f>
        <v/>
      </c>
    </row>
    <row r="12663" spans="1:5">
      <c r="A12663" s="12"/>
      <c r="E12663" s="57" t="str">
        <f ca="1">IFERROR(__xludf.DUMMYFUNCTION("""COMPUTED_VALUE"""),"")</f>
        <v/>
      </c>
    </row>
    <row r="12664" spans="1:5">
      <c r="A12664" s="12"/>
      <c r="E12664" s="57" t="str">
        <f ca="1">IFERROR(__xludf.DUMMYFUNCTION("""COMPUTED_VALUE"""),"")</f>
        <v/>
      </c>
    </row>
    <row r="12665" spans="1:5">
      <c r="A12665" s="12"/>
      <c r="E12665" s="57" t="str">
        <f ca="1">IFERROR(__xludf.DUMMYFUNCTION("""COMPUTED_VALUE"""),"")</f>
        <v/>
      </c>
    </row>
    <row r="12666" spans="1:5">
      <c r="A12666" s="12"/>
      <c r="E12666" s="57" t="str">
        <f ca="1">IFERROR(__xludf.DUMMYFUNCTION("""COMPUTED_VALUE"""),"")</f>
        <v/>
      </c>
    </row>
    <row r="12667" spans="1:5">
      <c r="A12667" s="12"/>
      <c r="E12667" s="57" t="str">
        <f ca="1">IFERROR(__xludf.DUMMYFUNCTION("""COMPUTED_VALUE"""),"")</f>
        <v/>
      </c>
    </row>
    <row r="12668" spans="1:5">
      <c r="A12668" s="12"/>
      <c r="E12668" s="57" t="str">
        <f ca="1">IFERROR(__xludf.DUMMYFUNCTION("""COMPUTED_VALUE"""),"")</f>
        <v/>
      </c>
    </row>
    <row r="12669" spans="1:5">
      <c r="A12669" s="12"/>
      <c r="E12669" s="57" t="str">
        <f ca="1">IFERROR(__xludf.DUMMYFUNCTION("""COMPUTED_VALUE"""),"")</f>
        <v/>
      </c>
    </row>
    <row r="12670" spans="1:5">
      <c r="A12670" s="12"/>
      <c r="E12670" s="57" t="str">
        <f ca="1">IFERROR(__xludf.DUMMYFUNCTION("""COMPUTED_VALUE"""),"")</f>
        <v/>
      </c>
    </row>
    <row r="12671" spans="1:5">
      <c r="A12671" s="12"/>
      <c r="E12671" s="57" t="str">
        <f ca="1">IFERROR(__xludf.DUMMYFUNCTION("""COMPUTED_VALUE"""),"")</f>
        <v/>
      </c>
    </row>
    <row r="12672" spans="1:5">
      <c r="A12672" s="12"/>
      <c r="E12672" s="57" t="str">
        <f ca="1">IFERROR(__xludf.DUMMYFUNCTION("""COMPUTED_VALUE"""),"")</f>
        <v/>
      </c>
    </row>
    <row r="12673" spans="1:5">
      <c r="A12673" s="12"/>
      <c r="E12673" s="57" t="str">
        <f ca="1">IFERROR(__xludf.DUMMYFUNCTION("""COMPUTED_VALUE"""),"")</f>
        <v/>
      </c>
    </row>
    <row r="12674" spans="1:5">
      <c r="A12674" s="12"/>
      <c r="E12674" s="57" t="str">
        <f ca="1">IFERROR(__xludf.DUMMYFUNCTION("""COMPUTED_VALUE"""),"")</f>
        <v/>
      </c>
    </row>
    <row r="12675" spans="1:5">
      <c r="A12675" s="12"/>
      <c r="E12675" s="57" t="str">
        <f ca="1">IFERROR(__xludf.DUMMYFUNCTION("""COMPUTED_VALUE"""),"")</f>
        <v/>
      </c>
    </row>
    <row r="12676" spans="1:5">
      <c r="A12676" s="12"/>
      <c r="E12676" s="57" t="str">
        <f ca="1">IFERROR(__xludf.DUMMYFUNCTION("""COMPUTED_VALUE"""),"")</f>
        <v/>
      </c>
    </row>
    <row r="12677" spans="1:5">
      <c r="A12677" s="12"/>
      <c r="E12677" s="57" t="str">
        <f ca="1">IFERROR(__xludf.DUMMYFUNCTION("""COMPUTED_VALUE"""),"")</f>
        <v/>
      </c>
    </row>
    <row r="12678" spans="1:5">
      <c r="A12678" s="12"/>
      <c r="E12678" s="57" t="str">
        <f ca="1">IFERROR(__xludf.DUMMYFUNCTION("""COMPUTED_VALUE"""),"")</f>
        <v/>
      </c>
    </row>
    <row r="12679" spans="1:5">
      <c r="A12679" s="12"/>
      <c r="E12679" s="57" t="str">
        <f ca="1">IFERROR(__xludf.DUMMYFUNCTION("""COMPUTED_VALUE"""),"")</f>
        <v/>
      </c>
    </row>
    <row r="12680" spans="1:5">
      <c r="A12680" s="12"/>
      <c r="E12680" s="57" t="str">
        <f ca="1">IFERROR(__xludf.DUMMYFUNCTION("""COMPUTED_VALUE"""),"")</f>
        <v/>
      </c>
    </row>
    <row r="12681" spans="1:5">
      <c r="A12681" s="12"/>
      <c r="E12681" s="57" t="str">
        <f ca="1">IFERROR(__xludf.DUMMYFUNCTION("""COMPUTED_VALUE"""),"")</f>
        <v/>
      </c>
    </row>
    <row r="12682" spans="1:5">
      <c r="A12682" s="12"/>
      <c r="E12682" s="57" t="str">
        <f ca="1">IFERROR(__xludf.DUMMYFUNCTION("""COMPUTED_VALUE"""),"")</f>
        <v/>
      </c>
    </row>
    <row r="12683" spans="1:5">
      <c r="A12683" s="12"/>
      <c r="E12683" s="57" t="str">
        <f ca="1">IFERROR(__xludf.DUMMYFUNCTION("""COMPUTED_VALUE"""),"")</f>
        <v/>
      </c>
    </row>
    <row r="12684" spans="1:5">
      <c r="A12684" s="12"/>
      <c r="E12684" s="57" t="str">
        <f ca="1">IFERROR(__xludf.DUMMYFUNCTION("""COMPUTED_VALUE"""),"")</f>
        <v/>
      </c>
    </row>
    <row r="12685" spans="1:5">
      <c r="A12685" s="12"/>
      <c r="E12685" s="57" t="str">
        <f ca="1">IFERROR(__xludf.DUMMYFUNCTION("""COMPUTED_VALUE"""),"")</f>
        <v/>
      </c>
    </row>
    <row r="12686" spans="1:5">
      <c r="A12686" s="12"/>
      <c r="E12686" s="57" t="str">
        <f ca="1">IFERROR(__xludf.DUMMYFUNCTION("""COMPUTED_VALUE"""),"")</f>
        <v/>
      </c>
    </row>
    <row r="12687" spans="1:5">
      <c r="A12687" s="12"/>
      <c r="E12687" s="57" t="str">
        <f ca="1">IFERROR(__xludf.DUMMYFUNCTION("""COMPUTED_VALUE"""),"")</f>
        <v/>
      </c>
    </row>
    <row r="12688" spans="1:5">
      <c r="A12688" s="12"/>
      <c r="E12688" s="57" t="str">
        <f ca="1">IFERROR(__xludf.DUMMYFUNCTION("""COMPUTED_VALUE"""),"")</f>
        <v/>
      </c>
    </row>
    <row r="12689" spans="1:5">
      <c r="A12689" s="12"/>
      <c r="E12689" s="57" t="str">
        <f ca="1">IFERROR(__xludf.DUMMYFUNCTION("""COMPUTED_VALUE"""),"")</f>
        <v/>
      </c>
    </row>
    <row r="12690" spans="1:5">
      <c r="A12690" s="12"/>
      <c r="E12690" s="57" t="str">
        <f ca="1">IFERROR(__xludf.DUMMYFUNCTION("""COMPUTED_VALUE"""),"")</f>
        <v/>
      </c>
    </row>
    <row r="12691" spans="1:5">
      <c r="A12691" s="12"/>
      <c r="E12691" s="57" t="str">
        <f ca="1">IFERROR(__xludf.DUMMYFUNCTION("""COMPUTED_VALUE"""),"")</f>
        <v/>
      </c>
    </row>
    <row r="12692" spans="1:5">
      <c r="A12692" s="12"/>
      <c r="E12692" s="57" t="str">
        <f ca="1">IFERROR(__xludf.DUMMYFUNCTION("""COMPUTED_VALUE"""),"")</f>
        <v/>
      </c>
    </row>
    <row r="12693" spans="1:5">
      <c r="A12693" s="12"/>
      <c r="E12693" s="57" t="str">
        <f ca="1">IFERROR(__xludf.DUMMYFUNCTION("""COMPUTED_VALUE"""),"")</f>
        <v/>
      </c>
    </row>
    <row r="12694" spans="1:5">
      <c r="A12694" s="12"/>
      <c r="E12694" s="57" t="str">
        <f ca="1">IFERROR(__xludf.DUMMYFUNCTION("""COMPUTED_VALUE"""),"")</f>
        <v/>
      </c>
    </row>
    <row r="12695" spans="1:5">
      <c r="A12695" s="12"/>
      <c r="E12695" s="57" t="str">
        <f ca="1">IFERROR(__xludf.DUMMYFUNCTION("""COMPUTED_VALUE"""),"")</f>
        <v/>
      </c>
    </row>
    <row r="12696" spans="1:5">
      <c r="A12696" s="12"/>
      <c r="E12696" s="57" t="str">
        <f ca="1">IFERROR(__xludf.DUMMYFUNCTION("""COMPUTED_VALUE"""),"")</f>
        <v/>
      </c>
    </row>
    <row r="12697" spans="1:5">
      <c r="A12697" s="12"/>
      <c r="E12697" s="57" t="str">
        <f ca="1">IFERROR(__xludf.DUMMYFUNCTION("""COMPUTED_VALUE"""),"")</f>
        <v/>
      </c>
    </row>
    <row r="12698" spans="1:5">
      <c r="A12698" s="12"/>
      <c r="E12698" s="57" t="str">
        <f ca="1">IFERROR(__xludf.DUMMYFUNCTION("""COMPUTED_VALUE"""),"")</f>
        <v/>
      </c>
    </row>
    <row r="12699" spans="1:5">
      <c r="A12699" s="12"/>
      <c r="E12699" s="57" t="str">
        <f ca="1">IFERROR(__xludf.DUMMYFUNCTION("""COMPUTED_VALUE"""),"")</f>
        <v/>
      </c>
    </row>
    <row r="12700" spans="1:5">
      <c r="A12700" s="12"/>
      <c r="E12700" s="57" t="str">
        <f ca="1">IFERROR(__xludf.DUMMYFUNCTION("""COMPUTED_VALUE"""),"")</f>
        <v/>
      </c>
    </row>
    <row r="12701" spans="1:5">
      <c r="A12701" s="12"/>
      <c r="E12701" s="57" t="str">
        <f ca="1">IFERROR(__xludf.DUMMYFUNCTION("""COMPUTED_VALUE"""),"")</f>
        <v/>
      </c>
    </row>
    <row r="12702" spans="1:5">
      <c r="A12702" s="12"/>
      <c r="E12702" s="57" t="str">
        <f ca="1">IFERROR(__xludf.DUMMYFUNCTION("""COMPUTED_VALUE"""),"")</f>
        <v/>
      </c>
    </row>
    <row r="12703" spans="1:5">
      <c r="A12703" s="12"/>
      <c r="E12703" s="57" t="str">
        <f ca="1">IFERROR(__xludf.DUMMYFUNCTION("""COMPUTED_VALUE"""),"")</f>
        <v/>
      </c>
    </row>
    <row r="12704" spans="1:5">
      <c r="A12704" s="12"/>
      <c r="E12704" s="57" t="str">
        <f ca="1">IFERROR(__xludf.DUMMYFUNCTION("""COMPUTED_VALUE"""),"")</f>
        <v/>
      </c>
    </row>
    <row r="12705" spans="1:5">
      <c r="A12705" s="12"/>
      <c r="E12705" s="57" t="str">
        <f ca="1">IFERROR(__xludf.DUMMYFUNCTION("""COMPUTED_VALUE"""),"")</f>
        <v/>
      </c>
    </row>
    <row r="12706" spans="1:5">
      <c r="A12706" s="12"/>
      <c r="E12706" s="57" t="str">
        <f ca="1">IFERROR(__xludf.DUMMYFUNCTION("""COMPUTED_VALUE"""),"")</f>
        <v/>
      </c>
    </row>
    <row r="12707" spans="1:5">
      <c r="A12707" s="12"/>
      <c r="E12707" s="57" t="str">
        <f ca="1">IFERROR(__xludf.DUMMYFUNCTION("""COMPUTED_VALUE"""),"")</f>
        <v/>
      </c>
    </row>
    <row r="12708" spans="1:5">
      <c r="A12708" s="12"/>
      <c r="E12708" s="57" t="str">
        <f ca="1">IFERROR(__xludf.DUMMYFUNCTION("""COMPUTED_VALUE"""),"")</f>
        <v/>
      </c>
    </row>
    <row r="12709" spans="1:5">
      <c r="A12709" s="12"/>
      <c r="E12709" s="57" t="str">
        <f ca="1">IFERROR(__xludf.DUMMYFUNCTION("""COMPUTED_VALUE"""),"")</f>
        <v/>
      </c>
    </row>
    <row r="12710" spans="1:5">
      <c r="A12710" s="12"/>
      <c r="E12710" s="57" t="str">
        <f ca="1">IFERROR(__xludf.DUMMYFUNCTION("""COMPUTED_VALUE"""),"")</f>
        <v/>
      </c>
    </row>
    <row r="12711" spans="1:5">
      <c r="A12711" s="12"/>
      <c r="E12711" s="57" t="str">
        <f ca="1">IFERROR(__xludf.DUMMYFUNCTION("""COMPUTED_VALUE"""),"")</f>
        <v/>
      </c>
    </row>
    <row r="12712" spans="1:5">
      <c r="A12712" s="12"/>
      <c r="E12712" s="57" t="str">
        <f ca="1">IFERROR(__xludf.DUMMYFUNCTION("""COMPUTED_VALUE"""),"")</f>
        <v/>
      </c>
    </row>
    <row r="12713" spans="1:5">
      <c r="A12713" s="12"/>
      <c r="E12713" s="57" t="str">
        <f ca="1">IFERROR(__xludf.DUMMYFUNCTION("""COMPUTED_VALUE"""),"")</f>
        <v/>
      </c>
    </row>
    <row r="12714" spans="1:5">
      <c r="A12714" s="12"/>
      <c r="E12714" s="57" t="str">
        <f ca="1">IFERROR(__xludf.DUMMYFUNCTION("""COMPUTED_VALUE"""),"")</f>
        <v/>
      </c>
    </row>
    <row r="12715" spans="1:5">
      <c r="A12715" s="12"/>
      <c r="E12715" s="57" t="str">
        <f ca="1">IFERROR(__xludf.DUMMYFUNCTION("""COMPUTED_VALUE"""),"")</f>
        <v/>
      </c>
    </row>
    <row r="12716" spans="1:5">
      <c r="A12716" s="12"/>
      <c r="E12716" s="57" t="str">
        <f ca="1">IFERROR(__xludf.DUMMYFUNCTION("""COMPUTED_VALUE"""),"")</f>
        <v/>
      </c>
    </row>
    <row r="12717" spans="1:5">
      <c r="A12717" s="12"/>
      <c r="E12717" s="57" t="str">
        <f ca="1">IFERROR(__xludf.DUMMYFUNCTION("""COMPUTED_VALUE"""),"")</f>
        <v/>
      </c>
    </row>
    <row r="12718" spans="1:5">
      <c r="A12718" s="12"/>
      <c r="E12718" s="57" t="str">
        <f ca="1">IFERROR(__xludf.DUMMYFUNCTION("""COMPUTED_VALUE"""),"")</f>
        <v/>
      </c>
    </row>
    <row r="12719" spans="1:5">
      <c r="A12719" s="12"/>
      <c r="E12719" s="57" t="str">
        <f ca="1">IFERROR(__xludf.DUMMYFUNCTION("""COMPUTED_VALUE"""),"")</f>
        <v/>
      </c>
    </row>
    <row r="12720" spans="1:5">
      <c r="A12720" s="12"/>
      <c r="E12720" s="57" t="str">
        <f ca="1">IFERROR(__xludf.DUMMYFUNCTION("""COMPUTED_VALUE"""),"")</f>
        <v/>
      </c>
    </row>
    <row r="12721" spans="1:5">
      <c r="A12721" s="12"/>
      <c r="E12721" s="57" t="str">
        <f ca="1">IFERROR(__xludf.DUMMYFUNCTION("""COMPUTED_VALUE"""),"")</f>
        <v/>
      </c>
    </row>
    <row r="12722" spans="1:5">
      <c r="A12722" s="12"/>
      <c r="E12722" s="57" t="str">
        <f ca="1">IFERROR(__xludf.DUMMYFUNCTION("""COMPUTED_VALUE"""),"")</f>
        <v/>
      </c>
    </row>
    <row r="12723" spans="1:5">
      <c r="A12723" s="12"/>
      <c r="E12723" s="57" t="str">
        <f ca="1">IFERROR(__xludf.DUMMYFUNCTION("""COMPUTED_VALUE"""),"")</f>
        <v/>
      </c>
    </row>
    <row r="12724" spans="1:5">
      <c r="A12724" s="12"/>
      <c r="E12724" s="57" t="str">
        <f ca="1">IFERROR(__xludf.DUMMYFUNCTION("""COMPUTED_VALUE"""),"")</f>
        <v/>
      </c>
    </row>
    <row r="12725" spans="1:5">
      <c r="A12725" s="12"/>
      <c r="E12725" s="57" t="str">
        <f ca="1">IFERROR(__xludf.DUMMYFUNCTION("""COMPUTED_VALUE"""),"")</f>
        <v/>
      </c>
    </row>
    <row r="12726" spans="1:5">
      <c r="A12726" s="12"/>
      <c r="E12726" s="57" t="str">
        <f ca="1">IFERROR(__xludf.DUMMYFUNCTION("""COMPUTED_VALUE"""),"")</f>
        <v/>
      </c>
    </row>
    <row r="12727" spans="1:5">
      <c r="A12727" s="12"/>
      <c r="E12727" s="57" t="str">
        <f ca="1">IFERROR(__xludf.DUMMYFUNCTION("""COMPUTED_VALUE"""),"")</f>
        <v/>
      </c>
    </row>
    <row r="12728" spans="1:5">
      <c r="A12728" s="12"/>
      <c r="E12728" s="57" t="str">
        <f ca="1">IFERROR(__xludf.DUMMYFUNCTION("""COMPUTED_VALUE"""),"")</f>
        <v/>
      </c>
    </row>
    <row r="12729" spans="1:5">
      <c r="A12729" s="12"/>
      <c r="E12729" s="57" t="str">
        <f ca="1">IFERROR(__xludf.DUMMYFUNCTION("""COMPUTED_VALUE"""),"")</f>
        <v/>
      </c>
    </row>
    <row r="12730" spans="1:5">
      <c r="A12730" s="12"/>
      <c r="E12730" s="57" t="str">
        <f ca="1">IFERROR(__xludf.DUMMYFUNCTION("""COMPUTED_VALUE"""),"")</f>
        <v/>
      </c>
    </row>
    <row r="12731" spans="1:5">
      <c r="A12731" s="12"/>
      <c r="E12731" s="57" t="str">
        <f ca="1">IFERROR(__xludf.DUMMYFUNCTION("""COMPUTED_VALUE"""),"")</f>
        <v/>
      </c>
    </row>
    <row r="12732" spans="1:5">
      <c r="A12732" s="12"/>
      <c r="E12732" s="57" t="str">
        <f ca="1">IFERROR(__xludf.DUMMYFUNCTION("""COMPUTED_VALUE"""),"")</f>
        <v/>
      </c>
    </row>
    <row r="12733" spans="1:5">
      <c r="A12733" s="12"/>
      <c r="E12733" s="57" t="str">
        <f ca="1">IFERROR(__xludf.DUMMYFUNCTION("""COMPUTED_VALUE"""),"")</f>
        <v/>
      </c>
    </row>
    <row r="12734" spans="1:5">
      <c r="A12734" s="12"/>
      <c r="E12734" s="57" t="str">
        <f ca="1">IFERROR(__xludf.DUMMYFUNCTION("""COMPUTED_VALUE"""),"")</f>
        <v/>
      </c>
    </row>
    <row r="12735" spans="1:5">
      <c r="A12735" s="12"/>
      <c r="E12735" s="57" t="str">
        <f ca="1">IFERROR(__xludf.DUMMYFUNCTION("""COMPUTED_VALUE"""),"")</f>
        <v/>
      </c>
    </row>
    <row r="12736" spans="1:5">
      <c r="A12736" s="12"/>
      <c r="E12736" s="57" t="str">
        <f ca="1">IFERROR(__xludf.DUMMYFUNCTION("""COMPUTED_VALUE"""),"")</f>
        <v/>
      </c>
    </row>
    <row r="12737" spans="1:5">
      <c r="A12737" s="12"/>
      <c r="E12737" s="57" t="str">
        <f ca="1">IFERROR(__xludf.DUMMYFUNCTION("""COMPUTED_VALUE"""),"")</f>
        <v/>
      </c>
    </row>
    <row r="12738" spans="1:5">
      <c r="A12738" s="12"/>
      <c r="E12738" s="57" t="str">
        <f ca="1">IFERROR(__xludf.DUMMYFUNCTION("""COMPUTED_VALUE"""),"")</f>
        <v/>
      </c>
    </row>
    <row r="12739" spans="1:5">
      <c r="A12739" s="12"/>
      <c r="E12739" s="57" t="str">
        <f ca="1">IFERROR(__xludf.DUMMYFUNCTION("""COMPUTED_VALUE"""),"")</f>
        <v/>
      </c>
    </row>
    <row r="12740" spans="1:5">
      <c r="A12740" s="12"/>
      <c r="E12740" s="57" t="str">
        <f ca="1">IFERROR(__xludf.DUMMYFUNCTION("""COMPUTED_VALUE"""),"")</f>
        <v/>
      </c>
    </row>
    <row r="12741" spans="1:5">
      <c r="A12741" s="12"/>
      <c r="E12741" s="57" t="str">
        <f ca="1">IFERROR(__xludf.DUMMYFUNCTION("""COMPUTED_VALUE"""),"")</f>
        <v/>
      </c>
    </row>
    <row r="12742" spans="1:5">
      <c r="A12742" s="12"/>
      <c r="E12742" s="57" t="str">
        <f ca="1">IFERROR(__xludf.DUMMYFUNCTION("""COMPUTED_VALUE"""),"")</f>
        <v/>
      </c>
    </row>
    <row r="12743" spans="1:5">
      <c r="A12743" s="12"/>
      <c r="E12743" s="57" t="str">
        <f ca="1">IFERROR(__xludf.DUMMYFUNCTION("""COMPUTED_VALUE"""),"")</f>
        <v/>
      </c>
    </row>
    <row r="12744" spans="1:5">
      <c r="A12744" s="12"/>
      <c r="E12744" s="57" t="str">
        <f ca="1">IFERROR(__xludf.DUMMYFUNCTION("""COMPUTED_VALUE"""),"")</f>
        <v/>
      </c>
    </row>
    <row r="12745" spans="1:5">
      <c r="A12745" s="12"/>
      <c r="E12745" s="57" t="str">
        <f ca="1">IFERROR(__xludf.DUMMYFUNCTION("""COMPUTED_VALUE"""),"")</f>
        <v/>
      </c>
    </row>
    <row r="12746" spans="1:5">
      <c r="A12746" s="12"/>
      <c r="E12746" s="57" t="str">
        <f ca="1">IFERROR(__xludf.DUMMYFUNCTION("""COMPUTED_VALUE"""),"")</f>
        <v/>
      </c>
    </row>
    <row r="12747" spans="1:5">
      <c r="A12747" s="12"/>
      <c r="E12747" s="57" t="str">
        <f ca="1">IFERROR(__xludf.DUMMYFUNCTION("""COMPUTED_VALUE"""),"")</f>
        <v/>
      </c>
    </row>
    <row r="12748" spans="1:5">
      <c r="A12748" s="12"/>
      <c r="E12748" s="57" t="str">
        <f ca="1">IFERROR(__xludf.DUMMYFUNCTION("""COMPUTED_VALUE"""),"")</f>
        <v/>
      </c>
    </row>
    <row r="12749" spans="1:5">
      <c r="A12749" s="12"/>
      <c r="E12749" s="57" t="str">
        <f ca="1">IFERROR(__xludf.DUMMYFUNCTION("""COMPUTED_VALUE"""),"")</f>
        <v/>
      </c>
    </row>
    <row r="12750" spans="1:5">
      <c r="A12750" s="12"/>
      <c r="E12750" s="57" t="str">
        <f ca="1">IFERROR(__xludf.DUMMYFUNCTION("""COMPUTED_VALUE"""),"")</f>
        <v/>
      </c>
    </row>
    <row r="12751" spans="1:5">
      <c r="A12751" s="12"/>
      <c r="E12751" s="57" t="str">
        <f ca="1">IFERROR(__xludf.DUMMYFUNCTION("""COMPUTED_VALUE"""),"")</f>
        <v/>
      </c>
    </row>
    <row r="12752" spans="1:5">
      <c r="A12752" s="12"/>
      <c r="E12752" s="57" t="str">
        <f ca="1">IFERROR(__xludf.DUMMYFUNCTION("""COMPUTED_VALUE"""),"")</f>
        <v/>
      </c>
    </row>
    <row r="12753" spans="1:5">
      <c r="A12753" s="12"/>
      <c r="E12753" s="57" t="str">
        <f ca="1">IFERROR(__xludf.DUMMYFUNCTION("""COMPUTED_VALUE"""),"")</f>
        <v/>
      </c>
    </row>
    <row r="12754" spans="1:5">
      <c r="A12754" s="12"/>
      <c r="E12754" s="57" t="str">
        <f ca="1">IFERROR(__xludf.DUMMYFUNCTION("""COMPUTED_VALUE"""),"")</f>
        <v/>
      </c>
    </row>
    <row r="12755" spans="1:5">
      <c r="A12755" s="12"/>
      <c r="E12755" s="57" t="str">
        <f ca="1">IFERROR(__xludf.DUMMYFUNCTION("""COMPUTED_VALUE"""),"")</f>
        <v/>
      </c>
    </row>
    <row r="12756" spans="1:5">
      <c r="A12756" s="12"/>
      <c r="E12756" s="57" t="str">
        <f ca="1">IFERROR(__xludf.DUMMYFUNCTION("""COMPUTED_VALUE"""),"")</f>
        <v/>
      </c>
    </row>
    <row r="12757" spans="1:5">
      <c r="A12757" s="12"/>
      <c r="E12757" s="57" t="str">
        <f ca="1">IFERROR(__xludf.DUMMYFUNCTION("""COMPUTED_VALUE"""),"")</f>
        <v/>
      </c>
    </row>
    <row r="12758" spans="1:5">
      <c r="A12758" s="12"/>
      <c r="E12758" s="57" t="str">
        <f ca="1">IFERROR(__xludf.DUMMYFUNCTION("""COMPUTED_VALUE"""),"")</f>
        <v/>
      </c>
    </row>
    <row r="12759" spans="1:5">
      <c r="A12759" s="12"/>
      <c r="E12759" s="57" t="str">
        <f ca="1">IFERROR(__xludf.DUMMYFUNCTION("""COMPUTED_VALUE"""),"")</f>
        <v/>
      </c>
    </row>
    <row r="12760" spans="1:5">
      <c r="A12760" s="12"/>
      <c r="E12760" s="57" t="str">
        <f ca="1">IFERROR(__xludf.DUMMYFUNCTION("""COMPUTED_VALUE"""),"")</f>
        <v/>
      </c>
    </row>
    <row r="12761" spans="1:5">
      <c r="A12761" s="12"/>
      <c r="E12761" s="57" t="str">
        <f ca="1">IFERROR(__xludf.DUMMYFUNCTION("""COMPUTED_VALUE"""),"")</f>
        <v/>
      </c>
    </row>
    <row r="12762" spans="1:5">
      <c r="A12762" s="12"/>
      <c r="E12762" s="57" t="str">
        <f ca="1">IFERROR(__xludf.DUMMYFUNCTION("""COMPUTED_VALUE"""),"")</f>
        <v/>
      </c>
    </row>
    <row r="12763" spans="1:5">
      <c r="A12763" s="12"/>
      <c r="E12763" s="57" t="str">
        <f ca="1">IFERROR(__xludf.DUMMYFUNCTION("""COMPUTED_VALUE"""),"")</f>
        <v/>
      </c>
    </row>
    <row r="12764" spans="1:5">
      <c r="A12764" s="12"/>
      <c r="E12764" s="57" t="str">
        <f ca="1">IFERROR(__xludf.DUMMYFUNCTION("""COMPUTED_VALUE"""),"")</f>
        <v/>
      </c>
    </row>
    <row r="12765" spans="1:5">
      <c r="A12765" s="12"/>
      <c r="E12765" s="57" t="str">
        <f ca="1">IFERROR(__xludf.DUMMYFUNCTION("""COMPUTED_VALUE"""),"")</f>
        <v/>
      </c>
    </row>
    <row r="12766" spans="1:5">
      <c r="A12766" s="12"/>
      <c r="E12766" s="57" t="str">
        <f ca="1">IFERROR(__xludf.DUMMYFUNCTION("""COMPUTED_VALUE"""),"")</f>
        <v/>
      </c>
    </row>
    <row r="12767" spans="1:5">
      <c r="A12767" s="12"/>
      <c r="E12767" s="57" t="str">
        <f ca="1">IFERROR(__xludf.DUMMYFUNCTION("""COMPUTED_VALUE"""),"")</f>
        <v/>
      </c>
    </row>
    <row r="12768" spans="1:5">
      <c r="A12768" s="12"/>
      <c r="E12768" s="57" t="str">
        <f ca="1">IFERROR(__xludf.DUMMYFUNCTION("""COMPUTED_VALUE"""),"")</f>
        <v/>
      </c>
    </row>
    <row r="12769" spans="1:5">
      <c r="A12769" s="12"/>
      <c r="E12769" s="57" t="str">
        <f ca="1">IFERROR(__xludf.DUMMYFUNCTION("""COMPUTED_VALUE"""),"")</f>
        <v/>
      </c>
    </row>
    <row r="12770" spans="1:5">
      <c r="A12770" s="12"/>
      <c r="E12770" s="57" t="str">
        <f ca="1">IFERROR(__xludf.DUMMYFUNCTION("""COMPUTED_VALUE"""),"")</f>
        <v/>
      </c>
    </row>
    <row r="12771" spans="1:5">
      <c r="A12771" s="12"/>
      <c r="E12771" s="57" t="str">
        <f ca="1">IFERROR(__xludf.DUMMYFUNCTION("""COMPUTED_VALUE"""),"")</f>
        <v/>
      </c>
    </row>
    <row r="12772" spans="1:5">
      <c r="A12772" s="12"/>
      <c r="E12772" s="57" t="str">
        <f ca="1">IFERROR(__xludf.DUMMYFUNCTION("""COMPUTED_VALUE"""),"")</f>
        <v/>
      </c>
    </row>
    <row r="12773" spans="1:5">
      <c r="A12773" s="12"/>
      <c r="E12773" s="57" t="str">
        <f ca="1">IFERROR(__xludf.DUMMYFUNCTION("""COMPUTED_VALUE"""),"")</f>
        <v/>
      </c>
    </row>
    <row r="12774" spans="1:5">
      <c r="A12774" s="12"/>
      <c r="E12774" s="57" t="str">
        <f ca="1">IFERROR(__xludf.DUMMYFUNCTION("""COMPUTED_VALUE"""),"")</f>
        <v/>
      </c>
    </row>
    <row r="12775" spans="1:5">
      <c r="A12775" s="12"/>
      <c r="E12775" s="57" t="str">
        <f ca="1">IFERROR(__xludf.DUMMYFUNCTION("""COMPUTED_VALUE"""),"")</f>
        <v/>
      </c>
    </row>
    <row r="12776" spans="1:5">
      <c r="A12776" s="12"/>
      <c r="E12776" s="57" t="str">
        <f ca="1">IFERROR(__xludf.DUMMYFUNCTION("""COMPUTED_VALUE"""),"")</f>
        <v/>
      </c>
    </row>
    <row r="12777" spans="1:5">
      <c r="A12777" s="12"/>
      <c r="E12777" s="57" t="str">
        <f ca="1">IFERROR(__xludf.DUMMYFUNCTION("""COMPUTED_VALUE"""),"")</f>
        <v/>
      </c>
    </row>
    <row r="12778" spans="1:5">
      <c r="A12778" s="12"/>
      <c r="E12778" s="57" t="str">
        <f ca="1">IFERROR(__xludf.DUMMYFUNCTION("""COMPUTED_VALUE"""),"")</f>
        <v/>
      </c>
    </row>
    <row r="12779" spans="1:5">
      <c r="A12779" s="12"/>
      <c r="E12779" s="57" t="str">
        <f ca="1">IFERROR(__xludf.DUMMYFUNCTION("""COMPUTED_VALUE"""),"")</f>
        <v/>
      </c>
    </row>
    <row r="12780" spans="1:5">
      <c r="A12780" s="12"/>
      <c r="E12780" s="57" t="str">
        <f ca="1">IFERROR(__xludf.DUMMYFUNCTION("""COMPUTED_VALUE"""),"")</f>
        <v/>
      </c>
    </row>
    <row r="12781" spans="1:5">
      <c r="A12781" s="12"/>
      <c r="E12781" s="57" t="str">
        <f ca="1">IFERROR(__xludf.DUMMYFUNCTION("""COMPUTED_VALUE"""),"")</f>
        <v/>
      </c>
    </row>
    <row r="12782" spans="1:5">
      <c r="A12782" s="12"/>
      <c r="E12782" s="57" t="str">
        <f ca="1">IFERROR(__xludf.DUMMYFUNCTION("""COMPUTED_VALUE"""),"")</f>
        <v/>
      </c>
    </row>
    <row r="12783" spans="1:5">
      <c r="A12783" s="12"/>
      <c r="E12783" s="57" t="str">
        <f ca="1">IFERROR(__xludf.DUMMYFUNCTION("""COMPUTED_VALUE"""),"")</f>
        <v/>
      </c>
    </row>
    <row r="12784" spans="1:5">
      <c r="A12784" s="12"/>
      <c r="E12784" s="57" t="str">
        <f ca="1">IFERROR(__xludf.DUMMYFUNCTION("""COMPUTED_VALUE"""),"")</f>
        <v/>
      </c>
    </row>
    <row r="12785" spans="1:5">
      <c r="A12785" s="12"/>
      <c r="E12785" s="57" t="str">
        <f ca="1">IFERROR(__xludf.DUMMYFUNCTION("""COMPUTED_VALUE"""),"")</f>
        <v/>
      </c>
    </row>
    <row r="12786" spans="1:5">
      <c r="A12786" s="12"/>
      <c r="E12786" s="57" t="str">
        <f ca="1">IFERROR(__xludf.DUMMYFUNCTION("""COMPUTED_VALUE"""),"")</f>
        <v/>
      </c>
    </row>
    <row r="12787" spans="1:5">
      <c r="A12787" s="12"/>
      <c r="E12787" s="57" t="str">
        <f ca="1">IFERROR(__xludf.DUMMYFUNCTION("""COMPUTED_VALUE"""),"")</f>
        <v/>
      </c>
    </row>
    <row r="12788" spans="1:5">
      <c r="A12788" s="12"/>
      <c r="E12788" s="57" t="str">
        <f ca="1">IFERROR(__xludf.DUMMYFUNCTION("""COMPUTED_VALUE"""),"")</f>
        <v/>
      </c>
    </row>
    <row r="12789" spans="1:5">
      <c r="A12789" s="12"/>
      <c r="E12789" s="57" t="str">
        <f ca="1">IFERROR(__xludf.DUMMYFUNCTION("""COMPUTED_VALUE"""),"")</f>
        <v/>
      </c>
    </row>
    <row r="12790" spans="1:5">
      <c r="A12790" s="12"/>
      <c r="E12790" s="57" t="str">
        <f ca="1">IFERROR(__xludf.DUMMYFUNCTION("""COMPUTED_VALUE"""),"")</f>
        <v/>
      </c>
    </row>
    <row r="12791" spans="1:5">
      <c r="A12791" s="12"/>
      <c r="E12791" s="57" t="str">
        <f ca="1">IFERROR(__xludf.DUMMYFUNCTION("""COMPUTED_VALUE"""),"")</f>
        <v/>
      </c>
    </row>
    <row r="12792" spans="1:5">
      <c r="A12792" s="12"/>
      <c r="E12792" s="57" t="str">
        <f ca="1">IFERROR(__xludf.DUMMYFUNCTION("""COMPUTED_VALUE"""),"")</f>
        <v/>
      </c>
    </row>
    <row r="12793" spans="1:5">
      <c r="A12793" s="12"/>
      <c r="E12793" s="57" t="str">
        <f ca="1">IFERROR(__xludf.DUMMYFUNCTION("""COMPUTED_VALUE"""),"")</f>
        <v/>
      </c>
    </row>
    <row r="12794" spans="1:5">
      <c r="A12794" s="12"/>
      <c r="E12794" s="57" t="str">
        <f ca="1">IFERROR(__xludf.DUMMYFUNCTION("""COMPUTED_VALUE"""),"")</f>
        <v/>
      </c>
    </row>
    <row r="12795" spans="1:5">
      <c r="A12795" s="12"/>
      <c r="E12795" s="57" t="str">
        <f ca="1">IFERROR(__xludf.DUMMYFUNCTION("""COMPUTED_VALUE"""),"")</f>
        <v/>
      </c>
    </row>
    <row r="12796" spans="1:5">
      <c r="A12796" s="12"/>
      <c r="E12796" s="57" t="str">
        <f ca="1">IFERROR(__xludf.DUMMYFUNCTION("""COMPUTED_VALUE"""),"")</f>
        <v/>
      </c>
    </row>
    <row r="12797" spans="1:5">
      <c r="A12797" s="12"/>
      <c r="E12797" s="57" t="str">
        <f ca="1">IFERROR(__xludf.DUMMYFUNCTION("""COMPUTED_VALUE"""),"")</f>
        <v/>
      </c>
    </row>
    <row r="12798" spans="1:5">
      <c r="A12798" s="12"/>
      <c r="E12798" s="57" t="str">
        <f ca="1">IFERROR(__xludf.DUMMYFUNCTION("""COMPUTED_VALUE"""),"")</f>
        <v/>
      </c>
    </row>
    <row r="12799" spans="1:5">
      <c r="A12799" s="12"/>
      <c r="E12799" s="57" t="str">
        <f ca="1">IFERROR(__xludf.DUMMYFUNCTION("""COMPUTED_VALUE"""),"")</f>
        <v/>
      </c>
    </row>
    <row r="12800" spans="1:5">
      <c r="A12800" s="12"/>
      <c r="E12800" s="57" t="str">
        <f ca="1">IFERROR(__xludf.DUMMYFUNCTION("""COMPUTED_VALUE"""),"")</f>
        <v/>
      </c>
    </row>
    <row r="12801" spans="1:5">
      <c r="A12801" s="12"/>
      <c r="E12801" s="57" t="str">
        <f ca="1">IFERROR(__xludf.DUMMYFUNCTION("""COMPUTED_VALUE"""),"")</f>
        <v/>
      </c>
    </row>
    <row r="12802" spans="1:5">
      <c r="A12802" s="12"/>
      <c r="E12802" s="57" t="str">
        <f ca="1">IFERROR(__xludf.DUMMYFUNCTION("""COMPUTED_VALUE"""),"")</f>
        <v/>
      </c>
    </row>
    <row r="12803" spans="1:5">
      <c r="A12803" s="12"/>
      <c r="E12803" s="57" t="str">
        <f ca="1">IFERROR(__xludf.DUMMYFUNCTION("""COMPUTED_VALUE"""),"")</f>
        <v/>
      </c>
    </row>
    <row r="12804" spans="1:5">
      <c r="A12804" s="12"/>
      <c r="E12804" s="57" t="str">
        <f ca="1">IFERROR(__xludf.DUMMYFUNCTION("""COMPUTED_VALUE"""),"")</f>
        <v/>
      </c>
    </row>
    <row r="12805" spans="1:5">
      <c r="A12805" s="12"/>
      <c r="E12805" s="57" t="str">
        <f ca="1">IFERROR(__xludf.DUMMYFUNCTION("""COMPUTED_VALUE"""),"")</f>
        <v/>
      </c>
    </row>
    <row r="12806" spans="1:5">
      <c r="A12806" s="12"/>
      <c r="E12806" s="57" t="str">
        <f ca="1">IFERROR(__xludf.DUMMYFUNCTION("""COMPUTED_VALUE"""),"")</f>
        <v/>
      </c>
    </row>
    <row r="12807" spans="1:5">
      <c r="A12807" s="12"/>
      <c r="E12807" s="57" t="str">
        <f ca="1">IFERROR(__xludf.DUMMYFUNCTION("""COMPUTED_VALUE"""),"")</f>
        <v/>
      </c>
    </row>
    <row r="12808" spans="1:5">
      <c r="A12808" s="12"/>
      <c r="E12808" s="57" t="str">
        <f ca="1">IFERROR(__xludf.DUMMYFUNCTION("""COMPUTED_VALUE"""),"")</f>
        <v/>
      </c>
    </row>
    <row r="12809" spans="1:5">
      <c r="A12809" s="12"/>
      <c r="E12809" s="57" t="str">
        <f ca="1">IFERROR(__xludf.DUMMYFUNCTION("""COMPUTED_VALUE"""),"")</f>
        <v/>
      </c>
    </row>
    <row r="12810" spans="1:5">
      <c r="A12810" s="12"/>
      <c r="E12810" s="57" t="str">
        <f ca="1">IFERROR(__xludf.DUMMYFUNCTION("""COMPUTED_VALUE"""),"")</f>
        <v/>
      </c>
    </row>
    <row r="12811" spans="1:5">
      <c r="A12811" s="12"/>
      <c r="E12811" s="57" t="str">
        <f ca="1">IFERROR(__xludf.DUMMYFUNCTION("""COMPUTED_VALUE"""),"")</f>
        <v/>
      </c>
    </row>
    <row r="12812" spans="1:5">
      <c r="A12812" s="12"/>
      <c r="E12812" s="57" t="str">
        <f ca="1">IFERROR(__xludf.DUMMYFUNCTION("""COMPUTED_VALUE"""),"")</f>
        <v/>
      </c>
    </row>
    <row r="12813" spans="1:5">
      <c r="A12813" s="12"/>
      <c r="E12813" s="57" t="str">
        <f ca="1">IFERROR(__xludf.DUMMYFUNCTION("""COMPUTED_VALUE"""),"")</f>
        <v/>
      </c>
    </row>
    <row r="12814" spans="1:5">
      <c r="A12814" s="12"/>
      <c r="E12814" s="57" t="str">
        <f ca="1">IFERROR(__xludf.DUMMYFUNCTION("""COMPUTED_VALUE"""),"")</f>
        <v/>
      </c>
    </row>
    <row r="12815" spans="1:5">
      <c r="A12815" s="12"/>
      <c r="E12815" s="57" t="str">
        <f ca="1">IFERROR(__xludf.DUMMYFUNCTION("""COMPUTED_VALUE"""),"")</f>
        <v/>
      </c>
    </row>
    <row r="12816" spans="1:5">
      <c r="A12816" s="12"/>
      <c r="E12816" s="57" t="str">
        <f ca="1">IFERROR(__xludf.DUMMYFUNCTION("""COMPUTED_VALUE"""),"")</f>
        <v/>
      </c>
    </row>
    <row r="12817" spans="1:5">
      <c r="A12817" s="12"/>
      <c r="E12817" s="57" t="str">
        <f ca="1">IFERROR(__xludf.DUMMYFUNCTION("""COMPUTED_VALUE"""),"")</f>
        <v/>
      </c>
    </row>
    <row r="12818" spans="1:5">
      <c r="A12818" s="12"/>
      <c r="E12818" s="57" t="str">
        <f ca="1">IFERROR(__xludf.DUMMYFUNCTION("""COMPUTED_VALUE"""),"")</f>
        <v/>
      </c>
    </row>
    <row r="12819" spans="1:5">
      <c r="A12819" s="12"/>
      <c r="E12819" s="57" t="str">
        <f ca="1">IFERROR(__xludf.DUMMYFUNCTION("""COMPUTED_VALUE"""),"")</f>
        <v/>
      </c>
    </row>
    <row r="12820" spans="1:5">
      <c r="A12820" s="12"/>
      <c r="E12820" s="57" t="str">
        <f ca="1">IFERROR(__xludf.DUMMYFUNCTION("""COMPUTED_VALUE"""),"")</f>
        <v/>
      </c>
    </row>
    <row r="12821" spans="1:5">
      <c r="A12821" s="12"/>
      <c r="E12821" s="57" t="str">
        <f ca="1">IFERROR(__xludf.DUMMYFUNCTION("""COMPUTED_VALUE"""),"")</f>
        <v/>
      </c>
    </row>
    <row r="12822" spans="1:5">
      <c r="A12822" s="12"/>
      <c r="E12822" s="57" t="str">
        <f ca="1">IFERROR(__xludf.DUMMYFUNCTION("""COMPUTED_VALUE"""),"")</f>
        <v/>
      </c>
    </row>
    <row r="12823" spans="1:5">
      <c r="A12823" s="12"/>
      <c r="E12823" s="57" t="str">
        <f ca="1">IFERROR(__xludf.DUMMYFUNCTION("""COMPUTED_VALUE"""),"")</f>
        <v/>
      </c>
    </row>
    <row r="12824" spans="1:5">
      <c r="A12824" s="12"/>
      <c r="E12824" s="57" t="str">
        <f ca="1">IFERROR(__xludf.DUMMYFUNCTION("""COMPUTED_VALUE"""),"")</f>
        <v/>
      </c>
    </row>
    <row r="12825" spans="1:5">
      <c r="A12825" s="12"/>
      <c r="E12825" s="57" t="str">
        <f ca="1">IFERROR(__xludf.DUMMYFUNCTION("""COMPUTED_VALUE"""),"")</f>
        <v/>
      </c>
    </row>
    <row r="12826" spans="1:5">
      <c r="A12826" s="12"/>
      <c r="E12826" s="57" t="str">
        <f ca="1">IFERROR(__xludf.DUMMYFUNCTION("""COMPUTED_VALUE"""),"")</f>
        <v/>
      </c>
    </row>
    <row r="12827" spans="1:5">
      <c r="A12827" s="12"/>
      <c r="E12827" s="57" t="str">
        <f ca="1">IFERROR(__xludf.DUMMYFUNCTION("""COMPUTED_VALUE"""),"")</f>
        <v/>
      </c>
    </row>
    <row r="12828" spans="1:5">
      <c r="A12828" s="12"/>
      <c r="E12828" s="57" t="str">
        <f ca="1">IFERROR(__xludf.DUMMYFUNCTION("""COMPUTED_VALUE"""),"")</f>
        <v/>
      </c>
    </row>
    <row r="12829" spans="1:5">
      <c r="A12829" s="12"/>
      <c r="E12829" s="57" t="str">
        <f ca="1">IFERROR(__xludf.DUMMYFUNCTION("""COMPUTED_VALUE"""),"")</f>
        <v/>
      </c>
    </row>
    <row r="12830" spans="1:5">
      <c r="A12830" s="12"/>
      <c r="E12830" s="57" t="str">
        <f ca="1">IFERROR(__xludf.DUMMYFUNCTION("""COMPUTED_VALUE"""),"")</f>
        <v/>
      </c>
    </row>
    <row r="12831" spans="1:5">
      <c r="A12831" s="12"/>
      <c r="E12831" s="57" t="str">
        <f ca="1">IFERROR(__xludf.DUMMYFUNCTION("""COMPUTED_VALUE"""),"")</f>
        <v/>
      </c>
    </row>
    <row r="12832" spans="1:5">
      <c r="A12832" s="12"/>
      <c r="E12832" s="57" t="str">
        <f ca="1">IFERROR(__xludf.DUMMYFUNCTION("""COMPUTED_VALUE"""),"")</f>
        <v/>
      </c>
    </row>
    <row r="12833" spans="1:5">
      <c r="A12833" s="12"/>
      <c r="E12833" s="57" t="str">
        <f ca="1">IFERROR(__xludf.DUMMYFUNCTION("""COMPUTED_VALUE"""),"")</f>
        <v/>
      </c>
    </row>
    <row r="12834" spans="1:5">
      <c r="A12834" s="12"/>
      <c r="E12834" s="57" t="str">
        <f ca="1">IFERROR(__xludf.DUMMYFUNCTION("""COMPUTED_VALUE"""),"")</f>
        <v/>
      </c>
    </row>
    <row r="12835" spans="1:5">
      <c r="A12835" s="12"/>
      <c r="E12835" s="57" t="str">
        <f ca="1">IFERROR(__xludf.DUMMYFUNCTION("""COMPUTED_VALUE"""),"")</f>
        <v/>
      </c>
    </row>
    <row r="12836" spans="1:5">
      <c r="A12836" s="12"/>
      <c r="E12836" s="57" t="str">
        <f ca="1">IFERROR(__xludf.DUMMYFUNCTION("""COMPUTED_VALUE"""),"")</f>
        <v/>
      </c>
    </row>
    <row r="12837" spans="1:5">
      <c r="A12837" s="12"/>
      <c r="E12837" s="57" t="str">
        <f ca="1">IFERROR(__xludf.DUMMYFUNCTION("""COMPUTED_VALUE"""),"")</f>
        <v/>
      </c>
    </row>
    <row r="12838" spans="1:5">
      <c r="A12838" s="12"/>
      <c r="E12838" s="57" t="str">
        <f ca="1">IFERROR(__xludf.DUMMYFUNCTION("""COMPUTED_VALUE"""),"")</f>
        <v/>
      </c>
    </row>
    <row r="12839" spans="1:5">
      <c r="A12839" s="12"/>
      <c r="E12839" s="57" t="str">
        <f ca="1">IFERROR(__xludf.DUMMYFUNCTION("""COMPUTED_VALUE"""),"")</f>
        <v/>
      </c>
    </row>
    <row r="12840" spans="1:5">
      <c r="A12840" s="12"/>
      <c r="E12840" s="57" t="str">
        <f ca="1">IFERROR(__xludf.DUMMYFUNCTION("""COMPUTED_VALUE"""),"")</f>
        <v/>
      </c>
    </row>
    <row r="12841" spans="1:5">
      <c r="A12841" s="12"/>
      <c r="E12841" s="57" t="str">
        <f ca="1">IFERROR(__xludf.DUMMYFUNCTION("""COMPUTED_VALUE"""),"")</f>
        <v/>
      </c>
    </row>
    <row r="12842" spans="1:5">
      <c r="A12842" s="12"/>
      <c r="E12842" s="57" t="str">
        <f ca="1">IFERROR(__xludf.DUMMYFUNCTION("""COMPUTED_VALUE"""),"")</f>
        <v/>
      </c>
    </row>
    <row r="12843" spans="1:5">
      <c r="A12843" s="12"/>
      <c r="E12843" s="57" t="str">
        <f ca="1">IFERROR(__xludf.DUMMYFUNCTION("""COMPUTED_VALUE"""),"")</f>
        <v/>
      </c>
    </row>
    <row r="12844" spans="1:5">
      <c r="A12844" s="12"/>
      <c r="E12844" s="57" t="str">
        <f ca="1">IFERROR(__xludf.DUMMYFUNCTION("""COMPUTED_VALUE"""),"")</f>
        <v/>
      </c>
    </row>
    <row r="12845" spans="1:5">
      <c r="A12845" s="12"/>
      <c r="E12845" s="57" t="str">
        <f ca="1">IFERROR(__xludf.DUMMYFUNCTION("""COMPUTED_VALUE"""),"")</f>
        <v/>
      </c>
    </row>
    <row r="12846" spans="1:5">
      <c r="A12846" s="12"/>
      <c r="E12846" s="57" t="str">
        <f ca="1">IFERROR(__xludf.DUMMYFUNCTION("""COMPUTED_VALUE"""),"")</f>
        <v/>
      </c>
    </row>
    <row r="12847" spans="1:5">
      <c r="A12847" s="12"/>
      <c r="E12847" s="57" t="str">
        <f ca="1">IFERROR(__xludf.DUMMYFUNCTION("""COMPUTED_VALUE"""),"")</f>
        <v/>
      </c>
    </row>
    <row r="12848" spans="1:5">
      <c r="A12848" s="12"/>
      <c r="E12848" s="57" t="str">
        <f ca="1">IFERROR(__xludf.DUMMYFUNCTION("""COMPUTED_VALUE"""),"")</f>
        <v/>
      </c>
    </row>
    <row r="12849" spans="1:5">
      <c r="A12849" s="12"/>
      <c r="E12849" s="57" t="str">
        <f ca="1">IFERROR(__xludf.DUMMYFUNCTION("""COMPUTED_VALUE"""),"")</f>
        <v/>
      </c>
    </row>
    <row r="12850" spans="1:5">
      <c r="A12850" s="12"/>
      <c r="E12850" s="57" t="str">
        <f ca="1">IFERROR(__xludf.DUMMYFUNCTION("""COMPUTED_VALUE"""),"")</f>
        <v/>
      </c>
    </row>
    <row r="12851" spans="1:5">
      <c r="A12851" s="12"/>
      <c r="E12851" s="57" t="str">
        <f ca="1">IFERROR(__xludf.DUMMYFUNCTION("""COMPUTED_VALUE"""),"")</f>
        <v/>
      </c>
    </row>
    <row r="12852" spans="1:5">
      <c r="A12852" s="12"/>
      <c r="E12852" s="57" t="str">
        <f ca="1">IFERROR(__xludf.DUMMYFUNCTION("""COMPUTED_VALUE"""),"")</f>
        <v/>
      </c>
    </row>
    <row r="12853" spans="1:5">
      <c r="A12853" s="12"/>
      <c r="E12853" s="57" t="str">
        <f ca="1">IFERROR(__xludf.DUMMYFUNCTION("""COMPUTED_VALUE"""),"")</f>
        <v/>
      </c>
    </row>
    <row r="12854" spans="1:5">
      <c r="A12854" s="12"/>
      <c r="E12854" s="57" t="str">
        <f ca="1">IFERROR(__xludf.DUMMYFUNCTION("""COMPUTED_VALUE"""),"")</f>
        <v/>
      </c>
    </row>
    <row r="12855" spans="1:5">
      <c r="A12855" s="12"/>
      <c r="E12855" s="57" t="str">
        <f ca="1">IFERROR(__xludf.DUMMYFUNCTION("""COMPUTED_VALUE"""),"")</f>
        <v/>
      </c>
    </row>
    <row r="12856" spans="1:5">
      <c r="A12856" s="12"/>
      <c r="E12856" s="57" t="str">
        <f ca="1">IFERROR(__xludf.DUMMYFUNCTION("""COMPUTED_VALUE"""),"")</f>
        <v/>
      </c>
    </row>
    <row r="12857" spans="1:5">
      <c r="A12857" s="12"/>
      <c r="E12857" s="57" t="str">
        <f ca="1">IFERROR(__xludf.DUMMYFUNCTION("""COMPUTED_VALUE"""),"")</f>
        <v/>
      </c>
    </row>
    <row r="12858" spans="1:5">
      <c r="A12858" s="12"/>
      <c r="E12858" s="57" t="str">
        <f ca="1">IFERROR(__xludf.DUMMYFUNCTION("""COMPUTED_VALUE"""),"")</f>
        <v/>
      </c>
    </row>
    <row r="12859" spans="1:5">
      <c r="A12859" s="12"/>
      <c r="E12859" s="57" t="str">
        <f ca="1">IFERROR(__xludf.DUMMYFUNCTION("""COMPUTED_VALUE"""),"")</f>
        <v/>
      </c>
    </row>
    <row r="12860" spans="1:5">
      <c r="A12860" s="12"/>
      <c r="E12860" s="57" t="str">
        <f ca="1">IFERROR(__xludf.DUMMYFUNCTION("""COMPUTED_VALUE"""),"")</f>
        <v/>
      </c>
    </row>
    <row r="12861" spans="1:5">
      <c r="A12861" s="12"/>
      <c r="E12861" s="57" t="str">
        <f ca="1">IFERROR(__xludf.DUMMYFUNCTION("""COMPUTED_VALUE"""),"")</f>
        <v/>
      </c>
    </row>
    <row r="12862" spans="1:5">
      <c r="A12862" s="12"/>
      <c r="E12862" s="57" t="str">
        <f ca="1">IFERROR(__xludf.DUMMYFUNCTION("""COMPUTED_VALUE"""),"")</f>
        <v/>
      </c>
    </row>
    <row r="12863" spans="1:5">
      <c r="A12863" s="12"/>
      <c r="E12863" s="57" t="str">
        <f ca="1">IFERROR(__xludf.DUMMYFUNCTION("""COMPUTED_VALUE"""),"")</f>
        <v/>
      </c>
    </row>
    <row r="12864" spans="1:5">
      <c r="A12864" s="12"/>
      <c r="E12864" s="57" t="str">
        <f ca="1">IFERROR(__xludf.DUMMYFUNCTION("""COMPUTED_VALUE"""),"")</f>
        <v/>
      </c>
    </row>
    <row r="12865" spans="1:5">
      <c r="A12865" s="12"/>
      <c r="E12865" s="57" t="str">
        <f ca="1">IFERROR(__xludf.DUMMYFUNCTION("""COMPUTED_VALUE"""),"")</f>
        <v/>
      </c>
    </row>
    <row r="12866" spans="1:5">
      <c r="A12866" s="12"/>
      <c r="E12866" s="57" t="str">
        <f ca="1">IFERROR(__xludf.DUMMYFUNCTION("""COMPUTED_VALUE"""),"")</f>
        <v/>
      </c>
    </row>
    <row r="12867" spans="1:5">
      <c r="A12867" s="12"/>
      <c r="E12867" s="57" t="str">
        <f ca="1">IFERROR(__xludf.DUMMYFUNCTION("""COMPUTED_VALUE"""),"")</f>
        <v/>
      </c>
    </row>
    <row r="12868" spans="1:5">
      <c r="A12868" s="12"/>
      <c r="E12868" s="57" t="str">
        <f ca="1">IFERROR(__xludf.DUMMYFUNCTION("""COMPUTED_VALUE"""),"")</f>
        <v/>
      </c>
    </row>
    <row r="12869" spans="1:5">
      <c r="A12869" s="12"/>
      <c r="E12869" s="57" t="str">
        <f ca="1">IFERROR(__xludf.DUMMYFUNCTION("""COMPUTED_VALUE"""),"")</f>
        <v/>
      </c>
    </row>
    <row r="12870" spans="1:5">
      <c r="A12870" s="12"/>
      <c r="E12870" s="57" t="str">
        <f ca="1">IFERROR(__xludf.DUMMYFUNCTION("""COMPUTED_VALUE"""),"")</f>
        <v/>
      </c>
    </row>
    <row r="12871" spans="1:5">
      <c r="A12871" s="12"/>
      <c r="E12871" s="57" t="str">
        <f ca="1">IFERROR(__xludf.DUMMYFUNCTION("""COMPUTED_VALUE"""),"")</f>
        <v/>
      </c>
    </row>
    <row r="12872" spans="1:5">
      <c r="A12872" s="12"/>
      <c r="E12872" s="57" t="str">
        <f ca="1">IFERROR(__xludf.DUMMYFUNCTION("""COMPUTED_VALUE"""),"")</f>
        <v/>
      </c>
    </row>
    <row r="12873" spans="1:5">
      <c r="A12873" s="12"/>
      <c r="E12873" s="57" t="str">
        <f ca="1">IFERROR(__xludf.DUMMYFUNCTION("""COMPUTED_VALUE"""),"")</f>
        <v/>
      </c>
    </row>
    <row r="12874" spans="1:5">
      <c r="A12874" s="12"/>
      <c r="E12874" s="57" t="str">
        <f ca="1">IFERROR(__xludf.DUMMYFUNCTION("""COMPUTED_VALUE"""),"")</f>
        <v/>
      </c>
    </row>
    <row r="12875" spans="1:5">
      <c r="A12875" s="12"/>
      <c r="E12875" s="57" t="str">
        <f ca="1">IFERROR(__xludf.DUMMYFUNCTION("""COMPUTED_VALUE"""),"")</f>
        <v/>
      </c>
    </row>
    <row r="12876" spans="1:5">
      <c r="A12876" s="12"/>
      <c r="E12876" s="57" t="str">
        <f ca="1">IFERROR(__xludf.DUMMYFUNCTION("""COMPUTED_VALUE"""),"")</f>
        <v/>
      </c>
    </row>
    <row r="12877" spans="1:5">
      <c r="A12877" s="12"/>
      <c r="E12877" s="57" t="str">
        <f ca="1">IFERROR(__xludf.DUMMYFUNCTION("""COMPUTED_VALUE"""),"")</f>
        <v/>
      </c>
    </row>
    <row r="12878" spans="1:5">
      <c r="A12878" s="12"/>
      <c r="E12878" s="57" t="str">
        <f ca="1">IFERROR(__xludf.DUMMYFUNCTION("""COMPUTED_VALUE"""),"")</f>
        <v/>
      </c>
    </row>
    <row r="12879" spans="1:5">
      <c r="A12879" s="12"/>
      <c r="E12879" s="57" t="str">
        <f ca="1">IFERROR(__xludf.DUMMYFUNCTION("""COMPUTED_VALUE"""),"")</f>
        <v/>
      </c>
    </row>
    <row r="12880" spans="1:5">
      <c r="A12880" s="12"/>
      <c r="E12880" s="57" t="str">
        <f ca="1">IFERROR(__xludf.DUMMYFUNCTION("""COMPUTED_VALUE"""),"")</f>
        <v/>
      </c>
    </row>
    <row r="12881" spans="1:5">
      <c r="A12881" s="12"/>
      <c r="E12881" s="57" t="str">
        <f ca="1">IFERROR(__xludf.DUMMYFUNCTION("""COMPUTED_VALUE"""),"")</f>
        <v/>
      </c>
    </row>
    <row r="12882" spans="1:5">
      <c r="A12882" s="12"/>
      <c r="E12882" s="57" t="str">
        <f ca="1">IFERROR(__xludf.DUMMYFUNCTION("""COMPUTED_VALUE"""),"")</f>
        <v/>
      </c>
    </row>
    <row r="12883" spans="1:5">
      <c r="A12883" s="12"/>
      <c r="E12883" s="57" t="str">
        <f ca="1">IFERROR(__xludf.DUMMYFUNCTION("""COMPUTED_VALUE"""),"")</f>
        <v/>
      </c>
    </row>
    <row r="12884" spans="1:5">
      <c r="A12884" s="12"/>
      <c r="E12884" s="57" t="str">
        <f ca="1">IFERROR(__xludf.DUMMYFUNCTION("""COMPUTED_VALUE"""),"")</f>
        <v/>
      </c>
    </row>
    <row r="12885" spans="1:5">
      <c r="A12885" s="12"/>
      <c r="E12885" s="57" t="str">
        <f ca="1">IFERROR(__xludf.DUMMYFUNCTION("""COMPUTED_VALUE"""),"")</f>
        <v/>
      </c>
    </row>
    <row r="12886" spans="1:5">
      <c r="A12886" s="12"/>
      <c r="E12886" s="57" t="str">
        <f ca="1">IFERROR(__xludf.DUMMYFUNCTION("""COMPUTED_VALUE"""),"")</f>
        <v/>
      </c>
    </row>
    <row r="12887" spans="1:5">
      <c r="A12887" s="12"/>
      <c r="E12887" s="57" t="str">
        <f ca="1">IFERROR(__xludf.DUMMYFUNCTION("""COMPUTED_VALUE"""),"")</f>
        <v/>
      </c>
    </row>
    <row r="12888" spans="1:5">
      <c r="A12888" s="12"/>
      <c r="E12888" s="57" t="str">
        <f ca="1">IFERROR(__xludf.DUMMYFUNCTION("""COMPUTED_VALUE"""),"")</f>
        <v/>
      </c>
    </row>
    <row r="12889" spans="1:5">
      <c r="A12889" s="12"/>
      <c r="E12889" s="57" t="str">
        <f ca="1">IFERROR(__xludf.DUMMYFUNCTION("""COMPUTED_VALUE"""),"")</f>
        <v/>
      </c>
    </row>
    <row r="12890" spans="1:5">
      <c r="A12890" s="12"/>
      <c r="E12890" s="57" t="str">
        <f ca="1">IFERROR(__xludf.DUMMYFUNCTION("""COMPUTED_VALUE"""),"")</f>
        <v/>
      </c>
    </row>
    <row r="12891" spans="1:5">
      <c r="A12891" s="12"/>
      <c r="E12891" s="57" t="str">
        <f ca="1">IFERROR(__xludf.DUMMYFUNCTION("""COMPUTED_VALUE"""),"")</f>
        <v/>
      </c>
    </row>
    <row r="12892" spans="1:5">
      <c r="A12892" s="12"/>
      <c r="E12892" s="57" t="str">
        <f ca="1">IFERROR(__xludf.DUMMYFUNCTION("""COMPUTED_VALUE"""),"")</f>
        <v/>
      </c>
    </row>
    <row r="12893" spans="1:5">
      <c r="A12893" s="12"/>
      <c r="E12893" s="57" t="str">
        <f ca="1">IFERROR(__xludf.DUMMYFUNCTION("""COMPUTED_VALUE"""),"")</f>
        <v/>
      </c>
    </row>
    <row r="12894" spans="1:5">
      <c r="A12894" s="12"/>
      <c r="E12894" s="57" t="str">
        <f ca="1">IFERROR(__xludf.DUMMYFUNCTION("""COMPUTED_VALUE"""),"")</f>
        <v/>
      </c>
    </row>
    <row r="12895" spans="1:5">
      <c r="A12895" s="12"/>
      <c r="E12895" s="57" t="str">
        <f ca="1">IFERROR(__xludf.DUMMYFUNCTION("""COMPUTED_VALUE"""),"")</f>
        <v/>
      </c>
    </row>
    <row r="12896" spans="1:5">
      <c r="A12896" s="12"/>
      <c r="E12896" s="57" t="str">
        <f ca="1">IFERROR(__xludf.DUMMYFUNCTION("""COMPUTED_VALUE"""),"")</f>
        <v/>
      </c>
    </row>
    <row r="12897" spans="1:5">
      <c r="A12897" s="12"/>
      <c r="E12897" s="57" t="str">
        <f ca="1">IFERROR(__xludf.DUMMYFUNCTION("""COMPUTED_VALUE"""),"")</f>
        <v/>
      </c>
    </row>
    <row r="12898" spans="1:5">
      <c r="A12898" s="12"/>
      <c r="E12898" s="57" t="str">
        <f ca="1">IFERROR(__xludf.DUMMYFUNCTION("""COMPUTED_VALUE"""),"")</f>
        <v/>
      </c>
    </row>
    <row r="12899" spans="1:5">
      <c r="A12899" s="12"/>
      <c r="E12899" s="57" t="str">
        <f ca="1">IFERROR(__xludf.DUMMYFUNCTION("""COMPUTED_VALUE"""),"")</f>
        <v/>
      </c>
    </row>
    <row r="12900" spans="1:5">
      <c r="A12900" s="12"/>
      <c r="E12900" s="57" t="str">
        <f ca="1">IFERROR(__xludf.DUMMYFUNCTION("""COMPUTED_VALUE"""),"")</f>
        <v/>
      </c>
    </row>
    <row r="12901" spans="1:5">
      <c r="A12901" s="12"/>
      <c r="E12901" s="57" t="str">
        <f ca="1">IFERROR(__xludf.DUMMYFUNCTION("""COMPUTED_VALUE"""),"")</f>
        <v/>
      </c>
    </row>
    <row r="12902" spans="1:5">
      <c r="A12902" s="12"/>
      <c r="E12902" s="57" t="str">
        <f ca="1">IFERROR(__xludf.DUMMYFUNCTION("""COMPUTED_VALUE"""),"")</f>
        <v/>
      </c>
    </row>
    <row r="12903" spans="1:5">
      <c r="A12903" s="12"/>
      <c r="E12903" s="57" t="str">
        <f ca="1">IFERROR(__xludf.DUMMYFUNCTION("""COMPUTED_VALUE"""),"")</f>
        <v/>
      </c>
    </row>
    <row r="12904" spans="1:5">
      <c r="A12904" s="12"/>
      <c r="E12904" s="57" t="str">
        <f ca="1">IFERROR(__xludf.DUMMYFUNCTION("""COMPUTED_VALUE"""),"")</f>
        <v/>
      </c>
    </row>
    <row r="12905" spans="1:5">
      <c r="A12905" s="12"/>
      <c r="E12905" s="57" t="str">
        <f ca="1">IFERROR(__xludf.DUMMYFUNCTION("""COMPUTED_VALUE"""),"")</f>
        <v/>
      </c>
    </row>
    <row r="12906" spans="1:5">
      <c r="A12906" s="12"/>
      <c r="E12906" s="57" t="str">
        <f ca="1">IFERROR(__xludf.DUMMYFUNCTION("""COMPUTED_VALUE"""),"")</f>
        <v/>
      </c>
    </row>
    <row r="12907" spans="1:5">
      <c r="A12907" s="12"/>
      <c r="E12907" s="57" t="str">
        <f ca="1">IFERROR(__xludf.DUMMYFUNCTION("""COMPUTED_VALUE"""),"")</f>
        <v/>
      </c>
    </row>
    <row r="12908" spans="1:5">
      <c r="A12908" s="12"/>
      <c r="E12908" s="57" t="str">
        <f ca="1">IFERROR(__xludf.DUMMYFUNCTION("""COMPUTED_VALUE"""),"")</f>
        <v/>
      </c>
    </row>
    <row r="12909" spans="1:5">
      <c r="A12909" s="12"/>
      <c r="E12909" s="57" t="str">
        <f ca="1">IFERROR(__xludf.DUMMYFUNCTION("""COMPUTED_VALUE"""),"")</f>
        <v/>
      </c>
    </row>
    <row r="12910" spans="1:5">
      <c r="A12910" s="12"/>
      <c r="E12910" s="57" t="str">
        <f ca="1">IFERROR(__xludf.DUMMYFUNCTION("""COMPUTED_VALUE"""),"")</f>
        <v/>
      </c>
    </row>
    <row r="12911" spans="1:5">
      <c r="A12911" s="12"/>
      <c r="E12911" s="57" t="str">
        <f ca="1">IFERROR(__xludf.DUMMYFUNCTION("""COMPUTED_VALUE"""),"")</f>
        <v/>
      </c>
    </row>
    <row r="12912" spans="1:5">
      <c r="A12912" s="12"/>
      <c r="E12912" s="57" t="str">
        <f ca="1">IFERROR(__xludf.DUMMYFUNCTION("""COMPUTED_VALUE"""),"")</f>
        <v/>
      </c>
    </row>
    <row r="12913" spans="1:5">
      <c r="A12913" s="12"/>
      <c r="E12913" s="57" t="str">
        <f ca="1">IFERROR(__xludf.DUMMYFUNCTION("""COMPUTED_VALUE"""),"")</f>
        <v/>
      </c>
    </row>
    <row r="12914" spans="1:5">
      <c r="A12914" s="12"/>
      <c r="E12914" s="57" t="str">
        <f ca="1">IFERROR(__xludf.DUMMYFUNCTION("""COMPUTED_VALUE"""),"")</f>
        <v/>
      </c>
    </row>
    <row r="12915" spans="1:5">
      <c r="A12915" s="12"/>
      <c r="E12915" s="57" t="str">
        <f ca="1">IFERROR(__xludf.DUMMYFUNCTION("""COMPUTED_VALUE"""),"")</f>
        <v/>
      </c>
    </row>
    <row r="12916" spans="1:5">
      <c r="A12916" s="12"/>
      <c r="E12916" s="57" t="str">
        <f ca="1">IFERROR(__xludf.DUMMYFUNCTION("""COMPUTED_VALUE"""),"")</f>
        <v/>
      </c>
    </row>
    <row r="12917" spans="1:5">
      <c r="A12917" s="12"/>
      <c r="E12917" s="57" t="str">
        <f ca="1">IFERROR(__xludf.DUMMYFUNCTION("""COMPUTED_VALUE"""),"")</f>
        <v/>
      </c>
    </row>
    <row r="12918" spans="1:5">
      <c r="A12918" s="12"/>
      <c r="E12918" s="57" t="str">
        <f ca="1">IFERROR(__xludf.DUMMYFUNCTION("""COMPUTED_VALUE"""),"")</f>
        <v/>
      </c>
    </row>
    <row r="12919" spans="1:5">
      <c r="A12919" s="12"/>
      <c r="E12919" s="57" t="str">
        <f ca="1">IFERROR(__xludf.DUMMYFUNCTION("""COMPUTED_VALUE"""),"")</f>
        <v/>
      </c>
    </row>
    <row r="12920" spans="1:5">
      <c r="A12920" s="12"/>
      <c r="E12920" s="57" t="str">
        <f ca="1">IFERROR(__xludf.DUMMYFUNCTION("""COMPUTED_VALUE"""),"")</f>
        <v/>
      </c>
    </row>
    <row r="12921" spans="1:5">
      <c r="A12921" s="12"/>
      <c r="E12921" s="57" t="str">
        <f ca="1">IFERROR(__xludf.DUMMYFUNCTION("""COMPUTED_VALUE"""),"")</f>
        <v/>
      </c>
    </row>
    <row r="12922" spans="1:5">
      <c r="A12922" s="12"/>
      <c r="E12922" s="57" t="str">
        <f ca="1">IFERROR(__xludf.DUMMYFUNCTION("""COMPUTED_VALUE"""),"")</f>
        <v/>
      </c>
    </row>
    <row r="12923" spans="1:5">
      <c r="A12923" s="12"/>
      <c r="E12923" s="57" t="str">
        <f ca="1">IFERROR(__xludf.DUMMYFUNCTION("""COMPUTED_VALUE"""),"")</f>
        <v/>
      </c>
    </row>
    <row r="12924" spans="1:5">
      <c r="A12924" s="12"/>
      <c r="E12924" s="57" t="str">
        <f ca="1">IFERROR(__xludf.DUMMYFUNCTION("""COMPUTED_VALUE"""),"")</f>
        <v/>
      </c>
    </row>
    <row r="12925" spans="1:5">
      <c r="A12925" s="12"/>
      <c r="E12925" s="57" t="str">
        <f ca="1">IFERROR(__xludf.DUMMYFUNCTION("""COMPUTED_VALUE"""),"")</f>
        <v/>
      </c>
    </row>
    <row r="12926" spans="1:5">
      <c r="A12926" s="12"/>
      <c r="E12926" s="57" t="str">
        <f ca="1">IFERROR(__xludf.DUMMYFUNCTION("""COMPUTED_VALUE"""),"")</f>
        <v/>
      </c>
    </row>
    <row r="12927" spans="1:5">
      <c r="A12927" s="12"/>
      <c r="E12927" s="57" t="str">
        <f ca="1">IFERROR(__xludf.DUMMYFUNCTION("""COMPUTED_VALUE"""),"")</f>
        <v/>
      </c>
    </row>
    <row r="12928" spans="1:5">
      <c r="A12928" s="12"/>
      <c r="E12928" s="57" t="str">
        <f ca="1">IFERROR(__xludf.DUMMYFUNCTION("""COMPUTED_VALUE"""),"")</f>
        <v/>
      </c>
    </row>
    <row r="12929" spans="1:5">
      <c r="A12929" s="12"/>
      <c r="E12929" s="57" t="str">
        <f ca="1">IFERROR(__xludf.DUMMYFUNCTION("""COMPUTED_VALUE"""),"")</f>
        <v/>
      </c>
    </row>
    <row r="12930" spans="1:5">
      <c r="A12930" s="12"/>
      <c r="E12930" s="57" t="str">
        <f ca="1">IFERROR(__xludf.DUMMYFUNCTION("""COMPUTED_VALUE"""),"")</f>
        <v/>
      </c>
    </row>
    <row r="12931" spans="1:5">
      <c r="A12931" s="12"/>
      <c r="E12931" s="57" t="str">
        <f ca="1">IFERROR(__xludf.DUMMYFUNCTION("""COMPUTED_VALUE"""),"")</f>
        <v/>
      </c>
    </row>
    <row r="12932" spans="1:5">
      <c r="A12932" s="12"/>
      <c r="E12932" s="57" t="str">
        <f ca="1">IFERROR(__xludf.DUMMYFUNCTION("""COMPUTED_VALUE"""),"")</f>
        <v/>
      </c>
    </row>
    <row r="12933" spans="1:5">
      <c r="A12933" s="12"/>
      <c r="E12933" s="57" t="str">
        <f ca="1">IFERROR(__xludf.DUMMYFUNCTION("""COMPUTED_VALUE"""),"")</f>
        <v/>
      </c>
    </row>
    <row r="12934" spans="1:5">
      <c r="A12934" s="12"/>
      <c r="E12934" s="57" t="str">
        <f ca="1">IFERROR(__xludf.DUMMYFUNCTION("""COMPUTED_VALUE"""),"")</f>
        <v/>
      </c>
    </row>
    <row r="12935" spans="1:5">
      <c r="A12935" s="12"/>
      <c r="E12935" s="57" t="str">
        <f ca="1">IFERROR(__xludf.DUMMYFUNCTION("""COMPUTED_VALUE"""),"")</f>
        <v/>
      </c>
    </row>
    <row r="12936" spans="1:5">
      <c r="A12936" s="12"/>
      <c r="E12936" s="57" t="str">
        <f ca="1">IFERROR(__xludf.DUMMYFUNCTION("""COMPUTED_VALUE"""),"")</f>
        <v/>
      </c>
    </row>
    <row r="12937" spans="1:5">
      <c r="A12937" s="12"/>
      <c r="E12937" s="57" t="str">
        <f ca="1">IFERROR(__xludf.DUMMYFUNCTION("""COMPUTED_VALUE"""),"")</f>
        <v/>
      </c>
    </row>
    <row r="12938" spans="1:5">
      <c r="A12938" s="12"/>
      <c r="E12938" s="57" t="str">
        <f ca="1">IFERROR(__xludf.DUMMYFUNCTION("""COMPUTED_VALUE"""),"")</f>
        <v/>
      </c>
    </row>
    <row r="12939" spans="1:5">
      <c r="A12939" s="12"/>
      <c r="E12939" s="57" t="str">
        <f ca="1">IFERROR(__xludf.DUMMYFUNCTION("""COMPUTED_VALUE"""),"")</f>
        <v/>
      </c>
    </row>
    <row r="12940" spans="1:5">
      <c r="A12940" s="12"/>
      <c r="E12940" s="57" t="str">
        <f ca="1">IFERROR(__xludf.DUMMYFUNCTION("""COMPUTED_VALUE"""),"")</f>
        <v/>
      </c>
    </row>
    <row r="12941" spans="1:5">
      <c r="A12941" s="12"/>
      <c r="E12941" s="57" t="str">
        <f ca="1">IFERROR(__xludf.DUMMYFUNCTION("""COMPUTED_VALUE"""),"")</f>
        <v/>
      </c>
    </row>
    <row r="12942" spans="1:5">
      <c r="A12942" s="12"/>
      <c r="E12942" s="57" t="str">
        <f ca="1">IFERROR(__xludf.DUMMYFUNCTION("""COMPUTED_VALUE"""),"")</f>
        <v/>
      </c>
    </row>
    <row r="12943" spans="1:5">
      <c r="A12943" s="12"/>
      <c r="E12943" s="57" t="str">
        <f ca="1">IFERROR(__xludf.DUMMYFUNCTION("""COMPUTED_VALUE"""),"")</f>
        <v/>
      </c>
    </row>
    <row r="12944" spans="1:5">
      <c r="A12944" s="12"/>
      <c r="E12944" s="57" t="str">
        <f ca="1">IFERROR(__xludf.DUMMYFUNCTION("""COMPUTED_VALUE"""),"")</f>
        <v/>
      </c>
    </row>
    <row r="12945" spans="1:5">
      <c r="A12945" s="12"/>
      <c r="E12945" s="57" t="str">
        <f ca="1">IFERROR(__xludf.DUMMYFUNCTION("""COMPUTED_VALUE"""),"")</f>
        <v/>
      </c>
    </row>
    <row r="12946" spans="1:5">
      <c r="A12946" s="12"/>
      <c r="E12946" s="57" t="str">
        <f ca="1">IFERROR(__xludf.DUMMYFUNCTION("""COMPUTED_VALUE"""),"")</f>
        <v/>
      </c>
    </row>
    <row r="12947" spans="1:5">
      <c r="A12947" s="12"/>
      <c r="E12947" s="57" t="str">
        <f ca="1">IFERROR(__xludf.DUMMYFUNCTION("""COMPUTED_VALUE"""),"")</f>
        <v/>
      </c>
    </row>
    <row r="12948" spans="1:5">
      <c r="A12948" s="12"/>
      <c r="E12948" s="57" t="str">
        <f ca="1">IFERROR(__xludf.DUMMYFUNCTION("""COMPUTED_VALUE"""),"")</f>
        <v/>
      </c>
    </row>
    <row r="12949" spans="1:5">
      <c r="A12949" s="12"/>
      <c r="E12949" s="57" t="str">
        <f ca="1">IFERROR(__xludf.DUMMYFUNCTION("""COMPUTED_VALUE"""),"")</f>
        <v/>
      </c>
    </row>
    <row r="12950" spans="1:5">
      <c r="A12950" s="12"/>
      <c r="E12950" s="57" t="str">
        <f ca="1">IFERROR(__xludf.DUMMYFUNCTION("""COMPUTED_VALUE"""),"")</f>
        <v/>
      </c>
    </row>
    <row r="12951" spans="1:5">
      <c r="A12951" s="12"/>
      <c r="E12951" s="57" t="str">
        <f ca="1">IFERROR(__xludf.DUMMYFUNCTION("""COMPUTED_VALUE"""),"")</f>
        <v/>
      </c>
    </row>
    <row r="12952" spans="1:5">
      <c r="A12952" s="12"/>
      <c r="E12952" s="57" t="str">
        <f ca="1">IFERROR(__xludf.DUMMYFUNCTION("""COMPUTED_VALUE"""),"")</f>
        <v/>
      </c>
    </row>
    <row r="12953" spans="1:5">
      <c r="A12953" s="12"/>
      <c r="E12953" s="57" t="str">
        <f ca="1">IFERROR(__xludf.DUMMYFUNCTION("""COMPUTED_VALUE"""),"")</f>
        <v/>
      </c>
    </row>
    <row r="12954" spans="1:5">
      <c r="A12954" s="12"/>
      <c r="E12954" s="57" t="str">
        <f ca="1">IFERROR(__xludf.DUMMYFUNCTION("""COMPUTED_VALUE"""),"")</f>
        <v/>
      </c>
    </row>
    <row r="12955" spans="1:5">
      <c r="A12955" s="12"/>
      <c r="E12955" s="57" t="str">
        <f ca="1">IFERROR(__xludf.DUMMYFUNCTION("""COMPUTED_VALUE"""),"")</f>
        <v/>
      </c>
    </row>
    <row r="12956" spans="1:5">
      <c r="A12956" s="12"/>
      <c r="E12956" s="57" t="str">
        <f ca="1">IFERROR(__xludf.DUMMYFUNCTION("""COMPUTED_VALUE"""),"")</f>
        <v/>
      </c>
    </row>
    <row r="12957" spans="1:5">
      <c r="A12957" s="12"/>
      <c r="E12957" s="57" t="str">
        <f ca="1">IFERROR(__xludf.DUMMYFUNCTION("""COMPUTED_VALUE"""),"")</f>
        <v/>
      </c>
    </row>
    <row r="12958" spans="1:5">
      <c r="A12958" s="12"/>
      <c r="E12958" s="57" t="str">
        <f ca="1">IFERROR(__xludf.DUMMYFUNCTION("""COMPUTED_VALUE"""),"")</f>
        <v/>
      </c>
    </row>
    <row r="12959" spans="1:5">
      <c r="A12959" s="12"/>
      <c r="E12959" s="57" t="str">
        <f ca="1">IFERROR(__xludf.DUMMYFUNCTION("""COMPUTED_VALUE"""),"")</f>
        <v/>
      </c>
    </row>
    <row r="12960" spans="1:5">
      <c r="A12960" s="12"/>
      <c r="E12960" s="57" t="str">
        <f ca="1">IFERROR(__xludf.DUMMYFUNCTION("""COMPUTED_VALUE"""),"")</f>
        <v/>
      </c>
    </row>
    <row r="12961" spans="1:5">
      <c r="A12961" s="12"/>
      <c r="E12961" s="57" t="str">
        <f ca="1">IFERROR(__xludf.DUMMYFUNCTION("""COMPUTED_VALUE"""),"")</f>
        <v/>
      </c>
    </row>
    <row r="12962" spans="1:5">
      <c r="A12962" s="12"/>
      <c r="E12962" s="57" t="str">
        <f ca="1">IFERROR(__xludf.DUMMYFUNCTION("""COMPUTED_VALUE"""),"")</f>
        <v/>
      </c>
    </row>
    <row r="12963" spans="1:5">
      <c r="A12963" s="12"/>
      <c r="E12963" s="57" t="str">
        <f ca="1">IFERROR(__xludf.DUMMYFUNCTION("""COMPUTED_VALUE"""),"")</f>
        <v/>
      </c>
    </row>
    <row r="12964" spans="1:5">
      <c r="A12964" s="12"/>
      <c r="E12964" s="57" t="str">
        <f ca="1">IFERROR(__xludf.DUMMYFUNCTION("""COMPUTED_VALUE"""),"")</f>
        <v/>
      </c>
    </row>
    <row r="12965" spans="1:5">
      <c r="A12965" s="12"/>
      <c r="E12965" s="57" t="str">
        <f ca="1">IFERROR(__xludf.DUMMYFUNCTION("""COMPUTED_VALUE"""),"")</f>
        <v/>
      </c>
    </row>
    <row r="12966" spans="1:5">
      <c r="A12966" s="12"/>
      <c r="E12966" s="57" t="str">
        <f ca="1">IFERROR(__xludf.DUMMYFUNCTION("""COMPUTED_VALUE"""),"")</f>
        <v/>
      </c>
    </row>
    <row r="12967" spans="1:5">
      <c r="A12967" s="12"/>
      <c r="E12967" s="57" t="str">
        <f ca="1">IFERROR(__xludf.DUMMYFUNCTION("""COMPUTED_VALUE"""),"")</f>
        <v/>
      </c>
    </row>
    <row r="12968" spans="1:5">
      <c r="A12968" s="12"/>
      <c r="E12968" s="57" t="str">
        <f ca="1">IFERROR(__xludf.DUMMYFUNCTION("""COMPUTED_VALUE"""),"")</f>
        <v/>
      </c>
    </row>
    <row r="12969" spans="1:5">
      <c r="A12969" s="12"/>
      <c r="E12969" s="57" t="str">
        <f ca="1">IFERROR(__xludf.DUMMYFUNCTION("""COMPUTED_VALUE"""),"")</f>
        <v/>
      </c>
    </row>
    <row r="12970" spans="1:5">
      <c r="A12970" s="12"/>
      <c r="E12970" s="57" t="str">
        <f ca="1">IFERROR(__xludf.DUMMYFUNCTION("""COMPUTED_VALUE"""),"")</f>
        <v/>
      </c>
    </row>
    <row r="12971" spans="1:5">
      <c r="A12971" s="12"/>
      <c r="E12971" s="57" t="str">
        <f ca="1">IFERROR(__xludf.DUMMYFUNCTION("""COMPUTED_VALUE"""),"")</f>
        <v/>
      </c>
    </row>
    <row r="12972" spans="1:5">
      <c r="A12972" s="12"/>
      <c r="E12972" s="57" t="str">
        <f ca="1">IFERROR(__xludf.DUMMYFUNCTION("""COMPUTED_VALUE"""),"")</f>
        <v/>
      </c>
    </row>
    <row r="12973" spans="1:5">
      <c r="A12973" s="12"/>
      <c r="E12973" s="57" t="str">
        <f ca="1">IFERROR(__xludf.DUMMYFUNCTION("""COMPUTED_VALUE"""),"")</f>
        <v/>
      </c>
    </row>
    <row r="12974" spans="1:5">
      <c r="A12974" s="12"/>
      <c r="E12974" s="57" t="str">
        <f ca="1">IFERROR(__xludf.DUMMYFUNCTION("""COMPUTED_VALUE"""),"")</f>
        <v/>
      </c>
    </row>
    <row r="12975" spans="1:5">
      <c r="A12975" s="12"/>
      <c r="E12975" s="57" t="str">
        <f ca="1">IFERROR(__xludf.DUMMYFUNCTION("""COMPUTED_VALUE"""),"")</f>
        <v/>
      </c>
    </row>
    <row r="12976" spans="1:5">
      <c r="A12976" s="12"/>
      <c r="E12976" s="57" t="str">
        <f ca="1">IFERROR(__xludf.DUMMYFUNCTION("""COMPUTED_VALUE"""),"")</f>
        <v/>
      </c>
    </row>
    <row r="12977" spans="1:5">
      <c r="A12977" s="12"/>
      <c r="E12977" s="57" t="str">
        <f ca="1">IFERROR(__xludf.DUMMYFUNCTION("""COMPUTED_VALUE"""),"")</f>
        <v/>
      </c>
    </row>
    <row r="12978" spans="1:5">
      <c r="A12978" s="12"/>
      <c r="E12978" s="57" t="str">
        <f ca="1">IFERROR(__xludf.DUMMYFUNCTION("""COMPUTED_VALUE"""),"")</f>
        <v/>
      </c>
    </row>
    <row r="12979" spans="1:5">
      <c r="A12979" s="12"/>
      <c r="E12979" s="57" t="str">
        <f ca="1">IFERROR(__xludf.DUMMYFUNCTION("""COMPUTED_VALUE"""),"")</f>
        <v/>
      </c>
    </row>
    <row r="12980" spans="1:5">
      <c r="A12980" s="12"/>
      <c r="E12980" s="57" t="str">
        <f ca="1">IFERROR(__xludf.DUMMYFUNCTION("""COMPUTED_VALUE"""),"")</f>
        <v/>
      </c>
    </row>
    <row r="12981" spans="1:5">
      <c r="A12981" s="12"/>
      <c r="E12981" s="57" t="str">
        <f ca="1">IFERROR(__xludf.DUMMYFUNCTION("""COMPUTED_VALUE"""),"")</f>
        <v/>
      </c>
    </row>
    <row r="12982" spans="1:5">
      <c r="A12982" s="12"/>
      <c r="E12982" s="57" t="str">
        <f ca="1">IFERROR(__xludf.DUMMYFUNCTION("""COMPUTED_VALUE"""),"")</f>
        <v/>
      </c>
    </row>
    <row r="12983" spans="1:5">
      <c r="A12983" s="12"/>
      <c r="E12983" s="57" t="str">
        <f ca="1">IFERROR(__xludf.DUMMYFUNCTION("""COMPUTED_VALUE"""),"")</f>
        <v/>
      </c>
    </row>
    <row r="12984" spans="1:5">
      <c r="A12984" s="12"/>
      <c r="E12984" s="57" t="str">
        <f ca="1">IFERROR(__xludf.DUMMYFUNCTION("""COMPUTED_VALUE"""),"")</f>
        <v/>
      </c>
    </row>
    <row r="12985" spans="1:5">
      <c r="A12985" s="12"/>
      <c r="E12985" s="57" t="str">
        <f ca="1">IFERROR(__xludf.DUMMYFUNCTION("""COMPUTED_VALUE"""),"")</f>
        <v/>
      </c>
    </row>
    <row r="12986" spans="1:5">
      <c r="A12986" s="12"/>
      <c r="E12986" s="57" t="str">
        <f ca="1">IFERROR(__xludf.DUMMYFUNCTION("""COMPUTED_VALUE"""),"")</f>
        <v/>
      </c>
    </row>
    <row r="12987" spans="1:5">
      <c r="A12987" s="12"/>
      <c r="E12987" s="57" t="str">
        <f ca="1">IFERROR(__xludf.DUMMYFUNCTION("""COMPUTED_VALUE"""),"")</f>
        <v/>
      </c>
    </row>
    <row r="12988" spans="1:5">
      <c r="A12988" s="12"/>
      <c r="E12988" s="57" t="str">
        <f ca="1">IFERROR(__xludf.DUMMYFUNCTION("""COMPUTED_VALUE"""),"")</f>
        <v/>
      </c>
    </row>
    <row r="12989" spans="1:5">
      <c r="A12989" s="12"/>
      <c r="E12989" s="57" t="str">
        <f ca="1">IFERROR(__xludf.DUMMYFUNCTION("""COMPUTED_VALUE"""),"")</f>
        <v/>
      </c>
    </row>
    <row r="12990" spans="1:5">
      <c r="A12990" s="12"/>
      <c r="E12990" s="57" t="str">
        <f ca="1">IFERROR(__xludf.DUMMYFUNCTION("""COMPUTED_VALUE"""),"")</f>
        <v/>
      </c>
    </row>
    <row r="12991" spans="1:5">
      <c r="A12991" s="12"/>
      <c r="E12991" s="57" t="str">
        <f ca="1">IFERROR(__xludf.DUMMYFUNCTION("""COMPUTED_VALUE"""),"")</f>
        <v/>
      </c>
    </row>
    <row r="12992" spans="1:5">
      <c r="A12992" s="12"/>
      <c r="E12992" s="57" t="str">
        <f ca="1">IFERROR(__xludf.DUMMYFUNCTION("""COMPUTED_VALUE"""),"")</f>
        <v/>
      </c>
    </row>
    <row r="12993" spans="1:5">
      <c r="A12993" s="12"/>
      <c r="E12993" s="57" t="str">
        <f ca="1">IFERROR(__xludf.DUMMYFUNCTION("""COMPUTED_VALUE"""),"")</f>
        <v/>
      </c>
    </row>
    <row r="12994" spans="1:5">
      <c r="A12994" s="12"/>
      <c r="E12994" s="57" t="str">
        <f ca="1">IFERROR(__xludf.DUMMYFUNCTION("""COMPUTED_VALUE"""),"")</f>
        <v/>
      </c>
    </row>
    <row r="12995" spans="1:5">
      <c r="A12995" s="12"/>
      <c r="E12995" s="57" t="str">
        <f ca="1">IFERROR(__xludf.DUMMYFUNCTION("""COMPUTED_VALUE"""),"")</f>
        <v/>
      </c>
    </row>
    <row r="12996" spans="1:5">
      <c r="A12996" s="12"/>
      <c r="E12996" s="57" t="str">
        <f ca="1">IFERROR(__xludf.DUMMYFUNCTION("""COMPUTED_VALUE"""),"")</f>
        <v/>
      </c>
    </row>
    <row r="12997" spans="1:5">
      <c r="A12997" s="12"/>
      <c r="E12997" s="57" t="str">
        <f ca="1">IFERROR(__xludf.DUMMYFUNCTION("""COMPUTED_VALUE"""),"")</f>
        <v/>
      </c>
    </row>
    <row r="12998" spans="1:5">
      <c r="A12998" s="12"/>
      <c r="E12998" s="57" t="str">
        <f ca="1">IFERROR(__xludf.DUMMYFUNCTION("""COMPUTED_VALUE"""),"")</f>
        <v/>
      </c>
    </row>
    <row r="12999" spans="1:5">
      <c r="A12999" s="12"/>
      <c r="E12999" s="57" t="str">
        <f ca="1">IFERROR(__xludf.DUMMYFUNCTION("""COMPUTED_VALUE"""),"")</f>
        <v/>
      </c>
    </row>
    <row r="13000" spans="1:5">
      <c r="A13000" s="12"/>
      <c r="E13000" s="57" t="str">
        <f ca="1">IFERROR(__xludf.DUMMYFUNCTION("""COMPUTED_VALUE"""),"")</f>
        <v/>
      </c>
    </row>
    <row r="13001" spans="1:5">
      <c r="A13001" s="12"/>
      <c r="E13001" s="57" t="str">
        <f ca="1">IFERROR(__xludf.DUMMYFUNCTION("""COMPUTED_VALUE"""),"")</f>
        <v/>
      </c>
    </row>
    <row r="13002" spans="1:5">
      <c r="A13002" s="12"/>
      <c r="E13002" s="57" t="str">
        <f ca="1">IFERROR(__xludf.DUMMYFUNCTION("""COMPUTED_VALUE"""),"")</f>
        <v/>
      </c>
    </row>
    <row r="13003" spans="1:5">
      <c r="A13003" s="12"/>
      <c r="E13003" s="57" t="str">
        <f ca="1">IFERROR(__xludf.DUMMYFUNCTION("""COMPUTED_VALUE"""),"")</f>
        <v/>
      </c>
    </row>
    <row r="13004" spans="1:5">
      <c r="A13004" s="12"/>
      <c r="E13004" s="57" t="str">
        <f ca="1">IFERROR(__xludf.DUMMYFUNCTION("""COMPUTED_VALUE"""),"")</f>
        <v/>
      </c>
    </row>
    <row r="13005" spans="1:5">
      <c r="A13005" s="12"/>
      <c r="E13005" s="57" t="str">
        <f ca="1">IFERROR(__xludf.DUMMYFUNCTION("""COMPUTED_VALUE"""),"")</f>
        <v/>
      </c>
    </row>
    <row r="13006" spans="1:5">
      <c r="A13006" s="12"/>
      <c r="E13006" s="57" t="str">
        <f ca="1">IFERROR(__xludf.DUMMYFUNCTION("""COMPUTED_VALUE"""),"")</f>
        <v/>
      </c>
    </row>
    <row r="13007" spans="1:5">
      <c r="A13007" s="12"/>
      <c r="E13007" s="57" t="str">
        <f ca="1">IFERROR(__xludf.DUMMYFUNCTION("""COMPUTED_VALUE"""),"")</f>
        <v/>
      </c>
    </row>
    <row r="13008" spans="1:5">
      <c r="A13008" s="12"/>
      <c r="E13008" s="57" t="str">
        <f ca="1">IFERROR(__xludf.DUMMYFUNCTION("""COMPUTED_VALUE"""),"")</f>
        <v/>
      </c>
    </row>
    <row r="13009" spans="1:5">
      <c r="A13009" s="12"/>
      <c r="E13009" s="57" t="str">
        <f ca="1">IFERROR(__xludf.DUMMYFUNCTION("""COMPUTED_VALUE"""),"")</f>
        <v/>
      </c>
    </row>
    <row r="13010" spans="1:5">
      <c r="A13010" s="12"/>
      <c r="E13010" s="57" t="str">
        <f ca="1">IFERROR(__xludf.DUMMYFUNCTION("""COMPUTED_VALUE"""),"")</f>
        <v/>
      </c>
    </row>
    <row r="13011" spans="1:5">
      <c r="A13011" s="12"/>
      <c r="E13011" s="57" t="str">
        <f ca="1">IFERROR(__xludf.DUMMYFUNCTION("""COMPUTED_VALUE"""),"")</f>
        <v/>
      </c>
    </row>
    <row r="13012" spans="1:5">
      <c r="A13012" s="12"/>
      <c r="E13012" s="57" t="str">
        <f ca="1">IFERROR(__xludf.DUMMYFUNCTION("""COMPUTED_VALUE"""),"")</f>
        <v/>
      </c>
    </row>
    <row r="13013" spans="1:5">
      <c r="A13013" s="12"/>
      <c r="E13013" s="57" t="str">
        <f ca="1">IFERROR(__xludf.DUMMYFUNCTION("""COMPUTED_VALUE"""),"")</f>
        <v/>
      </c>
    </row>
    <row r="13014" spans="1:5">
      <c r="A13014" s="12"/>
      <c r="E13014" s="57" t="str">
        <f ca="1">IFERROR(__xludf.DUMMYFUNCTION("""COMPUTED_VALUE"""),"")</f>
        <v/>
      </c>
    </row>
    <row r="13015" spans="1:5">
      <c r="A13015" s="12"/>
      <c r="E13015" s="57" t="str">
        <f ca="1">IFERROR(__xludf.DUMMYFUNCTION("""COMPUTED_VALUE"""),"")</f>
        <v/>
      </c>
    </row>
    <row r="13016" spans="1:5">
      <c r="A13016" s="12"/>
      <c r="E13016" s="57" t="str">
        <f ca="1">IFERROR(__xludf.DUMMYFUNCTION("""COMPUTED_VALUE"""),"")</f>
        <v/>
      </c>
    </row>
    <row r="13017" spans="1:5">
      <c r="A13017" s="12"/>
      <c r="E13017" s="57" t="str">
        <f ca="1">IFERROR(__xludf.DUMMYFUNCTION("""COMPUTED_VALUE"""),"")</f>
        <v/>
      </c>
    </row>
    <row r="13018" spans="1:5">
      <c r="A13018" s="12"/>
      <c r="E13018" s="57" t="str">
        <f ca="1">IFERROR(__xludf.DUMMYFUNCTION("""COMPUTED_VALUE"""),"")</f>
        <v/>
      </c>
    </row>
    <row r="13019" spans="1:5">
      <c r="A13019" s="12"/>
      <c r="E13019" s="57" t="str">
        <f ca="1">IFERROR(__xludf.DUMMYFUNCTION("""COMPUTED_VALUE"""),"")</f>
        <v/>
      </c>
    </row>
    <row r="13020" spans="1:5">
      <c r="A13020" s="12"/>
      <c r="E13020" s="57" t="str">
        <f ca="1">IFERROR(__xludf.DUMMYFUNCTION("""COMPUTED_VALUE"""),"")</f>
        <v/>
      </c>
    </row>
    <row r="13021" spans="1:5">
      <c r="A13021" s="12"/>
      <c r="E13021" s="57" t="str">
        <f ca="1">IFERROR(__xludf.DUMMYFUNCTION("""COMPUTED_VALUE"""),"")</f>
        <v/>
      </c>
    </row>
    <row r="13022" spans="1:5">
      <c r="A13022" s="12"/>
      <c r="E13022" s="57" t="str">
        <f ca="1">IFERROR(__xludf.DUMMYFUNCTION("""COMPUTED_VALUE"""),"")</f>
        <v/>
      </c>
    </row>
    <row r="13023" spans="1:5">
      <c r="A13023" s="12"/>
      <c r="E13023" s="57" t="str">
        <f ca="1">IFERROR(__xludf.DUMMYFUNCTION("""COMPUTED_VALUE"""),"")</f>
        <v/>
      </c>
    </row>
    <row r="13024" spans="1:5">
      <c r="A13024" s="12"/>
      <c r="E13024" s="57" t="str">
        <f ca="1">IFERROR(__xludf.DUMMYFUNCTION("""COMPUTED_VALUE"""),"")</f>
        <v/>
      </c>
    </row>
    <row r="13025" spans="1:5">
      <c r="A13025" s="12"/>
      <c r="E13025" s="57" t="str">
        <f ca="1">IFERROR(__xludf.DUMMYFUNCTION("""COMPUTED_VALUE"""),"")</f>
        <v/>
      </c>
    </row>
    <row r="13026" spans="1:5">
      <c r="A13026" s="12"/>
      <c r="E13026" s="57" t="str">
        <f ca="1">IFERROR(__xludf.DUMMYFUNCTION("""COMPUTED_VALUE"""),"")</f>
        <v/>
      </c>
    </row>
    <row r="13027" spans="1:5">
      <c r="A13027" s="12"/>
      <c r="E13027" s="57" t="str">
        <f ca="1">IFERROR(__xludf.DUMMYFUNCTION("""COMPUTED_VALUE"""),"")</f>
        <v/>
      </c>
    </row>
    <row r="13028" spans="1:5">
      <c r="A13028" s="12"/>
      <c r="E13028" s="57" t="str">
        <f ca="1">IFERROR(__xludf.DUMMYFUNCTION("""COMPUTED_VALUE"""),"")</f>
        <v/>
      </c>
    </row>
    <row r="13029" spans="1:5">
      <c r="A13029" s="12"/>
      <c r="E13029" s="57" t="str">
        <f ca="1">IFERROR(__xludf.DUMMYFUNCTION("""COMPUTED_VALUE"""),"")</f>
        <v/>
      </c>
    </row>
    <row r="13030" spans="1:5">
      <c r="A13030" s="12"/>
      <c r="E13030" s="57" t="str">
        <f ca="1">IFERROR(__xludf.DUMMYFUNCTION("""COMPUTED_VALUE"""),"")</f>
        <v/>
      </c>
    </row>
    <row r="13031" spans="1:5">
      <c r="A13031" s="12"/>
      <c r="E13031" s="57" t="str">
        <f ca="1">IFERROR(__xludf.DUMMYFUNCTION("""COMPUTED_VALUE"""),"")</f>
        <v/>
      </c>
    </row>
    <row r="13032" spans="1:5">
      <c r="A13032" s="12"/>
      <c r="E13032" s="57" t="str">
        <f ca="1">IFERROR(__xludf.DUMMYFUNCTION("""COMPUTED_VALUE"""),"")</f>
        <v/>
      </c>
    </row>
    <row r="13033" spans="1:5">
      <c r="A13033" s="12"/>
      <c r="E13033" s="57" t="str">
        <f ca="1">IFERROR(__xludf.DUMMYFUNCTION("""COMPUTED_VALUE"""),"")</f>
        <v/>
      </c>
    </row>
    <row r="13034" spans="1:5">
      <c r="A13034" s="12"/>
      <c r="E13034" s="57" t="str">
        <f ca="1">IFERROR(__xludf.DUMMYFUNCTION("""COMPUTED_VALUE"""),"")</f>
        <v/>
      </c>
    </row>
    <row r="13035" spans="1:5">
      <c r="A13035" s="12"/>
      <c r="E13035" s="57" t="str">
        <f ca="1">IFERROR(__xludf.DUMMYFUNCTION("""COMPUTED_VALUE"""),"")</f>
        <v/>
      </c>
    </row>
    <row r="13036" spans="1:5">
      <c r="A13036" s="12"/>
      <c r="E13036" s="57" t="str">
        <f ca="1">IFERROR(__xludf.DUMMYFUNCTION("""COMPUTED_VALUE"""),"")</f>
        <v/>
      </c>
    </row>
    <row r="13037" spans="1:5">
      <c r="A13037" s="12"/>
      <c r="E13037" s="57" t="str">
        <f ca="1">IFERROR(__xludf.DUMMYFUNCTION("""COMPUTED_VALUE"""),"")</f>
        <v/>
      </c>
    </row>
    <row r="13038" spans="1:5">
      <c r="A13038" s="12"/>
      <c r="E13038" s="57" t="str">
        <f ca="1">IFERROR(__xludf.DUMMYFUNCTION("""COMPUTED_VALUE"""),"")</f>
        <v/>
      </c>
    </row>
    <row r="13039" spans="1:5">
      <c r="A13039" s="12"/>
      <c r="E13039" s="57" t="str">
        <f ca="1">IFERROR(__xludf.DUMMYFUNCTION("""COMPUTED_VALUE"""),"")</f>
        <v/>
      </c>
    </row>
    <row r="13040" spans="1:5">
      <c r="A13040" s="12"/>
      <c r="E13040" s="57" t="str">
        <f ca="1">IFERROR(__xludf.DUMMYFUNCTION("""COMPUTED_VALUE"""),"")</f>
        <v/>
      </c>
    </row>
    <row r="13041" spans="1:5">
      <c r="A13041" s="12"/>
      <c r="E13041" s="57" t="str">
        <f ca="1">IFERROR(__xludf.DUMMYFUNCTION("""COMPUTED_VALUE"""),"")</f>
        <v/>
      </c>
    </row>
    <row r="13042" spans="1:5">
      <c r="A13042" s="12"/>
      <c r="E13042" s="57" t="str">
        <f ca="1">IFERROR(__xludf.DUMMYFUNCTION("""COMPUTED_VALUE"""),"")</f>
        <v/>
      </c>
    </row>
    <row r="13043" spans="1:5">
      <c r="A13043" s="12"/>
      <c r="E13043" s="57" t="str">
        <f ca="1">IFERROR(__xludf.DUMMYFUNCTION("""COMPUTED_VALUE"""),"")</f>
        <v/>
      </c>
    </row>
    <row r="13044" spans="1:5">
      <c r="A13044" s="12"/>
      <c r="E13044" s="57" t="str">
        <f ca="1">IFERROR(__xludf.DUMMYFUNCTION("""COMPUTED_VALUE"""),"")</f>
        <v/>
      </c>
    </row>
    <row r="13045" spans="1:5">
      <c r="A13045" s="12"/>
      <c r="E13045" s="57" t="str">
        <f ca="1">IFERROR(__xludf.DUMMYFUNCTION("""COMPUTED_VALUE"""),"")</f>
        <v/>
      </c>
    </row>
    <row r="13046" spans="1:5">
      <c r="A13046" s="12"/>
      <c r="E13046" s="57" t="str">
        <f ca="1">IFERROR(__xludf.DUMMYFUNCTION("""COMPUTED_VALUE"""),"")</f>
        <v/>
      </c>
    </row>
    <row r="13047" spans="1:5">
      <c r="A13047" s="12"/>
      <c r="E13047" s="57" t="str">
        <f ca="1">IFERROR(__xludf.DUMMYFUNCTION("""COMPUTED_VALUE"""),"")</f>
        <v/>
      </c>
    </row>
    <row r="13048" spans="1:5">
      <c r="A13048" s="12"/>
      <c r="E13048" s="57" t="str">
        <f ca="1">IFERROR(__xludf.DUMMYFUNCTION("""COMPUTED_VALUE"""),"")</f>
        <v/>
      </c>
    </row>
    <row r="13049" spans="1:5">
      <c r="A13049" s="12"/>
      <c r="E13049" s="57" t="str">
        <f ca="1">IFERROR(__xludf.DUMMYFUNCTION("""COMPUTED_VALUE"""),"")</f>
        <v/>
      </c>
    </row>
    <row r="13050" spans="1:5">
      <c r="A13050" s="12"/>
      <c r="E13050" s="57" t="str">
        <f ca="1">IFERROR(__xludf.DUMMYFUNCTION("""COMPUTED_VALUE"""),"")</f>
        <v/>
      </c>
    </row>
    <row r="13051" spans="1:5">
      <c r="A13051" s="12"/>
      <c r="E13051" s="57" t="str">
        <f ca="1">IFERROR(__xludf.DUMMYFUNCTION("""COMPUTED_VALUE"""),"")</f>
        <v/>
      </c>
    </row>
    <row r="13052" spans="1:5">
      <c r="A13052" s="12"/>
      <c r="E13052" s="57" t="str">
        <f ca="1">IFERROR(__xludf.DUMMYFUNCTION("""COMPUTED_VALUE"""),"")</f>
        <v/>
      </c>
    </row>
    <row r="13053" spans="1:5">
      <c r="A13053" s="12"/>
      <c r="E13053" s="57" t="str">
        <f ca="1">IFERROR(__xludf.DUMMYFUNCTION("""COMPUTED_VALUE"""),"")</f>
        <v/>
      </c>
    </row>
    <row r="13054" spans="1:5">
      <c r="A13054" s="12"/>
      <c r="E13054" s="57" t="str">
        <f ca="1">IFERROR(__xludf.DUMMYFUNCTION("""COMPUTED_VALUE"""),"")</f>
        <v/>
      </c>
    </row>
    <row r="13055" spans="1:5">
      <c r="A13055" s="12"/>
      <c r="E13055" s="57" t="str">
        <f ca="1">IFERROR(__xludf.DUMMYFUNCTION("""COMPUTED_VALUE"""),"")</f>
        <v/>
      </c>
    </row>
    <row r="13056" spans="1:5">
      <c r="A13056" s="12"/>
      <c r="E13056" s="57" t="str">
        <f ca="1">IFERROR(__xludf.DUMMYFUNCTION("""COMPUTED_VALUE"""),"")</f>
        <v/>
      </c>
    </row>
    <row r="13057" spans="1:5">
      <c r="A13057" s="12"/>
      <c r="E13057" s="57" t="str">
        <f ca="1">IFERROR(__xludf.DUMMYFUNCTION("""COMPUTED_VALUE"""),"")</f>
        <v/>
      </c>
    </row>
    <row r="13058" spans="1:5">
      <c r="A13058" s="12"/>
      <c r="E13058" s="57" t="str">
        <f ca="1">IFERROR(__xludf.DUMMYFUNCTION("""COMPUTED_VALUE"""),"")</f>
        <v/>
      </c>
    </row>
    <row r="13059" spans="1:5">
      <c r="A13059" s="12"/>
      <c r="E13059" s="57" t="str">
        <f ca="1">IFERROR(__xludf.DUMMYFUNCTION("""COMPUTED_VALUE"""),"")</f>
        <v/>
      </c>
    </row>
    <row r="13060" spans="1:5">
      <c r="A13060" s="12"/>
      <c r="E13060" s="57" t="str">
        <f ca="1">IFERROR(__xludf.DUMMYFUNCTION("""COMPUTED_VALUE"""),"")</f>
        <v/>
      </c>
    </row>
    <row r="13061" spans="1:5">
      <c r="A13061" s="12"/>
      <c r="E13061" s="57" t="str">
        <f ca="1">IFERROR(__xludf.DUMMYFUNCTION("""COMPUTED_VALUE"""),"")</f>
        <v/>
      </c>
    </row>
    <row r="13062" spans="1:5">
      <c r="A13062" s="12"/>
      <c r="E13062" s="57" t="str">
        <f ca="1">IFERROR(__xludf.DUMMYFUNCTION("""COMPUTED_VALUE"""),"")</f>
        <v/>
      </c>
    </row>
    <row r="13063" spans="1:5">
      <c r="A13063" s="12"/>
      <c r="E13063" s="57" t="str">
        <f ca="1">IFERROR(__xludf.DUMMYFUNCTION("""COMPUTED_VALUE"""),"")</f>
        <v/>
      </c>
    </row>
    <row r="13064" spans="1:5">
      <c r="A13064" s="12"/>
      <c r="E13064" s="57" t="str">
        <f ca="1">IFERROR(__xludf.DUMMYFUNCTION("""COMPUTED_VALUE"""),"")</f>
        <v/>
      </c>
    </row>
    <row r="13065" spans="1:5">
      <c r="A13065" s="12"/>
      <c r="E13065" s="57" t="str">
        <f ca="1">IFERROR(__xludf.DUMMYFUNCTION("""COMPUTED_VALUE"""),"")</f>
        <v/>
      </c>
    </row>
    <row r="13066" spans="1:5">
      <c r="A13066" s="12"/>
      <c r="E13066" s="57" t="str">
        <f ca="1">IFERROR(__xludf.DUMMYFUNCTION("""COMPUTED_VALUE"""),"")</f>
        <v/>
      </c>
    </row>
    <row r="13067" spans="1:5">
      <c r="A13067" s="12"/>
      <c r="E13067" s="57" t="str">
        <f ca="1">IFERROR(__xludf.DUMMYFUNCTION("""COMPUTED_VALUE"""),"")</f>
        <v/>
      </c>
    </row>
    <row r="13068" spans="1:5">
      <c r="A13068" s="12"/>
      <c r="E13068" s="57" t="str">
        <f ca="1">IFERROR(__xludf.DUMMYFUNCTION("""COMPUTED_VALUE"""),"")</f>
        <v/>
      </c>
    </row>
    <row r="13069" spans="1:5">
      <c r="A13069" s="12"/>
      <c r="E13069" s="57" t="str">
        <f ca="1">IFERROR(__xludf.DUMMYFUNCTION("""COMPUTED_VALUE"""),"")</f>
        <v/>
      </c>
    </row>
    <row r="13070" spans="1:5">
      <c r="A13070" s="12"/>
      <c r="E13070" s="57" t="str">
        <f ca="1">IFERROR(__xludf.DUMMYFUNCTION("""COMPUTED_VALUE"""),"")</f>
        <v/>
      </c>
    </row>
    <row r="13071" spans="1:5">
      <c r="A13071" s="12"/>
      <c r="E13071" s="57" t="str">
        <f ca="1">IFERROR(__xludf.DUMMYFUNCTION("""COMPUTED_VALUE"""),"")</f>
        <v/>
      </c>
    </row>
    <row r="13072" spans="1:5">
      <c r="A13072" s="12"/>
      <c r="E13072" s="57" t="str">
        <f ca="1">IFERROR(__xludf.DUMMYFUNCTION("""COMPUTED_VALUE"""),"")</f>
        <v/>
      </c>
    </row>
    <row r="13073" spans="1:5">
      <c r="A13073" s="12"/>
      <c r="E13073" s="57" t="str">
        <f ca="1">IFERROR(__xludf.DUMMYFUNCTION("""COMPUTED_VALUE"""),"")</f>
        <v/>
      </c>
    </row>
    <row r="13074" spans="1:5">
      <c r="A13074" s="12"/>
      <c r="E13074" s="57" t="str">
        <f ca="1">IFERROR(__xludf.DUMMYFUNCTION("""COMPUTED_VALUE"""),"")</f>
        <v/>
      </c>
    </row>
    <row r="13075" spans="1:5">
      <c r="A13075" s="12"/>
      <c r="E13075" s="57" t="str">
        <f ca="1">IFERROR(__xludf.DUMMYFUNCTION("""COMPUTED_VALUE"""),"")</f>
        <v/>
      </c>
    </row>
    <row r="13076" spans="1:5">
      <c r="A13076" s="12"/>
      <c r="E13076" s="57" t="str">
        <f ca="1">IFERROR(__xludf.DUMMYFUNCTION("""COMPUTED_VALUE"""),"")</f>
        <v/>
      </c>
    </row>
    <row r="13077" spans="1:5">
      <c r="A13077" s="12"/>
      <c r="E13077" s="57" t="str">
        <f ca="1">IFERROR(__xludf.DUMMYFUNCTION("""COMPUTED_VALUE"""),"")</f>
        <v/>
      </c>
    </row>
    <row r="13078" spans="1:5">
      <c r="A13078" s="12"/>
      <c r="E13078" s="57" t="str">
        <f ca="1">IFERROR(__xludf.DUMMYFUNCTION("""COMPUTED_VALUE"""),"")</f>
        <v/>
      </c>
    </row>
    <row r="13079" spans="1:5">
      <c r="A13079" s="12"/>
      <c r="E13079" s="57" t="str">
        <f ca="1">IFERROR(__xludf.DUMMYFUNCTION("""COMPUTED_VALUE"""),"")</f>
        <v/>
      </c>
    </row>
    <row r="13080" spans="1:5">
      <c r="A13080" s="12"/>
      <c r="E13080" s="57" t="str">
        <f ca="1">IFERROR(__xludf.DUMMYFUNCTION("""COMPUTED_VALUE"""),"")</f>
        <v/>
      </c>
    </row>
    <row r="13081" spans="1:5">
      <c r="A13081" s="12"/>
      <c r="E13081" s="57" t="str">
        <f ca="1">IFERROR(__xludf.DUMMYFUNCTION("""COMPUTED_VALUE"""),"")</f>
        <v/>
      </c>
    </row>
    <row r="13082" spans="1:5">
      <c r="A13082" s="12"/>
      <c r="E13082" s="57" t="str">
        <f ca="1">IFERROR(__xludf.DUMMYFUNCTION("""COMPUTED_VALUE"""),"")</f>
        <v/>
      </c>
    </row>
    <row r="13083" spans="1:5">
      <c r="A13083" s="12"/>
      <c r="E13083" s="57" t="str">
        <f ca="1">IFERROR(__xludf.DUMMYFUNCTION("""COMPUTED_VALUE"""),"")</f>
        <v/>
      </c>
    </row>
    <row r="13084" spans="1:5">
      <c r="A13084" s="12"/>
      <c r="E13084" s="57" t="str">
        <f ca="1">IFERROR(__xludf.DUMMYFUNCTION("""COMPUTED_VALUE"""),"")</f>
        <v/>
      </c>
    </row>
    <row r="13085" spans="1:5">
      <c r="A13085" s="12"/>
      <c r="E13085" s="57" t="str">
        <f ca="1">IFERROR(__xludf.DUMMYFUNCTION("""COMPUTED_VALUE"""),"")</f>
        <v/>
      </c>
    </row>
    <row r="13086" spans="1:5">
      <c r="A13086" s="12"/>
      <c r="E13086" s="57" t="str">
        <f ca="1">IFERROR(__xludf.DUMMYFUNCTION("""COMPUTED_VALUE"""),"")</f>
        <v/>
      </c>
    </row>
    <row r="13087" spans="1:5">
      <c r="A13087" s="12"/>
      <c r="E13087" s="57" t="str">
        <f ca="1">IFERROR(__xludf.DUMMYFUNCTION("""COMPUTED_VALUE"""),"")</f>
        <v/>
      </c>
    </row>
    <row r="13088" spans="1:5">
      <c r="A13088" s="12"/>
      <c r="E13088" s="57" t="str">
        <f ca="1">IFERROR(__xludf.DUMMYFUNCTION("""COMPUTED_VALUE"""),"")</f>
        <v/>
      </c>
    </row>
    <row r="13089" spans="1:5">
      <c r="A13089" s="12"/>
      <c r="E13089" s="57" t="str">
        <f ca="1">IFERROR(__xludf.DUMMYFUNCTION("""COMPUTED_VALUE"""),"")</f>
        <v/>
      </c>
    </row>
    <row r="13090" spans="1:5">
      <c r="A13090" s="12"/>
      <c r="E13090" s="57" t="str">
        <f ca="1">IFERROR(__xludf.DUMMYFUNCTION("""COMPUTED_VALUE"""),"")</f>
        <v/>
      </c>
    </row>
    <row r="13091" spans="1:5">
      <c r="A13091" s="12"/>
      <c r="E13091" s="57" t="str">
        <f ca="1">IFERROR(__xludf.DUMMYFUNCTION("""COMPUTED_VALUE"""),"")</f>
        <v/>
      </c>
    </row>
    <row r="13092" spans="1:5">
      <c r="A13092" s="12"/>
      <c r="E13092" s="57" t="str">
        <f ca="1">IFERROR(__xludf.DUMMYFUNCTION("""COMPUTED_VALUE"""),"")</f>
        <v/>
      </c>
    </row>
    <row r="13093" spans="1:5">
      <c r="A13093" s="12"/>
      <c r="E13093" s="57" t="str">
        <f ca="1">IFERROR(__xludf.DUMMYFUNCTION("""COMPUTED_VALUE"""),"")</f>
        <v/>
      </c>
    </row>
    <row r="13094" spans="1:5">
      <c r="A13094" s="12"/>
      <c r="E13094" s="57" t="str">
        <f ca="1">IFERROR(__xludf.DUMMYFUNCTION("""COMPUTED_VALUE"""),"")</f>
        <v/>
      </c>
    </row>
    <row r="13095" spans="1:5">
      <c r="A13095" s="12"/>
      <c r="E13095" s="57" t="str">
        <f ca="1">IFERROR(__xludf.DUMMYFUNCTION("""COMPUTED_VALUE"""),"")</f>
        <v/>
      </c>
    </row>
    <row r="13096" spans="1:5">
      <c r="A13096" s="12"/>
      <c r="E13096" s="57" t="str">
        <f ca="1">IFERROR(__xludf.DUMMYFUNCTION("""COMPUTED_VALUE"""),"")</f>
        <v/>
      </c>
    </row>
    <row r="13097" spans="1:5">
      <c r="A13097" s="12"/>
      <c r="E13097" s="57" t="str">
        <f ca="1">IFERROR(__xludf.DUMMYFUNCTION("""COMPUTED_VALUE"""),"")</f>
        <v/>
      </c>
    </row>
    <row r="13098" spans="1:5">
      <c r="A13098" s="12"/>
      <c r="E13098" s="57" t="str">
        <f ca="1">IFERROR(__xludf.DUMMYFUNCTION("""COMPUTED_VALUE"""),"")</f>
        <v/>
      </c>
    </row>
    <row r="13099" spans="1:5">
      <c r="A13099" s="12"/>
      <c r="E13099" s="57" t="str">
        <f ca="1">IFERROR(__xludf.DUMMYFUNCTION("""COMPUTED_VALUE"""),"")</f>
        <v/>
      </c>
    </row>
    <row r="13100" spans="1:5">
      <c r="A13100" s="12"/>
      <c r="E13100" s="57" t="str">
        <f ca="1">IFERROR(__xludf.DUMMYFUNCTION("""COMPUTED_VALUE"""),"")</f>
        <v/>
      </c>
    </row>
    <row r="13101" spans="1:5">
      <c r="A13101" s="12"/>
      <c r="E13101" s="57" t="str">
        <f ca="1">IFERROR(__xludf.DUMMYFUNCTION("""COMPUTED_VALUE"""),"")</f>
        <v/>
      </c>
    </row>
    <row r="13102" spans="1:5">
      <c r="A13102" s="12"/>
      <c r="E13102" s="57" t="str">
        <f ca="1">IFERROR(__xludf.DUMMYFUNCTION("""COMPUTED_VALUE"""),"")</f>
        <v/>
      </c>
    </row>
    <row r="13103" spans="1:5">
      <c r="A13103" s="12"/>
      <c r="E13103" s="57" t="str">
        <f ca="1">IFERROR(__xludf.DUMMYFUNCTION("""COMPUTED_VALUE"""),"")</f>
        <v/>
      </c>
    </row>
    <row r="13104" spans="1:5">
      <c r="A13104" s="12"/>
      <c r="E13104" s="57" t="str">
        <f ca="1">IFERROR(__xludf.DUMMYFUNCTION("""COMPUTED_VALUE"""),"")</f>
        <v/>
      </c>
    </row>
    <row r="13105" spans="1:5">
      <c r="A13105" s="12"/>
      <c r="E13105" s="57" t="str">
        <f ca="1">IFERROR(__xludf.DUMMYFUNCTION("""COMPUTED_VALUE"""),"")</f>
        <v/>
      </c>
    </row>
    <row r="13106" spans="1:5">
      <c r="A13106" s="12"/>
      <c r="E13106" s="57" t="str">
        <f ca="1">IFERROR(__xludf.DUMMYFUNCTION("""COMPUTED_VALUE"""),"")</f>
        <v/>
      </c>
    </row>
    <row r="13107" spans="1:5">
      <c r="A13107" s="12"/>
      <c r="E13107" s="57" t="str">
        <f ca="1">IFERROR(__xludf.DUMMYFUNCTION("""COMPUTED_VALUE"""),"")</f>
        <v/>
      </c>
    </row>
    <row r="13108" spans="1:5">
      <c r="A13108" s="12"/>
      <c r="E13108" s="57" t="str">
        <f ca="1">IFERROR(__xludf.DUMMYFUNCTION("""COMPUTED_VALUE"""),"")</f>
        <v/>
      </c>
    </row>
    <row r="13109" spans="1:5">
      <c r="A13109" s="12"/>
      <c r="E13109" s="57" t="str">
        <f ca="1">IFERROR(__xludf.DUMMYFUNCTION("""COMPUTED_VALUE"""),"")</f>
        <v/>
      </c>
    </row>
    <row r="13110" spans="1:5">
      <c r="A13110" s="12"/>
      <c r="E13110" s="57" t="str">
        <f ca="1">IFERROR(__xludf.DUMMYFUNCTION("""COMPUTED_VALUE"""),"")</f>
        <v/>
      </c>
    </row>
    <row r="13111" spans="1:5">
      <c r="A13111" s="12"/>
      <c r="E13111" s="57" t="str">
        <f ca="1">IFERROR(__xludf.DUMMYFUNCTION("""COMPUTED_VALUE"""),"")</f>
        <v/>
      </c>
    </row>
    <row r="13112" spans="1:5">
      <c r="A13112" s="12"/>
      <c r="E13112" s="57" t="str">
        <f ca="1">IFERROR(__xludf.DUMMYFUNCTION("""COMPUTED_VALUE"""),"")</f>
        <v/>
      </c>
    </row>
    <row r="13113" spans="1:5">
      <c r="A13113" s="12"/>
      <c r="E13113" s="57" t="str">
        <f ca="1">IFERROR(__xludf.DUMMYFUNCTION("""COMPUTED_VALUE"""),"")</f>
        <v/>
      </c>
    </row>
    <row r="13114" spans="1:5">
      <c r="A13114" s="12"/>
      <c r="E13114" s="57" t="str">
        <f ca="1">IFERROR(__xludf.DUMMYFUNCTION("""COMPUTED_VALUE"""),"")</f>
        <v/>
      </c>
    </row>
    <row r="13115" spans="1:5">
      <c r="A13115" s="12"/>
      <c r="E13115" s="57" t="str">
        <f ca="1">IFERROR(__xludf.DUMMYFUNCTION("""COMPUTED_VALUE"""),"")</f>
        <v/>
      </c>
    </row>
    <row r="13116" spans="1:5">
      <c r="A13116" s="12"/>
      <c r="E13116" s="57" t="str">
        <f ca="1">IFERROR(__xludf.DUMMYFUNCTION("""COMPUTED_VALUE"""),"")</f>
        <v/>
      </c>
    </row>
    <row r="13117" spans="1:5">
      <c r="A13117" s="12"/>
      <c r="E13117" s="57" t="str">
        <f ca="1">IFERROR(__xludf.DUMMYFUNCTION("""COMPUTED_VALUE"""),"")</f>
        <v/>
      </c>
    </row>
    <row r="13118" spans="1:5">
      <c r="A13118" s="12"/>
      <c r="E13118" s="57" t="str">
        <f ca="1">IFERROR(__xludf.DUMMYFUNCTION("""COMPUTED_VALUE"""),"")</f>
        <v/>
      </c>
    </row>
    <row r="13119" spans="1:5">
      <c r="A13119" s="12"/>
      <c r="E13119" s="57" t="str">
        <f ca="1">IFERROR(__xludf.DUMMYFUNCTION("""COMPUTED_VALUE"""),"")</f>
        <v/>
      </c>
    </row>
    <row r="13120" spans="1:5">
      <c r="A13120" s="12"/>
      <c r="E13120" s="57" t="str">
        <f ca="1">IFERROR(__xludf.DUMMYFUNCTION("""COMPUTED_VALUE"""),"")</f>
        <v/>
      </c>
    </row>
    <row r="13121" spans="1:5">
      <c r="A13121" s="12"/>
      <c r="E13121" s="57" t="str">
        <f ca="1">IFERROR(__xludf.DUMMYFUNCTION("""COMPUTED_VALUE"""),"")</f>
        <v/>
      </c>
    </row>
    <row r="13122" spans="1:5">
      <c r="A13122" s="12"/>
      <c r="E13122" s="57" t="str">
        <f ca="1">IFERROR(__xludf.DUMMYFUNCTION("""COMPUTED_VALUE"""),"")</f>
        <v/>
      </c>
    </row>
    <row r="13123" spans="1:5">
      <c r="A13123" s="12"/>
      <c r="E13123" s="57" t="str">
        <f ca="1">IFERROR(__xludf.DUMMYFUNCTION("""COMPUTED_VALUE"""),"")</f>
        <v/>
      </c>
    </row>
    <row r="13124" spans="1:5">
      <c r="A13124" s="12"/>
      <c r="E13124" s="57" t="str">
        <f ca="1">IFERROR(__xludf.DUMMYFUNCTION("""COMPUTED_VALUE"""),"")</f>
        <v/>
      </c>
    </row>
    <row r="13125" spans="1:5">
      <c r="A13125" s="12"/>
      <c r="E13125" s="57" t="str">
        <f ca="1">IFERROR(__xludf.DUMMYFUNCTION("""COMPUTED_VALUE"""),"")</f>
        <v/>
      </c>
    </row>
    <row r="13126" spans="1:5">
      <c r="A13126" s="12"/>
      <c r="E13126" s="57" t="str">
        <f ca="1">IFERROR(__xludf.DUMMYFUNCTION("""COMPUTED_VALUE"""),"")</f>
        <v/>
      </c>
    </row>
    <row r="13127" spans="1:5">
      <c r="A13127" s="12"/>
      <c r="E13127" s="57" t="str">
        <f ca="1">IFERROR(__xludf.DUMMYFUNCTION("""COMPUTED_VALUE"""),"")</f>
        <v/>
      </c>
    </row>
    <row r="13128" spans="1:5">
      <c r="A13128" s="12"/>
      <c r="E13128" s="57" t="str">
        <f ca="1">IFERROR(__xludf.DUMMYFUNCTION("""COMPUTED_VALUE"""),"")</f>
        <v/>
      </c>
    </row>
    <row r="13129" spans="1:5">
      <c r="A13129" s="12"/>
      <c r="E13129" s="57" t="str">
        <f ca="1">IFERROR(__xludf.DUMMYFUNCTION("""COMPUTED_VALUE"""),"")</f>
        <v/>
      </c>
    </row>
    <row r="13130" spans="1:5">
      <c r="A13130" s="12"/>
      <c r="E13130" s="57" t="str">
        <f ca="1">IFERROR(__xludf.DUMMYFUNCTION("""COMPUTED_VALUE"""),"")</f>
        <v/>
      </c>
    </row>
    <row r="13131" spans="1:5">
      <c r="A13131" s="12"/>
      <c r="E13131" s="57" t="str">
        <f ca="1">IFERROR(__xludf.DUMMYFUNCTION("""COMPUTED_VALUE"""),"")</f>
        <v/>
      </c>
    </row>
    <row r="13132" spans="1:5">
      <c r="A13132" s="12"/>
      <c r="E13132" s="57" t="str">
        <f ca="1">IFERROR(__xludf.DUMMYFUNCTION("""COMPUTED_VALUE"""),"")</f>
        <v/>
      </c>
    </row>
    <row r="13133" spans="1:5">
      <c r="A13133" s="12"/>
      <c r="E13133" s="57" t="str">
        <f ca="1">IFERROR(__xludf.DUMMYFUNCTION("""COMPUTED_VALUE"""),"")</f>
        <v/>
      </c>
    </row>
    <row r="13134" spans="1:5">
      <c r="A13134" s="12"/>
      <c r="E13134" s="57" t="str">
        <f ca="1">IFERROR(__xludf.DUMMYFUNCTION("""COMPUTED_VALUE"""),"")</f>
        <v/>
      </c>
    </row>
    <row r="13135" spans="1:5">
      <c r="A13135" s="12"/>
      <c r="E13135" s="57" t="str">
        <f ca="1">IFERROR(__xludf.DUMMYFUNCTION("""COMPUTED_VALUE"""),"")</f>
        <v/>
      </c>
    </row>
    <row r="13136" spans="1:5">
      <c r="A13136" s="12"/>
      <c r="E13136" s="57" t="str">
        <f ca="1">IFERROR(__xludf.DUMMYFUNCTION("""COMPUTED_VALUE"""),"")</f>
        <v/>
      </c>
    </row>
    <row r="13137" spans="1:5">
      <c r="A13137" s="12"/>
      <c r="E13137" s="57" t="str">
        <f ca="1">IFERROR(__xludf.DUMMYFUNCTION("""COMPUTED_VALUE"""),"")</f>
        <v/>
      </c>
    </row>
    <row r="13138" spans="1:5">
      <c r="A13138" s="12"/>
      <c r="E13138" s="57" t="str">
        <f ca="1">IFERROR(__xludf.DUMMYFUNCTION("""COMPUTED_VALUE"""),"")</f>
        <v/>
      </c>
    </row>
    <row r="13139" spans="1:5">
      <c r="A13139" s="12"/>
      <c r="E13139" s="57" t="str">
        <f ca="1">IFERROR(__xludf.DUMMYFUNCTION("""COMPUTED_VALUE"""),"")</f>
        <v/>
      </c>
    </row>
    <row r="13140" spans="1:5">
      <c r="A13140" s="12"/>
      <c r="E13140" s="57" t="str">
        <f ca="1">IFERROR(__xludf.DUMMYFUNCTION("""COMPUTED_VALUE"""),"")</f>
        <v/>
      </c>
    </row>
    <row r="13141" spans="1:5">
      <c r="A13141" s="12"/>
      <c r="E13141" s="57" t="str">
        <f ca="1">IFERROR(__xludf.DUMMYFUNCTION("""COMPUTED_VALUE"""),"")</f>
        <v/>
      </c>
    </row>
    <row r="13142" spans="1:5">
      <c r="A13142" s="12"/>
      <c r="E13142" s="57" t="str">
        <f ca="1">IFERROR(__xludf.DUMMYFUNCTION("""COMPUTED_VALUE"""),"")</f>
        <v/>
      </c>
    </row>
    <row r="13143" spans="1:5">
      <c r="A13143" s="12"/>
      <c r="E13143" s="57" t="str">
        <f ca="1">IFERROR(__xludf.DUMMYFUNCTION("""COMPUTED_VALUE"""),"")</f>
        <v/>
      </c>
    </row>
    <row r="13144" spans="1:5">
      <c r="A13144" s="12"/>
      <c r="E13144" s="57" t="str">
        <f ca="1">IFERROR(__xludf.DUMMYFUNCTION("""COMPUTED_VALUE"""),"")</f>
        <v/>
      </c>
    </row>
    <row r="13145" spans="1:5">
      <c r="A13145" s="12"/>
      <c r="E13145" s="57" t="str">
        <f ca="1">IFERROR(__xludf.DUMMYFUNCTION("""COMPUTED_VALUE"""),"")</f>
        <v/>
      </c>
    </row>
    <row r="13146" spans="1:5">
      <c r="A13146" s="12"/>
      <c r="E13146" s="57" t="str">
        <f ca="1">IFERROR(__xludf.DUMMYFUNCTION("""COMPUTED_VALUE"""),"")</f>
        <v/>
      </c>
    </row>
    <row r="13147" spans="1:5">
      <c r="A13147" s="12"/>
      <c r="E13147" s="57" t="str">
        <f ca="1">IFERROR(__xludf.DUMMYFUNCTION("""COMPUTED_VALUE"""),"")</f>
        <v/>
      </c>
    </row>
    <row r="13148" spans="1:5">
      <c r="A13148" s="12"/>
      <c r="E13148" s="57" t="str">
        <f ca="1">IFERROR(__xludf.DUMMYFUNCTION("""COMPUTED_VALUE"""),"")</f>
        <v/>
      </c>
    </row>
    <row r="13149" spans="1:5">
      <c r="A13149" s="12"/>
      <c r="E13149" s="57" t="str">
        <f ca="1">IFERROR(__xludf.DUMMYFUNCTION("""COMPUTED_VALUE"""),"")</f>
        <v/>
      </c>
    </row>
    <row r="13150" spans="1:5">
      <c r="A13150" s="12"/>
      <c r="E13150" s="57" t="str">
        <f ca="1">IFERROR(__xludf.DUMMYFUNCTION("""COMPUTED_VALUE"""),"")</f>
        <v/>
      </c>
    </row>
    <row r="13151" spans="1:5">
      <c r="A13151" s="12"/>
      <c r="E13151" s="57" t="str">
        <f ca="1">IFERROR(__xludf.DUMMYFUNCTION("""COMPUTED_VALUE"""),"")</f>
        <v/>
      </c>
    </row>
    <row r="13152" spans="1:5">
      <c r="A13152" s="12"/>
      <c r="E13152" s="57" t="str">
        <f ca="1">IFERROR(__xludf.DUMMYFUNCTION("""COMPUTED_VALUE"""),"")</f>
        <v/>
      </c>
    </row>
    <row r="13153" spans="1:5">
      <c r="A13153" s="12"/>
      <c r="E13153" s="57" t="str">
        <f ca="1">IFERROR(__xludf.DUMMYFUNCTION("""COMPUTED_VALUE"""),"")</f>
        <v/>
      </c>
    </row>
    <row r="13154" spans="1:5">
      <c r="A13154" s="12"/>
      <c r="E13154" s="57" t="str">
        <f ca="1">IFERROR(__xludf.DUMMYFUNCTION("""COMPUTED_VALUE"""),"")</f>
        <v/>
      </c>
    </row>
    <row r="13155" spans="1:5">
      <c r="A13155" s="12"/>
      <c r="E13155" s="57" t="str">
        <f ca="1">IFERROR(__xludf.DUMMYFUNCTION("""COMPUTED_VALUE"""),"")</f>
        <v/>
      </c>
    </row>
    <row r="13156" spans="1:5">
      <c r="A13156" s="12"/>
      <c r="E13156" s="57" t="str">
        <f ca="1">IFERROR(__xludf.DUMMYFUNCTION("""COMPUTED_VALUE"""),"")</f>
        <v/>
      </c>
    </row>
    <row r="13157" spans="1:5">
      <c r="A13157" s="12"/>
      <c r="E13157" s="57" t="str">
        <f ca="1">IFERROR(__xludf.DUMMYFUNCTION("""COMPUTED_VALUE"""),"")</f>
        <v/>
      </c>
    </row>
    <row r="13158" spans="1:5">
      <c r="A13158" s="12"/>
      <c r="E13158" s="57" t="str">
        <f ca="1">IFERROR(__xludf.DUMMYFUNCTION("""COMPUTED_VALUE"""),"")</f>
        <v/>
      </c>
    </row>
    <row r="13159" spans="1:5">
      <c r="A13159" s="12"/>
      <c r="E13159" s="57" t="str">
        <f ca="1">IFERROR(__xludf.DUMMYFUNCTION("""COMPUTED_VALUE"""),"")</f>
        <v/>
      </c>
    </row>
    <row r="13160" spans="1:5">
      <c r="A13160" s="12"/>
      <c r="E13160" s="57" t="str">
        <f ca="1">IFERROR(__xludf.DUMMYFUNCTION("""COMPUTED_VALUE"""),"")</f>
        <v/>
      </c>
    </row>
    <row r="13161" spans="1:5">
      <c r="A13161" s="12"/>
      <c r="E13161" s="57" t="str">
        <f ca="1">IFERROR(__xludf.DUMMYFUNCTION("""COMPUTED_VALUE"""),"")</f>
        <v/>
      </c>
    </row>
    <row r="13162" spans="1:5">
      <c r="A13162" s="12"/>
      <c r="E13162" s="57" t="str">
        <f ca="1">IFERROR(__xludf.DUMMYFUNCTION("""COMPUTED_VALUE"""),"")</f>
        <v/>
      </c>
    </row>
    <row r="13163" spans="1:5">
      <c r="A13163" s="12"/>
      <c r="E13163" s="57" t="str">
        <f ca="1">IFERROR(__xludf.DUMMYFUNCTION("""COMPUTED_VALUE"""),"")</f>
        <v/>
      </c>
    </row>
    <row r="13164" spans="1:5">
      <c r="A13164" s="12"/>
      <c r="E13164" s="57" t="str">
        <f ca="1">IFERROR(__xludf.DUMMYFUNCTION("""COMPUTED_VALUE"""),"")</f>
        <v/>
      </c>
    </row>
    <row r="13165" spans="1:5">
      <c r="A13165" s="12"/>
      <c r="E13165" s="57" t="str">
        <f ca="1">IFERROR(__xludf.DUMMYFUNCTION("""COMPUTED_VALUE"""),"")</f>
        <v/>
      </c>
    </row>
    <row r="13166" spans="1:5">
      <c r="A13166" s="12"/>
      <c r="E13166" s="57" t="str">
        <f ca="1">IFERROR(__xludf.DUMMYFUNCTION("""COMPUTED_VALUE"""),"")</f>
        <v/>
      </c>
    </row>
    <row r="13167" spans="1:5">
      <c r="A13167" s="12"/>
      <c r="E13167" s="57" t="str">
        <f ca="1">IFERROR(__xludf.DUMMYFUNCTION("""COMPUTED_VALUE"""),"")</f>
        <v/>
      </c>
    </row>
    <row r="13168" spans="1:5">
      <c r="A13168" s="12"/>
      <c r="E13168" s="57" t="str">
        <f ca="1">IFERROR(__xludf.DUMMYFUNCTION("""COMPUTED_VALUE"""),"")</f>
        <v/>
      </c>
    </row>
    <row r="13169" spans="1:5">
      <c r="A13169" s="12"/>
      <c r="E13169" s="57" t="str">
        <f ca="1">IFERROR(__xludf.DUMMYFUNCTION("""COMPUTED_VALUE"""),"")</f>
        <v/>
      </c>
    </row>
    <row r="13170" spans="1:5">
      <c r="A13170" s="12"/>
      <c r="E13170" s="57" t="str">
        <f ca="1">IFERROR(__xludf.DUMMYFUNCTION("""COMPUTED_VALUE"""),"")</f>
        <v/>
      </c>
    </row>
    <row r="13171" spans="1:5">
      <c r="A13171" s="12"/>
      <c r="E13171" s="57" t="str">
        <f ca="1">IFERROR(__xludf.DUMMYFUNCTION("""COMPUTED_VALUE"""),"")</f>
        <v/>
      </c>
    </row>
    <row r="13172" spans="1:5">
      <c r="A13172" s="12"/>
      <c r="E13172" s="57" t="str">
        <f ca="1">IFERROR(__xludf.DUMMYFUNCTION("""COMPUTED_VALUE"""),"")</f>
        <v/>
      </c>
    </row>
    <row r="13173" spans="1:5">
      <c r="A13173" s="12"/>
      <c r="E13173" s="57" t="str">
        <f ca="1">IFERROR(__xludf.DUMMYFUNCTION("""COMPUTED_VALUE"""),"")</f>
        <v/>
      </c>
    </row>
    <row r="13174" spans="1:5">
      <c r="A13174" s="12"/>
      <c r="E13174" s="57" t="str">
        <f ca="1">IFERROR(__xludf.DUMMYFUNCTION("""COMPUTED_VALUE"""),"")</f>
        <v/>
      </c>
    </row>
    <row r="13175" spans="1:5">
      <c r="A13175" s="12"/>
      <c r="E13175" s="57" t="str">
        <f ca="1">IFERROR(__xludf.DUMMYFUNCTION("""COMPUTED_VALUE"""),"")</f>
        <v/>
      </c>
    </row>
    <row r="13176" spans="1:5">
      <c r="A13176" s="12"/>
      <c r="E13176" s="57" t="str">
        <f ca="1">IFERROR(__xludf.DUMMYFUNCTION("""COMPUTED_VALUE"""),"")</f>
        <v/>
      </c>
    </row>
    <row r="13177" spans="1:5">
      <c r="A13177" s="12"/>
      <c r="E13177" s="57" t="str">
        <f ca="1">IFERROR(__xludf.DUMMYFUNCTION("""COMPUTED_VALUE"""),"")</f>
        <v/>
      </c>
    </row>
    <row r="13178" spans="1:5">
      <c r="A13178" s="12"/>
      <c r="E13178" s="57" t="str">
        <f ca="1">IFERROR(__xludf.DUMMYFUNCTION("""COMPUTED_VALUE"""),"")</f>
        <v/>
      </c>
    </row>
    <row r="13179" spans="1:5">
      <c r="A13179" s="12"/>
      <c r="E13179" s="57" t="str">
        <f ca="1">IFERROR(__xludf.DUMMYFUNCTION("""COMPUTED_VALUE"""),"")</f>
        <v/>
      </c>
    </row>
    <row r="13180" spans="1:5">
      <c r="A13180" s="12"/>
      <c r="E13180" s="57" t="str">
        <f ca="1">IFERROR(__xludf.DUMMYFUNCTION("""COMPUTED_VALUE"""),"")</f>
        <v/>
      </c>
    </row>
    <row r="13181" spans="1:5">
      <c r="A13181" s="12"/>
      <c r="E13181" s="57" t="str">
        <f ca="1">IFERROR(__xludf.DUMMYFUNCTION("""COMPUTED_VALUE"""),"")</f>
        <v/>
      </c>
    </row>
    <row r="13182" spans="1:5">
      <c r="A13182" s="12"/>
      <c r="E13182" s="57" t="str">
        <f ca="1">IFERROR(__xludf.DUMMYFUNCTION("""COMPUTED_VALUE"""),"")</f>
        <v/>
      </c>
    </row>
    <row r="13183" spans="1:5">
      <c r="A13183" s="12"/>
      <c r="E13183" s="57" t="str">
        <f ca="1">IFERROR(__xludf.DUMMYFUNCTION("""COMPUTED_VALUE"""),"")</f>
        <v/>
      </c>
    </row>
    <row r="13184" spans="1:5">
      <c r="A13184" s="12"/>
      <c r="E13184" s="57" t="str">
        <f ca="1">IFERROR(__xludf.DUMMYFUNCTION("""COMPUTED_VALUE"""),"")</f>
        <v/>
      </c>
    </row>
    <row r="13185" spans="1:5">
      <c r="A13185" s="12"/>
      <c r="E13185" s="57" t="str">
        <f ca="1">IFERROR(__xludf.DUMMYFUNCTION("""COMPUTED_VALUE"""),"")</f>
        <v/>
      </c>
    </row>
    <row r="13186" spans="1:5">
      <c r="A13186" s="12"/>
      <c r="E13186" s="57" t="str">
        <f ca="1">IFERROR(__xludf.DUMMYFUNCTION("""COMPUTED_VALUE"""),"")</f>
        <v/>
      </c>
    </row>
    <row r="13187" spans="1:5">
      <c r="A13187" s="12"/>
      <c r="E13187" s="57" t="str">
        <f ca="1">IFERROR(__xludf.DUMMYFUNCTION("""COMPUTED_VALUE"""),"")</f>
        <v/>
      </c>
    </row>
    <row r="13188" spans="1:5">
      <c r="A13188" s="12"/>
      <c r="E13188" s="57" t="str">
        <f ca="1">IFERROR(__xludf.DUMMYFUNCTION("""COMPUTED_VALUE"""),"")</f>
        <v/>
      </c>
    </row>
    <row r="13189" spans="1:5">
      <c r="A13189" s="12"/>
      <c r="E13189" s="57" t="str">
        <f ca="1">IFERROR(__xludf.DUMMYFUNCTION("""COMPUTED_VALUE"""),"")</f>
        <v/>
      </c>
    </row>
    <row r="13190" spans="1:5">
      <c r="A13190" s="12"/>
      <c r="E13190" s="57" t="str">
        <f ca="1">IFERROR(__xludf.DUMMYFUNCTION("""COMPUTED_VALUE"""),"")</f>
        <v/>
      </c>
    </row>
    <row r="13191" spans="1:5">
      <c r="A13191" s="12"/>
      <c r="E13191" s="57" t="str">
        <f ca="1">IFERROR(__xludf.DUMMYFUNCTION("""COMPUTED_VALUE"""),"")</f>
        <v/>
      </c>
    </row>
    <row r="13192" spans="1:5">
      <c r="A13192" s="12"/>
      <c r="E13192" s="57" t="str">
        <f ca="1">IFERROR(__xludf.DUMMYFUNCTION("""COMPUTED_VALUE"""),"")</f>
        <v/>
      </c>
    </row>
    <row r="13193" spans="1:5">
      <c r="A13193" s="12"/>
      <c r="E13193" s="57" t="str">
        <f ca="1">IFERROR(__xludf.DUMMYFUNCTION("""COMPUTED_VALUE"""),"")</f>
        <v/>
      </c>
    </row>
    <row r="13194" spans="1:5">
      <c r="A13194" s="12"/>
      <c r="E13194" s="57" t="str">
        <f ca="1">IFERROR(__xludf.DUMMYFUNCTION("""COMPUTED_VALUE"""),"")</f>
        <v/>
      </c>
    </row>
    <row r="13195" spans="1:5">
      <c r="A13195" s="12"/>
      <c r="E13195" s="57" t="str">
        <f ca="1">IFERROR(__xludf.DUMMYFUNCTION("""COMPUTED_VALUE"""),"")</f>
        <v/>
      </c>
    </row>
    <row r="13196" spans="1:5">
      <c r="A13196" s="12"/>
      <c r="E13196" s="57" t="str">
        <f ca="1">IFERROR(__xludf.DUMMYFUNCTION("""COMPUTED_VALUE"""),"")</f>
        <v/>
      </c>
    </row>
    <row r="13197" spans="1:5">
      <c r="A13197" s="12"/>
      <c r="E13197" s="57" t="str">
        <f ca="1">IFERROR(__xludf.DUMMYFUNCTION("""COMPUTED_VALUE"""),"")</f>
        <v/>
      </c>
    </row>
    <row r="13198" spans="1:5">
      <c r="A13198" s="12"/>
      <c r="E13198" s="57" t="str">
        <f ca="1">IFERROR(__xludf.DUMMYFUNCTION("""COMPUTED_VALUE"""),"")</f>
        <v/>
      </c>
    </row>
    <row r="13199" spans="1:5">
      <c r="A13199" s="12"/>
      <c r="E13199" s="57" t="str">
        <f ca="1">IFERROR(__xludf.DUMMYFUNCTION("""COMPUTED_VALUE"""),"")</f>
        <v/>
      </c>
    </row>
    <row r="13200" spans="1:5">
      <c r="A13200" s="12"/>
      <c r="E13200" s="57" t="str">
        <f ca="1">IFERROR(__xludf.DUMMYFUNCTION("""COMPUTED_VALUE"""),"")</f>
        <v/>
      </c>
    </row>
    <row r="13201" spans="1:5">
      <c r="A13201" s="12"/>
      <c r="E13201" s="57" t="str">
        <f ca="1">IFERROR(__xludf.DUMMYFUNCTION("""COMPUTED_VALUE"""),"")</f>
        <v/>
      </c>
    </row>
    <row r="13202" spans="1:5">
      <c r="A13202" s="12"/>
      <c r="E13202" s="57" t="str">
        <f ca="1">IFERROR(__xludf.DUMMYFUNCTION("""COMPUTED_VALUE"""),"")</f>
        <v/>
      </c>
    </row>
    <row r="13203" spans="1:5">
      <c r="A13203" s="12"/>
      <c r="E13203" s="57" t="str">
        <f ca="1">IFERROR(__xludf.DUMMYFUNCTION("""COMPUTED_VALUE"""),"")</f>
        <v/>
      </c>
    </row>
    <row r="13204" spans="1:5">
      <c r="A13204" s="12"/>
      <c r="E13204" s="57" t="str">
        <f ca="1">IFERROR(__xludf.DUMMYFUNCTION("""COMPUTED_VALUE"""),"")</f>
        <v/>
      </c>
    </row>
    <row r="13205" spans="1:5">
      <c r="A13205" s="12"/>
      <c r="E13205" s="57" t="str">
        <f ca="1">IFERROR(__xludf.DUMMYFUNCTION("""COMPUTED_VALUE"""),"")</f>
        <v/>
      </c>
    </row>
    <row r="13206" spans="1:5">
      <c r="A13206" s="12"/>
      <c r="E13206" s="57" t="str">
        <f ca="1">IFERROR(__xludf.DUMMYFUNCTION("""COMPUTED_VALUE"""),"")</f>
        <v/>
      </c>
    </row>
    <row r="13207" spans="1:5">
      <c r="A13207" s="12"/>
      <c r="E13207" s="57" t="str">
        <f ca="1">IFERROR(__xludf.DUMMYFUNCTION("""COMPUTED_VALUE"""),"")</f>
        <v/>
      </c>
    </row>
    <row r="13208" spans="1:5">
      <c r="A13208" s="12"/>
      <c r="E13208" s="57" t="str">
        <f ca="1">IFERROR(__xludf.DUMMYFUNCTION("""COMPUTED_VALUE"""),"")</f>
        <v/>
      </c>
    </row>
    <row r="13209" spans="1:5">
      <c r="A13209" s="12"/>
      <c r="E13209" s="57" t="str">
        <f ca="1">IFERROR(__xludf.DUMMYFUNCTION("""COMPUTED_VALUE"""),"")</f>
        <v/>
      </c>
    </row>
    <row r="13210" spans="1:5">
      <c r="A13210" s="12"/>
      <c r="E13210" s="57" t="str">
        <f ca="1">IFERROR(__xludf.DUMMYFUNCTION("""COMPUTED_VALUE"""),"")</f>
        <v/>
      </c>
    </row>
    <row r="13211" spans="1:5">
      <c r="A13211" s="12"/>
      <c r="E13211" s="57" t="str">
        <f ca="1">IFERROR(__xludf.DUMMYFUNCTION("""COMPUTED_VALUE"""),"")</f>
        <v/>
      </c>
    </row>
    <row r="13212" spans="1:5">
      <c r="A13212" s="12"/>
      <c r="E13212" s="57" t="str">
        <f ca="1">IFERROR(__xludf.DUMMYFUNCTION("""COMPUTED_VALUE"""),"")</f>
        <v/>
      </c>
    </row>
    <row r="13213" spans="1:5">
      <c r="A13213" s="12"/>
      <c r="E13213" s="57" t="str">
        <f ca="1">IFERROR(__xludf.DUMMYFUNCTION("""COMPUTED_VALUE"""),"")</f>
        <v/>
      </c>
    </row>
    <row r="13214" spans="1:5">
      <c r="A13214" s="12"/>
      <c r="E13214" s="57" t="str">
        <f ca="1">IFERROR(__xludf.DUMMYFUNCTION("""COMPUTED_VALUE"""),"")</f>
        <v/>
      </c>
    </row>
    <row r="13215" spans="1:5">
      <c r="A13215" s="12"/>
      <c r="E13215" s="57" t="str">
        <f ca="1">IFERROR(__xludf.DUMMYFUNCTION("""COMPUTED_VALUE"""),"")</f>
        <v/>
      </c>
    </row>
    <row r="13216" spans="1:5">
      <c r="A13216" s="12"/>
      <c r="E13216" s="57" t="str">
        <f ca="1">IFERROR(__xludf.DUMMYFUNCTION("""COMPUTED_VALUE"""),"")</f>
        <v/>
      </c>
    </row>
    <row r="13217" spans="1:5">
      <c r="A13217" s="12"/>
      <c r="E13217" s="57" t="str">
        <f ca="1">IFERROR(__xludf.DUMMYFUNCTION("""COMPUTED_VALUE"""),"")</f>
        <v/>
      </c>
    </row>
    <row r="13218" spans="1:5">
      <c r="A13218" s="12"/>
      <c r="E13218" s="57" t="str">
        <f ca="1">IFERROR(__xludf.DUMMYFUNCTION("""COMPUTED_VALUE"""),"")</f>
        <v/>
      </c>
    </row>
    <row r="13219" spans="1:5">
      <c r="A13219" s="12"/>
      <c r="E13219" s="57" t="str">
        <f ca="1">IFERROR(__xludf.DUMMYFUNCTION("""COMPUTED_VALUE"""),"")</f>
        <v/>
      </c>
    </row>
    <row r="13220" spans="1:5">
      <c r="A13220" s="12"/>
      <c r="E13220" s="57" t="str">
        <f ca="1">IFERROR(__xludf.DUMMYFUNCTION("""COMPUTED_VALUE"""),"")</f>
        <v/>
      </c>
    </row>
    <row r="13221" spans="1:5">
      <c r="A13221" s="12"/>
      <c r="E13221" s="57" t="str">
        <f ca="1">IFERROR(__xludf.DUMMYFUNCTION("""COMPUTED_VALUE"""),"")</f>
        <v/>
      </c>
    </row>
    <row r="13222" spans="1:5">
      <c r="A13222" s="12"/>
      <c r="E13222" s="57" t="str">
        <f ca="1">IFERROR(__xludf.DUMMYFUNCTION("""COMPUTED_VALUE"""),"")</f>
        <v/>
      </c>
    </row>
    <row r="13223" spans="1:5">
      <c r="A13223" s="12"/>
      <c r="E13223" s="57" t="str">
        <f ca="1">IFERROR(__xludf.DUMMYFUNCTION("""COMPUTED_VALUE"""),"")</f>
        <v/>
      </c>
    </row>
    <row r="13224" spans="1:5">
      <c r="A13224" s="12"/>
      <c r="E13224" s="57" t="str">
        <f ca="1">IFERROR(__xludf.DUMMYFUNCTION("""COMPUTED_VALUE"""),"")</f>
        <v/>
      </c>
    </row>
    <row r="13225" spans="1:5">
      <c r="A13225" s="12"/>
      <c r="E13225" s="57" t="str">
        <f ca="1">IFERROR(__xludf.DUMMYFUNCTION("""COMPUTED_VALUE"""),"")</f>
        <v/>
      </c>
    </row>
    <row r="13226" spans="1:5">
      <c r="A13226" s="12"/>
      <c r="E13226" s="57" t="str">
        <f ca="1">IFERROR(__xludf.DUMMYFUNCTION("""COMPUTED_VALUE"""),"")</f>
        <v/>
      </c>
    </row>
    <row r="13227" spans="1:5">
      <c r="A13227" s="12"/>
      <c r="E13227" s="57" t="str">
        <f ca="1">IFERROR(__xludf.DUMMYFUNCTION("""COMPUTED_VALUE"""),"")</f>
        <v/>
      </c>
    </row>
    <row r="13228" spans="1:5">
      <c r="A13228" s="12"/>
      <c r="E13228" s="57" t="str">
        <f ca="1">IFERROR(__xludf.DUMMYFUNCTION("""COMPUTED_VALUE"""),"")</f>
        <v/>
      </c>
    </row>
    <row r="13229" spans="1:5">
      <c r="A13229" s="12"/>
      <c r="E13229" s="57" t="str">
        <f ca="1">IFERROR(__xludf.DUMMYFUNCTION("""COMPUTED_VALUE"""),"")</f>
        <v/>
      </c>
    </row>
    <row r="13230" spans="1:5">
      <c r="A13230" s="12"/>
      <c r="E13230" s="57" t="str">
        <f ca="1">IFERROR(__xludf.DUMMYFUNCTION("""COMPUTED_VALUE"""),"")</f>
        <v/>
      </c>
    </row>
    <row r="13231" spans="1:5">
      <c r="A13231" s="12"/>
      <c r="E13231" s="57" t="str">
        <f ca="1">IFERROR(__xludf.DUMMYFUNCTION("""COMPUTED_VALUE"""),"")</f>
        <v/>
      </c>
    </row>
    <row r="13232" spans="1:5">
      <c r="A13232" s="12"/>
      <c r="E13232" s="57" t="str">
        <f ca="1">IFERROR(__xludf.DUMMYFUNCTION("""COMPUTED_VALUE"""),"")</f>
        <v/>
      </c>
    </row>
    <row r="13233" spans="1:5">
      <c r="A13233" s="12"/>
      <c r="E13233" s="57" t="str">
        <f ca="1">IFERROR(__xludf.DUMMYFUNCTION("""COMPUTED_VALUE"""),"")</f>
        <v/>
      </c>
    </row>
    <row r="13234" spans="1:5">
      <c r="A13234" s="12"/>
      <c r="E13234" s="57" t="str">
        <f ca="1">IFERROR(__xludf.DUMMYFUNCTION("""COMPUTED_VALUE"""),"")</f>
        <v/>
      </c>
    </row>
    <row r="13235" spans="1:5">
      <c r="A13235" s="12"/>
      <c r="E13235" s="57" t="str">
        <f ca="1">IFERROR(__xludf.DUMMYFUNCTION("""COMPUTED_VALUE"""),"")</f>
        <v/>
      </c>
    </row>
    <row r="13236" spans="1:5">
      <c r="A13236" s="12"/>
      <c r="E13236" s="57" t="str">
        <f ca="1">IFERROR(__xludf.DUMMYFUNCTION("""COMPUTED_VALUE"""),"")</f>
        <v/>
      </c>
    </row>
    <row r="13237" spans="1:5">
      <c r="A13237" s="12"/>
      <c r="E13237" s="57" t="str">
        <f ca="1">IFERROR(__xludf.DUMMYFUNCTION("""COMPUTED_VALUE"""),"")</f>
        <v/>
      </c>
    </row>
    <row r="13238" spans="1:5">
      <c r="A13238" s="12"/>
      <c r="E13238" s="57" t="str">
        <f ca="1">IFERROR(__xludf.DUMMYFUNCTION("""COMPUTED_VALUE"""),"")</f>
        <v/>
      </c>
    </row>
    <row r="13239" spans="1:5">
      <c r="A13239" s="12"/>
      <c r="E13239" s="57" t="str">
        <f ca="1">IFERROR(__xludf.DUMMYFUNCTION("""COMPUTED_VALUE"""),"")</f>
        <v/>
      </c>
    </row>
    <row r="13240" spans="1:5">
      <c r="A13240" s="12"/>
      <c r="E13240" s="57" t="str">
        <f ca="1">IFERROR(__xludf.DUMMYFUNCTION("""COMPUTED_VALUE"""),"")</f>
        <v/>
      </c>
    </row>
    <row r="13241" spans="1:5">
      <c r="A13241" s="12"/>
      <c r="E13241" s="57" t="str">
        <f ca="1">IFERROR(__xludf.DUMMYFUNCTION("""COMPUTED_VALUE"""),"")</f>
        <v/>
      </c>
    </row>
    <row r="13242" spans="1:5">
      <c r="A13242" s="12"/>
      <c r="E13242" s="57" t="str">
        <f ca="1">IFERROR(__xludf.DUMMYFUNCTION("""COMPUTED_VALUE"""),"")</f>
        <v/>
      </c>
    </row>
    <row r="13243" spans="1:5">
      <c r="A13243" s="12"/>
      <c r="E13243" s="57" t="str">
        <f ca="1">IFERROR(__xludf.DUMMYFUNCTION("""COMPUTED_VALUE"""),"")</f>
        <v/>
      </c>
    </row>
    <row r="13244" spans="1:5">
      <c r="A13244" s="12"/>
      <c r="E13244" s="57" t="str">
        <f ca="1">IFERROR(__xludf.DUMMYFUNCTION("""COMPUTED_VALUE"""),"")</f>
        <v/>
      </c>
    </row>
    <row r="13245" spans="1:5">
      <c r="A13245" s="12"/>
      <c r="E13245" s="57" t="str">
        <f ca="1">IFERROR(__xludf.DUMMYFUNCTION("""COMPUTED_VALUE"""),"")</f>
        <v/>
      </c>
    </row>
    <row r="13246" spans="1:5">
      <c r="A13246" s="12"/>
      <c r="E13246" s="57" t="str">
        <f ca="1">IFERROR(__xludf.DUMMYFUNCTION("""COMPUTED_VALUE"""),"")</f>
        <v/>
      </c>
    </row>
    <row r="13247" spans="1:5">
      <c r="A13247" s="12"/>
      <c r="E13247" s="57" t="str">
        <f ca="1">IFERROR(__xludf.DUMMYFUNCTION("""COMPUTED_VALUE"""),"")</f>
        <v/>
      </c>
    </row>
    <row r="13248" spans="1:5">
      <c r="A13248" s="12"/>
      <c r="E13248" s="57" t="str">
        <f ca="1">IFERROR(__xludf.DUMMYFUNCTION("""COMPUTED_VALUE"""),"")</f>
        <v/>
      </c>
    </row>
    <row r="13249" spans="1:5">
      <c r="A13249" s="12"/>
      <c r="E13249" s="57" t="str">
        <f ca="1">IFERROR(__xludf.DUMMYFUNCTION("""COMPUTED_VALUE"""),"")</f>
        <v/>
      </c>
    </row>
    <row r="13250" spans="1:5">
      <c r="A13250" s="12"/>
      <c r="E13250" s="57" t="str">
        <f ca="1">IFERROR(__xludf.DUMMYFUNCTION("""COMPUTED_VALUE"""),"")</f>
        <v/>
      </c>
    </row>
    <row r="13251" spans="1:5">
      <c r="A13251" s="12"/>
      <c r="E13251" s="57" t="str">
        <f ca="1">IFERROR(__xludf.DUMMYFUNCTION("""COMPUTED_VALUE"""),"")</f>
        <v/>
      </c>
    </row>
    <row r="13252" spans="1:5">
      <c r="A13252" s="12"/>
      <c r="E13252" s="57" t="str">
        <f ca="1">IFERROR(__xludf.DUMMYFUNCTION("""COMPUTED_VALUE"""),"")</f>
        <v/>
      </c>
    </row>
    <row r="13253" spans="1:5">
      <c r="A13253" s="12"/>
      <c r="E13253" s="57" t="str">
        <f ca="1">IFERROR(__xludf.DUMMYFUNCTION("""COMPUTED_VALUE"""),"")</f>
        <v/>
      </c>
    </row>
    <row r="13254" spans="1:5">
      <c r="A13254" s="12"/>
      <c r="E13254" s="57" t="str">
        <f ca="1">IFERROR(__xludf.DUMMYFUNCTION("""COMPUTED_VALUE"""),"")</f>
        <v/>
      </c>
    </row>
    <row r="13255" spans="1:5">
      <c r="A13255" s="12"/>
      <c r="E13255" s="57" t="str">
        <f ca="1">IFERROR(__xludf.DUMMYFUNCTION("""COMPUTED_VALUE"""),"")</f>
        <v/>
      </c>
    </row>
    <row r="13256" spans="1:5">
      <c r="A13256" s="12"/>
      <c r="E13256" s="57" t="str">
        <f ca="1">IFERROR(__xludf.DUMMYFUNCTION("""COMPUTED_VALUE"""),"")</f>
        <v/>
      </c>
    </row>
    <row r="13257" spans="1:5">
      <c r="A13257" s="12"/>
      <c r="E13257" s="57" t="str">
        <f ca="1">IFERROR(__xludf.DUMMYFUNCTION("""COMPUTED_VALUE"""),"")</f>
        <v/>
      </c>
    </row>
    <row r="13258" spans="1:5">
      <c r="A13258" s="12"/>
      <c r="E13258" s="57" t="str">
        <f ca="1">IFERROR(__xludf.DUMMYFUNCTION("""COMPUTED_VALUE"""),"")</f>
        <v/>
      </c>
    </row>
    <row r="13259" spans="1:5">
      <c r="A13259" s="12"/>
      <c r="E13259" s="57" t="str">
        <f ca="1">IFERROR(__xludf.DUMMYFUNCTION("""COMPUTED_VALUE"""),"")</f>
        <v/>
      </c>
    </row>
    <row r="13260" spans="1:5">
      <c r="A13260" s="12"/>
      <c r="E13260" s="57" t="str">
        <f ca="1">IFERROR(__xludf.DUMMYFUNCTION("""COMPUTED_VALUE"""),"")</f>
        <v/>
      </c>
    </row>
    <row r="13261" spans="1:5">
      <c r="A13261" s="12"/>
      <c r="E13261" s="57" t="str">
        <f ca="1">IFERROR(__xludf.DUMMYFUNCTION("""COMPUTED_VALUE"""),"")</f>
        <v/>
      </c>
    </row>
    <row r="13262" spans="1:5">
      <c r="A13262" s="12"/>
      <c r="E13262" s="57" t="str">
        <f ca="1">IFERROR(__xludf.DUMMYFUNCTION("""COMPUTED_VALUE"""),"")</f>
        <v/>
      </c>
    </row>
    <row r="13263" spans="1:5">
      <c r="A13263" s="12"/>
      <c r="E13263" s="57" t="str">
        <f ca="1">IFERROR(__xludf.DUMMYFUNCTION("""COMPUTED_VALUE"""),"")</f>
        <v/>
      </c>
    </row>
    <row r="13264" spans="1:5">
      <c r="A13264" s="12"/>
      <c r="E13264" s="57" t="str">
        <f ca="1">IFERROR(__xludf.DUMMYFUNCTION("""COMPUTED_VALUE"""),"")</f>
        <v/>
      </c>
    </row>
    <row r="13265" spans="1:5">
      <c r="A13265" s="12"/>
      <c r="E13265" s="57" t="str">
        <f ca="1">IFERROR(__xludf.DUMMYFUNCTION("""COMPUTED_VALUE"""),"")</f>
        <v/>
      </c>
    </row>
    <row r="13266" spans="1:5">
      <c r="A13266" s="12"/>
      <c r="E13266" s="57" t="str">
        <f ca="1">IFERROR(__xludf.DUMMYFUNCTION("""COMPUTED_VALUE"""),"")</f>
        <v/>
      </c>
    </row>
    <row r="13267" spans="1:5">
      <c r="A13267" s="12"/>
      <c r="E13267" s="57" t="str">
        <f ca="1">IFERROR(__xludf.DUMMYFUNCTION("""COMPUTED_VALUE"""),"")</f>
        <v/>
      </c>
    </row>
    <row r="13268" spans="1:5">
      <c r="A13268" s="12"/>
      <c r="E13268" s="57" t="str">
        <f ca="1">IFERROR(__xludf.DUMMYFUNCTION("""COMPUTED_VALUE"""),"")</f>
        <v/>
      </c>
    </row>
    <row r="13269" spans="1:5">
      <c r="A13269" s="12"/>
      <c r="E13269" s="57" t="str">
        <f ca="1">IFERROR(__xludf.DUMMYFUNCTION("""COMPUTED_VALUE"""),"")</f>
        <v/>
      </c>
    </row>
    <row r="13270" spans="1:5">
      <c r="A13270" s="12"/>
      <c r="E13270" s="57" t="str">
        <f ca="1">IFERROR(__xludf.DUMMYFUNCTION("""COMPUTED_VALUE"""),"")</f>
        <v/>
      </c>
    </row>
    <row r="13271" spans="1:5">
      <c r="A13271" s="12"/>
      <c r="E13271" s="57" t="str">
        <f ca="1">IFERROR(__xludf.DUMMYFUNCTION("""COMPUTED_VALUE"""),"")</f>
        <v/>
      </c>
    </row>
    <row r="13272" spans="1:5">
      <c r="A13272" s="12"/>
      <c r="E13272" s="57" t="str">
        <f ca="1">IFERROR(__xludf.DUMMYFUNCTION("""COMPUTED_VALUE"""),"")</f>
        <v/>
      </c>
    </row>
    <row r="13273" spans="1:5">
      <c r="A13273" s="12"/>
      <c r="E13273" s="57" t="str">
        <f ca="1">IFERROR(__xludf.DUMMYFUNCTION("""COMPUTED_VALUE"""),"")</f>
        <v/>
      </c>
    </row>
    <row r="13274" spans="1:5">
      <c r="A13274" s="12"/>
      <c r="E13274" s="57" t="str">
        <f ca="1">IFERROR(__xludf.DUMMYFUNCTION("""COMPUTED_VALUE"""),"")</f>
        <v/>
      </c>
    </row>
    <row r="13275" spans="1:5">
      <c r="A13275" s="12"/>
      <c r="E13275" s="57" t="str">
        <f ca="1">IFERROR(__xludf.DUMMYFUNCTION("""COMPUTED_VALUE"""),"")</f>
        <v/>
      </c>
    </row>
    <row r="13276" spans="1:5">
      <c r="A13276" s="12"/>
      <c r="E13276" s="57" t="str">
        <f ca="1">IFERROR(__xludf.DUMMYFUNCTION("""COMPUTED_VALUE"""),"")</f>
        <v/>
      </c>
    </row>
    <row r="13277" spans="1:5">
      <c r="A13277" s="12"/>
      <c r="E13277" s="57" t="str">
        <f ca="1">IFERROR(__xludf.DUMMYFUNCTION("""COMPUTED_VALUE"""),"")</f>
        <v/>
      </c>
    </row>
    <row r="13278" spans="1:5">
      <c r="A13278" s="12"/>
      <c r="E13278" s="57" t="str">
        <f ca="1">IFERROR(__xludf.DUMMYFUNCTION("""COMPUTED_VALUE"""),"")</f>
        <v/>
      </c>
    </row>
    <row r="13279" spans="1:5">
      <c r="A13279" s="12"/>
      <c r="E13279" s="57" t="str">
        <f ca="1">IFERROR(__xludf.DUMMYFUNCTION("""COMPUTED_VALUE"""),"")</f>
        <v/>
      </c>
    </row>
    <row r="13280" spans="1:5">
      <c r="A13280" s="12"/>
      <c r="E13280" s="57" t="str">
        <f ca="1">IFERROR(__xludf.DUMMYFUNCTION("""COMPUTED_VALUE"""),"")</f>
        <v/>
      </c>
    </row>
    <row r="13281" spans="1:5">
      <c r="A13281" s="12"/>
      <c r="E13281" s="57" t="str">
        <f ca="1">IFERROR(__xludf.DUMMYFUNCTION("""COMPUTED_VALUE"""),"")</f>
        <v/>
      </c>
    </row>
    <row r="13282" spans="1:5">
      <c r="A13282" s="12"/>
      <c r="E13282" s="57" t="str">
        <f ca="1">IFERROR(__xludf.DUMMYFUNCTION("""COMPUTED_VALUE"""),"")</f>
        <v/>
      </c>
    </row>
    <row r="13283" spans="1:5">
      <c r="A13283" s="12"/>
      <c r="E13283" s="57" t="str">
        <f ca="1">IFERROR(__xludf.DUMMYFUNCTION("""COMPUTED_VALUE"""),"")</f>
        <v/>
      </c>
    </row>
    <row r="13284" spans="1:5">
      <c r="A13284" s="12"/>
      <c r="E13284" s="57" t="str">
        <f ca="1">IFERROR(__xludf.DUMMYFUNCTION("""COMPUTED_VALUE"""),"")</f>
        <v/>
      </c>
    </row>
    <row r="13285" spans="1:5">
      <c r="A13285" s="12"/>
      <c r="E13285" s="57" t="str">
        <f ca="1">IFERROR(__xludf.DUMMYFUNCTION("""COMPUTED_VALUE"""),"")</f>
        <v/>
      </c>
    </row>
    <row r="13286" spans="1:5">
      <c r="A13286" s="12"/>
      <c r="E13286" s="57" t="str">
        <f ca="1">IFERROR(__xludf.DUMMYFUNCTION("""COMPUTED_VALUE"""),"")</f>
        <v/>
      </c>
    </row>
    <row r="13287" spans="1:5">
      <c r="A13287" s="12"/>
      <c r="E13287" s="57" t="str">
        <f ca="1">IFERROR(__xludf.DUMMYFUNCTION("""COMPUTED_VALUE"""),"")</f>
        <v/>
      </c>
    </row>
    <row r="13288" spans="1:5">
      <c r="A13288" s="12"/>
      <c r="E13288" s="57" t="str">
        <f ca="1">IFERROR(__xludf.DUMMYFUNCTION("""COMPUTED_VALUE"""),"")</f>
        <v/>
      </c>
    </row>
    <row r="13289" spans="1:5">
      <c r="A13289" s="12"/>
      <c r="E13289" s="57" t="str">
        <f ca="1">IFERROR(__xludf.DUMMYFUNCTION("""COMPUTED_VALUE"""),"")</f>
        <v/>
      </c>
    </row>
    <row r="13290" spans="1:5">
      <c r="A13290" s="12"/>
      <c r="E13290" s="57" t="str">
        <f ca="1">IFERROR(__xludf.DUMMYFUNCTION("""COMPUTED_VALUE"""),"")</f>
        <v/>
      </c>
    </row>
    <row r="13291" spans="1:5">
      <c r="A13291" s="12"/>
      <c r="E13291" s="57" t="str">
        <f ca="1">IFERROR(__xludf.DUMMYFUNCTION("""COMPUTED_VALUE"""),"")</f>
        <v/>
      </c>
    </row>
    <row r="13292" spans="1:5">
      <c r="A13292" s="12"/>
      <c r="E13292" s="57" t="str">
        <f ca="1">IFERROR(__xludf.DUMMYFUNCTION("""COMPUTED_VALUE"""),"")</f>
        <v/>
      </c>
    </row>
    <row r="13293" spans="1:5">
      <c r="A13293" s="12"/>
      <c r="E13293" s="57" t="str">
        <f ca="1">IFERROR(__xludf.DUMMYFUNCTION("""COMPUTED_VALUE"""),"")</f>
        <v/>
      </c>
    </row>
    <row r="13294" spans="1:5">
      <c r="A13294" s="12"/>
      <c r="E13294" s="57" t="str">
        <f ca="1">IFERROR(__xludf.DUMMYFUNCTION("""COMPUTED_VALUE"""),"")</f>
        <v/>
      </c>
    </row>
    <row r="13295" spans="1:5">
      <c r="A13295" s="12"/>
      <c r="E13295" s="57" t="str">
        <f ca="1">IFERROR(__xludf.DUMMYFUNCTION("""COMPUTED_VALUE"""),"")</f>
        <v/>
      </c>
    </row>
    <row r="13296" spans="1:5">
      <c r="A13296" s="12"/>
      <c r="E13296" s="57" t="str">
        <f ca="1">IFERROR(__xludf.DUMMYFUNCTION("""COMPUTED_VALUE"""),"")</f>
        <v/>
      </c>
    </row>
    <row r="13297" spans="1:5">
      <c r="A13297" s="12"/>
      <c r="E13297" s="57" t="str">
        <f ca="1">IFERROR(__xludf.DUMMYFUNCTION("""COMPUTED_VALUE"""),"")</f>
        <v/>
      </c>
    </row>
    <row r="13298" spans="1:5">
      <c r="A13298" s="12"/>
      <c r="E13298" s="57" t="str">
        <f ca="1">IFERROR(__xludf.DUMMYFUNCTION("""COMPUTED_VALUE"""),"")</f>
        <v/>
      </c>
    </row>
    <row r="13299" spans="1:5">
      <c r="A13299" s="12"/>
      <c r="E13299" s="57" t="str">
        <f ca="1">IFERROR(__xludf.DUMMYFUNCTION("""COMPUTED_VALUE"""),"")</f>
        <v/>
      </c>
    </row>
    <row r="13300" spans="1:5">
      <c r="A13300" s="12"/>
      <c r="E13300" s="57" t="str">
        <f ca="1">IFERROR(__xludf.DUMMYFUNCTION("""COMPUTED_VALUE"""),"")</f>
        <v/>
      </c>
    </row>
    <row r="13301" spans="1:5">
      <c r="A13301" s="12"/>
      <c r="E13301" s="57" t="str">
        <f ca="1">IFERROR(__xludf.DUMMYFUNCTION("""COMPUTED_VALUE"""),"")</f>
        <v/>
      </c>
    </row>
    <row r="13302" spans="1:5">
      <c r="A13302" s="12"/>
      <c r="E13302" s="57" t="str">
        <f ca="1">IFERROR(__xludf.DUMMYFUNCTION("""COMPUTED_VALUE"""),"")</f>
        <v/>
      </c>
    </row>
    <row r="13303" spans="1:5">
      <c r="A13303" s="12"/>
      <c r="E13303" s="57" t="str">
        <f ca="1">IFERROR(__xludf.DUMMYFUNCTION("""COMPUTED_VALUE"""),"")</f>
        <v/>
      </c>
    </row>
    <row r="13304" spans="1:5">
      <c r="A13304" s="12"/>
      <c r="E13304" s="57" t="str">
        <f ca="1">IFERROR(__xludf.DUMMYFUNCTION("""COMPUTED_VALUE"""),"")</f>
        <v/>
      </c>
    </row>
    <row r="13305" spans="1:5">
      <c r="A13305" s="12"/>
      <c r="E13305" s="57" t="str">
        <f ca="1">IFERROR(__xludf.DUMMYFUNCTION("""COMPUTED_VALUE"""),"")</f>
        <v/>
      </c>
    </row>
    <row r="13306" spans="1:5">
      <c r="A13306" s="12"/>
      <c r="E13306" s="57" t="str">
        <f ca="1">IFERROR(__xludf.DUMMYFUNCTION("""COMPUTED_VALUE"""),"")</f>
        <v/>
      </c>
    </row>
    <row r="13307" spans="1:5">
      <c r="A13307" s="12"/>
      <c r="E13307" s="57" t="str">
        <f ca="1">IFERROR(__xludf.DUMMYFUNCTION("""COMPUTED_VALUE"""),"")</f>
        <v/>
      </c>
    </row>
    <row r="13308" spans="1:5">
      <c r="A13308" s="12"/>
      <c r="E13308" s="57" t="str">
        <f ca="1">IFERROR(__xludf.DUMMYFUNCTION("""COMPUTED_VALUE"""),"")</f>
        <v/>
      </c>
    </row>
    <row r="13309" spans="1:5">
      <c r="A13309" s="12"/>
      <c r="E13309" s="57" t="str">
        <f ca="1">IFERROR(__xludf.DUMMYFUNCTION("""COMPUTED_VALUE"""),"")</f>
        <v/>
      </c>
    </row>
    <row r="13310" spans="1:5">
      <c r="A13310" s="12"/>
      <c r="E13310" s="57" t="str">
        <f ca="1">IFERROR(__xludf.DUMMYFUNCTION("""COMPUTED_VALUE"""),"")</f>
        <v/>
      </c>
    </row>
    <row r="13311" spans="1:5">
      <c r="A13311" s="12"/>
      <c r="E13311" s="57" t="str">
        <f ca="1">IFERROR(__xludf.DUMMYFUNCTION("""COMPUTED_VALUE"""),"")</f>
        <v/>
      </c>
    </row>
    <row r="13312" spans="1:5">
      <c r="A13312" s="12"/>
      <c r="E13312" s="57" t="str">
        <f ca="1">IFERROR(__xludf.DUMMYFUNCTION("""COMPUTED_VALUE"""),"")</f>
        <v/>
      </c>
    </row>
    <row r="13313" spans="1:5">
      <c r="A13313" s="12"/>
      <c r="E13313" s="57" t="str">
        <f ca="1">IFERROR(__xludf.DUMMYFUNCTION("""COMPUTED_VALUE"""),"")</f>
        <v/>
      </c>
    </row>
    <row r="13314" spans="1:5">
      <c r="A13314" s="12"/>
      <c r="E13314" s="57" t="str">
        <f ca="1">IFERROR(__xludf.DUMMYFUNCTION("""COMPUTED_VALUE"""),"")</f>
        <v/>
      </c>
    </row>
    <row r="13315" spans="1:5">
      <c r="A13315" s="12"/>
      <c r="E13315" s="57" t="str">
        <f ca="1">IFERROR(__xludf.DUMMYFUNCTION("""COMPUTED_VALUE"""),"")</f>
        <v/>
      </c>
    </row>
    <row r="13316" spans="1:5">
      <c r="A13316" s="12"/>
      <c r="E13316" s="57" t="str">
        <f ca="1">IFERROR(__xludf.DUMMYFUNCTION("""COMPUTED_VALUE"""),"")</f>
        <v/>
      </c>
    </row>
    <row r="13317" spans="1:5">
      <c r="A13317" s="12"/>
      <c r="E13317" s="57" t="str">
        <f ca="1">IFERROR(__xludf.DUMMYFUNCTION("""COMPUTED_VALUE"""),"")</f>
        <v/>
      </c>
    </row>
    <row r="13318" spans="1:5">
      <c r="A13318" s="12"/>
      <c r="E13318" s="57" t="str">
        <f ca="1">IFERROR(__xludf.DUMMYFUNCTION("""COMPUTED_VALUE"""),"")</f>
        <v/>
      </c>
    </row>
    <row r="13319" spans="1:5">
      <c r="A13319" s="12"/>
      <c r="E13319" s="57" t="str">
        <f ca="1">IFERROR(__xludf.DUMMYFUNCTION("""COMPUTED_VALUE"""),"")</f>
        <v/>
      </c>
    </row>
    <row r="13320" spans="1:5">
      <c r="A13320" s="12"/>
      <c r="E13320" s="57" t="str">
        <f ca="1">IFERROR(__xludf.DUMMYFUNCTION("""COMPUTED_VALUE"""),"")</f>
        <v/>
      </c>
    </row>
    <row r="13321" spans="1:5">
      <c r="A13321" s="12"/>
      <c r="E13321" s="57" t="str">
        <f ca="1">IFERROR(__xludf.DUMMYFUNCTION("""COMPUTED_VALUE"""),"")</f>
        <v/>
      </c>
    </row>
    <row r="13322" spans="1:5">
      <c r="A13322" s="12"/>
      <c r="E13322" s="57" t="str">
        <f ca="1">IFERROR(__xludf.DUMMYFUNCTION("""COMPUTED_VALUE"""),"")</f>
        <v/>
      </c>
    </row>
    <row r="13323" spans="1:5">
      <c r="A13323" s="12"/>
      <c r="E13323" s="57" t="str">
        <f ca="1">IFERROR(__xludf.DUMMYFUNCTION("""COMPUTED_VALUE"""),"")</f>
        <v/>
      </c>
    </row>
    <row r="13324" spans="1:5">
      <c r="A13324" s="12"/>
      <c r="E13324" s="57" t="str">
        <f ca="1">IFERROR(__xludf.DUMMYFUNCTION("""COMPUTED_VALUE"""),"")</f>
        <v/>
      </c>
    </row>
    <row r="13325" spans="1:5">
      <c r="A13325" s="12"/>
      <c r="E13325" s="57" t="str">
        <f ca="1">IFERROR(__xludf.DUMMYFUNCTION("""COMPUTED_VALUE"""),"")</f>
        <v/>
      </c>
    </row>
    <row r="13326" spans="1:5">
      <c r="A13326" s="12"/>
      <c r="E13326" s="57" t="str">
        <f ca="1">IFERROR(__xludf.DUMMYFUNCTION("""COMPUTED_VALUE"""),"")</f>
        <v/>
      </c>
    </row>
    <row r="13327" spans="1:5">
      <c r="A13327" s="12"/>
      <c r="E13327" s="57" t="str">
        <f ca="1">IFERROR(__xludf.DUMMYFUNCTION("""COMPUTED_VALUE"""),"")</f>
        <v/>
      </c>
    </row>
    <row r="13328" spans="1:5">
      <c r="A13328" s="12"/>
      <c r="E13328" s="57" t="str">
        <f ca="1">IFERROR(__xludf.DUMMYFUNCTION("""COMPUTED_VALUE"""),"")</f>
        <v/>
      </c>
    </row>
    <row r="13329" spans="1:5">
      <c r="A13329" s="12"/>
      <c r="E13329" s="57" t="str">
        <f ca="1">IFERROR(__xludf.DUMMYFUNCTION("""COMPUTED_VALUE"""),"")</f>
        <v/>
      </c>
    </row>
    <row r="13330" spans="1:5">
      <c r="A13330" s="12"/>
      <c r="E13330" s="57" t="str">
        <f ca="1">IFERROR(__xludf.DUMMYFUNCTION("""COMPUTED_VALUE"""),"")</f>
        <v/>
      </c>
    </row>
    <row r="13331" spans="1:5">
      <c r="A13331" s="12"/>
      <c r="E13331" s="57" t="str">
        <f ca="1">IFERROR(__xludf.DUMMYFUNCTION("""COMPUTED_VALUE"""),"")</f>
        <v/>
      </c>
    </row>
    <row r="13332" spans="1:5">
      <c r="A13332" s="12"/>
      <c r="E13332" s="57" t="str">
        <f ca="1">IFERROR(__xludf.DUMMYFUNCTION("""COMPUTED_VALUE"""),"")</f>
        <v/>
      </c>
    </row>
    <row r="13333" spans="1:5">
      <c r="A13333" s="12"/>
      <c r="E13333" s="57" t="str">
        <f ca="1">IFERROR(__xludf.DUMMYFUNCTION("""COMPUTED_VALUE"""),"")</f>
        <v/>
      </c>
    </row>
    <row r="13334" spans="1:5">
      <c r="A13334" s="12"/>
      <c r="E13334" s="57" t="str">
        <f ca="1">IFERROR(__xludf.DUMMYFUNCTION("""COMPUTED_VALUE"""),"")</f>
        <v/>
      </c>
    </row>
    <row r="13335" spans="1:5">
      <c r="A13335" s="12"/>
      <c r="E13335" s="57" t="str">
        <f ca="1">IFERROR(__xludf.DUMMYFUNCTION("""COMPUTED_VALUE"""),"")</f>
        <v/>
      </c>
    </row>
    <row r="13336" spans="1:5">
      <c r="A13336" s="12"/>
      <c r="E13336" s="57" t="str">
        <f ca="1">IFERROR(__xludf.DUMMYFUNCTION("""COMPUTED_VALUE"""),"")</f>
        <v/>
      </c>
    </row>
    <row r="13337" spans="1:5">
      <c r="A13337" s="12"/>
      <c r="E13337" s="57" t="str">
        <f ca="1">IFERROR(__xludf.DUMMYFUNCTION("""COMPUTED_VALUE"""),"")</f>
        <v/>
      </c>
    </row>
    <row r="13338" spans="1:5">
      <c r="A13338" s="12"/>
      <c r="E13338" s="57" t="str">
        <f ca="1">IFERROR(__xludf.DUMMYFUNCTION("""COMPUTED_VALUE"""),"")</f>
        <v/>
      </c>
    </row>
    <row r="13339" spans="1:5">
      <c r="A13339" s="12"/>
      <c r="E13339" s="57" t="str">
        <f ca="1">IFERROR(__xludf.DUMMYFUNCTION("""COMPUTED_VALUE"""),"")</f>
        <v/>
      </c>
    </row>
    <row r="13340" spans="1:5">
      <c r="A13340" s="12"/>
      <c r="E13340" s="57" t="str">
        <f ca="1">IFERROR(__xludf.DUMMYFUNCTION("""COMPUTED_VALUE"""),"")</f>
        <v/>
      </c>
    </row>
    <row r="13341" spans="1:5">
      <c r="A13341" s="12"/>
      <c r="E13341" s="57" t="str">
        <f ca="1">IFERROR(__xludf.DUMMYFUNCTION("""COMPUTED_VALUE"""),"")</f>
        <v/>
      </c>
    </row>
    <row r="13342" spans="1:5">
      <c r="A13342" s="12"/>
      <c r="E13342" s="57" t="str">
        <f ca="1">IFERROR(__xludf.DUMMYFUNCTION("""COMPUTED_VALUE"""),"")</f>
        <v/>
      </c>
    </row>
    <row r="13343" spans="1:5">
      <c r="A13343" s="12"/>
      <c r="E13343" s="57" t="str">
        <f ca="1">IFERROR(__xludf.DUMMYFUNCTION("""COMPUTED_VALUE"""),"")</f>
        <v/>
      </c>
    </row>
    <row r="13344" spans="1:5">
      <c r="A13344" s="12"/>
      <c r="E13344" s="57" t="str">
        <f ca="1">IFERROR(__xludf.DUMMYFUNCTION("""COMPUTED_VALUE"""),"")</f>
        <v/>
      </c>
    </row>
    <row r="13345" spans="1:5">
      <c r="A13345" s="12"/>
      <c r="E13345" s="57" t="str">
        <f ca="1">IFERROR(__xludf.DUMMYFUNCTION("""COMPUTED_VALUE"""),"")</f>
        <v/>
      </c>
    </row>
    <row r="13346" spans="1:5">
      <c r="A13346" s="12"/>
      <c r="E13346" s="57" t="str">
        <f ca="1">IFERROR(__xludf.DUMMYFUNCTION("""COMPUTED_VALUE"""),"")</f>
        <v/>
      </c>
    </row>
    <row r="13347" spans="1:5">
      <c r="A13347" s="12"/>
      <c r="E13347" s="57" t="str">
        <f ca="1">IFERROR(__xludf.DUMMYFUNCTION("""COMPUTED_VALUE"""),"")</f>
        <v/>
      </c>
    </row>
    <row r="13348" spans="1:5">
      <c r="A13348" s="12"/>
      <c r="E13348" s="57" t="str">
        <f ca="1">IFERROR(__xludf.DUMMYFUNCTION("""COMPUTED_VALUE"""),"")</f>
        <v/>
      </c>
    </row>
    <row r="13349" spans="1:5">
      <c r="A13349" s="12"/>
      <c r="E13349" s="57" t="str">
        <f ca="1">IFERROR(__xludf.DUMMYFUNCTION("""COMPUTED_VALUE"""),"")</f>
        <v/>
      </c>
    </row>
    <row r="13350" spans="1:5">
      <c r="A13350" s="12"/>
      <c r="E13350" s="57" t="str">
        <f ca="1">IFERROR(__xludf.DUMMYFUNCTION("""COMPUTED_VALUE"""),"")</f>
        <v/>
      </c>
    </row>
    <row r="13351" spans="1:5">
      <c r="A13351" s="12"/>
      <c r="E13351" s="57" t="str">
        <f ca="1">IFERROR(__xludf.DUMMYFUNCTION("""COMPUTED_VALUE"""),"")</f>
        <v/>
      </c>
    </row>
    <row r="13352" spans="1:5">
      <c r="A13352" s="12"/>
      <c r="E13352" s="57" t="str">
        <f ca="1">IFERROR(__xludf.DUMMYFUNCTION("""COMPUTED_VALUE"""),"")</f>
        <v/>
      </c>
    </row>
    <row r="13353" spans="1:5">
      <c r="A13353" s="12"/>
      <c r="E13353" s="57" t="str">
        <f ca="1">IFERROR(__xludf.DUMMYFUNCTION("""COMPUTED_VALUE"""),"")</f>
        <v/>
      </c>
    </row>
    <row r="13354" spans="1:5">
      <c r="A13354" s="12"/>
      <c r="E13354" s="57" t="str">
        <f ca="1">IFERROR(__xludf.DUMMYFUNCTION("""COMPUTED_VALUE"""),"")</f>
        <v/>
      </c>
    </row>
    <row r="13355" spans="1:5">
      <c r="A13355" s="12"/>
      <c r="E13355" s="57" t="str">
        <f ca="1">IFERROR(__xludf.DUMMYFUNCTION("""COMPUTED_VALUE"""),"")</f>
        <v/>
      </c>
    </row>
    <row r="13356" spans="1:5">
      <c r="A13356" s="12"/>
      <c r="E13356" s="57" t="str">
        <f ca="1">IFERROR(__xludf.DUMMYFUNCTION("""COMPUTED_VALUE"""),"")</f>
        <v/>
      </c>
    </row>
    <row r="13357" spans="1:5">
      <c r="A13357" s="12"/>
      <c r="E13357" s="57" t="str">
        <f ca="1">IFERROR(__xludf.DUMMYFUNCTION("""COMPUTED_VALUE"""),"")</f>
        <v/>
      </c>
    </row>
    <row r="13358" spans="1:5">
      <c r="A13358" s="12"/>
      <c r="E13358" s="57" t="str">
        <f ca="1">IFERROR(__xludf.DUMMYFUNCTION("""COMPUTED_VALUE"""),"")</f>
        <v/>
      </c>
    </row>
    <row r="13359" spans="1:5">
      <c r="A13359" s="12"/>
      <c r="E13359" s="57" t="str">
        <f ca="1">IFERROR(__xludf.DUMMYFUNCTION("""COMPUTED_VALUE"""),"")</f>
        <v/>
      </c>
    </row>
    <row r="13360" spans="1:5">
      <c r="A13360" s="12"/>
      <c r="E13360" s="57" t="str">
        <f ca="1">IFERROR(__xludf.DUMMYFUNCTION("""COMPUTED_VALUE"""),"")</f>
        <v/>
      </c>
    </row>
    <row r="13361" spans="1:5">
      <c r="A13361" s="12"/>
      <c r="E13361" s="57" t="str">
        <f ca="1">IFERROR(__xludf.DUMMYFUNCTION("""COMPUTED_VALUE"""),"")</f>
        <v/>
      </c>
    </row>
    <row r="13362" spans="1:5">
      <c r="A13362" s="12"/>
      <c r="E13362" s="57" t="str">
        <f ca="1">IFERROR(__xludf.DUMMYFUNCTION("""COMPUTED_VALUE"""),"")</f>
        <v/>
      </c>
    </row>
    <row r="13363" spans="1:5">
      <c r="A13363" s="12"/>
      <c r="E13363" s="57" t="str">
        <f ca="1">IFERROR(__xludf.DUMMYFUNCTION("""COMPUTED_VALUE"""),"")</f>
        <v/>
      </c>
    </row>
    <row r="13364" spans="1:5">
      <c r="A13364" s="12"/>
      <c r="E13364" s="57" t="str">
        <f ca="1">IFERROR(__xludf.DUMMYFUNCTION("""COMPUTED_VALUE"""),"")</f>
        <v/>
      </c>
    </row>
    <row r="13365" spans="1:5">
      <c r="A13365" s="12"/>
      <c r="E13365" s="57" t="str">
        <f ca="1">IFERROR(__xludf.DUMMYFUNCTION("""COMPUTED_VALUE"""),"")</f>
        <v/>
      </c>
    </row>
    <row r="13366" spans="1:5">
      <c r="A13366" s="12"/>
      <c r="E13366" s="57" t="str">
        <f ca="1">IFERROR(__xludf.DUMMYFUNCTION("""COMPUTED_VALUE"""),"")</f>
        <v/>
      </c>
    </row>
    <row r="13367" spans="1:5">
      <c r="A13367" s="12"/>
      <c r="E13367" s="57" t="str">
        <f ca="1">IFERROR(__xludf.DUMMYFUNCTION("""COMPUTED_VALUE"""),"")</f>
        <v/>
      </c>
    </row>
    <row r="13368" spans="1:5">
      <c r="A13368" s="12"/>
      <c r="E13368" s="57" t="str">
        <f ca="1">IFERROR(__xludf.DUMMYFUNCTION("""COMPUTED_VALUE"""),"")</f>
        <v/>
      </c>
    </row>
    <row r="13369" spans="1:5">
      <c r="A13369" s="12"/>
      <c r="E13369" s="57" t="str">
        <f ca="1">IFERROR(__xludf.DUMMYFUNCTION("""COMPUTED_VALUE"""),"")</f>
        <v/>
      </c>
    </row>
    <row r="13370" spans="1:5">
      <c r="A13370" s="12"/>
      <c r="E13370" s="57" t="str">
        <f ca="1">IFERROR(__xludf.DUMMYFUNCTION("""COMPUTED_VALUE"""),"")</f>
        <v/>
      </c>
    </row>
    <row r="13371" spans="1:5">
      <c r="A13371" s="12"/>
      <c r="E13371" s="57" t="str">
        <f ca="1">IFERROR(__xludf.DUMMYFUNCTION("""COMPUTED_VALUE"""),"")</f>
        <v/>
      </c>
    </row>
    <row r="13372" spans="1:5">
      <c r="A13372" s="12"/>
      <c r="E13372" s="57" t="str">
        <f ca="1">IFERROR(__xludf.DUMMYFUNCTION("""COMPUTED_VALUE"""),"")</f>
        <v/>
      </c>
    </row>
    <row r="13373" spans="1:5">
      <c r="A13373" s="12"/>
      <c r="E13373" s="57" t="str">
        <f ca="1">IFERROR(__xludf.DUMMYFUNCTION("""COMPUTED_VALUE"""),"")</f>
        <v/>
      </c>
    </row>
    <row r="13374" spans="1:5">
      <c r="A13374" s="12"/>
      <c r="E13374" s="57" t="str">
        <f ca="1">IFERROR(__xludf.DUMMYFUNCTION("""COMPUTED_VALUE"""),"")</f>
        <v/>
      </c>
    </row>
    <row r="13375" spans="1:5">
      <c r="A13375" s="12"/>
      <c r="E13375" s="57" t="str">
        <f ca="1">IFERROR(__xludf.DUMMYFUNCTION("""COMPUTED_VALUE"""),"")</f>
        <v/>
      </c>
    </row>
    <row r="13376" spans="1:5">
      <c r="A13376" s="12"/>
      <c r="E13376" s="57" t="str">
        <f ca="1">IFERROR(__xludf.DUMMYFUNCTION("""COMPUTED_VALUE"""),"")</f>
        <v/>
      </c>
    </row>
    <row r="13377" spans="1:5">
      <c r="A13377" s="12"/>
      <c r="E13377" s="57" t="str">
        <f ca="1">IFERROR(__xludf.DUMMYFUNCTION("""COMPUTED_VALUE"""),"")</f>
        <v/>
      </c>
    </row>
    <row r="13378" spans="1:5">
      <c r="A13378" s="12"/>
      <c r="E13378" s="57" t="str">
        <f ca="1">IFERROR(__xludf.DUMMYFUNCTION("""COMPUTED_VALUE"""),"")</f>
        <v/>
      </c>
    </row>
    <row r="13379" spans="1:5">
      <c r="A13379" s="12"/>
      <c r="E13379" s="57" t="str">
        <f ca="1">IFERROR(__xludf.DUMMYFUNCTION("""COMPUTED_VALUE"""),"")</f>
        <v/>
      </c>
    </row>
    <row r="13380" spans="1:5">
      <c r="A13380" s="12"/>
      <c r="E13380" s="57" t="str">
        <f ca="1">IFERROR(__xludf.DUMMYFUNCTION("""COMPUTED_VALUE"""),"")</f>
        <v/>
      </c>
    </row>
    <row r="13381" spans="1:5">
      <c r="A13381" s="12"/>
      <c r="E13381" s="57" t="str">
        <f ca="1">IFERROR(__xludf.DUMMYFUNCTION("""COMPUTED_VALUE"""),"")</f>
        <v/>
      </c>
    </row>
    <row r="13382" spans="1:5">
      <c r="A13382" s="12"/>
      <c r="E13382" s="57" t="str">
        <f ca="1">IFERROR(__xludf.DUMMYFUNCTION("""COMPUTED_VALUE"""),"")</f>
        <v/>
      </c>
    </row>
    <row r="13383" spans="1:5">
      <c r="A13383" s="12"/>
      <c r="E13383" s="57" t="str">
        <f ca="1">IFERROR(__xludf.DUMMYFUNCTION("""COMPUTED_VALUE"""),"")</f>
        <v/>
      </c>
    </row>
    <row r="13384" spans="1:5">
      <c r="A13384" s="12"/>
      <c r="E13384" s="57" t="str">
        <f ca="1">IFERROR(__xludf.DUMMYFUNCTION("""COMPUTED_VALUE"""),"")</f>
        <v/>
      </c>
    </row>
    <row r="13385" spans="1:5">
      <c r="A13385" s="12"/>
      <c r="E13385" s="57" t="str">
        <f ca="1">IFERROR(__xludf.DUMMYFUNCTION("""COMPUTED_VALUE"""),"")</f>
        <v/>
      </c>
    </row>
    <row r="13386" spans="1:5">
      <c r="A13386" s="12"/>
      <c r="E13386" s="57" t="str">
        <f ca="1">IFERROR(__xludf.DUMMYFUNCTION("""COMPUTED_VALUE"""),"")</f>
        <v/>
      </c>
    </row>
    <row r="13387" spans="1:5">
      <c r="A13387" s="12"/>
      <c r="E13387" s="57" t="str">
        <f ca="1">IFERROR(__xludf.DUMMYFUNCTION("""COMPUTED_VALUE"""),"")</f>
        <v/>
      </c>
    </row>
    <row r="13388" spans="1:5">
      <c r="A13388" s="12"/>
      <c r="E13388" s="57" t="str">
        <f ca="1">IFERROR(__xludf.DUMMYFUNCTION("""COMPUTED_VALUE"""),"")</f>
        <v/>
      </c>
    </row>
    <row r="13389" spans="1:5">
      <c r="A13389" s="12"/>
      <c r="E13389" s="57" t="str">
        <f ca="1">IFERROR(__xludf.DUMMYFUNCTION("""COMPUTED_VALUE"""),"")</f>
        <v/>
      </c>
    </row>
    <row r="13390" spans="1:5">
      <c r="A13390" s="12"/>
      <c r="E13390" s="57" t="str">
        <f ca="1">IFERROR(__xludf.DUMMYFUNCTION("""COMPUTED_VALUE"""),"")</f>
        <v/>
      </c>
    </row>
    <row r="13391" spans="1:5">
      <c r="A13391" s="12"/>
      <c r="E13391" s="57" t="str">
        <f ca="1">IFERROR(__xludf.DUMMYFUNCTION("""COMPUTED_VALUE"""),"")</f>
        <v/>
      </c>
    </row>
    <row r="13392" spans="1:5">
      <c r="A13392" s="12"/>
      <c r="E13392" s="57" t="str">
        <f ca="1">IFERROR(__xludf.DUMMYFUNCTION("""COMPUTED_VALUE"""),"")</f>
        <v/>
      </c>
    </row>
    <row r="13393" spans="1:5">
      <c r="A13393" s="12"/>
      <c r="E13393" s="57" t="str">
        <f ca="1">IFERROR(__xludf.DUMMYFUNCTION("""COMPUTED_VALUE"""),"")</f>
        <v/>
      </c>
    </row>
    <row r="13394" spans="1:5">
      <c r="A13394" s="12"/>
      <c r="E13394" s="57" t="str">
        <f ca="1">IFERROR(__xludf.DUMMYFUNCTION("""COMPUTED_VALUE"""),"")</f>
        <v/>
      </c>
    </row>
    <row r="13395" spans="1:5">
      <c r="A13395" s="12"/>
      <c r="E13395" s="57" t="str">
        <f ca="1">IFERROR(__xludf.DUMMYFUNCTION("""COMPUTED_VALUE"""),"")</f>
        <v/>
      </c>
    </row>
    <row r="13396" spans="1:5">
      <c r="A13396" s="12"/>
      <c r="E13396" s="57" t="str">
        <f ca="1">IFERROR(__xludf.DUMMYFUNCTION("""COMPUTED_VALUE"""),"")</f>
        <v/>
      </c>
    </row>
    <row r="13397" spans="1:5">
      <c r="A13397" s="12"/>
      <c r="E13397" s="57" t="str">
        <f ca="1">IFERROR(__xludf.DUMMYFUNCTION("""COMPUTED_VALUE"""),"")</f>
        <v/>
      </c>
    </row>
    <row r="13398" spans="1:5">
      <c r="A13398" s="12"/>
      <c r="E13398" s="57" t="str">
        <f ca="1">IFERROR(__xludf.DUMMYFUNCTION("""COMPUTED_VALUE"""),"")</f>
        <v/>
      </c>
    </row>
    <row r="13399" spans="1:5">
      <c r="A13399" s="12"/>
      <c r="E13399" s="57" t="str">
        <f ca="1">IFERROR(__xludf.DUMMYFUNCTION("""COMPUTED_VALUE"""),"")</f>
        <v/>
      </c>
    </row>
    <row r="13400" spans="1:5">
      <c r="A13400" s="12"/>
      <c r="E13400" s="57" t="str">
        <f ca="1">IFERROR(__xludf.DUMMYFUNCTION("""COMPUTED_VALUE"""),"")</f>
        <v/>
      </c>
    </row>
    <row r="13401" spans="1:5">
      <c r="A13401" s="12"/>
      <c r="E13401" s="57" t="str">
        <f ca="1">IFERROR(__xludf.DUMMYFUNCTION("""COMPUTED_VALUE"""),"")</f>
        <v/>
      </c>
    </row>
    <row r="13402" spans="1:5">
      <c r="A13402" s="12"/>
      <c r="E13402" s="57" t="str">
        <f ca="1">IFERROR(__xludf.DUMMYFUNCTION("""COMPUTED_VALUE"""),"")</f>
        <v/>
      </c>
    </row>
    <row r="13403" spans="1:5">
      <c r="A13403" s="12"/>
      <c r="E13403" s="57" t="str">
        <f ca="1">IFERROR(__xludf.DUMMYFUNCTION("""COMPUTED_VALUE"""),"")</f>
        <v/>
      </c>
    </row>
    <row r="13404" spans="1:5">
      <c r="A13404" s="12"/>
      <c r="E13404" s="57" t="str">
        <f ca="1">IFERROR(__xludf.DUMMYFUNCTION("""COMPUTED_VALUE"""),"")</f>
        <v/>
      </c>
    </row>
    <row r="13405" spans="1:5">
      <c r="A13405" s="12"/>
      <c r="E13405" s="57" t="str">
        <f ca="1">IFERROR(__xludf.DUMMYFUNCTION("""COMPUTED_VALUE"""),"")</f>
        <v/>
      </c>
    </row>
    <row r="13406" spans="1:5">
      <c r="A13406" s="12"/>
      <c r="E13406" s="57" t="str">
        <f ca="1">IFERROR(__xludf.DUMMYFUNCTION("""COMPUTED_VALUE"""),"")</f>
        <v/>
      </c>
    </row>
    <row r="13407" spans="1:5">
      <c r="A13407" s="12"/>
      <c r="E13407" s="57" t="str">
        <f ca="1">IFERROR(__xludf.DUMMYFUNCTION("""COMPUTED_VALUE"""),"")</f>
        <v/>
      </c>
    </row>
    <row r="13408" spans="1:5">
      <c r="A13408" s="12"/>
      <c r="E13408" s="57" t="str">
        <f ca="1">IFERROR(__xludf.DUMMYFUNCTION("""COMPUTED_VALUE"""),"")</f>
        <v/>
      </c>
    </row>
    <row r="13409" spans="1:5">
      <c r="A13409" s="12"/>
      <c r="E13409" s="57" t="str">
        <f ca="1">IFERROR(__xludf.DUMMYFUNCTION("""COMPUTED_VALUE"""),"")</f>
        <v/>
      </c>
    </row>
    <row r="13410" spans="1:5">
      <c r="A13410" s="12"/>
      <c r="E13410" s="57" t="str">
        <f ca="1">IFERROR(__xludf.DUMMYFUNCTION("""COMPUTED_VALUE"""),"")</f>
        <v/>
      </c>
    </row>
    <row r="13411" spans="1:5">
      <c r="A13411" s="12"/>
      <c r="E13411" s="57" t="str">
        <f ca="1">IFERROR(__xludf.DUMMYFUNCTION("""COMPUTED_VALUE"""),"")</f>
        <v/>
      </c>
    </row>
    <row r="13412" spans="1:5">
      <c r="A13412" s="12"/>
      <c r="E13412" s="57" t="str">
        <f ca="1">IFERROR(__xludf.DUMMYFUNCTION("""COMPUTED_VALUE"""),"")</f>
        <v/>
      </c>
    </row>
    <row r="13413" spans="1:5">
      <c r="A13413" s="12"/>
      <c r="E13413" s="57" t="str">
        <f ca="1">IFERROR(__xludf.DUMMYFUNCTION("""COMPUTED_VALUE"""),"")</f>
        <v/>
      </c>
    </row>
    <row r="13414" spans="1:5">
      <c r="A13414" s="12"/>
      <c r="E13414" s="57" t="str">
        <f ca="1">IFERROR(__xludf.DUMMYFUNCTION("""COMPUTED_VALUE"""),"")</f>
        <v/>
      </c>
    </row>
    <row r="13415" spans="1:5">
      <c r="A13415" s="12"/>
      <c r="E13415" s="57" t="str">
        <f ca="1">IFERROR(__xludf.DUMMYFUNCTION("""COMPUTED_VALUE"""),"")</f>
        <v/>
      </c>
    </row>
    <row r="13416" spans="1:5">
      <c r="A13416" s="12"/>
      <c r="E13416" s="57" t="str">
        <f ca="1">IFERROR(__xludf.DUMMYFUNCTION("""COMPUTED_VALUE"""),"")</f>
        <v/>
      </c>
    </row>
    <row r="13417" spans="1:5">
      <c r="A13417" s="12"/>
      <c r="E13417" s="57" t="str">
        <f ca="1">IFERROR(__xludf.DUMMYFUNCTION("""COMPUTED_VALUE"""),"")</f>
        <v/>
      </c>
    </row>
    <row r="13418" spans="1:5">
      <c r="A13418" s="12"/>
      <c r="E13418" s="57" t="str">
        <f ca="1">IFERROR(__xludf.DUMMYFUNCTION("""COMPUTED_VALUE"""),"")</f>
        <v/>
      </c>
    </row>
    <row r="13419" spans="1:5">
      <c r="A13419" s="12"/>
      <c r="E13419" s="57" t="str">
        <f ca="1">IFERROR(__xludf.DUMMYFUNCTION("""COMPUTED_VALUE"""),"")</f>
        <v/>
      </c>
    </row>
    <row r="13420" spans="1:5">
      <c r="A13420" s="12"/>
      <c r="E13420" s="57" t="str">
        <f ca="1">IFERROR(__xludf.DUMMYFUNCTION("""COMPUTED_VALUE"""),"")</f>
        <v/>
      </c>
    </row>
    <row r="13421" spans="1:5">
      <c r="A13421" s="12"/>
      <c r="E13421" s="57" t="str">
        <f ca="1">IFERROR(__xludf.DUMMYFUNCTION("""COMPUTED_VALUE"""),"")</f>
        <v/>
      </c>
    </row>
    <row r="13422" spans="1:5">
      <c r="A13422" s="12"/>
      <c r="E13422" s="57" t="str">
        <f ca="1">IFERROR(__xludf.DUMMYFUNCTION("""COMPUTED_VALUE"""),"")</f>
        <v/>
      </c>
    </row>
    <row r="13423" spans="1:5">
      <c r="A13423" s="12"/>
      <c r="E13423" s="57" t="str">
        <f ca="1">IFERROR(__xludf.DUMMYFUNCTION("""COMPUTED_VALUE"""),"")</f>
        <v/>
      </c>
    </row>
    <row r="13424" spans="1:5">
      <c r="A13424" s="12"/>
      <c r="E13424" s="57" t="str">
        <f ca="1">IFERROR(__xludf.DUMMYFUNCTION("""COMPUTED_VALUE"""),"")</f>
        <v/>
      </c>
    </row>
    <row r="13425" spans="1:5">
      <c r="A13425" s="12"/>
      <c r="E13425" s="57" t="str">
        <f ca="1">IFERROR(__xludf.DUMMYFUNCTION("""COMPUTED_VALUE"""),"")</f>
        <v/>
      </c>
    </row>
    <row r="13426" spans="1:5">
      <c r="A13426" s="12"/>
      <c r="E13426" s="57" t="str">
        <f ca="1">IFERROR(__xludf.DUMMYFUNCTION("""COMPUTED_VALUE"""),"")</f>
        <v/>
      </c>
    </row>
    <row r="13427" spans="1:5">
      <c r="A13427" s="12"/>
      <c r="E13427" s="57" t="str">
        <f ca="1">IFERROR(__xludf.DUMMYFUNCTION("""COMPUTED_VALUE"""),"")</f>
        <v/>
      </c>
    </row>
    <row r="13428" spans="1:5">
      <c r="A13428" s="12"/>
      <c r="E13428" s="57" t="str">
        <f ca="1">IFERROR(__xludf.DUMMYFUNCTION("""COMPUTED_VALUE"""),"")</f>
        <v/>
      </c>
    </row>
    <row r="13429" spans="1:5">
      <c r="A13429" s="12"/>
      <c r="E13429" s="57" t="str">
        <f ca="1">IFERROR(__xludf.DUMMYFUNCTION("""COMPUTED_VALUE"""),"")</f>
        <v/>
      </c>
    </row>
    <row r="13430" spans="1:5">
      <c r="A13430" s="12"/>
      <c r="E13430" s="57" t="str">
        <f ca="1">IFERROR(__xludf.DUMMYFUNCTION("""COMPUTED_VALUE"""),"")</f>
        <v/>
      </c>
    </row>
    <row r="13431" spans="1:5">
      <c r="A13431" s="12"/>
      <c r="E13431" s="57" t="str">
        <f ca="1">IFERROR(__xludf.DUMMYFUNCTION("""COMPUTED_VALUE"""),"")</f>
        <v/>
      </c>
    </row>
    <row r="13432" spans="1:5">
      <c r="A13432" s="12"/>
      <c r="E13432" s="57" t="str">
        <f ca="1">IFERROR(__xludf.DUMMYFUNCTION("""COMPUTED_VALUE"""),"")</f>
        <v/>
      </c>
    </row>
    <row r="13433" spans="1:5">
      <c r="A13433" s="12"/>
      <c r="E13433" s="57" t="str">
        <f ca="1">IFERROR(__xludf.DUMMYFUNCTION("""COMPUTED_VALUE"""),"")</f>
        <v/>
      </c>
    </row>
    <row r="13434" spans="1:5">
      <c r="A13434" s="12"/>
      <c r="E13434" s="57" t="str">
        <f ca="1">IFERROR(__xludf.DUMMYFUNCTION("""COMPUTED_VALUE"""),"")</f>
        <v/>
      </c>
    </row>
    <row r="13435" spans="1:5">
      <c r="A13435" s="12"/>
      <c r="E13435" s="57" t="str">
        <f ca="1">IFERROR(__xludf.DUMMYFUNCTION("""COMPUTED_VALUE"""),"")</f>
        <v/>
      </c>
    </row>
    <row r="13436" spans="1:5">
      <c r="A13436" s="12"/>
      <c r="E13436" s="57" t="str">
        <f ca="1">IFERROR(__xludf.DUMMYFUNCTION("""COMPUTED_VALUE"""),"")</f>
        <v/>
      </c>
    </row>
    <row r="13437" spans="1:5">
      <c r="A13437" s="12"/>
      <c r="E13437" s="57" t="str">
        <f ca="1">IFERROR(__xludf.DUMMYFUNCTION("""COMPUTED_VALUE"""),"")</f>
        <v/>
      </c>
    </row>
    <row r="13438" spans="1:5">
      <c r="A13438" s="12"/>
      <c r="E13438" s="57" t="str">
        <f ca="1">IFERROR(__xludf.DUMMYFUNCTION("""COMPUTED_VALUE"""),"")</f>
        <v/>
      </c>
    </row>
    <row r="13439" spans="1:5">
      <c r="A13439" s="12"/>
      <c r="E13439" s="57" t="str">
        <f ca="1">IFERROR(__xludf.DUMMYFUNCTION("""COMPUTED_VALUE"""),"")</f>
        <v/>
      </c>
    </row>
    <row r="13440" spans="1:5">
      <c r="A13440" s="12"/>
      <c r="E13440" s="57" t="str">
        <f ca="1">IFERROR(__xludf.DUMMYFUNCTION("""COMPUTED_VALUE"""),"")</f>
        <v/>
      </c>
    </row>
    <row r="13441" spans="1:5">
      <c r="A13441" s="12"/>
      <c r="E13441" s="57" t="str">
        <f ca="1">IFERROR(__xludf.DUMMYFUNCTION("""COMPUTED_VALUE"""),"")</f>
        <v/>
      </c>
    </row>
    <row r="13442" spans="1:5">
      <c r="A13442" s="12"/>
      <c r="E13442" s="57" t="str">
        <f ca="1">IFERROR(__xludf.DUMMYFUNCTION("""COMPUTED_VALUE"""),"")</f>
        <v/>
      </c>
    </row>
    <row r="13443" spans="1:5">
      <c r="A13443" s="12"/>
      <c r="E13443" s="57" t="str">
        <f ca="1">IFERROR(__xludf.DUMMYFUNCTION("""COMPUTED_VALUE"""),"")</f>
        <v/>
      </c>
    </row>
    <row r="13444" spans="1:5">
      <c r="A13444" s="12"/>
      <c r="E13444" s="57" t="str">
        <f ca="1">IFERROR(__xludf.DUMMYFUNCTION("""COMPUTED_VALUE"""),"")</f>
        <v/>
      </c>
    </row>
    <row r="13445" spans="1:5">
      <c r="A13445" s="12"/>
      <c r="E13445" s="57" t="str">
        <f ca="1">IFERROR(__xludf.DUMMYFUNCTION("""COMPUTED_VALUE"""),"")</f>
        <v/>
      </c>
    </row>
    <row r="13446" spans="1:5">
      <c r="A13446" s="12"/>
      <c r="E13446" s="57" t="str">
        <f ca="1">IFERROR(__xludf.DUMMYFUNCTION("""COMPUTED_VALUE"""),"")</f>
        <v/>
      </c>
    </row>
    <row r="13447" spans="1:5">
      <c r="A13447" s="12"/>
      <c r="E13447" s="57" t="str">
        <f ca="1">IFERROR(__xludf.DUMMYFUNCTION("""COMPUTED_VALUE"""),"")</f>
        <v/>
      </c>
    </row>
    <row r="13448" spans="1:5">
      <c r="A13448" s="12"/>
      <c r="E13448" s="57" t="str">
        <f ca="1">IFERROR(__xludf.DUMMYFUNCTION("""COMPUTED_VALUE"""),"")</f>
        <v/>
      </c>
    </row>
    <row r="13449" spans="1:5">
      <c r="A13449" s="12"/>
      <c r="E13449" s="57" t="str">
        <f ca="1">IFERROR(__xludf.DUMMYFUNCTION("""COMPUTED_VALUE"""),"")</f>
        <v/>
      </c>
    </row>
    <row r="13450" spans="1:5">
      <c r="A13450" s="12"/>
      <c r="E13450" s="57" t="str">
        <f ca="1">IFERROR(__xludf.DUMMYFUNCTION("""COMPUTED_VALUE"""),"")</f>
        <v/>
      </c>
    </row>
    <row r="13451" spans="1:5">
      <c r="A13451" s="12"/>
      <c r="E13451" s="57" t="str">
        <f ca="1">IFERROR(__xludf.DUMMYFUNCTION("""COMPUTED_VALUE"""),"")</f>
        <v/>
      </c>
    </row>
    <row r="13452" spans="1:5">
      <c r="A13452" s="12"/>
      <c r="E13452" s="57" t="str">
        <f ca="1">IFERROR(__xludf.DUMMYFUNCTION("""COMPUTED_VALUE"""),"")</f>
        <v/>
      </c>
    </row>
    <row r="13453" spans="1:5">
      <c r="A13453" s="12"/>
      <c r="E13453" s="57" t="str">
        <f ca="1">IFERROR(__xludf.DUMMYFUNCTION("""COMPUTED_VALUE"""),"")</f>
        <v/>
      </c>
    </row>
    <row r="13454" spans="1:5">
      <c r="A13454" s="12"/>
      <c r="E13454" s="57" t="str">
        <f ca="1">IFERROR(__xludf.DUMMYFUNCTION("""COMPUTED_VALUE"""),"")</f>
        <v/>
      </c>
    </row>
    <row r="13455" spans="1:5">
      <c r="A13455" s="12"/>
      <c r="E13455" s="57" t="str">
        <f ca="1">IFERROR(__xludf.DUMMYFUNCTION("""COMPUTED_VALUE"""),"")</f>
        <v/>
      </c>
    </row>
    <row r="13456" spans="1:5">
      <c r="A13456" s="12"/>
      <c r="E13456" s="57" t="str">
        <f ca="1">IFERROR(__xludf.DUMMYFUNCTION("""COMPUTED_VALUE"""),"")</f>
        <v/>
      </c>
    </row>
    <row r="13457" spans="1:5">
      <c r="A13457" s="12"/>
      <c r="E13457" s="57" t="str">
        <f ca="1">IFERROR(__xludf.DUMMYFUNCTION("""COMPUTED_VALUE"""),"")</f>
        <v/>
      </c>
    </row>
    <row r="13458" spans="1:5">
      <c r="A13458" s="12"/>
      <c r="E13458" s="57" t="str">
        <f ca="1">IFERROR(__xludf.DUMMYFUNCTION("""COMPUTED_VALUE"""),"")</f>
        <v/>
      </c>
    </row>
    <row r="13459" spans="1:5">
      <c r="A13459" s="12"/>
      <c r="E13459" s="57" t="str">
        <f ca="1">IFERROR(__xludf.DUMMYFUNCTION("""COMPUTED_VALUE"""),"")</f>
        <v/>
      </c>
    </row>
    <row r="13460" spans="1:5">
      <c r="A13460" s="12"/>
      <c r="E13460" s="57" t="str">
        <f ca="1">IFERROR(__xludf.DUMMYFUNCTION("""COMPUTED_VALUE"""),"")</f>
        <v/>
      </c>
    </row>
    <row r="13461" spans="1:5">
      <c r="A13461" s="12"/>
      <c r="E13461" s="57" t="str">
        <f ca="1">IFERROR(__xludf.DUMMYFUNCTION("""COMPUTED_VALUE"""),"")</f>
        <v/>
      </c>
    </row>
    <row r="13462" spans="1:5">
      <c r="A13462" s="12"/>
      <c r="E13462" s="57" t="str">
        <f ca="1">IFERROR(__xludf.DUMMYFUNCTION("""COMPUTED_VALUE"""),"")</f>
        <v/>
      </c>
    </row>
    <row r="13463" spans="1:5">
      <c r="A13463" s="12"/>
      <c r="E13463" s="57" t="str">
        <f ca="1">IFERROR(__xludf.DUMMYFUNCTION("""COMPUTED_VALUE"""),"")</f>
        <v/>
      </c>
    </row>
    <row r="13464" spans="1:5">
      <c r="A13464" s="12"/>
      <c r="E13464" s="57" t="str">
        <f ca="1">IFERROR(__xludf.DUMMYFUNCTION("""COMPUTED_VALUE"""),"")</f>
        <v/>
      </c>
    </row>
    <row r="13465" spans="1:5">
      <c r="A13465" s="12"/>
      <c r="E13465" s="57" t="str">
        <f ca="1">IFERROR(__xludf.DUMMYFUNCTION("""COMPUTED_VALUE"""),"")</f>
        <v/>
      </c>
    </row>
    <row r="13466" spans="1:5">
      <c r="A13466" s="12"/>
      <c r="E13466" s="57" t="str">
        <f ca="1">IFERROR(__xludf.DUMMYFUNCTION("""COMPUTED_VALUE"""),"")</f>
        <v/>
      </c>
    </row>
    <row r="13467" spans="1:5">
      <c r="A13467" s="12"/>
      <c r="E13467" s="57" t="str">
        <f ca="1">IFERROR(__xludf.DUMMYFUNCTION("""COMPUTED_VALUE"""),"")</f>
        <v/>
      </c>
    </row>
    <row r="13468" spans="1:5">
      <c r="A13468" s="12"/>
      <c r="E13468" s="57" t="str">
        <f ca="1">IFERROR(__xludf.DUMMYFUNCTION("""COMPUTED_VALUE"""),"")</f>
        <v/>
      </c>
    </row>
    <row r="13469" spans="1:5">
      <c r="A13469" s="12"/>
      <c r="E13469" s="57" t="str">
        <f ca="1">IFERROR(__xludf.DUMMYFUNCTION("""COMPUTED_VALUE"""),"")</f>
        <v/>
      </c>
    </row>
    <row r="13470" spans="1:5">
      <c r="A13470" s="12"/>
      <c r="E13470" s="57" t="str">
        <f ca="1">IFERROR(__xludf.DUMMYFUNCTION("""COMPUTED_VALUE"""),"")</f>
        <v/>
      </c>
    </row>
    <row r="13471" spans="1:5">
      <c r="A13471" s="12"/>
      <c r="E13471" s="57" t="str">
        <f ca="1">IFERROR(__xludf.DUMMYFUNCTION("""COMPUTED_VALUE"""),"")</f>
        <v/>
      </c>
    </row>
    <row r="13472" spans="1:5">
      <c r="A13472" s="12"/>
      <c r="E13472" s="57" t="str">
        <f ca="1">IFERROR(__xludf.DUMMYFUNCTION("""COMPUTED_VALUE"""),"")</f>
        <v/>
      </c>
    </row>
    <row r="13473" spans="1:5">
      <c r="A13473" s="12"/>
      <c r="E13473" s="57" t="str">
        <f ca="1">IFERROR(__xludf.DUMMYFUNCTION("""COMPUTED_VALUE"""),"")</f>
        <v/>
      </c>
    </row>
    <row r="13474" spans="1:5">
      <c r="A13474" s="12"/>
      <c r="E13474" s="57" t="str">
        <f ca="1">IFERROR(__xludf.DUMMYFUNCTION("""COMPUTED_VALUE"""),"")</f>
        <v/>
      </c>
    </row>
    <row r="13475" spans="1:5">
      <c r="A13475" s="12"/>
      <c r="E13475" s="57" t="str">
        <f ca="1">IFERROR(__xludf.DUMMYFUNCTION("""COMPUTED_VALUE"""),"")</f>
        <v/>
      </c>
    </row>
    <row r="13476" spans="1:5">
      <c r="A13476" s="12"/>
      <c r="E13476" s="57" t="str">
        <f ca="1">IFERROR(__xludf.DUMMYFUNCTION("""COMPUTED_VALUE"""),"")</f>
        <v/>
      </c>
    </row>
    <row r="13477" spans="1:5">
      <c r="A13477" s="12"/>
      <c r="E13477" s="57" t="str">
        <f ca="1">IFERROR(__xludf.DUMMYFUNCTION("""COMPUTED_VALUE"""),"")</f>
        <v/>
      </c>
    </row>
    <row r="13478" spans="1:5">
      <c r="A13478" s="12"/>
      <c r="E13478" s="57" t="str">
        <f ca="1">IFERROR(__xludf.DUMMYFUNCTION("""COMPUTED_VALUE"""),"")</f>
        <v/>
      </c>
    </row>
    <row r="13479" spans="1:5">
      <c r="A13479" s="12"/>
      <c r="E13479" s="57" t="str">
        <f ca="1">IFERROR(__xludf.DUMMYFUNCTION("""COMPUTED_VALUE"""),"")</f>
        <v/>
      </c>
    </row>
    <row r="13480" spans="1:5">
      <c r="A13480" s="12"/>
      <c r="E13480" s="57" t="str">
        <f ca="1">IFERROR(__xludf.DUMMYFUNCTION("""COMPUTED_VALUE"""),"")</f>
        <v/>
      </c>
    </row>
    <row r="13481" spans="1:5">
      <c r="A13481" s="12"/>
      <c r="E13481" s="57" t="str">
        <f ca="1">IFERROR(__xludf.DUMMYFUNCTION("""COMPUTED_VALUE"""),"")</f>
        <v/>
      </c>
    </row>
    <row r="13482" spans="1:5">
      <c r="A13482" s="12"/>
      <c r="E13482" s="57" t="str">
        <f ca="1">IFERROR(__xludf.DUMMYFUNCTION("""COMPUTED_VALUE"""),"")</f>
        <v/>
      </c>
    </row>
    <row r="13483" spans="1:5">
      <c r="A13483" s="12"/>
      <c r="E13483" s="57" t="str">
        <f ca="1">IFERROR(__xludf.DUMMYFUNCTION("""COMPUTED_VALUE"""),"")</f>
        <v/>
      </c>
    </row>
    <row r="13484" spans="1:5">
      <c r="A13484" s="12"/>
      <c r="E13484" s="57" t="str">
        <f ca="1">IFERROR(__xludf.DUMMYFUNCTION("""COMPUTED_VALUE"""),"")</f>
        <v/>
      </c>
    </row>
    <row r="13485" spans="1:5">
      <c r="A13485" s="12"/>
      <c r="E13485" s="57" t="str">
        <f ca="1">IFERROR(__xludf.DUMMYFUNCTION("""COMPUTED_VALUE"""),"")</f>
        <v/>
      </c>
    </row>
    <row r="13486" spans="1:5">
      <c r="A13486" s="12"/>
      <c r="E13486" s="57" t="str">
        <f ca="1">IFERROR(__xludf.DUMMYFUNCTION("""COMPUTED_VALUE"""),"")</f>
        <v/>
      </c>
    </row>
    <row r="13487" spans="1:5">
      <c r="A13487" s="12"/>
      <c r="E13487" s="57" t="str">
        <f ca="1">IFERROR(__xludf.DUMMYFUNCTION("""COMPUTED_VALUE"""),"")</f>
        <v/>
      </c>
    </row>
    <row r="13488" spans="1:5">
      <c r="A13488" s="12"/>
      <c r="E13488" s="57" t="str">
        <f ca="1">IFERROR(__xludf.DUMMYFUNCTION("""COMPUTED_VALUE"""),"")</f>
        <v/>
      </c>
    </row>
    <row r="13489" spans="1:5">
      <c r="A13489" s="12"/>
      <c r="E13489" s="57" t="str">
        <f ca="1">IFERROR(__xludf.DUMMYFUNCTION("""COMPUTED_VALUE"""),"")</f>
        <v/>
      </c>
    </row>
    <row r="13490" spans="1:5">
      <c r="A13490" s="12"/>
      <c r="E13490" s="57" t="str">
        <f ca="1">IFERROR(__xludf.DUMMYFUNCTION("""COMPUTED_VALUE"""),"")</f>
        <v/>
      </c>
    </row>
    <row r="13491" spans="1:5">
      <c r="A13491" s="12"/>
      <c r="E13491" s="57" t="str">
        <f ca="1">IFERROR(__xludf.DUMMYFUNCTION("""COMPUTED_VALUE"""),"")</f>
        <v/>
      </c>
    </row>
    <row r="13492" spans="1:5">
      <c r="A13492" s="12"/>
      <c r="E13492" s="57" t="str">
        <f ca="1">IFERROR(__xludf.DUMMYFUNCTION("""COMPUTED_VALUE"""),"")</f>
        <v/>
      </c>
    </row>
    <row r="13493" spans="1:5">
      <c r="A13493" s="12"/>
      <c r="E13493" s="57" t="str">
        <f ca="1">IFERROR(__xludf.DUMMYFUNCTION("""COMPUTED_VALUE"""),"")</f>
        <v/>
      </c>
    </row>
    <row r="13494" spans="1:5">
      <c r="A13494" s="12"/>
      <c r="E13494" s="57" t="str">
        <f ca="1">IFERROR(__xludf.DUMMYFUNCTION("""COMPUTED_VALUE"""),"")</f>
        <v/>
      </c>
    </row>
    <row r="13495" spans="1:5">
      <c r="A13495" s="12"/>
      <c r="E13495" s="57" t="str">
        <f ca="1">IFERROR(__xludf.DUMMYFUNCTION("""COMPUTED_VALUE"""),"")</f>
        <v/>
      </c>
    </row>
    <row r="13496" spans="1:5">
      <c r="A13496" s="12"/>
      <c r="E13496" s="57" t="str">
        <f ca="1">IFERROR(__xludf.DUMMYFUNCTION("""COMPUTED_VALUE"""),"")</f>
        <v/>
      </c>
    </row>
    <row r="13497" spans="1:5">
      <c r="A13497" s="12"/>
      <c r="E13497" s="57" t="str">
        <f ca="1">IFERROR(__xludf.DUMMYFUNCTION("""COMPUTED_VALUE"""),"")</f>
        <v/>
      </c>
    </row>
    <row r="13498" spans="1:5">
      <c r="A13498" s="12"/>
      <c r="E13498" s="57" t="str">
        <f ca="1">IFERROR(__xludf.DUMMYFUNCTION("""COMPUTED_VALUE"""),"")</f>
        <v/>
      </c>
    </row>
    <row r="13499" spans="1:5">
      <c r="A13499" s="12"/>
      <c r="E13499" s="57" t="str">
        <f ca="1">IFERROR(__xludf.DUMMYFUNCTION("""COMPUTED_VALUE"""),"")</f>
        <v/>
      </c>
    </row>
    <row r="13500" spans="1:5">
      <c r="A13500" s="12"/>
      <c r="E13500" s="57" t="str">
        <f ca="1">IFERROR(__xludf.DUMMYFUNCTION("""COMPUTED_VALUE"""),"")</f>
        <v/>
      </c>
    </row>
    <row r="13501" spans="1:5">
      <c r="A13501" s="12"/>
      <c r="E13501" s="57" t="str">
        <f ca="1">IFERROR(__xludf.DUMMYFUNCTION("""COMPUTED_VALUE"""),"")</f>
        <v/>
      </c>
    </row>
    <row r="13502" spans="1:5">
      <c r="A13502" s="12"/>
      <c r="E13502" s="57" t="str">
        <f ca="1">IFERROR(__xludf.DUMMYFUNCTION("""COMPUTED_VALUE"""),"")</f>
        <v/>
      </c>
    </row>
    <row r="13503" spans="1:5">
      <c r="A13503" s="12"/>
      <c r="E13503" s="57" t="str">
        <f ca="1">IFERROR(__xludf.DUMMYFUNCTION("""COMPUTED_VALUE"""),"")</f>
        <v/>
      </c>
    </row>
    <row r="13504" spans="1:5">
      <c r="A13504" s="12"/>
      <c r="E13504" s="57" t="str">
        <f ca="1">IFERROR(__xludf.DUMMYFUNCTION("""COMPUTED_VALUE"""),"")</f>
        <v/>
      </c>
    </row>
    <row r="13505" spans="1:5">
      <c r="A13505" s="12"/>
      <c r="E13505" s="57" t="str">
        <f ca="1">IFERROR(__xludf.DUMMYFUNCTION("""COMPUTED_VALUE"""),"")</f>
        <v/>
      </c>
    </row>
    <row r="13506" spans="1:5">
      <c r="A13506" s="12"/>
      <c r="E13506" s="57" t="str">
        <f ca="1">IFERROR(__xludf.DUMMYFUNCTION("""COMPUTED_VALUE"""),"")</f>
        <v/>
      </c>
    </row>
    <row r="13507" spans="1:5">
      <c r="A13507" s="12"/>
      <c r="E13507" s="57" t="str">
        <f ca="1">IFERROR(__xludf.DUMMYFUNCTION("""COMPUTED_VALUE"""),"")</f>
        <v/>
      </c>
    </row>
    <row r="13508" spans="1:5">
      <c r="A13508" s="12"/>
      <c r="E13508" s="57" t="str">
        <f ca="1">IFERROR(__xludf.DUMMYFUNCTION("""COMPUTED_VALUE"""),"")</f>
        <v/>
      </c>
    </row>
    <row r="13509" spans="1:5">
      <c r="A13509" s="12"/>
      <c r="E13509" s="57" t="str">
        <f ca="1">IFERROR(__xludf.DUMMYFUNCTION("""COMPUTED_VALUE"""),"")</f>
        <v/>
      </c>
    </row>
    <row r="13510" spans="1:5">
      <c r="A13510" s="12"/>
      <c r="E13510" s="57" t="str">
        <f ca="1">IFERROR(__xludf.DUMMYFUNCTION("""COMPUTED_VALUE"""),"")</f>
        <v/>
      </c>
    </row>
    <row r="13511" spans="1:5">
      <c r="A13511" s="12"/>
      <c r="E13511" s="57" t="str">
        <f ca="1">IFERROR(__xludf.DUMMYFUNCTION("""COMPUTED_VALUE"""),"")</f>
        <v/>
      </c>
    </row>
    <row r="13512" spans="1:5">
      <c r="A13512" s="12"/>
      <c r="E13512" s="57" t="str">
        <f ca="1">IFERROR(__xludf.DUMMYFUNCTION("""COMPUTED_VALUE"""),"")</f>
        <v/>
      </c>
    </row>
    <row r="13513" spans="1:5">
      <c r="A13513" s="12"/>
      <c r="E13513" s="57" t="str">
        <f ca="1">IFERROR(__xludf.DUMMYFUNCTION("""COMPUTED_VALUE"""),"")</f>
        <v/>
      </c>
    </row>
    <row r="13514" spans="1:5">
      <c r="A13514" s="12"/>
      <c r="E13514" s="57" t="str">
        <f ca="1">IFERROR(__xludf.DUMMYFUNCTION("""COMPUTED_VALUE"""),"")</f>
        <v/>
      </c>
    </row>
    <row r="13515" spans="1:5">
      <c r="A13515" s="12"/>
      <c r="E13515" s="57" t="str">
        <f ca="1">IFERROR(__xludf.DUMMYFUNCTION("""COMPUTED_VALUE"""),"")</f>
        <v/>
      </c>
    </row>
    <row r="13516" spans="1:5">
      <c r="A13516" s="12"/>
      <c r="E13516" s="57" t="str">
        <f ca="1">IFERROR(__xludf.DUMMYFUNCTION("""COMPUTED_VALUE"""),"")</f>
        <v/>
      </c>
    </row>
    <row r="13517" spans="1:5">
      <c r="A13517" s="12"/>
      <c r="E13517" s="57" t="str">
        <f ca="1">IFERROR(__xludf.DUMMYFUNCTION("""COMPUTED_VALUE"""),"")</f>
        <v/>
      </c>
    </row>
    <row r="13518" spans="1:5">
      <c r="A13518" s="12"/>
      <c r="E13518" s="57" t="str">
        <f ca="1">IFERROR(__xludf.DUMMYFUNCTION("""COMPUTED_VALUE"""),"")</f>
        <v/>
      </c>
    </row>
    <row r="13519" spans="1:5">
      <c r="A13519" s="12"/>
      <c r="E13519" s="57" t="str">
        <f ca="1">IFERROR(__xludf.DUMMYFUNCTION("""COMPUTED_VALUE"""),"")</f>
        <v/>
      </c>
    </row>
    <row r="13520" spans="1:5">
      <c r="A13520" s="12"/>
      <c r="E13520" s="57" t="str">
        <f ca="1">IFERROR(__xludf.DUMMYFUNCTION("""COMPUTED_VALUE"""),"")</f>
        <v/>
      </c>
    </row>
    <row r="13521" spans="1:5">
      <c r="A13521" s="12"/>
      <c r="E13521" s="57" t="str">
        <f ca="1">IFERROR(__xludf.DUMMYFUNCTION("""COMPUTED_VALUE"""),"")</f>
        <v/>
      </c>
    </row>
    <row r="13522" spans="1:5">
      <c r="A13522" s="12"/>
      <c r="E13522" s="57" t="str">
        <f ca="1">IFERROR(__xludf.DUMMYFUNCTION("""COMPUTED_VALUE"""),"")</f>
        <v/>
      </c>
    </row>
    <row r="13523" spans="1:5">
      <c r="A13523" s="12"/>
      <c r="E13523" s="57" t="str">
        <f ca="1">IFERROR(__xludf.DUMMYFUNCTION("""COMPUTED_VALUE"""),"")</f>
        <v/>
      </c>
    </row>
    <row r="13524" spans="1:5">
      <c r="A13524" s="12"/>
      <c r="E13524" s="57" t="str">
        <f ca="1">IFERROR(__xludf.DUMMYFUNCTION("""COMPUTED_VALUE"""),"")</f>
        <v/>
      </c>
    </row>
    <row r="13525" spans="1:5">
      <c r="A13525" s="12"/>
      <c r="E13525" s="57" t="str">
        <f ca="1">IFERROR(__xludf.DUMMYFUNCTION("""COMPUTED_VALUE"""),"")</f>
        <v/>
      </c>
    </row>
    <row r="13526" spans="1:5">
      <c r="A13526" s="12"/>
      <c r="E13526" s="57" t="str">
        <f ca="1">IFERROR(__xludf.DUMMYFUNCTION("""COMPUTED_VALUE"""),"")</f>
        <v/>
      </c>
    </row>
    <row r="13527" spans="1:5">
      <c r="A13527" s="12"/>
      <c r="E13527" s="57" t="str">
        <f ca="1">IFERROR(__xludf.DUMMYFUNCTION("""COMPUTED_VALUE"""),"")</f>
        <v/>
      </c>
    </row>
    <row r="13528" spans="1:5">
      <c r="A13528" s="12"/>
      <c r="E13528" s="57" t="str">
        <f ca="1">IFERROR(__xludf.DUMMYFUNCTION("""COMPUTED_VALUE"""),"")</f>
        <v/>
      </c>
    </row>
    <row r="13529" spans="1:5">
      <c r="A13529" s="12"/>
      <c r="E13529" s="57" t="str">
        <f ca="1">IFERROR(__xludf.DUMMYFUNCTION("""COMPUTED_VALUE"""),"")</f>
        <v/>
      </c>
    </row>
    <row r="13530" spans="1:5">
      <c r="A13530" s="12"/>
      <c r="E13530" s="57" t="str">
        <f ca="1">IFERROR(__xludf.DUMMYFUNCTION("""COMPUTED_VALUE"""),"")</f>
        <v/>
      </c>
    </row>
    <row r="13531" spans="1:5">
      <c r="A13531" s="12"/>
      <c r="E13531" s="57" t="str">
        <f ca="1">IFERROR(__xludf.DUMMYFUNCTION("""COMPUTED_VALUE"""),"")</f>
        <v/>
      </c>
    </row>
    <row r="13532" spans="1:5">
      <c r="A13532" s="12"/>
      <c r="E13532" s="57" t="str">
        <f ca="1">IFERROR(__xludf.DUMMYFUNCTION("""COMPUTED_VALUE"""),"")</f>
        <v/>
      </c>
    </row>
    <row r="13533" spans="1:5">
      <c r="A13533" s="12"/>
      <c r="E13533" s="57" t="str">
        <f ca="1">IFERROR(__xludf.DUMMYFUNCTION("""COMPUTED_VALUE"""),"")</f>
        <v/>
      </c>
    </row>
    <row r="13534" spans="1:5">
      <c r="A13534" s="12"/>
      <c r="E13534" s="57" t="str">
        <f ca="1">IFERROR(__xludf.DUMMYFUNCTION("""COMPUTED_VALUE"""),"")</f>
        <v/>
      </c>
    </row>
    <row r="13535" spans="1:5">
      <c r="A13535" s="12"/>
      <c r="E13535" s="57" t="str">
        <f ca="1">IFERROR(__xludf.DUMMYFUNCTION("""COMPUTED_VALUE"""),"")</f>
        <v/>
      </c>
    </row>
    <row r="13536" spans="1:5">
      <c r="A13536" s="12"/>
      <c r="E13536" s="57" t="str">
        <f ca="1">IFERROR(__xludf.DUMMYFUNCTION("""COMPUTED_VALUE"""),"")</f>
        <v/>
      </c>
    </row>
    <row r="13537" spans="1:5">
      <c r="A13537" s="12"/>
      <c r="E13537" s="57" t="str">
        <f ca="1">IFERROR(__xludf.DUMMYFUNCTION("""COMPUTED_VALUE"""),"")</f>
        <v/>
      </c>
    </row>
    <row r="13538" spans="1:5">
      <c r="A13538" s="12"/>
      <c r="E13538" s="57" t="str">
        <f ca="1">IFERROR(__xludf.DUMMYFUNCTION("""COMPUTED_VALUE"""),"")</f>
        <v/>
      </c>
    </row>
    <row r="13539" spans="1:5">
      <c r="A13539" s="12"/>
      <c r="E13539" s="57" t="str">
        <f ca="1">IFERROR(__xludf.DUMMYFUNCTION("""COMPUTED_VALUE"""),"")</f>
        <v/>
      </c>
    </row>
    <row r="13540" spans="1:5">
      <c r="A13540" s="12"/>
      <c r="E13540" s="57" t="str">
        <f ca="1">IFERROR(__xludf.DUMMYFUNCTION("""COMPUTED_VALUE"""),"")</f>
        <v/>
      </c>
    </row>
    <row r="13541" spans="1:5">
      <c r="A13541" s="12"/>
      <c r="E13541" s="57" t="str">
        <f ca="1">IFERROR(__xludf.DUMMYFUNCTION("""COMPUTED_VALUE"""),"")</f>
        <v/>
      </c>
    </row>
    <row r="13542" spans="1:5">
      <c r="A13542" s="12"/>
      <c r="E13542" s="57" t="str">
        <f ca="1">IFERROR(__xludf.DUMMYFUNCTION("""COMPUTED_VALUE"""),"")</f>
        <v/>
      </c>
    </row>
    <row r="13543" spans="1:5">
      <c r="A13543" s="12"/>
      <c r="E13543" s="57" t="str">
        <f ca="1">IFERROR(__xludf.DUMMYFUNCTION("""COMPUTED_VALUE"""),"")</f>
        <v/>
      </c>
    </row>
    <row r="13544" spans="1:5">
      <c r="A13544" s="12"/>
      <c r="E13544" s="57" t="str">
        <f ca="1">IFERROR(__xludf.DUMMYFUNCTION("""COMPUTED_VALUE"""),"")</f>
        <v/>
      </c>
    </row>
    <row r="13545" spans="1:5">
      <c r="A13545" s="12"/>
      <c r="E13545" s="57" t="str">
        <f ca="1">IFERROR(__xludf.DUMMYFUNCTION("""COMPUTED_VALUE"""),"")</f>
        <v/>
      </c>
    </row>
    <row r="13546" spans="1:5">
      <c r="A13546" s="12"/>
      <c r="E13546" s="57" t="str">
        <f ca="1">IFERROR(__xludf.DUMMYFUNCTION("""COMPUTED_VALUE"""),"")</f>
        <v/>
      </c>
    </row>
    <row r="13547" spans="1:5">
      <c r="A13547" s="12"/>
      <c r="E13547" s="57" t="str">
        <f ca="1">IFERROR(__xludf.DUMMYFUNCTION("""COMPUTED_VALUE"""),"")</f>
        <v/>
      </c>
    </row>
    <row r="13548" spans="1:5">
      <c r="A13548" s="12"/>
      <c r="E13548" s="57" t="str">
        <f ca="1">IFERROR(__xludf.DUMMYFUNCTION("""COMPUTED_VALUE"""),"")</f>
        <v/>
      </c>
    </row>
    <row r="13549" spans="1:5">
      <c r="A13549" s="12"/>
      <c r="E13549" s="57" t="str">
        <f ca="1">IFERROR(__xludf.DUMMYFUNCTION("""COMPUTED_VALUE"""),"")</f>
        <v/>
      </c>
    </row>
    <row r="13550" spans="1:5">
      <c r="A13550" s="12"/>
      <c r="E13550" s="57" t="str">
        <f ca="1">IFERROR(__xludf.DUMMYFUNCTION("""COMPUTED_VALUE"""),"")</f>
        <v/>
      </c>
    </row>
    <row r="13551" spans="1:5">
      <c r="A13551" s="12"/>
      <c r="E13551" s="57" t="str">
        <f ca="1">IFERROR(__xludf.DUMMYFUNCTION("""COMPUTED_VALUE"""),"")</f>
        <v/>
      </c>
    </row>
    <row r="13552" spans="1:5">
      <c r="A13552" s="12"/>
      <c r="E13552" s="57" t="str">
        <f ca="1">IFERROR(__xludf.DUMMYFUNCTION("""COMPUTED_VALUE"""),"")</f>
        <v/>
      </c>
    </row>
    <row r="13553" spans="1:5">
      <c r="A13553" s="12"/>
      <c r="E13553" s="57" t="str">
        <f ca="1">IFERROR(__xludf.DUMMYFUNCTION("""COMPUTED_VALUE"""),"")</f>
        <v/>
      </c>
    </row>
    <row r="13554" spans="1:5">
      <c r="A13554" s="12"/>
      <c r="E13554" s="57" t="str">
        <f ca="1">IFERROR(__xludf.DUMMYFUNCTION("""COMPUTED_VALUE"""),"")</f>
        <v/>
      </c>
    </row>
    <row r="13555" spans="1:5">
      <c r="A13555" s="12"/>
      <c r="E13555" s="57" t="str">
        <f ca="1">IFERROR(__xludf.DUMMYFUNCTION("""COMPUTED_VALUE"""),"")</f>
        <v/>
      </c>
    </row>
    <row r="13556" spans="1:5">
      <c r="A13556" s="12"/>
      <c r="E13556" s="57" t="str">
        <f ca="1">IFERROR(__xludf.DUMMYFUNCTION("""COMPUTED_VALUE"""),"")</f>
        <v/>
      </c>
    </row>
    <row r="13557" spans="1:5">
      <c r="A13557" s="12"/>
      <c r="E13557" s="57" t="str">
        <f ca="1">IFERROR(__xludf.DUMMYFUNCTION("""COMPUTED_VALUE"""),"")</f>
        <v/>
      </c>
    </row>
    <row r="13558" spans="1:5">
      <c r="A13558" s="12"/>
      <c r="E13558" s="57" t="str">
        <f ca="1">IFERROR(__xludf.DUMMYFUNCTION("""COMPUTED_VALUE"""),"")</f>
        <v/>
      </c>
    </row>
    <row r="13559" spans="1:5">
      <c r="A13559" s="12"/>
      <c r="E13559" s="57" t="str">
        <f ca="1">IFERROR(__xludf.DUMMYFUNCTION("""COMPUTED_VALUE"""),"")</f>
        <v/>
      </c>
    </row>
    <row r="13560" spans="1:5">
      <c r="A13560" s="12"/>
      <c r="E13560" s="57" t="str">
        <f ca="1">IFERROR(__xludf.DUMMYFUNCTION("""COMPUTED_VALUE"""),"")</f>
        <v/>
      </c>
    </row>
    <row r="13561" spans="1:5">
      <c r="A13561" s="12"/>
      <c r="E13561" s="57" t="str">
        <f ca="1">IFERROR(__xludf.DUMMYFUNCTION("""COMPUTED_VALUE"""),"")</f>
        <v/>
      </c>
    </row>
    <row r="13562" spans="1:5">
      <c r="A13562" s="12"/>
      <c r="E13562" s="57" t="str">
        <f ca="1">IFERROR(__xludf.DUMMYFUNCTION("""COMPUTED_VALUE"""),"")</f>
        <v/>
      </c>
    </row>
    <row r="13563" spans="1:5">
      <c r="A13563" s="12"/>
      <c r="E13563" s="57" t="str">
        <f ca="1">IFERROR(__xludf.DUMMYFUNCTION("""COMPUTED_VALUE"""),"")</f>
        <v/>
      </c>
    </row>
    <row r="13564" spans="1:5">
      <c r="A13564" s="12"/>
      <c r="E13564" s="57" t="str">
        <f ca="1">IFERROR(__xludf.DUMMYFUNCTION("""COMPUTED_VALUE"""),"")</f>
        <v/>
      </c>
    </row>
    <row r="13565" spans="1:5">
      <c r="A13565" s="12"/>
      <c r="E13565" s="57" t="str">
        <f ca="1">IFERROR(__xludf.DUMMYFUNCTION("""COMPUTED_VALUE"""),"")</f>
        <v/>
      </c>
    </row>
    <row r="13566" spans="1:5">
      <c r="A13566" s="12"/>
      <c r="E13566" s="57" t="str">
        <f ca="1">IFERROR(__xludf.DUMMYFUNCTION("""COMPUTED_VALUE"""),"")</f>
        <v/>
      </c>
    </row>
    <row r="13567" spans="1:5">
      <c r="A13567" s="12"/>
      <c r="E13567" s="57" t="str">
        <f ca="1">IFERROR(__xludf.DUMMYFUNCTION("""COMPUTED_VALUE"""),"")</f>
        <v/>
      </c>
    </row>
    <row r="13568" spans="1:5">
      <c r="A13568" s="12"/>
      <c r="E13568" s="57" t="str">
        <f ca="1">IFERROR(__xludf.DUMMYFUNCTION("""COMPUTED_VALUE"""),"")</f>
        <v/>
      </c>
    </row>
    <row r="13569" spans="1:5">
      <c r="A13569" s="12"/>
      <c r="E13569" s="57" t="str">
        <f ca="1">IFERROR(__xludf.DUMMYFUNCTION("""COMPUTED_VALUE"""),"")</f>
        <v/>
      </c>
    </row>
    <row r="13570" spans="1:5">
      <c r="A13570" s="12"/>
      <c r="E13570" s="57" t="str">
        <f ca="1">IFERROR(__xludf.DUMMYFUNCTION("""COMPUTED_VALUE"""),"")</f>
        <v/>
      </c>
    </row>
    <row r="13571" spans="1:5">
      <c r="A13571" s="12"/>
      <c r="E13571" s="57" t="str">
        <f ca="1">IFERROR(__xludf.DUMMYFUNCTION("""COMPUTED_VALUE"""),"")</f>
        <v/>
      </c>
    </row>
    <row r="13572" spans="1:5">
      <c r="A13572" s="12"/>
      <c r="E13572" s="57" t="str">
        <f ca="1">IFERROR(__xludf.DUMMYFUNCTION("""COMPUTED_VALUE"""),"")</f>
        <v/>
      </c>
    </row>
    <row r="13573" spans="1:5">
      <c r="A13573" s="12"/>
      <c r="E13573" s="57" t="str">
        <f ca="1">IFERROR(__xludf.DUMMYFUNCTION("""COMPUTED_VALUE"""),"")</f>
        <v/>
      </c>
    </row>
    <row r="13574" spans="1:5">
      <c r="A13574" s="12"/>
      <c r="E13574" s="57" t="str">
        <f ca="1">IFERROR(__xludf.DUMMYFUNCTION("""COMPUTED_VALUE"""),"")</f>
        <v/>
      </c>
    </row>
    <row r="13575" spans="1:5">
      <c r="A13575" s="12"/>
      <c r="E13575" s="57" t="str">
        <f ca="1">IFERROR(__xludf.DUMMYFUNCTION("""COMPUTED_VALUE"""),"")</f>
        <v/>
      </c>
    </row>
    <row r="13576" spans="1:5">
      <c r="A13576" s="12"/>
      <c r="E13576" s="57" t="str">
        <f ca="1">IFERROR(__xludf.DUMMYFUNCTION("""COMPUTED_VALUE"""),"")</f>
        <v/>
      </c>
    </row>
    <row r="13577" spans="1:5">
      <c r="A13577" s="12"/>
      <c r="E13577" s="57" t="str">
        <f ca="1">IFERROR(__xludf.DUMMYFUNCTION("""COMPUTED_VALUE"""),"")</f>
        <v/>
      </c>
    </row>
    <row r="13578" spans="1:5">
      <c r="A13578" s="12"/>
      <c r="E13578" s="57" t="str">
        <f ca="1">IFERROR(__xludf.DUMMYFUNCTION("""COMPUTED_VALUE"""),"")</f>
        <v/>
      </c>
    </row>
    <row r="13579" spans="1:5">
      <c r="A13579" s="12"/>
      <c r="E13579" s="57" t="str">
        <f ca="1">IFERROR(__xludf.DUMMYFUNCTION("""COMPUTED_VALUE"""),"")</f>
        <v/>
      </c>
    </row>
    <row r="13580" spans="1:5">
      <c r="A13580" s="12"/>
      <c r="E13580" s="57" t="str">
        <f ca="1">IFERROR(__xludf.DUMMYFUNCTION("""COMPUTED_VALUE"""),"")</f>
        <v/>
      </c>
    </row>
    <row r="13581" spans="1:5">
      <c r="A13581" s="12"/>
      <c r="E13581" s="57" t="str">
        <f ca="1">IFERROR(__xludf.DUMMYFUNCTION("""COMPUTED_VALUE"""),"")</f>
        <v/>
      </c>
    </row>
    <row r="13582" spans="1:5">
      <c r="A13582" s="12"/>
      <c r="E13582" s="57" t="str">
        <f ca="1">IFERROR(__xludf.DUMMYFUNCTION("""COMPUTED_VALUE"""),"")</f>
        <v/>
      </c>
    </row>
    <row r="13583" spans="1:5">
      <c r="A13583" s="12"/>
      <c r="E13583" s="57" t="str">
        <f ca="1">IFERROR(__xludf.DUMMYFUNCTION("""COMPUTED_VALUE"""),"")</f>
        <v/>
      </c>
    </row>
    <row r="13584" spans="1:5">
      <c r="A13584" s="12"/>
      <c r="E13584" s="57" t="str">
        <f ca="1">IFERROR(__xludf.DUMMYFUNCTION("""COMPUTED_VALUE"""),"")</f>
        <v/>
      </c>
    </row>
    <row r="13585" spans="1:5">
      <c r="A13585" s="12"/>
      <c r="E13585" s="57" t="str">
        <f ca="1">IFERROR(__xludf.DUMMYFUNCTION("""COMPUTED_VALUE"""),"")</f>
        <v/>
      </c>
    </row>
    <row r="13586" spans="1:5">
      <c r="A13586" s="12"/>
      <c r="E13586" s="57" t="str">
        <f ca="1">IFERROR(__xludf.DUMMYFUNCTION("""COMPUTED_VALUE"""),"")</f>
        <v/>
      </c>
    </row>
    <row r="13587" spans="1:5">
      <c r="A13587" s="12"/>
      <c r="E13587" s="57" t="str">
        <f ca="1">IFERROR(__xludf.DUMMYFUNCTION("""COMPUTED_VALUE"""),"")</f>
        <v/>
      </c>
    </row>
    <row r="13588" spans="1:5">
      <c r="A13588" s="12"/>
      <c r="E13588" s="57" t="str">
        <f ca="1">IFERROR(__xludf.DUMMYFUNCTION("""COMPUTED_VALUE"""),"")</f>
        <v/>
      </c>
    </row>
    <row r="13589" spans="1:5">
      <c r="A13589" s="12"/>
      <c r="E13589" s="57" t="str">
        <f ca="1">IFERROR(__xludf.DUMMYFUNCTION("""COMPUTED_VALUE"""),"")</f>
        <v/>
      </c>
    </row>
    <row r="13590" spans="1:5">
      <c r="A13590" s="12"/>
      <c r="E13590" s="57" t="str">
        <f ca="1">IFERROR(__xludf.DUMMYFUNCTION("""COMPUTED_VALUE"""),"")</f>
        <v/>
      </c>
    </row>
    <row r="13591" spans="1:5">
      <c r="A13591" s="12"/>
      <c r="E13591" s="57" t="str">
        <f ca="1">IFERROR(__xludf.DUMMYFUNCTION("""COMPUTED_VALUE"""),"")</f>
        <v/>
      </c>
    </row>
    <row r="13592" spans="1:5">
      <c r="A13592" s="12"/>
      <c r="E13592" s="57" t="str">
        <f ca="1">IFERROR(__xludf.DUMMYFUNCTION("""COMPUTED_VALUE"""),"")</f>
        <v/>
      </c>
    </row>
    <row r="13593" spans="1:5">
      <c r="A13593" s="12"/>
      <c r="E13593" s="57" t="str">
        <f ca="1">IFERROR(__xludf.DUMMYFUNCTION("""COMPUTED_VALUE"""),"")</f>
        <v/>
      </c>
    </row>
    <row r="13594" spans="1:5">
      <c r="A13594" s="12"/>
      <c r="E13594" s="57" t="str">
        <f ca="1">IFERROR(__xludf.DUMMYFUNCTION("""COMPUTED_VALUE"""),"")</f>
        <v/>
      </c>
    </row>
    <row r="13595" spans="1:5">
      <c r="A13595" s="12"/>
      <c r="E13595" s="57" t="str">
        <f ca="1">IFERROR(__xludf.DUMMYFUNCTION("""COMPUTED_VALUE"""),"")</f>
        <v/>
      </c>
    </row>
    <row r="13596" spans="1:5">
      <c r="A13596" s="12"/>
      <c r="E13596" s="57" t="str">
        <f ca="1">IFERROR(__xludf.DUMMYFUNCTION("""COMPUTED_VALUE"""),"")</f>
        <v/>
      </c>
    </row>
    <row r="13597" spans="1:5">
      <c r="A13597" s="12"/>
      <c r="E13597" s="57" t="str">
        <f ca="1">IFERROR(__xludf.DUMMYFUNCTION("""COMPUTED_VALUE"""),"")</f>
        <v/>
      </c>
    </row>
    <row r="13598" spans="1:5">
      <c r="A13598" s="12"/>
      <c r="E13598" s="57" t="str">
        <f ca="1">IFERROR(__xludf.DUMMYFUNCTION("""COMPUTED_VALUE"""),"")</f>
        <v/>
      </c>
    </row>
    <row r="13599" spans="1:5">
      <c r="A13599" s="12"/>
      <c r="E13599" s="57" t="str">
        <f ca="1">IFERROR(__xludf.DUMMYFUNCTION("""COMPUTED_VALUE"""),"")</f>
        <v/>
      </c>
    </row>
    <row r="13600" spans="1:5">
      <c r="A13600" s="12"/>
      <c r="E13600" s="57" t="str">
        <f ca="1">IFERROR(__xludf.DUMMYFUNCTION("""COMPUTED_VALUE"""),"")</f>
        <v/>
      </c>
    </row>
    <row r="13601" spans="1:5">
      <c r="A13601" s="12"/>
      <c r="E13601" s="57" t="str">
        <f ca="1">IFERROR(__xludf.DUMMYFUNCTION("""COMPUTED_VALUE"""),"")</f>
        <v/>
      </c>
    </row>
    <row r="13602" spans="1:5">
      <c r="A13602" s="12"/>
      <c r="E13602" s="57" t="str">
        <f ca="1">IFERROR(__xludf.DUMMYFUNCTION("""COMPUTED_VALUE"""),"")</f>
        <v/>
      </c>
    </row>
    <row r="13603" spans="1:5">
      <c r="A13603" s="12"/>
      <c r="E13603" s="57" t="str">
        <f ca="1">IFERROR(__xludf.DUMMYFUNCTION("""COMPUTED_VALUE"""),"")</f>
        <v/>
      </c>
    </row>
    <row r="13604" spans="1:5">
      <c r="A13604" s="12"/>
      <c r="E13604" s="57" t="str">
        <f ca="1">IFERROR(__xludf.DUMMYFUNCTION("""COMPUTED_VALUE"""),"")</f>
        <v/>
      </c>
    </row>
    <row r="13605" spans="1:5">
      <c r="A13605" s="12"/>
      <c r="E13605" s="57" t="str">
        <f ca="1">IFERROR(__xludf.DUMMYFUNCTION("""COMPUTED_VALUE"""),"")</f>
        <v/>
      </c>
    </row>
    <row r="13606" spans="1:5">
      <c r="A13606" s="12"/>
      <c r="E13606" s="57" t="str">
        <f ca="1">IFERROR(__xludf.DUMMYFUNCTION("""COMPUTED_VALUE"""),"")</f>
        <v/>
      </c>
    </row>
    <row r="13607" spans="1:5">
      <c r="A13607" s="12"/>
      <c r="E13607" s="57" t="str">
        <f ca="1">IFERROR(__xludf.DUMMYFUNCTION("""COMPUTED_VALUE"""),"")</f>
        <v/>
      </c>
    </row>
    <row r="13608" spans="1:5">
      <c r="A13608" s="12"/>
      <c r="E13608" s="57" t="str">
        <f ca="1">IFERROR(__xludf.DUMMYFUNCTION("""COMPUTED_VALUE"""),"")</f>
        <v/>
      </c>
    </row>
    <row r="13609" spans="1:5">
      <c r="A13609" s="12"/>
      <c r="E13609" s="57" t="str">
        <f ca="1">IFERROR(__xludf.DUMMYFUNCTION("""COMPUTED_VALUE"""),"")</f>
        <v/>
      </c>
    </row>
    <row r="13610" spans="1:5">
      <c r="A13610" s="12"/>
      <c r="E13610" s="57" t="str">
        <f ca="1">IFERROR(__xludf.DUMMYFUNCTION("""COMPUTED_VALUE"""),"")</f>
        <v/>
      </c>
    </row>
    <row r="13611" spans="1:5">
      <c r="A13611" s="12"/>
      <c r="E13611" s="57" t="str">
        <f ca="1">IFERROR(__xludf.DUMMYFUNCTION("""COMPUTED_VALUE"""),"")</f>
        <v/>
      </c>
    </row>
    <row r="13612" spans="1:5">
      <c r="A13612" s="12"/>
      <c r="E13612" s="57" t="str">
        <f ca="1">IFERROR(__xludf.DUMMYFUNCTION("""COMPUTED_VALUE"""),"")</f>
        <v/>
      </c>
    </row>
    <row r="13613" spans="1:5">
      <c r="A13613" s="12"/>
      <c r="E13613" s="57" t="str">
        <f ca="1">IFERROR(__xludf.DUMMYFUNCTION("""COMPUTED_VALUE"""),"")</f>
        <v/>
      </c>
    </row>
    <row r="13614" spans="1:5">
      <c r="A13614" s="12"/>
      <c r="E13614" s="57" t="str">
        <f ca="1">IFERROR(__xludf.DUMMYFUNCTION("""COMPUTED_VALUE"""),"")</f>
        <v/>
      </c>
    </row>
    <row r="13615" spans="1:5">
      <c r="A13615" s="12"/>
      <c r="E13615" s="57" t="str">
        <f ca="1">IFERROR(__xludf.DUMMYFUNCTION("""COMPUTED_VALUE"""),"")</f>
        <v/>
      </c>
    </row>
    <row r="13616" spans="1:5">
      <c r="A13616" s="12"/>
      <c r="E13616" s="57" t="str">
        <f ca="1">IFERROR(__xludf.DUMMYFUNCTION("""COMPUTED_VALUE"""),"")</f>
        <v/>
      </c>
    </row>
    <row r="13617" spans="1:5">
      <c r="A13617" s="12"/>
      <c r="E13617" s="57" t="str">
        <f ca="1">IFERROR(__xludf.DUMMYFUNCTION("""COMPUTED_VALUE"""),"")</f>
        <v/>
      </c>
    </row>
    <row r="13618" spans="1:5">
      <c r="A13618" s="12"/>
      <c r="E13618" s="57" t="str">
        <f ca="1">IFERROR(__xludf.DUMMYFUNCTION("""COMPUTED_VALUE"""),"")</f>
        <v/>
      </c>
    </row>
    <row r="13619" spans="1:5">
      <c r="A13619" s="12"/>
      <c r="E13619" s="57" t="str">
        <f ca="1">IFERROR(__xludf.DUMMYFUNCTION("""COMPUTED_VALUE"""),"")</f>
        <v/>
      </c>
    </row>
    <row r="13620" spans="1:5">
      <c r="A13620" s="12"/>
      <c r="E13620" s="57" t="str">
        <f ca="1">IFERROR(__xludf.DUMMYFUNCTION("""COMPUTED_VALUE"""),"")</f>
        <v/>
      </c>
    </row>
    <row r="13621" spans="1:5">
      <c r="A13621" s="12"/>
      <c r="E13621" s="57" t="str">
        <f ca="1">IFERROR(__xludf.DUMMYFUNCTION("""COMPUTED_VALUE"""),"")</f>
        <v/>
      </c>
    </row>
    <row r="13622" spans="1:5">
      <c r="A13622" s="12"/>
      <c r="E13622" s="57" t="str">
        <f ca="1">IFERROR(__xludf.DUMMYFUNCTION("""COMPUTED_VALUE"""),"")</f>
        <v/>
      </c>
    </row>
    <row r="13623" spans="1:5">
      <c r="A13623" s="12"/>
      <c r="E13623" s="57" t="str">
        <f ca="1">IFERROR(__xludf.DUMMYFUNCTION("""COMPUTED_VALUE"""),"")</f>
        <v/>
      </c>
    </row>
    <row r="13624" spans="1:5">
      <c r="A13624" s="12"/>
      <c r="E13624" s="57" t="str">
        <f ca="1">IFERROR(__xludf.DUMMYFUNCTION("""COMPUTED_VALUE"""),"")</f>
        <v/>
      </c>
    </row>
    <row r="13625" spans="1:5">
      <c r="A13625" s="12"/>
      <c r="E13625" s="57" t="str">
        <f ca="1">IFERROR(__xludf.DUMMYFUNCTION("""COMPUTED_VALUE"""),"")</f>
        <v/>
      </c>
    </row>
    <row r="13626" spans="1:5">
      <c r="A13626" s="12"/>
      <c r="E13626" s="57" t="str">
        <f ca="1">IFERROR(__xludf.DUMMYFUNCTION("""COMPUTED_VALUE"""),"")</f>
        <v/>
      </c>
    </row>
    <row r="13627" spans="1:5">
      <c r="A13627" s="12"/>
      <c r="E13627" s="57" t="str">
        <f ca="1">IFERROR(__xludf.DUMMYFUNCTION("""COMPUTED_VALUE"""),"")</f>
        <v/>
      </c>
    </row>
    <row r="13628" spans="1:5">
      <c r="A13628" s="12"/>
      <c r="E13628" s="57" t="str">
        <f ca="1">IFERROR(__xludf.DUMMYFUNCTION("""COMPUTED_VALUE"""),"")</f>
        <v/>
      </c>
    </row>
    <row r="13629" spans="1:5">
      <c r="A13629" s="12"/>
      <c r="E13629" s="57" t="str">
        <f ca="1">IFERROR(__xludf.DUMMYFUNCTION("""COMPUTED_VALUE"""),"")</f>
        <v/>
      </c>
    </row>
    <row r="13630" spans="1:5">
      <c r="A13630" s="12"/>
      <c r="E13630" s="57" t="str">
        <f ca="1">IFERROR(__xludf.DUMMYFUNCTION("""COMPUTED_VALUE"""),"")</f>
        <v/>
      </c>
    </row>
    <row r="13631" spans="1:5">
      <c r="A13631" s="12"/>
      <c r="E13631" s="57" t="str">
        <f ca="1">IFERROR(__xludf.DUMMYFUNCTION("""COMPUTED_VALUE"""),"")</f>
        <v/>
      </c>
    </row>
    <row r="13632" spans="1:5">
      <c r="A13632" s="12"/>
      <c r="E13632" s="57" t="str">
        <f ca="1">IFERROR(__xludf.DUMMYFUNCTION("""COMPUTED_VALUE"""),"")</f>
        <v/>
      </c>
    </row>
    <row r="13633" spans="1:5">
      <c r="A13633" s="12"/>
      <c r="E13633" s="57" t="str">
        <f ca="1">IFERROR(__xludf.DUMMYFUNCTION("""COMPUTED_VALUE"""),"")</f>
        <v/>
      </c>
    </row>
    <row r="13634" spans="1:5">
      <c r="A13634" s="12"/>
      <c r="E13634" s="57" t="str">
        <f ca="1">IFERROR(__xludf.DUMMYFUNCTION("""COMPUTED_VALUE"""),"")</f>
        <v/>
      </c>
    </row>
    <row r="13635" spans="1:5">
      <c r="A13635" s="12"/>
      <c r="E13635" s="57" t="str">
        <f ca="1">IFERROR(__xludf.DUMMYFUNCTION("""COMPUTED_VALUE"""),"")</f>
        <v/>
      </c>
    </row>
    <row r="13636" spans="1:5">
      <c r="A13636" s="12"/>
      <c r="E13636" s="57" t="str">
        <f ca="1">IFERROR(__xludf.DUMMYFUNCTION("""COMPUTED_VALUE"""),"")</f>
        <v/>
      </c>
    </row>
    <row r="13637" spans="1:5">
      <c r="A13637" s="12"/>
      <c r="E13637" s="57" t="str">
        <f ca="1">IFERROR(__xludf.DUMMYFUNCTION("""COMPUTED_VALUE"""),"")</f>
        <v/>
      </c>
    </row>
    <row r="13638" spans="1:5">
      <c r="A13638" s="12"/>
      <c r="E13638" s="57" t="str">
        <f ca="1">IFERROR(__xludf.DUMMYFUNCTION("""COMPUTED_VALUE"""),"")</f>
        <v/>
      </c>
    </row>
    <row r="13639" spans="1:5">
      <c r="A13639" s="12"/>
      <c r="E13639" s="57" t="str">
        <f ca="1">IFERROR(__xludf.DUMMYFUNCTION("""COMPUTED_VALUE"""),"")</f>
        <v/>
      </c>
    </row>
    <row r="13640" spans="1:5">
      <c r="A13640" s="12"/>
      <c r="E13640" s="57" t="str">
        <f ca="1">IFERROR(__xludf.DUMMYFUNCTION("""COMPUTED_VALUE"""),"")</f>
        <v/>
      </c>
    </row>
    <row r="13641" spans="1:5">
      <c r="A13641" s="12"/>
      <c r="E13641" s="57" t="str">
        <f ca="1">IFERROR(__xludf.DUMMYFUNCTION("""COMPUTED_VALUE"""),"")</f>
        <v/>
      </c>
    </row>
    <row r="13642" spans="1:5">
      <c r="A13642" s="12"/>
      <c r="E13642" s="57" t="str">
        <f ca="1">IFERROR(__xludf.DUMMYFUNCTION("""COMPUTED_VALUE"""),"")</f>
        <v/>
      </c>
    </row>
    <row r="13643" spans="1:5">
      <c r="A13643" s="12"/>
      <c r="E13643" s="57" t="str">
        <f ca="1">IFERROR(__xludf.DUMMYFUNCTION("""COMPUTED_VALUE"""),"")</f>
        <v/>
      </c>
    </row>
    <row r="13644" spans="1:5">
      <c r="A13644" s="12"/>
      <c r="E13644" s="57" t="str">
        <f ca="1">IFERROR(__xludf.DUMMYFUNCTION("""COMPUTED_VALUE"""),"")</f>
        <v/>
      </c>
    </row>
    <row r="13645" spans="1:5">
      <c r="A13645" s="12"/>
      <c r="E13645" s="57" t="str">
        <f ca="1">IFERROR(__xludf.DUMMYFUNCTION("""COMPUTED_VALUE"""),"")</f>
        <v/>
      </c>
    </row>
    <row r="13646" spans="1:5">
      <c r="A13646" s="12"/>
      <c r="E13646" s="57" t="str">
        <f ca="1">IFERROR(__xludf.DUMMYFUNCTION("""COMPUTED_VALUE"""),"")</f>
        <v/>
      </c>
    </row>
    <row r="13647" spans="1:5">
      <c r="A13647" s="12"/>
      <c r="E13647" s="57" t="str">
        <f ca="1">IFERROR(__xludf.DUMMYFUNCTION("""COMPUTED_VALUE"""),"")</f>
        <v/>
      </c>
    </row>
    <row r="13648" spans="1:5">
      <c r="A13648" s="12"/>
      <c r="E13648" s="57" t="str">
        <f ca="1">IFERROR(__xludf.DUMMYFUNCTION("""COMPUTED_VALUE"""),"")</f>
        <v/>
      </c>
    </row>
    <row r="13649" spans="1:5">
      <c r="A13649" s="12"/>
      <c r="E13649" s="57" t="str">
        <f ca="1">IFERROR(__xludf.DUMMYFUNCTION("""COMPUTED_VALUE"""),"")</f>
        <v/>
      </c>
    </row>
    <row r="13650" spans="1:5">
      <c r="A13650" s="12"/>
      <c r="E13650" s="57" t="str">
        <f ca="1">IFERROR(__xludf.DUMMYFUNCTION("""COMPUTED_VALUE"""),"")</f>
        <v/>
      </c>
    </row>
    <row r="13651" spans="1:5">
      <c r="A13651" s="12"/>
      <c r="E13651" s="57" t="str">
        <f ca="1">IFERROR(__xludf.DUMMYFUNCTION("""COMPUTED_VALUE"""),"")</f>
        <v/>
      </c>
    </row>
    <row r="13652" spans="1:5">
      <c r="A13652" s="12"/>
      <c r="E13652" s="57" t="str">
        <f ca="1">IFERROR(__xludf.DUMMYFUNCTION("""COMPUTED_VALUE"""),"")</f>
        <v/>
      </c>
    </row>
    <row r="13653" spans="1:5">
      <c r="A13653" s="12"/>
      <c r="E13653" s="57" t="str">
        <f ca="1">IFERROR(__xludf.DUMMYFUNCTION("""COMPUTED_VALUE"""),"")</f>
        <v/>
      </c>
    </row>
    <row r="13654" spans="1:5">
      <c r="A13654" s="12"/>
      <c r="E13654" s="57" t="str">
        <f ca="1">IFERROR(__xludf.DUMMYFUNCTION("""COMPUTED_VALUE"""),"")</f>
        <v/>
      </c>
    </row>
    <row r="13655" spans="1:5">
      <c r="A13655" s="12"/>
      <c r="E13655" s="57" t="str">
        <f ca="1">IFERROR(__xludf.DUMMYFUNCTION("""COMPUTED_VALUE"""),"")</f>
        <v/>
      </c>
    </row>
    <row r="13656" spans="1:5">
      <c r="A13656" s="12"/>
      <c r="E13656" s="57" t="str">
        <f ca="1">IFERROR(__xludf.DUMMYFUNCTION("""COMPUTED_VALUE"""),"")</f>
        <v/>
      </c>
    </row>
    <row r="13657" spans="1:5">
      <c r="A13657" s="12"/>
      <c r="E13657" s="57" t="str">
        <f ca="1">IFERROR(__xludf.DUMMYFUNCTION("""COMPUTED_VALUE"""),"")</f>
        <v/>
      </c>
    </row>
    <row r="13658" spans="1:5">
      <c r="A13658" s="12"/>
      <c r="E13658" s="57" t="str">
        <f ca="1">IFERROR(__xludf.DUMMYFUNCTION("""COMPUTED_VALUE"""),"")</f>
        <v/>
      </c>
    </row>
    <row r="13659" spans="1:5">
      <c r="A13659" s="12"/>
      <c r="E13659" s="57" t="str">
        <f ca="1">IFERROR(__xludf.DUMMYFUNCTION("""COMPUTED_VALUE"""),"")</f>
        <v/>
      </c>
    </row>
    <row r="13660" spans="1:5">
      <c r="A13660" s="12"/>
      <c r="E13660" s="57" t="str">
        <f ca="1">IFERROR(__xludf.DUMMYFUNCTION("""COMPUTED_VALUE"""),"")</f>
        <v/>
      </c>
    </row>
    <row r="13661" spans="1:5">
      <c r="A13661" s="12"/>
      <c r="E13661" s="57" t="str">
        <f ca="1">IFERROR(__xludf.DUMMYFUNCTION("""COMPUTED_VALUE"""),"")</f>
        <v/>
      </c>
    </row>
    <row r="13662" spans="1:5">
      <c r="A13662" s="12"/>
      <c r="E13662" s="57" t="str">
        <f ca="1">IFERROR(__xludf.DUMMYFUNCTION("""COMPUTED_VALUE"""),"")</f>
        <v/>
      </c>
    </row>
    <row r="13663" spans="1:5">
      <c r="A13663" s="12"/>
      <c r="E13663" s="57" t="str">
        <f ca="1">IFERROR(__xludf.DUMMYFUNCTION("""COMPUTED_VALUE"""),"")</f>
        <v/>
      </c>
    </row>
    <row r="13664" spans="1:5">
      <c r="A13664" s="12"/>
      <c r="E13664" s="57" t="str">
        <f ca="1">IFERROR(__xludf.DUMMYFUNCTION("""COMPUTED_VALUE"""),"")</f>
        <v/>
      </c>
    </row>
    <row r="13665" spans="1:5">
      <c r="A13665" s="12"/>
      <c r="E13665" s="57" t="str">
        <f ca="1">IFERROR(__xludf.DUMMYFUNCTION("""COMPUTED_VALUE"""),"")</f>
        <v/>
      </c>
    </row>
    <row r="13666" spans="1:5">
      <c r="A13666" s="12"/>
      <c r="E13666" s="57" t="str">
        <f ca="1">IFERROR(__xludf.DUMMYFUNCTION("""COMPUTED_VALUE"""),"")</f>
        <v/>
      </c>
    </row>
    <row r="13667" spans="1:5">
      <c r="A13667" s="12"/>
      <c r="E13667" s="57" t="str">
        <f ca="1">IFERROR(__xludf.DUMMYFUNCTION("""COMPUTED_VALUE"""),"")</f>
        <v/>
      </c>
    </row>
    <row r="13668" spans="1:5">
      <c r="A13668" s="12"/>
      <c r="E13668" s="57" t="str">
        <f ca="1">IFERROR(__xludf.DUMMYFUNCTION("""COMPUTED_VALUE"""),"")</f>
        <v/>
      </c>
    </row>
    <row r="13669" spans="1:5">
      <c r="A13669" s="12"/>
      <c r="E13669" s="57" t="str">
        <f ca="1">IFERROR(__xludf.DUMMYFUNCTION("""COMPUTED_VALUE"""),"")</f>
        <v/>
      </c>
    </row>
    <row r="13670" spans="1:5">
      <c r="A13670" s="12"/>
      <c r="E13670" s="57" t="str">
        <f ca="1">IFERROR(__xludf.DUMMYFUNCTION("""COMPUTED_VALUE"""),"")</f>
        <v/>
      </c>
    </row>
    <row r="13671" spans="1:5">
      <c r="A13671" s="12"/>
      <c r="E13671" s="57" t="str">
        <f ca="1">IFERROR(__xludf.DUMMYFUNCTION("""COMPUTED_VALUE"""),"")</f>
        <v/>
      </c>
    </row>
    <row r="13672" spans="1:5">
      <c r="A13672" s="12"/>
      <c r="E13672" s="57" t="str">
        <f ca="1">IFERROR(__xludf.DUMMYFUNCTION("""COMPUTED_VALUE"""),"")</f>
        <v/>
      </c>
    </row>
    <row r="13673" spans="1:5">
      <c r="A13673" s="12"/>
      <c r="E13673" s="57" t="str">
        <f ca="1">IFERROR(__xludf.DUMMYFUNCTION("""COMPUTED_VALUE"""),"")</f>
        <v/>
      </c>
    </row>
    <row r="13674" spans="1:5">
      <c r="A13674" s="12"/>
      <c r="E13674" s="57" t="str">
        <f ca="1">IFERROR(__xludf.DUMMYFUNCTION("""COMPUTED_VALUE"""),"")</f>
        <v/>
      </c>
    </row>
    <row r="13675" spans="1:5">
      <c r="A13675" s="12"/>
      <c r="E13675" s="57" t="str">
        <f ca="1">IFERROR(__xludf.DUMMYFUNCTION("""COMPUTED_VALUE"""),"")</f>
        <v/>
      </c>
    </row>
    <row r="13676" spans="1:5">
      <c r="A13676" s="12"/>
      <c r="E13676" s="57" t="str">
        <f ca="1">IFERROR(__xludf.DUMMYFUNCTION("""COMPUTED_VALUE"""),"")</f>
        <v/>
      </c>
    </row>
    <row r="13677" spans="1:5">
      <c r="A13677" s="12"/>
      <c r="E13677" s="57" t="str">
        <f ca="1">IFERROR(__xludf.DUMMYFUNCTION("""COMPUTED_VALUE"""),"")</f>
        <v/>
      </c>
    </row>
    <row r="13678" spans="1:5">
      <c r="A13678" s="12"/>
      <c r="E13678" s="57" t="str">
        <f ca="1">IFERROR(__xludf.DUMMYFUNCTION("""COMPUTED_VALUE"""),"")</f>
        <v/>
      </c>
    </row>
    <row r="13679" spans="1:5">
      <c r="A13679" s="12"/>
      <c r="E13679" s="57" t="str">
        <f ca="1">IFERROR(__xludf.DUMMYFUNCTION("""COMPUTED_VALUE"""),"")</f>
        <v/>
      </c>
    </row>
    <row r="13680" spans="1:5">
      <c r="A13680" s="12"/>
      <c r="E13680" s="57" t="str">
        <f ca="1">IFERROR(__xludf.DUMMYFUNCTION("""COMPUTED_VALUE"""),"")</f>
        <v/>
      </c>
    </row>
    <row r="13681" spans="1:5">
      <c r="A13681" s="12"/>
      <c r="E13681" s="57" t="str">
        <f ca="1">IFERROR(__xludf.DUMMYFUNCTION("""COMPUTED_VALUE"""),"")</f>
        <v/>
      </c>
    </row>
    <row r="13682" spans="1:5">
      <c r="A13682" s="12"/>
      <c r="E13682" s="57" t="str">
        <f ca="1">IFERROR(__xludf.DUMMYFUNCTION("""COMPUTED_VALUE"""),"")</f>
        <v/>
      </c>
    </row>
    <row r="13683" spans="1:5">
      <c r="A13683" s="12"/>
      <c r="E13683" s="57" t="str">
        <f ca="1">IFERROR(__xludf.DUMMYFUNCTION("""COMPUTED_VALUE"""),"")</f>
        <v/>
      </c>
    </row>
    <row r="13684" spans="1:5">
      <c r="A13684" s="12"/>
      <c r="E13684" s="57" t="str">
        <f ca="1">IFERROR(__xludf.DUMMYFUNCTION("""COMPUTED_VALUE"""),"")</f>
        <v/>
      </c>
    </row>
    <row r="13685" spans="1:5">
      <c r="A13685" s="12"/>
      <c r="E13685" s="57" t="str">
        <f ca="1">IFERROR(__xludf.DUMMYFUNCTION("""COMPUTED_VALUE"""),"")</f>
        <v/>
      </c>
    </row>
    <row r="13686" spans="1:5">
      <c r="A13686" s="12"/>
      <c r="E13686" s="57" t="str">
        <f ca="1">IFERROR(__xludf.DUMMYFUNCTION("""COMPUTED_VALUE"""),"")</f>
        <v/>
      </c>
    </row>
    <row r="13687" spans="1:5">
      <c r="A13687" s="12"/>
      <c r="E13687" s="57" t="str">
        <f ca="1">IFERROR(__xludf.DUMMYFUNCTION("""COMPUTED_VALUE"""),"")</f>
        <v/>
      </c>
    </row>
    <row r="13688" spans="1:5">
      <c r="A13688" s="12"/>
      <c r="E13688" s="57" t="str">
        <f ca="1">IFERROR(__xludf.DUMMYFUNCTION("""COMPUTED_VALUE"""),"")</f>
        <v/>
      </c>
    </row>
    <row r="13689" spans="1:5">
      <c r="A13689" s="12"/>
      <c r="E13689" s="57" t="str">
        <f ca="1">IFERROR(__xludf.DUMMYFUNCTION("""COMPUTED_VALUE"""),"")</f>
        <v/>
      </c>
    </row>
    <row r="13690" spans="1:5">
      <c r="A13690" s="12"/>
      <c r="E13690" s="57" t="str">
        <f ca="1">IFERROR(__xludf.DUMMYFUNCTION("""COMPUTED_VALUE"""),"")</f>
        <v/>
      </c>
    </row>
    <row r="13691" spans="1:5">
      <c r="A13691" s="12"/>
      <c r="E13691" s="57" t="str">
        <f ca="1">IFERROR(__xludf.DUMMYFUNCTION("""COMPUTED_VALUE"""),"")</f>
        <v/>
      </c>
    </row>
    <row r="13692" spans="1:5">
      <c r="A13692" s="12"/>
      <c r="E13692" s="57" t="str">
        <f ca="1">IFERROR(__xludf.DUMMYFUNCTION("""COMPUTED_VALUE"""),"")</f>
        <v/>
      </c>
    </row>
    <row r="13693" spans="1:5">
      <c r="A13693" s="12"/>
      <c r="E13693" s="57" t="str">
        <f ca="1">IFERROR(__xludf.DUMMYFUNCTION("""COMPUTED_VALUE"""),"")</f>
        <v/>
      </c>
    </row>
    <row r="13694" spans="1:5">
      <c r="A13694" s="12"/>
      <c r="E13694" s="57" t="str">
        <f ca="1">IFERROR(__xludf.DUMMYFUNCTION("""COMPUTED_VALUE"""),"")</f>
        <v/>
      </c>
    </row>
    <row r="13695" spans="1:5">
      <c r="A13695" s="12"/>
      <c r="E13695" s="57" t="str">
        <f ca="1">IFERROR(__xludf.DUMMYFUNCTION("""COMPUTED_VALUE"""),"")</f>
        <v/>
      </c>
    </row>
    <row r="13696" spans="1:5">
      <c r="A13696" s="12"/>
      <c r="E13696" s="57" t="str">
        <f ca="1">IFERROR(__xludf.DUMMYFUNCTION("""COMPUTED_VALUE"""),"")</f>
        <v/>
      </c>
    </row>
    <row r="13697" spans="1:5">
      <c r="A13697" s="12"/>
      <c r="E13697" s="57" t="str">
        <f ca="1">IFERROR(__xludf.DUMMYFUNCTION("""COMPUTED_VALUE"""),"")</f>
        <v/>
      </c>
    </row>
    <row r="13698" spans="1:5">
      <c r="A13698" s="12"/>
      <c r="E13698" s="57" t="str">
        <f ca="1">IFERROR(__xludf.DUMMYFUNCTION("""COMPUTED_VALUE"""),"")</f>
        <v/>
      </c>
    </row>
    <row r="13699" spans="1:5">
      <c r="A13699" s="12"/>
      <c r="E13699" s="57" t="str">
        <f ca="1">IFERROR(__xludf.DUMMYFUNCTION("""COMPUTED_VALUE"""),"")</f>
        <v/>
      </c>
    </row>
    <row r="13700" spans="1:5">
      <c r="A13700" s="12"/>
      <c r="E13700" s="57" t="str">
        <f ca="1">IFERROR(__xludf.DUMMYFUNCTION("""COMPUTED_VALUE"""),"")</f>
        <v/>
      </c>
    </row>
    <row r="13701" spans="1:5">
      <c r="A13701" s="12"/>
      <c r="E13701" s="57" t="str">
        <f ca="1">IFERROR(__xludf.DUMMYFUNCTION("""COMPUTED_VALUE"""),"")</f>
        <v/>
      </c>
    </row>
    <row r="13702" spans="1:5">
      <c r="A13702" s="12"/>
      <c r="E13702" s="57" t="str">
        <f ca="1">IFERROR(__xludf.DUMMYFUNCTION("""COMPUTED_VALUE"""),"")</f>
        <v/>
      </c>
    </row>
    <row r="13703" spans="1:5">
      <c r="A13703" s="12"/>
      <c r="E13703" s="57" t="str">
        <f ca="1">IFERROR(__xludf.DUMMYFUNCTION("""COMPUTED_VALUE"""),"")</f>
        <v/>
      </c>
    </row>
    <row r="13704" spans="1:5">
      <c r="A13704" s="12"/>
      <c r="E13704" s="57" t="str">
        <f ca="1">IFERROR(__xludf.DUMMYFUNCTION("""COMPUTED_VALUE"""),"")</f>
        <v/>
      </c>
    </row>
    <row r="13705" spans="1:5">
      <c r="A13705" s="12"/>
      <c r="E13705" s="57" t="str">
        <f ca="1">IFERROR(__xludf.DUMMYFUNCTION("""COMPUTED_VALUE"""),"")</f>
        <v/>
      </c>
    </row>
    <row r="13706" spans="1:5">
      <c r="A13706" s="12"/>
      <c r="E13706" s="57" t="str">
        <f ca="1">IFERROR(__xludf.DUMMYFUNCTION("""COMPUTED_VALUE"""),"")</f>
        <v/>
      </c>
    </row>
    <row r="13707" spans="1:5">
      <c r="A13707" s="12"/>
      <c r="E13707" s="57" t="str">
        <f ca="1">IFERROR(__xludf.DUMMYFUNCTION("""COMPUTED_VALUE"""),"")</f>
        <v/>
      </c>
    </row>
    <row r="13708" spans="1:5">
      <c r="A13708" s="12"/>
      <c r="E13708" s="57" t="str">
        <f ca="1">IFERROR(__xludf.DUMMYFUNCTION("""COMPUTED_VALUE"""),"")</f>
        <v/>
      </c>
    </row>
    <row r="13709" spans="1:5">
      <c r="A13709" s="12"/>
      <c r="E13709" s="57" t="str">
        <f ca="1">IFERROR(__xludf.DUMMYFUNCTION("""COMPUTED_VALUE"""),"")</f>
        <v/>
      </c>
    </row>
    <row r="13710" spans="1:5">
      <c r="A13710" s="12"/>
      <c r="E13710" s="57" t="str">
        <f ca="1">IFERROR(__xludf.DUMMYFUNCTION("""COMPUTED_VALUE"""),"")</f>
        <v/>
      </c>
    </row>
    <row r="13711" spans="1:5">
      <c r="A13711" s="12"/>
      <c r="E13711" s="57" t="str">
        <f ca="1">IFERROR(__xludf.DUMMYFUNCTION("""COMPUTED_VALUE"""),"")</f>
        <v/>
      </c>
    </row>
    <row r="13712" spans="1:5">
      <c r="A13712" s="12"/>
      <c r="E13712" s="57" t="str">
        <f ca="1">IFERROR(__xludf.DUMMYFUNCTION("""COMPUTED_VALUE"""),"")</f>
        <v/>
      </c>
    </row>
    <row r="13713" spans="1:5">
      <c r="A13713" s="12"/>
      <c r="E13713" s="57" t="str">
        <f ca="1">IFERROR(__xludf.DUMMYFUNCTION("""COMPUTED_VALUE"""),"")</f>
        <v/>
      </c>
    </row>
    <row r="13714" spans="1:5">
      <c r="A13714" s="12"/>
      <c r="E13714" s="57" t="str">
        <f ca="1">IFERROR(__xludf.DUMMYFUNCTION("""COMPUTED_VALUE"""),"")</f>
        <v/>
      </c>
    </row>
    <row r="13715" spans="1:5">
      <c r="A13715" s="12"/>
      <c r="E13715" s="57" t="str">
        <f ca="1">IFERROR(__xludf.DUMMYFUNCTION("""COMPUTED_VALUE"""),"")</f>
        <v/>
      </c>
    </row>
    <row r="13716" spans="1:5">
      <c r="A13716" s="12"/>
      <c r="E13716" s="57" t="str">
        <f ca="1">IFERROR(__xludf.DUMMYFUNCTION("""COMPUTED_VALUE"""),"")</f>
        <v/>
      </c>
    </row>
    <row r="13717" spans="1:5">
      <c r="A13717" s="12"/>
      <c r="E13717" s="57" t="str">
        <f ca="1">IFERROR(__xludf.DUMMYFUNCTION("""COMPUTED_VALUE"""),"")</f>
        <v/>
      </c>
    </row>
    <row r="13718" spans="1:5">
      <c r="A13718" s="12"/>
      <c r="E13718" s="57" t="str">
        <f ca="1">IFERROR(__xludf.DUMMYFUNCTION("""COMPUTED_VALUE"""),"")</f>
        <v/>
      </c>
    </row>
    <row r="13719" spans="1:5">
      <c r="A13719" s="12"/>
      <c r="E13719" s="57" t="str">
        <f ca="1">IFERROR(__xludf.DUMMYFUNCTION("""COMPUTED_VALUE"""),"")</f>
        <v/>
      </c>
    </row>
    <row r="13720" spans="1:5">
      <c r="A13720" s="12"/>
      <c r="E13720" s="57" t="str">
        <f ca="1">IFERROR(__xludf.DUMMYFUNCTION("""COMPUTED_VALUE"""),"")</f>
        <v/>
      </c>
    </row>
    <row r="13721" spans="1:5">
      <c r="A13721" s="12"/>
      <c r="E13721" s="57" t="str">
        <f ca="1">IFERROR(__xludf.DUMMYFUNCTION("""COMPUTED_VALUE"""),"")</f>
        <v/>
      </c>
    </row>
    <row r="13722" spans="1:5">
      <c r="A13722" s="12"/>
      <c r="E13722" s="57" t="str">
        <f ca="1">IFERROR(__xludf.DUMMYFUNCTION("""COMPUTED_VALUE"""),"")</f>
        <v/>
      </c>
    </row>
    <row r="13723" spans="1:5">
      <c r="A13723" s="12"/>
      <c r="E13723" s="57" t="str">
        <f ca="1">IFERROR(__xludf.DUMMYFUNCTION("""COMPUTED_VALUE"""),"")</f>
        <v/>
      </c>
    </row>
    <row r="13724" spans="1:5">
      <c r="A13724" s="12"/>
      <c r="E13724" s="57" t="str">
        <f ca="1">IFERROR(__xludf.DUMMYFUNCTION("""COMPUTED_VALUE"""),"")</f>
        <v/>
      </c>
    </row>
    <row r="13725" spans="1:5">
      <c r="A13725" s="12"/>
      <c r="E13725" s="57" t="str">
        <f ca="1">IFERROR(__xludf.DUMMYFUNCTION("""COMPUTED_VALUE"""),"")</f>
        <v/>
      </c>
    </row>
    <row r="13726" spans="1:5">
      <c r="A13726" s="12"/>
      <c r="E13726" s="57" t="str">
        <f ca="1">IFERROR(__xludf.DUMMYFUNCTION("""COMPUTED_VALUE"""),"")</f>
        <v/>
      </c>
    </row>
    <row r="13727" spans="1:5">
      <c r="A13727" s="12"/>
      <c r="E13727" s="57" t="str">
        <f ca="1">IFERROR(__xludf.DUMMYFUNCTION("""COMPUTED_VALUE"""),"")</f>
        <v/>
      </c>
    </row>
    <row r="13728" spans="1:5">
      <c r="A13728" s="12"/>
      <c r="E13728" s="57" t="str">
        <f ca="1">IFERROR(__xludf.DUMMYFUNCTION("""COMPUTED_VALUE"""),"")</f>
        <v/>
      </c>
    </row>
    <row r="13729" spans="1:5">
      <c r="A13729" s="12"/>
      <c r="E13729" s="57" t="str">
        <f ca="1">IFERROR(__xludf.DUMMYFUNCTION("""COMPUTED_VALUE"""),"")</f>
        <v/>
      </c>
    </row>
    <row r="13730" spans="1:5">
      <c r="A13730" s="12"/>
      <c r="E13730" s="57" t="str">
        <f ca="1">IFERROR(__xludf.DUMMYFUNCTION("""COMPUTED_VALUE"""),"")</f>
        <v/>
      </c>
    </row>
    <row r="13731" spans="1:5">
      <c r="A13731" s="12"/>
      <c r="E13731" s="57" t="str">
        <f ca="1">IFERROR(__xludf.DUMMYFUNCTION("""COMPUTED_VALUE"""),"")</f>
        <v/>
      </c>
    </row>
    <row r="13732" spans="1:5">
      <c r="A13732" s="12"/>
      <c r="E13732" s="57" t="str">
        <f ca="1">IFERROR(__xludf.DUMMYFUNCTION("""COMPUTED_VALUE"""),"")</f>
        <v/>
      </c>
    </row>
    <row r="13733" spans="1:5">
      <c r="A13733" s="12"/>
      <c r="E13733" s="57" t="str">
        <f ca="1">IFERROR(__xludf.DUMMYFUNCTION("""COMPUTED_VALUE"""),"")</f>
        <v/>
      </c>
    </row>
    <row r="13734" spans="1:5">
      <c r="A13734" s="12"/>
      <c r="E13734" s="57" t="str">
        <f ca="1">IFERROR(__xludf.DUMMYFUNCTION("""COMPUTED_VALUE"""),"")</f>
        <v/>
      </c>
    </row>
    <row r="13735" spans="1:5">
      <c r="A13735" s="12"/>
      <c r="E13735" s="57" t="str">
        <f ca="1">IFERROR(__xludf.DUMMYFUNCTION("""COMPUTED_VALUE"""),"")</f>
        <v/>
      </c>
    </row>
    <row r="13736" spans="1:5">
      <c r="A13736" s="12"/>
      <c r="E13736" s="57" t="str">
        <f ca="1">IFERROR(__xludf.DUMMYFUNCTION("""COMPUTED_VALUE"""),"")</f>
        <v/>
      </c>
    </row>
    <row r="13737" spans="1:5">
      <c r="A13737" s="12"/>
      <c r="E13737" s="57" t="str">
        <f ca="1">IFERROR(__xludf.DUMMYFUNCTION("""COMPUTED_VALUE"""),"")</f>
        <v/>
      </c>
    </row>
    <row r="13738" spans="1:5">
      <c r="A13738" s="12"/>
      <c r="E13738" s="57" t="str">
        <f ca="1">IFERROR(__xludf.DUMMYFUNCTION("""COMPUTED_VALUE"""),"")</f>
        <v/>
      </c>
    </row>
    <row r="13739" spans="1:5">
      <c r="A13739" s="12"/>
      <c r="E13739" s="57" t="str">
        <f ca="1">IFERROR(__xludf.DUMMYFUNCTION("""COMPUTED_VALUE"""),"")</f>
        <v/>
      </c>
    </row>
    <row r="13740" spans="1:5">
      <c r="A13740" s="12"/>
      <c r="E13740" s="57" t="str">
        <f ca="1">IFERROR(__xludf.DUMMYFUNCTION("""COMPUTED_VALUE"""),"")</f>
        <v/>
      </c>
    </row>
    <row r="13741" spans="1:5">
      <c r="A13741" s="12"/>
      <c r="E13741" s="57" t="str">
        <f ca="1">IFERROR(__xludf.DUMMYFUNCTION("""COMPUTED_VALUE"""),"")</f>
        <v/>
      </c>
    </row>
    <row r="13742" spans="1:5">
      <c r="A13742" s="12"/>
      <c r="E13742" s="57" t="str">
        <f ca="1">IFERROR(__xludf.DUMMYFUNCTION("""COMPUTED_VALUE"""),"")</f>
        <v/>
      </c>
    </row>
    <row r="13743" spans="1:5">
      <c r="A13743" s="12"/>
      <c r="E13743" s="57" t="str">
        <f ca="1">IFERROR(__xludf.DUMMYFUNCTION("""COMPUTED_VALUE"""),"")</f>
        <v/>
      </c>
    </row>
    <row r="13744" spans="1:5">
      <c r="A13744" s="12"/>
      <c r="E13744" s="57" t="str">
        <f ca="1">IFERROR(__xludf.DUMMYFUNCTION("""COMPUTED_VALUE"""),"")</f>
        <v/>
      </c>
    </row>
    <row r="13745" spans="1:5">
      <c r="A13745" s="12"/>
      <c r="E13745" s="57" t="str">
        <f ca="1">IFERROR(__xludf.DUMMYFUNCTION("""COMPUTED_VALUE"""),"")</f>
        <v/>
      </c>
    </row>
    <row r="13746" spans="1:5">
      <c r="A13746" s="12"/>
      <c r="E13746" s="57" t="str">
        <f ca="1">IFERROR(__xludf.DUMMYFUNCTION("""COMPUTED_VALUE"""),"")</f>
        <v/>
      </c>
    </row>
    <row r="13747" spans="1:5">
      <c r="A13747" s="12"/>
      <c r="E13747" s="57" t="str">
        <f ca="1">IFERROR(__xludf.DUMMYFUNCTION("""COMPUTED_VALUE"""),"")</f>
        <v/>
      </c>
    </row>
    <row r="13748" spans="1:5">
      <c r="A13748" s="12"/>
      <c r="E13748" s="57" t="str">
        <f ca="1">IFERROR(__xludf.DUMMYFUNCTION("""COMPUTED_VALUE"""),"")</f>
        <v/>
      </c>
    </row>
    <row r="13749" spans="1:5">
      <c r="A13749" s="12"/>
      <c r="E13749" s="57" t="str">
        <f ca="1">IFERROR(__xludf.DUMMYFUNCTION("""COMPUTED_VALUE"""),"")</f>
        <v/>
      </c>
    </row>
    <row r="13750" spans="1:5">
      <c r="A13750" s="12"/>
      <c r="E13750" s="57" t="str">
        <f ca="1">IFERROR(__xludf.DUMMYFUNCTION("""COMPUTED_VALUE"""),"")</f>
        <v/>
      </c>
    </row>
    <row r="13751" spans="1:5">
      <c r="A13751" s="12"/>
      <c r="E13751" s="57" t="str">
        <f ca="1">IFERROR(__xludf.DUMMYFUNCTION("""COMPUTED_VALUE"""),"")</f>
        <v/>
      </c>
    </row>
    <row r="13752" spans="1:5">
      <c r="A13752" s="12"/>
      <c r="E13752" s="57" t="str">
        <f ca="1">IFERROR(__xludf.DUMMYFUNCTION("""COMPUTED_VALUE"""),"")</f>
        <v/>
      </c>
    </row>
    <row r="13753" spans="1:5">
      <c r="A13753" s="12"/>
      <c r="E13753" s="57" t="str">
        <f ca="1">IFERROR(__xludf.DUMMYFUNCTION("""COMPUTED_VALUE"""),"")</f>
        <v/>
      </c>
    </row>
    <row r="13754" spans="1:5">
      <c r="A13754" s="12"/>
      <c r="E13754" s="57" t="str">
        <f ca="1">IFERROR(__xludf.DUMMYFUNCTION("""COMPUTED_VALUE"""),"")</f>
        <v/>
      </c>
    </row>
    <row r="13755" spans="1:5">
      <c r="A13755" s="12"/>
      <c r="E13755" s="57" t="str">
        <f ca="1">IFERROR(__xludf.DUMMYFUNCTION("""COMPUTED_VALUE"""),"")</f>
        <v/>
      </c>
    </row>
    <row r="13756" spans="1:5">
      <c r="A13756" s="12"/>
      <c r="E13756" s="57" t="str">
        <f ca="1">IFERROR(__xludf.DUMMYFUNCTION("""COMPUTED_VALUE"""),"")</f>
        <v/>
      </c>
    </row>
    <row r="13757" spans="1:5">
      <c r="A13757" s="12"/>
      <c r="E13757" s="57" t="str">
        <f ca="1">IFERROR(__xludf.DUMMYFUNCTION("""COMPUTED_VALUE"""),"")</f>
        <v/>
      </c>
    </row>
    <row r="13758" spans="1:5">
      <c r="A13758" s="12"/>
      <c r="E13758" s="57" t="str">
        <f ca="1">IFERROR(__xludf.DUMMYFUNCTION("""COMPUTED_VALUE"""),"")</f>
        <v/>
      </c>
    </row>
    <row r="13759" spans="1:5">
      <c r="A13759" s="12"/>
      <c r="E13759" s="57" t="str">
        <f ca="1">IFERROR(__xludf.DUMMYFUNCTION("""COMPUTED_VALUE"""),"")</f>
        <v/>
      </c>
    </row>
    <row r="13760" spans="1:5">
      <c r="A13760" s="12"/>
      <c r="E13760" s="57" t="str">
        <f ca="1">IFERROR(__xludf.DUMMYFUNCTION("""COMPUTED_VALUE"""),"")</f>
        <v/>
      </c>
    </row>
    <row r="13761" spans="1:5">
      <c r="A13761" s="12"/>
      <c r="E13761" s="57" t="str">
        <f ca="1">IFERROR(__xludf.DUMMYFUNCTION("""COMPUTED_VALUE"""),"")</f>
        <v/>
      </c>
    </row>
    <row r="13762" spans="1:5">
      <c r="A13762" s="12"/>
      <c r="E13762" s="57" t="str">
        <f ca="1">IFERROR(__xludf.DUMMYFUNCTION("""COMPUTED_VALUE"""),"")</f>
        <v/>
      </c>
    </row>
    <row r="13763" spans="1:5">
      <c r="A13763" s="12"/>
      <c r="E13763" s="57" t="str">
        <f ca="1">IFERROR(__xludf.DUMMYFUNCTION("""COMPUTED_VALUE"""),"")</f>
        <v/>
      </c>
    </row>
    <row r="13764" spans="1:5">
      <c r="A13764" s="12"/>
      <c r="E13764" s="57" t="str">
        <f ca="1">IFERROR(__xludf.DUMMYFUNCTION("""COMPUTED_VALUE"""),"")</f>
        <v/>
      </c>
    </row>
    <row r="13765" spans="1:5">
      <c r="A13765" s="12"/>
      <c r="E13765" s="57" t="str">
        <f ca="1">IFERROR(__xludf.DUMMYFUNCTION("""COMPUTED_VALUE"""),"")</f>
        <v/>
      </c>
    </row>
    <row r="13766" spans="1:5">
      <c r="A13766" s="12"/>
      <c r="E13766" s="57" t="str">
        <f ca="1">IFERROR(__xludf.DUMMYFUNCTION("""COMPUTED_VALUE"""),"")</f>
        <v/>
      </c>
    </row>
    <row r="13767" spans="1:5">
      <c r="A13767" s="12"/>
      <c r="E13767" s="57" t="str">
        <f ca="1">IFERROR(__xludf.DUMMYFUNCTION("""COMPUTED_VALUE"""),"")</f>
        <v/>
      </c>
    </row>
    <row r="13768" spans="1:5">
      <c r="A13768" s="12"/>
      <c r="E13768" s="57" t="str">
        <f ca="1">IFERROR(__xludf.DUMMYFUNCTION("""COMPUTED_VALUE"""),"")</f>
        <v/>
      </c>
    </row>
    <row r="13769" spans="1:5">
      <c r="A13769" s="12"/>
      <c r="E13769" s="57" t="str">
        <f ca="1">IFERROR(__xludf.DUMMYFUNCTION("""COMPUTED_VALUE"""),"")</f>
        <v/>
      </c>
    </row>
    <row r="13770" spans="1:5">
      <c r="A13770" s="12"/>
      <c r="E13770" s="57" t="str">
        <f ca="1">IFERROR(__xludf.DUMMYFUNCTION("""COMPUTED_VALUE"""),"")</f>
        <v/>
      </c>
    </row>
    <row r="13771" spans="1:5">
      <c r="A13771" s="12"/>
      <c r="E13771" s="57" t="str">
        <f ca="1">IFERROR(__xludf.DUMMYFUNCTION("""COMPUTED_VALUE"""),"")</f>
        <v/>
      </c>
    </row>
    <row r="13772" spans="1:5">
      <c r="A13772" s="12"/>
      <c r="E13772" s="57" t="str">
        <f ca="1">IFERROR(__xludf.DUMMYFUNCTION("""COMPUTED_VALUE"""),"")</f>
        <v/>
      </c>
    </row>
    <row r="13773" spans="1:5">
      <c r="A13773" s="12"/>
      <c r="E13773" s="57" t="str">
        <f ca="1">IFERROR(__xludf.DUMMYFUNCTION("""COMPUTED_VALUE"""),"")</f>
        <v/>
      </c>
    </row>
    <row r="13774" spans="1:5">
      <c r="A13774" s="12"/>
      <c r="E13774" s="57" t="str">
        <f ca="1">IFERROR(__xludf.DUMMYFUNCTION("""COMPUTED_VALUE"""),"")</f>
        <v/>
      </c>
    </row>
    <row r="13775" spans="1:5">
      <c r="A13775" s="12"/>
      <c r="E13775" s="57" t="str">
        <f ca="1">IFERROR(__xludf.DUMMYFUNCTION("""COMPUTED_VALUE"""),"")</f>
        <v/>
      </c>
    </row>
    <row r="13776" spans="1:5">
      <c r="A13776" s="12"/>
      <c r="E13776" s="57" t="str">
        <f ca="1">IFERROR(__xludf.DUMMYFUNCTION("""COMPUTED_VALUE"""),"")</f>
        <v/>
      </c>
    </row>
    <row r="13777" spans="1:5">
      <c r="A13777" s="12"/>
      <c r="E13777" s="57" t="str">
        <f ca="1">IFERROR(__xludf.DUMMYFUNCTION("""COMPUTED_VALUE"""),"")</f>
        <v/>
      </c>
    </row>
    <row r="13778" spans="1:5">
      <c r="A13778" s="12"/>
      <c r="E13778" s="57" t="str">
        <f ca="1">IFERROR(__xludf.DUMMYFUNCTION("""COMPUTED_VALUE"""),"")</f>
        <v/>
      </c>
    </row>
    <row r="13779" spans="1:5">
      <c r="A13779" s="12"/>
      <c r="E13779" s="57" t="str">
        <f ca="1">IFERROR(__xludf.DUMMYFUNCTION("""COMPUTED_VALUE"""),"")</f>
        <v/>
      </c>
    </row>
    <row r="13780" spans="1:5">
      <c r="A13780" s="12"/>
      <c r="E13780" s="57" t="str">
        <f ca="1">IFERROR(__xludf.DUMMYFUNCTION("""COMPUTED_VALUE"""),"")</f>
        <v/>
      </c>
    </row>
    <row r="13781" spans="1:5">
      <c r="A13781" s="12"/>
      <c r="E13781" s="57" t="str">
        <f ca="1">IFERROR(__xludf.DUMMYFUNCTION("""COMPUTED_VALUE"""),"")</f>
        <v/>
      </c>
    </row>
    <row r="13782" spans="1:5">
      <c r="A13782" s="12"/>
      <c r="E13782" s="57" t="str">
        <f ca="1">IFERROR(__xludf.DUMMYFUNCTION("""COMPUTED_VALUE"""),"")</f>
        <v/>
      </c>
    </row>
    <row r="13783" spans="1:5">
      <c r="A13783" s="12"/>
      <c r="E13783" s="57" t="str">
        <f ca="1">IFERROR(__xludf.DUMMYFUNCTION("""COMPUTED_VALUE"""),"")</f>
        <v/>
      </c>
    </row>
    <row r="13784" spans="1:5">
      <c r="A13784" s="12"/>
      <c r="E13784" s="57" t="str">
        <f ca="1">IFERROR(__xludf.DUMMYFUNCTION("""COMPUTED_VALUE"""),"")</f>
        <v/>
      </c>
    </row>
    <row r="13785" spans="1:5">
      <c r="A13785" s="12"/>
      <c r="E13785" s="57" t="str">
        <f ca="1">IFERROR(__xludf.DUMMYFUNCTION("""COMPUTED_VALUE"""),"")</f>
        <v/>
      </c>
    </row>
    <row r="13786" spans="1:5">
      <c r="A13786" s="12"/>
      <c r="E13786" s="57" t="str">
        <f ca="1">IFERROR(__xludf.DUMMYFUNCTION("""COMPUTED_VALUE"""),"")</f>
        <v/>
      </c>
    </row>
    <row r="13787" spans="1:5">
      <c r="A13787" s="12"/>
      <c r="E13787" s="57" t="str">
        <f ca="1">IFERROR(__xludf.DUMMYFUNCTION("""COMPUTED_VALUE"""),"")</f>
        <v/>
      </c>
    </row>
    <row r="13788" spans="1:5">
      <c r="A13788" s="12"/>
      <c r="E13788" s="57" t="str">
        <f ca="1">IFERROR(__xludf.DUMMYFUNCTION("""COMPUTED_VALUE"""),"")</f>
        <v/>
      </c>
    </row>
    <row r="13789" spans="1:5">
      <c r="A13789" s="12"/>
      <c r="E13789" s="57" t="str">
        <f ca="1">IFERROR(__xludf.DUMMYFUNCTION("""COMPUTED_VALUE"""),"")</f>
        <v/>
      </c>
    </row>
    <row r="13790" spans="1:5">
      <c r="A13790" s="12"/>
      <c r="E13790" s="57" t="str">
        <f ca="1">IFERROR(__xludf.DUMMYFUNCTION("""COMPUTED_VALUE"""),"")</f>
        <v/>
      </c>
    </row>
    <row r="13791" spans="1:5">
      <c r="A13791" s="12"/>
      <c r="E13791" s="57" t="str">
        <f ca="1">IFERROR(__xludf.DUMMYFUNCTION("""COMPUTED_VALUE"""),"")</f>
        <v/>
      </c>
    </row>
    <row r="13792" spans="1:5">
      <c r="A13792" s="12"/>
      <c r="E13792" s="57" t="str">
        <f ca="1">IFERROR(__xludf.DUMMYFUNCTION("""COMPUTED_VALUE"""),"")</f>
        <v/>
      </c>
    </row>
    <row r="13793" spans="1:5">
      <c r="A13793" s="12"/>
      <c r="E13793" s="57" t="str">
        <f ca="1">IFERROR(__xludf.DUMMYFUNCTION("""COMPUTED_VALUE"""),"")</f>
        <v/>
      </c>
    </row>
    <row r="13794" spans="1:5">
      <c r="A13794" s="12"/>
      <c r="E13794" s="57" t="str">
        <f ca="1">IFERROR(__xludf.DUMMYFUNCTION("""COMPUTED_VALUE"""),"")</f>
        <v/>
      </c>
    </row>
    <row r="13795" spans="1:5">
      <c r="A13795" s="12"/>
      <c r="E13795" s="57" t="str">
        <f ca="1">IFERROR(__xludf.DUMMYFUNCTION("""COMPUTED_VALUE"""),"")</f>
        <v/>
      </c>
    </row>
    <row r="13796" spans="1:5">
      <c r="A13796" s="12"/>
      <c r="E13796" s="57" t="str">
        <f ca="1">IFERROR(__xludf.DUMMYFUNCTION("""COMPUTED_VALUE"""),"")</f>
        <v/>
      </c>
    </row>
    <row r="13797" spans="1:5">
      <c r="A13797" s="12"/>
      <c r="E13797" s="57" t="str">
        <f ca="1">IFERROR(__xludf.DUMMYFUNCTION("""COMPUTED_VALUE"""),"")</f>
        <v/>
      </c>
    </row>
    <row r="13798" spans="1:5">
      <c r="A13798" s="12"/>
      <c r="E13798" s="57" t="str">
        <f ca="1">IFERROR(__xludf.DUMMYFUNCTION("""COMPUTED_VALUE"""),"")</f>
        <v/>
      </c>
    </row>
    <row r="13799" spans="1:5">
      <c r="A13799" s="12"/>
      <c r="E13799" s="57" t="str">
        <f ca="1">IFERROR(__xludf.DUMMYFUNCTION("""COMPUTED_VALUE"""),"")</f>
        <v/>
      </c>
    </row>
    <row r="13800" spans="1:5">
      <c r="A13800" s="12"/>
      <c r="E13800" s="57" t="str">
        <f ca="1">IFERROR(__xludf.DUMMYFUNCTION("""COMPUTED_VALUE"""),"")</f>
        <v/>
      </c>
    </row>
    <row r="13801" spans="1:5">
      <c r="A13801" s="12"/>
      <c r="E13801" s="57" t="str">
        <f ca="1">IFERROR(__xludf.DUMMYFUNCTION("""COMPUTED_VALUE"""),"")</f>
        <v/>
      </c>
    </row>
    <row r="13802" spans="1:5">
      <c r="A13802" s="12"/>
      <c r="E13802" s="57" t="str">
        <f ca="1">IFERROR(__xludf.DUMMYFUNCTION("""COMPUTED_VALUE"""),"")</f>
        <v/>
      </c>
    </row>
    <row r="13803" spans="1:5">
      <c r="A13803" s="12"/>
      <c r="E13803" s="57" t="str">
        <f ca="1">IFERROR(__xludf.DUMMYFUNCTION("""COMPUTED_VALUE"""),"")</f>
        <v/>
      </c>
    </row>
    <row r="13804" spans="1:5">
      <c r="A13804" s="12"/>
      <c r="E13804" s="57" t="str">
        <f ca="1">IFERROR(__xludf.DUMMYFUNCTION("""COMPUTED_VALUE"""),"")</f>
        <v/>
      </c>
    </row>
    <row r="13805" spans="1:5">
      <c r="A13805" s="12"/>
      <c r="E13805" s="57" t="str">
        <f ca="1">IFERROR(__xludf.DUMMYFUNCTION("""COMPUTED_VALUE"""),"")</f>
        <v/>
      </c>
    </row>
    <row r="13806" spans="1:5">
      <c r="A13806" s="12"/>
      <c r="E13806" s="57" t="str">
        <f ca="1">IFERROR(__xludf.DUMMYFUNCTION("""COMPUTED_VALUE"""),"")</f>
        <v/>
      </c>
    </row>
    <row r="13807" spans="1:5">
      <c r="A13807" s="12"/>
      <c r="E13807" s="57" t="str">
        <f ca="1">IFERROR(__xludf.DUMMYFUNCTION("""COMPUTED_VALUE"""),"")</f>
        <v/>
      </c>
    </row>
    <row r="13808" spans="1:5">
      <c r="A13808" s="12"/>
      <c r="E13808" s="57" t="str">
        <f ca="1">IFERROR(__xludf.DUMMYFUNCTION("""COMPUTED_VALUE"""),"")</f>
        <v/>
      </c>
    </row>
    <row r="13809" spans="1:5">
      <c r="A13809" s="12"/>
      <c r="E13809" s="57" t="str">
        <f ca="1">IFERROR(__xludf.DUMMYFUNCTION("""COMPUTED_VALUE"""),"")</f>
        <v/>
      </c>
    </row>
    <row r="13810" spans="1:5">
      <c r="A13810" s="12"/>
      <c r="E13810" s="57" t="str">
        <f ca="1">IFERROR(__xludf.DUMMYFUNCTION("""COMPUTED_VALUE"""),"")</f>
        <v/>
      </c>
    </row>
    <row r="13811" spans="1:5">
      <c r="A13811" s="12"/>
      <c r="E13811" s="57" t="str">
        <f ca="1">IFERROR(__xludf.DUMMYFUNCTION("""COMPUTED_VALUE"""),"")</f>
        <v/>
      </c>
    </row>
    <row r="13812" spans="1:5">
      <c r="A13812" s="12"/>
      <c r="E13812" s="57" t="str">
        <f ca="1">IFERROR(__xludf.DUMMYFUNCTION("""COMPUTED_VALUE"""),"")</f>
        <v/>
      </c>
    </row>
    <row r="13813" spans="1:5">
      <c r="A13813" s="12"/>
      <c r="E13813" s="57" t="str">
        <f ca="1">IFERROR(__xludf.DUMMYFUNCTION("""COMPUTED_VALUE"""),"")</f>
        <v/>
      </c>
    </row>
    <row r="13814" spans="1:5">
      <c r="A13814" s="12"/>
      <c r="E13814" s="57" t="str">
        <f ca="1">IFERROR(__xludf.DUMMYFUNCTION("""COMPUTED_VALUE"""),"")</f>
        <v/>
      </c>
    </row>
    <row r="13815" spans="1:5">
      <c r="A13815" s="12"/>
      <c r="E13815" s="57" t="str">
        <f ca="1">IFERROR(__xludf.DUMMYFUNCTION("""COMPUTED_VALUE"""),"")</f>
        <v/>
      </c>
    </row>
    <row r="13816" spans="1:5">
      <c r="A13816" s="12"/>
      <c r="E13816" s="57" t="str">
        <f ca="1">IFERROR(__xludf.DUMMYFUNCTION("""COMPUTED_VALUE"""),"")</f>
        <v/>
      </c>
    </row>
    <row r="13817" spans="1:5">
      <c r="A13817" s="12"/>
      <c r="E13817" s="57" t="str">
        <f ca="1">IFERROR(__xludf.DUMMYFUNCTION("""COMPUTED_VALUE"""),"")</f>
        <v/>
      </c>
    </row>
    <row r="13818" spans="1:5">
      <c r="A13818" s="12"/>
      <c r="E13818" s="57" t="str">
        <f ca="1">IFERROR(__xludf.DUMMYFUNCTION("""COMPUTED_VALUE"""),"")</f>
        <v/>
      </c>
    </row>
    <row r="13819" spans="1:5">
      <c r="A13819" s="12"/>
      <c r="E13819" s="57" t="str">
        <f ca="1">IFERROR(__xludf.DUMMYFUNCTION("""COMPUTED_VALUE"""),"")</f>
        <v/>
      </c>
    </row>
    <row r="13820" spans="1:5">
      <c r="A13820" s="12"/>
      <c r="E13820" s="57" t="str">
        <f ca="1">IFERROR(__xludf.DUMMYFUNCTION("""COMPUTED_VALUE"""),"")</f>
        <v/>
      </c>
    </row>
    <row r="13821" spans="1:5">
      <c r="A13821" s="12"/>
      <c r="E13821" s="57" t="str">
        <f ca="1">IFERROR(__xludf.DUMMYFUNCTION("""COMPUTED_VALUE"""),"")</f>
        <v/>
      </c>
    </row>
    <row r="13822" spans="1:5">
      <c r="A13822" s="12"/>
      <c r="E13822" s="57" t="str">
        <f ca="1">IFERROR(__xludf.DUMMYFUNCTION("""COMPUTED_VALUE"""),"")</f>
        <v/>
      </c>
    </row>
    <row r="13823" spans="1:5">
      <c r="A13823" s="12"/>
      <c r="E13823" s="57" t="str">
        <f ca="1">IFERROR(__xludf.DUMMYFUNCTION("""COMPUTED_VALUE"""),"")</f>
        <v/>
      </c>
    </row>
    <row r="13824" spans="1:5">
      <c r="A13824" s="12"/>
      <c r="E13824" s="57" t="str">
        <f ca="1">IFERROR(__xludf.DUMMYFUNCTION("""COMPUTED_VALUE"""),"")</f>
        <v/>
      </c>
    </row>
    <row r="13825" spans="1:5">
      <c r="A13825" s="12"/>
      <c r="E13825" s="57" t="str">
        <f ca="1">IFERROR(__xludf.DUMMYFUNCTION("""COMPUTED_VALUE"""),"")</f>
        <v/>
      </c>
    </row>
    <row r="13826" spans="1:5">
      <c r="A13826" s="12"/>
      <c r="E13826" s="57" t="str">
        <f ca="1">IFERROR(__xludf.DUMMYFUNCTION("""COMPUTED_VALUE"""),"")</f>
        <v/>
      </c>
    </row>
    <row r="13827" spans="1:5">
      <c r="A13827" s="12"/>
      <c r="E13827" s="57" t="str">
        <f ca="1">IFERROR(__xludf.DUMMYFUNCTION("""COMPUTED_VALUE"""),"")</f>
        <v/>
      </c>
    </row>
    <row r="13828" spans="1:5">
      <c r="A13828" s="12"/>
      <c r="E13828" s="57" t="str">
        <f ca="1">IFERROR(__xludf.DUMMYFUNCTION("""COMPUTED_VALUE"""),"")</f>
        <v/>
      </c>
    </row>
    <row r="13829" spans="1:5">
      <c r="A13829" s="12"/>
      <c r="E13829" s="57" t="str">
        <f ca="1">IFERROR(__xludf.DUMMYFUNCTION("""COMPUTED_VALUE"""),"")</f>
        <v/>
      </c>
    </row>
    <row r="13830" spans="1:5">
      <c r="A13830" s="12"/>
      <c r="E13830" s="57" t="str">
        <f ca="1">IFERROR(__xludf.DUMMYFUNCTION("""COMPUTED_VALUE"""),"")</f>
        <v/>
      </c>
    </row>
    <row r="13831" spans="1:5">
      <c r="A13831" s="12"/>
      <c r="E13831" s="57" t="str">
        <f ca="1">IFERROR(__xludf.DUMMYFUNCTION("""COMPUTED_VALUE"""),"")</f>
        <v/>
      </c>
    </row>
    <row r="13832" spans="1:5">
      <c r="A13832" s="12"/>
      <c r="E13832" s="57" t="str">
        <f ca="1">IFERROR(__xludf.DUMMYFUNCTION("""COMPUTED_VALUE"""),"")</f>
        <v/>
      </c>
    </row>
    <row r="13833" spans="1:5">
      <c r="A13833" s="12"/>
      <c r="E13833" s="57" t="str">
        <f ca="1">IFERROR(__xludf.DUMMYFUNCTION("""COMPUTED_VALUE"""),"")</f>
        <v/>
      </c>
    </row>
    <row r="13834" spans="1:5">
      <c r="A13834" s="12"/>
      <c r="E13834" s="57" t="str">
        <f ca="1">IFERROR(__xludf.DUMMYFUNCTION("""COMPUTED_VALUE"""),"")</f>
        <v/>
      </c>
    </row>
    <row r="13835" spans="1:5">
      <c r="A13835" s="12"/>
      <c r="E13835" s="57" t="str">
        <f ca="1">IFERROR(__xludf.DUMMYFUNCTION("""COMPUTED_VALUE"""),"")</f>
        <v/>
      </c>
    </row>
    <row r="13836" spans="1:5">
      <c r="A13836" s="12"/>
      <c r="E13836" s="57" t="str">
        <f ca="1">IFERROR(__xludf.DUMMYFUNCTION("""COMPUTED_VALUE"""),"")</f>
        <v/>
      </c>
    </row>
    <row r="13837" spans="1:5">
      <c r="A13837" s="12"/>
      <c r="E13837" s="57" t="str">
        <f ca="1">IFERROR(__xludf.DUMMYFUNCTION("""COMPUTED_VALUE"""),"")</f>
        <v/>
      </c>
    </row>
    <row r="13838" spans="1:5">
      <c r="A13838" s="12"/>
      <c r="E13838" s="57" t="str">
        <f ca="1">IFERROR(__xludf.DUMMYFUNCTION("""COMPUTED_VALUE"""),"")</f>
        <v/>
      </c>
    </row>
    <row r="13839" spans="1:5">
      <c r="A13839" s="12"/>
      <c r="E13839" s="57" t="str">
        <f ca="1">IFERROR(__xludf.DUMMYFUNCTION("""COMPUTED_VALUE"""),"")</f>
        <v/>
      </c>
    </row>
    <row r="13840" spans="1:5">
      <c r="A13840" s="12"/>
      <c r="E13840" s="57" t="str">
        <f ca="1">IFERROR(__xludf.DUMMYFUNCTION("""COMPUTED_VALUE"""),"")</f>
        <v/>
      </c>
    </row>
    <row r="13841" spans="1:5">
      <c r="A13841" s="12"/>
      <c r="E13841" s="57" t="str">
        <f ca="1">IFERROR(__xludf.DUMMYFUNCTION("""COMPUTED_VALUE"""),"")</f>
        <v/>
      </c>
    </row>
    <row r="13842" spans="1:5">
      <c r="A13842" s="12"/>
      <c r="E13842" s="57" t="str">
        <f ca="1">IFERROR(__xludf.DUMMYFUNCTION("""COMPUTED_VALUE"""),"")</f>
        <v/>
      </c>
    </row>
    <row r="13843" spans="1:5">
      <c r="A13843" s="12"/>
      <c r="E13843" s="57" t="str">
        <f ca="1">IFERROR(__xludf.DUMMYFUNCTION("""COMPUTED_VALUE"""),"")</f>
        <v/>
      </c>
    </row>
    <row r="13844" spans="1:5">
      <c r="A13844" s="12"/>
      <c r="E13844" s="57" t="str">
        <f ca="1">IFERROR(__xludf.DUMMYFUNCTION("""COMPUTED_VALUE"""),"")</f>
        <v/>
      </c>
    </row>
    <row r="13845" spans="1:5">
      <c r="A13845" s="12"/>
      <c r="E13845" s="57" t="str">
        <f ca="1">IFERROR(__xludf.DUMMYFUNCTION("""COMPUTED_VALUE"""),"")</f>
        <v/>
      </c>
    </row>
    <row r="13846" spans="1:5">
      <c r="A13846" s="12"/>
      <c r="E13846" s="57" t="str">
        <f ca="1">IFERROR(__xludf.DUMMYFUNCTION("""COMPUTED_VALUE"""),"")</f>
        <v/>
      </c>
    </row>
    <row r="13847" spans="1:5">
      <c r="A13847" s="12"/>
      <c r="E13847" s="57" t="str">
        <f ca="1">IFERROR(__xludf.DUMMYFUNCTION("""COMPUTED_VALUE"""),"")</f>
        <v/>
      </c>
    </row>
    <row r="13848" spans="1:5">
      <c r="A13848" s="12"/>
      <c r="E13848" s="57" t="str">
        <f ca="1">IFERROR(__xludf.DUMMYFUNCTION("""COMPUTED_VALUE"""),"")</f>
        <v/>
      </c>
    </row>
    <row r="13849" spans="1:5">
      <c r="A13849" s="12"/>
      <c r="E13849" s="57" t="str">
        <f ca="1">IFERROR(__xludf.DUMMYFUNCTION("""COMPUTED_VALUE"""),"")</f>
        <v/>
      </c>
    </row>
    <row r="13850" spans="1:5">
      <c r="A13850" s="12"/>
      <c r="E13850" s="57" t="str">
        <f ca="1">IFERROR(__xludf.DUMMYFUNCTION("""COMPUTED_VALUE"""),"")</f>
        <v/>
      </c>
    </row>
    <row r="13851" spans="1:5">
      <c r="A13851" s="12"/>
      <c r="E13851" s="57" t="str">
        <f ca="1">IFERROR(__xludf.DUMMYFUNCTION("""COMPUTED_VALUE"""),"")</f>
        <v/>
      </c>
    </row>
    <row r="13852" spans="1:5">
      <c r="A13852" s="12"/>
      <c r="E13852" s="57" t="str">
        <f ca="1">IFERROR(__xludf.DUMMYFUNCTION("""COMPUTED_VALUE"""),"")</f>
        <v/>
      </c>
    </row>
    <row r="13853" spans="1:5">
      <c r="A13853" s="12"/>
      <c r="E13853" s="57" t="str">
        <f ca="1">IFERROR(__xludf.DUMMYFUNCTION("""COMPUTED_VALUE"""),"")</f>
        <v/>
      </c>
    </row>
    <row r="13854" spans="1:5">
      <c r="A13854" s="12"/>
      <c r="E13854" s="57" t="str">
        <f ca="1">IFERROR(__xludf.DUMMYFUNCTION("""COMPUTED_VALUE"""),"")</f>
        <v/>
      </c>
    </row>
    <row r="13855" spans="1:5">
      <c r="A13855" s="12"/>
      <c r="E13855" s="57" t="str">
        <f ca="1">IFERROR(__xludf.DUMMYFUNCTION("""COMPUTED_VALUE"""),"")</f>
        <v/>
      </c>
    </row>
    <row r="13856" spans="1:5">
      <c r="A13856" s="12"/>
      <c r="E13856" s="57" t="str">
        <f ca="1">IFERROR(__xludf.DUMMYFUNCTION("""COMPUTED_VALUE"""),"")</f>
        <v/>
      </c>
    </row>
    <row r="13857" spans="1:5">
      <c r="A13857" s="12"/>
      <c r="E13857" s="57" t="str">
        <f ca="1">IFERROR(__xludf.DUMMYFUNCTION("""COMPUTED_VALUE"""),"")</f>
        <v/>
      </c>
    </row>
    <row r="13858" spans="1:5">
      <c r="A13858" s="12"/>
      <c r="E13858" s="57" t="str">
        <f ca="1">IFERROR(__xludf.DUMMYFUNCTION("""COMPUTED_VALUE"""),"")</f>
        <v/>
      </c>
    </row>
    <row r="13859" spans="1:5">
      <c r="A13859" s="12"/>
      <c r="E13859" s="57" t="str">
        <f ca="1">IFERROR(__xludf.DUMMYFUNCTION("""COMPUTED_VALUE"""),"")</f>
        <v/>
      </c>
    </row>
    <row r="13860" spans="1:5">
      <c r="A13860" s="12"/>
      <c r="E13860" s="57" t="str">
        <f ca="1">IFERROR(__xludf.DUMMYFUNCTION("""COMPUTED_VALUE"""),"")</f>
        <v/>
      </c>
    </row>
    <row r="13861" spans="1:5">
      <c r="A13861" s="12"/>
      <c r="E13861" s="57" t="str">
        <f ca="1">IFERROR(__xludf.DUMMYFUNCTION("""COMPUTED_VALUE"""),"")</f>
        <v/>
      </c>
    </row>
    <row r="13862" spans="1:5">
      <c r="A13862" s="12"/>
      <c r="E13862" s="57" t="str">
        <f ca="1">IFERROR(__xludf.DUMMYFUNCTION("""COMPUTED_VALUE"""),"")</f>
        <v/>
      </c>
    </row>
    <row r="13863" spans="1:5">
      <c r="A13863" s="12"/>
      <c r="E13863" s="57" t="str">
        <f ca="1">IFERROR(__xludf.DUMMYFUNCTION("""COMPUTED_VALUE"""),"")</f>
        <v/>
      </c>
    </row>
    <row r="13864" spans="1:5">
      <c r="A13864" s="12"/>
      <c r="E13864" s="57" t="str">
        <f ca="1">IFERROR(__xludf.DUMMYFUNCTION("""COMPUTED_VALUE"""),"")</f>
        <v/>
      </c>
    </row>
    <row r="13865" spans="1:5">
      <c r="A13865" s="12"/>
      <c r="E13865" s="57" t="str">
        <f ca="1">IFERROR(__xludf.DUMMYFUNCTION("""COMPUTED_VALUE"""),"")</f>
        <v/>
      </c>
    </row>
    <row r="13866" spans="1:5">
      <c r="A13866" s="12"/>
      <c r="E13866" s="57" t="str">
        <f ca="1">IFERROR(__xludf.DUMMYFUNCTION("""COMPUTED_VALUE"""),"")</f>
        <v/>
      </c>
    </row>
    <row r="13867" spans="1:5">
      <c r="A13867" s="12"/>
      <c r="E13867" s="57" t="str">
        <f ca="1">IFERROR(__xludf.DUMMYFUNCTION("""COMPUTED_VALUE"""),"")</f>
        <v/>
      </c>
    </row>
    <row r="13868" spans="1:5">
      <c r="A13868" s="12"/>
      <c r="E13868" s="57" t="str">
        <f ca="1">IFERROR(__xludf.DUMMYFUNCTION("""COMPUTED_VALUE"""),"")</f>
        <v/>
      </c>
    </row>
    <row r="13869" spans="1:5">
      <c r="A13869" s="12"/>
      <c r="E13869" s="57" t="str">
        <f ca="1">IFERROR(__xludf.DUMMYFUNCTION("""COMPUTED_VALUE"""),"")</f>
        <v/>
      </c>
    </row>
    <row r="13870" spans="1:5">
      <c r="A13870" s="12"/>
      <c r="E13870" s="57" t="str">
        <f ca="1">IFERROR(__xludf.DUMMYFUNCTION("""COMPUTED_VALUE"""),"")</f>
        <v/>
      </c>
    </row>
    <row r="13871" spans="1:5">
      <c r="A13871" s="12"/>
      <c r="E13871" s="57" t="str">
        <f ca="1">IFERROR(__xludf.DUMMYFUNCTION("""COMPUTED_VALUE"""),"")</f>
        <v/>
      </c>
    </row>
    <row r="13872" spans="1:5">
      <c r="A13872" s="12"/>
      <c r="E13872" s="57" t="str">
        <f ca="1">IFERROR(__xludf.DUMMYFUNCTION("""COMPUTED_VALUE"""),"")</f>
        <v/>
      </c>
    </row>
    <row r="13873" spans="1:5">
      <c r="A13873" s="12"/>
      <c r="E13873" s="57" t="str">
        <f ca="1">IFERROR(__xludf.DUMMYFUNCTION("""COMPUTED_VALUE"""),"")</f>
        <v/>
      </c>
    </row>
    <row r="13874" spans="1:5">
      <c r="A13874" s="12"/>
      <c r="E13874" s="57" t="str">
        <f ca="1">IFERROR(__xludf.DUMMYFUNCTION("""COMPUTED_VALUE"""),"")</f>
        <v/>
      </c>
    </row>
    <row r="13875" spans="1:5">
      <c r="A13875" s="12"/>
      <c r="E13875" s="57" t="str">
        <f ca="1">IFERROR(__xludf.DUMMYFUNCTION("""COMPUTED_VALUE"""),"")</f>
        <v/>
      </c>
    </row>
    <row r="13876" spans="1:5">
      <c r="A13876" s="12"/>
      <c r="E13876" s="57" t="str">
        <f ca="1">IFERROR(__xludf.DUMMYFUNCTION("""COMPUTED_VALUE"""),"")</f>
        <v/>
      </c>
    </row>
    <row r="13877" spans="1:5">
      <c r="A13877" s="12"/>
      <c r="E13877" s="57" t="str">
        <f ca="1">IFERROR(__xludf.DUMMYFUNCTION("""COMPUTED_VALUE"""),"")</f>
        <v/>
      </c>
    </row>
    <row r="13878" spans="1:5">
      <c r="A13878" s="12"/>
      <c r="E13878" s="57" t="str">
        <f ca="1">IFERROR(__xludf.DUMMYFUNCTION("""COMPUTED_VALUE"""),"")</f>
        <v/>
      </c>
    </row>
    <row r="13879" spans="1:5">
      <c r="A13879" s="12"/>
      <c r="E13879" s="57" t="str">
        <f ca="1">IFERROR(__xludf.DUMMYFUNCTION("""COMPUTED_VALUE"""),"")</f>
        <v/>
      </c>
    </row>
    <row r="13880" spans="1:5">
      <c r="A13880" s="12"/>
      <c r="E13880" s="57" t="str">
        <f ca="1">IFERROR(__xludf.DUMMYFUNCTION("""COMPUTED_VALUE"""),"")</f>
        <v/>
      </c>
    </row>
    <row r="13881" spans="1:5">
      <c r="A13881" s="12"/>
      <c r="E13881" s="57" t="str">
        <f ca="1">IFERROR(__xludf.DUMMYFUNCTION("""COMPUTED_VALUE"""),"")</f>
        <v/>
      </c>
    </row>
    <row r="13882" spans="1:5">
      <c r="A13882" s="12"/>
      <c r="E13882" s="57" t="str">
        <f ca="1">IFERROR(__xludf.DUMMYFUNCTION("""COMPUTED_VALUE"""),"")</f>
        <v/>
      </c>
    </row>
    <row r="13883" spans="1:5">
      <c r="A13883" s="12"/>
      <c r="E13883" s="57" t="str">
        <f ca="1">IFERROR(__xludf.DUMMYFUNCTION("""COMPUTED_VALUE"""),"")</f>
        <v/>
      </c>
    </row>
    <row r="13884" spans="1:5">
      <c r="A13884" s="12"/>
      <c r="E13884" s="57" t="str">
        <f ca="1">IFERROR(__xludf.DUMMYFUNCTION("""COMPUTED_VALUE"""),"")</f>
        <v/>
      </c>
    </row>
    <row r="13885" spans="1:5">
      <c r="A13885" s="12"/>
      <c r="E13885" s="57" t="str">
        <f ca="1">IFERROR(__xludf.DUMMYFUNCTION("""COMPUTED_VALUE"""),"")</f>
        <v/>
      </c>
    </row>
    <row r="13886" spans="1:5">
      <c r="A13886" s="12"/>
      <c r="E13886" s="57" t="str">
        <f ca="1">IFERROR(__xludf.DUMMYFUNCTION("""COMPUTED_VALUE"""),"")</f>
        <v/>
      </c>
    </row>
    <row r="13887" spans="1:5">
      <c r="A13887" s="12"/>
      <c r="E13887" s="57" t="str">
        <f ca="1">IFERROR(__xludf.DUMMYFUNCTION("""COMPUTED_VALUE"""),"")</f>
        <v/>
      </c>
    </row>
    <row r="13888" spans="1:5">
      <c r="A13888" s="12"/>
      <c r="E13888" s="57" t="str">
        <f ca="1">IFERROR(__xludf.DUMMYFUNCTION("""COMPUTED_VALUE"""),"")</f>
        <v/>
      </c>
    </row>
    <row r="13889" spans="1:5">
      <c r="A13889" s="12"/>
      <c r="E13889" s="57" t="str">
        <f ca="1">IFERROR(__xludf.DUMMYFUNCTION("""COMPUTED_VALUE"""),"")</f>
        <v/>
      </c>
    </row>
    <row r="13890" spans="1:5">
      <c r="A13890" s="12"/>
      <c r="E13890" s="57" t="str">
        <f ca="1">IFERROR(__xludf.DUMMYFUNCTION("""COMPUTED_VALUE"""),"")</f>
        <v/>
      </c>
    </row>
    <row r="13891" spans="1:5">
      <c r="A13891" s="12"/>
      <c r="E13891" s="57" t="str">
        <f ca="1">IFERROR(__xludf.DUMMYFUNCTION("""COMPUTED_VALUE"""),"")</f>
        <v/>
      </c>
    </row>
    <row r="13892" spans="1:5">
      <c r="A13892" s="12"/>
      <c r="E13892" s="57" t="str">
        <f ca="1">IFERROR(__xludf.DUMMYFUNCTION("""COMPUTED_VALUE"""),"")</f>
        <v/>
      </c>
    </row>
    <row r="13893" spans="1:5">
      <c r="A13893" s="12"/>
      <c r="E13893" s="57" t="str">
        <f ca="1">IFERROR(__xludf.DUMMYFUNCTION("""COMPUTED_VALUE"""),"")</f>
        <v/>
      </c>
    </row>
    <row r="13894" spans="1:5">
      <c r="A13894" s="12"/>
      <c r="E13894" s="57" t="str">
        <f ca="1">IFERROR(__xludf.DUMMYFUNCTION("""COMPUTED_VALUE"""),"")</f>
        <v/>
      </c>
    </row>
    <row r="13895" spans="1:5">
      <c r="A13895" s="12"/>
      <c r="E13895" s="57" t="str">
        <f ca="1">IFERROR(__xludf.DUMMYFUNCTION("""COMPUTED_VALUE"""),"")</f>
        <v/>
      </c>
    </row>
    <row r="13896" spans="1:5">
      <c r="A13896" s="12"/>
      <c r="E13896" s="57" t="str">
        <f ca="1">IFERROR(__xludf.DUMMYFUNCTION("""COMPUTED_VALUE"""),"")</f>
        <v/>
      </c>
    </row>
    <row r="13897" spans="1:5">
      <c r="A13897" s="12"/>
      <c r="E13897" s="57" t="str">
        <f ca="1">IFERROR(__xludf.DUMMYFUNCTION("""COMPUTED_VALUE"""),"")</f>
        <v/>
      </c>
    </row>
    <row r="13898" spans="1:5">
      <c r="A13898" s="12"/>
      <c r="E13898" s="57" t="str">
        <f ca="1">IFERROR(__xludf.DUMMYFUNCTION("""COMPUTED_VALUE"""),"")</f>
        <v/>
      </c>
    </row>
    <row r="13899" spans="1:5">
      <c r="A13899" s="12"/>
      <c r="E13899" s="57" t="str">
        <f ca="1">IFERROR(__xludf.DUMMYFUNCTION("""COMPUTED_VALUE"""),"")</f>
        <v/>
      </c>
    </row>
    <row r="13900" spans="1:5">
      <c r="A13900" s="12"/>
      <c r="E13900" s="57" t="str">
        <f ca="1">IFERROR(__xludf.DUMMYFUNCTION("""COMPUTED_VALUE"""),"")</f>
        <v/>
      </c>
    </row>
    <row r="13901" spans="1:5">
      <c r="A13901" s="12"/>
      <c r="E13901" s="57" t="str">
        <f ca="1">IFERROR(__xludf.DUMMYFUNCTION("""COMPUTED_VALUE"""),"")</f>
        <v/>
      </c>
    </row>
    <row r="13902" spans="1:5">
      <c r="A13902" s="12"/>
      <c r="E13902" s="57" t="str">
        <f ca="1">IFERROR(__xludf.DUMMYFUNCTION("""COMPUTED_VALUE"""),"")</f>
        <v/>
      </c>
    </row>
    <row r="13903" spans="1:5">
      <c r="A13903" s="12"/>
      <c r="E13903" s="57" t="str">
        <f ca="1">IFERROR(__xludf.DUMMYFUNCTION("""COMPUTED_VALUE"""),"")</f>
        <v/>
      </c>
    </row>
    <row r="13904" spans="1:5">
      <c r="A13904" s="12"/>
      <c r="E13904" s="57" t="str">
        <f ca="1">IFERROR(__xludf.DUMMYFUNCTION("""COMPUTED_VALUE"""),"")</f>
        <v/>
      </c>
    </row>
    <row r="13905" spans="1:5">
      <c r="A13905" s="12"/>
      <c r="E13905" s="57" t="str">
        <f ca="1">IFERROR(__xludf.DUMMYFUNCTION("""COMPUTED_VALUE"""),"")</f>
        <v/>
      </c>
    </row>
    <row r="13906" spans="1:5">
      <c r="A13906" s="12"/>
      <c r="E13906" s="57" t="str">
        <f ca="1">IFERROR(__xludf.DUMMYFUNCTION("""COMPUTED_VALUE"""),"")</f>
        <v/>
      </c>
    </row>
    <row r="13907" spans="1:5">
      <c r="A13907" s="12"/>
      <c r="E13907" s="57" t="str">
        <f ca="1">IFERROR(__xludf.DUMMYFUNCTION("""COMPUTED_VALUE"""),"")</f>
        <v/>
      </c>
    </row>
    <row r="13908" spans="1:5">
      <c r="A13908" s="12"/>
      <c r="E13908" s="57" t="str">
        <f ca="1">IFERROR(__xludf.DUMMYFUNCTION("""COMPUTED_VALUE"""),"")</f>
        <v/>
      </c>
    </row>
    <row r="13909" spans="1:5">
      <c r="A13909" s="12"/>
      <c r="E13909" s="57" t="str">
        <f ca="1">IFERROR(__xludf.DUMMYFUNCTION("""COMPUTED_VALUE"""),"")</f>
        <v/>
      </c>
    </row>
    <row r="13910" spans="1:5">
      <c r="A13910" s="12"/>
      <c r="E13910" s="57" t="str">
        <f ca="1">IFERROR(__xludf.DUMMYFUNCTION("""COMPUTED_VALUE"""),"")</f>
        <v/>
      </c>
    </row>
    <row r="13911" spans="1:5">
      <c r="A13911" s="12"/>
      <c r="E13911" s="57" t="str">
        <f ca="1">IFERROR(__xludf.DUMMYFUNCTION("""COMPUTED_VALUE"""),"")</f>
        <v/>
      </c>
    </row>
    <row r="13912" spans="1:5">
      <c r="A13912" s="12"/>
      <c r="E13912" s="57" t="str">
        <f ca="1">IFERROR(__xludf.DUMMYFUNCTION("""COMPUTED_VALUE"""),"")</f>
        <v/>
      </c>
    </row>
    <row r="13913" spans="1:5">
      <c r="A13913" s="12"/>
      <c r="E13913" s="57" t="str">
        <f ca="1">IFERROR(__xludf.DUMMYFUNCTION("""COMPUTED_VALUE"""),"")</f>
        <v/>
      </c>
    </row>
    <row r="13914" spans="1:5">
      <c r="A13914" s="12"/>
      <c r="E13914" s="57" t="str">
        <f ca="1">IFERROR(__xludf.DUMMYFUNCTION("""COMPUTED_VALUE"""),"")</f>
        <v/>
      </c>
    </row>
    <row r="13915" spans="1:5">
      <c r="A13915" s="12"/>
      <c r="E13915" s="57" t="str">
        <f ca="1">IFERROR(__xludf.DUMMYFUNCTION("""COMPUTED_VALUE"""),"")</f>
        <v/>
      </c>
    </row>
    <row r="13916" spans="1:5">
      <c r="A13916" s="12"/>
      <c r="E13916" s="57" t="str">
        <f ca="1">IFERROR(__xludf.DUMMYFUNCTION("""COMPUTED_VALUE"""),"")</f>
        <v/>
      </c>
    </row>
    <row r="13917" spans="1:5">
      <c r="A13917" s="12"/>
      <c r="E13917" s="57" t="str">
        <f ca="1">IFERROR(__xludf.DUMMYFUNCTION("""COMPUTED_VALUE"""),"")</f>
        <v/>
      </c>
    </row>
    <row r="13918" spans="1:5">
      <c r="A13918" s="12"/>
      <c r="E13918" s="57" t="str">
        <f ca="1">IFERROR(__xludf.DUMMYFUNCTION("""COMPUTED_VALUE"""),"")</f>
        <v/>
      </c>
    </row>
    <row r="13919" spans="1:5">
      <c r="A13919" s="12"/>
      <c r="E13919" s="57" t="str">
        <f ca="1">IFERROR(__xludf.DUMMYFUNCTION("""COMPUTED_VALUE"""),"")</f>
        <v/>
      </c>
    </row>
    <row r="13920" spans="1:5">
      <c r="A13920" s="12"/>
      <c r="E13920" s="57" t="str">
        <f ca="1">IFERROR(__xludf.DUMMYFUNCTION("""COMPUTED_VALUE"""),"")</f>
        <v/>
      </c>
    </row>
    <row r="13921" spans="1:5">
      <c r="A13921" s="12"/>
      <c r="E13921" s="57" t="str">
        <f ca="1">IFERROR(__xludf.DUMMYFUNCTION("""COMPUTED_VALUE"""),"")</f>
        <v/>
      </c>
    </row>
    <row r="13922" spans="1:5">
      <c r="A13922" s="12"/>
      <c r="E13922" s="57" t="str">
        <f ca="1">IFERROR(__xludf.DUMMYFUNCTION("""COMPUTED_VALUE"""),"")</f>
        <v/>
      </c>
    </row>
    <row r="13923" spans="1:5">
      <c r="A13923" s="12"/>
      <c r="E13923" s="57" t="str">
        <f ca="1">IFERROR(__xludf.DUMMYFUNCTION("""COMPUTED_VALUE"""),"")</f>
        <v/>
      </c>
    </row>
    <row r="13924" spans="1:5">
      <c r="A13924" s="12"/>
      <c r="E13924" s="57" t="str">
        <f ca="1">IFERROR(__xludf.DUMMYFUNCTION("""COMPUTED_VALUE"""),"")</f>
        <v/>
      </c>
    </row>
    <row r="13925" spans="1:5">
      <c r="A13925" s="12"/>
      <c r="E13925" s="57" t="str">
        <f ca="1">IFERROR(__xludf.DUMMYFUNCTION("""COMPUTED_VALUE"""),"")</f>
        <v/>
      </c>
    </row>
    <row r="13926" spans="1:5">
      <c r="A13926" s="12"/>
      <c r="E13926" s="57" t="str">
        <f ca="1">IFERROR(__xludf.DUMMYFUNCTION("""COMPUTED_VALUE"""),"")</f>
        <v/>
      </c>
    </row>
    <row r="13927" spans="1:5">
      <c r="A13927" s="12"/>
      <c r="E13927" s="57" t="str">
        <f ca="1">IFERROR(__xludf.DUMMYFUNCTION("""COMPUTED_VALUE"""),"")</f>
        <v/>
      </c>
    </row>
    <row r="13928" spans="1:5">
      <c r="A13928" s="12"/>
      <c r="E13928" s="57" t="str">
        <f ca="1">IFERROR(__xludf.DUMMYFUNCTION("""COMPUTED_VALUE"""),"")</f>
        <v/>
      </c>
    </row>
    <row r="13929" spans="1:5">
      <c r="A13929" s="12"/>
      <c r="E13929" s="57" t="str">
        <f ca="1">IFERROR(__xludf.DUMMYFUNCTION("""COMPUTED_VALUE"""),"")</f>
        <v/>
      </c>
    </row>
    <row r="13930" spans="1:5">
      <c r="A13930" s="12"/>
      <c r="E13930" s="57" t="str">
        <f ca="1">IFERROR(__xludf.DUMMYFUNCTION("""COMPUTED_VALUE"""),"")</f>
        <v/>
      </c>
    </row>
    <row r="13931" spans="1:5">
      <c r="A13931" s="12"/>
      <c r="E13931" s="57" t="str">
        <f ca="1">IFERROR(__xludf.DUMMYFUNCTION("""COMPUTED_VALUE"""),"")</f>
        <v/>
      </c>
    </row>
    <row r="13932" spans="1:5">
      <c r="A13932" s="12"/>
      <c r="E13932" s="57" t="str">
        <f ca="1">IFERROR(__xludf.DUMMYFUNCTION("""COMPUTED_VALUE"""),"")</f>
        <v/>
      </c>
    </row>
    <row r="13933" spans="1:5">
      <c r="A13933" s="12"/>
      <c r="E13933" s="57" t="str">
        <f ca="1">IFERROR(__xludf.DUMMYFUNCTION("""COMPUTED_VALUE"""),"")</f>
        <v/>
      </c>
    </row>
    <row r="13934" spans="1:5">
      <c r="A13934" s="12"/>
      <c r="E13934" s="57" t="str">
        <f ca="1">IFERROR(__xludf.DUMMYFUNCTION("""COMPUTED_VALUE"""),"")</f>
        <v/>
      </c>
    </row>
    <row r="13935" spans="1:5">
      <c r="A13935" s="12"/>
      <c r="E13935" s="57" t="str">
        <f ca="1">IFERROR(__xludf.DUMMYFUNCTION("""COMPUTED_VALUE"""),"")</f>
        <v/>
      </c>
    </row>
    <row r="13936" spans="1:5">
      <c r="A13936" s="12"/>
      <c r="E13936" s="57" t="str">
        <f ca="1">IFERROR(__xludf.DUMMYFUNCTION("""COMPUTED_VALUE"""),"")</f>
        <v/>
      </c>
    </row>
    <row r="13937" spans="1:5">
      <c r="A13937" s="12"/>
      <c r="E13937" s="57" t="str">
        <f ca="1">IFERROR(__xludf.DUMMYFUNCTION("""COMPUTED_VALUE"""),"")</f>
        <v/>
      </c>
    </row>
    <row r="13938" spans="1:5">
      <c r="A13938" s="12"/>
      <c r="E13938" s="57" t="str">
        <f ca="1">IFERROR(__xludf.DUMMYFUNCTION("""COMPUTED_VALUE"""),"")</f>
        <v/>
      </c>
    </row>
    <row r="13939" spans="1:5">
      <c r="A13939" s="12"/>
      <c r="E13939" s="57" t="str">
        <f ca="1">IFERROR(__xludf.DUMMYFUNCTION("""COMPUTED_VALUE"""),"")</f>
        <v/>
      </c>
    </row>
    <row r="13940" spans="1:5">
      <c r="A13940" s="12"/>
      <c r="E13940" s="57" t="str">
        <f ca="1">IFERROR(__xludf.DUMMYFUNCTION("""COMPUTED_VALUE"""),"")</f>
        <v/>
      </c>
    </row>
    <row r="13941" spans="1:5">
      <c r="A13941" s="12"/>
      <c r="E13941" s="57" t="str">
        <f ca="1">IFERROR(__xludf.DUMMYFUNCTION("""COMPUTED_VALUE"""),"")</f>
        <v/>
      </c>
    </row>
    <row r="13942" spans="1:5">
      <c r="A13942" s="12"/>
      <c r="E13942" s="57" t="str">
        <f ca="1">IFERROR(__xludf.DUMMYFUNCTION("""COMPUTED_VALUE"""),"")</f>
        <v/>
      </c>
    </row>
    <row r="13943" spans="1:5">
      <c r="A13943" s="12"/>
      <c r="E13943" s="57" t="str">
        <f ca="1">IFERROR(__xludf.DUMMYFUNCTION("""COMPUTED_VALUE"""),"")</f>
        <v/>
      </c>
    </row>
    <row r="13944" spans="1:5">
      <c r="A13944" s="12"/>
      <c r="E13944" s="57" t="str">
        <f ca="1">IFERROR(__xludf.DUMMYFUNCTION("""COMPUTED_VALUE"""),"")</f>
        <v/>
      </c>
    </row>
    <row r="13945" spans="1:5">
      <c r="A13945" s="12"/>
      <c r="E13945" s="57" t="str">
        <f ca="1">IFERROR(__xludf.DUMMYFUNCTION("""COMPUTED_VALUE"""),"")</f>
        <v/>
      </c>
    </row>
    <row r="13946" spans="1:5">
      <c r="A13946" s="12"/>
      <c r="E13946" s="57" t="str">
        <f ca="1">IFERROR(__xludf.DUMMYFUNCTION("""COMPUTED_VALUE"""),"")</f>
        <v/>
      </c>
    </row>
    <row r="13947" spans="1:5">
      <c r="A13947" s="12"/>
      <c r="E13947" s="57" t="str">
        <f ca="1">IFERROR(__xludf.DUMMYFUNCTION("""COMPUTED_VALUE"""),"")</f>
        <v/>
      </c>
    </row>
    <row r="13948" spans="1:5">
      <c r="A13948" s="12"/>
      <c r="E13948" s="57" t="str">
        <f ca="1">IFERROR(__xludf.DUMMYFUNCTION("""COMPUTED_VALUE"""),"")</f>
        <v/>
      </c>
    </row>
    <row r="13949" spans="1:5">
      <c r="A13949" s="12"/>
      <c r="E13949" s="57" t="str">
        <f ca="1">IFERROR(__xludf.DUMMYFUNCTION("""COMPUTED_VALUE"""),"")</f>
        <v/>
      </c>
    </row>
    <row r="13950" spans="1:5">
      <c r="A13950" s="12"/>
      <c r="E13950" s="57" t="str">
        <f ca="1">IFERROR(__xludf.DUMMYFUNCTION("""COMPUTED_VALUE"""),"")</f>
        <v/>
      </c>
    </row>
    <row r="13951" spans="1:5">
      <c r="A13951" s="12"/>
      <c r="E13951" s="57" t="str">
        <f ca="1">IFERROR(__xludf.DUMMYFUNCTION("""COMPUTED_VALUE"""),"")</f>
        <v/>
      </c>
    </row>
    <row r="13952" spans="1:5">
      <c r="A13952" s="12"/>
      <c r="E13952" s="57" t="str">
        <f ca="1">IFERROR(__xludf.DUMMYFUNCTION("""COMPUTED_VALUE"""),"")</f>
        <v/>
      </c>
    </row>
    <row r="13953" spans="1:5">
      <c r="A13953" s="12"/>
      <c r="E13953" s="57" t="str">
        <f ca="1">IFERROR(__xludf.DUMMYFUNCTION("""COMPUTED_VALUE"""),"")</f>
        <v/>
      </c>
    </row>
    <row r="13954" spans="1:5">
      <c r="A13954" s="12"/>
      <c r="E13954" s="57" t="str">
        <f ca="1">IFERROR(__xludf.DUMMYFUNCTION("""COMPUTED_VALUE"""),"")</f>
        <v/>
      </c>
    </row>
    <row r="13955" spans="1:5">
      <c r="A13955" s="12"/>
      <c r="E13955" s="57" t="str">
        <f ca="1">IFERROR(__xludf.DUMMYFUNCTION("""COMPUTED_VALUE"""),"")</f>
        <v/>
      </c>
    </row>
    <row r="13956" spans="1:5">
      <c r="A13956" s="12"/>
      <c r="E13956" s="57" t="str">
        <f ca="1">IFERROR(__xludf.DUMMYFUNCTION("""COMPUTED_VALUE"""),"")</f>
        <v/>
      </c>
    </row>
    <row r="13957" spans="1:5">
      <c r="A13957" s="12"/>
      <c r="E13957" s="57" t="str">
        <f ca="1">IFERROR(__xludf.DUMMYFUNCTION("""COMPUTED_VALUE"""),"")</f>
        <v/>
      </c>
    </row>
    <row r="13958" spans="1:5">
      <c r="A13958" s="12"/>
      <c r="E13958" s="57" t="str">
        <f ca="1">IFERROR(__xludf.DUMMYFUNCTION("""COMPUTED_VALUE"""),"")</f>
        <v/>
      </c>
    </row>
    <row r="13959" spans="1:5">
      <c r="A13959" s="12"/>
      <c r="E13959" s="57" t="str">
        <f ca="1">IFERROR(__xludf.DUMMYFUNCTION("""COMPUTED_VALUE"""),"")</f>
        <v/>
      </c>
    </row>
    <row r="13960" spans="1:5">
      <c r="A13960" s="12"/>
      <c r="E13960" s="57" t="str">
        <f ca="1">IFERROR(__xludf.DUMMYFUNCTION("""COMPUTED_VALUE"""),"")</f>
        <v/>
      </c>
    </row>
    <row r="13961" spans="1:5">
      <c r="A13961" s="12"/>
      <c r="E13961" s="57" t="str">
        <f ca="1">IFERROR(__xludf.DUMMYFUNCTION("""COMPUTED_VALUE"""),"")</f>
        <v/>
      </c>
    </row>
    <row r="13962" spans="1:5">
      <c r="A13962" s="12"/>
      <c r="E13962" s="57" t="str">
        <f ca="1">IFERROR(__xludf.DUMMYFUNCTION("""COMPUTED_VALUE"""),"")</f>
        <v/>
      </c>
    </row>
    <row r="13963" spans="1:5">
      <c r="A13963" s="12"/>
      <c r="E13963" s="57" t="str">
        <f ca="1">IFERROR(__xludf.DUMMYFUNCTION("""COMPUTED_VALUE"""),"")</f>
        <v/>
      </c>
    </row>
    <row r="13964" spans="1:5">
      <c r="A13964" s="12"/>
      <c r="E13964" s="57" t="str">
        <f ca="1">IFERROR(__xludf.DUMMYFUNCTION("""COMPUTED_VALUE"""),"")</f>
        <v/>
      </c>
    </row>
    <row r="13965" spans="1:5">
      <c r="A13965" s="12"/>
      <c r="E13965" s="57" t="str">
        <f ca="1">IFERROR(__xludf.DUMMYFUNCTION("""COMPUTED_VALUE"""),"")</f>
        <v/>
      </c>
    </row>
    <row r="13966" spans="1:5">
      <c r="A13966" s="12"/>
      <c r="E13966" s="57" t="str">
        <f ca="1">IFERROR(__xludf.DUMMYFUNCTION("""COMPUTED_VALUE"""),"")</f>
        <v/>
      </c>
    </row>
    <row r="13967" spans="1:5">
      <c r="A13967" s="12"/>
      <c r="E13967" s="57" t="str">
        <f ca="1">IFERROR(__xludf.DUMMYFUNCTION("""COMPUTED_VALUE"""),"")</f>
        <v/>
      </c>
    </row>
    <row r="13968" spans="1:5">
      <c r="A13968" s="12"/>
      <c r="E13968" s="57" t="str">
        <f ca="1">IFERROR(__xludf.DUMMYFUNCTION("""COMPUTED_VALUE"""),"")</f>
        <v/>
      </c>
    </row>
    <row r="13969" spans="1:5">
      <c r="A13969" s="12"/>
      <c r="E13969" s="57" t="str">
        <f ca="1">IFERROR(__xludf.DUMMYFUNCTION("""COMPUTED_VALUE"""),"")</f>
        <v/>
      </c>
    </row>
    <row r="13970" spans="1:5">
      <c r="A13970" s="12"/>
      <c r="E13970" s="57" t="str">
        <f ca="1">IFERROR(__xludf.DUMMYFUNCTION("""COMPUTED_VALUE"""),"")</f>
        <v/>
      </c>
    </row>
    <row r="13971" spans="1:5">
      <c r="A13971" s="12"/>
      <c r="E13971" s="57" t="str">
        <f ca="1">IFERROR(__xludf.DUMMYFUNCTION("""COMPUTED_VALUE"""),"")</f>
        <v/>
      </c>
    </row>
    <row r="13972" spans="1:5">
      <c r="A13972" s="12"/>
      <c r="E13972" s="57" t="str">
        <f ca="1">IFERROR(__xludf.DUMMYFUNCTION("""COMPUTED_VALUE"""),"")</f>
        <v/>
      </c>
    </row>
    <row r="13973" spans="1:5">
      <c r="A13973" s="12"/>
      <c r="E13973" s="57" t="str">
        <f ca="1">IFERROR(__xludf.DUMMYFUNCTION("""COMPUTED_VALUE"""),"")</f>
        <v/>
      </c>
    </row>
    <row r="13974" spans="1:5">
      <c r="A13974" s="12"/>
      <c r="E13974" s="57" t="str">
        <f ca="1">IFERROR(__xludf.DUMMYFUNCTION("""COMPUTED_VALUE"""),"")</f>
        <v/>
      </c>
    </row>
    <row r="13975" spans="1:5">
      <c r="A13975" s="12"/>
      <c r="E13975" s="57" t="str">
        <f ca="1">IFERROR(__xludf.DUMMYFUNCTION("""COMPUTED_VALUE"""),"")</f>
        <v/>
      </c>
    </row>
    <row r="13976" spans="1:5">
      <c r="A13976" s="12"/>
      <c r="E13976" s="57" t="str">
        <f ca="1">IFERROR(__xludf.DUMMYFUNCTION("""COMPUTED_VALUE"""),"")</f>
        <v/>
      </c>
    </row>
    <row r="13977" spans="1:5">
      <c r="A13977" s="12"/>
      <c r="E13977" s="57" t="str">
        <f ca="1">IFERROR(__xludf.DUMMYFUNCTION("""COMPUTED_VALUE"""),"")</f>
        <v/>
      </c>
    </row>
    <row r="13978" spans="1:5">
      <c r="A13978" s="12"/>
      <c r="E13978" s="57" t="str">
        <f ca="1">IFERROR(__xludf.DUMMYFUNCTION("""COMPUTED_VALUE"""),"")</f>
        <v/>
      </c>
    </row>
    <row r="13979" spans="1:5">
      <c r="A13979" s="12"/>
      <c r="E13979" s="57" t="str">
        <f ca="1">IFERROR(__xludf.DUMMYFUNCTION("""COMPUTED_VALUE"""),"")</f>
        <v/>
      </c>
    </row>
    <row r="13980" spans="1:5">
      <c r="A13980" s="12"/>
      <c r="E13980" s="57" t="str">
        <f ca="1">IFERROR(__xludf.DUMMYFUNCTION("""COMPUTED_VALUE"""),"")</f>
        <v/>
      </c>
    </row>
    <row r="13981" spans="1:5">
      <c r="A13981" s="12"/>
      <c r="E13981" s="57" t="str">
        <f ca="1">IFERROR(__xludf.DUMMYFUNCTION("""COMPUTED_VALUE"""),"")</f>
        <v/>
      </c>
    </row>
    <row r="13982" spans="1:5">
      <c r="A13982" s="12"/>
      <c r="E13982" s="57" t="str">
        <f ca="1">IFERROR(__xludf.DUMMYFUNCTION("""COMPUTED_VALUE"""),"")</f>
        <v/>
      </c>
    </row>
    <row r="13983" spans="1:5">
      <c r="A13983" s="12"/>
      <c r="E13983" s="57" t="str">
        <f ca="1">IFERROR(__xludf.DUMMYFUNCTION("""COMPUTED_VALUE"""),"")</f>
        <v/>
      </c>
    </row>
    <row r="13984" spans="1:5">
      <c r="A13984" s="12"/>
      <c r="E13984" s="57" t="str">
        <f ca="1">IFERROR(__xludf.DUMMYFUNCTION("""COMPUTED_VALUE"""),"")</f>
        <v/>
      </c>
    </row>
    <row r="13985" spans="1:5">
      <c r="A13985" s="12"/>
      <c r="E13985" s="57" t="str">
        <f ca="1">IFERROR(__xludf.DUMMYFUNCTION("""COMPUTED_VALUE"""),"")</f>
        <v/>
      </c>
    </row>
    <row r="13986" spans="1:5">
      <c r="A13986" s="12"/>
      <c r="E13986" s="57" t="str">
        <f ca="1">IFERROR(__xludf.DUMMYFUNCTION("""COMPUTED_VALUE"""),"")</f>
        <v/>
      </c>
    </row>
    <row r="13987" spans="1:5">
      <c r="A13987" s="12"/>
      <c r="E13987" s="57" t="str">
        <f ca="1">IFERROR(__xludf.DUMMYFUNCTION("""COMPUTED_VALUE"""),"")</f>
        <v/>
      </c>
    </row>
    <row r="13988" spans="1:5">
      <c r="A13988" s="12"/>
      <c r="E13988" s="57" t="str">
        <f ca="1">IFERROR(__xludf.DUMMYFUNCTION("""COMPUTED_VALUE"""),"")</f>
        <v/>
      </c>
    </row>
    <row r="13989" spans="1:5">
      <c r="A13989" s="12"/>
      <c r="E13989" s="57" t="str">
        <f ca="1">IFERROR(__xludf.DUMMYFUNCTION("""COMPUTED_VALUE"""),"")</f>
        <v/>
      </c>
    </row>
    <row r="13990" spans="1:5">
      <c r="A13990" s="12"/>
      <c r="E13990" s="57" t="str">
        <f ca="1">IFERROR(__xludf.DUMMYFUNCTION("""COMPUTED_VALUE"""),"")</f>
        <v/>
      </c>
    </row>
    <row r="13991" spans="1:5">
      <c r="A13991" s="12"/>
      <c r="E13991" s="57" t="str">
        <f ca="1">IFERROR(__xludf.DUMMYFUNCTION("""COMPUTED_VALUE"""),"")</f>
        <v/>
      </c>
    </row>
    <row r="13992" spans="1:5">
      <c r="A13992" s="12"/>
      <c r="E13992" s="57" t="str">
        <f ca="1">IFERROR(__xludf.DUMMYFUNCTION("""COMPUTED_VALUE"""),"")</f>
        <v/>
      </c>
    </row>
    <row r="13993" spans="1:5">
      <c r="A13993" s="12"/>
      <c r="E13993" s="57" t="str">
        <f ca="1">IFERROR(__xludf.DUMMYFUNCTION("""COMPUTED_VALUE"""),"")</f>
        <v/>
      </c>
    </row>
    <row r="13994" spans="1:5">
      <c r="A13994" s="12"/>
      <c r="E13994" s="57" t="str">
        <f ca="1">IFERROR(__xludf.DUMMYFUNCTION("""COMPUTED_VALUE"""),"")</f>
        <v/>
      </c>
    </row>
    <row r="13995" spans="1:5">
      <c r="A13995" s="12"/>
      <c r="E13995" s="57" t="str">
        <f ca="1">IFERROR(__xludf.DUMMYFUNCTION("""COMPUTED_VALUE"""),"")</f>
        <v/>
      </c>
    </row>
    <row r="13996" spans="1:5">
      <c r="A13996" s="12"/>
      <c r="E13996" s="57" t="str">
        <f ca="1">IFERROR(__xludf.DUMMYFUNCTION("""COMPUTED_VALUE"""),"")</f>
        <v/>
      </c>
    </row>
    <row r="13997" spans="1:5">
      <c r="A13997" s="12"/>
      <c r="E13997" s="57" t="str">
        <f ca="1">IFERROR(__xludf.DUMMYFUNCTION("""COMPUTED_VALUE"""),"")</f>
        <v/>
      </c>
    </row>
    <row r="13998" spans="1:5">
      <c r="A13998" s="12"/>
      <c r="E13998" s="57" t="str">
        <f ca="1">IFERROR(__xludf.DUMMYFUNCTION("""COMPUTED_VALUE"""),"")</f>
        <v/>
      </c>
    </row>
    <row r="13999" spans="1:5">
      <c r="A13999" s="12"/>
      <c r="E13999" s="57" t="str">
        <f ca="1">IFERROR(__xludf.DUMMYFUNCTION("""COMPUTED_VALUE"""),"")</f>
        <v/>
      </c>
    </row>
    <row r="14000" spans="1:5">
      <c r="A14000" s="12"/>
      <c r="E14000" s="57" t="str">
        <f ca="1">IFERROR(__xludf.DUMMYFUNCTION("""COMPUTED_VALUE"""),"")</f>
        <v/>
      </c>
    </row>
    <row r="14001" spans="1:5">
      <c r="A14001" s="12"/>
      <c r="E14001" s="57" t="str">
        <f ca="1">IFERROR(__xludf.DUMMYFUNCTION("""COMPUTED_VALUE"""),"")</f>
        <v/>
      </c>
    </row>
    <row r="14002" spans="1:5">
      <c r="A14002" s="12"/>
      <c r="E14002" s="57" t="str">
        <f ca="1">IFERROR(__xludf.DUMMYFUNCTION("""COMPUTED_VALUE"""),"")</f>
        <v/>
      </c>
    </row>
    <row r="14003" spans="1:5">
      <c r="A14003" s="12"/>
      <c r="E14003" s="57" t="str">
        <f ca="1">IFERROR(__xludf.DUMMYFUNCTION("""COMPUTED_VALUE"""),"")</f>
        <v/>
      </c>
    </row>
    <row r="14004" spans="1:5">
      <c r="A14004" s="12"/>
      <c r="E14004" s="57" t="str">
        <f ca="1">IFERROR(__xludf.DUMMYFUNCTION("""COMPUTED_VALUE"""),"")</f>
        <v/>
      </c>
    </row>
    <row r="14005" spans="1:5">
      <c r="A14005" s="12"/>
      <c r="E14005" s="57" t="str">
        <f ca="1">IFERROR(__xludf.DUMMYFUNCTION("""COMPUTED_VALUE"""),"")</f>
        <v/>
      </c>
    </row>
    <row r="14006" spans="1:5">
      <c r="A14006" s="12"/>
      <c r="E14006" s="57" t="str">
        <f ca="1">IFERROR(__xludf.DUMMYFUNCTION("""COMPUTED_VALUE"""),"")</f>
        <v/>
      </c>
    </row>
    <row r="14007" spans="1:5">
      <c r="A14007" s="12"/>
      <c r="E14007" s="57" t="str">
        <f ca="1">IFERROR(__xludf.DUMMYFUNCTION("""COMPUTED_VALUE"""),"")</f>
        <v/>
      </c>
    </row>
    <row r="14008" spans="1:5">
      <c r="A14008" s="12"/>
      <c r="E14008" s="57" t="str">
        <f ca="1">IFERROR(__xludf.DUMMYFUNCTION("""COMPUTED_VALUE"""),"")</f>
        <v/>
      </c>
    </row>
    <row r="14009" spans="1:5">
      <c r="A14009" s="12"/>
      <c r="E14009" s="57" t="str">
        <f ca="1">IFERROR(__xludf.DUMMYFUNCTION("""COMPUTED_VALUE"""),"")</f>
        <v/>
      </c>
    </row>
    <row r="14010" spans="1:5">
      <c r="A14010" s="12"/>
      <c r="E14010" s="57" t="str">
        <f ca="1">IFERROR(__xludf.DUMMYFUNCTION("""COMPUTED_VALUE"""),"")</f>
        <v/>
      </c>
    </row>
    <row r="14011" spans="1:5">
      <c r="A14011" s="12"/>
      <c r="E14011" s="57" t="str">
        <f ca="1">IFERROR(__xludf.DUMMYFUNCTION("""COMPUTED_VALUE"""),"")</f>
        <v/>
      </c>
    </row>
    <row r="14012" spans="1:5">
      <c r="A14012" s="12"/>
      <c r="E14012" s="57" t="str">
        <f ca="1">IFERROR(__xludf.DUMMYFUNCTION("""COMPUTED_VALUE"""),"")</f>
        <v/>
      </c>
    </row>
    <row r="14013" spans="1:5">
      <c r="A14013" s="12"/>
      <c r="E14013" s="57" t="str">
        <f ca="1">IFERROR(__xludf.DUMMYFUNCTION("""COMPUTED_VALUE"""),"")</f>
        <v/>
      </c>
    </row>
    <row r="14014" spans="1:5">
      <c r="A14014" s="12"/>
      <c r="E14014" s="57" t="str">
        <f ca="1">IFERROR(__xludf.DUMMYFUNCTION("""COMPUTED_VALUE"""),"")</f>
        <v/>
      </c>
    </row>
    <row r="14015" spans="1:5">
      <c r="A14015" s="12"/>
      <c r="E14015" s="57" t="str">
        <f ca="1">IFERROR(__xludf.DUMMYFUNCTION("""COMPUTED_VALUE"""),"")</f>
        <v/>
      </c>
    </row>
    <row r="14016" spans="1:5">
      <c r="A14016" s="12"/>
      <c r="E14016" s="57" t="str">
        <f ca="1">IFERROR(__xludf.DUMMYFUNCTION("""COMPUTED_VALUE"""),"")</f>
        <v/>
      </c>
    </row>
    <row r="14017" spans="1:5">
      <c r="A14017" s="12"/>
      <c r="E14017" s="57" t="str">
        <f ca="1">IFERROR(__xludf.DUMMYFUNCTION("""COMPUTED_VALUE"""),"")</f>
        <v/>
      </c>
    </row>
    <row r="14018" spans="1:5">
      <c r="A14018" s="12"/>
      <c r="E14018" s="57" t="str">
        <f ca="1">IFERROR(__xludf.DUMMYFUNCTION("""COMPUTED_VALUE"""),"")</f>
        <v/>
      </c>
    </row>
    <row r="14019" spans="1:5">
      <c r="A14019" s="12"/>
      <c r="E14019" s="57" t="str">
        <f ca="1">IFERROR(__xludf.DUMMYFUNCTION("""COMPUTED_VALUE"""),"")</f>
        <v/>
      </c>
    </row>
    <row r="14020" spans="1:5">
      <c r="A14020" s="12"/>
      <c r="E14020" s="57" t="str">
        <f ca="1">IFERROR(__xludf.DUMMYFUNCTION("""COMPUTED_VALUE"""),"")</f>
        <v/>
      </c>
    </row>
    <row r="14021" spans="1:5">
      <c r="A14021" s="12"/>
      <c r="E14021" s="57" t="str">
        <f ca="1">IFERROR(__xludf.DUMMYFUNCTION("""COMPUTED_VALUE"""),"")</f>
        <v/>
      </c>
    </row>
    <row r="14022" spans="1:5">
      <c r="A14022" s="12"/>
      <c r="E14022" s="57" t="str">
        <f ca="1">IFERROR(__xludf.DUMMYFUNCTION("""COMPUTED_VALUE"""),"")</f>
        <v/>
      </c>
    </row>
    <row r="14023" spans="1:5">
      <c r="A14023" s="12"/>
      <c r="E14023" s="57" t="str">
        <f ca="1">IFERROR(__xludf.DUMMYFUNCTION("""COMPUTED_VALUE"""),"")</f>
        <v/>
      </c>
    </row>
    <row r="14024" spans="1:5">
      <c r="A14024" s="12"/>
      <c r="E14024" s="57" t="str">
        <f ca="1">IFERROR(__xludf.DUMMYFUNCTION("""COMPUTED_VALUE"""),"")</f>
        <v/>
      </c>
    </row>
    <row r="14025" spans="1:5">
      <c r="A14025" s="12"/>
      <c r="E14025" s="57" t="str">
        <f ca="1">IFERROR(__xludf.DUMMYFUNCTION("""COMPUTED_VALUE"""),"")</f>
        <v/>
      </c>
    </row>
    <row r="14026" spans="1:5">
      <c r="A14026" s="12"/>
      <c r="E14026" s="57" t="str">
        <f ca="1">IFERROR(__xludf.DUMMYFUNCTION("""COMPUTED_VALUE"""),"")</f>
        <v/>
      </c>
    </row>
    <row r="14027" spans="1:5">
      <c r="A14027" s="12"/>
      <c r="E14027" s="57" t="str">
        <f ca="1">IFERROR(__xludf.DUMMYFUNCTION("""COMPUTED_VALUE"""),"")</f>
        <v/>
      </c>
    </row>
    <row r="14028" spans="1:5">
      <c r="A14028" s="12"/>
      <c r="E14028" s="57" t="str">
        <f ca="1">IFERROR(__xludf.DUMMYFUNCTION("""COMPUTED_VALUE"""),"")</f>
        <v/>
      </c>
    </row>
    <row r="14029" spans="1:5">
      <c r="A14029" s="12"/>
      <c r="E14029" s="57" t="str">
        <f ca="1">IFERROR(__xludf.DUMMYFUNCTION("""COMPUTED_VALUE"""),"")</f>
        <v/>
      </c>
    </row>
    <row r="14030" spans="1:5">
      <c r="A14030" s="12"/>
      <c r="E14030" s="57" t="str">
        <f ca="1">IFERROR(__xludf.DUMMYFUNCTION("""COMPUTED_VALUE"""),"")</f>
        <v/>
      </c>
    </row>
    <row r="14031" spans="1:5">
      <c r="A14031" s="12"/>
      <c r="E14031" s="57" t="str">
        <f ca="1">IFERROR(__xludf.DUMMYFUNCTION("""COMPUTED_VALUE"""),"")</f>
        <v/>
      </c>
    </row>
    <row r="14032" spans="1:5">
      <c r="A14032" s="12"/>
      <c r="E14032" s="57" t="str">
        <f ca="1">IFERROR(__xludf.DUMMYFUNCTION("""COMPUTED_VALUE"""),"")</f>
        <v/>
      </c>
    </row>
    <row r="14033" spans="1:5">
      <c r="A14033" s="12"/>
      <c r="E14033" s="57" t="str">
        <f ca="1">IFERROR(__xludf.DUMMYFUNCTION("""COMPUTED_VALUE"""),"")</f>
        <v/>
      </c>
    </row>
    <row r="14034" spans="1:5">
      <c r="A14034" s="12"/>
      <c r="E14034" s="57" t="str">
        <f ca="1">IFERROR(__xludf.DUMMYFUNCTION("""COMPUTED_VALUE"""),"")</f>
        <v/>
      </c>
    </row>
    <row r="14035" spans="1:5">
      <c r="A14035" s="12"/>
      <c r="E14035" s="57" t="str">
        <f ca="1">IFERROR(__xludf.DUMMYFUNCTION("""COMPUTED_VALUE"""),"")</f>
        <v/>
      </c>
    </row>
    <row r="14036" spans="1:5">
      <c r="A14036" s="12"/>
      <c r="E14036" s="57" t="str">
        <f ca="1">IFERROR(__xludf.DUMMYFUNCTION("""COMPUTED_VALUE"""),"")</f>
        <v/>
      </c>
    </row>
    <row r="14037" spans="1:5">
      <c r="A14037" s="12"/>
      <c r="E14037" s="57" t="str">
        <f ca="1">IFERROR(__xludf.DUMMYFUNCTION("""COMPUTED_VALUE"""),"")</f>
        <v/>
      </c>
    </row>
    <row r="14038" spans="1:5">
      <c r="A14038" s="12"/>
      <c r="E14038" s="57" t="str">
        <f ca="1">IFERROR(__xludf.DUMMYFUNCTION("""COMPUTED_VALUE"""),"")</f>
        <v/>
      </c>
    </row>
    <row r="14039" spans="1:5">
      <c r="A14039" s="12"/>
      <c r="E14039" s="57" t="str">
        <f ca="1">IFERROR(__xludf.DUMMYFUNCTION("""COMPUTED_VALUE"""),"")</f>
        <v/>
      </c>
    </row>
    <row r="14040" spans="1:5">
      <c r="A14040" s="12"/>
      <c r="E14040" s="57" t="str">
        <f ca="1">IFERROR(__xludf.DUMMYFUNCTION("""COMPUTED_VALUE"""),"")</f>
        <v/>
      </c>
    </row>
    <row r="14041" spans="1:5">
      <c r="A14041" s="12"/>
      <c r="E14041" s="57" t="str">
        <f ca="1">IFERROR(__xludf.DUMMYFUNCTION("""COMPUTED_VALUE"""),"")</f>
        <v/>
      </c>
    </row>
    <row r="14042" spans="1:5">
      <c r="A14042" s="12"/>
      <c r="E14042" s="57" t="str">
        <f ca="1">IFERROR(__xludf.DUMMYFUNCTION("""COMPUTED_VALUE"""),"")</f>
        <v/>
      </c>
    </row>
    <row r="14043" spans="1:5">
      <c r="A14043" s="12"/>
      <c r="E14043" s="57" t="str">
        <f ca="1">IFERROR(__xludf.DUMMYFUNCTION("""COMPUTED_VALUE"""),"")</f>
        <v/>
      </c>
    </row>
    <row r="14044" spans="1:5">
      <c r="A14044" s="12"/>
      <c r="E14044" s="57" t="str">
        <f ca="1">IFERROR(__xludf.DUMMYFUNCTION("""COMPUTED_VALUE"""),"")</f>
        <v/>
      </c>
    </row>
    <row r="14045" spans="1:5">
      <c r="A14045" s="12"/>
      <c r="E14045" s="57" t="str">
        <f ca="1">IFERROR(__xludf.DUMMYFUNCTION("""COMPUTED_VALUE"""),"")</f>
        <v/>
      </c>
    </row>
    <row r="14046" spans="1:5">
      <c r="A14046" s="12"/>
      <c r="E14046" s="57" t="str">
        <f ca="1">IFERROR(__xludf.DUMMYFUNCTION("""COMPUTED_VALUE"""),"")</f>
        <v/>
      </c>
    </row>
    <row r="14047" spans="1:5">
      <c r="A14047" s="12"/>
      <c r="E14047" s="57" t="str">
        <f ca="1">IFERROR(__xludf.DUMMYFUNCTION("""COMPUTED_VALUE"""),"")</f>
        <v/>
      </c>
    </row>
    <row r="14048" spans="1:5">
      <c r="A14048" s="12"/>
      <c r="E14048" s="57" t="str">
        <f ca="1">IFERROR(__xludf.DUMMYFUNCTION("""COMPUTED_VALUE"""),"")</f>
        <v/>
      </c>
    </row>
    <row r="14049" spans="1:5">
      <c r="A14049" s="12"/>
      <c r="E14049" s="57" t="str">
        <f ca="1">IFERROR(__xludf.DUMMYFUNCTION("""COMPUTED_VALUE"""),"")</f>
        <v/>
      </c>
    </row>
    <row r="14050" spans="1:5">
      <c r="A14050" s="12"/>
      <c r="E14050" s="57" t="str">
        <f ca="1">IFERROR(__xludf.DUMMYFUNCTION("""COMPUTED_VALUE"""),"")</f>
        <v/>
      </c>
    </row>
    <row r="14051" spans="1:5">
      <c r="A14051" s="12"/>
      <c r="E14051" s="57" t="str">
        <f ca="1">IFERROR(__xludf.DUMMYFUNCTION("""COMPUTED_VALUE"""),"")</f>
        <v/>
      </c>
    </row>
    <row r="14052" spans="1:5">
      <c r="A14052" s="12"/>
      <c r="E14052" s="57" t="str">
        <f ca="1">IFERROR(__xludf.DUMMYFUNCTION("""COMPUTED_VALUE"""),"")</f>
        <v/>
      </c>
    </row>
    <row r="14053" spans="1:5">
      <c r="A14053" s="12"/>
      <c r="E14053" s="57" t="str">
        <f ca="1">IFERROR(__xludf.DUMMYFUNCTION("""COMPUTED_VALUE"""),"")</f>
        <v/>
      </c>
    </row>
    <row r="14054" spans="1:5">
      <c r="A14054" s="12"/>
      <c r="E14054" s="57" t="str">
        <f ca="1">IFERROR(__xludf.DUMMYFUNCTION("""COMPUTED_VALUE"""),"")</f>
        <v/>
      </c>
    </row>
    <row r="14055" spans="1:5">
      <c r="A14055" s="12"/>
      <c r="E14055" s="57" t="str">
        <f ca="1">IFERROR(__xludf.DUMMYFUNCTION("""COMPUTED_VALUE"""),"")</f>
        <v/>
      </c>
    </row>
    <row r="14056" spans="1:5">
      <c r="A14056" s="12"/>
      <c r="E14056" s="57" t="str">
        <f ca="1">IFERROR(__xludf.DUMMYFUNCTION("""COMPUTED_VALUE"""),"")</f>
        <v/>
      </c>
    </row>
    <row r="14057" spans="1:5">
      <c r="A14057" s="12"/>
      <c r="E14057" s="57" t="str">
        <f ca="1">IFERROR(__xludf.DUMMYFUNCTION("""COMPUTED_VALUE"""),"")</f>
        <v/>
      </c>
    </row>
    <row r="14058" spans="1:5">
      <c r="A14058" s="12"/>
      <c r="E14058" s="57" t="str">
        <f ca="1">IFERROR(__xludf.DUMMYFUNCTION("""COMPUTED_VALUE"""),"")</f>
        <v/>
      </c>
    </row>
    <row r="14059" spans="1:5">
      <c r="A14059" s="12"/>
      <c r="E14059" s="57" t="str">
        <f ca="1">IFERROR(__xludf.DUMMYFUNCTION("""COMPUTED_VALUE"""),"")</f>
        <v/>
      </c>
    </row>
    <row r="14060" spans="1:5">
      <c r="A14060" s="12"/>
      <c r="E14060" s="57" t="str">
        <f ca="1">IFERROR(__xludf.DUMMYFUNCTION("""COMPUTED_VALUE"""),"")</f>
        <v/>
      </c>
    </row>
    <row r="14061" spans="1:5">
      <c r="A14061" s="12"/>
      <c r="E14061" s="57" t="str">
        <f ca="1">IFERROR(__xludf.DUMMYFUNCTION("""COMPUTED_VALUE"""),"")</f>
        <v/>
      </c>
    </row>
    <row r="14062" spans="1:5">
      <c r="A14062" s="12"/>
      <c r="E14062" s="57" t="str">
        <f ca="1">IFERROR(__xludf.DUMMYFUNCTION("""COMPUTED_VALUE"""),"")</f>
        <v/>
      </c>
    </row>
    <row r="14063" spans="1:5">
      <c r="A14063" s="12"/>
      <c r="E14063" s="57" t="str">
        <f ca="1">IFERROR(__xludf.DUMMYFUNCTION("""COMPUTED_VALUE"""),"")</f>
        <v/>
      </c>
    </row>
    <row r="14064" spans="1:5">
      <c r="A14064" s="12"/>
      <c r="E14064" s="57" t="str">
        <f ca="1">IFERROR(__xludf.DUMMYFUNCTION("""COMPUTED_VALUE"""),"")</f>
        <v/>
      </c>
    </row>
    <row r="14065" spans="1:5">
      <c r="A14065" s="12"/>
      <c r="E14065" s="57" t="str">
        <f ca="1">IFERROR(__xludf.DUMMYFUNCTION("""COMPUTED_VALUE"""),"")</f>
        <v/>
      </c>
    </row>
    <row r="14066" spans="1:5">
      <c r="A14066" s="12"/>
      <c r="E14066" s="57" t="str">
        <f ca="1">IFERROR(__xludf.DUMMYFUNCTION("""COMPUTED_VALUE"""),"")</f>
        <v/>
      </c>
    </row>
    <row r="14067" spans="1:5">
      <c r="A14067" s="12"/>
      <c r="E14067" s="57" t="str">
        <f ca="1">IFERROR(__xludf.DUMMYFUNCTION("""COMPUTED_VALUE"""),"")</f>
        <v/>
      </c>
    </row>
    <row r="14068" spans="1:5">
      <c r="A14068" s="12"/>
      <c r="E14068" s="57" t="str">
        <f ca="1">IFERROR(__xludf.DUMMYFUNCTION("""COMPUTED_VALUE"""),"")</f>
        <v/>
      </c>
    </row>
    <row r="14069" spans="1:5">
      <c r="A14069" s="12"/>
      <c r="E14069" s="57" t="str">
        <f ca="1">IFERROR(__xludf.DUMMYFUNCTION("""COMPUTED_VALUE"""),"")</f>
        <v/>
      </c>
    </row>
    <row r="14070" spans="1:5">
      <c r="A14070" s="12"/>
      <c r="E14070" s="57" t="str">
        <f ca="1">IFERROR(__xludf.DUMMYFUNCTION("""COMPUTED_VALUE"""),"")</f>
        <v/>
      </c>
    </row>
    <row r="14071" spans="1:5">
      <c r="A14071" s="12"/>
      <c r="E14071" s="57" t="str">
        <f ca="1">IFERROR(__xludf.DUMMYFUNCTION("""COMPUTED_VALUE"""),"")</f>
        <v/>
      </c>
    </row>
    <row r="14072" spans="1:5">
      <c r="A14072" s="12"/>
      <c r="E14072" s="57" t="str">
        <f ca="1">IFERROR(__xludf.DUMMYFUNCTION("""COMPUTED_VALUE"""),"")</f>
        <v/>
      </c>
    </row>
    <row r="14073" spans="1:5">
      <c r="A14073" s="12"/>
      <c r="E14073" s="57" t="str">
        <f ca="1">IFERROR(__xludf.DUMMYFUNCTION("""COMPUTED_VALUE"""),"")</f>
        <v/>
      </c>
    </row>
    <row r="14074" spans="1:5">
      <c r="A14074" s="12"/>
      <c r="E14074" s="57" t="str">
        <f ca="1">IFERROR(__xludf.DUMMYFUNCTION("""COMPUTED_VALUE"""),"")</f>
        <v/>
      </c>
    </row>
    <row r="14075" spans="1:5">
      <c r="A14075" s="12"/>
      <c r="E14075" s="57" t="str">
        <f ca="1">IFERROR(__xludf.DUMMYFUNCTION("""COMPUTED_VALUE"""),"")</f>
        <v/>
      </c>
    </row>
    <row r="14076" spans="1:5">
      <c r="A14076" s="12"/>
      <c r="E14076" s="57" t="str">
        <f ca="1">IFERROR(__xludf.DUMMYFUNCTION("""COMPUTED_VALUE"""),"")</f>
        <v/>
      </c>
    </row>
    <row r="14077" spans="1:5">
      <c r="A14077" s="12"/>
      <c r="E14077" s="57" t="str">
        <f ca="1">IFERROR(__xludf.DUMMYFUNCTION("""COMPUTED_VALUE"""),"")</f>
        <v/>
      </c>
    </row>
    <row r="14078" spans="1:5">
      <c r="A14078" s="12"/>
      <c r="E14078" s="57" t="str">
        <f ca="1">IFERROR(__xludf.DUMMYFUNCTION("""COMPUTED_VALUE"""),"")</f>
        <v/>
      </c>
    </row>
    <row r="14079" spans="1:5">
      <c r="A14079" s="12"/>
      <c r="E14079" s="57" t="str">
        <f ca="1">IFERROR(__xludf.DUMMYFUNCTION("""COMPUTED_VALUE"""),"")</f>
        <v/>
      </c>
    </row>
    <row r="14080" spans="1:5">
      <c r="A14080" s="12"/>
      <c r="E14080" s="57" t="str">
        <f ca="1">IFERROR(__xludf.DUMMYFUNCTION("""COMPUTED_VALUE"""),"")</f>
        <v/>
      </c>
    </row>
    <row r="14081" spans="1:5">
      <c r="A14081" s="12"/>
      <c r="E14081" s="57" t="str">
        <f ca="1">IFERROR(__xludf.DUMMYFUNCTION("""COMPUTED_VALUE"""),"")</f>
        <v/>
      </c>
    </row>
    <row r="14082" spans="1:5">
      <c r="A14082" s="12"/>
      <c r="E14082" s="57" t="str">
        <f ca="1">IFERROR(__xludf.DUMMYFUNCTION("""COMPUTED_VALUE"""),"")</f>
        <v/>
      </c>
    </row>
    <row r="14083" spans="1:5">
      <c r="A14083" s="12"/>
      <c r="E14083" s="57" t="str">
        <f ca="1">IFERROR(__xludf.DUMMYFUNCTION("""COMPUTED_VALUE"""),"")</f>
        <v/>
      </c>
    </row>
    <row r="14084" spans="1:5">
      <c r="A14084" s="12"/>
      <c r="E14084" s="57" t="str">
        <f ca="1">IFERROR(__xludf.DUMMYFUNCTION("""COMPUTED_VALUE"""),"")</f>
        <v/>
      </c>
    </row>
    <row r="14085" spans="1:5">
      <c r="A14085" s="12"/>
      <c r="E14085" s="57" t="str">
        <f ca="1">IFERROR(__xludf.DUMMYFUNCTION("""COMPUTED_VALUE"""),"")</f>
        <v/>
      </c>
    </row>
    <row r="14086" spans="1:5">
      <c r="A14086" s="12"/>
      <c r="E14086" s="57" t="str">
        <f ca="1">IFERROR(__xludf.DUMMYFUNCTION("""COMPUTED_VALUE"""),"")</f>
        <v/>
      </c>
    </row>
    <row r="14087" spans="1:5">
      <c r="A14087" s="12"/>
      <c r="E14087" s="57" t="str">
        <f ca="1">IFERROR(__xludf.DUMMYFUNCTION("""COMPUTED_VALUE"""),"")</f>
        <v/>
      </c>
    </row>
    <row r="14088" spans="1:5">
      <c r="A14088" s="12"/>
      <c r="E14088" s="57" t="str">
        <f ca="1">IFERROR(__xludf.DUMMYFUNCTION("""COMPUTED_VALUE"""),"")</f>
        <v/>
      </c>
    </row>
    <row r="14089" spans="1:5">
      <c r="A14089" s="12"/>
      <c r="E14089" s="57" t="str">
        <f ca="1">IFERROR(__xludf.DUMMYFUNCTION("""COMPUTED_VALUE"""),"")</f>
        <v/>
      </c>
    </row>
    <row r="14090" spans="1:5">
      <c r="A14090" s="12"/>
      <c r="E14090" s="57" t="str">
        <f ca="1">IFERROR(__xludf.DUMMYFUNCTION("""COMPUTED_VALUE"""),"")</f>
        <v/>
      </c>
    </row>
    <row r="14091" spans="1:5">
      <c r="A14091" s="12"/>
      <c r="E14091" s="57" t="str">
        <f ca="1">IFERROR(__xludf.DUMMYFUNCTION("""COMPUTED_VALUE"""),"")</f>
        <v/>
      </c>
    </row>
    <row r="14092" spans="1:5">
      <c r="A14092" s="12"/>
      <c r="E14092" s="57" t="str">
        <f ca="1">IFERROR(__xludf.DUMMYFUNCTION("""COMPUTED_VALUE"""),"")</f>
        <v/>
      </c>
    </row>
    <row r="14093" spans="1:5">
      <c r="A14093" s="12"/>
      <c r="E14093" s="57" t="str">
        <f ca="1">IFERROR(__xludf.DUMMYFUNCTION("""COMPUTED_VALUE"""),"")</f>
        <v/>
      </c>
    </row>
    <row r="14094" spans="1:5">
      <c r="A14094" s="12"/>
      <c r="E14094" s="57" t="str">
        <f ca="1">IFERROR(__xludf.DUMMYFUNCTION("""COMPUTED_VALUE"""),"")</f>
        <v/>
      </c>
    </row>
    <row r="14095" spans="1:5">
      <c r="A14095" s="12"/>
      <c r="E14095" s="57" t="str">
        <f ca="1">IFERROR(__xludf.DUMMYFUNCTION("""COMPUTED_VALUE"""),"")</f>
        <v/>
      </c>
    </row>
    <row r="14096" spans="1:5">
      <c r="A14096" s="12"/>
      <c r="E14096" s="57" t="str">
        <f ca="1">IFERROR(__xludf.DUMMYFUNCTION("""COMPUTED_VALUE"""),"")</f>
        <v/>
      </c>
    </row>
    <row r="14097" spans="1:5">
      <c r="A14097" s="12"/>
      <c r="E14097" s="57" t="str">
        <f ca="1">IFERROR(__xludf.DUMMYFUNCTION("""COMPUTED_VALUE"""),"")</f>
        <v/>
      </c>
    </row>
    <row r="14098" spans="1:5">
      <c r="A14098" s="12"/>
      <c r="E14098" s="57" t="str">
        <f ca="1">IFERROR(__xludf.DUMMYFUNCTION("""COMPUTED_VALUE"""),"")</f>
        <v/>
      </c>
    </row>
    <row r="14099" spans="1:5">
      <c r="A14099" s="12"/>
      <c r="E14099" s="57" t="str">
        <f ca="1">IFERROR(__xludf.DUMMYFUNCTION("""COMPUTED_VALUE"""),"")</f>
        <v/>
      </c>
    </row>
    <row r="14100" spans="1:5">
      <c r="A14100" s="12"/>
      <c r="E14100" s="57" t="str">
        <f ca="1">IFERROR(__xludf.DUMMYFUNCTION("""COMPUTED_VALUE"""),"")</f>
        <v/>
      </c>
    </row>
    <row r="14101" spans="1:5">
      <c r="A14101" s="12"/>
      <c r="E14101" s="57" t="str">
        <f ca="1">IFERROR(__xludf.DUMMYFUNCTION("""COMPUTED_VALUE"""),"")</f>
        <v/>
      </c>
    </row>
    <row r="14102" spans="1:5">
      <c r="A14102" s="12"/>
      <c r="E14102" s="57" t="str">
        <f ca="1">IFERROR(__xludf.DUMMYFUNCTION("""COMPUTED_VALUE"""),"")</f>
        <v/>
      </c>
    </row>
    <row r="14103" spans="1:5">
      <c r="A14103" s="12"/>
      <c r="E14103" s="57" t="str">
        <f ca="1">IFERROR(__xludf.DUMMYFUNCTION("""COMPUTED_VALUE"""),"")</f>
        <v/>
      </c>
    </row>
    <row r="14104" spans="1:5">
      <c r="A14104" s="12"/>
      <c r="E14104" s="57" t="str">
        <f ca="1">IFERROR(__xludf.DUMMYFUNCTION("""COMPUTED_VALUE"""),"")</f>
        <v/>
      </c>
    </row>
    <row r="14105" spans="1:5">
      <c r="A14105" s="12"/>
      <c r="E14105" s="57" t="str">
        <f ca="1">IFERROR(__xludf.DUMMYFUNCTION("""COMPUTED_VALUE"""),"")</f>
        <v/>
      </c>
    </row>
    <row r="14106" spans="1:5">
      <c r="A14106" s="12"/>
      <c r="E14106" s="57" t="str">
        <f ca="1">IFERROR(__xludf.DUMMYFUNCTION("""COMPUTED_VALUE"""),"")</f>
        <v/>
      </c>
    </row>
    <row r="14107" spans="1:5">
      <c r="A14107" s="12"/>
      <c r="E14107" s="57" t="str">
        <f ca="1">IFERROR(__xludf.DUMMYFUNCTION("""COMPUTED_VALUE"""),"")</f>
        <v/>
      </c>
    </row>
    <row r="14108" spans="1:5">
      <c r="A14108" s="12"/>
      <c r="E14108" s="57" t="str">
        <f ca="1">IFERROR(__xludf.DUMMYFUNCTION("""COMPUTED_VALUE"""),"")</f>
        <v/>
      </c>
    </row>
    <row r="14109" spans="1:5">
      <c r="A14109" s="12"/>
      <c r="E14109" s="57" t="str">
        <f ca="1">IFERROR(__xludf.DUMMYFUNCTION("""COMPUTED_VALUE"""),"")</f>
        <v/>
      </c>
    </row>
    <row r="14110" spans="1:5">
      <c r="A14110" s="12"/>
      <c r="E14110" s="57" t="str">
        <f ca="1">IFERROR(__xludf.DUMMYFUNCTION("""COMPUTED_VALUE"""),"")</f>
        <v/>
      </c>
    </row>
    <row r="14111" spans="1:5">
      <c r="A14111" s="12"/>
      <c r="E14111" s="57" t="str">
        <f ca="1">IFERROR(__xludf.DUMMYFUNCTION("""COMPUTED_VALUE"""),"")</f>
        <v/>
      </c>
    </row>
    <row r="14112" spans="1:5">
      <c r="A14112" s="12"/>
      <c r="E14112" s="57" t="str">
        <f ca="1">IFERROR(__xludf.DUMMYFUNCTION("""COMPUTED_VALUE"""),"")</f>
        <v/>
      </c>
    </row>
    <row r="14113" spans="1:5">
      <c r="A14113" s="12"/>
      <c r="E14113" s="57" t="str">
        <f ca="1">IFERROR(__xludf.DUMMYFUNCTION("""COMPUTED_VALUE"""),"")</f>
        <v/>
      </c>
    </row>
    <row r="14114" spans="1:5">
      <c r="A14114" s="12"/>
      <c r="E14114" s="57" t="str">
        <f ca="1">IFERROR(__xludf.DUMMYFUNCTION("""COMPUTED_VALUE"""),"")</f>
        <v/>
      </c>
    </row>
    <row r="14115" spans="1:5">
      <c r="A14115" s="12"/>
      <c r="E14115" s="57" t="str">
        <f ca="1">IFERROR(__xludf.DUMMYFUNCTION("""COMPUTED_VALUE"""),"")</f>
        <v/>
      </c>
    </row>
    <row r="14116" spans="1:5">
      <c r="A14116" s="12"/>
      <c r="E14116" s="57" t="str">
        <f ca="1">IFERROR(__xludf.DUMMYFUNCTION("""COMPUTED_VALUE"""),"")</f>
        <v/>
      </c>
    </row>
    <row r="14117" spans="1:5">
      <c r="A14117" s="12"/>
      <c r="E14117" s="57" t="str">
        <f ca="1">IFERROR(__xludf.DUMMYFUNCTION("""COMPUTED_VALUE"""),"")</f>
        <v/>
      </c>
    </row>
    <row r="14118" spans="1:5">
      <c r="A14118" s="12"/>
      <c r="E14118" s="57" t="str">
        <f ca="1">IFERROR(__xludf.DUMMYFUNCTION("""COMPUTED_VALUE"""),"")</f>
        <v/>
      </c>
    </row>
    <row r="14119" spans="1:5">
      <c r="A14119" s="12"/>
      <c r="E14119" s="57" t="str">
        <f ca="1">IFERROR(__xludf.DUMMYFUNCTION("""COMPUTED_VALUE"""),"")</f>
        <v/>
      </c>
    </row>
    <row r="14120" spans="1:5">
      <c r="A14120" s="12"/>
      <c r="E14120" s="57" t="str">
        <f ca="1">IFERROR(__xludf.DUMMYFUNCTION("""COMPUTED_VALUE"""),"")</f>
        <v/>
      </c>
    </row>
    <row r="14121" spans="1:5">
      <c r="A14121" s="12"/>
      <c r="E14121" s="57" t="str">
        <f ca="1">IFERROR(__xludf.DUMMYFUNCTION("""COMPUTED_VALUE"""),"")</f>
        <v/>
      </c>
    </row>
    <row r="14122" spans="1:5">
      <c r="A14122" s="12"/>
      <c r="E14122" s="57" t="str">
        <f ca="1">IFERROR(__xludf.DUMMYFUNCTION("""COMPUTED_VALUE"""),"")</f>
        <v/>
      </c>
    </row>
    <row r="14123" spans="1:5">
      <c r="A14123" s="12"/>
      <c r="E14123" s="57" t="str">
        <f ca="1">IFERROR(__xludf.DUMMYFUNCTION("""COMPUTED_VALUE"""),"")</f>
        <v/>
      </c>
    </row>
    <row r="14124" spans="1:5">
      <c r="A14124" s="12"/>
      <c r="E14124" s="57" t="str">
        <f ca="1">IFERROR(__xludf.DUMMYFUNCTION("""COMPUTED_VALUE"""),"")</f>
        <v/>
      </c>
    </row>
    <row r="14125" spans="1:5">
      <c r="A14125" s="12"/>
      <c r="E14125" s="57" t="str">
        <f ca="1">IFERROR(__xludf.DUMMYFUNCTION("""COMPUTED_VALUE"""),"")</f>
        <v/>
      </c>
    </row>
    <row r="14126" spans="1:5">
      <c r="A14126" s="12"/>
      <c r="E14126" s="57" t="str">
        <f ca="1">IFERROR(__xludf.DUMMYFUNCTION("""COMPUTED_VALUE"""),"")</f>
        <v/>
      </c>
    </row>
    <row r="14127" spans="1:5">
      <c r="A14127" s="12"/>
      <c r="E14127" s="57" t="str">
        <f ca="1">IFERROR(__xludf.DUMMYFUNCTION("""COMPUTED_VALUE"""),"")</f>
        <v/>
      </c>
    </row>
    <row r="14128" spans="1:5">
      <c r="A14128" s="12"/>
      <c r="E14128" s="57" t="str">
        <f ca="1">IFERROR(__xludf.DUMMYFUNCTION("""COMPUTED_VALUE"""),"")</f>
        <v/>
      </c>
    </row>
    <row r="14129" spans="1:5">
      <c r="A14129" s="12"/>
      <c r="E14129" s="57" t="str">
        <f ca="1">IFERROR(__xludf.DUMMYFUNCTION("""COMPUTED_VALUE"""),"")</f>
        <v/>
      </c>
    </row>
    <row r="14130" spans="1:5">
      <c r="A14130" s="12"/>
      <c r="E14130" s="57" t="str">
        <f ca="1">IFERROR(__xludf.DUMMYFUNCTION("""COMPUTED_VALUE"""),"")</f>
        <v/>
      </c>
    </row>
    <row r="14131" spans="1:5">
      <c r="A14131" s="12"/>
      <c r="E14131" s="57" t="str">
        <f ca="1">IFERROR(__xludf.DUMMYFUNCTION("""COMPUTED_VALUE"""),"")</f>
        <v/>
      </c>
    </row>
    <row r="14132" spans="1:5">
      <c r="A14132" s="12"/>
      <c r="E14132" s="57" t="str">
        <f ca="1">IFERROR(__xludf.DUMMYFUNCTION("""COMPUTED_VALUE"""),"")</f>
        <v/>
      </c>
    </row>
    <row r="14133" spans="1:5">
      <c r="A14133" s="12"/>
      <c r="E14133" s="57" t="str">
        <f ca="1">IFERROR(__xludf.DUMMYFUNCTION("""COMPUTED_VALUE"""),"")</f>
        <v/>
      </c>
    </row>
    <row r="14134" spans="1:5">
      <c r="A14134" s="12"/>
      <c r="E14134" s="57" t="str">
        <f ca="1">IFERROR(__xludf.DUMMYFUNCTION("""COMPUTED_VALUE"""),"")</f>
        <v/>
      </c>
    </row>
    <row r="14135" spans="1:5">
      <c r="A14135" s="12"/>
      <c r="E14135" s="57" t="str">
        <f ca="1">IFERROR(__xludf.DUMMYFUNCTION("""COMPUTED_VALUE"""),"")</f>
        <v/>
      </c>
    </row>
    <row r="14136" spans="1:5">
      <c r="A14136" s="12"/>
      <c r="E14136" s="57" t="str">
        <f ca="1">IFERROR(__xludf.DUMMYFUNCTION("""COMPUTED_VALUE"""),"")</f>
        <v/>
      </c>
    </row>
    <row r="14137" spans="1:5">
      <c r="A14137" s="12"/>
      <c r="E14137" s="57" t="str">
        <f ca="1">IFERROR(__xludf.DUMMYFUNCTION("""COMPUTED_VALUE"""),"")</f>
        <v/>
      </c>
    </row>
    <row r="14138" spans="1:5">
      <c r="A14138" s="12"/>
      <c r="E14138" s="57" t="str">
        <f ca="1">IFERROR(__xludf.DUMMYFUNCTION("""COMPUTED_VALUE"""),"")</f>
        <v/>
      </c>
    </row>
    <row r="14139" spans="1:5">
      <c r="A14139" s="12"/>
      <c r="E14139" s="57" t="str">
        <f ca="1">IFERROR(__xludf.DUMMYFUNCTION("""COMPUTED_VALUE"""),"")</f>
        <v/>
      </c>
    </row>
    <row r="14140" spans="1:5">
      <c r="A14140" s="12"/>
      <c r="E14140" s="57" t="str">
        <f ca="1">IFERROR(__xludf.DUMMYFUNCTION("""COMPUTED_VALUE"""),"")</f>
        <v/>
      </c>
    </row>
    <row r="14141" spans="1:5">
      <c r="A14141" s="12"/>
      <c r="E14141" s="57" t="str">
        <f ca="1">IFERROR(__xludf.DUMMYFUNCTION("""COMPUTED_VALUE"""),"")</f>
        <v/>
      </c>
    </row>
    <row r="14142" spans="1:5">
      <c r="A14142" s="12"/>
      <c r="E14142" s="57" t="str">
        <f ca="1">IFERROR(__xludf.DUMMYFUNCTION("""COMPUTED_VALUE"""),"")</f>
        <v/>
      </c>
    </row>
    <row r="14143" spans="1:5">
      <c r="A14143" s="12"/>
      <c r="E14143" s="57" t="str">
        <f ca="1">IFERROR(__xludf.DUMMYFUNCTION("""COMPUTED_VALUE"""),"")</f>
        <v/>
      </c>
    </row>
    <row r="14144" spans="1:5">
      <c r="A14144" s="12"/>
      <c r="E14144" s="57" t="str">
        <f ca="1">IFERROR(__xludf.DUMMYFUNCTION("""COMPUTED_VALUE"""),"")</f>
        <v/>
      </c>
    </row>
    <row r="14145" spans="1:5">
      <c r="A14145" s="12"/>
      <c r="E14145" s="57" t="str">
        <f ca="1">IFERROR(__xludf.DUMMYFUNCTION("""COMPUTED_VALUE"""),"")</f>
        <v/>
      </c>
    </row>
    <row r="14146" spans="1:5">
      <c r="A14146" s="12"/>
      <c r="E14146" s="57" t="str">
        <f ca="1">IFERROR(__xludf.DUMMYFUNCTION("""COMPUTED_VALUE"""),"")</f>
        <v/>
      </c>
    </row>
    <row r="14147" spans="1:5">
      <c r="A14147" s="12"/>
      <c r="E14147" s="57" t="str">
        <f ca="1">IFERROR(__xludf.DUMMYFUNCTION("""COMPUTED_VALUE"""),"")</f>
        <v/>
      </c>
    </row>
    <row r="14148" spans="1:5">
      <c r="A14148" s="12"/>
      <c r="E14148" s="57" t="str">
        <f ca="1">IFERROR(__xludf.DUMMYFUNCTION("""COMPUTED_VALUE"""),"")</f>
        <v/>
      </c>
    </row>
    <row r="14149" spans="1:5">
      <c r="A14149" s="12"/>
      <c r="E14149" s="57" t="str">
        <f ca="1">IFERROR(__xludf.DUMMYFUNCTION("""COMPUTED_VALUE"""),"")</f>
        <v/>
      </c>
    </row>
    <row r="14150" spans="1:5">
      <c r="A14150" s="12"/>
      <c r="E14150" s="57" t="str">
        <f ca="1">IFERROR(__xludf.DUMMYFUNCTION("""COMPUTED_VALUE"""),"")</f>
        <v/>
      </c>
    </row>
    <row r="14151" spans="1:5">
      <c r="A14151" s="12"/>
      <c r="E14151" s="57" t="str">
        <f ca="1">IFERROR(__xludf.DUMMYFUNCTION("""COMPUTED_VALUE"""),"")</f>
        <v/>
      </c>
    </row>
    <row r="14152" spans="1:5">
      <c r="A14152" s="12"/>
      <c r="E14152" s="57" t="str">
        <f ca="1">IFERROR(__xludf.DUMMYFUNCTION("""COMPUTED_VALUE"""),"")</f>
        <v/>
      </c>
    </row>
    <row r="14153" spans="1:5">
      <c r="A14153" s="12"/>
      <c r="E14153" s="57" t="str">
        <f ca="1">IFERROR(__xludf.DUMMYFUNCTION("""COMPUTED_VALUE"""),"")</f>
        <v/>
      </c>
    </row>
    <row r="14154" spans="1:5">
      <c r="A14154" s="12"/>
      <c r="E14154" s="57" t="str">
        <f ca="1">IFERROR(__xludf.DUMMYFUNCTION("""COMPUTED_VALUE"""),"")</f>
        <v/>
      </c>
    </row>
    <row r="14155" spans="1:5">
      <c r="A14155" s="12"/>
      <c r="E14155" s="57" t="str">
        <f ca="1">IFERROR(__xludf.DUMMYFUNCTION("""COMPUTED_VALUE"""),"")</f>
        <v/>
      </c>
    </row>
    <row r="14156" spans="1:5">
      <c r="A14156" s="12"/>
      <c r="E14156" s="57" t="str">
        <f ca="1">IFERROR(__xludf.DUMMYFUNCTION("""COMPUTED_VALUE"""),"")</f>
        <v/>
      </c>
    </row>
    <row r="14157" spans="1:5">
      <c r="A14157" s="12"/>
      <c r="E14157" s="57" t="str">
        <f ca="1">IFERROR(__xludf.DUMMYFUNCTION("""COMPUTED_VALUE"""),"")</f>
        <v/>
      </c>
    </row>
    <row r="14158" spans="1:5">
      <c r="A14158" s="12"/>
      <c r="E14158" s="57" t="str">
        <f ca="1">IFERROR(__xludf.DUMMYFUNCTION("""COMPUTED_VALUE"""),"")</f>
        <v/>
      </c>
    </row>
    <row r="14159" spans="1:5">
      <c r="A14159" s="12"/>
      <c r="E14159" s="57" t="str">
        <f ca="1">IFERROR(__xludf.DUMMYFUNCTION("""COMPUTED_VALUE"""),"")</f>
        <v/>
      </c>
    </row>
    <row r="14160" spans="1:5">
      <c r="A14160" s="12"/>
      <c r="E14160" s="57" t="str">
        <f ca="1">IFERROR(__xludf.DUMMYFUNCTION("""COMPUTED_VALUE"""),"")</f>
        <v/>
      </c>
    </row>
    <row r="14161" spans="1:5">
      <c r="A14161" s="12"/>
      <c r="E14161" s="57" t="str">
        <f ca="1">IFERROR(__xludf.DUMMYFUNCTION("""COMPUTED_VALUE"""),"")</f>
        <v/>
      </c>
    </row>
    <row r="14162" spans="1:5">
      <c r="A14162" s="12"/>
      <c r="E14162" s="57" t="str">
        <f ca="1">IFERROR(__xludf.DUMMYFUNCTION("""COMPUTED_VALUE"""),"")</f>
        <v/>
      </c>
    </row>
    <row r="14163" spans="1:5">
      <c r="A14163" s="12"/>
      <c r="E14163" s="57" t="str">
        <f ca="1">IFERROR(__xludf.DUMMYFUNCTION("""COMPUTED_VALUE"""),"")</f>
        <v/>
      </c>
    </row>
    <row r="14164" spans="1:5">
      <c r="A14164" s="12"/>
      <c r="E14164" s="57" t="str">
        <f ca="1">IFERROR(__xludf.DUMMYFUNCTION("""COMPUTED_VALUE"""),"")</f>
        <v/>
      </c>
    </row>
    <row r="14165" spans="1:5">
      <c r="A14165" s="12"/>
      <c r="E14165" s="57" t="str">
        <f ca="1">IFERROR(__xludf.DUMMYFUNCTION("""COMPUTED_VALUE"""),"")</f>
        <v/>
      </c>
    </row>
    <row r="14166" spans="1:5">
      <c r="A14166" s="12"/>
      <c r="E14166" s="57" t="str">
        <f ca="1">IFERROR(__xludf.DUMMYFUNCTION("""COMPUTED_VALUE"""),"")</f>
        <v/>
      </c>
    </row>
    <row r="14167" spans="1:5">
      <c r="A14167" s="12"/>
      <c r="E14167" s="57" t="str">
        <f ca="1">IFERROR(__xludf.DUMMYFUNCTION("""COMPUTED_VALUE"""),"")</f>
        <v/>
      </c>
    </row>
    <row r="14168" spans="1:5">
      <c r="A14168" s="12"/>
      <c r="E14168" s="57" t="str">
        <f ca="1">IFERROR(__xludf.DUMMYFUNCTION("""COMPUTED_VALUE"""),"")</f>
        <v/>
      </c>
    </row>
    <row r="14169" spans="1:5">
      <c r="A14169" s="12"/>
      <c r="E14169" s="57" t="str">
        <f ca="1">IFERROR(__xludf.DUMMYFUNCTION("""COMPUTED_VALUE"""),"")</f>
        <v/>
      </c>
    </row>
    <row r="14170" spans="1:5">
      <c r="A14170" s="12"/>
      <c r="E14170" s="57" t="str">
        <f ca="1">IFERROR(__xludf.DUMMYFUNCTION("""COMPUTED_VALUE"""),"")</f>
        <v/>
      </c>
    </row>
    <row r="14171" spans="1:5">
      <c r="A14171" s="12"/>
      <c r="E14171" s="57" t="str">
        <f ca="1">IFERROR(__xludf.DUMMYFUNCTION("""COMPUTED_VALUE"""),"")</f>
        <v/>
      </c>
    </row>
    <row r="14172" spans="1:5">
      <c r="A14172" s="12"/>
      <c r="E14172" s="57" t="str">
        <f ca="1">IFERROR(__xludf.DUMMYFUNCTION("""COMPUTED_VALUE"""),"")</f>
        <v/>
      </c>
    </row>
    <row r="14173" spans="1:5">
      <c r="A14173" s="12"/>
      <c r="E14173" s="57" t="str">
        <f ca="1">IFERROR(__xludf.DUMMYFUNCTION("""COMPUTED_VALUE"""),"")</f>
        <v/>
      </c>
    </row>
    <row r="14174" spans="1:5">
      <c r="A14174" s="12"/>
      <c r="E14174" s="57" t="str">
        <f ca="1">IFERROR(__xludf.DUMMYFUNCTION("""COMPUTED_VALUE"""),"")</f>
        <v/>
      </c>
    </row>
    <row r="14175" spans="1:5">
      <c r="A14175" s="12"/>
      <c r="E14175" s="57" t="str">
        <f ca="1">IFERROR(__xludf.DUMMYFUNCTION("""COMPUTED_VALUE"""),"")</f>
        <v/>
      </c>
    </row>
    <row r="14176" spans="1:5">
      <c r="A14176" s="12"/>
      <c r="E14176" s="57" t="str">
        <f ca="1">IFERROR(__xludf.DUMMYFUNCTION("""COMPUTED_VALUE"""),"")</f>
        <v/>
      </c>
    </row>
    <row r="14177" spans="1:5">
      <c r="A14177" s="12"/>
      <c r="E14177" s="57" t="str">
        <f ca="1">IFERROR(__xludf.DUMMYFUNCTION("""COMPUTED_VALUE"""),"")</f>
        <v/>
      </c>
    </row>
    <row r="14178" spans="1:5">
      <c r="A14178" s="12"/>
      <c r="E14178" s="57" t="str">
        <f ca="1">IFERROR(__xludf.DUMMYFUNCTION("""COMPUTED_VALUE"""),"")</f>
        <v/>
      </c>
    </row>
    <row r="14179" spans="1:5">
      <c r="A14179" s="12"/>
      <c r="E14179" s="57" t="str">
        <f ca="1">IFERROR(__xludf.DUMMYFUNCTION("""COMPUTED_VALUE"""),"")</f>
        <v/>
      </c>
    </row>
    <row r="14180" spans="1:5">
      <c r="A14180" s="12"/>
      <c r="E14180" s="57" t="str">
        <f ca="1">IFERROR(__xludf.DUMMYFUNCTION("""COMPUTED_VALUE"""),"")</f>
        <v/>
      </c>
    </row>
    <row r="14181" spans="1:5">
      <c r="A14181" s="12"/>
      <c r="E14181" s="57" t="str">
        <f ca="1">IFERROR(__xludf.DUMMYFUNCTION("""COMPUTED_VALUE"""),"")</f>
        <v/>
      </c>
    </row>
    <row r="14182" spans="1:5">
      <c r="A14182" s="12"/>
      <c r="E14182" s="57" t="str">
        <f ca="1">IFERROR(__xludf.DUMMYFUNCTION("""COMPUTED_VALUE"""),"")</f>
        <v/>
      </c>
    </row>
    <row r="14183" spans="1:5">
      <c r="A14183" s="12"/>
      <c r="E14183" s="57" t="str">
        <f ca="1">IFERROR(__xludf.DUMMYFUNCTION("""COMPUTED_VALUE"""),"")</f>
        <v/>
      </c>
    </row>
    <row r="14184" spans="1:5">
      <c r="A14184" s="12"/>
      <c r="E14184" s="57" t="str">
        <f ca="1">IFERROR(__xludf.DUMMYFUNCTION("""COMPUTED_VALUE"""),"")</f>
        <v/>
      </c>
    </row>
    <row r="14185" spans="1:5">
      <c r="A14185" s="12"/>
      <c r="E14185" s="57" t="str">
        <f ca="1">IFERROR(__xludf.DUMMYFUNCTION("""COMPUTED_VALUE"""),"")</f>
        <v/>
      </c>
    </row>
    <row r="14186" spans="1:5">
      <c r="A14186" s="12"/>
      <c r="E14186" s="57" t="str">
        <f ca="1">IFERROR(__xludf.DUMMYFUNCTION("""COMPUTED_VALUE"""),"")</f>
        <v/>
      </c>
    </row>
    <row r="14187" spans="1:5">
      <c r="A14187" s="12"/>
      <c r="E14187" s="57" t="str">
        <f ca="1">IFERROR(__xludf.DUMMYFUNCTION("""COMPUTED_VALUE"""),"")</f>
        <v/>
      </c>
    </row>
    <row r="14188" spans="1:5">
      <c r="A14188" s="12"/>
      <c r="E14188" s="57" t="str">
        <f ca="1">IFERROR(__xludf.DUMMYFUNCTION("""COMPUTED_VALUE"""),"")</f>
        <v/>
      </c>
    </row>
    <row r="14189" spans="1:5">
      <c r="A14189" s="12"/>
      <c r="E14189" s="57" t="str">
        <f ca="1">IFERROR(__xludf.DUMMYFUNCTION("""COMPUTED_VALUE"""),"")</f>
        <v/>
      </c>
    </row>
    <row r="14190" spans="1:5">
      <c r="A14190" s="12"/>
      <c r="E14190" s="57" t="str">
        <f ca="1">IFERROR(__xludf.DUMMYFUNCTION("""COMPUTED_VALUE"""),"")</f>
        <v/>
      </c>
    </row>
    <row r="14191" spans="1:5">
      <c r="A14191" s="12"/>
      <c r="E14191" s="57" t="str">
        <f ca="1">IFERROR(__xludf.DUMMYFUNCTION("""COMPUTED_VALUE"""),"")</f>
        <v/>
      </c>
    </row>
    <row r="14192" spans="1:5">
      <c r="A14192" s="12"/>
      <c r="E14192" s="57" t="str">
        <f ca="1">IFERROR(__xludf.DUMMYFUNCTION("""COMPUTED_VALUE"""),"")</f>
        <v/>
      </c>
    </row>
    <row r="14193" spans="1:5">
      <c r="A14193" s="12"/>
      <c r="E14193" s="57" t="str">
        <f ca="1">IFERROR(__xludf.DUMMYFUNCTION("""COMPUTED_VALUE"""),"")</f>
        <v/>
      </c>
    </row>
    <row r="14194" spans="1:5">
      <c r="A14194" s="12"/>
      <c r="E14194" s="57" t="str">
        <f ca="1">IFERROR(__xludf.DUMMYFUNCTION("""COMPUTED_VALUE"""),"")</f>
        <v/>
      </c>
    </row>
    <row r="14195" spans="1:5">
      <c r="A14195" s="12"/>
      <c r="E14195" s="57" t="str">
        <f ca="1">IFERROR(__xludf.DUMMYFUNCTION("""COMPUTED_VALUE"""),"")</f>
        <v/>
      </c>
    </row>
    <row r="14196" spans="1:5">
      <c r="A14196" s="12"/>
      <c r="E14196" s="57" t="str">
        <f ca="1">IFERROR(__xludf.DUMMYFUNCTION("""COMPUTED_VALUE"""),"")</f>
        <v/>
      </c>
    </row>
    <row r="14197" spans="1:5">
      <c r="A14197" s="12"/>
      <c r="E14197" s="57" t="str">
        <f ca="1">IFERROR(__xludf.DUMMYFUNCTION("""COMPUTED_VALUE"""),"")</f>
        <v/>
      </c>
    </row>
    <row r="14198" spans="1:5">
      <c r="A14198" s="12"/>
      <c r="E14198" s="57" t="str">
        <f ca="1">IFERROR(__xludf.DUMMYFUNCTION("""COMPUTED_VALUE"""),"")</f>
        <v/>
      </c>
    </row>
    <row r="14199" spans="1:5">
      <c r="A14199" s="12"/>
      <c r="E14199" s="57" t="str">
        <f ca="1">IFERROR(__xludf.DUMMYFUNCTION("""COMPUTED_VALUE"""),"")</f>
        <v/>
      </c>
    </row>
    <row r="14200" spans="1:5">
      <c r="A14200" s="12"/>
      <c r="E14200" s="57" t="str">
        <f ca="1">IFERROR(__xludf.DUMMYFUNCTION("""COMPUTED_VALUE"""),"")</f>
        <v/>
      </c>
    </row>
    <row r="14201" spans="1:5">
      <c r="A14201" s="12"/>
      <c r="E14201" s="57" t="str">
        <f ca="1">IFERROR(__xludf.DUMMYFUNCTION("""COMPUTED_VALUE"""),"")</f>
        <v/>
      </c>
    </row>
    <row r="14202" spans="1:5">
      <c r="A14202" s="12"/>
      <c r="E14202" s="57" t="str">
        <f ca="1">IFERROR(__xludf.DUMMYFUNCTION("""COMPUTED_VALUE"""),"")</f>
        <v/>
      </c>
    </row>
    <row r="14203" spans="1:5">
      <c r="A14203" s="12"/>
      <c r="E14203" s="57" t="str">
        <f ca="1">IFERROR(__xludf.DUMMYFUNCTION("""COMPUTED_VALUE"""),"")</f>
        <v/>
      </c>
    </row>
    <row r="14204" spans="1:5">
      <c r="A14204" s="12"/>
      <c r="E14204" s="57" t="str">
        <f ca="1">IFERROR(__xludf.DUMMYFUNCTION("""COMPUTED_VALUE"""),"")</f>
        <v/>
      </c>
    </row>
    <row r="14205" spans="1:5">
      <c r="A14205" s="12"/>
      <c r="E14205" s="57" t="str">
        <f ca="1">IFERROR(__xludf.DUMMYFUNCTION("""COMPUTED_VALUE"""),"")</f>
        <v/>
      </c>
    </row>
    <row r="14206" spans="1:5">
      <c r="A14206" s="12"/>
      <c r="E14206" s="57" t="str">
        <f ca="1">IFERROR(__xludf.DUMMYFUNCTION("""COMPUTED_VALUE"""),"")</f>
        <v/>
      </c>
    </row>
    <row r="14207" spans="1:5">
      <c r="A14207" s="12"/>
      <c r="E14207" s="57" t="str">
        <f ca="1">IFERROR(__xludf.DUMMYFUNCTION("""COMPUTED_VALUE"""),"")</f>
        <v/>
      </c>
    </row>
    <row r="14208" spans="1:5">
      <c r="A14208" s="12"/>
      <c r="E14208" s="57" t="str">
        <f ca="1">IFERROR(__xludf.DUMMYFUNCTION("""COMPUTED_VALUE"""),"")</f>
        <v/>
      </c>
    </row>
    <row r="14209" spans="1:5">
      <c r="A14209" s="12"/>
      <c r="E14209" s="57" t="str">
        <f ca="1">IFERROR(__xludf.DUMMYFUNCTION("""COMPUTED_VALUE"""),"")</f>
        <v/>
      </c>
    </row>
    <row r="14210" spans="1:5">
      <c r="A14210" s="12"/>
      <c r="E14210" s="57" t="str">
        <f ca="1">IFERROR(__xludf.DUMMYFUNCTION("""COMPUTED_VALUE"""),"")</f>
        <v/>
      </c>
    </row>
    <row r="14211" spans="1:5">
      <c r="A14211" s="12"/>
      <c r="E14211" s="57" t="str">
        <f ca="1">IFERROR(__xludf.DUMMYFUNCTION("""COMPUTED_VALUE"""),"")</f>
        <v/>
      </c>
    </row>
    <row r="14212" spans="1:5">
      <c r="A14212" s="12"/>
      <c r="E14212" s="57" t="str">
        <f ca="1">IFERROR(__xludf.DUMMYFUNCTION("""COMPUTED_VALUE"""),"")</f>
        <v/>
      </c>
    </row>
    <row r="14213" spans="1:5">
      <c r="A14213" s="12"/>
      <c r="E14213" s="57" t="str">
        <f ca="1">IFERROR(__xludf.DUMMYFUNCTION("""COMPUTED_VALUE"""),"")</f>
        <v/>
      </c>
    </row>
    <row r="14214" spans="1:5">
      <c r="A14214" s="12"/>
      <c r="E14214" s="57" t="str">
        <f ca="1">IFERROR(__xludf.DUMMYFUNCTION("""COMPUTED_VALUE"""),"")</f>
        <v/>
      </c>
    </row>
    <row r="14215" spans="1:5">
      <c r="A14215" s="12"/>
      <c r="E14215" s="57" t="str">
        <f ca="1">IFERROR(__xludf.DUMMYFUNCTION("""COMPUTED_VALUE"""),"")</f>
        <v/>
      </c>
    </row>
    <row r="14216" spans="1:5">
      <c r="A14216" s="12"/>
      <c r="E14216" s="57" t="str">
        <f ca="1">IFERROR(__xludf.DUMMYFUNCTION("""COMPUTED_VALUE"""),"")</f>
        <v/>
      </c>
    </row>
    <row r="14217" spans="1:5">
      <c r="A14217" s="12"/>
      <c r="E14217" s="57" t="str">
        <f ca="1">IFERROR(__xludf.DUMMYFUNCTION("""COMPUTED_VALUE"""),"")</f>
        <v/>
      </c>
    </row>
    <row r="14218" spans="1:5">
      <c r="A14218" s="12"/>
      <c r="E14218" s="57" t="str">
        <f ca="1">IFERROR(__xludf.DUMMYFUNCTION("""COMPUTED_VALUE"""),"")</f>
        <v/>
      </c>
    </row>
    <row r="14219" spans="1:5">
      <c r="A14219" s="12"/>
      <c r="E14219" s="57" t="str">
        <f ca="1">IFERROR(__xludf.DUMMYFUNCTION("""COMPUTED_VALUE"""),"")</f>
        <v/>
      </c>
    </row>
    <row r="14220" spans="1:5">
      <c r="A14220" s="12"/>
      <c r="E14220" s="57" t="str">
        <f ca="1">IFERROR(__xludf.DUMMYFUNCTION("""COMPUTED_VALUE"""),"")</f>
        <v/>
      </c>
    </row>
    <row r="14221" spans="1:5">
      <c r="A14221" s="12"/>
      <c r="E14221" s="57" t="str">
        <f ca="1">IFERROR(__xludf.DUMMYFUNCTION("""COMPUTED_VALUE"""),"")</f>
        <v/>
      </c>
    </row>
    <row r="14222" spans="1:5">
      <c r="A14222" s="12"/>
      <c r="E14222" s="57" t="str">
        <f ca="1">IFERROR(__xludf.DUMMYFUNCTION("""COMPUTED_VALUE"""),"")</f>
        <v/>
      </c>
    </row>
    <row r="14223" spans="1:5">
      <c r="A14223" s="12"/>
      <c r="E14223" s="57" t="str">
        <f ca="1">IFERROR(__xludf.DUMMYFUNCTION("""COMPUTED_VALUE"""),"")</f>
        <v/>
      </c>
    </row>
    <row r="14224" spans="1:5">
      <c r="A14224" s="12"/>
      <c r="E14224" s="57" t="str">
        <f ca="1">IFERROR(__xludf.DUMMYFUNCTION("""COMPUTED_VALUE"""),"")</f>
        <v/>
      </c>
    </row>
    <row r="14225" spans="1:5">
      <c r="A14225" s="12"/>
      <c r="E14225" s="57" t="str">
        <f ca="1">IFERROR(__xludf.DUMMYFUNCTION("""COMPUTED_VALUE"""),"")</f>
        <v/>
      </c>
    </row>
    <row r="14226" spans="1:5">
      <c r="A14226" s="12"/>
      <c r="E14226" s="57" t="str">
        <f ca="1">IFERROR(__xludf.DUMMYFUNCTION("""COMPUTED_VALUE"""),"")</f>
        <v/>
      </c>
    </row>
    <row r="14227" spans="1:5">
      <c r="A14227" s="12"/>
      <c r="E14227" s="57" t="str">
        <f ca="1">IFERROR(__xludf.DUMMYFUNCTION("""COMPUTED_VALUE"""),"")</f>
        <v/>
      </c>
    </row>
    <row r="14228" spans="1:5">
      <c r="A14228" s="12"/>
      <c r="E14228" s="57" t="str">
        <f ca="1">IFERROR(__xludf.DUMMYFUNCTION("""COMPUTED_VALUE"""),"")</f>
        <v/>
      </c>
    </row>
    <row r="14229" spans="1:5">
      <c r="A14229" s="12"/>
      <c r="E14229" s="57" t="str">
        <f ca="1">IFERROR(__xludf.DUMMYFUNCTION("""COMPUTED_VALUE"""),"")</f>
        <v/>
      </c>
    </row>
    <row r="14230" spans="1:5">
      <c r="A14230" s="12"/>
      <c r="E14230" s="57" t="str">
        <f ca="1">IFERROR(__xludf.DUMMYFUNCTION("""COMPUTED_VALUE"""),"")</f>
        <v/>
      </c>
    </row>
    <row r="14231" spans="1:5">
      <c r="A14231" s="12"/>
      <c r="E14231" s="57" t="str">
        <f ca="1">IFERROR(__xludf.DUMMYFUNCTION("""COMPUTED_VALUE"""),"")</f>
        <v/>
      </c>
    </row>
    <row r="14232" spans="1:5">
      <c r="A14232" s="12"/>
      <c r="E14232" s="57" t="str">
        <f ca="1">IFERROR(__xludf.DUMMYFUNCTION("""COMPUTED_VALUE"""),"")</f>
        <v/>
      </c>
    </row>
    <row r="14233" spans="1:5">
      <c r="A14233" s="12"/>
      <c r="E14233" s="57" t="str">
        <f ca="1">IFERROR(__xludf.DUMMYFUNCTION("""COMPUTED_VALUE"""),"")</f>
        <v/>
      </c>
    </row>
    <row r="14234" spans="1:5">
      <c r="A14234" s="12"/>
      <c r="E14234" s="57" t="str">
        <f ca="1">IFERROR(__xludf.DUMMYFUNCTION("""COMPUTED_VALUE"""),"")</f>
        <v/>
      </c>
    </row>
    <row r="14235" spans="1:5">
      <c r="A14235" s="12"/>
      <c r="E14235" s="57" t="str">
        <f ca="1">IFERROR(__xludf.DUMMYFUNCTION("""COMPUTED_VALUE"""),"")</f>
        <v/>
      </c>
    </row>
    <row r="14236" spans="1:5">
      <c r="A14236" s="12"/>
      <c r="E14236" s="57" t="str">
        <f ca="1">IFERROR(__xludf.DUMMYFUNCTION("""COMPUTED_VALUE"""),"")</f>
        <v/>
      </c>
    </row>
    <row r="14237" spans="1:5">
      <c r="A14237" s="12"/>
      <c r="E14237" s="57" t="str">
        <f ca="1">IFERROR(__xludf.DUMMYFUNCTION("""COMPUTED_VALUE"""),"")</f>
        <v/>
      </c>
    </row>
    <row r="14238" spans="1:5">
      <c r="A14238" s="12"/>
      <c r="E14238" s="57" t="str">
        <f ca="1">IFERROR(__xludf.DUMMYFUNCTION("""COMPUTED_VALUE"""),"")</f>
        <v/>
      </c>
    </row>
    <row r="14239" spans="1:5">
      <c r="A14239" s="12"/>
      <c r="E14239" s="57" t="str">
        <f ca="1">IFERROR(__xludf.DUMMYFUNCTION("""COMPUTED_VALUE"""),"")</f>
        <v/>
      </c>
    </row>
    <row r="14240" spans="1:5">
      <c r="A14240" s="12"/>
      <c r="E14240" s="57" t="str">
        <f ca="1">IFERROR(__xludf.DUMMYFUNCTION("""COMPUTED_VALUE"""),"")</f>
        <v/>
      </c>
    </row>
    <row r="14241" spans="1:5">
      <c r="A14241" s="12"/>
      <c r="E14241" s="57" t="str">
        <f ca="1">IFERROR(__xludf.DUMMYFUNCTION("""COMPUTED_VALUE"""),"")</f>
        <v/>
      </c>
    </row>
    <row r="14242" spans="1:5">
      <c r="A14242" s="12"/>
      <c r="E14242" s="57" t="str">
        <f ca="1">IFERROR(__xludf.DUMMYFUNCTION("""COMPUTED_VALUE"""),"")</f>
        <v/>
      </c>
    </row>
    <row r="14243" spans="1:5">
      <c r="A14243" s="12"/>
      <c r="E14243" s="57" t="str">
        <f ca="1">IFERROR(__xludf.DUMMYFUNCTION("""COMPUTED_VALUE"""),"")</f>
        <v/>
      </c>
    </row>
    <row r="14244" spans="1:5">
      <c r="A14244" s="12"/>
      <c r="E14244" s="57" t="str">
        <f ca="1">IFERROR(__xludf.DUMMYFUNCTION("""COMPUTED_VALUE"""),"")</f>
        <v/>
      </c>
    </row>
    <row r="14245" spans="1:5">
      <c r="A14245" s="12"/>
      <c r="E14245" s="57" t="str">
        <f ca="1">IFERROR(__xludf.DUMMYFUNCTION("""COMPUTED_VALUE"""),"")</f>
        <v/>
      </c>
    </row>
    <row r="14246" spans="1:5">
      <c r="A14246" s="12"/>
      <c r="E14246" s="57" t="str">
        <f ca="1">IFERROR(__xludf.DUMMYFUNCTION("""COMPUTED_VALUE"""),"")</f>
        <v/>
      </c>
    </row>
    <row r="14247" spans="1:5">
      <c r="A14247" s="12"/>
      <c r="E14247" s="57" t="str">
        <f ca="1">IFERROR(__xludf.DUMMYFUNCTION("""COMPUTED_VALUE"""),"")</f>
        <v/>
      </c>
    </row>
    <row r="14248" spans="1:5">
      <c r="A14248" s="12"/>
      <c r="E14248" s="57" t="str">
        <f ca="1">IFERROR(__xludf.DUMMYFUNCTION("""COMPUTED_VALUE"""),"")</f>
        <v/>
      </c>
    </row>
    <row r="14249" spans="1:5">
      <c r="A14249" s="12"/>
      <c r="E14249" s="57" t="str">
        <f ca="1">IFERROR(__xludf.DUMMYFUNCTION("""COMPUTED_VALUE"""),"")</f>
        <v/>
      </c>
    </row>
    <row r="14250" spans="1:5">
      <c r="A14250" s="12"/>
      <c r="E14250" s="57" t="str">
        <f ca="1">IFERROR(__xludf.DUMMYFUNCTION("""COMPUTED_VALUE"""),"")</f>
        <v/>
      </c>
    </row>
    <row r="14251" spans="1:5">
      <c r="A14251" s="12"/>
      <c r="E14251" s="57" t="str">
        <f ca="1">IFERROR(__xludf.DUMMYFUNCTION("""COMPUTED_VALUE"""),"")</f>
        <v/>
      </c>
    </row>
    <row r="14252" spans="1:5">
      <c r="A14252" s="12"/>
      <c r="E14252" s="57" t="str">
        <f ca="1">IFERROR(__xludf.DUMMYFUNCTION("""COMPUTED_VALUE"""),"")</f>
        <v/>
      </c>
    </row>
    <row r="14253" spans="1:5">
      <c r="A14253" s="12"/>
      <c r="E14253" s="57" t="str">
        <f ca="1">IFERROR(__xludf.DUMMYFUNCTION("""COMPUTED_VALUE"""),"")</f>
        <v/>
      </c>
    </row>
    <row r="14254" spans="1:5">
      <c r="A14254" s="12"/>
      <c r="E14254" s="57" t="str">
        <f ca="1">IFERROR(__xludf.DUMMYFUNCTION("""COMPUTED_VALUE"""),"")</f>
        <v/>
      </c>
    </row>
    <row r="14255" spans="1:5">
      <c r="A14255" s="12"/>
      <c r="E14255" s="57" t="str">
        <f ca="1">IFERROR(__xludf.DUMMYFUNCTION("""COMPUTED_VALUE"""),"")</f>
        <v/>
      </c>
    </row>
    <row r="14256" spans="1:5">
      <c r="A14256" s="12"/>
      <c r="E14256" s="57" t="str">
        <f ca="1">IFERROR(__xludf.DUMMYFUNCTION("""COMPUTED_VALUE"""),"")</f>
        <v/>
      </c>
    </row>
    <row r="14257" spans="1:5">
      <c r="A14257" s="12"/>
      <c r="E14257" s="57" t="str">
        <f ca="1">IFERROR(__xludf.DUMMYFUNCTION("""COMPUTED_VALUE"""),"")</f>
        <v/>
      </c>
    </row>
    <row r="14258" spans="1:5">
      <c r="A14258" s="12"/>
      <c r="E14258" s="57" t="str">
        <f ca="1">IFERROR(__xludf.DUMMYFUNCTION("""COMPUTED_VALUE"""),"")</f>
        <v/>
      </c>
    </row>
    <row r="14259" spans="1:5">
      <c r="A14259" s="12"/>
      <c r="E14259" s="57" t="str">
        <f ca="1">IFERROR(__xludf.DUMMYFUNCTION("""COMPUTED_VALUE"""),"")</f>
        <v/>
      </c>
    </row>
    <row r="14260" spans="1:5">
      <c r="A14260" s="12"/>
      <c r="E14260" s="57" t="str">
        <f ca="1">IFERROR(__xludf.DUMMYFUNCTION("""COMPUTED_VALUE"""),"")</f>
        <v/>
      </c>
    </row>
    <row r="14261" spans="1:5">
      <c r="A14261" s="12"/>
      <c r="E14261" s="57" t="str">
        <f ca="1">IFERROR(__xludf.DUMMYFUNCTION("""COMPUTED_VALUE"""),"")</f>
        <v/>
      </c>
    </row>
    <row r="14262" spans="1:5">
      <c r="A14262" s="12"/>
      <c r="E14262" s="57" t="str">
        <f ca="1">IFERROR(__xludf.DUMMYFUNCTION("""COMPUTED_VALUE"""),"")</f>
        <v/>
      </c>
    </row>
    <row r="14263" spans="1:5">
      <c r="A14263" s="12"/>
      <c r="E14263" s="57" t="str">
        <f ca="1">IFERROR(__xludf.DUMMYFUNCTION("""COMPUTED_VALUE"""),"")</f>
        <v/>
      </c>
    </row>
    <row r="14264" spans="1:5">
      <c r="A14264" s="12"/>
      <c r="E14264" s="57" t="str">
        <f ca="1">IFERROR(__xludf.DUMMYFUNCTION("""COMPUTED_VALUE"""),"")</f>
        <v/>
      </c>
    </row>
    <row r="14265" spans="1:5">
      <c r="A14265" s="12"/>
      <c r="E14265" s="57" t="str">
        <f ca="1">IFERROR(__xludf.DUMMYFUNCTION("""COMPUTED_VALUE"""),"")</f>
        <v/>
      </c>
    </row>
    <row r="14266" spans="1:5">
      <c r="A14266" s="12"/>
      <c r="E14266" s="57" t="str">
        <f ca="1">IFERROR(__xludf.DUMMYFUNCTION("""COMPUTED_VALUE"""),"")</f>
        <v/>
      </c>
    </row>
    <row r="14267" spans="1:5">
      <c r="A14267" s="12"/>
      <c r="E14267" s="57" t="str">
        <f ca="1">IFERROR(__xludf.DUMMYFUNCTION("""COMPUTED_VALUE"""),"")</f>
        <v/>
      </c>
    </row>
    <row r="14268" spans="1:5">
      <c r="A14268" s="12"/>
      <c r="E14268" s="57" t="str">
        <f ca="1">IFERROR(__xludf.DUMMYFUNCTION("""COMPUTED_VALUE"""),"")</f>
        <v/>
      </c>
    </row>
    <row r="14269" spans="1:5">
      <c r="A14269" s="12"/>
      <c r="E14269" s="57" t="str">
        <f ca="1">IFERROR(__xludf.DUMMYFUNCTION("""COMPUTED_VALUE"""),"")</f>
        <v/>
      </c>
    </row>
    <row r="14270" spans="1:5">
      <c r="A14270" s="12"/>
      <c r="E14270" s="57" t="str">
        <f ca="1">IFERROR(__xludf.DUMMYFUNCTION("""COMPUTED_VALUE"""),"")</f>
        <v/>
      </c>
    </row>
    <row r="14271" spans="1:5">
      <c r="A14271" s="12"/>
      <c r="E14271" s="57" t="str">
        <f ca="1">IFERROR(__xludf.DUMMYFUNCTION("""COMPUTED_VALUE"""),"")</f>
        <v/>
      </c>
    </row>
    <row r="14272" spans="1:5">
      <c r="A14272" s="12"/>
      <c r="E14272" s="57" t="str">
        <f ca="1">IFERROR(__xludf.DUMMYFUNCTION("""COMPUTED_VALUE"""),"")</f>
        <v/>
      </c>
    </row>
    <row r="14273" spans="1:5">
      <c r="A14273" s="12"/>
      <c r="E14273" s="57" t="str">
        <f ca="1">IFERROR(__xludf.DUMMYFUNCTION("""COMPUTED_VALUE"""),"")</f>
        <v/>
      </c>
    </row>
    <row r="14274" spans="1:5">
      <c r="A14274" s="12"/>
      <c r="E14274" s="57" t="str">
        <f ca="1">IFERROR(__xludf.DUMMYFUNCTION("""COMPUTED_VALUE"""),"")</f>
        <v/>
      </c>
    </row>
    <row r="14275" spans="1:5">
      <c r="A14275" s="12"/>
      <c r="E14275" s="57" t="str">
        <f ca="1">IFERROR(__xludf.DUMMYFUNCTION("""COMPUTED_VALUE"""),"")</f>
        <v/>
      </c>
    </row>
    <row r="14276" spans="1:5">
      <c r="A14276" s="12"/>
      <c r="E14276" s="57" t="str">
        <f ca="1">IFERROR(__xludf.DUMMYFUNCTION("""COMPUTED_VALUE"""),"")</f>
        <v/>
      </c>
    </row>
    <row r="14277" spans="1:5">
      <c r="A14277" s="12"/>
      <c r="E14277" s="57" t="str">
        <f ca="1">IFERROR(__xludf.DUMMYFUNCTION("""COMPUTED_VALUE"""),"")</f>
        <v/>
      </c>
    </row>
    <row r="14278" spans="1:5">
      <c r="A14278" s="12"/>
      <c r="E14278" s="57" t="str">
        <f ca="1">IFERROR(__xludf.DUMMYFUNCTION("""COMPUTED_VALUE"""),"")</f>
        <v/>
      </c>
    </row>
    <row r="14279" spans="1:5">
      <c r="A14279" s="12"/>
      <c r="E14279" s="57" t="str">
        <f ca="1">IFERROR(__xludf.DUMMYFUNCTION("""COMPUTED_VALUE"""),"")</f>
        <v/>
      </c>
    </row>
    <row r="14280" spans="1:5">
      <c r="A14280" s="12"/>
      <c r="E14280" s="57" t="str">
        <f ca="1">IFERROR(__xludf.DUMMYFUNCTION("""COMPUTED_VALUE"""),"")</f>
        <v/>
      </c>
    </row>
    <row r="14281" spans="1:5">
      <c r="A14281" s="12"/>
      <c r="E14281" s="57" t="str">
        <f ca="1">IFERROR(__xludf.DUMMYFUNCTION("""COMPUTED_VALUE"""),"")</f>
        <v/>
      </c>
    </row>
    <row r="14282" spans="1:5">
      <c r="A14282" s="12"/>
      <c r="E14282" s="57" t="str">
        <f ca="1">IFERROR(__xludf.DUMMYFUNCTION("""COMPUTED_VALUE"""),"")</f>
        <v/>
      </c>
    </row>
    <row r="14283" spans="1:5">
      <c r="A14283" s="12"/>
      <c r="E14283" s="57" t="str">
        <f ca="1">IFERROR(__xludf.DUMMYFUNCTION("""COMPUTED_VALUE"""),"")</f>
        <v/>
      </c>
    </row>
    <row r="14284" spans="1:5">
      <c r="A14284" s="12"/>
      <c r="E14284" s="57" t="str">
        <f ca="1">IFERROR(__xludf.DUMMYFUNCTION("""COMPUTED_VALUE"""),"")</f>
        <v/>
      </c>
    </row>
    <row r="14285" spans="1:5">
      <c r="A14285" s="12"/>
      <c r="E14285" s="57" t="str">
        <f ca="1">IFERROR(__xludf.DUMMYFUNCTION("""COMPUTED_VALUE"""),"")</f>
        <v/>
      </c>
    </row>
    <row r="14286" spans="1:5">
      <c r="A14286" s="12"/>
      <c r="E14286" s="57" t="str">
        <f ca="1">IFERROR(__xludf.DUMMYFUNCTION("""COMPUTED_VALUE"""),"")</f>
        <v/>
      </c>
    </row>
    <row r="14287" spans="1:5">
      <c r="A14287" s="12"/>
      <c r="E14287" s="57" t="str">
        <f ca="1">IFERROR(__xludf.DUMMYFUNCTION("""COMPUTED_VALUE"""),"")</f>
        <v/>
      </c>
    </row>
    <row r="14288" spans="1:5">
      <c r="A14288" s="12"/>
      <c r="E14288" s="57" t="str">
        <f ca="1">IFERROR(__xludf.DUMMYFUNCTION("""COMPUTED_VALUE"""),"")</f>
        <v/>
      </c>
    </row>
    <row r="14289" spans="1:5">
      <c r="A14289" s="12"/>
      <c r="E14289" s="57" t="str">
        <f ca="1">IFERROR(__xludf.DUMMYFUNCTION("""COMPUTED_VALUE"""),"")</f>
        <v/>
      </c>
    </row>
    <row r="14290" spans="1:5">
      <c r="A14290" s="12"/>
      <c r="E14290" s="57" t="str">
        <f ca="1">IFERROR(__xludf.DUMMYFUNCTION("""COMPUTED_VALUE"""),"")</f>
        <v/>
      </c>
    </row>
    <row r="14291" spans="1:5">
      <c r="A14291" s="12"/>
      <c r="E14291" s="57" t="str">
        <f ca="1">IFERROR(__xludf.DUMMYFUNCTION("""COMPUTED_VALUE"""),"")</f>
        <v/>
      </c>
    </row>
    <row r="14292" spans="1:5">
      <c r="A14292" s="12"/>
      <c r="E14292" s="57" t="str">
        <f ca="1">IFERROR(__xludf.DUMMYFUNCTION("""COMPUTED_VALUE"""),"")</f>
        <v/>
      </c>
    </row>
    <row r="14293" spans="1:5">
      <c r="A14293" s="12"/>
      <c r="E14293" s="57" t="str">
        <f ca="1">IFERROR(__xludf.DUMMYFUNCTION("""COMPUTED_VALUE"""),"")</f>
        <v/>
      </c>
    </row>
    <row r="14294" spans="1:5">
      <c r="A14294" s="12"/>
      <c r="E14294" s="57" t="str">
        <f ca="1">IFERROR(__xludf.DUMMYFUNCTION("""COMPUTED_VALUE"""),"")</f>
        <v/>
      </c>
    </row>
    <row r="14295" spans="1:5">
      <c r="A14295" s="12"/>
      <c r="E14295" s="57" t="str">
        <f ca="1">IFERROR(__xludf.DUMMYFUNCTION("""COMPUTED_VALUE"""),"")</f>
        <v/>
      </c>
    </row>
    <row r="14296" spans="1:5">
      <c r="A14296" s="12"/>
      <c r="E14296" s="57" t="str">
        <f ca="1">IFERROR(__xludf.DUMMYFUNCTION("""COMPUTED_VALUE"""),"")</f>
        <v/>
      </c>
    </row>
    <row r="14297" spans="1:5">
      <c r="A14297" s="12"/>
      <c r="E14297" s="57" t="str">
        <f ca="1">IFERROR(__xludf.DUMMYFUNCTION("""COMPUTED_VALUE"""),"")</f>
        <v/>
      </c>
    </row>
    <row r="14298" spans="1:5">
      <c r="A14298" s="12"/>
      <c r="E14298" s="57" t="str">
        <f ca="1">IFERROR(__xludf.DUMMYFUNCTION("""COMPUTED_VALUE"""),"")</f>
        <v/>
      </c>
    </row>
    <row r="14299" spans="1:5">
      <c r="A14299" s="12"/>
      <c r="E14299" s="57" t="str">
        <f ca="1">IFERROR(__xludf.DUMMYFUNCTION("""COMPUTED_VALUE"""),"")</f>
        <v/>
      </c>
    </row>
    <row r="14300" spans="1:5">
      <c r="A14300" s="12"/>
      <c r="E14300" s="57" t="str">
        <f ca="1">IFERROR(__xludf.DUMMYFUNCTION("""COMPUTED_VALUE"""),"")</f>
        <v/>
      </c>
    </row>
    <row r="14301" spans="1:5">
      <c r="A14301" s="12"/>
      <c r="E14301" s="57" t="str">
        <f ca="1">IFERROR(__xludf.DUMMYFUNCTION("""COMPUTED_VALUE"""),"")</f>
        <v/>
      </c>
    </row>
    <row r="14302" spans="1:5">
      <c r="A14302" s="12"/>
      <c r="E14302" s="57" t="str">
        <f ca="1">IFERROR(__xludf.DUMMYFUNCTION("""COMPUTED_VALUE"""),"")</f>
        <v/>
      </c>
    </row>
    <row r="14303" spans="1:5">
      <c r="A14303" s="12"/>
      <c r="E14303" s="57" t="str">
        <f ca="1">IFERROR(__xludf.DUMMYFUNCTION("""COMPUTED_VALUE"""),"")</f>
        <v/>
      </c>
    </row>
    <row r="14304" spans="1:5">
      <c r="A14304" s="12"/>
      <c r="E14304" s="57" t="str">
        <f ca="1">IFERROR(__xludf.DUMMYFUNCTION("""COMPUTED_VALUE"""),"")</f>
        <v/>
      </c>
    </row>
    <row r="14305" spans="1:5">
      <c r="A14305" s="12"/>
      <c r="E14305" s="57" t="str">
        <f ca="1">IFERROR(__xludf.DUMMYFUNCTION("""COMPUTED_VALUE"""),"")</f>
        <v/>
      </c>
    </row>
    <row r="14306" spans="1:5">
      <c r="A14306" s="12"/>
      <c r="E14306" s="57" t="str">
        <f ca="1">IFERROR(__xludf.DUMMYFUNCTION("""COMPUTED_VALUE"""),"")</f>
        <v/>
      </c>
    </row>
    <row r="14307" spans="1:5">
      <c r="A14307" s="12"/>
      <c r="E14307" s="57" t="str">
        <f ca="1">IFERROR(__xludf.DUMMYFUNCTION("""COMPUTED_VALUE"""),"")</f>
        <v/>
      </c>
    </row>
    <row r="14308" spans="1:5">
      <c r="A14308" s="12"/>
      <c r="E14308" s="57" t="str">
        <f ca="1">IFERROR(__xludf.DUMMYFUNCTION("""COMPUTED_VALUE"""),"")</f>
        <v/>
      </c>
    </row>
    <row r="14309" spans="1:5">
      <c r="A14309" s="12"/>
      <c r="E14309" s="57" t="str">
        <f ca="1">IFERROR(__xludf.DUMMYFUNCTION("""COMPUTED_VALUE"""),"")</f>
        <v/>
      </c>
    </row>
    <row r="14310" spans="1:5">
      <c r="A14310" s="12"/>
      <c r="E14310" s="57" t="str">
        <f ca="1">IFERROR(__xludf.DUMMYFUNCTION("""COMPUTED_VALUE"""),"")</f>
        <v/>
      </c>
    </row>
    <row r="14311" spans="1:5">
      <c r="A14311" s="12"/>
      <c r="E14311" s="57" t="str">
        <f ca="1">IFERROR(__xludf.DUMMYFUNCTION("""COMPUTED_VALUE"""),"")</f>
        <v/>
      </c>
    </row>
    <row r="14312" spans="1:5">
      <c r="A14312" s="12"/>
      <c r="E14312" s="57" t="str">
        <f ca="1">IFERROR(__xludf.DUMMYFUNCTION("""COMPUTED_VALUE"""),"")</f>
        <v/>
      </c>
    </row>
    <row r="14313" spans="1:5">
      <c r="A14313" s="12"/>
      <c r="E14313" s="57" t="str">
        <f ca="1">IFERROR(__xludf.DUMMYFUNCTION("""COMPUTED_VALUE"""),"")</f>
        <v/>
      </c>
    </row>
    <row r="14314" spans="1:5">
      <c r="A14314" s="12"/>
      <c r="E14314" s="57" t="str">
        <f ca="1">IFERROR(__xludf.DUMMYFUNCTION("""COMPUTED_VALUE"""),"")</f>
        <v/>
      </c>
    </row>
    <row r="14315" spans="1:5">
      <c r="A14315" s="12"/>
      <c r="E14315" s="57" t="str">
        <f ca="1">IFERROR(__xludf.DUMMYFUNCTION("""COMPUTED_VALUE"""),"")</f>
        <v/>
      </c>
    </row>
    <row r="14316" spans="1:5">
      <c r="A14316" s="12"/>
      <c r="E14316" s="57" t="str">
        <f ca="1">IFERROR(__xludf.DUMMYFUNCTION("""COMPUTED_VALUE"""),"")</f>
        <v/>
      </c>
    </row>
    <row r="14317" spans="1:5">
      <c r="A14317" s="12"/>
      <c r="E14317" s="57" t="str">
        <f ca="1">IFERROR(__xludf.DUMMYFUNCTION("""COMPUTED_VALUE"""),"")</f>
        <v/>
      </c>
    </row>
    <row r="14318" spans="1:5">
      <c r="A14318" s="12"/>
      <c r="E14318" s="57" t="str">
        <f ca="1">IFERROR(__xludf.DUMMYFUNCTION("""COMPUTED_VALUE"""),"")</f>
        <v/>
      </c>
    </row>
    <row r="14319" spans="1:5">
      <c r="A14319" s="12"/>
      <c r="E14319" s="57" t="str">
        <f ca="1">IFERROR(__xludf.DUMMYFUNCTION("""COMPUTED_VALUE"""),"")</f>
        <v/>
      </c>
    </row>
    <row r="14320" spans="1:5">
      <c r="A14320" s="12"/>
      <c r="E14320" s="57" t="str">
        <f ca="1">IFERROR(__xludf.DUMMYFUNCTION("""COMPUTED_VALUE"""),"")</f>
        <v/>
      </c>
    </row>
    <row r="14321" spans="1:5">
      <c r="A14321" s="12"/>
      <c r="E14321" s="57" t="str">
        <f ca="1">IFERROR(__xludf.DUMMYFUNCTION("""COMPUTED_VALUE"""),"")</f>
        <v/>
      </c>
    </row>
    <row r="14322" spans="1:5">
      <c r="A14322" s="12"/>
      <c r="E14322" s="57" t="str">
        <f ca="1">IFERROR(__xludf.DUMMYFUNCTION("""COMPUTED_VALUE"""),"")</f>
        <v/>
      </c>
    </row>
    <row r="14323" spans="1:5">
      <c r="A14323" s="12"/>
      <c r="E14323" s="57" t="str">
        <f ca="1">IFERROR(__xludf.DUMMYFUNCTION("""COMPUTED_VALUE"""),"")</f>
        <v/>
      </c>
    </row>
    <row r="14324" spans="1:5">
      <c r="A14324" s="12"/>
      <c r="E14324" s="57" t="str">
        <f ca="1">IFERROR(__xludf.DUMMYFUNCTION("""COMPUTED_VALUE"""),"")</f>
        <v/>
      </c>
    </row>
    <row r="14325" spans="1:5">
      <c r="A14325" s="12"/>
      <c r="E14325" s="57" t="str">
        <f ca="1">IFERROR(__xludf.DUMMYFUNCTION("""COMPUTED_VALUE"""),"")</f>
        <v/>
      </c>
    </row>
    <row r="14326" spans="1:5">
      <c r="A14326" s="12"/>
      <c r="E14326" s="57" t="str">
        <f ca="1">IFERROR(__xludf.DUMMYFUNCTION("""COMPUTED_VALUE"""),"")</f>
        <v/>
      </c>
    </row>
    <row r="14327" spans="1:5">
      <c r="A14327" s="12"/>
      <c r="E14327" s="57" t="str">
        <f ca="1">IFERROR(__xludf.DUMMYFUNCTION("""COMPUTED_VALUE"""),"")</f>
        <v/>
      </c>
    </row>
    <row r="14328" spans="1:5">
      <c r="A14328" s="12"/>
      <c r="E14328" s="57" t="str">
        <f ca="1">IFERROR(__xludf.DUMMYFUNCTION("""COMPUTED_VALUE"""),"")</f>
        <v/>
      </c>
    </row>
    <row r="14329" spans="1:5">
      <c r="A14329" s="12"/>
      <c r="E14329" s="57" t="str">
        <f ca="1">IFERROR(__xludf.DUMMYFUNCTION("""COMPUTED_VALUE"""),"")</f>
        <v/>
      </c>
    </row>
    <row r="14330" spans="1:5">
      <c r="A14330" s="12"/>
      <c r="E14330" s="57" t="str">
        <f ca="1">IFERROR(__xludf.DUMMYFUNCTION("""COMPUTED_VALUE"""),"")</f>
        <v/>
      </c>
    </row>
    <row r="14331" spans="1:5">
      <c r="A14331" s="12"/>
      <c r="E14331" s="57" t="str">
        <f ca="1">IFERROR(__xludf.DUMMYFUNCTION("""COMPUTED_VALUE"""),"")</f>
        <v/>
      </c>
    </row>
    <row r="14332" spans="1:5">
      <c r="A14332" s="12"/>
      <c r="E14332" s="57" t="str">
        <f ca="1">IFERROR(__xludf.DUMMYFUNCTION("""COMPUTED_VALUE"""),"")</f>
        <v/>
      </c>
    </row>
    <row r="14333" spans="1:5">
      <c r="A14333" s="12"/>
      <c r="E14333" s="57" t="str">
        <f ca="1">IFERROR(__xludf.DUMMYFUNCTION("""COMPUTED_VALUE"""),"")</f>
        <v/>
      </c>
    </row>
    <row r="14334" spans="1:5">
      <c r="A14334" s="12"/>
      <c r="E14334" s="57" t="str">
        <f ca="1">IFERROR(__xludf.DUMMYFUNCTION("""COMPUTED_VALUE"""),"")</f>
        <v/>
      </c>
    </row>
    <row r="14335" spans="1:5">
      <c r="A14335" s="12"/>
      <c r="E14335" s="57" t="str">
        <f ca="1">IFERROR(__xludf.DUMMYFUNCTION("""COMPUTED_VALUE"""),"")</f>
        <v/>
      </c>
    </row>
    <row r="14336" spans="1:5">
      <c r="A14336" s="12"/>
      <c r="E14336" s="57" t="str">
        <f ca="1">IFERROR(__xludf.DUMMYFUNCTION("""COMPUTED_VALUE"""),"")</f>
        <v/>
      </c>
    </row>
    <row r="14337" spans="1:5">
      <c r="A14337" s="12"/>
      <c r="E14337" s="57" t="str">
        <f ca="1">IFERROR(__xludf.DUMMYFUNCTION("""COMPUTED_VALUE"""),"")</f>
        <v/>
      </c>
    </row>
    <row r="14338" spans="1:5">
      <c r="A14338" s="12"/>
      <c r="E14338" s="57" t="str">
        <f ca="1">IFERROR(__xludf.DUMMYFUNCTION("""COMPUTED_VALUE"""),"")</f>
        <v/>
      </c>
    </row>
    <row r="14339" spans="1:5">
      <c r="A14339" s="12"/>
      <c r="E14339" s="57" t="str">
        <f ca="1">IFERROR(__xludf.DUMMYFUNCTION("""COMPUTED_VALUE"""),"")</f>
        <v/>
      </c>
    </row>
    <row r="14340" spans="1:5">
      <c r="A14340" s="12"/>
      <c r="E14340" s="57" t="str">
        <f ca="1">IFERROR(__xludf.DUMMYFUNCTION("""COMPUTED_VALUE"""),"")</f>
        <v/>
      </c>
    </row>
    <row r="14341" spans="1:5">
      <c r="A14341" s="12"/>
      <c r="E14341" s="57" t="str">
        <f ca="1">IFERROR(__xludf.DUMMYFUNCTION("""COMPUTED_VALUE"""),"")</f>
        <v/>
      </c>
    </row>
    <row r="14342" spans="1:5">
      <c r="A14342" s="12"/>
      <c r="E14342" s="57" t="str">
        <f ca="1">IFERROR(__xludf.DUMMYFUNCTION("""COMPUTED_VALUE"""),"")</f>
        <v/>
      </c>
    </row>
    <row r="14343" spans="1:5">
      <c r="A14343" s="12"/>
      <c r="E14343" s="57" t="str">
        <f ca="1">IFERROR(__xludf.DUMMYFUNCTION("""COMPUTED_VALUE"""),"")</f>
        <v/>
      </c>
    </row>
    <row r="14344" spans="1:5">
      <c r="A14344" s="12"/>
      <c r="E14344" s="57" t="str">
        <f ca="1">IFERROR(__xludf.DUMMYFUNCTION("""COMPUTED_VALUE"""),"")</f>
        <v/>
      </c>
    </row>
    <row r="14345" spans="1:5">
      <c r="A14345" s="12"/>
      <c r="E14345" s="57" t="str">
        <f ca="1">IFERROR(__xludf.DUMMYFUNCTION("""COMPUTED_VALUE"""),"")</f>
        <v/>
      </c>
    </row>
    <row r="14346" spans="1:5">
      <c r="A14346" s="12"/>
      <c r="E14346" s="57" t="str">
        <f ca="1">IFERROR(__xludf.DUMMYFUNCTION("""COMPUTED_VALUE"""),"")</f>
        <v/>
      </c>
    </row>
    <row r="14347" spans="1:5">
      <c r="A14347" s="12"/>
      <c r="E14347" s="57" t="str">
        <f ca="1">IFERROR(__xludf.DUMMYFUNCTION("""COMPUTED_VALUE"""),"")</f>
        <v/>
      </c>
    </row>
    <row r="14348" spans="1:5">
      <c r="A14348" s="12"/>
      <c r="E14348" s="57" t="str">
        <f ca="1">IFERROR(__xludf.DUMMYFUNCTION("""COMPUTED_VALUE"""),"")</f>
        <v/>
      </c>
    </row>
    <row r="14349" spans="1:5">
      <c r="A14349" s="12"/>
      <c r="E14349" s="57" t="str">
        <f ca="1">IFERROR(__xludf.DUMMYFUNCTION("""COMPUTED_VALUE"""),"")</f>
        <v/>
      </c>
    </row>
    <row r="14350" spans="1:5">
      <c r="A14350" s="12"/>
      <c r="E14350" s="57" t="str">
        <f ca="1">IFERROR(__xludf.DUMMYFUNCTION("""COMPUTED_VALUE"""),"")</f>
        <v/>
      </c>
    </row>
    <row r="14351" spans="1:5">
      <c r="A14351" s="12"/>
      <c r="E14351" s="57" t="str">
        <f ca="1">IFERROR(__xludf.DUMMYFUNCTION("""COMPUTED_VALUE"""),"")</f>
        <v/>
      </c>
    </row>
    <row r="14352" spans="1:5">
      <c r="A14352" s="12"/>
      <c r="E14352" s="57" t="str">
        <f ca="1">IFERROR(__xludf.DUMMYFUNCTION("""COMPUTED_VALUE"""),"")</f>
        <v/>
      </c>
    </row>
    <row r="14353" spans="1:5">
      <c r="A14353" s="12"/>
      <c r="E14353" s="57" t="str">
        <f ca="1">IFERROR(__xludf.DUMMYFUNCTION("""COMPUTED_VALUE"""),"")</f>
        <v/>
      </c>
    </row>
    <row r="14354" spans="1:5">
      <c r="A14354" s="12"/>
      <c r="E14354" s="57" t="str">
        <f ca="1">IFERROR(__xludf.DUMMYFUNCTION("""COMPUTED_VALUE"""),"")</f>
        <v/>
      </c>
    </row>
    <row r="14355" spans="1:5">
      <c r="A14355" s="12"/>
      <c r="E14355" s="57" t="str">
        <f ca="1">IFERROR(__xludf.DUMMYFUNCTION("""COMPUTED_VALUE"""),"")</f>
        <v/>
      </c>
    </row>
    <row r="14356" spans="1:5">
      <c r="A14356" s="12"/>
      <c r="E14356" s="57" t="str">
        <f ca="1">IFERROR(__xludf.DUMMYFUNCTION("""COMPUTED_VALUE"""),"")</f>
        <v/>
      </c>
    </row>
    <row r="14357" spans="1:5">
      <c r="A14357" s="12"/>
      <c r="E14357" s="57" t="str">
        <f ca="1">IFERROR(__xludf.DUMMYFUNCTION("""COMPUTED_VALUE"""),"")</f>
        <v/>
      </c>
    </row>
    <row r="14358" spans="1:5">
      <c r="A14358" s="12"/>
      <c r="E14358" s="57" t="str">
        <f ca="1">IFERROR(__xludf.DUMMYFUNCTION("""COMPUTED_VALUE"""),"")</f>
        <v/>
      </c>
    </row>
    <row r="14359" spans="1:5">
      <c r="A14359" s="12"/>
      <c r="E14359" s="57" t="str">
        <f ca="1">IFERROR(__xludf.DUMMYFUNCTION("""COMPUTED_VALUE"""),"")</f>
        <v/>
      </c>
    </row>
    <row r="14360" spans="1:5">
      <c r="A14360" s="12"/>
      <c r="E14360" s="57" t="str">
        <f ca="1">IFERROR(__xludf.DUMMYFUNCTION("""COMPUTED_VALUE"""),"")</f>
        <v/>
      </c>
    </row>
    <row r="14361" spans="1:5">
      <c r="A14361" s="12"/>
      <c r="E14361" s="57" t="str">
        <f ca="1">IFERROR(__xludf.DUMMYFUNCTION("""COMPUTED_VALUE"""),"")</f>
        <v/>
      </c>
    </row>
    <row r="14362" spans="1:5">
      <c r="A14362" s="12"/>
      <c r="E14362" s="57" t="str">
        <f ca="1">IFERROR(__xludf.DUMMYFUNCTION("""COMPUTED_VALUE"""),"")</f>
        <v/>
      </c>
    </row>
    <row r="14363" spans="1:5">
      <c r="A14363" s="12"/>
      <c r="E14363" s="57" t="str">
        <f ca="1">IFERROR(__xludf.DUMMYFUNCTION("""COMPUTED_VALUE"""),"")</f>
        <v/>
      </c>
    </row>
    <row r="14364" spans="1:5">
      <c r="A14364" s="12"/>
      <c r="E14364" s="57" t="str">
        <f ca="1">IFERROR(__xludf.DUMMYFUNCTION("""COMPUTED_VALUE"""),"")</f>
        <v/>
      </c>
    </row>
    <row r="14365" spans="1:5">
      <c r="A14365" s="12"/>
      <c r="E14365" s="57" t="str">
        <f ca="1">IFERROR(__xludf.DUMMYFUNCTION("""COMPUTED_VALUE"""),"")</f>
        <v/>
      </c>
    </row>
    <row r="14366" spans="1:5">
      <c r="A14366" s="12"/>
      <c r="E14366" s="57" t="str">
        <f ca="1">IFERROR(__xludf.DUMMYFUNCTION("""COMPUTED_VALUE"""),"")</f>
        <v/>
      </c>
    </row>
    <row r="14367" spans="1:5">
      <c r="A14367" s="12"/>
      <c r="E14367" s="57" t="str">
        <f ca="1">IFERROR(__xludf.DUMMYFUNCTION("""COMPUTED_VALUE"""),"")</f>
        <v/>
      </c>
    </row>
    <row r="14368" spans="1:5">
      <c r="A14368" s="12"/>
      <c r="E14368" s="57" t="str">
        <f ca="1">IFERROR(__xludf.DUMMYFUNCTION("""COMPUTED_VALUE"""),"")</f>
        <v/>
      </c>
    </row>
    <row r="14369" spans="1:5">
      <c r="A14369" s="12"/>
      <c r="E14369" s="57" t="str">
        <f ca="1">IFERROR(__xludf.DUMMYFUNCTION("""COMPUTED_VALUE"""),"")</f>
        <v/>
      </c>
    </row>
    <row r="14370" spans="1:5">
      <c r="A14370" s="12"/>
      <c r="E14370" s="57" t="str">
        <f ca="1">IFERROR(__xludf.DUMMYFUNCTION("""COMPUTED_VALUE"""),"")</f>
        <v/>
      </c>
    </row>
    <row r="14371" spans="1:5">
      <c r="A14371" s="12"/>
      <c r="E14371" s="57" t="str">
        <f ca="1">IFERROR(__xludf.DUMMYFUNCTION("""COMPUTED_VALUE"""),"")</f>
        <v/>
      </c>
    </row>
    <row r="14372" spans="1:5">
      <c r="A14372" s="12"/>
      <c r="E14372" s="57" t="str">
        <f ca="1">IFERROR(__xludf.DUMMYFUNCTION("""COMPUTED_VALUE"""),"")</f>
        <v/>
      </c>
    </row>
    <row r="14373" spans="1:5">
      <c r="A14373" s="12"/>
      <c r="E14373" s="57" t="str">
        <f ca="1">IFERROR(__xludf.DUMMYFUNCTION("""COMPUTED_VALUE"""),"")</f>
        <v/>
      </c>
    </row>
    <row r="14374" spans="1:5">
      <c r="A14374" s="12"/>
      <c r="E14374" s="57" t="str">
        <f ca="1">IFERROR(__xludf.DUMMYFUNCTION("""COMPUTED_VALUE"""),"")</f>
        <v/>
      </c>
    </row>
    <row r="14375" spans="1:5">
      <c r="A14375" s="12"/>
      <c r="E14375" s="57" t="str">
        <f ca="1">IFERROR(__xludf.DUMMYFUNCTION("""COMPUTED_VALUE"""),"")</f>
        <v/>
      </c>
    </row>
    <row r="14376" spans="1:5">
      <c r="A14376" s="12"/>
      <c r="E14376" s="57" t="str">
        <f ca="1">IFERROR(__xludf.DUMMYFUNCTION("""COMPUTED_VALUE"""),"")</f>
        <v/>
      </c>
    </row>
    <row r="14377" spans="1:5">
      <c r="A14377" s="12"/>
      <c r="E14377" s="57" t="str">
        <f ca="1">IFERROR(__xludf.DUMMYFUNCTION("""COMPUTED_VALUE"""),"")</f>
        <v/>
      </c>
    </row>
    <row r="14378" spans="1:5">
      <c r="A14378" s="12"/>
      <c r="E14378" s="57" t="str">
        <f ca="1">IFERROR(__xludf.DUMMYFUNCTION("""COMPUTED_VALUE"""),"")</f>
        <v/>
      </c>
    </row>
    <row r="14379" spans="1:5">
      <c r="A14379" s="12"/>
      <c r="E14379" s="57" t="str">
        <f ca="1">IFERROR(__xludf.DUMMYFUNCTION("""COMPUTED_VALUE"""),"")</f>
        <v/>
      </c>
    </row>
    <row r="14380" spans="1:5">
      <c r="A14380" s="12"/>
      <c r="E14380" s="57" t="str">
        <f ca="1">IFERROR(__xludf.DUMMYFUNCTION("""COMPUTED_VALUE"""),"")</f>
        <v/>
      </c>
    </row>
    <row r="14381" spans="1:5">
      <c r="A14381" s="12"/>
      <c r="E14381" s="57" t="str">
        <f ca="1">IFERROR(__xludf.DUMMYFUNCTION("""COMPUTED_VALUE"""),"")</f>
        <v/>
      </c>
    </row>
    <row r="14382" spans="1:5">
      <c r="A14382" s="12"/>
      <c r="E14382" s="57" t="str">
        <f ca="1">IFERROR(__xludf.DUMMYFUNCTION("""COMPUTED_VALUE"""),"")</f>
        <v/>
      </c>
    </row>
    <row r="14383" spans="1:5">
      <c r="A14383" s="12"/>
      <c r="E14383" s="57" t="str">
        <f ca="1">IFERROR(__xludf.DUMMYFUNCTION("""COMPUTED_VALUE"""),"")</f>
        <v/>
      </c>
    </row>
    <row r="14384" spans="1:5">
      <c r="A14384" s="12"/>
      <c r="E14384" s="57" t="str">
        <f ca="1">IFERROR(__xludf.DUMMYFUNCTION("""COMPUTED_VALUE"""),"")</f>
        <v/>
      </c>
    </row>
    <row r="14385" spans="1:5">
      <c r="A14385" s="12"/>
      <c r="E14385" s="57" t="str">
        <f ca="1">IFERROR(__xludf.DUMMYFUNCTION("""COMPUTED_VALUE"""),"")</f>
        <v/>
      </c>
    </row>
    <row r="14386" spans="1:5">
      <c r="A14386" s="12"/>
      <c r="E14386" s="57" t="str">
        <f ca="1">IFERROR(__xludf.DUMMYFUNCTION("""COMPUTED_VALUE"""),"")</f>
        <v/>
      </c>
    </row>
    <row r="14387" spans="1:5">
      <c r="A14387" s="12"/>
      <c r="E14387" s="57" t="str">
        <f ca="1">IFERROR(__xludf.DUMMYFUNCTION("""COMPUTED_VALUE"""),"")</f>
        <v/>
      </c>
    </row>
    <row r="14388" spans="1:5">
      <c r="A14388" s="12"/>
      <c r="E14388" s="57" t="str">
        <f ca="1">IFERROR(__xludf.DUMMYFUNCTION("""COMPUTED_VALUE"""),"")</f>
        <v/>
      </c>
    </row>
    <row r="14389" spans="1:5">
      <c r="A14389" s="12"/>
      <c r="E14389" s="57" t="str">
        <f ca="1">IFERROR(__xludf.DUMMYFUNCTION("""COMPUTED_VALUE"""),"")</f>
        <v/>
      </c>
    </row>
    <row r="14390" spans="1:5">
      <c r="A14390" s="12"/>
      <c r="E14390" s="57" t="str">
        <f ca="1">IFERROR(__xludf.DUMMYFUNCTION("""COMPUTED_VALUE"""),"")</f>
        <v/>
      </c>
    </row>
    <row r="14391" spans="1:5">
      <c r="A14391" s="12"/>
      <c r="E14391" s="57" t="str">
        <f ca="1">IFERROR(__xludf.DUMMYFUNCTION("""COMPUTED_VALUE"""),"")</f>
        <v/>
      </c>
    </row>
    <row r="14392" spans="1:5">
      <c r="A14392" s="12"/>
      <c r="E14392" s="57" t="str">
        <f ca="1">IFERROR(__xludf.DUMMYFUNCTION("""COMPUTED_VALUE"""),"")</f>
        <v/>
      </c>
    </row>
    <row r="14393" spans="1:5">
      <c r="A14393" s="12"/>
      <c r="E14393" s="57" t="str">
        <f ca="1">IFERROR(__xludf.DUMMYFUNCTION("""COMPUTED_VALUE"""),"")</f>
        <v/>
      </c>
    </row>
    <row r="14394" spans="1:5">
      <c r="A14394" s="12"/>
      <c r="E14394" s="57" t="str">
        <f ca="1">IFERROR(__xludf.DUMMYFUNCTION("""COMPUTED_VALUE"""),"")</f>
        <v/>
      </c>
    </row>
    <row r="14395" spans="1:5">
      <c r="A14395" s="12"/>
      <c r="E14395" s="57" t="str">
        <f ca="1">IFERROR(__xludf.DUMMYFUNCTION("""COMPUTED_VALUE"""),"")</f>
        <v/>
      </c>
    </row>
    <row r="14396" spans="1:5">
      <c r="A14396" s="12"/>
      <c r="E14396" s="57" t="str">
        <f ca="1">IFERROR(__xludf.DUMMYFUNCTION("""COMPUTED_VALUE"""),"")</f>
        <v/>
      </c>
    </row>
    <row r="14397" spans="1:5">
      <c r="A14397" s="12"/>
      <c r="E14397" s="57" t="str">
        <f ca="1">IFERROR(__xludf.DUMMYFUNCTION("""COMPUTED_VALUE"""),"")</f>
        <v/>
      </c>
    </row>
    <row r="14398" spans="1:5">
      <c r="A14398" s="12"/>
      <c r="E14398" s="57" t="str">
        <f ca="1">IFERROR(__xludf.DUMMYFUNCTION("""COMPUTED_VALUE"""),"")</f>
        <v/>
      </c>
    </row>
    <row r="14399" spans="1:5">
      <c r="A14399" s="12"/>
      <c r="E14399" s="57" t="str">
        <f ca="1">IFERROR(__xludf.DUMMYFUNCTION("""COMPUTED_VALUE"""),"")</f>
        <v/>
      </c>
    </row>
    <row r="14400" spans="1:5">
      <c r="A14400" s="12"/>
      <c r="E14400" s="57" t="str">
        <f ca="1">IFERROR(__xludf.DUMMYFUNCTION("""COMPUTED_VALUE"""),"")</f>
        <v/>
      </c>
    </row>
    <row r="14401" spans="1:5">
      <c r="A14401" s="12"/>
      <c r="E14401" s="57" t="str">
        <f ca="1">IFERROR(__xludf.DUMMYFUNCTION("""COMPUTED_VALUE"""),"")</f>
        <v/>
      </c>
    </row>
    <row r="14402" spans="1:5">
      <c r="A14402" s="12"/>
      <c r="E14402" s="57" t="str">
        <f ca="1">IFERROR(__xludf.DUMMYFUNCTION("""COMPUTED_VALUE"""),"")</f>
        <v/>
      </c>
    </row>
    <row r="14403" spans="1:5">
      <c r="A14403" s="12"/>
      <c r="E14403" s="57" t="str">
        <f ca="1">IFERROR(__xludf.DUMMYFUNCTION("""COMPUTED_VALUE"""),"")</f>
        <v/>
      </c>
    </row>
    <row r="14404" spans="1:5">
      <c r="A14404" s="12"/>
      <c r="E14404" s="57" t="str">
        <f ca="1">IFERROR(__xludf.DUMMYFUNCTION("""COMPUTED_VALUE"""),"")</f>
        <v/>
      </c>
    </row>
    <row r="14405" spans="1:5">
      <c r="A14405" s="12"/>
      <c r="E14405" s="57" t="str">
        <f ca="1">IFERROR(__xludf.DUMMYFUNCTION("""COMPUTED_VALUE"""),"")</f>
        <v/>
      </c>
    </row>
    <row r="14406" spans="1:5">
      <c r="A14406" s="12"/>
      <c r="E14406" s="57" t="str">
        <f ca="1">IFERROR(__xludf.DUMMYFUNCTION("""COMPUTED_VALUE"""),"")</f>
        <v/>
      </c>
    </row>
    <row r="14407" spans="1:5">
      <c r="A14407" s="12"/>
      <c r="E14407" s="57" t="str">
        <f ca="1">IFERROR(__xludf.DUMMYFUNCTION("""COMPUTED_VALUE"""),"")</f>
        <v/>
      </c>
    </row>
    <row r="14408" spans="1:5">
      <c r="A14408" s="12"/>
      <c r="E14408" s="57" t="str">
        <f ca="1">IFERROR(__xludf.DUMMYFUNCTION("""COMPUTED_VALUE"""),"")</f>
        <v/>
      </c>
    </row>
    <row r="14409" spans="1:5">
      <c r="A14409" s="12"/>
      <c r="E14409" s="57" t="str">
        <f ca="1">IFERROR(__xludf.DUMMYFUNCTION("""COMPUTED_VALUE"""),"")</f>
        <v/>
      </c>
    </row>
    <row r="14410" spans="1:5">
      <c r="A14410" s="12"/>
      <c r="E14410" s="57" t="str">
        <f ca="1">IFERROR(__xludf.DUMMYFUNCTION("""COMPUTED_VALUE"""),"")</f>
        <v/>
      </c>
    </row>
    <row r="14411" spans="1:5">
      <c r="A14411" s="12"/>
      <c r="E14411" s="57" t="str">
        <f ca="1">IFERROR(__xludf.DUMMYFUNCTION("""COMPUTED_VALUE"""),"")</f>
        <v/>
      </c>
    </row>
    <row r="14412" spans="1:5">
      <c r="A14412" s="12"/>
      <c r="E14412" s="57" t="str">
        <f ca="1">IFERROR(__xludf.DUMMYFUNCTION("""COMPUTED_VALUE"""),"")</f>
        <v/>
      </c>
    </row>
    <row r="14413" spans="1:5">
      <c r="A14413" s="12"/>
      <c r="E14413" s="57" t="str">
        <f ca="1">IFERROR(__xludf.DUMMYFUNCTION("""COMPUTED_VALUE"""),"")</f>
        <v/>
      </c>
    </row>
    <row r="14414" spans="1:5">
      <c r="A14414" s="12"/>
      <c r="E14414" s="57" t="str">
        <f ca="1">IFERROR(__xludf.DUMMYFUNCTION("""COMPUTED_VALUE"""),"")</f>
        <v/>
      </c>
    </row>
    <row r="14415" spans="1:5">
      <c r="A14415" s="12"/>
      <c r="E14415" s="57" t="str">
        <f ca="1">IFERROR(__xludf.DUMMYFUNCTION("""COMPUTED_VALUE"""),"")</f>
        <v/>
      </c>
    </row>
    <row r="14416" spans="1:5">
      <c r="A14416" s="12"/>
      <c r="E14416" s="57" t="str">
        <f ca="1">IFERROR(__xludf.DUMMYFUNCTION("""COMPUTED_VALUE"""),"")</f>
        <v/>
      </c>
    </row>
    <row r="14417" spans="1:5">
      <c r="A14417" s="12"/>
      <c r="E14417" s="57" t="str">
        <f ca="1">IFERROR(__xludf.DUMMYFUNCTION("""COMPUTED_VALUE"""),"")</f>
        <v/>
      </c>
    </row>
    <row r="14418" spans="1:5">
      <c r="A14418" s="12"/>
      <c r="E14418" s="57" t="str">
        <f ca="1">IFERROR(__xludf.DUMMYFUNCTION("""COMPUTED_VALUE"""),"")</f>
        <v/>
      </c>
    </row>
    <row r="14419" spans="1:5">
      <c r="A14419" s="12"/>
      <c r="E14419" s="57" t="str">
        <f ca="1">IFERROR(__xludf.DUMMYFUNCTION("""COMPUTED_VALUE"""),"")</f>
        <v/>
      </c>
    </row>
    <row r="14420" spans="1:5">
      <c r="A14420" s="12"/>
      <c r="E14420" s="57" t="str">
        <f ca="1">IFERROR(__xludf.DUMMYFUNCTION("""COMPUTED_VALUE"""),"")</f>
        <v/>
      </c>
    </row>
    <row r="14421" spans="1:5">
      <c r="A14421" s="12"/>
      <c r="E14421" s="57" t="str">
        <f ca="1">IFERROR(__xludf.DUMMYFUNCTION("""COMPUTED_VALUE"""),"")</f>
        <v/>
      </c>
    </row>
    <row r="14422" spans="1:5">
      <c r="A14422" s="12"/>
      <c r="E14422" s="57" t="str">
        <f ca="1">IFERROR(__xludf.DUMMYFUNCTION("""COMPUTED_VALUE"""),"")</f>
        <v/>
      </c>
    </row>
    <row r="14423" spans="1:5">
      <c r="A14423" s="12"/>
      <c r="E14423" s="57" t="str">
        <f ca="1">IFERROR(__xludf.DUMMYFUNCTION("""COMPUTED_VALUE"""),"")</f>
        <v/>
      </c>
    </row>
    <row r="14424" spans="1:5">
      <c r="A14424" s="12"/>
      <c r="E14424" s="57" t="str">
        <f ca="1">IFERROR(__xludf.DUMMYFUNCTION("""COMPUTED_VALUE"""),"")</f>
        <v/>
      </c>
    </row>
    <row r="14425" spans="1:5">
      <c r="A14425" s="12"/>
      <c r="E14425" s="57" t="str">
        <f ca="1">IFERROR(__xludf.DUMMYFUNCTION("""COMPUTED_VALUE"""),"")</f>
        <v/>
      </c>
    </row>
    <row r="14426" spans="1:5">
      <c r="A14426" s="12"/>
      <c r="E14426" s="57" t="str">
        <f ca="1">IFERROR(__xludf.DUMMYFUNCTION("""COMPUTED_VALUE"""),"")</f>
        <v/>
      </c>
    </row>
    <row r="14427" spans="1:5">
      <c r="A14427" s="12"/>
      <c r="E14427" s="57" t="str">
        <f ca="1">IFERROR(__xludf.DUMMYFUNCTION("""COMPUTED_VALUE"""),"")</f>
        <v/>
      </c>
    </row>
    <row r="14428" spans="1:5">
      <c r="A14428" s="12"/>
      <c r="E14428" s="57" t="str">
        <f ca="1">IFERROR(__xludf.DUMMYFUNCTION("""COMPUTED_VALUE"""),"")</f>
        <v/>
      </c>
    </row>
    <row r="14429" spans="1:5">
      <c r="A14429" s="12"/>
      <c r="E14429" s="57" t="str">
        <f ca="1">IFERROR(__xludf.DUMMYFUNCTION("""COMPUTED_VALUE"""),"")</f>
        <v/>
      </c>
    </row>
    <row r="14430" spans="1:5">
      <c r="A14430" s="12"/>
      <c r="E14430" s="57" t="str">
        <f ca="1">IFERROR(__xludf.DUMMYFUNCTION("""COMPUTED_VALUE"""),"")</f>
        <v/>
      </c>
    </row>
    <row r="14431" spans="1:5">
      <c r="A14431" s="12"/>
      <c r="E14431" s="57" t="str">
        <f ca="1">IFERROR(__xludf.DUMMYFUNCTION("""COMPUTED_VALUE"""),"")</f>
        <v/>
      </c>
    </row>
    <row r="14432" spans="1:5">
      <c r="A14432" s="12"/>
      <c r="E14432" s="57" t="str">
        <f ca="1">IFERROR(__xludf.DUMMYFUNCTION("""COMPUTED_VALUE"""),"")</f>
        <v/>
      </c>
    </row>
    <row r="14433" spans="1:5">
      <c r="A14433" s="12"/>
      <c r="E14433" s="57" t="str">
        <f ca="1">IFERROR(__xludf.DUMMYFUNCTION("""COMPUTED_VALUE"""),"")</f>
        <v/>
      </c>
    </row>
    <row r="14434" spans="1:5">
      <c r="A14434" s="12"/>
      <c r="E14434" s="57" t="str">
        <f ca="1">IFERROR(__xludf.DUMMYFUNCTION("""COMPUTED_VALUE"""),"")</f>
        <v/>
      </c>
    </row>
    <row r="14435" spans="1:5">
      <c r="A14435" s="12"/>
      <c r="E14435" s="57" t="str">
        <f ca="1">IFERROR(__xludf.DUMMYFUNCTION("""COMPUTED_VALUE"""),"")</f>
        <v/>
      </c>
    </row>
    <row r="14436" spans="1:5">
      <c r="A14436" s="12"/>
      <c r="E14436" s="57" t="str">
        <f ca="1">IFERROR(__xludf.DUMMYFUNCTION("""COMPUTED_VALUE"""),"")</f>
        <v/>
      </c>
    </row>
    <row r="14437" spans="1:5">
      <c r="A14437" s="12"/>
      <c r="E14437" s="57" t="str">
        <f ca="1">IFERROR(__xludf.DUMMYFUNCTION("""COMPUTED_VALUE"""),"")</f>
        <v/>
      </c>
    </row>
    <row r="14438" spans="1:5">
      <c r="A14438" s="12"/>
      <c r="E14438" s="57" t="str">
        <f ca="1">IFERROR(__xludf.DUMMYFUNCTION("""COMPUTED_VALUE"""),"")</f>
        <v/>
      </c>
    </row>
    <row r="14439" spans="1:5">
      <c r="A14439" s="12"/>
      <c r="E14439" s="57" t="str">
        <f ca="1">IFERROR(__xludf.DUMMYFUNCTION("""COMPUTED_VALUE"""),"")</f>
        <v/>
      </c>
    </row>
    <row r="14440" spans="1:5">
      <c r="A14440" s="12"/>
      <c r="E14440" s="57" t="str">
        <f ca="1">IFERROR(__xludf.DUMMYFUNCTION("""COMPUTED_VALUE"""),"")</f>
        <v/>
      </c>
    </row>
    <row r="14441" spans="1:5">
      <c r="A14441" s="12"/>
      <c r="E14441" s="57" t="str">
        <f ca="1">IFERROR(__xludf.DUMMYFUNCTION("""COMPUTED_VALUE"""),"")</f>
        <v/>
      </c>
    </row>
    <row r="14442" spans="1:5">
      <c r="A14442" s="12"/>
      <c r="E14442" s="57" t="str">
        <f ca="1">IFERROR(__xludf.DUMMYFUNCTION("""COMPUTED_VALUE"""),"")</f>
        <v/>
      </c>
    </row>
    <row r="14443" spans="1:5">
      <c r="A14443" s="12"/>
      <c r="E14443" s="57" t="str">
        <f ca="1">IFERROR(__xludf.DUMMYFUNCTION("""COMPUTED_VALUE"""),"")</f>
        <v/>
      </c>
    </row>
    <row r="14444" spans="1:5">
      <c r="A14444" s="12"/>
      <c r="E14444" s="57" t="str">
        <f ca="1">IFERROR(__xludf.DUMMYFUNCTION("""COMPUTED_VALUE"""),"")</f>
        <v/>
      </c>
    </row>
    <row r="14445" spans="1:5">
      <c r="A14445" s="12"/>
      <c r="E14445" s="57" t="str">
        <f ca="1">IFERROR(__xludf.DUMMYFUNCTION("""COMPUTED_VALUE"""),"")</f>
        <v/>
      </c>
    </row>
    <row r="14446" spans="1:5">
      <c r="A14446" s="12"/>
      <c r="E14446" s="57" t="str">
        <f ca="1">IFERROR(__xludf.DUMMYFUNCTION("""COMPUTED_VALUE"""),"")</f>
        <v/>
      </c>
    </row>
    <row r="14447" spans="1:5">
      <c r="A14447" s="12"/>
      <c r="E14447" s="57" t="str">
        <f ca="1">IFERROR(__xludf.DUMMYFUNCTION("""COMPUTED_VALUE"""),"")</f>
        <v/>
      </c>
    </row>
    <row r="14448" spans="1:5">
      <c r="A14448" s="12"/>
      <c r="E14448" s="57" t="str">
        <f ca="1">IFERROR(__xludf.DUMMYFUNCTION("""COMPUTED_VALUE"""),"")</f>
        <v/>
      </c>
    </row>
    <row r="14449" spans="1:5">
      <c r="A14449" s="12"/>
      <c r="E14449" s="57" t="str">
        <f ca="1">IFERROR(__xludf.DUMMYFUNCTION("""COMPUTED_VALUE"""),"")</f>
        <v/>
      </c>
    </row>
    <row r="14450" spans="1:5">
      <c r="A14450" s="12"/>
      <c r="E14450" s="57" t="str">
        <f ca="1">IFERROR(__xludf.DUMMYFUNCTION("""COMPUTED_VALUE"""),"")</f>
        <v/>
      </c>
    </row>
    <row r="14451" spans="1:5">
      <c r="A14451" s="12"/>
      <c r="E14451" s="57" t="str">
        <f ca="1">IFERROR(__xludf.DUMMYFUNCTION("""COMPUTED_VALUE"""),"")</f>
        <v/>
      </c>
    </row>
    <row r="14452" spans="1:5">
      <c r="A14452" s="12"/>
      <c r="E14452" s="57" t="str">
        <f ca="1">IFERROR(__xludf.DUMMYFUNCTION("""COMPUTED_VALUE"""),"")</f>
        <v/>
      </c>
    </row>
    <row r="14453" spans="1:5">
      <c r="A14453" s="12"/>
      <c r="E14453" s="57" t="str">
        <f ca="1">IFERROR(__xludf.DUMMYFUNCTION("""COMPUTED_VALUE"""),"")</f>
        <v/>
      </c>
    </row>
    <row r="14454" spans="1:5">
      <c r="A14454" s="12"/>
      <c r="E14454" s="57" t="str">
        <f ca="1">IFERROR(__xludf.DUMMYFUNCTION("""COMPUTED_VALUE"""),"")</f>
        <v/>
      </c>
    </row>
    <row r="14455" spans="1:5">
      <c r="A14455" s="12"/>
      <c r="E14455" s="57" t="str">
        <f ca="1">IFERROR(__xludf.DUMMYFUNCTION("""COMPUTED_VALUE"""),"")</f>
        <v/>
      </c>
    </row>
    <row r="14456" spans="1:5">
      <c r="A14456" s="12"/>
      <c r="E14456" s="57" t="str">
        <f ca="1">IFERROR(__xludf.DUMMYFUNCTION("""COMPUTED_VALUE"""),"")</f>
        <v/>
      </c>
    </row>
    <row r="14457" spans="1:5">
      <c r="A14457" s="12"/>
      <c r="E14457" s="57" t="str">
        <f ca="1">IFERROR(__xludf.DUMMYFUNCTION("""COMPUTED_VALUE"""),"")</f>
        <v/>
      </c>
    </row>
    <row r="14458" spans="1:5">
      <c r="A14458" s="12"/>
      <c r="E14458" s="57" t="str">
        <f ca="1">IFERROR(__xludf.DUMMYFUNCTION("""COMPUTED_VALUE"""),"")</f>
        <v/>
      </c>
    </row>
    <row r="14459" spans="1:5">
      <c r="A14459" s="12"/>
      <c r="E14459" s="57" t="str">
        <f ca="1">IFERROR(__xludf.DUMMYFUNCTION("""COMPUTED_VALUE"""),"")</f>
        <v/>
      </c>
    </row>
    <row r="14460" spans="1:5">
      <c r="A14460" s="12"/>
      <c r="E14460" s="57" t="str">
        <f ca="1">IFERROR(__xludf.DUMMYFUNCTION("""COMPUTED_VALUE"""),"")</f>
        <v/>
      </c>
    </row>
    <row r="14461" spans="1:5">
      <c r="A14461" s="12"/>
      <c r="E14461" s="57" t="str">
        <f ca="1">IFERROR(__xludf.DUMMYFUNCTION("""COMPUTED_VALUE"""),"")</f>
        <v/>
      </c>
    </row>
    <row r="14462" spans="1:5">
      <c r="A14462" s="12"/>
      <c r="E14462" s="57" t="str">
        <f ca="1">IFERROR(__xludf.DUMMYFUNCTION("""COMPUTED_VALUE"""),"")</f>
        <v/>
      </c>
    </row>
    <row r="14463" spans="1:5">
      <c r="A14463" s="12"/>
      <c r="E14463" s="57" t="str">
        <f ca="1">IFERROR(__xludf.DUMMYFUNCTION("""COMPUTED_VALUE"""),"")</f>
        <v/>
      </c>
    </row>
    <row r="14464" spans="1:5">
      <c r="A14464" s="12"/>
      <c r="E14464" s="57" t="str">
        <f ca="1">IFERROR(__xludf.DUMMYFUNCTION("""COMPUTED_VALUE"""),"")</f>
        <v/>
      </c>
    </row>
    <row r="14465" spans="1:5">
      <c r="A14465" s="12"/>
      <c r="E14465" s="57" t="str">
        <f ca="1">IFERROR(__xludf.DUMMYFUNCTION("""COMPUTED_VALUE"""),"")</f>
        <v/>
      </c>
    </row>
    <row r="14466" spans="1:5">
      <c r="A14466" s="12"/>
      <c r="E14466" s="57" t="str">
        <f ca="1">IFERROR(__xludf.DUMMYFUNCTION("""COMPUTED_VALUE"""),"")</f>
        <v/>
      </c>
    </row>
    <row r="14467" spans="1:5">
      <c r="A14467" s="12"/>
      <c r="E14467" s="57" t="str">
        <f ca="1">IFERROR(__xludf.DUMMYFUNCTION("""COMPUTED_VALUE"""),"")</f>
        <v/>
      </c>
    </row>
    <row r="14468" spans="1:5">
      <c r="A14468" s="12"/>
      <c r="E14468" s="57" t="str">
        <f ca="1">IFERROR(__xludf.DUMMYFUNCTION("""COMPUTED_VALUE"""),"")</f>
        <v/>
      </c>
    </row>
    <row r="14469" spans="1:5">
      <c r="A14469" s="12"/>
      <c r="E14469" s="57" t="str">
        <f ca="1">IFERROR(__xludf.DUMMYFUNCTION("""COMPUTED_VALUE"""),"")</f>
        <v/>
      </c>
    </row>
    <row r="14470" spans="1:5">
      <c r="A14470" s="12"/>
      <c r="E14470" s="57" t="str">
        <f ca="1">IFERROR(__xludf.DUMMYFUNCTION("""COMPUTED_VALUE"""),"")</f>
        <v/>
      </c>
    </row>
    <row r="14471" spans="1:5">
      <c r="A14471" s="12"/>
      <c r="E14471" s="57" t="str">
        <f ca="1">IFERROR(__xludf.DUMMYFUNCTION("""COMPUTED_VALUE"""),"")</f>
        <v/>
      </c>
    </row>
    <row r="14472" spans="1:5">
      <c r="A14472" s="12"/>
      <c r="E14472" s="57" t="str">
        <f ca="1">IFERROR(__xludf.DUMMYFUNCTION("""COMPUTED_VALUE"""),"")</f>
        <v/>
      </c>
    </row>
    <row r="14473" spans="1:5">
      <c r="A14473" s="12"/>
      <c r="E14473" s="57" t="str">
        <f ca="1">IFERROR(__xludf.DUMMYFUNCTION("""COMPUTED_VALUE"""),"")</f>
        <v/>
      </c>
    </row>
    <row r="14474" spans="1:5">
      <c r="A14474" s="12"/>
      <c r="E14474" s="57" t="str">
        <f ca="1">IFERROR(__xludf.DUMMYFUNCTION("""COMPUTED_VALUE"""),"")</f>
        <v/>
      </c>
    </row>
    <row r="14475" spans="1:5">
      <c r="A14475" s="12"/>
      <c r="E14475" s="57" t="str">
        <f ca="1">IFERROR(__xludf.DUMMYFUNCTION("""COMPUTED_VALUE"""),"")</f>
        <v/>
      </c>
    </row>
    <row r="14476" spans="1:5">
      <c r="A14476" s="12"/>
      <c r="E14476" s="57" t="str">
        <f ca="1">IFERROR(__xludf.DUMMYFUNCTION("""COMPUTED_VALUE"""),"")</f>
        <v/>
      </c>
    </row>
    <row r="14477" spans="1:5">
      <c r="A14477" s="12"/>
      <c r="E14477" s="57" t="str">
        <f ca="1">IFERROR(__xludf.DUMMYFUNCTION("""COMPUTED_VALUE"""),"")</f>
        <v/>
      </c>
    </row>
    <row r="14478" spans="1:5">
      <c r="A14478" s="12"/>
      <c r="E14478" s="57" t="str">
        <f ca="1">IFERROR(__xludf.DUMMYFUNCTION("""COMPUTED_VALUE"""),"")</f>
        <v/>
      </c>
    </row>
    <row r="14479" spans="1:5">
      <c r="A14479" s="12"/>
      <c r="E14479" s="57" t="str">
        <f ca="1">IFERROR(__xludf.DUMMYFUNCTION("""COMPUTED_VALUE"""),"")</f>
        <v/>
      </c>
    </row>
    <row r="14480" spans="1:5">
      <c r="A14480" s="12"/>
      <c r="E14480" s="57" t="str">
        <f ca="1">IFERROR(__xludf.DUMMYFUNCTION("""COMPUTED_VALUE"""),"")</f>
        <v/>
      </c>
    </row>
    <row r="14481" spans="1:5">
      <c r="A14481" s="12"/>
      <c r="E14481" s="57" t="str">
        <f ca="1">IFERROR(__xludf.DUMMYFUNCTION("""COMPUTED_VALUE"""),"")</f>
        <v/>
      </c>
    </row>
    <row r="14482" spans="1:5">
      <c r="A14482" s="12"/>
      <c r="E14482" s="57" t="str">
        <f ca="1">IFERROR(__xludf.DUMMYFUNCTION("""COMPUTED_VALUE"""),"")</f>
        <v/>
      </c>
    </row>
    <row r="14483" spans="1:5">
      <c r="A14483" s="12"/>
      <c r="E14483" s="57" t="str">
        <f ca="1">IFERROR(__xludf.DUMMYFUNCTION("""COMPUTED_VALUE"""),"")</f>
        <v/>
      </c>
    </row>
    <row r="14484" spans="1:5">
      <c r="A14484" s="12"/>
      <c r="E14484" s="57" t="str">
        <f ca="1">IFERROR(__xludf.DUMMYFUNCTION("""COMPUTED_VALUE"""),"")</f>
        <v/>
      </c>
    </row>
    <row r="14485" spans="1:5">
      <c r="A14485" s="12"/>
      <c r="E14485" s="57" t="str">
        <f ca="1">IFERROR(__xludf.DUMMYFUNCTION("""COMPUTED_VALUE"""),"")</f>
        <v/>
      </c>
    </row>
    <row r="14486" spans="1:5">
      <c r="A14486" s="12"/>
      <c r="E14486" s="57" t="str">
        <f ca="1">IFERROR(__xludf.DUMMYFUNCTION("""COMPUTED_VALUE"""),"")</f>
        <v/>
      </c>
    </row>
    <row r="14487" spans="1:5">
      <c r="A14487" s="12"/>
      <c r="E14487" s="57" t="str">
        <f ca="1">IFERROR(__xludf.DUMMYFUNCTION("""COMPUTED_VALUE"""),"")</f>
        <v/>
      </c>
    </row>
    <row r="14488" spans="1:5">
      <c r="A14488" s="12"/>
      <c r="E14488" s="57" t="str">
        <f ca="1">IFERROR(__xludf.DUMMYFUNCTION("""COMPUTED_VALUE"""),"")</f>
        <v/>
      </c>
    </row>
    <row r="14489" spans="1:5">
      <c r="A14489" s="12"/>
      <c r="E14489" s="57" t="str">
        <f ca="1">IFERROR(__xludf.DUMMYFUNCTION("""COMPUTED_VALUE"""),"")</f>
        <v/>
      </c>
    </row>
    <row r="14490" spans="1:5">
      <c r="A14490" s="12"/>
      <c r="E14490" s="57" t="str">
        <f ca="1">IFERROR(__xludf.DUMMYFUNCTION("""COMPUTED_VALUE"""),"")</f>
        <v/>
      </c>
    </row>
    <row r="14491" spans="1:5">
      <c r="A14491" s="12"/>
      <c r="E14491" s="57" t="str">
        <f ca="1">IFERROR(__xludf.DUMMYFUNCTION("""COMPUTED_VALUE"""),"")</f>
        <v/>
      </c>
    </row>
    <row r="14492" spans="1:5">
      <c r="A14492" s="12"/>
      <c r="E14492" s="57" t="str">
        <f ca="1">IFERROR(__xludf.DUMMYFUNCTION("""COMPUTED_VALUE"""),"")</f>
        <v/>
      </c>
    </row>
    <row r="14493" spans="1:5">
      <c r="A14493" s="12"/>
      <c r="E14493" s="57" t="str">
        <f ca="1">IFERROR(__xludf.DUMMYFUNCTION("""COMPUTED_VALUE"""),"")</f>
        <v/>
      </c>
    </row>
    <row r="14494" spans="1:5">
      <c r="A14494" s="12"/>
      <c r="E14494" s="57" t="str">
        <f ca="1">IFERROR(__xludf.DUMMYFUNCTION("""COMPUTED_VALUE"""),"")</f>
        <v/>
      </c>
    </row>
    <row r="14495" spans="1:5">
      <c r="A14495" s="12"/>
      <c r="E14495" s="57" t="str">
        <f ca="1">IFERROR(__xludf.DUMMYFUNCTION("""COMPUTED_VALUE"""),"")</f>
        <v/>
      </c>
    </row>
    <row r="14496" spans="1:5">
      <c r="A14496" s="12"/>
      <c r="E14496" s="57" t="str">
        <f ca="1">IFERROR(__xludf.DUMMYFUNCTION("""COMPUTED_VALUE"""),"")</f>
        <v/>
      </c>
    </row>
    <row r="14497" spans="1:5">
      <c r="A14497" s="12"/>
      <c r="E14497" s="57" t="str">
        <f ca="1">IFERROR(__xludf.DUMMYFUNCTION("""COMPUTED_VALUE"""),"")</f>
        <v/>
      </c>
    </row>
    <row r="14498" spans="1:5">
      <c r="A14498" s="12"/>
      <c r="E14498" s="57" t="str">
        <f ca="1">IFERROR(__xludf.DUMMYFUNCTION("""COMPUTED_VALUE"""),"")</f>
        <v/>
      </c>
    </row>
    <row r="14499" spans="1:5">
      <c r="A14499" s="12"/>
      <c r="E14499" s="57" t="str">
        <f ca="1">IFERROR(__xludf.DUMMYFUNCTION("""COMPUTED_VALUE"""),"")</f>
        <v/>
      </c>
    </row>
    <row r="14500" spans="1:5">
      <c r="A14500" s="12"/>
      <c r="E14500" s="57" t="str">
        <f ca="1">IFERROR(__xludf.DUMMYFUNCTION("""COMPUTED_VALUE"""),"")</f>
        <v/>
      </c>
    </row>
    <row r="14501" spans="1:5">
      <c r="A14501" s="12"/>
      <c r="E14501" s="57" t="str">
        <f ca="1">IFERROR(__xludf.DUMMYFUNCTION("""COMPUTED_VALUE"""),"")</f>
        <v/>
      </c>
    </row>
    <row r="14502" spans="1:5">
      <c r="A14502" s="12"/>
      <c r="E14502" s="57" t="str">
        <f ca="1">IFERROR(__xludf.DUMMYFUNCTION("""COMPUTED_VALUE"""),"")</f>
        <v/>
      </c>
    </row>
    <row r="14503" spans="1:5">
      <c r="A14503" s="12"/>
      <c r="E14503" s="57" t="str">
        <f ca="1">IFERROR(__xludf.DUMMYFUNCTION("""COMPUTED_VALUE"""),"")</f>
        <v/>
      </c>
    </row>
    <row r="14504" spans="1:5">
      <c r="A14504" s="12"/>
      <c r="E14504" s="57" t="str">
        <f ca="1">IFERROR(__xludf.DUMMYFUNCTION("""COMPUTED_VALUE"""),"")</f>
        <v/>
      </c>
    </row>
    <row r="14505" spans="1:5">
      <c r="A14505" s="12"/>
      <c r="E14505" s="57" t="str">
        <f ca="1">IFERROR(__xludf.DUMMYFUNCTION("""COMPUTED_VALUE"""),"")</f>
        <v/>
      </c>
    </row>
    <row r="14506" spans="1:5">
      <c r="A14506" s="12"/>
      <c r="E14506" s="57" t="str">
        <f ca="1">IFERROR(__xludf.DUMMYFUNCTION("""COMPUTED_VALUE"""),"")</f>
        <v/>
      </c>
    </row>
    <row r="14507" spans="1:5">
      <c r="A14507" s="12"/>
      <c r="E14507" s="57" t="str">
        <f ca="1">IFERROR(__xludf.DUMMYFUNCTION("""COMPUTED_VALUE"""),"")</f>
        <v/>
      </c>
    </row>
    <row r="14508" spans="1:5">
      <c r="A14508" s="12"/>
      <c r="E14508" s="57" t="str">
        <f ca="1">IFERROR(__xludf.DUMMYFUNCTION("""COMPUTED_VALUE"""),"")</f>
        <v/>
      </c>
    </row>
    <row r="14509" spans="1:5">
      <c r="A14509" s="12"/>
      <c r="E14509" s="57" t="str">
        <f ca="1">IFERROR(__xludf.DUMMYFUNCTION("""COMPUTED_VALUE"""),"")</f>
        <v/>
      </c>
    </row>
    <row r="14510" spans="1:5">
      <c r="A14510" s="12"/>
      <c r="E14510" s="57" t="str">
        <f ca="1">IFERROR(__xludf.DUMMYFUNCTION("""COMPUTED_VALUE"""),"")</f>
        <v/>
      </c>
    </row>
    <row r="14511" spans="1:5">
      <c r="A14511" s="12"/>
      <c r="E14511" s="57" t="str">
        <f ca="1">IFERROR(__xludf.DUMMYFUNCTION("""COMPUTED_VALUE"""),"")</f>
        <v/>
      </c>
    </row>
    <row r="14512" spans="1:5">
      <c r="A14512" s="12"/>
      <c r="E14512" s="57" t="str">
        <f ca="1">IFERROR(__xludf.DUMMYFUNCTION("""COMPUTED_VALUE"""),"")</f>
        <v/>
      </c>
    </row>
    <row r="14513" spans="1:5">
      <c r="A14513" s="12"/>
      <c r="E14513" s="57" t="str">
        <f ca="1">IFERROR(__xludf.DUMMYFUNCTION("""COMPUTED_VALUE"""),"")</f>
        <v/>
      </c>
    </row>
    <row r="14514" spans="1:5">
      <c r="A14514" s="12"/>
      <c r="E14514" s="57" t="str">
        <f ca="1">IFERROR(__xludf.DUMMYFUNCTION("""COMPUTED_VALUE"""),"")</f>
        <v/>
      </c>
    </row>
    <row r="14515" spans="1:5">
      <c r="A14515" s="12"/>
      <c r="E14515" s="57" t="str">
        <f ca="1">IFERROR(__xludf.DUMMYFUNCTION("""COMPUTED_VALUE"""),"")</f>
        <v/>
      </c>
    </row>
    <row r="14516" spans="1:5">
      <c r="A14516" s="12"/>
      <c r="E14516" s="57" t="str">
        <f ca="1">IFERROR(__xludf.DUMMYFUNCTION("""COMPUTED_VALUE"""),"")</f>
        <v/>
      </c>
    </row>
    <row r="14517" spans="1:5">
      <c r="A14517" s="12"/>
      <c r="E14517" s="57" t="str">
        <f ca="1">IFERROR(__xludf.DUMMYFUNCTION("""COMPUTED_VALUE"""),"")</f>
        <v/>
      </c>
    </row>
    <row r="14518" spans="1:5">
      <c r="A14518" s="12"/>
      <c r="E14518" s="57" t="str">
        <f ca="1">IFERROR(__xludf.DUMMYFUNCTION("""COMPUTED_VALUE"""),"")</f>
        <v/>
      </c>
    </row>
    <row r="14519" spans="1:5">
      <c r="A14519" s="12"/>
      <c r="E14519" s="57" t="str">
        <f ca="1">IFERROR(__xludf.DUMMYFUNCTION("""COMPUTED_VALUE"""),"")</f>
        <v/>
      </c>
    </row>
    <row r="14520" spans="1:5">
      <c r="A14520" s="12"/>
      <c r="E14520" s="57" t="str">
        <f ca="1">IFERROR(__xludf.DUMMYFUNCTION("""COMPUTED_VALUE"""),"")</f>
        <v/>
      </c>
    </row>
    <row r="14521" spans="1:5">
      <c r="A14521" s="12"/>
      <c r="E14521" s="57" t="str">
        <f ca="1">IFERROR(__xludf.DUMMYFUNCTION("""COMPUTED_VALUE"""),"")</f>
        <v/>
      </c>
    </row>
    <row r="14522" spans="1:5">
      <c r="A14522" s="12"/>
      <c r="E14522" s="57" t="str">
        <f ca="1">IFERROR(__xludf.DUMMYFUNCTION("""COMPUTED_VALUE"""),"")</f>
        <v/>
      </c>
    </row>
    <row r="14523" spans="1:5">
      <c r="A14523" s="12"/>
      <c r="E14523" s="57" t="str">
        <f ca="1">IFERROR(__xludf.DUMMYFUNCTION("""COMPUTED_VALUE"""),"")</f>
        <v/>
      </c>
    </row>
    <row r="14524" spans="1:5">
      <c r="A14524" s="12"/>
      <c r="E14524" s="57" t="str">
        <f ca="1">IFERROR(__xludf.DUMMYFUNCTION("""COMPUTED_VALUE"""),"")</f>
        <v/>
      </c>
    </row>
    <row r="14525" spans="1:5">
      <c r="A14525" s="12"/>
      <c r="E14525" s="57" t="str">
        <f ca="1">IFERROR(__xludf.DUMMYFUNCTION("""COMPUTED_VALUE"""),"")</f>
        <v/>
      </c>
    </row>
    <row r="14526" spans="1:5">
      <c r="A14526" s="12"/>
      <c r="E14526" s="57" t="str">
        <f ca="1">IFERROR(__xludf.DUMMYFUNCTION("""COMPUTED_VALUE"""),"")</f>
        <v/>
      </c>
    </row>
    <row r="14527" spans="1:5">
      <c r="A14527" s="12"/>
      <c r="E14527" s="57" t="str">
        <f ca="1">IFERROR(__xludf.DUMMYFUNCTION("""COMPUTED_VALUE"""),"")</f>
        <v/>
      </c>
    </row>
    <row r="14528" spans="1:5">
      <c r="A14528" s="12"/>
      <c r="E14528" s="57" t="str">
        <f ca="1">IFERROR(__xludf.DUMMYFUNCTION("""COMPUTED_VALUE"""),"")</f>
        <v/>
      </c>
    </row>
    <row r="14529" spans="1:5">
      <c r="A14529" s="12"/>
      <c r="E14529" s="57" t="str">
        <f ca="1">IFERROR(__xludf.DUMMYFUNCTION("""COMPUTED_VALUE"""),"")</f>
        <v/>
      </c>
    </row>
    <row r="14530" spans="1:5">
      <c r="A14530" s="12"/>
      <c r="E14530" s="57" t="str">
        <f ca="1">IFERROR(__xludf.DUMMYFUNCTION("""COMPUTED_VALUE"""),"")</f>
        <v/>
      </c>
    </row>
    <row r="14531" spans="1:5">
      <c r="A14531" s="12"/>
      <c r="E14531" s="57" t="str">
        <f ca="1">IFERROR(__xludf.DUMMYFUNCTION("""COMPUTED_VALUE"""),"")</f>
        <v/>
      </c>
    </row>
    <row r="14532" spans="1:5">
      <c r="A14532" s="12"/>
      <c r="E14532" s="57" t="str">
        <f ca="1">IFERROR(__xludf.DUMMYFUNCTION("""COMPUTED_VALUE"""),"")</f>
        <v/>
      </c>
    </row>
    <row r="14533" spans="1:5">
      <c r="A14533" s="12"/>
      <c r="E14533" s="57" t="str">
        <f ca="1">IFERROR(__xludf.DUMMYFUNCTION("""COMPUTED_VALUE"""),"")</f>
        <v/>
      </c>
    </row>
    <row r="14534" spans="1:5">
      <c r="A14534" s="12"/>
      <c r="E14534" s="57" t="str">
        <f ca="1">IFERROR(__xludf.DUMMYFUNCTION("""COMPUTED_VALUE"""),"")</f>
        <v/>
      </c>
    </row>
    <row r="14535" spans="1:5">
      <c r="A14535" s="12"/>
      <c r="E14535" s="57" t="str">
        <f ca="1">IFERROR(__xludf.DUMMYFUNCTION("""COMPUTED_VALUE"""),"")</f>
        <v/>
      </c>
    </row>
    <row r="14536" spans="1:5">
      <c r="A14536" s="12"/>
      <c r="E14536" s="57" t="str">
        <f ca="1">IFERROR(__xludf.DUMMYFUNCTION("""COMPUTED_VALUE"""),"")</f>
        <v/>
      </c>
    </row>
    <row r="14537" spans="1:5">
      <c r="A14537" s="12"/>
      <c r="E14537" s="57" t="str">
        <f ca="1">IFERROR(__xludf.DUMMYFUNCTION("""COMPUTED_VALUE"""),"")</f>
        <v/>
      </c>
    </row>
    <row r="14538" spans="1:5">
      <c r="A14538" s="12"/>
      <c r="E14538" s="57" t="str">
        <f ca="1">IFERROR(__xludf.DUMMYFUNCTION("""COMPUTED_VALUE"""),"")</f>
        <v/>
      </c>
    </row>
    <row r="14539" spans="1:5">
      <c r="A14539" s="12"/>
      <c r="E14539" s="57" t="str">
        <f ca="1">IFERROR(__xludf.DUMMYFUNCTION("""COMPUTED_VALUE"""),"")</f>
        <v/>
      </c>
    </row>
    <row r="14540" spans="1:5">
      <c r="A14540" s="12"/>
      <c r="E14540" s="57" t="str">
        <f ca="1">IFERROR(__xludf.DUMMYFUNCTION("""COMPUTED_VALUE"""),"")</f>
        <v/>
      </c>
    </row>
    <row r="14541" spans="1:5">
      <c r="A14541" s="12"/>
      <c r="E14541" s="57" t="str">
        <f ca="1">IFERROR(__xludf.DUMMYFUNCTION("""COMPUTED_VALUE"""),"")</f>
        <v/>
      </c>
    </row>
    <row r="14542" spans="1:5">
      <c r="A14542" s="12"/>
      <c r="E14542" s="57" t="str">
        <f ca="1">IFERROR(__xludf.DUMMYFUNCTION("""COMPUTED_VALUE"""),"")</f>
        <v/>
      </c>
    </row>
    <row r="14543" spans="1:5">
      <c r="A14543" s="12"/>
      <c r="E14543" s="57" t="str">
        <f ca="1">IFERROR(__xludf.DUMMYFUNCTION("""COMPUTED_VALUE"""),"")</f>
        <v/>
      </c>
    </row>
    <row r="14544" spans="1:5">
      <c r="A14544" s="12"/>
      <c r="E14544" s="57" t="str">
        <f ca="1">IFERROR(__xludf.DUMMYFUNCTION("""COMPUTED_VALUE"""),"")</f>
        <v/>
      </c>
    </row>
    <row r="14545" spans="1:5">
      <c r="A14545" s="12"/>
      <c r="E14545" s="57" t="str">
        <f ca="1">IFERROR(__xludf.DUMMYFUNCTION("""COMPUTED_VALUE"""),"")</f>
        <v/>
      </c>
    </row>
    <row r="14546" spans="1:5">
      <c r="A14546" s="12"/>
      <c r="E14546" s="57" t="str">
        <f ca="1">IFERROR(__xludf.DUMMYFUNCTION("""COMPUTED_VALUE"""),"")</f>
        <v/>
      </c>
    </row>
    <row r="14547" spans="1:5">
      <c r="A14547" s="12"/>
      <c r="E14547" s="57" t="str">
        <f ca="1">IFERROR(__xludf.DUMMYFUNCTION("""COMPUTED_VALUE"""),"")</f>
        <v/>
      </c>
    </row>
    <row r="14548" spans="1:5">
      <c r="A14548" s="12"/>
      <c r="E14548" s="57" t="str">
        <f ca="1">IFERROR(__xludf.DUMMYFUNCTION("""COMPUTED_VALUE"""),"")</f>
        <v/>
      </c>
    </row>
    <row r="14549" spans="1:5">
      <c r="A14549" s="12"/>
      <c r="E14549" s="57" t="str">
        <f ca="1">IFERROR(__xludf.DUMMYFUNCTION("""COMPUTED_VALUE"""),"")</f>
        <v/>
      </c>
    </row>
    <row r="14550" spans="1:5">
      <c r="A14550" s="12"/>
      <c r="E14550" s="57" t="str">
        <f ca="1">IFERROR(__xludf.DUMMYFUNCTION("""COMPUTED_VALUE"""),"")</f>
        <v/>
      </c>
    </row>
    <row r="14551" spans="1:5">
      <c r="A14551" s="12"/>
      <c r="E14551" s="57" t="str">
        <f ca="1">IFERROR(__xludf.DUMMYFUNCTION("""COMPUTED_VALUE"""),"")</f>
        <v/>
      </c>
    </row>
    <row r="14552" spans="1:5">
      <c r="A14552" s="12"/>
      <c r="E14552" s="57" t="str">
        <f ca="1">IFERROR(__xludf.DUMMYFUNCTION("""COMPUTED_VALUE"""),"")</f>
        <v/>
      </c>
    </row>
    <row r="14553" spans="1:5">
      <c r="A14553" s="12"/>
      <c r="E14553" s="57" t="str">
        <f ca="1">IFERROR(__xludf.DUMMYFUNCTION("""COMPUTED_VALUE"""),"")</f>
        <v/>
      </c>
    </row>
    <row r="14554" spans="1:5">
      <c r="A14554" s="12"/>
      <c r="E14554" s="57" t="str">
        <f ca="1">IFERROR(__xludf.DUMMYFUNCTION("""COMPUTED_VALUE"""),"")</f>
        <v/>
      </c>
    </row>
    <row r="14555" spans="1:5">
      <c r="A14555" s="12"/>
      <c r="E14555" s="57" t="str">
        <f ca="1">IFERROR(__xludf.DUMMYFUNCTION("""COMPUTED_VALUE"""),"")</f>
        <v/>
      </c>
    </row>
    <row r="14556" spans="1:5">
      <c r="A14556" s="12"/>
      <c r="E14556" s="57" t="str">
        <f ca="1">IFERROR(__xludf.DUMMYFUNCTION("""COMPUTED_VALUE"""),"")</f>
        <v/>
      </c>
    </row>
    <row r="14557" spans="1:5">
      <c r="A14557" s="12"/>
      <c r="E14557" s="57" t="str">
        <f ca="1">IFERROR(__xludf.DUMMYFUNCTION("""COMPUTED_VALUE"""),"")</f>
        <v/>
      </c>
    </row>
    <row r="14558" spans="1:5">
      <c r="A14558" s="12"/>
      <c r="E14558" s="57" t="str">
        <f ca="1">IFERROR(__xludf.DUMMYFUNCTION("""COMPUTED_VALUE"""),"")</f>
        <v/>
      </c>
    </row>
    <row r="14559" spans="1:5">
      <c r="A14559" s="12"/>
      <c r="E14559" s="57" t="str">
        <f ca="1">IFERROR(__xludf.DUMMYFUNCTION("""COMPUTED_VALUE"""),"")</f>
        <v/>
      </c>
    </row>
    <row r="14560" spans="1:5">
      <c r="A14560" s="12"/>
      <c r="E14560" s="57" t="str">
        <f ca="1">IFERROR(__xludf.DUMMYFUNCTION("""COMPUTED_VALUE"""),"")</f>
        <v/>
      </c>
    </row>
    <row r="14561" spans="1:5">
      <c r="A14561" s="12"/>
      <c r="E14561" s="57" t="str">
        <f ca="1">IFERROR(__xludf.DUMMYFUNCTION("""COMPUTED_VALUE"""),"")</f>
        <v/>
      </c>
    </row>
    <row r="14562" spans="1:5">
      <c r="A14562" s="12"/>
      <c r="E14562" s="57" t="str">
        <f ca="1">IFERROR(__xludf.DUMMYFUNCTION("""COMPUTED_VALUE"""),"")</f>
        <v/>
      </c>
    </row>
    <row r="14563" spans="1:5">
      <c r="A14563" s="12"/>
      <c r="E14563" s="57" t="str">
        <f ca="1">IFERROR(__xludf.DUMMYFUNCTION("""COMPUTED_VALUE"""),"")</f>
        <v/>
      </c>
    </row>
    <row r="14564" spans="1:5">
      <c r="A14564" s="12"/>
      <c r="E14564" s="57" t="str">
        <f ca="1">IFERROR(__xludf.DUMMYFUNCTION("""COMPUTED_VALUE"""),"")</f>
        <v/>
      </c>
    </row>
    <row r="14565" spans="1:5">
      <c r="A14565" s="12"/>
      <c r="E14565" s="57" t="str">
        <f ca="1">IFERROR(__xludf.DUMMYFUNCTION("""COMPUTED_VALUE"""),"")</f>
        <v/>
      </c>
    </row>
    <row r="14566" spans="1:5">
      <c r="A14566" s="12"/>
      <c r="E14566" s="57" t="str">
        <f ca="1">IFERROR(__xludf.DUMMYFUNCTION("""COMPUTED_VALUE"""),"")</f>
        <v/>
      </c>
    </row>
    <row r="14567" spans="1:5">
      <c r="A14567" s="12"/>
      <c r="E14567" s="57" t="str">
        <f ca="1">IFERROR(__xludf.DUMMYFUNCTION("""COMPUTED_VALUE"""),"")</f>
        <v/>
      </c>
    </row>
    <row r="14568" spans="1:5">
      <c r="A14568" s="12"/>
      <c r="E14568" s="57" t="str">
        <f ca="1">IFERROR(__xludf.DUMMYFUNCTION("""COMPUTED_VALUE"""),"")</f>
        <v/>
      </c>
    </row>
    <row r="14569" spans="1:5">
      <c r="A14569" s="12"/>
      <c r="E14569" s="57" t="str">
        <f ca="1">IFERROR(__xludf.DUMMYFUNCTION("""COMPUTED_VALUE"""),"")</f>
        <v/>
      </c>
    </row>
    <row r="14570" spans="1:5">
      <c r="A14570" s="12"/>
      <c r="E14570" s="57" t="str">
        <f ca="1">IFERROR(__xludf.DUMMYFUNCTION("""COMPUTED_VALUE"""),"")</f>
        <v/>
      </c>
    </row>
    <row r="14571" spans="1:5">
      <c r="A14571" s="12"/>
      <c r="E14571" s="57" t="str">
        <f ca="1">IFERROR(__xludf.DUMMYFUNCTION("""COMPUTED_VALUE"""),"")</f>
        <v/>
      </c>
    </row>
    <row r="14572" spans="1:5">
      <c r="A14572" s="12"/>
      <c r="E14572" s="57" t="str">
        <f ca="1">IFERROR(__xludf.DUMMYFUNCTION("""COMPUTED_VALUE"""),"")</f>
        <v/>
      </c>
    </row>
    <row r="14573" spans="1:5">
      <c r="A14573" s="12"/>
      <c r="E14573" s="57" t="str">
        <f ca="1">IFERROR(__xludf.DUMMYFUNCTION("""COMPUTED_VALUE"""),"")</f>
        <v/>
      </c>
    </row>
    <row r="14574" spans="1:5">
      <c r="A14574" s="12"/>
      <c r="E14574" s="57" t="str">
        <f ca="1">IFERROR(__xludf.DUMMYFUNCTION("""COMPUTED_VALUE"""),"")</f>
        <v/>
      </c>
    </row>
    <row r="14575" spans="1:5">
      <c r="A14575" s="12"/>
      <c r="E14575" s="57" t="str">
        <f ca="1">IFERROR(__xludf.DUMMYFUNCTION("""COMPUTED_VALUE"""),"")</f>
        <v/>
      </c>
    </row>
    <row r="14576" spans="1:5">
      <c r="A14576" s="12"/>
      <c r="E14576" s="57" t="str">
        <f ca="1">IFERROR(__xludf.DUMMYFUNCTION("""COMPUTED_VALUE"""),"")</f>
        <v/>
      </c>
    </row>
    <row r="14577" spans="1:5">
      <c r="A14577" s="12"/>
      <c r="E14577" s="57" t="str">
        <f ca="1">IFERROR(__xludf.DUMMYFUNCTION("""COMPUTED_VALUE"""),"")</f>
        <v/>
      </c>
    </row>
    <row r="14578" spans="1:5">
      <c r="A14578" s="12"/>
      <c r="E14578" s="57" t="str">
        <f ca="1">IFERROR(__xludf.DUMMYFUNCTION("""COMPUTED_VALUE"""),"")</f>
        <v/>
      </c>
    </row>
    <row r="14579" spans="1:5">
      <c r="A14579" s="12"/>
      <c r="E14579" s="57" t="str">
        <f ca="1">IFERROR(__xludf.DUMMYFUNCTION("""COMPUTED_VALUE"""),"")</f>
        <v/>
      </c>
    </row>
    <row r="14580" spans="1:5">
      <c r="A14580" s="12"/>
      <c r="E14580" s="57" t="str">
        <f ca="1">IFERROR(__xludf.DUMMYFUNCTION("""COMPUTED_VALUE"""),"")</f>
        <v/>
      </c>
    </row>
    <row r="14581" spans="1:5">
      <c r="A14581" s="12"/>
      <c r="E14581" s="57" t="str">
        <f ca="1">IFERROR(__xludf.DUMMYFUNCTION("""COMPUTED_VALUE"""),"")</f>
        <v/>
      </c>
    </row>
    <row r="14582" spans="1:5">
      <c r="A14582" s="12"/>
      <c r="E14582" s="57" t="str">
        <f ca="1">IFERROR(__xludf.DUMMYFUNCTION("""COMPUTED_VALUE"""),"")</f>
        <v/>
      </c>
    </row>
    <row r="14583" spans="1:5">
      <c r="A14583" s="12"/>
      <c r="E14583" s="57" t="str">
        <f ca="1">IFERROR(__xludf.DUMMYFUNCTION("""COMPUTED_VALUE"""),"")</f>
        <v/>
      </c>
    </row>
    <row r="14584" spans="1:5">
      <c r="A14584" s="12"/>
      <c r="E14584" s="57" t="str">
        <f ca="1">IFERROR(__xludf.DUMMYFUNCTION("""COMPUTED_VALUE"""),"")</f>
        <v/>
      </c>
    </row>
    <row r="14585" spans="1:5">
      <c r="A14585" s="12"/>
      <c r="E14585" s="57" t="str">
        <f ca="1">IFERROR(__xludf.DUMMYFUNCTION("""COMPUTED_VALUE"""),"")</f>
        <v/>
      </c>
    </row>
    <row r="14586" spans="1:5">
      <c r="A14586" s="12"/>
      <c r="E14586" s="57" t="str">
        <f ca="1">IFERROR(__xludf.DUMMYFUNCTION("""COMPUTED_VALUE"""),"")</f>
        <v/>
      </c>
    </row>
    <row r="14587" spans="1:5">
      <c r="A14587" s="12"/>
      <c r="E14587" s="57" t="str">
        <f ca="1">IFERROR(__xludf.DUMMYFUNCTION("""COMPUTED_VALUE"""),"")</f>
        <v/>
      </c>
    </row>
    <row r="14588" spans="1:5">
      <c r="A14588" s="12"/>
      <c r="E14588" s="57" t="str">
        <f ca="1">IFERROR(__xludf.DUMMYFUNCTION("""COMPUTED_VALUE"""),"")</f>
        <v/>
      </c>
    </row>
    <row r="14589" spans="1:5">
      <c r="A14589" s="12"/>
      <c r="E14589" s="57" t="str">
        <f ca="1">IFERROR(__xludf.DUMMYFUNCTION("""COMPUTED_VALUE"""),"")</f>
        <v/>
      </c>
    </row>
    <row r="14590" spans="1:5">
      <c r="A14590" s="12"/>
      <c r="E14590" s="57" t="str">
        <f ca="1">IFERROR(__xludf.DUMMYFUNCTION("""COMPUTED_VALUE"""),"")</f>
        <v/>
      </c>
    </row>
    <row r="14591" spans="1:5">
      <c r="A14591" s="12"/>
      <c r="E14591" s="57" t="str">
        <f ca="1">IFERROR(__xludf.DUMMYFUNCTION("""COMPUTED_VALUE"""),"")</f>
        <v/>
      </c>
    </row>
    <row r="14592" spans="1:5">
      <c r="A14592" s="12"/>
      <c r="E14592" s="57" t="str">
        <f ca="1">IFERROR(__xludf.DUMMYFUNCTION("""COMPUTED_VALUE"""),"")</f>
        <v/>
      </c>
    </row>
    <row r="14593" spans="1:5">
      <c r="A14593" s="12"/>
      <c r="E14593" s="57" t="str">
        <f ca="1">IFERROR(__xludf.DUMMYFUNCTION("""COMPUTED_VALUE"""),"")</f>
        <v/>
      </c>
    </row>
    <row r="14594" spans="1:5">
      <c r="A14594" s="12"/>
      <c r="E14594" s="57" t="str">
        <f ca="1">IFERROR(__xludf.DUMMYFUNCTION("""COMPUTED_VALUE"""),"")</f>
        <v/>
      </c>
    </row>
    <row r="14595" spans="1:5">
      <c r="A14595" s="12"/>
      <c r="E14595" s="57" t="str">
        <f ca="1">IFERROR(__xludf.DUMMYFUNCTION("""COMPUTED_VALUE"""),"")</f>
        <v/>
      </c>
    </row>
    <row r="14596" spans="1:5">
      <c r="A14596" s="12"/>
      <c r="E14596" s="57" t="str">
        <f ca="1">IFERROR(__xludf.DUMMYFUNCTION("""COMPUTED_VALUE"""),"")</f>
        <v/>
      </c>
    </row>
    <row r="14597" spans="1:5">
      <c r="A14597" s="12"/>
      <c r="E14597" s="57" t="str">
        <f ca="1">IFERROR(__xludf.DUMMYFUNCTION("""COMPUTED_VALUE"""),"")</f>
        <v/>
      </c>
    </row>
    <row r="14598" spans="1:5">
      <c r="A14598" s="12"/>
      <c r="E14598" s="57" t="str">
        <f ca="1">IFERROR(__xludf.DUMMYFUNCTION("""COMPUTED_VALUE"""),"")</f>
        <v/>
      </c>
    </row>
    <row r="14599" spans="1:5">
      <c r="A14599" s="12"/>
      <c r="E14599" s="57" t="str">
        <f ca="1">IFERROR(__xludf.DUMMYFUNCTION("""COMPUTED_VALUE"""),"")</f>
        <v/>
      </c>
    </row>
    <row r="14600" spans="1:5">
      <c r="A14600" s="12"/>
      <c r="E14600" s="57" t="str">
        <f ca="1">IFERROR(__xludf.DUMMYFUNCTION("""COMPUTED_VALUE"""),"")</f>
        <v/>
      </c>
    </row>
    <row r="14601" spans="1:5">
      <c r="A14601" s="12"/>
      <c r="E14601" s="57" t="str">
        <f ca="1">IFERROR(__xludf.DUMMYFUNCTION("""COMPUTED_VALUE"""),"")</f>
        <v/>
      </c>
    </row>
    <row r="14602" spans="1:5">
      <c r="A14602" s="12"/>
      <c r="E14602" s="57" t="str">
        <f ca="1">IFERROR(__xludf.DUMMYFUNCTION("""COMPUTED_VALUE"""),"")</f>
        <v/>
      </c>
    </row>
    <row r="14603" spans="1:5">
      <c r="A14603" s="12"/>
      <c r="E14603" s="57" t="str">
        <f ca="1">IFERROR(__xludf.DUMMYFUNCTION("""COMPUTED_VALUE"""),"")</f>
        <v/>
      </c>
    </row>
    <row r="14604" spans="1:5">
      <c r="A14604" s="12"/>
      <c r="E14604" s="57" t="str">
        <f ca="1">IFERROR(__xludf.DUMMYFUNCTION("""COMPUTED_VALUE"""),"")</f>
        <v/>
      </c>
    </row>
    <row r="14605" spans="1:5">
      <c r="A14605" s="12"/>
      <c r="E14605" s="57" t="str">
        <f ca="1">IFERROR(__xludf.DUMMYFUNCTION("""COMPUTED_VALUE"""),"")</f>
        <v/>
      </c>
    </row>
    <row r="14606" spans="1:5">
      <c r="A14606" s="12"/>
      <c r="E14606" s="57" t="str">
        <f ca="1">IFERROR(__xludf.DUMMYFUNCTION("""COMPUTED_VALUE"""),"")</f>
        <v/>
      </c>
    </row>
    <row r="14607" spans="1:5">
      <c r="A14607" s="12"/>
      <c r="E14607" s="57" t="str">
        <f ca="1">IFERROR(__xludf.DUMMYFUNCTION("""COMPUTED_VALUE"""),"")</f>
        <v/>
      </c>
    </row>
    <row r="14608" spans="1:5">
      <c r="A14608" s="12"/>
      <c r="E14608" s="57" t="str">
        <f ca="1">IFERROR(__xludf.DUMMYFUNCTION("""COMPUTED_VALUE"""),"")</f>
        <v/>
      </c>
    </row>
    <row r="14609" spans="1:5">
      <c r="A14609" s="12"/>
      <c r="E14609" s="57" t="str">
        <f ca="1">IFERROR(__xludf.DUMMYFUNCTION("""COMPUTED_VALUE"""),"")</f>
        <v/>
      </c>
    </row>
    <row r="14610" spans="1:5">
      <c r="A14610" s="12"/>
      <c r="E14610" s="57" t="str">
        <f ca="1">IFERROR(__xludf.DUMMYFUNCTION("""COMPUTED_VALUE"""),"")</f>
        <v/>
      </c>
    </row>
    <row r="14611" spans="1:5">
      <c r="A14611" s="12"/>
      <c r="E14611" s="57" t="str">
        <f ca="1">IFERROR(__xludf.DUMMYFUNCTION("""COMPUTED_VALUE"""),"")</f>
        <v/>
      </c>
    </row>
    <row r="14612" spans="1:5">
      <c r="A14612" s="12"/>
      <c r="E14612" s="57" t="str">
        <f ca="1">IFERROR(__xludf.DUMMYFUNCTION("""COMPUTED_VALUE"""),"")</f>
        <v/>
      </c>
    </row>
    <row r="14613" spans="1:5">
      <c r="A14613" s="12"/>
      <c r="E14613" s="57" t="str">
        <f ca="1">IFERROR(__xludf.DUMMYFUNCTION("""COMPUTED_VALUE"""),"")</f>
        <v/>
      </c>
    </row>
    <row r="14614" spans="1:5">
      <c r="A14614" s="12"/>
      <c r="E14614" s="57" t="str">
        <f ca="1">IFERROR(__xludf.DUMMYFUNCTION("""COMPUTED_VALUE"""),"")</f>
        <v/>
      </c>
    </row>
    <row r="14615" spans="1:5">
      <c r="A14615" s="12"/>
      <c r="E14615" s="57" t="str">
        <f ca="1">IFERROR(__xludf.DUMMYFUNCTION("""COMPUTED_VALUE"""),"")</f>
        <v/>
      </c>
    </row>
    <row r="14616" spans="1:5">
      <c r="A14616" s="12"/>
      <c r="E14616" s="57" t="str">
        <f ca="1">IFERROR(__xludf.DUMMYFUNCTION("""COMPUTED_VALUE"""),"")</f>
        <v/>
      </c>
    </row>
    <row r="14617" spans="1:5">
      <c r="A14617" s="12"/>
      <c r="E14617" s="57" t="str">
        <f ca="1">IFERROR(__xludf.DUMMYFUNCTION("""COMPUTED_VALUE"""),"")</f>
        <v/>
      </c>
    </row>
    <row r="14618" spans="1:5">
      <c r="A14618" s="12"/>
      <c r="E14618" s="57" t="str">
        <f ca="1">IFERROR(__xludf.DUMMYFUNCTION("""COMPUTED_VALUE"""),"")</f>
        <v/>
      </c>
    </row>
    <row r="14619" spans="1:5">
      <c r="A14619" s="12"/>
      <c r="E14619" s="57" t="str">
        <f ca="1">IFERROR(__xludf.DUMMYFUNCTION("""COMPUTED_VALUE"""),"")</f>
        <v/>
      </c>
    </row>
    <row r="14620" spans="1:5">
      <c r="A14620" s="12"/>
      <c r="E14620" s="57" t="str">
        <f ca="1">IFERROR(__xludf.DUMMYFUNCTION("""COMPUTED_VALUE"""),"")</f>
        <v/>
      </c>
    </row>
    <row r="14621" spans="1:5">
      <c r="A14621" s="12"/>
      <c r="E14621" s="57" t="str">
        <f ca="1">IFERROR(__xludf.DUMMYFUNCTION("""COMPUTED_VALUE"""),"")</f>
        <v/>
      </c>
    </row>
    <row r="14622" spans="1:5">
      <c r="A14622" s="12"/>
      <c r="E14622" s="57" t="str">
        <f ca="1">IFERROR(__xludf.DUMMYFUNCTION("""COMPUTED_VALUE"""),"")</f>
        <v/>
      </c>
    </row>
    <row r="14623" spans="1:5">
      <c r="A14623" s="12"/>
      <c r="E14623" s="57" t="str">
        <f ca="1">IFERROR(__xludf.DUMMYFUNCTION("""COMPUTED_VALUE"""),"")</f>
        <v/>
      </c>
    </row>
    <row r="14624" spans="1:5">
      <c r="A14624" s="12"/>
      <c r="E14624" s="57" t="str">
        <f ca="1">IFERROR(__xludf.DUMMYFUNCTION("""COMPUTED_VALUE"""),"")</f>
        <v/>
      </c>
    </row>
    <row r="14625" spans="1:5">
      <c r="A14625" s="12"/>
      <c r="E14625" s="57" t="str">
        <f ca="1">IFERROR(__xludf.DUMMYFUNCTION("""COMPUTED_VALUE"""),"")</f>
        <v/>
      </c>
    </row>
    <row r="14626" spans="1:5">
      <c r="A14626" s="12"/>
      <c r="E14626" s="57" t="str">
        <f ca="1">IFERROR(__xludf.DUMMYFUNCTION("""COMPUTED_VALUE"""),"")</f>
        <v/>
      </c>
    </row>
    <row r="14627" spans="1:5">
      <c r="A14627" s="12"/>
      <c r="E14627" s="57" t="str">
        <f ca="1">IFERROR(__xludf.DUMMYFUNCTION("""COMPUTED_VALUE"""),"")</f>
        <v/>
      </c>
    </row>
    <row r="14628" spans="1:5">
      <c r="A14628" s="12"/>
      <c r="E14628" s="57" t="str">
        <f ca="1">IFERROR(__xludf.DUMMYFUNCTION("""COMPUTED_VALUE"""),"")</f>
        <v/>
      </c>
    </row>
    <row r="14629" spans="1:5">
      <c r="A14629" s="12"/>
      <c r="E14629" s="57" t="str">
        <f ca="1">IFERROR(__xludf.DUMMYFUNCTION("""COMPUTED_VALUE"""),"")</f>
        <v/>
      </c>
    </row>
    <row r="14630" spans="1:5">
      <c r="A14630" s="12"/>
      <c r="E14630" s="57" t="str">
        <f ca="1">IFERROR(__xludf.DUMMYFUNCTION("""COMPUTED_VALUE"""),"")</f>
        <v/>
      </c>
    </row>
    <row r="14631" spans="1:5">
      <c r="A14631" s="12"/>
      <c r="E14631" s="57" t="str">
        <f ca="1">IFERROR(__xludf.DUMMYFUNCTION("""COMPUTED_VALUE"""),"")</f>
        <v/>
      </c>
    </row>
    <row r="14632" spans="1:5">
      <c r="A14632" s="12"/>
      <c r="E14632" s="57" t="str">
        <f ca="1">IFERROR(__xludf.DUMMYFUNCTION("""COMPUTED_VALUE"""),"")</f>
        <v/>
      </c>
    </row>
    <row r="14633" spans="1:5">
      <c r="A14633" s="12"/>
      <c r="E14633" s="57" t="str">
        <f ca="1">IFERROR(__xludf.DUMMYFUNCTION("""COMPUTED_VALUE"""),"")</f>
        <v/>
      </c>
    </row>
    <row r="14634" spans="1:5">
      <c r="A14634" s="12"/>
      <c r="E14634" s="57" t="str">
        <f ca="1">IFERROR(__xludf.DUMMYFUNCTION("""COMPUTED_VALUE"""),"")</f>
        <v/>
      </c>
    </row>
    <row r="14635" spans="1:5">
      <c r="A14635" s="12"/>
      <c r="E14635" s="57" t="str">
        <f ca="1">IFERROR(__xludf.DUMMYFUNCTION("""COMPUTED_VALUE"""),"")</f>
        <v/>
      </c>
    </row>
    <row r="14636" spans="1:5">
      <c r="A14636" s="12"/>
      <c r="E14636" s="57" t="str">
        <f ca="1">IFERROR(__xludf.DUMMYFUNCTION("""COMPUTED_VALUE"""),"")</f>
        <v/>
      </c>
    </row>
    <row r="14637" spans="1:5">
      <c r="A14637" s="12"/>
      <c r="E14637" s="57" t="str">
        <f ca="1">IFERROR(__xludf.DUMMYFUNCTION("""COMPUTED_VALUE"""),"")</f>
        <v/>
      </c>
    </row>
    <row r="14638" spans="1:5">
      <c r="A14638" s="12"/>
      <c r="E14638" s="57" t="str">
        <f ca="1">IFERROR(__xludf.DUMMYFUNCTION("""COMPUTED_VALUE"""),"")</f>
        <v/>
      </c>
    </row>
    <row r="14639" spans="1:5">
      <c r="A14639" s="12"/>
      <c r="E14639" s="57" t="str">
        <f ca="1">IFERROR(__xludf.DUMMYFUNCTION("""COMPUTED_VALUE"""),"")</f>
        <v/>
      </c>
    </row>
    <row r="14640" spans="1:5">
      <c r="A14640" s="12"/>
      <c r="E14640" s="57" t="str">
        <f ca="1">IFERROR(__xludf.DUMMYFUNCTION("""COMPUTED_VALUE"""),"")</f>
        <v/>
      </c>
    </row>
    <row r="14641" spans="1:5">
      <c r="A14641" s="12"/>
      <c r="E14641" s="57" t="str">
        <f ca="1">IFERROR(__xludf.DUMMYFUNCTION("""COMPUTED_VALUE"""),"")</f>
        <v/>
      </c>
    </row>
    <row r="14642" spans="1:5">
      <c r="A14642" s="12"/>
      <c r="E14642" s="57" t="str">
        <f ca="1">IFERROR(__xludf.DUMMYFUNCTION("""COMPUTED_VALUE"""),"")</f>
        <v/>
      </c>
    </row>
    <row r="14643" spans="1:5">
      <c r="A14643" s="12"/>
      <c r="E14643" s="57" t="str">
        <f ca="1">IFERROR(__xludf.DUMMYFUNCTION("""COMPUTED_VALUE"""),"")</f>
        <v/>
      </c>
    </row>
    <row r="14644" spans="1:5">
      <c r="A14644" s="12"/>
      <c r="E14644" s="57" t="str">
        <f ca="1">IFERROR(__xludf.DUMMYFUNCTION("""COMPUTED_VALUE"""),"")</f>
        <v/>
      </c>
    </row>
    <row r="14645" spans="1:5">
      <c r="A14645" s="12"/>
      <c r="E14645" s="57" t="str">
        <f ca="1">IFERROR(__xludf.DUMMYFUNCTION("""COMPUTED_VALUE"""),"")</f>
        <v/>
      </c>
    </row>
    <row r="14646" spans="1:5">
      <c r="A14646" s="12"/>
      <c r="E14646" s="57" t="str">
        <f ca="1">IFERROR(__xludf.DUMMYFUNCTION("""COMPUTED_VALUE"""),"")</f>
        <v/>
      </c>
    </row>
    <row r="14647" spans="1:5">
      <c r="A14647" s="12"/>
      <c r="E14647" s="57" t="str">
        <f ca="1">IFERROR(__xludf.DUMMYFUNCTION("""COMPUTED_VALUE"""),"")</f>
        <v/>
      </c>
    </row>
    <row r="14648" spans="1:5">
      <c r="A14648" s="12"/>
      <c r="E14648" s="57" t="str">
        <f ca="1">IFERROR(__xludf.DUMMYFUNCTION("""COMPUTED_VALUE"""),"")</f>
        <v/>
      </c>
    </row>
    <row r="14649" spans="1:5">
      <c r="A14649" s="12"/>
      <c r="E14649" s="57" t="str">
        <f ca="1">IFERROR(__xludf.DUMMYFUNCTION("""COMPUTED_VALUE"""),"")</f>
        <v/>
      </c>
    </row>
    <row r="14650" spans="1:5">
      <c r="A14650" s="12"/>
      <c r="E14650" s="57" t="str">
        <f ca="1">IFERROR(__xludf.DUMMYFUNCTION("""COMPUTED_VALUE"""),"")</f>
        <v/>
      </c>
    </row>
    <row r="14651" spans="1:5">
      <c r="A14651" s="12"/>
      <c r="E14651" s="57" t="str">
        <f ca="1">IFERROR(__xludf.DUMMYFUNCTION("""COMPUTED_VALUE"""),"")</f>
        <v/>
      </c>
    </row>
    <row r="14652" spans="1:5">
      <c r="A14652" s="12"/>
      <c r="E14652" s="57" t="str">
        <f ca="1">IFERROR(__xludf.DUMMYFUNCTION("""COMPUTED_VALUE"""),"")</f>
        <v/>
      </c>
    </row>
    <row r="14653" spans="1:5">
      <c r="A14653" s="12"/>
      <c r="E14653" s="57" t="str">
        <f ca="1">IFERROR(__xludf.DUMMYFUNCTION("""COMPUTED_VALUE"""),"")</f>
        <v/>
      </c>
    </row>
    <row r="14654" spans="1:5">
      <c r="A14654" s="12"/>
      <c r="E14654" s="57" t="str">
        <f ca="1">IFERROR(__xludf.DUMMYFUNCTION("""COMPUTED_VALUE"""),"")</f>
        <v/>
      </c>
    </row>
    <row r="14655" spans="1:5">
      <c r="A14655" s="12"/>
      <c r="E14655" s="57" t="str">
        <f ca="1">IFERROR(__xludf.DUMMYFUNCTION("""COMPUTED_VALUE"""),"")</f>
        <v/>
      </c>
    </row>
    <row r="14656" spans="1:5">
      <c r="A14656" s="12"/>
      <c r="E14656" s="57" t="str">
        <f ca="1">IFERROR(__xludf.DUMMYFUNCTION("""COMPUTED_VALUE"""),"")</f>
        <v/>
      </c>
    </row>
    <row r="14657" spans="1:5">
      <c r="A14657" s="12"/>
      <c r="E14657" s="57" t="str">
        <f ca="1">IFERROR(__xludf.DUMMYFUNCTION("""COMPUTED_VALUE"""),"")</f>
        <v/>
      </c>
    </row>
    <row r="14658" spans="1:5">
      <c r="A14658" s="12"/>
      <c r="E14658" s="57" t="str">
        <f ca="1">IFERROR(__xludf.DUMMYFUNCTION("""COMPUTED_VALUE"""),"")</f>
        <v/>
      </c>
    </row>
    <row r="14659" spans="1:5">
      <c r="A14659" s="12"/>
      <c r="E14659" s="57" t="str">
        <f ca="1">IFERROR(__xludf.DUMMYFUNCTION("""COMPUTED_VALUE"""),"")</f>
        <v/>
      </c>
    </row>
    <row r="14660" spans="1:5">
      <c r="A14660" s="12"/>
      <c r="E14660" s="57" t="str">
        <f ca="1">IFERROR(__xludf.DUMMYFUNCTION("""COMPUTED_VALUE"""),"")</f>
        <v/>
      </c>
    </row>
    <row r="14661" spans="1:5">
      <c r="A14661" s="12"/>
      <c r="E14661" s="57" t="str">
        <f ca="1">IFERROR(__xludf.DUMMYFUNCTION("""COMPUTED_VALUE"""),"")</f>
        <v/>
      </c>
    </row>
    <row r="14662" spans="1:5">
      <c r="A14662" s="12"/>
      <c r="E14662" s="57" t="str">
        <f ca="1">IFERROR(__xludf.DUMMYFUNCTION("""COMPUTED_VALUE"""),"")</f>
        <v/>
      </c>
    </row>
    <row r="14663" spans="1:5">
      <c r="A14663" s="12"/>
      <c r="E14663" s="57" t="str">
        <f ca="1">IFERROR(__xludf.DUMMYFUNCTION("""COMPUTED_VALUE"""),"")</f>
        <v/>
      </c>
    </row>
    <row r="14664" spans="1:5">
      <c r="A14664" s="12"/>
      <c r="E14664" s="57" t="str">
        <f ca="1">IFERROR(__xludf.DUMMYFUNCTION("""COMPUTED_VALUE"""),"")</f>
        <v/>
      </c>
    </row>
    <row r="14665" spans="1:5">
      <c r="A14665" s="12"/>
      <c r="E14665" s="57" t="str">
        <f ca="1">IFERROR(__xludf.DUMMYFUNCTION("""COMPUTED_VALUE"""),"")</f>
        <v/>
      </c>
    </row>
    <row r="14666" spans="1:5">
      <c r="A14666" s="12"/>
      <c r="E14666" s="57" t="str">
        <f ca="1">IFERROR(__xludf.DUMMYFUNCTION("""COMPUTED_VALUE"""),"")</f>
        <v/>
      </c>
    </row>
    <row r="14667" spans="1:5">
      <c r="A14667" s="12"/>
      <c r="E14667" s="57" t="str">
        <f ca="1">IFERROR(__xludf.DUMMYFUNCTION("""COMPUTED_VALUE"""),"")</f>
        <v/>
      </c>
    </row>
    <row r="14668" spans="1:5">
      <c r="A14668" s="12"/>
      <c r="E14668" s="57" t="str">
        <f ca="1">IFERROR(__xludf.DUMMYFUNCTION("""COMPUTED_VALUE"""),"")</f>
        <v/>
      </c>
    </row>
    <row r="14669" spans="1:5">
      <c r="A14669" s="12"/>
      <c r="E14669" s="57" t="str">
        <f ca="1">IFERROR(__xludf.DUMMYFUNCTION("""COMPUTED_VALUE"""),"")</f>
        <v/>
      </c>
    </row>
    <row r="14670" spans="1:5">
      <c r="A14670" s="12"/>
      <c r="E14670" s="57" t="str">
        <f ca="1">IFERROR(__xludf.DUMMYFUNCTION("""COMPUTED_VALUE"""),"")</f>
        <v/>
      </c>
    </row>
    <row r="14671" spans="1:5">
      <c r="A14671" s="12"/>
      <c r="E14671" s="57" t="str">
        <f ca="1">IFERROR(__xludf.DUMMYFUNCTION("""COMPUTED_VALUE"""),"")</f>
        <v/>
      </c>
    </row>
    <row r="14672" spans="1:5">
      <c r="A14672" s="12"/>
      <c r="E14672" s="57" t="str">
        <f ca="1">IFERROR(__xludf.DUMMYFUNCTION("""COMPUTED_VALUE"""),"")</f>
        <v/>
      </c>
    </row>
    <row r="14673" spans="1:5">
      <c r="A14673" s="12"/>
      <c r="E14673" s="57" t="str">
        <f ca="1">IFERROR(__xludf.DUMMYFUNCTION("""COMPUTED_VALUE"""),"")</f>
        <v/>
      </c>
    </row>
    <row r="14674" spans="1:5">
      <c r="A14674" s="12"/>
      <c r="E14674" s="57" t="str">
        <f ca="1">IFERROR(__xludf.DUMMYFUNCTION("""COMPUTED_VALUE"""),"")</f>
        <v/>
      </c>
    </row>
    <row r="14675" spans="1:5">
      <c r="A14675" s="12"/>
      <c r="E14675" s="57" t="str">
        <f ca="1">IFERROR(__xludf.DUMMYFUNCTION("""COMPUTED_VALUE"""),"")</f>
        <v/>
      </c>
    </row>
    <row r="14676" spans="1:5">
      <c r="A14676" s="12"/>
      <c r="E14676" s="57" t="str">
        <f ca="1">IFERROR(__xludf.DUMMYFUNCTION("""COMPUTED_VALUE"""),"")</f>
        <v/>
      </c>
    </row>
    <row r="14677" spans="1:5">
      <c r="A14677" s="12"/>
      <c r="E14677" s="57" t="str">
        <f ca="1">IFERROR(__xludf.DUMMYFUNCTION("""COMPUTED_VALUE"""),"")</f>
        <v/>
      </c>
    </row>
    <row r="14678" spans="1:5">
      <c r="A14678" s="12"/>
      <c r="E14678" s="57" t="str">
        <f ca="1">IFERROR(__xludf.DUMMYFUNCTION("""COMPUTED_VALUE"""),"")</f>
        <v/>
      </c>
    </row>
    <row r="14679" spans="1:5">
      <c r="A14679" s="12"/>
      <c r="E14679" s="57" t="str">
        <f ca="1">IFERROR(__xludf.DUMMYFUNCTION("""COMPUTED_VALUE"""),"")</f>
        <v/>
      </c>
    </row>
    <row r="14680" spans="1:5">
      <c r="A14680" s="12"/>
      <c r="E14680" s="57" t="str">
        <f ca="1">IFERROR(__xludf.DUMMYFUNCTION("""COMPUTED_VALUE"""),"")</f>
        <v/>
      </c>
    </row>
    <row r="14681" spans="1:5">
      <c r="A14681" s="12"/>
      <c r="E14681" s="57" t="str">
        <f ca="1">IFERROR(__xludf.DUMMYFUNCTION("""COMPUTED_VALUE"""),"")</f>
        <v/>
      </c>
    </row>
    <row r="14682" spans="1:5">
      <c r="A14682" s="12"/>
      <c r="E14682" s="57" t="str">
        <f ca="1">IFERROR(__xludf.DUMMYFUNCTION("""COMPUTED_VALUE"""),"")</f>
        <v/>
      </c>
    </row>
    <row r="14683" spans="1:5">
      <c r="A14683" s="12"/>
      <c r="E14683" s="57" t="str">
        <f ca="1">IFERROR(__xludf.DUMMYFUNCTION("""COMPUTED_VALUE"""),"")</f>
        <v/>
      </c>
    </row>
    <row r="14684" spans="1:5">
      <c r="A14684" s="12"/>
      <c r="E14684" s="57" t="str">
        <f ca="1">IFERROR(__xludf.DUMMYFUNCTION("""COMPUTED_VALUE"""),"")</f>
        <v/>
      </c>
    </row>
    <row r="14685" spans="1:5">
      <c r="A14685" s="12"/>
      <c r="E14685" s="57" t="str">
        <f ca="1">IFERROR(__xludf.DUMMYFUNCTION("""COMPUTED_VALUE"""),"")</f>
        <v/>
      </c>
    </row>
    <row r="14686" spans="1:5">
      <c r="A14686" s="12"/>
      <c r="E14686" s="57" t="str">
        <f ca="1">IFERROR(__xludf.DUMMYFUNCTION("""COMPUTED_VALUE"""),"")</f>
        <v/>
      </c>
    </row>
    <row r="14687" spans="1:5">
      <c r="A14687" s="12"/>
      <c r="E14687" s="57" t="str">
        <f ca="1">IFERROR(__xludf.DUMMYFUNCTION("""COMPUTED_VALUE"""),"")</f>
        <v/>
      </c>
    </row>
    <row r="14688" spans="1:5">
      <c r="A14688" s="12"/>
      <c r="E14688" s="57" t="str">
        <f ca="1">IFERROR(__xludf.DUMMYFUNCTION("""COMPUTED_VALUE"""),"")</f>
        <v/>
      </c>
    </row>
    <row r="14689" spans="1:5">
      <c r="A14689" s="12"/>
      <c r="E14689" s="57" t="str">
        <f ca="1">IFERROR(__xludf.DUMMYFUNCTION("""COMPUTED_VALUE"""),"")</f>
        <v/>
      </c>
    </row>
    <row r="14690" spans="1:5">
      <c r="A14690" s="12"/>
      <c r="E14690" s="57" t="str">
        <f ca="1">IFERROR(__xludf.DUMMYFUNCTION("""COMPUTED_VALUE"""),"")</f>
        <v/>
      </c>
    </row>
    <row r="14691" spans="1:5">
      <c r="A14691" s="12"/>
      <c r="E14691" s="57" t="str">
        <f ca="1">IFERROR(__xludf.DUMMYFUNCTION("""COMPUTED_VALUE"""),"")</f>
        <v/>
      </c>
    </row>
    <row r="14692" spans="1:5">
      <c r="A14692" s="12"/>
      <c r="E14692" s="57" t="str">
        <f ca="1">IFERROR(__xludf.DUMMYFUNCTION("""COMPUTED_VALUE"""),"")</f>
        <v/>
      </c>
    </row>
    <row r="14693" spans="1:5">
      <c r="A14693" s="12"/>
      <c r="E14693" s="57" t="str">
        <f ca="1">IFERROR(__xludf.DUMMYFUNCTION("""COMPUTED_VALUE"""),"")</f>
        <v/>
      </c>
    </row>
    <row r="14694" spans="1:5">
      <c r="A14694" s="12"/>
      <c r="E14694" s="57" t="str">
        <f ca="1">IFERROR(__xludf.DUMMYFUNCTION("""COMPUTED_VALUE"""),"")</f>
        <v/>
      </c>
    </row>
    <row r="14695" spans="1:5">
      <c r="A14695" s="12"/>
      <c r="E14695" s="57" t="str">
        <f ca="1">IFERROR(__xludf.DUMMYFUNCTION("""COMPUTED_VALUE"""),"")</f>
        <v/>
      </c>
    </row>
    <row r="14696" spans="1:5">
      <c r="A14696" s="12"/>
      <c r="E14696" s="57" t="str">
        <f ca="1">IFERROR(__xludf.DUMMYFUNCTION("""COMPUTED_VALUE"""),"")</f>
        <v/>
      </c>
    </row>
    <row r="14697" spans="1:5">
      <c r="A14697" s="12"/>
      <c r="E14697" s="57" t="str">
        <f ca="1">IFERROR(__xludf.DUMMYFUNCTION("""COMPUTED_VALUE"""),"")</f>
        <v/>
      </c>
    </row>
    <row r="14698" spans="1:5">
      <c r="A14698" s="12"/>
      <c r="E14698" s="57" t="str">
        <f ca="1">IFERROR(__xludf.DUMMYFUNCTION("""COMPUTED_VALUE"""),"")</f>
        <v/>
      </c>
    </row>
    <row r="14699" spans="1:5">
      <c r="A14699" s="12"/>
      <c r="E14699" s="57" t="str">
        <f ca="1">IFERROR(__xludf.DUMMYFUNCTION("""COMPUTED_VALUE"""),"")</f>
        <v/>
      </c>
    </row>
    <row r="14700" spans="1:5">
      <c r="A14700" s="12"/>
      <c r="E14700" s="57" t="str">
        <f ca="1">IFERROR(__xludf.DUMMYFUNCTION("""COMPUTED_VALUE"""),"")</f>
        <v/>
      </c>
    </row>
    <row r="14701" spans="1:5">
      <c r="A14701" s="12"/>
      <c r="E14701" s="57" t="str">
        <f ca="1">IFERROR(__xludf.DUMMYFUNCTION("""COMPUTED_VALUE"""),"")</f>
        <v/>
      </c>
    </row>
    <row r="14702" spans="1:5">
      <c r="A14702" s="12"/>
      <c r="E14702" s="57" t="str">
        <f ca="1">IFERROR(__xludf.DUMMYFUNCTION("""COMPUTED_VALUE"""),"")</f>
        <v/>
      </c>
    </row>
    <row r="14703" spans="1:5">
      <c r="A14703" s="12"/>
      <c r="E14703" s="57" t="str">
        <f ca="1">IFERROR(__xludf.DUMMYFUNCTION("""COMPUTED_VALUE"""),"")</f>
        <v/>
      </c>
    </row>
    <row r="14704" spans="1:5">
      <c r="A14704" s="12"/>
      <c r="E14704" s="57" t="str">
        <f ca="1">IFERROR(__xludf.DUMMYFUNCTION("""COMPUTED_VALUE"""),"")</f>
        <v/>
      </c>
    </row>
    <row r="14705" spans="1:5">
      <c r="A14705" s="12"/>
      <c r="E14705" s="57" t="str">
        <f ca="1">IFERROR(__xludf.DUMMYFUNCTION("""COMPUTED_VALUE"""),"")</f>
        <v/>
      </c>
    </row>
    <row r="14706" spans="1:5">
      <c r="A14706" s="12"/>
      <c r="E14706" s="57" t="str">
        <f ca="1">IFERROR(__xludf.DUMMYFUNCTION("""COMPUTED_VALUE"""),"")</f>
        <v/>
      </c>
    </row>
    <row r="14707" spans="1:5">
      <c r="A14707" s="12"/>
      <c r="E14707" s="57" t="str">
        <f ca="1">IFERROR(__xludf.DUMMYFUNCTION("""COMPUTED_VALUE"""),"")</f>
        <v/>
      </c>
    </row>
    <row r="14708" spans="1:5">
      <c r="A14708" s="12"/>
      <c r="E14708" s="57" t="str">
        <f ca="1">IFERROR(__xludf.DUMMYFUNCTION("""COMPUTED_VALUE"""),"")</f>
        <v/>
      </c>
    </row>
    <row r="14709" spans="1:5">
      <c r="A14709" s="12"/>
      <c r="E14709" s="57" t="str">
        <f ca="1">IFERROR(__xludf.DUMMYFUNCTION("""COMPUTED_VALUE"""),"")</f>
        <v/>
      </c>
    </row>
    <row r="14710" spans="1:5">
      <c r="A14710" s="12"/>
      <c r="E14710" s="57" t="str">
        <f ca="1">IFERROR(__xludf.DUMMYFUNCTION("""COMPUTED_VALUE"""),"")</f>
        <v/>
      </c>
    </row>
    <row r="14711" spans="1:5">
      <c r="A14711" s="12"/>
      <c r="E14711" s="57" t="str">
        <f ca="1">IFERROR(__xludf.DUMMYFUNCTION("""COMPUTED_VALUE"""),"")</f>
        <v/>
      </c>
    </row>
    <row r="14712" spans="1:5">
      <c r="A14712" s="12"/>
      <c r="E14712" s="57" t="str">
        <f ca="1">IFERROR(__xludf.DUMMYFUNCTION("""COMPUTED_VALUE"""),"")</f>
        <v/>
      </c>
    </row>
    <row r="14713" spans="1:5">
      <c r="A14713" s="12"/>
      <c r="E14713" s="57" t="str">
        <f ca="1">IFERROR(__xludf.DUMMYFUNCTION("""COMPUTED_VALUE"""),"")</f>
        <v/>
      </c>
    </row>
    <row r="14714" spans="1:5">
      <c r="A14714" s="12"/>
      <c r="E14714" s="57" t="str">
        <f ca="1">IFERROR(__xludf.DUMMYFUNCTION("""COMPUTED_VALUE"""),"")</f>
        <v/>
      </c>
    </row>
    <row r="14715" spans="1:5">
      <c r="A14715" s="12"/>
      <c r="E14715" s="57" t="str">
        <f ca="1">IFERROR(__xludf.DUMMYFUNCTION("""COMPUTED_VALUE"""),"")</f>
        <v/>
      </c>
    </row>
    <row r="14716" spans="1:5">
      <c r="A14716" s="12"/>
      <c r="E14716" s="57" t="str">
        <f ca="1">IFERROR(__xludf.DUMMYFUNCTION("""COMPUTED_VALUE"""),"")</f>
        <v/>
      </c>
    </row>
    <row r="14717" spans="1:5">
      <c r="A14717" s="12"/>
      <c r="E14717" s="57" t="str">
        <f ca="1">IFERROR(__xludf.DUMMYFUNCTION("""COMPUTED_VALUE"""),"")</f>
        <v/>
      </c>
    </row>
    <row r="14718" spans="1:5">
      <c r="A14718" s="12"/>
      <c r="E14718" s="57" t="str">
        <f ca="1">IFERROR(__xludf.DUMMYFUNCTION("""COMPUTED_VALUE"""),"")</f>
        <v/>
      </c>
    </row>
    <row r="14719" spans="1:5">
      <c r="A14719" s="12"/>
      <c r="E14719" s="57" t="str">
        <f ca="1">IFERROR(__xludf.DUMMYFUNCTION("""COMPUTED_VALUE"""),"")</f>
        <v/>
      </c>
    </row>
    <row r="14720" spans="1:5">
      <c r="A14720" s="12"/>
      <c r="E14720" s="57" t="str">
        <f ca="1">IFERROR(__xludf.DUMMYFUNCTION("""COMPUTED_VALUE"""),"")</f>
        <v/>
      </c>
    </row>
    <row r="14721" spans="1:5">
      <c r="A14721" s="12"/>
      <c r="E14721" s="57" t="str">
        <f ca="1">IFERROR(__xludf.DUMMYFUNCTION("""COMPUTED_VALUE"""),"")</f>
        <v/>
      </c>
    </row>
    <row r="14722" spans="1:5">
      <c r="A14722" s="12"/>
      <c r="E14722" s="57" t="str">
        <f ca="1">IFERROR(__xludf.DUMMYFUNCTION("""COMPUTED_VALUE"""),"")</f>
        <v/>
      </c>
    </row>
    <row r="14723" spans="1:5">
      <c r="A14723" s="12"/>
      <c r="E14723" s="57" t="str">
        <f ca="1">IFERROR(__xludf.DUMMYFUNCTION("""COMPUTED_VALUE"""),"")</f>
        <v/>
      </c>
    </row>
    <row r="14724" spans="1:5">
      <c r="A14724" s="12"/>
      <c r="E14724" s="57" t="str">
        <f ca="1">IFERROR(__xludf.DUMMYFUNCTION("""COMPUTED_VALUE"""),"")</f>
        <v/>
      </c>
    </row>
    <row r="14725" spans="1:5">
      <c r="A14725" s="12"/>
      <c r="E14725" s="57" t="str">
        <f ca="1">IFERROR(__xludf.DUMMYFUNCTION("""COMPUTED_VALUE"""),"")</f>
        <v/>
      </c>
    </row>
    <row r="14726" spans="1:5">
      <c r="A14726" s="12"/>
      <c r="E14726" s="57" t="str">
        <f ca="1">IFERROR(__xludf.DUMMYFUNCTION("""COMPUTED_VALUE"""),"")</f>
        <v/>
      </c>
    </row>
    <row r="14727" spans="1:5">
      <c r="A14727" s="12"/>
      <c r="E14727" s="57" t="str">
        <f ca="1">IFERROR(__xludf.DUMMYFUNCTION("""COMPUTED_VALUE"""),"")</f>
        <v/>
      </c>
    </row>
    <row r="14728" spans="1:5">
      <c r="A14728" s="12"/>
      <c r="E14728" s="57" t="str">
        <f ca="1">IFERROR(__xludf.DUMMYFUNCTION("""COMPUTED_VALUE"""),"")</f>
        <v/>
      </c>
    </row>
    <row r="14729" spans="1:5">
      <c r="A14729" s="12"/>
      <c r="E14729" s="57" t="str">
        <f ca="1">IFERROR(__xludf.DUMMYFUNCTION("""COMPUTED_VALUE"""),"")</f>
        <v/>
      </c>
    </row>
    <row r="14730" spans="1:5">
      <c r="A14730" s="12"/>
      <c r="E14730" s="57" t="str">
        <f ca="1">IFERROR(__xludf.DUMMYFUNCTION("""COMPUTED_VALUE"""),"")</f>
        <v/>
      </c>
    </row>
    <row r="14731" spans="1:5">
      <c r="A14731" s="12"/>
      <c r="E14731" s="57" t="str">
        <f ca="1">IFERROR(__xludf.DUMMYFUNCTION("""COMPUTED_VALUE"""),"")</f>
        <v/>
      </c>
    </row>
    <row r="14732" spans="1:5">
      <c r="A14732" s="12"/>
      <c r="E14732" s="57" t="str">
        <f ca="1">IFERROR(__xludf.DUMMYFUNCTION("""COMPUTED_VALUE"""),"")</f>
        <v/>
      </c>
    </row>
    <row r="14733" spans="1:5">
      <c r="A14733" s="12"/>
      <c r="E14733" s="57" t="str">
        <f ca="1">IFERROR(__xludf.DUMMYFUNCTION("""COMPUTED_VALUE"""),"")</f>
        <v/>
      </c>
    </row>
    <row r="14734" spans="1:5">
      <c r="A14734" s="12"/>
      <c r="E14734" s="57" t="str">
        <f ca="1">IFERROR(__xludf.DUMMYFUNCTION("""COMPUTED_VALUE"""),"")</f>
        <v/>
      </c>
    </row>
    <row r="14735" spans="1:5">
      <c r="A14735" s="12"/>
      <c r="E14735" s="57" t="str">
        <f ca="1">IFERROR(__xludf.DUMMYFUNCTION("""COMPUTED_VALUE"""),"")</f>
        <v/>
      </c>
    </row>
    <row r="14736" spans="1:5">
      <c r="A14736" s="12"/>
      <c r="E14736" s="57" t="str">
        <f ca="1">IFERROR(__xludf.DUMMYFUNCTION("""COMPUTED_VALUE"""),"")</f>
        <v/>
      </c>
    </row>
    <row r="14737" spans="1:5">
      <c r="A14737" s="12"/>
      <c r="E14737" s="57" t="str">
        <f ca="1">IFERROR(__xludf.DUMMYFUNCTION("""COMPUTED_VALUE"""),"")</f>
        <v/>
      </c>
    </row>
    <row r="14738" spans="1:5">
      <c r="A14738" s="12"/>
      <c r="E14738" s="57" t="str">
        <f ca="1">IFERROR(__xludf.DUMMYFUNCTION("""COMPUTED_VALUE"""),"")</f>
        <v/>
      </c>
    </row>
    <row r="14739" spans="1:5">
      <c r="A14739" s="12"/>
      <c r="E14739" s="57" t="str">
        <f ca="1">IFERROR(__xludf.DUMMYFUNCTION("""COMPUTED_VALUE"""),"")</f>
        <v/>
      </c>
    </row>
    <row r="14740" spans="1:5">
      <c r="A14740" s="12"/>
      <c r="E14740" s="57" t="str">
        <f ca="1">IFERROR(__xludf.DUMMYFUNCTION("""COMPUTED_VALUE"""),"")</f>
        <v/>
      </c>
    </row>
    <row r="14741" spans="1:5">
      <c r="A14741" s="12"/>
      <c r="E14741" s="57" t="str">
        <f ca="1">IFERROR(__xludf.DUMMYFUNCTION("""COMPUTED_VALUE"""),"")</f>
        <v/>
      </c>
    </row>
    <row r="14742" spans="1:5">
      <c r="A14742" s="12"/>
      <c r="E14742" s="57" t="str">
        <f ca="1">IFERROR(__xludf.DUMMYFUNCTION("""COMPUTED_VALUE"""),"")</f>
        <v/>
      </c>
    </row>
    <row r="14743" spans="1:5">
      <c r="A14743" s="12"/>
      <c r="E14743" s="57" t="str">
        <f ca="1">IFERROR(__xludf.DUMMYFUNCTION("""COMPUTED_VALUE"""),"")</f>
        <v/>
      </c>
    </row>
    <row r="14744" spans="1:5">
      <c r="A14744" s="12"/>
      <c r="E14744" s="57" t="str">
        <f ca="1">IFERROR(__xludf.DUMMYFUNCTION("""COMPUTED_VALUE"""),"")</f>
        <v/>
      </c>
    </row>
    <row r="14745" spans="1:5">
      <c r="A14745" s="12"/>
      <c r="E14745" s="57" t="str">
        <f ca="1">IFERROR(__xludf.DUMMYFUNCTION("""COMPUTED_VALUE"""),"")</f>
        <v/>
      </c>
    </row>
    <row r="14746" spans="1:5">
      <c r="A14746" s="12"/>
      <c r="E14746" s="57" t="str">
        <f ca="1">IFERROR(__xludf.DUMMYFUNCTION("""COMPUTED_VALUE"""),"")</f>
        <v/>
      </c>
    </row>
    <row r="14747" spans="1:5">
      <c r="A14747" s="12"/>
      <c r="E14747" s="57" t="str">
        <f ca="1">IFERROR(__xludf.DUMMYFUNCTION("""COMPUTED_VALUE"""),"")</f>
        <v/>
      </c>
    </row>
    <row r="14748" spans="1:5">
      <c r="A14748" s="12"/>
      <c r="E14748" s="57" t="str">
        <f ca="1">IFERROR(__xludf.DUMMYFUNCTION("""COMPUTED_VALUE"""),"")</f>
        <v/>
      </c>
    </row>
    <row r="14749" spans="1:5">
      <c r="A14749" s="12"/>
      <c r="E14749" s="57" t="str">
        <f ca="1">IFERROR(__xludf.DUMMYFUNCTION("""COMPUTED_VALUE"""),"")</f>
        <v/>
      </c>
    </row>
    <row r="14750" spans="1:5">
      <c r="A14750" s="12"/>
      <c r="E14750" s="57" t="str">
        <f ca="1">IFERROR(__xludf.DUMMYFUNCTION("""COMPUTED_VALUE"""),"")</f>
        <v/>
      </c>
    </row>
    <row r="14751" spans="1:5">
      <c r="A14751" s="12"/>
      <c r="E14751" s="57" t="str">
        <f ca="1">IFERROR(__xludf.DUMMYFUNCTION("""COMPUTED_VALUE"""),"")</f>
        <v/>
      </c>
    </row>
    <row r="14752" spans="1:5">
      <c r="A14752" s="12"/>
      <c r="E14752" s="57" t="str">
        <f ca="1">IFERROR(__xludf.DUMMYFUNCTION("""COMPUTED_VALUE"""),"")</f>
        <v/>
      </c>
    </row>
    <row r="14753" spans="1:5">
      <c r="A14753" s="12"/>
      <c r="E14753" s="57" t="str">
        <f ca="1">IFERROR(__xludf.DUMMYFUNCTION("""COMPUTED_VALUE"""),"")</f>
        <v/>
      </c>
    </row>
    <row r="14754" spans="1:5">
      <c r="A14754" s="12"/>
      <c r="E14754" s="57" t="str">
        <f ca="1">IFERROR(__xludf.DUMMYFUNCTION("""COMPUTED_VALUE"""),"")</f>
        <v/>
      </c>
    </row>
    <row r="14755" spans="1:5">
      <c r="A14755" s="12"/>
      <c r="E14755" s="57" t="str">
        <f ca="1">IFERROR(__xludf.DUMMYFUNCTION("""COMPUTED_VALUE"""),"")</f>
        <v/>
      </c>
    </row>
    <row r="14756" spans="1:5">
      <c r="A14756" s="12"/>
      <c r="E14756" s="57" t="str">
        <f ca="1">IFERROR(__xludf.DUMMYFUNCTION("""COMPUTED_VALUE"""),"")</f>
        <v/>
      </c>
    </row>
    <row r="14757" spans="1:5">
      <c r="A14757" s="12"/>
      <c r="E14757" s="57" t="str">
        <f ca="1">IFERROR(__xludf.DUMMYFUNCTION("""COMPUTED_VALUE"""),"")</f>
        <v/>
      </c>
    </row>
    <row r="14758" spans="1:5">
      <c r="A14758" s="12"/>
      <c r="E14758" s="57" t="str">
        <f ca="1">IFERROR(__xludf.DUMMYFUNCTION("""COMPUTED_VALUE"""),"")</f>
        <v/>
      </c>
    </row>
    <row r="14759" spans="1:5">
      <c r="A14759" s="12"/>
      <c r="E14759" s="57" t="str">
        <f ca="1">IFERROR(__xludf.DUMMYFUNCTION("""COMPUTED_VALUE"""),"")</f>
        <v/>
      </c>
    </row>
    <row r="14760" spans="1:5">
      <c r="A14760" s="12"/>
      <c r="E14760" s="57" t="str">
        <f ca="1">IFERROR(__xludf.DUMMYFUNCTION("""COMPUTED_VALUE"""),"")</f>
        <v/>
      </c>
    </row>
    <row r="14761" spans="1:5">
      <c r="A14761" s="12"/>
      <c r="E14761" s="57" t="str">
        <f ca="1">IFERROR(__xludf.DUMMYFUNCTION("""COMPUTED_VALUE"""),"")</f>
        <v/>
      </c>
    </row>
    <row r="14762" spans="1:5">
      <c r="A14762" s="12"/>
      <c r="E14762" s="57" t="str">
        <f ca="1">IFERROR(__xludf.DUMMYFUNCTION("""COMPUTED_VALUE"""),"")</f>
        <v/>
      </c>
    </row>
    <row r="14763" spans="1:5">
      <c r="A14763" s="12"/>
      <c r="E14763" s="57" t="str">
        <f ca="1">IFERROR(__xludf.DUMMYFUNCTION("""COMPUTED_VALUE"""),"")</f>
        <v/>
      </c>
    </row>
    <row r="14764" spans="1:5">
      <c r="A14764" s="12"/>
      <c r="E14764" s="57" t="str">
        <f ca="1">IFERROR(__xludf.DUMMYFUNCTION("""COMPUTED_VALUE"""),"")</f>
        <v/>
      </c>
    </row>
    <row r="14765" spans="1:5">
      <c r="A14765" s="12"/>
      <c r="E14765" s="57" t="str">
        <f ca="1">IFERROR(__xludf.DUMMYFUNCTION("""COMPUTED_VALUE"""),"")</f>
        <v/>
      </c>
    </row>
    <row r="14766" spans="1:5">
      <c r="A14766" s="12"/>
      <c r="E14766" s="57" t="str">
        <f ca="1">IFERROR(__xludf.DUMMYFUNCTION("""COMPUTED_VALUE"""),"")</f>
        <v/>
      </c>
    </row>
    <row r="14767" spans="1:5">
      <c r="A14767" s="12"/>
      <c r="E14767" s="57" t="str">
        <f ca="1">IFERROR(__xludf.DUMMYFUNCTION("""COMPUTED_VALUE"""),"")</f>
        <v/>
      </c>
    </row>
    <row r="14768" spans="1:5">
      <c r="A14768" s="12"/>
      <c r="E14768" s="57" t="str">
        <f ca="1">IFERROR(__xludf.DUMMYFUNCTION("""COMPUTED_VALUE"""),"")</f>
        <v/>
      </c>
    </row>
    <row r="14769" spans="1:5">
      <c r="A14769" s="12"/>
      <c r="E14769" s="57" t="str">
        <f ca="1">IFERROR(__xludf.DUMMYFUNCTION("""COMPUTED_VALUE"""),"")</f>
        <v/>
      </c>
    </row>
    <row r="14770" spans="1:5">
      <c r="A14770" s="12"/>
      <c r="E14770" s="57" t="str">
        <f ca="1">IFERROR(__xludf.DUMMYFUNCTION("""COMPUTED_VALUE"""),"")</f>
        <v/>
      </c>
    </row>
    <row r="14771" spans="1:5">
      <c r="A14771" s="12"/>
      <c r="E14771" s="57" t="str">
        <f ca="1">IFERROR(__xludf.DUMMYFUNCTION("""COMPUTED_VALUE"""),"")</f>
        <v/>
      </c>
    </row>
    <row r="14772" spans="1:5">
      <c r="A14772" s="12"/>
      <c r="E14772" s="57" t="str">
        <f ca="1">IFERROR(__xludf.DUMMYFUNCTION("""COMPUTED_VALUE"""),"")</f>
        <v/>
      </c>
    </row>
    <row r="14773" spans="1:5">
      <c r="A14773" s="12"/>
      <c r="E14773" s="57" t="str">
        <f ca="1">IFERROR(__xludf.DUMMYFUNCTION("""COMPUTED_VALUE"""),"")</f>
        <v/>
      </c>
    </row>
    <row r="14774" spans="1:5">
      <c r="A14774" s="12"/>
      <c r="E14774" s="57" t="str">
        <f ca="1">IFERROR(__xludf.DUMMYFUNCTION("""COMPUTED_VALUE"""),"")</f>
        <v/>
      </c>
    </row>
    <row r="14775" spans="1:5">
      <c r="A14775" s="12"/>
      <c r="E14775" s="57" t="str">
        <f ca="1">IFERROR(__xludf.DUMMYFUNCTION("""COMPUTED_VALUE"""),"")</f>
        <v/>
      </c>
    </row>
    <row r="14776" spans="1:5">
      <c r="A14776" s="12"/>
      <c r="E14776" s="57" t="str">
        <f ca="1">IFERROR(__xludf.DUMMYFUNCTION("""COMPUTED_VALUE"""),"")</f>
        <v/>
      </c>
    </row>
    <row r="14777" spans="1:5">
      <c r="A14777" s="12"/>
      <c r="E14777" s="57" t="str">
        <f ca="1">IFERROR(__xludf.DUMMYFUNCTION("""COMPUTED_VALUE"""),"")</f>
        <v/>
      </c>
    </row>
    <row r="14778" spans="1:5">
      <c r="A14778" s="12"/>
      <c r="E14778" s="57" t="str">
        <f ca="1">IFERROR(__xludf.DUMMYFUNCTION("""COMPUTED_VALUE"""),"")</f>
        <v/>
      </c>
    </row>
    <row r="14779" spans="1:5">
      <c r="A14779" s="12"/>
      <c r="E14779" s="57" t="str">
        <f ca="1">IFERROR(__xludf.DUMMYFUNCTION("""COMPUTED_VALUE"""),"")</f>
        <v/>
      </c>
    </row>
    <row r="14780" spans="1:5">
      <c r="A14780" s="12"/>
      <c r="E14780" s="57" t="str">
        <f ca="1">IFERROR(__xludf.DUMMYFUNCTION("""COMPUTED_VALUE"""),"")</f>
        <v/>
      </c>
    </row>
    <row r="14781" spans="1:5">
      <c r="A14781" s="12"/>
      <c r="E14781" s="57" t="str">
        <f ca="1">IFERROR(__xludf.DUMMYFUNCTION("""COMPUTED_VALUE"""),"")</f>
        <v/>
      </c>
    </row>
    <row r="14782" spans="1:5">
      <c r="A14782" s="12"/>
      <c r="E14782" s="57" t="str">
        <f ca="1">IFERROR(__xludf.DUMMYFUNCTION("""COMPUTED_VALUE"""),"")</f>
        <v/>
      </c>
    </row>
    <row r="14783" spans="1:5">
      <c r="A14783" s="12"/>
      <c r="E14783" s="57" t="str">
        <f ca="1">IFERROR(__xludf.DUMMYFUNCTION("""COMPUTED_VALUE"""),"")</f>
        <v/>
      </c>
    </row>
    <row r="14784" spans="1:5">
      <c r="A14784" s="12"/>
      <c r="E14784" s="57" t="str">
        <f ca="1">IFERROR(__xludf.DUMMYFUNCTION("""COMPUTED_VALUE"""),"")</f>
        <v/>
      </c>
    </row>
    <row r="14785" spans="1:5">
      <c r="A14785" s="12"/>
      <c r="E14785" s="57" t="str">
        <f ca="1">IFERROR(__xludf.DUMMYFUNCTION("""COMPUTED_VALUE"""),"")</f>
        <v/>
      </c>
    </row>
    <row r="14786" spans="1:5">
      <c r="A14786" s="12"/>
      <c r="E14786" s="57" t="str">
        <f ca="1">IFERROR(__xludf.DUMMYFUNCTION("""COMPUTED_VALUE"""),"")</f>
        <v/>
      </c>
    </row>
    <row r="14787" spans="1:5">
      <c r="A14787" s="12"/>
      <c r="E14787" s="57" t="str">
        <f ca="1">IFERROR(__xludf.DUMMYFUNCTION("""COMPUTED_VALUE"""),"")</f>
        <v/>
      </c>
    </row>
    <row r="14788" spans="1:5">
      <c r="A14788" s="12"/>
      <c r="E14788" s="57" t="str">
        <f ca="1">IFERROR(__xludf.DUMMYFUNCTION("""COMPUTED_VALUE"""),"")</f>
        <v/>
      </c>
    </row>
    <row r="14789" spans="1:5">
      <c r="A14789" s="12"/>
      <c r="E14789" s="57" t="str">
        <f ca="1">IFERROR(__xludf.DUMMYFUNCTION("""COMPUTED_VALUE"""),"")</f>
        <v/>
      </c>
    </row>
    <row r="14790" spans="1:5">
      <c r="A14790" s="12"/>
      <c r="E14790" s="57" t="str">
        <f ca="1">IFERROR(__xludf.DUMMYFUNCTION("""COMPUTED_VALUE"""),"")</f>
        <v/>
      </c>
    </row>
    <row r="14791" spans="1:5">
      <c r="A14791" s="12"/>
      <c r="E14791" s="57" t="str">
        <f ca="1">IFERROR(__xludf.DUMMYFUNCTION("""COMPUTED_VALUE"""),"")</f>
        <v/>
      </c>
    </row>
    <row r="14792" spans="1:5">
      <c r="A14792" s="12"/>
      <c r="E14792" s="57" t="str">
        <f ca="1">IFERROR(__xludf.DUMMYFUNCTION("""COMPUTED_VALUE"""),"")</f>
        <v/>
      </c>
    </row>
    <row r="14793" spans="1:5">
      <c r="A14793" s="12"/>
      <c r="E14793" s="57" t="str">
        <f ca="1">IFERROR(__xludf.DUMMYFUNCTION("""COMPUTED_VALUE"""),"")</f>
        <v/>
      </c>
    </row>
    <row r="14794" spans="1:5">
      <c r="A14794" s="12"/>
      <c r="E14794" s="57" t="str">
        <f ca="1">IFERROR(__xludf.DUMMYFUNCTION("""COMPUTED_VALUE"""),"")</f>
        <v/>
      </c>
    </row>
    <row r="14795" spans="1:5">
      <c r="A14795" s="12"/>
      <c r="E14795" s="57" t="str">
        <f ca="1">IFERROR(__xludf.DUMMYFUNCTION("""COMPUTED_VALUE"""),"")</f>
        <v/>
      </c>
    </row>
    <row r="14796" spans="1:5">
      <c r="A14796" s="12"/>
      <c r="E14796" s="57" t="str">
        <f ca="1">IFERROR(__xludf.DUMMYFUNCTION("""COMPUTED_VALUE"""),"")</f>
        <v/>
      </c>
    </row>
    <row r="14797" spans="1:5">
      <c r="A14797" s="12"/>
      <c r="E14797" s="57" t="str">
        <f ca="1">IFERROR(__xludf.DUMMYFUNCTION("""COMPUTED_VALUE"""),"")</f>
        <v/>
      </c>
    </row>
    <row r="14798" spans="1:5">
      <c r="A14798" s="12"/>
      <c r="E14798" s="57" t="str">
        <f ca="1">IFERROR(__xludf.DUMMYFUNCTION("""COMPUTED_VALUE"""),"")</f>
        <v/>
      </c>
    </row>
    <row r="14799" spans="1:5">
      <c r="A14799" s="12"/>
      <c r="E14799" s="57" t="str">
        <f ca="1">IFERROR(__xludf.DUMMYFUNCTION("""COMPUTED_VALUE"""),"")</f>
        <v/>
      </c>
    </row>
    <row r="14800" spans="1:5">
      <c r="A14800" s="12"/>
      <c r="E14800" s="57" t="str">
        <f ca="1">IFERROR(__xludf.DUMMYFUNCTION("""COMPUTED_VALUE"""),"")</f>
        <v/>
      </c>
    </row>
    <row r="14801" spans="1:5">
      <c r="A14801" s="12"/>
      <c r="E14801" s="57" t="str">
        <f ca="1">IFERROR(__xludf.DUMMYFUNCTION("""COMPUTED_VALUE"""),"")</f>
        <v/>
      </c>
    </row>
    <row r="14802" spans="1:5">
      <c r="A14802" s="12"/>
      <c r="E14802" s="57" t="str">
        <f ca="1">IFERROR(__xludf.DUMMYFUNCTION("""COMPUTED_VALUE"""),"")</f>
        <v/>
      </c>
    </row>
    <row r="14803" spans="1:5">
      <c r="A14803" s="12"/>
      <c r="E14803" s="57" t="str">
        <f ca="1">IFERROR(__xludf.DUMMYFUNCTION("""COMPUTED_VALUE"""),"")</f>
        <v/>
      </c>
    </row>
    <row r="14804" spans="1:5">
      <c r="A14804" s="12"/>
      <c r="E14804" s="57" t="str">
        <f ca="1">IFERROR(__xludf.DUMMYFUNCTION("""COMPUTED_VALUE"""),"")</f>
        <v/>
      </c>
    </row>
    <row r="14805" spans="1:5">
      <c r="A14805" s="12"/>
      <c r="E14805" s="57" t="str">
        <f ca="1">IFERROR(__xludf.DUMMYFUNCTION("""COMPUTED_VALUE"""),"")</f>
        <v/>
      </c>
    </row>
    <row r="14806" spans="1:5">
      <c r="A14806" s="12"/>
      <c r="E14806" s="57" t="str">
        <f ca="1">IFERROR(__xludf.DUMMYFUNCTION("""COMPUTED_VALUE"""),"")</f>
        <v/>
      </c>
    </row>
    <row r="14807" spans="1:5">
      <c r="A14807" s="12"/>
      <c r="E14807" s="57" t="str">
        <f ca="1">IFERROR(__xludf.DUMMYFUNCTION("""COMPUTED_VALUE"""),"")</f>
        <v/>
      </c>
    </row>
    <row r="14808" spans="1:5">
      <c r="A14808" s="12"/>
      <c r="E14808" s="57" t="str">
        <f ca="1">IFERROR(__xludf.DUMMYFUNCTION("""COMPUTED_VALUE"""),"")</f>
        <v/>
      </c>
    </row>
    <row r="14809" spans="1:5">
      <c r="A14809" s="12"/>
      <c r="E14809" s="57" t="str">
        <f ca="1">IFERROR(__xludf.DUMMYFUNCTION("""COMPUTED_VALUE"""),"")</f>
        <v/>
      </c>
    </row>
    <row r="14810" spans="1:5">
      <c r="A14810" s="12"/>
      <c r="E14810" s="57" t="str">
        <f ca="1">IFERROR(__xludf.DUMMYFUNCTION("""COMPUTED_VALUE"""),"")</f>
        <v/>
      </c>
    </row>
    <row r="14811" spans="1:5">
      <c r="A14811" s="12"/>
      <c r="E14811" s="57" t="str">
        <f ca="1">IFERROR(__xludf.DUMMYFUNCTION("""COMPUTED_VALUE"""),"")</f>
        <v/>
      </c>
    </row>
    <row r="14812" spans="1:5">
      <c r="A14812" s="12"/>
      <c r="E14812" s="57" t="str">
        <f ca="1">IFERROR(__xludf.DUMMYFUNCTION("""COMPUTED_VALUE"""),"")</f>
        <v/>
      </c>
    </row>
    <row r="14813" spans="1:5">
      <c r="A14813" s="12"/>
      <c r="E14813" s="57" t="str">
        <f ca="1">IFERROR(__xludf.DUMMYFUNCTION("""COMPUTED_VALUE"""),"")</f>
        <v/>
      </c>
    </row>
    <row r="14814" spans="1:5">
      <c r="A14814" s="12"/>
      <c r="E14814" s="57" t="str">
        <f ca="1">IFERROR(__xludf.DUMMYFUNCTION("""COMPUTED_VALUE"""),"")</f>
        <v/>
      </c>
    </row>
    <row r="14815" spans="1:5">
      <c r="A14815" s="12"/>
      <c r="E14815" s="57" t="str">
        <f ca="1">IFERROR(__xludf.DUMMYFUNCTION("""COMPUTED_VALUE"""),"")</f>
        <v/>
      </c>
    </row>
    <row r="14816" spans="1:5">
      <c r="A14816" s="12"/>
      <c r="E14816" s="57" t="str">
        <f ca="1">IFERROR(__xludf.DUMMYFUNCTION("""COMPUTED_VALUE"""),"")</f>
        <v/>
      </c>
    </row>
    <row r="14817" spans="1:5">
      <c r="A14817" s="12"/>
      <c r="E14817" s="57" t="str">
        <f ca="1">IFERROR(__xludf.DUMMYFUNCTION("""COMPUTED_VALUE"""),"")</f>
        <v/>
      </c>
    </row>
    <row r="14818" spans="1:5">
      <c r="A14818" s="12"/>
      <c r="E14818" s="57" t="str">
        <f ca="1">IFERROR(__xludf.DUMMYFUNCTION("""COMPUTED_VALUE"""),"")</f>
        <v/>
      </c>
    </row>
    <row r="14819" spans="1:5">
      <c r="A14819" s="12"/>
      <c r="E14819" s="57" t="str">
        <f ca="1">IFERROR(__xludf.DUMMYFUNCTION("""COMPUTED_VALUE"""),"")</f>
        <v/>
      </c>
    </row>
    <row r="14820" spans="1:5">
      <c r="A14820" s="12"/>
      <c r="E14820" s="57" t="str">
        <f ca="1">IFERROR(__xludf.DUMMYFUNCTION("""COMPUTED_VALUE"""),"")</f>
        <v/>
      </c>
    </row>
    <row r="14821" spans="1:5">
      <c r="A14821" s="12"/>
      <c r="E14821" s="57" t="str">
        <f ca="1">IFERROR(__xludf.DUMMYFUNCTION("""COMPUTED_VALUE"""),"")</f>
        <v/>
      </c>
    </row>
    <row r="14822" spans="1:5">
      <c r="A14822" s="12"/>
      <c r="E14822" s="57" t="str">
        <f ca="1">IFERROR(__xludf.DUMMYFUNCTION("""COMPUTED_VALUE"""),"")</f>
        <v/>
      </c>
    </row>
    <row r="14823" spans="1:5">
      <c r="A14823" s="12"/>
      <c r="E14823" s="57" t="str">
        <f ca="1">IFERROR(__xludf.DUMMYFUNCTION("""COMPUTED_VALUE"""),"")</f>
        <v/>
      </c>
    </row>
    <row r="14824" spans="1:5">
      <c r="A14824" s="12"/>
      <c r="E14824" s="57" t="str">
        <f ca="1">IFERROR(__xludf.DUMMYFUNCTION("""COMPUTED_VALUE"""),"")</f>
        <v/>
      </c>
    </row>
    <row r="14825" spans="1:5">
      <c r="A14825" s="12"/>
      <c r="E14825" s="57" t="str">
        <f ca="1">IFERROR(__xludf.DUMMYFUNCTION("""COMPUTED_VALUE"""),"")</f>
        <v/>
      </c>
    </row>
    <row r="14826" spans="1:5">
      <c r="A14826" s="12"/>
      <c r="E14826" s="57" t="str">
        <f ca="1">IFERROR(__xludf.DUMMYFUNCTION("""COMPUTED_VALUE"""),"")</f>
        <v/>
      </c>
    </row>
    <row r="14827" spans="1:5">
      <c r="A14827" s="12"/>
      <c r="E14827" s="57" t="str">
        <f ca="1">IFERROR(__xludf.DUMMYFUNCTION("""COMPUTED_VALUE"""),"")</f>
        <v/>
      </c>
    </row>
    <row r="14828" spans="1:5">
      <c r="A14828" s="12"/>
      <c r="E14828" s="57" t="str">
        <f ca="1">IFERROR(__xludf.DUMMYFUNCTION("""COMPUTED_VALUE"""),"")</f>
        <v/>
      </c>
    </row>
    <row r="14829" spans="1:5">
      <c r="A14829" s="12"/>
      <c r="E14829" s="57" t="str">
        <f ca="1">IFERROR(__xludf.DUMMYFUNCTION("""COMPUTED_VALUE"""),"")</f>
        <v/>
      </c>
    </row>
    <row r="14830" spans="1:5">
      <c r="A14830" s="12"/>
      <c r="E14830" s="57" t="str">
        <f ca="1">IFERROR(__xludf.DUMMYFUNCTION("""COMPUTED_VALUE"""),"")</f>
        <v/>
      </c>
    </row>
    <row r="14831" spans="1:5">
      <c r="A14831" s="12"/>
      <c r="E14831" s="57" t="str">
        <f ca="1">IFERROR(__xludf.DUMMYFUNCTION("""COMPUTED_VALUE"""),"")</f>
        <v/>
      </c>
    </row>
    <row r="14832" spans="1:5">
      <c r="A14832" s="12"/>
      <c r="E14832" s="57" t="str">
        <f ca="1">IFERROR(__xludf.DUMMYFUNCTION("""COMPUTED_VALUE"""),"")</f>
        <v/>
      </c>
    </row>
    <row r="14833" spans="1:5">
      <c r="A14833" s="12"/>
      <c r="E14833" s="57" t="str">
        <f ca="1">IFERROR(__xludf.DUMMYFUNCTION("""COMPUTED_VALUE"""),"")</f>
        <v/>
      </c>
    </row>
    <row r="14834" spans="1:5">
      <c r="A14834" s="12"/>
      <c r="E14834" s="57" t="str">
        <f ca="1">IFERROR(__xludf.DUMMYFUNCTION("""COMPUTED_VALUE"""),"")</f>
        <v/>
      </c>
    </row>
    <row r="14835" spans="1:5">
      <c r="A14835" s="12"/>
      <c r="E14835" s="57" t="str">
        <f ca="1">IFERROR(__xludf.DUMMYFUNCTION("""COMPUTED_VALUE"""),"")</f>
        <v/>
      </c>
    </row>
    <row r="14836" spans="1:5">
      <c r="A14836" s="12"/>
      <c r="E14836" s="57" t="str">
        <f ca="1">IFERROR(__xludf.DUMMYFUNCTION("""COMPUTED_VALUE"""),"")</f>
        <v/>
      </c>
    </row>
    <row r="14837" spans="1:5">
      <c r="A14837" s="12"/>
      <c r="E14837" s="57" t="str">
        <f ca="1">IFERROR(__xludf.DUMMYFUNCTION("""COMPUTED_VALUE"""),"")</f>
        <v/>
      </c>
    </row>
    <row r="14838" spans="1:5">
      <c r="A14838" s="12"/>
      <c r="E14838" s="57" t="str">
        <f ca="1">IFERROR(__xludf.DUMMYFUNCTION("""COMPUTED_VALUE"""),"")</f>
        <v/>
      </c>
    </row>
    <row r="14839" spans="1:5">
      <c r="A14839" s="12"/>
      <c r="E14839" s="57" t="str">
        <f ca="1">IFERROR(__xludf.DUMMYFUNCTION("""COMPUTED_VALUE"""),"")</f>
        <v/>
      </c>
    </row>
    <row r="14840" spans="1:5">
      <c r="A14840" s="12"/>
      <c r="E14840" s="57" t="str">
        <f ca="1">IFERROR(__xludf.DUMMYFUNCTION("""COMPUTED_VALUE"""),"")</f>
        <v/>
      </c>
    </row>
    <row r="14841" spans="1:5">
      <c r="A14841" s="12"/>
      <c r="E14841" s="57" t="str">
        <f ca="1">IFERROR(__xludf.DUMMYFUNCTION("""COMPUTED_VALUE"""),"")</f>
        <v/>
      </c>
    </row>
    <row r="14842" spans="1:5">
      <c r="A14842" s="12"/>
      <c r="E14842" s="57" t="str">
        <f ca="1">IFERROR(__xludf.DUMMYFUNCTION("""COMPUTED_VALUE"""),"")</f>
        <v/>
      </c>
    </row>
    <row r="14843" spans="1:5">
      <c r="A14843" s="12"/>
      <c r="E14843" s="57" t="str">
        <f ca="1">IFERROR(__xludf.DUMMYFUNCTION("""COMPUTED_VALUE"""),"")</f>
        <v/>
      </c>
    </row>
    <row r="14844" spans="1:5">
      <c r="A14844" s="12"/>
      <c r="E14844" s="57" t="str">
        <f ca="1">IFERROR(__xludf.DUMMYFUNCTION("""COMPUTED_VALUE"""),"")</f>
        <v/>
      </c>
    </row>
    <row r="14845" spans="1:5">
      <c r="A14845" s="12"/>
      <c r="E14845" s="57" t="str">
        <f ca="1">IFERROR(__xludf.DUMMYFUNCTION("""COMPUTED_VALUE"""),"")</f>
        <v/>
      </c>
    </row>
    <row r="14846" spans="1:5">
      <c r="A14846" s="12"/>
      <c r="E14846" s="57" t="str">
        <f ca="1">IFERROR(__xludf.DUMMYFUNCTION("""COMPUTED_VALUE"""),"")</f>
        <v/>
      </c>
    </row>
    <row r="14847" spans="1:5">
      <c r="A14847" s="12"/>
      <c r="E14847" s="57" t="str">
        <f ca="1">IFERROR(__xludf.DUMMYFUNCTION("""COMPUTED_VALUE"""),"")</f>
        <v/>
      </c>
    </row>
    <row r="14848" spans="1:5">
      <c r="A14848" s="12"/>
      <c r="E14848" s="57" t="str">
        <f ca="1">IFERROR(__xludf.DUMMYFUNCTION("""COMPUTED_VALUE"""),"")</f>
        <v/>
      </c>
    </row>
    <row r="14849" spans="1:5">
      <c r="A14849" s="12"/>
      <c r="E14849" s="57" t="str">
        <f ca="1">IFERROR(__xludf.DUMMYFUNCTION("""COMPUTED_VALUE"""),"")</f>
        <v/>
      </c>
    </row>
    <row r="14850" spans="1:5">
      <c r="A14850" s="12"/>
      <c r="E14850" s="57" t="str">
        <f ca="1">IFERROR(__xludf.DUMMYFUNCTION("""COMPUTED_VALUE"""),"")</f>
        <v/>
      </c>
    </row>
    <row r="14851" spans="1:5">
      <c r="A14851" s="12"/>
      <c r="E14851" s="57" t="str">
        <f ca="1">IFERROR(__xludf.DUMMYFUNCTION("""COMPUTED_VALUE"""),"")</f>
        <v/>
      </c>
    </row>
    <row r="14852" spans="1:5">
      <c r="A14852" s="12"/>
      <c r="E14852" s="57" t="str">
        <f ca="1">IFERROR(__xludf.DUMMYFUNCTION("""COMPUTED_VALUE"""),"")</f>
        <v/>
      </c>
    </row>
    <row r="14853" spans="1:5">
      <c r="A14853" s="12"/>
      <c r="E14853" s="57" t="str">
        <f ca="1">IFERROR(__xludf.DUMMYFUNCTION("""COMPUTED_VALUE"""),"")</f>
        <v/>
      </c>
    </row>
    <row r="14854" spans="1:5">
      <c r="A14854" s="12"/>
      <c r="E14854" s="57" t="str">
        <f ca="1">IFERROR(__xludf.DUMMYFUNCTION("""COMPUTED_VALUE"""),"")</f>
        <v/>
      </c>
    </row>
    <row r="14855" spans="1:5">
      <c r="A14855" s="12"/>
      <c r="E14855" s="57" t="str">
        <f ca="1">IFERROR(__xludf.DUMMYFUNCTION("""COMPUTED_VALUE"""),"")</f>
        <v/>
      </c>
    </row>
    <row r="14856" spans="1:5">
      <c r="A14856" s="12"/>
      <c r="E14856" s="57" t="str">
        <f ca="1">IFERROR(__xludf.DUMMYFUNCTION("""COMPUTED_VALUE"""),"")</f>
        <v/>
      </c>
    </row>
    <row r="14857" spans="1:5">
      <c r="A14857" s="12"/>
      <c r="E14857" s="57" t="str">
        <f ca="1">IFERROR(__xludf.DUMMYFUNCTION("""COMPUTED_VALUE"""),"")</f>
        <v/>
      </c>
    </row>
    <row r="14858" spans="1:5">
      <c r="A14858" s="12"/>
      <c r="E14858" s="57" t="str">
        <f ca="1">IFERROR(__xludf.DUMMYFUNCTION("""COMPUTED_VALUE"""),"")</f>
        <v/>
      </c>
    </row>
    <row r="14859" spans="1:5">
      <c r="A14859" s="12"/>
      <c r="E14859" s="57" t="str">
        <f ca="1">IFERROR(__xludf.DUMMYFUNCTION("""COMPUTED_VALUE"""),"")</f>
        <v/>
      </c>
    </row>
    <row r="14860" spans="1:5">
      <c r="A14860" s="12"/>
      <c r="E14860" s="57" t="str">
        <f ca="1">IFERROR(__xludf.DUMMYFUNCTION("""COMPUTED_VALUE"""),"")</f>
        <v/>
      </c>
    </row>
    <row r="14861" spans="1:5">
      <c r="A14861" s="12"/>
      <c r="E14861" s="57" t="str">
        <f ca="1">IFERROR(__xludf.DUMMYFUNCTION("""COMPUTED_VALUE"""),"")</f>
        <v/>
      </c>
    </row>
    <row r="14862" spans="1:5">
      <c r="A14862" s="12"/>
      <c r="E14862" s="57" t="str">
        <f ca="1">IFERROR(__xludf.DUMMYFUNCTION("""COMPUTED_VALUE"""),"")</f>
        <v/>
      </c>
    </row>
    <row r="14863" spans="1:5">
      <c r="A14863" s="12"/>
      <c r="E14863" s="57" t="str">
        <f ca="1">IFERROR(__xludf.DUMMYFUNCTION("""COMPUTED_VALUE"""),"")</f>
        <v/>
      </c>
    </row>
    <row r="14864" spans="1:5">
      <c r="A14864" s="12"/>
      <c r="E14864" s="57" t="str">
        <f ca="1">IFERROR(__xludf.DUMMYFUNCTION("""COMPUTED_VALUE"""),"")</f>
        <v/>
      </c>
    </row>
    <row r="14865" spans="1:5">
      <c r="A14865" s="12"/>
      <c r="E14865" s="57" t="str">
        <f ca="1">IFERROR(__xludf.DUMMYFUNCTION("""COMPUTED_VALUE"""),"")</f>
        <v/>
      </c>
    </row>
    <row r="14866" spans="1:5">
      <c r="A14866" s="12"/>
      <c r="E14866" s="57" t="str">
        <f ca="1">IFERROR(__xludf.DUMMYFUNCTION("""COMPUTED_VALUE"""),"")</f>
        <v/>
      </c>
    </row>
    <row r="14867" spans="1:5">
      <c r="A14867" s="12"/>
      <c r="E14867" s="57" t="str">
        <f ca="1">IFERROR(__xludf.DUMMYFUNCTION("""COMPUTED_VALUE"""),"")</f>
        <v/>
      </c>
    </row>
    <row r="14868" spans="1:5">
      <c r="A14868" s="12"/>
      <c r="E14868" s="57" t="str">
        <f ca="1">IFERROR(__xludf.DUMMYFUNCTION("""COMPUTED_VALUE"""),"")</f>
        <v/>
      </c>
    </row>
    <row r="14869" spans="1:5">
      <c r="A14869" s="12"/>
      <c r="E14869" s="57" t="str">
        <f ca="1">IFERROR(__xludf.DUMMYFUNCTION("""COMPUTED_VALUE"""),"")</f>
        <v/>
      </c>
    </row>
    <row r="14870" spans="1:5">
      <c r="A14870" s="12"/>
      <c r="E14870" s="57" t="str">
        <f ca="1">IFERROR(__xludf.DUMMYFUNCTION("""COMPUTED_VALUE"""),"")</f>
        <v/>
      </c>
    </row>
    <row r="14871" spans="1:5">
      <c r="A14871" s="12"/>
      <c r="E14871" s="57" t="str">
        <f ca="1">IFERROR(__xludf.DUMMYFUNCTION("""COMPUTED_VALUE"""),"")</f>
        <v/>
      </c>
    </row>
    <row r="14872" spans="1:5">
      <c r="A14872" s="12"/>
      <c r="E14872" s="57" t="str">
        <f ca="1">IFERROR(__xludf.DUMMYFUNCTION("""COMPUTED_VALUE"""),"")</f>
        <v/>
      </c>
    </row>
    <row r="14873" spans="1:5">
      <c r="A14873" s="12"/>
      <c r="E14873" s="57" t="str">
        <f ca="1">IFERROR(__xludf.DUMMYFUNCTION("""COMPUTED_VALUE"""),"")</f>
        <v/>
      </c>
    </row>
    <row r="14874" spans="1:5">
      <c r="A14874" s="12"/>
      <c r="E14874" s="57" t="str">
        <f ca="1">IFERROR(__xludf.DUMMYFUNCTION("""COMPUTED_VALUE"""),"")</f>
        <v/>
      </c>
    </row>
    <row r="14875" spans="1:5">
      <c r="A14875" s="12"/>
      <c r="E14875" s="57" t="str">
        <f ca="1">IFERROR(__xludf.DUMMYFUNCTION("""COMPUTED_VALUE"""),"")</f>
        <v/>
      </c>
    </row>
    <row r="14876" spans="1:5">
      <c r="A14876" s="12"/>
      <c r="E14876" s="57" t="str">
        <f ca="1">IFERROR(__xludf.DUMMYFUNCTION("""COMPUTED_VALUE"""),"")</f>
        <v/>
      </c>
    </row>
    <row r="14877" spans="1:5">
      <c r="A14877" s="12"/>
      <c r="E14877" s="57" t="str">
        <f ca="1">IFERROR(__xludf.DUMMYFUNCTION("""COMPUTED_VALUE"""),"")</f>
        <v/>
      </c>
    </row>
    <row r="14878" spans="1:5">
      <c r="A14878" s="12"/>
      <c r="E14878" s="57" t="str">
        <f ca="1">IFERROR(__xludf.DUMMYFUNCTION("""COMPUTED_VALUE"""),"")</f>
        <v/>
      </c>
    </row>
    <row r="14879" spans="1:5">
      <c r="A14879" s="12"/>
      <c r="E14879" s="57" t="str">
        <f ca="1">IFERROR(__xludf.DUMMYFUNCTION("""COMPUTED_VALUE"""),"")</f>
        <v/>
      </c>
    </row>
    <row r="14880" spans="1:5">
      <c r="A14880" s="12"/>
      <c r="E14880" s="57" t="str">
        <f ca="1">IFERROR(__xludf.DUMMYFUNCTION("""COMPUTED_VALUE"""),"")</f>
        <v/>
      </c>
    </row>
    <row r="14881" spans="1:5">
      <c r="A14881" s="12"/>
      <c r="E14881" s="57" t="str">
        <f ca="1">IFERROR(__xludf.DUMMYFUNCTION("""COMPUTED_VALUE"""),"")</f>
        <v/>
      </c>
    </row>
    <row r="14882" spans="1:5">
      <c r="A14882" s="12"/>
      <c r="E14882" s="57" t="str">
        <f ca="1">IFERROR(__xludf.DUMMYFUNCTION("""COMPUTED_VALUE"""),"")</f>
        <v/>
      </c>
    </row>
    <row r="14883" spans="1:5">
      <c r="A14883" s="12"/>
      <c r="E14883" s="57" t="str">
        <f ca="1">IFERROR(__xludf.DUMMYFUNCTION("""COMPUTED_VALUE"""),"")</f>
        <v/>
      </c>
    </row>
    <row r="14884" spans="1:5">
      <c r="A14884" s="12"/>
      <c r="E14884" s="57" t="str">
        <f ca="1">IFERROR(__xludf.DUMMYFUNCTION("""COMPUTED_VALUE"""),"")</f>
        <v/>
      </c>
    </row>
    <row r="14885" spans="1:5">
      <c r="A14885" s="12"/>
      <c r="E14885" s="57" t="str">
        <f ca="1">IFERROR(__xludf.DUMMYFUNCTION("""COMPUTED_VALUE"""),"")</f>
        <v/>
      </c>
    </row>
    <row r="14886" spans="1:5">
      <c r="A14886" s="12"/>
      <c r="E14886" s="57" t="str">
        <f ca="1">IFERROR(__xludf.DUMMYFUNCTION("""COMPUTED_VALUE"""),"")</f>
        <v/>
      </c>
    </row>
    <row r="14887" spans="1:5">
      <c r="A14887" s="12"/>
      <c r="E14887" s="57" t="str">
        <f ca="1">IFERROR(__xludf.DUMMYFUNCTION("""COMPUTED_VALUE"""),"")</f>
        <v/>
      </c>
    </row>
    <row r="14888" spans="1:5">
      <c r="A14888" s="12"/>
      <c r="E14888" s="57" t="str">
        <f ca="1">IFERROR(__xludf.DUMMYFUNCTION("""COMPUTED_VALUE"""),"")</f>
        <v/>
      </c>
    </row>
    <row r="14889" spans="1:5">
      <c r="A14889" s="12"/>
      <c r="E14889" s="57" t="str">
        <f ca="1">IFERROR(__xludf.DUMMYFUNCTION("""COMPUTED_VALUE"""),"")</f>
        <v/>
      </c>
    </row>
    <row r="14890" spans="1:5">
      <c r="A14890" s="12"/>
      <c r="E14890" s="57" t="str">
        <f ca="1">IFERROR(__xludf.DUMMYFUNCTION("""COMPUTED_VALUE"""),"")</f>
        <v/>
      </c>
    </row>
    <row r="14891" spans="1:5">
      <c r="A14891" s="12"/>
      <c r="E14891" s="57" t="str">
        <f ca="1">IFERROR(__xludf.DUMMYFUNCTION("""COMPUTED_VALUE"""),"")</f>
        <v/>
      </c>
    </row>
    <row r="14892" spans="1:5">
      <c r="A14892" s="12"/>
      <c r="E14892" s="57" t="str">
        <f ca="1">IFERROR(__xludf.DUMMYFUNCTION("""COMPUTED_VALUE"""),"")</f>
        <v/>
      </c>
    </row>
    <row r="14893" spans="1:5">
      <c r="A14893" s="12"/>
      <c r="E14893" s="57" t="str">
        <f ca="1">IFERROR(__xludf.DUMMYFUNCTION("""COMPUTED_VALUE"""),"")</f>
        <v/>
      </c>
    </row>
    <row r="14894" spans="1:5">
      <c r="A14894" s="12"/>
      <c r="E14894" s="57" t="str">
        <f ca="1">IFERROR(__xludf.DUMMYFUNCTION("""COMPUTED_VALUE"""),"")</f>
        <v/>
      </c>
    </row>
    <row r="14895" spans="1:5">
      <c r="A14895" s="12"/>
      <c r="E14895" s="57" t="str">
        <f ca="1">IFERROR(__xludf.DUMMYFUNCTION("""COMPUTED_VALUE"""),"")</f>
        <v/>
      </c>
    </row>
    <row r="14896" spans="1:5">
      <c r="A14896" s="12"/>
      <c r="E14896" s="57" t="str">
        <f ca="1">IFERROR(__xludf.DUMMYFUNCTION("""COMPUTED_VALUE"""),"")</f>
        <v/>
      </c>
    </row>
    <row r="14897" spans="1:5">
      <c r="A14897" s="12"/>
      <c r="E14897" s="57" t="str">
        <f ca="1">IFERROR(__xludf.DUMMYFUNCTION("""COMPUTED_VALUE"""),"")</f>
        <v/>
      </c>
    </row>
    <row r="14898" spans="1:5">
      <c r="A14898" s="12"/>
      <c r="E14898" s="57" t="str">
        <f ca="1">IFERROR(__xludf.DUMMYFUNCTION("""COMPUTED_VALUE"""),"")</f>
        <v/>
      </c>
    </row>
    <row r="14899" spans="1:5">
      <c r="A14899" s="12"/>
      <c r="E14899" s="57" t="str">
        <f ca="1">IFERROR(__xludf.DUMMYFUNCTION("""COMPUTED_VALUE"""),"")</f>
        <v/>
      </c>
    </row>
    <row r="14900" spans="1:5">
      <c r="A14900" s="12"/>
      <c r="E14900" s="57" t="str">
        <f ca="1">IFERROR(__xludf.DUMMYFUNCTION("""COMPUTED_VALUE"""),"")</f>
        <v/>
      </c>
    </row>
    <row r="14901" spans="1:5">
      <c r="A14901" s="12"/>
      <c r="E14901" s="57" t="str">
        <f ca="1">IFERROR(__xludf.DUMMYFUNCTION("""COMPUTED_VALUE"""),"")</f>
        <v/>
      </c>
    </row>
    <row r="14902" spans="1:5">
      <c r="A14902" s="12"/>
      <c r="E14902" s="57" t="str">
        <f ca="1">IFERROR(__xludf.DUMMYFUNCTION("""COMPUTED_VALUE"""),"")</f>
        <v/>
      </c>
    </row>
    <row r="14903" spans="1:5">
      <c r="A14903" s="12"/>
      <c r="E14903" s="57" t="str">
        <f ca="1">IFERROR(__xludf.DUMMYFUNCTION("""COMPUTED_VALUE"""),"")</f>
        <v/>
      </c>
    </row>
    <row r="14904" spans="1:5">
      <c r="A14904" s="12"/>
      <c r="E14904" s="57" t="str">
        <f ca="1">IFERROR(__xludf.DUMMYFUNCTION("""COMPUTED_VALUE"""),"")</f>
        <v/>
      </c>
    </row>
    <row r="14905" spans="1:5">
      <c r="A14905" s="12"/>
      <c r="E14905" s="57" t="str">
        <f ca="1">IFERROR(__xludf.DUMMYFUNCTION("""COMPUTED_VALUE"""),"")</f>
        <v/>
      </c>
    </row>
    <row r="14906" spans="1:5">
      <c r="A14906" s="12"/>
      <c r="E14906" s="57" t="str">
        <f ca="1">IFERROR(__xludf.DUMMYFUNCTION("""COMPUTED_VALUE"""),"")</f>
        <v/>
      </c>
    </row>
    <row r="14907" spans="1:5">
      <c r="A14907" s="12"/>
      <c r="E14907" s="57" t="str">
        <f ca="1">IFERROR(__xludf.DUMMYFUNCTION("""COMPUTED_VALUE"""),"")</f>
        <v/>
      </c>
    </row>
    <row r="14908" spans="1:5">
      <c r="A14908" s="12"/>
      <c r="E14908" s="57" t="str">
        <f ca="1">IFERROR(__xludf.DUMMYFUNCTION("""COMPUTED_VALUE"""),"")</f>
        <v/>
      </c>
    </row>
    <row r="14909" spans="1:5">
      <c r="A14909" s="12"/>
      <c r="E14909" s="57" t="str">
        <f ca="1">IFERROR(__xludf.DUMMYFUNCTION("""COMPUTED_VALUE"""),"")</f>
        <v/>
      </c>
    </row>
    <row r="14910" spans="1:5">
      <c r="A14910" s="12"/>
      <c r="E14910" s="57" t="str">
        <f ca="1">IFERROR(__xludf.DUMMYFUNCTION("""COMPUTED_VALUE"""),"")</f>
        <v/>
      </c>
    </row>
    <row r="14911" spans="1:5">
      <c r="A14911" s="12"/>
      <c r="E14911" s="57" t="str">
        <f ca="1">IFERROR(__xludf.DUMMYFUNCTION("""COMPUTED_VALUE"""),"")</f>
        <v/>
      </c>
    </row>
    <row r="14912" spans="1:5">
      <c r="A14912" s="12"/>
      <c r="E14912" s="57" t="str">
        <f ca="1">IFERROR(__xludf.DUMMYFUNCTION("""COMPUTED_VALUE"""),"")</f>
        <v/>
      </c>
    </row>
    <row r="14913" spans="1:5">
      <c r="A14913" s="12"/>
      <c r="E14913" s="57" t="str">
        <f ca="1">IFERROR(__xludf.DUMMYFUNCTION("""COMPUTED_VALUE"""),"")</f>
        <v/>
      </c>
    </row>
    <row r="14914" spans="1:5">
      <c r="A14914" s="12"/>
      <c r="E14914" s="57" t="str">
        <f ca="1">IFERROR(__xludf.DUMMYFUNCTION("""COMPUTED_VALUE"""),"")</f>
        <v/>
      </c>
    </row>
    <row r="14915" spans="1:5">
      <c r="A14915" s="12"/>
      <c r="E14915" s="57" t="str">
        <f ca="1">IFERROR(__xludf.DUMMYFUNCTION("""COMPUTED_VALUE"""),"")</f>
        <v/>
      </c>
    </row>
    <row r="14916" spans="1:5">
      <c r="A14916" s="12"/>
      <c r="E14916" s="57" t="str">
        <f ca="1">IFERROR(__xludf.DUMMYFUNCTION("""COMPUTED_VALUE"""),"")</f>
        <v/>
      </c>
    </row>
    <row r="14917" spans="1:5">
      <c r="A14917" s="12"/>
      <c r="E14917" s="57" t="str">
        <f ca="1">IFERROR(__xludf.DUMMYFUNCTION("""COMPUTED_VALUE"""),"")</f>
        <v/>
      </c>
    </row>
    <row r="14918" spans="1:5">
      <c r="A14918" s="12"/>
      <c r="E14918" s="57" t="str">
        <f ca="1">IFERROR(__xludf.DUMMYFUNCTION("""COMPUTED_VALUE"""),"")</f>
        <v/>
      </c>
    </row>
    <row r="14919" spans="1:5">
      <c r="A14919" s="12"/>
      <c r="E14919" s="57" t="str">
        <f ca="1">IFERROR(__xludf.DUMMYFUNCTION("""COMPUTED_VALUE"""),"")</f>
        <v/>
      </c>
    </row>
    <row r="14920" spans="1:5">
      <c r="A14920" s="12"/>
      <c r="E14920" s="57" t="str">
        <f ca="1">IFERROR(__xludf.DUMMYFUNCTION("""COMPUTED_VALUE"""),"")</f>
        <v/>
      </c>
    </row>
    <row r="14921" spans="1:5">
      <c r="A14921" s="12"/>
      <c r="E14921" s="57" t="str">
        <f ca="1">IFERROR(__xludf.DUMMYFUNCTION("""COMPUTED_VALUE"""),"")</f>
        <v/>
      </c>
    </row>
    <row r="14922" spans="1:5">
      <c r="A14922" s="12"/>
      <c r="E14922" s="57" t="str">
        <f ca="1">IFERROR(__xludf.DUMMYFUNCTION("""COMPUTED_VALUE"""),"")</f>
        <v/>
      </c>
    </row>
    <row r="14923" spans="1:5">
      <c r="A14923" s="12"/>
      <c r="E14923" s="57" t="str">
        <f ca="1">IFERROR(__xludf.DUMMYFUNCTION("""COMPUTED_VALUE"""),"")</f>
        <v/>
      </c>
    </row>
    <row r="14924" spans="1:5">
      <c r="A14924" s="12"/>
      <c r="E14924" s="57" t="str">
        <f ca="1">IFERROR(__xludf.DUMMYFUNCTION("""COMPUTED_VALUE"""),"")</f>
        <v/>
      </c>
    </row>
    <row r="14925" spans="1:5">
      <c r="A14925" s="12"/>
      <c r="E14925" s="57" t="str">
        <f ca="1">IFERROR(__xludf.DUMMYFUNCTION("""COMPUTED_VALUE"""),"")</f>
        <v/>
      </c>
    </row>
    <row r="14926" spans="1:5">
      <c r="A14926" s="12"/>
      <c r="E14926" s="57" t="str">
        <f ca="1">IFERROR(__xludf.DUMMYFUNCTION("""COMPUTED_VALUE"""),"")</f>
        <v/>
      </c>
    </row>
    <row r="14927" spans="1:5">
      <c r="A14927" s="12"/>
      <c r="E14927" s="57" t="str">
        <f ca="1">IFERROR(__xludf.DUMMYFUNCTION("""COMPUTED_VALUE"""),"")</f>
        <v/>
      </c>
    </row>
    <row r="14928" spans="1:5">
      <c r="A14928" s="12"/>
      <c r="E14928" s="57" t="str">
        <f ca="1">IFERROR(__xludf.DUMMYFUNCTION("""COMPUTED_VALUE"""),"")</f>
        <v/>
      </c>
    </row>
    <row r="14929" spans="1:5">
      <c r="A14929" s="12"/>
      <c r="E14929" s="57" t="str">
        <f ca="1">IFERROR(__xludf.DUMMYFUNCTION("""COMPUTED_VALUE"""),"")</f>
        <v/>
      </c>
    </row>
    <row r="14930" spans="1:5">
      <c r="A14930" s="12"/>
      <c r="E14930" s="57" t="str">
        <f ca="1">IFERROR(__xludf.DUMMYFUNCTION("""COMPUTED_VALUE"""),"")</f>
        <v/>
      </c>
    </row>
    <row r="14931" spans="1:5">
      <c r="A14931" s="12"/>
      <c r="E14931" s="57" t="str">
        <f ca="1">IFERROR(__xludf.DUMMYFUNCTION("""COMPUTED_VALUE"""),"")</f>
        <v/>
      </c>
    </row>
    <row r="14932" spans="1:5">
      <c r="A14932" s="12"/>
      <c r="E14932" s="57" t="str">
        <f ca="1">IFERROR(__xludf.DUMMYFUNCTION("""COMPUTED_VALUE"""),"")</f>
        <v/>
      </c>
    </row>
    <row r="14933" spans="1:5">
      <c r="A14933" s="12"/>
      <c r="E14933" s="57" t="str">
        <f ca="1">IFERROR(__xludf.DUMMYFUNCTION("""COMPUTED_VALUE"""),"")</f>
        <v/>
      </c>
    </row>
    <row r="14934" spans="1:5">
      <c r="A14934" s="12"/>
      <c r="E14934" s="57" t="str">
        <f ca="1">IFERROR(__xludf.DUMMYFUNCTION("""COMPUTED_VALUE"""),"")</f>
        <v/>
      </c>
    </row>
    <row r="14935" spans="1:5">
      <c r="A14935" s="12"/>
      <c r="E14935" s="57" t="str">
        <f ca="1">IFERROR(__xludf.DUMMYFUNCTION("""COMPUTED_VALUE"""),"")</f>
        <v/>
      </c>
    </row>
    <row r="14936" spans="1:5">
      <c r="A14936" s="12"/>
      <c r="E14936" s="57" t="str">
        <f ca="1">IFERROR(__xludf.DUMMYFUNCTION("""COMPUTED_VALUE"""),"")</f>
        <v/>
      </c>
    </row>
    <row r="14937" spans="1:5">
      <c r="A14937" s="12"/>
      <c r="E14937" s="57" t="str">
        <f ca="1">IFERROR(__xludf.DUMMYFUNCTION("""COMPUTED_VALUE"""),"")</f>
        <v/>
      </c>
    </row>
    <row r="14938" spans="1:5">
      <c r="A14938" s="12"/>
      <c r="E14938" s="57" t="str">
        <f ca="1">IFERROR(__xludf.DUMMYFUNCTION("""COMPUTED_VALUE"""),"")</f>
        <v/>
      </c>
    </row>
    <row r="14939" spans="1:5">
      <c r="A14939" s="12"/>
      <c r="E14939" s="57" t="str">
        <f ca="1">IFERROR(__xludf.DUMMYFUNCTION("""COMPUTED_VALUE"""),"")</f>
        <v/>
      </c>
    </row>
    <row r="14940" spans="1:5">
      <c r="A14940" s="12"/>
      <c r="E14940" s="57" t="str">
        <f ca="1">IFERROR(__xludf.DUMMYFUNCTION("""COMPUTED_VALUE"""),"")</f>
        <v/>
      </c>
    </row>
    <row r="14941" spans="1:5">
      <c r="A14941" s="12"/>
      <c r="E14941" s="57" t="str">
        <f ca="1">IFERROR(__xludf.DUMMYFUNCTION("""COMPUTED_VALUE"""),"")</f>
        <v/>
      </c>
    </row>
    <row r="14942" spans="1:5">
      <c r="A14942" s="12"/>
      <c r="E14942" s="57" t="str">
        <f ca="1">IFERROR(__xludf.DUMMYFUNCTION("""COMPUTED_VALUE"""),"")</f>
        <v/>
      </c>
    </row>
    <row r="14943" spans="1:5">
      <c r="A14943" s="12"/>
      <c r="E14943" s="57" t="str">
        <f ca="1">IFERROR(__xludf.DUMMYFUNCTION("""COMPUTED_VALUE"""),"")</f>
        <v/>
      </c>
    </row>
    <row r="14944" spans="1:5">
      <c r="A14944" s="12"/>
      <c r="E14944" s="57" t="str">
        <f ca="1">IFERROR(__xludf.DUMMYFUNCTION("""COMPUTED_VALUE"""),"")</f>
        <v/>
      </c>
    </row>
    <row r="14945" spans="1:5">
      <c r="A14945" s="12"/>
      <c r="E14945" s="57" t="str">
        <f ca="1">IFERROR(__xludf.DUMMYFUNCTION("""COMPUTED_VALUE"""),"")</f>
        <v/>
      </c>
    </row>
    <row r="14946" spans="1:5">
      <c r="A14946" s="12"/>
      <c r="E14946" s="57" t="str">
        <f ca="1">IFERROR(__xludf.DUMMYFUNCTION("""COMPUTED_VALUE"""),"")</f>
        <v/>
      </c>
    </row>
    <row r="14947" spans="1:5">
      <c r="A14947" s="12"/>
      <c r="E14947" s="57" t="str">
        <f ca="1">IFERROR(__xludf.DUMMYFUNCTION("""COMPUTED_VALUE"""),"")</f>
        <v/>
      </c>
    </row>
    <row r="14948" spans="1:5">
      <c r="A14948" s="12"/>
      <c r="E14948" s="57" t="str">
        <f ca="1">IFERROR(__xludf.DUMMYFUNCTION("""COMPUTED_VALUE"""),"")</f>
        <v/>
      </c>
    </row>
    <row r="14949" spans="1:5">
      <c r="A14949" s="12"/>
      <c r="E14949" s="57" t="str">
        <f ca="1">IFERROR(__xludf.DUMMYFUNCTION("""COMPUTED_VALUE"""),"")</f>
        <v/>
      </c>
    </row>
    <row r="14950" spans="1:5">
      <c r="A14950" s="12"/>
      <c r="E14950" s="57" t="str">
        <f ca="1">IFERROR(__xludf.DUMMYFUNCTION("""COMPUTED_VALUE"""),"")</f>
        <v/>
      </c>
    </row>
    <row r="14951" spans="1:5">
      <c r="A14951" s="12"/>
      <c r="E14951" s="57" t="str">
        <f ca="1">IFERROR(__xludf.DUMMYFUNCTION("""COMPUTED_VALUE"""),"")</f>
        <v/>
      </c>
    </row>
    <row r="14952" spans="1:5">
      <c r="A14952" s="12"/>
      <c r="E14952" s="57" t="str">
        <f ca="1">IFERROR(__xludf.DUMMYFUNCTION("""COMPUTED_VALUE"""),"")</f>
        <v/>
      </c>
    </row>
    <row r="14953" spans="1:5">
      <c r="A14953" s="12"/>
      <c r="E14953" s="57" t="str">
        <f ca="1">IFERROR(__xludf.DUMMYFUNCTION("""COMPUTED_VALUE"""),"")</f>
        <v/>
      </c>
    </row>
    <row r="14954" spans="1:5">
      <c r="A14954" s="12"/>
      <c r="E14954" s="57" t="str">
        <f ca="1">IFERROR(__xludf.DUMMYFUNCTION("""COMPUTED_VALUE"""),"")</f>
        <v/>
      </c>
    </row>
    <row r="14955" spans="1:5">
      <c r="A14955" s="12"/>
      <c r="E14955" s="57" t="str">
        <f ca="1">IFERROR(__xludf.DUMMYFUNCTION("""COMPUTED_VALUE"""),"")</f>
        <v/>
      </c>
    </row>
    <row r="14956" spans="1:5">
      <c r="A14956" s="12"/>
      <c r="E14956" s="57" t="str">
        <f ca="1">IFERROR(__xludf.DUMMYFUNCTION("""COMPUTED_VALUE"""),"")</f>
        <v/>
      </c>
    </row>
    <row r="14957" spans="1:5">
      <c r="A14957" s="12"/>
      <c r="E14957" s="57" t="str">
        <f ca="1">IFERROR(__xludf.DUMMYFUNCTION("""COMPUTED_VALUE"""),"")</f>
        <v/>
      </c>
    </row>
    <row r="14958" spans="1:5">
      <c r="A14958" s="12"/>
      <c r="E14958" s="57" t="str">
        <f ca="1">IFERROR(__xludf.DUMMYFUNCTION("""COMPUTED_VALUE"""),"")</f>
        <v/>
      </c>
    </row>
    <row r="14959" spans="1:5">
      <c r="A14959" s="12"/>
      <c r="E14959" s="57" t="str">
        <f ca="1">IFERROR(__xludf.DUMMYFUNCTION("""COMPUTED_VALUE"""),"")</f>
        <v/>
      </c>
    </row>
    <row r="14960" spans="1:5">
      <c r="A14960" s="12"/>
      <c r="E14960" s="57" t="str">
        <f ca="1">IFERROR(__xludf.DUMMYFUNCTION("""COMPUTED_VALUE"""),"")</f>
        <v/>
      </c>
    </row>
    <row r="14961" spans="1:5">
      <c r="A14961" s="12"/>
      <c r="E14961" s="57" t="str">
        <f ca="1">IFERROR(__xludf.DUMMYFUNCTION("""COMPUTED_VALUE"""),"")</f>
        <v/>
      </c>
    </row>
    <row r="14962" spans="1:5">
      <c r="A14962" s="12"/>
      <c r="E14962" s="57" t="str">
        <f ca="1">IFERROR(__xludf.DUMMYFUNCTION("""COMPUTED_VALUE"""),"")</f>
        <v/>
      </c>
    </row>
    <row r="14963" spans="1:5">
      <c r="A14963" s="12"/>
      <c r="E14963" s="57" t="str">
        <f ca="1">IFERROR(__xludf.DUMMYFUNCTION("""COMPUTED_VALUE"""),"")</f>
        <v/>
      </c>
    </row>
    <row r="14964" spans="1:5">
      <c r="A14964" s="12"/>
      <c r="E14964" s="57" t="str">
        <f ca="1">IFERROR(__xludf.DUMMYFUNCTION("""COMPUTED_VALUE"""),"")</f>
        <v/>
      </c>
    </row>
    <row r="14965" spans="1:5">
      <c r="A14965" s="12"/>
      <c r="E14965" s="57" t="str">
        <f ca="1">IFERROR(__xludf.DUMMYFUNCTION("""COMPUTED_VALUE"""),"")</f>
        <v/>
      </c>
    </row>
    <row r="14966" spans="1:5">
      <c r="A14966" s="12"/>
      <c r="E14966" s="57" t="str">
        <f ca="1">IFERROR(__xludf.DUMMYFUNCTION("""COMPUTED_VALUE"""),"")</f>
        <v/>
      </c>
    </row>
    <row r="14967" spans="1:5">
      <c r="A14967" s="12"/>
      <c r="E14967" s="57" t="str">
        <f ca="1">IFERROR(__xludf.DUMMYFUNCTION("""COMPUTED_VALUE"""),"")</f>
        <v/>
      </c>
    </row>
    <row r="14968" spans="1:5">
      <c r="A14968" s="12"/>
      <c r="E14968" s="57" t="str">
        <f ca="1">IFERROR(__xludf.DUMMYFUNCTION("""COMPUTED_VALUE"""),"")</f>
        <v/>
      </c>
    </row>
    <row r="14969" spans="1:5">
      <c r="A14969" s="12"/>
      <c r="E14969" s="57" t="str">
        <f ca="1">IFERROR(__xludf.DUMMYFUNCTION("""COMPUTED_VALUE"""),"")</f>
        <v/>
      </c>
    </row>
    <row r="14970" spans="1:5">
      <c r="A14970" s="12"/>
      <c r="E14970" s="57" t="str">
        <f ca="1">IFERROR(__xludf.DUMMYFUNCTION("""COMPUTED_VALUE"""),"")</f>
        <v/>
      </c>
    </row>
    <row r="14971" spans="1:5">
      <c r="A14971" s="12"/>
      <c r="E14971" s="57" t="str">
        <f ca="1">IFERROR(__xludf.DUMMYFUNCTION("""COMPUTED_VALUE"""),"")</f>
        <v/>
      </c>
    </row>
    <row r="14972" spans="1:5">
      <c r="A14972" s="12"/>
      <c r="E14972" s="57" t="str">
        <f ca="1">IFERROR(__xludf.DUMMYFUNCTION("""COMPUTED_VALUE"""),"")</f>
        <v/>
      </c>
    </row>
    <row r="14973" spans="1:5">
      <c r="A14973" s="12"/>
      <c r="E14973" s="57" t="str">
        <f ca="1">IFERROR(__xludf.DUMMYFUNCTION("""COMPUTED_VALUE"""),"")</f>
        <v/>
      </c>
    </row>
    <row r="14974" spans="1:5">
      <c r="A14974" s="12"/>
      <c r="E14974" s="57" t="str">
        <f ca="1">IFERROR(__xludf.DUMMYFUNCTION("""COMPUTED_VALUE"""),"")</f>
        <v/>
      </c>
    </row>
    <row r="14975" spans="1:5">
      <c r="A14975" s="12"/>
      <c r="E14975" s="57" t="str">
        <f ca="1">IFERROR(__xludf.DUMMYFUNCTION("""COMPUTED_VALUE"""),"")</f>
        <v/>
      </c>
    </row>
    <row r="14976" spans="1:5">
      <c r="A14976" s="12"/>
      <c r="E14976" s="57" t="str">
        <f ca="1">IFERROR(__xludf.DUMMYFUNCTION("""COMPUTED_VALUE"""),"")</f>
        <v/>
      </c>
    </row>
    <row r="14977" spans="1:5">
      <c r="A14977" s="12"/>
      <c r="E14977" s="57" t="str">
        <f ca="1">IFERROR(__xludf.DUMMYFUNCTION("""COMPUTED_VALUE"""),"")</f>
        <v/>
      </c>
    </row>
    <row r="14978" spans="1:5">
      <c r="A14978" s="12"/>
      <c r="E14978" s="57" t="str">
        <f ca="1">IFERROR(__xludf.DUMMYFUNCTION("""COMPUTED_VALUE"""),"")</f>
        <v/>
      </c>
    </row>
    <row r="14979" spans="1:5">
      <c r="A14979" s="12"/>
      <c r="E14979" s="57" t="str">
        <f ca="1">IFERROR(__xludf.DUMMYFUNCTION("""COMPUTED_VALUE"""),"")</f>
        <v/>
      </c>
    </row>
    <row r="14980" spans="1:5">
      <c r="A14980" s="12"/>
      <c r="E14980" s="57" t="str">
        <f ca="1">IFERROR(__xludf.DUMMYFUNCTION("""COMPUTED_VALUE"""),"")</f>
        <v/>
      </c>
    </row>
    <row r="14981" spans="1:5">
      <c r="A14981" s="12"/>
      <c r="E14981" s="57" t="str">
        <f ca="1">IFERROR(__xludf.DUMMYFUNCTION("""COMPUTED_VALUE"""),"")</f>
        <v/>
      </c>
    </row>
    <row r="14982" spans="1:5">
      <c r="A14982" s="12"/>
      <c r="E14982" s="57" t="str">
        <f ca="1">IFERROR(__xludf.DUMMYFUNCTION("""COMPUTED_VALUE"""),"")</f>
        <v/>
      </c>
    </row>
    <row r="14983" spans="1:5">
      <c r="A14983" s="12"/>
      <c r="E14983" s="57" t="str">
        <f ca="1">IFERROR(__xludf.DUMMYFUNCTION("""COMPUTED_VALUE"""),"")</f>
        <v/>
      </c>
    </row>
    <row r="14984" spans="1:5">
      <c r="A14984" s="12"/>
      <c r="E14984" s="57" t="str">
        <f ca="1">IFERROR(__xludf.DUMMYFUNCTION("""COMPUTED_VALUE"""),"")</f>
        <v/>
      </c>
    </row>
    <row r="14985" spans="1:5">
      <c r="A14985" s="12"/>
      <c r="E14985" s="57" t="str">
        <f ca="1">IFERROR(__xludf.DUMMYFUNCTION("""COMPUTED_VALUE"""),"")</f>
        <v/>
      </c>
    </row>
    <row r="14986" spans="1:5">
      <c r="A14986" s="12"/>
      <c r="E14986" s="57" t="str">
        <f ca="1">IFERROR(__xludf.DUMMYFUNCTION("""COMPUTED_VALUE"""),"")</f>
        <v/>
      </c>
    </row>
    <row r="14987" spans="1:5">
      <c r="A14987" s="12"/>
      <c r="E14987" s="57" t="str">
        <f ca="1">IFERROR(__xludf.DUMMYFUNCTION("""COMPUTED_VALUE"""),"")</f>
        <v/>
      </c>
    </row>
    <row r="14988" spans="1:5">
      <c r="A14988" s="12"/>
      <c r="E14988" s="57" t="str">
        <f ca="1">IFERROR(__xludf.DUMMYFUNCTION("""COMPUTED_VALUE"""),"")</f>
        <v/>
      </c>
    </row>
    <row r="14989" spans="1:5">
      <c r="A14989" s="12"/>
      <c r="E14989" s="57" t="str">
        <f ca="1">IFERROR(__xludf.DUMMYFUNCTION("""COMPUTED_VALUE"""),"")</f>
        <v/>
      </c>
    </row>
    <row r="14990" spans="1:5">
      <c r="A14990" s="12"/>
      <c r="E14990" s="57" t="str">
        <f ca="1">IFERROR(__xludf.DUMMYFUNCTION("""COMPUTED_VALUE"""),"")</f>
        <v/>
      </c>
    </row>
    <row r="14991" spans="1:5">
      <c r="A14991" s="12"/>
      <c r="E14991" s="57" t="str">
        <f ca="1">IFERROR(__xludf.DUMMYFUNCTION("""COMPUTED_VALUE"""),"")</f>
        <v/>
      </c>
    </row>
    <row r="14992" spans="1:5">
      <c r="A14992" s="12"/>
      <c r="E14992" s="57" t="str">
        <f ca="1">IFERROR(__xludf.DUMMYFUNCTION("""COMPUTED_VALUE"""),"")</f>
        <v/>
      </c>
    </row>
    <row r="14993" spans="1:5">
      <c r="A14993" s="12"/>
      <c r="E14993" s="57" t="str">
        <f ca="1">IFERROR(__xludf.DUMMYFUNCTION("""COMPUTED_VALUE"""),"")</f>
        <v/>
      </c>
    </row>
    <row r="14994" spans="1:5">
      <c r="A14994" s="12"/>
      <c r="E14994" s="57" t="str">
        <f ca="1">IFERROR(__xludf.DUMMYFUNCTION("""COMPUTED_VALUE"""),"")</f>
        <v/>
      </c>
    </row>
    <row r="14995" spans="1:5">
      <c r="A14995" s="12"/>
      <c r="E14995" s="57" t="str">
        <f ca="1">IFERROR(__xludf.DUMMYFUNCTION("""COMPUTED_VALUE"""),"")</f>
        <v/>
      </c>
    </row>
    <row r="14996" spans="1:5">
      <c r="A14996" s="12"/>
      <c r="E14996" s="57" t="str">
        <f ca="1">IFERROR(__xludf.DUMMYFUNCTION("""COMPUTED_VALUE"""),"")</f>
        <v/>
      </c>
    </row>
    <row r="14997" spans="1:5">
      <c r="A14997" s="12"/>
      <c r="E14997" s="57" t="str">
        <f ca="1">IFERROR(__xludf.DUMMYFUNCTION("""COMPUTED_VALUE"""),"")</f>
        <v/>
      </c>
    </row>
    <row r="14998" spans="1:5">
      <c r="A14998" s="12"/>
      <c r="E14998" s="57" t="str">
        <f ca="1">IFERROR(__xludf.DUMMYFUNCTION("""COMPUTED_VALUE"""),"")</f>
        <v/>
      </c>
    </row>
    <row r="14999" spans="1:5">
      <c r="A14999" s="12"/>
      <c r="E14999" s="57" t="str">
        <f ca="1">IFERROR(__xludf.DUMMYFUNCTION("""COMPUTED_VALUE"""),"")</f>
        <v/>
      </c>
    </row>
    <row r="15000" spans="1:5">
      <c r="A15000" s="12"/>
      <c r="E15000" s="57" t="str">
        <f ca="1">IFERROR(__xludf.DUMMYFUNCTION("""COMPUTED_VALUE"""),"")</f>
        <v/>
      </c>
    </row>
    <row r="15001" spans="1:5">
      <c r="A15001" s="12"/>
      <c r="E15001" s="57" t="str">
        <f ca="1">IFERROR(__xludf.DUMMYFUNCTION("""COMPUTED_VALUE"""),"")</f>
        <v/>
      </c>
    </row>
    <row r="15002" spans="1:5">
      <c r="A15002" s="12"/>
      <c r="E15002" s="57" t="str">
        <f ca="1">IFERROR(__xludf.DUMMYFUNCTION("""COMPUTED_VALUE"""),"")</f>
        <v/>
      </c>
    </row>
    <row r="15003" spans="1:5">
      <c r="A15003" s="12"/>
      <c r="E15003" s="57" t="str">
        <f ca="1">IFERROR(__xludf.DUMMYFUNCTION("""COMPUTED_VALUE"""),"")</f>
        <v/>
      </c>
    </row>
    <row r="15004" spans="1:5">
      <c r="A15004" s="12"/>
      <c r="E15004" s="57" t="str">
        <f ca="1">IFERROR(__xludf.DUMMYFUNCTION("""COMPUTED_VALUE"""),"")</f>
        <v/>
      </c>
    </row>
    <row r="15005" spans="1:5">
      <c r="A15005" s="12"/>
      <c r="E15005" s="57" t="str">
        <f ca="1">IFERROR(__xludf.DUMMYFUNCTION("""COMPUTED_VALUE"""),"")</f>
        <v/>
      </c>
    </row>
    <row r="15006" spans="1:5">
      <c r="A15006" s="12"/>
      <c r="E15006" s="57" t="str">
        <f ca="1">IFERROR(__xludf.DUMMYFUNCTION("""COMPUTED_VALUE"""),"")</f>
        <v/>
      </c>
    </row>
    <row r="15007" spans="1:5">
      <c r="A15007" s="12"/>
      <c r="E15007" s="57" t="str">
        <f ca="1">IFERROR(__xludf.DUMMYFUNCTION("""COMPUTED_VALUE"""),"")</f>
        <v/>
      </c>
    </row>
    <row r="15008" spans="1:5">
      <c r="A15008" s="12"/>
      <c r="E15008" s="57" t="str">
        <f ca="1">IFERROR(__xludf.DUMMYFUNCTION("""COMPUTED_VALUE"""),"")</f>
        <v/>
      </c>
    </row>
    <row r="15009" spans="1:5">
      <c r="A15009" s="12"/>
      <c r="E15009" s="57" t="str">
        <f ca="1">IFERROR(__xludf.DUMMYFUNCTION("""COMPUTED_VALUE"""),"")</f>
        <v/>
      </c>
    </row>
    <row r="15010" spans="1:5">
      <c r="A15010" s="12"/>
      <c r="E15010" s="57" t="str">
        <f ca="1">IFERROR(__xludf.DUMMYFUNCTION("""COMPUTED_VALUE"""),"")</f>
        <v/>
      </c>
    </row>
    <row r="15011" spans="1:5">
      <c r="A15011" s="12"/>
      <c r="E15011" s="57" t="str">
        <f ca="1">IFERROR(__xludf.DUMMYFUNCTION("""COMPUTED_VALUE"""),"")</f>
        <v/>
      </c>
    </row>
    <row r="15012" spans="1:5">
      <c r="A15012" s="12"/>
      <c r="E15012" s="57" t="str">
        <f ca="1">IFERROR(__xludf.DUMMYFUNCTION("""COMPUTED_VALUE"""),"")</f>
        <v/>
      </c>
    </row>
    <row r="15013" spans="1:5">
      <c r="A15013" s="12"/>
      <c r="E15013" s="57" t="str">
        <f ca="1">IFERROR(__xludf.DUMMYFUNCTION("""COMPUTED_VALUE"""),"")</f>
        <v/>
      </c>
    </row>
    <row r="15014" spans="1:5">
      <c r="A15014" s="12"/>
      <c r="E15014" s="57" t="str">
        <f ca="1">IFERROR(__xludf.DUMMYFUNCTION("""COMPUTED_VALUE"""),"")</f>
        <v/>
      </c>
    </row>
    <row r="15015" spans="1:5">
      <c r="A15015" s="12"/>
      <c r="E15015" s="57" t="str">
        <f ca="1">IFERROR(__xludf.DUMMYFUNCTION("""COMPUTED_VALUE"""),"")</f>
        <v/>
      </c>
    </row>
    <row r="15016" spans="1:5">
      <c r="A15016" s="12"/>
      <c r="E15016" s="57" t="str">
        <f ca="1">IFERROR(__xludf.DUMMYFUNCTION("""COMPUTED_VALUE"""),"")</f>
        <v/>
      </c>
    </row>
    <row r="15017" spans="1:5">
      <c r="A15017" s="12"/>
      <c r="E15017" s="57" t="str">
        <f ca="1">IFERROR(__xludf.DUMMYFUNCTION("""COMPUTED_VALUE"""),"")</f>
        <v/>
      </c>
    </row>
    <row r="15018" spans="1:5">
      <c r="A15018" s="12"/>
      <c r="E15018" s="57" t="str">
        <f ca="1">IFERROR(__xludf.DUMMYFUNCTION("""COMPUTED_VALUE"""),"")</f>
        <v/>
      </c>
    </row>
    <row r="15019" spans="1:5">
      <c r="A15019" s="12"/>
      <c r="E15019" s="57" t="str">
        <f ca="1">IFERROR(__xludf.DUMMYFUNCTION("""COMPUTED_VALUE"""),"")</f>
        <v/>
      </c>
    </row>
    <row r="15020" spans="1:5">
      <c r="A15020" s="12"/>
      <c r="E15020" s="57" t="str">
        <f ca="1">IFERROR(__xludf.DUMMYFUNCTION("""COMPUTED_VALUE"""),"")</f>
        <v/>
      </c>
    </row>
    <row r="15021" spans="1:5">
      <c r="A15021" s="12"/>
      <c r="E15021" s="57" t="str">
        <f ca="1">IFERROR(__xludf.DUMMYFUNCTION("""COMPUTED_VALUE"""),"")</f>
        <v/>
      </c>
    </row>
    <row r="15022" spans="1:5">
      <c r="A15022" s="12"/>
      <c r="E15022" s="57" t="str">
        <f ca="1">IFERROR(__xludf.DUMMYFUNCTION("""COMPUTED_VALUE"""),"")</f>
        <v/>
      </c>
    </row>
    <row r="15023" spans="1:5">
      <c r="A15023" s="12"/>
      <c r="E15023" s="57" t="str">
        <f ca="1">IFERROR(__xludf.DUMMYFUNCTION("""COMPUTED_VALUE"""),"")</f>
        <v/>
      </c>
    </row>
    <row r="15024" spans="1:5">
      <c r="A15024" s="12"/>
      <c r="E15024" s="57" t="str">
        <f ca="1">IFERROR(__xludf.DUMMYFUNCTION("""COMPUTED_VALUE"""),"")</f>
        <v/>
      </c>
    </row>
    <row r="15025" spans="1:5">
      <c r="A15025" s="12"/>
      <c r="E15025" s="57" t="str">
        <f ca="1">IFERROR(__xludf.DUMMYFUNCTION("""COMPUTED_VALUE"""),"")</f>
        <v/>
      </c>
    </row>
    <row r="15026" spans="1:5">
      <c r="A15026" s="12"/>
      <c r="E15026" s="57" t="str">
        <f ca="1">IFERROR(__xludf.DUMMYFUNCTION("""COMPUTED_VALUE"""),"")</f>
        <v/>
      </c>
    </row>
    <row r="15027" spans="1:5">
      <c r="A15027" s="12"/>
      <c r="E15027" s="57" t="str">
        <f ca="1">IFERROR(__xludf.DUMMYFUNCTION("""COMPUTED_VALUE"""),"")</f>
        <v/>
      </c>
    </row>
    <row r="15028" spans="1:5">
      <c r="A15028" s="12"/>
      <c r="E15028" s="57" t="str">
        <f ca="1">IFERROR(__xludf.DUMMYFUNCTION("""COMPUTED_VALUE"""),"")</f>
        <v/>
      </c>
    </row>
    <row r="15029" spans="1:5">
      <c r="A15029" s="12"/>
      <c r="E15029" s="57" t="str">
        <f ca="1">IFERROR(__xludf.DUMMYFUNCTION("""COMPUTED_VALUE"""),"")</f>
        <v/>
      </c>
    </row>
    <row r="15030" spans="1:5">
      <c r="A15030" s="12"/>
      <c r="E15030" s="57" t="str">
        <f ca="1">IFERROR(__xludf.DUMMYFUNCTION("""COMPUTED_VALUE"""),"")</f>
        <v/>
      </c>
    </row>
    <row r="15031" spans="1:5">
      <c r="A15031" s="12"/>
      <c r="E15031" s="57" t="str">
        <f ca="1">IFERROR(__xludf.DUMMYFUNCTION("""COMPUTED_VALUE"""),"")</f>
        <v/>
      </c>
    </row>
    <row r="15032" spans="1:5">
      <c r="A15032" s="12"/>
      <c r="E15032" s="57" t="str">
        <f ca="1">IFERROR(__xludf.DUMMYFUNCTION("""COMPUTED_VALUE"""),"")</f>
        <v/>
      </c>
    </row>
    <row r="15033" spans="1:5">
      <c r="A15033" s="12"/>
      <c r="E15033" s="57" t="str">
        <f ca="1">IFERROR(__xludf.DUMMYFUNCTION("""COMPUTED_VALUE"""),"")</f>
        <v/>
      </c>
    </row>
    <row r="15034" spans="1:5">
      <c r="A15034" s="12"/>
      <c r="E15034" s="57" t="str">
        <f ca="1">IFERROR(__xludf.DUMMYFUNCTION("""COMPUTED_VALUE"""),"")</f>
        <v/>
      </c>
    </row>
    <row r="15035" spans="1:5">
      <c r="A15035" s="12"/>
      <c r="E15035" s="57" t="str">
        <f ca="1">IFERROR(__xludf.DUMMYFUNCTION("""COMPUTED_VALUE"""),"")</f>
        <v/>
      </c>
    </row>
    <row r="15036" spans="1:5">
      <c r="A15036" s="12"/>
      <c r="E15036" s="57" t="str">
        <f ca="1">IFERROR(__xludf.DUMMYFUNCTION("""COMPUTED_VALUE"""),"")</f>
        <v/>
      </c>
    </row>
    <row r="15037" spans="1:5">
      <c r="A15037" s="12"/>
      <c r="E15037" s="57" t="str">
        <f ca="1">IFERROR(__xludf.DUMMYFUNCTION("""COMPUTED_VALUE"""),"")</f>
        <v/>
      </c>
    </row>
    <row r="15038" spans="1:5">
      <c r="A15038" s="12"/>
      <c r="E15038" s="57" t="str">
        <f ca="1">IFERROR(__xludf.DUMMYFUNCTION("""COMPUTED_VALUE"""),"")</f>
        <v/>
      </c>
    </row>
    <row r="15039" spans="1:5">
      <c r="A15039" s="12"/>
      <c r="E15039" s="57" t="str">
        <f ca="1">IFERROR(__xludf.DUMMYFUNCTION("""COMPUTED_VALUE"""),"")</f>
        <v/>
      </c>
    </row>
    <row r="15040" spans="1:5">
      <c r="A15040" s="12"/>
      <c r="E15040" s="57" t="str">
        <f ca="1">IFERROR(__xludf.DUMMYFUNCTION("""COMPUTED_VALUE"""),"")</f>
        <v/>
      </c>
    </row>
    <row r="15041" spans="1:5">
      <c r="A15041" s="12"/>
      <c r="E15041" s="57" t="str">
        <f ca="1">IFERROR(__xludf.DUMMYFUNCTION("""COMPUTED_VALUE"""),"")</f>
        <v/>
      </c>
    </row>
    <row r="15042" spans="1:5">
      <c r="A15042" s="12"/>
      <c r="E15042" s="57" t="str">
        <f ca="1">IFERROR(__xludf.DUMMYFUNCTION("""COMPUTED_VALUE"""),"")</f>
        <v/>
      </c>
    </row>
    <row r="15043" spans="1:5">
      <c r="A15043" s="12"/>
      <c r="E15043" s="57" t="str">
        <f ca="1">IFERROR(__xludf.DUMMYFUNCTION("""COMPUTED_VALUE"""),"")</f>
        <v/>
      </c>
    </row>
    <row r="15044" spans="1:5">
      <c r="A15044" s="12"/>
      <c r="E15044" s="57" t="str">
        <f ca="1">IFERROR(__xludf.DUMMYFUNCTION("""COMPUTED_VALUE"""),"")</f>
        <v/>
      </c>
    </row>
    <row r="15045" spans="1:5">
      <c r="A15045" s="12"/>
      <c r="E15045" s="57" t="str">
        <f ca="1">IFERROR(__xludf.DUMMYFUNCTION("""COMPUTED_VALUE"""),"")</f>
        <v/>
      </c>
    </row>
    <row r="15046" spans="1:5">
      <c r="A15046" s="12"/>
      <c r="E15046" s="57" t="str">
        <f ca="1">IFERROR(__xludf.DUMMYFUNCTION("""COMPUTED_VALUE"""),"")</f>
        <v/>
      </c>
    </row>
    <row r="15047" spans="1:5">
      <c r="A15047" s="12"/>
      <c r="E15047" s="57" t="str">
        <f ca="1">IFERROR(__xludf.DUMMYFUNCTION("""COMPUTED_VALUE"""),"")</f>
        <v/>
      </c>
    </row>
    <row r="15048" spans="1:5">
      <c r="A15048" s="12"/>
      <c r="E15048" s="57" t="str">
        <f ca="1">IFERROR(__xludf.DUMMYFUNCTION("""COMPUTED_VALUE"""),"")</f>
        <v/>
      </c>
    </row>
    <row r="15049" spans="1:5">
      <c r="A15049" s="12"/>
      <c r="E15049" s="57" t="str">
        <f ca="1">IFERROR(__xludf.DUMMYFUNCTION("""COMPUTED_VALUE"""),"")</f>
        <v/>
      </c>
    </row>
    <row r="15050" spans="1:5">
      <c r="A15050" s="12"/>
      <c r="E15050" s="57" t="str">
        <f ca="1">IFERROR(__xludf.DUMMYFUNCTION("""COMPUTED_VALUE"""),"")</f>
        <v/>
      </c>
    </row>
    <row r="15051" spans="1:5">
      <c r="A15051" s="12"/>
      <c r="E15051" s="57" t="str">
        <f ca="1">IFERROR(__xludf.DUMMYFUNCTION("""COMPUTED_VALUE"""),"")</f>
        <v/>
      </c>
    </row>
    <row r="15052" spans="1:5">
      <c r="A15052" s="12"/>
      <c r="E15052" s="57" t="str">
        <f ca="1">IFERROR(__xludf.DUMMYFUNCTION("""COMPUTED_VALUE"""),"")</f>
        <v/>
      </c>
    </row>
    <row r="15053" spans="1:5">
      <c r="A15053" s="12"/>
      <c r="E15053" s="57" t="str">
        <f ca="1">IFERROR(__xludf.DUMMYFUNCTION("""COMPUTED_VALUE"""),"")</f>
        <v/>
      </c>
    </row>
    <row r="15054" spans="1:5">
      <c r="A15054" s="12"/>
      <c r="E15054" s="57" t="str">
        <f ca="1">IFERROR(__xludf.DUMMYFUNCTION("""COMPUTED_VALUE"""),"")</f>
        <v/>
      </c>
    </row>
    <row r="15055" spans="1:5">
      <c r="A15055" s="12"/>
      <c r="E15055" s="57" t="str">
        <f ca="1">IFERROR(__xludf.DUMMYFUNCTION("""COMPUTED_VALUE"""),"")</f>
        <v/>
      </c>
    </row>
    <row r="15056" spans="1:5">
      <c r="A15056" s="12"/>
      <c r="E15056" s="57" t="str">
        <f ca="1">IFERROR(__xludf.DUMMYFUNCTION("""COMPUTED_VALUE"""),"")</f>
        <v/>
      </c>
    </row>
    <row r="15057" spans="1:5">
      <c r="A15057" s="12"/>
      <c r="E15057" s="57" t="str">
        <f ca="1">IFERROR(__xludf.DUMMYFUNCTION("""COMPUTED_VALUE"""),"")</f>
        <v/>
      </c>
    </row>
    <row r="15058" spans="1:5">
      <c r="A15058" s="12"/>
      <c r="E15058" s="57" t="str">
        <f ca="1">IFERROR(__xludf.DUMMYFUNCTION("""COMPUTED_VALUE"""),"")</f>
        <v/>
      </c>
    </row>
    <row r="15059" spans="1:5">
      <c r="A15059" s="12"/>
      <c r="E15059" s="57" t="str">
        <f ca="1">IFERROR(__xludf.DUMMYFUNCTION("""COMPUTED_VALUE"""),"")</f>
        <v/>
      </c>
    </row>
    <row r="15060" spans="1:5">
      <c r="A15060" s="12"/>
      <c r="E15060" s="57" t="str">
        <f ca="1">IFERROR(__xludf.DUMMYFUNCTION("""COMPUTED_VALUE"""),"")</f>
        <v/>
      </c>
    </row>
    <row r="15061" spans="1:5">
      <c r="A15061" s="12"/>
      <c r="E15061" s="57" t="str">
        <f ca="1">IFERROR(__xludf.DUMMYFUNCTION("""COMPUTED_VALUE"""),"")</f>
        <v/>
      </c>
    </row>
    <row r="15062" spans="1:5">
      <c r="A15062" s="12"/>
      <c r="E15062" s="57" t="str">
        <f ca="1">IFERROR(__xludf.DUMMYFUNCTION("""COMPUTED_VALUE"""),"")</f>
        <v/>
      </c>
    </row>
    <row r="15063" spans="1:5">
      <c r="A15063" s="12"/>
      <c r="E15063" s="57" t="str">
        <f ca="1">IFERROR(__xludf.DUMMYFUNCTION("""COMPUTED_VALUE"""),"")</f>
        <v/>
      </c>
    </row>
    <row r="15064" spans="1:5">
      <c r="A15064" s="12"/>
      <c r="E15064" s="57" t="str">
        <f ca="1">IFERROR(__xludf.DUMMYFUNCTION("""COMPUTED_VALUE"""),"")</f>
        <v/>
      </c>
    </row>
    <row r="15065" spans="1:5">
      <c r="A15065" s="12"/>
      <c r="E15065" s="57" t="str">
        <f ca="1">IFERROR(__xludf.DUMMYFUNCTION("""COMPUTED_VALUE"""),"")</f>
        <v/>
      </c>
    </row>
    <row r="15066" spans="1:5">
      <c r="A15066" s="12"/>
      <c r="E15066" s="57" t="str">
        <f ca="1">IFERROR(__xludf.DUMMYFUNCTION("""COMPUTED_VALUE"""),"")</f>
        <v/>
      </c>
    </row>
    <row r="15067" spans="1:5">
      <c r="A15067" s="12"/>
      <c r="E15067" s="57" t="str">
        <f ca="1">IFERROR(__xludf.DUMMYFUNCTION("""COMPUTED_VALUE"""),"")</f>
        <v/>
      </c>
    </row>
    <row r="15068" spans="1:5">
      <c r="A15068" s="12"/>
      <c r="E15068" s="57" t="str">
        <f ca="1">IFERROR(__xludf.DUMMYFUNCTION("""COMPUTED_VALUE"""),"")</f>
        <v/>
      </c>
    </row>
    <row r="15069" spans="1:5">
      <c r="A15069" s="12"/>
      <c r="E15069" s="57" t="str">
        <f ca="1">IFERROR(__xludf.DUMMYFUNCTION("""COMPUTED_VALUE"""),"")</f>
        <v/>
      </c>
    </row>
    <row r="15070" spans="1:5">
      <c r="A15070" s="12"/>
      <c r="E15070" s="57" t="str">
        <f ca="1">IFERROR(__xludf.DUMMYFUNCTION("""COMPUTED_VALUE"""),"")</f>
        <v/>
      </c>
    </row>
    <row r="15071" spans="1:5">
      <c r="A15071" s="12"/>
      <c r="E15071" s="57" t="str">
        <f ca="1">IFERROR(__xludf.DUMMYFUNCTION("""COMPUTED_VALUE"""),"")</f>
        <v/>
      </c>
    </row>
    <row r="15072" spans="1:5">
      <c r="A15072" s="12"/>
      <c r="E15072" s="57" t="str">
        <f ca="1">IFERROR(__xludf.DUMMYFUNCTION("""COMPUTED_VALUE"""),"")</f>
        <v/>
      </c>
    </row>
    <row r="15073" spans="1:5">
      <c r="A15073" s="12"/>
      <c r="E15073" s="57" t="str">
        <f ca="1">IFERROR(__xludf.DUMMYFUNCTION("""COMPUTED_VALUE"""),"")</f>
        <v/>
      </c>
    </row>
    <row r="15074" spans="1:5">
      <c r="A15074" s="12"/>
      <c r="E15074" s="57" t="str">
        <f ca="1">IFERROR(__xludf.DUMMYFUNCTION("""COMPUTED_VALUE"""),"")</f>
        <v/>
      </c>
    </row>
    <row r="15075" spans="1:5">
      <c r="A15075" s="12"/>
      <c r="E15075" s="57" t="str">
        <f ca="1">IFERROR(__xludf.DUMMYFUNCTION("""COMPUTED_VALUE"""),"")</f>
        <v/>
      </c>
    </row>
    <row r="15076" spans="1:5">
      <c r="A15076" s="12"/>
      <c r="E15076" s="57" t="str">
        <f ca="1">IFERROR(__xludf.DUMMYFUNCTION("""COMPUTED_VALUE"""),"")</f>
        <v/>
      </c>
    </row>
    <row r="15077" spans="1:5">
      <c r="A15077" s="12"/>
      <c r="E15077" s="57" t="str">
        <f ca="1">IFERROR(__xludf.DUMMYFUNCTION("""COMPUTED_VALUE"""),"")</f>
        <v/>
      </c>
    </row>
    <row r="15078" spans="1:5">
      <c r="A15078" s="12"/>
      <c r="E15078" s="57" t="str">
        <f ca="1">IFERROR(__xludf.DUMMYFUNCTION("""COMPUTED_VALUE"""),"")</f>
        <v/>
      </c>
    </row>
    <row r="15079" spans="1:5">
      <c r="A15079" s="12"/>
      <c r="E15079" s="57" t="str">
        <f ca="1">IFERROR(__xludf.DUMMYFUNCTION("""COMPUTED_VALUE"""),"")</f>
        <v/>
      </c>
    </row>
    <row r="15080" spans="1:5">
      <c r="A15080" s="12"/>
      <c r="E15080" s="57" t="str">
        <f ca="1">IFERROR(__xludf.DUMMYFUNCTION("""COMPUTED_VALUE"""),"")</f>
        <v/>
      </c>
    </row>
    <row r="15081" spans="1:5">
      <c r="A15081" s="12"/>
      <c r="E15081" s="57" t="str">
        <f ca="1">IFERROR(__xludf.DUMMYFUNCTION("""COMPUTED_VALUE"""),"")</f>
        <v/>
      </c>
    </row>
    <row r="15082" spans="1:5">
      <c r="A15082" s="12"/>
      <c r="E15082" s="57" t="str">
        <f ca="1">IFERROR(__xludf.DUMMYFUNCTION("""COMPUTED_VALUE"""),"")</f>
        <v/>
      </c>
    </row>
    <row r="15083" spans="1:5">
      <c r="A15083" s="12"/>
      <c r="E15083" s="57" t="str">
        <f ca="1">IFERROR(__xludf.DUMMYFUNCTION("""COMPUTED_VALUE"""),"")</f>
        <v/>
      </c>
    </row>
    <row r="15084" spans="1:5">
      <c r="A15084" s="12"/>
      <c r="E15084" s="57" t="str">
        <f ca="1">IFERROR(__xludf.DUMMYFUNCTION("""COMPUTED_VALUE"""),"")</f>
        <v/>
      </c>
    </row>
    <row r="15085" spans="1:5">
      <c r="A15085" s="12"/>
      <c r="E15085" s="57" t="str">
        <f ca="1">IFERROR(__xludf.DUMMYFUNCTION("""COMPUTED_VALUE"""),"")</f>
        <v/>
      </c>
    </row>
    <row r="15086" spans="1:5">
      <c r="A15086" s="12"/>
      <c r="E15086" s="57" t="str">
        <f ca="1">IFERROR(__xludf.DUMMYFUNCTION("""COMPUTED_VALUE"""),"")</f>
        <v/>
      </c>
    </row>
    <row r="15087" spans="1:5">
      <c r="A15087" s="12"/>
      <c r="E15087" s="57" t="str">
        <f ca="1">IFERROR(__xludf.DUMMYFUNCTION("""COMPUTED_VALUE"""),"")</f>
        <v/>
      </c>
    </row>
    <row r="15088" spans="1:5">
      <c r="A15088" s="12"/>
      <c r="E15088" s="57" t="str">
        <f ca="1">IFERROR(__xludf.DUMMYFUNCTION("""COMPUTED_VALUE"""),"")</f>
        <v/>
      </c>
    </row>
    <row r="15089" spans="1:5">
      <c r="A15089" s="12"/>
      <c r="E15089" s="57" t="str">
        <f ca="1">IFERROR(__xludf.DUMMYFUNCTION("""COMPUTED_VALUE"""),"")</f>
        <v/>
      </c>
    </row>
    <row r="15090" spans="1:5">
      <c r="A15090" s="12"/>
      <c r="E15090" s="57" t="str">
        <f ca="1">IFERROR(__xludf.DUMMYFUNCTION("""COMPUTED_VALUE"""),"")</f>
        <v/>
      </c>
    </row>
    <row r="15091" spans="1:5">
      <c r="A15091" s="12"/>
      <c r="E15091" s="57" t="str">
        <f ca="1">IFERROR(__xludf.DUMMYFUNCTION("""COMPUTED_VALUE"""),"")</f>
        <v/>
      </c>
    </row>
    <row r="15092" spans="1:5">
      <c r="A15092" s="12"/>
      <c r="E15092" s="57" t="str">
        <f ca="1">IFERROR(__xludf.DUMMYFUNCTION("""COMPUTED_VALUE"""),"")</f>
        <v/>
      </c>
    </row>
    <row r="15093" spans="1:5">
      <c r="A15093" s="12"/>
      <c r="E15093" s="57" t="str">
        <f ca="1">IFERROR(__xludf.DUMMYFUNCTION("""COMPUTED_VALUE"""),"")</f>
        <v/>
      </c>
    </row>
    <row r="15094" spans="1:5">
      <c r="A15094" s="12"/>
      <c r="E15094" s="57" t="str">
        <f ca="1">IFERROR(__xludf.DUMMYFUNCTION("""COMPUTED_VALUE"""),"")</f>
        <v/>
      </c>
    </row>
    <row r="15095" spans="1:5">
      <c r="A15095" s="12"/>
      <c r="E15095" s="57" t="str">
        <f ca="1">IFERROR(__xludf.DUMMYFUNCTION("""COMPUTED_VALUE"""),"")</f>
        <v/>
      </c>
    </row>
    <row r="15096" spans="1:5">
      <c r="A15096" s="12"/>
      <c r="E15096" s="57" t="str">
        <f ca="1">IFERROR(__xludf.DUMMYFUNCTION("""COMPUTED_VALUE"""),"")</f>
        <v/>
      </c>
    </row>
    <row r="15097" spans="1:5">
      <c r="A15097" s="12"/>
      <c r="E15097" s="57" t="str">
        <f ca="1">IFERROR(__xludf.DUMMYFUNCTION("""COMPUTED_VALUE"""),"")</f>
        <v/>
      </c>
    </row>
    <row r="15098" spans="1:5">
      <c r="A15098" s="12"/>
      <c r="E15098" s="57" t="str">
        <f ca="1">IFERROR(__xludf.DUMMYFUNCTION("""COMPUTED_VALUE"""),"")</f>
        <v/>
      </c>
    </row>
    <row r="15099" spans="1:5">
      <c r="A15099" s="12"/>
      <c r="E15099" s="57" t="str">
        <f ca="1">IFERROR(__xludf.DUMMYFUNCTION("""COMPUTED_VALUE"""),"")</f>
        <v/>
      </c>
    </row>
    <row r="15100" spans="1:5">
      <c r="A15100" s="12"/>
      <c r="E15100" s="57" t="str">
        <f ca="1">IFERROR(__xludf.DUMMYFUNCTION("""COMPUTED_VALUE"""),"")</f>
        <v/>
      </c>
    </row>
    <row r="15101" spans="1:5">
      <c r="A15101" s="12"/>
      <c r="E15101" s="57" t="str">
        <f ca="1">IFERROR(__xludf.DUMMYFUNCTION("""COMPUTED_VALUE"""),"")</f>
        <v/>
      </c>
    </row>
    <row r="15102" spans="1:5">
      <c r="A15102" s="12"/>
      <c r="E15102" s="57" t="str">
        <f ca="1">IFERROR(__xludf.DUMMYFUNCTION("""COMPUTED_VALUE"""),"")</f>
        <v/>
      </c>
    </row>
    <row r="15103" spans="1:5">
      <c r="A15103" s="12"/>
      <c r="E15103" s="57" t="str">
        <f ca="1">IFERROR(__xludf.DUMMYFUNCTION("""COMPUTED_VALUE"""),"")</f>
        <v/>
      </c>
    </row>
    <row r="15104" spans="1:5">
      <c r="A15104" s="12"/>
      <c r="E15104" s="57" t="str">
        <f ca="1">IFERROR(__xludf.DUMMYFUNCTION("""COMPUTED_VALUE"""),"")</f>
        <v/>
      </c>
    </row>
    <row r="15105" spans="1:5">
      <c r="A15105" s="12"/>
      <c r="E15105" s="57" t="str">
        <f ca="1">IFERROR(__xludf.DUMMYFUNCTION("""COMPUTED_VALUE"""),"")</f>
        <v/>
      </c>
    </row>
    <row r="15106" spans="1:5">
      <c r="A15106" s="12"/>
      <c r="E15106" s="57" t="str">
        <f ca="1">IFERROR(__xludf.DUMMYFUNCTION("""COMPUTED_VALUE"""),"")</f>
        <v/>
      </c>
    </row>
    <row r="15107" spans="1:5">
      <c r="A15107" s="12"/>
      <c r="E15107" s="57" t="str">
        <f ca="1">IFERROR(__xludf.DUMMYFUNCTION("""COMPUTED_VALUE"""),"")</f>
        <v/>
      </c>
    </row>
    <row r="15108" spans="1:5">
      <c r="A15108" s="12"/>
      <c r="E15108" s="57" t="str">
        <f ca="1">IFERROR(__xludf.DUMMYFUNCTION("""COMPUTED_VALUE"""),"")</f>
        <v/>
      </c>
    </row>
    <row r="15109" spans="1:5">
      <c r="A15109" s="12"/>
      <c r="E15109" s="57" t="str">
        <f ca="1">IFERROR(__xludf.DUMMYFUNCTION("""COMPUTED_VALUE"""),"")</f>
        <v/>
      </c>
    </row>
    <row r="15110" spans="1:5">
      <c r="A15110" s="12"/>
      <c r="E15110" s="57" t="str">
        <f ca="1">IFERROR(__xludf.DUMMYFUNCTION("""COMPUTED_VALUE"""),"")</f>
        <v/>
      </c>
    </row>
    <row r="15111" spans="1:5">
      <c r="A15111" s="12"/>
      <c r="E15111" s="57" t="str">
        <f ca="1">IFERROR(__xludf.DUMMYFUNCTION("""COMPUTED_VALUE"""),"")</f>
        <v/>
      </c>
    </row>
    <row r="15112" spans="1:5">
      <c r="A15112" s="12"/>
      <c r="E15112" s="57" t="str">
        <f ca="1">IFERROR(__xludf.DUMMYFUNCTION("""COMPUTED_VALUE"""),"")</f>
        <v/>
      </c>
    </row>
    <row r="15113" spans="1:5">
      <c r="A15113" s="12"/>
      <c r="E15113" s="57" t="str">
        <f ca="1">IFERROR(__xludf.DUMMYFUNCTION("""COMPUTED_VALUE"""),"")</f>
        <v/>
      </c>
    </row>
    <row r="15114" spans="1:5">
      <c r="A15114" s="12"/>
      <c r="E15114" s="57" t="str">
        <f ca="1">IFERROR(__xludf.DUMMYFUNCTION("""COMPUTED_VALUE"""),"")</f>
        <v/>
      </c>
    </row>
    <row r="15115" spans="1:5">
      <c r="A15115" s="12"/>
      <c r="E15115" s="57" t="str">
        <f ca="1">IFERROR(__xludf.DUMMYFUNCTION("""COMPUTED_VALUE"""),"")</f>
        <v/>
      </c>
    </row>
    <row r="15116" spans="1:5">
      <c r="A15116" s="12"/>
      <c r="E15116" s="57" t="str">
        <f ca="1">IFERROR(__xludf.DUMMYFUNCTION("""COMPUTED_VALUE"""),"")</f>
        <v/>
      </c>
    </row>
    <row r="15117" spans="1:5">
      <c r="A15117" s="12"/>
      <c r="E15117" s="57" t="str">
        <f ca="1">IFERROR(__xludf.DUMMYFUNCTION("""COMPUTED_VALUE"""),"")</f>
        <v/>
      </c>
    </row>
    <row r="15118" spans="1:5">
      <c r="A15118" s="12"/>
      <c r="E15118" s="57" t="str">
        <f ca="1">IFERROR(__xludf.DUMMYFUNCTION("""COMPUTED_VALUE"""),"")</f>
        <v/>
      </c>
    </row>
    <row r="15119" spans="1:5">
      <c r="A15119" s="12"/>
      <c r="E15119" s="57" t="str">
        <f ca="1">IFERROR(__xludf.DUMMYFUNCTION("""COMPUTED_VALUE"""),"")</f>
        <v/>
      </c>
    </row>
    <row r="15120" spans="1:5">
      <c r="A15120" s="12"/>
      <c r="E15120" s="57" t="str">
        <f ca="1">IFERROR(__xludf.DUMMYFUNCTION("""COMPUTED_VALUE"""),"")</f>
        <v/>
      </c>
    </row>
    <row r="15121" spans="1:5">
      <c r="A15121" s="12"/>
      <c r="E15121" s="57" t="str">
        <f ca="1">IFERROR(__xludf.DUMMYFUNCTION("""COMPUTED_VALUE"""),"")</f>
        <v/>
      </c>
    </row>
    <row r="15122" spans="1:5">
      <c r="A15122" s="12"/>
      <c r="E15122" s="57" t="str">
        <f ca="1">IFERROR(__xludf.DUMMYFUNCTION("""COMPUTED_VALUE"""),"")</f>
        <v/>
      </c>
    </row>
    <row r="15123" spans="1:5">
      <c r="A15123" s="12"/>
      <c r="E15123" s="57" t="str">
        <f ca="1">IFERROR(__xludf.DUMMYFUNCTION("""COMPUTED_VALUE"""),"")</f>
        <v/>
      </c>
    </row>
    <row r="15124" spans="1:5">
      <c r="A15124" s="12"/>
      <c r="E15124" s="57" t="str">
        <f ca="1">IFERROR(__xludf.DUMMYFUNCTION("""COMPUTED_VALUE"""),"")</f>
        <v/>
      </c>
    </row>
    <row r="15125" spans="1:5">
      <c r="A15125" s="12"/>
      <c r="E15125" s="57" t="str">
        <f ca="1">IFERROR(__xludf.DUMMYFUNCTION("""COMPUTED_VALUE"""),"")</f>
        <v/>
      </c>
    </row>
    <row r="15126" spans="1:5">
      <c r="A15126" s="12"/>
      <c r="E15126" s="57" t="str">
        <f ca="1">IFERROR(__xludf.DUMMYFUNCTION("""COMPUTED_VALUE"""),"")</f>
        <v/>
      </c>
    </row>
    <row r="15127" spans="1:5">
      <c r="A15127" s="12"/>
      <c r="E15127" s="57" t="str">
        <f ca="1">IFERROR(__xludf.DUMMYFUNCTION("""COMPUTED_VALUE"""),"")</f>
        <v/>
      </c>
    </row>
    <row r="15128" spans="1:5">
      <c r="A15128" s="12"/>
      <c r="E15128" s="57" t="str">
        <f ca="1">IFERROR(__xludf.DUMMYFUNCTION("""COMPUTED_VALUE"""),"")</f>
        <v/>
      </c>
    </row>
    <row r="15129" spans="1:5">
      <c r="A15129" s="12"/>
      <c r="E15129" s="57" t="str">
        <f ca="1">IFERROR(__xludf.DUMMYFUNCTION("""COMPUTED_VALUE"""),"")</f>
        <v/>
      </c>
    </row>
    <row r="15130" spans="1:5">
      <c r="A15130" s="12"/>
      <c r="E15130" s="57" t="str">
        <f ca="1">IFERROR(__xludf.DUMMYFUNCTION("""COMPUTED_VALUE"""),"")</f>
        <v/>
      </c>
    </row>
    <row r="15131" spans="1:5">
      <c r="A15131" s="12"/>
      <c r="E15131" s="57" t="str">
        <f ca="1">IFERROR(__xludf.DUMMYFUNCTION("""COMPUTED_VALUE"""),"")</f>
        <v/>
      </c>
    </row>
    <row r="15132" spans="1:5">
      <c r="A15132" s="12"/>
      <c r="E15132" s="57" t="str">
        <f ca="1">IFERROR(__xludf.DUMMYFUNCTION("""COMPUTED_VALUE"""),"")</f>
        <v/>
      </c>
    </row>
    <row r="15133" spans="1:5">
      <c r="A15133" s="12"/>
      <c r="E15133" s="57" t="str">
        <f ca="1">IFERROR(__xludf.DUMMYFUNCTION("""COMPUTED_VALUE"""),"")</f>
        <v/>
      </c>
    </row>
    <row r="15134" spans="1:5">
      <c r="A15134" s="12"/>
      <c r="E15134" s="57" t="str">
        <f ca="1">IFERROR(__xludf.DUMMYFUNCTION("""COMPUTED_VALUE"""),"")</f>
        <v/>
      </c>
    </row>
    <row r="15135" spans="1:5">
      <c r="A15135" s="12"/>
      <c r="E15135" s="57" t="str">
        <f ca="1">IFERROR(__xludf.DUMMYFUNCTION("""COMPUTED_VALUE"""),"")</f>
        <v/>
      </c>
    </row>
    <row r="15136" spans="1:5">
      <c r="A15136" s="12"/>
      <c r="E15136" s="57" t="str">
        <f ca="1">IFERROR(__xludf.DUMMYFUNCTION("""COMPUTED_VALUE"""),"")</f>
        <v/>
      </c>
    </row>
    <row r="15137" spans="1:5">
      <c r="A15137" s="12"/>
      <c r="E15137" s="57" t="str">
        <f ca="1">IFERROR(__xludf.DUMMYFUNCTION("""COMPUTED_VALUE"""),"")</f>
        <v/>
      </c>
    </row>
    <row r="15138" spans="1:5">
      <c r="A15138" s="12"/>
      <c r="E15138" s="57" t="str">
        <f ca="1">IFERROR(__xludf.DUMMYFUNCTION("""COMPUTED_VALUE"""),"")</f>
        <v/>
      </c>
    </row>
    <row r="15139" spans="1:5">
      <c r="A15139" s="12"/>
      <c r="E15139" s="57" t="str">
        <f ca="1">IFERROR(__xludf.DUMMYFUNCTION("""COMPUTED_VALUE"""),"")</f>
        <v/>
      </c>
    </row>
    <row r="15140" spans="1:5">
      <c r="A15140" s="12"/>
      <c r="E15140" s="57" t="str">
        <f ca="1">IFERROR(__xludf.DUMMYFUNCTION("""COMPUTED_VALUE"""),"")</f>
        <v/>
      </c>
    </row>
    <row r="15141" spans="1:5">
      <c r="A15141" s="12"/>
      <c r="E15141" s="57" t="str">
        <f ca="1">IFERROR(__xludf.DUMMYFUNCTION("""COMPUTED_VALUE"""),"")</f>
        <v/>
      </c>
    </row>
    <row r="15142" spans="1:5">
      <c r="A15142" s="12"/>
      <c r="E15142" s="57" t="str">
        <f ca="1">IFERROR(__xludf.DUMMYFUNCTION("""COMPUTED_VALUE"""),"")</f>
        <v/>
      </c>
    </row>
    <row r="15143" spans="1:5">
      <c r="A15143" s="12"/>
      <c r="E15143" s="57" t="str">
        <f ca="1">IFERROR(__xludf.DUMMYFUNCTION("""COMPUTED_VALUE"""),"")</f>
        <v/>
      </c>
    </row>
    <row r="15144" spans="1:5">
      <c r="A15144" s="12"/>
      <c r="E15144" s="57" t="str">
        <f ca="1">IFERROR(__xludf.DUMMYFUNCTION("""COMPUTED_VALUE"""),"")</f>
        <v/>
      </c>
    </row>
    <row r="15145" spans="1:5">
      <c r="A15145" s="12"/>
      <c r="E15145" s="57" t="str">
        <f ca="1">IFERROR(__xludf.DUMMYFUNCTION("""COMPUTED_VALUE"""),"")</f>
        <v/>
      </c>
    </row>
    <row r="15146" spans="1:5">
      <c r="A15146" s="12"/>
      <c r="E15146" s="57" t="str">
        <f ca="1">IFERROR(__xludf.DUMMYFUNCTION("""COMPUTED_VALUE"""),"")</f>
        <v/>
      </c>
    </row>
    <row r="15147" spans="1:5">
      <c r="A15147" s="12"/>
      <c r="E15147" s="57" t="str">
        <f ca="1">IFERROR(__xludf.DUMMYFUNCTION("""COMPUTED_VALUE"""),"")</f>
        <v/>
      </c>
    </row>
    <row r="15148" spans="1:5">
      <c r="A15148" s="12"/>
      <c r="E15148" s="57" t="str">
        <f ca="1">IFERROR(__xludf.DUMMYFUNCTION("""COMPUTED_VALUE"""),"")</f>
        <v/>
      </c>
    </row>
    <row r="15149" spans="1:5">
      <c r="A15149" s="12"/>
      <c r="E15149" s="57" t="str">
        <f ca="1">IFERROR(__xludf.DUMMYFUNCTION("""COMPUTED_VALUE"""),"")</f>
        <v/>
      </c>
    </row>
    <row r="15150" spans="1:5">
      <c r="A15150" s="12"/>
      <c r="E15150" s="57" t="str">
        <f ca="1">IFERROR(__xludf.DUMMYFUNCTION("""COMPUTED_VALUE"""),"")</f>
        <v/>
      </c>
    </row>
    <row r="15151" spans="1:5">
      <c r="A15151" s="12"/>
      <c r="E15151" s="57" t="str">
        <f ca="1">IFERROR(__xludf.DUMMYFUNCTION("""COMPUTED_VALUE"""),"")</f>
        <v/>
      </c>
    </row>
    <row r="15152" spans="1:5">
      <c r="A15152" s="12"/>
      <c r="E15152" s="57" t="str">
        <f ca="1">IFERROR(__xludf.DUMMYFUNCTION("""COMPUTED_VALUE"""),"")</f>
        <v/>
      </c>
    </row>
    <row r="15153" spans="1:5">
      <c r="A15153" s="12"/>
      <c r="E15153" s="57" t="str">
        <f ca="1">IFERROR(__xludf.DUMMYFUNCTION("""COMPUTED_VALUE"""),"")</f>
        <v/>
      </c>
    </row>
    <row r="15154" spans="1:5">
      <c r="A15154" s="12"/>
      <c r="E15154" s="57" t="str">
        <f ca="1">IFERROR(__xludf.DUMMYFUNCTION("""COMPUTED_VALUE"""),"")</f>
        <v/>
      </c>
    </row>
    <row r="15155" spans="1:5">
      <c r="A15155" s="12"/>
      <c r="E15155" s="57" t="str">
        <f ca="1">IFERROR(__xludf.DUMMYFUNCTION("""COMPUTED_VALUE"""),"")</f>
        <v/>
      </c>
    </row>
    <row r="15156" spans="1:5">
      <c r="A15156" s="12"/>
      <c r="E15156" s="57" t="str">
        <f ca="1">IFERROR(__xludf.DUMMYFUNCTION("""COMPUTED_VALUE"""),"")</f>
        <v/>
      </c>
    </row>
    <row r="15157" spans="1:5">
      <c r="A15157" s="12"/>
      <c r="E15157" s="57" t="str">
        <f ca="1">IFERROR(__xludf.DUMMYFUNCTION("""COMPUTED_VALUE"""),"")</f>
        <v/>
      </c>
    </row>
    <row r="15158" spans="1:5">
      <c r="A15158" s="12"/>
      <c r="E15158" s="57" t="str">
        <f ca="1">IFERROR(__xludf.DUMMYFUNCTION("""COMPUTED_VALUE"""),"")</f>
        <v/>
      </c>
    </row>
    <row r="15159" spans="1:5">
      <c r="A15159" s="12"/>
      <c r="E15159" s="57" t="str">
        <f ca="1">IFERROR(__xludf.DUMMYFUNCTION("""COMPUTED_VALUE"""),"")</f>
        <v/>
      </c>
    </row>
    <row r="15160" spans="1:5">
      <c r="A15160" s="12"/>
      <c r="E15160" s="57" t="str">
        <f ca="1">IFERROR(__xludf.DUMMYFUNCTION("""COMPUTED_VALUE"""),"")</f>
        <v/>
      </c>
    </row>
    <row r="15161" spans="1:5">
      <c r="A15161" s="12"/>
      <c r="E15161" s="57" t="str">
        <f ca="1">IFERROR(__xludf.DUMMYFUNCTION("""COMPUTED_VALUE"""),"")</f>
        <v/>
      </c>
    </row>
    <row r="15162" spans="1:5">
      <c r="A15162" s="12"/>
      <c r="E15162" s="57" t="str">
        <f ca="1">IFERROR(__xludf.DUMMYFUNCTION("""COMPUTED_VALUE"""),"")</f>
        <v/>
      </c>
    </row>
    <row r="15163" spans="1:5">
      <c r="A15163" s="12"/>
      <c r="E15163" s="57" t="str">
        <f ca="1">IFERROR(__xludf.DUMMYFUNCTION("""COMPUTED_VALUE"""),"")</f>
        <v/>
      </c>
    </row>
    <row r="15164" spans="1:5">
      <c r="A15164" s="12"/>
      <c r="E15164" s="57" t="str">
        <f ca="1">IFERROR(__xludf.DUMMYFUNCTION("""COMPUTED_VALUE"""),"")</f>
        <v/>
      </c>
    </row>
    <row r="15165" spans="1:5">
      <c r="A15165" s="12"/>
      <c r="E15165" s="57" t="str">
        <f ca="1">IFERROR(__xludf.DUMMYFUNCTION("""COMPUTED_VALUE"""),"")</f>
        <v/>
      </c>
    </row>
    <row r="15166" spans="1:5">
      <c r="A15166" s="12"/>
      <c r="E15166" s="57" t="str">
        <f ca="1">IFERROR(__xludf.DUMMYFUNCTION("""COMPUTED_VALUE"""),"")</f>
        <v/>
      </c>
    </row>
    <row r="15167" spans="1:5">
      <c r="A15167" s="12"/>
      <c r="E15167" s="57" t="str">
        <f ca="1">IFERROR(__xludf.DUMMYFUNCTION("""COMPUTED_VALUE"""),"")</f>
        <v/>
      </c>
    </row>
    <row r="15168" spans="1:5">
      <c r="A15168" s="12"/>
      <c r="E15168" s="57" t="str">
        <f ca="1">IFERROR(__xludf.DUMMYFUNCTION("""COMPUTED_VALUE"""),"")</f>
        <v/>
      </c>
    </row>
    <row r="15169" spans="1:5">
      <c r="A15169" s="12"/>
      <c r="E15169" s="57" t="str">
        <f ca="1">IFERROR(__xludf.DUMMYFUNCTION("""COMPUTED_VALUE"""),"")</f>
        <v/>
      </c>
    </row>
    <row r="15170" spans="1:5">
      <c r="A15170" s="12"/>
      <c r="E15170" s="57" t="str">
        <f ca="1">IFERROR(__xludf.DUMMYFUNCTION("""COMPUTED_VALUE"""),"")</f>
        <v/>
      </c>
    </row>
    <row r="15171" spans="1:5">
      <c r="A15171" s="12"/>
      <c r="E15171" s="57" t="str">
        <f ca="1">IFERROR(__xludf.DUMMYFUNCTION("""COMPUTED_VALUE"""),"")</f>
        <v/>
      </c>
    </row>
    <row r="15172" spans="1:5">
      <c r="A15172" s="12"/>
      <c r="E15172" s="57" t="str">
        <f ca="1">IFERROR(__xludf.DUMMYFUNCTION("""COMPUTED_VALUE"""),"")</f>
        <v/>
      </c>
    </row>
    <row r="15173" spans="1:5">
      <c r="A15173" s="12"/>
      <c r="E15173" s="57" t="str">
        <f ca="1">IFERROR(__xludf.DUMMYFUNCTION("""COMPUTED_VALUE"""),"")</f>
        <v/>
      </c>
    </row>
    <row r="15174" spans="1:5">
      <c r="A15174" s="12"/>
      <c r="E15174" s="57" t="str">
        <f ca="1">IFERROR(__xludf.DUMMYFUNCTION("""COMPUTED_VALUE"""),"")</f>
        <v/>
      </c>
    </row>
    <row r="15175" spans="1:5">
      <c r="A15175" s="12"/>
      <c r="E15175" s="57" t="str">
        <f ca="1">IFERROR(__xludf.DUMMYFUNCTION("""COMPUTED_VALUE"""),"")</f>
        <v/>
      </c>
    </row>
    <row r="15176" spans="1:5">
      <c r="A15176" s="12"/>
      <c r="E15176" s="57" t="str">
        <f ca="1">IFERROR(__xludf.DUMMYFUNCTION("""COMPUTED_VALUE"""),"")</f>
        <v/>
      </c>
    </row>
    <row r="15177" spans="1:5">
      <c r="A15177" s="12"/>
      <c r="E15177" s="57" t="str">
        <f ca="1">IFERROR(__xludf.DUMMYFUNCTION("""COMPUTED_VALUE"""),"")</f>
        <v/>
      </c>
    </row>
    <row r="15178" spans="1:5">
      <c r="A15178" s="12"/>
      <c r="E15178" s="57" t="str">
        <f ca="1">IFERROR(__xludf.DUMMYFUNCTION("""COMPUTED_VALUE"""),"")</f>
        <v/>
      </c>
    </row>
    <row r="15179" spans="1:5">
      <c r="A15179" s="12"/>
      <c r="E15179" s="57" t="str">
        <f ca="1">IFERROR(__xludf.DUMMYFUNCTION("""COMPUTED_VALUE"""),"")</f>
        <v/>
      </c>
    </row>
    <row r="15180" spans="1:5">
      <c r="A15180" s="12"/>
      <c r="E15180" s="57" t="str">
        <f ca="1">IFERROR(__xludf.DUMMYFUNCTION("""COMPUTED_VALUE"""),"")</f>
        <v/>
      </c>
    </row>
    <row r="15181" spans="1:5">
      <c r="A15181" s="12"/>
      <c r="E15181" s="57" t="str">
        <f ca="1">IFERROR(__xludf.DUMMYFUNCTION("""COMPUTED_VALUE"""),"")</f>
        <v/>
      </c>
    </row>
    <row r="15182" spans="1:5">
      <c r="A15182" s="12"/>
      <c r="E15182" s="57" t="str">
        <f ca="1">IFERROR(__xludf.DUMMYFUNCTION("""COMPUTED_VALUE"""),"")</f>
        <v/>
      </c>
    </row>
    <row r="15183" spans="1:5">
      <c r="A15183" s="12"/>
      <c r="E15183" s="57" t="str">
        <f ca="1">IFERROR(__xludf.DUMMYFUNCTION("""COMPUTED_VALUE"""),"")</f>
        <v/>
      </c>
    </row>
    <row r="15184" spans="1:5">
      <c r="A15184" s="12"/>
      <c r="E15184" s="57" t="str">
        <f ca="1">IFERROR(__xludf.DUMMYFUNCTION("""COMPUTED_VALUE"""),"")</f>
        <v/>
      </c>
    </row>
    <row r="15185" spans="1:5">
      <c r="A15185" s="12"/>
      <c r="E15185" s="57" t="str">
        <f ca="1">IFERROR(__xludf.DUMMYFUNCTION("""COMPUTED_VALUE"""),"")</f>
        <v/>
      </c>
    </row>
    <row r="15186" spans="1:5">
      <c r="A15186" s="12"/>
      <c r="E15186" s="57" t="str">
        <f ca="1">IFERROR(__xludf.DUMMYFUNCTION("""COMPUTED_VALUE"""),"")</f>
        <v/>
      </c>
    </row>
    <row r="15187" spans="1:5">
      <c r="A15187" s="12"/>
      <c r="E15187" s="57" t="str">
        <f ca="1">IFERROR(__xludf.DUMMYFUNCTION("""COMPUTED_VALUE"""),"")</f>
        <v/>
      </c>
    </row>
    <row r="15188" spans="1:5">
      <c r="A15188" s="12"/>
      <c r="E15188" s="57" t="str">
        <f ca="1">IFERROR(__xludf.DUMMYFUNCTION("""COMPUTED_VALUE"""),"")</f>
        <v/>
      </c>
    </row>
    <row r="15189" spans="1:5">
      <c r="A15189" s="12"/>
      <c r="E15189" s="57" t="str">
        <f ca="1">IFERROR(__xludf.DUMMYFUNCTION("""COMPUTED_VALUE"""),"")</f>
        <v/>
      </c>
    </row>
    <row r="15190" spans="1:5">
      <c r="A15190" s="12"/>
      <c r="E15190" s="57" t="str">
        <f ca="1">IFERROR(__xludf.DUMMYFUNCTION("""COMPUTED_VALUE"""),"")</f>
        <v/>
      </c>
    </row>
    <row r="15191" spans="1:5">
      <c r="A15191" s="12"/>
      <c r="E15191" s="57" t="str">
        <f ca="1">IFERROR(__xludf.DUMMYFUNCTION("""COMPUTED_VALUE"""),"")</f>
        <v/>
      </c>
    </row>
    <row r="15192" spans="1:5">
      <c r="A15192" s="12"/>
      <c r="E15192" s="57" t="str">
        <f ca="1">IFERROR(__xludf.DUMMYFUNCTION("""COMPUTED_VALUE"""),"")</f>
        <v/>
      </c>
    </row>
    <row r="15193" spans="1:5">
      <c r="A15193" s="12"/>
      <c r="E15193" s="57" t="str">
        <f ca="1">IFERROR(__xludf.DUMMYFUNCTION("""COMPUTED_VALUE"""),"")</f>
        <v/>
      </c>
    </row>
    <row r="15194" spans="1:5">
      <c r="A15194" s="12"/>
      <c r="E15194" s="57" t="str">
        <f ca="1">IFERROR(__xludf.DUMMYFUNCTION("""COMPUTED_VALUE"""),"")</f>
        <v/>
      </c>
    </row>
    <row r="15195" spans="1:5">
      <c r="A15195" s="12"/>
      <c r="E15195" s="57" t="str">
        <f ca="1">IFERROR(__xludf.DUMMYFUNCTION("""COMPUTED_VALUE"""),"")</f>
        <v/>
      </c>
    </row>
    <row r="15196" spans="1:5">
      <c r="A15196" s="12"/>
      <c r="E15196" s="57" t="str">
        <f ca="1">IFERROR(__xludf.DUMMYFUNCTION("""COMPUTED_VALUE"""),"")</f>
        <v/>
      </c>
    </row>
    <row r="15197" spans="1:5">
      <c r="A15197" s="12"/>
      <c r="E15197" s="57" t="str">
        <f ca="1">IFERROR(__xludf.DUMMYFUNCTION("""COMPUTED_VALUE"""),"")</f>
        <v/>
      </c>
    </row>
    <row r="15198" spans="1:5">
      <c r="A15198" s="12"/>
      <c r="E15198" s="57" t="str">
        <f ca="1">IFERROR(__xludf.DUMMYFUNCTION("""COMPUTED_VALUE"""),"")</f>
        <v/>
      </c>
    </row>
  </sheetData>
  <hyperlinks>
    <hyperlink ref="A2" r:id="rId1" xr:uid="{00000000-0004-0000-0400-000000000000}"/>
    <hyperlink ref="C2" r:id="rId2" display="https://thumbcdn.com/splash/wkufiau460owcq76.jpg" xr:uid="{00000000-0004-0000-0400-000001000000}"/>
    <hyperlink ref="C3" r:id="rId3" display="https://thumbcdn.com/splash/mstx7nv42qlvlddi.jpg" xr:uid="{00000000-0004-0000-0400-000002000000}"/>
    <hyperlink ref="C4" r:id="rId4" display="https://thumbcdn.com/splash/hh6btwx54i0ymciq.jpg" xr:uid="{00000000-0004-0000-0400-000003000000}"/>
    <hyperlink ref="A5" r:id="rId5" xr:uid="{00000000-0004-0000-0400-000004000000}"/>
    <hyperlink ref="C5" r:id="rId6" display="https://thumbcdn.com/splash/0n7loh0bjp11jigp.jpg" xr:uid="{00000000-0004-0000-0400-000005000000}"/>
    <hyperlink ref="C6" r:id="rId7" display="https://thumbcdn.com/splash/zt9i0jjrmc4bm8j1.jpg" xr:uid="{00000000-0004-0000-0400-000006000000}"/>
    <hyperlink ref="C7" r:id="rId8" display="https://thumbcdn.com/splash/65k7ydc4sz0iagos.jpg" xr:uid="{00000000-0004-0000-0400-000007000000}"/>
    <hyperlink ref="A8" r:id="rId9" xr:uid="{00000000-0004-0000-0400-000008000000}"/>
    <hyperlink ref="C8" r:id="rId10" display="https://thumbcdn.com/splash/bnggdihvxysua5ro.jpg" xr:uid="{00000000-0004-0000-0400-000009000000}"/>
    <hyperlink ref="C9" r:id="rId11" display="https://thumbcdn.com/splash/ulyf1nrhddqddcrh.jpg" xr:uid="{00000000-0004-0000-0400-00000A000000}"/>
    <hyperlink ref="C10" r:id="rId12" display="https://thumbcdn.com/splash/tn6rrr096hjys7ue.jpg" xr:uid="{00000000-0004-0000-0400-00000B000000}"/>
    <hyperlink ref="A11" r:id="rId13" xr:uid="{00000000-0004-0000-0400-00000C000000}"/>
    <hyperlink ref="C11" r:id="rId14" display="https://thumbcdn.com/splash/1c0lsvl548i19fuh.jpg" xr:uid="{00000000-0004-0000-0400-00000D000000}"/>
    <hyperlink ref="C12" r:id="rId15" display="https://thumbcdn.com/splash/2s7omctmqzr2jy2z.jpg" xr:uid="{00000000-0004-0000-0400-00000E000000}"/>
    <hyperlink ref="C13" r:id="rId16" display="https://thumbcdn.com/splash/clcooeuwlyl4pk6o.jpg" xr:uid="{00000000-0004-0000-0400-00000F000000}"/>
    <hyperlink ref="A14" r:id="rId17" xr:uid="{00000000-0004-0000-0400-000010000000}"/>
    <hyperlink ref="C14" r:id="rId18" display="https://thumbcdn.com/splash/u5qduc1xza2glddt.jpg" xr:uid="{00000000-0004-0000-0400-000011000000}"/>
    <hyperlink ref="C15" r:id="rId19" display="https://thumbcdn.com/splash/pby6fpkg6a14s1uc.jpg" xr:uid="{00000000-0004-0000-0400-000012000000}"/>
    <hyperlink ref="C16" r:id="rId20" display="https://thumbcdn.com/splash/9rs1zpf5n43xdwsq.jpg" xr:uid="{00000000-0004-0000-0400-000013000000}"/>
    <hyperlink ref="A17" r:id="rId21" xr:uid="{00000000-0004-0000-0400-000014000000}"/>
    <hyperlink ref="C17" r:id="rId22" display="https://thumbcdn.com/splash/cclwkkefdggqr6gq.jpg" xr:uid="{00000000-0004-0000-0400-000015000000}"/>
    <hyperlink ref="C18" r:id="rId23" display="https://thumbcdn.com/splash/tq5bah9vyi9c63em.jpg" xr:uid="{00000000-0004-0000-0400-000016000000}"/>
    <hyperlink ref="C19" r:id="rId24" display="https://thumbcdn.com/splash/vzem54fyhdljwa2c.jpg" xr:uid="{00000000-0004-0000-0400-000017000000}"/>
    <hyperlink ref="A20" r:id="rId25" xr:uid="{00000000-0004-0000-0400-000018000000}"/>
    <hyperlink ref="C20" r:id="rId26" display="https://thumbcdn.com/splash/1bzsk44ytuvuunaw.jpg" xr:uid="{00000000-0004-0000-0400-000019000000}"/>
    <hyperlink ref="C21" r:id="rId27" display="https://thumbcdn.com/splash/t0hywldsgdsrk74d.jpg" xr:uid="{00000000-0004-0000-0400-00001A000000}"/>
    <hyperlink ref="C22" r:id="rId28" display="https://thumbcdn.com/splash/skcxf8vpx9h7fkfg.jpg" xr:uid="{00000000-0004-0000-0400-00001B000000}"/>
    <hyperlink ref="A23" r:id="rId29" xr:uid="{00000000-0004-0000-0400-00001C000000}"/>
    <hyperlink ref="C23" r:id="rId30" display="https://thumbcdn.com/splash/zq7d8ljoubv4nd16.jpg" xr:uid="{00000000-0004-0000-0400-00001D000000}"/>
    <hyperlink ref="C24" r:id="rId31" display="https://thumbcdn.com/splash/yfattlhukc3uc7yt.jpg" xr:uid="{00000000-0004-0000-0400-00001E000000}"/>
    <hyperlink ref="C25" r:id="rId32" display="https://thumbcdn.com/splash/cy07nlvkadbeg6lh.jpg" xr:uid="{00000000-0004-0000-0400-00001F000000}"/>
    <hyperlink ref="A26" r:id="rId33" xr:uid="{00000000-0004-0000-0400-000020000000}"/>
    <hyperlink ref="C26" r:id="rId34" display="https://thumbcdn.com/splash/99twg2cvfs812dui.jpg" xr:uid="{00000000-0004-0000-0400-000021000000}"/>
    <hyperlink ref="C27" r:id="rId35" display="https://thumbcdn.com/splash/uzkraixfx28fkn6x.jpg" xr:uid="{00000000-0004-0000-0400-000022000000}"/>
    <hyperlink ref="C28" r:id="rId36" display="https://thumbcdn.com/splash/tp6ipgucn0iacboh.jpg" xr:uid="{00000000-0004-0000-0400-000023000000}"/>
    <hyperlink ref="A29" r:id="rId37" xr:uid="{00000000-0004-0000-0400-000024000000}"/>
    <hyperlink ref="C29" r:id="rId38" display="https://thumbcdn.com/splash/37ua8rlvso92b5ct.jpg" xr:uid="{00000000-0004-0000-0400-000025000000}"/>
    <hyperlink ref="C30" r:id="rId39" display="https://thumbcdn.com/splash/xc75ybuqdjt93l3w.jpg" xr:uid="{00000000-0004-0000-0400-000026000000}"/>
    <hyperlink ref="C31" r:id="rId40" display="https://thumbcdn.com/splash/ut2h6i6qyev32an7.jpg" xr:uid="{00000000-0004-0000-0400-000027000000}"/>
    <hyperlink ref="A32" r:id="rId41" xr:uid="{00000000-0004-0000-0400-000028000000}"/>
    <hyperlink ref="C32" r:id="rId42" display="https://thumbcdn.com/splash/tdu43qsmt9mjb2ga.jpg" xr:uid="{00000000-0004-0000-0400-000029000000}"/>
    <hyperlink ref="C33" r:id="rId43" display="https://thumbcdn.com/splash/viz1u30d0y9hp73y.jpg" xr:uid="{00000000-0004-0000-0400-00002A000000}"/>
    <hyperlink ref="C34" r:id="rId44" display="https://thumbcdn.com/splash/msjiuzzfd7wpmzv4.jpg" xr:uid="{00000000-0004-0000-0400-00002B000000}"/>
    <hyperlink ref="A35" r:id="rId45" xr:uid="{00000000-0004-0000-0400-00002C000000}"/>
    <hyperlink ref="C35" r:id="rId46" display="https://thumbcdn.com/splash/q49x8r4777m6qzoy.jpg" xr:uid="{00000000-0004-0000-0400-00002D000000}"/>
    <hyperlink ref="C36" r:id="rId47" display="https://thumbcdn.com/splash/mpjshzok97fu2jfy.jpg" xr:uid="{00000000-0004-0000-0400-00002E000000}"/>
    <hyperlink ref="C37" r:id="rId48" display="https://thumbcdn.com/splash/jp6ycg2g9yhcq7vo.jpg" xr:uid="{00000000-0004-0000-0400-00002F000000}"/>
    <hyperlink ref="A38" r:id="rId49" xr:uid="{00000000-0004-0000-0400-000030000000}"/>
    <hyperlink ref="C38" r:id="rId50" display="https://thumbcdn.com/splash/y73ziarlc5tkwky6.jpg" xr:uid="{00000000-0004-0000-0400-000031000000}"/>
    <hyperlink ref="C39" r:id="rId51" display="https://thumbcdn.com/splash/gk36g89dux0zbtt8.jpg" xr:uid="{00000000-0004-0000-0400-000032000000}"/>
    <hyperlink ref="C40" r:id="rId52" display="https://thumbcdn.com/splash/hch2w5ks8h2koyji.jpg" xr:uid="{00000000-0004-0000-0400-000033000000}"/>
    <hyperlink ref="A41" r:id="rId53" xr:uid="{00000000-0004-0000-0400-000034000000}"/>
    <hyperlink ref="C41" r:id="rId54" display="https://thumbcdn.com/splash/ik1asxc31y9hfpwq.jpg" xr:uid="{00000000-0004-0000-0400-000035000000}"/>
    <hyperlink ref="C42" r:id="rId55" display="https://thumbcdn.com/splash/k4p0ca0y5sv3wwm2.jpg" xr:uid="{00000000-0004-0000-0400-000036000000}"/>
    <hyperlink ref="C43" r:id="rId56" display="https://thumbcdn.com/splash/1zhkrua1cttsmy62.jpg" xr:uid="{00000000-0004-0000-0400-000037000000}"/>
    <hyperlink ref="A44" r:id="rId57" xr:uid="{00000000-0004-0000-0400-000038000000}"/>
    <hyperlink ref="C44" r:id="rId58" display="https://thumbcdn.com/splash/uwkf2v5hdwr177fj.jpg" xr:uid="{00000000-0004-0000-0400-000039000000}"/>
    <hyperlink ref="C45" r:id="rId59" display="https://thumbcdn.com/splash/y23zpbl44cchimc5.jpg" xr:uid="{00000000-0004-0000-0400-00003A000000}"/>
    <hyperlink ref="C46" r:id="rId60" display="https://thumbcdn.com/splash/gewcza0o3ujd8gx3.jpg" xr:uid="{00000000-0004-0000-0400-00003B000000}"/>
    <hyperlink ref="A47" r:id="rId61" xr:uid="{00000000-0004-0000-0400-00003C000000}"/>
    <hyperlink ref="C47" r:id="rId62" display="https://thumbcdn.com/splash/sdpo7aqz7biqqzer.jpg" xr:uid="{00000000-0004-0000-0400-00003D000000}"/>
    <hyperlink ref="C48" r:id="rId63" display="https://thumbcdn.com/splash/vd3694b5x9jgtma7.jpg" xr:uid="{00000000-0004-0000-0400-00003E000000}"/>
    <hyperlink ref="C49" r:id="rId64" display="https://thumbcdn.com/splash/3byfccyanyxacrm9.jpg" xr:uid="{00000000-0004-0000-0400-00003F000000}"/>
    <hyperlink ref="A50" r:id="rId65" xr:uid="{00000000-0004-0000-0400-000040000000}"/>
    <hyperlink ref="C50" r:id="rId66" display="https://thumbcdn.com/splash/dlh9fwr7cu5k8wtu.jpg" xr:uid="{00000000-0004-0000-0400-000041000000}"/>
    <hyperlink ref="C51" r:id="rId67" display="https://thumbcdn.com/splash/joxom1j0vnbdlps0.jpg" xr:uid="{00000000-0004-0000-0400-000042000000}"/>
    <hyperlink ref="C52" r:id="rId68" display="https://thumbcdn.com/splash/4231wzo2uciqp3zj.jpg" xr:uid="{00000000-0004-0000-0400-000043000000}"/>
    <hyperlink ref="A53" r:id="rId69" xr:uid="{00000000-0004-0000-0400-000044000000}"/>
    <hyperlink ref="C53" r:id="rId70" display="https://thumbcdn.com/splash/kmp5i56v25irz1qe.jpg" xr:uid="{00000000-0004-0000-0400-000045000000}"/>
    <hyperlink ref="C54" r:id="rId71" display="https://thumbcdn.com/splash/asjvdy472gd3qjr3.jpg" xr:uid="{00000000-0004-0000-0400-000046000000}"/>
    <hyperlink ref="C55" r:id="rId72" display="https://thumbcdn.com/splash/pf1rmaxa6hqjbi4o.jpg" xr:uid="{00000000-0004-0000-0400-000047000000}"/>
    <hyperlink ref="A56" r:id="rId73" xr:uid="{00000000-0004-0000-0400-000048000000}"/>
    <hyperlink ref="C56" r:id="rId74" display="https://thumbcdn.com/splash/9xvqh1bvqk7ywx23.jpg" xr:uid="{00000000-0004-0000-0400-000049000000}"/>
    <hyperlink ref="C57" r:id="rId75" display="https://thumbcdn.com/splash/2j7juglp195jkvzg.jpg" xr:uid="{00000000-0004-0000-0400-00004A000000}"/>
    <hyperlink ref="C58" r:id="rId76" display="https://thumbcdn.com/splash/jufwwohl4j2hs1rp.jpg" xr:uid="{00000000-0004-0000-0400-00004B000000}"/>
    <hyperlink ref="A59" r:id="rId77" xr:uid="{00000000-0004-0000-0400-00004C000000}"/>
    <hyperlink ref="C59" r:id="rId78" display="https://thumbcdn.com/splash/57056jca2rz1fx57.jpg" xr:uid="{00000000-0004-0000-0400-00004D000000}"/>
    <hyperlink ref="C60" r:id="rId79" display="https://thumbcdn.com/splash/nhr78zdqew9xjg45.jpg" xr:uid="{00000000-0004-0000-0400-00004E000000}"/>
    <hyperlink ref="C61" r:id="rId80" display="https://thumbcdn.com/splash/txcngakwdhrw43d2.jpg" xr:uid="{00000000-0004-0000-0400-00004F000000}"/>
    <hyperlink ref="A62" r:id="rId81" xr:uid="{00000000-0004-0000-0400-000050000000}"/>
    <hyperlink ref="C62" r:id="rId82" display="https://thumbcdn.com/splash/0h3oc1h9u3z7v3j0.jpg" xr:uid="{00000000-0004-0000-0400-000051000000}"/>
    <hyperlink ref="C63" r:id="rId83" display="https://thumbcdn.com/splash/sxmikwy1tqlwz7ib.jpg" xr:uid="{00000000-0004-0000-0400-000052000000}"/>
    <hyperlink ref="C64" r:id="rId84" display="https://thumbcdn.com/splash/st5xhfgjh22vdpjr.jpg" xr:uid="{00000000-0004-0000-0400-000053000000}"/>
    <hyperlink ref="A65" r:id="rId85" xr:uid="{00000000-0004-0000-0400-000054000000}"/>
    <hyperlink ref="C65" r:id="rId86" display="https://thumbcdn.com/splash/7lcdbbq6koc4ljhf.jpg" xr:uid="{00000000-0004-0000-0400-000055000000}"/>
    <hyperlink ref="C66" r:id="rId87" display="https://thumbcdn.com/splash/4fr90ak8qkyiobbe.jpg" xr:uid="{00000000-0004-0000-0400-000056000000}"/>
    <hyperlink ref="C67" r:id="rId88" display="https://thumbcdn.com/splash/bp7xh3ve2kyf7ecl.jpg" xr:uid="{00000000-0004-0000-0400-000057000000}"/>
    <hyperlink ref="A68" r:id="rId89" xr:uid="{00000000-0004-0000-0400-000058000000}"/>
    <hyperlink ref="C68" r:id="rId90" display="https://thumbcdn.com/splash/c7vror99hzdidkjq.jpg" xr:uid="{00000000-0004-0000-0400-000059000000}"/>
    <hyperlink ref="C69" r:id="rId91" display="https://thumbcdn.com/splash/b9pseadi8ge0ejon.jpg" xr:uid="{00000000-0004-0000-0400-00005A000000}"/>
    <hyperlink ref="C70" r:id="rId92" display="https://thumbcdn.com/splash/6l33pr5w6o5f46yx.jpg" xr:uid="{00000000-0004-0000-0400-00005B000000}"/>
    <hyperlink ref="A71" r:id="rId93" xr:uid="{00000000-0004-0000-0400-00005C000000}"/>
    <hyperlink ref="C71" r:id="rId94" display="https://thumbcdn.com/splash/8w6op1udrj25btjg.jpg" xr:uid="{00000000-0004-0000-0400-00005D000000}"/>
    <hyperlink ref="C72" r:id="rId95" display="https://thumbcdn.com/splash/2wos8pvxuf5vq6vf.jpg" xr:uid="{00000000-0004-0000-0400-00005E000000}"/>
    <hyperlink ref="C73" r:id="rId96" display="https://thumbcdn.com/splash/48hnvr8i3pmgpw53.jpg" xr:uid="{00000000-0004-0000-0400-00005F000000}"/>
    <hyperlink ref="A74" r:id="rId97" xr:uid="{00000000-0004-0000-0400-000060000000}"/>
    <hyperlink ref="C74" r:id="rId98" display="https://thumbcdn.com/splash/t726cb1yg1v2ov1v.jpg" xr:uid="{00000000-0004-0000-0400-000061000000}"/>
    <hyperlink ref="C75" r:id="rId99" display="https://thumbcdn.com/splash/db9d8827vw1pd87z.jpg" xr:uid="{00000000-0004-0000-0400-000062000000}"/>
    <hyperlink ref="C76" r:id="rId100" display="https://thumbcdn.com/splash/nqc8dqixeur4i3t6.jpg" xr:uid="{00000000-0004-0000-0400-000063000000}"/>
    <hyperlink ref="A77" r:id="rId101" xr:uid="{00000000-0004-0000-0400-000064000000}"/>
    <hyperlink ref="C77" r:id="rId102" display="https://thumbcdn.com/splash/7e8932nvi3iu306z.jpg" xr:uid="{00000000-0004-0000-0400-000065000000}"/>
    <hyperlink ref="C78" r:id="rId103" display="https://thumbcdn.com/splash/utuss0vsednzmnfb.jpg" xr:uid="{00000000-0004-0000-0400-000066000000}"/>
    <hyperlink ref="C79" r:id="rId104" display="https://thumbcdn.com/splash/vytx6v2zv2vv3jh7.jpg" xr:uid="{00000000-0004-0000-0400-000067000000}"/>
    <hyperlink ref="A80" r:id="rId105" xr:uid="{00000000-0004-0000-0400-000068000000}"/>
    <hyperlink ref="C80" r:id="rId106" display="https://thumbcdn.com/splash/ungzdigm0e5lezck.jpg" xr:uid="{00000000-0004-0000-0400-000069000000}"/>
    <hyperlink ref="C81" r:id="rId107" display="https://thumbcdn.com/splash/xu9409plgzngovvn.jpg" xr:uid="{00000000-0004-0000-0400-00006A000000}"/>
    <hyperlink ref="C82" r:id="rId108" display="https://thumbcdn.com/splash/14cxzrasoblnkk6j.jpg" xr:uid="{00000000-0004-0000-0400-00006B000000}"/>
    <hyperlink ref="A83" r:id="rId109" xr:uid="{00000000-0004-0000-0400-00006C000000}"/>
    <hyperlink ref="C83" r:id="rId110" display="https://thumbcdn.com/splash/zb3rwjhbbnj55igw.jpg" xr:uid="{00000000-0004-0000-0400-00006D000000}"/>
    <hyperlink ref="C84" r:id="rId111" display="https://thumbcdn.com/splash/ixabflwrseb9eswg.jpg" xr:uid="{00000000-0004-0000-0400-00006E000000}"/>
    <hyperlink ref="C85" r:id="rId112" display="https://thumbcdn.com/splash/6vnb3zx8i1csvmkr.jpg" xr:uid="{00000000-0004-0000-0400-00006F000000}"/>
    <hyperlink ref="A86" r:id="rId113" xr:uid="{00000000-0004-0000-0400-000070000000}"/>
    <hyperlink ref="C86" r:id="rId114" display="https://thumbcdn.com/splash/a2cdm3h4x98dljvd.jpg" xr:uid="{00000000-0004-0000-0400-000071000000}"/>
    <hyperlink ref="C87" r:id="rId115" display="https://thumbcdn.com/splash/u4lac9cjh4089hjd.jpg" xr:uid="{00000000-0004-0000-0400-000072000000}"/>
    <hyperlink ref="C88" r:id="rId116" display="https://thumbcdn.com/splash/frne91yyo69ac0x7.jpg" xr:uid="{00000000-0004-0000-0400-000073000000}"/>
    <hyperlink ref="A89" r:id="rId117" xr:uid="{00000000-0004-0000-0400-000074000000}"/>
    <hyperlink ref="C89" r:id="rId118" display="https://thumbcdn.com/splash/plplgrvgfbhjlxag.jpg" xr:uid="{00000000-0004-0000-0400-000075000000}"/>
    <hyperlink ref="C90" r:id="rId119" display="https://thumbcdn.com/splash/4j6flmlk89wqcthj.jpg" xr:uid="{00000000-0004-0000-0400-000076000000}"/>
    <hyperlink ref="C91" r:id="rId120" display="https://thumbcdn.com/splash/cy3ews0n3bghzor6.jpg" xr:uid="{00000000-0004-0000-0400-000077000000}"/>
    <hyperlink ref="A92" r:id="rId121" xr:uid="{00000000-0004-0000-0400-000078000000}"/>
    <hyperlink ref="C92" r:id="rId122" display="https://thumbcdn.com/splash/hih40lpz3p6amu2n.jpg" xr:uid="{00000000-0004-0000-0400-000079000000}"/>
    <hyperlink ref="C93" r:id="rId123" display="https://thumbcdn.com/splash/hyq42qw1j2t31apj.jpg" xr:uid="{00000000-0004-0000-0400-00007A000000}"/>
    <hyperlink ref="C94" r:id="rId124" display="https://thumbcdn.com/splash/vu6vxo2lt1420048.jpg" xr:uid="{00000000-0004-0000-0400-00007B000000}"/>
    <hyperlink ref="A95" r:id="rId125" xr:uid="{00000000-0004-0000-0400-00007C000000}"/>
    <hyperlink ref="C95" r:id="rId126" display="https://thumbcdn.com/splash/8uvav6rnlrihj7hq.jpg" xr:uid="{00000000-0004-0000-0400-00007D000000}"/>
    <hyperlink ref="C96" r:id="rId127" display="https://thumbcdn.com/splash/12gdfu2yv72pvxg7.jpg" xr:uid="{00000000-0004-0000-0400-00007E000000}"/>
    <hyperlink ref="C97" r:id="rId128" display="https://thumbcdn.com/splash/3ssh0y98168b4bhx.jpg" xr:uid="{00000000-0004-0000-0400-00007F000000}"/>
    <hyperlink ref="A98" r:id="rId129" xr:uid="{00000000-0004-0000-0400-000080000000}"/>
    <hyperlink ref="C98" r:id="rId130" display="https://thumbcdn.com/splash/au0if5vr0rsx0vqs.jpg" xr:uid="{00000000-0004-0000-0400-000081000000}"/>
    <hyperlink ref="C99" r:id="rId131" display="https://thumbcdn.com/splash/3sj6gimgmvse60qs.jpg" xr:uid="{00000000-0004-0000-0400-000082000000}"/>
    <hyperlink ref="C100" r:id="rId132" display="https://thumbcdn.com/splash/suwoxziqd9atycx8.jpg" xr:uid="{00000000-0004-0000-0400-000083000000}"/>
    <hyperlink ref="A101" r:id="rId133" xr:uid="{00000000-0004-0000-0400-000084000000}"/>
    <hyperlink ref="C101" r:id="rId134" display="https://thumbcdn.com/splash/lsnb8142sopx0r8d.jpg" xr:uid="{00000000-0004-0000-0400-000085000000}"/>
    <hyperlink ref="C102" r:id="rId135" display="https://thumbcdn.com/splash/w0p3izo715rpkn6k.jpg" xr:uid="{00000000-0004-0000-0400-000086000000}"/>
    <hyperlink ref="C103" r:id="rId136" display="https://thumbcdn.com/splash/arozad4n0snccuwj.jpg" xr:uid="{00000000-0004-0000-0400-000087000000}"/>
    <hyperlink ref="A104" r:id="rId137" xr:uid="{00000000-0004-0000-0400-000088000000}"/>
    <hyperlink ref="C104" r:id="rId138" display="https://thumbcdn.com/splash/i6t02q1xrvt6z3ul.jpg" xr:uid="{00000000-0004-0000-0400-000089000000}"/>
    <hyperlink ref="C105" r:id="rId139" display="https://thumbcdn.com/splash/fnit5bux2jffm9l9.jpg" xr:uid="{00000000-0004-0000-0400-00008A000000}"/>
    <hyperlink ref="C106" r:id="rId140" display="https://thumbcdn.com/splash/n6h40vgejo3q6myq.jpg" xr:uid="{00000000-0004-0000-0400-00008B000000}"/>
    <hyperlink ref="A107" r:id="rId141" xr:uid="{00000000-0004-0000-0400-00008C000000}"/>
    <hyperlink ref="C107" r:id="rId142" display="https://thumbcdn.com/splash/0que4tuqipv0z88q.jpg" xr:uid="{00000000-0004-0000-0400-00008D000000}"/>
    <hyperlink ref="C108" r:id="rId143" display="https://thumbcdn.com/splash/a0pq8lra3vha3q7w.jpg" xr:uid="{00000000-0004-0000-0400-00008E000000}"/>
    <hyperlink ref="C109" r:id="rId144" display="https://thumbcdn.com/splash/ym3vpcimblxk5joj.jpg" xr:uid="{00000000-0004-0000-0400-00008F000000}"/>
    <hyperlink ref="A110" r:id="rId145" xr:uid="{00000000-0004-0000-0400-000090000000}"/>
    <hyperlink ref="C110" r:id="rId146" display="https://thumbcdn.com/splash/dy8kl7ro6f1v5jtj.jpg" xr:uid="{00000000-0004-0000-0400-000091000000}"/>
    <hyperlink ref="C111" r:id="rId147" display="https://thumbcdn.com/splash/ykarz4vpya8cnywz.jpg" xr:uid="{00000000-0004-0000-0400-000092000000}"/>
    <hyperlink ref="C112" r:id="rId148" display="https://thumbcdn.com/splash/fdbrdu8uu2zerr30.jpg" xr:uid="{00000000-0004-0000-0400-000093000000}"/>
    <hyperlink ref="A113" r:id="rId149" xr:uid="{00000000-0004-0000-0400-000094000000}"/>
    <hyperlink ref="C113" r:id="rId150" display="https://thumbcdn.com/splash/ig6jetty48i5dd6x.jpg" xr:uid="{00000000-0004-0000-0400-000095000000}"/>
    <hyperlink ref="C114" r:id="rId151" display="https://thumbcdn.com/splash/rgeam8jl0h2wdewl.jpg" xr:uid="{00000000-0004-0000-0400-000096000000}"/>
    <hyperlink ref="C115" r:id="rId152" display="https://thumbcdn.com/splash/gsx7y08l2d1q4zkm.jpg" xr:uid="{00000000-0004-0000-0400-000097000000}"/>
    <hyperlink ref="A116" r:id="rId153" xr:uid="{00000000-0004-0000-0400-000098000000}"/>
    <hyperlink ref="C116" r:id="rId154" display="https://thumbcdn.com/splash/l5d6e44n0031dwu1.jpg" xr:uid="{00000000-0004-0000-0400-000099000000}"/>
    <hyperlink ref="C117" r:id="rId155" display="https://thumbcdn.com/splash/ccoify2z7qd9ivip.jpg" xr:uid="{00000000-0004-0000-0400-00009A000000}"/>
    <hyperlink ref="C118" r:id="rId156" display="https://thumbcdn.com/splash/3dh4ekp5woyrg30d.jpg" xr:uid="{00000000-0004-0000-0400-00009B000000}"/>
    <hyperlink ref="A119" r:id="rId157" xr:uid="{00000000-0004-0000-0400-00009C000000}"/>
    <hyperlink ref="C119" r:id="rId158" display="https://thumbcdn.com/splash/ncuvdr7eb6022vol.jpg" xr:uid="{00000000-0004-0000-0400-00009D000000}"/>
    <hyperlink ref="C120" r:id="rId159" display="https://thumbcdn.com/splash/vb4z98j0pzz38231.jpg" xr:uid="{00000000-0004-0000-0400-00009E000000}"/>
    <hyperlink ref="C121" r:id="rId160" display="https://thumbcdn.com/splash/qci0rv1nly1s8pjy.jpg" xr:uid="{00000000-0004-0000-0400-00009F000000}"/>
    <hyperlink ref="A122" r:id="rId161" xr:uid="{00000000-0004-0000-0400-0000A0000000}"/>
    <hyperlink ref="C122" r:id="rId162" display="https://thumbcdn.com/splash/ar7ax6za4rw80jbh.jpg" xr:uid="{00000000-0004-0000-0400-0000A1000000}"/>
    <hyperlink ref="C123" r:id="rId163" display="https://thumbcdn.com/splash/um8iv4iz9ikfpiz2.jpg" xr:uid="{00000000-0004-0000-0400-0000A2000000}"/>
    <hyperlink ref="C124" r:id="rId164" display="https://thumbcdn.com/splash/ob317aezw9yza9xz.jpg" xr:uid="{00000000-0004-0000-0400-0000A3000000}"/>
    <hyperlink ref="A125" r:id="rId165" xr:uid="{00000000-0004-0000-0400-0000A4000000}"/>
    <hyperlink ref="C125" r:id="rId166" display="https://thumbcdn.com/splash/z4b9njkig9jj79xi.jpg" xr:uid="{00000000-0004-0000-0400-0000A5000000}"/>
    <hyperlink ref="C126" r:id="rId167" display="https://thumbcdn.com/splash/xj2k98uvho1gn4a9.jpg" xr:uid="{00000000-0004-0000-0400-0000A6000000}"/>
    <hyperlink ref="C127" r:id="rId168" display="https://thumbcdn.com/splash/f09fepcizhq3ltry.jpg" xr:uid="{00000000-0004-0000-0400-0000A7000000}"/>
    <hyperlink ref="A128" r:id="rId169" xr:uid="{00000000-0004-0000-0400-0000A8000000}"/>
    <hyperlink ref="C128" r:id="rId170" display="https://thumbcdn.com/splash/udy64l82axafodz5.jpg" xr:uid="{00000000-0004-0000-0400-0000A9000000}"/>
    <hyperlink ref="C129" r:id="rId171" display="https://thumbcdn.com/splash/6rchnnkzndwl3ays.jpg" xr:uid="{00000000-0004-0000-0400-0000AA000000}"/>
    <hyperlink ref="C130" r:id="rId172" display="https://thumbcdn.com/splash/99gzukhx6glftoys.jpg" xr:uid="{00000000-0004-0000-0400-0000AB000000}"/>
    <hyperlink ref="A131" r:id="rId173" xr:uid="{00000000-0004-0000-0400-0000AC000000}"/>
    <hyperlink ref="C131" r:id="rId174" display="https://thumbcdn.com/splash/q4fawll5pellcvcj.jpg" xr:uid="{00000000-0004-0000-0400-0000AD000000}"/>
    <hyperlink ref="C132" r:id="rId175" display="https://thumbcdn.com/splash/ha41dn34gz88ifu6.jpg" xr:uid="{00000000-0004-0000-0400-0000AE000000}"/>
    <hyperlink ref="C133" r:id="rId176" display="https://thumbcdn.com/splash/fd9ib5m6dg33trkz.jpg" xr:uid="{00000000-0004-0000-0400-0000AF000000}"/>
    <hyperlink ref="A134" r:id="rId177" xr:uid="{00000000-0004-0000-0400-0000B0000000}"/>
    <hyperlink ref="C134" r:id="rId178" display="https://thumbcdn.com/splash/w4flufhphasp8w2y.jpg" xr:uid="{00000000-0004-0000-0400-0000B1000000}"/>
    <hyperlink ref="C135" r:id="rId179" display="https://thumbcdn.com/splash/l0cl5o657maw88v6.jpg" xr:uid="{00000000-0004-0000-0400-0000B2000000}"/>
    <hyperlink ref="C136" r:id="rId180" display="https://thumbcdn.com/splash/vbx7inadk7w59dpc.jpg" xr:uid="{00000000-0004-0000-0400-0000B3000000}"/>
    <hyperlink ref="A137" r:id="rId181" xr:uid="{00000000-0004-0000-0400-0000B4000000}"/>
    <hyperlink ref="C137" r:id="rId182" display="https://thumbcdn.com/splash/i8h2ngeuzpolld3n.jpg" xr:uid="{00000000-0004-0000-0400-0000B5000000}"/>
    <hyperlink ref="C138" r:id="rId183" display="https://thumbcdn.com/splash/ias8lsob7ugtqb6o.jpg" xr:uid="{00000000-0004-0000-0400-0000B6000000}"/>
    <hyperlink ref="C139" r:id="rId184" display="https://thumbcdn.com/splash/j23glorvw2sewo1i.jpg" xr:uid="{00000000-0004-0000-0400-0000B7000000}"/>
    <hyperlink ref="A140" r:id="rId185" xr:uid="{00000000-0004-0000-0400-0000B8000000}"/>
    <hyperlink ref="C140" r:id="rId186" display="https://thumbcdn.com/splash/91ilqppwlq0cv4hz.jpg" xr:uid="{00000000-0004-0000-0400-0000B9000000}"/>
    <hyperlink ref="C141" r:id="rId187" display="https://thumbcdn.com/splash/2i1licq67c5jqb9f.jpg" xr:uid="{00000000-0004-0000-0400-0000BA000000}"/>
    <hyperlink ref="C142" r:id="rId188" display="https://thumbcdn.com/splash/c1wf376137r297ok.jpg" xr:uid="{00000000-0004-0000-0400-0000BB000000}"/>
    <hyperlink ref="A143" r:id="rId189" xr:uid="{00000000-0004-0000-0400-0000BC000000}"/>
    <hyperlink ref="C143" r:id="rId190" display="https://thumbcdn.com/splash/lfrftd6w5vhbnr2y.jpg" xr:uid="{00000000-0004-0000-0400-0000BD000000}"/>
    <hyperlink ref="C144" r:id="rId191" display="https://thumbcdn.com/splash/ceh5l7dzbqt8ft85.jpg" xr:uid="{00000000-0004-0000-0400-0000BE000000}"/>
    <hyperlink ref="C145" r:id="rId192" display="https://thumbcdn.com/splash/7sj6hn3hx7pprnk3.jpg" xr:uid="{00000000-0004-0000-0400-0000BF000000}"/>
    <hyperlink ref="A146" r:id="rId193" xr:uid="{00000000-0004-0000-0400-0000C0000000}"/>
    <hyperlink ref="C146" r:id="rId194" display="https://thumbcdn.com/splash/vmingmdpr040jxs5.jpg" xr:uid="{00000000-0004-0000-0400-0000C1000000}"/>
    <hyperlink ref="C147" r:id="rId195" display="https://thumbcdn.com/splash/935fllawx5r33ll0.jpg" xr:uid="{00000000-0004-0000-0400-0000C2000000}"/>
    <hyperlink ref="C148" r:id="rId196" display="https://thumbcdn.com/splash/fyb22c9nbumlijud.jpg" xr:uid="{00000000-0004-0000-0400-0000C3000000}"/>
    <hyperlink ref="A149" r:id="rId197" xr:uid="{00000000-0004-0000-0400-0000C4000000}"/>
    <hyperlink ref="C149" r:id="rId198" display="https://thumbcdn.com/splash/wjdt3fei3wo98kf1.jpg" xr:uid="{00000000-0004-0000-0400-0000C5000000}"/>
    <hyperlink ref="C150" r:id="rId199" display="https://thumbcdn.com/splash/xfkrro4gme2ssrpr.jpg" xr:uid="{00000000-0004-0000-0400-0000C6000000}"/>
    <hyperlink ref="C151" r:id="rId200" display="https://thumbcdn.com/splash/xov75zlm1xe4jmup.jpg" xr:uid="{00000000-0004-0000-0400-0000C7000000}"/>
    <hyperlink ref="A152" r:id="rId201" xr:uid="{00000000-0004-0000-0400-0000C8000000}"/>
    <hyperlink ref="C152" r:id="rId202" display="https://thumbcdn.com/splash/it3xafz8h45ug7al.jpg" xr:uid="{00000000-0004-0000-0400-0000C9000000}"/>
    <hyperlink ref="C153" r:id="rId203" display="https://thumbcdn.com/splash/hpnzfamp6m0uynyc.jpg" xr:uid="{00000000-0004-0000-0400-0000CA000000}"/>
    <hyperlink ref="C154" r:id="rId204" display="https://thumbcdn.com/splash/dhxyl9jn86uv3wm1.jpg" xr:uid="{00000000-0004-0000-0400-0000CB000000}"/>
    <hyperlink ref="A155" r:id="rId205" xr:uid="{00000000-0004-0000-0400-0000CC000000}"/>
    <hyperlink ref="C155" r:id="rId206" display="https://thumbcdn.com/splash/92t8gslazk5uutqr.jpg" xr:uid="{00000000-0004-0000-0400-0000CD000000}"/>
    <hyperlink ref="C156" r:id="rId207" display="https://thumbcdn.com/splash/u37lcsw07r6gfw25.jpg" xr:uid="{00000000-0004-0000-0400-0000CE000000}"/>
    <hyperlink ref="C157" r:id="rId208" display="https://thumbcdn.com/splash/fhsp15znvo5pn2v8.jpg" xr:uid="{00000000-0004-0000-0400-0000CF000000}"/>
    <hyperlink ref="A158" r:id="rId209" xr:uid="{00000000-0004-0000-0400-0000D0000000}"/>
    <hyperlink ref="C158" r:id="rId210" display="https://thumbcdn.com/splash/xa1yqcmp2rwfvg5s.jpg" xr:uid="{00000000-0004-0000-0400-0000D1000000}"/>
    <hyperlink ref="C159" r:id="rId211" display="https://thumbcdn.com/splash/z5q3xgyylku6y0vo.jpg" xr:uid="{00000000-0004-0000-0400-0000D2000000}"/>
    <hyperlink ref="C160" r:id="rId212" display="https://thumbcdn.com/splash/u3wjfifda26bp829.jpg" xr:uid="{00000000-0004-0000-0400-0000D3000000}"/>
    <hyperlink ref="A161" r:id="rId213" xr:uid="{00000000-0004-0000-0400-0000D4000000}"/>
    <hyperlink ref="C161" r:id="rId214" display="https://thumbcdn.com/splash/kt5xjuzxr9fccj9b.jpg" xr:uid="{00000000-0004-0000-0400-0000D5000000}"/>
    <hyperlink ref="C162" r:id="rId215" display="https://thumbcdn.com/splash/50z7izc571i6jho2.jpg" xr:uid="{00000000-0004-0000-0400-0000D6000000}"/>
    <hyperlink ref="C163" r:id="rId216" display="https://thumbcdn.com/splash/hd38khtb96ypycxt.jpg" xr:uid="{00000000-0004-0000-0400-0000D7000000}"/>
    <hyperlink ref="A164" r:id="rId217" xr:uid="{00000000-0004-0000-0400-0000D8000000}"/>
    <hyperlink ref="C164" r:id="rId218" display="https://thumbcdn.com/splash/hhhvz7q3n2x3tc22.jpg" xr:uid="{00000000-0004-0000-0400-0000D9000000}"/>
    <hyperlink ref="C165" r:id="rId219" display="https://thumbcdn.com/splash/6ppcq75am11s8n30.jpg" xr:uid="{00000000-0004-0000-0400-0000DA000000}"/>
    <hyperlink ref="C166" r:id="rId220" display="https://thumbcdn.com/splash/jvogjjjmc9uro6df.jpg" xr:uid="{00000000-0004-0000-0400-0000DB000000}"/>
    <hyperlink ref="A167" r:id="rId221" xr:uid="{00000000-0004-0000-0400-0000DC000000}"/>
    <hyperlink ref="C167" r:id="rId222" display="https://thumbcdn.com/splash/ajlojk7490gwodfq.jpg" xr:uid="{00000000-0004-0000-0400-0000DD000000}"/>
    <hyperlink ref="C168" r:id="rId223" display="https://thumbcdn.com/splash/ejwlt1hpv1jxvqb7.jpg" xr:uid="{00000000-0004-0000-0400-0000DE000000}"/>
    <hyperlink ref="C169" r:id="rId224" display="https://thumbcdn.com/splash/bxw43356cg7673c9.jpg" xr:uid="{00000000-0004-0000-0400-0000DF000000}"/>
    <hyperlink ref="A170" r:id="rId225" xr:uid="{00000000-0004-0000-0400-0000E0000000}"/>
    <hyperlink ref="C170" r:id="rId226" display="https://thumbcdn.com/splash/vgpzbpbbx6z994k3.jpg" xr:uid="{00000000-0004-0000-0400-0000E1000000}"/>
    <hyperlink ref="C171" r:id="rId227" display="https://thumbcdn.com/splash/rljy8avaeoxygi00.jpg" xr:uid="{00000000-0004-0000-0400-0000E2000000}"/>
    <hyperlink ref="C172" r:id="rId228" display="https://thumbcdn.com/splash/5ahrn8ykuicbue2s.jpg" xr:uid="{00000000-0004-0000-0400-0000E3000000}"/>
    <hyperlink ref="A173" r:id="rId229" xr:uid="{00000000-0004-0000-0400-0000E4000000}"/>
    <hyperlink ref="C173" r:id="rId230" display="https://thumbcdn.com/splash/z67ag69h3z4quban.jpg" xr:uid="{00000000-0004-0000-0400-0000E5000000}"/>
    <hyperlink ref="C174" r:id="rId231" display="https://thumbcdn.com/splash/5lefzngavzpd2p4n.jpg" xr:uid="{00000000-0004-0000-0400-0000E6000000}"/>
    <hyperlink ref="C175" r:id="rId232" display="https://thumbcdn.com/splash/ne4w3wadw2kz5rbc.jpg" xr:uid="{00000000-0004-0000-0400-0000E7000000}"/>
    <hyperlink ref="A176" r:id="rId233" xr:uid="{00000000-0004-0000-0400-0000E8000000}"/>
    <hyperlink ref="C176" r:id="rId234" display="https://thumbcdn.com/splash/47203l3uh174drd2.jpg" xr:uid="{00000000-0004-0000-0400-0000E9000000}"/>
    <hyperlink ref="C177" r:id="rId235" display="https://thumbcdn.com/splash/6mfnfp7bohpd02w7.jpg" xr:uid="{00000000-0004-0000-0400-0000EA000000}"/>
    <hyperlink ref="C178" r:id="rId236" display="https://thumbcdn.com/splash/qk7u4wmrfns0694k.jpg" xr:uid="{00000000-0004-0000-0400-0000EB000000}"/>
    <hyperlink ref="A179" r:id="rId237" xr:uid="{00000000-0004-0000-0400-0000EC000000}"/>
    <hyperlink ref="C179" r:id="rId238" display="https://thumbcdn.com/splash/ynoer0gg8brbcx0i.jpg" xr:uid="{00000000-0004-0000-0400-0000ED000000}"/>
    <hyperlink ref="C180" r:id="rId239" display="https://thumbcdn.com/splash/9yt84rvpvogmsz4m.jpg" xr:uid="{00000000-0004-0000-0400-0000EE000000}"/>
    <hyperlink ref="C181" r:id="rId240" display="https://thumbcdn.com/splash/auv2e68r2f1bzibc.jpg" xr:uid="{00000000-0004-0000-0400-0000EF000000}"/>
    <hyperlink ref="A182" r:id="rId241" xr:uid="{00000000-0004-0000-0400-0000F0000000}"/>
    <hyperlink ref="C182" r:id="rId242" display="https://thumbcdn.com/splash/xwm3tmr6b01szjuc.jpg" xr:uid="{00000000-0004-0000-0400-0000F1000000}"/>
    <hyperlink ref="C183" r:id="rId243" display="https://thumbcdn.com/splash/9hos7xu00t81mc60.jpg" xr:uid="{00000000-0004-0000-0400-0000F2000000}"/>
    <hyperlink ref="C184" r:id="rId244" display="https://thumbcdn.com/splash/t4wh45rpe7ovgmkl.jpg" xr:uid="{00000000-0004-0000-0400-0000F3000000}"/>
    <hyperlink ref="A185" r:id="rId245" xr:uid="{00000000-0004-0000-0400-0000F4000000}"/>
    <hyperlink ref="C185" r:id="rId246" display="https://thumbcdn.com/splash/91i27m8fjbekr3mr.jpg" xr:uid="{00000000-0004-0000-0400-0000F5000000}"/>
    <hyperlink ref="C186" r:id="rId247" display="https://thumbcdn.com/splash/irqgxgqnyjwiudnp.jpg" xr:uid="{00000000-0004-0000-0400-0000F6000000}"/>
    <hyperlink ref="C187" r:id="rId248" display="https://thumbcdn.com/splash/a0ea8meofrvg6yie.jpg" xr:uid="{00000000-0004-0000-0400-0000F7000000}"/>
    <hyperlink ref="A188" r:id="rId249" xr:uid="{00000000-0004-0000-0400-0000F8000000}"/>
    <hyperlink ref="C188" r:id="rId250" display="https://thumbcdn.com/splash/7e5x9vk4tgr9rg11.jpg" xr:uid="{00000000-0004-0000-0400-0000F9000000}"/>
    <hyperlink ref="C189" r:id="rId251" display="https://thumbcdn.com/splash/tfodf7lm49rywlli.jpg" xr:uid="{00000000-0004-0000-0400-0000FA000000}"/>
    <hyperlink ref="C190" r:id="rId252" display="https://thumbcdn.com/splash/kf58ck1qj5t8nuzs.jpg" xr:uid="{00000000-0004-0000-0400-0000FB000000}"/>
    <hyperlink ref="A191" r:id="rId253" xr:uid="{00000000-0004-0000-0400-0000FC000000}"/>
    <hyperlink ref="C191" r:id="rId254" display="https://thumbcdn.com/splash/x5d7huqo7jayvt34.jpg" xr:uid="{00000000-0004-0000-0400-0000FD000000}"/>
    <hyperlink ref="C192" r:id="rId255" display="https://thumbcdn.com/splash/eacquqs0mfbpl1me.jpg" xr:uid="{00000000-0004-0000-0400-0000FE000000}"/>
    <hyperlink ref="C193" r:id="rId256" display="https://thumbcdn.com/splash/lop4zoluuf41d2ay.jpg" xr:uid="{00000000-0004-0000-0400-0000FF000000}"/>
    <hyperlink ref="A194" r:id="rId257" xr:uid="{00000000-0004-0000-0400-000000010000}"/>
    <hyperlink ref="C194" r:id="rId258" display="https://thumbcdn.com/splash/hz74kg4dxp5emymu.jpg" xr:uid="{00000000-0004-0000-0400-000001010000}"/>
    <hyperlink ref="C195" r:id="rId259" display="https://thumbcdn.com/splash/kvzyk2vm7opf70gj.jpg" xr:uid="{00000000-0004-0000-0400-000002010000}"/>
    <hyperlink ref="C196" r:id="rId260" display="https://thumbcdn.com/splash/uemypfnbhq0ymykc.jpg" xr:uid="{00000000-0004-0000-0400-000003010000}"/>
    <hyperlink ref="A197" r:id="rId261" xr:uid="{00000000-0004-0000-0400-000004010000}"/>
    <hyperlink ref="C197" r:id="rId262" display="https://thumbcdn.com/splash/5fm6eieksre8pefh.jpg" xr:uid="{00000000-0004-0000-0400-000005010000}"/>
    <hyperlink ref="C198" r:id="rId263" display="https://thumbcdn.com/splash/orxdwfuleaqhie7m.jpg" xr:uid="{00000000-0004-0000-0400-000006010000}"/>
    <hyperlink ref="C199" r:id="rId264" display="https://thumbcdn.com/splash/f9m3mdoe126x8xwo.jpg" xr:uid="{00000000-0004-0000-0400-000007010000}"/>
    <hyperlink ref="A200" r:id="rId265" xr:uid="{00000000-0004-0000-0400-000008010000}"/>
    <hyperlink ref="C200" r:id="rId266" display="https://thumbcdn.com/splash/mekscrs094uqje38.jpg" xr:uid="{00000000-0004-0000-0400-000009010000}"/>
    <hyperlink ref="C201" r:id="rId267" display="https://thumbcdn.com/splash/3r8oemjwnmv70z19.jpg" xr:uid="{00000000-0004-0000-0400-00000A010000}"/>
    <hyperlink ref="C202" r:id="rId268" display="https://thumbcdn.com/splash/4p55fyzrgu7u4dz3.jpg" xr:uid="{00000000-0004-0000-0400-00000B010000}"/>
    <hyperlink ref="A203" r:id="rId269" xr:uid="{00000000-0004-0000-0400-00000C010000}"/>
    <hyperlink ref="C203" r:id="rId270" display="https://thumbcdn.com/splash/mnt8nwfy3u9jawo4.jpg" xr:uid="{00000000-0004-0000-0400-00000D010000}"/>
    <hyperlink ref="C204" r:id="rId271" display="https://thumbcdn.com/splash/qygr09p6z3q7athp.jpg" xr:uid="{00000000-0004-0000-0400-00000E010000}"/>
    <hyperlink ref="C205" r:id="rId272" display="https://thumbcdn.com/splash/lvcrq8s21xqnni54.jpg" xr:uid="{00000000-0004-0000-0400-00000F010000}"/>
    <hyperlink ref="A206" r:id="rId273" xr:uid="{00000000-0004-0000-0400-000010010000}"/>
    <hyperlink ref="C206" r:id="rId274" display="https://thumbcdn.com/splash/l496hx1oocpandkh.jpg" xr:uid="{00000000-0004-0000-0400-000011010000}"/>
    <hyperlink ref="C207" r:id="rId275" display="https://thumbcdn.com/splash/zzz0np2s4tz1vece.jpg" xr:uid="{00000000-0004-0000-0400-000012010000}"/>
    <hyperlink ref="C208" r:id="rId276" display="https://thumbcdn.com/splash/4ffr6q76ez1s7g3k.jpg" xr:uid="{00000000-0004-0000-0400-000013010000}"/>
    <hyperlink ref="A209" r:id="rId277" xr:uid="{00000000-0004-0000-0400-000014010000}"/>
    <hyperlink ref="C209" r:id="rId278" display="https://thumbcdn.com/splash/qa76a82j0wzjai4o.jpg" xr:uid="{00000000-0004-0000-0400-000015010000}"/>
    <hyperlink ref="C210" r:id="rId279" display="https://thumbcdn.com/splash/92hmx0va27we0mw1.jpg" xr:uid="{00000000-0004-0000-0400-000016010000}"/>
    <hyperlink ref="C211" r:id="rId280" display="https://thumbcdn.com/splash/pnrkjpimsa75rapt.jpg" xr:uid="{00000000-0004-0000-0400-000017010000}"/>
    <hyperlink ref="A212" r:id="rId281" xr:uid="{00000000-0004-0000-0400-000018010000}"/>
    <hyperlink ref="C212" r:id="rId282" display="https://thumbcdn.com/splash/y08ccj4yisss716m.jpg" xr:uid="{00000000-0004-0000-0400-000019010000}"/>
    <hyperlink ref="C213" r:id="rId283" display="https://thumbcdn.com/splash/yvf4t1s49afkw1xl.jpg" xr:uid="{00000000-0004-0000-0400-00001A010000}"/>
    <hyperlink ref="C214" r:id="rId284" display="https://thumbcdn.com/splash/jzdpprvxvhgd94ax.jpg" xr:uid="{00000000-0004-0000-0400-00001B010000}"/>
    <hyperlink ref="A215" r:id="rId285" xr:uid="{00000000-0004-0000-0400-00001C010000}"/>
    <hyperlink ref="C215" r:id="rId286" display="https://thumbcdn.com/splash/4gohks36uscfuypq.jpg" xr:uid="{00000000-0004-0000-0400-00001D010000}"/>
    <hyperlink ref="C216" r:id="rId287" display="https://thumbcdn.com/splash/w8y1r93g2ipvpvdk.jpg" xr:uid="{00000000-0004-0000-0400-00001E010000}"/>
    <hyperlink ref="C217" r:id="rId288" display="https://thumbcdn.com/splash/vqqt3nybzsmxwrwq.jpg" xr:uid="{00000000-0004-0000-0400-00001F010000}"/>
    <hyperlink ref="A218" r:id="rId289" xr:uid="{00000000-0004-0000-0400-000020010000}"/>
    <hyperlink ref="C218" r:id="rId290" display="https://thumbcdn.com/splash/6dqlpjci7uqwuor9.jpg" xr:uid="{00000000-0004-0000-0400-000021010000}"/>
    <hyperlink ref="C219" r:id="rId291" display="https://thumbcdn.com/splash/kuojiofrn87il0h5.jpg" xr:uid="{00000000-0004-0000-0400-000022010000}"/>
    <hyperlink ref="C220" r:id="rId292" display="https://thumbcdn.com/splash/c52uuv771ipm7t4a.jpg" xr:uid="{00000000-0004-0000-0400-000023010000}"/>
    <hyperlink ref="A221" r:id="rId293" xr:uid="{00000000-0004-0000-0400-000024010000}"/>
    <hyperlink ref="C221" r:id="rId294" display="https://thumbcdn.com/splash/i6m74wrke7z1ldcn.jpg" xr:uid="{00000000-0004-0000-0400-000025010000}"/>
    <hyperlink ref="C222" r:id="rId295" display="https://thumbcdn.com/splash/eemxyeel28fyw3ax.jpg" xr:uid="{00000000-0004-0000-0400-000026010000}"/>
    <hyperlink ref="C223" r:id="rId296" display="https://thumbcdn.com/splash/jkh6qodu0vb2wvlu.jpg" xr:uid="{00000000-0004-0000-0400-000027010000}"/>
    <hyperlink ref="A224" r:id="rId297" xr:uid="{00000000-0004-0000-0400-000028010000}"/>
    <hyperlink ref="C224" r:id="rId298" display="https://thumbcdn.com/splash/qfygaoocpp9qb2rs.jpg" xr:uid="{00000000-0004-0000-0400-000029010000}"/>
    <hyperlink ref="C225" r:id="rId299" display="https://thumbcdn.com/splash/1cwsi17hca5kuiny.jpg" xr:uid="{00000000-0004-0000-0400-00002A010000}"/>
    <hyperlink ref="C226" r:id="rId300" display="https://thumbcdn.com/splash/9srjkue77a83ky3t.jpg" xr:uid="{00000000-0004-0000-0400-00002B010000}"/>
    <hyperlink ref="A227" r:id="rId301" xr:uid="{00000000-0004-0000-0400-00002C010000}"/>
    <hyperlink ref="C227" r:id="rId302" display="https://thumbcdn.com/splash/4dzrghvill6fah24.jpg" xr:uid="{00000000-0004-0000-0400-00002D010000}"/>
    <hyperlink ref="C228" r:id="rId303" display="https://thumbcdn.com/splash/gwq1t5jz1pb9k51s.jpg" xr:uid="{00000000-0004-0000-0400-00002E010000}"/>
    <hyperlink ref="C229" r:id="rId304" display="https://thumbcdn.com/splash/3o2fchh07rvke87g.jpg" xr:uid="{00000000-0004-0000-0400-00002F010000}"/>
    <hyperlink ref="A230" r:id="rId305" xr:uid="{00000000-0004-0000-0400-000030010000}"/>
    <hyperlink ref="C230" r:id="rId306" display="https://thumbcdn.com/splash/1nsaqvu5t2t2w53b.jpg" xr:uid="{00000000-0004-0000-0400-000031010000}"/>
    <hyperlink ref="C231" r:id="rId307" display="https://thumbcdn.com/splash/5alrj6wpbmcosrgq.jpg" xr:uid="{00000000-0004-0000-0400-000032010000}"/>
    <hyperlink ref="C232" r:id="rId308" display="https://thumbcdn.com/splash/q9up5m0fy4hnlx03.jpg" xr:uid="{00000000-0004-0000-0400-000033010000}"/>
    <hyperlink ref="A233" r:id="rId309" xr:uid="{00000000-0004-0000-0400-000034010000}"/>
    <hyperlink ref="C233" r:id="rId310" display="https://thumbcdn.com/splash/lswjw3ldssn7pwoe.jpg" xr:uid="{00000000-0004-0000-0400-000035010000}"/>
    <hyperlink ref="C234" r:id="rId311" display="https://thumbcdn.com/splash/ks1qju9zwlzo5hzn.jpg" xr:uid="{00000000-0004-0000-0400-000036010000}"/>
    <hyperlink ref="C235" r:id="rId312" display="https://thumbcdn.com/splash/7tq4y6a505esqqu8.jpg" xr:uid="{00000000-0004-0000-0400-000037010000}"/>
    <hyperlink ref="A236" r:id="rId313" xr:uid="{00000000-0004-0000-0400-000038010000}"/>
    <hyperlink ref="C236" r:id="rId314" display="https://thumbcdn.com/splash/xjeec9y2mha4te94.jpg" xr:uid="{00000000-0004-0000-0400-000039010000}"/>
    <hyperlink ref="C237" r:id="rId315" display="https://thumbcdn.com/splash/31tmdvumfk74v9lu.jpg" xr:uid="{00000000-0004-0000-0400-00003A010000}"/>
    <hyperlink ref="C238" r:id="rId316" display="https://thumbcdn.com/splash/7o9vbd8j47vjj91y.jpg" xr:uid="{00000000-0004-0000-0400-00003B010000}"/>
    <hyperlink ref="A239" r:id="rId317" xr:uid="{00000000-0004-0000-0400-00003C010000}"/>
    <hyperlink ref="C239" r:id="rId318" display="https://thumbcdn.com/splash/re4q6du2zwftizvo.jpg" xr:uid="{00000000-0004-0000-0400-00003D010000}"/>
    <hyperlink ref="C240" r:id="rId319" display="https://thumbcdn.com/splash/ymi3w5cq535lm0rf.jpg" xr:uid="{00000000-0004-0000-0400-00003E010000}"/>
    <hyperlink ref="C241" r:id="rId320" display="https://thumbcdn.com/splash/m5apnwbdqeqacyev.jpg" xr:uid="{00000000-0004-0000-0400-00003F010000}"/>
    <hyperlink ref="A242" r:id="rId321" xr:uid="{00000000-0004-0000-0400-000040010000}"/>
    <hyperlink ref="C242" r:id="rId322" display="https://thumbcdn.com/splash/ef2d2di9fbo2y8e8.jpg" xr:uid="{00000000-0004-0000-0400-000041010000}"/>
    <hyperlink ref="C243" r:id="rId323" display="https://thumbcdn.com/splash/edo4oeydqmnrppc7.jpg" xr:uid="{00000000-0004-0000-0400-000042010000}"/>
    <hyperlink ref="C244" r:id="rId324" display="https://thumbcdn.com/splash/7wub0lr46a92qpzk.jpg" xr:uid="{00000000-0004-0000-0400-000043010000}"/>
    <hyperlink ref="A245" r:id="rId325" xr:uid="{00000000-0004-0000-0400-000044010000}"/>
    <hyperlink ref="C245" r:id="rId326" display="https://thumbcdn.com/splash/lftmgmhdsi115etb.jpg" xr:uid="{00000000-0004-0000-0400-000045010000}"/>
    <hyperlink ref="C246" r:id="rId327" display="https://thumbcdn.com/splash/jec7d26cs9nm8whg.jpg" xr:uid="{00000000-0004-0000-0400-000046010000}"/>
    <hyperlink ref="C247" r:id="rId328" display="https://thumbcdn.com/splash/22cc2en8ujyu6uq7.jpg" xr:uid="{00000000-0004-0000-0400-000047010000}"/>
    <hyperlink ref="A248" r:id="rId329" xr:uid="{00000000-0004-0000-0400-000048010000}"/>
    <hyperlink ref="C248" r:id="rId330" display="https://thumbcdn.com/splash/ch6z4eetpc3nj2pc.jpg" xr:uid="{00000000-0004-0000-0400-000049010000}"/>
    <hyperlink ref="C249" r:id="rId331" display="https://thumbcdn.com/splash/jqzor7t3jna5bwcv.jpg" xr:uid="{00000000-0004-0000-0400-00004A010000}"/>
    <hyperlink ref="C250" r:id="rId332" display="https://thumbcdn.com/splash/lxm7co7mkd5mw10p.jpg" xr:uid="{00000000-0004-0000-0400-00004B010000}"/>
    <hyperlink ref="A251" r:id="rId333" xr:uid="{00000000-0004-0000-0400-00004C010000}"/>
    <hyperlink ref="C251" r:id="rId334" display="https://thumbcdn.com/splash/9ey43gddxydhjrfo.jpg" xr:uid="{00000000-0004-0000-0400-00004D010000}"/>
    <hyperlink ref="C252" r:id="rId335" display="https://thumbcdn.com/splash/cij9rsjwnj75gjxy.jpg" xr:uid="{00000000-0004-0000-0400-00004E010000}"/>
    <hyperlink ref="C253" r:id="rId336" display="https://thumbcdn.com/splash/x9yyskptozsh3ycf.jpg" xr:uid="{00000000-0004-0000-0400-00004F010000}"/>
    <hyperlink ref="A254" r:id="rId337" xr:uid="{00000000-0004-0000-0400-000050010000}"/>
    <hyperlink ref="C254" r:id="rId338" display="https://thumbcdn.com/splash/zasuo82j5rapbd37.jpg" xr:uid="{00000000-0004-0000-0400-000051010000}"/>
    <hyperlink ref="C255" r:id="rId339" display="https://thumbcdn.com/splash/38l7pwzfxakqqa16.jpg" xr:uid="{00000000-0004-0000-0400-000052010000}"/>
    <hyperlink ref="C256" r:id="rId340" display="https://thumbcdn.com/splash/2202e6q87pzza8s9.jpg" xr:uid="{00000000-0004-0000-0400-000053010000}"/>
    <hyperlink ref="A257" r:id="rId341" xr:uid="{00000000-0004-0000-0400-000054010000}"/>
    <hyperlink ref="C257" r:id="rId342" display="https://thumbcdn.com/splash/vqtevpns7g8lmrkt.jpg" xr:uid="{00000000-0004-0000-0400-000055010000}"/>
    <hyperlink ref="C258" r:id="rId343" display="https://thumbcdn.com/splash/69jk1eep1qfczjqy.jpg" xr:uid="{00000000-0004-0000-0400-000056010000}"/>
    <hyperlink ref="C259" r:id="rId344" display="https://thumbcdn.com/splash/l5nyhd2yeefb8n0z.jpg" xr:uid="{00000000-0004-0000-0400-000057010000}"/>
    <hyperlink ref="A260" r:id="rId345" xr:uid="{00000000-0004-0000-0400-000058010000}"/>
    <hyperlink ref="C260" r:id="rId346" display="https://thumbcdn.com/splash/29aef2y63wr26nh1.jpg" xr:uid="{00000000-0004-0000-0400-000059010000}"/>
    <hyperlink ref="C261" r:id="rId347" display="https://thumbcdn.com/splash/6hri671wcccn8k8g.jpg" xr:uid="{00000000-0004-0000-0400-00005A010000}"/>
    <hyperlink ref="C262" r:id="rId348" display="https://thumbcdn.com/splash/5s0rjv6uqw5pw9an.jpg" xr:uid="{00000000-0004-0000-0400-00005B010000}"/>
    <hyperlink ref="A263" r:id="rId349" xr:uid="{00000000-0004-0000-0400-00005C010000}"/>
    <hyperlink ref="C263" r:id="rId350" display="https://thumbcdn.com/splash/ya77bdjidx288fa0.jpg" xr:uid="{00000000-0004-0000-0400-00005D010000}"/>
    <hyperlink ref="C264" r:id="rId351" display="https://thumbcdn.com/splash/rvjb1qp26mi81zee.jpg" xr:uid="{00000000-0004-0000-0400-00005E010000}"/>
    <hyperlink ref="C265" r:id="rId352" display="https://thumbcdn.com/splash/3y3ram1gcgxy61qo.jpg" xr:uid="{00000000-0004-0000-0400-00005F010000}"/>
    <hyperlink ref="A266" r:id="rId353" xr:uid="{00000000-0004-0000-0400-000060010000}"/>
    <hyperlink ref="C266" r:id="rId354" display="https://thumbcdn.com/splash/7xft28dz6tqznkn8.jpg" xr:uid="{00000000-0004-0000-0400-000061010000}"/>
    <hyperlink ref="C267" r:id="rId355" display="https://thumbcdn.com/splash/7f96ese3398tjzib.jpg" xr:uid="{00000000-0004-0000-0400-000062010000}"/>
    <hyperlink ref="C268" r:id="rId356" display="https://thumbcdn.com/splash/fhxb5jamixr1jzpq.jpg" xr:uid="{00000000-0004-0000-0400-000063010000}"/>
    <hyperlink ref="A269" r:id="rId357" xr:uid="{00000000-0004-0000-0400-000064010000}"/>
    <hyperlink ref="C269" r:id="rId358" display="https://thumbcdn.com/splash/kytv8g5jdfwagjbs.jpg" xr:uid="{00000000-0004-0000-0400-000065010000}"/>
    <hyperlink ref="C270" r:id="rId359" display="https://thumbcdn.com/splash/3wt31nr2b8jx4c13.jpg" xr:uid="{00000000-0004-0000-0400-000066010000}"/>
    <hyperlink ref="C271" r:id="rId360" display="https://thumbcdn.com/splash/onfeibcqgx55pzji.jpg" xr:uid="{00000000-0004-0000-0400-000067010000}"/>
    <hyperlink ref="A272" r:id="rId361" xr:uid="{00000000-0004-0000-0400-000068010000}"/>
    <hyperlink ref="C272" r:id="rId362" display="https://thumbcdn.com/splash/ui1wsa4aroqm6gpk.jpg" xr:uid="{00000000-0004-0000-0400-000069010000}"/>
    <hyperlink ref="C273" r:id="rId363" display="https://thumbcdn.com/splash/8yvhzy81k3rssiwr.jpg" xr:uid="{00000000-0004-0000-0400-00006A010000}"/>
    <hyperlink ref="C274" r:id="rId364" display="https://thumbcdn.com/splash/0fmhwf10sx0nvf9b.jpg" xr:uid="{00000000-0004-0000-0400-00006B010000}"/>
    <hyperlink ref="A275" r:id="rId365" xr:uid="{00000000-0004-0000-0400-00006C010000}"/>
    <hyperlink ref="C275" r:id="rId366" display="https://thumbcdn.com/splash/m1lqt2b075ub2qvh.jpg" xr:uid="{00000000-0004-0000-0400-00006D010000}"/>
    <hyperlink ref="C276" r:id="rId367" display="https://thumbcdn.com/splash/97brcig60g86kc71.jpg" xr:uid="{00000000-0004-0000-0400-00006E010000}"/>
    <hyperlink ref="C277" r:id="rId368" display="https://thumbcdn.com/splash/4n4matrh22axceo9.jpg" xr:uid="{00000000-0004-0000-0400-00006F010000}"/>
    <hyperlink ref="A278" r:id="rId369" xr:uid="{00000000-0004-0000-0400-000070010000}"/>
    <hyperlink ref="C278" r:id="rId370" display="https://thumbcdn.com/splash/yzp561ujztgrrv76.jpg" xr:uid="{00000000-0004-0000-0400-000071010000}"/>
    <hyperlink ref="C279" r:id="rId371" display="https://thumbcdn.com/splash/c82u0xp5izmm75f1.jpg" xr:uid="{00000000-0004-0000-0400-000072010000}"/>
    <hyperlink ref="C280" r:id="rId372" display="https://thumbcdn.com/splash/66wo5m4xu2y2t5wz.jpg" xr:uid="{00000000-0004-0000-0400-000073010000}"/>
    <hyperlink ref="A281" r:id="rId373" xr:uid="{00000000-0004-0000-0400-000074010000}"/>
    <hyperlink ref="C281" r:id="rId374" display="https://thumbcdn.com/splash/64zh4j7s955053kf.jpg" xr:uid="{00000000-0004-0000-0400-000075010000}"/>
    <hyperlink ref="C282" r:id="rId375" display="https://thumbcdn.com/splash/lwpwdagvn32byqen.jpg" xr:uid="{00000000-0004-0000-0400-000076010000}"/>
    <hyperlink ref="C283" r:id="rId376" display="https://thumbcdn.com/splash/fuuu3k5kz6lqaey5.jpg" xr:uid="{00000000-0004-0000-0400-000077010000}"/>
    <hyperlink ref="A284" r:id="rId377" xr:uid="{00000000-0004-0000-0400-000078010000}"/>
    <hyperlink ref="C284" r:id="rId378" display="https://thumbcdn.com/splash/a5ct51prezetcas4.jpg" xr:uid="{00000000-0004-0000-0400-000079010000}"/>
    <hyperlink ref="C285" r:id="rId379" display="https://thumbcdn.com/splash/1gvvwc9ewe143j29.jpg" xr:uid="{00000000-0004-0000-0400-00007A010000}"/>
    <hyperlink ref="C286" r:id="rId380" display="https://thumbcdn.com/splash/qqmpzn5aq5cmkgmp.jpg" xr:uid="{00000000-0004-0000-0400-00007B010000}"/>
    <hyperlink ref="A287" r:id="rId381" xr:uid="{00000000-0004-0000-0400-00007C010000}"/>
    <hyperlink ref="C287" r:id="rId382" display="https://thumbcdn.com/splash/oqutvnqwuiz37uwe.jpg" xr:uid="{00000000-0004-0000-0400-00007D010000}"/>
    <hyperlink ref="C288" r:id="rId383" display="https://thumbcdn.com/splash/p9udrgn069hezqmd.jpg" xr:uid="{00000000-0004-0000-0400-00007E010000}"/>
    <hyperlink ref="C289" r:id="rId384" display="https://thumbcdn.com/splash/mi58p1zgbk9upijz.jpg" xr:uid="{00000000-0004-0000-0400-00007F010000}"/>
    <hyperlink ref="A290" r:id="rId385" xr:uid="{00000000-0004-0000-0400-000080010000}"/>
    <hyperlink ref="C290" r:id="rId386" display="https://thumbcdn.com/splash/0b1gv3ajimjraxys.jpg" xr:uid="{00000000-0004-0000-0400-000081010000}"/>
    <hyperlink ref="C291" r:id="rId387" display="https://thumbcdn.com/splash/k6f0y5g5j3jkraum.jpg" xr:uid="{00000000-0004-0000-0400-000082010000}"/>
    <hyperlink ref="C292" r:id="rId388" display="https://thumbcdn.com/splash/nb25n2dtrql8f8bt.jpg" xr:uid="{00000000-0004-0000-0400-000083010000}"/>
    <hyperlink ref="A293" r:id="rId389" xr:uid="{00000000-0004-0000-0400-000084010000}"/>
    <hyperlink ref="C293" r:id="rId390" display="https://thumbcdn.com/splash/oicm654iauca204p.jpg" xr:uid="{00000000-0004-0000-0400-000085010000}"/>
    <hyperlink ref="C294" r:id="rId391" display="https://thumbcdn.com/splash/o88gup3id9es0i1q.jpg" xr:uid="{00000000-0004-0000-0400-000086010000}"/>
    <hyperlink ref="C295" r:id="rId392" display="https://thumbcdn.com/splash/cdffijzxxesotrt7.jpg" xr:uid="{00000000-0004-0000-0400-000087010000}"/>
    <hyperlink ref="A296" r:id="rId393" xr:uid="{00000000-0004-0000-0400-000088010000}"/>
    <hyperlink ref="C296" r:id="rId394" display="https://thumbcdn.com/splash/stz5prk8n00txn2x.jpg" xr:uid="{00000000-0004-0000-0400-000089010000}"/>
    <hyperlink ref="C297" r:id="rId395" display="https://thumbcdn.com/splash/kr7gb9ntjbtq00ds.jpg" xr:uid="{00000000-0004-0000-0400-00008A010000}"/>
    <hyperlink ref="C298" r:id="rId396" display="https://thumbcdn.com/splash/xzf4oiuhsjh0sx0c.jpg" xr:uid="{00000000-0004-0000-0400-00008B010000}"/>
    <hyperlink ref="A299" r:id="rId397" xr:uid="{00000000-0004-0000-0400-00008C010000}"/>
    <hyperlink ref="C299" r:id="rId398" display="https://thumbcdn.com/splash/e1w74r3nznqdhmzh.jpg" xr:uid="{00000000-0004-0000-0400-00008D010000}"/>
    <hyperlink ref="C300" r:id="rId399" display="https://thumbcdn.com/splash/ffrzlbyutq8pa4a5.jpg" xr:uid="{00000000-0004-0000-0400-00008E010000}"/>
    <hyperlink ref="C301" r:id="rId400" display="https://thumbcdn.com/splash/c01n8ywiyslrei6d.jpg" xr:uid="{00000000-0004-0000-0400-00008F010000}"/>
    <hyperlink ref="A302" r:id="rId401" xr:uid="{00000000-0004-0000-0400-000090010000}"/>
    <hyperlink ref="C302" r:id="rId402" display="https://thumbcdn.com/splash/pe59vgc9hrbxspdt.jpg" xr:uid="{00000000-0004-0000-0400-000091010000}"/>
    <hyperlink ref="C303" r:id="rId403" display="https://thumbcdn.com/splash/5x14s56wj6stkp6r.jpg" xr:uid="{00000000-0004-0000-0400-000092010000}"/>
    <hyperlink ref="C304" r:id="rId404" display="https://thumbcdn.com/splash/jn1mzj61v9zpngck.jpg" xr:uid="{00000000-0004-0000-0400-000093010000}"/>
    <hyperlink ref="A305" r:id="rId405" xr:uid="{00000000-0004-0000-0400-000094010000}"/>
    <hyperlink ref="C305" r:id="rId406" display="https://thumbcdn.com/splash/wrwcneddlwd202wd.jpg" xr:uid="{00000000-0004-0000-0400-000095010000}"/>
    <hyperlink ref="C306" r:id="rId407" display="https://thumbcdn.com/splash/3l58k8ceze66dhoo.jpg" xr:uid="{00000000-0004-0000-0400-000096010000}"/>
    <hyperlink ref="C307" r:id="rId408" display="https://thumbcdn.com/splash/p1ih2bddut5nea0a.jpg" xr:uid="{00000000-0004-0000-0400-000097010000}"/>
    <hyperlink ref="A308" r:id="rId409" xr:uid="{00000000-0004-0000-0400-000098010000}"/>
    <hyperlink ref="C308" r:id="rId410" display="https://thumbcdn.com/splash/whtj94rcpno09yoq.jpg" xr:uid="{00000000-0004-0000-0400-000099010000}"/>
    <hyperlink ref="C309" r:id="rId411" display="https://thumbcdn.com/splash/pnfq3adozpm6eyt0.jpg" xr:uid="{00000000-0004-0000-0400-00009A010000}"/>
    <hyperlink ref="C310" r:id="rId412" display="https://thumbcdn.com/splash/d9g4j51ct11k88ri.jpg" xr:uid="{00000000-0004-0000-0400-00009B010000}"/>
    <hyperlink ref="A311" r:id="rId413" xr:uid="{00000000-0004-0000-0400-00009C010000}"/>
    <hyperlink ref="C311" r:id="rId414" display="https://thumbcdn.com/splash/cotu9vlo0g00c0qo.jpg" xr:uid="{00000000-0004-0000-0400-00009D010000}"/>
    <hyperlink ref="C312" r:id="rId415" display="https://thumbcdn.com/splash/9rcli8r1ja58mnq9.jpg" xr:uid="{00000000-0004-0000-0400-00009E010000}"/>
    <hyperlink ref="C313" r:id="rId416" display="https://thumbcdn.com/splash/2v7c9ns9x5xvnymt.jpg" xr:uid="{00000000-0004-0000-0400-00009F010000}"/>
    <hyperlink ref="A314" r:id="rId417" xr:uid="{00000000-0004-0000-0400-0000A0010000}"/>
    <hyperlink ref="C314" r:id="rId418" display="https://thumbcdn.com/splash/5k6dk6bnu85vqzpb.jpg" xr:uid="{00000000-0004-0000-0400-0000A1010000}"/>
    <hyperlink ref="C315" r:id="rId419" display="https://thumbcdn.com/splash/6x1k9a93arplq5wt.jpg" xr:uid="{00000000-0004-0000-0400-0000A2010000}"/>
    <hyperlink ref="C316" r:id="rId420" display="https://thumbcdn.com/splash/wum1y5wnfhhh6nz8.jpg" xr:uid="{00000000-0004-0000-0400-0000A3010000}"/>
    <hyperlink ref="A317" r:id="rId421" xr:uid="{00000000-0004-0000-0400-0000A4010000}"/>
    <hyperlink ref="C317" r:id="rId422" display="https://thumbcdn.com/splash/3q1r5dqpglxbz51f.jpg" xr:uid="{00000000-0004-0000-0400-0000A5010000}"/>
    <hyperlink ref="C318" r:id="rId423" display="https://thumbcdn.com/splash/621pd8zq9gu53za2.jpg" xr:uid="{00000000-0004-0000-0400-0000A6010000}"/>
    <hyperlink ref="C319" r:id="rId424" display="https://thumbcdn.com/splash/airkbtw9jpluxd5i.jpg" xr:uid="{00000000-0004-0000-0400-0000A7010000}"/>
    <hyperlink ref="A320" r:id="rId425" xr:uid="{00000000-0004-0000-0400-0000A8010000}"/>
    <hyperlink ref="C320" r:id="rId426" display="https://thumbcdn.com/splash/g93slaem6vuqyk69.jpg" xr:uid="{00000000-0004-0000-0400-0000A9010000}"/>
    <hyperlink ref="C321" r:id="rId427" display="https://thumbcdn.com/splash/buywer62y1j9lm9m.jpg" xr:uid="{00000000-0004-0000-0400-0000AA010000}"/>
    <hyperlink ref="C322" r:id="rId428" display="https://thumbcdn.com/splash/4baxn8ri1z0q1iuf.jpg" xr:uid="{00000000-0004-0000-0400-0000AB010000}"/>
    <hyperlink ref="A323" r:id="rId429" xr:uid="{00000000-0004-0000-0400-0000AC010000}"/>
    <hyperlink ref="C323" r:id="rId430" display="https://thumbcdn.com/splash/bw1fa59o8r7q2kjt.jpg" xr:uid="{00000000-0004-0000-0400-0000AD010000}"/>
    <hyperlink ref="C324" r:id="rId431" display="https://thumbcdn.com/splash/sjte2iu1uhwlgyoi.jpg" xr:uid="{00000000-0004-0000-0400-0000AE010000}"/>
    <hyperlink ref="C325" r:id="rId432" display="https://thumbcdn.com/splash/ecxlhch7418oz5iu.jpg" xr:uid="{00000000-0004-0000-0400-0000AF010000}"/>
    <hyperlink ref="A326" r:id="rId433" xr:uid="{00000000-0004-0000-0400-0000B0010000}"/>
    <hyperlink ref="C326" r:id="rId434" display="https://thumbcdn.com/splash/ic4x6epg8xrwqohx.jpg" xr:uid="{00000000-0004-0000-0400-0000B1010000}"/>
    <hyperlink ref="C327" r:id="rId435" display="https://thumbcdn.com/splash/2k00ma092zq122bh.jpg" xr:uid="{00000000-0004-0000-0400-0000B2010000}"/>
    <hyperlink ref="C328" r:id="rId436" display="https://thumbcdn.com/splash/2b4t16qxkqwa6ewj.jpg" xr:uid="{00000000-0004-0000-0400-0000B3010000}"/>
    <hyperlink ref="A329" r:id="rId437" xr:uid="{00000000-0004-0000-0400-0000B4010000}"/>
    <hyperlink ref="C329" r:id="rId438" display="https://thumbcdn.com/splash/m79c2e5wxeg7bxdu.jpg" xr:uid="{00000000-0004-0000-0400-0000B5010000}"/>
    <hyperlink ref="C330" r:id="rId439" display="https://thumbcdn.com/splash/rjf5plw3vk2ih992.jpg" xr:uid="{00000000-0004-0000-0400-0000B6010000}"/>
    <hyperlink ref="C331" r:id="rId440" display="https://thumbcdn.com/splash/4quf4esw2b32w9z8.jpg" xr:uid="{00000000-0004-0000-0400-0000B7010000}"/>
    <hyperlink ref="A332" r:id="rId441" xr:uid="{00000000-0004-0000-0400-0000B8010000}"/>
    <hyperlink ref="C332" r:id="rId442" display="https://thumbcdn.com/splash/d69t1ppp3hau2fvf.jpg" xr:uid="{00000000-0004-0000-0400-0000B9010000}"/>
    <hyperlink ref="C333" r:id="rId443" display="https://thumbcdn.com/splash/tstfiqrw52kwp4bs.jpg" xr:uid="{00000000-0004-0000-0400-0000BA010000}"/>
    <hyperlink ref="C334" r:id="rId444" display="https://thumbcdn.com/splash/ie0zflxplln1v4yv.jpg" xr:uid="{00000000-0004-0000-0400-0000BB010000}"/>
    <hyperlink ref="A335" r:id="rId445" xr:uid="{00000000-0004-0000-0400-0000BC010000}"/>
    <hyperlink ref="C335" r:id="rId446" display="https://thumbcdn.com/splash/9eev365xoaecbpll.jpg" xr:uid="{00000000-0004-0000-0400-0000BD010000}"/>
    <hyperlink ref="C336" r:id="rId447" display="https://thumbcdn.com/splash/inohs75piu4zj1e9.jpg" xr:uid="{00000000-0004-0000-0400-0000BE010000}"/>
    <hyperlink ref="C337" r:id="rId448" display="https://thumbcdn.com/splash/ruxh4hhzqtsv1j05.jpg" xr:uid="{00000000-0004-0000-0400-0000BF010000}"/>
    <hyperlink ref="A338" r:id="rId449" xr:uid="{00000000-0004-0000-0400-0000C0010000}"/>
    <hyperlink ref="C338" r:id="rId450" display="https://thumbcdn.com/splash/604fjxy44zwlpxiq.jpg" xr:uid="{00000000-0004-0000-0400-0000C1010000}"/>
    <hyperlink ref="C339" r:id="rId451" display="https://thumbcdn.com/splash/zp02jh1flpsq549f.jpg" xr:uid="{00000000-0004-0000-0400-0000C2010000}"/>
    <hyperlink ref="C340" r:id="rId452" display="https://thumbcdn.com/splash/gupfu4iskqewws11.jpg" xr:uid="{00000000-0004-0000-0400-0000C3010000}"/>
    <hyperlink ref="A341" r:id="rId453" xr:uid="{00000000-0004-0000-0400-0000C4010000}"/>
    <hyperlink ref="C341" r:id="rId454" display="https://thumbcdn.com/splash/h7o834i5h4lkdufv.jpg" xr:uid="{00000000-0004-0000-0400-0000C5010000}"/>
    <hyperlink ref="C342" r:id="rId455" display="https://thumbcdn.com/splash/1n2yd0g35pto2osw.jpg" xr:uid="{00000000-0004-0000-0400-0000C6010000}"/>
    <hyperlink ref="C343" r:id="rId456" display="https://thumbcdn.com/splash/5626ly3h2gky46kz.jpg" xr:uid="{00000000-0004-0000-0400-0000C7010000}"/>
    <hyperlink ref="A344" r:id="rId457" xr:uid="{00000000-0004-0000-0400-0000C8010000}"/>
    <hyperlink ref="C344" r:id="rId458" display="https://thumbcdn.com/splash/jo4fkr8zxxdwo7bq.jpg" xr:uid="{00000000-0004-0000-0400-0000C9010000}"/>
    <hyperlink ref="C345" r:id="rId459" display="https://thumbcdn.com/splash/6ccf5xh8j6kwn8ij.jpg" xr:uid="{00000000-0004-0000-0400-0000CA010000}"/>
    <hyperlink ref="C346" r:id="rId460" display="https://thumbcdn.com/splash/pkg1ko9l3sob4b91.jpg" xr:uid="{00000000-0004-0000-0400-0000CB010000}"/>
    <hyperlink ref="A347" r:id="rId461" xr:uid="{00000000-0004-0000-0400-0000CC010000}"/>
    <hyperlink ref="C347" r:id="rId462" display="https://thumbcdn.com/splash/iorubhqpb5futotc.jpg" xr:uid="{00000000-0004-0000-0400-0000CD010000}"/>
    <hyperlink ref="C348" r:id="rId463" display="https://thumbcdn.com/splash/amrdbd74meco8hdp.jpg" xr:uid="{00000000-0004-0000-0400-0000CE010000}"/>
    <hyperlink ref="C349" r:id="rId464" display="https://thumbcdn.com/splash/ahu3glw6x4qo3k1q.jpg" xr:uid="{00000000-0004-0000-0400-0000CF010000}"/>
    <hyperlink ref="A350" r:id="rId465" xr:uid="{00000000-0004-0000-0400-0000D0010000}"/>
    <hyperlink ref="C350" r:id="rId466" display="https://thumbcdn.com/splash/5fypc5mose24uzeu.jpg" xr:uid="{00000000-0004-0000-0400-0000D1010000}"/>
    <hyperlink ref="C351" r:id="rId467" display="https://thumbcdn.com/splash/6pg90zhyrrm5ukok.jpg" xr:uid="{00000000-0004-0000-0400-0000D2010000}"/>
    <hyperlink ref="C352" r:id="rId468" display="https://thumbcdn.com/splash/wdctfmbzukq9ul5u.jpg" xr:uid="{00000000-0004-0000-0400-0000D3010000}"/>
    <hyperlink ref="A353" r:id="rId469" xr:uid="{00000000-0004-0000-0400-0000D4010000}"/>
    <hyperlink ref="C353" r:id="rId470" display="https://thumbcdn.com/splash/l0i20y1lwtqtoxs3.jpg" xr:uid="{00000000-0004-0000-0400-0000D5010000}"/>
    <hyperlink ref="C354" r:id="rId471" display="https://thumbcdn.com/splash/cjjlmxihkmfltppl.jpg" xr:uid="{00000000-0004-0000-0400-0000D6010000}"/>
    <hyperlink ref="C355" r:id="rId472" display="https://thumbcdn.com/splash/950wye3h0plnyr8x.jpg" xr:uid="{00000000-0004-0000-0400-0000D7010000}"/>
    <hyperlink ref="A356" r:id="rId473" xr:uid="{00000000-0004-0000-0400-0000D8010000}"/>
    <hyperlink ref="C356" r:id="rId474" display="https://thumbcdn.com/splash/kn3hyiqrhwt3hpgm.jpg" xr:uid="{00000000-0004-0000-0400-0000D9010000}"/>
    <hyperlink ref="C357" r:id="rId475" display="https://thumbcdn.com/splash/h0z27npo7056y16k.jpg" xr:uid="{00000000-0004-0000-0400-0000DA010000}"/>
    <hyperlink ref="C358" r:id="rId476" display="https://thumbcdn.com/splash/4qzo13xf9b09osga.jpg" xr:uid="{00000000-0004-0000-0400-0000DB010000}"/>
    <hyperlink ref="A359" r:id="rId477" xr:uid="{00000000-0004-0000-0400-0000DC010000}"/>
    <hyperlink ref="C359" r:id="rId478" display="https://thumbcdn.com/splash/ciu8v9rtktewmpal.jpg" xr:uid="{00000000-0004-0000-0400-0000DD010000}"/>
    <hyperlink ref="C360" r:id="rId479" display="https://thumbcdn.com/splash/3qy7rsi5qqx232pg.jpg" xr:uid="{00000000-0004-0000-0400-0000DE010000}"/>
    <hyperlink ref="C361" r:id="rId480" display="https://thumbcdn.com/splash/8j6mxovmo70m00l1.jpg" xr:uid="{00000000-0004-0000-0400-0000DF010000}"/>
    <hyperlink ref="A362" r:id="rId481" xr:uid="{00000000-0004-0000-0400-0000E0010000}"/>
    <hyperlink ref="C362" r:id="rId482" display="https://thumbcdn.com/splash/z8012xxtt014huuu.jpg" xr:uid="{00000000-0004-0000-0400-0000E1010000}"/>
    <hyperlink ref="C363" r:id="rId483" display="https://thumbcdn.com/splash/we2zx97ek05gv45o.jpg" xr:uid="{00000000-0004-0000-0400-0000E2010000}"/>
    <hyperlink ref="C364" r:id="rId484" display="https://thumbcdn.com/splash/yjlsedr0u9kke3nn.jpg" xr:uid="{00000000-0004-0000-0400-0000E3010000}"/>
    <hyperlink ref="A365" r:id="rId485" xr:uid="{00000000-0004-0000-0400-0000E4010000}"/>
    <hyperlink ref="C365" r:id="rId486" display="https://thumbcdn.com/splash/k3i9iok565r6x0fr.jpg" xr:uid="{00000000-0004-0000-0400-0000E5010000}"/>
    <hyperlink ref="C366" r:id="rId487" display="https://thumbcdn.com/splash/4yfjg7735fcyh9wg.jpg" xr:uid="{00000000-0004-0000-0400-0000E6010000}"/>
    <hyperlink ref="C367" r:id="rId488" display="https://thumbcdn.com/splash/muu8k24uq1ttv32w.jpg" xr:uid="{00000000-0004-0000-0400-0000E7010000}"/>
    <hyperlink ref="A368" r:id="rId489" xr:uid="{00000000-0004-0000-0400-0000E8010000}"/>
    <hyperlink ref="C368" r:id="rId490" display="https://thumbcdn.com/splash/qwqebu7fz5coxng9.jpg" xr:uid="{00000000-0004-0000-0400-0000E9010000}"/>
    <hyperlink ref="C369" r:id="rId491" display="https://thumbcdn.com/splash/18frbm0tc6of856i.jpg" xr:uid="{00000000-0004-0000-0400-0000EA010000}"/>
    <hyperlink ref="C370" r:id="rId492" display="https://thumbcdn.com/splash/ixg3mfcfzeebh81g.jpg" xr:uid="{00000000-0004-0000-0400-0000EB010000}"/>
    <hyperlink ref="A371" r:id="rId493" xr:uid="{00000000-0004-0000-0400-0000EC010000}"/>
    <hyperlink ref="C371" r:id="rId494" display="https://thumbcdn.com/splash/fbgcou5uz8ohak9a.jpg" xr:uid="{00000000-0004-0000-0400-0000ED010000}"/>
    <hyperlink ref="C372" r:id="rId495" display="https://thumbcdn.com/splash/7mtpn2vndzk71cs2.jpg" xr:uid="{00000000-0004-0000-0400-0000EE010000}"/>
    <hyperlink ref="C373" r:id="rId496" display="https://thumbcdn.com/splash/g7cybym1bi44vbg3.jpg" xr:uid="{00000000-0004-0000-0400-0000EF010000}"/>
    <hyperlink ref="A374" r:id="rId497" xr:uid="{00000000-0004-0000-0400-0000F0010000}"/>
    <hyperlink ref="C374" r:id="rId498" display="https://thumbcdn.com/splash/na2vgtpchqthjml6.jpg" xr:uid="{00000000-0004-0000-0400-0000F1010000}"/>
    <hyperlink ref="C375" r:id="rId499" display="https://thumbcdn.com/splash/ubn8gdjbr671q28f.jpg" xr:uid="{00000000-0004-0000-0400-0000F2010000}"/>
    <hyperlink ref="C376" r:id="rId500" display="https://thumbcdn.com/splash/wtt319yoy0okeisg.jpg" xr:uid="{00000000-0004-0000-0400-0000F3010000}"/>
    <hyperlink ref="A377" r:id="rId501" xr:uid="{00000000-0004-0000-0400-0000F4010000}"/>
    <hyperlink ref="C377" r:id="rId502" display="https://thumbcdn.com/splash/rabtjqh3ys1jubj1.jpg" xr:uid="{00000000-0004-0000-0400-0000F5010000}"/>
    <hyperlink ref="C378" r:id="rId503" display="https://thumbcdn.com/splash/ef2borkf6ykogby3.jpg" xr:uid="{00000000-0004-0000-0400-0000F6010000}"/>
    <hyperlink ref="C379" r:id="rId504" display="https://thumbcdn.com/splash/5vagppdk5i0l2e0t.jpg" xr:uid="{00000000-0004-0000-0400-0000F7010000}"/>
    <hyperlink ref="A380" r:id="rId505" xr:uid="{00000000-0004-0000-0400-0000F8010000}"/>
    <hyperlink ref="C380" r:id="rId506" display="https://thumbcdn.com/splash/s162v56b2g9g36x7.jpg" xr:uid="{00000000-0004-0000-0400-0000F9010000}"/>
    <hyperlink ref="C381" r:id="rId507" display="https://thumbcdn.com/splash/uqgkukbrtb7awm3x.jpg" xr:uid="{00000000-0004-0000-0400-0000FA010000}"/>
    <hyperlink ref="C382" r:id="rId508" display="https://thumbcdn.com/splash/58tjsp550sg892i8.jpg" xr:uid="{00000000-0004-0000-0400-0000FB010000}"/>
    <hyperlink ref="A383" r:id="rId509" xr:uid="{00000000-0004-0000-0400-0000FC010000}"/>
    <hyperlink ref="C383" r:id="rId510" display="https://thumbcdn.com/splash/b9dywvzzrnr67i8b.jpg" xr:uid="{00000000-0004-0000-0400-0000FD010000}"/>
    <hyperlink ref="C384" r:id="rId511" display="https://thumbcdn.com/splash/9txnkt34ab00v14c.jpg" xr:uid="{00000000-0004-0000-0400-0000FE010000}"/>
    <hyperlink ref="C385" r:id="rId512" display="https://thumbcdn.com/splash/jqfzlieb5erge6os.jpg" xr:uid="{00000000-0004-0000-0400-0000FF010000}"/>
    <hyperlink ref="A386" r:id="rId513" xr:uid="{00000000-0004-0000-0400-000000020000}"/>
    <hyperlink ref="C386" r:id="rId514" display="https://thumbcdn.com/splash/ytjduv3hngjuqewg.jpg" xr:uid="{00000000-0004-0000-0400-000001020000}"/>
    <hyperlink ref="C387" r:id="rId515" display="https://thumbcdn.com/splash/oivk4dpqz8mmufzp.jpg" xr:uid="{00000000-0004-0000-0400-000002020000}"/>
    <hyperlink ref="C388" r:id="rId516" display="https://thumbcdn.com/splash/kz9wx3xo6w39f4c9.jpg" xr:uid="{00000000-0004-0000-0400-000003020000}"/>
    <hyperlink ref="A389" r:id="rId517" xr:uid="{00000000-0004-0000-0400-000004020000}"/>
    <hyperlink ref="C389" r:id="rId518" display="https://thumbcdn.com/splash/4xo0ah6useo2sy1f.jpg" xr:uid="{00000000-0004-0000-0400-000005020000}"/>
    <hyperlink ref="C390" r:id="rId519" display="https://thumbcdn.com/splash/b4jfshe4fxjqpqbx.jpg" xr:uid="{00000000-0004-0000-0400-000006020000}"/>
    <hyperlink ref="C391" r:id="rId520" display="https://thumbcdn.com/splash/4h4877vs9lfaj0d9.jpg" xr:uid="{00000000-0004-0000-0400-000007020000}"/>
    <hyperlink ref="A392" r:id="rId521" xr:uid="{00000000-0004-0000-0400-000008020000}"/>
    <hyperlink ref="C392" r:id="rId522" display="https://thumbcdn.com/splash/0tssguatf27bmliq.jpg" xr:uid="{00000000-0004-0000-0400-000009020000}"/>
    <hyperlink ref="C393" r:id="rId523" display="https://thumbcdn.com/splash/72h41g4xk6me5lqu.jpg" xr:uid="{00000000-0004-0000-0400-00000A020000}"/>
    <hyperlink ref="C394" r:id="rId524" display="https://thumbcdn.com/splash/pqzisv0cpvt6mvat.jpg" xr:uid="{00000000-0004-0000-0400-00000B020000}"/>
    <hyperlink ref="A395" r:id="rId525" xr:uid="{00000000-0004-0000-0400-00000C020000}"/>
    <hyperlink ref="C395" r:id="rId526" display="https://thumbcdn.com/splash/x8kg284q78a9c5jy.jpg" xr:uid="{00000000-0004-0000-0400-00000D020000}"/>
    <hyperlink ref="C396" r:id="rId527" display="https://thumbcdn.com/splash/7gwmuwp221ev66yb.jpg" xr:uid="{00000000-0004-0000-0400-00000E020000}"/>
    <hyperlink ref="C397" r:id="rId528" display="https://thumbcdn.com/splash/f0gwuc66qh4vcdt1.jpg" xr:uid="{00000000-0004-0000-0400-00000F020000}"/>
    <hyperlink ref="A398" r:id="rId529" xr:uid="{00000000-0004-0000-0400-000010020000}"/>
    <hyperlink ref="C398" r:id="rId530" display="https://thumbcdn.com/splash/bbqhzd0azjagxf6i.jpg" xr:uid="{00000000-0004-0000-0400-000011020000}"/>
    <hyperlink ref="C399" r:id="rId531" display="https://thumbcdn.com/splash/q94obvbveyamcnj3.jpg" xr:uid="{00000000-0004-0000-0400-000012020000}"/>
    <hyperlink ref="C400" r:id="rId532" display="https://thumbcdn.com/splash/5nuvjrif0acni17q.jpg" xr:uid="{00000000-0004-0000-0400-000013020000}"/>
    <hyperlink ref="A401" r:id="rId533" xr:uid="{00000000-0004-0000-0400-000014020000}"/>
    <hyperlink ref="C401" r:id="rId534" display="https://thumbcdn.com/splash/g5o8vbv5gghx7cjv.jpg" xr:uid="{00000000-0004-0000-0400-000015020000}"/>
    <hyperlink ref="C402" r:id="rId535" display="https://thumbcdn.com/splash/1ir6geoxfwdtwlt9.jpg" xr:uid="{00000000-0004-0000-0400-000016020000}"/>
    <hyperlink ref="C403" r:id="rId536" display="https://thumbcdn.com/splash/qmzohui7mnreacu7.jpg" xr:uid="{00000000-0004-0000-0400-000017020000}"/>
    <hyperlink ref="A404" r:id="rId537" xr:uid="{00000000-0004-0000-0400-000018020000}"/>
    <hyperlink ref="C404" r:id="rId538" display="https://thumbcdn.com/splash/3ny66ar9z6p4kx26.jpg" xr:uid="{00000000-0004-0000-0400-000019020000}"/>
    <hyperlink ref="C405" r:id="rId539" display="https://thumbcdn.com/splash/m06rn19ry6ypaoz7.jpg" xr:uid="{00000000-0004-0000-0400-00001A020000}"/>
    <hyperlink ref="C406" r:id="rId540" display="https://thumbcdn.com/splash/2q990cs129j8n5pb.jpg" xr:uid="{00000000-0004-0000-0400-00001B020000}"/>
    <hyperlink ref="A407" r:id="rId541" xr:uid="{00000000-0004-0000-0400-00001C020000}"/>
    <hyperlink ref="C407" r:id="rId542" display="https://thumbcdn.com/splash/20kcdq65w4r84gxg.jpg" xr:uid="{00000000-0004-0000-0400-00001D020000}"/>
    <hyperlink ref="C408" r:id="rId543" display="https://thumbcdn.com/splash/r0vnhjukqh8qrrms.jpg" xr:uid="{00000000-0004-0000-0400-00001E020000}"/>
    <hyperlink ref="C409" r:id="rId544" display="https://thumbcdn.com/splash/eetpmo5bbjgqpjcf.jpg" xr:uid="{00000000-0004-0000-0400-00001F020000}"/>
    <hyperlink ref="A410" r:id="rId545" xr:uid="{00000000-0004-0000-0400-000020020000}"/>
    <hyperlink ref="C410" r:id="rId546" display="https://thumbcdn.com/splash/8r5kfml1gxgs5dyn.jpg" xr:uid="{00000000-0004-0000-0400-000021020000}"/>
    <hyperlink ref="C411" r:id="rId547" display="https://thumbcdn.com/splash/jj7vs30qnrc554cy.jpg" xr:uid="{00000000-0004-0000-0400-000022020000}"/>
    <hyperlink ref="C412" r:id="rId548" display="https://thumbcdn.com/splash/q1r6c7n9a20la2g6.jpg" xr:uid="{00000000-0004-0000-0400-000023020000}"/>
    <hyperlink ref="A413" r:id="rId549" xr:uid="{00000000-0004-0000-0400-000024020000}"/>
    <hyperlink ref="C413" r:id="rId550" display="https://thumbcdn.com/splash/n5yryih23c7zsutm.jpg" xr:uid="{00000000-0004-0000-0400-000025020000}"/>
    <hyperlink ref="C414" r:id="rId551" display="https://thumbcdn.com/splash/31e4dv8ry2tsndea.jpg" xr:uid="{00000000-0004-0000-0400-000026020000}"/>
    <hyperlink ref="C415" r:id="rId552" display="https://thumbcdn.com/splash/l4fz7avabmvle6of.jpg" xr:uid="{00000000-0004-0000-0400-000027020000}"/>
    <hyperlink ref="A416" r:id="rId553" xr:uid="{00000000-0004-0000-0400-000028020000}"/>
    <hyperlink ref="C416" r:id="rId554" display="https://thumbcdn.com/splash/zghgrbosg69u2c9r.jpg" xr:uid="{00000000-0004-0000-0400-000029020000}"/>
    <hyperlink ref="C417" r:id="rId555" display="https://thumbcdn.com/splash/8bdx7305vnt1xpt1.jpg" xr:uid="{00000000-0004-0000-0400-00002A020000}"/>
    <hyperlink ref="C418" r:id="rId556" display="https://thumbcdn.com/splash/wiioqq7zaaw34298.jpg" xr:uid="{00000000-0004-0000-0400-00002B020000}"/>
    <hyperlink ref="A419" r:id="rId557" xr:uid="{00000000-0004-0000-0400-00002C020000}"/>
    <hyperlink ref="C419" r:id="rId558" display="https://thumbcdn.com/splash/nw5rlsj8hikpuzpb.jpg" xr:uid="{00000000-0004-0000-0400-00002D020000}"/>
    <hyperlink ref="C420" r:id="rId559" display="https://thumbcdn.com/splash/yrxzeysbfwwtvvny.jpg" xr:uid="{00000000-0004-0000-0400-00002E020000}"/>
    <hyperlink ref="C421" r:id="rId560" display="https://thumbcdn.com/splash/kq2qk2u0nftr623j.jpg" xr:uid="{00000000-0004-0000-0400-00002F020000}"/>
    <hyperlink ref="A422" r:id="rId561" xr:uid="{00000000-0004-0000-0400-000030020000}"/>
    <hyperlink ref="C422" r:id="rId562" display="https://thumbcdn.com/splash/dyjur4a3krct4ygz.jpg" xr:uid="{00000000-0004-0000-0400-000031020000}"/>
    <hyperlink ref="C423" r:id="rId563" display="https://thumbcdn.com/splash/sh3815tl1h6kwpky.jpg" xr:uid="{00000000-0004-0000-0400-000032020000}"/>
    <hyperlink ref="C424" r:id="rId564" display="https://thumbcdn.com/splash/wure0a6imdb9xmgf.jpg" xr:uid="{00000000-0004-0000-0400-000033020000}"/>
    <hyperlink ref="A425" r:id="rId565" xr:uid="{00000000-0004-0000-0400-000034020000}"/>
    <hyperlink ref="C425" r:id="rId566" display="https://thumbcdn.com/splash/3v9wgfgmzqztpmkq.jpg" xr:uid="{00000000-0004-0000-0400-000035020000}"/>
    <hyperlink ref="C426" r:id="rId567" display="https://thumbcdn.com/splash/88tz487b81lhj5tu.jpg" xr:uid="{00000000-0004-0000-0400-000036020000}"/>
    <hyperlink ref="C427" r:id="rId568" display="https://thumbcdn.com/splash/enrk8vhpo4hy26pz.jpg" xr:uid="{00000000-0004-0000-0400-000037020000}"/>
    <hyperlink ref="A428" r:id="rId569" xr:uid="{00000000-0004-0000-0400-000038020000}"/>
    <hyperlink ref="C428" r:id="rId570" display="https://thumbcdn.com/splash/oizkj4eh7v6dtfwj.jpg" xr:uid="{00000000-0004-0000-0400-000039020000}"/>
    <hyperlink ref="C429" r:id="rId571" display="https://thumbcdn.com/splash/xg6x4fgfubkpervi.jpg" xr:uid="{00000000-0004-0000-0400-00003A020000}"/>
    <hyperlink ref="C430" r:id="rId572" display="https://thumbcdn.com/splash/d1eoar2f9l45vj8n.jpg" xr:uid="{00000000-0004-0000-0400-00003B020000}"/>
    <hyperlink ref="A431" r:id="rId573" xr:uid="{00000000-0004-0000-0400-00003C020000}"/>
    <hyperlink ref="C431" r:id="rId574" display="https://thumbcdn.com/splash/brp63q91an3w6iq1.jpg" xr:uid="{00000000-0004-0000-0400-00003D020000}"/>
    <hyperlink ref="C432" r:id="rId575" display="https://thumbcdn.com/splash/fnrwq1nds51oigeg.jpg" xr:uid="{00000000-0004-0000-0400-00003E020000}"/>
    <hyperlink ref="C433" r:id="rId576" display="https://thumbcdn.com/splash/bitqspbde7qljsn1.jpg" xr:uid="{00000000-0004-0000-0400-00003F020000}"/>
    <hyperlink ref="A434" r:id="rId577" xr:uid="{00000000-0004-0000-0400-000040020000}"/>
    <hyperlink ref="C434" r:id="rId578" display="https://thumbcdn.com/splash/gedxoxh5uuvoeuv2.jpg" xr:uid="{00000000-0004-0000-0400-000041020000}"/>
    <hyperlink ref="C435" r:id="rId579" display="https://thumbcdn.com/splash/3jyi016xb1xcqmzs.jpg" xr:uid="{00000000-0004-0000-0400-000042020000}"/>
    <hyperlink ref="C436" r:id="rId580" display="https://thumbcdn.com/splash/1cpzycvdwszuyfa7.jpg" xr:uid="{00000000-0004-0000-0400-000043020000}"/>
    <hyperlink ref="A437" r:id="rId581" xr:uid="{00000000-0004-0000-0400-000044020000}"/>
    <hyperlink ref="C437" r:id="rId582" display="https://thumbcdn.com/splash/gpf4gn7omczfbmt0.jpg" xr:uid="{00000000-0004-0000-0400-000045020000}"/>
    <hyperlink ref="C438" r:id="rId583" display="https://thumbcdn.com/splash/7u8g630hv9t2h4ra.jpg" xr:uid="{00000000-0004-0000-0400-000046020000}"/>
    <hyperlink ref="C439" r:id="rId584" display="https://thumbcdn.com/splash/6taalshx6nhs7yvr.jpg" xr:uid="{00000000-0004-0000-0400-000047020000}"/>
    <hyperlink ref="A440" r:id="rId585" xr:uid="{00000000-0004-0000-0400-000048020000}"/>
    <hyperlink ref="C440" r:id="rId586" display="https://thumbcdn.com/splash/qvzcaz13fax7wws9.jpg" xr:uid="{00000000-0004-0000-0400-000049020000}"/>
    <hyperlink ref="C441" r:id="rId587" display="https://thumbcdn.com/splash/89rgqbtqlsdn2rix.jpg" xr:uid="{00000000-0004-0000-0400-00004A020000}"/>
    <hyperlink ref="C442" r:id="rId588" display="https://thumbcdn.com/splash/pab4fz0t3q9qaeyl.jpg" xr:uid="{00000000-0004-0000-0400-00004B020000}"/>
    <hyperlink ref="A443" r:id="rId589" xr:uid="{00000000-0004-0000-0400-00004C020000}"/>
    <hyperlink ref="C443" r:id="rId590" display="https://thumbcdn.com/splash/7phi6xmkq65bs10y.jpg" xr:uid="{00000000-0004-0000-0400-00004D020000}"/>
    <hyperlink ref="C444" r:id="rId591" display="https://thumbcdn.com/splash/tvo833qbzttzfufm.jpg" xr:uid="{00000000-0004-0000-0400-00004E020000}"/>
    <hyperlink ref="C445" r:id="rId592" display="https://thumbcdn.com/splash/7xdx7a7sohgvzyll.jpg" xr:uid="{00000000-0004-0000-0400-00004F020000}"/>
    <hyperlink ref="A446" r:id="rId593" xr:uid="{00000000-0004-0000-0400-000050020000}"/>
    <hyperlink ref="C446" r:id="rId594" display="https://thumbcdn.com/splash/acfm49iwyqt7kqcn.jpg" xr:uid="{00000000-0004-0000-0400-000051020000}"/>
    <hyperlink ref="C447" r:id="rId595" display="https://thumbcdn.com/splash/2xymdrudcgixfhfp.jpg" xr:uid="{00000000-0004-0000-0400-000052020000}"/>
    <hyperlink ref="C448" r:id="rId596" display="https://thumbcdn.com/splash/tdykho1me9hgxbs4.jpg" xr:uid="{00000000-0004-0000-0400-000053020000}"/>
    <hyperlink ref="A449" r:id="rId597" xr:uid="{00000000-0004-0000-0400-000054020000}"/>
    <hyperlink ref="C449" r:id="rId598" display="https://thumbcdn.com/splash/vaz0359ifxesdppn.jpg" xr:uid="{00000000-0004-0000-0400-000055020000}"/>
    <hyperlink ref="C450" r:id="rId599" display="https://thumbcdn.com/splash/hjvxnyrlgsf0v868.jpg" xr:uid="{00000000-0004-0000-0400-000056020000}"/>
    <hyperlink ref="C451" r:id="rId600" display="https://thumbcdn.com/splash/9mhp4zibtpf6j6sf.jpg" xr:uid="{00000000-0004-0000-0400-000057020000}"/>
    <hyperlink ref="A452" r:id="rId601" xr:uid="{00000000-0004-0000-0400-000058020000}"/>
    <hyperlink ref="C452" r:id="rId602" display="https://thumbcdn.com/splash/looe1kz67qthyl8n.jpg" xr:uid="{00000000-0004-0000-0400-000059020000}"/>
    <hyperlink ref="C453" r:id="rId603" display="https://thumbcdn.com/splash/aaaxu9pv478cnlcg.jpg" xr:uid="{00000000-0004-0000-0400-00005A020000}"/>
    <hyperlink ref="C454" r:id="rId604" display="https://thumbcdn.com/splash/6ooreqqs0ib5eiq1.jpg" xr:uid="{00000000-0004-0000-0400-00005B020000}"/>
    <hyperlink ref="A455" r:id="rId605" xr:uid="{00000000-0004-0000-0400-00005C020000}"/>
    <hyperlink ref="C455" r:id="rId606" display="https://thumbcdn.com/splash/2gpjbuxisqt86fvl.jpg" xr:uid="{00000000-0004-0000-0400-00005D020000}"/>
    <hyperlink ref="C456" r:id="rId607" display="https://thumbcdn.com/splash/3hojtij5qvhvx6lg.jpg" xr:uid="{00000000-0004-0000-0400-00005E020000}"/>
    <hyperlink ref="C457" r:id="rId608" display="https://thumbcdn.com/splash/hxg9ic2u0fvi4nxc.jpg" xr:uid="{00000000-0004-0000-0400-00005F020000}"/>
    <hyperlink ref="A458" r:id="rId609" xr:uid="{00000000-0004-0000-0400-000060020000}"/>
    <hyperlink ref="C458" r:id="rId610" display="https://thumbcdn.com/splash/bvapl7gj73dot7mj.jpg" xr:uid="{00000000-0004-0000-0400-000061020000}"/>
    <hyperlink ref="C459" r:id="rId611" display="https://thumbcdn.com/splash/cmywn0t55s2ix58c.jpg" xr:uid="{00000000-0004-0000-0400-000062020000}"/>
    <hyperlink ref="C460" r:id="rId612" display="https://thumbcdn.com/splash/ngbfyce2o4hrvrmi.jpg" xr:uid="{00000000-0004-0000-0400-000063020000}"/>
    <hyperlink ref="A461" r:id="rId613" xr:uid="{00000000-0004-0000-0400-000064020000}"/>
    <hyperlink ref="C461" r:id="rId614" display="https://thumbcdn.com/splash/bscts9blvmjiefr4.jpg" xr:uid="{00000000-0004-0000-0400-000065020000}"/>
    <hyperlink ref="C462" r:id="rId615" display="https://thumbcdn.com/splash/evtxrrn4lbewfvbr.jpg" xr:uid="{00000000-0004-0000-0400-000066020000}"/>
    <hyperlink ref="C463" r:id="rId616" display="https://thumbcdn.com/splash/ipfwshp3zbtobfxs.jpg" xr:uid="{00000000-0004-0000-0400-000067020000}"/>
    <hyperlink ref="A464" r:id="rId617" xr:uid="{00000000-0004-0000-0400-000068020000}"/>
    <hyperlink ref="C464" r:id="rId618" display="https://thumbcdn.com/splash/6sv2x8a1ov1j6jcd.jpg" xr:uid="{00000000-0004-0000-0400-000069020000}"/>
    <hyperlink ref="C465" r:id="rId619" display="https://thumbcdn.com/splash/z6rm146r9yl9yhce.jpg" xr:uid="{00000000-0004-0000-0400-00006A020000}"/>
    <hyperlink ref="C466" r:id="rId620" display="https://thumbcdn.com/splash/waxj0hitbbpxkyt1.jpg" xr:uid="{00000000-0004-0000-0400-00006B020000}"/>
    <hyperlink ref="A467" r:id="rId621" xr:uid="{00000000-0004-0000-0400-00006C020000}"/>
    <hyperlink ref="C467" r:id="rId622" display="https://thumbcdn.com/splash/mvgp2gj6c3wpi1a1.jpg" xr:uid="{00000000-0004-0000-0400-00006D020000}"/>
    <hyperlink ref="C468" r:id="rId623" display="https://thumbcdn.com/splash/sxkz110be8lhery4.jpg" xr:uid="{00000000-0004-0000-0400-00006E020000}"/>
    <hyperlink ref="C469" r:id="rId624" display="https://thumbcdn.com/splash/be98bqm2luv3ihcl.jpg" xr:uid="{00000000-0004-0000-0400-00006F020000}"/>
    <hyperlink ref="A470" r:id="rId625" xr:uid="{00000000-0004-0000-0400-000070020000}"/>
    <hyperlink ref="C470" r:id="rId626" display="https://thumbcdn.com/splash/j2h9dnxgl6fugehk.jpg" xr:uid="{00000000-0004-0000-0400-000071020000}"/>
    <hyperlink ref="C471" r:id="rId627" display="https://thumbcdn.com/splash/l5cduvqo2p8opesp.jpg" xr:uid="{00000000-0004-0000-0400-000072020000}"/>
    <hyperlink ref="C472" r:id="rId628" display="https://thumbcdn.com/splash/kbemvxb0c4leu9wm.jpg" xr:uid="{00000000-0004-0000-0400-000073020000}"/>
    <hyperlink ref="A473" r:id="rId629" xr:uid="{00000000-0004-0000-0400-000074020000}"/>
    <hyperlink ref="C473" r:id="rId630" display="https://thumbcdn.com/splash/aqwopyppfm59cjqb.jpg" xr:uid="{00000000-0004-0000-0400-000075020000}"/>
    <hyperlink ref="C474" r:id="rId631" display="https://thumbcdn.com/splash/ket4z0tn1fiy2u1z.jpg" xr:uid="{00000000-0004-0000-0400-000076020000}"/>
    <hyperlink ref="C475" r:id="rId632" display="https://thumbcdn.com/splash/ccxty56e12hjtzie.jpg" xr:uid="{00000000-0004-0000-0400-000077020000}"/>
    <hyperlink ref="A476" r:id="rId633" xr:uid="{00000000-0004-0000-0400-000078020000}"/>
    <hyperlink ref="C476" r:id="rId634" display="https://thumbcdn.com/splash/rld9tl5rvj63kj2x.jpg" xr:uid="{00000000-0004-0000-0400-000079020000}"/>
    <hyperlink ref="C477" r:id="rId635" display="https://thumbcdn.com/splash/ydof2fe1hpmvcqpw.jpg" xr:uid="{00000000-0004-0000-0400-00007A020000}"/>
    <hyperlink ref="C478" r:id="rId636" display="https://thumbcdn.com/splash/qi77hk67znmrsk3h.jpg" xr:uid="{00000000-0004-0000-0400-00007B020000}"/>
    <hyperlink ref="A479" r:id="rId637" xr:uid="{00000000-0004-0000-0400-00007C020000}"/>
    <hyperlink ref="C479" r:id="rId638" display="https://thumbcdn.com/splash/6irzfhcffgnjzzqh.jpg" xr:uid="{00000000-0004-0000-0400-00007D020000}"/>
    <hyperlink ref="C480" r:id="rId639" display="https://thumbcdn.com/splash/l2n1b3yhb9quclj5.jpg" xr:uid="{00000000-0004-0000-0400-00007E020000}"/>
    <hyperlink ref="C481" r:id="rId640" display="https://thumbcdn.com/splash/xbig7ize1igazc1v.jpg" xr:uid="{00000000-0004-0000-0400-00007F020000}"/>
    <hyperlink ref="A482" r:id="rId641" xr:uid="{00000000-0004-0000-0400-000080020000}"/>
    <hyperlink ref="C482" r:id="rId642" display="https://thumbcdn.com/splash/1v152u6uq6j1ltlx.jpg" xr:uid="{00000000-0004-0000-0400-000081020000}"/>
    <hyperlink ref="C483" r:id="rId643" display="https://thumbcdn.com/splash/64kcu03z0o77514x.jpg" xr:uid="{00000000-0004-0000-0400-000082020000}"/>
    <hyperlink ref="C484" r:id="rId644" display="https://thumbcdn.com/splash/kcq9tifskvriy5sa.jpg" xr:uid="{00000000-0004-0000-0400-000083020000}"/>
    <hyperlink ref="A485" r:id="rId645" xr:uid="{00000000-0004-0000-0400-000084020000}"/>
    <hyperlink ref="C485" r:id="rId646" display="https://thumbcdn.com/splash/x6com11pe57sn1iz.jpg" xr:uid="{00000000-0004-0000-0400-000085020000}"/>
    <hyperlink ref="C486" r:id="rId647" display="https://thumbcdn.com/splash/u087kkr97osdhlo8.jpg" xr:uid="{00000000-0004-0000-0400-000086020000}"/>
    <hyperlink ref="C487" r:id="rId648" display="https://thumbcdn.com/splash/bxa03d1wx37b0b4n.jpg" xr:uid="{00000000-0004-0000-0400-000087020000}"/>
    <hyperlink ref="A488" r:id="rId649" xr:uid="{00000000-0004-0000-0400-000088020000}"/>
    <hyperlink ref="C488" r:id="rId650" display="https://thumbcdn.com/splash/pesqdyhuupa64hy4.jpg" xr:uid="{00000000-0004-0000-0400-000089020000}"/>
    <hyperlink ref="C489" r:id="rId651" display="https://thumbcdn.com/splash/vfdlrslw76pj78pv.jpg" xr:uid="{00000000-0004-0000-0400-00008A020000}"/>
    <hyperlink ref="C490" r:id="rId652" display="https://thumbcdn.com/splash/sqf3pcvv69tht6g8.jpg" xr:uid="{00000000-0004-0000-0400-00008B020000}"/>
    <hyperlink ref="A491" r:id="rId653" xr:uid="{00000000-0004-0000-0400-00008C020000}"/>
    <hyperlink ref="C491" r:id="rId654" display="https://thumbcdn.com/splash/masd493yym2yxhb3.jpg" xr:uid="{00000000-0004-0000-0400-00008D020000}"/>
    <hyperlink ref="C492" r:id="rId655" display="https://thumbcdn.com/splash/axe2n1pcwkqbiv7e.jpg" xr:uid="{00000000-0004-0000-0400-00008E020000}"/>
    <hyperlink ref="C493" r:id="rId656" display="https://thumbcdn.com/splash/wr000prtpn1fx9uc.jpg" xr:uid="{00000000-0004-0000-0400-00008F020000}"/>
    <hyperlink ref="A494" r:id="rId657" xr:uid="{00000000-0004-0000-0400-000090020000}"/>
    <hyperlink ref="C494" r:id="rId658" display="https://thumbcdn.com/splash/iodaz0clknrxuhxu.jpg" xr:uid="{00000000-0004-0000-0400-000091020000}"/>
    <hyperlink ref="C495" r:id="rId659" display="https://thumbcdn.com/splash/zl1arepseenhhi3h.jpg" xr:uid="{00000000-0004-0000-0400-000092020000}"/>
    <hyperlink ref="C496" r:id="rId660" display="https://thumbcdn.com/splash/juj8mg25dezdwdly.jpg" xr:uid="{00000000-0004-0000-0400-000093020000}"/>
    <hyperlink ref="A497" r:id="rId661" xr:uid="{00000000-0004-0000-0400-000094020000}"/>
    <hyperlink ref="C497" r:id="rId662" display="https://thumbcdn.com/splash/6n5lbii6c54g4rpt.jpg" xr:uid="{00000000-0004-0000-0400-000095020000}"/>
    <hyperlink ref="C498" r:id="rId663" display="https://thumbcdn.com/splash/zua5joblnfz4w5tr.jpg" xr:uid="{00000000-0004-0000-0400-000096020000}"/>
    <hyperlink ref="C499" r:id="rId664" display="https://thumbcdn.com/splash/4ddse1m0u5rb5nru.jpg" xr:uid="{00000000-0004-0000-0400-000097020000}"/>
    <hyperlink ref="A500" r:id="rId665" xr:uid="{00000000-0004-0000-0400-000098020000}"/>
    <hyperlink ref="C500" r:id="rId666" display="https://thumbcdn.com/splash/y2s2li80v63kmjuw.jpg" xr:uid="{00000000-0004-0000-0400-000099020000}"/>
    <hyperlink ref="C501" r:id="rId667" display="https://thumbcdn.com/splash/g2t1xiqcn0glw6oz.jpg" xr:uid="{00000000-0004-0000-0400-00009A020000}"/>
    <hyperlink ref="C502" r:id="rId668" display="https://thumbcdn.com/splash/emevavoqq97987g8.jpg" xr:uid="{00000000-0004-0000-0400-00009B020000}"/>
    <hyperlink ref="A503" r:id="rId669" xr:uid="{00000000-0004-0000-0400-00009C020000}"/>
    <hyperlink ref="C503" r:id="rId670" display="https://thumbcdn.com/splash/7t4mszywd8ssokbb.jpg" xr:uid="{00000000-0004-0000-0400-00009D020000}"/>
    <hyperlink ref="C504" r:id="rId671" display="https://thumbcdn.com/splash/m8844r1f8zk11a2f.jpg" xr:uid="{00000000-0004-0000-0400-00009E020000}"/>
    <hyperlink ref="C505" r:id="rId672" display="https://thumbcdn.com/splash/fkzpzwpwxbbb3h4n.jpg" xr:uid="{00000000-0004-0000-0400-00009F020000}"/>
    <hyperlink ref="A506" r:id="rId673" xr:uid="{00000000-0004-0000-0400-0000A0020000}"/>
    <hyperlink ref="C506" r:id="rId674" display="https://thumbcdn.com/splash/ha9g6i1h24ui998w.jpg" xr:uid="{00000000-0004-0000-0400-0000A1020000}"/>
    <hyperlink ref="C507" r:id="rId675" display="https://thumbcdn.com/splash/o12r88w9147f79w9.jpg" xr:uid="{00000000-0004-0000-0400-0000A2020000}"/>
    <hyperlink ref="C508" r:id="rId676" display="https://thumbcdn.com/splash/cp19124jmpmb7qip.jpg" xr:uid="{00000000-0004-0000-0400-0000A3020000}"/>
    <hyperlink ref="A509" r:id="rId677" xr:uid="{00000000-0004-0000-0400-0000A4020000}"/>
    <hyperlink ref="C509" r:id="rId678" display="https://thumbcdn.com/splash/zn6aqfye73lu7yo5.jpg" xr:uid="{00000000-0004-0000-0400-0000A5020000}"/>
    <hyperlink ref="C510" r:id="rId679" display="https://thumbcdn.com/splash/amk2hxd2ajq6jzn1.jpg" xr:uid="{00000000-0004-0000-0400-0000A6020000}"/>
    <hyperlink ref="C511" r:id="rId680" display="https://thumbcdn.com/splash/kcp05ouodwcv86la.jpg" xr:uid="{00000000-0004-0000-0400-0000A7020000}"/>
    <hyperlink ref="A512" r:id="rId681" xr:uid="{00000000-0004-0000-0400-0000A8020000}"/>
    <hyperlink ref="C512" r:id="rId682" display="https://thumbcdn.com/splash/8ma5hyvumtd93lmb.jpg" xr:uid="{00000000-0004-0000-0400-0000A9020000}"/>
    <hyperlink ref="C513" r:id="rId683" display="https://thumbcdn.com/splash/5rhfuqfnhomgzbqi.jpg" xr:uid="{00000000-0004-0000-0400-0000AA020000}"/>
    <hyperlink ref="C514" r:id="rId684" display="https://thumbcdn.com/splash/7upv846jzl7s2sfv.jpg" xr:uid="{00000000-0004-0000-0400-0000AB020000}"/>
    <hyperlink ref="A515" r:id="rId685" xr:uid="{00000000-0004-0000-0400-0000AC020000}"/>
    <hyperlink ref="C515" r:id="rId686" display="https://thumbcdn.com/splash/dnevz7r1by67ikdn.jpg" xr:uid="{00000000-0004-0000-0400-0000AD020000}"/>
    <hyperlink ref="C516" r:id="rId687" display="https://thumbcdn.com/splash/cgsg408ttn1id42v.jpg" xr:uid="{00000000-0004-0000-0400-0000AE020000}"/>
    <hyperlink ref="C517" r:id="rId688" display="https://thumbcdn.com/splash/sqa5qhec2xvcjlal.jpg" xr:uid="{00000000-0004-0000-0400-0000AF020000}"/>
    <hyperlink ref="A518" r:id="rId689" xr:uid="{00000000-0004-0000-0400-0000B0020000}"/>
    <hyperlink ref="C518" r:id="rId690" display="https://thumbcdn.com/splash/91gg8yyr05a66iad.jpg" xr:uid="{00000000-0004-0000-0400-0000B1020000}"/>
    <hyperlink ref="C519" r:id="rId691" display="https://thumbcdn.com/splash/yhcerb3si7dog3op.jpg" xr:uid="{00000000-0004-0000-0400-0000B2020000}"/>
    <hyperlink ref="C520" r:id="rId692" display="https://thumbcdn.com/splash/jpqlppf3kq4xkx7g.jpg" xr:uid="{00000000-0004-0000-0400-0000B3020000}"/>
    <hyperlink ref="A521" r:id="rId693" xr:uid="{00000000-0004-0000-0400-0000B4020000}"/>
    <hyperlink ref="C521" r:id="rId694" display="https://thumbcdn.com/splash/hrqzhuq3i88j79jr.jpg" xr:uid="{00000000-0004-0000-0400-0000B5020000}"/>
    <hyperlink ref="C522" r:id="rId695" display="https://thumbcdn.com/splash/v41xdcj0l4utoxsp.jpg" xr:uid="{00000000-0004-0000-0400-0000B6020000}"/>
    <hyperlink ref="C523" r:id="rId696" display="https://thumbcdn.com/splash/kkao4fq4e4e4gxa4.jpg" xr:uid="{00000000-0004-0000-0400-0000B7020000}"/>
    <hyperlink ref="A524" r:id="rId697" xr:uid="{00000000-0004-0000-0400-0000B8020000}"/>
    <hyperlink ref="C524" r:id="rId698" display="https://thumbcdn.com/splash/qprtotneqibvoiow.jpg" xr:uid="{00000000-0004-0000-0400-0000B9020000}"/>
    <hyperlink ref="C525" r:id="rId699" display="https://thumbcdn.com/splash/04iivseyq8wnsvi9.jpg" xr:uid="{00000000-0004-0000-0400-0000BA020000}"/>
    <hyperlink ref="C526" r:id="rId700" display="https://thumbcdn.com/splash/wiotzhjdpa0f49r1.jpg" xr:uid="{00000000-0004-0000-0400-0000BB020000}"/>
    <hyperlink ref="A527" r:id="rId701" xr:uid="{00000000-0004-0000-0400-0000BC020000}"/>
    <hyperlink ref="C527" r:id="rId702" display="https://thumbcdn.com/splash/ktxt5basqiv570b5.jpg" xr:uid="{00000000-0004-0000-0400-0000BD020000}"/>
    <hyperlink ref="C528" r:id="rId703" display="https://thumbcdn.com/splash/8q32v6lvz6k1npjb.jpg" xr:uid="{00000000-0004-0000-0400-0000BE020000}"/>
    <hyperlink ref="C529" r:id="rId704" display="https://thumbcdn.com/splash/al5cyjvfvycoily4.jpg" xr:uid="{00000000-0004-0000-0400-0000BF020000}"/>
    <hyperlink ref="A530" r:id="rId705" xr:uid="{00000000-0004-0000-0400-0000C0020000}"/>
    <hyperlink ref="C530" r:id="rId706" display="https://thumbcdn.com/splash/mi4hz9k9woix0n2g.jpg" xr:uid="{00000000-0004-0000-0400-0000C1020000}"/>
    <hyperlink ref="C531" r:id="rId707" display="https://thumbcdn.com/splash/ky57feiayfjr585y.jpg" xr:uid="{00000000-0004-0000-0400-0000C2020000}"/>
    <hyperlink ref="C532" r:id="rId708" display="https://thumbcdn.com/splash/85hj48wagdsrw9ne.jpg" xr:uid="{00000000-0004-0000-0400-0000C3020000}"/>
    <hyperlink ref="A533" r:id="rId709" xr:uid="{00000000-0004-0000-0400-0000C4020000}"/>
    <hyperlink ref="C533" r:id="rId710" display="https://thumbcdn.com/splash/04r4e1l67ivsresb.jpg" xr:uid="{00000000-0004-0000-0400-0000C5020000}"/>
    <hyperlink ref="C534" r:id="rId711" display="https://thumbcdn.com/splash/vct1aqp6cxb8g54e.jpg" xr:uid="{00000000-0004-0000-0400-0000C6020000}"/>
    <hyperlink ref="C535" r:id="rId712" display="https://thumbcdn.com/splash/zjgz27ur0a1p13ev.jpg" xr:uid="{00000000-0004-0000-0400-0000C7020000}"/>
    <hyperlink ref="A536" r:id="rId713" xr:uid="{00000000-0004-0000-0400-0000C8020000}"/>
    <hyperlink ref="C536" r:id="rId714" display="https://thumbcdn.com/splash/ml4f8rhhdnbsefbf.jpg" xr:uid="{00000000-0004-0000-0400-0000C9020000}"/>
    <hyperlink ref="C537" r:id="rId715" display="https://thumbcdn.com/splash/scq4lrz5pd0athkm.jpg" xr:uid="{00000000-0004-0000-0400-0000CA020000}"/>
    <hyperlink ref="C538" r:id="rId716" display="https://thumbcdn.com/splash/lrfzfjuf9btrlpoz.jpg" xr:uid="{00000000-0004-0000-0400-0000CB020000}"/>
    <hyperlink ref="A539" r:id="rId717" xr:uid="{00000000-0004-0000-0400-0000CC020000}"/>
    <hyperlink ref="C539" r:id="rId718" display="https://thumbcdn.com/splash/u6n3l7bluwkjh4lz.jpg" xr:uid="{00000000-0004-0000-0400-0000CD020000}"/>
    <hyperlink ref="C540" r:id="rId719" display="https://thumbcdn.com/splash/5hj8ybgbao7ugubo.jpg" xr:uid="{00000000-0004-0000-0400-0000CE020000}"/>
    <hyperlink ref="C541" r:id="rId720" display="https://thumbcdn.com/splash/7tt4huzf4065vncw.jpg" xr:uid="{00000000-0004-0000-0400-0000CF020000}"/>
    <hyperlink ref="A542" r:id="rId721" xr:uid="{00000000-0004-0000-0400-0000D0020000}"/>
    <hyperlink ref="C542" r:id="rId722" display="https://thumbcdn.com/splash/7x6ini63oa90z4uq.jpg" xr:uid="{00000000-0004-0000-0400-0000D1020000}"/>
    <hyperlink ref="C543" r:id="rId723" display="https://thumbcdn.com/splash/00y1hwuyw4x02jok.jpg" xr:uid="{00000000-0004-0000-0400-0000D2020000}"/>
    <hyperlink ref="C544" r:id="rId724" display="https://thumbcdn.com/splash/gqb7lnx3ivvi2v7m.jpg" xr:uid="{00000000-0004-0000-0400-0000D3020000}"/>
    <hyperlink ref="A545" r:id="rId725" xr:uid="{00000000-0004-0000-0400-0000D4020000}"/>
    <hyperlink ref="C545" r:id="rId726" display="https://thumbcdn.com/splash/cfdcmu4nh5qcm1rs.jpg" xr:uid="{00000000-0004-0000-0400-0000D5020000}"/>
    <hyperlink ref="C546" r:id="rId727" display="https://thumbcdn.com/splash/5g7tu3qz2fqoln6d.jpg" xr:uid="{00000000-0004-0000-0400-0000D6020000}"/>
    <hyperlink ref="C547" r:id="rId728" display="https://thumbcdn.com/splash/a16s423og5nf15fc.jpg" xr:uid="{00000000-0004-0000-0400-0000D7020000}"/>
    <hyperlink ref="A548" r:id="rId729" xr:uid="{00000000-0004-0000-0400-0000D8020000}"/>
    <hyperlink ref="C548" r:id="rId730" display="https://thumbcdn.com/splash/3i6vcvuzh47b7q7z.jpg" xr:uid="{00000000-0004-0000-0400-0000D9020000}"/>
    <hyperlink ref="C549" r:id="rId731" display="https://thumbcdn.com/splash/39jd48bjzdfob2rq.jpg" xr:uid="{00000000-0004-0000-0400-0000DA020000}"/>
    <hyperlink ref="C550" r:id="rId732" display="https://thumbcdn.com/splash/1wpq88edj2ynrbnb.jpg" xr:uid="{00000000-0004-0000-0400-0000DB020000}"/>
    <hyperlink ref="A551" r:id="rId733" xr:uid="{00000000-0004-0000-0400-0000DC020000}"/>
    <hyperlink ref="C551" r:id="rId734" display="https://thumbcdn.com/splash/ectuslk7tqj3vzyf.jpg" xr:uid="{00000000-0004-0000-0400-0000DD020000}"/>
    <hyperlink ref="C552" r:id="rId735" display="https://thumbcdn.com/splash/h2kz4ncr5e0k6mav.jpg" xr:uid="{00000000-0004-0000-0400-0000DE020000}"/>
    <hyperlink ref="C553" r:id="rId736" display="https://thumbcdn.com/splash/tpefsajkf7bem4kw.jpg" xr:uid="{00000000-0004-0000-0400-0000DF020000}"/>
    <hyperlink ref="A554" r:id="rId737" xr:uid="{00000000-0004-0000-0400-0000E0020000}"/>
    <hyperlink ref="C554" r:id="rId738" display="https://thumbcdn.com/splash/x1xms6il30a2p3oh.jpg" xr:uid="{00000000-0004-0000-0400-0000E1020000}"/>
    <hyperlink ref="C555" r:id="rId739" display="https://thumbcdn.com/splash/7bpr0egesccbuxta.jpg" xr:uid="{00000000-0004-0000-0400-0000E2020000}"/>
    <hyperlink ref="C556" r:id="rId740" display="https://thumbcdn.com/splash/zw0kr7vtihzbkfco.jpg" xr:uid="{00000000-0004-0000-0400-0000E3020000}"/>
    <hyperlink ref="A557" r:id="rId741" xr:uid="{00000000-0004-0000-0400-0000E4020000}"/>
    <hyperlink ref="C557" r:id="rId742" display="https://thumbcdn.com/splash/635vrxfupgzds3ad.jpg" xr:uid="{00000000-0004-0000-0400-0000E5020000}"/>
    <hyperlink ref="C558" r:id="rId743" display="https://thumbcdn.com/splash/8fk737jl4pxpi5qa.jpg" xr:uid="{00000000-0004-0000-0400-0000E6020000}"/>
    <hyperlink ref="C559" r:id="rId744" display="https://thumbcdn.com/splash/fo6293vgcz4l5bnr.jpg" xr:uid="{00000000-0004-0000-0400-0000E7020000}"/>
    <hyperlink ref="A560" r:id="rId745" xr:uid="{00000000-0004-0000-0400-0000E8020000}"/>
    <hyperlink ref="C560" r:id="rId746" display="https://thumbcdn.com/splash/77mfjmve3nbou3p5.jpg" xr:uid="{00000000-0004-0000-0400-0000E9020000}"/>
    <hyperlink ref="C561" r:id="rId747" display="https://thumbcdn.com/splash/53l7h4em2avcjpcq.jpg" xr:uid="{00000000-0004-0000-0400-0000EA020000}"/>
    <hyperlink ref="C562" r:id="rId748" display="https://thumbcdn.com/splash/7s4ltule2cmzojor.jpg" xr:uid="{00000000-0004-0000-0400-0000EB020000}"/>
    <hyperlink ref="A563" r:id="rId749" xr:uid="{00000000-0004-0000-0400-0000EC020000}"/>
    <hyperlink ref="C563" r:id="rId750" display="https://thumbcdn.com/splash/7ido45fh44ztu72s.jpg" xr:uid="{00000000-0004-0000-0400-0000ED020000}"/>
    <hyperlink ref="C564" r:id="rId751" display="https://thumbcdn.com/splash/exenyb99vmlapsgi.jpg" xr:uid="{00000000-0004-0000-0400-0000EE020000}"/>
    <hyperlink ref="C565" r:id="rId752" display="https://thumbcdn.com/splash/p8781flyqg8duat2.jpg" xr:uid="{00000000-0004-0000-0400-0000EF020000}"/>
    <hyperlink ref="A566" r:id="rId753" xr:uid="{00000000-0004-0000-0400-0000F0020000}"/>
    <hyperlink ref="C566" r:id="rId754" display="https://thumbcdn.com/splash/euv59qfdd21vnhpz.jpg" xr:uid="{00000000-0004-0000-0400-0000F1020000}"/>
    <hyperlink ref="C567" r:id="rId755" display="https://thumbcdn.com/splash/jprhxs9x54pvdyjo.jpg" xr:uid="{00000000-0004-0000-0400-0000F2020000}"/>
    <hyperlink ref="C568" r:id="rId756" display="https://thumbcdn.com/splash/k9ro3y0h8szbm2ew.jpg" xr:uid="{00000000-0004-0000-0400-0000F3020000}"/>
    <hyperlink ref="A569" r:id="rId757" xr:uid="{00000000-0004-0000-0400-0000F4020000}"/>
    <hyperlink ref="C569" r:id="rId758" display="https://thumbcdn.com/splash/sq7sy54vhz8w7wkh.jpg" xr:uid="{00000000-0004-0000-0400-0000F5020000}"/>
    <hyperlink ref="C570" r:id="rId759" display="https://thumbcdn.com/splash/p98riojc7yzlgh9n.jpg" xr:uid="{00000000-0004-0000-0400-0000F6020000}"/>
    <hyperlink ref="C571" r:id="rId760" display="https://thumbcdn.com/splash/icr44ccpwqes057x.jpg" xr:uid="{00000000-0004-0000-0400-0000F7020000}"/>
    <hyperlink ref="A572" r:id="rId761" xr:uid="{00000000-0004-0000-0400-0000F8020000}"/>
    <hyperlink ref="C572" r:id="rId762" display="https://thumbcdn.com/splash/iaqm5cxqh3m27hwr.jpg" xr:uid="{00000000-0004-0000-0400-0000F9020000}"/>
    <hyperlink ref="C573" r:id="rId763" display="https://thumbcdn.com/splash/s3ix0c51f4s0taiu.jpg" xr:uid="{00000000-0004-0000-0400-0000FA020000}"/>
    <hyperlink ref="C574" r:id="rId764" display="https://thumbcdn.com/splash/mehil24tm54oo3qp.jpg" xr:uid="{00000000-0004-0000-0400-0000FB020000}"/>
    <hyperlink ref="A575" r:id="rId765" xr:uid="{00000000-0004-0000-0400-0000FC020000}"/>
    <hyperlink ref="C575" r:id="rId766" display="https://thumbcdn.com/splash/ya25fc71pfpy89iy.jpg" xr:uid="{00000000-0004-0000-0400-0000FD020000}"/>
    <hyperlink ref="C576" r:id="rId767" display="https://thumbcdn.com/splash/rxhjtg4w3gkp0x13.jpg" xr:uid="{00000000-0004-0000-0400-0000FE020000}"/>
    <hyperlink ref="C577" r:id="rId768" display="https://thumbcdn.com/splash/8lpxjk4xtvi64sur.jpg" xr:uid="{00000000-0004-0000-0400-0000FF020000}"/>
    <hyperlink ref="A578" r:id="rId769" xr:uid="{00000000-0004-0000-0400-000000030000}"/>
    <hyperlink ref="C578" r:id="rId770" display="https://thumbcdn.com/splash/9o1y3f53q4jo7daw.jpg" xr:uid="{00000000-0004-0000-0400-000001030000}"/>
    <hyperlink ref="C579" r:id="rId771" display="https://thumbcdn.com/splash/7uywntb8shp7me46.jpg" xr:uid="{00000000-0004-0000-0400-000002030000}"/>
    <hyperlink ref="C580" r:id="rId772" display="https://thumbcdn.com/splash/cw5td57adgt2b38l.jpg" xr:uid="{00000000-0004-0000-0400-000003030000}"/>
    <hyperlink ref="A581" r:id="rId773" xr:uid="{00000000-0004-0000-0400-000004030000}"/>
    <hyperlink ref="C581" r:id="rId774" display="https://thumbcdn.com/splash/7n4rjtg6hwi0gb3j.jpg" xr:uid="{00000000-0004-0000-0400-000005030000}"/>
    <hyperlink ref="C582" r:id="rId775" display="https://thumbcdn.com/splash/4k7xyc5984vcodry.jpg" xr:uid="{00000000-0004-0000-0400-000006030000}"/>
    <hyperlink ref="C583" r:id="rId776" display="https://thumbcdn.com/splash/nvku8mm6bx44ne00.jpg" xr:uid="{00000000-0004-0000-0400-000007030000}"/>
    <hyperlink ref="A584" r:id="rId777" xr:uid="{00000000-0004-0000-0400-000008030000}"/>
    <hyperlink ref="C584" r:id="rId778" display="https://thumbcdn.com/splash/zdj5zhsnq5v4h87i.jpg" xr:uid="{00000000-0004-0000-0400-000009030000}"/>
    <hyperlink ref="C585" r:id="rId779" display="https://thumbcdn.com/splash/qwz4b0wtk4uopi65.jpg" xr:uid="{00000000-0004-0000-0400-00000A030000}"/>
    <hyperlink ref="C586" r:id="rId780" display="https://thumbcdn.com/splash/bk4pkzewxiho8agk.jpg" xr:uid="{00000000-0004-0000-0400-00000B030000}"/>
    <hyperlink ref="A587" r:id="rId781" xr:uid="{00000000-0004-0000-0400-00000C030000}"/>
    <hyperlink ref="C587" r:id="rId782" display="https://thumbcdn.com/splash/c6t5lpra2m2e53do.jpg" xr:uid="{00000000-0004-0000-0400-00000D030000}"/>
    <hyperlink ref="C588" r:id="rId783" display="https://thumbcdn.com/splash/ayft1ybh8enpxsd7.jpg" xr:uid="{00000000-0004-0000-0400-00000E030000}"/>
    <hyperlink ref="C589" r:id="rId784" display="https://thumbcdn.com/splash/cu5b9pp5mdbqyjyt.jpg" xr:uid="{00000000-0004-0000-0400-00000F030000}"/>
    <hyperlink ref="A590" r:id="rId785" xr:uid="{00000000-0004-0000-0400-000010030000}"/>
    <hyperlink ref="C590" r:id="rId786" display="https://thumbcdn.com/splash/t21a37utytmrlrn9.jpg" xr:uid="{00000000-0004-0000-0400-000011030000}"/>
    <hyperlink ref="C591" r:id="rId787" display="https://thumbcdn.com/splash/pzo1wf7uelxtzlk0.jpg" xr:uid="{00000000-0004-0000-0400-000012030000}"/>
    <hyperlink ref="C592" r:id="rId788" display="https://thumbcdn.com/splash/h7v30ns892ef55up.jpg" xr:uid="{00000000-0004-0000-0400-000013030000}"/>
    <hyperlink ref="A593" r:id="rId789" xr:uid="{00000000-0004-0000-0400-000014030000}"/>
    <hyperlink ref="C593" r:id="rId790" display="https://thumbcdn.com/splash/6v0txz8rx1roh9l0.jpg" xr:uid="{00000000-0004-0000-0400-000015030000}"/>
    <hyperlink ref="C594" r:id="rId791" display="https://thumbcdn.com/splash/aponqh6rflkunn8y.jpg" xr:uid="{00000000-0004-0000-0400-000016030000}"/>
    <hyperlink ref="C595" r:id="rId792" display="https://thumbcdn.com/splash/34ncbvt77knt0pfq.jpg" xr:uid="{00000000-0004-0000-0400-000017030000}"/>
    <hyperlink ref="A596" r:id="rId793" xr:uid="{00000000-0004-0000-0400-000018030000}"/>
    <hyperlink ref="C596" r:id="rId794" display="https://thumbcdn.com/splash/jg86lkssvytg5c0w.jpg" xr:uid="{00000000-0004-0000-0400-000019030000}"/>
    <hyperlink ref="C597" r:id="rId795" display="https://thumbcdn.com/splash/caxcbpsl0ip0aobz.jpg" xr:uid="{00000000-0004-0000-0400-00001A030000}"/>
    <hyperlink ref="C598" r:id="rId796" display="https://thumbcdn.com/splash/3l9e4qem2wbofriu.jpg" xr:uid="{00000000-0004-0000-0400-00001B030000}"/>
    <hyperlink ref="A599" r:id="rId797" xr:uid="{00000000-0004-0000-0400-00001C030000}"/>
    <hyperlink ref="C599" r:id="rId798" display="https://thumbcdn.com/splash/qi58sa4zrebfc1xf.jpg" xr:uid="{00000000-0004-0000-0400-00001D030000}"/>
    <hyperlink ref="C600" r:id="rId799" display="https://thumbcdn.com/splash/g8xdfj36orjzdvb6.jpg" xr:uid="{00000000-0004-0000-0400-00001E030000}"/>
    <hyperlink ref="C601" r:id="rId800" display="https://thumbcdn.com/splash/emhzt3lsoinjc7l3.jpg" xr:uid="{00000000-0004-0000-0400-00001F030000}"/>
    <hyperlink ref="A602" r:id="rId801" xr:uid="{00000000-0004-0000-0400-000020030000}"/>
    <hyperlink ref="C602" r:id="rId802" display="https://thumbcdn.com/splash/qwt5du09pk68a2ac.jpg" xr:uid="{00000000-0004-0000-0400-000021030000}"/>
    <hyperlink ref="C603" r:id="rId803" display="https://thumbcdn.com/splash/sa08hvqvb0u2agtx.jpg" xr:uid="{00000000-0004-0000-0400-000022030000}"/>
    <hyperlink ref="C604" r:id="rId804" display="https://thumbcdn.com/splash/cxpj5rx29lep2gm1.jpg" xr:uid="{00000000-0004-0000-0400-000023030000}"/>
    <hyperlink ref="A605" r:id="rId805" xr:uid="{00000000-0004-0000-0400-000024030000}"/>
    <hyperlink ref="C605" r:id="rId806" display="https://thumbcdn.com/splash/zk1c73qpujgjw9u5.jpg" xr:uid="{00000000-0004-0000-0400-000025030000}"/>
    <hyperlink ref="C606" r:id="rId807" display="https://thumbcdn.com/splash/vwslp12m20ql2ty8.jpg" xr:uid="{00000000-0004-0000-0400-000026030000}"/>
    <hyperlink ref="C607" r:id="rId808" display="https://thumbcdn.com/splash/x9xgwod0mcaimkag.jpg" xr:uid="{00000000-0004-0000-0400-000027030000}"/>
    <hyperlink ref="A608" r:id="rId809" xr:uid="{00000000-0004-0000-0400-000028030000}"/>
    <hyperlink ref="C608" r:id="rId810" display="https://thumbcdn.com/splash/f6rac1luj82pgijh.jpg" xr:uid="{00000000-0004-0000-0400-000029030000}"/>
    <hyperlink ref="C609" r:id="rId811" display="https://thumbcdn.com/splash/2h7683rt1eaxc6q5.jpg" xr:uid="{00000000-0004-0000-0400-00002A030000}"/>
    <hyperlink ref="C610" r:id="rId812" display="https://thumbcdn.com/splash/4b08dfpwjvrtbdi7.jpg" xr:uid="{00000000-0004-0000-0400-00002B030000}"/>
    <hyperlink ref="A611" r:id="rId813" xr:uid="{00000000-0004-0000-0400-00002C030000}"/>
    <hyperlink ref="C611" r:id="rId814" display="https://thumbcdn.com/splash/wbcqsevayiqapdlx.jpg" xr:uid="{00000000-0004-0000-0400-00002D030000}"/>
    <hyperlink ref="C612" r:id="rId815" display="https://thumbcdn.com/splash/0cdoc4q7q98u7wf3.jpg" xr:uid="{00000000-0004-0000-0400-00002E030000}"/>
    <hyperlink ref="C613" r:id="rId816" display="https://thumbcdn.com/splash/qjzq72uqyu7r31r5.jpg" xr:uid="{00000000-0004-0000-0400-00002F030000}"/>
    <hyperlink ref="A614" r:id="rId817" xr:uid="{00000000-0004-0000-0400-000030030000}"/>
    <hyperlink ref="C614" r:id="rId818" display="https://thumbcdn.com/splash/i1bn8ead36szn50h.jpg" xr:uid="{00000000-0004-0000-0400-000031030000}"/>
    <hyperlink ref="C615" r:id="rId819" display="https://thumbcdn.com/splash/4hqjahkiujx3cbdx.jpg" xr:uid="{00000000-0004-0000-0400-000032030000}"/>
    <hyperlink ref="C616" r:id="rId820" display="https://thumbcdn.com/splash/8vb8y50zukw1nu7g.jpg" xr:uid="{00000000-0004-0000-0400-000033030000}"/>
    <hyperlink ref="A617" r:id="rId821" xr:uid="{00000000-0004-0000-0400-000034030000}"/>
    <hyperlink ref="C617" r:id="rId822" display="https://thumbcdn.com/splash/r21r2q0urglg27pf.jpg" xr:uid="{00000000-0004-0000-0400-000035030000}"/>
    <hyperlink ref="C618" r:id="rId823" display="https://thumbcdn.com/splash/nlkbf5qpordg40uz.jpg" xr:uid="{00000000-0004-0000-0400-000036030000}"/>
    <hyperlink ref="C619" r:id="rId824" display="https://thumbcdn.com/splash/0wk5c4rr7mm3pjj8.jpg" xr:uid="{00000000-0004-0000-0400-000037030000}"/>
    <hyperlink ref="A620" r:id="rId825" xr:uid="{00000000-0004-0000-0400-000038030000}"/>
    <hyperlink ref="C620" r:id="rId826" display="https://thumbcdn.com/splash/vhj4dqsowu0xz78w.jpg" xr:uid="{00000000-0004-0000-0400-000039030000}"/>
    <hyperlink ref="C621" r:id="rId827" display="https://thumbcdn.com/splash/9k970iipb9tq8oci.jpg" xr:uid="{00000000-0004-0000-0400-00003A030000}"/>
    <hyperlink ref="C622" r:id="rId828" display="https://thumbcdn.com/splash/xc2g3aa6aidy7alw.jpg" xr:uid="{00000000-0004-0000-0400-00003B030000}"/>
    <hyperlink ref="A623" r:id="rId829" xr:uid="{00000000-0004-0000-0400-00003C030000}"/>
    <hyperlink ref="C623" r:id="rId830" display="https://thumbcdn.com/splash/8h4421j85vqqz3o8.jpg" xr:uid="{00000000-0004-0000-0400-00003D030000}"/>
    <hyperlink ref="C624" r:id="rId831" display="https://thumbcdn.com/splash/ar1c43nm2as7krrr.jpg" xr:uid="{00000000-0004-0000-0400-00003E030000}"/>
    <hyperlink ref="C625" r:id="rId832" display="https://thumbcdn.com/splash/pdv5glxeuhram1er.jpg" xr:uid="{00000000-0004-0000-0400-00003F030000}"/>
    <hyperlink ref="A626" r:id="rId833" xr:uid="{00000000-0004-0000-0400-000040030000}"/>
    <hyperlink ref="C626" r:id="rId834" display="https://thumbcdn.com/splash/q8gzaz5cg8bcn98y.jpg" xr:uid="{00000000-0004-0000-0400-000041030000}"/>
    <hyperlink ref="C627" r:id="rId835" display="https://thumbcdn.com/splash/gfwgnjjfopt43bwi.jpg" xr:uid="{00000000-0004-0000-0400-000042030000}"/>
    <hyperlink ref="C628" r:id="rId836" display="https://thumbcdn.com/splash/4zhh4f6dgj9gctxz.jpg" xr:uid="{00000000-0004-0000-0400-000043030000}"/>
    <hyperlink ref="A629" r:id="rId837" xr:uid="{00000000-0004-0000-0400-000044030000}"/>
    <hyperlink ref="C629" r:id="rId838" display="https://thumbcdn.com/splash/6u7vbms5qn50nk4d.jpg" xr:uid="{00000000-0004-0000-0400-000045030000}"/>
    <hyperlink ref="C630" r:id="rId839" display="https://thumbcdn.com/splash/7s6zu1gltnqdecvp.jpg" xr:uid="{00000000-0004-0000-0400-000046030000}"/>
    <hyperlink ref="C631" r:id="rId840" display="https://thumbcdn.com/splash/bjyxkehdatn9tgaw.jpg" xr:uid="{00000000-0004-0000-0400-000047030000}"/>
    <hyperlink ref="A632" r:id="rId841" xr:uid="{00000000-0004-0000-0400-000048030000}"/>
    <hyperlink ref="C632" r:id="rId842" display="https://thumbcdn.com/splash/yjpw0nbm7lljq9q8.jpg" xr:uid="{00000000-0004-0000-0400-000049030000}"/>
    <hyperlink ref="C633" r:id="rId843" display="https://thumbcdn.com/splash/uhysm4xcvzfbf76z.jpg" xr:uid="{00000000-0004-0000-0400-00004A030000}"/>
    <hyperlink ref="C634" r:id="rId844" display="https://thumbcdn.com/splash/2rea20f689y59lla.jpg" xr:uid="{00000000-0004-0000-0400-00004B030000}"/>
    <hyperlink ref="A635" r:id="rId845" xr:uid="{00000000-0004-0000-0400-00004C030000}"/>
    <hyperlink ref="C635" r:id="rId846" display="https://thumbcdn.com/splash/bkgsfeip5nriz4o9.jpg" xr:uid="{00000000-0004-0000-0400-00004D030000}"/>
    <hyperlink ref="C636" r:id="rId847" display="https://thumbcdn.com/splash/khxy0gglnodk9r7n.jpg" xr:uid="{00000000-0004-0000-0400-00004E030000}"/>
    <hyperlink ref="C637" r:id="rId848" display="https://thumbcdn.com/splash/31kf0wd6a3har2ad.jpg" xr:uid="{00000000-0004-0000-0400-00004F030000}"/>
    <hyperlink ref="A638" r:id="rId849" xr:uid="{00000000-0004-0000-0400-000050030000}"/>
    <hyperlink ref="C638" r:id="rId850" display="https://thumbcdn.com/splash/nx3ezxpkxx8ek61r.jpg" xr:uid="{00000000-0004-0000-0400-000051030000}"/>
    <hyperlink ref="C639" r:id="rId851" display="https://thumbcdn.com/splash/vc4g6tud3ktwmm5o.jpg" xr:uid="{00000000-0004-0000-0400-000052030000}"/>
    <hyperlink ref="C640" r:id="rId852" display="https://thumbcdn.com/splash/8q6s3tejr7wh0jl7.jpg" xr:uid="{00000000-0004-0000-0400-000053030000}"/>
    <hyperlink ref="A641" r:id="rId853" xr:uid="{00000000-0004-0000-0400-000054030000}"/>
    <hyperlink ref="C641" r:id="rId854" display="https://thumbcdn.com/splash/1vxwji36gz9k7ca7.jpg" xr:uid="{00000000-0004-0000-0400-000055030000}"/>
    <hyperlink ref="C642" r:id="rId855" display="https://thumbcdn.com/splash/ov18zggjmif6eges.jpg" xr:uid="{00000000-0004-0000-0400-000056030000}"/>
    <hyperlink ref="C643" r:id="rId856" display="https://thumbcdn.com/splash/5ucwtw74hmoud8o0.jpg" xr:uid="{00000000-0004-0000-0400-000057030000}"/>
    <hyperlink ref="A644" r:id="rId857" xr:uid="{00000000-0004-0000-0400-000058030000}"/>
    <hyperlink ref="C644" r:id="rId858" display="https://thumbcdn.com/splash/d3y30e4qi1libsxd.jpg" xr:uid="{00000000-0004-0000-0400-000059030000}"/>
    <hyperlink ref="C645" r:id="rId859" display="https://thumbcdn.com/splash/rop8o5inzdyl4of4.jpg" xr:uid="{00000000-0004-0000-0400-00005A030000}"/>
    <hyperlink ref="C646" r:id="rId860" display="https://thumbcdn.com/splash/jt12mgcq8i8dra9l.jpg" xr:uid="{00000000-0004-0000-0400-00005B030000}"/>
    <hyperlink ref="A647" r:id="rId861" xr:uid="{00000000-0004-0000-0400-00005C030000}"/>
    <hyperlink ref="C647" r:id="rId862" display="https://thumbcdn.com/splash/hjxsgo5hprdsqu4n.jpg" xr:uid="{00000000-0004-0000-0400-00005D030000}"/>
    <hyperlink ref="C648" r:id="rId863" display="https://thumbcdn.com/splash/gt9n06v32flj8fps.jpg" xr:uid="{00000000-0004-0000-0400-00005E030000}"/>
    <hyperlink ref="C649" r:id="rId864" display="https://thumbcdn.com/splash/gwh1asv0ptwu02p0.jpg" xr:uid="{00000000-0004-0000-0400-00005F030000}"/>
    <hyperlink ref="A650" r:id="rId865" xr:uid="{00000000-0004-0000-0400-000060030000}"/>
    <hyperlink ref="C650" r:id="rId866" display="https://thumbcdn.com/splash/c078h5vsvqzzpe93.jpg" xr:uid="{00000000-0004-0000-0400-000061030000}"/>
    <hyperlink ref="C651" r:id="rId867" display="https://thumbcdn.com/splash/1e7pbyle2i5mpel0.jpg" xr:uid="{00000000-0004-0000-0400-000062030000}"/>
    <hyperlink ref="C652" r:id="rId868" display="https://thumbcdn.com/splash/1gisdaijyw6bg7i0.jpg" xr:uid="{00000000-0004-0000-0400-000063030000}"/>
    <hyperlink ref="A653" r:id="rId869" xr:uid="{00000000-0004-0000-0400-000064030000}"/>
    <hyperlink ref="C653" r:id="rId870" display="https://thumbcdn.com/splash/2s7bd0d87tv6fwx8.jpg" xr:uid="{00000000-0004-0000-0400-000065030000}"/>
    <hyperlink ref="C654" r:id="rId871" display="https://thumbcdn.com/splash/tudr9e4iutdyla01.jpg" xr:uid="{00000000-0004-0000-0400-000066030000}"/>
    <hyperlink ref="C655" r:id="rId872" display="https://thumbcdn.com/splash/nrkwkbsfg8b30v7c.jpg" xr:uid="{00000000-0004-0000-0400-000067030000}"/>
    <hyperlink ref="A656" r:id="rId873" xr:uid="{00000000-0004-0000-0400-000068030000}"/>
    <hyperlink ref="C656" r:id="rId874" display="https://thumbcdn.com/splash/yjcb74xsr9ls26uy.jpg" xr:uid="{00000000-0004-0000-0400-000069030000}"/>
    <hyperlink ref="C657" r:id="rId875" display="https://thumbcdn.com/splash/tezn82fhzpol4olr.jpg" xr:uid="{00000000-0004-0000-0400-00006A030000}"/>
    <hyperlink ref="C658" r:id="rId876" display="https://thumbcdn.com/splash/0gx9ewn7lw6aw6ga.jpg" xr:uid="{00000000-0004-0000-0400-00006B030000}"/>
    <hyperlink ref="A659" r:id="rId877" xr:uid="{00000000-0004-0000-0400-00006C030000}"/>
    <hyperlink ref="C659" r:id="rId878" display="https://thumbcdn.com/splash/gty6zdpw3ouw5yri.jpg" xr:uid="{00000000-0004-0000-0400-00006D030000}"/>
    <hyperlink ref="C660" r:id="rId879" display="https://thumbcdn.com/splash/6t05o7k9m7a08n1l.jpg" xr:uid="{00000000-0004-0000-0400-00006E030000}"/>
    <hyperlink ref="C661" r:id="rId880" display="https://thumbcdn.com/splash/z7o8ey83kvod4umg.jpg" xr:uid="{00000000-0004-0000-0400-00006F030000}"/>
    <hyperlink ref="A662" r:id="rId881" xr:uid="{00000000-0004-0000-0400-000070030000}"/>
    <hyperlink ref="C662" r:id="rId882" display="https://thumbcdn.com/splash/sr44jf11f4y6blwu.jpg" xr:uid="{00000000-0004-0000-0400-000071030000}"/>
    <hyperlink ref="C663" r:id="rId883" display="https://thumbcdn.com/splash/6r8klgrhybrtp30d.jpg" xr:uid="{00000000-0004-0000-0400-000072030000}"/>
    <hyperlink ref="C664" r:id="rId884" display="https://thumbcdn.com/splash/j97yeb5xowtmom72.jpg" xr:uid="{00000000-0004-0000-0400-000073030000}"/>
    <hyperlink ref="A665" r:id="rId885" xr:uid="{00000000-0004-0000-0400-000074030000}"/>
    <hyperlink ref="C665" r:id="rId886" display="https://thumbcdn.com/splash/52qcfizu6wu9cn8f.jpg" xr:uid="{00000000-0004-0000-0400-000075030000}"/>
    <hyperlink ref="C666" r:id="rId887" display="https://thumbcdn.com/splash/v0763gkbntsw02b8.jpg" xr:uid="{00000000-0004-0000-0400-000076030000}"/>
    <hyperlink ref="C667" r:id="rId888" display="https://thumbcdn.com/splash/ygv1u0i5s6kus24k.jpg" xr:uid="{00000000-0004-0000-0400-000077030000}"/>
    <hyperlink ref="A668" r:id="rId889" xr:uid="{00000000-0004-0000-0400-000078030000}"/>
    <hyperlink ref="C668" r:id="rId890" display="https://thumbcdn.com/splash/halgw4rw1u9x7cdz.jpg" xr:uid="{00000000-0004-0000-0400-000079030000}"/>
    <hyperlink ref="C669" r:id="rId891" display="https://thumbcdn.com/splash/l3cy02dei55rt7cl.jpg" xr:uid="{00000000-0004-0000-0400-00007A030000}"/>
    <hyperlink ref="C670" r:id="rId892" display="https://thumbcdn.com/splash/0hhab86aivu885t4.jpg" xr:uid="{00000000-0004-0000-0400-00007B030000}"/>
    <hyperlink ref="A671" r:id="rId893" xr:uid="{00000000-0004-0000-0400-00007C030000}"/>
    <hyperlink ref="C671" r:id="rId894" display="https://thumbcdn.com/splash/ypa5zycjg9vxzudz.jpg" xr:uid="{00000000-0004-0000-0400-00007D030000}"/>
    <hyperlink ref="C672" r:id="rId895" display="https://thumbcdn.com/splash/o4ruj0lmxt5cpm2f.jpg" xr:uid="{00000000-0004-0000-0400-00007E030000}"/>
    <hyperlink ref="C673" r:id="rId896" display="https://thumbcdn.com/splash/28esjbvhmyczdnxt.jpg" xr:uid="{00000000-0004-0000-0400-00007F030000}"/>
    <hyperlink ref="A674" r:id="rId897" xr:uid="{00000000-0004-0000-0400-000080030000}"/>
    <hyperlink ref="C674" r:id="rId898" display="https://thumbcdn.com/splash/7nr4f6hdhtkhigux.jpg" xr:uid="{00000000-0004-0000-0400-000081030000}"/>
    <hyperlink ref="C675" r:id="rId899" display="https://thumbcdn.com/splash/g7s6ywkt2xoqzp06.jpg" xr:uid="{00000000-0004-0000-0400-000082030000}"/>
    <hyperlink ref="C676" r:id="rId900" display="https://thumbcdn.com/splash/rc8fmu2truzswkk4.jpg" xr:uid="{00000000-0004-0000-0400-000083030000}"/>
    <hyperlink ref="A677" r:id="rId901" xr:uid="{00000000-0004-0000-0400-000084030000}"/>
    <hyperlink ref="C677" r:id="rId902" display="https://thumbcdn.com/splash/knn09brkd43zrf5n.jpg" xr:uid="{00000000-0004-0000-0400-000085030000}"/>
    <hyperlink ref="C678" r:id="rId903" display="https://thumbcdn.com/splash/ryclmzlmq0okqt3y.jpg" xr:uid="{00000000-0004-0000-0400-000086030000}"/>
    <hyperlink ref="C679" r:id="rId904" display="https://thumbcdn.com/splash/3oa7byqds6jsu1we.jpg" xr:uid="{00000000-0004-0000-0400-000087030000}"/>
    <hyperlink ref="A680" r:id="rId905" xr:uid="{00000000-0004-0000-0400-000088030000}"/>
    <hyperlink ref="C680" r:id="rId906" display="https://thumbcdn.com/splash/k8w2x0bpeko7e1bm.jpg" xr:uid="{00000000-0004-0000-0400-000089030000}"/>
    <hyperlink ref="C681" r:id="rId907" display="https://thumbcdn.com/splash/ran88zsqtuhzaunc.jpg" xr:uid="{00000000-0004-0000-0400-00008A030000}"/>
    <hyperlink ref="C682" r:id="rId908" display="https://thumbcdn.com/splash/e9u58c32kd9u62a7.jpg" xr:uid="{00000000-0004-0000-0400-00008B030000}"/>
    <hyperlink ref="A683" r:id="rId909" xr:uid="{00000000-0004-0000-0400-00008C030000}"/>
    <hyperlink ref="C683" r:id="rId910" display="https://thumbcdn.com/splash/a8fdnm9uhnma0478.jpg" xr:uid="{00000000-0004-0000-0400-00008D030000}"/>
    <hyperlink ref="C684" r:id="rId911" display="https://thumbcdn.com/splash/jihfsoa33ict4eza.jpg" xr:uid="{00000000-0004-0000-0400-00008E030000}"/>
    <hyperlink ref="C685" r:id="rId912" display="https://thumbcdn.com/splash/r73xcfda1rf2k1r0.jpg" xr:uid="{00000000-0004-0000-0400-00008F030000}"/>
    <hyperlink ref="A686" r:id="rId913" xr:uid="{00000000-0004-0000-0400-000090030000}"/>
    <hyperlink ref="C686" r:id="rId914" display="https://thumbcdn.com/splash/ii4igicddz0c5bal.jpg" xr:uid="{00000000-0004-0000-0400-000091030000}"/>
    <hyperlink ref="C687" r:id="rId915" display="https://thumbcdn.com/splash/pc8ms34hzfaykt8e.jpg" xr:uid="{00000000-0004-0000-0400-000092030000}"/>
    <hyperlink ref="C688" r:id="rId916" display="https://thumbcdn.com/splash/sqb0ytihf3ex0dj6.jpg" xr:uid="{00000000-0004-0000-0400-000093030000}"/>
    <hyperlink ref="A689" r:id="rId917" xr:uid="{00000000-0004-0000-0400-000094030000}"/>
    <hyperlink ref="C689" r:id="rId918" display="https://thumbcdn.com/splash/jrrkl2kuwb9b886q.jpg" xr:uid="{00000000-0004-0000-0400-000095030000}"/>
    <hyperlink ref="C690" r:id="rId919" display="https://thumbcdn.com/splash/m3okvacbdi23eesh.jpg" xr:uid="{00000000-0004-0000-0400-000096030000}"/>
    <hyperlink ref="C691" r:id="rId920" display="https://thumbcdn.com/splash/p6wh0cf7cky41n7r.jpg" xr:uid="{00000000-0004-0000-0400-000097030000}"/>
    <hyperlink ref="A692" r:id="rId921" xr:uid="{00000000-0004-0000-0400-000098030000}"/>
    <hyperlink ref="C692" r:id="rId922" display="https://thumbcdn.com/splash/8bm4q1745e3ij9lt.jpg" xr:uid="{00000000-0004-0000-0400-000099030000}"/>
    <hyperlink ref="C693" r:id="rId923" display="https://thumbcdn.com/splash/6dgxcb6ybnnkozm6.jpg" xr:uid="{00000000-0004-0000-0400-00009A030000}"/>
    <hyperlink ref="C694" r:id="rId924" display="https://thumbcdn.com/splash/mjyecthwrtwg4lty.jpg" xr:uid="{00000000-0004-0000-0400-00009B030000}"/>
    <hyperlink ref="A695" r:id="rId925" xr:uid="{00000000-0004-0000-0400-00009C030000}"/>
    <hyperlink ref="C695" r:id="rId926" display="https://thumbcdn.com/splash/9vicz8nfilacc8ha.jpg" xr:uid="{00000000-0004-0000-0400-00009D030000}"/>
    <hyperlink ref="C696" r:id="rId927" display="https://thumbcdn.com/splash/i750hzve80rll8k6.jpg" xr:uid="{00000000-0004-0000-0400-00009E030000}"/>
    <hyperlink ref="C697" r:id="rId928" display="https://thumbcdn.com/splash/woqc086g1r1cvhhy.jpg" xr:uid="{00000000-0004-0000-0400-00009F030000}"/>
    <hyperlink ref="A698" r:id="rId929" xr:uid="{00000000-0004-0000-0400-0000A0030000}"/>
    <hyperlink ref="C698" r:id="rId930" display="https://thumbcdn.com/splash/ez5jlaa6sbzg4af8.jpg" xr:uid="{00000000-0004-0000-0400-0000A1030000}"/>
    <hyperlink ref="C699" r:id="rId931" display="https://thumbcdn.com/splash/zel27x8t100cc6w5.jpg" xr:uid="{00000000-0004-0000-0400-0000A2030000}"/>
    <hyperlink ref="C700" r:id="rId932" display="https://thumbcdn.com/splash/hxjnv6cmsd9bsk6t.jpg" xr:uid="{00000000-0004-0000-0400-0000A3030000}"/>
    <hyperlink ref="A701" r:id="rId933" xr:uid="{00000000-0004-0000-0400-0000A4030000}"/>
    <hyperlink ref="C701" r:id="rId934" display="https://thumbcdn.com/splash/u3zwtn14pxgix1dp.jpg" xr:uid="{00000000-0004-0000-0400-0000A5030000}"/>
    <hyperlink ref="C702" r:id="rId935" display="https://thumbcdn.com/splash/j5k3rmahebqj69mz.jpg" xr:uid="{00000000-0004-0000-0400-0000A6030000}"/>
    <hyperlink ref="C703" r:id="rId936" display="https://thumbcdn.com/splash/iwbytrinqpn21s4b.jpg" xr:uid="{00000000-0004-0000-0400-0000A7030000}"/>
    <hyperlink ref="A704" r:id="rId937" xr:uid="{00000000-0004-0000-0400-0000A8030000}"/>
    <hyperlink ref="C704" r:id="rId938" display="https://thumbcdn.com/splash/6hnclb33c4muovsu.jpg" xr:uid="{00000000-0004-0000-0400-0000A9030000}"/>
    <hyperlink ref="C705" r:id="rId939" display="https://thumbcdn.com/splash/s2mkhm2hbgo9zvsg.jpg" xr:uid="{00000000-0004-0000-0400-0000AA030000}"/>
    <hyperlink ref="C706" r:id="rId940" display="https://thumbcdn.com/splash/l6wnu79i8rp38wr4.jpg" xr:uid="{00000000-0004-0000-0400-0000AB030000}"/>
    <hyperlink ref="A707" r:id="rId941" xr:uid="{00000000-0004-0000-0400-0000AC030000}"/>
    <hyperlink ref="C707" r:id="rId942" display="https://thumbcdn.com/splash/h3ryg05cgh2io66u.jpg" xr:uid="{00000000-0004-0000-0400-0000AD030000}"/>
    <hyperlink ref="C708" r:id="rId943" display="https://thumbcdn.com/splash/03qiw5cln4l5jbt6.jpg" xr:uid="{00000000-0004-0000-0400-0000AE030000}"/>
    <hyperlink ref="C709" r:id="rId944" display="https://thumbcdn.com/splash/paoizlmqv3zh1ofm.jpg" xr:uid="{00000000-0004-0000-0400-0000AF030000}"/>
    <hyperlink ref="A710" r:id="rId945" xr:uid="{00000000-0004-0000-0400-0000B0030000}"/>
    <hyperlink ref="C710" r:id="rId946" display="https://thumbcdn.com/splash/2zxpmz4lgr9hgo2d.jpg" xr:uid="{00000000-0004-0000-0400-0000B1030000}"/>
    <hyperlink ref="C711" r:id="rId947" display="https://thumbcdn.com/splash/q1q4o4x85471ihqo.jpg" xr:uid="{00000000-0004-0000-0400-0000B2030000}"/>
    <hyperlink ref="C712" r:id="rId948" display="https://thumbcdn.com/splash/3xuw95b0cv4oncsr.jpg" xr:uid="{00000000-0004-0000-0400-0000B3030000}"/>
    <hyperlink ref="A713" r:id="rId949" xr:uid="{00000000-0004-0000-0400-0000B4030000}"/>
    <hyperlink ref="C713" r:id="rId950" display="https://thumbcdn.com/splash/1c9193xd9rhtsz95.jpg" xr:uid="{00000000-0004-0000-0400-0000B5030000}"/>
    <hyperlink ref="C714" r:id="rId951" display="https://thumbcdn.com/splash/6kayceuq5e14irrf.jpg" xr:uid="{00000000-0004-0000-0400-0000B6030000}"/>
    <hyperlink ref="C715" r:id="rId952" display="https://thumbcdn.com/splash/thd6n65hvnhp982g.jpg" xr:uid="{00000000-0004-0000-0400-0000B7030000}"/>
    <hyperlink ref="A716" r:id="rId953" xr:uid="{00000000-0004-0000-0400-0000B8030000}"/>
    <hyperlink ref="C716" r:id="rId954" display="https://thumbcdn.com/splash/yrq55873jz4r1fxr.jpg" xr:uid="{00000000-0004-0000-0400-0000B9030000}"/>
    <hyperlink ref="C717" r:id="rId955" display="https://thumbcdn.com/splash/2rf166nvouyk2s27.jpg" xr:uid="{00000000-0004-0000-0400-0000BA030000}"/>
    <hyperlink ref="C718" r:id="rId956" display="https://thumbcdn.com/splash/rzhwl2a3vkxcemoe.jpg" xr:uid="{00000000-0004-0000-0400-0000BB030000}"/>
    <hyperlink ref="A719" r:id="rId957" xr:uid="{00000000-0004-0000-0400-0000BC030000}"/>
    <hyperlink ref="C719" r:id="rId958" display="https://thumbcdn.com/splash/0ybeniaxv17tlue3.jpg" xr:uid="{00000000-0004-0000-0400-0000BD030000}"/>
    <hyperlink ref="C720" r:id="rId959" display="https://thumbcdn.com/splash/a8odr2uhv3434yg4.jpg" xr:uid="{00000000-0004-0000-0400-0000BE030000}"/>
    <hyperlink ref="C721" r:id="rId960" display="https://thumbcdn.com/splash/akpovleubinrcs1l.jpg" xr:uid="{00000000-0004-0000-0400-0000BF030000}"/>
    <hyperlink ref="A722" r:id="rId961" xr:uid="{00000000-0004-0000-0400-0000C0030000}"/>
    <hyperlink ref="C722" r:id="rId962" display="https://thumbcdn.com/splash/iojnfde5q9jhu6jk.jpg" xr:uid="{00000000-0004-0000-0400-0000C1030000}"/>
    <hyperlink ref="C723" r:id="rId963" display="https://thumbcdn.com/splash/m4jm9iuql041pbz3.jpg" xr:uid="{00000000-0004-0000-0400-0000C2030000}"/>
    <hyperlink ref="C724" r:id="rId964" display="https://thumbcdn.com/splash/xf7zd9f8f67izzsh.jpg" xr:uid="{00000000-0004-0000-0400-0000C3030000}"/>
    <hyperlink ref="A725" r:id="rId965" xr:uid="{00000000-0004-0000-0400-0000C4030000}"/>
    <hyperlink ref="C725" r:id="rId966" display="https://thumbcdn.com/splash/viea47lkcp7gp7az.jpg" xr:uid="{00000000-0004-0000-0400-0000C5030000}"/>
    <hyperlink ref="C726" r:id="rId967" display="https://thumbcdn.com/splash/q4rhux8s5d7o3ez7.jpg" xr:uid="{00000000-0004-0000-0400-0000C6030000}"/>
    <hyperlink ref="C727" r:id="rId968" display="https://thumbcdn.com/splash/smwq08m4p9n7lz78.jpg" xr:uid="{00000000-0004-0000-0400-0000C7030000}"/>
    <hyperlink ref="A728" r:id="rId969" xr:uid="{00000000-0004-0000-0400-0000C8030000}"/>
    <hyperlink ref="C728" r:id="rId970" display="https://thumbcdn.com/splash/uf819or1ezzp7lgr.jpg" xr:uid="{00000000-0004-0000-0400-0000C9030000}"/>
    <hyperlink ref="C729" r:id="rId971" display="https://thumbcdn.com/splash/jott6n0mjzkxxw13.jpg" xr:uid="{00000000-0004-0000-0400-0000CA030000}"/>
    <hyperlink ref="C730" r:id="rId972" display="https://thumbcdn.com/splash/7a7ee8qofhfzksst.jpg" xr:uid="{00000000-0004-0000-0400-0000CB030000}"/>
    <hyperlink ref="A731" r:id="rId973" xr:uid="{00000000-0004-0000-0400-0000CC030000}"/>
    <hyperlink ref="C731" r:id="rId974" display="https://thumbcdn.com/splash/cjswckk32oqxvi8d.jpg" xr:uid="{00000000-0004-0000-0400-0000CD030000}"/>
    <hyperlink ref="C732" r:id="rId975" display="https://thumbcdn.com/splash/eic5uj132eehb8bq.jpg" xr:uid="{00000000-0004-0000-0400-0000CE030000}"/>
    <hyperlink ref="C733" r:id="rId976" display="https://thumbcdn.com/splash/hgh9sd0w92oymx13.jpg" xr:uid="{00000000-0004-0000-0400-0000CF030000}"/>
    <hyperlink ref="A734" r:id="rId977" xr:uid="{00000000-0004-0000-0400-0000D0030000}"/>
    <hyperlink ref="C734" r:id="rId978" display="https://thumbcdn.com/splash/a3qi1sebygm2jt48.jpg" xr:uid="{00000000-0004-0000-0400-0000D1030000}"/>
    <hyperlink ref="C735" r:id="rId979" display="https://thumbcdn.com/splash/9q9cvo5ddfo63a50.jpg" xr:uid="{00000000-0004-0000-0400-0000D2030000}"/>
    <hyperlink ref="C736" r:id="rId980" display="https://thumbcdn.com/splash/100mujhg9xqv8or8.jpg" xr:uid="{00000000-0004-0000-0400-0000D3030000}"/>
    <hyperlink ref="A737" r:id="rId981" xr:uid="{00000000-0004-0000-0400-0000D4030000}"/>
    <hyperlink ref="C737" r:id="rId982" display="https://thumbcdn.com/splash/5gwkn1qf9l3mbpzq.jpg" xr:uid="{00000000-0004-0000-0400-0000D5030000}"/>
    <hyperlink ref="C738" r:id="rId983" display="https://thumbcdn.com/splash/3eiu06q5ihfgzuwy.jpg" xr:uid="{00000000-0004-0000-0400-0000D6030000}"/>
    <hyperlink ref="C739" r:id="rId984" display="https://thumbcdn.com/splash/29o7i53yzxm6da97.jpg" xr:uid="{00000000-0004-0000-0400-0000D7030000}"/>
    <hyperlink ref="A740" r:id="rId985" xr:uid="{00000000-0004-0000-0400-0000D8030000}"/>
    <hyperlink ref="C740" r:id="rId986" display="https://thumbcdn.com/splash/j6w9vrsom3nl9o04.jpg" xr:uid="{00000000-0004-0000-0400-0000D9030000}"/>
    <hyperlink ref="C741" r:id="rId987" display="https://thumbcdn.com/splash/8a8q6llra9l21rp3.jpg" xr:uid="{00000000-0004-0000-0400-0000DA030000}"/>
    <hyperlink ref="C742" r:id="rId988" display="https://thumbcdn.com/splash/gwloh7m3pu560bpe.jpg" xr:uid="{00000000-0004-0000-0400-0000DB030000}"/>
    <hyperlink ref="A743" r:id="rId989" xr:uid="{00000000-0004-0000-0400-0000DC030000}"/>
    <hyperlink ref="C743" r:id="rId990" display="https://thumbcdn.com/splash/hu7l5ajvt2dfsnz7.jpg" xr:uid="{00000000-0004-0000-0400-0000DD030000}"/>
    <hyperlink ref="C744" r:id="rId991" display="https://thumbcdn.com/splash/n8bzrjy4a7plxgro.jpg" xr:uid="{00000000-0004-0000-0400-0000DE030000}"/>
    <hyperlink ref="C745" r:id="rId992" display="https://thumbcdn.com/splash/ornj44p5jdcpn8iy.jpg" xr:uid="{00000000-0004-0000-0400-0000DF030000}"/>
    <hyperlink ref="A746" r:id="rId993" xr:uid="{00000000-0004-0000-0400-0000E0030000}"/>
    <hyperlink ref="C746" r:id="rId994" display="https://thumbcdn.com/splash/8e20vykiuad9apyu.jpg" xr:uid="{00000000-0004-0000-0400-0000E1030000}"/>
    <hyperlink ref="C747" r:id="rId995" display="https://thumbcdn.com/splash/0z8cehuslka2ofjc.jpg" xr:uid="{00000000-0004-0000-0400-0000E2030000}"/>
    <hyperlink ref="C748" r:id="rId996" display="https://thumbcdn.com/splash/iecbw11yny4dc9n0.jpg" xr:uid="{00000000-0004-0000-0400-0000E3030000}"/>
    <hyperlink ref="A749" r:id="rId997" xr:uid="{00000000-0004-0000-0400-0000E4030000}"/>
    <hyperlink ref="C749" r:id="rId998" display="https://thumbcdn.com/splash/7nln4np4nosdal0b.jpg" xr:uid="{00000000-0004-0000-0400-0000E5030000}"/>
    <hyperlink ref="C750" r:id="rId999" display="https://thumbcdn.com/splash/s81zx1jw2f4zttxt.jpg" xr:uid="{00000000-0004-0000-0400-0000E6030000}"/>
    <hyperlink ref="C751" r:id="rId1000" display="https://thumbcdn.com/splash/5ug1iw000datipvj.jpg" xr:uid="{00000000-0004-0000-0400-0000E7030000}"/>
    <hyperlink ref="A752" r:id="rId1001" xr:uid="{00000000-0004-0000-0400-0000E8030000}"/>
    <hyperlink ref="C752" r:id="rId1002" display="https://thumbcdn.com/splash/ueagxmiv7a8ldjny.jpg" xr:uid="{00000000-0004-0000-0400-0000E9030000}"/>
    <hyperlink ref="C753" r:id="rId1003" display="https://thumbcdn.com/splash/u8q5qmnhngsxs4hx.jpg" xr:uid="{00000000-0004-0000-0400-0000EA030000}"/>
    <hyperlink ref="C754" r:id="rId1004" display="https://thumbcdn.com/splash/hcif0bas65ohbd0u.jpg" xr:uid="{00000000-0004-0000-0400-0000EB030000}"/>
    <hyperlink ref="A755" r:id="rId1005" xr:uid="{00000000-0004-0000-0400-0000EC030000}"/>
    <hyperlink ref="C755" r:id="rId1006" display="https://thumbcdn.com/splash/yde1lhb271nxz93n.jpg" xr:uid="{00000000-0004-0000-0400-0000ED030000}"/>
    <hyperlink ref="C756" r:id="rId1007" display="https://thumbcdn.com/splash/lsnuhf3j0roxyhg3.jpg" xr:uid="{00000000-0004-0000-0400-0000EE030000}"/>
    <hyperlink ref="C757" r:id="rId1008" display="https://thumbcdn.com/splash/pqojtvpwhxjket62.jpg" xr:uid="{00000000-0004-0000-0400-0000EF030000}"/>
    <hyperlink ref="A758" r:id="rId1009" xr:uid="{00000000-0004-0000-0400-0000F0030000}"/>
    <hyperlink ref="C758" r:id="rId1010" display="https://thumbcdn.com/splash/enz87g1yhw60uan9.jpg" xr:uid="{00000000-0004-0000-0400-0000F1030000}"/>
    <hyperlink ref="C759" r:id="rId1011" display="https://thumbcdn.com/splash/9bvwqdxliuo712a8.jpg" xr:uid="{00000000-0004-0000-0400-0000F2030000}"/>
    <hyperlink ref="C760" r:id="rId1012" display="https://thumbcdn.com/splash/yqwzxu2x716uta12.jpg" xr:uid="{00000000-0004-0000-0400-0000F3030000}"/>
    <hyperlink ref="A761" r:id="rId1013" xr:uid="{00000000-0004-0000-0400-0000F4030000}"/>
    <hyperlink ref="C761" r:id="rId1014" display="https://thumbcdn.com/splash/vomlmttit8fmmu6v.jpg" xr:uid="{00000000-0004-0000-0400-0000F5030000}"/>
    <hyperlink ref="C762" r:id="rId1015" display="https://thumbcdn.com/splash/sezte60aagwoqzb7.jpg" xr:uid="{00000000-0004-0000-0400-0000F6030000}"/>
    <hyperlink ref="C763" r:id="rId1016" display="https://thumbcdn.com/splash/wfiohvitzvr56ho9.jpg" xr:uid="{00000000-0004-0000-0400-0000F7030000}"/>
    <hyperlink ref="A764" r:id="rId1017" xr:uid="{00000000-0004-0000-0400-0000F8030000}"/>
    <hyperlink ref="C764" r:id="rId1018" display="https://thumbcdn.com/splash/wp8qw80rer0dcw6o.jpg" xr:uid="{00000000-0004-0000-0400-0000F9030000}"/>
    <hyperlink ref="C765" r:id="rId1019" display="https://thumbcdn.com/splash/zowtgvshu3n5n1io.jpg" xr:uid="{00000000-0004-0000-0400-0000FA030000}"/>
    <hyperlink ref="C766" r:id="rId1020" display="https://thumbcdn.com/splash/zd9g7e9ofuemm7kd.jpg" xr:uid="{00000000-0004-0000-0400-0000FB030000}"/>
    <hyperlink ref="A767" r:id="rId1021" xr:uid="{00000000-0004-0000-0400-0000FC030000}"/>
    <hyperlink ref="C767" r:id="rId1022" display="https://thumbcdn.com/splash/ub5tbiuh9ojuk7xg.jpg" xr:uid="{00000000-0004-0000-0400-0000FD030000}"/>
    <hyperlink ref="C768" r:id="rId1023" display="https://thumbcdn.com/splash/kxpni0z91q4bjv0s.jpg" xr:uid="{00000000-0004-0000-0400-0000FE030000}"/>
    <hyperlink ref="C769" r:id="rId1024" display="https://thumbcdn.com/splash/3s3ndrhtcostunqu.jpg" xr:uid="{00000000-0004-0000-0400-0000FF030000}"/>
    <hyperlink ref="A770" r:id="rId1025" xr:uid="{00000000-0004-0000-0400-000000040000}"/>
    <hyperlink ref="C770" r:id="rId1026" display="https://thumbcdn.com/splash/0w4ua9y22iyxx4ty.jpg" xr:uid="{00000000-0004-0000-0400-000001040000}"/>
    <hyperlink ref="C771" r:id="rId1027" display="https://thumbcdn.com/splash/ynw5vkbapnzzmzsk.jpg" xr:uid="{00000000-0004-0000-0400-000002040000}"/>
    <hyperlink ref="C772" r:id="rId1028" display="https://thumbcdn.com/splash/zvd4eqjwirgejs53.jpg" xr:uid="{00000000-0004-0000-0400-000003040000}"/>
    <hyperlink ref="A773" r:id="rId1029" xr:uid="{00000000-0004-0000-0400-000004040000}"/>
    <hyperlink ref="C773" r:id="rId1030" display="https://thumbcdn.com/splash/1kcgmwkz7jc3olel.jpg" xr:uid="{00000000-0004-0000-0400-000005040000}"/>
    <hyperlink ref="C774" r:id="rId1031" display="https://thumbcdn.com/splash/1m072lb7phu8sfcf.jpg" xr:uid="{00000000-0004-0000-0400-000006040000}"/>
    <hyperlink ref="C775" r:id="rId1032" display="https://thumbcdn.com/splash/a21rh3pnlimtogwp.jpg" xr:uid="{00000000-0004-0000-0400-000007040000}"/>
    <hyperlink ref="A776" r:id="rId1033" xr:uid="{00000000-0004-0000-0400-000008040000}"/>
    <hyperlink ref="C776" r:id="rId1034" display="https://thumbcdn.com/splash/kgsn2alxh70kuyec.jpg" xr:uid="{00000000-0004-0000-0400-000009040000}"/>
    <hyperlink ref="C777" r:id="rId1035" display="https://thumbcdn.com/splash/o02mrmz05m021chj.jpg" xr:uid="{00000000-0004-0000-0400-00000A040000}"/>
    <hyperlink ref="C778" r:id="rId1036" display="https://thumbcdn.com/splash/86odnvxsfbvk8z6x.jpg" xr:uid="{00000000-0004-0000-0400-00000B040000}"/>
    <hyperlink ref="A779" r:id="rId1037" xr:uid="{00000000-0004-0000-0400-00000C040000}"/>
    <hyperlink ref="C779" r:id="rId1038" display="https://thumbcdn.com/splash/mwja2i21znm8bb48.jpg" xr:uid="{00000000-0004-0000-0400-00000D040000}"/>
    <hyperlink ref="C780" r:id="rId1039" display="https://thumbcdn.com/splash/pbj1pg7sm7bizzuh.jpg" xr:uid="{00000000-0004-0000-0400-00000E040000}"/>
    <hyperlink ref="C781" r:id="rId1040" display="https://thumbcdn.com/splash/clpi6ab7o163ib6k.jpg" xr:uid="{00000000-0004-0000-0400-00000F040000}"/>
    <hyperlink ref="A782" r:id="rId1041" xr:uid="{00000000-0004-0000-0400-000010040000}"/>
    <hyperlink ref="C782" r:id="rId1042" display="https://thumbcdn.com/splash/uex3fb5nqqrnw6ah.jpg" xr:uid="{00000000-0004-0000-0400-000011040000}"/>
    <hyperlink ref="C783" r:id="rId1043" display="https://thumbcdn.com/splash/1da1hqff2onwumm0.jpg" xr:uid="{00000000-0004-0000-0400-000012040000}"/>
    <hyperlink ref="C784" r:id="rId1044" display="https://thumbcdn.com/splash/sf0n16nugluhvri9.jpg" xr:uid="{00000000-0004-0000-0400-000013040000}"/>
    <hyperlink ref="A785" r:id="rId1045" xr:uid="{00000000-0004-0000-0400-000014040000}"/>
    <hyperlink ref="C785" r:id="rId1046" display="https://thumbcdn.com/splash/58zczzoyjlk3bpkw.jpg" xr:uid="{00000000-0004-0000-0400-000015040000}"/>
    <hyperlink ref="C786" r:id="rId1047" display="https://thumbcdn.com/splash/y02097a3jdi1bsxb.jpg" xr:uid="{00000000-0004-0000-0400-000016040000}"/>
    <hyperlink ref="C787" r:id="rId1048" display="https://thumbcdn.com/splash/spuyr5g7wsu25afa.jpg" xr:uid="{00000000-0004-0000-0400-000017040000}"/>
    <hyperlink ref="A788" r:id="rId1049" xr:uid="{00000000-0004-0000-0400-000018040000}"/>
    <hyperlink ref="C788" r:id="rId1050" display="https://thumbcdn.com/splash/cl3bzxp8ec2jwj55.jpg" xr:uid="{00000000-0004-0000-0400-000019040000}"/>
    <hyperlink ref="C789" r:id="rId1051" display="https://thumbcdn.com/splash/aqvsl8820cybzz9i.jpg" xr:uid="{00000000-0004-0000-0400-00001A040000}"/>
    <hyperlink ref="C790" r:id="rId1052" display="https://thumbcdn.com/splash/9r1eypojjtbx8ri9.jpg" xr:uid="{00000000-0004-0000-0400-00001B040000}"/>
    <hyperlink ref="A791" r:id="rId1053" xr:uid="{00000000-0004-0000-0400-00001C040000}"/>
    <hyperlink ref="C791" r:id="rId1054" display="https://thumbcdn.com/splash/psnagkg0xdc4fddj.jpg" xr:uid="{00000000-0004-0000-0400-00001D040000}"/>
    <hyperlink ref="C792" r:id="rId1055" display="https://thumbcdn.com/splash/dp6h7o4wto4wrcsv.jpg" xr:uid="{00000000-0004-0000-0400-00001E040000}"/>
    <hyperlink ref="C793" r:id="rId1056" display="https://thumbcdn.com/splash/75927ame0lw57f55.jpg" xr:uid="{00000000-0004-0000-0400-00001F040000}"/>
    <hyperlink ref="A794" r:id="rId1057" xr:uid="{00000000-0004-0000-0400-000020040000}"/>
    <hyperlink ref="C794" r:id="rId1058" display="https://thumbcdn.com/splash/o4sa9bg8tks2nqpd.jpg" xr:uid="{00000000-0004-0000-0400-000021040000}"/>
    <hyperlink ref="C795" r:id="rId1059" display="https://thumbcdn.com/splash/l34u1j41dl2jdcc3.jpg" xr:uid="{00000000-0004-0000-0400-000022040000}"/>
    <hyperlink ref="C796" r:id="rId1060" display="https://thumbcdn.com/splash/mu82p0nzbg8ur53y.jpg" xr:uid="{00000000-0004-0000-0400-000023040000}"/>
    <hyperlink ref="A797" r:id="rId1061" xr:uid="{00000000-0004-0000-0400-000024040000}"/>
    <hyperlink ref="C797" r:id="rId1062" display="https://thumbcdn.com/splash/w2llx505v9a1he73.jpg" xr:uid="{00000000-0004-0000-0400-000025040000}"/>
    <hyperlink ref="C798" r:id="rId1063" display="https://thumbcdn.com/splash/id2a1c4gcts4naeb.jpg" xr:uid="{00000000-0004-0000-0400-000026040000}"/>
    <hyperlink ref="C799" r:id="rId1064" display="https://thumbcdn.com/splash/5xe8ygc2t3dhiwl2.jpg" xr:uid="{00000000-0004-0000-0400-000027040000}"/>
    <hyperlink ref="A800" r:id="rId1065" xr:uid="{00000000-0004-0000-0400-000028040000}"/>
    <hyperlink ref="C800" r:id="rId1066" display="https://thumbcdn.com/splash/vexcxkh310ro18pw.jpg" xr:uid="{00000000-0004-0000-0400-000029040000}"/>
    <hyperlink ref="C801" r:id="rId1067" display="https://thumbcdn.com/splash/a6r0z9dxsxomeud8.jpg" xr:uid="{00000000-0004-0000-0400-00002A040000}"/>
    <hyperlink ref="C802" r:id="rId1068" display="https://thumbcdn.com/splash/yyrs9yevekuht3ny.jpg" xr:uid="{00000000-0004-0000-0400-00002B040000}"/>
    <hyperlink ref="A803" r:id="rId1069" xr:uid="{00000000-0004-0000-0400-00002C040000}"/>
    <hyperlink ref="C803" r:id="rId1070" display="https://thumbcdn.com/splash/e8y88mls7xhaio7u.jpg" xr:uid="{00000000-0004-0000-0400-00002D040000}"/>
    <hyperlink ref="C804" r:id="rId1071" display="https://thumbcdn.com/splash/6dpx429grzj9orqk.jpg" xr:uid="{00000000-0004-0000-0400-00002E040000}"/>
    <hyperlink ref="C805" r:id="rId1072" display="https://thumbcdn.com/splash/ttlgpjn4lx7kok28.jpg" xr:uid="{00000000-0004-0000-0400-00002F040000}"/>
    <hyperlink ref="A806" r:id="rId1073" xr:uid="{00000000-0004-0000-0400-000030040000}"/>
    <hyperlink ref="C806" r:id="rId1074" display="https://thumbcdn.com/splash/yb97mpg6hcd0v4v3.jpg" xr:uid="{00000000-0004-0000-0400-000031040000}"/>
    <hyperlink ref="C807" r:id="rId1075" display="https://thumbcdn.com/splash/t6f0mj8piozg2yaw.jpg" xr:uid="{00000000-0004-0000-0400-000032040000}"/>
    <hyperlink ref="C808" r:id="rId1076" display="https://thumbcdn.com/splash/yshxsjpdg0tjfd9p.jpg" xr:uid="{00000000-0004-0000-0400-000033040000}"/>
    <hyperlink ref="A809" r:id="rId1077" xr:uid="{00000000-0004-0000-0400-000034040000}"/>
    <hyperlink ref="C809" r:id="rId1078" display="https://thumbcdn.com/splash/lwa3bu7h2qd1w150.jpg" xr:uid="{00000000-0004-0000-0400-000035040000}"/>
    <hyperlink ref="C810" r:id="rId1079" display="https://thumbcdn.com/splash/8q29i84kcyjyzhmm.jpg" xr:uid="{00000000-0004-0000-0400-000036040000}"/>
    <hyperlink ref="C811" r:id="rId1080" display="https://thumbcdn.com/splash/o5nj2vvyy6kebcm5.jpg" xr:uid="{00000000-0004-0000-0400-000037040000}"/>
    <hyperlink ref="A812" r:id="rId1081" xr:uid="{00000000-0004-0000-0400-000038040000}"/>
    <hyperlink ref="C812" r:id="rId1082" display="https://thumbcdn.com/splash/vuazx1zx79mr92ft.jpg" xr:uid="{00000000-0004-0000-0400-000039040000}"/>
    <hyperlink ref="C813" r:id="rId1083" display="https://thumbcdn.com/splash/jaeqzmdyutq87bnm.jpg" xr:uid="{00000000-0004-0000-0400-00003A040000}"/>
    <hyperlink ref="C814" r:id="rId1084" display="https://thumbcdn.com/splash/h5xuyfymzcbymmgn.jpg" xr:uid="{00000000-0004-0000-0400-00003B040000}"/>
    <hyperlink ref="A815" r:id="rId1085" xr:uid="{00000000-0004-0000-0400-00003C040000}"/>
    <hyperlink ref="C815" r:id="rId1086" display="https://thumbcdn.com/splash/b08syigy5m763dmi.jpg" xr:uid="{00000000-0004-0000-0400-00003D040000}"/>
    <hyperlink ref="C816" r:id="rId1087" display="https://thumbcdn.com/splash/qacc20393vngmpkh.jpg" xr:uid="{00000000-0004-0000-0400-00003E040000}"/>
    <hyperlink ref="C817" r:id="rId1088" display="https://thumbcdn.com/splash/simialc1l773mkeo.jpg" xr:uid="{00000000-0004-0000-0400-00003F040000}"/>
    <hyperlink ref="A818" r:id="rId1089" xr:uid="{00000000-0004-0000-0400-000040040000}"/>
    <hyperlink ref="C818" r:id="rId1090" display="https://thumbcdn.com/splash/a378iwn5d5y3iahu.jpg" xr:uid="{00000000-0004-0000-0400-000041040000}"/>
    <hyperlink ref="C819" r:id="rId1091" display="https://thumbcdn.com/splash/0wa6r805nfjds2a2.jpg" xr:uid="{00000000-0004-0000-0400-000042040000}"/>
    <hyperlink ref="C820" r:id="rId1092" display="https://thumbcdn.com/splash/3pzlp6rgwsuojarg.jpg" xr:uid="{00000000-0004-0000-0400-000043040000}"/>
    <hyperlink ref="A821" r:id="rId1093" xr:uid="{00000000-0004-0000-0400-000044040000}"/>
    <hyperlink ref="C821" r:id="rId1094" display="https://thumbcdn.com/splash/z22t6di1wo7ygzp7.jpg" xr:uid="{00000000-0004-0000-0400-000045040000}"/>
    <hyperlink ref="C822" r:id="rId1095" display="https://thumbcdn.com/splash/s7aicwm4moe27ism.jpg" xr:uid="{00000000-0004-0000-0400-000046040000}"/>
    <hyperlink ref="C823" r:id="rId1096" display="https://thumbcdn.com/splash/5r4e6cwud5z5s58s.jpg" xr:uid="{00000000-0004-0000-0400-000047040000}"/>
    <hyperlink ref="A824" r:id="rId1097" xr:uid="{00000000-0004-0000-0400-000048040000}"/>
    <hyperlink ref="C824" r:id="rId1098" display="https://thumbcdn.com/splash/t503y9kbt69wuw0m.jpg" xr:uid="{00000000-0004-0000-0400-000049040000}"/>
    <hyperlink ref="C825" r:id="rId1099" display="https://thumbcdn.com/splash/a0u6kndno5d3ytwf.jpg" xr:uid="{00000000-0004-0000-0400-00004A040000}"/>
    <hyperlink ref="C826" r:id="rId1100" display="https://thumbcdn.com/splash/tr4yhcpstjdd6lwf.jpg" xr:uid="{00000000-0004-0000-0400-00004B040000}"/>
    <hyperlink ref="A827" r:id="rId1101" xr:uid="{00000000-0004-0000-0400-00004C040000}"/>
    <hyperlink ref="C827" r:id="rId1102" display="https://thumbcdn.com/splash/fdkouvmsfpnf7d46.jpg" xr:uid="{00000000-0004-0000-0400-00004D040000}"/>
    <hyperlink ref="C828" r:id="rId1103" display="https://thumbcdn.com/splash/2oxarvh93igsxovm.jpg" xr:uid="{00000000-0004-0000-0400-00004E040000}"/>
    <hyperlink ref="C829" r:id="rId1104" display="https://thumbcdn.com/splash/4zqpk0uk0crvvq88.jpg" xr:uid="{00000000-0004-0000-0400-00004F040000}"/>
    <hyperlink ref="A830" r:id="rId1105" xr:uid="{00000000-0004-0000-0400-000050040000}"/>
    <hyperlink ref="C830" r:id="rId1106" display="https://thumbcdn.com/splash/yk4lplajzuuezeuh.jpg" xr:uid="{00000000-0004-0000-0400-000051040000}"/>
    <hyperlink ref="C831" r:id="rId1107" display="https://thumbcdn.com/splash/zuk6efe7xfthn3qk.jpg" xr:uid="{00000000-0004-0000-0400-000052040000}"/>
    <hyperlink ref="C832" r:id="rId1108" display="https://thumbcdn.com/splash/l1olo1aa723hd9y3.jpg" xr:uid="{00000000-0004-0000-0400-000053040000}"/>
    <hyperlink ref="A833" r:id="rId1109" xr:uid="{00000000-0004-0000-0400-000054040000}"/>
    <hyperlink ref="C833" r:id="rId1110" display="https://thumbcdn.com/splash/fxw76mpq6zzi3hr4.jpg" xr:uid="{00000000-0004-0000-0400-000055040000}"/>
    <hyperlink ref="C834" r:id="rId1111" display="https://thumbcdn.com/splash/x28nzwvhjjuhx3gv.jpg" xr:uid="{00000000-0004-0000-0400-000056040000}"/>
    <hyperlink ref="C835" r:id="rId1112" display="https://thumbcdn.com/splash/xlnlj6hx9ha763nw.jpg" xr:uid="{00000000-0004-0000-0400-000057040000}"/>
    <hyperlink ref="A836" r:id="rId1113" xr:uid="{00000000-0004-0000-0400-000058040000}"/>
    <hyperlink ref="C836" r:id="rId1114" display="https://thumbcdn.com/splash/cwuqhqrka8ssz2vs.jpg" xr:uid="{00000000-0004-0000-0400-000059040000}"/>
    <hyperlink ref="C837" r:id="rId1115" display="https://thumbcdn.com/splash/oub9palqufu47s5h.jpg" xr:uid="{00000000-0004-0000-0400-00005A040000}"/>
    <hyperlink ref="C838" r:id="rId1116" display="https://thumbcdn.com/splash/hrifimtmzi4pzc0v.jpg" xr:uid="{00000000-0004-0000-0400-00005B040000}"/>
    <hyperlink ref="A839" r:id="rId1117" xr:uid="{00000000-0004-0000-0400-00005C040000}"/>
    <hyperlink ref="C839" r:id="rId1118" display="https://thumbcdn.com/splash/bdhciag26enzyq2s.jpg" xr:uid="{00000000-0004-0000-0400-00005D040000}"/>
    <hyperlink ref="C840" r:id="rId1119" display="https://thumbcdn.com/splash/op4ndn21tlxdjzqu.jpg" xr:uid="{00000000-0004-0000-0400-00005E040000}"/>
    <hyperlink ref="C841" r:id="rId1120" display="https://thumbcdn.com/splash/n22femnla4qgo1q4.jpg" xr:uid="{00000000-0004-0000-0400-00005F040000}"/>
    <hyperlink ref="A842" r:id="rId1121" xr:uid="{00000000-0004-0000-0400-000060040000}"/>
    <hyperlink ref="C842" r:id="rId1122" display="https://thumbcdn.com/splash/u6kcu0o3008t1ygb.jpg" xr:uid="{00000000-0004-0000-0400-000061040000}"/>
    <hyperlink ref="C843" r:id="rId1123" display="https://thumbcdn.com/splash/b80q2n6zxmy154it.jpg" xr:uid="{00000000-0004-0000-0400-000062040000}"/>
    <hyperlink ref="C844" r:id="rId1124" display="https://thumbcdn.com/splash/c6t12s6v0muu9ptf.jpg" xr:uid="{00000000-0004-0000-0400-000063040000}"/>
    <hyperlink ref="A845" r:id="rId1125" xr:uid="{00000000-0004-0000-0400-000064040000}"/>
    <hyperlink ref="C845" r:id="rId1126" display="https://thumbcdn.com/splash/m5ejl94sfzstd3ap.jpg" xr:uid="{00000000-0004-0000-0400-000065040000}"/>
    <hyperlink ref="C846" r:id="rId1127" display="https://thumbcdn.com/splash/mwdrrj9iplvkyj5k.jpg" xr:uid="{00000000-0004-0000-0400-000066040000}"/>
    <hyperlink ref="C847" r:id="rId1128" display="https://thumbcdn.com/splash/sg6azgb7o3a1h1ge.jpg" xr:uid="{00000000-0004-0000-0400-000067040000}"/>
    <hyperlink ref="A848" r:id="rId1129" xr:uid="{00000000-0004-0000-0400-000068040000}"/>
    <hyperlink ref="C848" r:id="rId1130" display="https://thumbcdn.com/splash/bcwq3uy69j6ysm0j.jpg" xr:uid="{00000000-0004-0000-0400-000069040000}"/>
    <hyperlink ref="C849" r:id="rId1131" display="https://thumbcdn.com/splash/7zweszko5yrnrnds.jpg" xr:uid="{00000000-0004-0000-0400-00006A040000}"/>
    <hyperlink ref="C850" r:id="rId1132" display="https://thumbcdn.com/splash/099qaj2lolpvtjjd.jpg" xr:uid="{00000000-0004-0000-0400-00006B040000}"/>
    <hyperlink ref="A851" r:id="rId1133" xr:uid="{00000000-0004-0000-0400-00006C040000}"/>
    <hyperlink ref="C851" r:id="rId1134" display="https://thumbcdn.com/splash/fjqevtc58c357tdt.jpg" xr:uid="{00000000-0004-0000-0400-00006D040000}"/>
    <hyperlink ref="C852" r:id="rId1135" display="https://thumbcdn.com/splash/36pkp0omyyh1ugl0.jpg" xr:uid="{00000000-0004-0000-0400-00006E040000}"/>
    <hyperlink ref="C853" r:id="rId1136" display="https://thumbcdn.com/splash/vlbukbbm9ut8kmov.jpg" xr:uid="{00000000-0004-0000-0400-00006F040000}"/>
    <hyperlink ref="A854" r:id="rId1137" xr:uid="{00000000-0004-0000-0400-000070040000}"/>
    <hyperlink ref="C854" r:id="rId1138" display="https://thumbcdn.com/splash/88je6132rtiu94ii.jpg" xr:uid="{00000000-0004-0000-0400-000071040000}"/>
    <hyperlink ref="C855" r:id="rId1139" display="https://thumbcdn.com/splash/qrids3zfcnv9nd8h.jpg" xr:uid="{00000000-0004-0000-0400-000072040000}"/>
    <hyperlink ref="C856" r:id="rId1140" display="https://thumbcdn.com/splash/zqhsxk5yc3pkxc62.jpg" xr:uid="{00000000-0004-0000-0400-000073040000}"/>
    <hyperlink ref="A857" r:id="rId1141" xr:uid="{00000000-0004-0000-0400-000074040000}"/>
    <hyperlink ref="C857" r:id="rId1142" display="https://thumbcdn.com/splash/21a0605v7yhjtcwj.jpg" xr:uid="{00000000-0004-0000-0400-000075040000}"/>
    <hyperlink ref="C858" r:id="rId1143" display="https://thumbcdn.com/splash/47dzx3oxmx1xawev.jpg" xr:uid="{00000000-0004-0000-0400-000076040000}"/>
    <hyperlink ref="C859" r:id="rId1144" display="https://thumbcdn.com/splash/6ykmdkoul8rvl1v3.jpg" xr:uid="{00000000-0004-0000-0400-000077040000}"/>
    <hyperlink ref="A860" r:id="rId1145" xr:uid="{00000000-0004-0000-0400-000078040000}"/>
    <hyperlink ref="C860" r:id="rId1146" display="https://thumbcdn.com/splash/9bqu2vx4112zdjcu.jpg" xr:uid="{00000000-0004-0000-0400-000079040000}"/>
    <hyperlink ref="C861" r:id="rId1147" display="https://thumbcdn.com/splash/z94922f8or0zazs9.jpg" xr:uid="{00000000-0004-0000-0400-00007A040000}"/>
    <hyperlink ref="C862" r:id="rId1148" display="https://thumbcdn.com/splash/vbboqleyflxoxcsg.jpg" xr:uid="{00000000-0004-0000-0400-00007B040000}"/>
    <hyperlink ref="A863" r:id="rId1149" xr:uid="{00000000-0004-0000-0400-00007C040000}"/>
    <hyperlink ref="C863" r:id="rId1150" display="https://thumbcdn.com/splash/mclqb9v4ovv3qvlb.jpg" xr:uid="{00000000-0004-0000-0400-00007D040000}"/>
    <hyperlink ref="C864" r:id="rId1151" display="https://thumbcdn.com/splash/j9rx6na42umhnuwf.jpg" xr:uid="{00000000-0004-0000-0400-00007E040000}"/>
    <hyperlink ref="C865" r:id="rId1152" display="https://thumbcdn.com/splash/4jnn6d7aejqpebfc.jpg" xr:uid="{00000000-0004-0000-0400-00007F040000}"/>
    <hyperlink ref="A866" r:id="rId1153" xr:uid="{00000000-0004-0000-0400-000080040000}"/>
    <hyperlink ref="C866" r:id="rId1154" display="https://thumbcdn.com/splash/0zchu7pxukohv2wt.jpg" xr:uid="{00000000-0004-0000-0400-000081040000}"/>
    <hyperlink ref="C867" r:id="rId1155" display="https://thumbcdn.com/splash/33mwqeenrj3vw1i7.jpg" xr:uid="{00000000-0004-0000-0400-000082040000}"/>
    <hyperlink ref="C868" r:id="rId1156" display="https://thumbcdn.com/splash/qv8b6ykbnypx10hr.jpg" xr:uid="{00000000-0004-0000-0400-000083040000}"/>
    <hyperlink ref="A869" r:id="rId1157" xr:uid="{00000000-0004-0000-0400-000084040000}"/>
    <hyperlink ref="C869" r:id="rId1158" display="https://thumbcdn.com/splash/jqim31261b1gk3su.jpg" xr:uid="{00000000-0004-0000-0400-000085040000}"/>
    <hyperlink ref="C870" r:id="rId1159" display="https://thumbcdn.com/splash/0gepoxt15lfx2dwg.jpg" xr:uid="{00000000-0004-0000-0400-000086040000}"/>
    <hyperlink ref="C871" r:id="rId1160" display="https://thumbcdn.com/splash/0dclwepe2onahwgx.jpg" xr:uid="{00000000-0004-0000-0400-000087040000}"/>
    <hyperlink ref="A872" r:id="rId1161" xr:uid="{00000000-0004-0000-0400-000088040000}"/>
    <hyperlink ref="C872" r:id="rId1162" display="https://thumbcdn.com/splash/k4bp4ynavw6jx7yy.jpg" xr:uid="{00000000-0004-0000-0400-000089040000}"/>
    <hyperlink ref="C873" r:id="rId1163" display="https://thumbcdn.com/splash/1y6ud00zhbdvdsvk.jpg" xr:uid="{00000000-0004-0000-0400-00008A040000}"/>
    <hyperlink ref="C874" r:id="rId1164" display="https://thumbcdn.com/splash/xc0pjhxpnlna95fz.jpg" xr:uid="{00000000-0004-0000-0400-00008B040000}"/>
    <hyperlink ref="A875" r:id="rId1165" xr:uid="{00000000-0004-0000-0400-00008C040000}"/>
    <hyperlink ref="C875" r:id="rId1166" display="https://thumbcdn.com/splash/4w28qyhg0lc3o2ht.jpg" xr:uid="{00000000-0004-0000-0400-00008D040000}"/>
    <hyperlink ref="C876" r:id="rId1167" display="https://thumbcdn.com/splash/5qbvmo0qvhf8x6b7.jpg" xr:uid="{00000000-0004-0000-0400-00008E040000}"/>
    <hyperlink ref="C877" r:id="rId1168" display="https://thumbcdn.com/splash/afrtvsdfbdhq6mpw.jpg" xr:uid="{00000000-0004-0000-0400-00008F040000}"/>
    <hyperlink ref="A878" r:id="rId1169" xr:uid="{00000000-0004-0000-0400-000090040000}"/>
    <hyperlink ref="C878" r:id="rId1170" display="https://thumbcdn.com/splash/lu12fjwulg7f2ij3.jpg" xr:uid="{00000000-0004-0000-0400-000091040000}"/>
    <hyperlink ref="C879" r:id="rId1171" display="https://thumbcdn.com/splash/huwj83dxm27z59u8.jpg" xr:uid="{00000000-0004-0000-0400-000092040000}"/>
    <hyperlink ref="C880" r:id="rId1172" display="https://thumbcdn.com/splash/nuy1ddo0442sivhg.jpg" xr:uid="{00000000-0004-0000-0400-000093040000}"/>
    <hyperlink ref="A881" r:id="rId1173" xr:uid="{00000000-0004-0000-0400-000094040000}"/>
    <hyperlink ref="C881" r:id="rId1174" display="https://thumbcdn.com/splash/d1t1uc8uwr8lzuxs.jpg" xr:uid="{00000000-0004-0000-0400-000095040000}"/>
    <hyperlink ref="C882" r:id="rId1175" display="https://thumbcdn.com/splash/eup4wym3jtc60uhy.jpg" xr:uid="{00000000-0004-0000-0400-000096040000}"/>
    <hyperlink ref="C883" r:id="rId1176" display="https://thumbcdn.com/splash/oxlboqlsn6yd4h6w.jpg" xr:uid="{00000000-0004-0000-0400-000097040000}"/>
    <hyperlink ref="A884" r:id="rId1177" xr:uid="{00000000-0004-0000-0400-000098040000}"/>
    <hyperlink ref="C884" r:id="rId1178" display="https://thumbcdn.com/splash/w7ntk0u169ow3bi9.jpg" xr:uid="{00000000-0004-0000-0400-000099040000}"/>
    <hyperlink ref="C885" r:id="rId1179" display="https://thumbcdn.com/splash/5428fs8r6ewhxx6w.jpg" xr:uid="{00000000-0004-0000-0400-00009A040000}"/>
    <hyperlink ref="C886" r:id="rId1180" display="https://thumbcdn.com/splash/tcs4hpxef5sesme7.jpg" xr:uid="{00000000-0004-0000-0400-00009B040000}"/>
    <hyperlink ref="A887" r:id="rId1181" xr:uid="{00000000-0004-0000-0400-00009C040000}"/>
    <hyperlink ref="C887" r:id="rId1182" display="https://thumbcdn.com/splash/x33uc81jgukly3cm.jpg" xr:uid="{00000000-0004-0000-0400-00009D040000}"/>
    <hyperlink ref="C888" r:id="rId1183" display="https://thumbcdn.com/splash/2evlmoubwab44lta.jpg" xr:uid="{00000000-0004-0000-0400-00009E040000}"/>
    <hyperlink ref="C889" r:id="rId1184" display="https://thumbcdn.com/splash/480js0ibdl7ihfl8.jpg" xr:uid="{00000000-0004-0000-0400-00009F040000}"/>
    <hyperlink ref="A890" r:id="rId1185" xr:uid="{00000000-0004-0000-0400-0000A0040000}"/>
    <hyperlink ref="C890" r:id="rId1186" display="https://thumbcdn.com/splash/4nrollqlulh43dgb.jpg" xr:uid="{00000000-0004-0000-0400-0000A1040000}"/>
    <hyperlink ref="C891" r:id="rId1187" display="https://thumbcdn.com/splash/m4t2z9a71ewd9cl3.jpg" xr:uid="{00000000-0004-0000-0400-0000A2040000}"/>
    <hyperlink ref="C892" r:id="rId1188" display="https://thumbcdn.com/splash/3x95uf3r6wzh7rwd.jpg" xr:uid="{00000000-0004-0000-0400-0000A3040000}"/>
    <hyperlink ref="A893" r:id="rId1189" xr:uid="{00000000-0004-0000-0400-0000A4040000}"/>
    <hyperlink ref="C893" r:id="rId1190" display="https://thumbcdn.com/splash/8so4jhbfzvrjqa7i.jpg" xr:uid="{00000000-0004-0000-0400-0000A5040000}"/>
    <hyperlink ref="C894" r:id="rId1191" display="https://thumbcdn.com/splash/erq0grjccc4wmh6s.jpg" xr:uid="{00000000-0004-0000-0400-0000A6040000}"/>
    <hyperlink ref="C895" r:id="rId1192" display="https://thumbcdn.com/splash/j3jv7n4hfw71ph6f.jpg" xr:uid="{00000000-0004-0000-0400-0000A7040000}"/>
    <hyperlink ref="A896" r:id="rId1193" xr:uid="{00000000-0004-0000-0400-0000A8040000}"/>
    <hyperlink ref="C896" r:id="rId1194" display="https://thumbcdn.com/splash/pubtn8jbn8beb5tr.jpg" xr:uid="{00000000-0004-0000-0400-0000A9040000}"/>
    <hyperlink ref="C897" r:id="rId1195" display="https://thumbcdn.com/splash/4m9fwqk8h4pfvp4t.jpg" xr:uid="{00000000-0004-0000-0400-0000AA040000}"/>
    <hyperlink ref="C898" r:id="rId1196" display="https://thumbcdn.com/splash/q5whi5gxbbb8o4ku.jpg" xr:uid="{00000000-0004-0000-0400-0000AB040000}"/>
    <hyperlink ref="A899" r:id="rId1197" xr:uid="{00000000-0004-0000-0400-0000AC040000}"/>
    <hyperlink ref="C899" r:id="rId1198" display="https://thumbcdn.com/splash/rqfkvx8lhs2jykzs.jpg" xr:uid="{00000000-0004-0000-0400-0000AD040000}"/>
    <hyperlink ref="C900" r:id="rId1199" display="https://thumbcdn.com/splash/6bo642v4aagvqpj0.jpg" xr:uid="{00000000-0004-0000-0400-0000AE040000}"/>
    <hyperlink ref="C901" r:id="rId1200" display="https://thumbcdn.com/splash/ywykjnf6v87l6o8c.jpg" xr:uid="{00000000-0004-0000-0400-0000AF040000}"/>
    <hyperlink ref="A902" r:id="rId1201" xr:uid="{00000000-0004-0000-0400-0000B0040000}"/>
    <hyperlink ref="C902" r:id="rId1202" display="https://thumbcdn.com/splash/3g6g5ic52aizi9s7.jpg" xr:uid="{00000000-0004-0000-0400-0000B1040000}"/>
    <hyperlink ref="C903" r:id="rId1203" display="https://thumbcdn.com/splash/3bxvo938072ddv7g.jpg" xr:uid="{00000000-0004-0000-0400-0000B2040000}"/>
    <hyperlink ref="C904" r:id="rId1204" display="https://thumbcdn.com/splash/f78dzopxyjlhwla2.jpg" xr:uid="{00000000-0004-0000-0400-0000B3040000}"/>
    <hyperlink ref="A905" r:id="rId1205" xr:uid="{00000000-0004-0000-0400-0000B4040000}"/>
    <hyperlink ref="C905" r:id="rId1206" display="https://thumbcdn.com/splash/opag4rfj78we3mk7.jpg" xr:uid="{00000000-0004-0000-0400-0000B5040000}"/>
    <hyperlink ref="C906" r:id="rId1207" display="https://thumbcdn.com/splash/f009dhacy8ruwbww.jpg" xr:uid="{00000000-0004-0000-0400-0000B6040000}"/>
    <hyperlink ref="C907" r:id="rId1208" display="https://thumbcdn.com/splash/s4nnhrnyq9g3k8ty.jpg" xr:uid="{00000000-0004-0000-0400-0000B7040000}"/>
    <hyperlink ref="A908" r:id="rId1209" xr:uid="{00000000-0004-0000-0400-0000B8040000}"/>
    <hyperlink ref="C908" r:id="rId1210" display="https://thumbcdn.com/splash/b7mrs88ngm1ambrr.jpg" xr:uid="{00000000-0004-0000-0400-0000B9040000}"/>
    <hyperlink ref="C909" r:id="rId1211" display="https://thumbcdn.com/splash/p3s8ugzolyjfohfb.jpg" xr:uid="{00000000-0004-0000-0400-0000BA040000}"/>
    <hyperlink ref="C910" r:id="rId1212" display="https://thumbcdn.com/splash/o7cjs92wwrgit9pw.jpg" xr:uid="{00000000-0004-0000-0400-0000BB040000}"/>
    <hyperlink ref="A911" r:id="rId1213" xr:uid="{00000000-0004-0000-0400-0000BC040000}"/>
    <hyperlink ref="C911" r:id="rId1214" display="https://thumbcdn.com/splash/rshp5zcyfufq5sdt.jpg" xr:uid="{00000000-0004-0000-0400-0000BD040000}"/>
    <hyperlink ref="C912" r:id="rId1215" display="https://thumbcdn.com/splash/c61fo2kt9ehsjja6.jpg" xr:uid="{00000000-0004-0000-0400-0000BE040000}"/>
    <hyperlink ref="C913" r:id="rId1216" display="https://thumbcdn.com/splash/5oj830bmuhqjngnq.jpg" xr:uid="{00000000-0004-0000-0400-0000BF040000}"/>
    <hyperlink ref="A914" r:id="rId1217" xr:uid="{00000000-0004-0000-0400-0000C0040000}"/>
    <hyperlink ref="C914" r:id="rId1218" display="https://thumbcdn.com/splash/g0hiqelt8e5ykemu.jpg" xr:uid="{00000000-0004-0000-0400-0000C1040000}"/>
    <hyperlink ref="C915" r:id="rId1219" display="https://thumbcdn.com/splash/oifo7d30pd9lfxay.jpg" xr:uid="{00000000-0004-0000-0400-0000C2040000}"/>
    <hyperlink ref="C916" r:id="rId1220" display="https://thumbcdn.com/splash/86lzd3cs9ewg8k94.jpg" xr:uid="{00000000-0004-0000-0400-0000C3040000}"/>
    <hyperlink ref="A917" r:id="rId1221" xr:uid="{00000000-0004-0000-0400-0000C4040000}"/>
    <hyperlink ref="C917" r:id="rId1222" display="https://thumbcdn.com/splash/1w8d08kglpqfpyrh.jpg" xr:uid="{00000000-0004-0000-0400-0000C5040000}"/>
    <hyperlink ref="C918" r:id="rId1223" display="https://thumbcdn.com/splash/8t2chprzzw8pcfkm.jpg" xr:uid="{00000000-0004-0000-0400-0000C6040000}"/>
    <hyperlink ref="C919" r:id="rId1224" display="https://thumbcdn.com/splash/5aacz26yte9jhv5o.jpg" xr:uid="{00000000-0004-0000-0400-0000C7040000}"/>
    <hyperlink ref="A920" r:id="rId1225" xr:uid="{00000000-0004-0000-0400-0000C8040000}"/>
    <hyperlink ref="C920" r:id="rId1226" display="https://thumbcdn.com/splash/qlqeaaylix03i0ww.jpg" xr:uid="{00000000-0004-0000-0400-0000C9040000}"/>
    <hyperlink ref="C921" r:id="rId1227" display="https://thumbcdn.com/splash/dww715lr3wi1cbpd.jpg" xr:uid="{00000000-0004-0000-0400-0000CA040000}"/>
    <hyperlink ref="C922" r:id="rId1228" display="https://thumbcdn.com/splash/v6lxokjipkrs1ybd.jpg" xr:uid="{00000000-0004-0000-0400-0000CB040000}"/>
    <hyperlink ref="A923" r:id="rId1229" xr:uid="{00000000-0004-0000-0400-0000CC040000}"/>
    <hyperlink ref="C923" r:id="rId1230" display="https://thumbcdn.com/splash/ha17prny65ce7unr.jpg" xr:uid="{00000000-0004-0000-0400-0000CD040000}"/>
    <hyperlink ref="C924" r:id="rId1231" display="https://thumbcdn.com/splash/ehcppw649yr8stfx.jpg" xr:uid="{00000000-0004-0000-0400-0000CE040000}"/>
    <hyperlink ref="C925" r:id="rId1232" display="https://thumbcdn.com/splash/3mh3j9hkhzv0yviw.jpg" xr:uid="{00000000-0004-0000-0400-0000CF040000}"/>
    <hyperlink ref="A926" r:id="rId1233" xr:uid="{00000000-0004-0000-0400-0000D0040000}"/>
    <hyperlink ref="C926" r:id="rId1234" display="https://thumbcdn.com/splash/rx1jc2ptwdhm0b81.jpg" xr:uid="{00000000-0004-0000-0400-0000D1040000}"/>
    <hyperlink ref="C927" r:id="rId1235" display="https://thumbcdn.com/splash/q68lsgjeosoe8om2.jpg" xr:uid="{00000000-0004-0000-0400-0000D2040000}"/>
    <hyperlink ref="C928" r:id="rId1236" display="https://thumbcdn.com/splash/j6c9n7sxdg5b3ana.jpg" xr:uid="{00000000-0004-0000-0400-0000D3040000}"/>
    <hyperlink ref="A929" r:id="rId1237" xr:uid="{00000000-0004-0000-0400-0000D4040000}"/>
    <hyperlink ref="C929" r:id="rId1238" display="https://thumbcdn.com/splash/fzrnbe8hkzw6ehdr.jpg" xr:uid="{00000000-0004-0000-0400-0000D5040000}"/>
    <hyperlink ref="C930" r:id="rId1239" display="https://thumbcdn.com/splash/9o10nc169s16pk0d.jpg" xr:uid="{00000000-0004-0000-0400-0000D6040000}"/>
    <hyperlink ref="C931" r:id="rId1240" display="https://thumbcdn.com/splash/umw59aaq2ouxr1fc.jpg" xr:uid="{00000000-0004-0000-0400-0000D7040000}"/>
    <hyperlink ref="A932" r:id="rId1241" xr:uid="{00000000-0004-0000-0400-0000D8040000}"/>
    <hyperlink ref="C932" r:id="rId1242" display="https://thumbcdn.com/splash/um91ivuk7ofmw9hb.jpg" xr:uid="{00000000-0004-0000-0400-0000D9040000}"/>
    <hyperlink ref="C933" r:id="rId1243" display="https://thumbcdn.com/splash/1dzxn6i7bn9xhvjz.jpg" xr:uid="{00000000-0004-0000-0400-0000DA040000}"/>
    <hyperlink ref="C934" r:id="rId1244" display="https://thumbcdn.com/splash/b4581hurz6bb1mkz.jpg" xr:uid="{00000000-0004-0000-0400-0000DB040000}"/>
    <hyperlink ref="A935" r:id="rId1245" xr:uid="{00000000-0004-0000-0400-0000DC040000}"/>
    <hyperlink ref="C935" r:id="rId1246" display="https://thumbcdn.com/splash/wycd9cqlh2ntmjkx.jpg" xr:uid="{00000000-0004-0000-0400-0000DD040000}"/>
    <hyperlink ref="C936" r:id="rId1247" display="https://thumbcdn.com/splash/vzqc9quey3ex1kfx.jpg" xr:uid="{00000000-0004-0000-0400-0000DE040000}"/>
    <hyperlink ref="C937" r:id="rId1248" display="https://thumbcdn.com/splash/mn9y5ghxugzrzogv.jpg" xr:uid="{00000000-0004-0000-0400-0000DF040000}"/>
    <hyperlink ref="A938" r:id="rId1249" xr:uid="{00000000-0004-0000-0400-0000E0040000}"/>
    <hyperlink ref="C938" r:id="rId1250" display="https://thumbcdn.com/splash/a3qc18oy447xay8z.jpg" xr:uid="{00000000-0004-0000-0400-0000E1040000}"/>
    <hyperlink ref="C939" r:id="rId1251" display="https://thumbcdn.com/splash/rcnza2xvbh37uayw.jpg" xr:uid="{00000000-0004-0000-0400-0000E2040000}"/>
    <hyperlink ref="C940" r:id="rId1252" display="https://thumbcdn.com/splash/eguytr25lsm3rwtd.jpg" xr:uid="{00000000-0004-0000-0400-0000E3040000}"/>
    <hyperlink ref="A941" r:id="rId1253" xr:uid="{00000000-0004-0000-0400-0000E4040000}"/>
    <hyperlink ref="C941" r:id="rId1254" display="https://thumbcdn.com/splash/c9u328sndvhxdyj9.jpg" xr:uid="{00000000-0004-0000-0400-0000E5040000}"/>
    <hyperlink ref="C942" r:id="rId1255" display="https://thumbcdn.com/splash/d1bujusd0kspfabo.jpg" xr:uid="{00000000-0004-0000-0400-0000E6040000}"/>
    <hyperlink ref="C943" r:id="rId1256" display="https://thumbcdn.com/splash/fm7puqkys4i39six.jpg" xr:uid="{00000000-0004-0000-0400-0000E7040000}"/>
    <hyperlink ref="A944" r:id="rId1257" xr:uid="{00000000-0004-0000-0400-0000E8040000}"/>
    <hyperlink ref="C944" r:id="rId1258" display="https://thumbcdn.com/splash/20zj07m13v5xiqq5.jpg" xr:uid="{00000000-0004-0000-0400-0000E9040000}"/>
    <hyperlink ref="C945" r:id="rId1259" display="https://thumbcdn.com/splash/n55hjynzqlmnkai2.jpg" xr:uid="{00000000-0004-0000-0400-0000EA040000}"/>
    <hyperlink ref="C946" r:id="rId1260" display="https://thumbcdn.com/splash/9br6kc9nqy3y8gcz.jpg" xr:uid="{00000000-0004-0000-0400-0000EB040000}"/>
    <hyperlink ref="A947" r:id="rId1261" xr:uid="{00000000-0004-0000-0400-0000EC040000}"/>
    <hyperlink ref="C947" r:id="rId1262" display="https://thumbcdn.com/splash/xaoiw8sz08h7a6di.jpg" xr:uid="{00000000-0004-0000-0400-0000ED040000}"/>
    <hyperlink ref="C948" r:id="rId1263" display="https://thumbcdn.com/splash/l748hi04kb4w948y.jpg" xr:uid="{00000000-0004-0000-0400-0000EE040000}"/>
    <hyperlink ref="C949" r:id="rId1264" display="https://thumbcdn.com/splash/4jfhzput62znuvzr.jpg" xr:uid="{00000000-0004-0000-0400-0000EF040000}"/>
    <hyperlink ref="A950" r:id="rId1265" xr:uid="{00000000-0004-0000-0400-0000F0040000}"/>
    <hyperlink ref="C950" r:id="rId1266" display="https://thumbcdn.com/splash/ayziylf7t7fghxyn.jpg" xr:uid="{00000000-0004-0000-0400-0000F1040000}"/>
    <hyperlink ref="C951" r:id="rId1267" display="https://thumbcdn.com/splash/p5efr78x660plbjy.jpg" xr:uid="{00000000-0004-0000-0400-0000F2040000}"/>
    <hyperlink ref="C952" r:id="rId1268" display="https://thumbcdn.com/splash/2mtcljl7iyp1fxgt.jpg" xr:uid="{00000000-0004-0000-0400-0000F3040000}"/>
    <hyperlink ref="A953" r:id="rId1269" xr:uid="{00000000-0004-0000-0400-0000F4040000}"/>
    <hyperlink ref="C953" r:id="rId1270" display="https://thumbcdn.com/splash/cl2tzsd66x4yat8a.jpg" xr:uid="{00000000-0004-0000-0400-0000F5040000}"/>
    <hyperlink ref="C954" r:id="rId1271" display="https://thumbcdn.com/splash/4w5z2qdp95327v9x.jpg" xr:uid="{00000000-0004-0000-0400-0000F6040000}"/>
    <hyperlink ref="C955" r:id="rId1272" display="https://thumbcdn.com/splash/0ecgsoz8erbo6xes.jpg" xr:uid="{00000000-0004-0000-0400-0000F7040000}"/>
    <hyperlink ref="A956" r:id="rId1273" xr:uid="{00000000-0004-0000-0400-0000F8040000}"/>
    <hyperlink ref="C956" r:id="rId1274" display="https://thumbcdn.com/splash/z5maif3w2emsqdla.jpg" xr:uid="{00000000-0004-0000-0400-0000F9040000}"/>
    <hyperlink ref="C957" r:id="rId1275" display="https://thumbcdn.com/splash/2smsr36td11u2ap8.jpg" xr:uid="{00000000-0004-0000-0400-0000FA040000}"/>
    <hyperlink ref="C958" r:id="rId1276" display="https://thumbcdn.com/splash/ts8vvp37s5z7n1li.jpg" xr:uid="{00000000-0004-0000-0400-0000FB040000}"/>
    <hyperlink ref="A959" r:id="rId1277" xr:uid="{00000000-0004-0000-0400-0000FC040000}"/>
    <hyperlink ref="C959" r:id="rId1278" display="https://thumbcdn.com/splash/8p3su9vd14eea6ih.jpg" xr:uid="{00000000-0004-0000-0400-0000FD040000}"/>
    <hyperlink ref="C960" r:id="rId1279" display="https://thumbcdn.com/splash/kr79bkhjgtf1idxp.jpg" xr:uid="{00000000-0004-0000-0400-0000FE040000}"/>
    <hyperlink ref="C961" r:id="rId1280" display="https://thumbcdn.com/splash/o9t39glivox6h604.jpg" xr:uid="{00000000-0004-0000-0400-0000FF040000}"/>
    <hyperlink ref="A962" r:id="rId1281" xr:uid="{00000000-0004-0000-0400-000000050000}"/>
    <hyperlink ref="C962" r:id="rId1282" display="https://thumbcdn.com/splash/1fyevo6xoxi5hyue.jpg" xr:uid="{00000000-0004-0000-0400-000001050000}"/>
    <hyperlink ref="C963" r:id="rId1283" display="https://thumbcdn.com/splash/akg6p95f09y5g7re.jpg" xr:uid="{00000000-0004-0000-0400-000002050000}"/>
    <hyperlink ref="C964" r:id="rId1284" display="https://thumbcdn.com/splash/42ygeh78vtduxeaw.jpg" xr:uid="{00000000-0004-0000-0400-000003050000}"/>
    <hyperlink ref="A965" r:id="rId1285" xr:uid="{00000000-0004-0000-0400-000004050000}"/>
    <hyperlink ref="C965" r:id="rId1286" display="https://thumbcdn.com/splash/blanfv3xn77f1n5f.jpg" xr:uid="{00000000-0004-0000-0400-000005050000}"/>
    <hyperlink ref="C966" r:id="rId1287" display="https://thumbcdn.com/splash/xo7jedqbyu30v9qh.jpg" xr:uid="{00000000-0004-0000-0400-000006050000}"/>
    <hyperlink ref="C967" r:id="rId1288" display="https://thumbcdn.com/splash/wmxs1ih9o95tze3n.jpg" xr:uid="{00000000-0004-0000-0400-000007050000}"/>
    <hyperlink ref="A968" r:id="rId1289" xr:uid="{00000000-0004-0000-0400-000008050000}"/>
    <hyperlink ref="C968" r:id="rId1290" display="https://thumbcdn.com/splash/abdq02b8temlz1tm.jpg" xr:uid="{00000000-0004-0000-0400-000009050000}"/>
    <hyperlink ref="C969" r:id="rId1291" display="https://thumbcdn.com/splash/rmnvrkgeh4vyh0fp.jpg" xr:uid="{00000000-0004-0000-0400-00000A050000}"/>
    <hyperlink ref="C970" r:id="rId1292" display="https://thumbcdn.com/splash/q2e5dxbd4ydekbym.jpg" xr:uid="{00000000-0004-0000-0400-00000B050000}"/>
    <hyperlink ref="A971" r:id="rId1293" xr:uid="{00000000-0004-0000-0400-00000C050000}"/>
    <hyperlink ref="C971" r:id="rId1294" display="https://thumbcdn.com/splash/odtnnl483rzn3eyv.jpg" xr:uid="{00000000-0004-0000-0400-00000D050000}"/>
    <hyperlink ref="C972" r:id="rId1295" display="https://thumbcdn.com/splash/utmkunjl6sjvasgs.jpg" xr:uid="{00000000-0004-0000-0400-00000E050000}"/>
    <hyperlink ref="C973" r:id="rId1296" display="https://thumbcdn.com/splash/j9j05o74m2apdg5k.jpg" xr:uid="{00000000-0004-0000-0400-00000F050000}"/>
    <hyperlink ref="A974" r:id="rId1297" xr:uid="{00000000-0004-0000-0400-000010050000}"/>
    <hyperlink ref="C974" r:id="rId1298" display="https://thumbcdn.com/splash/6yhjb521dv0tju4i.jpg" xr:uid="{00000000-0004-0000-0400-000011050000}"/>
    <hyperlink ref="C975" r:id="rId1299" display="https://thumbcdn.com/splash/wxadn18msjj51f4p.jpg" xr:uid="{00000000-0004-0000-0400-000012050000}"/>
    <hyperlink ref="C976" r:id="rId1300" display="https://thumbcdn.com/splash/ervccfkvdbzlrhd9.jpg" xr:uid="{00000000-0004-0000-0400-000013050000}"/>
    <hyperlink ref="A977" r:id="rId1301" xr:uid="{00000000-0004-0000-0400-000014050000}"/>
    <hyperlink ref="C977" r:id="rId1302" display="https://thumbcdn.com/splash/8pwcjiprmkum5rga.jpg" xr:uid="{00000000-0004-0000-0400-000015050000}"/>
    <hyperlink ref="C978" r:id="rId1303" display="https://thumbcdn.com/splash/3841mtz31jpuxlyl.jpg" xr:uid="{00000000-0004-0000-0400-000016050000}"/>
    <hyperlink ref="C979" r:id="rId1304" display="https://thumbcdn.com/splash/ftxxh36yfa0c5zi8.jpg" xr:uid="{00000000-0004-0000-0400-000017050000}"/>
    <hyperlink ref="A980" r:id="rId1305" xr:uid="{00000000-0004-0000-0400-000018050000}"/>
    <hyperlink ref="C980" r:id="rId1306" display="https://thumbcdn.com/splash/476s5qxdburez3me.jpg" xr:uid="{00000000-0004-0000-0400-000019050000}"/>
    <hyperlink ref="C981" r:id="rId1307" display="https://thumbcdn.com/splash/z78jgvej4tx0ykc1.jpg" xr:uid="{00000000-0004-0000-0400-00001A050000}"/>
    <hyperlink ref="C982" r:id="rId1308" display="https://thumbcdn.com/splash/3w2sce81vc8xy4dm.jpg" xr:uid="{00000000-0004-0000-0400-00001B050000}"/>
    <hyperlink ref="A983" r:id="rId1309" xr:uid="{00000000-0004-0000-0400-00001C050000}"/>
    <hyperlink ref="C983" r:id="rId1310" display="https://thumbcdn.com/splash/8omkx4isrt8gqara.jpg" xr:uid="{00000000-0004-0000-0400-00001D050000}"/>
    <hyperlink ref="C984" r:id="rId1311" display="https://thumbcdn.com/splash/8v0ggfn655p9kr51.jpg" xr:uid="{00000000-0004-0000-0400-00001E050000}"/>
    <hyperlink ref="C985" r:id="rId1312" display="https://thumbcdn.com/splash/2sksmr6g3hloug09.jpg" xr:uid="{00000000-0004-0000-0400-00001F050000}"/>
    <hyperlink ref="A986" r:id="rId1313" xr:uid="{00000000-0004-0000-0400-000020050000}"/>
    <hyperlink ref="C986" r:id="rId1314" display="https://thumbcdn.com/splash/7wnzs923mznfoi6f.jpg" xr:uid="{00000000-0004-0000-0400-000021050000}"/>
    <hyperlink ref="C987" r:id="rId1315" display="https://thumbcdn.com/splash/med9lwydglx1ylk0.jpg" xr:uid="{00000000-0004-0000-0400-000022050000}"/>
    <hyperlink ref="C988" r:id="rId1316" display="https://thumbcdn.com/splash/p1txqrj3188hl8en.jpg" xr:uid="{00000000-0004-0000-0400-000023050000}"/>
    <hyperlink ref="A989" r:id="rId1317" xr:uid="{00000000-0004-0000-0400-000024050000}"/>
    <hyperlink ref="C989" r:id="rId1318" display="https://thumbcdn.com/splash/muijz82mhptmytd1.jpg" xr:uid="{00000000-0004-0000-0400-000025050000}"/>
    <hyperlink ref="C990" r:id="rId1319" display="https://thumbcdn.com/splash/dz7rm6bgnbmbi2hm.jpg" xr:uid="{00000000-0004-0000-0400-000026050000}"/>
    <hyperlink ref="C991" r:id="rId1320" display="https://thumbcdn.com/splash/t7e87o23cfep4ob5.jpg" xr:uid="{00000000-0004-0000-0400-000027050000}"/>
    <hyperlink ref="A992" r:id="rId1321" xr:uid="{00000000-0004-0000-0400-000028050000}"/>
    <hyperlink ref="C992" r:id="rId1322" display="https://thumbcdn.com/splash/yg8p7gthzdef9gtx.jpg" xr:uid="{00000000-0004-0000-0400-000029050000}"/>
    <hyperlink ref="C993" r:id="rId1323" display="https://thumbcdn.com/splash/dssv3oxkajjpzl8v.jpg" xr:uid="{00000000-0004-0000-0400-00002A050000}"/>
    <hyperlink ref="C994" r:id="rId1324" display="https://thumbcdn.com/splash/ptrz2lbke5ahp6qn.jpg" xr:uid="{00000000-0004-0000-0400-00002B050000}"/>
    <hyperlink ref="A995" r:id="rId1325" xr:uid="{00000000-0004-0000-0400-00002C050000}"/>
    <hyperlink ref="C995" r:id="rId1326" display="https://thumbcdn.com/splash/jt9ndzmkxqrx729n.jpg" xr:uid="{00000000-0004-0000-0400-00002D050000}"/>
    <hyperlink ref="C996" r:id="rId1327" display="https://thumbcdn.com/splash/j50got99s11pi7bl.jpg" xr:uid="{00000000-0004-0000-0400-00002E050000}"/>
    <hyperlink ref="C997" r:id="rId1328" display="https://thumbcdn.com/splash/ujthl8reeds1lqrn.jpg" xr:uid="{00000000-0004-0000-0400-00002F050000}"/>
    <hyperlink ref="A998" r:id="rId1329" xr:uid="{00000000-0004-0000-0400-000030050000}"/>
    <hyperlink ref="C998" r:id="rId1330" display="https://thumbcdn.com/splash/3my2900v7ti0kdpx.jpg" xr:uid="{00000000-0004-0000-0400-000031050000}"/>
    <hyperlink ref="C999" r:id="rId1331" display="https://thumbcdn.com/splash/2g2x81uj4vpfkntr.jpg" xr:uid="{00000000-0004-0000-0400-000032050000}"/>
    <hyperlink ref="C1000" r:id="rId1332" display="https://thumbcdn.com/splash/eux6uc5pz8da4ura.jpg" xr:uid="{00000000-0004-0000-0400-000033050000}"/>
    <hyperlink ref="A1001" r:id="rId1333" xr:uid="{00000000-0004-0000-0400-000034050000}"/>
    <hyperlink ref="C1001" r:id="rId1334" display="https://thumbcdn.com/splash/6t2qe0ri79vw6ncq.jpg" xr:uid="{00000000-0004-0000-0400-000035050000}"/>
    <hyperlink ref="C1002" r:id="rId1335" display="https://thumbcdn.com/splash/ei0otncxii1jbuiw.jpg" xr:uid="{00000000-0004-0000-0400-000036050000}"/>
    <hyperlink ref="C1003" r:id="rId1336" display="https://thumbcdn.com/splash/drskmpnqucg4yios.jpg" xr:uid="{00000000-0004-0000-0400-000037050000}"/>
    <hyperlink ref="A1004" r:id="rId1337" xr:uid="{00000000-0004-0000-0400-000038050000}"/>
    <hyperlink ref="C1004" r:id="rId1338" display="https://thumbcdn.com/splash/fw0nsu8j2ng0m8qy.jpg" xr:uid="{00000000-0004-0000-0400-000039050000}"/>
    <hyperlink ref="C1005" r:id="rId1339" display="https://thumbcdn.com/splash/9tdc5yu0zdk4j49j.jpg" xr:uid="{00000000-0004-0000-0400-00003A050000}"/>
    <hyperlink ref="C1006" r:id="rId1340" display="https://thumbcdn.com/splash/6mltmt9qg1pxefjh.jpg" xr:uid="{00000000-0004-0000-0400-00003B050000}"/>
    <hyperlink ref="A1007" r:id="rId1341" xr:uid="{00000000-0004-0000-0400-00003C050000}"/>
    <hyperlink ref="C1007" r:id="rId1342" display="https://thumbcdn.com/splash/fo6uqz2a0jknc2nf.jpg" xr:uid="{00000000-0004-0000-0400-00003D050000}"/>
    <hyperlink ref="C1008" r:id="rId1343" display="https://thumbcdn.com/splash/hqjw7tmdaesr03ld.jpg" xr:uid="{00000000-0004-0000-0400-00003E050000}"/>
    <hyperlink ref="C1009" r:id="rId1344" display="https://thumbcdn.com/splash/fusfy3c3uhme382o.jpg" xr:uid="{00000000-0004-0000-0400-00003F050000}"/>
    <hyperlink ref="A1010" r:id="rId1345" xr:uid="{00000000-0004-0000-0400-000040050000}"/>
    <hyperlink ref="C1010" r:id="rId1346" display="https://thumbcdn.com/splash/ac9e94312tzwgyxy.jpg" xr:uid="{00000000-0004-0000-0400-000041050000}"/>
    <hyperlink ref="C1011" r:id="rId1347" display="https://thumbcdn.com/splash/2a5f4xd7dc316bnz.jpg" xr:uid="{00000000-0004-0000-0400-000042050000}"/>
    <hyperlink ref="C1012" r:id="rId1348" display="https://thumbcdn.com/splash/45hk7ver9k27s5r7.jpg" xr:uid="{00000000-0004-0000-0400-000043050000}"/>
    <hyperlink ref="A1013" r:id="rId1349" xr:uid="{00000000-0004-0000-0400-000044050000}"/>
    <hyperlink ref="C1013" r:id="rId1350" display="https://thumbcdn.com/splash/yanouo9jl2fak5xp.jpg" xr:uid="{00000000-0004-0000-0400-000045050000}"/>
    <hyperlink ref="C1014" r:id="rId1351" display="https://thumbcdn.com/splash/pqvvfsfwfxbyhfpu.jpg" xr:uid="{00000000-0004-0000-0400-000046050000}"/>
    <hyperlink ref="C1015" r:id="rId1352" display="https://thumbcdn.com/splash/wa3v0k9m7jpuee9h.jpg" xr:uid="{00000000-0004-0000-0400-000047050000}"/>
    <hyperlink ref="A1016" r:id="rId1353" xr:uid="{00000000-0004-0000-0400-000048050000}"/>
    <hyperlink ref="C1016" r:id="rId1354" display="https://thumbcdn.com/splash/knenqr50mwd6ixia.jpg" xr:uid="{00000000-0004-0000-0400-000049050000}"/>
    <hyperlink ref="C1017" r:id="rId1355" display="https://thumbcdn.com/splash/18d5dmspvwr9eyoc.jpg" xr:uid="{00000000-0004-0000-0400-00004A050000}"/>
    <hyperlink ref="C1018" r:id="rId1356" display="https://thumbcdn.com/splash/bx2l8w3sxl3vu3qb.jpg" xr:uid="{00000000-0004-0000-0400-00004B050000}"/>
    <hyperlink ref="A1019" r:id="rId1357" xr:uid="{00000000-0004-0000-0400-00004C050000}"/>
    <hyperlink ref="C1019" r:id="rId1358" display="https://thumbcdn.com/splash/4rk87it7din0ofn5.jpg" xr:uid="{00000000-0004-0000-0400-00004D050000}"/>
    <hyperlink ref="C1020" r:id="rId1359" display="https://thumbcdn.com/splash/p9r9ha5yffe7cgl6.jpg" xr:uid="{00000000-0004-0000-0400-00004E050000}"/>
    <hyperlink ref="C1021" r:id="rId1360" display="https://thumbcdn.com/splash/ka4f5hvw8o10wnmj.jpg" xr:uid="{00000000-0004-0000-0400-00004F050000}"/>
    <hyperlink ref="A1022" r:id="rId1361" xr:uid="{00000000-0004-0000-0400-000050050000}"/>
    <hyperlink ref="C1022" r:id="rId1362" display="https://thumbcdn.com/splash/20zshgia87s3e9mk.jpg" xr:uid="{00000000-0004-0000-0400-000051050000}"/>
    <hyperlink ref="C1023" r:id="rId1363" display="https://thumbcdn.com/splash/osl0xqpaahwxn2ch.jpg" xr:uid="{00000000-0004-0000-0400-000052050000}"/>
    <hyperlink ref="C1024" r:id="rId1364" display="https://thumbcdn.com/splash/vjagopnaktg8o82m.jpg" xr:uid="{00000000-0004-0000-0400-000053050000}"/>
    <hyperlink ref="A1025" r:id="rId1365" xr:uid="{00000000-0004-0000-0400-000054050000}"/>
    <hyperlink ref="C1025" r:id="rId1366" display="https://thumbcdn.com/splash/5afw0eq5kt49mlsk.jpg" xr:uid="{00000000-0004-0000-0400-000055050000}"/>
    <hyperlink ref="C1026" r:id="rId1367" display="https://thumbcdn.com/splash/8i5v4yrzt0ddgvuy.jpg" xr:uid="{00000000-0004-0000-0400-000056050000}"/>
    <hyperlink ref="C1027" r:id="rId1368" display="https://thumbcdn.com/splash/5vo5icxj6p87r9ae.jpg" xr:uid="{00000000-0004-0000-0400-000057050000}"/>
    <hyperlink ref="A1028" r:id="rId1369" xr:uid="{00000000-0004-0000-0400-000058050000}"/>
    <hyperlink ref="C1028" r:id="rId1370" display="https://thumbcdn.com/splash/rtx23i5aj6ezx0hi.jpg" xr:uid="{00000000-0004-0000-0400-000059050000}"/>
    <hyperlink ref="C1029" r:id="rId1371" display="https://thumbcdn.com/splash/xsf3opf9xxd3m6r9.jpg" xr:uid="{00000000-0004-0000-0400-00005A050000}"/>
    <hyperlink ref="C1030" r:id="rId1372" display="https://thumbcdn.com/splash/vyvjuyogwonzhgvp.jpg" xr:uid="{00000000-0004-0000-0400-00005B050000}"/>
    <hyperlink ref="A1031" r:id="rId1373" xr:uid="{00000000-0004-0000-0400-00005C050000}"/>
    <hyperlink ref="C1031" r:id="rId1374" display="https://thumbcdn.com/splash/gkwdtkzeuxq3ivvm.jpg" xr:uid="{00000000-0004-0000-0400-00005D050000}"/>
    <hyperlink ref="C1032" r:id="rId1375" display="https://thumbcdn.com/splash/bf1xgilu6iqfwbut.jpg" xr:uid="{00000000-0004-0000-0400-00005E050000}"/>
    <hyperlink ref="C1033" r:id="rId1376" display="https://thumbcdn.com/splash/f7oiv195yxqbzbnj.jpg" xr:uid="{00000000-0004-0000-0400-00005F050000}"/>
    <hyperlink ref="A1034" r:id="rId1377" xr:uid="{00000000-0004-0000-0400-000060050000}"/>
    <hyperlink ref="C1034" r:id="rId1378" display="https://thumbcdn.com/splash/fjvvntw2c06vzom7.jpg" xr:uid="{00000000-0004-0000-0400-000061050000}"/>
    <hyperlink ref="C1035" r:id="rId1379" display="https://thumbcdn.com/splash/bsive4ddj8ftei41.jpg" xr:uid="{00000000-0004-0000-0400-000062050000}"/>
    <hyperlink ref="C1036" r:id="rId1380" display="https://thumbcdn.com/splash/9bnxv5qps3ft2c6k.jpg" xr:uid="{00000000-0004-0000-0400-000063050000}"/>
    <hyperlink ref="A1037" r:id="rId1381" xr:uid="{00000000-0004-0000-0400-000064050000}"/>
    <hyperlink ref="C1037" r:id="rId1382" display="https://thumbcdn.com/splash/ao9ww0m46fbqj8zi.jpg" xr:uid="{00000000-0004-0000-0400-000065050000}"/>
    <hyperlink ref="C1038" r:id="rId1383" display="https://thumbcdn.com/splash/qv4pwcwzhm41mj3m.jpg" xr:uid="{00000000-0004-0000-0400-000066050000}"/>
    <hyperlink ref="C1039" r:id="rId1384" display="https://thumbcdn.com/splash/e74ck54qydy0iims.jpg" xr:uid="{00000000-0004-0000-0400-000067050000}"/>
    <hyperlink ref="A1040" r:id="rId1385" xr:uid="{00000000-0004-0000-0400-000068050000}"/>
    <hyperlink ref="C1040" r:id="rId1386" display="https://thumbcdn.com/splash/uypcrow1mo1yz7sf.jpg" xr:uid="{00000000-0004-0000-0400-000069050000}"/>
    <hyperlink ref="C1041" r:id="rId1387" display="https://thumbcdn.com/splash/njg0hcsg65mila2x.jpg" xr:uid="{00000000-0004-0000-0400-00006A050000}"/>
    <hyperlink ref="C1042" r:id="rId1388" display="https://thumbcdn.com/splash/ct18we6wa9k9dbm6.jpg" xr:uid="{00000000-0004-0000-0400-00006B050000}"/>
    <hyperlink ref="A1043" r:id="rId1389" xr:uid="{00000000-0004-0000-0400-00006C050000}"/>
    <hyperlink ref="C1043" r:id="rId1390" display="https://thumbcdn.com/splash/nhqnov7n82joj541.jpg" xr:uid="{00000000-0004-0000-0400-00006D050000}"/>
    <hyperlink ref="C1044" r:id="rId1391" display="https://thumbcdn.com/splash/lsxvn3uq85bek2ls.jpg" xr:uid="{00000000-0004-0000-0400-00006E050000}"/>
    <hyperlink ref="C1045" r:id="rId1392" display="https://thumbcdn.com/splash/5cw43sbpocmhcm72.jpg" xr:uid="{00000000-0004-0000-0400-00006F050000}"/>
    <hyperlink ref="A1046" r:id="rId1393" xr:uid="{00000000-0004-0000-0400-000070050000}"/>
    <hyperlink ref="C1046" r:id="rId1394" display="https://thumbcdn.com/splash/vox3khkhbr82lqpg.jpg" xr:uid="{00000000-0004-0000-0400-000071050000}"/>
    <hyperlink ref="C1047" r:id="rId1395" display="https://thumbcdn.com/splash/xrvdu22efltkbo9g.jpg" xr:uid="{00000000-0004-0000-0400-000072050000}"/>
    <hyperlink ref="C1048" r:id="rId1396" display="https://thumbcdn.com/splash/gciv94tk2hkscsxu.jpg" xr:uid="{00000000-0004-0000-0400-000073050000}"/>
    <hyperlink ref="A1049" r:id="rId1397" xr:uid="{00000000-0004-0000-0400-000074050000}"/>
    <hyperlink ref="C1049" r:id="rId1398" display="https://thumbcdn.com/splash/tu50x3bdtodwgpxw.jpg" xr:uid="{00000000-0004-0000-0400-000075050000}"/>
    <hyperlink ref="C1050" r:id="rId1399" display="https://thumbcdn.com/splash/uju3yg600h1dgevu.jpg" xr:uid="{00000000-0004-0000-0400-000076050000}"/>
    <hyperlink ref="C1051" r:id="rId1400" display="https://thumbcdn.com/splash/po6h7r2o3wb7uep2.jpg" xr:uid="{00000000-0004-0000-0400-000077050000}"/>
    <hyperlink ref="A1052" r:id="rId1401" xr:uid="{00000000-0004-0000-0400-000078050000}"/>
    <hyperlink ref="C1052" r:id="rId1402" display="https://thumbcdn.com/splash/mxfdb2qrnysc1n1c.jpg" xr:uid="{00000000-0004-0000-0400-000079050000}"/>
    <hyperlink ref="C1053" r:id="rId1403" display="https://thumbcdn.com/splash/0p864f4fkkv1h33g.jpg" xr:uid="{00000000-0004-0000-0400-00007A050000}"/>
    <hyperlink ref="C1054" r:id="rId1404" display="https://thumbcdn.com/splash/sds3wtl0weojpfop.jpg" xr:uid="{00000000-0004-0000-0400-00007B050000}"/>
    <hyperlink ref="A1055" r:id="rId1405" xr:uid="{00000000-0004-0000-0400-00007C050000}"/>
    <hyperlink ref="C1055" r:id="rId1406" display="https://thumbcdn.com/splash/p0q925fro0vkpyka.jpg" xr:uid="{00000000-0004-0000-0400-00007D050000}"/>
    <hyperlink ref="C1056" r:id="rId1407" display="https://thumbcdn.com/splash/iw1coteqzbfj8chq.jpg" xr:uid="{00000000-0004-0000-0400-00007E050000}"/>
    <hyperlink ref="C1057" r:id="rId1408" display="https://thumbcdn.com/splash/c8vskzx9ps698af2.jpg" xr:uid="{00000000-0004-0000-0400-00007F050000}"/>
    <hyperlink ref="A1058" r:id="rId1409" xr:uid="{00000000-0004-0000-0400-000080050000}"/>
    <hyperlink ref="C1058" r:id="rId1410" display="https://thumbcdn.com/splash/emd9kc32tmryincb.jpg" xr:uid="{00000000-0004-0000-0400-000081050000}"/>
    <hyperlink ref="C1059" r:id="rId1411" display="https://thumbcdn.com/splash/v3du4yex7onkfpp6.jpg" xr:uid="{00000000-0004-0000-0400-000082050000}"/>
    <hyperlink ref="C1060" r:id="rId1412" display="https://thumbcdn.com/splash/mvhosheu00u8o2w9.jpg" xr:uid="{00000000-0004-0000-0400-000083050000}"/>
    <hyperlink ref="A1061" r:id="rId1413" xr:uid="{00000000-0004-0000-0400-000084050000}"/>
    <hyperlink ref="C1061" r:id="rId1414" display="https://thumbcdn.com/splash/gpxsr9xv79ao7vz3.jpg" xr:uid="{00000000-0004-0000-0400-000085050000}"/>
    <hyperlink ref="C1062" r:id="rId1415" display="https://thumbcdn.com/splash/0ubg0maxcjjqh0b7.jpg" xr:uid="{00000000-0004-0000-0400-000086050000}"/>
    <hyperlink ref="C1063" r:id="rId1416" display="https://thumbcdn.com/splash/sw0risa5w4pk4tar.jpg" xr:uid="{00000000-0004-0000-0400-000087050000}"/>
    <hyperlink ref="A1064" r:id="rId1417" xr:uid="{00000000-0004-0000-0400-000088050000}"/>
    <hyperlink ref="C1064" r:id="rId1418" display="https://thumbcdn.com/splash/4fplhpz4xkh2a309.jpg" xr:uid="{00000000-0004-0000-0400-000089050000}"/>
    <hyperlink ref="C1065" r:id="rId1419" display="https://thumbcdn.com/splash/htvg831epaqgsysw.jpg" xr:uid="{00000000-0004-0000-0400-00008A050000}"/>
    <hyperlink ref="C1066" r:id="rId1420" display="https://thumbcdn.com/splash/faoe8tx4xezvk0am.jpg" xr:uid="{00000000-0004-0000-0400-00008B050000}"/>
    <hyperlink ref="A1067" r:id="rId1421" xr:uid="{00000000-0004-0000-0400-00008C050000}"/>
    <hyperlink ref="C1067" r:id="rId1422" display="https://thumbcdn.com/splash/rca2jtd39l4f5j0x.jpg" xr:uid="{00000000-0004-0000-0400-00008D050000}"/>
    <hyperlink ref="C1068" r:id="rId1423" display="https://thumbcdn.com/splash/hyak0jd89a234w0o.jpg" xr:uid="{00000000-0004-0000-0400-00008E050000}"/>
    <hyperlink ref="C1069" r:id="rId1424" display="https://thumbcdn.com/splash/s7etip2tjldzj7w0.jpg" xr:uid="{00000000-0004-0000-0400-00008F050000}"/>
    <hyperlink ref="A1070" r:id="rId1425" xr:uid="{00000000-0004-0000-0400-000090050000}"/>
    <hyperlink ref="C1070" r:id="rId1426" display="https://thumbcdn.com/splash/i8mkubb7nulydcii.jpg" xr:uid="{00000000-0004-0000-0400-000091050000}"/>
    <hyperlink ref="C1071" r:id="rId1427" display="https://thumbcdn.com/splash/qgaiqpt9gx057o5u.jpg" xr:uid="{00000000-0004-0000-0400-000092050000}"/>
    <hyperlink ref="C1072" r:id="rId1428" display="https://thumbcdn.com/splash/b1nwguzdrodgztry.jpg" xr:uid="{00000000-0004-0000-0400-000093050000}"/>
    <hyperlink ref="A1073" r:id="rId1429" xr:uid="{00000000-0004-0000-0400-000094050000}"/>
    <hyperlink ref="C1073" r:id="rId1430" display="https://thumbcdn.com/splash/pto0ml9mfzubbqoj.jpg" xr:uid="{00000000-0004-0000-0400-000095050000}"/>
    <hyperlink ref="C1074" r:id="rId1431" display="https://thumbcdn.com/splash/9eusu3gbs4sl4mbp.jpg" xr:uid="{00000000-0004-0000-0400-000096050000}"/>
    <hyperlink ref="C1075" r:id="rId1432" display="https://thumbcdn.com/splash/ihmcb37c67chi2d0.jpg" xr:uid="{00000000-0004-0000-0400-000097050000}"/>
    <hyperlink ref="A1076" r:id="rId1433" xr:uid="{00000000-0004-0000-0400-000098050000}"/>
    <hyperlink ref="C1076" r:id="rId1434" display="https://thumbcdn.com/splash/u8lyhh11448yfcom.jpg" xr:uid="{00000000-0004-0000-0400-000099050000}"/>
    <hyperlink ref="C1077" r:id="rId1435" display="https://thumbcdn.com/splash/024y7juh5o5tue1h.jpg" xr:uid="{00000000-0004-0000-0400-00009A050000}"/>
    <hyperlink ref="C1078" r:id="rId1436" display="https://thumbcdn.com/splash/2tbjr6xp98a3epm0.jpg" xr:uid="{00000000-0004-0000-0400-00009B050000}"/>
    <hyperlink ref="A1079" r:id="rId1437" xr:uid="{00000000-0004-0000-0400-00009C050000}"/>
    <hyperlink ref="C1079" r:id="rId1438" display="https://thumbcdn.com/splash/88b1s2s1bqdcmh6y.jpg" xr:uid="{00000000-0004-0000-0400-00009D050000}"/>
    <hyperlink ref="C1080" r:id="rId1439" display="https://thumbcdn.com/splash/ffepxzuw1oe0irgl.jpg" xr:uid="{00000000-0004-0000-0400-00009E050000}"/>
    <hyperlink ref="C1081" r:id="rId1440" display="https://thumbcdn.com/splash/72xj8o0943w3r2r6.jpg" xr:uid="{00000000-0004-0000-0400-00009F050000}"/>
    <hyperlink ref="A1082" r:id="rId1441" xr:uid="{00000000-0004-0000-0400-0000A0050000}"/>
    <hyperlink ref="C1082" r:id="rId1442" display="https://thumbcdn.com/splash/zgfy5xmhgp0h07em.jpg" xr:uid="{00000000-0004-0000-0400-0000A1050000}"/>
    <hyperlink ref="C1083" r:id="rId1443" display="https://thumbcdn.com/splash/sv2buu5d2nusjoou.jpg" xr:uid="{00000000-0004-0000-0400-0000A2050000}"/>
    <hyperlink ref="C1084" r:id="rId1444" display="https://thumbcdn.com/splash/j60poub18bqv6w76.jpg" xr:uid="{00000000-0004-0000-0400-0000A3050000}"/>
    <hyperlink ref="A1085" r:id="rId1445" xr:uid="{00000000-0004-0000-0400-0000A4050000}"/>
    <hyperlink ref="C1085" r:id="rId1446" display="https://thumbcdn.com/splash/iv5kts0r91bvxi7j.jpg" xr:uid="{00000000-0004-0000-0400-0000A5050000}"/>
    <hyperlink ref="C1086" r:id="rId1447" display="https://thumbcdn.com/splash/k10azktmwf0irewg.jpg" xr:uid="{00000000-0004-0000-0400-0000A6050000}"/>
    <hyperlink ref="C1087" r:id="rId1448" display="https://thumbcdn.com/splash/emnpld47ewm90w8b.jpg" xr:uid="{00000000-0004-0000-0400-0000A7050000}"/>
    <hyperlink ref="A1088" r:id="rId1449" xr:uid="{00000000-0004-0000-0400-0000A8050000}"/>
    <hyperlink ref="C1088" r:id="rId1450" display="https://thumbcdn.com/splash/5nrtll6scvtby4xo.jpg" xr:uid="{00000000-0004-0000-0400-0000A9050000}"/>
    <hyperlink ref="C1089" r:id="rId1451" display="https://thumbcdn.com/splash/uk8nkrn8qu7ul5yq.jpg" xr:uid="{00000000-0004-0000-0400-0000AA050000}"/>
    <hyperlink ref="C1090" r:id="rId1452" display="https://thumbcdn.com/splash/5eamuq4uwf7lbark.jpg" xr:uid="{00000000-0004-0000-0400-0000AB050000}"/>
    <hyperlink ref="A1091" r:id="rId1453" xr:uid="{00000000-0004-0000-0400-0000AC050000}"/>
    <hyperlink ref="C1091" r:id="rId1454" display="https://thumbcdn.com/splash/ceh6zgoavwi7moh5.jpg" xr:uid="{00000000-0004-0000-0400-0000AD050000}"/>
    <hyperlink ref="C1092" r:id="rId1455" display="https://thumbcdn.com/splash/bbqel3qlcipbgtyi.jpg" xr:uid="{00000000-0004-0000-0400-0000AE050000}"/>
    <hyperlink ref="C1093" r:id="rId1456" display="https://thumbcdn.com/splash/avvzh582jpuawosn.jpg" xr:uid="{00000000-0004-0000-0400-0000AF050000}"/>
    <hyperlink ref="A1094" r:id="rId1457" xr:uid="{00000000-0004-0000-0400-0000B0050000}"/>
    <hyperlink ref="C1094" r:id="rId1458" display="https://thumbcdn.com/splash/b03s9jyiyf6v6kml.jpg" xr:uid="{00000000-0004-0000-0400-0000B1050000}"/>
    <hyperlink ref="C1095" r:id="rId1459" display="https://thumbcdn.com/splash/drxepnpru24kh2x5.jpg" xr:uid="{00000000-0004-0000-0400-0000B2050000}"/>
    <hyperlink ref="C1096" r:id="rId1460" display="https://thumbcdn.com/splash/l94ke6npczfmr8oj.jpg" xr:uid="{00000000-0004-0000-0400-0000B3050000}"/>
    <hyperlink ref="A1097" r:id="rId1461" xr:uid="{00000000-0004-0000-0400-0000B4050000}"/>
    <hyperlink ref="C1097" r:id="rId1462" display="https://thumbcdn.com/splash/grl4g2l8ac99l15s.jpg" xr:uid="{00000000-0004-0000-0400-0000B5050000}"/>
    <hyperlink ref="C1098" r:id="rId1463" display="https://thumbcdn.com/splash/5v0cvc8uzuhr5c4f.jpg" xr:uid="{00000000-0004-0000-0400-0000B6050000}"/>
    <hyperlink ref="C1099" r:id="rId1464" display="https://thumbcdn.com/splash/o58xl88ykfiobwv0.jpg" xr:uid="{00000000-0004-0000-0400-0000B7050000}"/>
    <hyperlink ref="A1100" r:id="rId1465" xr:uid="{00000000-0004-0000-0400-0000B8050000}"/>
    <hyperlink ref="C1100" r:id="rId1466" display="https://thumbcdn.com/splash/kkkbcrmlaxsvbxtu.jpg" xr:uid="{00000000-0004-0000-0400-0000B9050000}"/>
    <hyperlink ref="C1101" r:id="rId1467" display="https://thumbcdn.com/splash/icx4zmvv2iyq46sk.jpg" xr:uid="{00000000-0004-0000-0400-0000BA050000}"/>
    <hyperlink ref="C1102" r:id="rId1468" display="https://thumbcdn.com/splash/wozj1n06l2yy2mv5.jpg" xr:uid="{00000000-0004-0000-0400-0000BB050000}"/>
    <hyperlink ref="A1103" r:id="rId1469" xr:uid="{00000000-0004-0000-0400-0000BC050000}"/>
    <hyperlink ref="C1103" r:id="rId1470" display="https://thumbcdn.com/splash/csnuqgb70zz489iv.jpg" xr:uid="{00000000-0004-0000-0400-0000BD050000}"/>
    <hyperlink ref="C1104" r:id="rId1471" display="https://thumbcdn.com/splash/tsnqov63t50jcdnf.jpg" xr:uid="{00000000-0004-0000-0400-0000BE050000}"/>
    <hyperlink ref="C1105" r:id="rId1472" display="https://thumbcdn.com/splash/t5qlf04kh9mup0gw.jpg" xr:uid="{00000000-0004-0000-0400-0000BF050000}"/>
    <hyperlink ref="A1106" r:id="rId1473" xr:uid="{00000000-0004-0000-0400-0000C0050000}"/>
    <hyperlink ref="C1106" r:id="rId1474" display="https://thumbcdn.com/splash/1o0azmclssebmnp9.jpg" xr:uid="{00000000-0004-0000-0400-0000C1050000}"/>
    <hyperlink ref="C1107" r:id="rId1475" display="https://thumbcdn.com/splash/804ifn0ggr20ah6a.jpg" xr:uid="{00000000-0004-0000-0400-0000C2050000}"/>
    <hyperlink ref="C1108" r:id="rId1476" display="https://thumbcdn.com/splash/tcaz0u6gf9lnbugq.jpg" xr:uid="{00000000-0004-0000-0400-0000C3050000}"/>
    <hyperlink ref="A1109" r:id="rId1477" xr:uid="{00000000-0004-0000-0400-0000C4050000}"/>
    <hyperlink ref="C1109" r:id="rId1478" display="https://thumbcdn.com/splash/dtyjcnctgltsxjyk.jpg" xr:uid="{00000000-0004-0000-0400-0000C5050000}"/>
    <hyperlink ref="C1110" r:id="rId1479" display="https://thumbcdn.com/splash/pve6hbs0ms7kvpqi.jpg" xr:uid="{00000000-0004-0000-0400-0000C6050000}"/>
    <hyperlink ref="C1111" r:id="rId1480" display="https://thumbcdn.com/splash/0w0wui41zxj7lsvv.jpg" xr:uid="{00000000-0004-0000-0400-0000C7050000}"/>
    <hyperlink ref="A1112" r:id="rId1481" xr:uid="{00000000-0004-0000-0400-0000C8050000}"/>
    <hyperlink ref="C1112" r:id="rId1482" display="https://thumbcdn.com/splash/iyivkzaeh0pg31g9.jpg" xr:uid="{00000000-0004-0000-0400-0000C9050000}"/>
    <hyperlink ref="C1113" r:id="rId1483" display="https://thumbcdn.com/splash/8j5bq2w32sy8f1jp.jpg" xr:uid="{00000000-0004-0000-0400-0000CA050000}"/>
    <hyperlink ref="C1114" r:id="rId1484" display="https://thumbcdn.com/splash/ibvlbfvr6iwdxvwd.jpg" xr:uid="{00000000-0004-0000-0400-0000CB050000}"/>
    <hyperlink ref="A1115" r:id="rId1485" xr:uid="{00000000-0004-0000-0400-0000CC050000}"/>
    <hyperlink ref="C1115" r:id="rId1486" display="https://thumbcdn.com/splash/mxmrzxefpndmo7uf.jpg" xr:uid="{00000000-0004-0000-0400-0000CD050000}"/>
    <hyperlink ref="C1116" r:id="rId1487" display="https://thumbcdn.com/splash/sdiyrkz6cfjaurel.jpg" xr:uid="{00000000-0004-0000-0400-0000CE050000}"/>
    <hyperlink ref="C1117" r:id="rId1488" display="https://thumbcdn.com/splash/8y64adf7w5zxbscu.jpg" xr:uid="{00000000-0004-0000-0400-0000CF050000}"/>
    <hyperlink ref="A1118" r:id="rId1489" xr:uid="{00000000-0004-0000-0400-0000D0050000}"/>
    <hyperlink ref="C1118" r:id="rId1490" display="https://thumbcdn.com/splash/g2rcd36k692l49om.jpg" xr:uid="{00000000-0004-0000-0400-0000D1050000}"/>
    <hyperlink ref="C1119" r:id="rId1491" display="https://thumbcdn.com/splash/jmbq6ogq1ki20vj4.jpg" xr:uid="{00000000-0004-0000-0400-0000D2050000}"/>
    <hyperlink ref="C1120" r:id="rId1492" display="https://thumbcdn.com/splash/go1eywmddq9tm4vz.jpg" xr:uid="{00000000-0004-0000-0400-0000D3050000}"/>
    <hyperlink ref="A1121" r:id="rId1493" xr:uid="{00000000-0004-0000-0400-0000D4050000}"/>
    <hyperlink ref="C1121" r:id="rId1494" display="https://thumbcdn.com/splash/b1l98o1tpsudb8g6.jpg" xr:uid="{00000000-0004-0000-0400-0000D5050000}"/>
    <hyperlink ref="C1122" r:id="rId1495" display="https://thumbcdn.com/splash/lyi7aciyv03ru733.jpg" xr:uid="{00000000-0004-0000-0400-0000D6050000}"/>
    <hyperlink ref="C1123" r:id="rId1496" display="https://thumbcdn.com/splash/nede3ob7fkqzcowe.jpg" xr:uid="{00000000-0004-0000-0400-0000D7050000}"/>
    <hyperlink ref="A1124" r:id="rId1497" xr:uid="{00000000-0004-0000-0400-0000D8050000}"/>
    <hyperlink ref="C1124" r:id="rId1498" display="https://thumbcdn.com/splash/wn8w3lnm6naag7vz.jpg" xr:uid="{00000000-0004-0000-0400-0000D9050000}"/>
    <hyperlink ref="C1125" r:id="rId1499" display="https://thumbcdn.com/splash/byycq32k4n9n7vl6.jpg" xr:uid="{00000000-0004-0000-0400-0000DA050000}"/>
    <hyperlink ref="C1126" r:id="rId1500" display="https://thumbcdn.com/splash/jpjylyklofbi8efk.jpg" xr:uid="{00000000-0004-0000-0400-0000DB050000}"/>
    <hyperlink ref="A1127" r:id="rId1501" xr:uid="{00000000-0004-0000-0400-0000DC050000}"/>
    <hyperlink ref="C1127" r:id="rId1502" display="https://thumbcdn.com/splash/65hfq4yzuneuxo7z.jpg" xr:uid="{00000000-0004-0000-0400-0000DD050000}"/>
    <hyperlink ref="C1128" r:id="rId1503" display="https://thumbcdn.com/splash/pkzuxrn8svwnt9or.jpg" xr:uid="{00000000-0004-0000-0400-0000DE050000}"/>
    <hyperlink ref="C1129" r:id="rId1504" display="https://thumbcdn.com/splash/tcxl1kfuxx9qo440.jpg" xr:uid="{00000000-0004-0000-0400-0000DF050000}"/>
    <hyperlink ref="A1130" r:id="rId1505" xr:uid="{00000000-0004-0000-0400-0000E0050000}"/>
    <hyperlink ref="C1130" r:id="rId1506" display="https://thumbcdn.com/splash/1cztm70f1jw9weau.jpg" xr:uid="{00000000-0004-0000-0400-0000E1050000}"/>
    <hyperlink ref="C1131" r:id="rId1507" display="https://thumbcdn.com/splash/3yudjjyh0fq5x25r.jpg" xr:uid="{00000000-0004-0000-0400-0000E2050000}"/>
    <hyperlink ref="C1132" r:id="rId1508" display="https://thumbcdn.com/splash/cj5tdau6x95qjpsp.jpg" xr:uid="{00000000-0004-0000-0400-0000E3050000}"/>
    <hyperlink ref="A1133" r:id="rId1509" xr:uid="{00000000-0004-0000-0400-0000E4050000}"/>
    <hyperlink ref="C1133" r:id="rId1510" display="https://thumbcdn.com/splash/rc8wsef7mtb4g4l9.jpg" xr:uid="{00000000-0004-0000-0400-0000E5050000}"/>
    <hyperlink ref="C1134" r:id="rId1511" display="https://thumbcdn.com/splash/xtyl3sqbsv2vdqvk.jpg" xr:uid="{00000000-0004-0000-0400-0000E6050000}"/>
    <hyperlink ref="C1135" r:id="rId1512" display="https://thumbcdn.com/splash/hw3jrd1lfs2sgp6e.jpg" xr:uid="{00000000-0004-0000-0400-0000E7050000}"/>
    <hyperlink ref="A1136" r:id="rId1513" xr:uid="{00000000-0004-0000-0400-0000E8050000}"/>
    <hyperlink ref="C1136" r:id="rId1514" display="https://thumbcdn.com/splash/xlfcnrpge0470ouw.jpg" xr:uid="{00000000-0004-0000-0400-0000E9050000}"/>
    <hyperlink ref="C1137" r:id="rId1515" display="https://thumbcdn.com/splash/xfb08roas1l9b37n.jpg" xr:uid="{00000000-0004-0000-0400-0000EA050000}"/>
    <hyperlink ref="C1138" r:id="rId1516" display="https://thumbcdn.com/splash/b9ssyadbw1zc7fbw.jpg" xr:uid="{00000000-0004-0000-0400-0000EB050000}"/>
    <hyperlink ref="A1139" r:id="rId1517" xr:uid="{00000000-0004-0000-0400-0000EC050000}"/>
    <hyperlink ref="C1139" r:id="rId1518" display="https://thumbcdn.com/splash/lv0ph6vdcoz2pi18.jpg" xr:uid="{00000000-0004-0000-0400-0000ED050000}"/>
    <hyperlink ref="C1140" r:id="rId1519" display="https://thumbcdn.com/splash/6snff75e7g8384v5.jpg" xr:uid="{00000000-0004-0000-0400-0000EE050000}"/>
    <hyperlink ref="C1141" r:id="rId1520" display="https://thumbcdn.com/splash/gdfgcsg9aa3014ue.jpg" xr:uid="{00000000-0004-0000-0400-0000EF050000}"/>
    <hyperlink ref="A1142" r:id="rId1521" xr:uid="{00000000-0004-0000-0400-0000F0050000}"/>
    <hyperlink ref="A1145" r:id="rId1522" xr:uid="{00000000-0004-0000-0400-0000F1050000}"/>
    <hyperlink ref="A1148" r:id="rId1523" xr:uid="{00000000-0004-0000-0400-0000F2050000}"/>
    <hyperlink ref="A1151" r:id="rId1524" xr:uid="{00000000-0004-0000-0400-0000F3050000}"/>
    <hyperlink ref="A1154" r:id="rId1525" xr:uid="{00000000-0004-0000-0400-0000F4050000}"/>
    <hyperlink ref="A1157" r:id="rId1526" xr:uid="{00000000-0004-0000-0400-0000F5050000}"/>
    <hyperlink ref="A1160" r:id="rId1527" xr:uid="{00000000-0004-0000-0400-0000F6050000}"/>
    <hyperlink ref="A1163" r:id="rId1528" xr:uid="{00000000-0004-0000-0400-0000F7050000}"/>
    <hyperlink ref="A1166" r:id="rId1529" xr:uid="{00000000-0004-0000-0400-0000F8050000}"/>
    <hyperlink ref="A1169" r:id="rId1530" xr:uid="{00000000-0004-0000-0400-0000F9050000}"/>
    <hyperlink ref="A1172" r:id="rId1531" xr:uid="{00000000-0004-0000-0400-0000FA050000}"/>
    <hyperlink ref="A1175" r:id="rId1532" xr:uid="{00000000-0004-0000-0400-0000FB050000}"/>
    <hyperlink ref="A1178" r:id="rId1533" xr:uid="{00000000-0004-0000-0400-0000FC050000}"/>
    <hyperlink ref="A1181" r:id="rId1534" xr:uid="{00000000-0004-0000-0400-0000FD050000}"/>
    <hyperlink ref="A1184" r:id="rId1535" xr:uid="{00000000-0004-0000-0400-0000FE050000}"/>
    <hyperlink ref="A1187" r:id="rId1536" xr:uid="{00000000-0004-0000-0400-0000FF050000}"/>
    <hyperlink ref="A1190" r:id="rId1537" xr:uid="{00000000-0004-0000-0400-000000060000}"/>
    <hyperlink ref="A1193" r:id="rId1538" xr:uid="{00000000-0004-0000-0400-000001060000}"/>
    <hyperlink ref="A1196" r:id="rId1539" xr:uid="{00000000-0004-0000-0400-000002060000}"/>
    <hyperlink ref="A1199" r:id="rId1540" xr:uid="{00000000-0004-0000-0400-000003060000}"/>
    <hyperlink ref="A1202" r:id="rId1541" xr:uid="{00000000-0004-0000-0400-000004060000}"/>
    <hyperlink ref="A1205" r:id="rId1542" xr:uid="{00000000-0004-0000-0400-000005060000}"/>
    <hyperlink ref="A1208" r:id="rId1543" xr:uid="{00000000-0004-0000-0400-000006060000}"/>
    <hyperlink ref="A1211" r:id="rId1544" xr:uid="{00000000-0004-0000-0400-000007060000}"/>
    <hyperlink ref="A1214" r:id="rId1545" xr:uid="{00000000-0004-0000-0400-000008060000}"/>
    <hyperlink ref="A1217" r:id="rId1546" xr:uid="{00000000-0004-0000-0400-000009060000}"/>
    <hyperlink ref="A1220" r:id="rId1547" xr:uid="{00000000-0004-0000-0400-00000A060000}"/>
    <hyperlink ref="A1223" r:id="rId1548" xr:uid="{00000000-0004-0000-0400-00000B060000}"/>
    <hyperlink ref="A1226" r:id="rId1549" xr:uid="{00000000-0004-0000-0400-00000C060000}"/>
    <hyperlink ref="A1229" r:id="rId1550" xr:uid="{00000000-0004-0000-0400-00000D060000}"/>
    <hyperlink ref="A1232" r:id="rId1551" xr:uid="{00000000-0004-0000-0400-00000E060000}"/>
    <hyperlink ref="A1235" r:id="rId1552" xr:uid="{00000000-0004-0000-0400-00000F060000}"/>
    <hyperlink ref="A1238" r:id="rId1553" xr:uid="{00000000-0004-0000-0400-000010060000}"/>
    <hyperlink ref="A1241" r:id="rId1554" xr:uid="{00000000-0004-0000-0400-000011060000}"/>
    <hyperlink ref="A1244" r:id="rId1555" xr:uid="{00000000-0004-0000-0400-000012060000}"/>
    <hyperlink ref="A1247" r:id="rId1556" xr:uid="{00000000-0004-0000-0400-000013060000}"/>
    <hyperlink ref="A1250" r:id="rId1557" xr:uid="{00000000-0004-0000-0400-000014060000}"/>
    <hyperlink ref="A1253" r:id="rId1558" xr:uid="{00000000-0004-0000-0400-000015060000}"/>
    <hyperlink ref="A1256" r:id="rId1559" xr:uid="{00000000-0004-0000-0400-000016060000}"/>
    <hyperlink ref="A1259" r:id="rId1560" xr:uid="{00000000-0004-0000-0400-000017060000}"/>
    <hyperlink ref="A1262" r:id="rId1561" xr:uid="{00000000-0004-0000-0400-000018060000}"/>
    <hyperlink ref="A1265" r:id="rId1562" xr:uid="{00000000-0004-0000-0400-000019060000}"/>
    <hyperlink ref="A1268" r:id="rId1563" xr:uid="{00000000-0004-0000-0400-00001A060000}"/>
    <hyperlink ref="A1271" r:id="rId1564" xr:uid="{00000000-0004-0000-0400-00001B060000}"/>
    <hyperlink ref="A1274" r:id="rId1565" xr:uid="{00000000-0004-0000-0400-00001C060000}"/>
    <hyperlink ref="A1277" r:id="rId1566" xr:uid="{00000000-0004-0000-0400-00001D060000}"/>
    <hyperlink ref="A1280" r:id="rId1567" xr:uid="{00000000-0004-0000-0400-00001E060000}"/>
    <hyperlink ref="A1283" r:id="rId1568" xr:uid="{00000000-0004-0000-0400-00001F060000}"/>
    <hyperlink ref="A1286" r:id="rId1569" xr:uid="{00000000-0004-0000-0400-000020060000}"/>
    <hyperlink ref="A1289" r:id="rId1570" xr:uid="{00000000-0004-0000-0400-000021060000}"/>
    <hyperlink ref="A1292" r:id="rId1571" xr:uid="{00000000-0004-0000-0400-000022060000}"/>
    <hyperlink ref="A1295" r:id="rId1572" xr:uid="{00000000-0004-0000-0400-000023060000}"/>
    <hyperlink ref="A1298" r:id="rId1573" xr:uid="{00000000-0004-0000-0400-000024060000}"/>
    <hyperlink ref="A1301" r:id="rId1574" xr:uid="{00000000-0004-0000-0400-000025060000}"/>
    <hyperlink ref="A1304" r:id="rId1575" xr:uid="{00000000-0004-0000-0400-000026060000}"/>
    <hyperlink ref="A1307" r:id="rId1576" xr:uid="{00000000-0004-0000-0400-000027060000}"/>
    <hyperlink ref="A1310" r:id="rId1577" xr:uid="{00000000-0004-0000-0400-000028060000}"/>
    <hyperlink ref="A1313" r:id="rId1578" xr:uid="{00000000-0004-0000-0400-000029060000}"/>
    <hyperlink ref="A1316" r:id="rId1579" xr:uid="{00000000-0004-0000-0400-00002A060000}"/>
    <hyperlink ref="A1319" r:id="rId1580" xr:uid="{00000000-0004-0000-0400-00002B060000}"/>
    <hyperlink ref="A1322" r:id="rId1581" xr:uid="{00000000-0004-0000-0400-00002C060000}"/>
    <hyperlink ref="A1325" r:id="rId1582" xr:uid="{00000000-0004-0000-0400-00002D060000}"/>
    <hyperlink ref="A1328" r:id="rId1583" xr:uid="{00000000-0004-0000-0400-00002E060000}"/>
    <hyperlink ref="A1331" r:id="rId1584" xr:uid="{00000000-0004-0000-0400-00002F060000}"/>
    <hyperlink ref="A1334" r:id="rId1585" xr:uid="{00000000-0004-0000-0400-000030060000}"/>
    <hyperlink ref="A1337" r:id="rId1586" xr:uid="{00000000-0004-0000-0400-000031060000}"/>
    <hyperlink ref="A1340" r:id="rId1587" xr:uid="{00000000-0004-0000-0400-000032060000}"/>
    <hyperlink ref="A1343" r:id="rId1588" xr:uid="{00000000-0004-0000-0400-000033060000}"/>
    <hyperlink ref="A1346" r:id="rId1589" xr:uid="{00000000-0004-0000-0400-000034060000}"/>
    <hyperlink ref="A1349" r:id="rId1590" xr:uid="{00000000-0004-0000-0400-000035060000}"/>
    <hyperlink ref="A1352" r:id="rId1591" xr:uid="{00000000-0004-0000-0400-000036060000}"/>
    <hyperlink ref="A1355" r:id="rId1592" xr:uid="{00000000-0004-0000-0400-000037060000}"/>
    <hyperlink ref="A1358" r:id="rId1593" xr:uid="{00000000-0004-0000-0400-000038060000}"/>
    <hyperlink ref="A1361" r:id="rId1594" xr:uid="{00000000-0004-0000-0400-000039060000}"/>
    <hyperlink ref="A1364" r:id="rId1595" xr:uid="{00000000-0004-0000-0400-00003A060000}"/>
    <hyperlink ref="A1367" r:id="rId1596" xr:uid="{00000000-0004-0000-0400-00003B060000}"/>
    <hyperlink ref="A1370" r:id="rId1597" xr:uid="{00000000-0004-0000-0400-00003C060000}"/>
    <hyperlink ref="A1373" r:id="rId1598" xr:uid="{00000000-0004-0000-0400-00003D060000}"/>
    <hyperlink ref="A1376" r:id="rId1599" xr:uid="{00000000-0004-0000-0400-00003E060000}"/>
    <hyperlink ref="A1379" r:id="rId1600" xr:uid="{00000000-0004-0000-0400-00003F060000}"/>
    <hyperlink ref="A1382" r:id="rId1601" xr:uid="{00000000-0004-0000-0400-000040060000}"/>
    <hyperlink ref="A1385" r:id="rId1602" xr:uid="{00000000-0004-0000-0400-000041060000}"/>
    <hyperlink ref="A1388" r:id="rId1603" xr:uid="{00000000-0004-0000-0400-000042060000}"/>
    <hyperlink ref="A1391" r:id="rId1604" xr:uid="{00000000-0004-0000-0400-000043060000}"/>
    <hyperlink ref="A1394" r:id="rId1605" xr:uid="{00000000-0004-0000-0400-000044060000}"/>
    <hyperlink ref="A1397" r:id="rId1606" xr:uid="{00000000-0004-0000-0400-000045060000}"/>
    <hyperlink ref="A1400" r:id="rId1607" xr:uid="{00000000-0004-0000-0400-000046060000}"/>
    <hyperlink ref="A1403" r:id="rId1608" xr:uid="{00000000-0004-0000-0400-000047060000}"/>
    <hyperlink ref="A1406" r:id="rId1609" xr:uid="{00000000-0004-0000-0400-000048060000}"/>
    <hyperlink ref="A1409" r:id="rId1610" xr:uid="{00000000-0004-0000-0400-000049060000}"/>
    <hyperlink ref="A1412" r:id="rId1611" xr:uid="{00000000-0004-0000-0400-00004A060000}"/>
    <hyperlink ref="A1415" r:id="rId1612" xr:uid="{00000000-0004-0000-0400-00004B060000}"/>
    <hyperlink ref="A1418" r:id="rId1613" xr:uid="{00000000-0004-0000-0400-00004C060000}"/>
    <hyperlink ref="A1421" r:id="rId1614" xr:uid="{00000000-0004-0000-0400-00004D060000}"/>
    <hyperlink ref="A1424" r:id="rId1615" xr:uid="{00000000-0004-0000-0400-00004E060000}"/>
    <hyperlink ref="A1427" r:id="rId1616" xr:uid="{00000000-0004-0000-0400-00004F060000}"/>
    <hyperlink ref="A1430" r:id="rId1617" xr:uid="{00000000-0004-0000-0400-000050060000}"/>
    <hyperlink ref="A1433" r:id="rId1618" xr:uid="{00000000-0004-0000-0400-000051060000}"/>
    <hyperlink ref="A1436" r:id="rId1619" xr:uid="{00000000-0004-0000-0400-000052060000}"/>
    <hyperlink ref="A1439" r:id="rId1620" xr:uid="{00000000-0004-0000-0400-000053060000}"/>
    <hyperlink ref="A1442" r:id="rId1621" xr:uid="{00000000-0004-0000-0400-000054060000}"/>
    <hyperlink ref="A1445" r:id="rId1622" xr:uid="{00000000-0004-0000-0400-000055060000}"/>
    <hyperlink ref="A1448" r:id="rId1623" xr:uid="{00000000-0004-0000-0400-000056060000}"/>
    <hyperlink ref="A1451" r:id="rId1624" xr:uid="{00000000-0004-0000-0400-000057060000}"/>
    <hyperlink ref="A1454" r:id="rId1625" xr:uid="{00000000-0004-0000-0400-000058060000}"/>
    <hyperlink ref="A1457" r:id="rId1626" xr:uid="{00000000-0004-0000-0400-000059060000}"/>
    <hyperlink ref="A1460" r:id="rId1627" xr:uid="{00000000-0004-0000-0400-00005A060000}"/>
    <hyperlink ref="A1463" r:id="rId1628" xr:uid="{00000000-0004-0000-0400-00005B060000}"/>
    <hyperlink ref="A1466" r:id="rId1629" xr:uid="{00000000-0004-0000-0400-00005C060000}"/>
    <hyperlink ref="A1469" r:id="rId1630" xr:uid="{00000000-0004-0000-0400-00005D060000}"/>
    <hyperlink ref="A1472" r:id="rId1631" xr:uid="{00000000-0004-0000-0400-00005E060000}"/>
    <hyperlink ref="A1475" r:id="rId1632" xr:uid="{00000000-0004-0000-0400-00005F060000}"/>
    <hyperlink ref="A1478" r:id="rId1633" xr:uid="{00000000-0004-0000-0400-000060060000}"/>
    <hyperlink ref="A1481" r:id="rId1634" xr:uid="{00000000-0004-0000-0400-000061060000}"/>
    <hyperlink ref="A1484" r:id="rId1635" xr:uid="{00000000-0004-0000-0400-000062060000}"/>
    <hyperlink ref="A1487" r:id="rId1636" xr:uid="{00000000-0004-0000-0400-000063060000}"/>
    <hyperlink ref="A1490" r:id="rId1637" xr:uid="{00000000-0004-0000-0400-000064060000}"/>
    <hyperlink ref="A1493" r:id="rId1638" xr:uid="{00000000-0004-0000-0400-000065060000}"/>
    <hyperlink ref="A1496" r:id="rId1639" xr:uid="{00000000-0004-0000-0400-000066060000}"/>
    <hyperlink ref="A1499" r:id="rId1640" xr:uid="{00000000-0004-0000-0400-000067060000}"/>
    <hyperlink ref="A1502" r:id="rId1641" xr:uid="{00000000-0004-0000-0400-000068060000}"/>
    <hyperlink ref="A1505" r:id="rId1642" xr:uid="{00000000-0004-0000-0400-000069060000}"/>
    <hyperlink ref="A1508" r:id="rId1643" xr:uid="{00000000-0004-0000-0400-00006A060000}"/>
    <hyperlink ref="A1511" r:id="rId1644" xr:uid="{00000000-0004-0000-0400-00006B060000}"/>
    <hyperlink ref="A1514" r:id="rId1645" xr:uid="{00000000-0004-0000-0400-00006C060000}"/>
    <hyperlink ref="A1517" r:id="rId1646" xr:uid="{00000000-0004-0000-0400-00006D060000}"/>
    <hyperlink ref="A1520" r:id="rId1647" xr:uid="{00000000-0004-0000-0400-00006E060000}"/>
    <hyperlink ref="A1523" r:id="rId1648" xr:uid="{00000000-0004-0000-0400-00006F060000}"/>
    <hyperlink ref="A1526" r:id="rId1649" xr:uid="{00000000-0004-0000-0400-000070060000}"/>
    <hyperlink ref="A1529" r:id="rId1650" xr:uid="{00000000-0004-0000-0400-000071060000}"/>
    <hyperlink ref="A1532" r:id="rId1651" xr:uid="{00000000-0004-0000-0400-000072060000}"/>
    <hyperlink ref="A1535" r:id="rId1652" xr:uid="{00000000-0004-0000-0400-000073060000}"/>
    <hyperlink ref="A1538" r:id="rId1653" xr:uid="{00000000-0004-0000-0400-000074060000}"/>
    <hyperlink ref="A1541" r:id="rId1654" xr:uid="{00000000-0004-0000-0400-000075060000}"/>
    <hyperlink ref="A1544" r:id="rId1655" xr:uid="{00000000-0004-0000-0400-000076060000}"/>
    <hyperlink ref="A1547" r:id="rId1656" xr:uid="{00000000-0004-0000-0400-000077060000}"/>
    <hyperlink ref="A1550" r:id="rId1657" xr:uid="{00000000-0004-0000-0400-000078060000}"/>
    <hyperlink ref="A1553" r:id="rId1658" xr:uid="{00000000-0004-0000-0400-000079060000}"/>
    <hyperlink ref="A1556" r:id="rId1659" xr:uid="{00000000-0004-0000-0400-00007A060000}"/>
    <hyperlink ref="A1559" r:id="rId1660" xr:uid="{00000000-0004-0000-0400-00007B060000}"/>
    <hyperlink ref="A1562" r:id="rId1661" xr:uid="{00000000-0004-0000-0400-00007C060000}"/>
    <hyperlink ref="A1565" r:id="rId1662" xr:uid="{00000000-0004-0000-0400-00007D060000}"/>
    <hyperlink ref="A1568" r:id="rId1663" xr:uid="{00000000-0004-0000-0400-00007E060000}"/>
    <hyperlink ref="A1571" r:id="rId1664" xr:uid="{00000000-0004-0000-0400-00007F060000}"/>
    <hyperlink ref="A1574" r:id="rId1665" xr:uid="{00000000-0004-0000-0400-000080060000}"/>
    <hyperlink ref="A1577" r:id="rId1666" xr:uid="{00000000-0004-0000-0400-000081060000}"/>
    <hyperlink ref="A1580" r:id="rId1667" xr:uid="{00000000-0004-0000-0400-000082060000}"/>
    <hyperlink ref="A1583" r:id="rId1668" xr:uid="{00000000-0004-0000-0400-000083060000}"/>
    <hyperlink ref="A1586" r:id="rId1669" xr:uid="{00000000-0004-0000-0400-000084060000}"/>
    <hyperlink ref="A1589" r:id="rId1670" xr:uid="{00000000-0004-0000-0400-000085060000}"/>
    <hyperlink ref="A1592" r:id="rId1671" xr:uid="{00000000-0004-0000-0400-000086060000}"/>
    <hyperlink ref="A1595" r:id="rId1672" xr:uid="{00000000-0004-0000-0400-000087060000}"/>
    <hyperlink ref="A1598" r:id="rId1673" xr:uid="{00000000-0004-0000-0400-000088060000}"/>
    <hyperlink ref="A1601" r:id="rId1674" xr:uid="{00000000-0004-0000-0400-000089060000}"/>
    <hyperlink ref="A1604" r:id="rId1675" xr:uid="{00000000-0004-0000-0400-00008A060000}"/>
    <hyperlink ref="A1607" r:id="rId1676" xr:uid="{00000000-0004-0000-0400-00008B060000}"/>
    <hyperlink ref="A1610" r:id="rId1677" xr:uid="{00000000-0004-0000-0400-00008C060000}"/>
    <hyperlink ref="A1613" r:id="rId1678" xr:uid="{00000000-0004-0000-0400-00008D060000}"/>
    <hyperlink ref="A1616" r:id="rId1679" xr:uid="{00000000-0004-0000-0400-00008E060000}"/>
    <hyperlink ref="A1619" r:id="rId1680" xr:uid="{00000000-0004-0000-0400-00008F060000}"/>
    <hyperlink ref="A1622" r:id="rId1681" xr:uid="{00000000-0004-0000-0400-000090060000}"/>
    <hyperlink ref="A1625" r:id="rId1682" xr:uid="{00000000-0004-0000-0400-000091060000}"/>
    <hyperlink ref="A1628" r:id="rId1683" xr:uid="{00000000-0004-0000-0400-000092060000}"/>
    <hyperlink ref="A1631" r:id="rId1684" xr:uid="{00000000-0004-0000-0400-000093060000}"/>
    <hyperlink ref="A1634" r:id="rId1685" xr:uid="{00000000-0004-0000-0400-000094060000}"/>
    <hyperlink ref="A1637" r:id="rId1686" xr:uid="{00000000-0004-0000-0400-000095060000}"/>
    <hyperlink ref="A1640" r:id="rId1687" xr:uid="{00000000-0004-0000-0400-000096060000}"/>
    <hyperlink ref="A1643" r:id="rId1688" xr:uid="{00000000-0004-0000-0400-000097060000}"/>
    <hyperlink ref="A1646" r:id="rId1689" xr:uid="{00000000-0004-0000-0400-000098060000}"/>
    <hyperlink ref="A1649" r:id="rId1690" xr:uid="{00000000-0004-0000-0400-000099060000}"/>
    <hyperlink ref="A1652" r:id="rId1691" xr:uid="{00000000-0004-0000-0400-00009A060000}"/>
    <hyperlink ref="A1655" r:id="rId1692" xr:uid="{00000000-0004-0000-0400-00009B060000}"/>
    <hyperlink ref="A1658" r:id="rId1693" xr:uid="{00000000-0004-0000-0400-00009C060000}"/>
    <hyperlink ref="A1661" r:id="rId1694" xr:uid="{00000000-0004-0000-0400-00009D060000}"/>
    <hyperlink ref="A1664" r:id="rId1695" xr:uid="{00000000-0004-0000-0400-00009E060000}"/>
    <hyperlink ref="A1667" r:id="rId1696" xr:uid="{00000000-0004-0000-0400-00009F060000}"/>
    <hyperlink ref="A1670" r:id="rId1697" xr:uid="{00000000-0004-0000-0400-0000A0060000}"/>
    <hyperlink ref="A1673" r:id="rId1698" xr:uid="{00000000-0004-0000-0400-0000A1060000}"/>
    <hyperlink ref="A1676" r:id="rId1699" xr:uid="{00000000-0004-0000-0400-0000A2060000}"/>
    <hyperlink ref="A1679" r:id="rId1700" xr:uid="{00000000-0004-0000-0400-0000A3060000}"/>
    <hyperlink ref="A1682" r:id="rId1701" xr:uid="{00000000-0004-0000-0400-0000A4060000}"/>
    <hyperlink ref="A1685" r:id="rId1702" xr:uid="{00000000-0004-0000-0400-0000A5060000}"/>
    <hyperlink ref="A1688" r:id="rId1703" xr:uid="{00000000-0004-0000-0400-0000A6060000}"/>
    <hyperlink ref="A1691" r:id="rId1704" xr:uid="{00000000-0004-0000-0400-0000A7060000}"/>
    <hyperlink ref="A1694" r:id="rId1705" xr:uid="{00000000-0004-0000-0400-0000A8060000}"/>
    <hyperlink ref="A1697" r:id="rId1706" xr:uid="{00000000-0004-0000-0400-0000A9060000}"/>
    <hyperlink ref="A1700" r:id="rId1707" xr:uid="{00000000-0004-0000-0400-0000AA060000}"/>
    <hyperlink ref="A1703" r:id="rId1708" xr:uid="{00000000-0004-0000-0400-0000AB060000}"/>
    <hyperlink ref="A1706" r:id="rId1709" xr:uid="{00000000-0004-0000-0400-0000AC060000}"/>
    <hyperlink ref="A1709" r:id="rId1710" xr:uid="{00000000-0004-0000-0400-0000AD060000}"/>
    <hyperlink ref="A1712" r:id="rId1711" xr:uid="{00000000-0004-0000-0400-0000AE060000}"/>
    <hyperlink ref="A1715" r:id="rId1712" xr:uid="{00000000-0004-0000-0400-0000AF060000}"/>
    <hyperlink ref="A1718" r:id="rId1713" xr:uid="{00000000-0004-0000-0400-0000B0060000}"/>
    <hyperlink ref="A1721" r:id="rId1714" xr:uid="{00000000-0004-0000-0400-0000B1060000}"/>
    <hyperlink ref="A1724" r:id="rId1715" xr:uid="{00000000-0004-0000-0400-0000B2060000}"/>
    <hyperlink ref="A1727" r:id="rId1716" xr:uid="{00000000-0004-0000-0400-0000B3060000}"/>
    <hyperlink ref="A1730" r:id="rId1717" xr:uid="{00000000-0004-0000-0400-0000B4060000}"/>
    <hyperlink ref="A1733" r:id="rId1718" xr:uid="{00000000-0004-0000-0400-0000B5060000}"/>
    <hyperlink ref="A1736" r:id="rId1719" xr:uid="{00000000-0004-0000-0400-0000B6060000}"/>
    <hyperlink ref="A1739" r:id="rId1720" xr:uid="{00000000-0004-0000-0400-0000B7060000}"/>
    <hyperlink ref="A1742" r:id="rId1721" xr:uid="{00000000-0004-0000-0400-0000B8060000}"/>
    <hyperlink ref="A1745" r:id="rId1722" xr:uid="{00000000-0004-0000-0400-0000B9060000}"/>
    <hyperlink ref="A1748" r:id="rId1723" xr:uid="{00000000-0004-0000-0400-0000BA060000}"/>
    <hyperlink ref="A1751" r:id="rId1724" xr:uid="{00000000-0004-0000-0400-0000BB060000}"/>
    <hyperlink ref="A1754" r:id="rId1725" xr:uid="{00000000-0004-0000-0400-0000BC060000}"/>
    <hyperlink ref="A1757" r:id="rId1726" xr:uid="{00000000-0004-0000-0400-0000BD060000}"/>
    <hyperlink ref="A1760" r:id="rId1727" xr:uid="{00000000-0004-0000-0400-0000BE060000}"/>
    <hyperlink ref="A1763" r:id="rId1728" xr:uid="{00000000-0004-0000-0400-0000BF060000}"/>
    <hyperlink ref="A1766" r:id="rId1729" xr:uid="{00000000-0004-0000-0400-0000C0060000}"/>
    <hyperlink ref="A1769" r:id="rId1730" xr:uid="{00000000-0004-0000-0400-0000C1060000}"/>
    <hyperlink ref="A1772" r:id="rId1731" xr:uid="{00000000-0004-0000-0400-0000C2060000}"/>
    <hyperlink ref="A1775" r:id="rId1732" xr:uid="{00000000-0004-0000-0400-0000C3060000}"/>
    <hyperlink ref="A1778" r:id="rId1733" xr:uid="{00000000-0004-0000-0400-0000C4060000}"/>
    <hyperlink ref="A1781" r:id="rId1734" xr:uid="{00000000-0004-0000-0400-0000C5060000}"/>
    <hyperlink ref="A1784" r:id="rId1735" xr:uid="{00000000-0004-0000-0400-0000C6060000}"/>
    <hyperlink ref="A1787" r:id="rId1736" xr:uid="{00000000-0004-0000-0400-0000C7060000}"/>
    <hyperlink ref="A1790" r:id="rId1737" xr:uid="{00000000-0004-0000-0400-0000C8060000}"/>
    <hyperlink ref="A1793" r:id="rId1738" xr:uid="{00000000-0004-0000-0400-0000C9060000}"/>
    <hyperlink ref="A1796" r:id="rId1739" xr:uid="{00000000-0004-0000-0400-0000CA060000}"/>
    <hyperlink ref="A1799" r:id="rId1740" xr:uid="{00000000-0004-0000-0400-0000CB060000}"/>
    <hyperlink ref="A1802" r:id="rId1741" xr:uid="{00000000-0004-0000-0400-0000CC060000}"/>
    <hyperlink ref="A1805" r:id="rId1742" xr:uid="{00000000-0004-0000-0400-0000CD060000}"/>
    <hyperlink ref="A1808" r:id="rId1743" xr:uid="{00000000-0004-0000-0400-0000CE060000}"/>
    <hyperlink ref="A1811" r:id="rId1744" xr:uid="{00000000-0004-0000-0400-0000CF060000}"/>
    <hyperlink ref="A1814" r:id="rId1745" xr:uid="{00000000-0004-0000-0400-0000D0060000}"/>
    <hyperlink ref="A1817" r:id="rId1746" xr:uid="{00000000-0004-0000-0400-0000D1060000}"/>
    <hyperlink ref="A1820" r:id="rId1747" xr:uid="{00000000-0004-0000-0400-0000D2060000}"/>
    <hyperlink ref="A1823" r:id="rId1748" xr:uid="{00000000-0004-0000-0400-0000D3060000}"/>
    <hyperlink ref="A1826" r:id="rId1749" xr:uid="{00000000-0004-0000-0400-0000D4060000}"/>
    <hyperlink ref="A1829" r:id="rId1750" xr:uid="{00000000-0004-0000-0400-0000D5060000}"/>
    <hyperlink ref="A1832" r:id="rId1751" xr:uid="{00000000-0004-0000-0400-0000D6060000}"/>
    <hyperlink ref="A1835" r:id="rId1752" xr:uid="{00000000-0004-0000-0400-0000D7060000}"/>
    <hyperlink ref="A1838" r:id="rId1753" xr:uid="{00000000-0004-0000-0400-0000D8060000}"/>
    <hyperlink ref="A1841" r:id="rId1754" xr:uid="{00000000-0004-0000-0400-0000D9060000}"/>
    <hyperlink ref="A1844" r:id="rId1755" xr:uid="{00000000-0004-0000-0400-0000DA060000}"/>
    <hyperlink ref="A1847" r:id="rId1756" xr:uid="{00000000-0004-0000-0400-0000DB060000}"/>
    <hyperlink ref="A1850" r:id="rId1757" xr:uid="{00000000-0004-0000-0400-0000DC060000}"/>
    <hyperlink ref="A1853" r:id="rId1758" xr:uid="{00000000-0004-0000-0400-0000DD060000}"/>
    <hyperlink ref="A1856" r:id="rId1759" xr:uid="{00000000-0004-0000-0400-0000DE060000}"/>
    <hyperlink ref="A1859" r:id="rId1760" xr:uid="{00000000-0004-0000-0400-0000DF060000}"/>
    <hyperlink ref="A1862" r:id="rId1761" xr:uid="{00000000-0004-0000-0400-0000E0060000}"/>
    <hyperlink ref="A1865" r:id="rId1762" xr:uid="{00000000-0004-0000-0400-0000E1060000}"/>
    <hyperlink ref="A1868" r:id="rId1763" xr:uid="{00000000-0004-0000-0400-0000E2060000}"/>
    <hyperlink ref="A1871" r:id="rId1764" xr:uid="{00000000-0004-0000-0400-0000E3060000}"/>
    <hyperlink ref="A1874" r:id="rId1765" xr:uid="{00000000-0004-0000-0400-0000E4060000}"/>
    <hyperlink ref="A1877" r:id="rId1766" xr:uid="{00000000-0004-0000-0400-0000E5060000}"/>
    <hyperlink ref="A1880" r:id="rId1767" xr:uid="{00000000-0004-0000-0400-0000E6060000}"/>
    <hyperlink ref="A1883" r:id="rId1768" xr:uid="{00000000-0004-0000-0400-0000E7060000}"/>
    <hyperlink ref="A1886" r:id="rId1769" xr:uid="{00000000-0004-0000-0400-0000E8060000}"/>
    <hyperlink ref="A1889" r:id="rId1770" xr:uid="{00000000-0004-0000-0400-0000E9060000}"/>
    <hyperlink ref="A1892" r:id="rId1771" xr:uid="{00000000-0004-0000-0400-0000EA060000}"/>
    <hyperlink ref="A1895" r:id="rId1772" xr:uid="{00000000-0004-0000-0400-0000EB060000}"/>
    <hyperlink ref="A1898" r:id="rId1773" xr:uid="{00000000-0004-0000-0400-0000EC060000}"/>
    <hyperlink ref="A1901" r:id="rId1774" xr:uid="{00000000-0004-0000-0400-0000ED060000}"/>
    <hyperlink ref="A1904" r:id="rId1775" xr:uid="{00000000-0004-0000-0400-0000EE060000}"/>
    <hyperlink ref="A1907" r:id="rId1776" xr:uid="{00000000-0004-0000-0400-0000EF060000}"/>
    <hyperlink ref="A1910" r:id="rId1777" xr:uid="{00000000-0004-0000-0400-0000F0060000}"/>
    <hyperlink ref="A1913" r:id="rId1778" xr:uid="{00000000-0004-0000-0400-0000F1060000}"/>
    <hyperlink ref="A1916" r:id="rId1779" xr:uid="{00000000-0004-0000-0400-0000F2060000}"/>
    <hyperlink ref="A1919" r:id="rId1780" xr:uid="{00000000-0004-0000-0400-0000F3060000}"/>
    <hyperlink ref="A1922" r:id="rId1781" xr:uid="{00000000-0004-0000-0400-0000F4060000}"/>
    <hyperlink ref="A1925" r:id="rId1782" xr:uid="{00000000-0004-0000-0400-0000F5060000}"/>
    <hyperlink ref="A1928" r:id="rId1783" xr:uid="{00000000-0004-0000-0400-0000F6060000}"/>
    <hyperlink ref="A1931" r:id="rId1784" xr:uid="{00000000-0004-0000-0400-0000F7060000}"/>
    <hyperlink ref="A1934" r:id="rId1785" xr:uid="{00000000-0004-0000-0400-0000F8060000}"/>
    <hyperlink ref="A1937" r:id="rId1786" xr:uid="{00000000-0004-0000-0400-0000F9060000}"/>
    <hyperlink ref="A1940" r:id="rId1787" xr:uid="{00000000-0004-0000-0400-0000FA060000}"/>
    <hyperlink ref="A1943" r:id="rId1788" xr:uid="{00000000-0004-0000-0400-0000FB060000}"/>
    <hyperlink ref="A1946" r:id="rId1789" xr:uid="{00000000-0004-0000-0400-0000FC060000}"/>
    <hyperlink ref="A1949" r:id="rId1790" xr:uid="{00000000-0004-0000-0400-0000FD060000}"/>
    <hyperlink ref="A1952" r:id="rId1791" xr:uid="{00000000-0004-0000-0400-0000FE060000}"/>
    <hyperlink ref="A1955" r:id="rId1792" xr:uid="{00000000-0004-0000-0400-0000FF060000}"/>
    <hyperlink ref="A1958" r:id="rId1793" xr:uid="{00000000-0004-0000-0400-000000070000}"/>
    <hyperlink ref="A1961" r:id="rId1794" xr:uid="{00000000-0004-0000-0400-000001070000}"/>
    <hyperlink ref="A1964" r:id="rId1795" xr:uid="{00000000-0004-0000-0400-000002070000}"/>
    <hyperlink ref="A1967" r:id="rId1796" xr:uid="{00000000-0004-0000-0400-000003070000}"/>
    <hyperlink ref="A1970" r:id="rId1797" xr:uid="{00000000-0004-0000-0400-000004070000}"/>
    <hyperlink ref="A1973" r:id="rId1798" xr:uid="{00000000-0004-0000-0400-000005070000}"/>
    <hyperlink ref="A1976" r:id="rId1799" xr:uid="{00000000-0004-0000-0400-000006070000}"/>
    <hyperlink ref="A1979" r:id="rId1800" xr:uid="{00000000-0004-0000-0400-000007070000}"/>
    <hyperlink ref="A1982" r:id="rId1801" xr:uid="{00000000-0004-0000-0400-000008070000}"/>
    <hyperlink ref="A1985" r:id="rId1802" xr:uid="{00000000-0004-0000-0400-000009070000}"/>
    <hyperlink ref="A1988" r:id="rId1803" xr:uid="{00000000-0004-0000-0400-00000A070000}"/>
    <hyperlink ref="A1991" r:id="rId1804" xr:uid="{00000000-0004-0000-0400-00000B070000}"/>
    <hyperlink ref="A1994" r:id="rId1805" xr:uid="{00000000-0004-0000-0400-00000C070000}"/>
    <hyperlink ref="A1997" r:id="rId1806" xr:uid="{00000000-0004-0000-0400-00000D070000}"/>
    <hyperlink ref="A2000" r:id="rId1807" xr:uid="{00000000-0004-0000-0400-00000E070000}"/>
    <hyperlink ref="A2003" r:id="rId1808" xr:uid="{00000000-0004-0000-0400-00000F070000}"/>
    <hyperlink ref="A2006" r:id="rId1809" xr:uid="{00000000-0004-0000-0400-000010070000}"/>
    <hyperlink ref="A2009" r:id="rId1810" xr:uid="{00000000-0004-0000-0400-000011070000}"/>
    <hyperlink ref="A2012" r:id="rId1811" xr:uid="{00000000-0004-0000-0400-000012070000}"/>
    <hyperlink ref="A2015" r:id="rId1812" xr:uid="{00000000-0004-0000-0400-000013070000}"/>
    <hyperlink ref="A2018" r:id="rId1813" xr:uid="{00000000-0004-0000-0400-000014070000}"/>
    <hyperlink ref="A2021" r:id="rId1814" xr:uid="{00000000-0004-0000-0400-000015070000}"/>
    <hyperlink ref="A2024" r:id="rId1815" xr:uid="{00000000-0004-0000-0400-000016070000}"/>
    <hyperlink ref="A2027" r:id="rId1816" xr:uid="{00000000-0004-0000-0400-000017070000}"/>
    <hyperlink ref="A2030" r:id="rId1817" xr:uid="{00000000-0004-0000-0400-000018070000}"/>
    <hyperlink ref="A2033" r:id="rId1818" xr:uid="{00000000-0004-0000-0400-000019070000}"/>
    <hyperlink ref="A2036" r:id="rId1819" xr:uid="{00000000-0004-0000-0400-00001A070000}"/>
    <hyperlink ref="A2039" r:id="rId1820" xr:uid="{00000000-0004-0000-0400-00001B070000}"/>
    <hyperlink ref="A2042" r:id="rId1821" xr:uid="{00000000-0004-0000-0400-00001C070000}"/>
    <hyperlink ref="A2045" r:id="rId1822" xr:uid="{00000000-0004-0000-0400-00001D070000}"/>
    <hyperlink ref="A2048" r:id="rId1823" xr:uid="{00000000-0004-0000-0400-00001E070000}"/>
    <hyperlink ref="A2051" r:id="rId1824" xr:uid="{00000000-0004-0000-0400-00001F070000}"/>
    <hyperlink ref="A2054" r:id="rId1825" xr:uid="{00000000-0004-0000-0400-000020070000}"/>
    <hyperlink ref="A2057" r:id="rId1826" xr:uid="{00000000-0004-0000-0400-000021070000}"/>
    <hyperlink ref="A2060" r:id="rId1827" xr:uid="{00000000-0004-0000-0400-000022070000}"/>
    <hyperlink ref="A2063" r:id="rId1828" xr:uid="{00000000-0004-0000-0400-000023070000}"/>
    <hyperlink ref="A2066" r:id="rId1829" xr:uid="{00000000-0004-0000-0400-000024070000}"/>
    <hyperlink ref="A2069" r:id="rId1830" xr:uid="{00000000-0004-0000-0400-000025070000}"/>
    <hyperlink ref="A2072" r:id="rId1831" xr:uid="{00000000-0004-0000-0400-000026070000}"/>
    <hyperlink ref="A2075" r:id="rId1832" xr:uid="{00000000-0004-0000-0400-000027070000}"/>
    <hyperlink ref="A2078" r:id="rId1833" xr:uid="{00000000-0004-0000-0400-000028070000}"/>
    <hyperlink ref="A2081" r:id="rId1834" xr:uid="{00000000-0004-0000-0400-000029070000}"/>
    <hyperlink ref="A2084" r:id="rId1835" xr:uid="{00000000-0004-0000-0400-00002A070000}"/>
    <hyperlink ref="A2087" r:id="rId1836" xr:uid="{00000000-0004-0000-0400-00002B070000}"/>
    <hyperlink ref="A2090" r:id="rId1837" xr:uid="{00000000-0004-0000-0400-00002C070000}"/>
    <hyperlink ref="A2093" r:id="rId1838" xr:uid="{00000000-0004-0000-0400-00002D070000}"/>
    <hyperlink ref="A2096" r:id="rId1839" xr:uid="{00000000-0004-0000-0400-00002E070000}"/>
    <hyperlink ref="A2099" r:id="rId1840" xr:uid="{00000000-0004-0000-0400-00002F070000}"/>
    <hyperlink ref="A2102" r:id="rId1841" xr:uid="{00000000-0004-0000-0400-000030070000}"/>
    <hyperlink ref="A2105" r:id="rId1842" xr:uid="{00000000-0004-0000-0400-000031070000}"/>
    <hyperlink ref="A2108" r:id="rId1843" xr:uid="{00000000-0004-0000-0400-000032070000}"/>
    <hyperlink ref="A2111" r:id="rId1844" xr:uid="{00000000-0004-0000-0400-000033070000}"/>
    <hyperlink ref="A2114" r:id="rId1845" xr:uid="{00000000-0004-0000-0400-000034070000}"/>
    <hyperlink ref="A2117" r:id="rId1846" xr:uid="{00000000-0004-0000-0400-000035070000}"/>
    <hyperlink ref="A2120" r:id="rId1847" xr:uid="{00000000-0004-0000-0400-000036070000}"/>
    <hyperlink ref="A2123" r:id="rId1848" xr:uid="{00000000-0004-0000-0400-000037070000}"/>
    <hyperlink ref="A2126" r:id="rId1849" xr:uid="{00000000-0004-0000-0400-000038070000}"/>
    <hyperlink ref="A2129" r:id="rId1850" xr:uid="{00000000-0004-0000-0400-000039070000}"/>
    <hyperlink ref="A2132" r:id="rId1851" xr:uid="{00000000-0004-0000-0400-00003A070000}"/>
    <hyperlink ref="A2135" r:id="rId1852" xr:uid="{00000000-0004-0000-0400-00003B070000}"/>
    <hyperlink ref="A2138" r:id="rId1853" xr:uid="{00000000-0004-0000-0400-00003C070000}"/>
    <hyperlink ref="A2141" r:id="rId1854" xr:uid="{00000000-0004-0000-0400-00003D070000}"/>
    <hyperlink ref="A2144" r:id="rId1855" xr:uid="{00000000-0004-0000-0400-00003E070000}"/>
    <hyperlink ref="A2147" r:id="rId1856" xr:uid="{00000000-0004-0000-0400-00003F070000}"/>
    <hyperlink ref="A2150" r:id="rId1857" xr:uid="{00000000-0004-0000-0400-000040070000}"/>
    <hyperlink ref="A2153" r:id="rId1858" xr:uid="{00000000-0004-0000-0400-000041070000}"/>
    <hyperlink ref="A2156" r:id="rId1859" xr:uid="{00000000-0004-0000-0400-000042070000}"/>
    <hyperlink ref="A2159" r:id="rId1860" xr:uid="{00000000-0004-0000-0400-000043070000}"/>
    <hyperlink ref="A2162" r:id="rId1861" xr:uid="{00000000-0004-0000-0400-000044070000}"/>
    <hyperlink ref="A2165" r:id="rId1862" xr:uid="{00000000-0004-0000-0400-000045070000}"/>
    <hyperlink ref="A2168" r:id="rId1863" xr:uid="{00000000-0004-0000-0400-000046070000}"/>
    <hyperlink ref="A2171" r:id="rId1864" xr:uid="{00000000-0004-0000-0400-000047070000}"/>
    <hyperlink ref="A2174" r:id="rId1865" xr:uid="{00000000-0004-0000-0400-000048070000}"/>
    <hyperlink ref="A2177" r:id="rId1866" xr:uid="{00000000-0004-0000-0400-000049070000}"/>
    <hyperlink ref="A2180" r:id="rId1867" xr:uid="{00000000-0004-0000-0400-00004A070000}"/>
    <hyperlink ref="A2183" r:id="rId1868" xr:uid="{00000000-0004-0000-0400-00004B070000}"/>
    <hyperlink ref="A2186" r:id="rId1869" xr:uid="{00000000-0004-0000-0400-00004C070000}"/>
    <hyperlink ref="A2189" r:id="rId1870" xr:uid="{00000000-0004-0000-0400-00004D070000}"/>
    <hyperlink ref="A2192" r:id="rId1871" xr:uid="{00000000-0004-0000-0400-00004E070000}"/>
    <hyperlink ref="A2195" r:id="rId1872" xr:uid="{00000000-0004-0000-0400-00004F070000}"/>
    <hyperlink ref="A2198" r:id="rId1873" xr:uid="{00000000-0004-0000-0400-000050070000}"/>
    <hyperlink ref="A2201" r:id="rId1874" xr:uid="{00000000-0004-0000-0400-000051070000}"/>
    <hyperlink ref="A2204" r:id="rId1875" xr:uid="{00000000-0004-0000-0400-000052070000}"/>
    <hyperlink ref="A2207" r:id="rId1876" xr:uid="{00000000-0004-0000-0400-000053070000}"/>
    <hyperlink ref="A2210" r:id="rId1877" xr:uid="{00000000-0004-0000-0400-000054070000}"/>
    <hyperlink ref="A2213" r:id="rId1878" xr:uid="{00000000-0004-0000-0400-000055070000}"/>
    <hyperlink ref="A2216" r:id="rId1879" xr:uid="{00000000-0004-0000-0400-000056070000}"/>
    <hyperlink ref="A2219" r:id="rId1880" xr:uid="{00000000-0004-0000-0400-000057070000}"/>
    <hyperlink ref="A2222" r:id="rId1881" xr:uid="{00000000-0004-0000-0400-000058070000}"/>
    <hyperlink ref="A2225" r:id="rId1882" xr:uid="{00000000-0004-0000-0400-000059070000}"/>
    <hyperlink ref="A2228" r:id="rId1883" xr:uid="{00000000-0004-0000-0400-00005A070000}"/>
    <hyperlink ref="A2231" r:id="rId1884" xr:uid="{00000000-0004-0000-0400-00005B070000}"/>
    <hyperlink ref="A2234" r:id="rId1885" xr:uid="{00000000-0004-0000-0400-00005C070000}"/>
    <hyperlink ref="A2237" r:id="rId1886" xr:uid="{00000000-0004-0000-0400-00005D070000}"/>
    <hyperlink ref="A2240" r:id="rId1887" xr:uid="{00000000-0004-0000-0400-00005E070000}"/>
    <hyperlink ref="A2243" r:id="rId1888" xr:uid="{00000000-0004-0000-0400-00005F070000}"/>
    <hyperlink ref="A2246" r:id="rId1889" xr:uid="{00000000-0004-0000-0400-000060070000}"/>
    <hyperlink ref="A2249" r:id="rId1890" xr:uid="{00000000-0004-0000-0400-000061070000}"/>
    <hyperlink ref="A2252" r:id="rId1891" xr:uid="{00000000-0004-0000-0400-000062070000}"/>
    <hyperlink ref="A2255" r:id="rId1892" xr:uid="{00000000-0004-0000-0400-000063070000}"/>
    <hyperlink ref="A2258" r:id="rId1893" xr:uid="{00000000-0004-0000-0400-000064070000}"/>
    <hyperlink ref="A2261" r:id="rId1894" xr:uid="{00000000-0004-0000-0400-000065070000}"/>
    <hyperlink ref="A2264" r:id="rId1895" xr:uid="{00000000-0004-0000-0400-000066070000}"/>
    <hyperlink ref="A2267" r:id="rId1896" xr:uid="{00000000-0004-0000-0400-000067070000}"/>
    <hyperlink ref="A2270" r:id="rId1897" xr:uid="{00000000-0004-0000-0400-000068070000}"/>
    <hyperlink ref="A2273" r:id="rId1898" xr:uid="{00000000-0004-0000-0400-000069070000}"/>
    <hyperlink ref="A2276" r:id="rId1899" xr:uid="{00000000-0004-0000-0400-00006A070000}"/>
    <hyperlink ref="A2279" r:id="rId1900" xr:uid="{00000000-0004-0000-0400-00006B070000}"/>
    <hyperlink ref="A2282" r:id="rId1901" xr:uid="{00000000-0004-0000-0400-00006C070000}"/>
    <hyperlink ref="A2285" r:id="rId1902" xr:uid="{00000000-0004-0000-0400-00006D070000}"/>
    <hyperlink ref="A2288" r:id="rId1903" xr:uid="{00000000-0004-0000-0400-00006E070000}"/>
    <hyperlink ref="A2291" r:id="rId1904" xr:uid="{00000000-0004-0000-0400-00006F070000}"/>
    <hyperlink ref="A2294" r:id="rId1905" xr:uid="{00000000-0004-0000-0400-000070070000}"/>
    <hyperlink ref="A2297" r:id="rId1906" xr:uid="{00000000-0004-0000-0400-000071070000}"/>
    <hyperlink ref="A2300" r:id="rId1907" xr:uid="{00000000-0004-0000-0400-000072070000}"/>
    <hyperlink ref="A2303" r:id="rId1908" xr:uid="{00000000-0004-0000-0400-000073070000}"/>
    <hyperlink ref="A2306" r:id="rId1909" xr:uid="{00000000-0004-0000-0400-000074070000}"/>
    <hyperlink ref="A2309" r:id="rId1910" xr:uid="{00000000-0004-0000-0400-000075070000}"/>
    <hyperlink ref="A2312" r:id="rId1911" xr:uid="{00000000-0004-0000-0400-000076070000}"/>
    <hyperlink ref="A2315" r:id="rId1912" xr:uid="{00000000-0004-0000-0400-000077070000}"/>
    <hyperlink ref="A2318" r:id="rId1913" xr:uid="{00000000-0004-0000-0400-000078070000}"/>
    <hyperlink ref="A2321" r:id="rId1914" xr:uid="{00000000-0004-0000-0400-000079070000}"/>
    <hyperlink ref="A2324" r:id="rId1915" xr:uid="{00000000-0004-0000-0400-00007A070000}"/>
    <hyperlink ref="A2327" r:id="rId1916" xr:uid="{00000000-0004-0000-0400-00007B070000}"/>
    <hyperlink ref="A2330" r:id="rId1917" xr:uid="{00000000-0004-0000-0400-00007C070000}"/>
    <hyperlink ref="A2333" r:id="rId1918" xr:uid="{00000000-0004-0000-0400-00007D070000}"/>
    <hyperlink ref="A2336" r:id="rId1919" xr:uid="{00000000-0004-0000-0400-00007E070000}"/>
    <hyperlink ref="A2339" r:id="rId1920" xr:uid="{00000000-0004-0000-0400-00007F070000}"/>
    <hyperlink ref="A2342" r:id="rId1921" xr:uid="{00000000-0004-0000-0400-000080070000}"/>
    <hyperlink ref="A2345" r:id="rId1922" xr:uid="{00000000-0004-0000-0400-000081070000}"/>
    <hyperlink ref="A2348" r:id="rId1923" xr:uid="{00000000-0004-0000-0400-000082070000}"/>
    <hyperlink ref="A2351" r:id="rId1924" xr:uid="{00000000-0004-0000-0400-000083070000}"/>
    <hyperlink ref="A2354" r:id="rId1925" xr:uid="{00000000-0004-0000-0400-000084070000}"/>
    <hyperlink ref="A2357" r:id="rId1926" xr:uid="{00000000-0004-0000-0400-000085070000}"/>
    <hyperlink ref="A2360" r:id="rId1927" xr:uid="{00000000-0004-0000-0400-000086070000}"/>
    <hyperlink ref="A2363" r:id="rId1928" xr:uid="{00000000-0004-0000-0400-000087070000}"/>
    <hyperlink ref="A2366" r:id="rId1929" xr:uid="{00000000-0004-0000-0400-000088070000}"/>
    <hyperlink ref="A2369" r:id="rId1930" xr:uid="{00000000-0004-0000-0400-000089070000}"/>
    <hyperlink ref="A2372" r:id="rId1931" xr:uid="{00000000-0004-0000-0400-00008A070000}"/>
    <hyperlink ref="A2375" r:id="rId1932" xr:uid="{00000000-0004-0000-0400-00008B070000}"/>
    <hyperlink ref="A2378" r:id="rId1933" xr:uid="{00000000-0004-0000-0400-00008C070000}"/>
    <hyperlink ref="A2381" r:id="rId1934" xr:uid="{00000000-0004-0000-0400-00008D070000}"/>
    <hyperlink ref="A2384" r:id="rId1935" xr:uid="{00000000-0004-0000-0400-00008E070000}"/>
    <hyperlink ref="A2387" r:id="rId1936" xr:uid="{00000000-0004-0000-0400-00008F070000}"/>
    <hyperlink ref="A2390" r:id="rId1937" xr:uid="{00000000-0004-0000-0400-000090070000}"/>
    <hyperlink ref="A2393" r:id="rId1938" xr:uid="{00000000-0004-0000-0400-000091070000}"/>
    <hyperlink ref="A2396" r:id="rId1939" xr:uid="{00000000-0004-0000-0400-000092070000}"/>
    <hyperlink ref="A2399" r:id="rId1940" xr:uid="{00000000-0004-0000-0400-000093070000}"/>
    <hyperlink ref="A2402" r:id="rId1941" xr:uid="{00000000-0004-0000-0400-000094070000}"/>
    <hyperlink ref="A2405" r:id="rId1942" xr:uid="{00000000-0004-0000-0400-000095070000}"/>
    <hyperlink ref="A2408" r:id="rId1943" xr:uid="{00000000-0004-0000-0400-000096070000}"/>
    <hyperlink ref="A2411" r:id="rId1944" xr:uid="{00000000-0004-0000-0400-000097070000}"/>
    <hyperlink ref="A2414" r:id="rId1945" xr:uid="{00000000-0004-0000-0400-000098070000}"/>
    <hyperlink ref="A2417" r:id="rId1946" xr:uid="{00000000-0004-0000-0400-000099070000}"/>
    <hyperlink ref="A2420" r:id="rId1947" xr:uid="{00000000-0004-0000-0400-00009A070000}"/>
    <hyperlink ref="A2423" r:id="rId1948" xr:uid="{00000000-0004-0000-0400-00009B070000}"/>
    <hyperlink ref="A2426" r:id="rId1949" xr:uid="{00000000-0004-0000-0400-00009C070000}"/>
    <hyperlink ref="A2429" r:id="rId1950" xr:uid="{00000000-0004-0000-0400-00009D070000}"/>
    <hyperlink ref="A2432" r:id="rId1951" xr:uid="{00000000-0004-0000-0400-00009E070000}"/>
    <hyperlink ref="A2435" r:id="rId1952" xr:uid="{00000000-0004-0000-0400-00009F070000}"/>
    <hyperlink ref="A2438" r:id="rId1953" xr:uid="{00000000-0004-0000-0400-0000A0070000}"/>
    <hyperlink ref="A2441" r:id="rId1954" xr:uid="{00000000-0004-0000-0400-0000A1070000}"/>
    <hyperlink ref="A2444" r:id="rId1955" xr:uid="{00000000-0004-0000-0400-0000A2070000}"/>
    <hyperlink ref="A2447" r:id="rId1956" xr:uid="{00000000-0004-0000-0400-0000A3070000}"/>
    <hyperlink ref="A2450" r:id="rId1957" xr:uid="{00000000-0004-0000-0400-0000A4070000}"/>
    <hyperlink ref="A2453" r:id="rId1958" xr:uid="{00000000-0004-0000-0400-0000A5070000}"/>
    <hyperlink ref="A2456" r:id="rId1959" xr:uid="{00000000-0004-0000-0400-0000A6070000}"/>
    <hyperlink ref="A2459" r:id="rId1960" xr:uid="{00000000-0004-0000-0400-0000A7070000}"/>
    <hyperlink ref="A2462" r:id="rId1961" xr:uid="{00000000-0004-0000-0400-0000A8070000}"/>
    <hyperlink ref="A2465" r:id="rId1962" xr:uid="{00000000-0004-0000-0400-0000A9070000}"/>
    <hyperlink ref="A2468" r:id="rId1963" xr:uid="{00000000-0004-0000-0400-0000AA070000}"/>
    <hyperlink ref="A2471" r:id="rId1964" xr:uid="{00000000-0004-0000-0400-0000AB070000}"/>
    <hyperlink ref="A2474" r:id="rId1965" xr:uid="{00000000-0004-0000-0400-0000AC070000}"/>
    <hyperlink ref="A2477" r:id="rId1966" xr:uid="{00000000-0004-0000-0400-0000AD070000}"/>
    <hyperlink ref="A2480" r:id="rId1967" xr:uid="{00000000-0004-0000-0400-0000AE070000}"/>
    <hyperlink ref="A2483" r:id="rId1968" xr:uid="{00000000-0004-0000-0400-0000AF070000}"/>
    <hyperlink ref="A2486" r:id="rId1969" xr:uid="{00000000-0004-0000-0400-0000B0070000}"/>
    <hyperlink ref="A2489" r:id="rId1970" xr:uid="{00000000-0004-0000-0400-0000B1070000}"/>
    <hyperlink ref="A2492" r:id="rId1971" xr:uid="{00000000-0004-0000-0400-0000B2070000}"/>
    <hyperlink ref="A2495" r:id="rId1972" xr:uid="{00000000-0004-0000-0400-0000B3070000}"/>
    <hyperlink ref="A2498" r:id="rId1973" xr:uid="{00000000-0004-0000-0400-0000B4070000}"/>
    <hyperlink ref="A2501" r:id="rId1974" xr:uid="{00000000-0004-0000-0400-0000B5070000}"/>
    <hyperlink ref="A2504" r:id="rId1975" xr:uid="{00000000-0004-0000-0400-0000B6070000}"/>
    <hyperlink ref="A2507" r:id="rId1976" xr:uid="{00000000-0004-0000-0400-0000B7070000}"/>
    <hyperlink ref="A2510" r:id="rId1977" xr:uid="{00000000-0004-0000-0400-0000B8070000}"/>
    <hyperlink ref="A2513" r:id="rId1978" xr:uid="{00000000-0004-0000-0400-0000B9070000}"/>
    <hyperlink ref="A2516" r:id="rId1979" xr:uid="{00000000-0004-0000-0400-0000BA070000}"/>
    <hyperlink ref="A2519" r:id="rId1980" xr:uid="{00000000-0004-0000-0400-0000BB070000}"/>
    <hyperlink ref="A2522" r:id="rId1981" xr:uid="{00000000-0004-0000-0400-0000BC070000}"/>
    <hyperlink ref="A2525" r:id="rId1982" xr:uid="{00000000-0004-0000-0400-0000BD070000}"/>
    <hyperlink ref="A2528" r:id="rId1983" xr:uid="{00000000-0004-0000-0400-0000BE070000}"/>
    <hyperlink ref="A2531" r:id="rId1984" xr:uid="{00000000-0004-0000-0400-0000BF070000}"/>
    <hyperlink ref="A2534" r:id="rId1985" xr:uid="{00000000-0004-0000-0400-0000C0070000}"/>
    <hyperlink ref="A2537" r:id="rId1986" xr:uid="{00000000-0004-0000-0400-0000C1070000}"/>
    <hyperlink ref="A2540" r:id="rId1987" xr:uid="{00000000-0004-0000-0400-0000C2070000}"/>
    <hyperlink ref="A2543" r:id="rId1988" xr:uid="{00000000-0004-0000-0400-0000C3070000}"/>
    <hyperlink ref="A2546" r:id="rId1989" xr:uid="{00000000-0004-0000-0400-0000C4070000}"/>
    <hyperlink ref="A2549" r:id="rId1990" xr:uid="{00000000-0004-0000-0400-0000C5070000}"/>
    <hyperlink ref="A2552" r:id="rId1991" xr:uid="{00000000-0004-0000-0400-0000C6070000}"/>
    <hyperlink ref="A2555" r:id="rId1992" xr:uid="{00000000-0004-0000-0400-0000C7070000}"/>
    <hyperlink ref="A2558" r:id="rId1993" xr:uid="{00000000-0004-0000-0400-0000C8070000}"/>
    <hyperlink ref="A2561" r:id="rId1994" xr:uid="{00000000-0004-0000-0400-0000C9070000}"/>
    <hyperlink ref="A2564" r:id="rId1995" xr:uid="{00000000-0004-0000-0400-0000CA070000}"/>
    <hyperlink ref="A2567" r:id="rId1996" xr:uid="{00000000-0004-0000-0400-0000CB070000}"/>
    <hyperlink ref="A2570" r:id="rId1997" xr:uid="{00000000-0004-0000-0400-0000CC070000}"/>
    <hyperlink ref="A2573" r:id="rId1998" xr:uid="{00000000-0004-0000-0400-0000CD070000}"/>
    <hyperlink ref="A2576" r:id="rId1999" xr:uid="{00000000-0004-0000-0400-0000CE070000}"/>
    <hyperlink ref="A2579" r:id="rId2000" xr:uid="{00000000-0004-0000-0400-0000CF070000}"/>
    <hyperlink ref="A2582" r:id="rId2001" xr:uid="{00000000-0004-0000-0400-0000D0070000}"/>
    <hyperlink ref="A2585" r:id="rId2002" xr:uid="{00000000-0004-0000-0400-0000D1070000}"/>
    <hyperlink ref="A2588" r:id="rId2003" xr:uid="{00000000-0004-0000-0400-0000D2070000}"/>
    <hyperlink ref="A2591" r:id="rId2004" xr:uid="{00000000-0004-0000-0400-0000D3070000}"/>
    <hyperlink ref="A2594" r:id="rId2005" xr:uid="{00000000-0004-0000-0400-0000D4070000}"/>
    <hyperlink ref="A2597" r:id="rId2006" xr:uid="{00000000-0004-0000-0400-0000D5070000}"/>
    <hyperlink ref="A2600" r:id="rId2007" xr:uid="{00000000-0004-0000-0400-0000D6070000}"/>
    <hyperlink ref="A2603" r:id="rId2008" xr:uid="{00000000-0004-0000-0400-0000D7070000}"/>
    <hyperlink ref="A2606" r:id="rId2009" xr:uid="{00000000-0004-0000-0400-0000D8070000}"/>
    <hyperlink ref="A2609" r:id="rId2010" xr:uid="{00000000-0004-0000-0400-0000D9070000}"/>
    <hyperlink ref="A2612" r:id="rId2011" xr:uid="{00000000-0004-0000-0400-0000DA070000}"/>
    <hyperlink ref="A2615" r:id="rId2012" xr:uid="{00000000-0004-0000-0400-0000DB070000}"/>
    <hyperlink ref="A2618" r:id="rId2013" xr:uid="{00000000-0004-0000-0400-0000DC070000}"/>
    <hyperlink ref="A2621" r:id="rId2014" xr:uid="{00000000-0004-0000-0400-0000DD070000}"/>
    <hyperlink ref="A2624" r:id="rId2015" xr:uid="{00000000-0004-0000-0400-0000DE070000}"/>
    <hyperlink ref="A2627" r:id="rId2016" xr:uid="{00000000-0004-0000-0400-0000DF070000}"/>
    <hyperlink ref="A2630" r:id="rId2017" xr:uid="{00000000-0004-0000-0400-0000E0070000}"/>
    <hyperlink ref="A2633" r:id="rId2018" xr:uid="{00000000-0004-0000-0400-0000E1070000}"/>
    <hyperlink ref="A2636" r:id="rId2019" xr:uid="{00000000-0004-0000-0400-0000E2070000}"/>
    <hyperlink ref="A2639" r:id="rId2020" xr:uid="{00000000-0004-0000-0400-0000E3070000}"/>
    <hyperlink ref="A2642" r:id="rId2021" xr:uid="{00000000-0004-0000-0400-0000E4070000}"/>
    <hyperlink ref="A2645" r:id="rId2022" xr:uid="{00000000-0004-0000-0400-0000E5070000}"/>
    <hyperlink ref="A2648" r:id="rId2023" xr:uid="{00000000-0004-0000-0400-0000E6070000}"/>
    <hyperlink ref="A2651" r:id="rId2024" xr:uid="{00000000-0004-0000-0400-0000E7070000}"/>
    <hyperlink ref="A2654" r:id="rId2025" xr:uid="{00000000-0004-0000-0400-0000E8070000}"/>
    <hyperlink ref="A2657" r:id="rId2026" xr:uid="{00000000-0004-0000-0400-0000E9070000}"/>
    <hyperlink ref="A2660" r:id="rId2027" xr:uid="{00000000-0004-0000-0400-0000EA070000}"/>
    <hyperlink ref="A2663" r:id="rId2028" xr:uid="{00000000-0004-0000-0400-0000EB070000}"/>
    <hyperlink ref="A2666" r:id="rId2029" xr:uid="{00000000-0004-0000-0400-0000EC070000}"/>
    <hyperlink ref="A2669" r:id="rId2030" xr:uid="{00000000-0004-0000-0400-0000ED070000}"/>
    <hyperlink ref="A2672" r:id="rId2031" xr:uid="{00000000-0004-0000-0400-0000EE070000}"/>
    <hyperlink ref="A2675" r:id="rId2032" xr:uid="{00000000-0004-0000-0400-0000EF070000}"/>
    <hyperlink ref="A2678" r:id="rId2033" xr:uid="{00000000-0004-0000-0400-0000F0070000}"/>
    <hyperlink ref="A2681" r:id="rId2034" xr:uid="{00000000-0004-0000-0400-0000F1070000}"/>
    <hyperlink ref="A2684" r:id="rId2035" xr:uid="{00000000-0004-0000-0400-0000F2070000}"/>
    <hyperlink ref="A2687" r:id="rId2036" xr:uid="{00000000-0004-0000-0400-0000F3070000}"/>
    <hyperlink ref="A2690" r:id="rId2037" xr:uid="{00000000-0004-0000-0400-0000F4070000}"/>
    <hyperlink ref="A2693" r:id="rId2038" xr:uid="{00000000-0004-0000-0400-0000F5070000}"/>
    <hyperlink ref="A2696" r:id="rId2039" xr:uid="{00000000-0004-0000-0400-0000F6070000}"/>
    <hyperlink ref="A2699" r:id="rId2040" xr:uid="{00000000-0004-0000-0400-0000F7070000}"/>
    <hyperlink ref="A2702" r:id="rId2041" xr:uid="{00000000-0004-0000-0400-0000F8070000}"/>
    <hyperlink ref="A2705" r:id="rId2042" xr:uid="{00000000-0004-0000-0400-0000F9070000}"/>
    <hyperlink ref="A2708" r:id="rId2043" xr:uid="{00000000-0004-0000-0400-0000FA070000}"/>
    <hyperlink ref="A2711" r:id="rId2044" xr:uid="{00000000-0004-0000-0400-0000FB070000}"/>
    <hyperlink ref="A2714" r:id="rId2045" xr:uid="{00000000-0004-0000-0400-0000FC070000}"/>
    <hyperlink ref="A2717" r:id="rId2046" xr:uid="{00000000-0004-0000-0400-0000FD070000}"/>
    <hyperlink ref="A2720" r:id="rId2047" xr:uid="{00000000-0004-0000-0400-0000FE070000}"/>
    <hyperlink ref="A2723" r:id="rId2048" xr:uid="{00000000-0004-0000-0400-0000FF070000}"/>
    <hyperlink ref="A2726" r:id="rId2049" xr:uid="{00000000-0004-0000-0400-000000080000}"/>
    <hyperlink ref="A2729" r:id="rId2050" xr:uid="{00000000-0004-0000-0400-000001080000}"/>
    <hyperlink ref="A2732" r:id="rId2051" xr:uid="{00000000-0004-0000-0400-000002080000}"/>
    <hyperlink ref="A2735" r:id="rId2052" xr:uid="{00000000-0004-0000-0400-000003080000}"/>
    <hyperlink ref="A2738" r:id="rId2053" xr:uid="{00000000-0004-0000-0400-000004080000}"/>
    <hyperlink ref="A2741" r:id="rId2054" xr:uid="{00000000-0004-0000-0400-000005080000}"/>
    <hyperlink ref="A2744" r:id="rId2055" xr:uid="{00000000-0004-0000-0400-000006080000}"/>
    <hyperlink ref="A2747" r:id="rId2056" xr:uid="{00000000-0004-0000-0400-000007080000}"/>
    <hyperlink ref="A2750" r:id="rId2057" xr:uid="{00000000-0004-0000-0400-000008080000}"/>
    <hyperlink ref="A2753" r:id="rId2058" xr:uid="{00000000-0004-0000-0400-000009080000}"/>
    <hyperlink ref="A2756" r:id="rId2059" xr:uid="{00000000-0004-0000-0400-00000A080000}"/>
    <hyperlink ref="A2759" r:id="rId2060" xr:uid="{00000000-0004-0000-0400-00000B080000}"/>
    <hyperlink ref="A2762" r:id="rId2061" xr:uid="{00000000-0004-0000-0400-00000C080000}"/>
    <hyperlink ref="A2765" r:id="rId2062" xr:uid="{00000000-0004-0000-0400-00000D080000}"/>
    <hyperlink ref="A2768" r:id="rId2063" xr:uid="{00000000-0004-0000-0400-00000E080000}"/>
    <hyperlink ref="A2771" r:id="rId2064" xr:uid="{00000000-0004-0000-0400-00000F080000}"/>
    <hyperlink ref="A2774" r:id="rId2065" xr:uid="{00000000-0004-0000-0400-000010080000}"/>
    <hyperlink ref="A2777" r:id="rId2066" xr:uid="{00000000-0004-0000-0400-000011080000}"/>
    <hyperlink ref="A2780" r:id="rId2067" xr:uid="{00000000-0004-0000-0400-000012080000}"/>
    <hyperlink ref="A2783" r:id="rId2068" xr:uid="{00000000-0004-0000-0400-000013080000}"/>
    <hyperlink ref="A2786" r:id="rId2069" xr:uid="{00000000-0004-0000-0400-000014080000}"/>
    <hyperlink ref="A2789" r:id="rId2070" xr:uid="{00000000-0004-0000-0400-000015080000}"/>
    <hyperlink ref="A2792" r:id="rId2071" xr:uid="{00000000-0004-0000-0400-000016080000}"/>
    <hyperlink ref="A2795" r:id="rId2072" xr:uid="{00000000-0004-0000-0400-000017080000}"/>
    <hyperlink ref="A2798" r:id="rId2073" xr:uid="{00000000-0004-0000-0400-000018080000}"/>
    <hyperlink ref="A2801" r:id="rId2074" xr:uid="{00000000-0004-0000-0400-000019080000}"/>
    <hyperlink ref="A2804" r:id="rId2075" xr:uid="{00000000-0004-0000-0400-00001A080000}"/>
    <hyperlink ref="A2807" r:id="rId2076" xr:uid="{00000000-0004-0000-0400-00001B080000}"/>
    <hyperlink ref="A2810" r:id="rId2077" xr:uid="{00000000-0004-0000-0400-00001C080000}"/>
    <hyperlink ref="A2813" r:id="rId2078" xr:uid="{00000000-0004-0000-0400-00001D080000}"/>
    <hyperlink ref="A2816" r:id="rId2079" xr:uid="{00000000-0004-0000-0400-00001E080000}"/>
    <hyperlink ref="A2819" r:id="rId2080" xr:uid="{00000000-0004-0000-0400-00001F080000}"/>
    <hyperlink ref="A2822" r:id="rId2081" xr:uid="{00000000-0004-0000-0400-000020080000}"/>
    <hyperlink ref="A2825" r:id="rId2082" xr:uid="{00000000-0004-0000-0400-000021080000}"/>
    <hyperlink ref="A2828" r:id="rId2083" xr:uid="{00000000-0004-0000-0400-000022080000}"/>
    <hyperlink ref="A2831" r:id="rId2084" xr:uid="{00000000-0004-0000-0400-000023080000}"/>
    <hyperlink ref="A2834" r:id="rId2085" xr:uid="{00000000-0004-0000-0400-000024080000}"/>
    <hyperlink ref="A2837" r:id="rId2086" xr:uid="{00000000-0004-0000-0400-000025080000}"/>
    <hyperlink ref="A2840" r:id="rId2087" xr:uid="{00000000-0004-0000-0400-000026080000}"/>
    <hyperlink ref="A2843" r:id="rId2088" xr:uid="{00000000-0004-0000-0400-000027080000}"/>
    <hyperlink ref="A2846" r:id="rId2089" xr:uid="{00000000-0004-0000-0400-000028080000}"/>
    <hyperlink ref="A2849" r:id="rId2090" xr:uid="{00000000-0004-0000-0400-000029080000}"/>
    <hyperlink ref="A2852" r:id="rId2091" xr:uid="{00000000-0004-0000-0400-00002A080000}"/>
    <hyperlink ref="A2855" r:id="rId2092" xr:uid="{00000000-0004-0000-0400-00002B080000}"/>
    <hyperlink ref="A2858" r:id="rId2093" xr:uid="{00000000-0004-0000-0400-00002C080000}"/>
    <hyperlink ref="A2861" r:id="rId2094" xr:uid="{00000000-0004-0000-0400-00002D080000}"/>
    <hyperlink ref="A2864" r:id="rId2095" xr:uid="{00000000-0004-0000-0400-00002E080000}"/>
    <hyperlink ref="A2867" r:id="rId2096" xr:uid="{00000000-0004-0000-0400-00002F080000}"/>
    <hyperlink ref="A2870" r:id="rId2097" xr:uid="{00000000-0004-0000-0400-000030080000}"/>
    <hyperlink ref="A2873" r:id="rId2098" xr:uid="{00000000-0004-0000-0400-000031080000}"/>
    <hyperlink ref="A2876" r:id="rId2099" xr:uid="{00000000-0004-0000-0400-000032080000}"/>
    <hyperlink ref="A2879" r:id="rId2100" xr:uid="{00000000-0004-0000-0400-000033080000}"/>
    <hyperlink ref="A2882" r:id="rId2101" xr:uid="{00000000-0004-0000-0400-000034080000}"/>
    <hyperlink ref="A2885" r:id="rId2102" xr:uid="{00000000-0004-0000-0400-000035080000}"/>
    <hyperlink ref="A2888" r:id="rId2103" xr:uid="{00000000-0004-0000-0400-000036080000}"/>
    <hyperlink ref="A2891" r:id="rId2104" xr:uid="{00000000-0004-0000-0400-000037080000}"/>
    <hyperlink ref="A2894" r:id="rId2105" xr:uid="{00000000-0004-0000-0400-000038080000}"/>
    <hyperlink ref="A2897" r:id="rId2106" xr:uid="{00000000-0004-0000-0400-000039080000}"/>
    <hyperlink ref="A2900" r:id="rId2107" xr:uid="{00000000-0004-0000-0400-00003A080000}"/>
    <hyperlink ref="A2903" r:id="rId2108" xr:uid="{00000000-0004-0000-0400-00003B080000}"/>
    <hyperlink ref="A2906" r:id="rId2109" xr:uid="{00000000-0004-0000-0400-00003C080000}"/>
    <hyperlink ref="A2909" r:id="rId2110" xr:uid="{00000000-0004-0000-0400-00003D080000}"/>
    <hyperlink ref="A2912" r:id="rId2111" xr:uid="{00000000-0004-0000-0400-00003E080000}"/>
    <hyperlink ref="A2915" r:id="rId2112" xr:uid="{00000000-0004-0000-0400-00003F080000}"/>
    <hyperlink ref="A2918" r:id="rId2113" xr:uid="{00000000-0004-0000-0400-000040080000}"/>
    <hyperlink ref="A2921" r:id="rId2114" xr:uid="{00000000-0004-0000-0400-000041080000}"/>
    <hyperlink ref="A2924" r:id="rId2115" xr:uid="{00000000-0004-0000-0400-000042080000}"/>
    <hyperlink ref="A2927" r:id="rId2116" xr:uid="{00000000-0004-0000-0400-000043080000}"/>
    <hyperlink ref="A2930" r:id="rId2117" xr:uid="{00000000-0004-0000-0400-000044080000}"/>
    <hyperlink ref="A2933" r:id="rId2118" xr:uid="{00000000-0004-0000-0400-000045080000}"/>
    <hyperlink ref="A2936" r:id="rId2119" xr:uid="{00000000-0004-0000-0400-000046080000}"/>
    <hyperlink ref="A2939" r:id="rId2120" xr:uid="{00000000-0004-0000-0400-000047080000}"/>
    <hyperlink ref="A2942" r:id="rId2121" xr:uid="{00000000-0004-0000-0400-000048080000}"/>
    <hyperlink ref="A2945" r:id="rId2122" xr:uid="{00000000-0004-0000-0400-000049080000}"/>
    <hyperlink ref="A2948" r:id="rId2123" xr:uid="{00000000-0004-0000-0400-00004A080000}"/>
    <hyperlink ref="A2951" r:id="rId2124" xr:uid="{00000000-0004-0000-0400-00004B080000}"/>
    <hyperlink ref="A2954" r:id="rId2125" xr:uid="{00000000-0004-0000-0400-00004C080000}"/>
    <hyperlink ref="A2957" r:id="rId2126" xr:uid="{00000000-0004-0000-0400-00004D080000}"/>
    <hyperlink ref="A2960" r:id="rId2127" xr:uid="{00000000-0004-0000-0400-00004E080000}"/>
    <hyperlink ref="A2963" r:id="rId2128" xr:uid="{00000000-0004-0000-0400-00004F080000}"/>
    <hyperlink ref="A2966" r:id="rId2129" xr:uid="{00000000-0004-0000-0400-000050080000}"/>
    <hyperlink ref="A2969" r:id="rId2130" xr:uid="{00000000-0004-0000-0400-000051080000}"/>
    <hyperlink ref="A2972" r:id="rId2131" xr:uid="{00000000-0004-0000-0400-000052080000}"/>
    <hyperlink ref="A2975" r:id="rId2132" xr:uid="{00000000-0004-0000-0400-000053080000}"/>
    <hyperlink ref="A2978" r:id="rId2133" xr:uid="{00000000-0004-0000-0400-000054080000}"/>
    <hyperlink ref="A2981" r:id="rId2134" xr:uid="{00000000-0004-0000-0400-000055080000}"/>
    <hyperlink ref="A2984" r:id="rId2135" xr:uid="{00000000-0004-0000-0400-000056080000}"/>
    <hyperlink ref="A2987" r:id="rId2136" xr:uid="{00000000-0004-0000-0400-000057080000}"/>
    <hyperlink ref="A2990" r:id="rId2137" xr:uid="{00000000-0004-0000-0400-000058080000}"/>
    <hyperlink ref="A2993" r:id="rId2138" xr:uid="{00000000-0004-0000-0400-000059080000}"/>
    <hyperlink ref="A2996" r:id="rId2139" xr:uid="{00000000-0004-0000-0400-00005A080000}"/>
    <hyperlink ref="A2999" r:id="rId2140" xr:uid="{00000000-0004-0000-0400-00005B080000}"/>
    <hyperlink ref="A3002" r:id="rId2141" xr:uid="{00000000-0004-0000-0400-00005C080000}"/>
    <hyperlink ref="A3005" r:id="rId2142" xr:uid="{00000000-0004-0000-0400-00005D080000}"/>
    <hyperlink ref="A3008" r:id="rId2143" xr:uid="{00000000-0004-0000-0400-00005E080000}"/>
    <hyperlink ref="A3011" r:id="rId2144" xr:uid="{00000000-0004-0000-0400-00005F080000}"/>
    <hyperlink ref="A3014" r:id="rId2145" xr:uid="{00000000-0004-0000-0400-000060080000}"/>
    <hyperlink ref="A3017" r:id="rId2146" xr:uid="{00000000-0004-0000-0400-000061080000}"/>
    <hyperlink ref="A3020" r:id="rId2147" xr:uid="{00000000-0004-0000-0400-000062080000}"/>
    <hyperlink ref="A3023" r:id="rId2148" xr:uid="{00000000-0004-0000-0400-000063080000}"/>
    <hyperlink ref="A3026" r:id="rId2149" xr:uid="{00000000-0004-0000-0400-000064080000}"/>
    <hyperlink ref="A3029" r:id="rId2150" xr:uid="{00000000-0004-0000-0400-000065080000}"/>
    <hyperlink ref="A3032" r:id="rId2151" xr:uid="{00000000-0004-0000-0400-000066080000}"/>
    <hyperlink ref="A3035" r:id="rId2152" xr:uid="{00000000-0004-0000-0400-000067080000}"/>
    <hyperlink ref="A3038" r:id="rId2153" xr:uid="{00000000-0004-0000-0400-000068080000}"/>
    <hyperlink ref="A3041" r:id="rId2154" xr:uid="{00000000-0004-0000-0400-000069080000}"/>
    <hyperlink ref="A3044" r:id="rId2155" xr:uid="{00000000-0004-0000-0400-00006A080000}"/>
    <hyperlink ref="A3047" r:id="rId2156" xr:uid="{00000000-0004-0000-0400-00006B080000}"/>
    <hyperlink ref="A3050" r:id="rId2157" xr:uid="{00000000-0004-0000-0400-00006C080000}"/>
    <hyperlink ref="A3053" r:id="rId2158" xr:uid="{00000000-0004-0000-0400-00006D080000}"/>
    <hyperlink ref="A3056" r:id="rId2159" xr:uid="{00000000-0004-0000-0400-00006E080000}"/>
    <hyperlink ref="A3059" r:id="rId2160" xr:uid="{00000000-0004-0000-0400-00006F080000}"/>
    <hyperlink ref="A3062" r:id="rId2161" xr:uid="{00000000-0004-0000-0400-000070080000}"/>
    <hyperlink ref="A3065" r:id="rId2162" xr:uid="{00000000-0004-0000-0400-000071080000}"/>
    <hyperlink ref="A3068" r:id="rId2163" xr:uid="{00000000-0004-0000-0400-000072080000}"/>
    <hyperlink ref="A3071" r:id="rId2164" xr:uid="{00000000-0004-0000-0400-000073080000}"/>
    <hyperlink ref="A3074" r:id="rId2165" xr:uid="{00000000-0004-0000-0400-000074080000}"/>
    <hyperlink ref="A3077" r:id="rId2166" xr:uid="{00000000-0004-0000-0400-000075080000}"/>
    <hyperlink ref="A3080" r:id="rId2167" xr:uid="{00000000-0004-0000-0400-000076080000}"/>
    <hyperlink ref="A3083" r:id="rId2168" xr:uid="{00000000-0004-0000-0400-000077080000}"/>
    <hyperlink ref="A3086" r:id="rId2169" xr:uid="{00000000-0004-0000-0400-000078080000}"/>
    <hyperlink ref="A3089" r:id="rId2170" xr:uid="{00000000-0004-0000-0400-000079080000}"/>
    <hyperlink ref="A3092" r:id="rId2171" xr:uid="{00000000-0004-0000-0400-00007A080000}"/>
    <hyperlink ref="A3095" r:id="rId2172" xr:uid="{00000000-0004-0000-0400-00007B080000}"/>
    <hyperlink ref="A3098" r:id="rId2173" xr:uid="{00000000-0004-0000-0400-00007C080000}"/>
    <hyperlink ref="A3101" r:id="rId2174" xr:uid="{00000000-0004-0000-0400-00007D080000}"/>
    <hyperlink ref="A3104" r:id="rId2175" xr:uid="{00000000-0004-0000-0400-00007E080000}"/>
    <hyperlink ref="A3107" r:id="rId2176" xr:uid="{00000000-0004-0000-0400-00007F080000}"/>
    <hyperlink ref="A3110" r:id="rId2177" xr:uid="{00000000-0004-0000-0400-000080080000}"/>
    <hyperlink ref="A3113" r:id="rId2178" xr:uid="{00000000-0004-0000-0400-000081080000}"/>
    <hyperlink ref="A3116" r:id="rId2179" xr:uid="{00000000-0004-0000-0400-000082080000}"/>
    <hyperlink ref="A3119" r:id="rId2180" xr:uid="{00000000-0004-0000-0400-000083080000}"/>
    <hyperlink ref="A3122" r:id="rId2181" xr:uid="{00000000-0004-0000-0400-000084080000}"/>
    <hyperlink ref="A3125" r:id="rId2182" xr:uid="{00000000-0004-0000-0400-000085080000}"/>
    <hyperlink ref="A3128" r:id="rId2183" xr:uid="{00000000-0004-0000-0400-000086080000}"/>
    <hyperlink ref="A3131" r:id="rId2184" xr:uid="{00000000-0004-0000-0400-000087080000}"/>
    <hyperlink ref="A3134" r:id="rId2185" xr:uid="{00000000-0004-0000-0400-000088080000}"/>
    <hyperlink ref="A3137" r:id="rId2186" xr:uid="{00000000-0004-0000-0400-000089080000}"/>
    <hyperlink ref="A3140" r:id="rId2187" xr:uid="{00000000-0004-0000-0400-00008A080000}"/>
    <hyperlink ref="A3143" r:id="rId2188" xr:uid="{00000000-0004-0000-0400-00008B080000}"/>
    <hyperlink ref="A3146" r:id="rId2189" xr:uid="{00000000-0004-0000-0400-00008C080000}"/>
    <hyperlink ref="A3149" r:id="rId2190" xr:uid="{00000000-0004-0000-0400-00008D080000}"/>
    <hyperlink ref="A3152" r:id="rId2191" xr:uid="{00000000-0004-0000-0400-00008E080000}"/>
    <hyperlink ref="A3155" r:id="rId2192" xr:uid="{00000000-0004-0000-0400-00008F080000}"/>
    <hyperlink ref="A3158" r:id="rId2193" xr:uid="{00000000-0004-0000-0400-000090080000}"/>
    <hyperlink ref="A3161" r:id="rId2194" xr:uid="{00000000-0004-0000-0400-000091080000}"/>
    <hyperlink ref="A3164" r:id="rId2195" xr:uid="{00000000-0004-0000-0400-000092080000}"/>
    <hyperlink ref="A3167" r:id="rId2196" xr:uid="{00000000-0004-0000-0400-000093080000}"/>
    <hyperlink ref="A3170" r:id="rId2197" xr:uid="{00000000-0004-0000-0400-000094080000}"/>
    <hyperlink ref="A3173" r:id="rId2198" xr:uid="{00000000-0004-0000-0400-000095080000}"/>
    <hyperlink ref="A3176" r:id="rId2199" xr:uid="{00000000-0004-0000-0400-000096080000}"/>
    <hyperlink ref="A3179" r:id="rId2200" xr:uid="{00000000-0004-0000-0400-000097080000}"/>
    <hyperlink ref="A3182" r:id="rId2201" xr:uid="{00000000-0004-0000-0400-000098080000}"/>
    <hyperlink ref="A3185" r:id="rId2202" xr:uid="{00000000-0004-0000-0400-000099080000}"/>
    <hyperlink ref="A3188" r:id="rId2203" xr:uid="{00000000-0004-0000-0400-00009A080000}"/>
    <hyperlink ref="A3191" r:id="rId2204" xr:uid="{00000000-0004-0000-0400-00009B080000}"/>
    <hyperlink ref="A3194" r:id="rId2205" xr:uid="{00000000-0004-0000-0400-00009C080000}"/>
    <hyperlink ref="A3197" r:id="rId2206" xr:uid="{00000000-0004-0000-0400-00009D080000}"/>
    <hyperlink ref="A3200" r:id="rId2207" xr:uid="{00000000-0004-0000-0400-00009E080000}"/>
    <hyperlink ref="A3203" r:id="rId2208" xr:uid="{00000000-0004-0000-0400-00009F080000}"/>
    <hyperlink ref="A3206" r:id="rId2209" xr:uid="{00000000-0004-0000-0400-0000A0080000}"/>
    <hyperlink ref="A3209" r:id="rId2210" xr:uid="{00000000-0004-0000-0400-0000A1080000}"/>
    <hyperlink ref="A3212" r:id="rId2211" xr:uid="{00000000-0004-0000-0400-0000A2080000}"/>
    <hyperlink ref="A3215" r:id="rId2212" xr:uid="{00000000-0004-0000-0400-0000A3080000}"/>
    <hyperlink ref="A3218" r:id="rId2213" xr:uid="{00000000-0004-0000-0400-0000A4080000}"/>
    <hyperlink ref="A3221" r:id="rId2214" xr:uid="{00000000-0004-0000-0400-0000A5080000}"/>
    <hyperlink ref="A3224" r:id="rId2215" xr:uid="{00000000-0004-0000-0400-0000A6080000}"/>
    <hyperlink ref="A3227" r:id="rId2216" xr:uid="{00000000-0004-0000-0400-0000A7080000}"/>
    <hyperlink ref="A3230" r:id="rId2217" xr:uid="{00000000-0004-0000-0400-0000A8080000}"/>
    <hyperlink ref="A3233" r:id="rId2218" xr:uid="{00000000-0004-0000-0400-0000A9080000}"/>
    <hyperlink ref="A3236" r:id="rId2219" xr:uid="{00000000-0004-0000-0400-0000AA080000}"/>
    <hyperlink ref="A3239" r:id="rId2220" xr:uid="{00000000-0004-0000-0400-0000AB080000}"/>
    <hyperlink ref="A3242" r:id="rId2221" xr:uid="{00000000-0004-0000-0400-0000AC080000}"/>
    <hyperlink ref="A3245" r:id="rId2222" xr:uid="{00000000-0004-0000-0400-0000AD080000}"/>
    <hyperlink ref="A3248" r:id="rId2223" xr:uid="{00000000-0004-0000-0400-0000AE080000}"/>
    <hyperlink ref="A3251" r:id="rId2224" xr:uid="{00000000-0004-0000-0400-0000AF080000}"/>
    <hyperlink ref="A3254" r:id="rId2225" xr:uid="{00000000-0004-0000-0400-0000B0080000}"/>
    <hyperlink ref="A3257" r:id="rId2226" xr:uid="{00000000-0004-0000-0400-0000B1080000}"/>
    <hyperlink ref="A3260" r:id="rId2227" xr:uid="{00000000-0004-0000-0400-0000B2080000}"/>
    <hyperlink ref="A3263" r:id="rId2228" xr:uid="{00000000-0004-0000-0400-0000B3080000}"/>
    <hyperlink ref="A3266" r:id="rId2229" xr:uid="{00000000-0004-0000-0400-0000B4080000}"/>
    <hyperlink ref="A3269" r:id="rId2230" xr:uid="{00000000-0004-0000-0400-0000B5080000}"/>
    <hyperlink ref="A3272" r:id="rId2231" xr:uid="{00000000-0004-0000-0400-0000B6080000}"/>
    <hyperlink ref="A3275" r:id="rId2232" xr:uid="{00000000-0004-0000-0400-0000B7080000}"/>
    <hyperlink ref="A3278" r:id="rId2233" xr:uid="{00000000-0004-0000-0400-0000B8080000}"/>
    <hyperlink ref="A3281" r:id="rId2234" xr:uid="{00000000-0004-0000-0400-0000B9080000}"/>
    <hyperlink ref="A3284" r:id="rId2235" xr:uid="{00000000-0004-0000-0400-0000BA080000}"/>
    <hyperlink ref="A3287" r:id="rId2236" xr:uid="{00000000-0004-0000-0400-0000BB080000}"/>
    <hyperlink ref="A3290" r:id="rId2237" xr:uid="{00000000-0004-0000-0400-0000BC080000}"/>
    <hyperlink ref="A3293" r:id="rId2238" xr:uid="{00000000-0004-0000-0400-0000BD080000}"/>
    <hyperlink ref="A3296" r:id="rId2239" xr:uid="{00000000-0004-0000-0400-0000BE080000}"/>
    <hyperlink ref="A3299" r:id="rId2240" xr:uid="{00000000-0004-0000-0400-0000BF080000}"/>
    <hyperlink ref="A3302" r:id="rId2241" xr:uid="{00000000-0004-0000-0400-0000C0080000}"/>
    <hyperlink ref="A3305" r:id="rId2242" xr:uid="{00000000-0004-0000-0400-0000C1080000}"/>
    <hyperlink ref="A3308" r:id="rId2243" xr:uid="{00000000-0004-0000-0400-0000C2080000}"/>
    <hyperlink ref="A3311" r:id="rId2244" xr:uid="{00000000-0004-0000-0400-0000C3080000}"/>
    <hyperlink ref="A3314" r:id="rId2245" xr:uid="{00000000-0004-0000-0400-0000C4080000}"/>
    <hyperlink ref="A3317" r:id="rId2246" xr:uid="{00000000-0004-0000-0400-0000C5080000}"/>
    <hyperlink ref="A3320" r:id="rId2247" xr:uid="{00000000-0004-0000-0400-0000C6080000}"/>
    <hyperlink ref="A3323" r:id="rId2248" xr:uid="{00000000-0004-0000-0400-0000C7080000}"/>
    <hyperlink ref="A3326" r:id="rId2249" xr:uid="{00000000-0004-0000-0400-0000C8080000}"/>
    <hyperlink ref="A3329" r:id="rId2250" xr:uid="{00000000-0004-0000-0400-0000C9080000}"/>
    <hyperlink ref="A3332" r:id="rId2251" xr:uid="{00000000-0004-0000-0400-0000CA080000}"/>
    <hyperlink ref="A3335" r:id="rId2252" xr:uid="{00000000-0004-0000-0400-0000CB080000}"/>
    <hyperlink ref="A3338" r:id="rId2253" xr:uid="{00000000-0004-0000-0400-0000CC080000}"/>
    <hyperlink ref="A3341" r:id="rId2254" xr:uid="{00000000-0004-0000-0400-0000CD080000}"/>
    <hyperlink ref="A3344" r:id="rId2255" xr:uid="{00000000-0004-0000-0400-0000CE080000}"/>
    <hyperlink ref="A3347" r:id="rId2256" xr:uid="{00000000-0004-0000-0400-0000CF080000}"/>
    <hyperlink ref="A3350" r:id="rId2257" xr:uid="{00000000-0004-0000-0400-0000D0080000}"/>
    <hyperlink ref="A3353" r:id="rId2258" xr:uid="{00000000-0004-0000-0400-0000D1080000}"/>
    <hyperlink ref="A3356" r:id="rId2259" xr:uid="{00000000-0004-0000-0400-0000D2080000}"/>
    <hyperlink ref="A3359" r:id="rId2260" xr:uid="{00000000-0004-0000-0400-0000D3080000}"/>
    <hyperlink ref="A3362" r:id="rId2261" xr:uid="{00000000-0004-0000-0400-0000D4080000}"/>
    <hyperlink ref="A3365" r:id="rId2262" xr:uid="{00000000-0004-0000-0400-0000D5080000}"/>
    <hyperlink ref="A3368" r:id="rId2263" xr:uid="{00000000-0004-0000-0400-0000D6080000}"/>
    <hyperlink ref="A3371" r:id="rId2264" xr:uid="{00000000-0004-0000-0400-0000D7080000}"/>
    <hyperlink ref="A3374" r:id="rId2265" xr:uid="{00000000-0004-0000-0400-0000D8080000}"/>
    <hyperlink ref="A3377" r:id="rId2266" xr:uid="{00000000-0004-0000-0400-0000D9080000}"/>
    <hyperlink ref="A3380" r:id="rId2267" xr:uid="{00000000-0004-0000-0400-0000DA080000}"/>
    <hyperlink ref="A3383" r:id="rId2268" xr:uid="{00000000-0004-0000-0400-0000DB080000}"/>
    <hyperlink ref="A3386" r:id="rId2269" xr:uid="{00000000-0004-0000-0400-0000DC080000}"/>
    <hyperlink ref="A3389" r:id="rId2270" xr:uid="{00000000-0004-0000-0400-0000DD080000}"/>
    <hyperlink ref="A3392" r:id="rId2271" xr:uid="{00000000-0004-0000-0400-0000DE080000}"/>
    <hyperlink ref="A3395" r:id="rId2272" xr:uid="{00000000-0004-0000-0400-0000DF080000}"/>
    <hyperlink ref="A3398" r:id="rId2273" xr:uid="{00000000-0004-0000-0400-0000E0080000}"/>
    <hyperlink ref="A3401" r:id="rId2274" xr:uid="{00000000-0004-0000-0400-0000E1080000}"/>
    <hyperlink ref="A3404" r:id="rId2275" xr:uid="{00000000-0004-0000-0400-0000E2080000}"/>
    <hyperlink ref="A3407" r:id="rId2276" xr:uid="{00000000-0004-0000-0400-0000E3080000}"/>
    <hyperlink ref="A3410" r:id="rId2277" xr:uid="{00000000-0004-0000-0400-0000E4080000}"/>
    <hyperlink ref="A3413" r:id="rId2278" xr:uid="{00000000-0004-0000-0400-0000E5080000}"/>
    <hyperlink ref="A3416" r:id="rId2279" xr:uid="{00000000-0004-0000-0400-0000E6080000}"/>
    <hyperlink ref="A3419" r:id="rId2280" xr:uid="{00000000-0004-0000-0400-0000E7080000}"/>
    <hyperlink ref="A3422" r:id="rId2281" xr:uid="{00000000-0004-0000-0400-0000E8080000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9"/>
  <sheetViews>
    <sheetView workbookViewId="0"/>
  </sheetViews>
  <sheetFormatPr defaultColWidth="12.5703125" defaultRowHeight="15.75" customHeight="1"/>
  <sheetData>
    <row r="1" spans="1:1">
      <c r="A1" s="66" t="s">
        <v>12723</v>
      </c>
    </row>
    <row r="2" spans="1:1">
      <c r="A2" s="66" t="s">
        <v>12724</v>
      </c>
    </row>
    <row r="3" spans="1:1">
      <c r="A3" s="66" t="s">
        <v>12725</v>
      </c>
    </row>
    <row r="4" spans="1:1">
      <c r="A4" s="66" t="s">
        <v>12726</v>
      </c>
    </row>
    <row r="5" spans="1:1">
      <c r="A5" s="66" t="s">
        <v>12727</v>
      </c>
    </row>
    <row r="6" spans="1:1">
      <c r="A6" s="66" t="s">
        <v>12728</v>
      </c>
    </row>
    <row r="7" spans="1:1">
      <c r="A7" s="66" t="s">
        <v>12729</v>
      </c>
    </row>
    <row r="8" spans="1:1">
      <c r="A8" s="66" t="s">
        <v>12730</v>
      </c>
    </row>
    <row r="9" spans="1:1">
      <c r="A9" s="66" t="s">
        <v>12731</v>
      </c>
    </row>
  </sheetData>
  <hyperlinks>
    <hyperlink ref="A1" r:id="rId1" xr:uid="{00000000-0004-0000-0500-000000000000}"/>
    <hyperlink ref="A2" r:id="rId2" xr:uid="{00000000-0004-0000-0500-000001000000}"/>
    <hyperlink ref="A3" r:id="rId3" xr:uid="{00000000-0004-0000-0500-000002000000}"/>
    <hyperlink ref="A4" r:id="rId4" xr:uid="{00000000-0004-0000-0500-000003000000}"/>
    <hyperlink ref="A5" r:id="rId5" xr:uid="{00000000-0004-0000-0500-000004000000}"/>
    <hyperlink ref="A6" r:id="rId6" xr:uid="{00000000-0004-0000-0500-000005000000}"/>
    <hyperlink ref="A7" r:id="rId7" xr:uid="{00000000-0004-0000-0500-000006000000}"/>
    <hyperlink ref="A8" r:id="rId8" xr:uid="{00000000-0004-0000-0500-000007000000}"/>
    <hyperlink ref="A9" r:id="rId9" xr:uid="{00000000-0004-0000-0500-000008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New</vt:lpstr>
      <vt:lpstr>Página1</vt:lpstr>
      <vt:lpstr>MODELOS</vt:lpstr>
      <vt:lpstr>Página11</vt:lpstr>
      <vt:lpstr>Página13</vt:lpstr>
      <vt:lpstr>Página14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Importa Curitiba</cp:lastModifiedBy>
  <dcterms:modified xsi:type="dcterms:W3CDTF">2026-06-28T06:11:27Z</dcterms:modified>
</cp:coreProperties>
</file>